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6" autoFilterDateGrouping="1"/>
  </bookViews>
  <sheets>
    <sheet name="00_Инструкция" sheetId="1" state="visible" r:id="rId1"/>
    <sheet name="11_Dashboard" sheetId="2" state="visible" r:id="rId2"/>
    <sheet name="01_Исходные_данные" sheetId="3" state="visible" r:id="rId3"/>
    <sheet name="02_Тарифы" sheetId="4" state="visible" r:id="rId4"/>
    <sheet name="03_TAM_SAM_SOM" sheetId="5" state="visible" r:id="rId5"/>
    <sheet name="04_Сегменты_базы" sheetId="6" state="visible" r:id="rId6"/>
    <sheet name="05_База_клиентов" sheetId="7" state="visible" r:id="rId7"/>
    <sheet name="06_Горячие_клиенты" sheetId="8" state="visible" r:id="rId8"/>
    <sheet name="07_План_продаж" sheetId="9" state="visible" r:id="rId9"/>
    <sheet name="08_Факт_воронка" sheetId="10" state="visible" r:id="rId10"/>
    <sheet name="09_PnL" sheetId="11" state="visible" r:id="rId11"/>
    <sheet name="10_ДДС" sheetId="12" state="visible" r:id="rId12"/>
    <sheet name="12_Методика" sheetId="13" state="visible" r:id="rId13"/>
  </sheets>
  <definedNames>
    <definedName name="_xlnm._FilterDatabase" localSheetId="6" hidden="1">'05_База_клиентов'!$A$4:$X$9025</definedName>
    <definedName name="_xlnm._FilterDatabase" localSheetId="7" hidden="1">'06_Горячие_клиенты'!$A$4:$K$349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00%"/>
    <numFmt numFmtId="166" formatCode="0.0%"/>
  </numFmts>
  <fonts count="11">
    <font>
      <name val="Calibri"/>
      <charset val="1"/>
      <family val="2"/>
      <color theme="1"/>
      <sz val="11"/>
    </font>
    <font>
      <name val="Cambria"/>
      <charset val="1"/>
      <b val="1"/>
      <sz val="16"/>
    </font>
    <font>
      <name val="Cambria"/>
      <charset val="1"/>
      <b val="1"/>
      <color rgb="FFFFFFFF"/>
      <sz val="11"/>
    </font>
    <font>
      <name val="Cambria"/>
      <charset val="1"/>
      <b val="1"/>
      <sz val="11"/>
    </font>
    <font>
      <name val="Cambria"/>
      <charset val="1"/>
      <b val="1"/>
      <color rgb="FF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sz val="11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4" borderId="1" applyAlignment="1" pivotButton="0" quotePrefix="0" xfId="0">
      <alignment vertical="top" wrapText="1"/>
    </xf>
    <xf numFmtId="0" fontId="2" fillId="2" borderId="2" applyAlignment="1" pivotButton="0" quotePrefix="0" xfId="0">
      <alignment horizontal="center" wrapText="1"/>
    </xf>
    <xf numFmtId="0" fontId="0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6" borderId="3" pivotButton="0" quotePrefix="0" xfId="0"/>
    <xf numFmtId="0" fontId="6" fillId="7" borderId="3" pivotButton="0" quotePrefix="0" xfId="0"/>
    <xf numFmtId="0" fontId="9" fillId="8" borderId="3" pivotButton="0" quotePrefix="0" xfId="0"/>
    <xf numFmtId="0" fontId="10" fillId="0" borderId="0" pivotButton="0" quotePrefix="0" xfId="0"/>
    <xf numFmtId="0" fontId="5" fillId="5" borderId="3" applyAlignment="1" pivotButton="0" quotePrefix="0" xfId="0">
      <alignment vertical="center" wrapText="1"/>
    </xf>
    <xf numFmtId="3" fontId="5" fillId="5" borderId="3" applyAlignment="1" pivotButton="0" quotePrefix="0" xfId="0">
      <alignment vertical="center" wrapText="1"/>
    </xf>
    <xf numFmtId="0" fontId="5" fillId="5" borderId="0" pivotButton="0" quotePrefix="0" xfId="0"/>
    <xf numFmtId="3" fontId="6" fillId="7" borderId="3" pivotButton="0" quotePrefix="0" xfId="0"/>
    <xf numFmtId="3" fontId="9" fillId="8" borderId="3" pivotButton="0" quotePrefix="0" xfId="0"/>
    <xf numFmtId="166" fontId="6" fillId="7" borderId="3" pivotButton="0" quotePrefix="0" xfId="0"/>
    <xf numFmtId="166" fontId="9" fillId="8" borderId="3" pivotButton="0" quotePrefix="0" xfId="0"/>
    <xf numFmtId="0" fontId="0" fillId="9" borderId="0" applyAlignment="1" pivotButton="0" quotePrefix="0" xfId="0">
      <alignment vertical="top" wrapText="1"/>
    </xf>
    <xf numFmtId="9" fontId="6" fillId="6" borderId="3" pivotButton="0" quotePrefix="0" xfId="0"/>
    <xf numFmtId="10" fontId="6" fillId="7" borderId="3" pivotButton="0" quotePrefix="0" xfId="0"/>
    <xf numFmtId="3" fontId="6" fillId="6" borderId="3" pivotButton="0" quotePrefix="0" xfId="0"/>
    <xf numFmtId="165" fontId="6" fillId="7" borderId="3" pivotButton="0" quotePrefix="0" xfId="0"/>
    <xf numFmtId="166" fontId="6" fillId="6" borderId="3" pivotButton="0" quotePrefix="0" xfId="0"/>
    <xf numFmtId="10" fontId="9" fillId="8" borderId="3" pivotButton="0" quotePrefix="0" xfId="0"/>
    <xf numFmtId="0" fontId="6" fillId="6" borderId="3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164" fontId="6" fillId="7" borderId="3" applyAlignment="1" pivotButton="0" quotePrefix="0" xfId="0">
      <alignment vertical="top" wrapText="1"/>
    </xf>
    <xf numFmtId="0" fontId="6" fillId="7" borderId="3" applyAlignment="1" pivotButton="0" quotePrefix="0" xfId="0">
      <alignment vertical="center" wrapText="1"/>
    </xf>
    <xf numFmtId="2" fontId="6" fillId="7" borderId="3" pivotButton="0" quotePrefix="0" xfId="0"/>
    <xf numFmtId="0" fontId="0" fillId="0" borderId="3" pivotButton="0" quotePrefix="0" xfId="0"/>
  </cellXfs>
  <cellStyles count="1">
    <cellStyle name="Обычный" xfId="0" builtinId="0"/>
  </cellStyles>
  <dxfs count="4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Продажи по сценариям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'11_Dashboard'!B21</f>
            </strRef>
          </tx>
          <spPr>
            <a:ln>
              <a:prstDash val="solid"/>
            </a:ln>
          </spPr>
          <cat>
            <numRef>
              <f>'11_Dashboard'!$A$22:$A$24</f>
            </numRef>
          </cat>
          <val>
            <numRef>
              <f>'11_Dashboard'!$B$22:$B$24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Оплат / мес.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0" customWidth="1" style="24" min="1" max="1"/>
    <col width="14" customWidth="1" style="24" min="2" max="2"/>
    <col width="40" customWidth="1" style="24" min="3" max="3"/>
    <col width="20" customWidth="1" style="24" min="4" max="4"/>
    <col width="20" customWidth="1" style="24" min="5" max="5"/>
    <col width="20" customWidth="1" style="24" min="6" max="6"/>
  </cols>
  <sheetData>
    <row r="1">
      <c r="A1" s="32" t="inlineStr">
        <is>
          <t>Инвестиционная модель проекта «1С:Кабинет сотрудника» — инструкция</t>
        </is>
      </c>
    </row>
    <row r="3">
      <c r="A3" s="33" t="inlineStr">
        <is>
          <t>Назначение</t>
        </is>
      </c>
    </row>
    <row r="4" ht="35" customHeight="1" s="24">
      <c r="A4" t="inlineStr">
        <is>
          <t>Модель для защиты инвестиций: рынок (TAM–SAM–SOM), сегментация клиентской базы, план/факт продаж, P&amp;L и ДДС. Все вводимые параметры — только на листе «01_Исходные_данные».</t>
        </is>
      </c>
    </row>
    <row r="6">
      <c r="A6" s="33" t="inlineStr">
        <is>
          <t>Цветовая легенда</t>
        </is>
      </c>
    </row>
    <row r="7">
      <c r="A7" t="inlineStr">
        <is>
          <t>Зелёные ячейки — ввод данных</t>
        </is>
      </c>
      <c r="B7" s="34" t="n"/>
      <c r="C7" t="inlineStr">
        <is>
          <t>Меняйте только их</t>
        </is>
      </c>
    </row>
    <row r="8">
      <c r="A8" t="inlineStr">
        <is>
          <t>Серые ячейки — формулы</t>
        </is>
      </c>
      <c r="B8" s="35" t="n"/>
      <c r="C8" t="inlineStr">
        <is>
          <t>Не редактировать</t>
        </is>
      </c>
    </row>
    <row r="9">
      <c r="A9" t="inlineStr">
        <is>
          <t>Красные ячейки — контрольные показатели</t>
        </is>
      </c>
      <c r="B9" s="36" t="n"/>
      <c r="C9" t="inlineStr">
        <is>
          <t>KPI / точка безубыточности / алерты</t>
        </is>
      </c>
    </row>
    <row r="11">
      <c r="A11" s="33" t="inlineStr">
        <is>
          <t>Что вводится вручную</t>
        </is>
      </c>
    </row>
    <row r="12">
      <c r="A12" t="inlineStr">
        <is>
          <t>• Стоимость лицензии / закупка 1С</t>
        </is>
      </c>
    </row>
    <row r="13">
      <c r="A13" t="inlineStr">
        <is>
          <t>• Количество менеджеров и оклады</t>
        </is>
      </c>
    </row>
    <row r="14">
      <c r="A14" t="inlineStr">
        <is>
          <t>• Размер премии по сценариям</t>
        </is>
      </c>
    </row>
    <row r="15">
      <c r="A15" t="inlineStr">
        <is>
          <t>• Плановые конверсии воронки (гипотезы)</t>
        </is>
      </c>
    </row>
    <row r="16">
      <c r="A16" t="inlineStr">
        <is>
          <t>• Целевые продажи на менеджера (4 / 6 / 9)</t>
        </is>
      </c>
    </row>
    <row r="17">
      <c r="A17" t="inlineStr">
        <is>
          <t>• Маркетинг и прочие расходы</t>
        </is>
      </c>
    </row>
    <row r="18">
      <c r="A18" t="inlineStr">
        <is>
          <t>• Факт воронки: обработано → переговоры → демо → сделка → оплата</t>
        </is>
      </c>
    </row>
    <row r="19">
      <c r="A19" t="inlineStr">
        <is>
          <t>• Уточнение ССЧР / ОКВЭД в базе (если есть свежие данные)</t>
        </is>
      </c>
    </row>
    <row r="21">
      <c r="A21" s="33" t="inlineStr">
        <is>
          <t>Что считается автоматически</t>
        </is>
      </c>
    </row>
    <row r="22">
      <c r="A22" t="inlineStr">
        <is>
          <t>• Конверсии этапов и общая конверсия</t>
        </is>
      </c>
    </row>
    <row r="23">
      <c r="A23" t="inlineStr">
        <is>
          <t>• Продажи, выручка, маржа, премии</t>
        </is>
      </c>
    </row>
    <row r="24">
      <c r="A24" t="inlineStr">
        <is>
          <t>• Выполнение плана менеджеров</t>
        </is>
      </c>
    </row>
    <row r="25">
      <c r="A25" t="inlineStr">
        <is>
          <t>• P&amp;L и ДДС (помесячно и по сценариям)</t>
        </is>
      </c>
    </row>
    <row r="26">
      <c r="A26" t="inlineStr">
        <is>
          <t>• TAM / SAM / SOM</t>
        </is>
      </c>
    </row>
    <row r="27">
      <c r="A27" t="inlineStr">
        <is>
          <t>• Сегменты базы: ОКВЭД / 22+ / пересечение</t>
        </is>
      </c>
    </row>
    <row r="28">
      <c r="A28" t="inlineStr">
        <is>
          <t>• Горячие клиенты и потенциальная выручка</t>
        </is>
      </c>
    </row>
    <row r="29">
      <c r="A29" t="inlineStr">
        <is>
          <t>• Dashboard для инвестора</t>
        </is>
      </c>
    </row>
    <row r="31">
      <c r="A31" s="33" t="inlineStr">
        <is>
          <t>Порядок работы</t>
        </is>
      </c>
    </row>
    <row r="32">
      <c r="A32" t="inlineStr">
        <is>
          <t>1. Откройте «01_Исходные_данные» — проверьте тариф, оклады, премии, конверсии.</t>
        </is>
      </c>
    </row>
    <row r="33">
      <c r="A33" t="inlineStr">
        <is>
          <t>2. На «05_База_клиентов» фильтруйте приоритеты; горячие автоматически на листе «06_Горячие_клиенты».</t>
        </is>
      </c>
    </row>
    <row r="34">
      <c r="A34" t="inlineStr">
        <is>
          <t>3. Заполните факт на «08_Факт_воронка» (зелёные поля) — обновятся KPI, P&amp;L, ДДС, Dashboard.</t>
        </is>
      </c>
    </row>
    <row r="35">
      <c r="A35" t="inlineStr">
        <is>
          <t>4. Для инвестора используйте «11_Dashboard» и «03_TAM_SAM_SOM».</t>
        </is>
      </c>
    </row>
    <row r="36">
      <c r="A36" t="inlineStr">
        <is>
          <t>5. Не копируйте конверсии вручную на другие листы — они тянутся формулами.</t>
        </is>
      </c>
    </row>
    <row r="38">
      <c r="A38" s="33" t="inlineStr">
        <is>
          <t>Важно про качество данных</t>
        </is>
      </c>
    </row>
    <row r="39" ht="60" customHeight="1" s="24">
      <c r="A39" s="29" t="inlineStr">
        <is>
          <t>ССЧР подтянуты из открытых данных ФНС (набор 7707329152-sshr2019, данные за 2025). ОКВЭД — из выписок ЕГРЮЛ. Покрытие неполное: ИП и часть ЮЛ могут отсутствовать в открытых наборах. Не экстраполируйте подтверждённый сегмент на всю базу без оговорок.</t>
        </is>
      </c>
    </row>
    <row r="40"/>
    <row r="41"/>
  </sheetData>
  <mergeCells count="8">
    <mergeCell ref="A33:F33"/>
    <mergeCell ref="A36:F36"/>
    <mergeCell ref="A1:F1"/>
    <mergeCell ref="A32:F32"/>
    <mergeCell ref="A39:F41"/>
    <mergeCell ref="A34:F34"/>
    <mergeCell ref="A35:F3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4" customWidth="1" style="24" min="1" max="1"/>
    <col width="14" customWidth="1" style="24" min="2" max="2"/>
    <col width="10" customWidth="1" style="24" min="3" max="3"/>
    <col width="12" customWidth="1" style="24" min="4" max="4"/>
    <col width="28" customWidth="1" style="24" min="5" max="5"/>
    <col width="14" customWidth="1" style="24" min="6" max="6"/>
    <col width="14" customWidth="1" style="24" min="7" max="7"/>
    <col width="12" customWidth="1" style="24" min="8" max="8"/>
  </cols>
  <sheetData>
    <row r="1">
      <c r="A1" s="32" t="inlineStr">
        <is>
          <t>Dashboard инвестора — «1С:Кабинет сотрудника»</t>
        </is>
      </c>
    </row>
    <row r="2">
      <c r="A2" s="37" t="inlineStr">
        <is>
          <t>Все KPI связаны с исходными данными, базой, планом и фактом. Меняйте только зелёные поля на листе исходных данных и факта.</t>
        </is>
      </c>
    </row>
    <row r="4">
      <c r="A4" s="38" t="inlineStr">
        <is>
          <t>Показатель</t>
        </is>
      </c>
      <c r="B4" s="38" t="inlineStr">
        <is>
          <t>Значение</t>
        </is>
      </c>
      <c r="C4" s="38" t="inlineStr">
        <is>
          <t>Ед.</t>
        </is>
      </c>
      <c r="E4" s="33" t="inlineStr">
        <is>
          <t>Продажи и финансы (средний план / факт)</t>
        </is>
      </c>
    </row>
    <row r="5">
      <c r="A5" s="38" t="inlineStr">
        <is>
          <t>Уникальных клиентов</t>
        </is>
      </c>
      <c r="B5" s="39">
        <f>'01_Исходные_данные'!B41</f>
        <v/>
      </c>
      <c r="C5" s="38" t="inlineStr">
        <is>
          <t>шт.</t>
        </is>
      </c>
      <c r="E5" s="40" t="inlineStr">
        <is>
          <t>Показатель</t>
        </is>
      </c>
      <c r="F5" s="40" t="inlineStr">
        <is>
          <t>План (средний)</t>
        </is>
      </c>
      <c r="G5" s="40" t="inlineStr">
        <is>
          <t>Факт</t>
        </is>
      </c>
    </row>
    <row r="6">
      <c r="A6" t="inlineStr">
        <is>
          <t>С целевым ОКВЭД</t>
        </is>
      </c>
      <c r="B6" s="41">
        <f>'01_Исходные_данные'!B44</f>
        <v/>
      </c>
      <c r="C6" t="inlineStr">
        <is>
          <t>шт.</t>
        </is>
      </c>
      <c r="E6" t="inlineStr">
        <is>
          <t>План/факт оплат</t>
        </is>
      </c>
      <c r="F6" s="41">
        <f>'07_План_продаж'!C12</f>
        <v/>
      </c>
      <c r="G6" s="41">
        <f>'08_Факт_воронка'!H8</f>
        <v/>
      </c>
    </row>
    <row r="7">
      <c r="A7" t="inlineStr">
        <is>
          <t>С численностью 22+</t>
        </is>
      </c>
      <c r="B7" s="41">
        <f>'01_Исходные_данные'!B45</f>
        <v/>
      </c>
      <c r="C7" t="inlineStr">
        <is>
          <t>шт.</t>
        </is>
      </c>
      <c r="E7" t="inlineStr">
        <is>
          <t>Выручка</t>
        </is>
      </c>
      <c r="F7" s="41">
        <f>'07_План_продаж'!D12</f>
        <v/>
      </c>
      <c r="G7" s="41">
        <f>'08_Факт_воронка'!O8</f>
        <v/>
      </c>
    </row>
    <row r="8">
      <c r="A8" t="inlineStr">
        <is>
          <t>Горячие (приоритет №1 / 50+)</t>
        </is>
      </c>
      <c r="B8" s="42">
        <f>'01_Исходные_данные'!B47</f>
        <v/>
      </c>
      <c r="C8" t="inlineStr">
        <is>
          <t>шт.</t>
        </is>
      </c>
      <c r="E8" t="inlineStr">
        <is>
          <t>Маржа</t>
        </is>
      </c>
      <c r="F8" s="41">
        <f>'07_План_продаж'!E12</f>
        <v/>
      </c>
      <c r="G8" s="41">
        <f>'08_Факт_воронка'!P8</f>
        <v/>
      </c>
    </row>
    <row r="9">
      <c r="A9" t="inlineStr">
        <is>
          <t>Горячие на листе менеджеров</t>
        </is>
      </c>
      <c r="B9" s="41" t="n">
        <v>345</v>
      </c>
      <c r="C9" t="inlineStr">
        <is>
          <t>шт.</t>
        </is>
      </c>
      <c r="E9" t="inlineStr">
        <is>
          <t>Прибыль (P&amp;L)</t>
        </is>
      </c>
      <c r="F9" s="42">
        <f>'09_PnL'!C13</f>
        <v/>
      </c>
      <c r="G9" s="41">
        <f>'09_PnL'!E13</f>
        <v/>
      </c>
    </row>
    <row r="10">
      <c r="A10" t="inlineStr">
        <is>
          <t>Покрытие ССЧР</t>
        </is>
      </c>
      <c r="B10" s="43">
        <f>'01_Исходные_данные'!B51</f>
        <v/>
      </c>
      <c r="C10" t="inlineStr">
        <is>
          <t>%</t>
        </is>
      </c>
      <c r="E10" t="inlineStr">
        <is>
          <t>Выполнение плана</t>
        </is>
      </c>
      <c r="F10" t="inlineStr">
        <is>
          <t>—</t>
        </is>
      </c>
      <c r="G10" s="44">
        <f>'08_Факт_воронка'!N8</f>
        <v/>
      </c>
    </row>
    <row r="11">
      <c r="A11" t="inlineStr">
        <is>
          <t>Покрытие ОКВЭД</t>
        </is>
      </c>
      <c r="B11" s="43">
        <f>'01_Исходные_данные'!B52</f>
        <v/>
      </c>
      <c r="C11" t="inlineStr">
        <is>
          <t>%</t>
        </is>
      </c>
      <c r="E11" t="inlineStr">
        <is>
          <t>Общая конверсия факт</t>
        </is>
      </c>
      <c r="F11" t="inlineStr">
        <is>
          <t>—</t>
        </is>
      </c>
      <c r="G11" s="43">
        <f>'08_Факт_воронка'!M8</f>
        <v/>
      </c>
    </row>
    <row r="12">
      <c r="E12" t="inlineStr">
        <is>
          <t>Денежный поток</t>
        </is>
      </c>
      <c r="F12" s="41">
        <f>'10_ДДС'!H7</f>
        <v/>
      </c>
      <c r="G12" s="41">
        <f>'10_ДДС'!B31</f>
        <v/>
      </c>
    </row>
    <row r="13">
      <c r="A13" s="33" t="inlineStr">
        <is>
          <t>Рынок</t>
        </is>
      </c>
    </row>
    <row r="14">
      <c r="A14" t="inlineStr">
        <is>
          <t>TAM ₽/год</t>
        </is>
      </c>
      <c r="B14" s="41">
        <f>'03_TAM_SAM_SOM'!D5</f>
        <v/>
      </c>
      <c r="E14" s="33" t="inlineStr">
        <is>
          <t>Unit-экономика</t>
        </is>
      </c>
    </row>
    <row r="15">
      <c r="A15" t="inlineStr">
        <is>
          <t>SAM ₽/год</t>
        </is>
      </c>
      <c r="B15" s="41">
        <f>'03_TAM_SAM_SOM'!D6</f>
        <v/>
      </c>
      <c r="E15" t="inlineStr">
        <is>
          <t>Цена</t>
        </is>
      </c>
      <c r="F15" s="41">
        <f>'01_Исходные_данные'!B5</f>
        <v/>
      </c>
    </row>
    <row r="16">
      <c r="A16" t="inlineStr">
        <is>
          <t>SOM capacity (средний) ₽/год</t>
        </is>
      </c>
      <c r="B16" s="41">
        <f>'03_TAM_SAM_SOM'!E13</f>
        <v/>
      </c>
      <c r="E16" t="inlineStr">
        <is>
          <t>Маржа / клиент</t>
        </is>
      </c>
      <c r="F16" s="41">
        <f>'01_Исходные_данные'!B7</f>
        <v/>
      </c>
    </row>
    <row r="17">
      <c r="A17" t="inlineStr">
        <is>
          <t>Подтверждённая база ₽/год</t>
        </is>
      </c>
      <c r="B17" s="41">
        <f>'03_TAM_SAM_SOM'!D8</f>
        <v/>
      </c>
      <c r="E17" t="inlineStr">
        <is>
          <t>Маржинальность</t>
        </is>
      </c>
      <c r="F17" s="43">
        <f>'01_Исходные_данные'!B8</f>
        <v/>
      </c>
    </row>
    <row r="18">
      <c r="E18" t="inlineStr">
        <is>
          <t>Безубыточность, оплат/мес</t>
        </is>
      </c>
      <c r="F18" s="42">
        <f>'10_ДДС'!B10</f>
        <v/>
      </c>
    </row>
    <row r="19">
      <c r="E19" t="inlineStr">
        <is>
          <t>Средний чек горячих (по пакетам)</t>
        </is>
      </c>
      <c r="F19" s="42" t="n">
        <v>53464</v>
      </c>
    </row>
    <row r="20">
      <c r="A20" s="33" t="inlineStr">
        <is>
          <t>План команды по сценариям</t>
        </is>
      </c>
      <c r="E20" t="inlineStr">
        <is>
          <t>Заметка</t>
        </is>
      </c>
      <c r="F20" s="26" t="inlineStr">
        <is>
          <t>План 4/6/9 сейчас считает старт 3 360 ₽. Для защиты покажите также сценарий со средним чеком горячих.</t>
        </is>
      </c>
    </row>
    <row r="21">
      <c r="A21" s="38" t="inlineStr">
        <is>
          <t>Сценарий</t>
        </is>
      </c>
      <c r="B21" s="38" t="inlineStr">
        <is>
          <t>Продаж/мес</t>
        </is>
      </c>
      <c r="C21" s="38" t="inlineStr">
        <is>
          <t>Выручка</t>
        </is>
      </c>
      <c r="D21" s="38" t="inlineStr">
        <is>
          <t>Маржа</t>
        </is>
      </c>
      <c r="E21" s="38" t="inlineStr">
        <is>
          <t>Опер. результат</t>
        </is>
      </c>
    </row>
    <row r="22">
      <c r="A22" s="35">
        <f>'07_План_продаж'!A11</f>
        <v/>
      </c>
      <c r="B22" s="41">
        <f>'07_План_продаж'!C11</f>
        <v/>
      </c>
      <c r="C22" s="41">
        <f>'07_План_продаж'!D11</f>
        <v/>
      </c>
      <c r="D22" s="41">
        <f>'07_План_продаж'!E11</f>
        <v/>
      </c>
      <c r="E22" s="41">
        <f>'07_План_продаж'!H11</f>
        <v/>
      </c>
    </row>
    <row r="23">
      <c r="A23" s="35">
        <f>'07_План_продаж'!A12</f>
        <v/>
      </c>
      <c r="B23" s="41">
        <f>'07_План_продаж'!C12</f>
        <v/>
      </c>
      <c r="C23" s="41">
        <f>'07_План_продаж'!D12</f>
        <v/>
      </c>
      <c r="D23" s="41">
        <f>'07_План_продаж'!E12</f>
        <v/>
      </c>
      <c r="E23" s="41">
        <f>'07_План_продаж'!H12</f>
        <v/>
      </c>
    </row>
    <row r="24">
      <c r="A24" s="35">
        <f>'07_План_продаж'!A13</f>
        <v/>
      </c>
      <c r="B24" s="41">
        <f>'07_План_продаж'!C13</f>
        <v/>
      </c>
      <c r="C24" s="41">
        <f>'07_План_продаж'!D13</f>
        <v/>
      </c>
      <c r="D24" s="41">
        <f>'07_План_продаж'!E13</f>
        <v/>
      </c>
      <c r="E24" s="41">
        <f>'07_План_продаж'!H13</f>
        <v/>
      </c>
    </row>
    <row r="26">
      <c r="A26" s="33" t="inlineStr">
        <is>
          <t>Контроль качества модели</t>
        </is>
      </c>
    </row>
    <row r="27">
      <c r="A27" s="45" t="inlineStr">
        <is>
          <t>ССЧР обогащено у 1564 из 7318 уникальных ИНН; ОКВЭД — у 344. Для защиты используйте подтверждённый минимум и capacity-based SOM, пока SAM не заполнен федеральным срезом.</t>
        </is>
      </c>
    </row>
    <row r="28"/>
  </sheetData>
  <mergeCells count="2">
    <mergeCell ref="A27:H2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style="24" min="1" max="1"/>
    <col width="16" customWidth="1" style="24" min="2" max="2"/>
    <col width="14" customWidth="1" style="24" min="3" max="3"/>
    <col width="14" customWidth="1" style="24" min="4" max="4"/>
    <col width="10" customWidth="1" style="24" min="5" max="5"/>
    <col width="42" customWidth="1" style="24" min="6" max="6"/>
  </cols>
  <sheetData>
    <row r="1">
      <c r="A1" s="32" t="inlineStr">
        <is>
          <t>Исходные данные — единственная точка ввода параметров модели</t>
        </is>
      </c>
    </row>
    <row r="2">
      <c r="A2" s="37" t="inlineStr">
        <is>
          <t>Зелёные — ввод. Серые — формулы. Красные — контрольные. Любое изменение пересчитывает всю модель.</t>
        </is>
      </c>
    </row>
    <row r="4">
      <c r="A4" s="33" t="inlineStr">
        <is>
          <t>A. Продукт и unit-экономика</t>
        </is>
      </c>
    </row>
    <row r="5">
      <c r="A5" t="inlineStr">
        <is>
          <t>Цена годовой подписки (старт до 10)</t>
        </is>
      </c>
      <c r="B5" s="34" t="n">
        <v>3360</v>
      </c>
      <c r="C5" t="inlineStr">
        <is>
          <t>₽/год</t>
        </is>
      </c>
      <c r="D5" t="inlineStr">
        <is>
          <t>Розница; стартовый пакет</t>
        </is>
      </c>
    </row>
    <row r="6">
      <c r="A6" t="inlineStr">
        <is>
          <t>Закупка 1С (партнёрская)</t>
        </is>
      </c>
      <c r="B6" s="34" t="n">
        <v>1680</v>
      </c>
      <c r="C6" t="inlineStr">
        <is>
          <t>₽/год</t>
        </is>
      </c>
      <c r="D6" t="inlineStr">
        <is>
          <t>Дилерская цена</t>
        </is>
      </c>
    </row>
    <row r="7">
      <c r="A7" t="inlineStr">
        <is>
          <t>Маржинальный доход / клиент</t>
        </is>
      </c>
      <c r="B7" s="35">
        <f>B5-B6</f>
        <v/>
      </c>
      <c r="C7" t="inlineStr">
        <is>
          <t>₽/год</t>
        </is>
      </c>
      <c r="D7" t="inlineStr">
        <is>
          <t>Цена − закупка</t>
        </is>
      </c>
    </row>
    <row r="8">
      <c r="A8" t="inlineStr">
        <is>
          <t>Маржинальность до продажных расходов</t>
        </is>
      </c>
      <c r="B8" s="43">
        <f>IF(B5=0,0,B7/B5)</f>
        <v/>
      </c>
      <c r="C8" t="inlineStr">
        <is>
          <t>%</t>
        </is>
      </c>
      <c r="D8" t="inlineStr">
        <is>
          <t>Маржа / цена</t>
        </is>
      </c>
    </row>
    <row r="9">
      <c r="A9" t="inlineStr">
        <is>
          <t>Порог «горячий» по численности</t>
        </is>
      </c>
      <c r="B9" s="34" t="n">
        <v>22</v>
      </c>
      <c r="C9" t="inlineStr">
        <is>
          <t>чел.</t>
        </is>
      </c>
      <c r="D9" t="inlineStr">
        <is>
          <t>ОКВЭД + N+</t>
        </is>
      </c>
    </row>
    <row r="10">
      <c r="A10" t="inlineStr">
        <is>
          <t>Порог стратегический по численности</t>
        </is>
      </c>
      <c r="B10" s="34" t="n">
        <v>50</v>
      </c>
      <c r="C10" t="inlineStr">
        <is>
          <t>чел.</t>
        </is>
      </c>
      <c r="D10" t="inlineStr">
        <is>
          <t>50+ = горячий даже без ОКВЭД</t>
        </is>
      </c>
    </row>
    <row r="12">
      <c r="A12" s="33" t="inlineStr">
        <is>
          <t>B. Воронка и планы (гипотезы — не факт)</t>
        </is>
      </c>
    </row>
    <row r="13">
      <c r="A13" s="38" t="inlineStr">
        <is>
          <t>Показатель</t>
        </is>
      </c>
      <c r="B13" s="38" t="inlineStr">
        <is>
          <t>Малый</t>
        </is>
      </c>
      <c r="C13" s="38" t="inlineStr">
        <is>
          <t>Средний</t>
        </is>
      </c>
      <c r="D13" s="38" t="inlineStr">
        <is>
          <t>Большой</t>
        </is>
      </c>
      <c r="E13" s="38" t="inlineStr">
        <is>
          <t>Ед.</t>
        </is>
      </c>
      <c r="F13" s="38" t="inlineStr">
        <is>
          <t>Комментарий</t>
        </is>
      </c>
    </row>
    <row r="14">
      <c r="A14" t="inlineStr">
        <is>
          <t>Лиды / менеджер / месяц</t>
        </is>
      </c>
      <c r="B14" s="34" t="n">
        <v>150</v>
      </c>
      <c r="C14" s="34" t="n">
        <v>150</v>
      </c>
      <c r="D14" s="34" t="n">
        <v>150</v>
      </c>
      <c r="E14" t="inlineStr">
        <is>
          <t>шт.</t>
        </is>
      </c>
      <c r="F14" t="inlineStr">
        <is>
          <t>Гипотеза загрузки</t>
        </is>
      </c>
    </row>
    <row r="15">
      <c r="A15" t="inlineStr">
        <is>
          <t>Обработка → переговоры</t>
        </is>
      </c>
      <c r="B15" s="46" t="n">
        <v>0.25</v>
      </c>
      <c r="C15" s="46" t="n">
        <v>0.3</v>
      </c>
      <c r="D15" s="46" t="n">
        <v>0.35</v>
      </c>
      <c r="E15" t="inlineStr">
        <is>
          <t>%</t>
        </is>
      </c>
      <c r="F15" t="inlineStr">
        <is>
          <t>Гипотеза; факт — на листе воронки</t>
        </is>
      </c>
    </row>
    <row r="16">
      <c r="A16" t="inlineStr">
        <is>
          <t>Переговоры → демо</t>
        </is>
      </c>
      <c r="B16" s="46" t="n">
        <v>0.4</v>
      </c>
      <c r="C16" s="46" t="n">
        <v>0.45</v>
      </c>
      <c r="D16" s="46" t="n">
        <v>0.5</v>
      </c>
      <c r="E16" t="inlineStr">
        <is>
          <t>%</t>
        </is>
      </c>
      <c r="F16" t="inlineStr">
        <is>
          <t>Гипотеза</t>
        </is>
      </c>
    </row>
    <row r="17">
      <c r="A17" t="inlineStr">
        <is>
          <t>Демо → сделка</t>
        </is>
      </c>
      <c r="B17" s="46" t="n">
        <v>0.45</v>
      </c>
      <c r="C17" s="46" t="n">
        <v>0.5</v>
      </c>
      <c r="D17" s="46" t="n">
        <v>0.55</v>
      </c>
      <c r="E17" t="inlineStr">
        <is>
          <t>%</t>
        </is>
      </c>
      <c r="F17" t="inlineStr">
        <is>
          <t>Гипотеза</t>
        </is>
      </c>
    </row>
    <row r="18">
      <c r="A18" t="inlineStr">
        <is>
          <t>Сделка → оплата</t>
        </is>
      </c>
      <c r="B18" s="46" t="n">
        <v>0.8</v>
      </c>
      <c r="C18" s="46" t="n">
        <v>0.85</v>
      </c>
      <c r="D18" s="46" t="n">
        <v>0.9</v>
      </c>
      <c r="E18" t="inlineStr">
        <is>
          <t>%</t>
        </is>
      </c>
      <c r="F18" t="inlineStr">
        <is>
          <t>Гипотеза</t>
        </is>
      </c>
    </row>
    <row r="19">
      <c r="A19" t="inlineStr">
        <is>
          <t>Общая конверсия лид → оплата</t>
        </is>
      </c>
      <c r="B19" s="47">
        <f>B15*B16*B17*B18</f>
        <v/>
      </c>
      <c r="C19" s="47">
        <f>C15*C16*C17*C18</f>
        <v/>
      </c>
      <c r="D19" s="47">
        <f>D15*D16*D17*D18</f>
        <v/>
      </c>
      <c r="E19" t="inlineStr">
        <is>
          <t>%</t>
        </is>
      </c>
      <c r="F19" t="inlineStr">
        <is>
          <t>Автоматический расчёт</t>
        </is>
      </c>
    </row>
    <row r="20">
      <c r="A20" t="inlineStr">
        <is>
          <t>Целевые продажи / менеджер / месяц</t>
        </is>
      </c>
      <c r="B20" s="34" t="n">
        <v>4</v>
      </c>
      <c r="C20" s="34" t="n">
        <v>6</v>
      </c>
      <c r="D20" s="34" t="n">
        <v>9</v>
      </c>
      <c r="E20" t="inlineStr">
        <is>
          <t>шт.</t>
        </is>
      </c>
      <c r="F20" t="inlineStr">
        <is>
          <t>Коммерческий план 4/6/9</t>
        </is>
      </c>
    </row>
    <row r="22">
      <c r="A22" s="33" t="inlineStr">
        <is>
          <t>C. Премии (% от маржинального дохода)</t>
        </is>
      </c>
    </row>
    <row r="23">
      <c r="A23" s="38" t="inlineStr">
        <is>
          <t>Показатель</t>
        </is>
      </c>
      <c r="B23" s="38" t="inlineStr">
        <is>
          <t>Малый</t>
        </is>
      </c>
      <c r="C23" s="38" t="inlineStr">
        <is>
          <t>Средний</t>
        </is>
      </c>
      <c r="D23" s="38" t="inlineStr">
        <is>
          <t>Большой</t>
        </is>
      </c>
      <c r="E23" s="38" t="inlineStr">
        <is>
          <t>Ед.</t>
        </is>
      </c>
      <c r="F23" s="38" t="inlineStr">
        <is>
          <t>Комментарий</t>
        </is>
      </c>
    </row>
    <row r="24">
      <c r="A24" t="inlineStr">
        <is>
          <t>Премия от маржи</t>
        </is>
      </c>
      <c r="B24" s="46" t="n">
        <v>0.2</v>
      </c>
      <c r="C24" s="46" t="n">
        <v>0.3</v>
      </c>
      <c r="D24" s="46" t="n">
        <v>0.35</v>
      </c>
      <c r="E24" t="inlineStr">
        <is>
          <t>%</t>
        </is>
      </c>
      <c r="F24" t="inlineStr">
        <is>
          <t>От маржинального дохода, не от выручки</t>
        </is>
      </c>
    </row>
    <row r="26">
      <c r="A26" s="33" t="inlineStr">
        <is>
          <t>D. Команда и расходы</t>
        </is>
      </c>
    </row>
    <row r="27">
      <c r="A27" s="38" t="inlineStr">
        <is>
          <t>Менеджер</t>
        </is>
      </c>
      <c r="B27" s="38" t="inlineStr">
        <is>
          <t>Оклад ₽/мес.</t>
        </is>
      </c>
      <c r="C27" s="38" t="inlineStr">
        <is>
          <t>Активен</t>
        </is>
      </c>
      <c r="D27" s="38" t="inlineStr">
        <is>
          <t>Примечание</t>
        </is>
      </c>
    </row>
    <row r="28">
      <c r="A28" t="inlineStr">
        <is>
          <t>Оглоблина</t>
        </is>
      </c>
      <c r="B28" s="48" t="n">
        <v>50400</v>
      </c>
      <c r="C28" s="34" t="inlineStr">
        <is>
          <t>Да</t>
        </is>
      </c>
    </row>
    <row r="29">
      <c r="A29" t="inlineStr">
        <is>
          <t>Юнусова</t>
        </is>
      </c>
      <c r="B29" s="48" t="n">
        <v>50400</v>
      </c>
      <c r="C29" s="34" t="inlineStr">
        <is>
          <t>Да</t>
        </is>
      </c>
    </row>
    <row r="30">
      <c r="A30" t="inlineStr">
        <is>
          <t>Кургузов</t>
        </is>
      </c>
      <c r="B30" s="48" t="n">
        <v>51200</v>
      </c>
      <c r="C30" s="34" t="inlineStr">
        <is>
          <t>Да</t>
        </is>
      </c>
    </row>
    <row r="31">
      <c r="A31" t="inlineStr">
        <is>
          <t>Количество активных менеджеров</t>
        </is>
      </c>
      <c r="B31" s="36">
        <f>COUNTIF(C28:C30,"Да")</f>
        <v/>
      </c>
    </row>
    <row r="32">
      <c r="A32" t="inlineStr">
        <is>
          <t>Сумма окладов активных</t>
        </is>
      </c>
      <c r="B32" s="41">
        <f>SUMIF(C28:C30,"Да",B28:B30)</f>
        <v/>
      </c>
    </row>
    <row r="33">
      <c r="A33" t="inlineStr">
        <is>
          <t>Маркетинг и реклама, ₽/мес.</t>
        </is>
      </c>
      <c r="B33" s="34" t="n">
        <v>0</v>
      </c>
    </row>
    <row r="34">
      <c r="A34" t="inlineStr">
        <is>
          <t>Техподдержка / сопровождение, ₽/мес.</t>
        </is>
      </c>
      <c r="B34" s="34" t="n">
        <v>0</v>
      </c>
    </row>
    <row r="35">
      <c r="A35" t="inlineStr">
        <is>
          <t>Прочие расходы, ₽/мес.</t>
        </is>
      </c>
      <c r="B35" s="34" t="n">
        <v>0</v>
      </c>
    </row>
    <row r="37">
      <c r="A37" s="33" t="inlineStr">
        <is>
          <t>E. Рынок и качество клиентской базы (автоиз базы + ручные рыночные вводы)</t>
        </is>
      </c>
    </row>
    <row r="38">
      <c r="A38" s="38" t="inlineStr">
        <is>
          <t>Показатель</t>
        </is>
      </c>
      <c r="B38" s="38" t="inlineStr">
        <is>
          <t>Значение</t>
        </is>
      </c>
      <c r="C38" s="38" t="inlineStr">
        <is>
          <t>Ед.</t>
        </is>
      </c>
      <c r="D38" s="38" t="inlineStr">
        <is>
          <t>Источник / статус</t>
        </is>
      </c>
    </row>
    <row r="39">
      <c r="A39" t="inlineStr">
        <is>
          <t>Все организации РФ (ориентир)</t>
        </is>
      </c>
      <c r="B39" s="48" t="n">
        <v>3139000</v>
      </c>
      <c r="C39" t="inlineStr">
        <is>
          <t>шт.</t>
        </is>
      </c>
      <c r="D39" t="inlineStr">
        <is>
          <t>Верхняя граница; НЕ целевой TAM продукта</t>
        </is>
      </c>
    </row>
    <row r="40">
      <c r="A40" t="inlineStr">
        <is>
          <t>Записей с ИНН в нашей базе</t>
        </is>
      </c>
      <c r="B40" s="41" t="n">
        <v>7944</v>
      </c>
      <c r="C40" t="inlineStr">
        <is>
          <t>шт.</t>
        </is>
      </c>
      <c r="D40" t="inlineStr">
        <is>
          <t>Факт базы</t>
        </is>
      </c>
    </row>
    <row r="41">
      <c r="A41" t="inlineStr">
        <is>
          <t>Уникальных ИНН</t>
        </is>
      </c>
      <c r="B41" s="41" t="n">
        <v>7318</v>
      </c>
      <c r="C41" t="inlineStr">
        <is>
          <t>шт.</t>
        </is>
      </c>
      <c r="D41" t="inlineStr">
        <is>
          <t>Дедупликация</t>
        </is>
      </c>
    </row>
    <row r="42">
      <c r="A42" t="inlineStr">
        <is>
          <t>Уникальных ИНН с ССЧР</t>
        </is>
      </c>
      <c r="B42" s="41" t="n">
        <v>1564</v>
      </c>
      <c r="C42" t="inlineStr">
        <is>
          <t>шт.</t>
        </is>
      </c>
      <c r="D42" t="inlineStr">
        <is>
          <t>ФНС открытые данные</t>
        </is>
      </c>
    </row>
    <row r="43">
      <c r="A43" t="inlineStr">
        <is>
          <t>Уникальных ИНН с ОКВЭД</t>
        </is>
      </c>
      <c r="B43" s="41" t="n">
        <v>344</v>
      </c>
      <c r="C43" t="inlineStr">
        <is>
          <t>шт.</t>
        </is>
      </c>
      <c r="D43" t="inlineStr">
        <is>
          <t>ЕГРЮЛ</t>
        </is>
      </c>
    </row>
    <row r="44">
      <c r="A44" t="inlineStr">
        <is>
          <t>Целевой ОКВЭД (подтверждено)</t>
        </is>
      </c>
      <c r="B44" s="41" t="n">
        <v>341</v>
      </c>
      <c r="C44" t="inlineStr">
        <is>
          <t>шт.</t>
        </is>
      </c>
      <c r="D44" t="inlineStr">
        <is>
          <t>По списку ICP</t>
        </is>
      </c>
    </row>
    <row r="45">
      <c r="A45" t="inlineStr">
        <is>
          <t>Численность ≥22</t>
        </is>
      </c>
      <c r="B45" s="41" t="n">
        <v>351</v>
      </c>
      <c r="C45" t="inlineStr">
        <is>
          <t>шт.</t>
        </is>
      </c>
      <c r="D45" t="inlineStr">
        <is>
          <t>Порог из B9</t>
        </is>
      </c>
    </row>
    <row r="46">
      <c r="A46" t="inlineStr">
        <is>
          <t>Численность ≥50</t>
        </is>
      </c>
      <c r="B46" s="41" t="n">
        <v>164</v>
      </c>
      <c r="C46" t="inlineStr">
        <is>
          <t>шт.</t>
        </is>
      </c>
      <c r="D46" t="inlineStr">
        <is>
          <t>Порог из B10</t>
        </is>
      </c>
    </row>
    <row r="47">
      <c r="A47" t="inlineStr">
        <is>
          <t>Горячие к обработке (ОКВЭД+22+ или 50+)</t>
        </is>
      </c>
      <c r="B47" s="42" t="n">
        <v>345</v>
      </c>
      <c r="C47" t="inlineStr">
        <is>
          <t>шт.</t>
        </is>
      </c>
      <c r="D47" t="inlineStr">
        <is>
          <t>Лист «Горячие клиенты»</t>
        </is>
      </c>
    </row>
    <row r="48">
      <c r="A48" t="inlineStr">
        <is>
          <t>Только целевой ОКВЭД (без 22+)</t>
        </is>
      </c>
      <c r="B48" s="41" t="n">
        <v>0</v>
      </c>
      <c r="C48" t="inlineStr">
        <is>
          <t>шт.</t>
        </is>
      </c>
      <c r="D48" t="inlineStr">
        <is>
          <t>Сегмент 2</t>
        </is>
      </c>
    </row>
    <row r="49">
      <c r="A49" t="inlineStr">
        <is>
          <t>Только 22+ без целевого ОКВЭД</t>
        </is>
      </c>
      <c r="B49" s="41" t="n">
        <v>6</v>
      </c>
      <c r="C49" t="inlineStr">
        <is>
          <t>шт.</t>
        </is>
      </c>
      <c r="D49" t="inlineStr">
        <is>
          <t>Сегмент 3</t>
        </is>
      </c>
    </row>
    <row r="50">
      <c r="A50" t="inlineStr">
        <is>
          <t>ИТОГО подтверждённая целевая база</t>
        </is>
      </c>
      <c r="B50" s="42" t="n">
        <v>351</v>
      </c>
      <c r="C50" t="inlineStr">
        <is>
          <t>шт.</t>
        </is>
      </c>
      <c r="D50" t="inlineStr">
        <is>
          <t>Горячие ∪ сегмент2 ∪ сегмент3</t>
        </is>
      </c>
    </row>
    <row r="51">
      <c r="A51" t="inlineStr">
        <is>
          <t>Покрытие ССЧР</t>
        </is>
      </c>
      <c r="B51" s="47">
        <f>IF(B41=0,0,B42/B41)</f>
        <v/>
      </c>
      <c r="C51" t="inlineStr">
        <is>
          <t>доля</t>
        </is>
      </c>
      <c r="D51" t="inlineStr">
        <is>
          <t>ССЧР / уникальные ИНН</t>
        </is>
      </c>
    </row>
    <row r="52">
      <c r="A52" t="inlineStr">
        <is>
          <t>Покрытие ОКВЭД</t>
        </is>
      </c>
      <c r="B52" s="47">
        <f>IF(B41=0,0,B43/B41)</f>
        <v/>
      </c>
      <c r="C52" t="inlineStr">
        <is>
          <t>доля</t>
        </is>
      </c>
      <c r="D52" t="inlineStr">
        <is>
          <t>ОКВЭД / уникальные ИНН</t>
        </is>
      </c>
    </row>
    <row r="53">
      <c r="A53" t="inlineStr">
        <is>
          <t>SAM: компании РФ с целевыми ОКВЭД</t>
        </is>
      </c>
      <c r="B53" s="34" t="inlineStr"/>
      <c r="C53" t="inlineStr">
        <is>
          <t>шт.</t>
        </is>
      </c>
      <c r="D53" t="inlineStr">
        <is>
          <t>Введите после федерального среза</t>
        </is>
      </c>
    </row>
    <row r="54">
      <c r="A54" t="inlineStr">
        <is>
          <t>SAM: целевые ОКВЭД + 22+</t>
        </is>
      </c>
      <c r="B54" s="34" t="inlineStr"/>
      <c r="C54" t="inlineStr">
        <is>
          <t>шт.</t>
        </is>
      </c>
      <c r="D54" t="inlineStr">
        <is>
          <t>Введите после cross-join</t>
        </is>
      </c>
    </row>
    <row r="56">
      <c r="A56" s="33" t="inlineStr">
        <is>
          <t>F. Справочник целевых ОКВЭД (ICP)</t>
        </is>
      </c>
    </row>
    <row r="57">
      <c r="A57" s="38" t="inlineStr">
        <is>
          <t>Префикс</t>
        </is>
      </c>
      <c r="B57" s="38" t="inlineStr">
        <is>
          <t>Сегмент</t>
        </is>
      </c>
    </row>
    <row r="58">
      <c r="A58" s="34" t="inlineStr">
        <is>
          <t>45</t>
        </is>
      </c>
      <c r="B58" t="inlineStr">
        <is>
          <t>G — торговля авто</t>
        </is>
      </c>
    </row>
    <row r="59">
      <c r="A59" s="34" t="inlineStr">
        <is>
          <t>46</t>
        </is>
      </c>
      <c r="B59" t="inlineStr">
        <is>
          <t>G — оптовая торговля</t>
        </is>
      </c>
    </row>
    <row r="60">
      <c r="A60" s="34" t="inlineStr">
        <is>
          <t>47</t>
        </is>
      </c>
      <c r="B60" t="inlineStr">
        <is>
          <t>G — розничная торговля</t>
        </is>
      </c>
    </row>
    <row r="61">
      <c r="A61" s="34" t="inlineStr">
        <is>
          <t>10</t>
        </is>
      </c>
      <c r="B61" t="inlineStr">
        <is>
          <t>C — пищевое производство</t>
        </is>
      </c>
    </row>
    <row r="62">
      <c r="A62" s="34" t="inlineStr">
        <is>
          <t>11</t>
        </is>
      </c>
      <c r="B62" t="inlineStr">
        <is>
          <t>C — напитки</t>
        </is>
      </c>
    </row>
    <row r="63">
      <c r="A63" s="34" t="inlineStr">
        <is>
          <t>12</t>
        </is>
      </c>
      <c r="B63" t="inlineStr">
        <is>
          <t>C — табак</t>
        </is>
      </c>
    </row>
    <row r="64">
      <c r="A64" s="34" t="inlineStr">
        <is>
          <t>13</t>
        </is>
      </c>
      <c r="B64" t="inlineStr">
        <is>
          <t>C — текстиль</t>
        </is>
      </c>
    </row>
    <row r="65">
      <c r="A65" s="34" t="inlineStr">
        <is>
          <t>14</t>
        </is>
      </c>
      <c r="B65" t="inlineStr">
        <is>
          <t>C — одежда</t>
        </is>
      </c>
    </row>
    <row r="66">
      <c r="A66" s="34" t="inlineStr">
        <is>
          <t>15</t>
        </is>
      </c>
      <c r="B66" t="inlineStr">
        <is>
          <t>C — кожа</t>
        </is>
      </c>
    </row>
    <row r="67">
      <c r="A67" s="34" t="inlineStr">
        <is>
          <t>16</t>
        </is>
      </c>
      <c r="B67" t="inlineStr">
        <is>
          <t>C — деревообработка</t>
        </is>
      </c>
    </row>
    <row r="68">
      <c r="A68" s="34" t="inlineStr">
        <is>
          <t>17</t>
        </is>
      </c>
      <c r="B68" t="inlineStr">
        <is>
          <t>C — бумага</t>
        </is>
      </c>
    </row>
    <row r="69">
      <c r="A69" s="34" t="inlineStr">
        <is>
          <t>18</t>
        </is>
      </c>
      <c r="B69" t="inlineStr">
        <is>
          <t>C — полиграфия</t>
        </is>
      </c>
    </row>
    <row r="70">
      <c r="A70" s="34" t="inlineStr">
        <is>
          <t>19</t>
        </is>
      </c>
      <c r="B70" t="inlineStr">
        <is>
          <t>C — кокс/нефтепродукты</t>
        </is>
      </c>
    </row>
    <row r="71">
      <c r="A71" s="34" t="inlineStr">
        <is>
          <t>20</t>
        </is>
      </c>
      <c r="B71" t="inlineStr">
        <is>
          <t>C — химия</t>
        </is>
      </c>
    </row>
    <row r="72">
      <c r="A72" s="34" t="inlineStr">
        <is>
          <t>21</t>
        </is>
      </c>
      <c r="B72" t="inlineStr">
        <is>
          <t>C — лекарства</t>
        </is>
      </c>
    </row>
    <row r="73">
      <c r="A73" s="34" t="inlineStr">
        <is>
          <t>22</t>
        </is>
      </c>
      <c r="B73" t="inlineStr">
        <is>
          <t>C — резина/пластик</t>
        </is>
      </c>
    </row>
    <row r="74">
      <c r="A74" s="34" t="inlineStr">
        <is>
          <t>23</t>
        </is>
      </c>
      <c r="B74" t="inlineStr">
        <is>
          <t>C — неметаллы</t>
        </is>
      </c>
    </row>
    <row r="75">
      <c r="A75" s="34" t="inlineStr">
        <is>
          <t>24</t>
        </is>
      </c>
      <c r="B75" t="inlineStr">
        <is>
          <t>C — металлургия</t>
        </is>
      </c>
    </row>
    <row r="76">
      <c r="A76" s="34" t="inlineStr">
        <is>
          <t>25</t>
        </is>
      </c>
      <c r="B76" t="inlineStr">
        <is>
          <t>C — металлоизделия</t>
        </is>
      </c>
    </row>
    <row r="77">
      <c r="A77" s="34" t="inlineStr">
        <is>
          <t>26</t>
        </is>
      </c>
      <c r="B77" t="inlineStr">
        <is>
          <t>C — компьютеры/электроника</t>
        </is>
      </c>
    </row>
    <row r="78">
      <c r="A78" s="34" t="inlineStr">
        <is>
          <t>27</t>
        </is>
      </c>
      <c r="B78" t="inlineStr">
        <is>
          <t>C — электрооборудование</t>
        </is>
      </c>
    </row>
    <row r="79">
      <c r="A79" s="34" t="inlineStr">
        <is>
          <t>28</t>
        </is>
      </c>
      <c r="B79" t="inlineStr">
        <is>
          <t>C — машины</t>
        </is>
      </c>
    </row>
    <row r="80">
      <c r="A80" s="34" t="inlineStr">
        <is>
          <t>29</t>
        </is>
      </c>
      <c r="B80" t="inlineStr">
        <is>
          <t>C — автотранспортные средства</t>
        </is>
      </c>
    </row>
    <row r="81">
      <c r="A81" s="34" t="inlineStr">
        <is>
          <t>30</t>
        </is>
      </c>
      <c r="B81" t="inlineStr">
        <is>
          <t>C — прочий транспорт</t>
        </is>
      </c>
    </row>
    <row r="82">
      <c r="A82" s="34" t="inlineStr">
        <is>
          <t>31</t>
        </is>
      </c>
      <c r="B82" t="inlineStr">
        <is>
          <t>C — мебель</t>
        </is>
      </c>
    </row>
    <row r="83">
      <c r="A83" s="34" t="inlineStr">
        <is>
          <t>32</t>
        </is>
      </c>
      <c r="B83" t="inlineStr">
        <is>
          <t>C — прочие готовые изделия</t>
        </is>
      </c>
    </row>
    <row r="84">
      <c r="A84" s="34" t="inlineStr">
        <is>
          <t>33</t>
        </is>
      </c>
      <c r="B84" t="inlineStr">
        <is>
          <t>C — ремонт/монтаж машин</t>
        </is>
      </c>
    </row>
    <row r="85">
      <c r="A85" s="34" t="inlineStr">
        <is>
          <t>41</t>
        </is>
      </c>
      <c r="B85" t="inlineStr">
        <is>
          <t>F — строительство зданий</t>
        </is>
      </c>
    </row>
    <row r="86">
      <c r="A86" s="34" t="inlineStr">
        <is>
          <t>42</t>
        </is>
      </c>
      <c r="B86" t="inlineStr">
        <is>
          <t>F — инженерия</t>
        </is>
      </c>
    </row>
    <row r="87">
      <c r="A87" s="34" t="inlineStr">
        <is>
          <t>43</t>
        </is>
      </c>
      <c r="B87" t="inlineStr">
        <is>
          <t>F — строительные работы</t>
        </is>
      </c>
    </row>
    <row r="88">
      <c r="A88" s="34" t="inlineStr">
        <is>
          <t>49</t>
        </is>
      </c>
      <c r="B88" t="inlineStr">
        <is>
          <t>H — сухопутный транспорт</t>
        </is>
      </c>
    </row>
    <row r="89">
      <c r="A89" s="34" t="inlineStr">
        <is>
          <t>52</t>
        </is>
      </c>
      <c r="B89" t="inlineStr">
        <is>
          <t>H — складирование/логистика</t>
        </is>
      </c>
    </row>
    <row r="90">
      <c r="A90" s="34" t="inlineStr">
        <is>
          <t>55</t>
        </is>
      </c>
      <c r="B90" t="inlineStr">
        <is>
          <t>I — гостиницы</t>
        </is>
      </c>
    </row>
    <row r="91">
      <c r="A91" s="34" t="inlineStr">
        <is>
          <t>56</t>
        </is>
      </c>
      <c r="B91" t="inlineStr">
        <is>
          <t>I — общепит</t>
        </is>
      </c>
    </row>
    <row r="92">
      <c r="A92" s="34" t="inlineStr">
        <is>
          <t>68</t>
        </is>
      </c>
      <c r="B92" t="inlineStr">
        <is>
          <t>L — недвижимость</t>
        </is>
      </c>
    </row>
    <row r="93">
      <c r="A93" s="34" t="inlineStr">
        <is>
          <t>78</t>
        </is>
      </c>
      <c r="B93" t="inlineStr">
        <is>
          <t>N — подбор персонала</t>
        </is>
      </c>
    </row>
    <row r="94">
      <c r="A94" s="34" t="inlineStr">
        <is>
          <t>80</t>
        </is>
      </c>
      <c r="B94" t="inlineStr">
        <is>
          <t>N — охрана</t>
        </is>
      </c>
    </row>
    <row r="95">
      <c r="A95" s="34" t="inlineStr">
        <is>
          <t>81</t>
        </is>
      </c>
      <c r="B95" t="inlineStr">
        <is>
          <t>N — обслуживание зданий</t>
        </is>
      </c>
    </row>
    <row r="96">
      <c r="A96" s="34" t="inlineStr">
        <is>
          <t>82</t>
        </is>
      </c>
      <c r="B96" t="inlineStr">
        <is>
          <t>N — административные услуги</t>
        </is>
      </c>
    </row>
    <row r="97">
      <c r="A97" s="34" t="inlineStr">
        <is>
          <t>64</t>
        </is>
      </c>
      <c r="B97" t="inlineStr">
        <is>
          <t>K — финансы</t>
        </is>
      </c>
    </row>
    <row r="98">
      <c r="A98" s="34" t="inlineStr">
        <is>
          <t>65</t>
        </is>
      </c>
      <c r="B98" t="inlineStr">
        <is>
          <t>K — страхование</t>
        </is>
      </c>
    </row>
    <row r="99">
      <c r="A99" s="34" t="inlineStr">
        <is>
          <t>66</t>
        </is>
      </c>
      <c r="B99" t="inlineStr">
        <is>
          <t>K — вспомогательные финансы</t>
        </is>
      </c>
    </row>
    <row r="100">
      <c r="A100" s="34" t="inlineStr">
        <is>
          <t>61</t>
        </is>
      </c>
      <c r="B100" t="inlineStr">
        <is>
          <t>J — телеком</t>
        </is>
      </c>
    </row>
    <row r="101">
      <c r="A101" s="34" t="inlineStr">
        <is>
          <t>62</t>
        </is>
      </c>
      <c r="B101" t="inlineStr">
        <is>
          <t>J — IT</t>
        </is>
      </c>
    </row>
    <row r="102">
      <c r="A102" s="34" t="inlineStr">
        <is>
          <t>63</t>
        </is>
      </c>
      <c r="B102" t="inlineStr">
        <is>
          <t>J — информационные услуги</t>
        </is>
      </c>
    </row>
    <row r="103">
      <c r="A103" s="34" t="inlineStr">
        <is>
          <t>85</t>
        </is>
      </c>
      <c r="B103" t="inlineStr">
        <is>
          <t>P — образование</t>
        </is>
      </c>
    </row>
    <row r="104">
      <c r="A104" s="34" t="inlineStr">
        <is>
          <t>86</t>
        </is>
      </c>
      <c r="B104" t="inlineStr">
        <is>
          <t>Q — здравоохранение</t>
        </is>
      </c>
    </row>
  </sheetData>
  <mergeCells count="1">
    <mergeCell ref="A1:F1"/>
  </mergeCells>
  <conditionalFormatting sqref="B15:D18">
    <cfRule type="cellIs" priority="1" operator="greaterThan" dxfId="2">
      <formula>0.95</formula>
    </cfRule>
    <cfRule type="cellIs" priority="2" operator="lessThan" dxfId="3">
      <formula>0.02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14" customWidth="1" style="24" min="2" max="2"/>
    <col width="14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</cols>
  <sheetData>
    <row r="1">
      <c r="A1" s="32" t="inlineStr">
        <is>
          <t>Тарифы «1С:Кабинет сотрудника»</t>
        </is>
      </c>
    </row>
    <row r="2">
      <c r="A2" t="inlineStr">
        <is>
          <t>Источник: прайс партнёра (розница / дилер). Стартовый оффер модели — пакет до 10.</t>
        </is>
      </c>
    </row>
    <row r="4">
      <c r="A4" s="38" t="inlineStr">
        <is>
          <t>Пакет</t>
        </is>
      </c>
      <c r="B4" s="38" t="inlineStr">
        <is>
          <t>Сотрудников до</t>
        </is>
      </c>
      <c r="C4" s="38" t="inlineStr">
        <is>
          <t>Цена ₽/мес.</t>
        </is>
      </c>
      <c r="D4" s="38" t="inlineStr">
        <is>
          <t>Цена ₽/год</t>
        </is>
      </c>
      <c r="E4" s="38" t="inlineStr">
        <is>
          <t>Закупка ₽/год</t>
        </is>
      </c>
      <c r="F4" s="38" t="inlineStr">
        <is>
          <t>Маржа ₽/год</t>
        </is>
      </c>
      <c r="G4" s="38" t="inlineStr">
        <is>
          <t>Маржинальность</t>
        </is>
      </c>
      <c r="H4" s="38" t="inlineStr">
        <is>
          <t>Стартовый?</t>
        </is>
      </c>
    </row>
    <row r="5">
      <c r="A5" s="34" t="inlineStr">
        <is>
          <t>До 10</t>
        </is>
      </c>
      <c r="B5" s="34" t="n">
        <v>10</v>
      </c>
      <c r="C5" s="48" t="n">
        <v>280</v>
      </c>
      <c r="D5" s="48" t="n">
        <v>3360</v>
      </c>
      <c r="E5" s="48" t="n">
        <v>1680</v>
      </c>
      <c r="F5" s="41">
        <f>D5-E5</f>
        <v/>
      </c>
      <c r="G5" s="43">
        <f>IF(D5=0,0,F5/D5)</f>
        <v/>
      </c>
      <c r="H5" t="inlineStr">
        <is>
          <t>Да</t>
        </is>
      </c>
    </row>
    <row r="6">
      <c r="A6" s="34" t="inlineStr">
        <is>
          <t>До 25</t>
        </is>
      </c>
      <c r="B6" s="34" t="n">
        <v>25</v>
      </c>
      <c r="C6" s="48" t="n">
        <v>700</v>
      </c>
      <c r="D6" s="48" t="n">
        <v>8400</v>
      </c>
      <c r="E6" s="48" t="n">
        <v>4200</v>
      </c>
      <c r="F6" s="41">
        <f>D6-E6</f>
        <v/>
      </c>
      <c r="G6" s="43">
        <f>IF(D6=0,0,F6/D6)</f>
        <v/>
      </c>
      <c r="H6" t="inlineStr">
        <is>
          <t>Нет</t>
        </is>
      </c>
    </row>
    <row r="7">
      <c r="A7" s="34" t="inlineStr">
        <is>
          <t>До 50</t>
        </is>
      </c>
      <c r="B7" s="34" t="n">
        <v>50</v>
      </c>
      <c r="C7" s="48" t="n">
        <v>1400</v>
      </c>
      <c r="D7" s="48" t="n">
        <v>16800</v>
      </c>
      <c r="E7" s="48" t="n">
        <v>8400</v>
      </c>
      <c r="F7" s="41">
        <f>D7-E7</f>
        <v/>
      </c>
      <c r="G7" s="43">
        <f>IF(D7=0,0,F7/D7)</f>
        <v/>
      </c>
      <c r="H7" t="inlineStr">
        <is>
          <t>Нет</t>
        </is>
      </c>
    </row>
    <row r="8">
      <c r="A8" s="34" t="inlineStr">
        <is>
          <t>До 100</t>
        </is>
      </c>
      <c r="B8" s="34" t="n">
        <v>100</v>
      </c>
      <c r="C8" s="48" t="n">
        <v>2800</v>
      </c>
      <c r="D8" s="48" t="n">
        <v>33600</v>
      </c>
      <c r="E8" s="48" t="n">
        <v>16800</v>
      </c>
      <c r="F8" s="41">
        <f>D8-E8</f>
        <v/>
      </c>
      <c r="G8" s="43">
        <f>IF(D8=0,0,F8/D8)</f>
        <v/>
      </c>
      <c r="H8" t="inlineStr">
        <is>
          <t>Нет</t>
        </is>
      </c>
    </row>
    <row r="9">
      <c r="A9" s="34" t="inlineStr">
        <is>
          <t>До 200</t>
        </is>
      </c>
      <c r="B9" s="34" t="n">
        <v>200</v>
      </c>
      <c r="C9" s="48" t="n">
        <v>5200</v>
      </c>
      <c r="D9" s="48" t="n">
        <v>62400</v>
      </c>
      <c r="E9" s="48" t="n">
        <v>31200</v>
      </c>
      <c r="F9" s="41">
        <f>D9-E9</f>
        <v/>
      </c>
      <c r="G9" s="43">
        <f>IF(D9=0,0,F9/D9)</f>
        <v/>
      </c>
      <c r="H9" t="inlineStr">
        <is>
          <t>Нет</t>
        </is>
      </c>
    </row>
    <row r="10">
      <c r="A10" s="34" t="inlineStr">
        <is>
          <t>До 500</t>
        </is>
      </c>
      <c r="B10" s="34" t="n">
        <v>500</v>
      </c>
      <c r="C10" s="48" t="n">
        <v>12000</v>
      </c>
      <c r="D10" s="48" t="n">
        <v>144000</v>
      </c>
      <c r="E10" s="48" t="n">
        <v>72000</v>
      </c>
      <c r="F10" s="41">
        <f>D10-E10</f>
        <v/>
      </c>
      <c r="G10" s="43">
        <f>IF(D10=0,0,F10/D10)</f>
        <v/>
      </c>
      <c r="H10" t="inlineStr">
        <is>
          <t>Нет</t>
        </is>
      </c>
    </row>
    <row r="11">
      <c r="A11" s="34" t="inlineStr">
        <is>
          <t>До 2000</t>
        </is>
      </c>
      <c r="B11" s="34" t="n">
        <v>2000</v>
      </c>
      <c r="C11" s="48" t="n">
        <v>48000</v>
      </c>
      <c r="D11" s="48" t="n">
        <v>528000</v>
      </c>
      <c r="E11" s="48" t="n">
        <v>264000</v>
      </c>
      <c r="F11" s="41">
        <f>D11-E11</f>
        <v/>
      </c>
      <c r="G11" s="43">
        <f>IF(D11=0,0,F11/D11)</f>
        <v/>
      </c>
      <c r="H11" t="inlineStr">
        <is>
          <t>Нет</t>
        </is>
      </c>
    </row>
    <row r="12">
      <c r="A12" s="34" t="inlineStr">
        <is>
          <t>До 5000</t>
        </is>
      </c>
      <c r="B12" s="34" t="n">
        <v>5000</v>
      </c>
      <c r="C12" s="48" t="n">
        <v>115000</v>
      </c>
      <c r="D12" s="48" t="n">
        <v>1260000</v>
      </c>
      <c r="E12" s="48" t="n">
        <v>630000</v>
      </c>
      <c r="F12" s="41">
        <f>D12-E12</f>
        <v/>
      </c>
      <c r="G12" s="43">
        <f>IF(D12=0,0,F12/D12)</f>
        <v/>
      </c>
      <c r="H12" t="inlineStr">
        <is>
          <t>Нет</t>
        </is>
      </c>
    </row>
    <row r="14">
      <c r="A14" t="inlineStr">
        <is>
          <t>Логика КП: старт — до 10 сотрудников (3 360 ₽/год). После пилота — пакет по фактической численности.</t>
        </is>
      </c>
    </row>
    <row r="15">
      <c r="A15" t="inlineStr">
        <is>
          <t>Потенциал по базе считается по ближайшему достаточному пакету из этой таблицы.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style="24" min="1" max="1"/>
    <col width="14" customWidth="1" style="24" min="2" max="2"/>
    <col width="14" customWidth="1" style="24" min="3" max="3"/>
    <col width="14" customWidth="1" style="24" min="4" max="4"/>
    <col width="14" customWidth="1" style="24" min="5" max="5"/>
    <col width="36" customWidth="1" style="24" min="6" max="6"/>
    <col width="28" customWidth="1" style="24" min="7" max="7"/>
  </cols>
  <sheetData>
    <row r="1">
      <c r="A1" s="32" t="inlineStr">
        <is>
          <t>TAM — SAM — SOM: рынок для инвестора</t>
        </is>
      </c>
    </row>
    <row r="2">
      <c r="A2" t="inlineStr">
        <is>
          <t>Общий рынок организаций РФ ≠ целевой рынок. SAM заполняется после федерального среза по ОКВЭД. SOM — capacity команды.</t>
        </is>
      </c>
    </row>
    <row r="4">
      <c r="A4" s="38" t="inlineStr">
        <is>
          <t>Показатель</t>
        </is>
      </c>
      <c r="B4" s="38" t="inlineStr">
        <is>
          <t>Организаций</t>
        </is>
      </c>
      <c r="C4" s="38" t="inlineStr">
        <is>
          <t>Годовой чек ₽</t>
        </is>
      </c>
      <c r="D4" s="38" t="inlineStr">
        <is>
          <t>Объём ₽/год</t>
        </is>
      </c>
      <c r="E4" s="38" t="inlineStr">
        <is>
          <t>Доля</t>
        </is>
      </c>
      <c r="F4" s="38" t="inlineStr">
        <is>
          <t>Источник / статус</t>
        </is>
      </c>
    </row>
    <row r="5">
      <c r="A5" t="inlineStr">
        <is>
          <t>TAM (верхняя граница: все орг. РФ)</t>
        </is>
      </c>
      <c r="B5" s="41">
        <f>'01_Исходные_данные'!B39</f>
        <v/>
      </c>
      <c r="C5" s="41">
        <f>'01_Исходные_данные'!B5</f>
        <v/>
      </c>
      <c r="D5" s="41">
        <f>B5*C5</f>
        <v/>
      </c>
      <c r="E5" s="47" t="n">
        <v>1</v>
      </c>
      <c r="F5" t="inlineStr">
        <is>
          <t>Ориентир; не доказанный TAM продукта КЭДО</t>
        </is>
      </c>
    </row>
    <row r="6">
      <c r="A6" t="inlineStr">
        <is>
          <t>SAM — целевые ОКВЭД</t>
        </is>
      </c>
      <c r="B6" s="41">
        <f>'01_Исходные_данные'!B53</f>
        <v/>
      </c>
      <c r="C6" s="41">
        <f>'01_Исходные_данные'!B5</f>
        <v/>
      </c>
      <c r="D6" s="41">
        <f>IF(B6="","" ,B6*C6)</f>
        <v/>
      </c>
      <c r="E6" s="47">
        <f>IF(OR(B6="",B5=0),"",B6/B5)</f>
        <v/>
      </c>
      <c r="F6" t="inlineStr">
        <is>
          <t>Введите число в Исходных данных после cross-join</t>
        </is>
      </c>
    </row>
    <row r="7">
      <c r="A7" t="inlineStr">
        <is>
          <t>SAM — целевые ОКВЭД + 22+</t>
        </is>
      </c>
      <c r="B7" s="41">
        <f>'01_Исходные_данные'!B54</f>
        <v/>
      </c>
      <c r="C7" s="41">
        <f>'01_Исходные_данные'!B5</f>
        <v/>
      </c>
      <c r="D7" s="41">
        <f>IF(B7="","" ,B7*C7)</f>
        <v/>
      </c>
      <c r="E7" s="47">
        <f>IF(OR(B7="",B5=0),"",B7/B5)</f>
        <v/>
      </c>
      <c r="F7" t="inlineStr">
        <is>
          <t>Узкий SAM по ICP</t>
        </is>
      </c>
    </row>
    <row r="8">
      <c r="A8" t="inlineStr">
        <is>
          <t>Подтверждённая целевая база (наша)</t>
        </is>
      </c>
      <c r="B8" s="41">
        <f>'01_Исходные_данные'!B50</f>
        <v/>
      </c>
      <c r="C8" s="41">
        <f>'01_Исходные_данные'!B5</f>
        <v/>
      </c>
      <c r="D8" s="41">
        <f>B8*C8</f>
        <v/>
      </c>
      <c r="E8" s="47">
        <f>IF(B5=0,0,B8/B5)</f>
        <v/>
      </c>
      <c r="F8" t="inlineStr">
        <is>
          <t>Факт нашей базы после обогащения</t>
        </is>
      </c>
    </row>
    <row r="10">
      <c r="A10" s="33" t="inlineStr">
        <is>
          <t>SOM — capacity-based (мощность команды)</t>
        </is>
      </c>
    </row>
    <row r="11">
      <c r="A11" s="38" t="inlineStr">
        <is>
          <t>Сценарий</t>
        </is>
      </c>
      <c r="B11" s="38" t="inlineStr">
        <is>
          <t>Менеджеров</t>
        </is>
      </c>
      <c r="C11" s="38" t="inlineStr">
        <is>
          <t>Продаж/мен/мес</t>
        </is>
      </c>
      <c r="D11" s="38" t="inlineStr">
        <is>
          <t>Продаж/год</t>
        </is>
      </c>
      <c r="E11" s="38" t="inlineStr">
        <is>
          <t>Выручка/год</t>
        </is>
      </c>
      <c r="F11" s="38" t="inlineStr">
        <is>
          <t>Доля от TAM</t>
        </is>
      </c>
      <c r="G11" s="38" t="inlineStr">
        <is>
          <t>Комментарий</t>
        </is>
      </c>
    </row>
    <row r="12">
      <c r="A12" t="inlineStr">
        <is>
          <t>Малый</t>
        </is>
      </c>
      <c r="B12" s="35">
        <f>'01_Исходные_данные'!B31</f>
        <v/>
      </c>
      <c r="C12" s="35">
        <f>'01_Исходные_данные'!B20</f>
        <v/>
      </c>
      <c r="D12" s="41">
        <f>B12*C12*12</f>
        <v/>
      </c>
      <c r="E12" s="41">
        <f>D12*'01_Исходные_данные'!B5</f>
        <v/>
      </c>
      <c r="F12" s="49">
        <f>IF(D5=0,0,E12/D5)</f>
        <v/>
      </c>
      <c r="G12" t="inlineStr">
        <is>
          <t>Ограничение — мощность команды</t>
        </is>
      </c>
    </row>
    <row r="13">
      <c r="A13" t="inlineStr">
        <is>
          <t>Средний</t>
        </is>
      </c>
      <c r="B13" s="35">
        <f>'01_Исходные_данные'!B31</f>
        <v/>
      </c>
      <c r="C13" s="35">
        <f>'01_Исходные_данные'!C20</f>
        <v/>
      </c>
      <c r="D13" s="41">
        <f>B13*C13*12</f>
        <v/>
      </c>
      <c r="E13" s="41">
        <f>D13*'01_Исходные_данные'!B5</f>
        <v/>
      </c>
      <c r="F13" s="49">
        <f>IF(D5=0,0,E13/D5)</f>
        <v/>
      </c>
      <c r="G13" t="inlineStr">
        <is>
          <t>Ограничение — мощность команды</t>
        </is>
      </c>
    </row>
    <row r="14">
      <c r="A14" t="inlineStr">
        <is>
          <t>Большой</t>
        </is>
      </c>
      <c r="B14" s="35">
        <f>'01_Исходные_данные'!B31</f>
        <v/>
      </c>
      <c r="C14" s="35">
        <f>'01_Исходные_данные'!D20</f>
        <v/>
      </c>
      <c r="D14" s="41">
        <f>B14*C14*12</f>
        <v/>
      </c>
      <c r="E14" s="41">
        <f>D14*'01_Исходные_данные'!B5</f>
        <v/>
      </c>
      <c r="F14" s="49">
        <f>IF(D5=0,0,E14/D5)</f>
        <v/>
      </c>
      <c r="G14" t="inlineStr">
        <is>
          <t>Ограничение — мощность команды</t>
        </is>
      </c>
    </row>
    <row r="16">
      <c r="A16" s="33" t="inlineStr">
        <is>
          <t>SOM — market-based (если заполнен SAM)</t>
        </is>
      </c>
    </row>
    <row r="17">
      <c r="A17" s="38" t="inlineStr">
        <is>
          <t>Доля проникновения</t>
        </is>
      </c>
      <c r="B17" s="38" t="inlineStr">
        <is>
          <t>SAM ₽/год</t>
        </is>
      </c>
      <c r="C17" s="38" t="inlineStr">
        <is>
          <t>SOM ₽/год</t>
        </is>
      </c>
      <c r="D17" s="38" t="inlineStr">
        <is>
          <t>SOM клиентов</t>
        </is>
      </c>
      <c r="E17" s="38" t="inlineStr">
        <is>
          <t>Смысл</t>
        </is>
      </c>
    </row>
    <row r="18">
      <c r="A18" s="50" t="n">
        <v>0.005</v>
      </c>
      <c r="B18" s="41">
        <f>D6</f>
        <v/>
      </c>
      <c r="C18" s="41">
        <f>IF(B18="","",B18*A18)</f>
        <v/>
      </c>
      <c r="D18" s="41">
        <f>IF(OR(C18="",'01_Исходные_данные'!B5=0),"",C18/'01_Исходные_данные'!B5)</f>
        <v/>
      </c>
      <c r="E18" t="inlineStr">
        <is>
          <t>Сценарная доля SAM</t>
        </is>
      </c>
    </row>
    <row r="19">
      <c r="A19" s="50" t="n">
        <v>0.01</v>
      </c>
      <c r="B19" s="41">
        <f>D6</f>
        <v/>
      </c>
      <c r="C19" s="41">
        <f>IF(B19="","",B19*A19)</f>
        <v/>
      </c>
      <c r="D19" s="41">
        <f>IF(OR(C19="",'01_Исходные_данные'!B5=0),"",C19/'01_Исходные_данные'!B5)</f>
        <v/>
      </c>
      <c r="E19" t="inlineStr">
        <is>
          <t>Сценарная доля SAM</t>
        </is>
      </c>
    </row>
    <row r="20">
      <c r="A20" s="50" t="n">
        <v>0.02</v>
      </c>
      <c r="B20" s="41">
        <f>D6</f>
        <v/>
      </c>
      <c r="C20" s="41">
        <f>IF(B20="","",B20*A20)</f>
        <v/>
      </c>
      <c r="D20" s="41">
        <f>IF(OR(C20="",'01_Исходные_данные'!B5=0),"",C20/'01_Исходные_данные'!B5)</f>
        <v/>
      </c>
      <c r="E20" t="inlineStr">
        <is>
          <t>Сценарная доля SAM</t>
        </is>
      </c>
    </row>
    <row r="22">
      <c r="A22" s="33" t="inlineStr">
        <is>
          <t>Как читать для инвестора</t>
        </is>
      </c>
    </row>
    <row r="23">
      <c r="A23" t="inlineStr">
        <is>
          <t>TAM — потолок рынка. SAM — компании с нужным ОКВЭД/ICP. SOM — что реально взять мощностью 3 менеджеров при плане 4/6/9.</t>
        </is>
      </c>
    </row>
    <row r="24">
      <c r="A24" t="inlineStr">
        <is>
          <t>Пока SAM пуст — опирайтесь на capacity-based SOM и подтверждённую целевую базу (строка 8).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style="24" min="1" max="1"/>
    <col width="36" customWidth="1" style="24" min="2" max="2"/>
    <col width="14" customWidth="1" style="24" min="3" max="3"/>
    <col width="12" customWidth="1" style="24" min="4" max="4"/>
    <col width="18" customWidth="1" style="24" min="5" max="5"/>
    <col width="22" customWidth="1" style="24" min="6" max="6"/>
    <col width="40" customWidth="1" style="24" min="7" max="7"/>
  </cols>
  <sheetData>
    <row r="1">
      <c r="A1" s="32" t="inlineStr">
        <is>
          <t>Анализ клиентской базы — три сегмента</t>
        </is>
      </c>
    </row>
    <row r="2">
      <c r="A2" t="inlineStr">
        <is>
          <t>1) Целевой ОКВЭД. 2) Численность 22+. 3) Пересечение ОКВЭД + 22+ (приоритет №1). Сегменты взаимоисключающие в приоритетах.</t>
        </is>
      </c>
    </row>
    <row r="4">
      <c r="A4" s="38" t="inlineStr">
        <is>
          <t>Приоритет</t>
        </is>
      </c>
      <c r="B4" s="38" t="inlineStr">
        <is>
          <t>Критерий</t>
        </is>
      </c>
      <c r="C4" s="38" t="inlineStr">
        <is>
          <t>Уникальных ИНН</t>
        </is>
      </c>
      <c r="D4" s="38" t="inlineStr">
        <is>
          <t>Доля базы</t>
        </is>
      </c>
      <c r="E4" s="38" t="inlineStr">
        <is>
          <t>Потенциал ₽/год (старт 3360)</t>
        </is>
      </c>
      <c r="F4" s="38" t="inlineStr">
        <is>
          <t>Потенциал по пакетам (если есть ССЧР)</t>
        </is>
      </c>
      <c r="G4" s="38" t="inlineStr">
        <is>
          <t>Действие</t>
        </is>
      </c>
    </row>
    <row r="5">
      <c r="A5" t="inlineStr">
        <is>
          <t>1 — Горячие</t>
        </is>
      </c>
      <c r="B5" t="inlineStr">
        <is>
          <t>ОКВЭД + 22+ или 50+</t>
        </is>
      </c>
      <c r="C5" s="36">
        <f>'01_Исходные_данные'!B47</f>
        <v/>
      </c>
      <c r="D5" s="47">
        <f>IF('01_Исходные_данные'!B41=0,0,C5/'01_Исходные_данные'!B41)</f>
        <v/>
      </c>
      <c r="E5" s="41">
        <f>C5*'01_Исходные_данные'!B5</f>
        <v/>
      </c>
      <c r="F5" s="41" t="n">
        <v>18445200</v>
      </c>
      <c r="G5" t="inlineStr">
        <is>
          <t>Обрабатывать первыми; персональный оффер</t>
        </is>
      </c>
    </row>
    <row r="6">
      <c r="A6" t="inlineStr">
        <is>
          <t>2 — Целевой ОКВЭД</t>
        </is>
      </c>
      <c r="B6" t="inlineStr">
        <is>
          <t>Целевой ОКВЭД, 22+ не подтверждён</t>
        </is>
      </c>
      <c r="C6" s="35">
        <f>'01_Исходные_данные'!B48</f>
        <v/>
      </c>
      <c r="D6" s="47">
        <f>IF('01_Исходные_данные'!B41=0,0,C6/'01_Исходные_данные'!B41)</f>
        <v/>
      </c>
      <c r="E6" s="41">
        <f>C6*'01_Исходные_данные'!B5</f>
        <v/>
      </c>
      <c r="F6" s="41" t="n">
        <v>0</v>
      </c>
      <c r="G6" t="inlineStr">
        <is>
          <t>Обогащать ССЧР и запускать продажи</t>
        </is>
      </c>
    </row>
    <row r="7">
      <c r="A7" t="inlineStr">
        <is>
          <t>3 — Дополнительный</t>
        </is>
      </c>
      <c r="B7" t="inlineStr">
        <is>
          <t>22+ без целевого ОКВЭД</t>
        </is>
      </c>
      <c r="C7" s="35">
        <f>'01_Исходные_данные'!B49</f>
        <v/>
      </c>
      <c r="D7" s="47">
        <f>IF('01_Исходные_данные'!B41=0,0,C7/'01_Исходные_данные'!B41)</f>
        <v/>
      </c>
      <c r="E7" s="41">
        <f>C7*'01_Исходные_данные'!B5</f>
        <v/>
      </c>
      <c r="F7" s="41" t="n">
        <v>100800</v>
      </c>
      <c r="G7" t="inlineStr">
        <is>
          <t>Тестировать отдельным сценарием</t>
        </is>
      </c>
    </row>
    <row r="8">
      <c r="A8" t="inlineStr">
        <is>
          <t>ИТОГО целевая</t>
        </is>
      </c>
      <c r="B8" t="inlineStr">
        <is>
          <t>Объединение сегментов</t>
        </is>
      </c>
      <c r="C8" s="35">
        <f>'01_Исходные_данные'!B50</f>
        <v/>
      </c>
      <c r="D8" s="47">
        <f>IF('01_Исходные_данные'!B41=0,0,C8/'01_Исходные_данные'!B41)</f>
        <v/>
      </c>
      <c r="E8" s="41">
        <f>C8*'01_Исходные_данные'!B5</f>
        <v/>
      </c>
      <c r="F8" s="41">
        <f>SUM(F5:F7)</f>
        <v/>
      </c>
      <c r="G8" t="inlineStr">
        <is>
          <t>Подтверждённый минимум для плана</t>
        </is>
      </c>
    </row>
    <row r="10">
      <c r="A10" s="33" t="inlineStr">
        <is>
          <t>Контроль качества обогащения</t>
        </is>
      </c>
    </row>
    <row r="11">
      <c r="A11" t="inlineStr">
        <is>
          <t>Покрытие ССЧР</t>
        </is>
      </c>
      <c r="B11" s="51">
        <f>'01_Исходные_данные'!B51</f>
        <v/>
      </c>
    </row>
    <row r="12">
      <c r="A12" t="inlineStr">
        <is>
          <t>Покрытие ОКВЭД</t>
        </is>
      </c>
      <c r="B12" s="51">
        <f>'01_Исходные_данные'!B52</f>
        <v/>
      </c>
    </row>
    <row r="13">
      <c r="A13" s="26" t="inlineStr">
        <is>
          <t>Если покрытие низкое — в инвестпрезентации показывайте подтверждённый минимум и отдельно план обогащения, а не экстраполяцию на все уникальные ИНН.</t>
        </is>
      </c>
    </row>
    <row r="14"/>
  </sheetData>
  <mergeCells count="1">
    <mergeCell ref="A13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025"/>
  <sheetViews>
    <sheetView showGridLines="0" tabSelected="1" zoomScaleNormal="100" workbookViewId="0">
      <pane ySplit="4" topLeftCell="A5" activePane="bottomLeft" state="frozen"/>
      <selection pane="bottomLeft" activeCell="C4" sqref="C1:C1048576"/>
    </sheetView>
  </sheetViews>
  <sheetFormatPr baseColWidth="8" defaultColWidth="8.6640625" defaultRowHeight="15" customHeight="1"/>
  <cols>
    <col width="12" customWidth="1" style="24" min="1" max="1"/>
    <col width="36" customWidth="1" style="24" min="2" max="3"/>
    <col width="16" customWidth="1" style="24" min="3" max="3"/>
    <col width="14" customWidth="1" style="24" min="4" max="4"/>
    <col width="14" customWidth="1" style="24" min="5" max="5"/>
    <col width="28" customWidth="1" style="24" min="6" max="6"/>
    <col width="12" customWidth="1" style="24" min="7" max="7"/>
    <col width="10" customWidth="1" style="24" min="8" max="8"/>
    <col width="12" customWidth="1" style="24" min="9" max="9"/>
    <col width="28" customWidth="1" style="24" min="10" max="10"/>
    <col width="12" customWidth="1" style="24" min="11" max="11"/>
    <col width="12" customWidth="1" style="24" min="12" max="12"/>
    <col width="12" customWidth="1" style="24" min="13" max="13"/>
    <col width="14" customWidth="1" style="24" min="14" max="14"/>
    <col width="12" customWidth="1" style="24" min="15" max="15"/>
    <col width="28" customWidth="1" style="24" min="16" max="16"/>
    <col width="28" customWidth="1" style="24" min="17" max="18"/>
    <col width="22" customWidth="1" style="24" min="18" max="18"/>
    <col width="10" customWidth="1" style="24" min="19" max="19"/>
    <col width="16" customWidth="1" style="24" min="20" max="20"/>
    <col width="18" customWidth="1" style="24" min="21" max="21"/>
    <col width="12" customWidth="1" style="24" min="22" max="22"/>
    <col width="12" customWidth="1" style="24" min="23" max="23"/>
    <col width="14" customWidth="1" style="24" min="24" max="24"/>
  </cols>
  <sheetData>
    <row r="1" ht="27.75" customHeight="1" s="24">
      <c r="A1" s="27" t="inlineStr">
        <is>
          <t>База клиентов — сегментация по ОКВЭД и численности</t>
        </is>
      </c>
    </row>
    <row r="2" ht="15" customHeight="1" s="24">
      <c r="A2" s="26" t="inlineStr">
        <is>
          <t>Автоматически: целевой ОКВЭД / 22+ / пересечение (приоритет №1). ССЧР — открытые данные ФНС; ОКВЭД — выписки ЕГРЮЛ. Зелёные поля можно уточнять вручную.</t>
        </is>
      </c>
    </row>
    <row r="3" ht="15" customHeight="1" s="24">
      <c r="A3" s="28" t="inlineStr">
        <is>
          <t>Не удаляйте формулы в столбцах K–O и T–X. Ввод: G, H, I, J и комментарии.</t>
        </is>
      </c>
    </row>
    <row r="4" ht="41.25" customHeight="1" s="24">
      <c r="A4" s="38" t="inlineStr">
        <is>
          <t>Регномер</t>
        </is>
      </c>
      <c r="B4" s="38" t="inlineStr">
        <is>
          <t>Клиент</t>
        </is>
      </c>
      <c r="C4" s="38" t="inlineStr">
        <is>
          <t>ИНН / ЕДРПОУ из базы</t>
        </is>
      </c>
      <c r="D4" s="38" t="inlineStr">
        <is>
          <t>ИНН</t>
        </is>
      </c>
      <c r="E4" s="38" t="inlineStr">
        <is>
          <t>Тип ИНН</t>
        </is>
      </c>
      <c r="F4" s="38" t="inlineStr">
        <is>
          <t>Комментарий из исходной базы</t>
        </is>
      </c>
      <c r="G4" s="38" t="inlineStr">
        <is>
          <t>Численность сотрудников (ССЧР)</t>
        </is>
      </c>
      <c r="H4" s="38" t="inlineStr">
        <is>
          <t>Год ССЧР</t>
        </is>
      </c>
      <c r="I4" s="38" t="inlineStr">
        <is>
          <t>Основной ОКВЭД</t>
        </is>
      </c>
      <c r="J4" s="38" t="inlineStr">
        <is>
          <t>Все ОКВЭД</t>
        </is>
      </c>
      <c r="K4" s="38" t="inlineStr">
        <is>
          <t>Подходит по численности ≥22?</t>
        </is>
      </c>
      <c r="L4" s="38" t="inlineStr">
        <is>
          <t>Подходит по целевому ОКВЭД?</t>
        </is>
      </c>
      <c r="M4" s="38" t="inlineStr">
        <is>
          <t>Пакет КС</t>
        </is>
      </c>
      <c r="N4" s="38" t="inlineStr">
        <is>
          <t>Потенциальная выручка/год, ₽</t>
        </is>
      </c>
      <c r="O4" s="38" t="inlineStr">
        <is>
          <t>Категория по численности</t>
        </is>
      </c>
      <c r="P4" s="38" t="inlineStr">
        <is>
          <t>Статус проверки</t>
        </is>
      </c>
      <c r="Q4" s="38" t="inlineStr">
        <is>
          <t>Источник ССЧР</t>
        </is>
      </c>
      <c r="R4" s="38" t="inlineStr">
        <is>
          <t>Источник ОКВЭД</t>
        </is>
      </c>
      <c r="S4" s="38" t="inlineStr">
        <is>
          <t>Уникальный по ИНН</t>
        </is>
      </c>
      <c r="T4" s="38" t="inlineStr">
        <is>
          <t>Приоритет</t>
        </is>
      </c>
      <c r="U4" s="38" t="inlineStr">
        <is>
          <t>Сегмент</t>
        </is>
      </c>
      <c r="V4" s="38" t="inlineStr">
        <is>
          <t>ОКВЭД подходит?</t>
        </is>
      </c>
      <c r="W4" s="38" t="inlineStr">
        <is>
          <t>Численность подходит?</t>
        </is>
      </c>
      <c r="X4" s="38" t="inlineStr">
        <is>
          <t>ОКВЭД + численность (приоритет №1)</t>
        </is>
      </c>
    </row>
    <row r="5" ht="27.75" customHeight="1" s="24">
      <c r="A5" s="13" t="n">
        <v>801618911</v>
      </c>
      <c r="B5" s="13" t="inlineStr">
        <is>
          <t>ООО "Профимед"</t>
        </is>
      </c>
      <c r="C5" s="13" t="n">
        <v>3801001629</v>
      </c>
      <c r="D5" s="13" t="inlineStr">
        <is>
          <t>3801001629</t>
        </is>
      </c>
      <c r="E5" s="13" t="inlineStr">
        <is>
          <t>ЮЛ РФ</t>
        </is>
      </c>
      <c r="F5" s="13" t="inlineStr">
        <is>
          <t>под эпд подходит, ндз, ндз2, ндз3</t>
        </is>
      </c>
      <c r="G5" s="52" t="n">
        <v>17</v>
      </c>
      <c r="H5" s="52" t="n">
        <v>2025</v>
      </c>
      <c r="I5" s="14" t="n"/>
      <c r="J5" s="14" t="n"/>
      <c r="K5" s="53" t="inlineStr">
        <is>
          <t>Нет</t>
        </is>
      </c>
      <c r="L5" s="53" t="inlineStr">
        <is>
          <t>Не определено</t>
        </is>
      </c>
      <c r="M5" s="53" t="inlineStr">
        <is>
          <t>До 25</t>
        </is>
      </c>
      <c r="N5" s="54" t="n">
        <v>8400</v>
      </c>
      <c r="O5" s="55" t="inlineStr">
        <is>
          <t>16–30</t>
        </is>
      </c>
      <c r="P5" s="16" t="inlineStr">
        <is>
          <t>ССЧР обогащена; ОКВЭД не найден/не загружен</t>
        </is>
      </c>
      <c r="Q5" s="16" t="inlineStr">
        <is>
          <t>ФНС открытые данные ССЧР (ДатаСост 31.12.2025; набор 7707329152-sshr2019)</t>
        </is>
      </c>
      <c r="R5" s="16">
        <f>HYPERLINK("https://checko.ru/search?query=3801001629","Чекко: проверить")</f>
        <v/>
      </c>
      <c r="S5" t="n">
        <v>1</v>
      </c>
      <c r="T5" s="35" t="inlineStr">
        <is>
          <t>4 — Не обогащён</t>
        </is>
      </c>
      <c r="U5" s="35" t="inlineStr">
        <is>
          <t>Нет ОКВЭД/ССЧР</t>
        </is>
      </c>
      <c r="V5" s="35" t="inlineStr">
        <is>
          <t>Не определено</t>
        </is>
      </c>
      <c r="W5" s="35" t="inlineStr">
        <is>
          <t>Нет</t>
        </is>
      </c>
      <c r="X5" s="35" t="inlineStr"/>
    </row>
    <row r="6" ht="15" customHeight="1" s="24">
      <c r="A6" s="13" t="n">
        <v>801621098</v>
      </c>
      <c r="B6" s="13" t="inlineStr">
        <is>
          <t>МАНО "ЦДС"</t>
        </is>
      </c>
      <c r="C6" s="13" t="n">
        <v>3801075684</v>
      </c>
      <c r="D6" s="13" t="inlineStr">
        <is>
          <t>3801075684</t>
        </is>
      </c>
      <c r="E6" s="13" t="inlineStr">
        <is>
          <t>ЮЛ РФ</t>
        </is>
      </c>
      <c r="F6" s="13" t="n"/>
      <c r="G6" s="14" t="n"/>
      <c r="H6" s="14" t="n"/>
      <c r="I6" s="14" t="n"/>
      <c r="J6" s="14" t="n"/>
      <c r="K6" s="53" t="inlineStr"/>
      <c r="L6" s="53" t="inlineStr">
        <is>
          <t>Не определено</t>
        </is>
      </c>
      <c r="M6" s="53" t="inlineStr"/>
      <c r="N6" s="54" t="inlineStr"/>
      <c r="O6" s="55" t="inlineStr"/>
      <c r="P6" s="16" t="inlineStr">
        <is>
          <t>Требует обогащения</t>
        </is>
      </c>
      <c r="Q6" s="16">
        <f>HYPERLINK("https://pb.nalog.ru/search.html?query=3801075684","ФНС: проверить")</f>
        <v/>
      </c>
      <c r="R6" s="16">
        <f>HYPERLINK("https://checko.ru/search?query=3801001629","Чекко: проверить")</f>
        <v/>
      </c>
      <c r="S6" t="n">
        <v>1</v>
      </c>
      <c r="T6" s="35" t="inlineStr">
        <is>
          <t>4 — Не обогащён</t>
        </is>
      </c>
      <c r="U6" s="35" t="inlineStr">
        <is>
          <t>Нет ОКВЭД/ССЧР</t>
        </is>
      </c>
      <c r="V6" s="35" t="inlineStr">
        <is>
          <t>Не определено</t>
        </is>
      </c>
      <c r="W6" s="35" t="inlineStr"/>
      <c r="X6" s="35" t="inlineStr"/>
    </row>
    <row r="7" ht="27.75" customHeight="1" s="24">
      <c r="A7" s="13" t="n">
        <v>804704363</v>
      </c>
      <c r="B7" s="13" t="inlineStr">
        <is>
          <t>Индивидуальный Предприниматель Клычкова Алина Николаевна</t>
        </is>
      </c>
      <c r="C7" s="13" t="n">
        <v>143400403400</v>
      </c>
      <c r="D7" s="13" t="inlineStr">
        <is>
          <t>143400403400</t>
        </is>
      </c>
      <c r="E7" s="13" t="inlineStr">
        <is>
          <t>ИП РФ / физлицо</t>
        </is>
      </c>
      <c r="F7" s="13" t="inlineStr">
        <is>
          <t>себеи возят сами</t>
        </is>
      </c>
      <c r="G7" s="14" t="n"/>
      <c r="H7" s="14" t="n"/>
      <c r="I7" s="14" t="n"/>
      <c r="J7" s="14" t="n"/>
      <c r="K7" s="53" t="inlineStr"/>
      <c r="L7" s="53" t="inlineStr">
        <is>
          <t>Не определено</t>
        </is>
      </c>
      <c r="M7" s="53" t="inlineStr"/>
      <c r="N7" s="54" t="inlineStr"/>
      <c r="O7" s="55" t="inlineStr"/>
      <c r="P7" s="16" t="inlineStr">
        <is>
          <t>Требует обогащения</t>
        </is>
      </c>
      <c r="Q7" s="16">
        <f>HYPERLINK("https://pb.nalog.ru/search.html?query=143400403400","ФНС: проверить")</f>
        <v/>
      </c>
      <c r="R7" s="16">
        <f>HYPERLINK("https://checko.ru/search?query=3801001629","Чекко: проверить")</f>
        <v/>
      </c>
      <c r="S7" t="n">
        <v>1</v>
      </c>
      <c r="T7" s="35" t="inlineStr">
        <is>
          <t>4 — Не обогащён</t>
        </is>
      </c>
      <c r="U7" s="35" t="inlineStr">
        <is>
          <t>Нет ОКВЭД/ССЧР</t>
        </is>
      </c>
      <c r="V7" s="35" t="inlineStr">
        <is>
          <t>Не определено</t>
        </is>
      </c>
      <c r="W7" s="35" t="inlineStr"/>
      <c r="X7" s="35" t="inlineStr"/>
    </row>
    <row r="8" ht="27.75" customHeight="1" s="24">
      <c r="A8" s="13" t="n">
        <v>800404718</v>
      </c>
      <c r="B8" s="13" t="inlineStr">
        <is>
          <t>МРО Православный приход храма всех святых г. Братска</t>
        </is>
      </c>
      <c r="C8" s="13" t="n">
        <v>3803200965</v>
      </c>
      <c r="D8" s="13" t="inlineStr">
        <is>
          <t>3803200965</t>
        </is>
      </c>
      <c r="E8" s="13" t="inlineStr">
        <is>
          <t>ЮЛ РФ</t>
        </is>
      </c>
      <c r="F8" s="13" t="n"/>
      <c r="G8" s="14" t="n"/>
      <c r="H8" s="14" t="n"/>
      <c r="I8" s="14" t="n"/>
      <c r="J8" s="14" t="n"/>
      <c r="K8" s="53" t="inlineStr"/>
      <c r="L8" s="53" t="inlineStr">
        <is>
          <t>Не определено</t>
        </is>
      </c>
      <c r="M8" s="53" t="inlineStr"/>
      <c r="N8" s="54" t="inlineStr"/>
      <c r="O8" s="55" t="inlineStr"/>
      <c r="P8" s="16" t="inlineStr">
        <is>
          <t>Требует обогащения</t>
        </is>
      </c>
      <c r="Q8" s="16">
        <f>HYPERLINK("https://pb.nalog.ru/search.html?query=3803200965","ФНС: проверить")</f>
        <v/>
      </c>
      <c r="R8" s="16">
        <f>HYPERLINK("https://checko.ru/search?query=3801001629","Чекко: проверить")</f>
        <v/>
      </c>
      <c r="S8" t="n">
        <v>1</v>
      </c>
      <c r="T8" s="35" t="inlineStr">
        <is>
          <t>4 — Не обогащён</t>
        </is>
      </c>
      <c r="U8" s="35" t="inlineStr">
        <is>
          <t>Нет ОКВЭД/ССЧР</t>
        </is>
      </c>
      <c r="V8" s="35" t="inlineStr">
        <is>
          <t>Не определено</t>
        </is>
      </c>
      <c r="W8" s="35" t="inlineStr"/>
      <c r="X8" s="35" t="inlineStr"/>
    </row>
    <row r="9" ht="15" customHeight="1" s="24">
      <c r="A9" s="13" t="n">
        <v>9975531</v>
      </c>
      <c r="B9" s="13" t="inlineStr">
        <is>
          <t>ООО "БайкалВЭД"</t>
        </is>
      </c>
      <c r="C9" s="13" t="n">
        <v>3808224590</v>
      </c>
      <c r="D9" s="13" t="inlineStr">
        <is>
          <t>3808224590</t>
        </is>
      </c>
      <c r="E9" s="13" t="inlineStr">
        <is>
          <t>ЮЛ РФ</t>
        </is>
      </c>
      <c r="F9" s="13" t="inlineStr">
        <is>
          <t>со сбисом</t>
        </is>
      </c>
      <c r="G9" s="52" t="n">
        <v>22</v>
      </c>
      <c r="H9" s="52" t="n">
        <v>2025</v>
      </c>
      <c r="I9" s="52" t="inlineStr">
        <is>
          <t>16.23</t>
        </is>
      </c>
      <c r="J9" s="52" t="inlineStr">
        <is>
          <t>16.23; 46.13; 46.73; 46.73.1; 46.73.2; 46.73.6; 47.52.71; 49.41; 49.42; 52.10; 52.24</t>
        </is>
      </c>
      <c r="K9" s="53" t="inlineStr">
        <is>
          <t>Да</t>
        </is>
      </c>
      <c r="L9" s="53" t="inlineStr">
        <is>
          <t>Да</t>
        </is>
      </c>
      <c r="M9" s="53" t="inlineStr">
        <is>
          <t>До 25</t>
        </is>
      </c>
      <c r="N9" s="54" t="n">
        <v>8400</v>
      </c>
      <c r="O9" s="55" t="inlineStr">
        <is>
          <t>16–30</t>
        </is>
      </c>
      <c r="P9" s="16" t="inlineStr">
        <is>
          <t>ССЧР + ОКВЭД обогащены</t>
        </is>
      </c>
      <c r="Q9" s="16" t="inlineStr">
        <is>
          <t>ФНС открытые данные ССЧР (ДатаСост 31.12.2025; набор 7707329152-sshr2019)</t>
        </is>
      </c>
      <c r="R9" s="16" t="inlineStr">
        <is>
          <t>ЕГРЮЛ / egrul.nalog.ru (выписка)</t>
        </is>
      </c>
      <c r="S9" t="n">
        <v>1</v>
      </c>
      <c r="T9" s="35" t="inlineStr">
        <is>
          <t>1 — Горячий</t>
        </is>
      </c>
      <c r="U9" s="35" t="inlineStr">
        <is>
          <t>ОКВЭД + 22+</t>
        </is>
      </c>
      <c r="V9" s="35" t="inlineStr">
        <is>
          <t>Да</t>
        </is>
      </c>
      <c r="W9" s="35" t="inlineStr">
        <is>
          <t>Да</t>
        </is>
      </c>
      <c r="X9" s="35" t="inlineStr">
        <is>
          <t>Да</t>
        </is>
      </c>
    </row>
    <row r="10" ht="27.75" customHeight="1" s="24">
      <c r="A10" s="13" t="n">
        <v>800771347</v>
      </c>
      <c r="B10" s="13" t="inlineStr">
        <is>
          <t>ИП Колесников Юрий Владимирович</t>
        </is>
      </c>
      <c r="C10" s="13" t="n">
        <v>380500038435</v>
      </c>
      <c r="D10" s="13" t="inlineStr">
        <is>
          <t>380500038435</t>
        </is>
      </c>
      <c r="E10" s="13" t="inlineStr">
        <is>
          <t>ИП РФ / физлицо</t>
        </is>
      </c>
      <c r="F10" s="13" t="inlineStr">
        <is>
          <t>контур, на почте посмотрит доки и 1с эпд</t>
        </is>
      </c>
      <c r="G10" s="14" t="n"/>
      <c r="H10" s="14" t="n"/>
      <c r="I10" s="14" t="n"/>
      <c r="J10" s="14" t="n"/>
      <c r="K10" s="53" t="inlineStr"/>
      <c r="L10" s="53" t="inlineStr">
        <is>
          <t>Не определено</t>
        </is>
      </c>
      <c r="M10" s="53" t="inlineStr"/>
      <c r="N10" s="54" t="inlineStr"/>
      <c r="O10" s="55" t="inlineStr"/>
      <c r="P10" s="16" t="inlineStr">
        <is>
          <t>Требует обогащения</t>
        </is>
      </c>
      <c r="Q10" s="16">
        <f>HYPERLINK("https://pb.nalog.ru/search.html?query=380500038435","ФНС: проверить")</f>
        <v/>
      </c>
      <c r="R10" s="16">
        <f>HYPERLINK("https://checko.ru/search?query=3801001629","Чекко: проверить")</f>
        <v/>
      </c>
      <c r="S10" t="n">
        <v>1</v>
      </c>
      <c r="T10" s="35" t="inlineStr">
        <is>
          <t>4 — Не обогащён</t>
        </is>
      </c>
      <c r="U10" s="35" t="inlineStr">
        <is>
          <t>Нет ОКВЭД/ССЧР</t>
        </is>
      </c>
      <c r="V10" s="35" t="inlineStr">
        <is>
          <t>Не определено</t>
        </is>
      </c>
      <c r="W10" s="35" t="inlineStr"/>
      <c r="X10" s="35" t="inlineStr"/>
    </row>
    <row r="11" ht="15" customHeight="1" s="24">
      <c r="A11" s="13" t="n">
        <v>800448230</v>
      </c>
      <c r="B11" s="13" t="inlineStr">
        <is>
          <t>Ротонда</t>
        </is>
      </c>
      <c r="C11" s="13" t="n">
        <v>3812145125</v>
      </c>
      <c r="D11" s="13" t="inlineStr">
        <is>
          <t>3812145125</t>
        </is>
      </c>
      <c r="E11" s="13" t="inlineStr">
        <is>
          <t>ЮЛ РФ</t>
        </is>
      </c>
      <c r="F11" s="13" t="inlineStr">
        <is>
          <t>. контакты неактуальные</t>
        </is>
      </c>
      <c r="G11" s="52" t="n">
        <v>1</v>
      </c>
      <c r="H11" s="52" t="n">
        <v>2025</v>
      </c>
      <c r="I11" s="14" t="n"/>
      <c r="J11" s="14" t="n"/>
      <c r="K11" s="53" t="inlineStr">
        <is>
          <t>Нет</t>
        </is>
      </c>
      <c r="L11" s="53" t="inlineStr">
        <is>
          <t>Не определено</t>
        </is>
      </c>
      <c r="M11" s="53" t="inlineStr">
        <is>
          <t>До 10</t>
        </is>
      </c>
      <c r="N11" s="54" t="n">
        <v>3360</v>
      </c>
      <c r="O11" s="55" t="inlineStr">
        <is>
          <t>1–15</t>
        </is>
      </c>
      <c r="P11" s="16" t="inlineStr">
        <is>
          <t>ССЧР обогащена; ОКВЭД не найден/не загружен</t>
        </is>
      </c>
      <c r="Q11" s="16" t="inlineStr">
        <is>
          <t>ФНС открытые данные ССЧР (ДатаСост 31.12.2025; набор 7707329152-sshr2019)</t>
        </is>
      </c>
      <c r="R11" s="16">
        <f>HYPERLINK("https://checko.ru/search?query=3801001629","Чекко: проверить")</f>
        <v/>
      </c>
      <c r="S11" t="n">
        <v>1</v>
      </c>
      <c r="T11" s="35" t="inlineStr">
        <is>
          <t>4 — Не обогащён</t>
        </is>
      </c>
      <c r="U11" s="35" t="inlineStr">
        <is>
          <t>Нет ОКВЭД/ССЧР</t>
        </is>
      </c>
      <c r="V11" s="35" t="inlineStr">
        <is>
          <t>Не определено</t>
        </is>
      </c>
      <c r="W11" s="35" t="inlineStr">
        <is>
          <t>Нет</t>
        </is>
      </c>
      <c r="X11" s="35" t="inlineStr"/>
    </row>
    <row r="12" ht="15" customHeight="1" s="24">
      <c r="A12" s="13" t="n">
        <v>800385156</v>
      </c>
      <c r="B12" s="13" t="inlineStr">
        <is>
          <t>ООО "ИРК.РУ"</t>
        </is>
      </c>
      <c r="C12" s="13" t="n">
        <v>3808082842</v>
      </c>
      <c r="D12" s="13" t="inlineStr">
        <is>
          <t>3808082842</t>
        </is>
      </c>
      <c r="E12" s="13" t="inlineStr">
        <is>
          <t>ЮЛ РФ</t>
        </is>
      </c>
      <c r="F12" s="13" t="inlineStr">
        <is>
          <t>оквед реклама</t>
        </is>
      </c>
      <c r="G12" s="52" t="n">
        <v>18</v>
      </c>
      <c r="H12" s="52" t="n">
        <v>2025</v>
      </c>
      <c r="I12" s="14" t="n"/>
      <c r="J12" s="14" t="n"/>
      <c r="K12" s="53" t="inlineStr">
        <is>
          <t>Нет</t>
        </is>
      </c>
      <c r="L12" s="53" t="inlineStr">
        <is>
          <t>Не определено</t>
        </is>
      </c>
      <c r="M12" s="53" t="inlineStr">
        <is>
          <t>До 25</t>
        </is>
      </c>
      <c r="N12" s="54" t="n">
        <v>8400</v>
      </c>
      <c r="O12" s="55" t="inlineStr">
        <is>
          <t>16–30</t>
        </is>
      </c>
      <c r="P12" s="16" t="inlineStr">
        <is>
          <t>ССЧР обогащена; ОКВЭД не найден/не загружен</t>
        </is>
      </c>
      <c r="Q12" s="16" t="inlineStr">
        <is>
          <t>ФНС открытые данные ССЧР (ДатаСост 31.12.2025; набор 7707329152-sshr2019)</t>
        </is>
      </c>
      <c r="R12" s="16">
        <f>HYPERLINK("https://checko.ru/search?query=3801001629","Чекко: проверить")</f>
        <v/>
      </c>
      <c r="S12" t="n">
        <v>1</v>
      </c>
      <c r="T12" s="35" t="inlineStr">
        <is>
          <t>4 — Не обогащён</t>
        </is>
      </c>
      <c r="U12" s="35" t="inlineStr">
        <is>
          <t>Нет ОКВЭД/ССЧР</t>
        </is>
      </c>
      <c r="V12" s="35" t="inlineStr">
        <is>
          <t>Не определено</t>
        </is>
      </c>
      <c r="W12" s="35" t="inlineStr">
        <is>
          <t>Нет</t>
        </is>
      </c>
      <c r="X12" s="35" t="inlineStr"/>
    </row>
    <row r="13" ht="15" customHeight="1" s="24">
      <c r="A13" s="13" t="n">
        <v>804170177</v>
      </c>
      <c r="B13" s="13" t="inlineStr">
        <is>
          <t>ООО "ДЭП №153"</t>
        </is>
      </c>
      <c r="C13" s="13" t="n">
        <v>3814019503</v>
      </c>
      <c r="D13" s="13" t="inlineStr">
        <is>
          <t>3814019503</t>
        </is>
      </c>
      <c r="E13" s="13" t="inlineStr">
        <is>
          <t>ЮЛ РФ</t>
        </is>
      </c>
      <c r="F13" s="13" t="inlineStr">
        <is>
          <t>не работают с трн</t>
        </is>
      </c>
      <c r="G13" s="52" t="n">
        <v>221</v>
      </c>
      <c r="H13" s="52" t="n">
        <v>2025</v>
      </c>
      <c r="I13" s="52" t="inlineStr">
        <is>
          <t>42.11</t>
        </is>
      </c>
      <c r="J13" s="52" t="inlineStr">
        <is>
          <t>42.11; 08.12.1; 23.99; 52.21.22; 08.11; 08.12; 19.20; 23.63; 23.99.2; 23.99.3; 41.20; 42.13; 42.99; 46.90</t>
        </is>
      </c>
      <c r="K13" s="53" t="inlineStr">
        <is>
          <t>Да</t>
        </is>
      </c>
      <c r="L13" s="53" t="inlineStr">
        <is>
          <t>Да</t>
        </is>
      </c>
      <c r="M13" s="53" t="inlineStr">
        <is>
          <t>До 500</t>
        </is>
      </c>
      <c r="N13" s="54" t="n">
        <v>144000</v>
      </c>
      <c r="O13" s="55" t="inlineStr">
        <is>
          <t>201–500</t>
        </is>
      </c>
      <c r="P13" s="16" t="inlineStr">
        <is>
          <t>ССЧР + ОКВЭД обогащены</t>
        </is>
      </c>
      <c r="Q13" s="16" t="inlineStr">
        <is>
          <t>ФНС открытые данные ССЧР (ДатаСост 31.12.2025; набор 7707329152-sshr2019)</t>
        </is>
      </c>
      <c r="R13" s="16" t="inlineStr">
        <is>
          <t>ЕГРЮЛ / egrul.nalog.ru (выписка)</t>
        </is>
      </c>
      <c r="S13" t="n">
        <v>1</v>
      </c>
      <c r="T13" s="35" t="inlineStr">
        <is>
          <t>1 — Горячий</t>
        </is>
      </c>
      <c r="U13" s="35" t="inlineStr">
        <is>
          <t>ОКВЭД + 22+</t>
        </is>
      </c>
      <c r="V13" s="35" t="inlineStr">
        <is>
          <t>Да</t>
        </is>
      </c>
      <c r="W13" s="35" t="inlineStr">
        <is>
          <t>Да</t>
        </is>
      </c>
      <c r="X13" s="35" t="inlineStr">
        <is>
          <t>Да</t>
        </is>
      </c>
    </row>
    <row r="14" ht="15" customHeight="1" s="24">
      <c r="A14" s="13" t="n">
        <v>801820675</v>
      </c>
      <c r="B14" s="13" t="inlineStr">
        <is>
          <t>ООО "РИВЬЕРА"</t>
        </is>
      </c>
      <c r="C14" s="13" t="n">
        <v>2407012902</v>
      </c>
      <c r="D14" s="13" t="inlineStr">
        <is>
          <t>2407012902</t>
        </is>
      </c>
      <c r="E14" s="13" t="inlineStr">
        <is>
          <t>ЮЛ РФ</t>
        </is>
      </c>
      <c r="F14" s="13" t="inlineStr">
        <is>
          <t>оквед аренда</t>
        </is>
      </c>
      <c r="G14" s="52" t="n">
        <v>1</v>
      </c>
      <c r="H14" s="52" t="n">
        <v>2025</v>
      </c>
      <c r="I14" s="14" t="n"/>
      <c r="J14" s="14" t="n"/>
      <c r="K14" s="53" t="inlineStr">
        <is>
          <t>Нет</t>
        </is>
      </c>
      <c r="L14" s="53" t="inlineStr">
        <is>
          <t>Не определено</t>
        </is>
      </c>
      <c r="M14" s="53" t="inlineStr">
        <is>
          <t>До 10</t>
        </is>
      </c>
      <c r="N14" s="54" t="n">
        <v>3360</v>
      </c>
      <c r="O14" s="55" t="inlineStr">
        <is>
          <t>1–15</t>
        </is>
      </c>
      <c r="P14" s="16" t="inlineStr">
        <is>
          <t>ССЧР обогащена; ОКВЭД не найден/не загружен</t>
        </is>
      </c>
      <c r="Q14" s="16" t="inlineStr">
        <is>
          <t>ФНС открытые данные ССЧР (ДатаСост 31.12.2025; набор 7707329152-sshr2019)</t>
        </is>
      </c>
      <c r="R14" s="16">
        <f>HYPERLINK("https://checko.ru/search?query=3801001629","Чекко: проверить")</f>
        <v/>
      </c>
      <c r="S14" t="n">
        <v>1</v>
      </c>
      <c r="T14" s="35" t="inlineStr">
        <is>
          <t>4 — Не обогащён</t>
        </is>
      </c>
      <c r="U14" s="35" t="inlineStr">
        <is>
          <t>Нет ОКВЭД/ССЧР</t>
        </is>
      </c>
      <c r="V14" s="35" t="inlineStr">
        <is>
          <t>Не определено</t>
        </is>
      </c>
      <c r="W14" s="35" t="inlineStr">
        <is>
          <t>Нет</t>
        </is>
      </c>
      <c r="X14" s="35" t="inlineStr"/>
    </row>
    <row r="15" ht="27.75" customHeight="1" s="24">
      <c r="A15" s="13" t="n">
        <v>804690915</v>
      </c>
      <c r="B15" s="13" t="inlineStr">
        <is>
          <t>ООО ПЭД</t>
        </is>
      </c>
      <c r="C15" s="13" t="n">
        <v>3849067730</v>
      </c>
      <c r="D15" s="13" t="inlineStr">
        <is>
          <t>3849067730</t>
        </is>
      </c>
      <c r="E15" s="13" t="inlineStr">
        <is>
          <t>ЮЛ РФ</t>
        </is>
      </c>
      <c r="F15" s="13" t="inlineStr">
        <is>
          <t>подходят ндз, не исп тр накладные</t>
        </is>
      </c>
      <c r="G15" s="52" t="n">
        <v>1</v>
      </c>
      <c r="H15" s="52" t="n">
        <v>2025</v>
      </c>
      <c r="I15" s="14" t="n"/>
      <c r="J15" s="14" t="n"/>
      <c r="K15" s="53" t="inlineStr">
        <is>
          <t>Нет</t>
        </is>
      </c>
      <c r="L15" s="53" t="inlineStr">
        <is>
          <t>Не определено</t>
        </is>
      </c>
      <c r="M15" s="53" t="inlineStr">
        <is>
          <t>До 10</t>
        </is>
      </c>
      <c r="N15" s="54" t="n">
        <v>3360</v>
      </c>
      <c r="O15" s="55" t="inlineStr">
        <is>
          <t>1–15</t>
        </is>
      </c>
      <c r="P15" s="16" t="inlineStr">
        <is>
          <t>ССЧР обогащена; ОКВЭД не найден/не загружен</t>
        </is>
      </c>
      <c r="Q15" s="16" t="inlineStr">
        <is>
          <t>ФНС открытые данные ССЧР (ДатаСост 31.12.2025; набор 7707329152-sshr2019)</t>
        </is>
      </c>
      <c r="R15" s="16">
        <f>HYPERLINK("https://checko.ru/search?query=3801001629","Чекко: проверить")</f>
        <v/>
      </c>
      <c r="S15" t="n">
        <v>1</v>
      </c>
      <c r="T15" s="35" t="inlineStr">
        <is>
          <t>4 — Не обогащён</t>
        </is>
      </c>
      <c r="U15" s="35" t="inlineStr">
        <is>
          <t>Нет ОКВЭД/ССЧР</t>
        </is>
      </c>
      <c r="V15" s="35" t="inlineStr">
        <is>
          <t>Не определено</t>
        </is>
      </c>
      <c r="W15" s="35" t="inlineStr">
        <is>
          <t>Нет</t>
        </is>
      </c>
      <c r="X15" s="35" t="inlineStr"/>
    </row>
    <row r="16" ht="27.75" customHeight="1" s="24">
      <c r="A16" s="13" t="n">
        <v>9146873</v>
      </c>
      <c r="B16" s="13" t="inlineStr">
        <is>
          <t>ООО "Саянск-Лифт"</t>
        </is>
      </c>
      <c r="C16" s="13" t="n">
        <v>3814008565</v>
      </c>
      <c r="D16" s="13" t="inlineStr">
        <is>
          <t>3814008565</t>
        </is>
      </c>
      <c r="E16" s="13" t="inlineStr">
        <is>
          <t>ЮЛ РФ</t>
        </is>
      </c>
      <c r="F16" s="13" t="inlineStr">
        <is>
          <t>ответили на почту отпр, свяжутся сами</t>
        </is>
      </c>
      <c r="G16" s="52" t="n">
        <v>25</v>
      </c>
      <c r="H16" s="52" t="n">
        <v>2025</v>
      </c>
      <c r="I16" s="52" t="inlineStr">
        <is>
          <t>43.29</t>
        </is>
      </c>
      <c r="J16" s="52" t="inlineStr">
        <is>
          <t>43.29; 68.32.1</t>
        </is>
      </c>
      <c r="K16" s="53" t="inlineStr">
        <is>
          <t>Да</t>
        </is>
      </c>
      <c r="L16" s="53" t="inlineStr">
        <is>
          <t>Да</t>
        </is>
      </c>
      <c r="M16" s="53" t="inlineStr">
        <is>
          <t>До 25</t>
        </is>
      </c>
      <c r="N16" s="54" t="n">
        <v>8400</v>
      </c>
      <c r="O16" s="55" t="inlineStr">
        <is>
          <t>16–30</t>
        </is>
      </c>
      <c r="P16" s="16" t="inlineStr">
        <is>
          <t>ССЧР + ОКВЭД обогащены</t>
        </is>
      </c>
      <c r="Q16" s="16" t="inlineStr">
        <is>
          <t>ФНС открытые данные ССЧР (ДатаСост 31.12.2025; набор 7707329152-sshr2019)</t>
        </is>
      </c>
      <c r="R16" s="16" t="inlineStr">
        <is>
          <t>ЕГРЮЛ / egrul.nalog.ru (выписка)</t>
        </is>
      </c>
      <c r="S16" t="n">
        <v>1</v>
      </c>
      <c r="T16" s="35" t="inlineStr">
        <is>
          <t>1 — Горячий</t>
        </is>
      </c>
      <c r="U16" s="35" t="inlineStr">
        <is>
          <t>ОКВЭД + 22+</t>
        </is>
      </c>
      <c r="V16" s="35" t="inlineStr">
        <is>
          <t>Да</t>
        </is>
      </c>
      <c r="W16" s="35" t="inlineStr">
        <is>
          <t>Да</t>
        </is>
      </c>
      <c r="X16" s="35" t="inlineStr">
        <is>
          <t>Да</t>
        </is>
      </c>
    </row>
    <row r="17" ht="15" customHeight="1" s="24">
      <c r="A17" s="13" t="n">
        <v>20015402932</v>
      </c>
      <c r="B17" s="13" t="inlineStr">
        <is>
          <t>ООО "Сетевая компания «ЭнергоСервис"</t>
        </is>
      </c>
      <c r="C17" s="13" t="n">
        <v>3849055703</v>
      </c>
      <c r="D17" s="13" t="inlineStr">
        <is>
          <t>3849055703</t>
        </is>
      </c>
      <c r="E17" s="13" t="inlineStr">
        <is>
          <t>ЮЛ РФ</t>
        </is>
      </c>
      <c r="F17" s="13" t="inlineStr">
        <is>
          <t>не работают с трн</t>
        </is>
      </c>
      <c r="G17" s="52" t="n">
        <v>3</v>
      </c>
      <c r="H17" s="52" t="n">
        <v>2025</v>
      </c>
      <c r="I17" s="14" t="n"/>
      <c r="J17" s="14" t="n"/>
      <c r="K17" s="53" t="inlineStr">
        <is>
          <t>Нет</t>
        </is>
      </c>
      <c r="L17" s="53" t="inlineStr">
        <is>
          <t>Не определено</t>
        </is>
      </c>
      <c r="M17" s="53" t="inlineStr">
        <is>
          <t>До 10</t>
        </is>
      </c>
      <c r="N17" s="54" t="n">
        <v>3360</v>
      </c>
      <c r="O17" s="55" t="inlineStr">
        <is>
          <t>1–15</t>
        </is>
      </c>
      <c r="P17" s="16" t="inlineStr">
        <is>
          <t>ССЧР обогащена; ОКВЭД не найден/не загружен</t>
        </is>
      </c>
      <c r="Q17" s="16" t="inlineStr">
        <is>
          <t>ФНС открытые данные ССЧР (ДатаСост 31.12.2025; набор 7707329152-sshr2019)</t>
        </is>
      </c>
      <c r="R17" s="16">
        <f>HYPERLINK("https://checko.ru/search?query=3801001629","Чекко: проверить")</f>
        <v/>
      </c>
      <c r="S17" t="n">
        <v>1</v>
      </c>
      <c r="T17" s="35" t="inlineStr">
        <is>
          <t>4 — Не обогащён</t>
        </is>
      </c>
      <c r="U17" s="35" t="inlineStr">
        <is>
          <t>Нет ОКВЭД/ССЧР</t>
        </is>
      </c>
      <c r="V17" s="35" t="inlineStr">
        <is>
          <t>Не определено</t>
        </is>
      </c>
      <c r="W17" s="35" t="inlineStr">
        <is>
          <t>Нет</t>
        </is>
      </c>
      <c r="X17" s="35" t="inlineStr"/>
    </row>
    <row r="18" ht="15" customHeight="1" s="24">
      <c r="A18" s="13" t="n">
        <v>9875412</v>
      </c>
      <c r="B18" s="13" t="inlineStr">
        <is>
          <t>ООО "ИНФОТЕХ"</t>
        </is>
      </c>
      <c r="C18" s="13" t="n">
        <v>3811442862</v>
      </c>
      <c r="D18" s="13" t="inlineStr">
        <is>
          <t>3811442862</t>
        </is>
      </c>
      <c r="E18" s="13" t="inlineStr">
        <is>
          <t>ЮЛ РФ</t>
        </is>
      </c>
      <c r="F18" s="13" t="inlineStr">
        <is>
          <t>оквед не тот</t>
        </is>
      </c>
      <c r="G18" s="52" t="n">
        <v>9</v>
      </c>
      <c r="H18" s="52" t="n">
        <v>2025</v>
      </c>
      <c r="I18" s="14" t="n"/>
      <c r="J18" s="14" t="n"/>
      <c r="K18" s="53" t="inlineStr">
        <is>
          <t>Нет</t>
        </is>
      </c>
      <c r="L18" s="53" t="inlineStr">
        <is>
          <t>Не определено</t>
        </is>
      </c>
      <c r="M18" s="53" t="inlineStr">
        <is>
          <t>До 10</t>
        </is>
      </c>
      <c r="N18" s="54" t="n">
        <v>3360</v>
      </c>
      <c r="O18" s="55" t="inlineStr">
        <is>
          <t>1–15</t>
        </is>
      </c>
      <c r="P18" s="16" t="inlineStr">
        <is>
          <t>ССЧР обогащена; ОКВЭД не найден/не загружен</t>
        </is>
      </c>
      <c r="Q18" s="16" t="inlineStr">
        <is>
          <t>ФНС открытые данные ССЧР (ДатаСост 31.12.2025; набор 7707329152-sshr2019)</t>
        </is>
      </c>
      <c r="R18" s="16">
        <f>HYPERLINK("https://checko.ru/search?query=3801001629","Чекко: проверить")</f>
        <v/>
      </c>
      <c r="S18" t="n">
        <v>1</v>
      </c>
      <c r="T18" s="35" t="inlineStr">
        <is>
          <t>4 — Не обогащён</t>
        </is>
      </c>
      <c r="U18" s="35" t="inlineStr">
        <is>
          <t>Нет ОКВЭД/ССЧР</t>
        </is>
      </c>
      <c r="V18" s="35" t="inlineStr">
        <is>
          <t>Не определено</t>
        </is>
      </c>
      <c r="W18" s="35" t="inlineStr">
        <is>
          <t>Нет</t>
        </is>
      </c>
      <c r="X18" s="35" t="inlineStr"/>
    </row>
    <row r="19" ht="15" customHeight="1" s="24">
      <c r="A19" s="13" t="n">
        <v>9707072</v>
      </c>
      <c r="B19" s="13" t="inlineStr">
        <is>
          <t>ООО "БАЙКАЛБИЗНЕСБАЛАНС"</t>
        </is>
      </c>
      <c r="C19" s="13" t="n">
        <v>3811143943</v>
      </c>
      <c r="D19" s="13" t="inlineStr">
        <is>
          <t>3811143943</t>
        </is>
      </c>
      <c r="E19" s="13" t="inlineStr">
        <is>
          <t>ЮЛ РФ</t>
        </is>
      </c>
      <c r="F19" s="13" t="inlineStr">
        <is>
          <t>оквед не тот</t>
        </is>
      </c>
      <c r="G19" s="52" t="n">
        <v>3</v>
      </c>
      <c r="H19" s="52" t="n">
        <v>2025</v>
      </c>
      <c r="I19" s="14" t="n"/>
      <c r="J19" s="14" t="n"/>
      <c r="K19" s="53" t="inlineStr">
        <is>
          <t>Нет</t>
        </is>
      </c>
      <c r="L19" s="53" t="inlineStr">
        <is>
          <t>Не определено</t>
        </is>
      </c>
      <c r="M19" s="53" t="inlineStr">
        <is>
          <t>До 10</t>
        </is>
      </c>
      <c r="N19" s="54" t="n">
        <v>3360</v>
      </c>
      <c r="O19" s="55" t="inlineStr">
        <is>
          <t>1–15</t>
        </is>
      </c>
      <c r="P19" s="16" t="inlineStr">
        <is>
          <t>ССЧР обогащена; ОКВЭД не найден/не загружен</t>
        </is>
      </c>
      <c r="Q19" s="16" t="inlineStr">
        <is>
          <t>ФНС открытые данные ССЧР (ДатаСост 31.12.2025; набор 7707329152-sshr2019)</t>
        </is>
      </c>
      <c r="R19" s="16">
        <f>HYPERLINK("https://checko.ru/search?query=3801001629","Чекко: проверить")</f>
        <v/>
      </c>
      <c r="S19" t="n">
        <v>1</v>
      </c>
      <c r="T19" s="35" t="inlineStr">
        <is>
          <t>4 — Не обогащён</t>
        </is>
      </c>
      <c r="U19" s="35" t="inlineStr">
        <is>
          <t>Нет ОКВЭД/ССЧР</t>
        </is>
      </c>
      <c r="V19" s="35" t="inlineStr">
        <is>
          <t>Не определено</t>
        </is>
      </c>
      <c r="W19" s="35" t="inlineStr">
        <is>
          <t>Нет</t>
        </is>
      </c>
      <c r="X19" s="35" t="inlineStr"/>
    </row>
    <row r="20" ht="41.25" customHeight="1" s="24">
      <c r="A20" s="13" t="n">
        <v>9893586</v>
      </c>
      <c r="B20" s="13" t="inlineStr">
        <is>
          <t>Первичная профсоюзная организация Иркутской государственной ордена "Знак почета" областной клинической больницы</t>
        </is>
      </c>
      <c r="C20" s="13" t="n">
        <v>3812054703</v>
      </c>
      <c r="D20" s="13" t="inlineStr">
        <is>
          <t>3812054703</t>
        </is>
      </c>
      <c r="E20" s="13" t="inlineStr">
        <is>
          <t>ЮЛ РФ</t>
        </is>
      </c>
      <c r="F20" s="13" t="inlineStr">
        <is>
          <t>. профсоюз</t>
        </is>
      </c>
      <c r="G20" s="14" t="n"/>
      <c r="H20" s="14" t="n"/>
      <c r="I20" s="14" t="n"/>
      <c r="J20" s="14" t="n"/>
      <c r="K20" s="53" t="inlineStr"/>
      <c r="L20" s="53" t="inlineStr">
        <is>
          <t>Не определено</t>
        </is>
      </c>
      <c r="M20" s="53" t="inlineStr"/>
      <c r="N20" s="54" t="inlineStr"/>
      <c r="O20" s="55" t="inlineStr"/>
      <c r="P20" s="16" t="inlineStr">
        <is>
          <t>Требует обогащения</t>
        </is>
      </c>
      <c r="Q20" s="16">
        <f>HYPERLINK("https://pb.nalog.ru/search.html?query=3812054703","ФНС: проверить")</f>
        <v/>
      </c>
      <c r="R20" s="16">
        <f>HYPERLINK("https://checko.ru/search?query=3801001629","Чекко: проверить")</f>
        <v/>
      </c>
      <c r="S20" t="n">
        <v>1</v>
      </c>
      <c r="T20" s="35" t="inlineStr">
        <is>
          <t>4 — Не обогащён</t>
        </is>
      </c>
      <c r="U20" s="35" t="inlineStr">
        <is>
          <t>Нет ОКВЭД/ССЧР</t>
        </is>
      </c>
      <c r="V20" s="35" t="inlineStr">
        <is>
          <t>Не определено</t>
        </is>
      </c>
      <c r="W20" s="35" t="inlineStr"/>
      <c r="X20" s="35" t="inlineStr"/>
    </row>
    <row r="21" ht="27.75" customHeight="1" s="24">
      <c r="A21" s="13" t="n">
        <v>9802010</v>
      </c>
      <c r="B21" s="13" t="inlineStr">
        <is>
          <t>ООО "Прибайкальская электросетевая компания"</t>
        </is>
      </c>
      <c r="C21" s="13" t="n">
        <v>3827032533</v>
      </c>
      <c r="D21" s="13" t="inlineStr">
        <is>
          <t>3827032533</t>
        </is>
      </c>
      <c r="E21" s="13" t="inlineStr">
        <is>
          <t>ЮЛ РФ</t>
        </is>
      </c>
      <c r="F21" s="13" t="inlineStr">
        <is>
          <t>подходят ндз, нет воз связаться</t>
        </is>
      </c>
      <c r="G21" s="52" t="n">
        <v>5</v>
      </c>
      <c r="H21" s="52" t="n">
        <v>2025</v>
      </c>
      <c r="I21" s="14" t="n"/>
      <c r="J21" s="14" t="n"/>
      <c r="K21" s="53" t="inlineStr">
        <is>
          <t>Нет</t>
        </is>
      </c>
      <c r="L21" s="53" t="inlineStr">
        <is>
          <t>Не определено</t>
        </is>
      </c>
      <c r="M21" s="53" t="inlineStr">
        <is>
          <t>До 10</t>
        </is>
      </c>
      <c r="N21" s="54" t="n">
        <v>3360</v>
      </c>
      <c r="O21" s="55" t="inlineStr">
        <is>
          <t>1–15</t>
        </is>
      </c>
      <c r="P21" s="16" t="inlineStr">
        <is>
          <t>ССЧР обогащена; ОКВЭД не найден/не загружен</t>
        </is>
      </c>
      <c r="Q21" s="16" t="inlineStr">
        <is>
          <t>ФНС открытые данные ССЧР (ДатаСост 31.12.2025; набор 7707329152-sshr2019)</t>
        </is>
      </c>
      <c r="R21" s="16">
        <f>HYPERLINK("https://checko.ru/search?query=3801001629","Чекко: проверить")</f>
        <v/>
      </c>
      <c r="S21" t="n">
        <v>1</v>
      </c>
      <c r="T21" s="35" t="inlineStr">
        <is>
          <t>4 — Не обогащён</t>
        </is>
      </c>
      <c r="U21" s="35" t="inlineStr">
        <is>
          <t>Нет ОКВЭД/ССЧР</t>
        </is>
      </c>
      <c r="V21" s="35" t="inlineStr">
        <is>
          <t>Не определено</t>
        </is>
      </c>
      <c r="W21" s="35" t="inlineStr">
        <is>
          <t>Нет</t>
        </is>
      </c>
      <c r="X21" s="35" t="inlineStr"/>
    </row>
    <row r="22" ht="15" customHeight="1" s="24">
      <c r="A22" s="13" t="n">
        <v>804668076</v>
      </c>
      <c r="B22" s="13" t="inlineStr">
        <is>
          <t>ООО "Экспортлес"</t>
        </is>
      </c>
      <c r="C22" s="13" t="n">
        <v>381109954</v>
      </c>
      <c r="D22" s="13" t="inlineStr">
        <is>
          <t>3811099540</t>
        </is>
      </c>
      <c r="E22" s="13" t="inlineStr">
        <is>
          <t>ЮЛ РФ</t>
        </is>
      </c>
      <c r="F22" s="13" t="inlineStr">
        <is>
          <t>не работают с трн</t>
        </is>
      </c>
      <c r="G22" s="52" t="n">
        <v>2</v>
      </c>
      <c r="H22" s="52" t="n">
        <v>2025</v>
      </c>
      <c r="I22" s="14" t="n"/>
      <c r="J22" s="14" t="n"/>
      <c r="K22" s="53" t="inlineStr">
        <is>
          <t>Нет</t>
        </is>
      </c>
      <c r="L22" s="53" t="inlineStr">
        <is>
          <t>Не определено</t>
        </is>
      </c>
      <c r="M22" s="53" t="inlineStr">
        <is>
          <t>До 10</t>
        </is>
      </c>
      <c r="N22" s="54" t="n">
        <v>3360</v>
      </c>
      <c r="O22" s="55" t="inlineStr">
        <is>
          <t>1–15</t>
        </is>
      </c>
      <c r="P22" s="16" t="inlineStr">
        <is>
          <t>ССЧР обогащена; ОКВЭД не найден/не загружен</t>
        </is>
      </c>
      <c r="Q22" s="16" t="inlineStr">
        <is>
          <t>ФНС открытые данные ССЧР (ДатаСост 31.12.2025; набор 7707329152-sshr2019)</t>
        </is>
      </c>
      <c r="R22" s="16">
        <f>HYPERLINK("https://checko.ru/search?query=3801001629","Чекко: проверить")</f>
        <v/>
      </c>
      <c r="S22" t="n">
        <v>1</v>
      </c>
      <c r="T22" s="35" t="inlineStr">
        <is>
          <t>4 — Не обогащён</t>
        </is>
      </c>
      <c r="U22" s="35" t="inlineStr">
        <is>
          <t>Нет ОКВЭД/ССЧР</t>
        </is>
      </c>
      <c r="V22" s="35" t="inlineStr">
        <is>
          <t>Не определено</t>
        </is>
      </c>
      <c r="W22" s="35" t="inlineStr">
        <is>
          <t>Нет</t>
        </is>
      </c>
      <c r="X22" s="35" t="inlineStr"/>
    </row>
    <row r="23" ht="15" customHeight="1" s="24">
      <c r="A23" s="13" t="n">
        <v>800545533</v>
      </c>
      <c r="B23" s="13" t="inlineStr">
        <is>
          <t>АО "Облако"</t>
        </is>
      </c>
      <c r="C23" s="13" t="n">
        <v>3812127687</v>
      </c>
      <c r="D23" s="13" t="inlineStr">
        <is>
          <t>3812127687</t>
        </is>
      </c>
      <c r="E23" s="13" t="inlineStr">
        <is>
          <t>ЮЛ РФ</t>
        </is>
      </c>
      <c r="F23" s="13" t="inlineStr">
        <is>
          <t>оквед не тот</t>
        </is>
      </c>
      <c r="G23" s="52" t="n">
        <v>16</v>
      </c>
      <c r="H23" s="52" t="n">
        <v>2025</v>
      </c>
      <c r="I23" s="14" t="n"/>
      <c r="J23" s="14" t="n"/>
      <c r="K23" s="53" t="inlineStr">
        <is>
          <t>Нет</t>
        </is>
      </c>
      <c r="L23" s="53" t="inlineStr">
        <is>
          <t>Не определено</t>
        </is>
      </c>
      <c r="M23" s="53" t="inlineStr">
        <is>
          <t>До 25</t>
        </is>
      </c>
      <c r="N23" s="54" t="n">
        <v>8400</v>
      </c>
      <c r="O23" s="55" t="inlineStr">
        <is>
          <t>16–30</t>
        </is>
      </c>
      <c r="P23" s="16" t="inlineStr">
        <is>
          <t>ССЧР обогащена; ОКВЭД не найден/не загружен</t>
        </is>
      </c>
      <c r="Q23" s="16" t="inlineStr">
        <is>
          <t>ФНС открытые данные ССЧР (ДатаСост 31.12.2025; набор 7707329152-sshr2019)</t>
        </is>
      </c>
      <c r="R23" s="16">
        <f>HYPERLINK("https://checko.ru/search?query=3801001629","Чекко: проверить")</f>
        <v/>
      </c>
      <c r="S23" t="n">
        <v>1</v>
      </c>
      <c r="T23" s="35" t="inlineStr">
        <is>
          <t>4 — Не обогащён</t>
        </is>
      </c>
      <c r="U23" s="35" t="inlineStr">
        <is>
          <t>Нет ОКВЭД/ССЧР</t>
        </is>
      </c>
      <c r="V23" s="35" t="inlineStr">
        <is>
          <t>Не определено</t>
        </is>
      </c>
      <c r="W23" s="35" t="inlineStr">
        <is>
          <t>Нет</t>
        </is>
      </c>
      <c r="X23" s="35" t="inlineStr"/>
    </row>
    <row r="24" ht="15" customHeight="1" s="24">
      <c r="A24" s="13" t="n">
        <v>9252299</v>
      </c>
      <c r="B24" s="13" t="inlineStr">
        <is>
          <t>Жилищное хозяйство ООО</t>
        </is>
      </c>
      <c r="C24" s="13" t="n">
        <v>1434045790</v>
      </c>
      <c r="D24" s="13" t="inlineStr">
        <is>
          <t>1434045790</t>
        </is>
      </c>
      <c r="E24" s="13" t="inlineStr">
        <is>
          <t>ЮЛ РФ</t>
        </is>
      </c>
      <c r="F24" s="13" t="inlineStr">
        <is>
          <t>ндз, ндз2, ндз3</t>
        </is>
      </c>
      <c r="G24" s="52" t="n">
        <v>17</v>
      </c>
      <c r="H24" s="52" t="n">
        <v>2025</v>
      </c>
      <c r="I24" s="14" t="n"/>
      <c r="J24" s="14" t="n"/>
      <c r="K24" s="53" t="inlineStr">
        <is>
          <t>Нет</t>
        </is>
      </c>
      <c r="L24" s="53" t="inlineStr">
        <is>
          <t>Не определено</t>
        </is>
      </c>
      <c r="M24" s="53" t="inlineStr">
        <is>
          <t>До 25</t>
        </is>
      </c>
      <c r="N24" s="54" t="n">
        <v>8400</v>
      </c>
      <c r="O24" s="55" t="inlineStr">
        <is>
          <t>16–30</t>
        </is>
      </c>
      <c r="P24" s="16" t="inlineStr">
        <is>
          <t>ССЧР обогащена; ОКВЭД не найден/не загружен</t>
        </is>
      </c>
      <c r="Q24" s="16" t="inlineStr">
        <is>
          <t>ФНС открытые данные ССЧР (ДатаСост 31.12.2025; набор 7707329152-sshr2019)</t>
        </is>
      </c>
      <c r="R24" s="16">
        <f>HYPERLINK("https://checko.ru/search?query=3801001629","Чекко: проверить")</f>
        <v/>
      </c>
      <c r="S24" t="n">
        <v>1</v>
      </c>
      <c r="T24" s="35" t="inlineStr">
        <is>
          <t>4 — Не обогащён</t>
        </is>
      </c>
      <c r="U24" s="35" t="inlineStr">
        <is>
          <t>Нет ОКВЭД/ССЧР</t>
        </is>
      </c>
      <c r="V24" s="35" t="inlineStr">
        <is>
          <t>Не определено</t>
        </is>
      </c>
      <c r="W24" s="35" t="inlineStr">
        <is>
          <t>Нет</t>
        </is>
      </c>
      <c r="X24" s="35" t="inlineStr"/>
    </row>
    <row r="25" ht="15" customHeight="1" s="24">
      <c r="A25" s="13" t="n">
        <v>802460214</v>
      </c>
      <c r="B25" s="13" t="inlineStr">
        <is>
          <t>ИП Чубаков Руслан Валерьевич</t>
        </is>
      </c>
      <c r="C25" s="13" t="n">
        <v>382552017976</v>
      </c>
      <c r="D25" s="13" t="inlineStr">
        <is>
          <t>382552017976</t>
        </is>
      </c>
      <c r="E25" s="13" t="inlineStr">
        <is>
          <t>ИП РФ / физлицо</t>
        </is>
      </c>
      <c r="F25" s="13" t="inlineStr">
        <is>
          <t>оквед не тот</t>
        </is>
      </c>
      <c r="G25" s="14" t="n"/>
      <c r="H25" s="14" t="n"/>
      <c r="I25" s="14" t="n"/>
      <c r="J25" s="14" t="n"/>
      <c r="K25" s="53" t="inlineStr"/>
      <c r="L25" s="53" t="inlineStr">
        <is>
          <t>Не определено</t>
        </is>
      </c>
      <c r="M25" s="53" t="inlineStr"/>
      <c r="N25" s="54" t="inlineStr"/>
      <c r="O25" s="55" t="inlineStr"/>
      <c r="P25" s="16" t="inlineStr">
        <is>
          <t>Требует обогащения</t>
        </is>
      </c>
      <c r="Q25" s="16">
        <f>HYPERLINK("https://pb.nalog.ru/search.html?query=382552017976","ФНС: проверить")</f>
        <v/>
      </c>
      <c r="R25" s="16">
        <f>HYPERLINK("https://checko.ru/search?query=3801001629","Чекко: проверить")</f>
        <v/>
      </c>
      <c r="S25" t="n">
        <v>1</v>
      </c>
      <c r="T25" s="35" t="inlineStr">
        <is>
          <t>4 — Не обогащён</t>
        </is>
      </c>
      <c r="U25" s="35" t="inlineStr">
        <is>
          <t>Нет ОКВЭД/ССЧР</t>
        </is>
      </c>
      <c r="V25" s="35" t="inlineStr">
        <is>
          <t>Не определено</t>
        </is>
      </c>
      <c r="W25" s="35" t="inlineStr"/>
      <c r="X25" s="35" t="inlineStr"/>
    </row>
    <row r="26" ht="15" customHeight="1" s="24">
      <c r="A26" s="13" t="n">
        <v>802463325</v>
      </c>
      <c r="B26" s="13" t="inlineStr">
        <is>
          <t>ООО "ТЕРМИНАЛ ЛЕНАРЕЧТРАНС"</t>
        </is>
      </c>
      <c r="C26" s="13" t="n">
        <v>3818043360</v>
      </c>
      <c r="D26" s="13" t="inlineStr">
        <is>
          <t>3818043360</t>
        </is>
      </c>
      <c r="E26" s="13" t="inlineStr">
        <is>
          <t>ЮЛ РФ</t>
        </is>
      </c>
      <c r="F26" s="13" t="inlineStr">
        <is>
          <t>у них контур логистика</t>
        </is>
      </c>
      <c r="G26" s="52" t="n">
        <v>248</v>
      </c>
      <c r="H26" s="52" t="n">
        <v>2025</v>
      </c>
      <c r="I26" s="52" t="inlineStr">
        <is>
          <t>50.40.1</t>
        </is>
      </c>
      <c r="J26" s="52" t="inlineStr">
        <is>
          <t>50.40.1; 49.41.1; 52.10.9; 52.24.2; 46.13.1; 46.73.1; 46.73.2; 47.52.71; 49.41.2; 49.41.3; 50.30.2; 50.40; 50.40.2; 52.10; 52.21; 52.22.2; 52.24; 52.24.1; 52.29</t>
        </is>
      </c>
      <c r="K26" s="53" t="inlineStr">
        <is>
          <t>Да</t>
        </is>
      </c>
      <c r="L26" s="53" t="inlineStr">
        <is>
          <t>Да</t>
        </is>
      </c>
      <c r="M26" s="53" t="inlineStr">
        <is>
          <t>До 500</t>
        </is>
      </c>
      <c r="N26" s="54" t="n">
        <v>144000</v>
      </c>
      <c r="O26" s="55" t="inlineStr">
        <is>
          <t>201–500</t>
        </is>
      </c>
      <c r="P26" s="16" t="inlineStr">
        <is>
          <t>ССЧР + ОКВЭД обогащены</t>
        </is>
      </c>
      <c r="Q26" s="16" t="inlineStr">
        <is>
          <t>ФНС открытые данные ССЧР (ДатаСост 31.12.2025; набор 7707329152-sshr2019)</t>
        </is>
      </c>
      <c r="R26" s="16" t="inlineStr">
        <is>
          <t>ЕГРЮЛ / egrul.nalog.ru (выписка)</t>
        </is>
      </c>
      <c r="S26" t="n">
        <v>1</v>
      </c>
      <c r="T26" s="35" t="inlineStr">
        <is>
          <t>1 — Горячий</t>
        </is>
      </c>
      <c r="U26" s="35" t="inlineStr">
        <is>
          <t>ОКВЭД + 22+</t>
        </is>
      </c>
      <c r="V26" s="35" t="inlineStr">
        <is>
          <t>Да</t>
        </is>
      </c>
      <c r="W26" s="35" t="inlineStr">
        <is>
          <t>Да</t>
        </is>
      </c>
      <c r="X26" s="35" t="inlineStr">
        <is>
          <t>Да</t>
        </is>
      </c>
    </row>
    <row r="27" ht="15" customHeight="1" s="24">
      <c r="A27" s="13" t="n">
        <v>800471226</v>
      </c>
      <c r="B27" s="13" t="inlineStr">
        <is>
          <t>ООО Сектор</t>
        </is>
      </c>
      <c r="C27" s="13" t="n">
        <v>3821015010</v>
      </c>
      <c r="D27" s="13" t="inlineStr">
        <is>
          <t>3821015010</t>
        </is>
      </c>
      <c r="E27" s="13" t="inlineStr">
        <is>
          <t>ЮЛ РФ</t>
        </is>
      </c>
      <c r="F27" s="13" t="inlineStr">
        <is>
          <t>не исп тр накладные</t>
        </is>
      </c>
      <c r="G27" s="52" t="n">
        <v>4</v>
      </c>
      <c r="H27" s="52" t="n">
        <v>2025</v>
      </c>
      <c r="I27" s="14" t="n"/>
      <c r="J27" s="14" t="n"/>
      <c r="K27" s="53" t="inlineStr">
        <is>
          <t>Нет</t>
        </is>
      </c>
      <c r="L27" s="53" t="inlineStr">
        <is>
          <t>Не определено</t>
        </is>
      </c>
      <c r="M27" s="53" t="inlineStr">
        <is>
          <t>До 10</t>
        </is>
      </c>
      <c r="N27" s="54" t="n">
        <v>3360</v>
      </c>
      <c r="O27" s="55" t="inlineStr">
        <is>
          <t>1–15</t>
        </is>
      </c>
      <c r="P27" s="16" t="inlineStr">
        <is>
          <t>ССЧР обогащена; ОКВЭД не найден/не загружен</t>
        </is>
      </c>
      <c r="Q27" s="16" t="inlineStr">
        <is>
          <t>ФНС открытые данные ССЧР (ДатаСост 31.12.2025; набор 7707329152-sshr2019)</t>
        </is>
      </c>
      <c r="R27" s="16">
        <f>HYPERLINK("https://checko.ru/search?query=3801001629","Чекко: проверить")</f>
        <v/>
      </c>
      <c r="S27" t="n">
        <v>1</v>
      </c>
      <c r="T27" s="35" t="inlineStr">
        <is>
          <t>4 — Не обогащён</t>
        </is>
      </c>
      <c r="U27" s="35" t="inlineStr">
        <is>
          <t>Нет ОКВЭД/ССЧР</t>
        </is>
      </c>
      <c r="V27" s="35" t="inlineStr">
        <is>
          <t>Не определено</t>
        </is>
      </c>
      <c r="W27" s="35" t="inlineStr">
        <is>
          <t>Нет</t>
        </is>
      </c>
      <c r="X27" s="35" t="inlineStr"/>
    </row>
    <row r="28" ht="15" customHeight="1" s="24">
      <c r="A28" s="13" t="n">
        <v>9832968</v>
      </c>
      <c r="B28" s="13" t="inlineStr">
        <is>
          <t>ООО "Электро Мотор Ремонт"</t>
        </is>
      </c>
      <c r="C28" s="13" t="n">
        <v>3804042888</v>
      </c>
      <c r="D28" s="13" t="inlineStr">
        <is>
          <t>3804042888</t>
        </is>
      </c>
      <c r="E28" s="13" t="inlineStr">
        <is>
          <t>ЮЛ РФ</t>
        </is>
      </c>
      <c r="F28" s="13" t="inlineStr">
        <is>
          <t>оквед не тот</t>
        </is>
      </c>
      <c r="G28" s="52" t="n">
        <v>23</v>
      </c>
      <c r="H28" s="52" t="n">
        <v>2025</v>
      </c>
      <c r="I28" s="52" t="inlineStr">
        <is>
          <t>33.14</t>
        </is>
      </c>
      <c r="J28" s="52" t="inlineStr">
        <is>
          <t>33.14; 33.12; 33.20; 35.12; 43.21; 71.20.3; 71.20.4; 71.20.9</t>
        </is>
      </c>
      <c r="K28" s="53" t="inlineStr">
        <is>
          <t>Да</t>
        </is>
      </c>
      <c r="L28" s="53" t="inlineStr">
        <is>
          <t>Да</t>
        </is>
      </c>
      <c r="M28" s="53" t="inlineStr">
        <is>
          <t>До 25</t>
        </is>
      </c>
      <c r="N28" s="54" t="n">
        <v>8400</v>
      </c>
      <c r="O28" s="55" t="inlineStr">
        <is>
          <t>16–30</t>
        </is>
      </c>
      <c r="P28" s="16" t="inlineStr">
        <is>
          <t>ССЧР + ОКВЭД обогащены</t>
        </is>
      </c>
      <c r="Q28" s="16" t="inlineStr">
        <is>
          <t>ФНС открытые данные ССЧР (ДатаСост 31.12.2025; набор 7707329152-sshr2019)</t>
        </is>
      </c>
      <c r="R28" s="16" t="inlineStr">
        <is>
          <t>ЕГРЮЛ / egrul.nalog.ru (выписка)</t>
        </is>
      </c>
      <c r="S28" t="n">
        <v>1</v>
      </c>
      <c r="T28" s="35" t="inlineStr">
        <is>
          <t>1 — Горячий</t>
        </is>
      </c>
      <c r="U28" s="35" t="inlineStr">
        <is>
          <t>ОКВЭД + 22+</t>
        </is>
      </c>
      <c r="V28" s="35" t="inlineStr">
        <is>
          <t>Да</t>
        </is>
      </c>
      <c r="W28" s="35" t="inlineStr">
        <is>
          <t>Да</t>
        </is>
      </c>
      <c r="X28" s="35" t="inlineStr">
        <is>
          <t>Да</t>
        </is>
      </c>
    </row>
    <row r="29" ht="27.75" customHeight="1" s="24">
      <c r="A29" s="13" t="n">
        <v>802298111</v>
      </c>
      <c r="B29" s="13" t="inlineStr">
        <is>
          <t>ООО "СТАТУССИБ"</t>
        </is>
      </c>
      <c r="C29" s="13" t="n">
        <v>3827014037</v>
      </c>
      <c r="D29" s="13" t="inlineStr">
        <is>
          <t>3827014037</t>
        </is>
      </c>
      <c r="E29" s="13" t="inlineStr">
        <is>
          <t>ЮЛ РФ</t>
        </is>
      </c>
      <c r="F29" s="13" t="inlineStr">
        <is>
          <t>перезвонить марианне, выставила счет</t>
        </is>
      </c>
      <c r="G29" s="52" t="n">
        <v>433</v>
      </c>
      <c r="H29" s="52" t="n">
        <v>2025</v>
      </c>
      <c r="I29" s="52" t="inlineStr">
        <is>
          <t>42.11</t>
        </is>
      </c>
      <c r="J29" s="52" t="inlineStr">
        <is>
          <t>42.11; 02.10; 02.20; 16.10; 16.10.9; 16.23.1; 31.09; 38.32.2; 38.32.3; 38.32.4; 41.20; 42.13; 43.39; 43.99.7; 46.49; 46.90; 47.30; 47.78.9; 47.79.3; 52.21.22; 52.21.23; 56.10; 56.10.1; 56.10.3; 70.22; 77.11; 77.12; 79.11; 82.99</t>
        </is>
      </c>
      <c r="K29" s="53" t="inlineStr">
        <is>
          <t>Да</t>
        </is>
      </c>
      <c r="L29" s="53" t="inlineStr">
        <is>
          <t>Да</t>
        </is>
      </c>
      <c r="M29" s="53" t="inlineStr">
        <is>
          <t>До 500</t>
        </is>
      </c>
      <c r="N29" s="54" t="n">
        <v>144000</v>
      </c>
      <c r="O29" s="55" t="inlineStr">
        <is>
          <t>201–500</t>
        </is>
      </c>
      <c r="P29" s="16" t="inlineStr">
        <is>
          <t>ССЧР + ОКВЭД обогащены</t>
        </is>
      </c>
      <c r="Q29" s="16" t="inlineStr">
        <is>
          <t>ФНС открытые данные ССЧР (ДатаСост 31.12.2025; набор 7707329152-sshr2019)</t>
        </is>
      </c>
      <c r="R29" s="16" t="inlineStr">
        <is>
          <t>ЕГРЮЛ / egrul.nalog.ru (выписка)</t>
        </is>
      </c>
      <c r="S29" t="n">
        <v>1</v>
      </c>
      <c r="T29" s="35" t="inlineStr">
        <is>
          <t>1 — Горячий</t>
        </is>
      </c>
      <c r="U29" s="35" t="inlineStr">
        <is>
          <t>ОКВЭД + 22+</t>
        </is>
      </c>
      <c r="V29" s="35" t="inlineStr">
        <is>
          <t>Да</t>
        </is>
      </c>
      <c r="W29" s="35" t="inlineStr">
        <is>
          <t>Да</t>
        </is>
      </c>
      <c r="X29" s="35" t="inlineStr">
        <is>
          <t>Да</t>
        </is>
      </c>
    </row>
    <row r="30" ht="27.75" customHeight="1" s="24">
      <c r="A30" s="13" t="n">
        <v>804691216</v>
      </c>
      <c r="B30" s="13" t="inlineStr">
        <is>
          <t>Общество с ограниченной ответственностью СК "Квадр"</t>
        </is>
      </c>
      <c r="C30" s="13" t="n">
        <v>3812057366</v>
      </c>
      <c r="D30" s="13" t="inlineStr">
        <is>
          <t>3812057366</t>
        </is>
      </c>
      <c r="E30" s="13" t="inlineStr">
        <is>
          <t>ЮЛ РФ</t>
        </is>
      </c>
      <c r="F30" s="13" t="inlineStr">
        <is>
          <t>со сбисом работать будут</t>
        </is>
      </c>
      <c r="G30" s="52" t="n">
        <v>20</v>
      </c>
      <c r="H30" s="52" t="n">
        <v>2025</v>
      </c>
      <c r="I30" s="14" t="n"/>
      <c r="J30" s="14" t="n"/>
      <c r="K30" s="53" t="inlineStr">
        <is>
          <t>Нет</t>
        </is>
      </c>
      <c r="L30" s="53" t="inlineStr">
        <is>
          <t>Не определено</t>
        </is>
      </c>
      <c r="M30" s="53" t="inlineStr">
        <is>
          <t>До 25</t>
        </is>
      </c>
      <c r="N30" s="54" t="n">
        <v>8400</v>
      </c>
      <c r="O30" s="55" t="inlineStr">
        <is>
          <t>16–30</t>
        </is>
      </c>
      <c r="P30" s="16" t="inlineStr">
        <is>
          <t>ССЧР обогащена; ОКВЭД не найден/не загружен</t>
        </is>
      </c>
      <c r="Q30" s="16" t="inlineStr">
        <is>
          <t>ФНС открытые данные ССЧР (ДатаСост 31.12.2025; набор 7707329152-sshr2019)</t>
        </is>
      </c>
      <c r="R30" s="16">
        <f>HYPERLINK("https://checko.ru/search?query=3801001629","Чекко: проверить")</f>
        <v/>
      </c>
      <c r="S30" t="n">
        <v>1</v>
      </c>
      <c r="T30" s="35" t="inlineStr">
        <is>
          <t>4 — Не обогащён</t>
        </is>
      </c>
      <c r="U30" s="35" t="inlineStr">
        <is>
          <t>Нет ОКВЭД/ССЧР</t>
        </is>
      </c>
      <c r="V30" s="35" t="inlineStr">
        <is>
          <t>Не определено</t>
        </is>
      </c>
      <c r="W30" s="35" t="inlineStr">
        <is>
          <t>Нет</t>
        </is>
      </c>
      <c r="X30" s="35" t="inlineStr"/>
    </row>
    <row r="31" ht="15" customHeight="1" s="24">
      <c r="A31" s="13" t="n">
        <v>802410988</v>
      </c>
      <c r="B31" s="13" t="inlineStr">
        <is>
          <t>ООО "МОНОЛИТСТРОЙ"</t>
        </is>
      </c>
      <c r="C31" s="13" t="n">
        <v>3811042751</v>
      </c>
      <c r="D31" s="13" t="inlineStr">
        <is>
          <t>3811042751</t>
        </is>
      </c>
      <c r="E31" s="13" t="inlineStr">
        <is>
          <t>ЮЛ РФ</t>
        </is>
      </c>
      <c r="F31" s="13" t="inlineStr">
        <is>
          <t>ндз, не будут исп этрн</t>
        </is>
      </c>
      <c r="G31" s="52" t="n">
        <v>34</v>
      </c>
      <c r="H31" s="52" t="n">
        <v>2025</v>
      </c>
      <c r="I31" s="52" t="inlineStr">
        <is>
          <t>41.20</t>
        </is>
      </c>
      <c r="J31" s="52" t="inlineStr">
        <is>
          <t>41.20; 42.11; 42.21; 42.91; 42.99; 43.11; 43.12.3; 43.13; 43.21; 43.22; 43.29; 43.31; 43.32; 43.33; 43.34; 43.34.1; 43.34.2; 43.39; 43.91; 43.99; 43.99.1; 43.99.2; 43.99.3; 43.99.4; 43.99.5; 43.99.6; 43.99.7; 43.99.9</t>
        </is>
      </c>
      <c r="K31" s="53" t="inlineStr">
        <is>
          <t>Да</t>
        </is>
      </c>
      <c r="L31" s="53" t="inlineStr">
        <is>
          <t>Да</t>
        </is>
      </c>
      <c r="M31" s="53" t="inlineStr">
        <is>
          <t>До 50</t>
        </is>
      </c>
      <c r="N31" s="54" t="n">
        <v>16800</v>
      </c>
      <c r="O31" s="55" t="inlineStr">
        <is>
          <t>31–50</t>
        </is>
      </c>
      <c r="P31" s="16" t="inlineStr">
        <is>
          <t>ССЧР + ОКВЭД обогащены</t>
        </is>
      </c>
      <c r="Q31" s="16" t="inlineStr">
        <is>
          <t>ФНС открытые данные ССЧР (ДатаСост 31.12.2025; набор 7707329152-sshr2019)</t>
        </is>
      </c>
      <c r="R31" s="16" t="inlineStr">
        <is>
          <t>ЕГРЮЛ / egrul.nalog.ru (выписка)</t>
        </is>
      </c>
      <c r="S31" t="n">
        <v>1</v>
      </c>
      <c r="T31" s="35" t="inlineStr">
        <is>
          <t>1 — Горячий</t>
        </is>
      </c>
      <c r="U31" s="35" t="inlineStr">
        <is>
          <t>ОКВЭД + 22+</t>
        </is>
      </c>
      <c r="V31" s="35" t="inlineStr">
        <is>
          <t>Да</t>
        </is>
      </c>
      <c r="W31" s="35" t="inlineStr">
        <is>
          <t>Да</t>
        </is>
      </c>
      <c r="X31" s="35" t="inlineStr">
        <is>
          <t>Да</t>
        </is>
      </c>
    </row>
    <row r="32" ht="27.75" customHeight="1" s="24">
      <c r="A32" s="13" t="n">
        <v>9889001</v>
      </c>
      <c r="B32" s="13" t="inlineStr">
        <is>
          <t>Аква-Эко</t>
        </is>
      </c>
      <c r="C32" s="13" t="n">
        <v>382700186</v>
      </c>
      <c r="D32" s="13" t="inlineStr">
        <is>
          <t>3827001863</t>
        </is>
      </c>
      <c r="E32" s="13" t="inlineStr">
        <is>
          <t>ЮЛ РФ</t>
        </is>
      </c>
      <c r="F32" s="13" t="inlineStr">
        <is>
          <t>завтра перезвонить, наехали и сброс</t>
        </is>
      </c>
      <c r="G32" s="52" t="n">
        <v>19</v>
      </c>
      <c r="H32" s="52" t="n">
        <v>2025</v>
      </c>
      <c r="I32" s="14" t="n"/>
      <c r="J32" s="14" t="n"/>
      <c r="K32" s="53" t="inlineStr">
        <is>
          <t>Нет</t>
        </is>
      </c>
      <c r="L32" s="53" t="inlineStr">
        <is>
          <t>Не определено</t>
        </is>
      </c>
      <c r="M32" s="53" t="inlineStr">
        <is>
          <t>До 25</t>
        </is>
      </c>
      <c r="N32" s="54" t="n">
        <v>8400</v>
      </c>
      <c r="O32" s="55" t="inlineStr">
        <is>
          <t>16–30</t>
        </is>
      </c>
      <c r="P32" s="16" t="inlineStr">
        <is>
          <t>ССЧР обогащена; ОКВЭД не найден/не загружен</t>
        </is>
      </c>
      <c r="Q32" s="16" t="inlineStr">
        <is>
          <t>ФНС открытые данные ССЧР (ДатаСост 31.12.2025; набор 7707329152-sshr2019)</t>
        </is>
      </c>
      <c r="R32" s="16">
        <f>HYPERLINK("https://checko.ru/search?query=3801001629","Чекко: проверить")</f>
        <v/>
      </c>
      <c r="S32" t="n">
        <v>1</v>
      </c>
      <c r="T32" s="35" t="inlineStr">
        <is>
          <t>4 — Не обогащён</t>
        </is>
      </c>
      <c r="U32" s="35" t="inlineStr">
        <is>
          <t>Нет ОКВЭД/ССЧР</t>
        </is>
      </c>
      <c r="V32" s="35" t="inlineStr">
        <is>
          <t>Не определено</t>
        </is>
      </c>
      <c r="W32" s="35" t="inlineStr">
        <is>
          <t>Нет</t>
        </is>
      </c>
      <c r="X32" s="35" t="inlineStr"/>
    </row>
    <row r="33" ht="15" customHeight="1" s="24">
      <c r="A33" s="13" t="n">
        <v>9177641</v>
      </c>
      <c r="B33" s="13" t="inlineStr">
        <is>
          <t>Шелеховэлектротехмонтаж, ООО</t>
        </is>
      </c>
      <c r="C33" s="13" t="n">
        <v>3821012957</v>
      </c>
      <c r="D33" s="13" t="inlineStr">
        <is>
          <t>3821012957</t>
        </is>
      </c>
      <c r="E33" s="13" t="inlineStr">
        <is>
          <t>ЮЛ РФ</t>
        </is>
      </c>
      <c r="F33" s="13" t="inlineStr">
        <is>
          <t xml:space="preserve">не работают с тр.накладными </t>
        </is>
      </c>
      <c r="G33" s="52" t="n">
        <v>45</v>
      </c>
      <c r="H33" s="52" t="n">
        <v>2025</v>
      </c>
      <c r="I33" s="52" t="inlineStr">
        <is>
          <t>43.21</t>
        </is>
      </c>
      <c r="J33" s="52" t="inlineStr">
        <is>
          <t>43.21</t>
        </is>
      </c>
      <c r="K33" s="53" t="inlineStr">
        <is>
          <t>Да</t>
        </is>
      </c>
      <c r="L33" s="53" t="inlineStr">
        <is>
          <t>Да</t>
        </is>
      </c>
      <c r="M33" s="53" t="inlineStr">
        <is>
          <t>До 50</t>
        </is>
      </c>
      <c r="N33" s="54" t="n">
        <v>16800</v>
      </c>
      <c r="O33" s="55" t="inlineStr">
        <is>
          <t>31–50</t>
        </is>
      </c>
      <c r="P33" s="16" t="inlineStr">
        <is>
          <t>ССЧР + ОКВЭД обогащены</t>
        </is>
      </c>
      <c r="Q33" s="16" t="inlineStr">
        <is>
          <t>ФНС открытые данные ССЧР (ДатаСост 31.12.2025; набор 7707329152-sshr2019)</t>
        </is>
      </c>
      <c r="R33" s="16" t="inlineStr">
        <is>
          <t>ЕГРЮЛ / egrul.nalog.ru (выписка)</t>
        </is>
      </c>
      <c r="S33" t="n">
        <v>1</v>
      </c>
      <c r="T33" s="35" t="inlineStr">
        <is>
          <t>1 — Горячий</t>
        </is>
      </c>
      <c r="U33" s="35" t="inlineStr">
        <is>
          <t>ОКВЭД + 22+</t>
        </is>
      </c>
      <c r="V33" s="35" t="inlineStr">
        <is>
          <t>Да</t>
        </is>
      </c>
      <c r="W33" s="35" t="inlineStr">
        <is>
          <t>Да</t>
        </is>
      </c>
      <c r="X33" s="35" t="inlineStr">
        <is>
          <t>Да</t>
        </is>
      </c>
    </row>
    <row r="34" ht="15" customHeight="1" s="24">
      <c r="A34" s="13" t="n">
        <v>800484337</v>
      </c>
      <c r="B34" s="13" t="inlineStr">
        <is>
          <t>Ингео</t>
        </is>
      </c>
      <c r="C34" s="13" t="n">
        <v>3812020373</v>
      </c>
      <c r="D34" s="13" t="inlineStr">
        <is>
          <t>3812020373</t>
        </is>
      </c>
      <c r="E34" s="13" t="inlineStr">
        <is>
          <t>ЮЛ РФ</t>
        </is>
      </c>
      <c r="F34" s="13" t="inlineStr">
        <is>
          <t>оквед не тот</t>
        </is>
      </c>
      <c r="G34" s="52" t="n">
        <v>30</v>
      </c>
      <c r="H34" s="52" t="n">
        <v>2025</v>
      </c>
      <c r="I34" s="52" t="inlineStr">
        <is>
          <t>01.61</t>
        </is>
      </c>
      <c r="J34" s="52" t="inlineStr">
        <is>
          <t>01.61; 43.13; 46.90; 71.12.5; 71.12.6; 72.19</t>
        </is>
      </c>
      <c r="K34" s="53" t="inlineStr">
        <is>
          <t>Да</t>
        </is>
      </c>
      <c r="L34" s="53" t="inlineStr">
        <is>
          <t>Да</t>
        </is>
      </c>
      <c r="M34" s="53" t="inlineStr">
        <is>
          <t>До 50</t>
        </is>
      </c>
      <c r="N34" s="54" t="n">
        <v>16800</v>
      </c>
      <c r="O34" s="55" t="inlineStr">
        <is>
          <t>16–30</t>
        </is>
      </c>
      <c r="P34" s="16" t="inlineStr">
        <is>
          <t>ССЧР + ОКВЭД обогащены</t>
        </is>
      </c>
      <c r="Q34" s="16" t="inlineStr">
        <is>
          <t>ФНС открытые данные ССЧР (ДатаСост 31.12.2025; набор 7707329152-sshr2019)</t>
        </is>
      </c>
      <c r="R34" s="16" t="inlineStr">
        <is>
          <t>ЕГРЮЛ / egrul.nalog.ru (выписка)</t>
        </is>
      </c>
      <c r="S34" t="n">
        <v>1</v>
      </c>
      <c r="T34" s="35" t="inlineStr">
        <is>
          <t>1 — Горячий</t>
        </is>
      </c>
      <c r="U34" s="35" t="inlineStr">
        <is>
          <t>ОКВЭД + 22+</t>
        </is>
      </c>
      <c r="V34" s="35" t="inlineStr">
        <is>
          <t>Да</t>
        </is>
      </c>
      <c r="W34" s="35" t="inlineStr">
        <is>
          <t>Да</t>
        </is>
      </c>
      <c r="X34" s="35" t="inlineStr">
        <is>
          <t>Да</t>
        </is>
      </c>
    </row>
    <row r="35" ht="15" customHeight="1" s="24">
      <c r="A35" s="13" t="n">
        <v>800514082</v>
      </c>
      <c r="B35" s="13" t="inlineStr">
        <is>
          <t>ООО "ГрузМастер ООО"</t>
        </is>
      </c>
      <c r="C35" s="13" t="n">
        <v>3818026780</v>
      </c>
      <c r="D35" s="13" t="inlineStr">
        <is>
          <t>3818026780</t>
        </is>
      </c>
      <c r="E35" s="13" t="inlineStr">
        <is>
          <t>ЮЛ РФ</t>
        </is>
      </c>
      <c r="F35" s="13" t="inlineStr">
        <is>
          <t>ндз, ликвидируют компанию</t>
        </is>
      </c>
      <c r="G35" s="52" t="n">
        <v>1</v>
      </c>
      <c r="H35" s="52" t="n">
        <v>2025</v>
      </c>
      <c r="I35" s="14" t="n"/>
      <c r="J35" s="14" t="n"/>
      <c r="K35" s="53" t="inlineStr">
        <is>
          <t>Нет</t>
        </is>
      </c>
      <c r="L35" s="53" t="inlineStr">
        <is>
          <t>Не определено</t>
        </is>
      </c>
      <c r="M35" s="53" t="inlineStr">
        <is>
          <t>До 10</t>
        </is>
      </c>
      <c r="N35" s="54" t="n">
        <v>3360</v>
      </c>
      <c r="O35" s="55" t="inlineStr">
        <is>
          <t>1–15</t>
        </is>
      </c>
      <c r="P35" s="16" t="inlineStr">
        <is>
          <t>ССЧР обогащена; ОКВЭД не найден/не загружен</t>
        </is>
      </c>
      <c r="Q35" s="16" t="inlineStr">
        <is>
          <t>ФНС открытые данные ССЧР (ДатаСост 31.12.2025; набор 7707329152-sshr2019)</t>
        </is>
      </c>
      <c r="R35" s="16">
        <f>HYPERLINK("https://checko.ru/search?query=3801001629","Чекко: проверить")</f>
        <v/>
      </c>
      <c r="S35" t="n">
        <v>1</v>
      </c>
      <c r="T35" s="35" t="inlineStr">
        <is>
          <t>4 — Не обогащён</t>
        </is>
      </c>
      <c r="U35" s="35" t="inlineStr">
        <is>
          <t>Нет ОКВЭД/ССЧР</t>
        </is>
      </c>
      <c r="V35" s="35" t="inlineStr">
        <is>
          <t>Не определено</t>
        </is>
      </c>
      <c r="W35" s="35" t="inlineStr">
        <is>
          <t>Нет</t>
        </is>
      </c>
      <c r="X35" s="35" t="inlineStr"/>
    </row>
    <row r="36" ht="15" customHeight="1" s="24">
      <c r="A36" s="13" t="n">
        <v>800834171</v>
      </c>
      <c r="B36" s="13" t="inlineStr">
        <is>
          <t>ООО СЗ "ГОРОЖАНЕ"</t>
        </is>
      </c>
      <c r="C36" s="13" t="n">
        <v>3849067610</v>
      </c>
      <c r="D36" s="13" t="inlineStr">
        <is>
          <t>3849067610</t>
        </is>
      </c>
      <c r="E36" s="13" t="inlineStr">
        <is>
          <t>ЮЛ РФ</t>
        </is>
      </c>
      <c r="F36" s="13" t="inlineStr">
        <is>
          <t>ндз1</t>
        </is>
      </c>
      <c r="G36" s="52" t="n">
        <v>4</v>
      </c>
      <c r="H36" s="52" t="n">
        <v>2025</v>
      </c>
      <c r="I36" s="14" t="n"/>
      <c r="J36" s="14" t="n"/>
      <c r="K36" s="53" t="inlineStr">
        <is>
          <t>Нет</t>
        </is>
      </c>
      <c r="L36" s="53" t="inlineStr">
        <is>
          <t>Не определено</t>
        </is>
      </c>
      <c r="M36" s="53" t="inlineStr">
        <is>
          <t>До 10</t>
        </is>
      </c>
      <c r="N36" s="54" t="n">
        <v>3360</v>
      </c>
      <c r="O36" s="55" t="inlineStr">
        <is>
          <t>1–15</t>
        </is>
      </c>
      <c r="P36" s="16" t="inlineStr">
        <is>
          <t>ССЧР обогащена; ОКВЭД не найден/не загружен</t>
        </is>
      </c>
      <c r="Q36" s="16" t="inlineStr">
        <is>
          <t>ФНС открытые данные ССЧР (ДатаСост 31.12.2025; набор 7707329152-sshr2019)</t>
        </is>
      </c>
      <c r="R36" s="16">
        <f>HYPERLINK("https://checko.ru/search?query=3801001629","Чекко: проверить")</f>
        <v/>
      </c>
      <c r="S36" t="n">
        <v>1</v>
      </c>
      <c r="T36" s="35" t="inlineStr">
        <is>
          <t>4 — Не обогащён</t>
        </is>
      </c>
      <c r="U36" s="35" t="inlineStr">
        <is>
          <t>Нет ОКВЭД/ССЧР</t>
        </is>
      </c>
      <c r="V36" s="35" t="inlineStr">
        <is>
          <t>Не определено</t>
        </is>
      </c>
      <c r="W36" s="35" t="inlineStr">
        <is>
          <t>Нет</t>
        </is>
      </c>
      <c r="X36" s="35" t="inlineStr"/>
    </row>
    <row r="37" ht="15" customHeight="1" s="24">
      <c r="A37" s="13" t="n">
        <v>9114190</v>
      </c>
      <c r="B37" s="13" t="inlineStr">
        <is>
          <t>АО "СТОМАТОЛОГИЧЕСКИЙ ЦЕНТР"</t>
        </is>
      </c>
      <c r="C37" s="13" t="n">
        <v>3808128864</v>
      </c>
      <c r="D37" s="13" t="inlineStr">
        <is>
          <t>3808128864</t>
        </is>
      </c>
      <c r="E37" s="13" t="inlineStr">
        <is>
          <t>ЮЛ РФ</t>
        </is>
      </c>
      <c r="F37" s="13" t="inlineStr">
        <is>
          <t>некогда вообще</t>
        </is>
      </c>
      <c r="G37" s="52" t="n">
        <v>90</v>
      </c>
      <c r="H37" s="52" t="n">
        <v>2025</v>
      </c>
      <c r="I37" s="52" t="inlineStr">
        <is>
          <t>16.10.9</t>
        </is>
      </c>
      <c r="J37" s="52" t="inlineStr">
        <is>
          <t>16.10.9; 16.23; 16.24; 16.29; 43.12; 43.99; 47.73; 47.74; 47.75; 47.79; 56.29</t>
        </is>
      </c>
      <c r="K37" s="53" t="inlineStr">
        <is>
          <t>Да</t>
        </is>
      </c>
      <c r="L37" s="53" t="inlineStr">
        <is>
          <t>Да</t>
        </is>
      </c>
      <c r="M37" s="53" t="inlineStr">
        <is>
          <t>До 100</t>
        </is>
      </c>
      <c r="N37" s="54" t="n">
        <v>33600</v>
      </c>
      <c r="O37" s="55" t="inlineStr">
        <is>
          <t>51–100</t>
        </is>
      </c>
      <c r="P37" s="16" t="inlineStr">
        <is>
          <t>ССЧР + ОКВЭД обогащены</t>
        </is>
      </c>
      <c r="Q37" s="16" t="inlineStr">
        <is>
          <t>ФНС открытые данные ССЧР (ДатаСост 31.12.2025; набор 7707329152-sshr2019)</t>
        </is>
      </c>
      <c r="R37" s="16" t="inlineStr">
        <is>
          <t>ЕГРЮЛ / egrul.nalog.ru (выписка)</t>
        </is>
      </c>
      <c r="S37" t="n">
        <v>1</v>
      </c>
      <c r="T37" s="35" t="inlineStr">
        <is>
          <t>1 — Горячий</t>
        </is>
      </c>
      <c r="U37" s="35" t="inlineStr">
        <is>
          <t>ОКВЭД + 22+</t>
        </is>
      </c>
      <c r="V37" s="35" t="inlineStr">
        <is>
          <t>Да</t>
        </is>
      </c>
      <c r="W37" s="35" t="inlineStr">
        <is>
          <t>Да</t>
        </is>
      </c>
      <c r="X37" s="35" t="inlineStr">
        <is>
          <t>Да</t>
        </is>
      </c>
    </row>
    <row r="38" ht="27.75" customHeight="1" s="24">
      <c r="A38" s="13" t="n">
        <v>800848640</v>
      </c>
      <c r="B38" s="13" t="inlineStr">
        <is>
          <t>ИП Ковалёв Дмитрий Витальевич</t>
        </is>
      </c>
      <c r="C38" s="13" t="n">
        <v>381113998503</v>
      </c>
      <c r="D38" s="13" t="inlineStr">
        <is>
          <t>381113998503</t>
        </is>
      </c>
      <c r="E38" s="13" t="inlineStr">
        <is>
          <t>ИП РФ / физлицо</t>
        </is>
      </c>
      <c r="F38" s="13" t="inlineStr">
        <is>
          <t>поговорили, она рассмотрит кп и даст ответ сама</t>
        </is>
      </c>
      <c r="G38" s="14" t="n"/>
      <c r="H38" s="14" t="n"/>
      <c r="I38" s="14" t="n"/>
      <c r="J38" s="14" t="n"/>
      <c r="K38" s="53" t="inlineStr"/>
      <c r="L38" s="53" t="inlineStr">
        <is>
          <t>Не определено</t>
        </is>
      </c>
      <c r="M38" s="53" t="inlineStr"/>
      <c r="N38" s="54" t="inlineStr"/>
      <c r="O38" s="55" t="inlineStr"/>
      <c r="P38" s="16" t="inlineStr">
        <is>
          <t>Требует обогащения</t>
        </is>
      </c>
      <c r="Q38" s="16">
        <f>HYPERLINK("https://pb.nalog.ru/search.html?query=381113998503","ФНС: проверить")</f>
        <v/>
      </c>
      <c r="R38" s="16">
        <f>HYPERLINK("https://checko.ru/search?query=3801001629","Чекко: проверить")</f>
        <v/>
      </c>
      <c r="S38" t="n">
        <v>1</v>
      </c>
      <c r="T38" s="35" t="inlineStr">
        <is>
          <t>4 — Не обогащён</t>
        </is>
      </c>
      <c r="U38" s="35" t="inlineStr">
        <is>
          <t>Нет ОКВЭД/ССЧР</t>
        </is>
      </c>
      <c r="V38" s="35" t="inlineStr">
        <is>
          <t>Не определено</t>
        </is>
      </c>
      <c r="W38" s="35" t="inlineStr"/>
      <c r="X38" s="35" t="inlineStr"/>
    </row>
    <row r="39" ht="15" customHeight="1" s="24">
      <c r="A39" s="13" t="n">
        <v>9129330</v>
      </c>
      <c r="B39" s="13" t="inlineStr">
        <is>
          <t>ООО АБ Мегаполис</t>
        </is>
      </c>
      <c r="C39" s="13" t="n">
        <v>3810072055</v>
      </c>
      <c r="D39" s="13" t="inlineStr">
        <is>
          <t>3810072055</t>
        </is>
      </c>
      <c r="E39" s="13" t="inlineStr">
        <is>
          <t>ЮЛ РФ</t>
        </is>
      </c>
      <c r="F39" s="13" t="inlineStr">
        <is>
          <t>не работают с тр.накл</t>
        </is>
      </c>
      <c r="G39" s="52" t="n">
        <v>13</v>
      </c>
      <c r="H39" s="52" t="n">
        <v>2025</v>
      </c>
      <c r="I39" s="14" t="n"/>
      <c r="J39" s="14" t="n"/>
      <c r="K39" s="53" t="inlineStr">
        <is>
          <t>Нет</t>
        </is>
      </c>
      <c r="L39" s="53" t="inlineStr">
        <is>
          <t>Не определено</t>
        </is>
      </c>
      <c r="M39" s="53" t="inlineStr">
        <is>
          <t>До 25</t>
        </is>
      </c>
      <c r="N39" s="54" t="n">
        <v>8400</v>
      </c>
      <c r="O39" s="55" t="inlineStr">
        <is>
          <t>1–15</t>
        </is>
      </c>
      <c r="P39" s="16" t="inlineStr">
        <is>
          <t>ССЧР обогащена; ОКВЭД не найден/не загружен</t>
        </is>
      </c>
      <c r="Q39" s="16" t="inlineStr">
        <is>
          <t>ФНС открытые данные ССЧР (ДатаСост 31.12.2025; набор 7707329152-sshr2019)</t>
        </is>
      </c>
      <c r="R39" s="16">
        <f>HYPERLINK("https://checko.ru/search?query=3801001629","Чекко: проверить")</f>
        <v/>
      </c>
      <c r="S39" t="n">
        <v>1</v>
      </c>
      <c r="T39" s="35" t="inlineStr">
        <is>
          <t>4 — Не обогащён</t>
        </is>
      </c>
      <c r="U39" s="35" t="inlineStr">
        <is>
          <t>Нет ОКВЭД/ССЧР</t>
        </is>
      </c>
      <c r="V39" s="35" t="inlineStr">
        <is>
          <t>Не определено</t>
        </is>
      </c>
      <c r="W39" s="35" t="inlineStr">
        <is>
          <t>Нет</t>
        </is>
      </c>
      <c r="X39" s="35" t="inlineStr"/>
    </row>
    <row r="40" ht="15" customHeight="1" s="24">
      <c r="A40" s="13" t="n">
        <v>800767960</v>
      </c>
      <c r="B40" s="13" t="inlineStr">
        <is>
          <t>ВСКР ООО ТПК</t>
        </is>
      </c>
      <c r="C40" s="13" t="n">
        <v>3811470764</v>
      </c>
      <c r="D40" s="13" t="inlineStr">
        <is>
          <t>3811470764</t>
        </is>
      </c>
      <c r="E40" s="13" t="inlineStr">
        <is>
          <t>ЮЛ РФ</t>
        </is>
      </c>
      <c r="F40" s="13" t="inlineStr">
        <is>
          <t>негативные контакты и ндз</t>
        </is>
      </c>
      <c r="G40" s="52" t="n">
        <v>34</v>
      </c>
      <c r="H40" s="52" t="n">
        <v>2025</v>
      </c>
      <c r="I40" s="52" t="inlineStr">
        <is>
          <t>46.90</t>
        </is>
      </c>
      <c r="J40" s="52" t="inlineStr">
        <is>
          <t>46.90; 22.22; 45.31.1; 46.49.43; 46.73; 49.41.3</t>
        </is>
      </c>
      <c r="K40" s="53" t="inlineStr">
        <is>
          <t>Да</t>
        </is>
      </c>
      <c r="L40" s="53" t="inlineStr">
        <is>
          <t>Да</t>
        </is>
      </c>
      <c r="M40" s="53" t="inlineStr">
        <is>
          <t>До 50</t>
        </is>
      </c>
      <c r="N40" s="54" t="n">
        <v>16800</v>
      </c>
      <c r="O40" s="55" t="inlineStr">
        <is>
          <t>31–50</t>
        </is>
      </c>
      <c r="P40" s="16" t="inlineStr">
        <is>
          <t>ССЧР + ОКВЭД обогащены</t>
        </is>
      </c>
      <c r="Q40" s="16" t="inlineStr">
        <is>
          <t>ФНС открытые данные ССЧР (ДатаСост 31.12.2025; набор 7707329152-sshr2019)</t>
        </is>
      </c>
      <c r="R40" s="16" t="inlineStr">
        <is>
          <t>ЕГРЮЛ / egrul.nalog.ru (выписка)</t>
        </is>
      </c>
      <c r="S40" t="n">
        <v>1</v>
      </c>
      <c r="T40" s="35" t="inlineStr">
        <is>
          <t>1 — Горячий</t>
        </is>
      </c>
      <c r="U40" s="35" t="inlineStr">
        <is>
          <t>ОКВЭД + 22+</t>
        </is>
      </c>
      <c r="V40" s="35" t="inlineStr">
        <is>
          <t>Да</t>
        </is>
      </c>
      <c r="W40" s="35" t="inlineStr">
        <is>
          <t>Да</t>
        </is>
      </c>
      <c r="X40" s="35" t="inlineStr">
        <is>
          <t>Да</t>
        </is>
      </c>
    </row>
    <row r="41" ht="27.75" customHeight="1" s="24">
      <c r="A41" s="13" t="n">
        <v>9124946</v>
      </c>
      <c r="B41" s="13" t="inlineStr">
        <is>
          <t>Общество с ограниченной ответственностью "Буровзрывные работы"</t>
        </is>
      </c>
      <c r="C41" s="13" t="n">
        <v>3816013458</v>
      </c>
      <c r="D41" s="13" t="inlineStr">
        <is>
          <t>3816013458</t>
        </is>
      </c>
      <c r="E41" s="13" t="inlineStr">
        <is>
          <t>ЮЛ РФ</t>
        </is>
      </c>
      <c r="F41" s="13" t="n"/>
      <c r="G41" s="52" t="n">
        <v>37</v>
      </c>
      <c r="H41" s="52" t="n">
        <v>2025</v>
      </c>
      <c r="I41" s="52" t="inlineStr">
        <is>
          <t>43.12.4</t>
        </is>
      </c>
      <c r="J41" s="52" t="inlineStr">
        <is>
          <t>43.12.4; 07.29; 09.10.1; 09.10.2; 42.21; 43.11; 43.12.1; 43.13; 43.99.3; 46.75.1; 46.75.2; 46.90; 49.41; 49.41.1</t>
        </is>
      </c>
      <c r="K41" s="53" t="inlineStr">
        <is>
          <t>Да</t>
        </is>
      </c>
      <c r="L41" s="53" t="inlineStr">
        <is>
          <t>Да</t>
        </is>
      </c>
      <c r="M41" s="53" t="inlineStr">
        <is>
          <t>До 50</t>
        </is>
      </c>
      <c r="N41" s="54" t="n">
        <v>16800</v>
      </c>
      <c r="O41" s="55" t="inlineStr">
        <is>
          <t>31–50</t>
        </is>
      </c>
      <c r="P41" s="16" t="inlineStr">
        <is>
          <t>ССЧР + ОКВЭД обогащены</t>
        </is>
      </c>
      <c r="Q41" s="16" t="inlineStr">
        <is>
          <t>ФНС открытые данные ССЧР (ДатаСост 31.12.2025; набор 7707329152-sshr2019)</t>
        </is>
      </c>
      <c r="R41" s="16" t="inlineStr">
        <is>
          <t>ЕГРЮЛ / egrul.nalog.ru (выписка)</t>
        </is>
      </c>
      <c r="S41" t="n">
        <v>1</v>
      </c>
      <c r="T41" s="35" t="inlineStr">
        <is>
          <t>1 — Горячий</t>
        </is>
      </c>
      <c r="U41" s="35" t="inlineStr">
        <is>
          <t>ОКВЭД + 22+</t>
        </is>
      </c>
      <c r="V41" s="35" t="inlineStr">
        <is>
          <t>Да</t>
        </is>
      </c>
      <c r="W41" s="35" t="inlineStr">
        <is>
          <t>Да</t>
        </is>
      </c>
      <c r="X41" s="35" t="inlineStr">
        <is>
          <t>Да</t>
        </is>
      </c>
    </row>
    <row r="42" ht="41.25" customHeight="1" s="24">
      <c r="A42" s="13" t="n">
        <v>9822833</v>
      </c>
      <c r="B42" s="13" t="inlineStr">
        <is>
          <t>Муниципальное унитарное производственное эксплуатационное предприятие зеленого хозяйства г.Иркутска</t>
        </is>
      </c>
      <c r="C42" s="13" t="n">
        <v>3807001382</v>
      </c>
      <c r="D42" s="13" t="inlineStr">
        <is>
          <t>3807001382</t>
        </is>
      </c>
      <c r="E42" s="13" t="inlineStr">
        <is>
          <t>ЮЛ РФ</t>
        </is>
      </c>
      <c r="F42" s="13" t="n"/>
      <c r="G42" s="14" t="n"/>
      <c r="H42" s="14" t="n"/>
      <c r="I42" s="14" t="n"/>
      <c r="J42" s="14" t="n"/>
      <c r="K42" s="53" t="inlineStr"/>
      <c r="L42" s="53" t="inlineStr">
        <is>
          <t>Не определено</t>
        </is>
      </c>
      <c r="M42" s="53" t="inlineStr"/>
      <c r="N42" s="54" t="inlineStr"/>
      <c r="O42" s="55" t="inlineStr"/>
      <c r="P42" s="16" t="inlineStr">
        <is>
          <t>Требует обогащения</t>
        </is>
      </c>
      <c r="Q42" s="16">
        <f>HYPERLINK("https://pb.nalog.ru/search.html?query=3807001382","ФНС: проверить")</f>
        <v/>
      </c>
      <c r="R42" s="16">
        <f>HYPERLINK("https://checko.ru/search?query=3801001629","Чекко: проверить")</f>
        <v/>
      </c>
      <c r="S42" t="n">
        <v>1</v>
      </c>
      <c r="T42" s="35" t="inlineStr">
        <is>
          <t>4 — Не обогащён</t>
        </is>
      </c>
      <c r="U42" s="35" t="inlineStr">
        <is>
          <t>Нет ОКВЭД/ССЧР</t>
        </is>
      </c>
      <c r="V42" s="35" t="inlineStr">
        <is>
          <t>Не определено</t>
        </is>
      </c>
      <c r="W42" s="35" t="inlineStr"/>
      <c r="X42" s="35" t="inlineStr"/>
    </row>
    <row r="43" ht="27.75" customHeight="1" s="24">
      <c r="A43" s="13" t="n">
        <v>9832979</v>
      </c>
      <c r="B43" s="13" t="inlineStr">
        <is>
          <t>Братская городская организация Профсоюза работников народного образования и науки РФ</t>
        </is>
      </c>
      <c r="C43" s="13" t="n">
        <v>3803200838</v>
      </c>
      <c r="D43" s="13" t="inlineStr">
        <is>
          <t>3803200838</t>
        </is>
      </c>
      <c r="E43" s="13" t="inlineStr">
        <is>
          <t>ЮЛ РФ</t>
        </is>
      </c>
      <c r="F43" s="13" t="n"/>
      <c r="G43" s="14" t="n"/>
      <c r="H43" s="14" t="n"/>
      <c r="I43" s="14" t="n"/>
      <c r="J43" s="14" t="n"/>
      <c r="K43" s="53" t="inlineStr"/>
      <c r="L43" s="53" t="inlineStr">
        <is>
          <t>Не определено</t>
        </is>
      </c>
      <c r="M43" s="53" t="inlineStr"/>
      <c r="N43" s="54" t="inlineStr"/>
      <c r="O43" s="55" t="inlineStr"/>
      <c r="P43" s="16" t="inlineStr">
        <is>
          <t>Требует обогащения</t>
        </is>
      </c>
      <c r="Q43" s="16">
        <f>HYPERLINK("https://pb.nalog.ru/search.html?query=3803200838","ФНС: проверить")</f>
        <v/>
      </c>
      <c r="R43" s="16">
        <f>HYPERLINK("https://checko.ru/search?query=3801001629","Чекко: проверить")</f>
        <v/>
      </c>
      <c r="S43" t="n">
        <v>1</v>
      </c>
      <c r="T43" s="35" t="inlineStr">
        <is>
          <t>4 — Не обогащён</t>
        </is>
      </c>
      <c r="U43" s="35" t="inlineStr">
        <is>
          <t>Нет ОКВЭД/ССЧР</t>
        </is>
      </c>
      <c r="V43" s="35" t="inlineStr">
        <is>
          <t>Не определено</t>
        </is>
      </c>
      <c r="W43" s="35" t="inlineStr"/>
      <c r="X43" s="35" t="inlineStr"/>
    </row>
    <row r="44" ht="15" customHeight="1" s="24">
      <c r="A44" s="13" t="n">
        <v>9404110</v>
      </c>
      <c r="B44" s="13" t="inlineStr">
        <is>
          <t>Экоресурс</t>
        </is>
      </c>
      <c r="C44" s="13" t="n">
        <v>1434028794</v>
      </c>
      <c r="D44" s="13" t="inlineStr">
        <is>
          <t>1434028794</t>
        </is>
      </c>
      <c r="E44" s="13" t="inlineStr">
        <is>
          <t>ЮЛ РФ</t>
        </is>
      </c>
      <c r="F44" s="13" t="n"/>
      <c r="G44" s="52" t="n">
        <v>14</v>
      </c>
      <c r="H44" s="52" t="n">
        <v>2025</v>
      </c>
      <c r="I44" s="14" t="n"/>
      <c r="J44" s="14" t="n"/>
      <c r="K44" s="53" t="inlineStr">
        <is>
          <t>Нет</t>
        </is>
      </c>
      <c r="L44" s="53" t="inlineStr">
        <is>
          <t>Не определено</t>
        </is>
      </c>
      <c r="M44" s="53" t="inlineStr">
        <is>
          <t>До 25</t>
        </is>
      </c>
      <c r="N44" s="54" t="n">
        <v>8400</v>
      </c>
      <c r="O44" s="55" t="inlineStr">
        <is>
          <t>1–15</t>
        </is>
      </c>
      <c r="P44" s="16" t="inlineStr">
        <is>
          <t>ССЧР обогащена; ОКВЭД не найден/не загружен</t>
        </is>
      </c>
      <c r="Q44" s="16" t="inlineStr">
        <is>
          <t>ФНС открытые данные ССЧР (ДатаСост 31.12.2025; набор 7707329152-sshr2019)</t>
        </is>
      </c>
      <c r="R44" s="16">
        <f>HYPERLINK("https://checko.ru/search?query=3801001629","Чекко: проверить")</f>
        <v/>
      </c>
      <c r="S44" t="n">
        <v>1</v>
      </c>
      <c r="T44" s="35" t="inlineStr">
        <is>
          <t>4 — Не обогащён</t>
        </is>
      </c>
      <c r="U44" s="35" t="inlineStr">
        <is>
          <t>Нет ОКВЭД/ССЧР</t>
        </is>
      </c>
      <c r="V44" s="35" t="inlineStr">
        <is>
          <t>Не определено</t>
        </is>
      </c>
      <c r="W44" s="35" t="inlineStr">
        <is>
          <t>Нет</t>
        </is>
      </c>
      <c r="X44" s="35" t="inlineStr"/>
    </row>
    <row r="45" ht="15" customHeight="1" s="24">
      <c r="A45" s="13" t="n">
        <v>9168998</v>
      </c>
      <c r="B45" s="13" t="inlineStr">
        <is>
          <t>ГТП, ООО</t>
        </is>
      </c>
      <c r="C45" s="13" t="n">
        <v>3812147115</v>
      </c>
      <c r="D45" s="13" t="inlineStr">
        <is>
          <t>3812147115</t>
        </is>
      </c>
      <c r="E45" s="13" t="inlineStr">
        <is>
          <t>ЮЛ РФ</t>
        </is>
      </c>
      <c r="F45" s="13" t="n"/>
      <c r="G45" s="52" t="n">
        <v>10</v>
      </c>
      <c r="H45" s="52" t="n">
        <v>2025</v>
      </c>
      <c r="I45" s="14" t="n"/>
      <c r="J45" s="14" t="n"/>
      <c r="K45" s="53" t="inlineStr">
        <is>
          <t>Нет</t>
        </is>
      </c>
      <c r="L45" s="53" t="inlineStr">
        <is>
          <t>Не определено</t>
        </is>
      </c>
      <c r="M45" s="53" t="inlineStr">
        <is>
          <t>До 10</t>
        </is>
      </c>
      <c r="N45" s="54" t="n">
        <v>3360</v>
      </c>
      <c r="O45" s="55" t="inlineStr">
        <is>
          <t>1–15</t>
        </is>
      </c>
      <c r="P45" s="16" t="inlineStr">
        <is>
          <t>ССЧР обогащена; ОКВЭД не найден/не загружен</t>
        </is>
      </c>
      <c r="Q45" s="16" t="inlineStr">
        <is>
          <t>ФНС открытые данные ССЧР (ДатаСост 31.12.2025; набор 7707329152-sshr2019)</t>
        </is>
      </c>
      <c r="R45" s="16">
        <f>HYPERLINK("https://checko.ru/search?query=3801001629","Чекко: проверить")</f>
        <v/>
      </c>
      <c r="S45" t="n">
        <v>1</v>
      </c>
      <c r="T45" s="35" t="inlineStr">
        <is>
          <t>4 — Не обогащён</t>
        </is>
      </c>
      <c r="U45" s="35" t="inlineStr">
        <is>
          <t>Нет ОКВЭД/ССЧР</t>
        </is>
      </c>
      <c r="V45" s="35" t="inlineStr">
        <is>
          <t>Не определено</t>
        </is>
      </c>
      <c r="W45" s="35" t="inlineStr">
        <is>
          <t>Нет</t>
        </is>
      </c>
      <c r="X45" s="35" t="inlineStr"/>
    </row>
    <row r="46" ht="15" customHeight="1" s="24">
      <c r="A46" s="13" t="n">
        <v>11875246</v>
      </c>
      <c r="B46" s="13" t="inlineStr">
        <is>
          <t>СЗ СТРОЙКОМПЛЕКС ООО</t>
        </is>
      </c>
      <c r="C46" s="13" t="n">
        <v>3811468388</v>
      </c>
      <c r="D46" s="13" t="inlineStr">
        <is>
          <t>3811468388</t>
        </is>
      </c>
      <c r="E46" s="13" t="inlineStr">
        <is>
          <t>ЮЛ РФ</t>
        </is>
      </c>
      <c r="F46" s="13" t="n"/>
      <c r="G46" s="52" t="n">
        <v>3</v>
      </c>
      <c r="H46" s="52" t="n">
        <v>2025</v>
      </c>
      <c r="I46" s="14" t="n"/>
      <c r="J46" s="14" t="n"/>
      <c r="K46" s="53" t="inlineStr">
        <is>
          <t>Нет</t>
        </is>
      </c>
      <c r="L46" s="53" t="inlineStr">
        <is>
          <t>Не определено</t>
        </is>
      </c>
      <c r="M46" s="53" t="inlineStr">
        <is>
          <t>До 10</t>
        </is>
      </c>
      <c r="N46" s="54" t="n">
        <v>3360</v>
      </c>
      <c r="O46" s="55" t="inlineStr">
        <is>
          <t>1–15</t>
        </is>
      </c>
      <c r="P46" s="16" t="inlineStr">
        <is>
          <t>ССЧР обогащена; ОКВЭД не найден/не загружен</t>
        </is>
      </c>
      <c r="Q46" s="16" t="inlineStr">
        <is>
          <t>ФНС открытые данные ССЧР (ДатаСост 31.12.2025; набор 7707329152-sshr2019)</t>
        </is>
      </c>
      <c r="R46" s="16">
        <f>HYPERLINK("https://checko.ru/search?query=3801001629","Чекко: проверить")</f>
        <v/>
      </c>
      <c r="S46" t="n">
        <v>1</v>
      </c>
      <c r="T46" s="35" t="inlineStr">
        <is>
          <t>4 — Не обогащён</t>
        </is>
      </c>
      <c r="U46" s="35" t="inlineStr">
        <is>
          <t>Нет ОКВЭД/ССЧР</t>
        </is>
      </c>
      <c r="V46" s="35" t="inlineStr">
        <is>
          <t>Не определено</t>
        </is>
      </c>
      <c r="W46" s="35" t="inlineStr">
        <is>
          <t>Нет</t>
        </is>
      </c>
      <c r="X46" s="35" t="inlineStr"/>
    </row>
    <row r="47" ht="15" customHeight="1" s="24">
      <c r="A47" s="13" t="n">
        <v>803022087</v>
      </c>
      <c r="B47" s="13" t="inlineStr">
        <is>
          <t>ФОТОН СЕРВИС ООО</t>
        </is>
      </c>
      <c r="C47" s="13" t="n">
        <v>1434051514</v>
      </c>
      <c r="D47" s="13" t="inlineStr">
        <is>
          <t>1434051514</t>
        </is>
      </c>
      <c r="E47" s="13" t="inlineStr">
        <is>
          <t>ЮЛ РФ</t>
        </is>
      </c>
      <c r="F47" s="13" t="n"/>
      <c r="G47" s="52" t="n">
        <v>4</v>
      </c>
      <c r="H47" s="52" t="n">
        <v>2025</v>
      </c>
      <c r="I47" s="14" t="n"/>
      <c r="J47" s="14" t="n"/>
      <c r="K47" s="53" t="inlineStr">
        <is>
          <t>Нет</t>
        </is>
      </c>
      <c r="L47" s="53" t="inlineStr">
        <is>
          <t>Не определено</t>
        </is>
      </c>
      <c r="M47" s="53" t="inlineStr">
        <is>
          <t>До 10</t>
        </is>
      </c>
      <c r="N47" s="54" t="n">
        <v>3360</v>
      </c>
      <c r="O47" s="55" t="inlineStr">
        <is>
          <t>1–15</t>
        </is>
      </c>
      <c r="P47" s="16" t="inlineStr">
        <is>
          <t>ССЧР обогащена; ОКВЭД не найден/не загружен</t>
        </is>
      </c>
      <c r="Q47" s="16" t="inlineStr">
        <is>
          <t>ФНС открытые данные ССЧР (ДатаСост 31.12.2025; набор 7707329152-sshr2019)</t>
        </is>
      </c>
      <c r="R47" s="16">
        <f>HYPERLINK("https://checko.ru/search?query=3801001629","Чекко: проверить")</f>
        <v/>
      </c>
      <c r="S47" t="n">
        <v>1</v>
      </c>
      <c r="T47" s="35" t="inlineStr">
        <is>
          <t>4 — Не обогащён</t>
        </is>
      </c>
      <c r="U47" s="35" t="inlineStr">
        <is>
          <t>Нет ОКВЭД/ССЧР</t>
        </is>
      </c>
      <c r="V47" s="35" t="inlineStr">
        <is>
          <t>Не определено</t>
        </is>
      </c>
      <c r="W47" s="35" t="inlineStr">
        <is>
          <t>Нет</t>
        </is>
      </c>
      <c r="X47" s="35" t="inlineStr"/>
    </row>
    <row r="48" ht="15" customHeight="1" s="24">
      <c r="A48" s="13" t="n">
        <v>800576369</v>
      </c>
      <c r="B48" s="13" t="inlineStr">
        <is>
          <t>Куйтунский Потребительский Торгово кооператив</t>
        </is>
      </c>
      <c r="C48" s="13" t="n">
        <v>3832000375</v>
      </c>
      <c r="D48" s="13" t="inlineStr">
        <is>
          <t>3832000375</t>
        </is>
      </c>
      <c r="E48" s="13" t="inlineStr">
        <is>
          <t>ЮЛ РФ</t>
        </is>
      </c>
      <c r="F48" s="13" t="n"/>
      <c r="G48" s="14" t="n"/>
      <c r="H48" s="14" t="n"/>
      <c r="I48" s="14" t="n"/>
      <c r="J48" s="14" t="n"/>
      <c r="K48" s="53" t="inlineStr"/>
      <c r="L48" s="53" t="inlineStr">
        <is>
          <t>Не определено</t>
        </is>
      </c>
      <c r="M48" s="53" t="inlineStr"/>
      <c r="N48" s="54" t="inlineStr"/>
      <c r="O48" s="55" t="inlineStr"/>
      <c r="P48" s="16" t="inlineStr">
        <is>
          <t>Требует обогащения</t>
        </is>
      </c>
      <c r="Q48" s="16">
        <f>HYPERLINK("https://pb.nalog.ru/search.html?query=3832000375","ФНС: проверить")</f>
        <v/>
      </c>
      <c r="R48" s="16">
        <f>HYPERLINK("https://checko.ru/search?query=3801001629","Чекко: проверить")</f>
        <v/>
      </c>
      <c r="S48" t="n">
        <v>1</v>
      </c>
      <c r="T48" s="35" t="inlineStr">
        <is>
          <t>4 — Не обогащён</t>
        </is>
      </c>
      <c r="U48" s="35" t="inlineStr">
        <is>
          <t>Нет ОКВЭД/ССЧР</t>
        </is>
      </c>
      <c r="V48" s="35" t="inlineStr">
        <is>
          <t>Не определено</t>
        </is>
      </c>
      <c r="W48" s="35" t="inlineStr"/>
      <c r="X48" s="35" t="inlineStr"/>
    </row>
    <row r="49" ht="15" customHeight="1" s="24">
      <c r="A49" s="13" t="n">
        <v>800666354</v>
      </c>
      <c r="B49" s="13" t="inlineStr">
        <is>
          <t>ИП Каморников Сергей Викторович</t>
        </is>
      </c>
      <c r="C49" s="13" t="n">
        <v>381100916398</v>
      </c>
      <c r="D49" s="13" t="inlineStr">
        <is>
          <t>381100916398</t>
        </is>
      </c>
      <c r="E49" s="13" t="inlineStr">
        <is>
          <t>ИП РФ / физлицо</t>
        </is>
      </c>
      <c r="F49" s="13" t="n"/>
      <c r="G49" s="14" t="n"/>
      <c r="H49" s="14" t="n"/>
      <c r="I49" s="14" t="n"/>
      <c r="J49" s="14" t="n"/>
      <c r="K49" s="53" t="inlineStr"/>
      <c r="L49" s="53" t="inlineStr">
        <is>
          <t>Не определено</t>
        </is>
      </c>
      <c r="M49" s="53" t="inlineStr"/>
      <c r="N49" s="54" t="inlineStr"/>
      <c r="O49" s="55" t="inlineStr"/>
      <c r="P49" s="16" t="inlineStr">
        <is>
          <t>Требует обогащения</t>
        </is>
      </c>
      <c r="Q49" s="16">
        <f>HYPERLINK("https://pb.nalog.ru/search.html?query=381100916398","ФНС: проверить")</f>
        <v/>
      </c>
      <c r="R49" s="16">
        <f>HYPERLINK("https://checko.ru/search?query=3801001629","Чекко: проверить")</f>
        <v/>
      </c>
      <c r="S49" t="n">
        <v>1</v>
      </c>
      <c r="T49" s="35" t="inlineStr">
        <is>
          <t>4 — Не обогащён</t>
        </is>
      </c>
      <c r="U49" s="35" t="inlineStr">
        <is>
          <t>Нет ОКВЭД/ССЧР</t>
        </is>
      </c>
      <c r="V49" s="35" t="inlineStr">
        <is>
          <t>Не определено</t>
        </is>
      </c>
      <c r="W49" s="35" t="inlineStr"/>
      <c r="X49" s="35" t="inlineStr"/>
    </row>
    <row r="50" ht="41.25" customHeight="1" s="24">
      <c r="A50" s="13" t="n">
        <v>804691406</v>
      </c>
      <c r="B50" s="13" t="inlineStr">
        <is>
          <t>ОБЩЕСТВО С ОГРАНИЧЕННОЙ ОТВЕТСТВЕННОСТЬЮ СПЕЦИАЛИЗИРОВАННЫЙ ЗАСТРОЙЩИК "БЕЛОЕ СОЗВЕЗДИЕ"</t>
        </is>
      </c>
      <c r="C50" s="13" t="n">
        <v>3812047008</v>
      </c>
      <c r="D50" s="13" t="inlineStr">
        <is>
          <t>3812047008</t>
        </is>
      </c>
      <c r="E50" s="13" t="inlineStr">
        <is>
          <t>ЮЛ РФ</t>
        </is>
      </c>
      <c r="F50" s="13" t="n"/>
      <c r="G50" s="52" t="n">
        <v>13</v>
      </c>
      <c r="H50" s="52" t="n">
        <v>2025</v>
      </c>
      <c r="I50" s="14" t="n"/>
      <c r="J50" s="14" t="n"/>
      <c r="K50" s="53" t="inlineStr">
        <is>
          <t>Нет</t>
        </is>
      </c>
      <c r="L50" s="53" t="inlineStr">
        <is>
          <t>Не определено</t>
        </is>
      </c>
      <c r="M50" s="53" t="inlineStr">
        <is>
          <t>До 25</t>
        </is>
      </c>
      <c r="N50" s="54" t="n">
        <v>8400</v>
      </c>
      <c r="O50" s="55" t="inlineStr">
        <is>
          <t>1–15</t>
        </is>
      </c>
      <c r="P50" s="16" t="inlineStr">
        <is>
          <t>ССЧР обогащена; ОКВЭД не найден/не загружен</t>
        </is>
      </c>
      <c r="Q50" s="16" t="inlineStr">
        <is>
          <t>ФНС открытые данные ССЧР (ДатаСост 31.12.2025; набор 7707329152-sshr2019)</t>
        </is>
      </c>
      <c r="R50" s="16">
        <f>HYPERLINK("https://checko.ru/search?query=3801001629","Чекко: проверить")</f>
        <v/>
      </c>
      <c r="S50" t="n">
        <v>1</v>
      </c>
      <c r="T50" s="35" t="inlineStr">
        <is>
          <t>4 — Не обогащён</t>
        </is>
      </c>
      <c r="U50" s="35" t="inlineStr">
        <is>
          <t>Нет ОКВЭД/ССЧР</t>
        </is>
      </c>
      <c r="V50" s="35" t="inlineStr">
        <is>
          <t>Не определено</t>
        </is>
      </c>
      <c r="W50" s="35" t="inlineStr">
        <is>
          <t>Нет</t>
        </is>
      </c>
      <c r="X50" s="35" t="inlineStr"/>
    </row>
    <row r="51" ht="15" customHeight="1" s="24">
      <c r="A51" s="13" t="n">
        <v>9195487</v>
      </c>
      <c r="B51" s="13" t="inlineStr">
        <is>
          <t>Русичи Трейд, ООО</t>
        </is>
      </c>
      <c r="C51" s="13" t="n">
        <v>3808142604</v>
      </c>
      <c r="D51" s="13" t="inlineStr">
        <is>
          <t>3808142604</t>
        </is>
      </c>
      <c r="E51" s="13" t="inlineStr">
        <is>
          <t>ЮЛ РФ</t>
        </is>
      </c>
      <c r="F51" s="13" t="n"/>
      <c r="G51" s="52" t="n">
        <v>69</v>
      </c>
      <c r="H51" s="52" t="n">
        <v>2025</v>
      </c>
      <c r="I51" s="52" t="inlineStr">
        <is>
          <t>46.90</t>
        </is>
      </c>
      <c r="J51" s="52" t="inlineStr">
        <is>
          <t>46.90; 43.21; 46.15.3; 46.43.2; 46.69.5; 47.43; 49.41; 49.41.2; 49.42; 82.30; 95.12</t>
        </is>
      </c>
      <c r="K51" s="53" t="inlineStr">
        <is>
          <t>Да</t>
        </is>
      </c>
      <c r="L51" s="53" t="inlineStr">
        <is>
          <t>Да</t>
        </is>
      </c>
      <c r="M51" s="53" t="inlineStr">
        <is>
          <t>До 100</t>
        </is>
      </c>
      <c r="N51" s="54" t="n">
        <v>33600</v>
      </c>
      <c r="O51" s="55" t="inlineStr">
        <is>
          <t>51–100</t>
        </is>
      </c>
      <c r="P51" s="16" t="inlineStr">
        <is>
          <t>ССЧР + ОКВЭД обогащены</t>
        </is>
      </c>
      <c r="Q51" s="16" t="inlineStr">
        <is>
          <t>ФНС открытые данные ССЧР (ДатаСост 31.12.2025; набор 7707329152-sshr2019)</t>
        </is>
      </c>
      <c r="R51" s="16" t="inlineStr">
        <is>
          <t>ЕГРЮЛ / egrul.nalog.ru (выписка)</t>
        </is>
      </c>
      <c r="S51" t="n">
        <v>1</v>
      </c>
      <c r="T51" s="35" t="inlineStr">
        <is>
          <t>1 — Горячий</t>
        </is>
      </c>
      <c r="U51" s="35" t="inlineStr">
        <is>
          <t>ОКВЭД + 22+</t>
        </is>
      </c>
      <c r="V51" s="35" t="inlineStr">
        <is>
          <t>Да</t>
        </is>
      </c>
      <c r="W51" s="35" t="inlineStr">
        <is>
          <t>Да</t>
        </is>
      </c>
      <c r="X51" s="35" t="inlineStr">
        <is>
          <t>Да</t>
        </is>
      </c>
    </row>
    <row r="52" ht="15" customHeight="1" s="24">
      <c r="A52" s="13" t="n">
        <v>800453724</v>
      </c>
      <c r="B52" s="13" t="inlineStr">
        <is>
          <t>ООО "ТРАНС-ЛОДЖИК"</t>
        </is>
      </c>
      <c r="C52" s="13" t="n">
        <v>3811029006</v>
      </c>
      <c r="D52" s="13" t="inlineStr">
        <is>
          <t>3811029006</t>
        </is>
      </c>
      <c r="E52" s="13" t="inlineStr">
        <is>
          <t>ЮЛ РФ</t>
        </is>
      </c>
      <c r="F52" s="13" t="n"/>
      <c r="G52" s="52" t="n">
        <v>6</v>
      </c>
      <c r="H52" s="52" t="n">
        <v>2025</v>
      </c>
      <c r="I52" s="14" t="n"/>
      <c r="J52" s="14" t="n"/>
      <c r="K52" s="53" t="inlineStr">
        <is>
          <t>Нет</t>
        </is>
      </c>
      <c r="L52" s="53" t="inlineStr">
        <is>
          <t>Не определено</t>
        </is>
      </c>
      <c r="M52" s="53" t="inlineStr">
        <is>
          <t>До 10</t>
        </is>
      </c>
      <c r="N52" s="54" t="n">
        <v>3360</v>
      </c>
      <c r="O52" s="55" t="inlineStr">
        <is>
          <t>1–15</t>
        </is>
      </c>
      <c r="P52" s="16" t="inlineStr">
        <is>
          <t>ССЧР обогащена; ОКВЭД не найден/не загружен</t>
        </is>
      </c>
      <c r="Q52" s="16" t="inlineStr">
        <is>
          <t>ФНС открытые данные ССЧР (ДатаСост 31.12.2025; набор 7707329152-sshr2019)</t>
        </is>
      </c>
      <c r="R52" s="16">
        <f>HYPERLINK("https://checko.ru/search?query=3801001629","Чекко: проверить")</f>
        <v/>
      </c>
      <c r="S52" t="n">
        <v>1</v>
      </c>
      <c r="T52" s="35" t="inlineStr">
        <is>
          <t>4 — Не обогащён</t>
        </is>
      </c>
      <c r="U52" s="35" t="inlineStr">
        <is>
          <t>Нет ОКВЭД/ССЧР</t>
        </is>
      </c>
      <c r="V52" s="35" t="inlineStr">
        <is>
          <t>Не определено</t>
        </is>
      </c>
      <c r="W52" s="35" t="inlineStr">
        <is>
          <t>Нет</t>
        </is>
      </c>
      <c r="X52" s="35" t="inlineStr"/>
    </row>
    <row r="53" ht="15" customHeight="1" s="24">
      <c r="A53" s="13" t="n">
        <v>802400540</v>
      </c>
      <c r="B53" s="13" t="inlineStr">
        <is>
          <t>РУСТЕХ</t>
        </is>
      </c>
      <c r="C53" s="13" t="n">
        <v>3849027110</v>
      </c>
      <c r="D53" s="13" t="inlineStr">
        <is>
          <t>3849027110</t>
        </is>
      </c>
      <c r="E53" s="13" t="inlineStr">
        <is>
          <t>ЮЛ РФ</t>
        </is>
      </c>
      <c r="F53" s="13" t="n"/>
      <c r="G53" s="52" t="n">
        <v>19</v>
      </c>
      <c r="H53" s="52" t="n">
        <v>2025</v>
      </c>
      <c r="I53" s="14" t="n"/>
      <c r="J53" s="14" t="n"/>
      <c r="K53" s="53" t="inlineStr">
        <is>
          <t>Нет</t>
        </is>
      </c>
      <c r="L53" s="53" t="inlineStr">
        <is>
          <t>Не определено</t>
        </is>
      </c>
      <c r="M53" s="53" t="inlineStr">
        <is>
          <t>До 25</t>
        </is>
      </c>
      <c r="N53" s="54" t="n">
        <v>8400</v>
      </c>
      <c r="O53" s="55" t="inlineStr">
        <is>
          <t>16–30</t>
        </is>
      </c>
      <c r="P53" s="16" t="inlineStr">
        <is>
          <t>ССЧР обогащена; ОКВЭД не найден/не загружен</t>
        </is>
      </c>
      <c r="Q53" s="16" t="inlineStr">
        <is>
          <t>ФНС открытые данные ССЧР (ДатаСост 31.12.2025; набор 7707329152-sshr2019)</t>
        </is>
      </c>
      <c r="R53" s="16">
        <f>HYPERLINK("https://checko.ru/search?query=3801001629","Чекко: проверить")</f>
        <v/>
      </c>
      <c r="S53" t="n">
        <v>1</v>
      </c>
      <c r="T53" s="35" t="inlineStr">
        <is>
          <t>4 — Не обогащён</t>
        </is>
      </c>
      <c r="U53" s="35" t="inlineStr">
        <is>
          <t>Нет ОКВЭД/ССЧР</t>
        </is>
      </c>
      <c r="V53" s="35" t="inlineStr">
        <is>
          <t>Не определено</t>
        </is>
      </c>
      <c r="W53" s="35" t="inlineStr">
        <is>
          <t>Нет</t>
        </is>
      </c>
      <c r="X53" s="35" t="inlineStr"/>
    </row>
    <row r="54" ht="15" customHeight="1" s="24">
      <c r="A54" s="13" t="n">
        <v>9811523</v>
      </c>
      <c r="B54" s="13" t="inlineStr">
        <is>
          <t>ООО "АЛЬТЕРНАТИВА-РЕГИОН"</t>
        </is>
      </c>
      <c r="C54" s="13" t="n">
        <v>3811460639</v>
      </c>
      <c r="D54" s="13" t="inlineStr">
        <is>
          <t>3811460639</t>
        </is>
      </c>
      <c r="E54" s="13" t="inlineStr">
        <is>
          <t>ЮЛ РФ</t>
        </is>
      </c>
      <c r="F54" s="13" t="n"/>
      <c r="G54" s="52" t="n">
        <v>2</v>
      </c>
      <c r="H54" s="52" t="n">
        <v>2025</v>
      </c>
      <c r="I54" s="14" t="n"/>
      <c r="J54" s="14" t="n"/>
      <c r="K54" s="53" t="inlineStr">
        <is>
          <t>Нет</t>
        </is>
      </c>
      <c r="L54" s="53" t="inlineStr">
        <is>
          <t>Не определено</t>
        </is>
      </c>
      <c r="M54" s="53" t="inlineStr">
        <is>
          <t>До 10</t>
        </is>
      </c>
      <c r="N54" s="54" t="n">
        <v>3360</v>
      </c>
      <c r="O54" s="55" t="inlineStr">
        <is>
          <t>1–15</t>
        </is>
      </c>
      <c r="P54" s="16" t="inlineStr">
        <is>
          <t>ССЧР обогащена; ОКВЭД не найден/не загружен</t>
        </is>
      </c>
      <c r="Q54" s="16" t="inlineStr">
        <is>
          <t>ФНС открытые данные ССЧР (ДатаСост 31.12.2025; набор 7707329152-sshr2019)</t>
        </is>
      </c>
      <c r="R54" s="16">
        <f>HYPERLINK("https://checko.ru/search?query=3801001629","Чекко: проверить")</f>
        <v/>
      </c>
      <c r="S54" t="n">
        <v>1</v>
      </c>
      <c r="T54" s="35" t="inlineStr">
        <is>
          <t>4 — Не обогащён</t>
        </is>
      </c>
      <c r="U54" s="35" t="inlineStr">
        <is>
          <t>Нет ОКВЭД/ССЧР</t>
        </is>
      </c>
      <c r="V54" s="35" t="inlineStr">
        <is>
          <t>Не определено</t>
        </is>
      </c>
      <c r="W54" s="35" t="inlineStr">
        <is>
          <t>Нет</t>
        </is>
      </c>
      <c r="X54" s="35" t="inlineStr"/>
    </row>
    <row r="55" ht="15" customHeight="1" s="24">
      <c r="A55" s="13" t="n">
        <v>800500313</v>
      </c>
      <c r="B55" s="13" t="inlineStr">
        <is>
          <t>ПАРТНЁР ООО</t>
        </is>
      </c>
      <c r="C55" s="13" t="n">
        <v>3812530920</v>
      </c>
      <c r="D55" s="13" t="inlineStr">
        <is>
          <t>3812530920</t>
        </is>
      </c>
      <c r="E55" s="13" t="inlineStr">
        <is>
          <t>ЮЛ РФ</t>
        </is>
      </c>
      <c r="F55" s="13" t="n"/>
      <c r="G55" s="52" t="n">
        <v>2</v>
      </c>
      <c r="H55" s="52" t="n">
        <v>2025</v>
      </c>
      <c r="I55" s="14" t="n"/>
      <c r="J55" s="14" t="n"/>
      <c r="K55" s="53" t="inlineStr">
        <is>
          <t>Нет</t>
        </is>
      </c>
      <c r="L55" s="53" t="inlineStr">
        <is>
          <t>Не определено</t>
        </is>
      </c>
      <c r="M55" s="53" t="inlineStr">
        <is>
          <t>До 10</t>
        </is>
      </c>
      <c r="N55" s="54" t="n">
        <v>3360</v>
      </c>
      <c r="O55" s="55" t="inlineStr">
        <is>
          <t>1–15</t>
        </is>
      </c>
      <c r="P55" s="16" t="inlineStr">
        <is>
          <t>ССЧР обогащена; ОКВЭД не найден/не загружен</t>
        </is>
      </c>
      <c r="Q55" s="16" t="inlineStr">
        <is>
          <t>ФНС открытые данные ССЧР (ДатаСост 31.12.2025; набор 7707329152-sshr2019)</t>
        </is>
      </c>
      <c r="R55" s="16">
        <f>HYPERLINK("https://checko.ru/search?query=3801001629","Чекко: проверить")</f>
        <v/>
      </c>
      <c r="S55" t="n">
        <v>1</v>
      </c>
      <c r="T55" s="35" t="inlineStr">
        <is>
          <t>4 — Не обогащён</t>
        </is>
      </c>
      <c r="U55" s="35" t="inlineStr">
        <is>
          <t>Нет ОКВЭД/ССЧР</t>
        </is>
      </c>
      <c r="V55" s="35" t="inlineStr">
        <is>
          <t>Не определено</t>
        </is>
      </c>
      <c r="W55" s="35" t="inlineStr">
        <is>
          <t>Нет</t>
        </is>
      </c>
      <c r="X55" s="35" t="inlineStr"/>
    </row>
    <row r="56" ht="15" customHeight="1" s="24">
      <c r="A56" s="13" t="n">
        <v>9150013</v>
      </c>
      <c r="B56" s="13" t="inlineStr">
        <is>
          <t>ИП Удаев Анатолий Жамбылович</t>
        </is>
      </c>
      <c r="C56" s="13" t="n">
        <v>32000037660</v>
      </c>
      <c r="D56" s="13" t="n"/>
      <c r="E56" s="13" t="inlineStr">
        <is>
          <t>Не определён</t>
        </is>
      </c>
      <c r="F56" s="13" t="n"/>
      <c r="G56" s="14" t="n"/>
      <c r="H56" s="14" t="n"/>
      <c r="I56" s="14" t="n"/>
      <c r="J56" s="14" t="n"/>
      <c r="K56" s="13">
        <f>IF(G56="","",IF(G56&gt;=22,"Да","Нет"))</f>
        <v/>
      </c>
      <c r="L56" s="13">
        <f>IF(OR(I56="",J56=""),"Не определено",IF(OR(COUNTIF(I56,"45*")&gt;0,COUNTIF(J56,"*45*")&gt;0,COUNTIF(I56,"46*")&gt;0,COUNTIF(J56,"*46*")&gt;0,COUNTIF(I56,"47*")&gt;0,COUNTIF(J56,"*47*")&gt;0,COUNTIF(I56,"10*")&gt;0,COUNTIF(J56,"*10*")&gt;0,COUNTIF(I56,"11*")&gt;0,COUNTIF(J56,"*11*")&gt;0,COUNTIF(I56,"12*")&gt;0,COUNTIF(J56,"*12*")&gt;0,COUNTIF(I56,"13*")&gt;0,COUNTIF(J56,"*13*")&gt;0,COUNTIF(I56,"14*")&gt;0,COUNTIF(J56,"*14*")&gt;0,COUNTIF(I56,"15*")&gt;0,COUNTIF(J56,"*15*")&gt;0,COUNTIF(I56,"16*")&gt;0,COUNTIF(J56,"*16*")&gt;0,COUNTIF(I56,"17*")&gt;0,COUNTIF(J56,"*17*")&gt;0,COUNTIF(I56,"18*")&gt;0,COUNTIF(J56,"*18*")&gt;0,COUNTIF(I56,"19*")&gt;0,COUNTIF(J56,"*19*")&gt;0,COUNTIF(I56,"20*")&gt;0,COUNTIF(J56,"*20*")&gt;0,COUNTIF(I56,"21*")&gt;0,COUNTIF(J56,"*21*")&gt;0,COUNTIF(I56,"22*")&gt;0,COUNTIF(J56,"*22*")&gt;0,COUNTIF(I56,"23*")&gt;0,COUNTIF(J56,"*23*")&gt;0,COUNTIF(I56,"24*")&gt;0,COUNTIF(J56,"*24*")&gt;0,COUNTIF(I56,"25*")&gt;0,COUNTIF(J56,"*25*")&gt;0,COUNTIF(I56,"26*")&gt;0,COUNTIF(J56,"*26*")&gt;0,COUNTIF(I56,"27*")&gt;0,COUNTIF(J56,"*27*")&gt;0,COUNTIF(I56,"28*")&gt;0,COUNTIF(J56,"*28*")&gt;0,COUNTIF(I56,"29*")&gt;0,COUNTIF(J56,"*29*")&gt;0,COUNTIF(I56,"30*")&gt;0,COUNTIF(J56,"*30*")&gt;0,COUNTIF(I56,"31*")&gt;0,COUNTIF(J56,"*31*")&gt;0,COUNTIF(I56,"32*")&gt;0,COUNTIF(J56,"*32*")&gt;0,COUNTIF(I56,"33*")&gt;0,COUNTIF(J56,"*33*")&gt;0,COUNTIF(I56,"41*")&gt;0,COUNTIF(J56,"*41*")&gt;0,COUNTIF(I56,"42*")&gt;0,COUNTIF(J56,"*42*")&gt;0,COUNTIF(I56,"43*")&gt;0,COUNTIF(J56,"*43*")&gt;0,COUNTIF(I56,"49*")&gt;0,COUNTIF(J56,"*49*")&gt;0,COUNTIF(I56,"52*")&gt;0,COUNTIF(J56,"*52*")&gt;0,COUNTIF(I56,"55*")&gt;0,COUNTIF(J56,"*55*")&gt;0,COUNTIF(I56,"56*")&gt;0,COUNTIF(J56,"*56*")&gt;0,COUNTIF(I56,"68*")&gt;0,COUNTIF(J56,"*68*")&gt;0,COUNTIF(I56,"78*")&gt;0,COUNTIF(J56,"*78*")&gt;0,COUNTIF(I56,"81*")&gt;0,COUNTIF(J56,"*81*")&gt;0,COUNTIF(I56,"82*")&gt;0,COUNTIF(J56,"*82*")&gt;0,COUNTIF(I56,"64*")&gt;0,COUNTIF(J56,"*64*")&gt;0,COUNTIF(I56,"65*")&gt;0,COUNTIF(J56,"*65*")&gt;0,COUNTIF(I56,"66*")&gt;0,COUNTIF(J56,"*66*")&gt;0,COUNTIF(I56,"61*")&gt;0,COUNTIF(J56,"*61*")&gt;0,COUNTIF(I56,"62*")&gt;0,COUNTIF(J56,"*62*")&gt;0,COUNTIF(I56,"63*")&gt;0,COUNTIF(J56,"*63*")&gt;0,COUNTIF(I56,"85*")&gt;0,COUNTIF(J56,"*85*")&gt;0,COUNTIF(I56,"86*")&gt;0,COUNTIF(J56,"*86*")&gt;0),"Да","Нет"))</f>
        <v/>
      </c>
      <c r="M56" s="13">
        <f>IF(OR(G56="",L56&lt;&gt;"Да"),"",IF(G56&lt;=100,"До 100",IF(G56&lt;=200,"До 200",IF(G56&lt;=500,"До 500","Отдельное КП"))))</f>
        <v/>
      </c>
      <c r="N56" s="15">
        <f>IF(OR(G56="",L56&lt;&gt;"Да"),"",IF(G56&lt;=100,33600,IF(G56&lt;=200,62400,IF(G56&lt;=500,144000,""))))</f>
        <v/>
      </c>
      <c r="O56" s="16">
        <f>IF(G56="","",IF(G56&lt;=15,"1–15",IF(G56&lt;=30,"16–30",IF(G56&lt;=50,"31–50",IF(G56&lt;=100,"51–100",IF(G56&lt;=150,"101–150",IF(G56&lt;=200,"151–200",IF(G56&lt;=500,"201–500","500+"))))))))</f>
        <v/>
      </c>
      <c r="P56" s="16" t="inlineStr">
        <is>
          <t>Нет совпадения в предоставленной выгрузке ССЧР</t>
        </is>
      </c>
      <c r="Q56" s="16" t="n"/>
      <c r="R56" s="16">
        <f>HYPERLINK("https://checko.ru/search?query=3801001629","Чекко: проверить")</f>
        <v/>
      </c>
      <c r="S56" t="n">
        <v>0</v>
      </c>
    </row>
    <row r="57" ht="15" customHeight="1" s="24">
      <c r="A57" s="13" t="n">
        <v>9150863</v>
      </c>
      <c r="B57" s="13" t="inlineStr">
        <is>
          <t>ООО ПКП "Гефест СП"</t>
        </is>
      </c>
      <c r="C57" s="13" t="n">
        <v>3808114205</v>
      </c>
      <c r="D57" s="13" t="inlineStr">
        <is>
          <t>3808114205</t>
        </is>
      </c>
      <c r="E57" s="13" t="inlineStr">
        <is>
          <t>ЮЛ РФ</t>
        </is>
      </c>
      <c r="F57" s="13" t="n"/>
      <c r="G57" s="52" t="n">
        <v>3</v>
      </c>
      <c r="H57" s="52" t="n">
        <v>2025</v>
      </c>
      <c r="I57" s="14" t="n"/>
      <c r="J57" s="14" t="n"/>
      <c r="K57" s="53" t="inlineStr">
        <is>
          <t>Нет</t>
        </is>
      </c>
      <c r="L57" s="53" t="inlineStr">
        <is>
          <t>Не определено</t>
        </is>
      </c>
      <c r="M57" s="53" t="inlineStr">
        <is>
          <t>До 10</t>
        </is>
      </c>
      <c r="N57" s="54" t="n">
        <v>3360</v>
      </c>
      <c r="O57" s="55" t="inlineStr">
        <is>
          <t>1–15</t>
        </is>
      </c>
      <c r="P57" s="16" t="inlineStr">
        <is>
          <t>ССЧР обогащена; ОКВЭД не найден/не загружен</t>
        </is>
      </c>
      <c r="Q57" s="16" t="inlineStr">
        <is>
          <t>ФНС открытые данные ССЧР (ДатаСост 31.12.2025; набор 7707329152-sshr2019)</t>
        </is>
      </c>
      <c r="R57" s="16">
        <f>HYPERLINK("https://checko.ru/search?query=3801001629","Чекко: проверить")</f>
        <v/>
      </c>
      <c r="S57" t="n">
        <v>1</v>
      </c>
      <c r="T57" s="35" t="inlineStr">
        <is>
          <t>4 — Не обогащён</t>
        </is>
      </c>
      <c r="U57" s="35" t="inlineStr">
        <is>
          <t>Нет ОКВЭД/ССЧР</t>
        </is>
      </c>
      <c r="V57" s="35" t="inlineStr">
        <is>
          <t>Не определено</t>
        </is>
      </c>
      <c r="W57" s="35" t="inlineStr">
        <is>
          <t>Нет</t>
        </is>
      </c>
      <c r="X57" s="35" t="inlineStr"/>
    </row>
    <row r="58" ht="15" customHeight="1" s="24">
      <c r="A58" s="13" t="n">
        <v>9866325</v>
      </c>
      <c r="B58" s="13" t="inlineStr">
        <is>
          <t>БТС ООО</t>
        </is>
      </c>
      <c r="C58" s="13" t="n">
        <v>3810088520</v>
      </c>
      <c r="D58" s="13" t="inlineStr">
        <is>
          <t>3810088520</t>
        </is>
      </c>
      <c r="E58" s="13" t="inlineStr">
        <is>
          <t>ЮЛ РФ</t>
        </is>
      </c>
      <c r="F58" s="13" t="n"/>
      <c r="G58" s="52" t="n">
        <v>1</v>
      </c>
      <c r="H58" s="52" t="n">
        <v>2025</v>
      </c>
      <c r="I58" s="14" t="n"/>
      <c r="J58" s="14" t="n"/>
      <c r="K58" s="53" t="inlineStr">
        <is>
          <t>Нет</t>
        </is>
      </c>
      <c r="L58" s="53" t="inlineStr">
        <is>
          <t>Не определено</t>
        </is>
      </c>
      <c r="M58" s="53" t="inlineStr">
        <is>
          <t>До 10</t>
        </is>
      </c>
      <c r="N58" s="54" t="n">
        <v>3360</v>
      </c>
      <c r="O58" s="55" t="inlineStr">
        <is>
          <t>1–15</t>
        </is>
      </c>
      <c r="P58" s="16" t="inlineStr">
        <is>
          <t>ССЧР обогащена; ОКВЭД не найден/не загружен</t>
        </is>
      </c>
      <c r="Q58" s="16" t="inlineStr">
        <is>
          <t>ФНС открытые данные ССЧР (ДатаСост 31.12.2025; набор 7707329152-sshr2019)</t>
        </is>
      </c>
      <c r="R58" s="16">
        <f>HYPERLINK("https://checko.ru/search?query=3801001629","Чекко: проверить")</f>
        <v/>
      </c>
      <c r="S58" t="n">
        <v>1</v>
      </c>
      <c r="T58" s="35" t="inlineStr">
        <is>
          <t>4 — Не обогащён</t>
        </is>
      </c>
      <c r="U58" s="35" t="inlineStr">
        <is>
          <t>Нет ОКВЭД/ССЧР</t>
        </is>
      </c>
      <c r="V58" s="35" t="inlineStr">
        <is>
          <t>Не определено</t>
        </is>
      </c>
      <c r="W58" s="35" t="inlineStr">
        <is>
          <t>Нет</t>
        </is>
      </c>
      <c r="X58" s="35" t="inlineStr"/>
    </row>
    <row r="59" ht="15" customHeight="1" s="24">
      <c r="A59" s="13" t="n">
        <v>9148908</v>
      </c>
      <c r="B59" s="13" t="inlineStr">
        <is>
          <t>Фотон</t>
        </is>
      </c>
      <c r="C59" s="13" t="n">
        <v>1434002771</v>
      </c>
      <c r="D59" s="13" t="inlineStr">
        <is>
          <t>1434002771</t>
        </is>
      </c>
      <c r="E59" s="13" t="inlineStr">
        <is>
          <t>ЮЛ РФ</t>
        </is>
      </c>
      <c r="F59" s="13" t="n"/>
      <c r="G59" s="52" t="n">
        <v>11</v>
      </c>
      <c r="H59" s="52" t="n">
        <v>2025</v>
      </c>
      <c r="I59" s="14" t="n"/>
      <c r="J59" s="14" t="n"/>
      <c r="K59" s="53" t="inlineStr">
        <is>
          <t>Нет</t>
        </is>
      </c>
      <c r="L59" s="53" t="inlineStr">
        <is>
          <t>Не определено</t>
        </is>
      </c>
      <c r="M59" s="53" t="inlineStr">
        <is>
          <t>До 25</t>
        </is>
      </c>
      <c r="N59" s="54" t="n">
        <v>8400</v>
      </c>
      <c r="O59" s="55" t="inlineStr">
        <is>
          <t>1–15</t>
        </is>
      </c>
      <c r="P59" s="16" t="inlineStr">
        <is>
          <t>ССЧР обогащена; ОКВЭД не найден/не загружен</t>
        </is>
      </c>
      <c r="Q59" s="16" t="inlineStr">
        <is>
          <t>ФНС открытые данные ССЧР (ДатаСост 31.12.2025; набор 7707329152-sshr2019)</t>
        </is>
      </c>
      <c r="R59" s="16">
        <f>HYPERLINK("https://checko.ru/search?query=3801001629","Чекко: проверить")</f>
        <v/>
      </c>
      <c r="S59" t="n">
        <v>1</v>
      </c>
      <c r="T59" s="35" t="inlineStr">
        <is>
          <t>4 — Не обогащён</t>
        </is>
      </c>
      <c r="U59" s="35" t="inlineStr">
        <is>
          <t>Нет ОКВЭД/ССЧР</t>
        </is>
      </c>
      <c r="V59" s="35" t="inlineStr">
        <is>
          <t>Не определено</t>
        </is>
      </c>
      <c r="W59" s="35" t="inlineStr">
        <is>
          <t>Нет</t>
        </is>
      </c>
      <c r="X59" s="35" t="inlineStr"/>
    </row>
    <row r="60" ht="15" customHeight="1" s="24">
      <c r="A60" s="13" t="n">
        <v>9144803</v>
      </c>
      <c r="B60" s="13" t="inlineStr">
        <is>
          <t>Бизнес-Консалт, ООО</t>
        </is>
      </c>
      <c r="C60" s="13" t="n">
        <v>3810322562</v>
      </c>
      <c r="D60" s="13" t="inlineStr">
        <is>
          <t>3810322562</t>
        </is>
      </c>
      <c r="E60" s="13" t="inlineStr">
        <is>
          <t>ЮЛ РФ</t>
        </is>
      </c>
      <c r="F60" s="13" t="n"/>
      <c r="G60" s="52" t="n">
        <v>3</v>
      </c>
      <c r="H60" s="52" t="n">
        <v>2025</v>
      </c>
      <c r="I60" s="14" t="n"/>
      <c r="J60" s="14" t="n"/>
      <c r="K60" s="53" t="inlineStr">
        <is>
          <t>Нет</t>
        </is>
      </c>
      <c r="L60" s="53" t="inlineStr">
        <is>
          <t>Не определено</t>
        </is>
      </c>
      <c r="M60" s="53" t="inlineStr">
        <is>
          <t>До 10</t>
        </is>
      </c>
      <c r="N60" s="54" t="n">
        <v>3360</v>
      </c>
      <c r="O60" s="55" t="inlineStr">
        <is>
          <t>1–15</t>
        </is>
      </c>
      <c r="P60" s="16" t="inlineStr">
        <is>
          <t>ССЧР обогащена; ОКВЭД не найден/не загружен</t>
        </is>
      </c>
      <c r="Q60" s="16" t="inlineStr">
        <is>
          <t>ФНС открытые данные ССЧР (ДатаСост 31.12.2025; набор 7707329152-sshr2019)</t>
        </is>
      </c>
      <c r="R60" s="16">
        <f>HYPERLINK("https://checko.ru/search?query=3801001629","Чекко: проверить")</f>
        <v/>
      </c>
      <c r="S60" t="n">
        <v>1</v>
      </c>
      <c r="T60" s="35" t="inlineStr">
        <is>
          <t>4 — Не обогащён</t>
        </is>
      </c>
      <c r="U60" s="35" t="inlineStr">
        <is>
          <t>Нет ОКВЭД/ССЧР</t>
        </is>
      </c>
      <c r="V60" s="35" t="inlineStr">
        <is>
          <t>Не определено</t>
        </is>
      </c>
      <c r="W60" s="35" t="inlineStr">
        <is>
          <t>Нет</t>
        </is>
      </c>
      <c r="X60" s="35" t="inlineStr"/>
    </row>
    <row r="61" ht="15" customHeight="1" s="24">
      <c r="A61" s="13" t="n">
        <v>802407212</v>
      </c>
      <c r="B61" s="13" t="inlineStr">
        <is>
          <t>ООО "Аудит-стандарт"</t>
        </is>
      </c>
      <c r="C61" s="13" t="n">
        <v>3812096439</v>
      </c>
      <c r="D61" s="13" t="inlineStr">
        <is>
          <t>3812096439</t>
        </is>
      </c>
      <c r="E61" s="13" t="inlineStr">
        <is>
          <t>ЮЛ РФ</t>
        </is>
      </c>
      <c r="F61" s="13" t="n"/>
      <c r="G61" s="52" t="n">
        <v>6</v>
      </c>
      <c r="H61" s="52" t="n">
        <v>2025</v>
      </c>
      <c r="I61" s="14" t="n"/>
      <c r="J61" s="14" t="n"/>
      <c r="K61" s="53" t="inlineStr">
        <is>
          <t>Нет</t>
        </is>
      </c>
      <c r="L61" s="53" t="inlineStr">
        <is>
          <t>Не определено</t>
        </is>
      </c>
      <c r="M61" s="53" t="inlineStr">
        <is>
          <t>До 10</t>
        </is>
      </c>
      <c r="N61" s="54" t="n">
        <v>3360</v>
      </c>
      <c r="O61" s="55" t="inlineStr">
        <is>
          <t>1–15</t>
        </is>
      </c>
      <c r="P61" s="16" t="inlineStr">
        <is>
          <t>ССЧР обогащена; ОКВЭД не найден/не загружен</t>
        </is>
      </c>
      <c r="Q61" s="16" t="inlineStr">
        <is>
          <t>ФНС открытые данные ССЧР (ДатаСост 31.12.2025; набор 7707329152-sshr2019)</t>
        </is>
      </c>
      <c r="R61" s="16">
        <f>HYPERLINK("https://checko.ru/search?query=3801001629","Чекко: проверить")</f>
        <v/>
      </c>
      <c r="S61" t="n">
        <v>1</v>
      </c>
      <c r="T61" s="35" t="inlineStr">
        <is>
          <t>4 — Не обогащён</t>
        </is>
      </c>
      <c r="U61" s="35" t="inlineStr">
        <is>
          <t>Нет ОКВЭД/ССЧР</t>
        </is>
      </c>
      <c r="V61" s="35" t="inlineStr">
        <is>
          <t>Не определено</t>
        </is>
      </c>
      <c r="W61" s="35" t="inlineStr">
        <is>
          <t>Нет</t>
        </is>
      </c>
      <c r="X61" s="35" t="inlineStr"/>
    </row>
    <row r="62" ht="15" customHeight="1" s="24">
      <c r="A62" s="13" t="n">
        <v>9827253</v>
      </c>
      <c r="B62" s="13" t="inlineStr">
        <is>
          <t>Кари, ООО</t>
        </is>
      </c>
      <c r="C62" s="13" t="n">
        <v>3808103323</v>
      </c>
      <c r="D62" s="13" t="inlineStr">
        <is>
          <t>3808103323</t>
        </is>
      </c>
      <c r="E62" s="13" t="inlineStr">
        <is>
          <t>ЮЛ РФ</t>
        </is>
      </c>
      <c r="F62" s="13" t="n"/>
      <c r="G62" s="52" t="n">
        <v>19</v>
      </c>
      <c r="H62" s="52" t="n">
        <v>2025</v>
      </c>
      <c r="I62" s="14" t="n"/>
      <c r="J62" s="14" t="n"/>
      <c r="K62" s="53" t="inlineStr">
        <is>
          <t>Нет</t>
        </is>
      </c>
      <c r="L62" s="53" t="inlineStr">
        <is>
          <t>Не определено</t>
        </is>
      </c>
      <c r="M62" s="53" t="inlineStr">
        <is>
          <t>До 25</t>
        </is>
      </c>
      <c r="N62" s="54" t="n">
        <v>8400</v>
      </c>
      <c r="O62" s="55" t="inlineStr">
        <is>
          <t>16–30</t>
        </is>
      </c>
      <c r="P62" s="16" t="inlineStr">
        <is>
          <t>ССЧР обогащена; ОКВЭД не найден/не загружен</t>
        </is>
      </c>
      <c r="Q62" s="16" t="inlineStr">
        <is>
          <t>ФНС открытые данные ССЧР (ДатаСост 31.12.2025; набор 7707329152-sshr2019)</t>
        </is>
      </c>
      <c r="R62" s="16">
        <f>HYPERLINK("https://checko.ru/search?query=3801001629","Чекко: проверить")</f>
        <v/>
      </c>
      <c r="S62" t="n">
        <v>1</v>
      </c>
      <c r="T62" s="35" t="inlineStr">
        <is>
          <t>4 — Не обогащён</t>
        </is>
      </c>
      <c r="U62" s="35" t="inlineStr">
        <is>
          <t>Нет ОКВЭД/ССЧР</t>
        </is>
      </c>
      <c r="V62" s="35" t="inlineStr">
        <is>
          <t>Не определено</t>
        </is>
      </c>
      <c r="W62" s="35" t="inlineStr">
        <is>
          <t>Нет</t>
        </is>
      </c>
      <c r="X62" s="35" t="inlineStr"/>
    </row>
    <row r="63" ht="27.75" customHeight="1" s="24">
      <c r="A63" s="13" t="n">
        <v>800439049</v>
      </c>
      <c r="B63" s="13" t="inlineStr">
        <is>
          <t>Акционерное общество "ИРКУТСКИЙ ПРОИЗВОДСТВЕННО-СТРОИТЕЛЬНЫЙ КОМПЛЕКС"</t>
        </is>
      </c>
      <c r="C63" s="13" t="n">
        <v>3811095070</v>
      </c>
      <c r="D63" s="13" t="inlineStr">
        <is>
          <t>3811095070</t>
        </is>
      </c>
      <c r="E63" s="13" t="inlineStr">
        <is>
          <t>ЮЛ РФ</t>
        </is>
      </c>
      <c r="F63" s="13" t="n"/>
      <c r="G63" s="52" t="n">
        <v>13</v>
      </c>
      <c r="H63" s="52" t="n">
        <v>2025</v>
      </c>
      <c r="I63" s="14" t="n"/>
      <c r="J63" s="14" t="n"/>
      <c r="K63" s="53" t="inlineStr">
        <is>
          <t>Нет</t>
        </is>
      </c>
      <c r="L63" s="53" t="inlineStr">
        <is>
          <t>Не определено</t>
        </is>
      </c>
      <c r="M63" s="53" t="inlineStr">
        <is>
          <t>До 25</t>
        </is>
      </c>
      <c r="N63" s="54" t="n">
        <v>8400</v>
      </c>
      <c r="O63" s="55" t="inlineStr">
        <is>
          <t>1–15</t>
        </is>
      </c>
      <c r="P63" s="16" t="inlineStr">
        <is>
          <t>ССЧР обогащена; ОКВЭД не найден/не загружен</t>
        </is>
      </c>
      <c r="Q63" s="16" t="inlineStr">
        <is>
          <t>ФНС открытые данные ССЧР (ДатаСост 31.12.2025; набор 7707329152-sshr2019)</t>
        </is>
      </c>
      <c r="R63" s="16">
        <f>HYPERLINK("https://checko.ru/search?query=3801001629","Чекко: проверить")</f>
        <v/>
      </c>
      <c r="S63" t="n">
        <v>1</v>
      </c>
      <c r="T63" s="35" t="inlineStr">
        <is>
          <t>4 — Не обогащён</t>
        </is>
      </c>
      <c r="U63" s="35" t="inlineStr">
        <is>
          <t>Нет ОКВЭД/ССЧР</t>
        </is>
      </c>
      <c r="V63" s="35" t="inlineStr">
        <is>
          <t>Не определено</t>
        </is>
      </c>
      <c r="W63" s="35" t="inlineStr">
        <is>
          <t>Нет</t>
        </is>
      </c>
      <c r="X63" s="35" t="inlineStr"/>
    </row>
    <row r="64" ht="15" customHeight="1" s="24">
      <c r="A64" s="13" t="n">
        <v>801896113</v>
      </c>
      <c r="B64" s="13" t="inlineStr">
        <is>
          <t>ООО "УК "Сибирское товарищество"</t>
        </is>
      </c>
      <c r="C64" s="13" t="n">
        <v>3849088113</v>
      </c>
      <c r="D64" s="13" t="inlineStr">
        <is>
          <t>3849088113</t>
        </is>
      </c>
      <c r="E64" s="13" t="inlineStr">
        <is>
          <t>ЮЛ РФ</t>
        </is>
      </c>
      <c r="F64" s="13" t="n"/>
      <c r="G64" s="52" t="n">
        <v>17</v>
      </c>
      <c r="H64" s="52" t="n">
        <v>2025</v>
      </c>
      <c r="I64" s="14" t="n"/>
      <c r="J64" s="14" t="n"/>
      <c r="K64" s="53" t="inlineStr">
        <is>
          <t>Нет</t>
        </is>
      </c>
      <c r="L64" s="53" t="inlineStr">
        <is>
          <t>Не определено</t>
        </is>
      </c>
      <c r="M64" s="53" t="inlineStr">
        <is>
          <t>До 25</t>
        </is>
      </c>
      <c r="N64" s="54" t="n">
        <v>8400</v>
      </c>
      <c r="O64" s="55" t="inlineStr">
        <is>
          <t>16–30</t>
        </is>
      </c>
      <c r="P64" s="16" t="inlineStr">
        <is>
          <t>ССЧР обогащена; ОКВЭД не найден/не загружен</t>
        </is>
      </c>
      <c r="Q64" s="16" t="inlineStr">
        <is>
          <t>ФНС открытые данные ССЧР (ДатаСост 31.12.2025; набор 7707329152-sshr2019)</t>
        </is>
      </c>
      <c r="R64" s="16">
        <f>HYPERLINK("https://checko.ru/search?query=3801001629","Чекко: проверить")</f>
        <v/>
      </c>
      <c r="S64" t="n">
        <v>1</v>
      </c>
      <c r="T64" s="35" t="inlineStr">
        <is>
          <t>4 — Не обогащён</t>
        </is>
      </c>
      <c r="U64" s="35" t="inlineStr">
        <is>
          <t>Нет ОКВЭД/ССЧР</t>
        </is>
      </c>
      <c r="V64" s="35" t="inlineStr">
        <is>
          <t>Не определено</t>
        </is>
      </c>
      <c r="W64" s="35" t="inlineStr">
        <is>
          <t>Нет</t>
        </is>
      </c>
      <c r="X64" s="35" t="inlineStr"/>
    </row>
    <row r="65" ht="27.75" customHeight="1" s="24">
      <c r="A65" s="13" t="n">
        <v>800593934</v>
      </c>
      <c r="B65" s="13" t="inlineStr">
        <is>
          <t>ОБЩЕСТВО С ОГРАНИЧЕННОЙ ОТВЕТСТВЕННОСТЬЮ «АЙХАЛ»</t>
        </is>
      </c>
      <c r="C65" s="13" t="n">
        <v>1434039010</v>
      </c>
      <c r="D65" s="13" t="inlineStr">
        <is>
          <t>1434039010</t>
        </is>
      </c>
      <c r="E65" s="13" t="inlineStr">
        <is>
          <t>ЮЛ РФ</t>
        </is>
      </c>
      <c r="F65" s="13" t="n"/>
      <c r="G65" s="52" t="n">
        <v>8</v>
      </c>
      <c r="H65" s="52" t="n">
        <v>2025</v>
      </c>
      <c r="I65" s="14" t="n"/>
      <c r="J65" s="14" t="n"/>
      <c r="K65" s="53" t="inlineStr">
        <is>
          <t>Нет</t>
        </is>
      </c>
      <c r="L65" s="53" t="inlineStr">
        <is>
          <t>Не определено</t>
        </is>
      </c>
      <c r="M65" s="53" t="inlineStr">
        <is>
          <t>До 10</t>
        </is>
      </c>
      <c r="N65" s="54" t="n">
        <v>3360</v>
      </c>
      <c r="O65" s="55" t="inlineStr">
        <is>
          <t>1–15</t>
        </is>
      </c>
      <c r="P65" s="16" t="inlineStr">
        <is>
          <t>ССЧР обогащена; ОКВЭД не найден/не загружен</t>
        </is>
      </c>
      <c r="Q65" s="16" t="inlineStr">
        <is>
          <t>ФНС открытые данные ССЧР (ДатаСост 31.12.2025; набор 7707329152-sshr2019)</t>
        </is>
      </c>
      <c r="R65" s="16">
        <f>HYPERLINK("https://checko.ru/search?query=3801001629","Чекко: проверить")</f>
        <v/>
      </c>
      <c r="S65" t="n">
        <v>1</v>
      </c>
      <c r="T65" s="35" t="inlineStr">
        <is>
          <t>4 — Не обогащён</t>
        </is>
      </c>
      <c r="U65" s="35" t="inlineStr">
        <is>
          <t>Нет ОКВЭД/ССЧР</t>
        </is>
      </c>
      <c r="V65" s="35" t="inlineStr">
        <is>
          <t>Не определено</t>
        </is>
      </c>
      <c r="W65" s="35" t="inlineStr">
        <is>
          <t>Нет</t>
        </is>
      </c>
      <c r="X65" s="35" t="inlineStr"/>
    </row>
    <row r="66" ht="15" customHeight="1" s="24">
      <c r="A66" s="13" t="n">
        <v>801607287</v>
      </c>
      <c r="B66" s="13" t="inlineStr">
        <is>
          <t>ООО "Светоч"</t>
        </is>
      </c>
      <c r="C66" s="13" t="n">
        <v>3849036700</v>
      </c>
      <c r="D66" s="13" t="inlineStr">
        <is>
          <t>3849036700</t>
        </is>
      </c>
      <c r="E66" s="13" t="inlineStr">
        <is>
          <t>ЮЛ РФ</t>
        </is>
      </c>
      <c r="F66" s="13" t="n"/>
      <c r="G66" s="52" t="n">
        <v>2</v>
      </c>
      <c r="H66" s="52" t="n">
        <v>2025</v>
      </c>
      <c r="I66" s="14" t="n"/>
      <c r="J66" s="14" t="n"/>
      <c r="K66" s="53" t="inlineStr">
        <is>
          <t>Нет</t>
        </is>
      </c>
      <c r="L66" s="53" t="inlineStr">
        <is>
          <t>Не определено</t>
        </is>
      </c>
      <c r="M66" s="53" t="inlineStr">
        <is>
          <t>До 10</t>
        </is>
      </c>
      <c r="N66" s="54" t="n">
        <v>3360</v>
      </c>
      <c r="O66" s="55" t="inlineStr">
        <is>
          <t>1–15</t>
        </is>
      </c>
      <c r="P66" s="16" t="inlineStr">
        <is>
          <t>ССЧР обогащена; ОКВЭД не найден/не загружен</t>
        </is>
      </c>
      <c r="Q66" s="16" t="inlineStr">
        <is>
          <t>ФНС открытые данные ССЧР (ДатаСост 31.12.2025; набор 7707329152-sshr2019)</t>
        </is>
      </c>
      <c r="R66" s="16">
        <f>HYPERLINK("https://checko.ru/search?query=3801001629","Чекко: проверить")</f>
        <v/>
      </c>
      <c r="S66" t="n">
        <v>1</v>
      </c>
      <c r="T66" s="35" t="inlineStr">
        <is>
          <t>4 — Не обогащён</t>
        </is>
      </c>
      <c r="U66" s="35" t="inlineStr">
        <is>
          <t>Нет ОКВЭД/ССЧР</t>
        </is>
      </c>
      <c r="V66" s="35" t="inlineStr">
        <is>
          <t>Не определено</t>
        </is>
      </c>
      <c r="W66" s="35" t="inlineStr">
        <is>
          <t>Нет</t>
        </is>
      </c>
      <c r="X66" s="35" t="inlineStr"/>
    </row>
    <row r="67" ht="27.75" customHeight="1" s="24">
      <c r="A67" s="13" t="n">
        <v>9166993</v>
      </c>
      <c r="B67" s="13" t="inlineStr">
        <is>
          <t>ОБЩЕСТВО С ОГРАНИЧЕННОЙ ОТВЕТСТВЕННОСТЬЮ  "ЧИСТОЗОР"</t>
        </is>
      </c>
      <c r="C67" s="13" t="n">
        <v>7726284852</v>
      </c>
      <c r="D67" s="13" t="inlineStr">
        <is>
          <t>7726284852</t>
        </is>
      </c>
      <c r="E67" s="13" t="inlineStr">
        <is>
          <t>ЮЛ РФ</t>
        </is>
      </c>
      <c r="F67" s="13" t="n"/>
      <c r="G67" s="52" t="n">
        <v>32</v>
      </c>
      <c r="H67" s="52" t="n">
        <v>2025</v>
      </c>
      <c r="I67" s="52" t="inlineStr">
        <is>
          <t>25.99.11</t>
        </is>
      </c>
      <c r="J67" s="52" t="inlineStr">
        <is>
          <t>25.99.11; 23.42; 25.99; 25.99.1; 26.60.1; 31.01; 31.09; 33.13; 41.20; 43.21; 43.22; 43.29; 43.99.1; 46.73.3; 46.76.2; 46.90; 47.52.5; 62.01; 62.02; 62.09; 71.12.45; 71.20; 72.19; 82.99</t>
        </is>
      </c>
      <c r="K67" s="53" t="inlineStr">
        <is>
          <t>Да</t>
        </is>
      </c>
      <c r="L67" s="53" t="inlineStr">
        <is>
          <t>Да</t>
        </is>
      </c>
      <c r="M67" s="53" t="inlineStr">
        <is>
          <t>До 50</t>
        </is>
      </c>
      <c r="N67" s="54" t="n">
        <v>16800</v>
      </c>
      <c r="O67" s="55" t="inlineStr">
        <is>
          <t>31–50</t>
        </is>
      </c>
      <c r="P67" s="16" t="inlineStr">
        <is>
          <t>ССЧР + ОКВЭД обогащены</t>
        </is>
      </c>
      <c r="Q67" s="16" t="inlineStr">
        <is>
          <t>ФНС открытые данные ССЧР (ДатаСост 31.12.2025; набор 7707329152-sshr2019)</t>
        </is>
      </c>
      <c r="R67" s="16" t="inlineStr">
        <is>
          <t>ЕГРЮЛ / egrul.nalog.ru (выписка)</t>
        </is>
      </c>
      <c r="S67" t="n">
        <v>1</v>
      </c>
      <c r="T67" s="35" t="inlineStr">
        <is>
          <t>1 — Горячий</t>
        </is>
      </c>
      <c r="U67" s="35" t="inlineStr">
        <is>
          <t>ОКВЭД + 22+</t>
        </is>
      </c>
      <c r="V67" s="35" t="inlineStr">
        <is>
          <t>Да</t>
        </is>
      </c>
      <c r="W67" s="35" t="inlineStr">
        <is>
          <t>Да</t>
        </is>
      </c>
      <c r="X67" s="35" t="inlineStr">
        <is>
          <t>Да</t>
        </is>
      </c>
    </row>
    <row r="68" ht="15" customHeight="1" s="24">
      <c r="A68" s="13" t="n">
        <v>803006987</v>
      </c>
      <c r="B68" s="13" t="inlineStr">
        <is>
          <t>ООО "ЕВРОПАРК"</t>
        </is>
      </c>
      <c r="C68" s="13" t="n">
        <v>3810335089</v>
      </c>
      <c r="D68" s="13" t="inlineStr">
        <is>
          <t>3810335089</t>
        </is>
      </c>
      <c r="E68" s="13" t="inlineStr">
        <is>
          <t>ЮЛ РФ</t>
        </is>
      </c>
      <c r="F68" s="13" t="n"/>
      <c r="G68" s="52" t="n">
        <v>21</v>
      </c>
      <c r="H68" s="52" t="n">
        <v>2025</v>
      </c>
      <c r="I68" s="14" t="n"/>
      <c r="J68" s="14" t="n"/>
      <c r="K68" s="53" t="inlineStr">
        <is>
          <t>Нет</t>
        </is>
      </c>
      <c r="L68" s="53" t="inlineStr">
        <is>
          <t>Не определено</t>
        </is>
      </c>
      <c r="M68" s="53" t="inlineStr">
        <is>
          <t>До 25</t>
        </is>
      </c>
      <c r="N68" s="54" t="n">
        <v>8400</v>
      </c>
      <c r="O68" s="55" t="inlineStr">
        <is>
          <t>16–30</t>
        </is>
      </c>
      <c r="P68" s="16" t="inlineStr">
        <is>
          <t>ССЧР обогащена; ОКВЭД не найден/не загружен</t>
        </is>
      </c>
      <c r="Q68" s="16" t="inlineStr">
        <is>
          <t>ФНС открытые данные ССЧР (ДатаСост 31.12.2025; набор 7707329152-sshr2019)</t>
        </is>
      </c>
      <c r="R68" s="16">
        <f>HYPERLINK("https://checko.ru/search?query=3801001629","Чекко: проверить")</f>
        <v/>
      </c>
      <c r="S68" t="n">
        <v>1</v>
      </c>
      <c r="T68" s="35" t="inlineStr">
        <is>
          <t>4 — Не обогащён</t>
        </is>
      </c>
      <c r="U68" s="35" t="inlineStr">
        <is>
          <t>Нет ОКВЭД/ССЧР</t>
        </is>
      </c>
      <c r="V68" s="35" t="inlineStr">
        <is>
          <t>Не определено</t>
        </is>
      </c>
      <c r="W68" s="35" t="inlineStr">
        <is>
          <t>Нет</t>
        </is>
      </c>
      <c r="X68" s="35" t="inlineStr"/>
    </row>
    <row r="69" ht="15" customHeight="1" s="24">
      <c r="A69" s="13" t="n">
        <v>800384326</v>
      </c>
      <c r="B69" s="13" t="inlineStr">
        <is>
          <t>ООО "ТПК Иркутского облпотребсоюза"</t>
        </is>
      </c>
      <c r="C69" s="13" t="n">
        <v>3849026678</v>
      </c>
      <c r="D69" s="13" t="inlineStr">
        <is>
          <t>3849026678</t>
        </is>
      </c>
      <c r="E69" s="13" t="inlineStr">
        <is>
          <t>ЮЛ РФ</t>
        </is>
      </c>
      <c r="F69" s="13" t="n"/>
      <c r="G69" s="52" t="n">
        <v>21</v>
      </c>
      <c r="H69" s="52" t="n">
        <v>2025</v>
      </c>
      <c r="I69" s="14" t="n"/>
      <c r="J69" s="14" t="n"/>
      <c r="K69" s="53" t="inlineStr">
        <is>
          <t>Нет</t>
        </is>
      </c>
      <c r="L69" s="53" t="inlineStr">
        <is>
          <t>Не определено</t>
        </is>
      </c>
      <c r="M69" s="53" t="inlineStr">
        <is>
          <t>До 25</t>
        </is>
      </c>
      <c r="N69" s="54" t="n">
        <v>8400</v>
      </c>
      <c r="O69" s="55" t="inlineStr">
        <is>
          <t>16–30</t>
        </is>
      </c>
      <c r="P69" s="16" t="inlineStr">
        <is>
          <t>ССЧР обогащена; ОКВЭД не найден/не загружен</t>
        </is>
      </c>
      <c r="Q69" s="16" t="inlineStr">
        <is>
          <t>ФНС открытые данные ССЧР (ДатаСост 31.12.2025; набор 7707329152-sshr2019)</t>
        </is>
      </c>
      <c r="R69" s="16">
        <f>HYPERLINK("https://checko.ru/search?query=3801001629","Чекко: проверить")</f>
        <v/>
      </c>
      <c r="S69" t="n">
        <v>1</v>
      </c>
      <c r="T69" s="35" t="inlineStr">
        <is>
          <t>4 — Не обогащён</t>
        </is>
      </c>
      <c r="U69" s="35" t="inlineStr">
        <is>
          <t>Нет ОКВЭД/ССЧР</t>
        </is>
      </c>
      <c r="V69" s="35" t="inlineStr">
        <is>
          <t>Не определено</t>
        </is>
      </c>
      <c r="W69" s="35" t="inlineStr">
        <is>
          <t>Нет</t>
        </is>
      </c>
      <c r="X69" s="35" t="inlineStr"/>
    </row>
    <row r="70" ht="15" customHeight="1" s="24">
      <c r="A70" s="13" t="n">
        <v>9848614</v>
      </c>
      <c r="B70" s="13" t="inlineStr">
        <is>
          <t>Геоконтроль-Восток, ООО</t>
        </is>
      </c>
      <c r="C70" s="13" t="n">
        <v>3849011054</v>
      </c>
      <c r="D70" s="13" t="inlineStr">
        <is>
          <t>3849011054</t>
        </is>
      </c>
      <c r="E70" s="13" t="inlineStr">
        <is>
          <t>ЮЛ РФ</t>
        </is>
      </c>
      <c r="F70" s="13" t="n"/>
      <c r="G70" s="52" t="n">
        <v>125</v>
      </c>
      <c r="H70" s="52" t="n">
        <v>2025</v>
      </c>
      <c r="I70" s="52" t="inlineStr">
        <is>
          <t>71.12.3</t>
        </is>
      </c>
      <c r="J70" s="52" t="inlineStr">
        <is>
          <t>71.12.3; 06.10; 06.20; 09.10; 43.12.4; 43.13; 43.29; 46.90; 52.29; 71.12.41</t>
        </is>
      </c>
      <c r="K70" s="53" t="inlineStr">
        <is>
          <t>Да</t>
        </is>
      </c>
      <c r="L70" s="53" t="inlineStr">
        <is>
          <t>Да</t>
        </is>
      </c>
      <c r="M70" s="53" t="inlineStr">
        <is>
          <t>До 200</t>
        </is>
      </c>
      <c r="N70" s="54" t="n">
        <v>62400</v>
      </c>
      <c r="O70" s="55" t="inlineStr">
        <is>
          <t>101–200</t>
        </is>
      </c>
      <c r="P70" s="16" t="inlineStr">
        <is>
          <t>ССЧР + ОКВЭД обогащены</t>
        </is>
      </c>
      <c r="Q70" s="16" t="inlineStr">
        <is>
          <t>ФНС открытые данные ССЧР (ДатаСост 31.12.2025; набор 7707329152-sshr2019)</t>
        </is>
      </c>
      <c r="R70" s="16" t="inlineStr">
        <is>
          <t>ЕГРЮЛ / egrul.nalog.ru (выписка)</t>
        </is>
      </c>
      <c r="S70" t="n">
        <v>1</v>
      </c>
      <c r="T70" s="35" t="inlineStr">
        <is>
          <t>1 — Горячий</t>
        </is>
      </c>
      <c r="U70" s="35" t="inlineStr">
        <is>
          <t>ОКВЭД + 22+</t>
        </is>
      </c>
      <c r="V70" s="35" t="inlineStr">
        <is>
          <t>Да</t>
        </is>
      </c>
      <c r="W70" s="35" t="inlineStr">
        <is>
          <t>Да</t>
        </is>
      </c>
      <c r="X70" s="35" t="inlineStr">
        <is>
          <t>Да</t>
        </is>
      </c>
    </row>
    <row r="71" ht="27.75" customHeight="1" s="24">
      <c r="A71" s="13" t="n">
        <v>802507657</v>
      </c>
      <c r="B71" s="13" t="inlineStr">
        <is>
          <t>Общество с ограниченной ответственностью "ТРАНССТРОЙ"</t>
        </is>
      </c>
      <c r="C71" s="13" t="n">
        <v>3805700280</v>
      </c>
      <c r="D71" s="13" t="inlineStr">
        <is>
          <t>3805700280</t>
        </is>
      </c>
      <c r="E71" s="13" t="inlineStr">
        <is>
          <t>ЮЛ РФ</t>
        </is>
      </c>
      <c r="F71" s="13" t="n"/>
      <c r="G71" s="52" t="n">
        <v>24</v>
      </c>
      <c r="H71" s="52" t="n">
        <v>2025</v>
      </c>
      <c r="I71" s="52" t="inlineStr">
        <is>
          <t>42.11</t>
        </is>
      </c>
      <c r="J71" s="52" t="inlineStr">
        <is>
          <t>42.11; 02.10; 02.20; 02.40.1; 02.40.2; 16.10.1; 16.23.1; 23.99.2; 23.99.3; 42.12; 45.20.2; 46.73.1; 46.73.2; 46.73.6; 49.41; 49.42; 52.10.9; 52.10.21; 52.24.2</t>
        </is>
      </c>
      <c r="K71" s="53" t="inlineStr">
        <is>
          <t>Да</t>
        </is>
      </c>
      <c r="L71" s="53" t="inlineStr">
        <is>
          <t>Да</t>
        </is>
      </c>
      <c r="M71" s="53" t="inlineStr">
        <is>
          <t>До 25</t>
        </is>
      </c>
      <c r="N71" s="54" t="n">
        <v>8400</v>
      </c>
      <c r="O71" s="55" t="inlineStr">
        <is>
          <t>16–30</t>
        </is>
      </c>
      <c r="P71" s="16" t="inlineStr">
        <is>
          <t>ССЧР + ОКВЭД обогащены</t>
        </is>
      </c>
      <c r="Q71" s="16" t="inlineStr">
        <is>
          <t>ФНС открытые данные ССЧР (ДатаСост 31.12.2025; набор 7707329152-sshr2019)</t>
        </is>
      </c>
      <c r="R71" s="16" t="inlineStr">
        <is>
          <t>ЕГРЮЛ / egrul.nalog.ru (выписка)</t>
        </is>
      </c>
      <c r="S71" t="n">
        <v>1</v>
      </c>
      <c r="T71" s="35" t="inlineStr">
        <is>
          <t>1 — Горячий</t>
        </is>
      </c>
      <c r="U71" s="35" t="inlineStr">
        <is>
          <t>ОКВЭД + 22+</t>
        </is>
      </c>
      <c r="V71" s="35" t="inlineStr">
        <is>
          <t>Да</t>
        </is>
      </c>
      <c r="W71" s="35" t="inlineStr">
        <is>
          <t>Да</t>
        </is>
      </c>
      <c r="X71" s="35" t="inlineStr">
        <is>
          <t>Да</t>
        </is>
      </c>
    </row>
    <row r="72" ht="15" customHeight="1" s="24">
      <c r="A72" s="13" t="n">
        <v>9871563</v>
      </c>
      <c r="B72" s="13" t="inlineStr">
        <is>
          <t>Профком Филиал Ирказ-Суал</t>
        </is>
      </c>
      <c r="C72" s="13" t="n">
        <v>3821001666</v>
      </c>
      <c r="D72" s="13" t="inlineStr">
        <is>
          <t>3821001666</t>
        </is>
      </c>
      <c r="E72" s="13" t="inlineStr">
        <is>
          <t>ЮЛ РФ</t>
        </is>
      </c>
      <c r="F72" s="13" t="n"/>
      <c r="G72" s="14" t="n"/>
      <c r="H72" s="14" t="n"/>
      <c r="I72" s="14" t="n"/>
      <c r="J72" s="14" t="n"/>
      <c r="K72" s="53" t="inlineStr"/>
      <c r="L72" s="53" t="inlineStr">
        <is>
          <t>Не определено</t>
        </is>
      </c>
      <c r="M72" s="53" t="inlineStr"/>
      <c r="N72" s="54" t="inlineStr"/>
      <c r="O72" s="55" t="inlineStr"/>
      <c r="P72" s="16" t="inlineStr">
        <is>
          <t>Требует обогащения</t>
        </is>
      </c>
      <c r="Q72" s="16">
        <f>HYPERLINK("https://pb.nalog.ru/search.html?query=3821001666","ФНС: проверить")</f>
        <v/>
      </c>
      <c r="R72" s="16">
        <f>HYPERLINK("https://checko.ru/search?query=3801001629","Чекко: проверить")</f>
        <v/>
      </c>
      <c r="S72" t="n">
        <v>1</v>
      </c>
      <c r="T72" s="35" t="inlineStr">
        <is>
          <t>4 — Не обогащён</t>
        </is>
      </c>
      <c r="U72" s="35" t="inlineStr">
        <is>
          <t>Нет ОКВЭД/ССЧР</t>
        </is>
      </c>
      <c r="V72" s="35" t="inlineStr">
        <is>
          <t>Не определено</t>
        </is>
      </c>
      <c r="W72" s="35" t="inlineStr"/>
      <c r="X72" s="35" t="inlineStr"/>
    </row>
    <row r="73" ht="15" customHeight="1" s="24">
      <c r="A73" s="13" t="n">
        <v>9162187</v>
      </c>
      <c r="B73" s="13" t="inlineStr">
        <is>
          <t>ИНФОРМБЫТСЕРВИС ООО</t>
        </is>
      </c>
      <c r="C73" s="13" t="n">
        <v>1400039364</v>
      </c>
      <c r="D73" s="13" t="inlineStr">
        <is>
          <t>1400039364</t>
        </is>
      </c>
      <c r="E73" s="13" t="inlineStr">
        <is>
          <t>ЮЛ РФ</t>
        </is>
      </c>
      <c r="F73" s="13" t="n"/>
      <c r="G73" s="52" t="n">
        <v>21</v>
      </c>
      <c r="H73" s="52" t="n">
        <v>2025</v>
      </c>
      <c r="I73" s="14" t="n"/>
      <c r="J73" s="14" t="n"/>
      <c r="K73" s="53" t="inlineStr">
        <is>
          <t>Нет</t>
        </is>
      </c>
      <c r="L73" s="53" t="inlineStr">
        <is>
          <t>Не определено</t>
        </is>
      </c>
      <c r="M73" s="53" t="inlineStr">
        <is>
          <t>До 25</t>
        </is>
      </c>
      <c r="N73" s="54" t="n">
        <v>8400</v>
      </c>
      <c r="O73" s="55" t="inlineStr">
        <is>
          <t>16–30</t>
        </is>
      </c>
      <c r="P73" s="16" t="inlineStr">
        <is>
          <t>ССЧР обогащена; ОКВЭД не найден/не загружен</t>
        </is>
      </c>
      <c r="Q73" s="16" t="inlineStr">
        <is>
          <t>ФНС открытые данные ССЧР (ДатаСост 31.12.2025; набор 7707329152-sshr2019)</t>
        </is>
      </c>
      <c r="R73" s="16">
        <f>HYPERLINK("https://checko.ru/search?query=3801001629","Чекко: проверить")</f>
        <v/>
      </c>
      <c r="S73" t="n">
        <v>1</v>
      </c>
      <c r="T73" s="35" t="inlineStr">
        <is>
          <t>4 — Не обогащён</t>
        </is>
      </c>
      <c r="U73" s="35" t="inlineStr">
        <is>
          <t>Нет ОКВЭД/ССЧР</t>
        </is>
      </c>
      <c r="V73" s="35" t="inlineStr">
        <is>
          <t>Не определено</t>
        </is>
      </c>
      <c r="W73" s="35" t="inlineStr">
        <is>
          <t>Нет</t>
        </is>
      </c>
      <c r="X73" s="35" t="inlineStr"/>
    </row>
    <row r="74" ht="15" customHeight="1" s="24">
      <c r="A74" s="13" t="n">
        <v>800428265</v>
      </c>
      <c r="B74" s="13" t="inlineStr">
        <is>
          <t>Проектно-инжиниринговая компания Астрон, ООО</t>
        </is>
      </c>
      <c r="C74" s="13" t="n">
        <v>3812080904</v>
      </c>
      <c r="D74" s="13" t="inlineStr">
        <is>
          <t>3812080904</t>
        </is>
      </c>
      <c r="E74" s="13" t="inlineStr">
        <is>
          <t>ЮЛ РФ</t>
        </is>
      </c>
      <c r="F74" s="13" t="n"/>
      <c r="G74" s="52" t="n">
        <v>42</v>
      </c>
      <c r="H74" s="52" t="n">
        <v>2025</v>
      </c>
      <c r="I74" s="14" t="n"/>
      <c r="J74" s="14" t="n"/>
      <c r="K74" s="53" t="inlineStr">
        <is>
          <t>Да</t>
        </is>
      </c>
      <c r="L74" s="53" t="inlineStr">
        <is>
          <t>Не определено</t>
        </is>
      </c>
      <c r="M74" s="53" t="inlineStr">
        <is>
          <t>До 50</t>
        </is>
      </c>
      <c r="N74" s="54" t="n">
        <v>16800</v>
      </c>
      <c r="O74" s="55" t="inlineStr">
        <is>
          <t>31–50</t>
        </is>
      </c>
      <c r="P74" s="16" t="inlineStr">
        <is>
          <t>ССЧР обогащена; ОКВЭД не найден/не загружен</t>
        </is>
      </c>
      <c r="Q74" s="16" t="inlineStr">
        <is>
          <t>ФНС открытые данные ССЧР (ДатаСост 31.12.2025; набор 7707329152-sshr2019)</t>
        </is>
      </c>
      <c r="R74" s="16">
        <f>HYPERLINK("https://checko.ru/search?query=3801001629","Чекко: проверить")</f>
        <v/>
      </c>
      <c r="S74" t="n">
        <v>1</v>
      </c>
      <c r="T74" s="35" t="inlineStr">
        <is>
          <t>3 — 22+ без ОКВЭД</t>
        </is>
      </c>
      <c r="U74" s="35" t="inlineStr">
        <is>
          <t>22+ без целевого ОКВЭД</t>
        </is>
      </c>
      <c r="V74" s="35" t="inlineStr">
        <is>
          <t>Не определено</t>
        </is>
      </c>
      <c r="W74" s="35" t="inlineStr">
        <is>
          <t>Да</t>
        </is>
      </c>
      <c r="X74" s="35" t="inlineStr"/>
    </row>
    <row r="75" ht="15" customHeight="1" s="24">
      <c r="A75" s="13" t="n">
        <v>13612381</v>
      </c>
      <c r="B75" s="13" t="inlineStr">
        <is>
          <t>ООО УК "КСИ-СЕРВИС"</t>
        </is>
      </c>
      <c r="C75" s="13" t="n">
        <v>3801124934</v>
      </c>
      <c r="D75" s="13" t="inlineStr">
        <is>
          <t>3801124934</t>
        </is>
      </c>
      <c r="E75" s="13" t="inlineStr">
        <is>
          <t>ЮЛ РФ</t>
        </is>
      </c>
      <c r="F75" s="13" t="n"/>
      <c r="G75" s="52" t="n">
        <v>1</v>
      </c>
      <c r="H75" s="52" t="n">
        <v>2025</v>
      </c>
      <c r="I75" s="14" t="n"/>
      <c r="J75" s="14" t="n"/>
      <c r="K75" s="53" t="inlineStr">
        <is>
          <t>Нет</t>
        </is>
      </c>
      <c r="L75" s="53" t="inlineStr">
        <is>
          <t>Не определено</t>
        </is>
      </c>
      <c r="M75" s="53" t="inlineStr">
        <is>
          <t>До 10</t>
        </is>
      </c>
      <c r="N75" s="54" t="n">
        <v>3360</v>
      </c>
      <c r="O75" s="55" t="inlineStr">
        <is>
          <t>1–15</t>
        </is>
      </c>
      <c r="P75" s="16" t="inlineStr">
        <is>
          <t>ССЧР обогащена; ОКВЭД не найден/не загружен</t>
        </is>
      </c>
      <c r="Q75" s="16" t="inlineStr">
        <is>
          <t>ФНС открытые данные ССЧР (ДатаСост 31.12.2025; набор 7707329152-sshr2019)</t>
        </is>
      </c>
      <c r="R75" s="16">
        <f>HYPERLINK("https://checko.ru/search?query=3801001629","Чекко: проверить")</f>
        <v/>
      </c>
      <c r="S75" t="n">
        <v>1</v>
      </c>
      <c r="T75" s="35" t="inlineStr">
        <is>
          <t>4 — Не обогащён</t>
        </is>
      </c>
      <c r="U75" s="35" t="inlineStr">
        <is>
          <t>Нет ОКВЭД/ССЧР</t>
        </is>
      </c>
      <c r="V75" s="35" t="inlineStr">
        <is>
          <t>Не определено</t>
        </is>
      </c>
      <c r="W75" s="35" t="inlineStr">
        <is>
          <t>Нет</t>
        </is>
      </c>
      <c r="X75" s="35" t="inlineStr"/>
    </row>
    <row r="76" ht="15" customHeight="1" s="24">
      <c r="A76" s="13" t="n">
        <v>9827923</v>
      </c>
      <c r="B76" s="13" t="inlineStr">
        <is>
          <t>БРАТСКМАНСЕРВИС, ООО</t>
        </is>
      </c>
      <c r="C76" s="13" t="n">
        <v>3811435696</v>
      </c>
      <c r="D76" s="13" t="inlineStr">
        <is>
          <t>3811435696</t>
        </is>
      </c>
      <c r="E76" s="13" t="inlineStr">
        <is>
          <t>ЮЛ РФ</t>
        </is>
      </c>
      <c r="F76" s="13" t="n"/>
      <c r="G76" s="52" t="n">
        <v>12</v>
      </c>
      <c r="H76" s="52" t="n">
        <v>2025</v>
      </c>
      <c r="I76" s="14" t="n"/>
      <c r="J76" s="14" t="n"/>
      <c r="K76" s="53" t="inlineStr">
        <is>
          <t>Нет</t>
        </is>
      </c>
      <c r="L76" s="53" t="inlineStr">
        <is>
          <t>Не определено</t>
        </is>
      </c>
      <c r="M76" s="53" t="inlineStr">
        <is>
          <t>До 25</t>
        </is>
      </c>
      <c r="N76" s="54" t="n">
        <v>8400</v>
      </c>
      <c r="O76" s="55" t="inlineStr">
        <is>
          <t>1–15</t>
        </is>
      </c>
      <c r="P76" s="16" t="inlineStr">
        <is>
          <t>ССЧР обогащена; ОКВЭД не найден/не загружен</t>
        </is>
      </c>
      <c r="Q76" s="16" t="inlineStr">
        <is>
          <t>ФНС открытые данные ССЧР (ДатаСост 31.12.2025; набор 7707329152-sshr2019)</t>
        </is>
      </c>
      <c r="R76" s="16">
        <f>HYPERLINK("https://checko.ru/search?query=3801001629","Чекко: проверить")</f>
        <v/>
      </c>
      <c r="S76" t="n">
        <v>1</v>
      </c>
      <c r="T76" s="35" t="inlineStr">
        <is>
          <t>4 — Не обогащён</t>
        </is>
      </c>
      <c r="U76" s="35" t="inlineStr">
        <is>
          <t>Нет ОКВЭД/ССЧР</t>
        </is>
      </c>
      <c r="V76" s="35" t="inlineStr">
        <is>
          <t>Не определено</t>
        </is>
      </c>
      <c r="W76" s="35" t="inlineStr">
        <is>
          <t>Нет</t>
        </is>
      </c>
      <c r="X76" s="35" t="inlineStr"/>
    </row>
    <row r="77" ht="41.25" customHeight="1" s="24">
      <c r="A77" s="13" t="n">
        <v>802914595</v>
      </c>
      <c r="B77" s="13" t="inlineStr">
        <is>
          <t>ЧУ "ДОМ КУЛЬТУРЫ ЖЕЛЕЗНОДОРОЖНИКОВ ГОРОДА СЛЮДЯНКА ОТКРЫТОГО АКЦИОНЕРНОГО ОБЩЕСТВА"РОССИЙСКИЕ ЖЕЛЕЗНЫЕ ДОРОГИ</t>
        </is>
      </c>
      <c r="C77" s="13" t="n">
        <v>3810084269</v>
      </c>
      <c r="D77" s="13" t="inlineStr">
        <is>
          <t>3810084269</t>
        </is>
      </c>
      <c r="E77" s="13" t="inlineStr">
        <is>
          <t>ЮЛ РФ</t>
        </is>
      </c>
      <c r="F77" s="13" t="n"/>
      <c r="G77" s="14" t="n"/>
      <c r="H77" s="14" t="n"/>
      <c r="I77" s="14" t="n"/>
      <c r="J77" s="14" t="n"/>
      <c r="K77" s="53" t="inlineStr"/>
      <c r="L77" s="53" t="inlineStr">
        <is>
          <t>Не определено</t>
        </is>
      </c>
      <c r="M77" s="53" t="inlineStr"/>
      <c r="N77" s="54" t="inlineStr"/>
      <c r="O77" s="55" t="inlineStr"/>
      <c r="P77" s="16" t="inlineStr">
        <is>
          <t>Требует обогащения</t>
        </is>
      </c>
      <c r="Q77" s="16">
        <f>HYPERLINK("https://pb.nalog.ru/search.html?query=3810084269","ФНС: проверить")</f>
        <v/>
      </c>
      <c r="R77" s="16">
        <f>HYPERLINK("https://checko.ru/search?query=3801001629","Чекко: проверить")</f>
        <v/>
      </c>
      <c r="S77" t="n">
        <v>1</v>
      </c>
      <c r="T77" s="35" t="inlineStr">
        <is>
          <t>4 — Не обогащён</t>
        </is>
      </c>
      <c r="U77" s="35" t="inlineStr">
        <is>
          <t>Нет ОКВЭД/ССЧР</t>
        </is>
      </c>
      <c r="V77" s="35" t="inlineStr">
        <is>
          <t>Не определено</t>
        </is>
      </c>
      <c r="W77" s="35" t="inlineStr"/>
      <c r="X77" s="35" t="inlineStr"/>
    </row>
    <row r="78" ht="15" customHeight="1" s="24">
      <c r="A78" s="13" t="n">
        <v>800405979</v>
      </c>
      <c r="B78" s="13" t="inlineStr">
        <is>
          <t>ОАО "Алроса-Терминал"</t>
        </is>
      </c>
      <c r="C78" s="13" t="n">
        <v>3818014880</v>
      </c>
      <c r="D78" s="13" t="inlineStr">
        <is>
          <t>3818014880</t>
        </is>
      </c>
      <c r="E78" s="13" t="inlineStr">
        <is>
          <t>ЮЛ РФ</t>
        </is>
      </c>
      <c r="F78" s="13" t="n"/>
      <c r="G78" s="52" t="n">
        <v>147</v>
      </c>
      <c r="H78" s="52" t="n">
        <v>2025</v>
      </c>
      <c r="I78" s="52" t="inlineStr">
        <is>
          <t>52.24.2</t>
        </is>
      </c>
      <c r="J78" s="52" t="inlineStr">
        <is>
          <t>52.24.2; 49.41.1; 02.20; 16.10.1; 16.23.1; 47.81; 49.41; 49.41.2; 50.40.1; 50.40.2; 52.10; 52.10.9; 52.21; 52.21.1; 52.21.2; 52.21.24; 52.22; 52.24; 52.24.1; 56.10.2; 56.10.21; 56.10.22; 56.10.24; 56.21; 56.29; 56.29.2; 66.11.2; 68.20; 68.20.2; 68.20.21; 70.22</t>
        </is>
      </c>
      <c r="K78" s="53" t="inlineStr">
        <is>
          <t>Да</t>
        </is>
      </c>
      <c r="L78" s="53" t="inlineStr">
        <is>
          <t>Да</t>
        </is>
      </c>
      <c r="M78" s="53" t="inlineStr">
        <is>
          <t>До 200</t>
        </is>
      </c>
      <c r="N78" s="54" t="n">
        <v>62400</v>
      </c>
      <c r="O78" s="55" t="inlineStr">
        <is>
          <t>101–200</t>
        </is>
      </c>
      <c r="P78" s="16" t="inlineStr">
        <is>
          <t>ССЧР + ОКВЭД обогащены</t>
        </is>
      </c>
      <c r="Q78" s="16" t="inlineStr">
        <is>
          <t>ФНС открытые данные ССЧР (ДатаСост 31.12.2025; набор 7707329152-sshr2019)</t>
        </is>
      </c>
      <c r="R78" s="16" t="inlineStr">
        <is>
          <t>ЕГРЮЛ / egrul.nalog.ru (выписка)</t>
        </is>
      </c>
      <c r="S78" t="n">
        <v>1</v>
      </c>
      <c r="T78" s="35" t="inlineStr">
        <is>
          <t>1 — Горячий</t>
        </is>
      </c>
      <c r="U78" s="35" t="inlineStr">
        <is>
          <t>ОКВЭД + 22+</t>
        </is>
      </c>
      <c r="V78" s="35" t="inlineStr">
        <is>
          <t>Да</t>
        </is>
      </c>
      <c r="W78" s="35" t="inlineStr">
        <is>
          <t>Да</t>
        </is>
      </c>
      <c r="X78" s="35" t="inlineStr">
        <is>
          <t>Да</t>
        </is>
      </c>
    </row>
    <row r="79" ht="15" customHeight="1" s="24">
      <c r="A79" s="13" t="n">
        <v>9103660</v>
      </c>
      <c r="B79" s="13" t="inlineStr">
        <is>
          <t>Типография ИРКУТ</t>
        </is>
      </c>
      <c r="C79" s="13" t="n">
        <v>3810035293</v>
      </c>
      <c r="D79" s="13" t="inlineStr">
        <is>
          <t>3810035293</t>
        </is>
      </c>
      <c r="E79" s="13" t="inlineStr">
        <is>
          <t>ЮЛ РФ</t>
        </is>
      </c>
      <c r="F79" s="13" t="n"/>
      <c r="G79" s="52" t="n">
        <v>44</v>
      </c>
      <c r="H79" s="52" t="n">
        <v>2025</v>
      </c>
      <c r="I79" s="52" t="inlineStr">
        <is>
          <t>18.12.9</t>
        </is>
      </c>
      <c r="J79" s="52" t="inlineStr">
        <is>
          <t>18.12.9; 17.23; 17.29; 18.11; 18.12; 18.13; 18.14; 18.20; 46.49.3; 47.61; 58.11.1; 58.13; 58.14; 58.19</t>
        </is>
      </c>
      <c r="K79" s="53" t="inlineStr">
        <is>
          <t>Да</t>
        </is>
      </c>
      <c r="L79" s="53" t="inlineStr">
        <is>
          <t>Да</t>
        </is>
      </c>
      <c r="M79" s="53" t="inlineStr">
        <is>
          <t>До 50</t>
        </is>
      </c>
      <c r="N79" s="54" t="n">
        <v>16800</v>
      </c>
      <c r="O79" s="55" t="inlineStr">
        <is>
          <t>31–50</t>
        </is>
      </c>
      <c r="P79" s="16" t="inlineStr">
        <is>
          <t>ССЧР + ОКВЭД обогащены</t>
        </is>
      </c>
      <c r="Q79" s="16" t="inlineStr">
        <is>
          <t>ФНС открытые данные ССЧР (ДатаСост 31.12.2025; набор 7707329152-sshr2019)</t>
        </is>
      </c>
      <c r="R79" s="16" t="inlineStr">
        <is>
          <t>ЕГРЮЛ / egrul.nalog.ru (выписка)</t>
        </is>
      </c>
      <c r="S79" t="n">
        <v>1</v>
      </c>
      <c r="T79" s="35" t="inlineStr">
        <is>
          <t>1 — Горячий</t>
        </is>
      </c>
      <c r="U79" s="35" t="inlineStr">
        <is>
          <t>ОКВЭД + 22+</t>
        </is>
      </c>
      <c r="V79" s="35" t="inlineStr">
        <is>
          <t>Да</t>
        </is>
      </c>
      <c r="W79" s="35" t="inlineStr">
        <is>
          <t>Да</t>
        </is>
      </c>
      <c r="X79" s="35" t="inlineStr">
        <is>
          <t>Да</t>
        </is>
      </c>
    </row>
    <row r="80" ht="15" customHeight="1" s="24">
      <c r="A80" s="13" t="n">
        <v>802507164</v>
      </c>
      <c r="B80" s="13" t="inlineStr">
        <is>
          <t>ООО "АЙХАЛ"</t>
        </is>
      </c>
      <c r="C80" s="13" t="n">
        <v>3827024814</v>
      </c>
      <c r="D80" s="13" t="inlineStr">
        <is>
          <t>3827024814</t>
        </is>
      </c>
      <c r="E80" s="13" t="inlineStr">
        <is>
          <t>ЮЛ РФ</t>
        </is>
      </c>
      <c r="F80" s="13" t="n"/>
      <c r="G80" s="52" t="n">
        <v>64</v>
      </c>
      <c r="H80" s="52" t="n">
        <v>2025</v>
      </c>
      <c r="I80" s="52" t="inlineStr">
        <is>
          <t>15.20</t>
        </is>
      </c>
      <c r="J80" s="52" t="inlineStr">
        <is>
          <t>15.20</t>
        </is>
      </c>
      <c r="K80" s="53" t="inlineStr">
        <is>
          <t>Да</t>
        </is>
      </c>
      <c r="L80" s="53" t="inlineStr">
        <is>
          <t>Да</t>
        </is>
      </c>
      <c r="M80" s="53" t="inlineStr">
        <is>
          <t>До 100</t>
        </is>
      </c>
      <c r="N80" s="54" t="n">
        <v>33600</v>
      </c>
      <c r="O80" s="55" t="inlineStr">
        <is>
          <t>51–100</t>
        </is>
      </c>
      <c r="P80" s="16" t="inlineStr">
        <is>
          <t>ССЧР + ОКВЭД обогащены</t>
        </is>
      </c>
      <c r="Q80" s="16" t="inlineStr">
        <is>
          <t>ФНС открытые данные ССЧР (ДатаСост 31.12.2025; набор 7707329152-sshr2019)</t>
        </is>
      </c>
      <c r="R80" s="16" t="inlineStr">
        <is>
          <t>ЕГРЮЛ / egrul.nalog.ru (выписка)</t>
        </is>
      </c>
      <c r="S80" t="n">
        <v>1</v>
      </c>
      <c r="T80" s="35" t="inlineStr">
        <is>
          <t>1 — Горячий</t>
        </is>
      </c>
      <c r="U80" s="35" t="inlineStr">
        <is>
          <t>ОКВЭД + 22+</t>
        </is>
      </c>
      <c r="V80" s="35" t="inlineStr">
        <is>
          <t>Да</t>
        </is>
      </c>
      <c r="W80" s="35" t="inlineStr">
        <is>
          <t>Да</t>
        </is>
      </c>
      <c r="X80" s="35" t="inlineStr">
        <is>
          <t>Да</t>
        </is>
      </c>
    </row>
    <row r="81" ht="15" customHeight="1" s="24">
      <c r="A81" s="13" t="n">
        <v>800454463</v>
      </c>
      <c r="B81" s="13" t="inlineStr">
        <is>
          <t>НОУ ДО «Иркутский Языковой Центр Биг Бен»</t>
        </is>
      </c>
      <c r="C81" s="13" t="n">
        <v>3812076552</v>
      </c>
      <c r="D81" s="13" t="inlineStr">
        <is>
          <t>3812076552</t>
        </is>
      </c>
      <c r="E81" s="13" t="inlineStr">
        <is>
          <t>ЮЛ РФ</t>
        </is>
      </c>
      <c r="F81" s="13" t="n"/>
      <c r="G81" s="14" t="n"/>
      <c r="H81" s="14" t="n"/>
      <c r="I81" s="14" t="n"/>
      <c r="J81" s="14" t="n"/>
      <c r="K81" s="53" t="inlineStr"/>
      <c r="L81" s="53" t="inlineStr">
        <is>
          <t>Не определено</t>
        </is>
      </c>
      <c r="M81" s="53" t="inlineStr"/>
      <c r="N81" s="54" t="inlineStr"/>
      <c r="O81" s="55" t="inlineStr"/>
      <c r="P81" s="16" t="inlineStr">
        <is>
          <t>Требует обогащения</t>
        </is>
      </c>
      <c r="Q81" s="16">
        <f>HYPERLINK("https://pb.nalog.ru/search.html?query=3812076552","ФНС: проверить")</f>
        <v/>
      </c>
      <c r="R81" s="16">
        <f>HYPERLINK("https://checko.ru/search?query=3801001629","Чекко: проверить")</f>
        <v/>
      </c>
      <c r="S81" t="n">
        <v>1</v>
      </c>
      <c r="T81" s="35" t="inlineStr">
        <is>
          <t>4 — Не обогащён</t>
        </is>
      </c>
      <c r="U81" s="35" t="inlineStr">
        <is>
          <t>Нет ОКВЭД/ССЧР</t>
        </is>
      </c>
      <c r="V81" s="35" t="inlineStr">
        <is>
          <t>Не определено</t>
        </is>
      </c>
      <c r="W81" s="35" t="inlineStr"/>
      <c r="X81" s="35" t="inlineStr"/>
    </row>
    <row r="82" ht="15" customHeight="1" s="24">
      <c r="A82" s="13" t="n">
        <v>800836986</v>
      </c>
      <c r="B82" s="13" t="inlineStr">
        <is>
          <t>ООО "СибМАП"</t>
        </is>
      </c>
      <c r="C82" s="13" t="n">
        <v>3811070942</v>
      </c>
      <c r="D82" s="13" t="inlineStr">
        <is>
          <t>3811070942</t>
        </is>
      </c>
      <c r="E82" s="13" t="inlineStr">
        <is>
          <t>ЮЛ РФ</t>
        </is>
      </c>
      <c r="F82" s="13" t="n"/>
      <c r="G82" s="52" t="n">
        <v>23</v>
      </c>
      <c r="H82" s="52" t="n">
        <v>2025</v>
      </c>
      <c r="I82" s="52" t="inlineStr">
        <is>
          <t>45.20.2</t>
        </is>
      </c>
      <c r="J82" s="52" t="inlineStr">
        <is>
          <t>45.20.2; 45.31.1; 46.71; 46.90; 47.78; 52.29; 68.20.2; 82.99</t>
        </is>
      </c>
      <c r="K82" s="53" t="inlineStr">
        <is>
          <t>Да</t>
        </is>
      </c>
      <c r="L82" s="53" t="inlineStr">
        <is>
          <t>Да</t>
        </is>
      </c>
      <c r="M82" s="53" t="inlineStr">
        <is>
          <t>До 25</t>
        </is>
      </c>
      <c r="N82" s="54" t="n">
        <v>8400</v>
      </c>
      <c r="O82" s="55" t="inlineStr">
        <is>
          <t>16–30</t>
        </is>
      </c>
      <c r="P82" s="16" t="inlineStr">
        <is>
          <t>ССЧР + ОКВЭД обогащены</t>
        </is>
      </c>
      <c r="Q82" s="16" t="inlineStr">
        <is>
          <t>ФНС открытые данные ССЧР (ДатаСост 31.12.2025; набор 7707329152-sshr2019)</t>
        </is>
      </c>
      <c r="R82" s="16" t="inlineStr">
        <is>
          <t>ЕГРЮЛ / egrul.nalog.ru (выписка)</t>
        </is>
      </c>
      <c r="S82" t="n">
        <v>1</v>
      </c>
      <c r="T82" s="35" t="inlineStr">
        <is>
          <t>1 — Горячий</t>
        </is>
      </c>
      <c r="U82" s="35" t="inlineStr">
        <is>
          <t>ОКВЭД + 22+</t>
        </is>
      </c>
      <c r="V82" s="35" t="inlineStr">
        <is>
          <t>Да</t>
        </is>
      </c>
      <c r="W82" s="35" t="inlineStr">
        <is>
          <t>Да</t>
        </is>
      </c>
      <c r="X82" s="35" t="inlineStr">
        <is>
          <t>Да</t>
        </is>
      </c>
    </row>
    <row r="83" ht="15" customHeight="1" s="24">
      <c r="A83" s="13" t="n">
        <v>802463780</v>
      </c>
      <c r="B83" s="13" t="inlineStr">
        <is>
          <t>Лесресурс, ООО</t>
        </is>
      </c>
      <c r="C83" s="13" t="n">
        <v>3808156861</v>
      </c>
      <c r="D83" s="13" t="inlineStr">
        <is>
          <t>3808156861</t>
        </is>
      </c>
      <c r="E83" s="13" t="inlineStr">
        <is>
          <t>ЮЛ РФ</t>
        </is>
      </c>
      <c r="F83" s="13" t="n"/>
      <c r="G83" s="52" t="n">
        <v>29</v>
      </c>
      <c r="H83" s="52" t="n">
        <v>2025</v>
      </c>
      <c r="I83" s="52" t="inlineStr">
        <is>
          <t>16.10.1</t>
        </is>
      </c>
      <c r="J83" s="52" t="inlineStr">
        <is>
          <t>16.10.1; 02.20; 16.10.2; 16.29; 70.10; 02.40.2; 16.23; 16.24; 16.29.15; 35.30; 35.30.3; 35.30.4; 35.30.5; 35.30.14; 36.00.2; 45.20; 45.40; 46.73.1; 46.73.2; 46.90; 47.30; 47.52.71; 52.10; 52.24; 52.29; 56.29; 70.22; 77.11; 77.39; 81.22; 81.29.9</t>
        </is>
      </c>
      <c r="K83" s="53" t="inlineStr">
        <is>
          <t>Да</t>
        </is>
      </c>
      <c r="L83" s="53" t="inlineStr">
        <is>
          <t>Да</t>
        </is>
      </c>
      <c r="M83" s="53" t="inlineStr">
        <is>
          <t>До 50</t>
        </is>
      </c>
      <c r="N83" s="54" t="n">
        <v>16800</v>
      </c>
      <c r="O83" s="55" t="inlineStr">
        <is>
          <t>16–30</t>
        </is>
      </c>
      <c r="P83" s="16" t="inlineStr">
        <is>
          <t>ССЧР + ОКВЭД обогащены</t>
        </is>
      </c>
      <c r="Q83" s="16" t="inlineStr">
        <is>
          <t>ФНС открытые данные ССЧР (ДатаСост 31.12.2025; набор 7707329152-sshr2019)</t>
        </is>
      </c>
      <c r="R83" s="16" t="inlineStr">
        <is>
          <t>ЕГРЮЛ / egrul.nalog.ru (выписка)</t>
        </is>
      </c>
      <c r="S83" t="n">
        <v>1</v>
      </c>
      <c r="T83" s="35" t="inlineStr">
        <is>
          <t>1 — Горячий</t>
        </is>
      </c>
      <c r="U83" s="35" t="inlineStr">
        <is>
          <t>ОКВЭД + 22+</t>
        </is>
      </c>
      <c r="V83" s="35" t="inlineStr">
        <is>
          <t>Да</t>
        </is>
      </c>
      <c r="W83" s="35" t="inlineStr">
        <is>
          <t>Да</t>
        </is>
      </c>
      <c r="X83" s="35" t="inlineStr">
        <is>
          <t>Да</t>
        </is>
      </c>
    </row>
    <row r="84" ht="27.75" customHeight="1" s="24">
      <c r="A84" s="13" t="n">
        <v>20009251362</v>
      </c>
      <c r="B84" s="13" t="inlineStr">
        <is>
          <t>Горком Профсоюза работников образования и науки РФ</t>
        </is>
      </c>
      <c r="C84" s="13" t="n">
        <v>3808042416</v>
      </c>
      <c r="D84" s="13" t="inlineStr">
        <is>
          <t>3808042416</t>
        </is>
      </c>
      <c r="E84" s="13" t="inlineStr">
        <is>
          <t>ЮЛ РФ</t>
        </is>
      </c>
      <c r="F84" s="13" t="n"/>
      <c r="G84" s="14" t="n"/>
      <c r="H84" s="14" t="n"/>
      <c r="I84" s="14" t="n"/>
      <c r="J84" s="14" t="n"/>
      <c r="K84" s="53" t="inlineStr"/>
      <c r="L84" s="53" t="inlineStr">
        <is>
          <t>Не определено</t>
        </is>
      </c>
      <c r="M84" s="53" t="inlineStr"/>
      <c r="N84" s="54" t="inlineStr"/>
      <c r="O84" s="55" t="inlineStr"/>
      <c r="P84" s="16" t="inlineStr">
        <is>
          <t>Требует обогащения</t>
        </is>
      </c>
      <c r="Q84" s="16">
        <f>HYPERLINK("https://pb.nalog.ru/search.html?query=3808042416","ФНС: проверить")</f>
        <v/>
      </c>
      <c r="R84" s="16">
        <f>HYPERLINK("https://checko.ru/search?query=3801001629","Чекко: проверить")</f>
        <v/>
      </c>
      <c r="S84" t="n">
        <v>1</v>
      </c>
      <c r="T84" s="35" t="inlineStr">
        <is>
          <t>4 — Не обогащён</t>
        </is>
      </c>
      <c r="U84" s="35" t="inlineStr">
        <is>
          <t>Нет ОКВЭД/ССЧР</t>
        </is>
      </c>
      <c r="V84" s="35" t="inlineStr">
        <is>
          <t>Не определено</t>
        </is>
      </c>
      <c r="W84" s="35" t="inlineStr"/>
      <c r="X84" s="35" t="inlineStr"/>
    </row>
    <row r="85" ht="15" customHeight="1" s="24">
      <c r="A85" s="13" t="n">
        <v>9126707</v>
      </c>
      <c r="B85" s="13" t="inlineStr">
        <is>
          <t>Всероссийское Общество Автомоб-в</t>
        </is>
      </c>
      <c r="C85" s="13" t="n">
        <v>3808016455</v>
      </c>
      <c r="D85" s="13" t="inlineStr">
        <is>
          <t>3808016455</t>
        </is>
      </c>
      <c r="E85" s="13" t="inlineStr">
        <is>
          <t>ЮЛ РФ</t>
        </is>
      </c>
      <c r="F85" s="13" t="n"/>
      <c r="G85" s="14" t="n"/>
      <c r="H85" s="14" t="n"/>
      <c r="I85" s="14" t="n"/>
      <c r="J85" s="14" t="n"/>
      <c r="K85" s="53" t="inlineStr"/>
      <c r="L85" s="53" t="inlineStr">
        <is>
          <t>Не определено</t>
        </is>
      </c>
      <c r="M85" s="53" t="inlineStr"/>
      <c r="N85" s="54" t="inlineStr"/>
      <c r="O85" s="55" t="inlineStr"/>
      <c r="P85" s="16" t="inlineStr">
        <is>
          <t>Требует обогащения</t>
        </is>
      </c>
      <c r="Q85" s="16">
        <f>HYPERLINK("https://pb.nalog.ru/search.html?query=3808016455","ФНС: проверить")</f>
        <v/>
      </c>
      <c r="R85" s="16">
        <f>HYPERLINK("https://checko.ru/search?query=3801001629","Чекко: проверить")</f>
        <v/>
      </c>
      <c r="S85" t="n">
        <v>1</v>
      </c>
      <c r="T85" s="35" t="inlineStr">
        <is>
          <t>4 — Не обогащён</t>
        </is>
      </c>
      <c r="U85" s="35" t="inlineStr">
        <is>
          <t>Нет ОКВЭД/ССЧР</t>
        </is>
      </c>
      <c r="V85" s="35" t="inlineStr">
        <is>
          <t>Не определено</t>
        </is>
      </c>
      <c r="W85" s="35" t="inlineStr"/>
      <c r="X85" s="35" t="inlineStr"/>
    </row>
    <row r="86" ht="15" customHeight="1" s="24">
      <c r="A86" s="13" t="n">
        <v>800648353</v>
      </c>
      <c r="B86" s="13" t="inlineStr">
        <is>
          <t>ООО "Янтарь"</t>
        </is>
      </c>
      <c r="C86" s="13" t="n">
        <v>3812079345</v>
      </c>
      <c r="D86" s="13" t="inlineStr">
        <is>
          <t>3812079345</t>
        </is>
      </c>
      <c r="E86" s="13" t="inlineStr">
        <is>
          <t>ЮЛ РФ</t>
        </is>
      </c>
      <c r="F86" s="13" t="n"/>
      <c r="G86" s="52" t="n">
        <v>347</v>
      </c>
      <c r="H86" s="52" t="n">
        <v>2025</v>
      </c>
      <c r="I86" s="52" t="inlineStr">
        <is>
          <t>47.22</t>
        </is>
      </c>
      <c r="J86" s="52" t="inlineStr">
        <is>
          <t>47.22; 10.13.4; 10.13.5; 10.13.6; 47.21; 47.23; 47.24; 47.25; 47.26; 47.29; 47.81; 66.19; 68.20; 73.11</t>
        </is>
      </c>
      <c r="K86" s="53" t="inlineStr">
        <is>
          <t>Да</t>
        </is>
      </c>
      <c r="L86" s="53" t="inlineStr">
        <is>
          <t>Да</t>
        </is>
      </c>
      <c r="M86" s="53" t="inlineStr">
        <is>
          <t>До 500</t>
        </is>
      </c>
      <c r="N86" s="54" t="n">
        <v>144000</v>
      </c>
      <c r="O86" s="55" t="inlineStr">
        <is>
          <t>201–500</t>
        </is>
      </c>
      <c r="P86" s="16" t="inlineStr">
        <is>
          <t>ССЧР + ОКВЭД обогащены</t>
        </is>
      </c>
      <c r="Q86" s="16" t="inlineStr">
        <is>
          <t>ФНС открытые данные ССЧР (ДатаСост 31.12.2025; набор 7707329152-sshr2019)</t>
        </is>
      </c>
      <c r="R86" s="16" t="inlineStr">
        <is>
          <t>ЕГРЮЛ / egrul.nalog.ru (выписка)</t>
        </is>
      </c>
      <c r="S86" t="n">
        <v>1</v>
      </c>
      <c r="T86" s="35" t="inlineStr">
        <is>
          <t>1 — Горячий</t>
        </is>
      </c>
      <c r="U86" s="35" t="inlineStr">
        <is>
          <t>ОКВЭД + 22+</t>
        </is>
      </c>
      <c r="V86" s="35" t="inlineStr">
        <is>
          <t>Да</t>
        </is>
      </c>
      <c r="W86" s="35" t="inlineStr">
        <is>
          <t>Да</t>
        </is>
      </c>
      <c r="X86" s="35" t="inlineStr">
        <is>
          <t>Да</t>
        </is>
      </c>
    </row>
    <row r="87" ht="15" customHeight="1" s="24">
      <c r="A87" s="13" t="n">
        <v>9150862</v>
      </c>
      <c r="B87" s="13" t="inlineStr">
        <is>
          <t>ДК Современник</t>
        </is>
      </c>
      <c r="C87" s="13" t="n">
        <v>3801111325</v>
      </c>
      <c r="D87" s="13" t="inlineStr">
        <is>
          <t>3801111325</t>
        </is>
      </c>
      <c r="E87" s="13" t="inlineStr">
        <is>
          <t>ЮЛ РФ</t>
        </is>
      </c>
      <c r="F87" s="13" t="n"/>
      <c r="G87" s="14" t="n"/>
      <c r="H87" s="14" t="n"/>
      <c r="I87" s="14" t="n"/>
      <c r="J87" s="14" t="n"/>
      <c r="K87" s="53" t="inlineStr"/>
      <c r="L87" s="53" t="inlineStr">
        <is>
          <t>Не определено</t>
        </is>
      </c>
      <c r="M87" s="53" t="inlineStr"/>
      <c r="N87" s="54" t="inlineStr"/>
      <c r="O87" s="55" t="inlineStr"/>
      <c r="P87" s="16" t="inlineStr">
        <is>
          <t>Требует обогащения</t>
        </is>
      </c>
      <c r="Q87" s="16">
        <f>HYPERLINK("https://pb.nalog.ru/search.html?query=3801111325","ФНС: проверить")</f>
        <v/>
      </c>
      <c r="R87" s="16">
        <f>HYPERLINK("https://checko.ru/search?query=3801001629","Чекко: проверить")</f>
        <v/>
      </c>
      <c r="S87" t="n">
        <v>1</v>
      </c>
      <c r="T87" s="35" t="inlineStr">
        <is>
          <t>4 — Не обогащён</t>
        </is>
      </c>
      <c r="U87" s="35" t="inlineStr">
        <is>
          <t>Нет ОКВЭД/ССЧР</t>
        </is>
      </c>
      <c r="V87" s="35" t="inlineStr">
        <is>
          <t>Не определено</t>
        </is>
      </c>
      <c r="W87" s="35" t="inlineStr"/>
      <c r="X87" s="35" t="inlineStr"/>
    </row>
    <row r="88" ht="15" customHeight="1" s="24">
      <c r="A88" s="13" t="n">
        <v>800553782</v>
      </c>
      <c r="B88" s="13" t="inlineStr">
        <is>
          <t>ООО "ЦЕНТРАЛЬНЫЙ МАГАЗИН "МЕБЕЛЬ"</t>
        </is>
      </c>
      <c r="C88" s="13" t="n">
        <v>3808239003</v>
      </c>
      <c r="D88" s="13" t="inlineStr">
        <is>
          <t>3808239003</t>
        </is>
      </c>
      <c r="E88" s="13" t="inlineStr">
        <is>
          <t>ЮЛ РФ</t>
        </is>
      </c>
      <c r="F88" s="13" t="n"/>
      <c r="G88" s="52" t="n">
        <v>13</v>
      </c>
      <c r="H88" s="52" t="n">
        <v>2025</v>
      </c>
      <c r="I88" s="14" t="n"/>
      <c r="J88" s="14" t="n"/>
      <c r="K88" s="53" t="inlineStr">
        <is>
          <t>Нет</t>
        </is>
      </c>
      <c r="L88" s="53" t="inlineStr">
        <is>
          <t>Не определено</t>
        </is>
      </c>
      <c r="M88" s="53" t="inlineStr">
        <is>
          <t>До 25</t>
        </is>
      </c>
      <c r="N88" s="54" t="n">
        <v>8400</v>
      </c>
      <c r="O88" s="55" t="inlineStr">
        <is>
          <t>1–15</t>
        </is>
      </c>
      <c r="P88" s="16" t="inlineStr">
        <is>
          <t>ССЧР обогащена; ОКВЭД не найден/не загружен</t>
        </is>
      </c>
      <c r="Q88" s="16" t="inlineStr">
        <is>
          <t>ФНС открытые данные ССЧР (ДатаСост 31.12.2025; набор 7707329152-sshr2019)</t>
        </is>
      </c>
      <c r="R88" s="16">
        <f>HYPERLINK("https://checko.ru/search?query=3801001629","Чекко: проверить")</f>
        <v/>
      </c>
      <c r="S88" t="n">
        <v>1</v>
      </c>
      <c r="T88" s="35" t="inlineStr">
        <is>
          <t>4 — Не обогащён</t>
        </is>
      </c>
      <c r="U88" s="35" t="inlineStr">
        <is>
          <t>Нет ОКВЭД/ССЧР</t>
        </is>
      </c>
      <c r="V88" s="35" t="inlineStr">
        <is>
          <t>Не определено</t>
        </is>
      </c>
      <c r="W88" s="35" t="inlineStr">
        <is>
          <t>Нет</t>
        </is>
      </c>
      <c r="X88" s="35" t="inlineStr"/>
    </row>
    <row r="89" ht="27.75" customHeight="1" s="24">
      <c r="A89" s="13" t="n">
        <v>802351314</v>
      </c>
      <c r="B89" s="13" t="inlineStr">
        <is>
          <t>Индивидуальный предприниматель ФЁДОРОВ АЛЕКСЕЙ ВИКТОРОВИЧ</t>
        </is>
      </c>
      <c r="C89" s="13" t="n">
        <v>381803942994</v>
      </c>
      <c r="D89" s="13" t="inlineStr">
        <is>
          <t>381803942994</t>
        </is>
      </c>
      <c r="E89" s="13" t="inlineStr">
        <is>
          <t>ИП РФ / физлицо</t>
        </is>
      </c>
      <c r="F89" s="13" t="n"/>
      <c r="G89" s="14" t="n"/>
      <c r="H89" s="14" t="n"/>
      <c r="I89" s="14" t="n"/>
      <c r="J89" s="14" t="n"/>
      <c r="K89" s="53" t="inlineStr"/>
      <c r="L89" s="53" t="inlineStr">
        <is>
          <t>Не определено</t>
        </is>
      </c>
      <c r="M89" s="53" t="inlineStr"/>
      <c r="N89" s="54" t="inlineStr"/>
      <c r="O89" s="55" t="inlineStr"/>
      <c r="P89" s="16" t="inlineStr">
        <is>
          <t>Требует обогащения</t>
        </is>
      </c>
      <c r="Q89" s="16">
        <f>HYPERLINK("https://pb.nalog.ru/search.html?query=381803942994","ФНС: проверить")</f>
        <v/>
      </c>
      <c r="R89" s="16">
        <f>HYPERLINK("https://checko.ru/search?query=3801001629","Чекко: проверить")</f>
        <v/>
      </c>
      <c r="S89" t="n">
        <v>1</v>
      </c>
      <c r="T89" s="35" t="inlineStr">
        <is>
          <t>4 — Не обогащён</t>
        </is>
      </c>
      <c r="U89" s="35" t="inlineStr">
        <is>
          <t>Нет ОКВЭД/ССЧР</t>
        </is>
      </c>
      <c r="V89" s="35" t="inlineStr">
        <is>
          <t>Не определено</t>
        </is>
      </c>
      <c r="W89" s="35" t="inlineStr"/>
      <c r="X89" s="35" t="inlineStr"/>
    </row>
    <row r="90" ht="15" customHeight="1" s="24">
      <c r="A90" s="13" t="n">
        <v>803018125</v>
      </c>
      <c r="B90" s="13" t="inlineStr">
        <is>
          <t>ВАШ БУХГАЛТЕР ООО</t>
        </is>
      </c>
      <c r="C90" s="13" t="n">
        <v>3811460131</v>
      </c>
      <c r="D90" s="13" t="inlineStr">
        <is>
          <t>3811460131</t>
        </is>
      </c>
      <c r="E90" s="13" t="inlineStr">
        <is>
          <t>ЮЛ РФ</t>
        </is>
      </c>
      <c r="F90" s="13" t="n"/>
      <c r="G90" s="52" t="n">
        <v>4</v>
      </c>
      <c r="H90" s="52" t="n">
        <v>2025</v>
      </c>
      <c r="I90" s="14" t="n"/>
      <c r="J90" s="14" t="n"/>
      <c r="K90" s="53" t="inlineStr">
        <is>
          <t>Нет</t>
        </is>
      </c>
      <c r="L90" s="53" t="inlineStr">
        <is>
          <t>Не определено</t>
        </is>
      </c>
      <c r="M90" s="53" t="inlineStr">
        <is>
          <t>До 10</t>
        </is>
      </c>
      <c r="N90" s="54" t="n">
        <v>3360</v>
      </c>
      <c r="O90" s="55" t="inlineStr">
        <is>
          <t>1–15</t>
        </is>
      </c>
      <c r="P90" s="16" t="inlineStr">
        <is>
          <t>ССЧР обогащена; ОКВЭД не найден/не загружен</t>
        </is>
      </c>
      <c r="Q90" s="16" t="inlineStr">
        <is>
          <t>ФНС открытые данные ССЧР (ДатаСост 31.12.2025; набор 7707329152-sshr2019)</t>
        </is>
      </c>
      <c r="R90" s="16">
        <f>HYPERLINK("https://checko.ru/search?query=3801001629","Чекко: проверить")</f>
        <v/>
      </c>
      <c r="S90" t="n">
        <v>1</v>
      </c>
      <c r="T90" s="35" t="inlineStr">
        <is>
          <t>4 — Не обогащён</t>
        </is>
      </c>
      <c r="U90" s="35" t="inlineStr">
        <is>
          <t>Нет ОКВЭД/ССЧР</t>
        </is>
      </c>
      <c r="V90" s="35" t="inlineStr">
        <is>
          <t>Не определено</t>
        </is>
      </c>
      <c r="W90" s="35" t="inlineStr">
        <is>
          <t>Нет</t>
        </is>
      </c>
      <c r="X90" s="35" t="inlineStr"/>
    </row>
    <row r="91" ht="27.75" customHeight="1" s="24">
      <c r="A91" s="13" t="n">
        <v>802915403</v>
      </c>
      <c r="B91" s="13" t="inlineStr">
        <is>
          <t>Фонд развития промышленности Иркутской области</t>
        </is>
      </c>
      <c r="C91" s="13" t="n">
        <v>3808198710</v>
      </c>
      <c r="D91" s="13" t="inlineStr">
        <is>
          <t>3808198710</t>
        </is>
      </c>
      <c r="E91" s="13" t="inlineStr">
        <is>
          <t>ЮЛ РФ</t>
        </is>
      </c>
      <c r="F91" s="13" t="n"/>
      <c r="G91" s="14" t="n"/>
      <c r="H91" s="14" t="n"/>
      <c r="I91" s="14" t="n"/>
      <c r="J91" s="14" t="n"/>
      <c r="K91" s="53" t="inlineStr"/>
      <c r="L91" s="53" t="inlineStr">
        <is>
          <t>Не определено</t>
        </is>
      </c>
      <c r="M91" s="53" t="inlineStr"/>
      <c r="N91" s="54" t="inlineStr"/>
      <c r="O91" s="55" t="inlineStr"/>
      <c r="P91" s="16" t="inlineStr">
        <is>
          <t>Требует обогащения</t>
        </is>
      </c>
      <c r="Q91" s="16">
        <f>HYPERLINK("https://pb.nalog.ru/search.html?query=3808198710","ФНС: проверить")</f>
        <v/>
      </c>
      <c r="R91" s="16">
        <f>HYPERLINK("https://checko.ru/search?query=3801001629","Чекко: проверить")</f>
        <v/>
      </c>
      <c r="S91" t="n">
        <v>1</v>
      </c>
      <c r="T91" s="35" t="inlineStr">
        <is>
          <t>4 — Не обогащён</t>
        </is>
      </c>
      <c r="U91" s="35" t="inlineStr">
        <is>
          <t>Нет ОКВЭД/ССЧР</t>
        </is>
      </c>
      <c r="V91" s="35" t="inlineStr">
        <is>
          <t>Не определено</t>
        </is>
      </c>
      <c r="W91" s="35" t="inlineStr"/>
      <c r="X91" s="35" t="inlineStr"/>
    </row>
    <row r="92" ht="15" customHeight="1" s="24">
      <c r="A92" s="13" t="n">
        <v>804709016</v>
      </c>
      <c r="B92" s="13" t="inlineStr">
        <is>
          <t>ООО "Нефтегазсервис"</t>
        </is>
      </c>
      <c r="C92" s="13" t="n">
        <v>3805700748</v>
      </c>
      <c r="D92" s="13" t="inlineStr">
        <is>
          <t>3805700748</t>
        </is>
      </c>
      <c r="E92" s="13" t="inlineStr">
        <is>
          <t>ЮЛ РФ</t>
        </is>
      </c>
      <c r="F92" s="13" t="n"/>
      <c r="G92" s="52" t="n">
        <v>6</v>
      </c>
      <c r="H92" s="52" t="n">
        <v>2025</v>
      </c>
      <c r="I92" s="14" t="n"/>
      <c r="J92" s="14" t="n"/>
      <c r="K92" s="53" t="inlineStr">
        <is>
          <t>Нет</t>
        </is>
      </c>
      <c r="L92" s="53" t="inlineStr">
        <is>
          <t>Не определено</t>
        </is>
      </c>
      <c r="M92" s="53" t="inlineStr">
        <is>
          <t>До 10</t>
        </is>
      </c>
      <c r="N92" s="54" t="n">
        <v>3360</v>
      </c>
      <c r="O92" s="55" t="inlineStr">
        <is>
          <t>1–15</t>
        </is>
      </c>
      <c r="P92" s="16" t="inlineStr">
        <is>
          <t>ССЧР обогащена; ОКВЭД не найден/не загружен</t>
        </is>
      </c>
      <c r="Q92" s="16" t="inlineStr">
        <is>
          <t>ФНС открытые данные ССЧР (ДатаСост 31.12.2025; набор 7707329152-sshr2019)</t>
        </is>
      </c>
      <c r="R92" s="16">
        <f>HYPERLINK("https://checko.ru/search?query=3801001629","Чекко: проверить")</f>
        <v/>
      </c>
      <c r="S92" t="n">
        <v>1</v>
      </c>
      <c r="T92" s="35" t="inlineStr">
        <is>
          <t>4 — Не обогащён</t>
        </is>
      </c>
      <c r="U92" s="35" t="inlineStr">
        <is>
          <t>Нет ОКВЭД/ССЧР</t>
        </is>
      </c>
      <c r="V92" s="35" t="inlineStr">
        <is>
          <t>Не определено</t>
        </is>
      </c>
      <c r="W92" s="35" t="inlineStr">
        <is>
          <t>Нет</t>
        </is>
      </c>
      <c r="X92" s="35" t="inlineStr"/>
    </row>
    <row r="93" ht="41.25" customHeight="1" s="24">
      <c r="A93" s="13" t="n">
        <v>804692194</v>
      </c>
      <c r="B93" s="13" t="inlineStr">
        <is>
          <t>ОБЩЕСТВО С ОГРАНИЧЕННОЙ ОТВЕТСТВЕННОСТЬЮ «МЕТРОЛОГИЧЕСКИЙ ЦЕНТР+»</t>
        </is>
      </c>
      <c r="C93" s="13" t="n">
        <v>3801161245</v>
      </c>
      <c r="D93" s="13" t="inlineStr">
        <is>
          <t>3801161245</t>
        </is>
      </c>
      <c r="E93" s="13" t="inlineStr">
        <is>
          <t>ЮЛ РФ</t>
        </is>
      </c>
      <c r="F93" s="13" t="n"/>
      <c r="G93" s="52" t="n">
        <v>8</v>
      </c>
      <c r="H93" s="52" t="n">
        <v>2025</v>
      </c>
      <c r="I93" s="14" t="n"/>
      <c r="J93" s="14" t="n"/>
      <c r="K93" s="53" t="inlineStr">
        <is>
          <t>Нет</t>
        </is>
      </c>
      <c r="L93" s="53" t="inlineStr">
        <is>
          <t>Не определено</t>
        </is>
      </c>
      <c r="M93" s="53" t="inlineStr">
        <is>
          <t>До 10</t>
        </is>
      </c>
      <c r="N93" s="54" t="n">
        <v>3360</v>
      </c>
      <c r="O93" s="55" t="inlineStr">
        <is>
          <t>1–15</t>
        </is>
      </c>
      <c r="P93" s="16" t="inlineStr">
        <is>
          <t>ССЧР обогащена; ОКВЭД не найден/не загружен</t>
        </is>
      </c>
      <c r="Q93" s="16" t="inlineStr">
        <is>
          <t>ФНС открытые данные ССЧР (ДатаСост 31.12.2025; набор 7707329152-sshr2019)</t>
        </is>
      </c>
      <c r="R93" s="16">
        <f>HYPERLINK("https://checko.ru/search?query=3801001629","Чекко: проверить")</f>
        <v/>
      </c>
      <c r="S93" t="n">
        <v>1</v>
      </c>
      <c r="T93" s="35" t="inlineStr">
        <is>
          <t>4 — Не обогащён</t>
        </is>
      </c>
      <c r="U93" s="35" t="inlineStr">
        <is>
          <t>Нет ОКВЭД/ССЧР</t>
        </is>
      </c>
      <c r="V93" s="35" t="inlineStr">
        <is>
          <t>Не определено</t>
        </is>
      </c>
      <c r="W93" s="35" t="inlineStr">
        <is>
          <t>Нет</t>
        </is>
      </c>
      <c r="X93" s="35" t="inlineStr"/>
    </row>
    <row r="94" ht="15" customHeight="1" s="24">
      <c r="A94" s="13" t="n">
        <v>800572519</v>
      </c>
      <c r="B94" s="13" t="inlineStr">
        <is>
          <t>РЖД ДЕТСКИЙ САД N 58</t>
        </is>
      </c>
      <c r="C94" s="13" t="n">
        <v>3812079218</v>
      </c>
      <c r="D94" s="13" t="inlineStr">
        <is>
          <t>3812079218</t>
        </is>
      </c>
      <c r="E94" s="13" t="inlineStr">
        <is>
          <t>ЮЛ РФ</t>
        </is>
      </c>
      <c r="F94" s="13" t="n"/>
      <c r="G94" s="14" t="n"/>
      <c r="H94" s="14" t="n"/>
      <c r="I94" s="14" t="n"/>
      <c r="J94" s="14" t="n"/>
      <c r="K94" s="53" t="inlineStr"/>
      <c r="L94" s="53" t="inlineStr">
        <is>
          <t>Не определено</t>
        </is>
      </c>
      <c r="M94" s="53" t="inlineStr"/>
      <c r="N94" s="54" t="inlineStr"/>
      <c r="O94" s="55" t="inlineStr"/>
      <c r="P94" s="16" t="inlineStr">
        <is>
          <t>Требует обогащения</t>
        </is>
      </c>
      <c r="Q94" s="16">
        <f>HYPERLINK("https://pb.nalog.ru/search.html?query=3812079218","ФНС: проверить")</f>
        <v/>
      </c>
      <c r="R94" s="16">
        <f>HYPERLINK("https://checko.ru/search?query=3801001629","Чекко: проверить")</f>
        <v/>
      </c>
      <c r="S94" t="n">
        <v>1</v>
      </c>
      <c r="T94" s="35" t="inlineStr">
        <is>
          <t>4 — Не обогащён</t>
        </is>
      </c>
      <c r="U94" s="35" t="inlineStr">
        <is>
          <t>Нет ОКВЭД/ССЧР</t>
        </is>
      </c>
      <c r="V94" s="35" t="inlineStr">
        <is>
          <t>Не определено</t>
        </is>
      </c>
      <c r="W94" s="35" t="inlineStr"/>
      <c r="X94" s="35" t="inlineStr"/>
    </row>
    <row r="95" ht="15" customHeight="1" s="24">
      <c r="A95" s="13" t="n">
        <v>800534958</v>
      </c>
      <c r="B95" s="13" t="inlineStr">
        <is>
          <t>ООО "ЦентрПутьСервис"</t>
        </is>
      </c>
      <c r="C95" s="13" t="n">
        <v>3810314032</v>
      </c>
      <c r="D95" s="13" t="inlineStr">
        <is>
          <t>3810314032</t>
        </is>
      </c>
      <c r="E95" s="13" t="inlineStr">
        <is>
          <t>ЮЛ РФ</t>
        </is>
      </c>
      <c r="F95" s="13" t="n"/>
      <c r="G95" s="52" t="n">
        <v>10</v>
      </c>
      <c r="H95" s="52" t="n">
        <v>2025</v>
      </c>
      <c r="I95" s="14" t="n"/>
      <c r="J95" s="14" t="n"/>
      <c r="K95" s="53" t="inlineStr">
        <is>
          <t>Нет</t>
        </is>
      </c>
      <c r="L95" s="53" t="inlineStr">
        <is>
          <t>Не определено</t>
        </is>
      </c>
      <c r="M95" s="53" t="inlineStr">
        <is>
          <t>До 10</t>
        </is>
      </c>
      <c r="N95" s="54" t="n">
        <v>3360</v>
      </c>
      <c r="O95" s="55" t="inlineStr">
        <is>
          <t>1–15</t>
        </is>
      </c>
      <c r="P95" s="16" t="inlineStr">
        <is>
          <t>ССЧР обогащена; ОКВЭД не найден/не загружен</t>
        </is>
      </c>
      <c r="Q95" s="16" t="inlineStr">
        <is>
          <t>ФНС открытые данные ССЧР (ДатаСост 31.12.2025; набор 7707329152-sshr2019)</t>
        </is>
      </c>
      <c r="R95" s="16">
        <f>HYPERLINK("https://checko.ru/search?query=3801001629","Чекко: проверить")</f>
        <v/>
      </c>
      <c r="S95" t="n">
        <v>1</v>
      </c>
      <c r="T95" s="35" t="inlineStr">
        <is>
          <t>4 — Не обогащён</t>
        </is>
      </c>
      <c r="U95" s="35" t="inlineStr">
        <is>
          <t>Нет ОКВЭД/ССЧР</t>
        </is>
      </c>
      <c r="V95" s="35" t="inlineStr">
        <is>
          <t>Не определено</t>
        </is>
      </c>
      <c r="W95" s="35" t="inlineStr">
        <is>
          <t>Нет</t>
        </is>
      </c>
      <c r="X95" s="35" t="inlineStr"/>
    </row>
    <row r="96" ht="15" customHeight="1" s="24">
      <c r="A96" s="13" t="n">
        <v>800533074</v>
      </c>
      <c r="B96" s="13" t="inlineStr">
        <is>
          <t>Акционерное общество "ПРОМТЕХ-ИРКУТСК"</t>
        </is>
      </c>
      <c r="C96" s="13" t="n">
        <v>3810058501</v>
      </c>
      <c r="D96" s="13" t="inlineStr">
        <is>
          <t>3810058501</t>
        </is>
      </c>
      <c r="E96" s="13" t="inlineStr">
        <is>
          <t>ЮЛ РФ</t>
        </is>
      </c>
      <c r="F96" s="13" t="n"/>
      <c r="G96" s="14" t="n"/>
      <c r="H96" s="14" t="n"/>
      <c r="I96" s="14" t="n"/>
      <c r="J96" s="14" t="n"/>
      <c r="K96" s="53" t="inlineStr"/>
      <c r="L96" s="53" t="inlineStr">
        <is>
          <t>Не определено</t>
        </is>
      </c>
      <c r="M96" s="53" t="inlineStr"/>
      <c r="N96" s="54" t="inlineStr"/>
      <c r="O96" s="55" t="inlineStr"/>
      <c r="P96" s="16" t="inlineStr">
        <is>
          <t>Требует обогащения</t>
        </is>
      </c>
      <c r="Q96" s="16">
        <f>HYPERLINK("https://pb.nalog.ru/search.html?query=3810058501","ФНС: проверить")</f>
        <v/>
      </c>
      <c r="R96" s="16">
        <f>HYPERLINK("https://checko.ru/search?query=3801001629","Чекко: проверить")</f>
        <v/>
      </c>
      <c r="S96" t="n">
        <v>1</v>
      </c>
      <c r="T96" s="35" t="inlineStr">
        <is>
          <t>4 — Не обогащён</t>
        </is>
      </c>
      <c r="U96" s="35" t="inlineStr">
        <is>
          <t>Нет ОКВЭД/ССЧР</t>
        </is>
      </c>
      <c r="V96" s="35" t="inlineStr">
        <is>
          <t>Не определено</t>
        </is>
      </c>
      <c r="W96" s="35" t="inlineStr"/>
      <c r="X96" s="35" t="inlineStr"/>
    </row>
    <row r="97" ht="41.25" customHeight="1" s="24">
      <c r="A97" s="13" t="n">
        <v>13216453</v>
      </c>
      <c r="B97" s="13" t="inlineStr">
        <is>
          <t>СЕЛЬСКОХОЗЯЙСТВЕННЫЙ ПЕРЕРАБАТЫВАЮЩИЙ СНАБЖЕНЧЕСКО-СБЫТОВОЙ ПОТРЕБИТЕЛЬСКИЙ КООПЕРАТИВ "ВИТИМ-АГРО"</t>
        </is>
      </c>
      <c r="C97" s="13" t="n">
        <v>3849011400</v>
      </c>
      <c r="D97" s="13" t="inlineStr">
        <is>
          <t>3849011400</t>
        </is>
      </c>
      <c r="E97" s="13" t="inlineStr">
        <is>
          <t>ЮЛ РФ</t>
        </is>
      </c>
      <c r="F97" s="13" t="n"/>
      <c r="G97" s="14" t="n"/>
      <c r="H97" s="14" t="n"/>
      <c r="I97" s="14" t="n"/>
      <c r="J97" s="14" t="n"/>
      <c r="K97" s="53" t="inlineStr"/>
      <c r="L97" s="53" t="inlineStr">
        <is>
          <t>Не определено</t>
        </is>
      </c>
      <c r="M97" s="53" t="inlineStr"/>
      <c r="N97" s="54" t="inlineStr"/>
      <c r="O97" s="55" t="inlineStr"/>
      <c r="P97" s="16" t="inlineStr">
        <is>
          <t>Требует обогащения</t>
        </is>
      </c>
      <c r="Q97" s="16">
        <f>HYPERLINK("https://pb.nalog.ru/search.html?query=3849011400","ФНС: проверить")</f>
        <v/>
      </c>
      <c r="R97" s="16">
        <f>HYPERLINK("https://checko.ru/search?query=3801001629","Чекко: проверить")</f>
        <v/>
      </c>
      <c r="S97" t="n">
        <v>1</v>
      </c>
      <c r="T97" s="35" t="inlineStr">
        <is>
          <t>4 — Не обогащён</t>
        </is>
      </c>
      <c r="U97" s="35" t="inlineStr">
        <is>
          <t>Нет ОКВЭД/ССЧР</t>
        </is>
      </c>
      <c r="V97" s="35" t="inlineStr">
        <is>
          <t>Не определено</t>
        </is>
      </c>
      <c r="W97" s="35" t="inlineStr"/>
      <c r="X97" s="35" t="inlineStr"/>
    </row>
    <row r="98" ht="54.75" customHeight="1" s="24">
      <c r="A98" s="13" t="n">
        <v>9151868</v>
      </c>
      <c r="B98" s="13" t="inlineStr">
        <is>
          <t>Усть-Кутское районное отделение Общероссийской общественной организации "Всеросийское добровольное пожарное общество"</t>
        </is>
      </c>
      <c r="C98" s="13" t="n">
        <v>3818004748</v>
      </c>
      <c r="D98" s="13" t="inlineStr">
        <is>
          <t>3818004748</t>
        </is>
      </c>
      <c r="E98" s="13" t="inlineStr">
        <is>
          <t>ЮЛ РФ</t>
        </is>
      </c>
      <c r="F98" s="13" t="n"/>
      <c r="G98" s="14" t="n"/>
      <c r="H98" s="14" t="n"/>
      <c r="I98" s="14" t="n"/>
      <c r="J98" s="14" t="n"/>
      <c r="K98" s="53" t="inlineStr"/>
      <c r="L98" s="53" t="inlineStr">
        <is>
          <t>Не определено</t>
        </is>
      </c>
      <c r="M98" s="53" t="inlineStr"/>
      <c r="N98" s="54" t="inlineStr"/>
      <c r="O98" s="55" t="inlineStr"/>
      <c r="P98" s="16" t="inlineStr">
        <is>
          <t>Требует обогащения</t>
        </is>
      </c>
      <c r="Q98" s="16">
        <f>HYPERLINK("https://pb.nalog.ru/search.html?query=3818004748","ФНС: проверить")</f>
        <v/>
      </c>
      <c r="R98" s="16">
        <f>HYPERLINK("https://checko.ru/search?query=3801001629","Чекко: проверить")</f>
        <v/>
      </c>
      <c r="S98" t="n">
        <v>1</v>
      </c>
      <c r="T98" s="35" t="inlineStr">
        <is>
          <t>4 — Не обогащён</t>
        </is>
      </c>
      <c r="U98" s="35" t="inlineStr">
        <is>
          <t>Нет ОКВЭД/ССЧР</t>
        </is>
      </c>
      <c r="V98" s="35" t="inlineStr">
        <is>
          <t>Не определено</t>
        </is>
      </c>
      <c r="W98" s="35" t="inlineStr"/>
      <c r="X98" s="35" t="inlineStr"/>
    </row>
    <row r="99" ht="15" customHeight="1" s="24">
      <c r="A99" s="13" t="n">
        <v>9816999</v>
      </c>
      <c r="B99" s="13" t="inlineStr">
        <is>
          <t>ООО "ИРКАЗ-СЕРВИС ИРКУТСК"</t>
        </is>
      </c>
      <c r="C99" s="13" t="n">
        <v>3821016373</v>
      </c>
      <c r="D99" s="13" t="inlineStr">
        <is>
          <t>3821016373</t>
        </is>
      </c>
      <c r="E99" s="13" t="inlineStr">
        <is>
          <t>ЮЛ РФ</t>
        </is>
      </c>
      <c r="F99" s="13" t="n"/>
      <c r="G99" s="52" t="n">
        <v>13</v>
      </c>
      <c r="H99" s="52" t="n">
        <v>2025</v>
      </c>
      <c r="I99" s="14" t="n"/>
      <c r="J99" s="14" t="n"/>
      <c r="K99" s="53" t="inlineStr">
        <is>
          <t>Нет</t>
        </is>
      </c>
      <c r="L99" s="53" t="inlineStr">
        <is>
          <t>Не определено</t>
        </is>
      </c>
      <c r="M99" s="53" t="inlineStr">
        <is>
          <t>До 25</t>
        </is>
      </c>
      <c r="N99" s="54" t="n">
        <v>8400</v>
      </c>
      <c r="O99" s="55" t="inlineStr">
        <is>
          <t>1–15</t>
        </is>
      </c>
      <c r="P99" s="16" t="inlineStr">
        <is>
          <t>ССЧР обогащена; ОКВЭД не найден/не загружен</t>
        </is>
      </c>
      <c r="Q99" s="16" t="inlineStr">
        <is>
          <t>ФНС открытые данные ССЧР (ДатаСост 31.12.2025; набор 7707329152-sshr2019)</t>
        </is>
      </c>
      <c r="R99" s="16">
        <f>HYPERLINK("https://checko.ru/search?query=3801001629","Чекко: проверить")</f>
        <v/>
      </c>
      <c r="S99" t="n">
        <v>1</v>
      </c>
      <c r="T99" s="35" t="inlineStr">
        <is>
          <t>4 — Не обогащён</t>
        </is>
      </c>
      <c r="U99" s="35" t="inlineStr">
        <is>
          <t>Нет ОКВЭД/ССЧР</t>
        </is>
      </c>
      <c r="V99" s="35" t="inlineStr">
        <is>
          <t>Не определено</t>
        </is>
      </c>
      <c r="W99" s="35" t="inlineStr">
        <is>
          <t>Нет</t>
        </is>
      </c>
      <c r="X99" s="35" t="inlineStr"/>
    </row>
    <row r="100" ht="15" customHeight="1" s="24">
      <c r="A100" s="13" t="n">
        <v>13103592</v>
      </c>
      <c r="B100" s="13" t="inlineStr">
        <is>
          <t>Лицей №36  ОАО "РЖД"</t>
        </is>
      </c>
      <c r="C100" s="13" t="n">
        <v>3812079200</v>
      </c>
      <c r="D100" s="13" t="inlineStr">
        <is>
          <t>3812079200</t>
        </is>
      </c>
      <c r="E100" s="13" t="inlineStr">
        <is>
          <t>ЮЛ РФ</t>
        </is>
      </c>
      <c r="F100" s="13" t="n"/>
      <c r="G100" s="14" t="n"/>
      <c r="H100" s="14" t="n"/>
      <c r="I100" s="14" t="n"/>
      <c r="J100" s="14" t="n"/>
      <c r="K100" s="53" t="inlineStr"/>
      <c r="L100" s="53" t="inlineStr">
        <is>
          <t>Не определено</t>
        </is>
      </c>
      <c r="M100" s="53" t="inlineStr"/>
      <c r="N100" s="54" t="inlineStr"/>
      <c r="O100" s="55" t="inlineStr"/>
      <c r="P100" s="16" t="inlineStr">
        <is>
          <t>Требует обогащения</t>
        </is>
      </c>
      <c r="Q100" s="16">
        <f>HYPERLINK("https://pb.nalog.ru/search.html?query=3812079200","ФНС: проверить")</f>
        <v/>
      </c>
      <c r="R100" s="16">
        <f>HYPERLINK("https://checko.ru/search?query=3801001629","Чекко: проверить")</f>
        <v/>
      </c>
      <c r="S100" t="n">
        <v>1</v>
      </c>
      <c r="T100" s="35" t="inlineStr">
        <is>
          <t>4 — Не обогащён</t>
        </is>
      </c>
      <c r="U100" s="35" t="inlineStr">
        <is>
          <t>Нет ОКВЭД/ССЧР</t>
        </is>
      </c>
      <c r="V100" s="35" t="inlineStr">
        <is>
          <t>Не определено</t>
        </is>
      </c>
      <c r="W100" s="35" t="inlineStr"/>
      <c r="X100" s="35" t="inlineStr"/>
    </row>
    <row r="101" ht="15" customHeight="1" s="24">
      <c r="A101" s="13" t="n">
        <v>800405835</v>
      </c>
      <c r="B101" s="13" t="inlineStr">
        <is>
          <t>ИП Тюриков С.В.</t>
        </is>
      </c>
      <c r="C101" s="13" t="n">
        <v>182800110810</v>
      </c>
      <c r="D101" s="13" t="inlineStr">
        <is>
          <t>182800110810</t>
        </is>
      </c>
      <c r="E101" s="13" t="inlineStr">
        <is>
          <t>ИП РФ / физлицо</t>
        </is>
      </c>
      <c r="F101" s="13" t="n"/>
      <c r="G101" s="14" t="n"/>
      <c r="H101" s="14" t="n"/>
      <c r="I101" s="14" t="n"/>
      <c r="J101" s="14" t="n"/>
      <c r="K101" s="53" t="inlineStr"/>
      <c r="L101" s="53" t="inlineStr">
        <is>
          <t>Не определено</t>
        </is>
      </c>
      <c r="M101" s="53" t="inlineStr"/>
      <c r="N101" s="54" t="inlineStr"/>
      <c r="O101" s="55" t="inlineStr"/>
      <c r="P101" s="16" t="inlineStr">
        <is>
          <t>Требует обогащения</t>
        </is>
      </c>
      <c r="Q101" s="16">
        <f>HYPERLINK("https://pb.nalog.ru/search.html?query=182800110810","ФНС: проверить")</f>
        <v/>
      </c>
      <c r="R101" s="16">
        <f>HYPERLINK("https://checko.ru/search?query=3801001629","Чекко: проверить")</f>
        <v/>
      </c>
      <c r="S101" t="n">
        <v>1</v>
      </c>
      <c r="T101" s="35" t="inlineStr">
        <is>
          <t>4 — Не обогащён</t>
        </is>
      </c>
      <c r="U101" s="35" t="inlineStr">
        <is>
          <t>Нет ОКВЭД/ССЧР</t>
        </is>
      </c>
      <c r="V101" s="35" t="inlineStr">
        <is>
          <t>Не определено</t>
        </is>
      </c>
      <c r="W101" s="35" t="inlineStr"/>
      <c r="X101" s="35" t="inlineStr"/>
    </row>
    <row r="102" ht="15" customHeight="1" s="24">
      <c r="A102" s="13" t="n">
        <v>800438691</v>
      </c>
      <c r="B102" s="13" t="inlineStr">
        <is>
          <t>ЗАО Новая Альтернатива</t>
        </is>
      </c>
      <c r="C102" s="13" t="n">
        <v>3808109251</v>
      </c>
      <c r="D102" s="13" t="inlineStr">
        <is>
          <t>3808109251</t>
        </is>
      </c>
      <c r="E102" s="13" t="inlineStr">
        <is>
          <t>ЮЛ РФ</t>
        </is>
      </c>
      <c r="F102" s="13" t="n"/>
      <c r="G102" s="52" t="n">
        <v>7</v>
      </c>
      <c r="H102" s="52" t="n">
        <v>2025</v>
      </c>
      <c r="I102" s="14" t="n"/>
      <c r="J102" s="14" t="n"/>
      <c r="K102" s="53" t="inlineStr">
        <is>
          <t>Нет</t>
        </is>
      </c>
      <c r="L102" s="53" t="inlineStr">
        <is>
          <t>Не определено</t>
        </is>
      </c>
      <c r="M102" s="53" t="inlineStr">
        <is>
          <t>До 10</t>
        </is>
      </c>
      <c r="N102" s="54" t="n">
        <v>3360</v>
      </c>
      <c r="O102" s="55" t="inlineStr">
        <is>
          <t>1–15</t>
        </is>
      </c>
      <c r="P102" s="16" t="inlineStr">
        <is>
          <t>ССЧР обогащена; ОКВЭД не найден/не загружен</t>
        </is>
      </c>
      <c r="Q102" s="16" t="inlineStr">
        <is>
          <t>ФНС открытые данные ССЧР (ДатаСост 31.12.2025; набор 7707329152-sshr2019)</t>
        </is>
      </c>
      <c r="R102" s="16">
        <f>HYPERLINK("https://checko.ru/search?query=3801001629","Чекко: проверить")</f>
        <v/>
      </c>
      <c r="S102" t="n">
        <v>1</v>
      </c>
      <c r="T102" s="35" t="inlineStr">
        <is>
          <t>4 — Не обогащён</t>
        </is>
      </c>
      <c r="U102" s="35" t="inlineStr">
        <is>
          <t>Нет ОКВЭД/ССЧР</t>
        </is>
      </c>
      <c r="V102" s="35" t="inlineStr">
        <is>
          <t>Не определено</t>
        </is>
      </c>
      <c r="W102" s="35" t="inlineStr">
        <is>
          <t>Нет</t>
        </is>
      </c>
      <c r="X102" s="35" t="inlineStr"/>
    </row>
    <row r="103" ht="15" customHeight="1" s="24">
      <c r="A103" s="13" t="n">
        <v>802450650</v>
      </c>
      <c r="B103" s="13" t="inlineStr">
        <is>
          <t>ООО "Сибирская Легкая Авиация"</t>
        </is>
      </c>
      <c r="C103" s="13" t="n">
        <v>3808133543</v>
      </c>
      <c r="D103" s="13" t="inlineStr">
        <is>
          <t>3808133543</t>
        </is>
      </c>
      <c r="E103" s="13" t="inlineStr">
        <is>
          <t>ЮЛ РФ</t>
        </is>
      </c>
      <c r="F103" s="13" t="n"/>
      <c r="G103" s="52" t="n">
        <v>107</v>
      </c>
      <c r="H103" s="52" t="n">
        <v>2025</v>
      </c>
      <c r="I103" s="52" t="inlineStr">
        <is>
          <t>51.10.1</t>
        </is>
      </c>
      <c r="J103" s="52" t="inlineStr">
        <is>
          <t>51.10.1; 46.71.2; 02.40.1; 47.78.3; 49.32; 50.30; 50.40; 51.10; 51.21; 51.21.1; 52.23.1; 52.23.19; 52.24; 52.29; 53.20.3; 71.12.5; 71.12.6; 77.11</t>
        </is>
      </c>
      <c r="K103" s="53" t="inlineStr">
        <is>
          <t>Да</t>
        </is>
      </c>
      <c r="L103" s="53" t="inlineStr">
        <is>
          <t>Да</t>
        </is>
      </c>
      <c r="M103" s="53" t="inlineStr">
        <is>
          <t>До 200</t>
        </is>
      </c>
      <c r="N103" s="54" t="n">
        <v>62400</v>
      </c>
      <c r="O103" s="55" t="inlineStr">
        <is>
          <t>101–200</t>
        </is>
      </c>
      <c r="P103" s="16" t="inlineStr">
        <is>
          <t>ССЧР + ОКВЭД обогащены</t>
        </is>
      </c>
      <c r="Q103" s="16" t="inlineStr">
        <is>
          <t>ФНС открытые данные ССЧР (ДатаСост 31.12.2025; набор 7707329152-sshr2019)</t>
        </is>
      </c>
      <c r="R103" s="16" t="inlineStr">
        <is>
          <t>ЕГРЮЛ / egrul.nalog.ru (выписка)</t>
        </is>
      </c>
      <c r="S103" t="n">
        <v>1</v>
      </c>
      <c r="T103" s="35" t="inlineStr">
        <is>
          <t>1 — Горячий</t>
        </is>
      </c>
      <c r="U103" s="35" t="inlineStr">
        <is>
          <t>ОКВЭД + 22+</t>
        </is>
      </c>
      <c r="V103" s="35" t="inlineStr">
        <is>
          <t>Да</t>
        </is>
      </c>
      <c r="W103" s="35" t="inlineStr">
        <is>
          <t>Да</t>
        </is>
      </c>
      <c r="X103" s="35" t="inlineStr">
        <is>
          <t>Да</t>
        </is>
      </c>
    </row>
    <row r="104" ht="15" customHeight="1" s="24">
      <c r="A104" s="13" t="n">
        <v>9846585</v>
      </c>
      <c r="B104" s="13" t="inlineStr">
        <is>
          <t>УК ОСЕТРОВО ООО</t>
        </is>
      </c>
      <c r="C104" s="13" t="n">
        <v>3818049227</v>
      </c>
      <c r="D104" s="13" t="inlineStr">
        <is>
          <t>3818049227</t>
        </is>
      </c>
      <c r="E104" s="13" t="inlineStr">
        <is>
          <t>ЮЛ РФ</t>
        </is>
      </c>
      <c r="F104" s="13" t="n"/>
      <c r="G104" s="52" t="n">
        <v>28</v>
      </c>
      <c r="H104" s="52" t="n">
        <v>2025</v>
      </c>
      <c r="I104" s="52" t="inlineStr">
        <is>
          <t>68.32</t>
        </is>
      </c>
      <c r="J104" s="52" t="inlineStr">
        <is>
          <t>68.32; 35.30; 43.21; 43.22; 43.29; 43.31; 43.32; 43.33; 43.34; 43.39; 43.91; 43.99; 81.10; 81.21; 81.22; 81.29; 81.30</t>
        </is>
      </c>
      <c r="K104" s="53" t="inlineStr">
        <is>
          <t>Да</t>
        </is>
      </c>
      <c r="L104" s="53" t="inlineStr">
        <is>
          <t>Да</t>
        </is>
      </c>
      <c r="M104" s="53" t="inlineStr">
        <is>
          <t>До 50</t>
        </is>
      </c>
      <c r="N104" s="54" t="n">
        <v>16800</v>
      </c>
      <c r="O104" s="55" t="inlineStr">
        <is>
          <t>16–30</t>
        </is>
      </c>
      <c r="P104" s="16" t="inlineStr">
        <is>
          <t>ССЧР + ОКВЭД обогащены</t>
        </is>
      </c>
      <c r="Q104" s="16" t="inlineStr">
        <is>
          <t>ФНС открытые данные ССЧР (ДатаСост 31.12.2025; набор 7707329152-sshr2019)</t>
        </is>
      </c>
      <c r="R104" s="16" t="inlineStr">
        <is>
          <t>ЕГРЮЛ / egrul.nalog.ru (выписка)</t>
        </is>
      </c>
      <c r="S104" t="n">
        <v>1</v>
      </c>
      <c r="T104" s="35" t="inlineStr">
        <is>
          <t>1 — Горячий</t>
        </is>
      </c>
      <c r="U104" s="35" t="inlineStr">
        <is>
          <t>ОКВЭД + 22+</t>
        </is>
      </c>
      <c r="V104" s="35" t="inlineStr">
        <is>
          <t>Да</t>
        </is>
      </c>
      <c r="W104" s="35" t="inlineStr">
        <is>
          <t>Да</t>
        </is>
      </c>
      <c r="X104" s="35" t="inlineStr">
        <is>
          <t>Да</t>
        </is>
      </c>
    </row>
    <row r="105" ht="15" customHeight="1" s="24">
      <c r="A105" s="13" t="n">
        <v>9802382</v>
      </c>
      <c r="B105" s="13" t="inlineStr">
        <is>
          <t>ООО "Максстрой"</t>
        </is>
      </c>
      <c r="C105" s="13" t="n">
        <v>3812068329</v>
      </c>
      <c r="D105" s="13" t="inlineStr">
        <is>
          <t>3812068329</t>
        </is>
      </c>
      <c r="E105" s="13" t="inlineStr">
        <is>
          <t>ЮЛ РФ</t>
        </is>
      </c>
      <c r="F105" s="13" t="n"/>
      <c r="G105" s="52" t="n">
        <v>5</v>
      </c>
      <c r="H105" s="52" t="n">
        <v>2025</v>
      </c>
      <c r="I105" s="14" t="n"/>
      <c r="J105" s="14" t="n"/>
      <c r="K105" s="53" t="inlineStr">
        <is>
          <t>Нет</t>
        </is>
      </c>
      <c r="L105" s="53" t="inlineStr">
        <is>
          <t>Не определено</t>
        </is>
      </c>
      <c r="M105" s="53" t="inlineStr">
        <is>
          <t>До 10</t>
        </is>
      </c>
      <c r="N105" s="54" t="n">
        <v>3360</v>
      </c>
      <c r="O105" s="55" t="inlineStr">
        <is>
          <t>1–15</t>
        </is>
      </c>
      <c r="P105" s="16" t="inlineStr">
        <is>
          <t>ССЧР обогащена; ОКВЭД не найден/не загружен</t>
        </is>
      </c>
      <c r="Q105" s="16" t="inlineStr">
        <is>
          <t>ФНС открытые данные ССЧР (ДатаСост 31.12.2025; набор 7707329152-sshr2019)</t>
        </is>
      </c>
      <c r="R105" s="16">
        <f>HYPERLINK("https://checko.ru/search?query=3801001629","Чекко: проверить")</f>
        <v/>
      </c>
      <c r="S105" t="n">
        <v>1</v>
      </c>
      <c r="T105" s="35" t="inlineStr">
        <is>
          <t>4 — Не обогащён</t>
        </is>
      </c>
      <c r="U105" s="35" t="inlineStr">
        <is>
          <t>Нет ОКВЭД/ССЧР</t>
        </is>
      </c>
      <c r="V105" s="35" t="inlineStr">
        <is>
          <t>Не определено</t>
        </is>
      </c>
      <c r="W105" s="35" t="inlineStr">
        <is>
          <t>Нет</t>
        </is>
      </c>
      <c r="X105" s="35" t="inlineStr"/>
    </row>
    <row r="106" ht="15" customHeight="1" s="24">
      <c r="A106" s="13" t="n">
        <v>800520230</v>
      </c>
      <c r="B106" s="13" t="inlineStr">
        <is>
          <t>ООО "ЛАЙМ"</t>
        </is>
      </c>
      <c r="C106" s="13" t="n">
        <v>3811185069</v>
      </c>
      <c r="D106" s="13" t="inlineStr">
        <is>
          <t>3811185069</t>
        </is>
      </c>
      <c r="E106" s="13" t="inlineStr">
        <is>
          <t>ЮЛ РФ</t>
        </is>
      </c>
      <c r="F106" s="13" t="n"/>
      <c r="G106" s="52" t="n">
        <v>35</v>
      </c>
      <c r="H106" s="52" t="n">
        <v>2025</v>
      </c>
      <c r="I106" s="52" t="inlineStr">
        <is>
          <t>56.29.2</t>
        </is>
      </c>
      <c r="J106" s="52" t="inlineStr">
        <is>
          <t>56.29.2; 55.10; 56.10; 56.29; 56.30; 81.21; 81.22</t>
        </is>
      </c>
      <c r="K106" s="53" t="inlineStr">
        <is>
          <t>Да</t>
        </is>
      </c>
      <c r="L106" s="53" t="inlineStr">
        <is>
          <t>Да</t>
        </is>
      </c>
      <c r="M106" s="53" t="inlineStr">
        <is>
          <t>До 50</t>
        </is>
      </c>
      <c r="N106" s="54" t="n">
        <v>16800</v>
      </c>
      <c r="O106" s="55" t="inlineStr">
        <is>
          <t>31–50</t>
        </is>
      </c>
      <c r="P106" s="16" t="inlineStr">
        <is>
          <t>ССЧР + ОКВЭД обогащены</t>
        </is>
      </c>
      <c r="Q106" s="16" t="inlineStr">
        <is>
          <t>ФНС открытые данные ССЧР (ДатаСост 31.12.2025; набор 7707329152-sshr2019)</t>
        </is>
      </c>
      <c r="R106" s="16" t="inlineStr">
        <is>
          <t>ЕГРЮЛ / egrul.nalog.ru (выписка)</t>
        </is>
      </c>
      <c r="S106" t="n">
        <v>1</v>
      </c>
      <c r="T106" s="35" t="inlineStr">
        <is>
          <t>1 — Горячий</t>
        </is>
      </c>
      <c r="U106" s="35" t="inlineStr">
        <is>
          <t>ОКВЭД + 22+</t>
        </is>
      </c>
      <c r="V106" s="35" t="inlineStr">
        <is>
          <t>Да</t>
        </is>
      </c>
      <c r="W106" s="35" t="inlineStr">
        <is>
          <t>Да</t>
        </is>
      </c>
      <c r="X106" s="35" t="inlineStr">
        <is>
          <t>Да</t>
        </is>
      </c>
    </row>
    <row r="107" ht="15" customHeight="1" s="24">
      <c r="A107" s="13" t="n">
        <v>9124591</v>
      </c>
      <c r="B107" s="13" t="inlineStr">
        <is>
          <t>ООО "Сибоборудование</t>
        </is>
      </c>
      <c r="C107" s="13" t="n">
        <v>3849051410</v>
      </c>
      <c r="D107" s="13" t="inlineStr">
        <is>
          <t>3849051410</t>
        </is>
      </c>
      <c r="E107" s="13" t="inlineStr">
        <is>
          <t>ЮЛ РФ</t>
        </is>
      </c>
      <c r="F107" s="13" t="n"/>
      <c r="G107" s="52" t="n">
        <v>3</v>
      </c>
      <c r="H107" s="52" t="n">
        <v>2025</v>
      </c>
      <c r="I107" s="14" t="n"/>
      <c r="J107" s="14" t="n"/>
      <c r="K107" s="53" t="inlineStr">
        <is>
          <t>Нет</t>
        </is>
      </c>
      <c r="L107" s="53" t="inlineStr">
        <is>
          <t>Не определено</t>
        </is>
      </c>
      <c r="M107" s="53" t="inlineStr">
        <is>
          <t>До 10</t>
        </is>
      </c>
      <c r="N107" s="54" t="n">
        <v>3360</v>
      </c>
      <c r="O107" s="55" t="inlineStr">
        <is>
          <t>1–15</t>
        </is>
      </c>
      <c r="P107" s="16" t="inlineStr">
        <is>
          <t>ССЧР обогащена; ОКВЭД не найден/не загружен</t>
        </is>
      </c>
      <c r="Q107" s="16" t="inlineStr">
        <is>
          <t>ФНС открытые данные ССЧР (ДатаСост 31.12.2025; набор 7707329152-sshr2019)</t>
        </is>
      </c>
      <c r="R107" s="16">
        <f>HYPERLINK("https://checko.ru/search?query=3801001629","Чекко: проверить")</f>
        <v/>
      </c>
      <c r="S107" t="n">
        <v>1</v>
      </c>
      <c r="T107" s="35" t="inlineStr">
        <is>
          <t>4 — Не обогащён</t>
        </is>
      </c>
      <c r="U107" s="35" t="inlineStr">
        <is>
          <t>Нет ОКВЭД/ССЧР</t>
        </is>
      </c>
      <c r="V107" s="35" t="inlineStr">
        <is>
          <t>Не определено</t>
        </is>
      </c>
      <c r="W107" s="35" t="inlineStr">
        <is>
          <t>Нет</t>
        </is>
      </c>
      <c r="X107" s="35" t="inlineStr"/>
    </row>
    <row r="108" ht="15" customHeight="1" s="24">
      <c r="A108" s="13" t="n">
        <v>9162268</v>
      </c>
      <c r="B108" s="13" t="inlineStr">
        <is>
          <t>ООО "Жилсервис"</t>
        </is>
      </c>
      <c r="C108" s="13" t="n">
        <v>1434024503</v>
      </c>
      <c r="D108" s="13" t="inlineStr">
        <is>
          <t>1434024503</t>
        </is>
      </c>
      <c r="E108" s="13" t="inlineStr">
        <is>
          <t>ЮЛ РФ</t>
        </is>
      </c>
      <c r="F108" s="13" t="n"/>
      <c r="G108" s="52" t="n">
        <v>37</v>
      </c>
      <c r="H108" s="52" t="n">
        <v>2025</v>
      </c>
      <c r="I108" s="52" t="inlineStr">
        <is>
          <t>68.32.1</t>
        </is>
      </c>
      <c r="J108" s="52" t="inlineStr">
        <is>
          <t>68.32.1; 38.11; 38.12; 38.21; 38.22; 43.22; 43.32; 43.33; 43.34; 43.91; 43.99; 46.19; 49.41; 68.31; 68.32; 68.32.2</t>
        </is>
      </c>
      <c r="K108" s="53" t="inlineStr">
        <is>
          <t>Да</t>
        </is>
      </c>
      <c r="L108" s="53" t="inlineStr">
        <is>
          <t>Да</t>
        </is>
      </c>
      <c r="M108" s="53" t="inlineStr">
        <is>
          <t>До 50</t>
        </is>
      </c>
      <c r="N108" s="54" t="n">
        <v>16800</v>
      </c>
      <c r="O108" s="55" t="inlineStr">
        <is>
          <t>31–50</t>
        </is>
      </c>
      <c r="P108" s="16" t="inlineStr">
        <is>
          <t>ССЧР + ОКВЭД обогащены</t>
        </is>
      </c>
      <c r="Q108" s="16" t="inlineStr">
        <is>
          <t>ФНС открытые данные ССЧР (ДатаСост 31.12.2025; набор 7707329152-sshr2019)</t>
        </is>
      </c>
      <c r="R108" s="16" t="inlineStr">
        <is>
          <t>ЕГРЮЛ / egrul.nalog.ru (выписка)</t>
        </is>
      </c>
      <c r="S108" t="n">
        <v>1</v>
      </c>
      <c r="T108" s="35" t="inlineStr">
        <is>
          <t>1 — Горячий</t>
        </is>
      </c>
      <c r="U108" s="35" t="inlineStr">
        <is>
          <t>ОКВЭД + 22+</t>
        </is>
      </c>
      <c r="V108" s="35" t="inlineStr">
        <is>
          <t>Да</t>
        </is>
      </c>
      <c r="W108" s="35" t="inlineStr">
        <is>
          <t>Да</t>
        </is>
      </c>
      <c r="X108" s="35" t="inlineStr">
        <is>
          <t>Да</t>
        </is>
      </c>
    </row>
    <row r="109" ht="15" customHeight="1" s="24">
      <c r="A109" s="13" t="n">
        <v>9248367</v>
      </c>
      <c r="B109" s="13" t="inlineStr">
        <is>
          <t>ООО «Частное охранное предприятие «БрАЗ»</t>
        </is>
      </c>
      <c r="C109" s="13" t="n">
        <v>3804029823</v>
      </c>
      <c r="D109" s="13" t="inlineStr">
        <is>
          <t>3804029823</t>
        </is>
      </c>
      <c r="E109" s="13" t="inlineStr">
        <is>
          <t>ЮЛ РФ</t>
        </is>
      </c>
      <c r="F109" s="13" t="n"/>
      <c r="G109" s="52" t="n">
        <v>142</v>
      </c>
      <c r="H109" s="52" t="n">
        <v>2025</v>
      </c>
      <c r="I109" s="52" t="inlineStr">
        <is>
          <t>80.10.2</t>
        </is>
      </c>
      <c r="J109" s="52" t="inlineStr">
        <is>
          <t>80.10.2; 80.10</t>
        </is>
      </c>
      <c r="K109" s="53" t="inlineStr">
        <is>
          <t>Да</t>
        </is>
      </c>
      <c r="L109" s="53" t="inlineStr">
        <is>
          <t>Да</t>
        </is>
      </c>
      <c r="M109" s="53" t="inlineStr">
        <is>
          <t>До 200</t>
        </is>
      </c>
      <c r="N109" s="54" t="n">
        <v>62400</v>
      </c>
      <c r="O109" s="55" t="inlineStr">
        <is>
          <t>101–200</t>
        </is>
      </c>
      <c r="P109" s="16" t="inlineStr">
        <is>
          <t>ССЧР + ОКВЭД обогащены</t>
        </is>
      </c>
      <c r="Q109" s="16" t="inlineStr">
        <is>
          <t>ФНС открытые данные ССЧР (ДатаСост 31.12.2025; набор 7707329152-sshr2019)</t>
        </is>
      </c>
      <c r="R109" s="16" t="inlineStr">
        <is>
          <t>ЕГРЮЛ / egrul.nalog.ru (выписка)</t>
        </is>
      </c>
      <c r="S109" t="n">
        <v>1</v>
      </c>
      <c r="T109" s="35" t="inlineStr">
        <is>
          <t>1 — Горячий</t>
        </is>
      </c>
      <c r="U109" s="35" t="inlineStr">
        <is>
          <t>ОКВЭД + 22+</t>
        </is>
      </c>
      <c r="V109" s="35" t="inlineStr">
        <is>
          <t>Да</t>
        </is>
      </c>
      <c r="W109" s="35" t="inlineStr">
        <is>
          <t>Да</t>
        </is>
      </c>
      <c r="X109" s="35" t="inlineStr">
        <is>
          <t>Да</t>
        </is>
      </c>
    </row>
    <row r="110" ht="15" customHeight="1" s="24">
      <c r="A110" s="13" t="n">
        <v>802450188</v>
      </c>
      <c r="B110" s="13" t="inlineStr">
        <is>
          <t>ООО "ИркСнабСервис"</t>
        </is>
      </c>
      <c r="C110" s="13" t="n">
        <v>3808228040</v>
      </c>
      <c r="D110" s="13" t="inlineStr">
        <is>
          <t>3808228040</t>
        </is>
      </c>
      <c r="E110" s="13" t="inlineStr">
        <is>
          <t>ЮЛ РФ</t>
        </is>
      </c>
      <c r="F110" s="13" t="n"/>
      <c r="G110" s="52" t="n">
        <v>10</v>
      </c>
      <c r="H110" s="52" t="n">
        <v>2025</v>
      </c>
      <c r="I110" s="14" t="n"/>
      <c r="J110" s="14" t="n"/>
      <c r="K110" s="53" t="inlineStr">
        <is>
          <t>Нет</t>
        </is>
      </c>
      <c r="L110" s="53" t="inlineStr">
        <is>
          <t>Не определено</t>
        </is>
      </c>
      <c r="M110" s="53" t="inlineStr">
        <is>
          <t>До 10</t>
        </is>
      </c>
      <c r="N110" s="54" t="n">
        <v>3360</v>
      </c>
      <c r="O110" s="55" t="inlineStr">
        <is>
          <t>1–15</t>
        </is>
      </c>
      <c r="P110" s="16" t="inlineStr">
        <is>
          <t>ССЧР обогащена; ОКВЭД не найден/не загружен</t>
        </is>
      </c>
      <c r="Q110" s="16" t="inlineStr">
        <is>
          <t>ФНС открытые данные ССЧР (ДатаСост 31.12.2025; набор 7707329152-sshr2019)</t>
        </is>
      </c>
      <c r="R110" s="16">
        <f>HYPERLINK("https://checko.ru/search?query=3801001629","Чекко: проверить")</f>
        <v/>
      </c>
      <c r="S110" t="n">
        <v>1</v>
      </c>
      <c r="T110" s="35" t="inlineStr">
        <is>
          <t>4 — Не обогащён</t>
        </is>
      </c>
      <c r="U110" s="35" t="inlineStr">
        <is>
          <t>Нет ОКВЭД/ССЧР</t>
        </is>
      </c>
      <c r="V110" s="35" t="inlineStr">
        <is>
          <t>Не определено</t>
        </is>
      </c>
      <c r="W110" s="35" t="inlineStr">
        <is>
          <t>Нет</t>
        </is>
      </c>
      <c r="X110" s="35" t="inlineStr"/>
    </row>
    <row r="111" ht="15" customHeight="1" s="24">
      <c r="A111" s="13" t="n">
        <v>10563124</v>
      </c>
      <c r="B111" s="13" t="inlineStr">
        <is>
          <t>ООО Управляющая компания "Высота"</t>
        </is>
      </c>
      <c r="C111" s="13" t="n">
        <v>3811131909</v>
      </c>
      <c r="D111" s="13" t="inlineStr">
        <is>
          <t>3811131909</t>
        </is>
      </c>
      <c r="E111" s="13" t="inlineStr">
        <is>
          <t>ЮЛ РФ</t>
        </is>
      </c>
      <c r="F111" s="13" t="n"/>
      <c r="G111" s="52" t="n">
        <v>23</v>
      </c>
      <c r="H111" s="52" t="n">
        <v>2025</v>
      </c>
      <c r="I111" s="52" t="inlineStr">
        <is>
          <t>68.32</t>
        </is>
      </c>
      <c r="J111" s="52" t="inlineStr">
        <is>
          <t>68.32; 68.32.1; 68.32.2; 71.12.5; 71.12.6</t>
        </is>
      </c>
      <c r="K111" s="53" t="inlineStr">
        <is>
          <t>Да</t>
        </is>
      </c>
      <c r="L111" s="53" t="inlineStr">
        <is>
          <t>Да</t>
        </is>
      </c>
      <c r="M111" s="53" t="inlineStr">
        <is>
          <t>До 25</t>
        </is>
      </c>
      <c r="N111" s="54" t="n">
        <v>8400</v>
      </c>
      <c r="O111" s="55" t="inlineStr">
        <is>
          <t>16–30</t>
        </is>
      </c>
      <c r="P111" s="16" t="inlineStr">
        <is>
          <t>ССЧР + ОКВЭД обогащены</t>
        </is>
      </c>
      <c r="Q111" s="16" t="inlineStr">
        <is>
          <t>ФНС открытые данные ССЧР (ДатаСост 31.12.2025; набор 7707329152-sshr2019)</t>
        </is>
      </c>
      <c r="R111" s="16" t="inlineStr">
        <is>
          <t>ЕГРЮЛ / egrul.nalog.ru (выписка)</t>
        </is>
      </c>
      <c r="S111" t="n">
        <v>1</v>
      </c>
      <c r="T111" s="35" t="inlineStr">
        <is>
          <t>1 — Горячий</t>
        </is>
      </c>
      <c r="U111" s="35" t="inlineStr">
        <is>
          <t>ОКВЭД + 22+</t>
        </is>
      </c>
      <c r="V111" s="35" t="inlineStr">
        <is>
          <t>Да</t>
        </is>
      </c>
      <c r="W111" s="35" t="inlineStr">
        <is>
          <t>Да</t>
        </is>
      </c>
      <c r="X111" s="35" t="inlineStr">
        <is>
          <t>Да</t>
        </is>
      </c>
    </row>
    <row r="112" ht="15" customHeight="1" s="24">
      <c r="A112" s="13" t="n">
        <v>801348168</v>
      </c>
      <c r="B112" s="13" t="inlineStr">
        <is>
          <t>АО "БИЗНЕС-ПИК"</t>
        </is>
      </c>
      <c r="C112" s="13" t="n">
        <v>3818013171</v>
      </c>
      <c r="D112" s="13" t="inlineStr">
        <is>
          <t>3818013171</t>
        </is>
      </c>
      <c r="E112" s="13" t="inlineStr">
        <is>
          <t>ЮЛ РФ</t>
        </is>
      </c>
      <c r="F112" s="13" t="n"/>
      <c r="G112" s="52" t="n">
        <v>11</v>
      </c>
      <c r="H112" s="52" t="n">
        <v>2025</v>
      </c>
      <c r="I112" s="14" t="n"/>
      <c r="J112" s="14" t="n"/>
      <c r="K112" s="53" t="inlineStr">
        <is>
          <t>Нет</t>
        </is>
      </c>
      <c r="L112" s="53" t="inlineStr">
        <is>
          <t>Не определено</t>
        </is>
      </c>
      <c r="M112" s="53" t="inlineStr">
        <is>
          <t>До 25</t>
        </is>
      </c>
      <c r="N112" s="54" t="n">
        <v>8400</v>
      </c>
      <c r="O112" s="55" t="inlineStr">
        <is>
          <t>1–15</t>
        </is>
      </c>
      <c r="P112" s="16" t="inlineStr">
        <is>
          <t>ССЧР обогащена; ОКВЭД не найден/не загружен</t>
        </is>
      </c>
      <c r="Q112" s="16" t="inlineStr">
        <is>
          <t>ФНС открытые данные ССЧР (ДатаСост 31.12.2025; набор 7707329152-sshr2019)</t>
        </is>
      </c>
      <c r="R112" s="16">
        <f>HYPERLINK("https://checko.ru/search?query=3801001629","Чекко: проверить")</f>
        <v/>
      </c>
      <c r="S112" t="n">
        <v>1</v>
      </c>
      <c r="T112" s="35" t="inlineStr">
        <is>
          <t>4 — Не обогащён</t>
        </is>
      </c>
      <c r="U112" s="35" t="inlineStr">
        <is>
          <t>Нет ОКВЭД/ССЧР</t>
        </is>
      </c>
      <c r="V112" s="35" t="inlineStr">
        <is>
          <t>Не определено</t>
        </is>
      </c>
      <c r="W112" s="35" t="inlineStr">
        <is>
          <t>Нет</t>
        </is>
      </c>
      <c r="X112" s="35" t="inlineStr"/>
    </row>
    <row r="113" ht="15" customHeight="1" s="24">
      <c r="A113" s="13" t="n">
        <v>800405509</v>
      </c>
      <c r="B113" s="13" t="inlineStr">
        <is>
          <t>ООО "Северные окна"</t>
        </is>
      </c>
      <c r="C113" s="13" t="n">
        <v>3808066752</v>
      </c>
      <c r="D113" s="13" t="inlineStr">
        <is>
          <t>3808066752</t>
        </is>
      </c>
      <c r="E113" s="13" t="inlineStr">
        <is>
          <t>ЮЛ РФ</t>
        </is>
      </c>
      <c r="F113" s="13" t="n"/>
      <c r="G113" s="52" t="n">
        <v>3</v>
      </c>
      <c r="H113" s="52" t="n">
        <v>2025</v>
      </c>
      <c r="I113" s="14" t="n"/>
      <c r="J113" s="14" t="n"/>
      <c r="K113" s="53" t="inlineStr">
        <is>
          <t>Нет</t>
        </is>
      </c>
      <c r="L113" s="53" t="inlineStr">
        <is>
          <t>Не определено</t>
        </is>
      </c>
      <c r="M113" s="53" t="inlineStr">
        <is>
          <t>До 10</t>
        </is>
      </c>
      <c r="N113" s="54" t="n">
        <v>3360</v>
      </c>
      <c r="O113" s="55" t="inlineStr">
        <is>
          <t>1–15</t>
        </is>
      </c>
      <c r="P113" s="16" t="inlineStr">
        <is>
          <t>ССЧР обогащена; ОКВЭД не найден/не загружен</t>
        </is>
      </c>
      <c r="Q113" s="16" t="inlineStr">
        <is>
          <t>ФНС открытые данные ССЧР (ДатаСост 31.12.2025; набор 7707329152-sshr2019)</t>
        </is>
      </c>
      <c r="R113" s="16">
        <f>HYPERLINK("https://checko.ru/search?query=3801001629","Чекко: проверить")</f>
        <v/>
      </c>
      <c r="S113" t="n">
        <v>1</v>
      </c>
      <c r="T113" s="35" t="inlineStr">
        <is>
          <t>4 — Не обогащён</t>
        </is>
      </c>
      <c r="U113" s="35" t="inlineStr">
        <is>
          <t>Нет ОКВЭД/ССЧР</t>
        </is>
      </c>
      <c r="V113" s="35" t="inlineStr">
        <is>
          <t>Не определено</t>
        </is>
      </c>
      <c r="W113" s="35" t="inlineStr">
        <is>
          <t>Нет</t>
        </is>
      </c>
      <c r="X113" s="35" t="inlineStr"/>
    </row>
    <row r="114" ht="15" customHeight="1" s="24">
      <c r="A114" s="13" t="n">
        <v>800882068</v>
      </c>
      <c r="B114" s="13" t="inlineStr">
        <is>
          <t>ООО УПРАВЛЯЮЩАЯ КОМПАНИЯ "ВОДОКАНАЛ"</t>
        </is>
      </c>
      <c r="C114" s="13" t="n">
        <v>3851997853</v>
      </c>
      <c r="D114" s="13" t="inlineStr">
        <is>
          <t>3851997853</t>
        </is>
      </c>
      <c r="E114" s="13" t="inlineStr">
        <is>
          <t>ЮЛ РФ</t>
        </is>
      </c>
      <c r="F114" s="13" t="n"/>
      <c r="G114" s="52" t="n">
        <v>53</v>
      </c>
      <c r="H114" s="52" t="n">
        <v>2025</v>
      </c>
      <c r="I114" s="52" t="inlineStr">
        <is>
          <t>36.00</t>
        </is>
      </c>
      <c r="J114" s="52" t="inlineStr">
        <is>
          <t>36.00; 37.00</t>
        </is>
      </c>
      <c r="K114" s="53" t="inlineStr">
        <is>
          <t>Да</t>
        </is>
      </c>
      <c r="L114" s="53" t="inlineStr">
        <is>
          <t>Нет</t>
        </is>
      </c>
      <c r="M114" s="53" t="inlineStr">
        <is>
          <t>До 100</t>
        </is>
      </c>
      <c r="N114" s="54" t="n">
        <v>33600</v>
      </c>
      <c r="O114" s="55" t="inlineStr">
        <is>
          <t>51–100</t>
        </is>
      </c>
      <c r="P114" s="16" t="inlineStr">
        <is>
          <t>ССЧР + ОКВЭД обогащены</t>
        </is>
      </c>
      <c r="Q114" s="16" t="inlineStr">
        <is>
          <t>ФНС открытые данные ССЧР (ДатаСост 31.12.2025; набор 7707329152-sshr2019)</t>
        </is>
      </c>
      <c r="R114" s="16" t="inlineStr">
        <is>
          <t>ЕГРЮЛ / egrul.nalog.ru (выписка)</t>
        </is>
      </c>
      <c r="S114" t="n">
        <v>1</v>
      </c>
      <c r="T114" s="35" t="inlineStr">
        <is>
          <t>1 — Горячий</t>
        </is>
      </c>
      <c r="U114" s="35" t="inlineStr">
        <is>
          <t>50+ стратегический</t>
        </is>
      </c>
      <c r="V114" s="35" t="inlineStr">
        <is>
          <t>Нет</t>
        </is>
      </c>
      <c r="W114" s="35" t="inlineStr">
        <is>
          <t>Да</t>
        </is>
      </c>
      <c r="X114" s="35" t="inlineStr">
        <is>
          <t>Нет</t>
        </is>
      </c>
    </row>
    <row r="115" ht="27.75" customHeight="1" s="24">
      <c r="A115" s="13" t="n">
        <v>9190924</v>
      </c>
      <c r="B115" s="13" t="inlineStr">
        <is>
          <t>ООО Иркутское Упаковочное Производственное Предприятие</t>
        </is>
      </c>
      <c r="C115" s="13" t="n">
        <v>3808052020</v>
      </c>
      <c r="D115" s="13" t="inlineStr">
        <is>
          <t>3808052020</t>
        </is>
      </c>
      <c r="E115" s="13" t="inlineStr">
        <is>
          <t>ЮЛ РФ</t>
        </is>
      </c>
      <c r="F115" s="13" t="n"/>
      <c r="G115" s="52" t="n">
        <v>88</v>
      </c>
      <c r="H115" s="52" t="n">
        <v>2025</v>
      </c>
      <c r="I115" s="52" t="inlineStr">
        <is>
          <t>17.21</t>
        </is>
      </c>
      <c r="J115" s="52" t="inlineStr">
        <is>
          <t>17.21</t>
        </is>
      </c>
      <c r="K115" s="53" t="inlineStr">
        <is>
          <t>Да</t>
        </is>
      </c>
      <c r="L115" s="53" t="inlineStr">
        <is>
          <t>Да</t>
        </is>
      </c>
      <c r="M115" s="53" t="inlineStr">
        <is>
          <t>До 100</t>
        </is>
      </c>
      <c r="N115" s="54" t="n">
        <v>33600</v>
      </c>
      <c r="O115" s="55" t="inlineStr">
        <is>
          <t>51–100</t>
        </is>
      </c>
      <c r="P115" s="16" t="inlineStr">
        <is>
          <t>ССЧР + ОКВЭД обогащены</t>
        </is>
      </c>
      <c r="Q115" s="16" t="inlineStr">
        <is>
          <t>ФНС открытые данные ССЧР (ДатаСост 31.12.2025; набор 7707329152-sshr2019)</t>
        </is>
      </c>
      <c r="R115" s="16" t="inlineStr">
        <is>
          <t>ЕГРЮЛ / egrul.nalog.ru (выписка)</t>
        </is>
      </c>
      <c r="S115" t="n">
        <v>1</v>
      </c>
      <c r="T115" s="35" t="inlineStr">
        <is>
          <t>1 — Горячий</t>
        </is>
      </c>
      <c r="U115" s="35" t="inlineStr">
        <is>
          <t>ОКВЭД + 22+</t>
        </is>
      </c>
      <c r="V115" s="35" t="inlineStr">
        <is>
          <t>Да</t>
        </is>
      </c>
      <c r="W115" s="35" t="inlineStr">
        <is>
          <t>Да</t>
        </is>
      </c>
      <c r="X115" s="35" t="inlineStr">
        <is>
          <t>Да</t>
        </is>
      </c>
    </row>
    <row r="116" ht="15" customHeight="1" s="24">
      <c r="A116" s="13" t="n">
        <v>9169016</v>
      </c>
      <c r="B116" s="13" t="inlineStr">
        <is>
          <t>ООО "ЭТК КОМПЛЕКТ"</t>
        </is>
      </c>
      <c r="C116" s="13" t="n">
        <v>3811023879</v>
      </c>
      <c r="D116" s="13" t="inlineStr">
        <is>
          <t>3811023879</t>
        </is>
      </c>
      <c r="E116" s="13" t="inlineStr">
        <is>
          <t>ЮЛ РФ</t>
        </is>
      </c>
      <c r="F116" s="13" t="n"/>
      <c r="G116" s="52" t="n">
        <v>0</v>
      </c>
      <c r="H116" s="52" t="n">
        <v>2025</v>
      </c>
      <c r="I116" s="14" t="n"/>
      <c r="J116" s="14" t="n"/>
      <c r="K116" s="53" t="inlineStr">
        <is>
          <t>Нет</t>
        </is>
      </c>
      <c r="L116" s="53" t="inlineStr">
        <is>
          <t>Не определено</t>
        </is>
      </c>
      <c r="M116" s="53" t="inlineStr">
        <is>
          <t>До 10</t>
        </is>
      </c>
      <c r="N116" s="54" t="n">
        <v>3360</v>
      </c>
      <c r="O116" s="55" t="inlineStr">
        <is>
          <t>1–15</t>
        </is>
      </c>
      <c r="P116" s="16" t="inlineStr">
        <is>
          <t>ССЧР обогащена; ОКВЭД не найден/не загружен</t>
        </is>
      </c>
      <c r="Q116" s="16" t="inlineStr">
        <is>
          <t>ФНС открытые данные ССЧР (ДатаСост 31.12.2025; набор 7707329152-sshr2019)</t>
        </is>
      </c>
      <c r="R116" s="16">
        <f>HYPERLINK("https://checko.ru/search?query=3801001629","Чекко: проверить")</f>
        <v/>
      </c>
      <c r="S116" t="n">
        <v>1</v>
      </c>
      <c r="T116" s="35" t="inlineStr">
        <is>
          <t>4 — Не обогащён</t>
        </is>
      </c>
      <c r="U116" s="35" t="inlineStr">
        <is>
          <t>Нет ОКВЭД/ССЧР</t>
        </is>
      </c>
      <c r="V116" s="35" t="inlineStr">
        <is>
          <t>Не определено</t>
        </is>
      </c>
      <c r="W116" s="35" t="inlineStr">
        <is>
          <t>Нет</t>
        </is>
      </c>
      <c r="X116" s="35" t="inlineStr"/>
    </row>
    <row r="117" ht="15" customHeight="1" s="24">
      <c r="A117" s="13" t="n">
        <v>800611475</v>
      </c>
      <c r="B117" s="13" t="inlineStr">
        <is>
          <t>ООО Инвертор</t>
        </is>
      </c>
      <c r="C117" s="13" t="n">
        <v>3849011618</v>
      </c>
      <c r="D117" s="13" t="inlineStr">
        <is>
          <t>3849011618</t>
        </is>
      </c>
      <c r="E117" s="13" t="inlineStr">
        <is>
          <t>ЮЛ РФ</t>
        </is>
      </c>
      <c r="F117" s="13" t="n"/>
      <c r="G117" s="52" t="n">
        <v>33</v>
      </c>
      <c r="H117" s="52" t="n">
        <v>2025</v>
      </c>
      <c r="I117" s="52" t="inlineStr">
        <is>
          <t>18.11</t>
        </is>
      </c>
      <c r="J117" s="52" t="inlineStr">
        <is>
          <t>18.11; 18.12; 25.11; 25.12; 33.12; 38.32.2; 38.32.3; 38.32.4; 41.20; 43.12; 43.21; 43.22; 43.39; 43.91; 43.99; 46.19; 46.90; 66.11; 66.11.2; 68.31; 84.24</t>
        </is>
      </c>
      <c r="K117" s="53" t="inlineStr">
        <is>
          <t>Да</t>
        </is>
      </c>
      <c r="L117" s="53" t="inlineStr">
        <is>
          <t>Да</t>
        </is>
      </c>
      <c r="M117" s="53" t="inlineStr">
        <is>
          <t>До 50</t>
        </is>
      </c>
      <c r="N117" s="54" t="n">
        <v>16800</v>
      </c>
      <c r="O117" s="55" t="inlineStr">
        <is>
          <t>31–50</t>
        </is>
      </c>
      <c r="P117" s="16" t="inlineStr">
        <is>
          <t>ССЧР + ОКВЭД обогащены</t>
        </is>
      </c>
      <c r="Q117" s="16" t="inlineStr">
        <is>
          <t>ФНС открытые данные ССЧР (ДатаСост 31.12.2025; набор 7707329152-sshr2019)</t>
        </is>
      </c>
      <c r="R117" s="16" t="inlineStr">
        <is>
          <t>ЕГРЮЛ / egrul.nalog.ru (выписка)</t>
        </is>
      </c>
      <c r="S117" t="n">
        <v>1</v>
      </c>
      <c r="T117" s="35" t="inlineStr">
        <is>
          <t>1 — Горячий</t>
        </is>
      </c>
      <c r="U117" s="35" t="inlineStr">
        <is>
          <t>ОКВЭД + 22+</t>
        </is>
      </c>
      <c r="V117" s="35" t="inlineStr">
        <is>
          <t>Да</t>
        </is>
      </c>
      <c r="W117" s="35" t="inlineStr">
        <is>
          <t>Да</t>
        </is>
      </c>
      <c r="X117" s="35" t="inlineStr">
        <is>
          <t>Да</t>
        </is>
      </c>
    </row>
    <row r="118" ht="15" customHeight="1" s="24">
      <c r="A118" s="13" t="n">
        <v>800496859</v>
      </c>
      <c r="B118" s="13" t="inlineStr">
        <is>
          <t>ООО НИИПИ ТОМС</t>
        </is>
      </c>
      <c r="C118" s="13" t="n">
        <v>3812061267</v>
      </c>
      <c r="D118" s="13" t="inlineStr">
        <is>
          <t>3812061267</t>
        </is>
      </c>
      <c r="E118" s="13" t="inlineStr">
        <is>
          <t>ЮЛ РФ</t>
        </is>
      </c>
      <c r="F118" s="13" t="n"/>
      <c r="G118" s="52" t="n">
        <v>201</v>
      </c>
      <c r="H118" s="52" t="n">
        <v>2025</v>
      </c>
      <c r="I118" s="52" t="inlineStr">
        <is>
          <t>72.19.9</t>
        </is>
      </c>
      <c r="J118" s="52" t="inlineStr">
        <is>
          <t>72.19.9; 71.12.12; 46.49; 46.90; 47.78.9; 64.99; 66.11.2; 71.12.3; 71.12.5; 71.12.6; 72.19</t>
        </is>
      </c>
      <c r="K118" s="53" t="inlineStr">
        <is>
          <t>Да</t>
        </is>
      </c>
      <c r="L118" s="53" t="inlineStr">
        <is>
          <t>Да</t>
        </is>
      </c>
      <c r="M118" s="53" t="inlineStr">
        <is>
          <t>До 500</t>
        </is>
      </c>
      <c r="N118" s="54" t="n">
        <v>144000</v>
      </c>
      <c r="O118" s="55" t="inlineStr">
        <is>
          <t>201–500</t>
        </is>
      </c>
      <c r="P118" s="16" t="inlineStr">
        <is>
          <t>ССЧР + ОКВЭД обогащены</t>
        </is>
      </c>
      <c r="Q118" s="16" t="inlineStr">
        <is>
          <t>ФНС открытые данные ССЧР (ДатаСост 31.12.2025; набор 7707329152-sshr2019)</t>
        </is>
      </c>
      <c r="R118" s="16" t="inlineStr">
        <is>
          <t>ЕГРЮЛ / egrul.nalog.ru (выписка)</t>
        </is>
      </c>
      <c r="S118" t="n">
        <v>1</v>
      </c>
      <c r="T118" s="35" t="inlineStr">
        <is>
          <t>1 — Горячий</t>
        </is>
      </c>
      <c r="U118" s="35" t="inlineStr">
        <is>
          <t>ОКВЭД + 22+</t>
        </is>
      </c>
      <c r="V118" s="35" t="inlineStr">
        <is>
          <t>Да</t>
        </is>
      </c>
      <c r="W118" s="35" t="inlineStr">
        <is>
          <t>Да</t>
        </is>
      </c>
      <c r="X118" s="35" t="inlineStr">
        <is>
          <t>Да</t>
        </is>
      </c>
    </row>
    <row r="119" ht="15" customHeight="1" s="24">
      <c r="A119" s="13" t="n">
        <v>9115247</v>
      </c>
      <c r="B119" s="13" t="inlineStr">
        <is>
          <t>Декор, ООО</t>
        </is>
      </c>
      <c r="C119" s="13" t="n">
        <v>1414000448</v>
      </c>
      <c r="D119" s="13" t="inlineStr">
        <is>
          <t>1414000448</t>
        </is>
      </c>
      <c r="E119" s="13" t="inlineStr">
        <is>
          <t>ЮЛ РФ</t>
        </is>
      </c>
      <c r="F119" s="13" t="n"/>
      <c r="G119" s="52" t="n">
        <v>13</v>
      </c>
      <c r="H119" s="52" t="n">
        <v>2025</v>
      </c>
      <c r="I119" s="14" t="n"/>
      <c r="J119" s="14" t="n"/>
      <c r="K119" s="53" t="inlineStr">
        <is>
          <t>Нет</t>
        </is>
      </c>
      <c r="L119" s="53" t="inlineStr">
        <is>
          <t>Не определено</t>
        </is>
      </c>
      <c r="M119" s="53" t="inlineStr">
        <is>
          <t>До 25</t>
        </is>
      </c>
      <c r="N119" s="54" t="n">
        <v>8400</v>
      </c>
      <c r="O119" s="55" t="inlineStr">
        <is>
          <t>1–15</t>
        </is>
      </c>
      <c r="P119" s="16" t="inlineStr">
        <is>
          <t>ССЧР обогащена; ОКВЭД не найден/не загружен</t>
        </is>
      </c>
      <c r="Q119" s="16" t="inlineStr">
        <is>
          <t>ФНС открытые данные ССЧР (ДатаСост 31.12.2025; набор 7707329152-sshr2019)</t>
        </is>
      </c>
      <c r="R119" s="16">
        <f>HYPERLINK("https://checko.ru/search?query=3801001629","Чекко: проверить")</f>
        <v/>
      </c>
      <c r="S119" t="n">
        <v>1</v>
      </c>
      <c r="T119" s="35" t="inlineStr">
        <is>
          <t>4 — Не обогащён</t>
        </is>
      </c>
      <c r="U119" s="35" t="inlineStr">
        <is>
          <t>Нет ОКВЭД/ССЧР</t>
        </is>
      </c>
      <c r="V119" s="35" t="inlineStr">
        <is>
          <t>Не определено</t>
        </is>
      </c>
      <c r="W119" s="35" t="inlineStr">
        <is>
          <t>Нет</t>
        </is>
      </c>
      <c r="X119" s="35" t="inlineStr"/>
    </row>
    <row r="120" ht="15" customHeight="1" s="24">
      <c r="A120" s="13" t="n">
        <v>802611108</v>
      </c>
      <c r="B120" s="13" t="inlineStr">
        <is>
          <t>ООО МедРесурс-М</t>
        </is>
      </c>
      <c r="C120" s="13" t="n">
        <v>3811110095</v>
      </c>
      <c r="D120" s="13" t="inlineStr">
        <is>
          <t>3811110095</t>
        </is>
      </c>
      <c r="E120" s="13" t="inlineStr">
        <is>
          <t>ЮЛ РФ</t>
        </is>
      </c>
      <c r="F120" s="13" t="n"/>
      <c r="G120" s="52" t="n">
        <v>10</v>
      </c>
      <c r="H120" s="52" t="n">
        <v>2025</v>
      </c>
      <c r="I120" s="14" t="n"/>
      <c r="J120" s="14" t="n"/>
      <c r="K120" s="53" t="inlineStr">
        <is>
          <t>Нет</t>
        </is>
      </c>
      <c r="L120" s="53" t="inlineStr">
        <is>
          <t>Не определено</t>
        </is>
      </c>
      <c r="M120" s="53" t="inlineStr">
        <is>
          <t>До 10</t>
        </is>
      </c>
      <c r="N120" s="54" t="n">
        <v>3360</v>
      </c>
      <c r="O120" s="55" t="inlineStr">
        <is>
          <t>1–15</t>
        </is>
      </c>
      <c r="P120" s="16" t="inlineStr">
        <is>
          <t>ССЧР обогащена; ОКВЭД не найден/не загружен</t>
        </is>
      </c>
      <c r="Q120" s="16" t="inlineStr">
        <is>
          <t>ФНС открытые данные ССЧР (ДатаСост 31.12.2025; набор 7707329152-sshr2019)</t>
        </is>
      </c>
      <c r="R120" s="16">
        <f>HYPERLINK("https://checko.ru/search?query=3801001629","Чекко: проверить")</f>
        <v/>
      </c>
      <c r="S120" t="n">
        <v>1</v>
      </c>
      <c r="T120" s="35" t="inlineStr">
        <is>
          <t>4 — Не обогащён</t>
        </is>
      </c>
      <c r="U120" s="35" t="inlineStr">
        <is>
          <t>Нет ОКВЭД/ССЧР</t>
        </is>
      </c>
      <c r="V120" s="35" t="inlineStr">
        <is>
          <t>Не определено</t>
        </is>
      </c>
      <c r="W120" s="35" t="inlineStr">
        <is>
          <t>Нет</t>
        </is>
      </c>
      <c r="X120" s="35" t="inlineStr"/>
    </row>
    <row r="121" ht="15" customHeight="1" s="24">
      <c r="A121" s="13" t="n">
        <v>802165791</v>
      </c>
      <c r="B121" s="13" t="inlineStr">
        <is>
          <t>ИП Заречный Валерий Алексеевич</t>
        </is>
      </c>
      <c r="C121" s="13" t="n">
        <v>383500034429</v>
      </c>
      <c r="D121" s="13" t="inlineStr">
        <is>
          <t>383500034429</t>
        </is>
      </c>
      <c r="E121" s="13" t="inlineStr">
        <is>
          <t>ИП РФ / физлицо</t>
        </is>
      </c>
      <c r="F121" s="13" t="n"/>
      <c r="G121" s="14" t="n"/>
      <c r="H121" s="14" t="n"/>
      <c r="I121" s="14" t="n"/>
      <c r="J121" s="14" t="n"/>
      <c r="K121" s="53" t="inlineStr"/>
      <c r="L121" s="53" t="inlineStr">
        <is>
          <t>Не определено</t>
        </is>
      </c>
      <c r="M121" s="53" t="inlineStr"/>
      <c r="N121" s="54" t="inlineStr"/>
      <c r="O121" s="55" t="inlineStr"/>
      <c r="P121" s="16" t="inlineStr">
        <is>
          <t>Требует обогащения</t>
        </is>
      </c>
      <c r="Q121" s="16">
        <f>HYPERLINK("https://pb.nalog.ru/search.html?query=383500034429","ФНС: проверить")</f>
        <v/>
      </c>
      <c r="R121" s="16">
        <f>HYPERLINK("https://checko.ru/search?query=3801001629","Чекко: проверить")</f>
        <v/>
      </c>
      <c r="S121" t="n">
        <v>1</v>
      </c>
      <c r="T121" s="35" t="inlineStr">
        <is>
          <t>4 — Не обогащён</t>
        </is>
      </c>
      <c r="U121" s="35" t="inlineStr">
        <is>
          <t>Нет ОКВЭД/ССЧР</t>
        </is>
      </c>
      <c r="V121" s="35" t="inlineStr">
        <is>
          <t>Не определено</t>
        </is>
      </c>
      <c r="W121" s="35" t="inlineStr"/>
      <c r="X121" s="35" t="inlineStr"/>
    </row>
    <row r="122" ht="15" customHeight="1" s="24">
      <c r="A122" s="13" t="n">
        <v>9352555</v>
      </c>
      <c r="B122" s="13" t="inlineStr">
        <is>
          <t>ООО "АГРОРЕСУРС"</t>
        </is>
      </c>
      <c r="C122" s="13" t="n">
        <v>3808182741</v>
      </c>
      <c r="D122" s="13" t="inlineStr">
        <is>
          <t>3808182741</t>
        </is>
      </c>
      <c r="E122" s="13" t="inlineStr">
        <is>
          <t>ЮЛ РФ</t>
        </is>
      </c>
      <c r="F122" s="13" t="n"/>
      <c r="G122" s="52" t="n">
        <v>43</v>
      </c>
      <c r="H122" s="52" t="n">
        <v>2025</v>
      </c>
      <c r="I122" s="52" t="inlineStr">
        <is>
          <t>46.61</t>
        </is>
      </c>
      <c r="J122" s="52" t="inlineStr">
        <is>
          <t>46.61; 33.12; 01.62; 33.14; 33.20; 45.11.1; 45.11.4; 45.19.1; 45.19.4; 45.32.29; 46.11.3; 46.21; 46.61.1; 46.69.2; 46.69.3; 46.71; 46.75.1; 46.75.2; 47.78.9; 52.10; 52.24; 68.20; 74.90.4; 77.31; 77.39.11</t>
        </is>
      </c>
      <c r="K122" s="53" t="inlineStr">
        <is>
          <t>Да</t>
        </is>
      </c>
      <c r="L122" s="53" t="inlineStr">
        <is>
          <t>Да</t>
        </is>
      </c>
      <c r="M122" s="53" t="inlineStr">
        <is>
          <t>До 50</t>
        </is>
      </c>
      <c r="N122" s="54" t="n">
        <v>16800</v>
      </c>
      <c r="O122" s="55" t="inlineStr">
        <is>
          <t>31–50</t>
        </is>
      </c>
      <c r="P122" s="16" t="inlineStr">
        <is>
          <t>ССЧР + ОКВЭД обогащены</t>
        </is>
      </c>
      <c r="Q122" s="16" t="inlineStr">
        <is>
          <t>ФНС открытые данные ССЧР (ДатаСост 31.12.2025; набор 7707329152-sshr2019)</t>
        </is>
      </c>
      <c r="R122" s="16" t="inlineStr">
        <is>
          <t>ЕГРЮЛ / egrul.nalog.ru (выписка)</t>
        </is>
      </c>
      <c r="S122" t="n">
        <v>1</v>
      </c>
      <c r="T122" s="35" t="inlineStr">
        <is>
          <t>1 — Горячий</t>
        </is>
      </c>
      <c r="U122" s="35" t="inlineStr">
        <is>
          <t>ОКВЭД + 22+</t>
        </is>
      </c>
      <c r="V122" s="35" t="inlineStr">
        <is>
          <t>Да</t>
        </is>
      </c>
      <c r="W122" s="35" t="inlineStr">
        <is>
          <t>Да</t>
        </is>
      </c>
      <c r="X122" s="35" t="inlineStr">
        <is>
          <t>Да</t>
        </is>
      </c>
    </row>
    <row r="123" ht="15" customHeight="1" s="24">
      <c r="A123" s="13" t="n">
        <v>9185292</v>
      </c>
      <c r="B123" s="13" t="inlineStr">
        <is>
          <t>ИП Катков Борис Борисович</t>
        </is>
      </c>
      <c r="C123" s="13" t="n">
        <v>381200530616</v>
      </c>
      <c r="D123" s="13" t="inlineStr">
        <is>
          <t>381200530616</t>
        </is>
      </c>
      <c r="E123" s="13" t="inlineStr">
        <is>
          <t>ИП РФ / физлицо</t>
        </is>
      </c>
      <c r="F123" s="13" t="n"/>
      <c r="G123" s="14" t="n"/>
      <c r="H123" s="14" t="n"/>
      <c r="I123" s="14" t="n"/>
      <c r="J123" s="14" t="n"/>
      <c r="K123" s="53" t="inlineStr"/>
      <c r="L123" s="53" t="inlineStr">
        <is>
          <t>Не определено</t>
        </is>
      </c>
      <c r="M123" s="53" t="inlineStr"/>
      <c r="N123" s="54" t="inlineStr"/>
      <c r="O123" s="55" t="inlineStr"/>
      <c r="P123" s="16" t="inlineStr">
        <is>
          <t>Требует обогащения</t>
        </is>
      </c>
      <c r="Q123" s="16">
        <f>HYPERLINK("https://pb.nalog.ru/search.html?query=381200530616","ФНС: проверить")</f>
        <v/>
      </c>
      <c r="R123" s="16">
        <f>HYPERLINK("https://checko.ru/search?query=3801001629","Чекко: проверить")</f>
        <v/>
      </c>
      <c r="S123" t="n">
        <v>1</v>
      </c>
      <c r="T123" s="35" t="inlineStr">
        <is>
          <t>4 — Не обогащён</t>
        </is>
      </c>
      <c r="U123" s="35" t="inlineStr">
        <is>
          <t>Нет ОКВЭД/ССЧР</t>
        </is>
      </c>
      <c r="V123" s="35" t="inlineStr">
        <is>
          <t>Не определено</t>
        </is>
      </c>
      <c r="W123" s="35" t="inlineStr"/>
      <c r="X123" s="35" t="inlineStr"/>
    </row>
    <row r="124" ht="27.75" customHeight="1" s="24">
      <c r="A124" s="13" t="n">
        <v>9792835</v>
      </c>
      <c r="B124" s="13" t="inlineStr">
        <is>
          <t>Общество с ограниченной ответственностью "ОХРАННОЕ ПРЕДПРИЯТИЕ"ОБЕРЕГ</t>
        </is>
      </c>
      <c r="C124" s="13" t="n">
        <v>3818026879</v>
      </c>
      <c r="D124" s="13" t="inlineStr">
        <is>
          <t>3818026879</t>
        </is>
      </c>
      <c r="E124" s="13" t="inlineStr">
        <is>
          <t>ЮЛ РФ</t>
        </is>
      </c>
      <c r="F124" s="13" t="n"/>
      <c r="G124" s="52" t="n">
        <v>602</v>
      </c>
      <c r="H124" s="52" t="n">
        <v>2025</v>
      </c>
      <c r="I124" s="52" t="inlineStr">
        <is>
          <t>80.10.2</t>
        </is>
      </c>
      <c r="J124" s="52" t="inlineStr">
        <is>
          <t>80.10.2; 80.20</t>
        </is>
      </c>
      <c r="K124" s="53" t="inlineStr">
        <is>
          <t>Да</t>
        </is>
      </c>
      <c r="L124" s="53" t="inlineStr">
        <is>
          <t>Да</t>
        </is>
      </c>
      <c r="M124" s="53" t="inlineStr">
        <is>
          <t>До 2000</t>
        </is>
      </c>
      <c r="N124" s="54" t="n">
        <v>528000</v>
      </c>
      <c r="O124" s="55" t="inlineStr">
        <is>
          <t>500+</t>
        </is>
      </c>
      <c r="P124" s="16" t="inlineStr">
        <is>
          <t>ССЧР + ОКВЭД обогащены</t>
        </is>
      </c>
      <c r="Q124" s="16" t="inlineStr">
        <is>
          <t>ФНС открытые данные ССЧР (ДатаСост 31.12.2025; набор 7707329152-sshr2019)</t>
        </is>
      </c>
      <c r="R124" s="16" t="inlineStr">
        <is>
          <t>ЕГРЮЛ / egrul.nalog.ru (выписка)</t>
        </is>
      </c>
      <c r="S124" t="n">
        <v>1</v>
      </c>
      <c r="T124" s="35" t="inlineStr">
        <is>
          <t>1 — Горячий</t>
        </is>
      </c>
      <c r="U124" s="35" t="inlineStr">
        <is>
          <t>ОКВЭД + 22+</t>
        </is>
      </c>
      <c r="V124" s="35" t="inlineStr">
        <is>
          <t>Да</t>
        </is>
      </c>
      <c r="W124" s="35" t="inlineStr">
        <is>
          <t>Да</t>
        </is>
      </c>
      <c r="X124" s="35" t="inlineStr">
        <is>
          <t>Да</t>
        </is>
      </c>
    </row>
    <row r="125" ht="15" customHeight="1" s="24">
      <c r="A125" s="13" t="n">
        <v>802255751</v>
      </c>
      <c r="B125" s="13" t="inlineStr">
        <is>
          <t>ИП Власова Полина Николаевна</t>
        </is>
      </c>
      <c r="C125" s="13" t="n">
        <v>381612796855</v>
      </c>
      <c r="D125" s="13" t="inlineStr">
        <is>
          <t>381612796855</t>
        </is>
      </c>
      <c r="E125" s="13" t="inlineStr">
        <is>
          <t>ИП РФ / физлицо</t>
        </is>
      </c>
      <c r="F125" s="13" t="n"/>
      <c r="G125" s="14" t="n"/>
      <c r="H125" s="14" t="n"/>
      <c r="I125" s="14" t="n"/>
      <c r="J125" s="14" t="n"/>
      <c r="K125" s="53" t="inlineStr"/>
      <c r="L125" s="53" t="inlineStr">
        <is>
          <t>Не определено</t>
        </is>
      </c>
      <c r="M125" s="53" t="inlineStr"/>
      <c r="N125" s="54" t="inlineStr"/>
      <c r="O125" s="55" t="inlineStr"/>
      <c r="P125" s="16" t="inlineStr">
        <is>
          <t>Требует обогащения</t>
        </is>
      </c>
      <c r="Q125" s="16">
        <f>HYPERLINK("https://pb.nalog.ru/search.html?query=381612796855","ФНС: проверить")</f>
        <v/>
      </c>
      <c r="R125" s="16">
        <f>HYPERLINK("https://checko.ru/search?query=3801001629","Чекко: проверить")</f>
        <v/>
      </c>
      <c r="S125" t="n">
        <v>1</v>
      </c>
      <c r="T125" s="35" t="inlineStr">
        <is>
          <t>4 — Не обогащён</t>
        </is>
      </c>
      <c r="U125" s="35" t="inlineStr">
        <is>
          <t>Нет ОКВЭД/ССЧР</t>
        </is>
      </c>
      <c r="V125" s="35" t="inlineStr">
        <is>
          <t>Не определено</t>
        </is>
      </c>
      <c r="W125" s="35" t="inlineStr"/>
      <c r="X125" s="35" t="inlineStr"/>
    </row>
    <row r="126" ht="15" customHeight="1" s="24">
      <c r="A126" s="13" t="n">
        <v>800421053</v>
      </c>
      <c r="B126" s="13" t="inlineStr">
        <is>
          <t>Артель Старателей Бородинская</t>
        </is>
      </c>
      <c r="C126" s="13" t="n">
        <v>3802010143</v>
      </c>
      <c r="D126" s="13" t="inlineStr">
        <is>
          <t>3802010143</t>
        </is>
      </c>
      <c r="E126" s="13" t="inlineStr">
        <is>
          <t>ЮЛ РФ</t>
        </is>
      </c>
      <c r="F126" s="13" t="n"/>
      <c r="G126" s="52" t="n">
        <v>225</v>
      </c>
      <c r="H126" s="52" t="n">
        <v>2025</v>
      </c>
      <c r="I126" s="52" t="inlineStr">
        <is>
          <t>24.41</t>
        </is>
      </c>
      <c r="J126" s="52" t="inlineStr">
        <is>
          <t>24.41; 07.29.41; 52.10.9; 02.10; 02.20; 08.99; 16.29.1; 23.99; 28.92; 41.20; 42.11; 42.99; 43.22; 43.99; 52.29; 71.12.3</t>
        </is>
      </c>
      <c r="K126" s="53" t="inlineStr">
        <is>
          <t>Да</t>
        </is>
      </c>
      <c r="L126" s="53" t="inlineStr">
        <is>
          <t>Да</t>
        </is>
      </c>
      <c r="M126" s="53" t="inlineStr">
        <is>
          <t>До 500</t>
        </is>
      </c>
      <c r="N126" s="54" t="n">
        <v>144000</v>
      </c>
      <c r="O126" s="55" t="inlineStr">
        <is>
          <t>201–500</t>
        </is>
      </c>
      <c r="P126" s="16" t="inlineStr">
        <is>
          <t>ССЧР + ОКВЭД обогащены</t>
        </is>
      </c>
      <c r="Q126" s="16" t="inlineStr">
        <is>
          <t>ФНС открытые данные ССЧР (ДатаСост 31.12.2025; набор 7707329152-sshr2019)</t>
        </is>
      </c>
      <c r="R126" s="16" t="inlineStr">
        <is>
          <t>ЕГРЮЛ / egrul.nalog.ru (выписка)</t>
        </is>
      </c>
      <c r="S126" t="n">
        <v>1</v>
      </c>
      <c r="T126" s="35" t="inlineStr">
        <is>
          <t>1 — Горячий</t>
        </is>
      </c>
      <c r="U126" s="35" t="inlineStr">
        <is>
          <t>ОКВЭД + 22+</t>
        </is>
      </c>
      <c r="V126" s="35" t="inlineStr">
        <is>
          <t>Да</t>
        </is>
      </c>
      <c r="W126" s="35" t="inlineStr">
        <is>
          <t>Да</t>
        </is>
      </c>
      <c r="X126" s="35" t="inlineStr">
        <is>
          <t>Да</t>
        </is>
      </c>
    </row>
    <row r="127" ht="41.25" customHeight="1" s="24">
      <c r="A127" s="13" t="n">
        <v>801483982</v>
      </c>
      <c r="B127" s="13" t="inlineStr">
        <is>
          <t>Общество с ограниченной ответственностью "ПЕРЕДВИЖНАЯ МЕХАНИЗИРОВАННАЯ КОЛОННА 24"</t>
        </is>
      </c>
      <c r="C127" s="13" t="n">
        <v>3811451585</v>
      </c>
      <c r="D127" s="13" t="inlineStr">
        <is>
          <t>3811451585</t>
        </is>
      </c>
      <c r="E127" s="13" t="inlineStr">
        <is>
          <t>ЮЛ РФ</t>
        </is>
      </c>
      <c r="F127" s="13" t="n"/>
      <c r="G127" s="52" t="n">
        <v>23</v>
      </c>
      <c r="H127" s="52" t="n">
        <v>2025</v>
      </c>
      <c r="I127" s="52" t="inlineStr">
        <is>
          <t>46.13</t>
        </is>
      </c>
      <c r="J127" s="52" t="inlineStr">
        <is>
          <t>46.13; 02.10; 02.20; 02.40; 08.99; 16.10; 46.73.1; 68.10; 68.20; 69.10; 69.20; 77.11; 77.12; 77.34; 77.39</t>
        </is>
      </c>
      <c r="K127" s="53" t="inlineStr">
        <is>
          <t>Да</t>
        </is>
      </c>
      <c r="L127" s="53" t="inlineStr">
        <is>
          <t>Да</t>
        </is>
      </c>
      <c r="M127" s="53" t="inlineStr">
        <is>
          <t>До 25</t>
        </is>
      </c>
      <c r="N127" s="54" t="n">
        <v>8400</v>
      </c>
      <c r="O127" s="55" t="inlineStr">
        <is>
          <t>16–30</t>
        </is>
      </c>
      <c r="P127" s="16" t="inlineStr">
        <is>
          <t>ССЧР + ОКВЭД обогащены</t>
        </is>
      </c>
      <c r="Q127" s="16" t="inlineStr">
        <is>
          <t>ФНС открытые данные ССЧР (ДатаСост 31.12.2025; набор 7707329152-sshr2019)</t>
        </is>
      </c>
      <c r="R127" s="16" t="inlineStr">
        <is>
          <t>ЕГРЮЛ / egrul.nalog.ru (выписка)</t>
        </is>
      </c>
      <c r="S127" t="n">
        <v>1</v>
      </c>
      <c r="T127" s="35" t="inlineStr">
        <is>
          <t>1 — Горячий</t>
        </is>
      </c>
      <c r="U127" s="35" t="inlineStr">
        <is>
          <t>ОКВЭД + 22+</t>
        </is>
      </c>
      <c r="V127" s="35" t="inlineStr">
        <is>
          <t>Да</t>
        </is>
      </c>
      <c r="W127" s="35" t="inlineStr">
        <is>
          <t>Да</t>
        </is>
      </c>
      <c r="X127" s="35" t="inlineStr">
        <is>
          <t>Да</t>
        </is>
      </c>
    </row>
    <row r="128" ht="15" customHeight="1" s="24">
      <c r="A128" s="13" t="n">
        <v>801611602</v>
      </c>
      <c r="B128" s="13" t="inlineStr">
        <is>
          <t>ООО "МАСТЕРЛИФТ 38"</t>
        </is>
      </c>
      <c r="C128" s="13" t="n">
        <v>3810082085</v>
      </c>
      <c r="D128" s="13" t="inlineStr">
        <is>
          <t>3810082085</t>
        </is>
      </c>
      <c r="E128" s="13" t="inlineStr">
        <is>
          <t>ЮЛ РФ</t>
        </is>
      </c>
      <c r="F128" s="13" t="n"/>
      <c r="G128" s="52" t="n">
        <v>2</v>
      </c>
      <c r="H128" s="52" t="n">
        <v>2025</v>
      </c>
      <c r="I128" s="14" t="n"/>
      <c r="J128" s="14" t="n"/>
      <c r="K128" s="53" t="inlineStr">
        <is>
          <t>Нет</t>
        </is>
      </c>
      <c r="L128" s="53" t="inlineStr">
        <is>
          <t>Не определено</t>
        </is>
      </c>
      <c r="M128" s="53" t="inlineStr">
        <is>
          <t>До 10</t>
        </is>
      </c>
      <c r="N128" s="54" t="n">
        <v>3360</v>
      </c>
      <c r="O128" s="55" t="inlineStr">
        <is>
          <t>1–15</t>
        </is>
      </c>
      <c r="P128" s="16" t="inlineStr">
        <is>
          <t>ССЧР обогащена; ОКВЭД не найден/не загружен</t>
        </is>
      </c>
      <c r="Q128" s="16" t="inlineStr">
        <is>
          <t>ФНС открытые данные ССЧР (ДатаСост 31.12.2025; набор 7707329152-sshr2019)</t>
        </is>
      </c>
      <c r="R128" s="16">
        <f>HYPERLINK("https://checko.ru/search?query=3801001629","Чекко: проверить")</f>
        <v/>
      </c>
      <c r="S128" t="n">
        <v>1</v>
      </c>
      <c r="T128" s="35" t="inlineStr">
        <is>
          <t>4 — Не обогащён</t>
        </is>
      </c>
      <c r="U128" s="35" t="inlineStr">
        <is>
          <t>Нет ОКВЭД/ССЧР</t>
        </is>
      </c>
      <c r="V128" s="35" t="inlineStr">
        <is>
          <t>Не определено</t>
        </is>
      </c>
      <c r="W128" s="35" t="inlineStr">
        <is>
          <t>Нет</t>
        </is>
      </c>
      <c r="X128" s="35" t="inlineStr"/>
    </row>
    <row r="129" ht="15" customHeight="1" s="24">
      <c r="A129" s="13" t="n">
        <v>9146876</v>
      </c>
      <c r="B129" s="13" t="inlineStr">
        <is>
          <t>ООО "Исток"</t>
        </is>
      </c>
      <c r="C129" s="13" t="n">
        <v>3802008923</v>
      </c>
      <c r="D129" s="13" t="inlineStr">
        <is>
          <t>3802008923</t>
        </is>
      </c>
      <c r="E129" s="13" t="inlineStr">
        <is>
          <t>ЮЛ РФ</t>
        </is>
      </c>
      <c r="F129" s="13" t="n"/>
      <c r="G129" s="52" t="n">
        <v>12</v>
      </c>
      <c r="H129" s="52" t="n">
        <v>2025</v>
      </c>
      <c r="I129" s="14" t="n"/>
      <c r="J129" s="14" t="n"/>
      <c r="K129" s="53" t="inlineStr">
        <is>
          <t>Нет</t>
        </is>
      </c>
      <c r="L129" s="53" t="inlineStr">
        <is>
          <t>Не определено</t>
        </is>
      </c>
      <c r="M129" s="53" t="inlineStr">
        <is>
          <t>До 25</t>
        </is>
      </c>
      <c r="N129" s="54" t="n">
        <v>8400</v>
      </c>
      <c r="O129" s="55" t="inlineStr">
        <is>
          <t>1–15</t>
        </is>
      </c>
      <c r="P129" s="16" t="inlineStr">
        <is>
          <t>ССЧР обогащена; ОКВЭД не найден/не загружен</t>
        </is>
      </c>
      <c r="Q129" s="16" t="inlineStr">
        <is>
          <t>ФНС открытые данные ССЧР (ДатаСост 31.12.2025; набор 7707329152-sshr2019)</t>
        </is>
      </c>
      <c r="R129" s="16">
        <f>HYPERLINK("https://checko.ru/search?query=3801001629","Чекко: проверить")</f>
        <v/>
      </c>
      <c r="S129" t="n">
        <v>1</v>
      </c>
      <c r="T129" s="35" t="inlineStr">
        <is>
          <t>4 — Не обогащён</t>
        </is>
      </c>
      <c r="U129" s="35" t="inlineStr">
        <is>
          <t>Нет ОКВЭД/ССЧР</t>
        </is>
      </c>
      <c r="V129" s="35" t="inlineStr">
        <is>
          <t>Не определено</t>
        </is>
      </c>
      <c r="W129" s="35" t="inlineStr">
        <is>
          <t>Нет</t>
        </is>
      </c>
      <c r="X129" s="35" t="inlineStr"/>
    </row>
    <row r="130" ht="15" customHeight="1" s="24">
      <c r="A130" s="13" t="n">
        <v>9137368</v>
      </c>
      <c r="B130" s="13" t="inlineStr">
        <is>
          <t>ООО "Ниагара"</t>
        </is>
      </c>
      <c r="C130" s="13" t="n">
        <v>3810048888</v>
      </c>
      <c r="D130" s="13" t="inlineStr">
        <is>
          <t>3810048888</t>
        </is>
      </c>
      <c r="E130" s="13" t="inlineStr">
        <is>
          <t>ЮЛ РФ</t>
        </is>
      </c>
      <c r="F130" s="13" t="n"/>
      <c r="G130" s="52" t="n">
        <v>14</v>
      </c>
      <c r="H130" s="52" t="n">
        <v>2025</v>
      </c>
      <c r="I130" s="14" t="n"/>
      <c r="J130" s="14" t="n"/>
      <c r="K130" s="53" t="inlineStr">
        <is>
          <t>Нет</t>
        </is>
      </c>
      <c r="L130" s="53" t="inlineStr">
        <is>
          <t>Не определено</t>
        </is>
      </c>
      <c r="M130" s="53" t="inlineStr">
        <is>
          <t>До 25</t>
        </is>
      </c>
      <c r="N130" s="54" t="n">
        <v>8400</v>
      </c>
      <c r="O130" s="55" t="inlineStr">
        <is>
          <t>1–15</t>
        </is>
      </c>
      <c r="P130" s="16" t="inlineStr">
        <is>
          <t>ССЧР обогащена; ОКВЭД не найден/не загружен</t>
        </is>
      </c>
      <c r="Q130" s="16" t="inlineStr">
        <is>
          <t>ФНС открытые данные ССЧР (ДатаСост 31.12.2025; набор 7707329152-sshr2019)</t>
        </is>
      </c>
      <c r="R130" s="16">
        <f>HYPERLINK("https://checko.ru/search?query=3801001629","Чекко: проверить")</f>
        <v/>
      </c>
      <c r="S130" t="n">
        <v>1</v>
      </c>
      <c r="T130" s="35" t="inlineStr">
        <is>
          <t>4 — Не обогащён</t>
        </is>
      </c>
      <c r="U130" s="35" t="inlineStr">
        <is>
          <t>Нет ОКВЭД/ССЧР</t>
        </is>
      </c>
      <c r="V130" s="35" t="inlineStr">
        <is>
          <t>Не определено</t>
        </is>
      </c>
      <c r="W130" s="35" t="inlineStr">
        <is>
          <t>Нет</t>
        </is>
      </c>
      <c r="X130" s="35" t="inlineStr"/>
    </row>
    <row r="131" ht="15" customHeight="1" s="24">
      <c r="A131" s="13" t="n">
        <v>9257578</v>
      </c>
      <c r="B131" s="13" t="inlineStr">
        <is>
          <t>ОАО "Якутуглестрой "</t>
        </is>
      </c>
      <c r="C131" s="13" t="n">
        <v>1434002940</v>
      </c>
      <c r="D131" s="13" t="inlineStr">
        <is>
          <t>1434002940</t>
        </is>
      </c>
      <c r="E131" s="13" t="inlineStr">
        <is>
          <t>ЮЛ РФ</t>
        </is>
      </c>
      <c r="F131" s="13" t="n"/>
      <c r="G131" s="52" t="n">
        <v>9</v>
      </c>
      <c r="H131" s="52" t="n">
        <v>2025</v>
      </c>
      <c r="I131" s="14" t="n"/>
      <c r="J131" s="14" t="n"/>
      <c r="K131" s="53" t="inlineStr">
        <is>
          <t>Нет</t>
        </is>
      </c>
      <c r="L131" s="53" t="inlineStr">
        <is>
          <t>Не определено</t>
        </is>
      </c>
      <c r="M131" s="53" t="inlineStr">
        <is>
          <t>До 10</t>
        </is>
      </c>
      <c r="N131" s="54" t="n">
        <v>3360</v>
      </c>
      <c r="O131" s="55" t="inlineStr">
        <is>
          <t>1–15</t>
        </is>
      </c>
      <c r="P131" s="16" t="inlineStr">
        <is>
          <t>ССЧР обогащена; ОКВЭД не найден/не загружен</t>
        </is>
      </c>
      <c r="Q131" s="16" t="inlineStr">
        <is>
          <t>ФНС открытые данные ССЧР (ДатаСост 31.12.2025; набор 7707329152-sshr2019)</t>
        </is>
      </c>
      <c r="R131" s="16">
        <f>HYPERLINK("https://checko.ru/search?query=3801001629","Чекко: проверить")</f>
        <v/>
      </c>
      <c r="S131" t="n">
        <v>1</v>
      </c>
      <c r="T131" s="35" t="inlineStr">
        <is>
          <t>4 — Не обогащён</t>
        </is>
      </c>
      <c r="U131" s="35" t="inlineStr">
        <is>
          <t>Нет ОКВЭД/ССЧР</t>
        </is>
      </c>
      <c r="V131" s="35" t="inlineStr">
        <is>
          <t>Не определено</t>
        </is>
      </c>
      <c r="W131" s="35" t="inlineStr">
        <is>
          <t>Нет</t>
        </is>
      </c>
      <c r="X131" s="35" t="inlineStr"/>
    </row>
    <row r="132" ht="15" customHeight="1" s="24">
      <c r="A132" s="13" t="n">
        <v>800437695</v>
      </c>
      <c r="B132" s="13" t="inlineStr">
        <is>
          <t>ЗАО "Байкал Телепорт"</t>
        </is>
      </c>
      <c r="C132" s="13" t="n">
        <v>3811060180</v>
      </c>
      <c r="D132" s="13" t="inlineStr">
        <is>
          <t>3811060180</t>
        </is>
      </c>
      <c r="E132" s="13" t="inlineStr">
        <is>
          <t>ЮЛ РФ</t>
        </is>
      </c>
      <c r="F132" s="13" t="n"/>
      <c r="G132" s="52" t="n">
        <v>52</v>
      </c>
      <c r="H132" s="52" t="n">
        <v>2025</v>
      </c>
      <c r="I132" s="52" t="inlineStr">
        <is>
          <t>61.20</t>
        </is>
      </c>
      <c r="J132" s="52" t="inlineStr">
        <is>
          <t>61.20; 42.22.2; 43.21; 46.14.1; 46.51; 46.52; 46.66; 46.69; 46.90; 47.41; 47.42; 47.43; 52.10.9; 61.10; 61.10.1; 61.10.9; 95.11; 95.12; 95.21</t>
        </is>
      </c>
      <c r="K132" s="53" t="inlineStr">
        <is>
          <t>Да</t>
        </is>
      </c>
      <c r="L132" s="53" t="inlineStr">
        <is>
          <t>Да</t>
        </is>
      </c>
      <c r="M132" s="53" t="inlineStr">
        <is>
          <t>До 100</t>
        </is>
      </c>
      <c r="N132" s="54" t="n">
        <v>33600</v>
      </c>
      <c r="O132" s="55" t="inlineStr">
        <is>
          <t>51–100</t>
        </is>
      </c>
      <c r="P132" s="16" t="inlineStr">
        <is>
          <t>ССЧР + ОКВЭД обогащены</t>
        </is>
      </c>
      <c r="Q132" s="16" t="inlineStr">
        <is>
          <t>ФНС открытые данные ССЧР (ДатаСост 31.12.2025; набор 7707329152-sshr2019)</t>
        </is>
      </c>
      <c r="R132" s="16" t="inlineStr">
        <is>
          <t>ЕГРЮЛ / egrul.nalog.ru (выписка)</t>
        </is>
      </c>
      <c r="S132" t="n">
        <v>1</v>
      </c>
      <c r="T132" s="35" t="inlineStr">
        <is>
          <t>1 — Горячий</t>
        </is>
      </c>
      <c r="U132" s="35" t="inlineStr">
        <is>
          <t>ОКВЭД + 22+</t>
        </is>
      </c>
      <c r="V132" s="35" t="inlineStr">
        <is>
          <t>Да</t>
        </is>
      </c>
      <c r="W132" s="35" t="inlineStr">
        <is>
          <t>Да</t>
        </is>
      </c>
      <c r="X132" s="35" t="inlineStr">
        <is>
          <t>Да</t>
        </is>
      </c>
    </row>
    <row r="133" ht="15" customHeight="1" s="24">
      <c r="A133" s="13" t="n">
        <v>800618987</v>
      </c>
      <c r="B133" s="13" t="inlineStr">
        <is>
          <t>ИП Сиськова Елена Владимировна</t>
        </is>
      </c>
      <c r="C133" s="13" t="n">
        <v>381800121012</v>
      </c>
      <c r="D133" s="13" t="inlineStr">
        <is>
          <t>381800121012</t>
        </is>
      </c>
      <c r="E133" s="13" t="inlineStr">
        <is>
          <t>ИП РФ / физлицо</t>
        </is>
      </c>
      <c r="F133" s="13" t="n"/>
      <c r="G133" s="14" t="n"/>
      <c r="H133" s="14" t="n"/>
      <c r="I133" s="14" t="n"/>
      <c r="J133" s="14" t="n"/>
      <c r="K133" s="53" t="inlineStr"/>
      <c r="L133" s="53" t="inlineStr">
        <is>
          <t>Не определено</t>
        </is>
      </c>
      <c r="M133" s="53" t="inlineStr"/>
      <c r="N133" s="54" t="inlineStr"/>
      <c r="O133" s="55" t="inlineStr"/>
      <c r="P133" s="16" t="inlineStr">
        <is>
          <t>Требует обогащения</t>
        </is>
      </c>
      <c r="Q133" s="16">
        <f>HYPERLINK("https://pb.nalog.ru/search.html?query=381800121012","ФНС: проверить")</f>
        <v/>
      </c>
      <c r="R133" s="16">
        <f>HYPERLINK("https://checko.ru/search?query=3801001629","Чекко: проверить")</f>
        <v/>
      </c>
      <c r="S133" t="n">
        <v>1</v>
      </c>
      <c r="T133" s="35" t="inlineStr">
        <is>
          <t>4 — Не обогащён</t>
        </is>
      </c>
      <c r="U133" s="35" t="inlineStr">
        <is>
          <t>Нет ОКВЭД/ССЧР</t>
        </is>
      </c>
      <c r="V133" s="35" t="inlineStr">
        <is>
          <t>Не определено</t>
        </is>
      </c>
      <c r="W133" s="35" t="inlineStr"/>
      <c r="X133" s="35" t="inlineStr"/>
    </row>
    <row r="134" ht="15" customHeight="1" s="24">
      <c r="A134" s="13" t="n">
        <v>802410752</v>
      </c>
      <c r="B134" s="13" t="inlineStr">
        <is>
          <t>ООО "СЕНДТРЕЙД"</t>
        </is>
      </c>
      <c r="C134" s="13" t="n">
        <v>3811128053</v>
      </c>
      <c r="D134" s="13" t="inlineStr">
        <is>
          <t>3811128053</t>
        </is>
      </c>
      <c r="E134" s="13" t="inlineStr">
        <is>
          <t>ЮЛ РФ</t>
        </is>
      </c>
      <c r="F134" s="13" t="n"/>
      <c r="G134" s="52" t="n">
        <v>25</v>
      </c>
      <c r="H134" s="52" t="n">
        <v>2025</v>
      </c>
      <c r="I134" s="52" t="inlineStr">
        <is>
          <t>08.12</t>
        </is>
      </c>
      <c r="J134" s="52" t="inlineStr">
        <is>
          <t>08.12; 23.63; 23.64; 41.20; 43.12.3; 46.73.6; 49.41.3</t>
        </is>
      </c>
      <c r="K134" s="53" t="inlineStr">
        <is>
          <t>Да</t>
        </is>
      </c>
      <c r="L134" s="53" t="inlineStr">
        <is>
          <t>Да</t>
        </is>
      </c>
      <c r="M134" s="53" t="inlineStr">
        <is>
          <t>До 25</t>
        </is>
      </c>
      <c r="N134" s="54" t="n">
        <v>8400</v>
      </c>
      <c r="O134" s="55" t="inlineStr">
        <is>
          <t>16–30</t>
        </is>
      </c>
      <c r="P134" s="16" t="inlineStr">
        <is>
          <t>ССЧР + ОКВЭД обогащены</t>
        </is>
      </c>
      <c r="Q134" s="16" t="inlineStr">
        <is>
          <t>ФНС открытые данные ССЧР (ДатаСост 31.12.2025; набор 7707329152-sshr2019)</t>
        </is>
      </c>
      <c r="R134" s="16" t="inlineStr">
        <is>
          <t>ЕГРЮЛ / egrul.nalog.ru (выписка)</t>
        </is>
      </c>
      <c r="S134" t="n">
        <v>1</v>
      </c>
      <c r="T134" s="35" t="inlineStr">
        <is>
          <t>1 — Горячий</t>
        </is>
      </c>
      <c r="U134" s="35" t="inlineStr">
        <is>
          <t>ОКВЭД + 22+</t>
        </is>
      </c>
      <c r="V134" s="35" t="inlineStr">
        <is>
          <t>Да</t>
        </is>
      </c>
      <c r="W134" s="35" t="inlineStr">
        <is>
          <t>Да</t>
        </is>
      </c>
      <c r="X134" s="35" t="inlineStr">
        <is>
          <t>Да</t>
        </is>
      </c>
    </row>
    <row r="135" ht="41.25" customHeight="1" s="24">
      <c r="A135" s="13" t="n">
        <v>802466068</v>
      </c>
      <c r="B135" s="13" t="inlineStr">
        <is>
          <t>Общество с ограниченной ответственностью "ЗАВОД ЛЕГКИХ МЕТАЛЛИЧЕСКИХ КОНСТРУКЦИЙ "ШАНС"</t>
        </is>
      </c>
      <c r="C135" s="13" t="n">
        <v>7901003176</v>
      </c>
      <c r="D135" s="13" t="inlineStr">
        <is>
          <t>7901003176</t>
        </is>
      </c>
      <c r="E135" s="13" t="inlineStr">
        <is>
          <t>ЮЛ РФ</t>
        </is>
      </c>
      <c r="F135" s="13" t="n"/>
      <c r="G135" s="52" t="n">
        <v>26</v>
      </c>
      <c r="H135" s="52" t="n">
        <v>2025</v>
      </c>
      <c r="I135" s="52" t="inlineStr">
        <is>
          <t>31.01</t>
        </is>
      </c>
      <c r="J135" s="52" t="inlineStr">
        <is>
          <t>31.01; 25.11; 25.12; 30.30.3; 31.09; 33.14; 33.20; 41.20; 43.21; 43.33; 43.34.1; 43.91; 43.99.5; 43.99.6; 43.99.7; 46.47.1; 46.65; 47.59.1; 68.20</t>
        </is>
      </c>
      <c r="K135" s="53" t="inlineStr">
        <is>
          <t>Да</t>
        </is>
      </c>
      <c r="L135" s="53" t="inlineStr">
        <is>
          <t>Да</t>
        </is>
      </c>
      <c r="M135" s="53" t="inlineStr">
        <is>
          <t>До 50</t>
        </is>
      </c>
      <c r="N135" s="54" t="n">
        <v>16800</v>
      </c>
      <c r="O135" s="55" t="inlineStr">
        <is>
          <t>16–30</t>
        </is>
      </c>
      <c r="P135" s="16" t="inlineStr">
        <is>
          <t>ССЧР + ОКВЭД обогащены</t>
        </is>
      </c>
      <c r="Q135" s="16" t="inlineStr">
        <is>
          <t>ФНС открытые данные ССЧР (ДатаСост 31.12.2025; набор 7707329152-sshr2019)</t>
        </is>
      </c>
      <c r="R135" s="16" t="inlineStr">
        <is>
          <t>ЕГРЮЛ / egrul.nalog.ru (выписка)</t>
        </is>
      </c>
      <c r="S135" t="n">
        <v>1</v>
      </c>
      <c r="T135" s="35" t="inlineStr">
        <is>
          <t>1 — Горячий</t>
        </is>
      </c>
      <c r="U135" s="35" t="inlineStr">
        <is>
          <t>ОКВЭД + 22+</t>
        </is>
      </c>
      <c r="V135" s="35" t="inlineStr">
        <is>
          <t>Да</t>
        </is>
      </c>
      <c r="W135" s="35" t="inlineStr">
        <is>
          <t>Да</t>
        </is>
      </c>
      <c r="X135" s="35" t="inlineStr">
        <is>
          <t>Да</t>
        </is>
      </c>
    </row>
    <row r="136" ht="15" customHeight="1" s="24">
      <c r="A136" s="13" t="n">
        <v>13612030</v>
      </c>
      <c r="B136" s="13" t="inlineStr">
        <is>
          <t>Товарищество собственников жилья "Петровское"</t>
        </is>
      </c>
      <c r="C136" s="13" t="n">
        <v>3811058896</v>
      </c>
      <c r="D136" s="13" t="inlineStr">
        <is>
          <t>3811058896</t>
        </is>
      </c>
      <c r="E136" s="13" t="inlineStr">
        <is>
          <t>ЮЛ РФ</t>
        </is>
      </c>
      <c r="F136" s="13" t="n"/>
      <c r="G136" s="14" t="n"/>
      <c r="H136" s="14" t="n"/>
      <c r="I136" s="14" t="n"/>
      <c r="J136" s="14" t="n"/>
      <c r="K136" s="53" t="inlineStr"/>
      <c r="L136" s="53" t="inlineStr">
        <is>
          <t>Не определено</t>
        </is>
      </c>
      <c r="M136" s="53" t="inlineStr"/>
      <c r="N136" s="54" t="inlineStr"/>
      <c r="O136" s="55" t="inlineStr"/>
      <c r="P136" s="16" t="inlineStr">
        <is>
          <t>Требует обогащения</t>
        </is>
      </c>
      <c r="Q136" s="16">
        <f>HYPERLINK("https://pb.nalog.ru/search.html?query=3811058896","ФНС: проверить")</f>
        <v/>
      </c>
      <c r="R136" s="16">
        <f>HYPERLINK("https://checko.ru/search?query=3801001629","Чекко: проверить")</f>
        <v/>
      </c>
      <c r="S136" t="n">
        <v>1</v>
      </c>
      <c r="T136" s="35" t="inlineStr">
        <is>
          <t>4 — Не обогащён</t>
        </is>
      </c>
      <c r="U136" s="35" t="inlineStr">
        <is>
          <t>Нет ОКВЭД/ССЧР</t>
        </is>
      </c>
      <c r="V136" s="35" t="inlineStr">
        <is>
          <t>Не определено</t>
        </is>
      </c>
      <c r="W136" s="35" t="inlineStr"/>
      <c r="X136" s="35" t="inlineStr"/>
    </row>
    <row r="137" ht="27.75" customHeight="1" s="24">
      <c r="A137" s="13" t="n">
        <v>800459451</v>
      </c>
      <c r="B137" s="13" t="inlineStr">
        <is>
          <t>Общество с ограниченной ответственностью "Нептун"</t>
        </is>
      </c>
      <c r="C137" s="13" t="n">
        <v>3827035742</v>
      </c>
      <c r="D137" s="13" t="inlineStr">
        <is>
          <t>3827035742</t>
        </is>
      </c>
      <c r="E137" s="13" t="inlineStr">
        <is>
          <t>ЮЛ РФ</t>
        </is>
      </c>
      <c r="F137" s="13" t="n"/>
      <c r="G137" s="52" t="n">
        <v>53</v>
      </c>
      <c r="H137" s="52" t="n">
        <v>2025</v>
      </c>
      <c r="I137" s="52" t="inlineStr">
        <is>
          <t>23.63</t>
        </is>
      </c>
      <c r="J137" s="52" t="inlineStr">
        <is>
          <t>23.63; 03.22.5; 08.11; 08.11.2; 08.12; 08.12.2; 08.91; 35.30; 36.00; 36.00.1; 36.00.2; 38.11; 38.21; 41.20; 42.22.2; 42.91; 42.91.4; 42.99; 43.11; 43.12; 43.12.1; 43.12.3; 43.12.4; 43.39; 43.99; 46.13; 46.71; 46.73; 49.41; 49.41.1; 49.41.2; 49.41.3; 49.42; 52.10; 52.21; 52.21.29; 52.24; 52.29; 77.31; 77.32; 81.10; 81.21; 81.22; 81.29; 81.29.2</t>
        </is>
      </c>
      <c r="K137" s="53" t="inlineStr">
        <is>
          <t>Да</t>
        </is>
      </c>
      <c r="L137" s="53" t="inlineStr">
        <is>
          <t>Да</t>
        </is>
      </c>
      <c r="M137" s="53" t="inlineStr">
        <is>
          <t>До 100</t>
        </is>
      </c>
      <c r="N137" s="54" t="n">
        <v>33600</v>
      </c>
      <c r="O137" s="55" t="inlineStr">
        <is>
          <t>51–100</t>
        </is>
      </c>
      <c r="P137" s="16" t="inlineStr">
        <is>
          <t>ССЧР + ОКВЭД обогащены</t>
        </is>
      </c>
      <c r="Q137" s="16" t="inlineStr">
        <is>
          <t>ФНС открытые данные ССЧР (ДатаСост 31.12.2025; набор 7707329152-sshr2019)</t>
        </is>
      </c>
      <c r="R137" s="16" t="inlineStr">
        <is>
          <t>ЕГРЮЛ / egrul.nalog.ru (выписка)</t>
        </is>
      </c>
      <c r="S137" t="n">
        <v>1</v>
      </c>
      <c r="T137" s="35" t="inlineStr">
        <is>
          <t>1 — Горячий</t>
        </is>
      </c>
      <c r="U137" s="35" t="inlineStr">
        <is>
          <t>ОКВЭД + 22+</t>
        </is>
      </c>
      <c r="V137" s="35" t="inlineStr">
        <is>
          <t>Да</t>
        </is>
      </c>
      <c r="W137" s="35" t="inlineStr">
        <is>
          <t>Да</t>
        </is>
      </c>
      <c r="X137" s="35" t="inlineStr">
        <is>
          <t>Да</t>
        </is>
      </c>
    </row>
    <row r="138" ht="15" customHeight="1" s="24">
      <c r="A138" s="13" t="n">
        <v>801604645</v>
      </c>
      <c r="B138" s="13" t="inlineStr">
        <is>
          <t>ООО "ЛПХ ЮХТА"</t>
        </is>
      </c>
      <c r="C138" s="13" t="n">
        <v>3818017539</v>
      </c>
      <c r="D138" s="13" t="inlineStr">
        <is>
          <t>3818017539</t>
        </is>
      </c>
      <c r="E138" s="13" t="inlineStr">
        <is>
          <t>ЮЛ РФ</t>
        </is>
      </c>
      <c r="F138" s="13" t="n"/>
      <c r="G138" s="52" t="n">
        <v>154</v>
      </c>
      <c r="H138" s="52" t="n">
        <v>2025</v>
      </c>
      <c r="I138" s="52" t="inlineStr">
        <is>
          <t>16.10.1</t>
        </is>
      </c>
      <c r="J138" s="52" t="inlineStr">
        <is>
          <t>16.10.1; 02.10; 02.20; 02.40; 16.29.1; 16.29.15; 46.13; 46.73.1; 46.73.2; 47.78.61; 49.41; 49.42; 52.10; 56.29; 86.90.9</t>
        </is>
      </c>
      <c r="K138" s="53" t="inlineStr">
        <is>
          <t>Да</t>
        </is>
      </c>
      <c r="L138" s="53" t="inlineStr">
        <is>
          <t>Да</t>
        </is>
      </c>
      <c r="M138" s="53" t="inlineStr">
        <is>
          <t>До 200</t>
        </is>
      </c>
      <c r="N138" s="54" t="n">
        <v>62400</v>
      </c>
      <c r="O138" s="55" t="inlineStr">
        <is>
          <t>101–200</t>
        </is>
      </c>
      <c r="P138" s="16" t="inlineStr">
        <is>
          <t>ССЧР + ОКВЭД обогащены</t>
        </is>
      </c>
      <c r="Q138" s="16" t="inlineStr">
        <is>
          <t>ФНС открытые данные ССЧР (ДатаСост 31.12.2025; набор 7707329152-sshr2019)</t>
        </is>
      </c>
      <c r="R138" s="16" t="inlineStr">
        <is>
          <t>ЕГРЮЛ / egrul.nalog.ru (выписка)</t>
        </is>
      </c>
      <c r="S138" t="n">
        <v>1</v>
      </c>
      <c r="T138" s="35" t="inlineStr">
        <is>
          <t>1 — Горячий</t>
        </is>
      </c>
      <c r="U138" s="35" t="inlineStr">
        <is>
          <t>ОКВЭД + 22+</t>
        </is>
      </c>
      <c r="V138" s="35" t="inlineStr">
        <is>
          <t>Да</t>
        </is>
      </c>
      <c r="W138" s="35" t="inlineStr">
        <is>
          <t>Да</t>
        </is>
      </c>
      <c r="X138" s="35" t="inlineStr">
        <is>
          <t>Да</t>
        </is>
      </c>
    </row>
    <row r="139" ht="15" customHeight="1" s="24">
      <c r="A139" s="13" t="n">
        <v>12063123</v>
      </c>
      <c r="B139" s="13" t="inlineStr">
        <is>
          <t>ООО "АВАНГАРД ООО"</t>
        </is>
      </c>
      <c r="C139" s="13" t="n">
        <v>3814009181</v>
      </c>
      <c r="D139" s="13" t="inlineStr">
        <is>
          <t>3814009181</t>
        </is>
      </c>
      <c r="E139" s="13" t="inlineStr">
        <is>
          <t>ЮЛ РФ</t>
        </is>
      </c>
      <c r="F139" s="13" t="n"/>
      <c r="G139" s="52" t="n">
        <v>32</v>
      </c>
      <c r="H139" s="52" t="n">
        <v>2025</v>
      </c>
      <c r="I139" s="52" t="inlineStr">
        <is>
          <t>01.11.1</t>
        </is>
      </c>
      <c r="J139" s="52" t="inlineStr">
        <is>
          <t>01.11.1; 01.11; 01.11.2; 01.11.32; 01.11.33; 01.11.39; 01.19.1; 01.61; 02.20; 10.11.2; 46.21.1</t>
        </is>
      </c>
      <c r="K139" s="53" t="inlineStr">
        <is>
          <t>Да</t>
        </is>
      </c>
      <c r="L139" s="53" t="inlineStr">
        <is>
          <t>Да</t>
        </is>
      </c>
      <c r="M139" s="53" t="inlineStr">
        <is>
          <t>До 50</t>
        </is>
      </c>
      <c r="N139" s="54" t="n">
        <v>16800</v>
      </c>
      <c r="O139" s="55" t="inlineStr">
        <is>
          <t>31–50</t>
        </is>
      </c>
      <c r="P139" s="16" t="inlineStr">
        <is>
          <t>ССЧР + ОКВЭД обогащены</t>
        </is>
      </c>
      <c r="Q139" s="16" t="inlineStr">
        <is>
          <t>ФНС открытые данные ССЧР (ДатаСост 31.12.2025; набор 7707329152-sshr2019)</t>
        </is>
      </c>
      <c r="R139" s="16" t="inlineStr">
        <is>
          <t>ЕГРЮЛ / egrul.nalog.ru (выписка)</t>
        </is>
      </c>
      <c r="S139" t="n">
        <v>1</v>
      </c>
      <c r="T139" s="35" t="inlineStr">
        <is>
          <t>1 — Горячий</t>
        </is>
      </c>
      <c r="U139" s="35" t="inlineStr">
        <is>
          <t>ОКВЭД + 22+</t>
        </is>
      </c>
      <c r="V139" s="35" t="inlineStr">
        <is>
          <t>Да</t>
        </is>
      </c>
      <c r="W139" s="35" t="inlineStr">
        <is>
          <t>Да</t>
        </is>
      </c>
      <c r="X139" s="35" t="inlineStr">
        <is>
          <t>Да</t>
        </is>
      </c>
    </row>
    <row r="140" ht="15" customHeight="1" s="24">
      <c r="A140" s="13" t="n">
        <v>9184312</v>
      </c>
      <c r="B140" s="13" t="inlineStr">
        <is>
          <t>Гарант-Сервис Иркутск ООО</t>
        </is>
      </c>
      <c r="C140" s="13" t="n">
        <v>3808176113</v>
      </c>
      <c r="D140" s="13" t="inlineStr">
        <is>
          <t>3808176113</t>
        </is>
      </c>
      <c r="E140" s="13" t="inlineStr">
        <is>
          <t>ЮЛ РФ</t>
        </is>
      </c>
      <c r="F140" s="13" t="n"/>
      <c r="G140" s="52" t="n">
        <v>20</v>
      </c>
      <c r="H140" s="52" t="n">
        <v>2025</v>
      </c>
      <c r="I140" s="14" t="n"/>
      <c r="J140" s="14" t="n"/>
      <c r="K140" s="53" t="inlineStr">
        <is>
          <t>Нет</t>
        </is>
      </c>
      <c r="L140" s="53" t="inlineStr">
        <is>
          <t>Не определено</t>
        </is>
      </c>
      <c r="M140" s="53" t="inlineStr">
        <is>
          <t>До 25</t>
        </is>
      </c>
      <c r="N140" s="54" t="n">
        <v>8400</v>
      </c>
      <c r="O140" s="55" t="inlineStr">
        <is>
          <t>16–30</t>
        </is>
      </c>
      <c r="P140" s="16" t="inlineStr">
        <is>
          <t>ССЧР обогащена; ОКВЭД не найден/не загружен</t>
        </is>
      </c>
      <c r="Q140" s="16" t="inlineStr">
        <is>
          <t>ФНС открытые данные ССЧР (ДатаСост 31.12.2025; набор 7707329152-sshr2019)</t>
        </is>
      </c>
      <c r="R140" s="16">
        <f>HYPERLINK("https://checko.ru/search?query=3801001629","Чекко: проверить")</f>
        <v/>
      </c>
      <c r="S140" t="n">
        <v>1</v>
      </c>
      <c r="T140" s="35" t="inlineStr">
        <is>
          <t>4 — Не обогащён</t>
        </is>
      </c>
      <c r="U140" s="35" t="inlineStr">
        <is>
          <t>Нет ОКВЭД/ССЧР</t>
        </is>
      </c>
      <c r="V140" s="35" t="inlineStr">
        <is>
          <t>Не определено</t>
        </is>
      </c>
      <c r="W140" s="35" t="inlineStr">
        <is>
          <t>Нет</t>
        </is>
      </c>
      <c r="X140" s="35" t="inlineStr"/>
    </row>
    <row r="141" ht="15" customHeight="1" s="24">
      <c r="A141" s="13" t="n">
        <v>9878721</v>
      </c>
      <c r="B141" s="13" t="inlineStr">
        <is>
          <t>ИРКПОО "Альянс Франсез - Иркутск"</t>
        </is>
      </c>
      <c r="C141" s="13" t="n">
        <v>3808094774</v>
      </c>
      <c r="D141" s="13" t="inlineStr">
        <is>
          <t>3808094774</t>
        </is>
      </c>
      <c r="E141" s="13" t="inlineStr">
        <is>
          <t>ЮЛ РФ</t>
        </is>
      </c>
      <c r="F141" s="13" t="n"/>
      <c r="G141" s="14" t="n"/>
      <c r="H141" s="14" t="n"/>
      <c r="I141" s="14" t="n"/>
      <c r="J141" s="14" t="n"/>
      <c r="K141" s="53" t="inlineStr"/>
      <c r="L141" s="53" t="inlineStr">
        <is>
          <t>Не определено</t>
        </is>
      </c>
      <c r="M141" s="53" t="inlineStr"/>
      <c r="N141" s="54" t="inlineStr"/>
      <c r="O141" s="55" t="inlineStr"/>
      <c r="P141" s="16" t="inlineStr">
        <is>
          <t>Требует обогащения</t>
        </is>
      </c>
      <c r="Q141" s="16">
        <f>HYPERLINK("https://pb.nalog.ru/search.html?query=3808094774","ФНС: проверить")</f>
        <v/>
      </c>
      <c r="R141" s="16">
        <f>HYPERLINK("https://checko.ru/search?query=3801001629","Чекко: проверить")</f>
        <v/>
      </c>
      <c r="S141" t="n">
        <v>1</v>
      </c>
      <c r="T141" s="35" t="inlineStr">
        <is>
          <t>4 — Не обогащён</t>
        </is>
      </c>
      <c r="U141" s="35" t="inlineStr">
        <is>
          <t>Нет ОКВЭД/ССЧР</t>
        </is>
      </c>
      <c r="V141" s="35" t="inlineStr">
        <is>
          <t>Не определено</t>
        </is>
      </c>
      <c r="W141" s="35" t="inlineStr"/>
      <c r="X141" s="35" t="inlineStr"/>
    </row>
    <row r="142" ht="15" customHeight="1" s="24">
      <c r="A142" s="13" t="n">
        <v>9137382</v>
      </c>
      <c r="B142" s="13" t="inlineStr">
        <is>
          <t>ТИПОГРАФИЯ ПРИЗМА ООО</t>
        </is>
      </c>
      <c r="C142" s="13" t="n">
        <v>3848003188</v>
      </c>
      <c r="D142" s="13" t="inlineStr">
        <is>
          <t>3848003188</t>
        </is>
      </c>
      <c r="E142" s="13" t="inlineStr">
        <is>
          <t>ЮЛ РФ</t>
        </is>
      </c>
      <c r="F142" s="13" t="n"/>
      <c r="G142" s="52" t="n">
        <v>24</v>
      </c>
      <c r="H142" s="52" t="n">
        <v>2025</v>
      </c>
      <c r="I142" s="52" t="inlineStr">
        <is>
          <t>18.11</t>
        </is>
      </c>
      <c r="J142" s="52" t="inlineStr">
        <is>
          <t>18.11; 17.23; 17.29; 18.12; 18.13; 18.14; 41.20; 46.49; 46.90; 47.61; 47.78.9; 47.79.3; 52.10; 52.29; 58.11.1; 58.13; 58.14; 63.11.1; 68.10; 68.20; 68.31.1; 68.31.2; 68.31.3; 68.31.4; 70.22; 73.11; 82.99; 93.19</t>
        </is>
      </c>
      <c r="K142" s="53" t="inlineStr">
        <is>
          <t>Да</t>
        </is>
      </c>
      <c r="L142" s="53" t="inlineStr">
        <is>
          <t>Да</t>
        </is>
      </c>
      <c r="M142" s="53" t="inlineStr">
        <is>
          <t>До 25</t>
        </is>
      </c>
      <c r="N142" s="54" t="n">
        <v>8400</v>
      </c>
      <c r="O142" s="55" t="inlineStr">
        <is>
          <t>16–30</t>
        </is>
      </c>
      <c r="P142" s="16" t="inlineStr">
        <is>
          <t>ССЧР + ОКВЭД обогащены</t>
        </is>
      </c>
      <c r="Q142" s="16" t="inlineStr">
        <is>
          <t>ФНС открытые данные ССЧР (ДатаСост 31.12.2025; набор 7707329152-sshr2019)</t>
        </is>
      </c>
      <c r="R142" s="16" t="inlineStr">
        <is>
          <t>ЕГРЮЛ / egrul.nalog.ru (выписка)</t>
        </is>
      </c>
      <c r="S142" t="n">
        <v>1</v>
      </c>
      <c r="T142" s="35" t="inlineStr">
        <is>
          <t>1 — Горячий</t>
        </is>
      </c>
      <c r="U142" s="35" t="inlineStr">
        <is>
          <t>ОКВЭД + 22+</t>
        </is>
      </c>
      <c r="V142" s="35" t="inlineStr">
        <is>
          <t>Да</t>
        </is>
      </c>
      <c r="W142" s="35" t="inlineStr">
        <is>
          <t>Да</t>
        </is>
      </c>
      <c r="X142" s="35" t="inlineStr">
        <is>
          <t>Да</t>
        </is>
      </c>
    </row>
    <row r="143" ht="15" customHeight="1" s="24">
      <c r="A143" s="13" t="n">
        <v>9123073</v>
      </c>
      <c r="B143" s="13" t="inlineStr">
        <is>
          <t>МС ТЕРМО И КОМФОРТ ИРКУТСК</t>
        </is>
      </c>
      <c r="C143" s="13" t="n">
        <v>3811043272</v>
      </c>
      <c r="D143" s="13" t="inlineStr">
        <is>
          <t>3811043272</t>
        </is>
      </c>
      <c r="E143" s="13" t="inlineStr">
        <is>
          <t>ЮЛ РФ</t>
        </is>
      </c>
      <c r="F143" s="13" t="n"/>
      <c r="G143" s="52" t="n">
        <v>3</v>
      </c>
      <c r="H143" s="52" t="n">
        <v>2025</v>
      </c>
      <c r="I143" s="14" t="n"/>
      <c r="J143" s="14" t="n"/>
      <c r="K143" s="53" t="inlineStr">
        <is>
          <t>Нет</t>
        </is>
      </c>
      <c r="L143" s="53" t="inlineStr">
        <is>
          <t>Не определено</t>
        </is>
      </c>
      <c r="M143" s="53" t="inlineStr">
        <is>
          <t>До 10</t>
        </is>
      </c>
      <c r="N143" s="54" t="n">
        <v>3360</v>
      </c>
      <c r="O143" s="55" t="inlineStr">
        <is>
          <t>1–15</t>
        </is>
      </c>
      <c r="P143" s="16" t="inlineStr">
        <is>
          <t>ССЧР обогащена; ОКВЭД не найден/не загружен</t>
        </is>
      </c>
      <c r="Q143" s="16" t="inlineStr">
        <is>
          <t>ФНС открытые данные ССЧР (ДатаСост 31.12.2025; набор 7707329152-sshr2019)</t>
        </is>
      </c>
      <c r="R143" s="16">
        <f>HYPERLINK("https://checko.ru/search?query=3801001629","Чекко: проверить")</f>
        <v/>
      </c>
      <c r="S143" t="n">
        <v>1</v>
      </c>
      <c r="T143" s="35" t="inlineStr">
        <is>
          <t>4 — Не обогащён</t>
        </is>
      </c>
      <c r="U143" s="35" t="inlineStr">
        <is>
          <t>Нет ОКВЭД/ССЧР</t>
        </is>
      </c>
      <c r="V143" s="35" t="inlineStr">
        <is>
          <t>Не определено</t>
        </is>
      </c>
      <c r="W143" s="35" t="inlineStr">
        <is>
          <t>Нет</t>
        </is>
      </c>
      <c r="X143" s="35" t="inlineStr"/>
    </row>
    <row r="144" ht="15" customHeight="1" s="24">
      <c r="A144" s="13" t="n">
        <v>802477570</v>
      </c>
      <c r="B144" s="13" t="inlineStr">
        <is>
          <t>СТРОЙТРАНССИБ ООО</t>
        </is>
      </c>
      <c r="C144" s="13" t="n">
        <v>3849065910</v>
      </c>
      <c r="D144" s="13" t="inlineStr">
        <is>
          <t>3849065910</t>
        </is>
      </c>
      <c r="E144" s="13" t="inlineStr">
        <is>
          <t>ЮЛ РФ</t>
        </is>
      </c>
      <c r="F144" s="13" t="n"/>
      <c r="G144" s="52" t="n">
        <v>32</v>
      </c>
      <c r="H144" s="52" t="n">
        <v>2025</v>
      </c>
      <c r="I144" s="52" t="inlineStr">
        <is>
          <t>43.12</t>
        </is>
      </c>
      <c r="J144" s="52" t="inlineStr">
        <is>
          <t>43.12; 25.11; 41.20; 42.11; 42.21; 43.11; 43.32.1; 43.32.2; 43.32.3; 43.34; 43.34.1; 43.39; 43.99; 81.30</t>
        </is>
      </c>
      <c r="K144" s="53" t="inlineStr">
        <is>
          <t>Да</t>
        </is>
      </c>
      <c r="L144" s="53" t="inlineStr">
        <is>
          <t>Да</t>
        </is>
      </c>
      <c r="M144" s="53" t="inlineStr">
        <is>
          <t>До 50</t>
        </is>
      </c>
      <c r="N144" s="54" t="n">
        <v>16800</v>
      </c>
      <c r="O144" s="55" t="inlineStr">
        <is>
          <t>31–50</t>
        </is>
      </c>
      <c r="P144" s="16" t="inlineStr">
        <is>
          <t>ССЧР + ОКВЭД обогащены</t>
        </is>
      </c>
      <c r="Q144" s="16" t="inlineStr">
        <is>
          <t>ФНС открытые данные ССЧР (ДатаСост 31.12.2025; набор 7707329152-sshr2019)</t>
        </is>
      </c>
      <c r="R144" s="16" t="inlineStr">
        <is>
          <t>ЕГРЮЛ / egrul.nalog.ru (выписка)</t>
        </is>
      </c>
      <c r="S144" t="n">
        <v>1</v>
      </c>
      <c r="T144" s="35" t="inlineStr">
        <is>
          <t>1 — Горячий</t>
        </is>
      </c>
      <c r="U144" s="35" t="inlineStr">
        <is>
          <t>ОКВЭД + 22+</t>
        </is>
      </c>
      <c r="V144" s="35" t="inlineStr">
        <is>
          <t>Да</t>
        </is>
      </c>
      <c r="W144" s="35" t="inlineStr">
        <is>
          <t>Да</t>
        </is>
      </c>
      <c r="X144" s="35" t="inlineStr">
        <is>
          <t>Да</t>
        </is>
      </c>
    </row>
    <row r="145" ht="27.75" customHeight="1" s="24">
      <c r="A145" s="13" t="n">
        <v>9857991</v>
      </c>
      <c r="B145" s="13" t="inlineStr">
        <is>
          <t>Иркутская Областная организация Горно-Металлургического Профсоюз</t>
        </is>
      </c>
      <c r="C145" s="13" t="n">
        <v>3809011964</v>
      </c>
      <c r="D145" s="13" t="inlineStr">
        <is>
          <t>3809011964</t>
        </is>
      </c>
      <c r="E145" s="13" t="inlineStr">
        <is>
          <t>ЮЛ РФ</t>
        </is>
      </c>
      <c r="F145" s="13" t="n"/>
      <c r="G145" s="14" t="n"/>
      <c r="H145" s="14" t="n"/>
      <c r="I145" s="14" t="n"/>
      <c r="J145" s="14" t="n"/>
      <c r="K145" s="53" t="inlineStr"/>
      <c r="L145" s="53" t="inlineStr">
        <is>
          <t>Не определено</t>
        </is>
      </c>
      <c r="M145" s="53" t="inlineStr"/>
      <c r="N145" s="54" t="inlineStr"/>
      <c r="O145" s="55" t="inlineStr"/>
      <c r="P145" s="16" t="inlineStr">
        <is>
          <t>Требует обогащения</t>
        </is>
      </c>
      <c r="Q145" s="16">
        <f>HYPERLINK("https://pb.nalog.ru/search.html?query=3809011964","ФНС: проверить")</f>
        <v/>
      </c>
      <c r="R145" s="16">
        <f>HYPERLINK("https://checko.ru/search?query=3801001629","Чекко: проверить")</f>
        <v/>
      </c>
      <c r="S145" t="n">
        <v>1</v>
      </c>
      <c r="T145" s="35" t="inlineStr">
        <is>
          <t>4 — Не обогащён</t>
        </is>
      </c>
      <c r="U145" s="35" t="inlineStr">
        <is>
          <t>Нет ОКВЭД/ССЧР</t>
        </is>
      </c>
      <c r="V145" s="35" t="inlineStr">
        <is>
          <t>Не определено</t>
        </is>
      </c>
      <c r="W145" s="35" t="inlineStr"/>
      <c r="X145" s="35" t="inlineStr"/>
    </row>
    <row r="146" ht="27.75" customHeight="1" s="24">
      <c r="A146" s="13" t="n">
        <v>10332223</v>
      </c>
      <c r="B146" s="13" t="inlineStr">
        <is>
          <t>ООО Иркутская универсальная база Облпотребсоюза</t>
        </is>
      </c>
      <c r="C146" s="13" t="n">
        <v>3807004707</v>
      </c>
      <c r="D146" s="13" t="inlineStr">
        <is>
          <t>3807004707</t>
        </is>
      </c>
      <c r="E146" s="13" t="inlineStr">
        <is>
          <t>ЮЛ РФ</t>
        </is>
      </c>
      <c r="F146" s="13" t="n"/>
      <c r="G146" s="52" t="n">
        <v>10</v>
      </c>
      <c r="H146" s="52" t="n">
        <v>2025</v>
      </c>
      <c r="I146" s="14" t="n"/>
      <c r="J146" s="14" t="n"/>
      <c r="K146" s="53" t="inlineStr">
        <is>
          <t>Нет</t>
        </is>
      </c>
      <c r="L146" s="53" t="inlineStr">
        <is>
          <t>Не определено</t>
        </is>
      </c>
      <c r="M146" s="53" t="inlineStr">
        <is>
          <t>До 10</t>
        </is>
      </c>
      <c r="N146" s="54" t="n">
        <v>3360</v>
      </c>
      <c r="O146" s="55" t="inlineStr">
        <is>
          <t>1–15</t>
        </is>
      </c>
      <c r="P146" s="16" t="inlineStr">
        <is>
          <t>ССЧР обогащена; ОКВЭД не найден/не загружен</t>
        </is>
      </c>
      <c r="Q146" s="16" t="inlineStr">
        <is>
          <t>ФНС открытые данные ССЧР (ДатаСост 31.12.2025; набор 7707329152-sshr2019)</t>
        </is>
      </c>
      <c r="R146" s="16">
        <f>HYPERLINK("https://checko.ru/search?query=3801001629","Чекко: проверить")</f>
        <v/>
      </c>
      <c r="S146" t="n">
        <v>1</v>
      </c>
      <c r="T146" s="35" t="inlineStr">
        <is>
          <t>4 — Не обогащён</t>
        </is>
      </c>
      <c r="U146" s="35" t="inlineStr">
        <is>
          <t>Нет ОКВЭД/ССЧР</t>
        </is>
      </c>
      <c r="V146" s="35" t="inlineStr">
        <is>
          <t>Не определено</t>
        </is>
      </c>
      <c r="W146" s="35" t="inlineStr">
        <is>
          <t>Нет</t>
        </is>
      </c>
      <c r="X146" s="35" t="inlineStr"/>
    </row>
    <row r="147" ht="15" customHeight="1" s="24">
      <c r="A147" s="13" t="n">
        <v>802451732</v>
      </c>
      <c r="B147" s="13" t="inlineStr">
        <is>
          <t>ООО "Регион"</t>
        </is>
      </c>
      <c r="C147" s="13" t="n">
        <v>3810044361</v>
      </c>
      <c r="D147" s="13" t="inlineStr">
        <is>
          <t>3810044361</t>
        </is>
      </c>
      <c r="E147" s="13" t="inlineStr">
        <is>
          <t>ЮЛ РФ</t>
        </is>
      </c>
      <c r="F147" s="13" t="n"/>
      <c r="G147" s="52" t="n">
        <v>60</v>
      </c>
      <c r="H147" s="52" t="n">
        <v>2025</v>
      </c>
      <c r="I147" s="52" t="inlineStr">
        <is>
          <t>46.38</t>
        </is>
      </c>
      <c r="J147" s="52" t="inlineStr">
        <is>
          <t>46.38; 49.41.2; 52.10.9; 46.21</t>
        </is>
      </c>
      <c r="K147" s="53" t="inlineStr">
        <is>
          <t>Да</t>
        </is>
      </c>
      <c r="L147" s="53" t="inlineStr">
        <is>
          <t>Да</t>
        </is>
      </c>
      <c r="M147" s="53" t="inlineStr">
        <is>
          <t>До 100</t>
        </is>
      </c>
      <c r="N147" s="54" t="n">
        <v>33600</v>
      </c>
      <c r="O147" s="55" t="inlineStr">
        <is>
          <t>51–100</t>
        </is>
      </c>
      <c r="P147" s="16" t="inlineStr">
        <is>
          <t>ССЧР + ОКВЭД обогащены</t>
        </is>
      </c>
      <c r="Q147" s="16" t="inlineStr">
        <is>
          <t>ФНС открытые данные ССЧР (ДатаСост 31.12.2025; набор 7707329152-sshr2019)</t>
        </is>
      </c>
      <c r="R147" s="16" t="inlineStr">
        <is>
          <t>ЕГРЮЛ / egrul.nalog.ru (выписка)</t>
        </is>
      </c>
      <c r="S147" t="n">
        <v>1</v>
      </c>
      <c r="T147" s="35" t="inlineStr">
        <is>
          <t>1 — Горячий</t>
        </is>
      </c>
      <c r="U147" s="35" t="inlineStr">
        <is>
          <t>ОКВЭД + 22+</t>
        </is>
      </c>
      <c r="V147" s="35" t="inlineStr">
        <is>
          <t>Да</t>
        </is>
      </c>
      <c r="W147" s="35" t="inlineStr">
        <is>
          <t>Да</t>
        </is>
      </c>
      <c r="X147" s="35" t="inlineStr">
        <is>
          <t>Да</t>
        </is>
      </c>
    </row>
    <row r="148" ht="41.25" customHeight="1" s="24">
      <c r="A148" s="13" t="n">
        <v>800840429</v>
      </c>
      <c r="B148" s="13" t="inlineStr">
        <is>
          <t>ОБЩЕСТВО С ОГРАНИЧЕННОЙ ОТВЕТСТВЕННОСТЬЮ "СКЛАДСКОЙ ЛОГИСТИЧЕСКИЙ КОМПЛЕКС"</t>
        </is>
      </c>
      <c r="C148" s="13" t="n">
        <v>3811007348</v>
      </c>
      <c r="D148" s="13" t="inlineStr">
        <is>
          <t>3811007348</t>
        </is>
      </c>
      <c r="E148" s="13" t="inlineStr">
        <is>
          <t>ЮЛ РФ</t>
        </is>
      </c>
      <c r="F148" s="13" t="n"/>
      <c r="G148" s="52" t="n">
        <v>12</v>
      </c>
      <c r="H148" s="52" t="n">
        <v>2025</v>
      </c>
      <c r="I148" s="14" t="n"/>
      <c r="J148" s="14" t="n"/>
      <c r="K148" s="53" t="inlineStr">
        <is>
          <t>Нет</t>
        </is>
      </c>
      <c r="L148" s="53" t="inlineStr">
        <is>
          <t>Не определено</t>
        </is>
      </c>
      <c r="M148" s="53" t="inlineStr">
        <is>
          <t>До 25</t>
        </is>
      </c>
      <c r="N148" s="54" t="n">
        <v>8400</v>
      </c>
      <c r="O148" s="55" t="inlineStr">
        <is>
          <t>1–15</t>
        </is>
      </c>
      <c r="P148" s="16" t="inlineStr">
        <is>
          <t>ССЧР обогащена; ОКВЭД не найден/не загружен</t>
        </is>
      </c>
      <c r="Q148" s="16" t="inlineStr">
        <is>
          <t>ФНС открытые данные ССЧР (ДатаСост 31.12.2025; набор 7707329152-sshr2019)</t>
        </is>
      </c>
      <c r="R148" s="16">
        <f>HYPERLINK("https://checko.ru/search?query=3801001629","Чекко: проверить")</f>
        <v/>
      </c>
      <c r="S148" t="n">
        <v>1</v>
      </c>
      <c r="T148" s="35" t="inlineStr">
        <is>
          <t>4 — Не обогащён</t>
        </is>
      </c>
      <c r="U148" s="35" t="inlineStr">
        <is>
          <t>Нет ОКВЭД/ССЧР</t>
        </is>
      </c>
      <c r="V148" s="35" t="inlineStr">
        <is>
          <t>Не определено</t>
        </is>
      </c>
      <c r="W148" s="35" t="inlineStr">
        <is>
          <t>Нет</t>
        </is>
      </c>
      <c r="X148" s="35" t="inlineStr"/>
    </row>
    <row r="149" ht="15" customHeight="1" s="24">
      <c r="A149" s="13" t="n">
        <v>9129345</v>
      </c>
      <c r="B149" s="13" t="inlineStr">
        <is>
          <t>ООО ТКФ "Русь"</t>
        </is>
      </c>
      <c r="C149" s="13" t="n">
        <v>3810001745</v>
      </c>
      <c r="D149" s="13" t="inlineStr">
        <is>
          <t>3810001745</t>
        </is>
      </c>
      <c r="E149" s="13" t="inlineStr">
        <is>
          <t>ЮЛ РФ</t>
        </is>
      </c>
      <c r="F149" s="13" t="n"/>
      <c r="G149" s="52" t="n">
        <v>2</v>
      </c>
      <c r="H149" s="52" t="n">
        <v>2025</v>
      </c>
      <c r="I149" s="14" t="n"/>
      <c r="J149" s="14" t="n"/>
      <c r="K149" s="53" t="inlineStr">
        <is>
          <t>Нет</t>
        </is>
      </c>
      <c r="L149" s="53" t="inlineStr">
        <is>
          <t>Не определено</t>
        </is>
      </c>
      <c r="M149" s="53" t="inlineStr">
        <is>
          <t>До 10</t>
        </is>
      </c>
      <c r="N149" s="54" t="n">
        <v>3360</v>
      </c>
      <c r="O149" s="55" t="inlineStr">
        <is>
          <t>1–15</t>
        </is>
      </c>
      <c r="P149" s="16" t="inlineStr">
        <is>
          <t>ССЧР обогащена; ОКВЭД не найден/не загружен</t>
        </is>
      </c>
      <c r="Q149" s="16" t="inlineStr">
        <is>
          <t>ФНС открытые данные ССЧР (ДатаСост 31.12.2025; набор 7707329152-sshr2019)</t>
        </is>
      </c>
      <c r="R149" s="16">
        <f>HYPERLINK("https://checko.ru/search?query=3801001629","Чекко: проверить")</f>
        <v/>
      </c>
      <c r="S149" t="n">
        <v>1</v>
      </c>
      <c r="T149" s="35" t="inlineStr">
        <is>
          <t>4 — Не обогащён</t>
        </is>
      </c>
      <c r="U149" s="35" t="inlineStr">
        <is>
          <t>Нет ОКВЭД/ССЧР</t>
        </is>
      </c>
      <c r="V149" s="35" t="inlineStr">
        <is>
          <t>Не определено</t>
        </is>
      </c>
      <c r="W149" s="35" t="inlineStr">
        <is>
          <t>Нет</t>
        </is>
      </c>
      <c r="X149" s="35" t="inlineStr"/>
    </row>
    <row r="150" ht="15" customHeight="1" s="24">
      <c r="A150" s="13" t="n">
        <v>801436652</v>
      </c>
      <c r="B150" s="13" t="inlineStr">
        <is>
          <t>ООО "АМУЛЕТ"</t>
        </is>
      </c>
      <c r="C150" s="13" t="n">
        <v>3849038497</v>
      </c>
      <c r="D150" s="13" t="inlineStr">
        <is>
          <t>3849038497</t>
        </is>
      </c>
      <c r="E150" s="13" t="inlineStr">
        <is>
          <t>ЮЛ РФ</t>
        </is>
      </c>
      <c r="F150" s="13" t="n"/>
      <c r="G150" s="52" t="n">
        <v>11</v>
      </c>
      <c r="H150" s="52" t="n">
        <v>2025</v>
      </c>
      <c r="I150" s="14" t="n"/>
      <c r="J150" s="14" t="n"/>
      <c r="K150" s="53" t="inlineStr">
        <is>
          <t>Нет</t>
        </is>
      </c>
      <c r="L150" s="53" t="inlineStr">
        <is>
          <t>Не определено</t>
        </is>
      </c>
      <c r="M150" s="53" t="inlineStr">
        <is>
          <t>До 25</t>
        </is>
      </c>
      <c r="N150" s="54" t="n">
        <v>8400</v>
      </c>
      <c r="O150" s="55" t="inlineStr">
        <is>
          <t>1–15</t>
        </is>
      </c>
      <c r="P150" s="16" t="inlineStr">
        <is>
          <t>ССЧР обогащена; ОКВЭД не найден/не загружен</t>
        </is>
      </c>
      <c r="Q150" s="16" t="inlineStr">
        <is>
          <t>ФНС открытые данные ССЧР (ДатаСост 31.12.2025; набор 7707329152-sshr2019)</t>
        </is>
      </c>
      <c r="R150" s="16">
        <f>HYPERLINK("https://checko.ru/search?query=3801001629","Чекко: проверить")</f>
        <v/>
      </c>
      <c r="S150" t="n">
        <v>1</v>
      </c>
      <c r="T150" s="35" t="inlineStr">
        <is>
          <t>4 — Не обогащён</t>
        </is>
      </c>
      <c r="U150" s="35" t="inlineStr">
        <is>
          <t>Нет ОКВЭД/ССЧР</t>
        </is>
      </c>
      <c r="V150" s="35" t="inlineStr">
        <is>
          <t>Не определено</t>
        </is>
      </c>
      <c r="W150" s="35" t="inlineStr">
        <is>
          <t>Нет</t>
        </is>
      </c>
      <c r="X150" s="35" t="inlineStr"/>
    </row>
    <row r="151" ht="15" customHeight="1" s="24">
      <c r="A151" s="13" t="n">
        <v>802506442</v>
      </c>
      <c r="B151" s="13" t="inlineStr">
        <is>
          <t>ООО "777"</t>
        </is>
      </c>
      <c r="C151" s="13" t="n">
        <v>3818015267</v>
      </c>
      <c r="D151" s="13" t="inlineStr">
        <is>
          <t>3818015267</t>
        </is>
      </c>
      <c r="E151" s="13" t="inlineStr">
        <is>
          <t>ЮЛ РФ</t>
        </is>
      </c>
      <c r="F151" s="13" t="n"/>
      <c r="G151" s="52" t="n">
        <v>2</v>
      </c>
      <c r="H151" s="52" t="n">
        <v>2025</v>
      </c>
      <c r="I151" s="14" t="n"/>
      <c r="J151" s="14" t="n"/>
      <c r="K151" s="53" t="inlineStr">
        <is>
          <t>Нет</t>
        </is>
      </c>
      <c r="L151" s="53" t="inlineStr">
        <is>
          <t>Не определено</t>
        </is>
      </c>
      <c r="M151" s="53" t="inlineStr">
        <is>
          <t>До 10</t>
        </is>
      </c>
      <c r="N151" s="54" t="n">
        <v>3360</v>
      </c>
      <c r="O151" s="55" t="inlineStr">
        <is>
          <t>1–15</t>
        </is>
      </c>
      <c r="P151" s="16" t="inlineStr">
        <is>
          <t>ССЧР обогащена; ОКВЭД не найден/не загружен</t>
        </is>
      </c>
      <c r="Q151" s="16" t="inlineStr">
        <is>
          <t>ФНС открытые данные ССЧР (ДатаСост 31.12.2025; набор 7707329152-sshr2019)</t>
        </is>
      </c>
      <c r="R151" s="16">
        <f>HYPERLINK("https://checko.ru/search?query=3801001629","Чекко: проверить")</f>
        <v/>
      </c>
      <c r="S151" t="n">
        <v>1</v>
      </c>
      <c r="T151" s="35" t="inlineStr">
        <is>
          <t>4 — Не обогащён</t>
        </is>
      </c>
      <c r="U151" s="35" t="inlineStr">
        <is>
          <t>Нет ОКВЭД/ССЧР</t>
        </is>
      </c>
      <c r="V151" s="35" t="inlineStr">
        <is>
          <t>Не определено</t>
        </is>
      </c>
      <c r="W151" s="35" t="inlineStr">
        <is>
          <t>Нет</t>
        </is>
      </c>
      <c r="X151" s="35" t="inlineStr"/>
    </row>
    <row r="152" ht="15" customHeight="1" s="24">
      <c r="A152" s="13" t="n">
        <v>9174569</v>
      </c>
      <c r="B152" s="13" t="inlineStr">
        <is>
          <t>Панорама +, ООО</t>
        </is>
      </c>
      <c r="C152" s="13" t="n">
        <v>3808156653</v>
      </c>
      <c r="D152" s="13" t="inlineStr">
        <is>
          <t>3808156653</t>
        </is>
      </c>
      <c r="E152" s="13" t="inlineStr">
        <is>
          <t>ЮЛ РФ</t>
        </is>
      </c>
      <c r="F152" s="13" t="n"/>
      <c r="G152" s="52" t="n">
        <v>54</v>
      </c>
      <c r="H152" s="52" t="n">
        <v>2025</v>
      </c>
      <c r="I152" s="52" t="inlineStr">
        <is>
          <t>56.29</t>
        </is>
      </c>
      <c r="J152" s="52" t="inlineStr">
        <is>
          <t>56.29; 52.23.19; 56.10.1; 56.10.3; 56.30; 82.99</t>
        </is>
      </c>
      <c r="K152" s="53" t="inlineStr">
        <is>
          <t>Да</t>
        </is>
      </c>
      <c r="L152" s="53" t="inlineStr">
        <is>
          <t>Да</t>
        </is>
      </c>
      <c r="M152" s="53" t="inlineStr">
        <is>
          <t>До 100</t>
        </is>
      </c>
      <c r="N152" s="54" t="n">
        <v>33600</v>
      </c>
      <c r="O152" s="55" t="inlineStr">
        <is>
          <t>51–100</t>
        </is>
      </c>
      <c r="P152" s="16" t="inlineStr">
        <is>
          <t>ССЧР + ОКВЭД обогащены</t>
        </is>
      </c>
      <c r="Q152" s="16" t="inlineStr">
        <is>
          <t>ФНС открытые данные ССЧР (ДатаСост 31.12.2025; набор 7707329152-sshr2019)</t>
        </is>
      </c>
      <c r="R152" s="16" t="inlineStr">
        <is>
          <t>ЕГРЮЛ / egrul.nalog.ru (выписка)</t>
        </is>
      </c>
      <c r="S152" t="n">
        <v>1</v>
      </c>
      <c r="T152" s="35" t="inlineStr">
        <is>
          <t>1 — Горячий</t>
        </is>
      </c>
      <c r="U152" s="35" t="inlineStr">
        <is>
          <t>ОКВЭД + 22+</t>
        </is>
      </c>
      <c r="V152" s="35" t="inlineStr">
        <is>
          <t>Да</t>
        </is>
      </c>
      <c r="W152" s="35" t="inlineStr">
        <is>
          <t>Да</t>
        </is>
      </c>
      <c r="X152" s="35" t="inlineStr">
        <is>
          <t>Да</t>
        </is>
      </c>
    </row>
    <row r="153" ht="27.75" customHeight="1" s="24">
      <c r="A153" s="13" t="n">
        <v>800839999</v>
      </c>
      <c r="B153" s="13" t="inlineStr">
        <is>
          <t>ОБЩЕСТВО С ОГРАНИЧЕННОЙ ОТВЕТСТВЕННОСТЬЮ "ВОСТОКСВЯЗЬ"</t>
        </is>
      </c>
      <c r="C153" s="13" t="n">
        <v>3812534523</v>
      </c>
      <c r="D153" s="13" t="inlineStr">
        <is>
          <t>3812534523</t>
        </is>
      </c>
      <c r="E153" s="13" t="inlineStr">
        <is>
          <t>ЮЛ РФ</t>
        </is>
      </c>
      <c r="F153" s="13" t="n"/>
      <c r="G153" s="52" t="n">
        <v>10</v>
      </c>
      <c r="H153" s="52" t="n">
        <v>2025</v>
      </c>
      <c r="I153" s="14" t="n"/>
      <c r="J153" s="14" t="n"/>
      <c r="K153" s="53" t="inlineStr">
        <is>
          <t>Нет</t>
        </is>
      </c>
      <c r="L153" s="53" t="inlineStr">
        <is>
          <t>Не определено</t>
        </is>
      </c>
      <c r="M153" s="53" t="inlineStr">
        <is>
          <t>До 10</t>
        </is>
      </c>
      <c r="N153" s="54" t="n">
        <v>3360</v>
      </c>
      <c r="O153" s="55" t="inlineStr">
        <is>
          <t>1–15</t>
        </is>
      </c>
      <c r="P153" s="16" t="inlineStr">
        <is>
          <t>ССЧР обогащена; ОКВЭД не найден/не загружен</t>
        </is>
      </c>
      <c r="Q153" s="16" t="inlineStr">
        <is>
          <t>ФНС открытые данные ССЧР (ДатаСост 31.12.2025; набор 7707329152-sshr2019)</t>
        </is>
      </c>
      <c r="R153" s="16">
        <f>HYPERLINK("https://checko.ru/search?query=3801001629","Чекко: проверить")</f>
        <v/>
      </c>
      <c r="S153" t="n">
        <v>1</v>
      </c>
      <c r="T153" s="35" t="inlineStr">
        <is>
          <t>4 — Не обогащён</t>
        </is>
      </c>
      <c r="U153" s="35" t="inlineStr">
        <is>
          <t>Нет ОКВЭД/ССЧР</t>
        </is>
      </c>
      <c r="V153" s="35" t="inlineStr">
        <is>
          <t>Не определено</t>
        </is>
      </c>
      <c r="W153" s="35" t="inlineStr">
        <is>
          <t>Нет</t>
        </is>
      </c>
      <c r="X153" s="35" t="inlineStr"/>
    </row>
    <row r="154" ht="15" customHeight="1" s="24">
      <c r="A154" s="13" t="n">
        <v>800439048</v>
      </c>
      <c r="B154" s="13" t="inlineStr">
        <is>
          <t>ООО "СКАЙ-Лоджистик"</t>
        </is>
      </c>
      <c r="C154" s="13" t="n">
        <v>3811169275</v>
      </c>
      <c r="D154" s="13" t="inlineStr">
        <is>
          <t>3811169275</t>
        </is>
      </c>
      <c r="E154" s="13" t="inlineStr">
        <is>
          <t>ЮЛ РФ</t>
        </is>
      </c>
      <c r="F154" s="13" t="n"/>
      <c r="G154" s="52" t="n">
        <v>5</v>
      </c>
      <c r="H154" s="52" t="n">
        <v>2025</v>
      </c>
      <c r="I154" s="14" t="n"/>
      <c r="J154" s="14" t="n"/>
      <c r="K154" s="53" t="inlineStr">
        <is>
          <t>Нет</t>
        </is>
      </c>
      <c r="L154" s="53" t="inlineStr">
        <is>
          <t>Не определено</t>
        </is>
      </c>
      <c r="M154" s="53" t="inlineStr">
        <is>
          <t>До 10</t>
        </is>
      </c>
      <c r="N154" s="54" t="n">
        <v>3360</v>
      </c>
      <c r="O154" s="55" t="inlineStr">
        <is>
          <t>1–15</t>
        </is>
      </c>
      <c r="P154" s="16" t="inlineStr">
        <is>
          <t>ССЧР обогащена; ОКВЭД не найден/не загружен</t>
        </is>
      </c>
      <c r="Q154" s="16" t="inlineStr">
        <is>
          <t>ФНС открытые данные ССЧР (ДатаСост 31.12.2025; набор 7707329152-sshr2019)</t>
        </is>
      </c>
      <c r="R154" s="16">
        <f>HYPERLINK("https://checko.ru/search?query=3801001629","Чекко: проверить")</f>
        <v/>
      </c>
      <c r="S154" t="n">
        <v>1</v>
      </c>
      <c r="T154" s="35" t="inlineStr">
        <is>
          <t>4 — Не обогащён</t>
        </is>
      </c>
      <c r="U154" s="35" t="inlineStr">
        <is>
          <t>Нет ОКВЭД/ССЧР</t>
        </is>
      </c>
      <c r="V154" s="35" t="inlineStr">
        <is>
          <t>Не определено</t>
        </is>
      </c>
      <c r="W154" s="35" t="inlineStr">
        <is>
          <t>Нет</t>
        </is>
      </c>
      <c r="X154" s="35" t="inlineStr"/>
    </row>
    <row r="155" ht="27.75" customHeight="1" s="24">
      <c r="A155" s="13" t="n">
        <v>804711261</v>
      </c>
      <c r="B155" s="13" t="inlineStr">
        <is>
          <t>Индивидуальный предприниматель Ружников Дмитрий Владимирович</t>
        </is>
      </c>
      <c r="C155" s="13" t="n">
        <v>380894922581</v>
      </c>
      <c r="D155" s="13" t="inlineStr">
        <is>
          <t>380894922581</t>
        </is>
      </c>
      <c r="E155" s="13" t="inlineStr">
        <is>
          <t>ИП РФ / физлицо</t>
        </is>
      </c>
      <c r="F155" s="13" t="n"/>
      <c r="G155" s="14" t="n"/>
      <c r="H155" s="14" t="n"/>
      <c r="I155" s="14" t="n"/>
      <c r="J155" s="14" t="n"/>
      <c r="K155" s="53" t="inlineStr"/>
      <c r="L155" s="53" t="inlineStr">
        <is>
          <t>Не определено</t>
        </is>
      </c>
      <c r="M155" s="53" t="inlineStr"/>
      <c r="N155" s="54" t="inlineStr"/>
      <c r="O155" s="55" t="inlineStr"/>
      <c r="P155" s="16" t="inlineStr">
        <is>
          <t>Требует обогащения</t>
        </is>
      </c>
      <c r="Q155" s="16">
        <f>HYPERLINK("https://pb.nalog.ru/search.html?query=380894922581","ФНС: проверить")</f>
        <v/>
      </c>
      <c r="R155" s="16">
        <f>HYPERLINK("https://checko.ru/search?query=3801001629","Чекко: проверить")</f>
        <v/>
      </c>
      <c r="S155" t="n">
        <v>1</v>
      </c>
      <c r="T155" s="35" t="inlineStr">
        <is>
          <t>4 — Не обогащён</t>
        </is>
      </c>
      <c r="U155" s="35" t="inlineStr">
        <is>
          <t>Нет ОКВЭД/ССЧР</t>
        </is>
      </c>
      <c r="V155" s="35" t="inlineStr">
        <is>
          <t>Не определено</t>
        </is>
      </c>
      <c r="W155" s="35" t="inlineStr"/>
      <c r="X155" s="35" t="inlineStr"/>
    </row>
    <row r="156" ht="15" customHeight="1" s="24">
      <c r="A156" s="13" t="n">
        <v>804670629</v>
      </c>
      <c r="B156" s="13" t="inlineStr">
        <is>
          <t>ООО "ДОМСТИЛЬ"</t>
        </is>
      </c>
      <c r="C156" s="13" t="n">
        <v>3801156301</v>
      </c>
      <c r="D156" s="13" t="inlineStr">
        <is>
          <t>3801156301</t>
        </is>
      </c>
      <c r="E156" s="13" t="inlineStr">
        <is>
          <t>ЮЛ РФ</t>
        </is>
      </c>
      <c r="F156" s="13" t="n"/>
      <c r="G156" s="52" t="n">
        <v>74</v>
      </c>
      <c r="H156" s="52" t="n">
        <v>2025</v>
      </c>
      <c r="I156" s="52" t="inlineStr">
        <is>
          <t>47.19</t>
        </is>
      </c>
      <c r="J156" s="52" t="inlineStr">
        <is>
          <t>47.19; 45.40.1; 45.40.3; 46.14.1; 46.15; 46.43; 46.47; 46.51.1; 46.52; 46.65; 47.41; 47.42; 47.43; 47.59; 52.29; 68.20.2</t>
        </is>
      </c>
      <c r="K156" s="53" t="inlineStr">
        <is>
          <t>Да</t>
        </is>
      </c>
      <c r="L156" s="53" t="inlineStr">
        <is>
          <t>Да</t>
        </is>
      </c>
      <c r="M156" s="53" t="inlineStr">
        <is>
          <t>До 100</t>
        </is>
      </c>
      <c r="N156" s="54" t="n">
        <v>33600</v>
      </c>
      <c r="O156" s="55" t="inlineStr">
        <is>
          <t>51–100</t>
        </is>
      </c>
      <c r="P156" s="16" t="inlineStr">
        <is>
          <t>ССЧР + ОКВЭД обогащены</t>
        </is>
      </c>
      <c r="Q156" s="16" t="inlineStr">
        <is>
          <t>ФНС открытые данные ССЧР (ДатаСост 31.12.2025; набор 7707329152-sshr2019)</t>
        </is>
      </c>
      <c r="R156" s="16" t="inlineStr">
        <is>
          <t>ЕГРЮЛ / egrul.nalog.ru (выписка)</t>
        </is>
      </c>
      <c r="S156" t="n">
        <v>1</v>
      </c>
      <c r="T156" s="35" t="inlineStr">
        <is>
          <t>1 — Горячий</t>
        </is>
      </c>
      <c r="U156" s="35" t="inlineStr">
        <is>
          <t>ОКВЭД + 22+</t>
        </is>
      </c>
      <c r="V156" s="35" t="inlineStr">
        <is>
          <t>Да</t>
        </is>
      </c>
      <c r="W156" s="35" t="inlineStr">
        <is>
          <t>Да</t>
        </is>
      </c>
      <c r="X156" s="35" t="inlineStr">
        <is>
          <t>Да</t>
        </is>
      </c>
    </row>
    <row r="157" ht="15" customHeight="1" s="24">
      <c r="A157" s="13" t="n">
        <v>10563620</v>
      </c>
      <c r="B157" s="13" t="inlineStr">
        <is>
          <t>Управляющая компания РЗС, ООО</t>
        </is>
      </c>
      <c r="C157" s="13" t="n">
        <v>3821011400</v>
      </c>
      <c r="D157" s="13" t="inlineStr">
        <is>
          <t>3821011400</t>
        </is>
      </c>
      <c r="E157" s="13" t="inlineStr">
        <is>
          <t>ЮЛ РФ</t>
        </is>
      </c>
      <c r="F157" s="13" t="n"/>
      <c r="G157" s="52" t="n">
        <v>76</v>
      </c>
      <c r="H157" s="52" t="n">
        <v>2025</v>
      </c>
      <c r="I157" s="52" t="inlineStr">
        <is>
          <t>68.32.1</t>
        </is>
      </c>
      <c r="J157" s="52" t="inlineStr">
        <is>
          <t>68.32.1; 41.20; 43.22; 43.31; 43.32; 43.33; 43.91; 68.32.2; 81.29.9</t>
        </is>
      </c>
      <c r="K157" s="53" t="inlineStr">
        <is>
          <t>Да</t>
        </is>
      </c>
      <c r="L157" s="53" t="inlineStr">
        <is>
          <t>Да</t>
        </is>
      </c>
      <c r="M157" s="53" t="inlineStr">
        <is>
          <t>До 100</t>
        </is>
      </c>
      <c r="N157" s="54" t="n">
        <v>33600</v>
      </c>
      <c r="O157" s="55" t="inlineStr">
        <is>
          <t>51–100</t>
        </is>
      </c>
      <c r="P157" s="16" t="inlineStr">
        <is>
          <t>ССЧР + ОКВЭД обогащены</t>
        </is>
      </c>
      <c r="Q157" s="16" t="inlineStr">
        <is>
          <t>ФНС открытые данные ССЧР (ДатаСост 31.12.2025; набор 7707329152-sshr2019)</t>
        </is>
      </c>
      <c r="R157" s="16" t="inlineStr">
        <is>
          <t>ЕГРЮЛ / egrul.nalog.ru (выписка)</t>
        </is>
      </c>
      <c r="S157" t="n">
        <v>1</v>
      </c>
      <c r="T157" s="35" t="inlineStr">
        <is>
          <t>1 — Горячий</t>
        </is>
      </c>
      <c r="U157" s="35" t="inlineStr">
        <is>
          <t>ОКВЭД + 22+</t>
        </is>
      </c>
      <c r="V157" s="35" t="inlineStr">
        <is>
          <t>Да</t>
        </is>
      </c>
      <c r="W157" s="35" t="inlineStr">
        <is>
          <t>Да</t>
        </is>
      </c>
      <c r="X157" s="35" t="inlineStr">
        <is>
          <t>Да</t>
        </is>
      </c>
    </row>
    <row r="158" ht="15" customHeight="1" s="24">
      <c r="A158" s="13" t="n">
        <v>9830828</v>
      </c>
      <c r="B158" s="13" t="inlineStr">
        <is>
          <t>ООО  НИКА</t>
        </is>
      </c>
      <c r="C158" s="13" t="n">
        <v>3808225096</v>
      </c>
      <c r="D158" s="13" t="inlineStr">
        <is>
          <t>3808225096</t>
        </is>
      </c>
      <c r="E158" s="13" t="inlineStr">
        <is>
          <t>ЮЛ РФ</t>
        </is>
      </c>
      <c r="F158" s="13" t="n"/>
      <c r="G158" s="52" t="n">
        <v>0</v>
      </c>
      <c r="H158" s="52" t="n">
        <v>2025</v>
      </c>
      <c r="I158" s="14" t="n"/>
      <c r="J158" s="14" t="n"/>
      <c r="K158" s="53" t="inlineStr">
        <is>
          <t>Нет</t>
        </is>
      </c>
      <c r="L158" s="53" t="inlineStr">
        <is>
          <t>Не определено</t>
        </is>
      </c>
      <c r="M158" s="53" t="inlineStr">
        <is>
          <t>До 10</t>
        </is>
      </c>
      <c r="N158" s="54" t="n">
        <v>3360</v>
      </c>
      <c r="O158" s="55" t="inlineStr">
        <is>
          <t>1–15</t>
        </is>
      </c>
      <c r="P158" s="16" t="inlineStr">
        <is>
          <t>ССЧР обогащена; ОКВЭД не найден/не загружен</t>
        </is>
      </c>
      <c r="Q158" s="16" t="inlineStr">
        <is>
          <t>ФНС открытые данные ССЧР (ДатаСост 31.12.2025; набор 7707329152-sshr2019)</t>
        </is>
      </c>
      <c r="R158" s="16">
        <f>HYPERLINK("https://checko.ru/search?query=3801001629","Чекко: проверить")</f>
        <v/>
      </c>
      <c r="S158" t="n">
        <v>1</v>
      </c>
      <c r="T158" s="35" t="inlineStr">
        <is>
          <t>4 — Не обогащён</t>
        </is>
      </c>
      <c r="U158" s="35" t="inlineStr">
        <is>
          <t>Нет ОКВЭД/ССЧР</t>
        </is>
      </c>
      <c r="V158" s="35" t="inlineStr">
        <is>
          <t>Не определено</t>
        </is>
      </c>
      <c r="W158" s="35" t="inlineStr">
        <is>
          <t>Нет</t>
        </is>
      </c>
      <c r="X158" s="35" t="inlineStr"/>
    </row>
    <row r="159" ht="15" customHeight="1" s="24">
      <c r="A159" s="13" t="n">
        <v>802327259</v>
      </c>
      <c r="B159" s="13" t="inlineStr">
        <is>
          <t>ИП Буланова Татьяна Вячеславовна</t>
        </is>
      </c>
      <c r="C159" s="13" t="n">
        <v>384800695005</v>
      </c>
      <c r="D159" s="13" t="inlineStr">
        <is>
          <t>384800695005</t>
        </is>
      </c>
      <c r="E159" s="13" t="inlineStr">
        <is>
          <t>ИП РФ / физлицо</t>
        </is>
      </c>
      <c r="F159" s="13" t="n"/>
      <c r="G159" s="14" t="n"/>
      <c r="H159" s="14" t="n"/>
      <c r="I159" s="14" t="n"/>
      <c r="J159" s="14" t="n"/>
      <c r="K159" s="53" t="inlineStr"/>
      <c r="L159" s="53" t="inlineStr">
        <is>
          <t>Не определено</t>
        </is>
      </c>
      <c r="M159" s="53" t="inlineStr"/>
      <c r="N159" s="54" t="inlineStr"/>
      <c r="O159" s="55" t="inlineStr"/>
      <c r="P159" s="16" t="inlineStr">
        <is>
          <t>Требует обогащения</t>
        </is>
      </c>
      <c r="Q159" s="16">
        <f>HYPERLINK("https://pb.nalog.ru/search.html?query=384800695005","ФНС: проверить")</f>
        <v/>
      </c>
      <c r="R159" s="16">
        <f>HYPERLINK("https://checko.ru/search?query=3801001629","Чекко: проверить")</f>
        <v/>
      </c>
      <c r="S159" t="n">
        <v>1</v>
      </c>
      <c r="T159" s="35" t="inlineStr">
        <is>
          <t>4 — Не обогащён</t>
        </is>
      </c>
      <c r="U159" s="35" t="inlineStr">
        <is>
          <t>Нет ОКВЭД/ССЧР</t>
        </is>
      </c>
      <c r="V159" s="35" t="inlineStr">
        <is>
          <t>Не определено</t>
        </is>
      </c>
      <c r="W159" s="35" t="inlineStr"/>
      <c r="X159" s="35" t="inlineStr"/>
    </row>
    <row r="160" ht="15" customHeight="1" s="24">
      <c r="A160" s="13" t="n">
        <v>9880357</v>
      </c>
      <c r="B160" s="13" t="inlineStr">
        <is>
          <t>ООО "Братсктурист"</t>
        </is>
      </c>
      <c r="C160" s="13" t="n">
        <v>3805700730</v>
      </c>
      <c r="D160" s="13" t="inlineStr">
        <is>
          <t>3805700730</t>
        </is>
      </c>
      <c r="E160" s="13" t="inlineStr">
        <is>
          <t>ЮЛ РФ</t>
        </is>
      </c>
      <c r="F160" s="13" t="n"/>
      <c r="G160" s="52" t="n">
        <v>4</v>
      </c>
      <c r="H160" s="52" t="n">
        <v>2025</v>
      </c>
      <c r="I160" s="14" t="n"/>
      <c r="J160" s="14" t="n"/>
      <c r="K160" s="53" t="inlineStr">
        <is>
          <t>Нет</t>
        </is>
      </c>
      <c r="L160" s="53" t="inlineStr">
        <is>
          <t>Не определено</t>
        </is>
      </c>
      <c r="M160" s="53" t="inlineStr">
        <is>
          <t>До 10</t>
        </is>
      </c>
      <c r="N160" s="54" t="n">
        <v>3360</v>
      </c>
      <c r="O160" s="55" t="inlineStr">
        <is>
          <t>1–15</t>
        </is>
      </c>
      <c r="P160" s="16" t="inlineStr">
        <is>
          <t>ССЧР обогащена; ОКВЭД не найден/не загружен</t>
        </is>
      </c>
      <c r="Q160" s="16" t="inlineStr">
        <is>
          <t>ФНС открытые данные ССЧР (ДатаСост 31.12.2025; набор 7707329152-sshr2019)</t>
        </is>
      </c>
      <c r="R160" s="16">
        <f>HYPERLINK("https://checko.ru/search?query=3801001629","Чекко: проверить")</f>
        <v/>
      </c>
      <c r="S160" t="n">
        <v>1</v>
      </c>
      <c r="T160" s="35" t="inlineStr">
        <is>
          <t>4 — Не обогащён</t>
        </is>
      </c>
      <c r="U160" s="35" t="inlineStr">
        <is>
          <t>Нет ОКВЭД/ССЧР</t>
        </is>
      </c>
      <c r="V160" s="35" t="inlineStr">
        <is>
          <t>Не определено</t>
        </is>
      </c>
      <c r="W160" s="35" t="inlineStr">
        <is>
          <t>Нет</t>
        </is>
      </c>
      <c r="X160" s="35" t="inlineStr"/>
    </row>
    <row r="161" ht="27.75" customHeight="1" s="24">
      <c r="A161" s="13" t="n">
        <v>804710686</v>
      </c>
      <c r="B161" s="13" t="inlineStr">
        <is>
          <t>Общество с ограниченной ответственностью "ЭЛАРА"</t>
        </is>
      </c>
      <c r="C161" s="13" t="n">
        <v>3801057981</v>
      </c>
      <c r="D161" s="13" t="inlineStr">
        <is>
          <t>3801057981</t>
        </is>
      </c>
      <c r="E161" s="13" t="inlineStr">
        <is>
          <t>ЮЛ РФ</t>
        </is>
      </c>
      <c r="F161" s="13" t="n"/>
      <c r="G161" s="52" t="n">
        <v>84</v>
      </c>
      <c r="H161" s="52" t="n">
        <v>2025</v>
      </c>
      <c r="I161" s="52" t="inlineStr">
        <is>
          <t>46.71</t>
        </is>
      </c>
      <c r="J161" s="52" t="inlineStr">
        <is>
          <t>46.71; 18.12; 38.32.3; 38.32.4; 45.20.1; 45.20.2; 46.12.1; 46.13.1; 46.71.2; 46.73.1; 46.73.2; 46.77; 46.90; 47.30; 47.52.71; 49.41.2; 52.10.21; 52.21.24; 68.20.2; 73.11; 77.11; 77.39.1; 79.11</t>
        </is>
      </c>
      <c r="K161" s="53" t="inlineStr">
        <is>
          <t>Да</t>
        </is>
      </c>
      <c r="L161" s="53" t="inlineStr">
        <is>
          <t>Да</t>
        </is>
      </c>
      <c r="M161" s="53" t="inlineStr">
        <is>
          <t>До 100</t>
        </is>
      </c>
      <c r="N161" s="54" t="n">
        <v>33600</v>
      </c>
      <c r="O161" s="55" t="inlineStr">
        <is>
          <t>51–100</t>
        </is>
      </c>
      <c r="P161" s="16" t="inlineStr">
        <is>
          <t>ССЧР + ОКВЭД обогащены</t>
        </is>
      </c>
      <c r="Q161" s="16" t="inlineStr">
        <is>
          <t>ФНС открытые данные ССЧР (ДатаСост 31.12.2025; набор 7707329152-sshr2019)</t>
        </is>
      </c>
      <c r="R161" s="16" t="inlineStr">
        <is>
          <t>ЕГРЮЛ / egrul.nalog.ru (выписка)</t>
        </is>
      </c>
      <c r="S161" t="n">
        <v>1</v>
      </c>
      <c r="T161" s="35" t="inlineStr">
        <is>
          <t>1 — Горячий</t>
        </is>
      </c>
      <c r="U161" s="35" t="inlineStr">
        <is>
          <t>ОКВЭД + 22+</t>
        </is>
      </c>
      <c r="V161" s="35" t="inlineStr">
        <is>
          <t>Да</t>
        </is>
      </c>
      <c r="W161" s="35" t="inlineStr">
        <is>
          <t>Да</t>
        </is>
      </c>
      <c r="X161" s="35" t="inlineStr">
        <is>
          <t>Да</t>
        </is>
      </c>
    </row>
    <row r="162" ht="15" customHeight="1" s="24">
      <c r="A162" s="13" t="n">
        <v>802469255</v>
      </c>
      <c r="B162" s="13" t="inlineStr">
        <is>
          <t>ООО "Илим-СМК"</t>
        </is>
      </c>
      <c r="C162" s="13" t="n">
        <v>3812141868</v>
      </c>
      <c r="D162" s="13" t="inlineStr">
        <is>
          <t>3812141868</t>
        </is>
      </c>
      <c r="E162" s="13" t="inlineStr">
        <is>
          <t>ЮЛ РФ</t>
        </is>
      </c>
      <c r="F162" s="13" t="n"/>
      <c r="G162" s="52" t="n">
        <v>20</v>
      </c>
      <c r="H162" s="52" t="n">
        <v>2025</v>
      </c>
      <c r="I162" s="14" t="n"/>
      <c r="J162" s="14" t="n"/>
      <c r="K162" s="53" t="inlineStr">
        <is>
          <t>Нет</t>
        </is>
      </c>
      <c r="L162" s="53" t="inlineStr">
        <is>
          <t>Не определено</t>
        </is>
      </c>
      <c r="M162" s="53" t="inlineStr">
        <is>
          <t>До 25</t>
        </is>
      </c>
      <c r="N162" s="54" t="n">
        <v>8400</v>
      </c>
      <c r="O162" s="55" t="inlineStr">
        <is>
          <t>16–30</t>
        </is>
      </c>
      <c r="P162" s="16" t="inlineStr">
        <is>
          <t>ССЧР обогащена; ОКВЭД не найден/не загружен</t>
        </is>
      </c>
      <c r="Q162" s="16" t="inlineStr">
        <is>
          <t>ФНС открытые данные ССЧР (ДатаСост 31.12.2025; набор 7707329152-sshr2019)</t>
        </is>
      </c>
      <c r="R162" s="16">
        <f>HYPERLINK("https://checko.ru/search?query=3801001629","Чекко: проверить")</f>
        <v/>
      </c>
      <c r="S162" t="n">
        <v>1</v>
      </c>
      <c r="T162" s="35" t="inlineStr">
        <is>
          <t>4 — Не обогащён</t>
        </is>
      </c>
      <c r="U162" s="35" t="inlineStr">
        <is>
          <t>Нет ОКВЭД/ССЧР</t>
        </is>
      </c>
      <c r="V162" s="35" t="inlineStr">
        <is>
          <t>Не определено</t>
        </is>
      </c>
      <c r="W162" s="35" t="inlineStr">
        <is>
          <t>Нет</t>
        </is>
      </c>
      <c r="X162" s="35" t="inlineStr"/>
    </row>
    <row r="163" ht="15" customHeight="1" s="24">
      <c r="A163" s="13" t="n">
        <v>804879939</v>
      </c>
      <c r="B163" s="13" t="inlineStr">
        <is>
          <t>ООО "ФОРЕСТ КОМПАНИ"</t>
        </is>
      </c>
      <c r="C163" s="13" t="n">
        <v>3805701357</v>
      </c>
      <c r="D163" s="13" t="inlineStr">
        <is>
          <t>3805701357</t>
        </is>
      </c>
      <c r="E163" s="13" t="inlineStr">
        <is>
          <t>ЮЛ РФ</t>
        </is>
      </c>
      <c r="F163" s="13" t="n"/>
      <c r="G163" s="52" t="n">
        <v>36</v>
      </c>
      <c r="H163" s="52" t="n">
        <v>2025</v>
      </c>
      <c r="I163" s="52" t="inlineStr">
        <is>
          <t>16.10.1</t>
        </is>
      </c>
      <c r="J163" s="52" t="inlineStr">
        <is>
          <t>16.10.1; 02.20; 49.41.1; 77.12; 16.10; 16.10.2; 16.10.3; 16.10.9; 16.21.22; 16.23; 16.23.1; 16.23.2; 16.24; 46.13; 46.13.1; 46.73.1; 46.73.2; 46.73.6; 46.90; 47.19; 47.52.71; 47.78.9; 47.89; 47.99; 49.10; 49.20; 52.10; 52.24; 52.24.1; 52.24.2</t>
        </is>
      </c>
      <c r="K163" s="53" t="inlineStr">
        <is>
          <t>Да</t>
        </is>
      </c>
      <c r="L163" s="53" t="inlineStr">
        <is>
          <t>Да</t>
        </is>
      </c>
      <c r="M163" s="53" t="inlineStr">
        <is>
          <t>До 50</t>
        </is>
      </c>
      <c r="N163" s="54" t="n">
        <v>16800</v>
      </c>
      <c r="O163" s="55" t="inlineStr">
        <is>
          <t>31–50</t>
        </is>
      </c>
      <c r="P163" s="16" t="inlineStr">
        <is>
          <t>ССЧР + ОКВЭД обогащены</t>
        </is>
      </c>
      <c r="Q163" s="16" t="inlineStr">
        <is>
          <t>ФНС открытые данные ССЧР (ДатаСост 31.12.2025; набор 7707329152-sshr2019)</t>
        </is>
      </c>
      <c r="R163" s="16" t="inlineStr">
        <is>
          <t>ЕГРЮЛ / egrul.nalog.ru (выписка)</t>
        </is>
      </c>
      <c r="S163" t="n">
        <v>1</v>
      </c>
      <c r="T163" s="35" t="inlineStr">
        <is>
          <t>1 — Горячий</t>
        </is>
      </c>
      <c r="U163" s="35" t="inlineStr">
        <is>
          <t>ОКВЭД + 22+</t>
        </is>
      </c>
      <c r="V163" s="35" t="inlineStr">
        <is>
          <t>Да</t>
        </is>
      </c>
      <c r="W163" s="35" t="inlineStr">
        <is>
          <t>Да</t>
        </is>
      </c>
      <c r="X163" s="35" t="inlineStr">
        <is>
          <t>Да</t>
        </is>
      </c>
    </row>
    <row r="164" ht="15" customHeight="1" s="24">
      <c r="A164" s="13" t="n">
        <v>804881077</v>
      </c>
      <c r="B164" s="13" t="inlineStr">
        <is>
          <t>Блеск, ООО</t>
        </is>
      </c>
      <c r="C164" s="13" t="n">
        <v>3811000261</v>
      </c>
      <c r="D164" s="13" t="inlineStr">
        <is>
          <t>3811000261</t>
        </is>
      </c>
      <c r="E164" s="13" t="inlineStr">
        <is>
          <t>ЮЛ РФ</t>
        </is>
      </c>
      <c r="F164" s="13" t="n"/>
      <c r="G164" s="52" t="n">
        <v>20</v>
      </c>
      <c r="H164" s="52" t="n">
        <v>2025</v>
      </c>
      <c r="I164" s="14" t="n"/>
      <c r="J164" s="14" t="n"/>
      <c r="K164" s="53" t="inlineStr">
        <is>
          <t>Нет</t>
        </is>
      </c>
      <c r="L164" s="53" t="inlineStr">
        <is>
          <t>Не определено</t>
        </is>
      </c>
      <c r="M164" s="53" t="inlineStr">
        <is>
          <t>До 25</t>
        </is>
      </c>
      <c r="N164" s="54" t="n">
        <v>8400</v>
      </c>
      <c r="O164" s="55" t="inlineStr">
        <is>
          <t>16–30</t>
        </is>
      </c>
      <c r="P164" s="16" t="inlineStr">
        <is>
          <t>ССЧР обогащена; ОКВЭД не найден/не загружен</t>
        </is>
      </c>
      <c r="Q164" s="16" t="inlineStr">
        <is>
          <t>ФНС открытые данные ССЧР (ДатаСост 31.12.2025; набор 7707329152-sshr2019)</t>
        </is>
      </c>
      <c r="R164" s="16">
        <f>HYPERLINK("https://checko.ru/search?query=3801001629","Чекко: проверить")</f>
        <v/>
      </c>
      <c r="S164" t="n">
        <v>1</v>
      </c>
      <c r="T164" s="35" t="inlineStr">
        <is>
          <t>4 — Не обогащён</t>
        </is>
      </c>
      <c r="U164" s="35" t="inlineStr">
        <is>
          <t>Нет ОКВЭД/ССЧР</t>
        </is>
      </c>
      <c r="V164" s="35" t="inlineStr">
        <is>
          <t>Не определено</t>
        </is>
      </c>
      <c r="W164" s="35" t="inlineStr">
        <is>
          <t>Нет</t>
        </is>
      </c>
      <c r="X164" s="35" t="inlineStr"/>
    </row>
    <row r="165" ht="15" customHeight="1" s="24">
      <c r="A165" s="13" t="n">
        <v>802515144</v>
      </c>
      <c r="B165" s="13" t="inlineStr">
        <is>
          <t>ООО "Тулун-ТелеКом"</t>
        </is>
      </c>
      <c r="C165" s="13" t="n">
        <v>3816011570</v>
      </c>
      <c r="D165" s="13" t="inlineStr">
        <is>
          <t>3816011570</t>
        </is>
      </c>
      <c r="E165" s="13" t="inlineStr">
        <is>
          <t>ЮЛ РФ</t>
        </is>
      </c>
      <c r="F165" s="13" t="n"/>
      <c r="G165" s="52" t="n">
        <v>12</v>
      </c>
      <c r="H165" s="52" t="n">
        <v>2025</v>
      </c>
      <c r="I165" s="14" t="n"/>
      <c r="J165" s="14" t="n"/>
      <c r="K165" s="53" t="inlineStr">
        <is>
          <t>Нет</t>
        </is>
      </c>
      <c r="L165" s="53" t="inlineStr">
        <is>
          <t>Не определено</t>
        </is>
      </c>
      <c r="M165" s="53" t="inlineStr">
        <is>
          <t>До 25</t>
        </is>
      </c>
      <c r="N165" s="54" t="n">
        <v>8400</v>
      </c>
      <c r="O165" s="55" t="inlineStr">
        <is>
          <t>1–15</t>
        </is>
      </c>
      <c r="P165" s="16" t="inlineStr">
        <is>
          <t>ССЧР обогащена; ОКВЭД не найден/не загружен</t>
        </is>
      </c>
      <c r="Q165" s="16" t="inlineStr">
        <is>
          <t>ФНС открытые данные ССЧР (ДатаСост 31.12.2025; набор 7707329152-sshr2019)</t>
        </is>
      </c>
      <c r="R165" s="16">
        <f>HYPERLINK("https://checko.ru/search?query=3801001629","Чекко: проверить")</f>
        <v/>
      </c>
      <c r="S165" t="n">
        <v>1</v>
      </c>
      <c r="T165" s="35" t="inlineStr">
        <is>
          <t>4 — Не обогащён</t>
        </is>
      </c>
      <c r="U165" s="35" t="inlineStr">
        <is>
          <t>Нет ОКВЭД/ССЧР</t>
        </is>
      </c>
      <c r="V165" s="35" t="inlineStr">
        <is>
          <t>Не определено</t>
        </is>
      </c>
      <c r="W165" s="35" t="inlineStr">
        <is>
          <t>Нет</t>
        </is>
      </c>
      <c r="X165" s="35" t="inlineStr"/>
    </row>
    <row r="166" ht="15" customHeight="1" s="24">
      <c r="A166" s="13" t="n">
        <v>804953680</v>
      </c>
      <c r="B166" s="13" t="inlineStr">
        <is>
          <t>Зуботехнический  центр ООО</t>
        </is>
      </c>
      <c r="C166" s="13" t="n">
        <v>3808138196</v>
      </c>
      <c r="D166" s="13" t="inlineStr">
        <is>
          <t>3808138196</t>
        </is>
      </c>
      <c r="E166" s="13" t="inlineStr">
        <is>
          <t>ЮЛ РФ</t>
        </is>
      </c>
      <c r="F166" s="13" t="n"/>
      <c r="G166" s="52" t="n">
        <v>15</v>
      </c>
      <c r="H166" s="52" t="n">
        <v>2025</v>
      </c>
      <c r="I166" s="14" t="n"/>
      <c r="J166" s="14" t="n"/>
      <c r="K166" s="53" t="inlineStr">
        <is>
          <t>Нет</t>
        </is>
      </c>
      <c r="L166" s="53" t="inlineStr">
        <is>
          <t>Не определено</t>
        </is>
      </c>
      <c r="M166" s="53" t="inlineStr">
        <is>
          <t>До 25</t>
        </is>
      </c>
      <c r="N166" s="54" t="n">
        <v>8400</v>
      </c>
      <c r="O166" s="55" t="inlineStr">
        <is>
          <t>1–15</t>
        </is>
      </c>
      <c r="P166" s="16" t="inlineStr">
        <is>
          <t>ССЧР обогащена; ОКВЭД не найден/не загружен</t>
        </is>
      </c>
      <c r="Q166" s="16" t="inlineStr">
        <is>
          <t>ФНС открытые данные ССЧР (ДатаСост 31.12.2025; набор 7707329152-sshr2019)</t>
        </is>
      </c>
      <c r="R166" s="16">
        <f>HYPERLINK("https://checko.ru/search?query=3801001629","Чекко: проверить")</f>
        <v/>
      </c>
      <c r="S166" t="n">
        <v>1</v>
      </c>
      <c r="T166" s="35" t="inlineStr">
        <is>
          <t>4 — Не обогащён</t>
        </is>
      </c>
      <c r="U166" s="35" t="inlineStr">
        <is>
          <t>Нет ОКВЭД/ССЧР</t>
        </is>
      </c>
      <c r="V166" s="35" t="inlineStr">
        <is>
          <t>Не определено</t>
        </is>
      </c>
      <c r="W166" s="35" t="inlineStr">
        <is>
          <t>Нет</t>
        </is>
      </c>
      <c r="X166" s="35" t="inlineStr"/>
    </row>
    <row r="167" ht="41.25" customHeight="1" s="24">
      <c r="A167" s="13" t="n">
        <v>801106849</v>
      </c>
      <c r="B167" s="13" t="inlineStr">
        <is>
          <t>МБОУ ДОД "Специализированная детско-юношеская спортивная школа олимпийского резерва"</t>
        </is>
      </c>
      <c r="C167" s="13" t="n">
        <v>3803204487</v>
      </c>
      <c r="D167" s="13" t="inlineStr">
        <is>
          <t>3803204487</t>
        </is>
      </c>
      <c r="E167" s="13" t="inlineStr">
        <is>
          <t>ЮЛ РФ</t>
        </is>
      </c>
      <c r="F167" s="13" t="n"/>
      <c r="G167" s="14" t="n"/>
      <c r="H167" s="14" t="n"/>
      <c r="I167" s="14" t="n"/>
      <c r="J167" s="14" t="n"/>
      <c r="K167" s="53" t="inlineStr"/>
      <c r="L167" s="53" t="inlineStr">
        <is>
          <t>Не определено</t>
        </is>
      </c>
      <c r="M167" s="53" t="inlineStr"/>
      <c r="N167" s="54" t="inlineStr"/>
      <c r="O167" s="55" t="inlineStr"/>
      <c r="P167" s="16" t="inlineStr">
        <is>
          <t>Требует обогащения</t>
        </is>
      </c>
      <c r="Q167" s="16">
        <f>HYPERLINK("https://pb.nalog.ru/search.html?query=3803204487","ФНС: проверить")</f>
        <v/>
      </c>
      <c r="R167" s="16">
        <f>HYPERLINK("https://checko.ru/search?query=3801001629","Чекко: проверить")</f>
        <v/>
      </c>
      <c r="S167" t="n">
        <v>1</v>
      </c>
      <c r="T167" s="35" t="inlineStr">
        <is>
          <t>4 — Не обогащён</t>
        </is>
      </c>
      <c r="U167" s="35" t="inlineStr">
        <is>
          <t>Нет ОКВЭД/ССЧР</t>
        </is>
      </c>
      <c r="V167" s="35" t="inlineStr">
        <is>
          <t>Не определено</t>
        </is>
      </c>
      <c r="W167" s="35" t="inlineStr"/>
      <c r="X167" s="35" t="inlineStr"/>
    </row>
    <row r="168" ht="15" customHeight="1" s="24">
      <c r="A168" s="13" t="n">
        <v>10631767</v>
      </c>
      <c r="B168" s="13" t="inlineStr">
        <is>
          <t>МОУ ДОД «ДЮСТШ «Рекорд»</t>
        </is>
      </c>
      <c r="C168" s="13" t="n">
        <v>3805705440</v>
      </c>
      <c r="D168" s="13" t="inlineStr">
        <is>
          <t>3805705440</t>
        </is>
      </c>
      <c r="E168" s="13" t="inlineStr">
        <is>
          <t>ЮЛ РФ</t>
        </is>
      </c>
      <c r="F168" s="13" t="n"/>
      <c r="G168" s="14" t="n"/>
      <c r="H168" s="14" t="n"/>
      <c r="I168" s="14" t="n"/>
      <c r="J168" s="14" t="n"/>
      <c r="K168" s="53" t="inlineStr"/>
      <c r="L168" s="53" t="inlineStr">
        <is>
          <t>Не определено</t>
        </is>
      </c>
      <c r="M168" s="53" t="inlineStr"/>
      <c r="N168" s="54" t="inlineStr"/>
      <c r="O168" s="55" t="inlineStr"/>
      <c r="P168" s="16" t="inlineStr">
        <is>
          <t>Требует обогащения</t>
        </is>
      </c>
      <c r="Q168" s="16">
        <f>HYPERLINK("https://pb.nalog.ru/search.html?query=3805705440","ФНС: проверить")</f>
        <v/>
      </c>
      <c r="R168" s="16">
        <f>HYPERLINK("https://checko.ru/search?query=3801001629","Чекко: проверить")</f>
        <v/>
      </c>
      <c r="S168" t="n">
        <v>1</v>
      </c>
      <c r="T168" s="35" t="inlineStr">
        <is>
          <t>4 — Не обогащён</t>
        </is>
      </c>
      <c r="U168" s="35" t="inlineStr">
        <is>
          <t>Нет ОКВЭД/ССЧР</t>
        </is>
      </c>
      <c r="V168" s="35" t="inlineStr">
        <is>
          <t>Не определено</t>
        </is>
      </c>
      <c r="W168" s="35" t="inlineStr"/>
      <c r="X168" s="35" t="inlineStr"/>
    </row>
    <row r="169" ht="27.75" customHeight="1" s="24">
      <c r="A169" s="13" t="n">
        <v>800236240</v>
      </c>
      <c r="B169" s="13" t="inlineStr">
        <is>
          <t>МКУ Финансовое управление Администрации МО "Нукутский район"</t>
        </is>
      </c>
      <c r="C169" s="13" t="n">
        <v>8504004249</v>
      </c>
      <c r="D169" s="13" t="inlineStr">
        <is>
          <t>8504004249</t>
        </is>
      </c>
      <c r="E169" s="13" t="inlineStr">
        <is>
          <t>ЮЛ РФ</t>
        </is>
      </c>
      <c r="F169" s="13" t="n"/>
      <c r="G169" s="14" t="n"/>
      <c r="H169" s="14" t="n"/>
      <c r="I169" s="14" t="n"/>
      <c r="J169" s="14" t="n"/>
      <c r="K169" s="53" t="inlineStr"/>
      <c r="L169" s="53" t="inlineStr">
        <is>
          <t>Не определено</t>
        </is>
      </c>
      <c r="M169" s="53" t="inlineStr"/>
      <c r="N169" s="54" t="inlineStr"/>
      <c r="O169" s="55" t="inlineStr"/>
      <c r="P169" s="16" t="inlineStr">
        <is>
          <t>Требует обогащения</t>
        </is>
      </c>
      <c r="Q169" s="16">
        <f>HYPERLINK("https://pb.nalog.ru/search.html?query=8504004249","ФНС: проверить")</f>
        <v/>
      </c>
      <c r="R169" s="16">
        <f>HYPERLINK("https://checko.ru/search?query=3801001629","Чекко: проверить")</f>
        <v/>
      </c>
      <c r="S169" t="n">
        <v>1</v>
      </c>
      <c r="T169" s="35" t="inlineStr">
        <is>
          <t>4 — Не обогащён</t>
        </is>
      </c>
      <c r="U169" s="35" t="inlineStr">
        <is>
          <t>Нет ОКВЭД/ССЧР</t>
        </is>
      </c>
      <c r="V169" s="35" t="inlineStr">
        <is>
          <t>Не определено</t>
        </is>
      </c>
      <c r="W169" s="35" t="inlineStr"/>
      <c r="X169" s="35" t="inlineStr"/>
    </row>
    <row r="170" ht="54.75" customHeight="1" s="24">
      <c r="A170" s="13" t="n">
        <v>800233838</v>
      </c>
      <c r="B170" s="13" t="inlineStr">
        <is>
          <t>Учебно-тренажерный центр нефтегазового дела по подготовке, переподготовке и повышению квалификации специалистов нефтегазовой отрасли Иркутского национ</t>
        </is>
      </c>
      <c r="C170" s="13" t="n">
        <v>3812014066</v>
      </c>
      <c r="D170" s="13" t="inlineStr">
        <is>
          <t>3812014066</t>
        </is>
      </c>
      <c r="E170" s="13" t="inlineStr">
        <is>
          <t>ЮЛ РФ</t>
        </is>
      </c>
      <c r="F170" s="13" t="n"/>
      <c r="G170" s="14" t="n"/>
      <c r="H170" s="14" t="n"/>
      <c r="I170" s="14" t="n"/>
      <c r="J170" s="14" t="n"/>
      <c r="K170" s="53" t="inlineStr"/>
      <c r="L170" s="53" t="inlineStr">
        <is>
          <t>Не определено</t>
        </is>
      </c>
      <c r="M170" s="53" t="inlineStr"/>
      <c r="N170" s="54" t="inlineStr"/>
      <c r="O170" s="55" t="inlineStr"/>
      <c r="P170" s="16" t="inlineStr">
        <is>
          <t>Требует обогащения</t>
        </is>
      </c>
      <c r="Q170" s="16">
        <f>HYPERLINK("https://pb.nalog.ru/search.html?query=3812014066","ФНС: проверить")</f>
        <v/>
      </c>
      <c r="R170" s="16">
        <f>HYPERLINK("https://checko.ru/search?query=3801001629","Чекко: проверить")</f>
        <v/>
      </c>
      <c r="S170" t="n">
        <v>1</v>
      </c>
      <c r="T170" s="35" t="inlineStr">
        <is>
          <t>4 — Не обогащён</t>
        </is>
      </c>
      <c r="U170" s="35" t="inlineStr">
        <is>
          <t>Нет ОКВЭД/ССЧР</t>
        </is>
      </c>
      <c r="V170" s="35" t="inlineStr">
        <is>
          <t>Не определено</t>
        </is>
      </c>
      <c r="W170" s="35" t="inlineStr"/>
      <c r="X170" s="35" t="inlineStr"/>
    </row>
    <row r="171" ht="27.75" customHeight="1" s="24">
      <c r="A171" s="13" t="n">
        <v>800221131</v>
      </c>
      <c r="B171" s="13" t="inlineStr">
        <is>
          <t>МОУ "Средняя общеобразовательная школа №31 имени А.П.Жданова"</t>
        </is>
      </c>
      <c r="C171" s="13" t="n">
        <v>3803203490</v>
      </c>
      <c r="D171" s="13" t="inlineStr">
        <is>
          <t>3803203490</t>
        </is>
      </c>
      <c r="E171" s="13" t="inlineStr">
        <is>
          <t>ЮЛ РФ</t>
        </is>
      </c>
      <c r="F171" s="13" t="n"/>
      <c r="G171" s="14" t="n"/>
      <c r="H171" s="14" t="n"/>
      <c r="I171" s="14" t="n"/>
      <c r="J171" s="14" t="n"/>
      <c r="K171" s="53" t="inlineStr"/>
      <c r="L171" s="53" t="inlineStr">
        <is>
          <t>Не определено</t>
        </is>
      </c>
      <c r="M171" s="53" t="inlineStr"/>
      <c r="N171" s="54" t="inlineStr"/>
      <c r="O171" s="55" t="inlineStr"/>
      <c r="P171" s="16" t="inlineStr">
        <is>
          <t>Требует обогащения</t>
        </is>
      </c>
      <c r="Q171" s="16">
        <f>HYPERLINK("https://pb.nalog.ru/search.html?query=3803203490","ФНС: проверить")</f>
        <v/>
      </c>
      <c r="R171" s="16">
        <f>HYPERLINK("https://checko.ru/search?query=3801001629","Чекко: проверить")</f>
        <v/>
      </c>
      <c r="S171" t="n">
        <v>1</v>
      </c>
      <c r="T171" s="35" t="inlineStr">
        <is>
          <t>4 — Не обогащён</t>
        </is>
      </c>
      <c r="U171" s="35" t="inlineStr">
        <is>
          <t>Нет ОКВЭД/ССЧР</t>
        </is>
      </c>
      <c r="V171" s="35" t="inlineStr">
        <is>
          <t>Не определено</t>
        </is>
      </c>
      <c r="W171" s="35" t="inlineStr"/>
      <c r="X171" s="35" t="inlineStr"/>
    </row>
    <row r="172" ht="27.75" customHeight="1" s="24">
      <c r="A172" s="13" t="n">
        <v>800128340</v>
      </c>
      <c r="B172" s="13" t="inlineStr">
        <is>
          <t>Финансовое управление Администрации Усть-Кутского муниципального</t>
        </is>
      </c>
      <c r="C172" s="13" t="n">
        <v>3818001761</v>
      </c>
      <c r="D172" s="13" t="inlineStr">
        <is>
          <t>3818001761</t>
        </is>
      </c>
      <c r="E172" s="13" t="inlineStr">
        <is>
          <t>ЮЛ РФ</t>
        </is>
      </c>
      <c r="F172" s="13" t="n"/>
      <c r="G172" s="14" t="n"/>
      <c r="H172" s="14" t="n"/>
      <c r="I172" s="14" t="n"/>
      <c r="J172" s="14" t="n"/>
      <c r="K172" s="53" t="inlineStr"/>
      <c r="L172" s="53" t="inlineStr">
        <is>
          <t>Не определено</t>
        </is>
      </c>
      <c r="M172" s="53" t="inlineStr"/>
      <c r="N172" s="54" t="inlineStr"/>
      <c r="O172" s="55" t="inlineStr"/>
      <c r="P172" s="16" t="inlineStr">
        <is>
          <t>Требует обогащения</t>
        </is>
      </c>
      <c r="Q172" s="16">
        <f>HYPERLINK("https://pb.nalog.ru/search.html?query=3818001761","ФНС: проверить")</f>
        <v/>
      </c>
      <c r="R172" s="16">
        <f>HYPERLINK("https://checko.ru/search?query=3801001629","Чекко: проверить")</f>
        <v/>
      </c>
      <c r="S172" t="n">
        <v>1</v>
      </c>
      <c r="T172" s="35" t="inlineStr">
        <is>
          <t>4 — Не обогащён</t>
        </is>
      </c>
      <c r="U172" s="35" t="inlineStr">
        <is>
          <t>Нет ОКВЭД/ССЧР</t>
        </is>
      </c>
      <c r="V172" s="35" t="inlineStr">
        <is>
          <t>Не определено</t>
        </is>
      </c>
      <c r="W172" s="35" t="inlineStr"/>
      <c r="X172" s="35" t="inlineStr"/>
    </row>
    <row r="173" ht="15" customHeight="1" s="24">
      <c r="A173" s="13" t="n">
        <v>10632008</v>
      </c>
      <c r="B173" s="13" t="inlineStr">
        <is>
          <t>МБУ "Центр плавания "Спартак" города Иркутска"</t>
        </is>
      </c>
      <c r="C173" s="13" t="n">
        <v>3810339090</v>
      </c>
      <c r="D173" s="13" t="inlineStr">
        <is>
          <t>3810339090</t>
        </is>
      </c>
      <c r="E173" s="13" t="inlineStr">
        <is>
          <t>ЮЛ РФ</t>
        </is>
      </c>
      <c r="F173" s="13" t="n"/>
      <c r="G173" s="14" t="n"/>
      <c r="H173" s="14" t="n"/>
      <c r="I173" s="14" t="n"/>
      <c r="J173" s="14" t="n"/>
      <c r="K173" s="53" t="inlineStr"/>
      <c r="L173" s="53" t="inlineStr">
        <is>
          <t>Не определено</t>
        </is>
      </c>
      <c r="M173" s="53" t="inlineStr"/>
      <c r="N173" s="54" t="inlineStr"/>
      <c r="O173" s="55" t="inlineStr"/>
      <c r="P173" s="16" t="inlineStr">
        <is>
          <t>Требует обогащения</t>
        </is>
      </c>
      <c r="Q173" s="16">
        <f>HYPERLINK("https://pb.nalog.ru/search.html?query=3810339090","ФНС: проверить")</f>
        <v/>
      </c>
      <c r="R173" s="16">
        <f>HYPERLINK("https://checko.ru/search?query=3801001629","Чекко: проверить")</f>
        <v/>
      </c>
      <c r="S173" t="n">
        <v>1</v>
      </c>
      <c r="T173" s="35" t="inlineStr">
        <is>
          <t>4 — Не обогащён</t>
        </is>
      </c>
      <c r="U173" s="35" t="inlineStr">
        <is>
          <t>Нет ОКВЭД/ССЧР</t>
        </is>
      </c>
      <c r="V173" s="35" t="inlineStr">
        <is>
          <t>Не определено</t>
        </is>
      </c>
      <c r="W173" s="35" t="inlineStr"/>
      <c r="X173" s="35" t="inlineStr"/>
    </row>
    <row r="174" ht="27.75" customHeight="1" s="24">
      <c r="A174" s="13" t="n">
        <v>801106844</v>
      </c>
      <c r="B174" s="13" t="inlineStr">
        <is>
          <t>Комитет по финансам администрации муниципального образования «Аларский район»</t>
        </is>
      </c>
      <c r="C174" s="13" t="n">
        <v>8501006343</v>
      </c>
      <c r="D174" s="13" t="inlineStr">
        <is>
          <t>8501006343</t>
        </is>
      </c>
      <c r="E174" s="13" t="inlineStr">
        <is>
          <t>ЮЛ РФ</t>
        </is>
      </c>
      <c r="F174" s="13" t="n"/>
      <c r="G174" s="14" t="n"/>
      <c r="H174" s="14" t="n"/>
      <c r="I174" s="14" t="n"/>
      <c r="J174" s="14" t="n"/>
      <c r="K174" s="53" t="inlineStr"/>
      <c r="L174" s="53" t="inlineStr">
        <is>
          <t>Не определено</t>
        </is>
      </c>
      <c r="M174" s="53" t="inlineStr"/>
      <c r="N174" s="54" t="inlineStr"/>
      <c r="O174" s="55" t="inlineStr"/>
      <c r="P174" s="16" t="inlineStr">
        <is>
          <t>Требует обогащения</t>
        </is>
      </c>
      <c r="Q174" s="16">
        <f>HYPERLINK("https://pb.nalog.ru/search.html?query=8501006343","ФНС: проверить")</f>
        <v/>
      </c>
      <c r="R174" s="16">
        <f>HYPERLINK("https://checko.ru/search?query=3801001629","Чекко: проверить")</f>
        <v/>
      </c>
      <c r="S174" t="n">
        <v>1</v>
      </c>
      <c r="T174" s="35" t="inlineStr">
        <is>
          <t>4 — Не обогащён</t>
        </is>
      </c>
      <c r="U174" s="35" t="inlineStr">
        <is>
          <t>Нет ОКВЭД/ССЧР</t>
        </is>
      </c>
      <c r="V174" s="35" t="inlineStr">
        <is>
          <t>Не определено</t>
        </is>
      </c>
      <c r="W174" s="35" t="inlineStr"/>
      <c r="X174" s="35" t="inlineStr"/>
    </row>
    <row r="175" ht="15" customHeight="1" s="24">
      <c r="A175" s="13" t="n">
        <v>800235555</v>
      </c>
      <c r="B175" s="13" t="inlineStr">
        <is>
          <t>Войсковая часть 59987</t>
        </is>
      </c>
      <c r="C175" s="13" t="n">
        <v>3808045921</v>
      </c>
      <c r="D175" s="13" t="inlineStr">
        <is>
          <t>3808045921</t>
        </is>
      </c>
      <c r="E175" s="13" t="inlineStr">
        <is>
          <t>ЮЛ РФ</t>
        </is>
      </c>
      <c r="F175" s="13" t="n"/>
      <c r="G175" s="14" t="n"/>
      <c r="H175" s="14" t="n"/>
      <c r="I175" s="14" t="n"/>
      <c r="J175" s="14" t="n"/>
      <c r="K175" s="53" t="inlineStr"/>
      <c r="L175" s="53" t="inlineStr">
        <is>
          <t>Не определено</t>
        </is>
      </c>
      <c r="M175" s="53" t="inlineStr"/>
      <c r="N175" s="54" t="inlineStr"/>
      <c r="O175" s="55" t="inlineStr"/>
      <c r="P175" s="16" t="inlineStr">
        <is>
          <t>Требует обогащения</t>
        </is>
      </c>
      <c r="Q175" s="16">
        <f>HYPERLINK("https://pb.nalog.ru/search.html?query=3808045921","ФНС: проверить")</f>
        <v/>
      </c>
      <c r="R175" s="16">
        <f>HYPERLINK("https://checko.ru/search?query=3801001629","Чекко: проверить")</f>
        <v/>
      </c>
      <c r="S175" t="n">
        <v>1</v>
      </c>
      <c r="T175" s="35" t="inlineStr">
        <is>
          <t>4 — Не обогащён</t>
        </is>
      </c>
      <c r="U175" s="35" t="inlineStr">
        <is>
          <t>Нет ОКВЭД/ССЧР</t>
        </is>
      </c>
      <c r="V175" s="35" t="inlineStr">
        <is>
          <t>Не определено</t>
        </is>
      </c>
      <c r="W175" s="35" t="inlineStr"/>
      <c r="X175" s="35" t="inlineStr"/>
    </row>
    <row r="176" ht="27.75" customHeight="1" s="24">
      <c r="A176" s="13" t="n">
        <v>801105765</v>
      </c>
      <c r="B176" s="13" t="inlineStr">
        <is>
          <t>Администрация Мамского городского поселения Мамско-Чуйского района</t>
        </is>
      </c>
      <c r="C176" s="13" t="n">
        <v>3802010545</v>
      </c>
      <c r="D176" s="13" t="inlineStr">
        <is>
          <t>3802010545</t>
        </is>
      </c>
      <c r="E176" s="13" t="inlineStr">
        <is>
          <t>ЮЛ РФ</t>
        </is>
      </c>
      <c r="F176" s="13" t="n"/>
      <c r="G176" s="14" t="n"/>
      <c r="H176" s="14" t="n"/>
      <c r="I176" s="14" t="n"/>
      <c r="J176" s="14" t="n"/>
      <c r="K176" s="53" t="inlineStr"/>
      <c r="L176" s="53" t="inlineStr">
        <is>
          <t>Не определено</t>
        </is>
      </c>
      <c r="M176" s="53" t="inlineStr"/>
      <c r="N176" s="54" t="inlineStr"/>
      <c r="O176" s="55" t="inlineStr"/>
      <c r="P176" s="16" t="inlineStr">
        <is>
          <t>Требует обогащения</t>
        </is>
      </c>
      <c r="Q176" s="16">
        <f>HYPERLINK("https://pb.nalog.ru/search.html?query=3802010545","ФНС: проверить")</f>
        <v/>
      </c>
      <c r="R176" s="16">
        <f>HYPERLINK("https://checko.ru/search?query=3801001629","Чекко: проверить")</f>
        <v/>
      </c>
      <c r="S176" t="n">
        <v>1</v>
      </c>
      <c r="T176" s="35" t="inlineStr">
        <is>
          <t>4 — Не обогащён</t>
        </is>
      </c>
      <c r="U176" s="35" t="inlineStr">
        <is>
          <t>Нет ОКВЭД/ССЧР</t>
        </is>
      </c>
      <c r="V176" s="35" t="inlineStr">
        <is>
          <t>Не определено</t>
        </is>
      </c>
      <c r="W176" s="35" t="inlineStr"/>
      <c r="X176" s="35" t="inlineStr"/>
    </row>
    <row r="177" ht="41.25" customHeight="1" s="24">
      <c r="A177" s="13" t="n">
        <v>802681235</v>
      </c>
      <c r="B177" s="13" t="inlineStr">
        <is>
          <t>УПРАВЛЕНИЕ ФЕДЕРАЛЬНОЙ СЛУЖБЫ БЕЗОПАСНОСТИ РОССИЙСКОЙ ФЕДЕРАЦИИ ПО ИРКУТСКОЙ ОБЛАСТИ</t>
        </is>
      </c>
      <c r="C177" s="13" t="n">
        <v>3808024777</v>
      </c>
      <c r="D177" s="13" t="inlineStr">
        <is>
          <t>3808024777</t>
        </is>
      </c>
      <c r="E177" s="13" t="inlineStr">
        <is>
          <t>ЮЛ РФ</t>
        </is>
      </c>
      <c r="F177" s="13" t="n"/>
      <c r="G177" s="14" t="n"/>
      <c r="H177" s="14" t="n"/>
      <c r="I177" s="14" t="n"/>
      <c r="J177" s="14" t="n"/>
      <c r="K177" s="53" t="inlineStr"/>
      <c r="L177" s="53" t="inlineStr">
        <is>
          <t>Не определено</t>
        </is>
      </c>
      <c r="M177" s="53" t="inlineStr"/>
      <c r="N177" s="54" t="inlineStr"/>
      <c r="O177" s="55" t="inlineStr"/>
      <c r="P177" s="16" t="inlineStr">
        <is>
          <t>Требует обогащения</t>
        </is>
      </c>
      <c r="Q177" s="16">
        <f>HYPERLINK("https://pb.nalog.ru/search.html?query=3808024777","ФНС: проверить")</f>
        <v/>
      </c>
      <c r="R177" s="16">
        <f>HYPERLINK("https://checko.ru/search?query=3801001629","Чекко: проверить")</f>
        <v/>
      </c>
      <c r="S177" t="n">
        <v>1</v>
      </c>
      <c r="T177" s="35" t="inlineStr">
        <is>
          <t>4 — Не обогащён</t>
        </is>
      </c>
      <c r="U177" s="35" t="inlineStr">
        <is>
          <t>Нет ОКВЭД/ССЧР</t>
        </is>
      </c>
      <c r="V177" s="35" t="inlineStr">
        <is>
          <t>Не определено</t>
        </is>
      </c>
      <c r="W177" s="35" t="inlineStr"/>
      <c r="X177" s="35" t="inlineStr"/>
    </row>
    <row r="178" ht="27.75" customHeight="1" s="24">
      <c r="A178" s="13" t="n">
        <v>801280079</v>
      </c>
      <c r="B178" s="13" t="inlineStr">
        <is>
          <t>Финансовое управление Бодайбинского городского поселения</t>
        </is>
      </c>
      <c r="C178" s="13" t="n">
        <v>3802010560</v>
      </c>
      <c r="D178" s="13" t="inlineStr">
        <is>
          <t>3802010560</t>
        </is>
      </c>
      <c r="E178" s="13" t="inlineStr">
        <is>
          <t>ЮЛ РФ</t>
        </is>
      </c>
      <c r="F178" s="13" t="n"/>
      <c r="G178" s="14" t="n"/>
      <c r="H178" s="14" t="n"/>
      <c r="I178" s="14" t="n"/>
      <c r="J178" s="14" t="n"/>
      <c r="K178" s="53" t="inlineStr"/>
      <c r="L178" s="53" t="inlineStr">
        <is>
          <t>Не определено</t>
        </is>
      </c>
      <c r="M178" s="53" t="inlineStr"/>
      <c r="N178" s="54" t="inlineStr"/>
      <c r="O178" s="55" t="inlineStr"/>
      <c r="P178" s="16" t="inlineStr">
        <is>
          <t>Требует обогащения</t>
        </is>
      </c>
      <c r="Q178" s="16">
        <f>HYPERLINK("https://pb.nalog.ru/search.html?query=3802010560","ФНС: проверить")</f>
        <v/>
      </c>
      <c r="R178" s="16">
        <f>HYPERLINK("https://checko.ru/search?query=3801001629","Чекко: проверить")</f>
        <v/>
      </c>
      <c r="S178" t="n">
        <v>1</v>
      </c>
      <c r="T178" s="35" t="inlineStr">
        <is>
          <t>4 — Не обогащён</t>
        </is>
      </c>
      <c r="U178" s="35" t="inlineStr">
        <is>
          <t>Нет ОКВЭД/ССЧР</t>
        </is>
      </c>
      <c r="V178" s="35" t="inlineStr">
        <is>
          <t>Не определено</t>
        </is>
      </c>
      <c r="W178" s="35" t="inlineStr"/>
      <c r="X178" s="35" t="inlineStr"/>
    </row>
    <row r="179" ht="15" customHeight="1" s="24">
      <c r="A179" s="13" t="n">
        <v>800233065</v>
      </c>
      <c r="B179" s="13" t="inlineStr">
        <is>
          <t>КУМИ Слюдянского района</t>
        </is>
      </c>
      <c r="C179" s="13" t="n">
        <v>3837045193</v>
      </c>
      <c r="D179" s="13" t="inlineStr">
        <is>
          <t>3837045193</t>
        </is>
      </c>
      <c r="E179" s="13" t="inlineStr">
        <is>
          <t>ЮЛ РФ</t>
        </is>
      </c>
      <c r="F179" s="13" t="n"/>
      <c r="G179" s="14" t="n"/>
      <c r="H179" s="14" t="n"/>
      <c r="I179" s="14" t="n"/>
      <c r="J179" s="14" t="n"/>
      <c r="K179" s="53" t="inlineStr"/>
      <c r="L179" s="53" t="inlineStr">
        <is>
          <t>Не определено</t>
        </is>
      </c>
      <c r="M179" s="53" t="inlineStr"/>
      <c r="N179" s="54" t="inlineStr"/>
      <c r="O179" s="55" t="inlineStr"/>
      <c r="P179" s="16" t="inlineStr">
        <is>
          <t>Требует обогащения</t>
        </is>
      </c>
      <c r="Q179" s="16">
        <f>HYPERLINK("https://pb.nalog.ru/search.html?query=3837045193","ФНС: проверить")</f>
        <v/>
      </c>
      <c r="R179" s="16">
        <f>HYPERLINK("https://checko.ru/search?query=3801001629","Чекко: проверить")</f>
        <v/>
      </c>
      <c r="S179" t="n">
        <v>1</v>
      </c>
      <c r="T179" s="35" t="inlineStr">
        <is>
          <t>4 — Не обогащён</t>
        </is>
      </c>
      <c r="U179" s="35" t="inlineStr">
        <is>
          <t>Нет ОКВЭД/ССЧР</t>
        </is>
      </c>
      <c r="V179" s="35" t="inlineStr">
        <is>
          <t>Не определено</t>
        </is>
      </c>
      <c r="W179" s="35" t="inlineStr"/>
      <c r="X179" s="35" t="inlineStr"/>
    </row>
    <row r="180" ht="15" customHeight="1" s="24">
      <c r="A180" s="13" t="n">
        <v>800152278</v>
      </c>
      <c r="B180" s="13" t="inlineStr">
        <is>
          <t>Детский досуговый центр Любимовка</t>
        </is>
      </c>
      <c r="C180" s="13" t="n">
        <v>3808071270</v>
      </c>
      <c r="D180" s="13" t="inlineStr">
        <is>
          <t>3808071270</t>
        </is>
      </c>
      <c r="E180" s="13" t="inlineStr">
        <is>
          <t>ЮЛ РФ</t>
        </is>
      </c>
      <c r="F180" s="13" t="n"/>
      <c r="G180" s="14" t="n"/>
      <c r="H180" s="14" t="n"/>
      <c r="I180" s="14" t="n"/>
      <c r="J180" s="14" t="n"/>
      <c r="K180" s="53" t="inlineStr"/>
      <c r="L180" s="53" t="inlineStr">
        <is>
          <t>Не определено</t>
        </is>
      </c>
      <c r="M180" s="53" t="inlineStr"/>
      <c r="N180" s="54" t="inlineStr"/>
      <c r="O180" s="55" t="inlineStr"/>
      <c r="P180" s="16" t="inlineStr">
        <is>
          <t>Требует обогащения</t>
        </is>
      </c>
      <c r="Q180" s="16">
        <f>HYPERLINK("https://pb.nalog.ru/search.html?query=3808071270","ФНС: проверить")</f>
        <v/>
      </c>
      <c r="R180" s="16">
        <f>HYPERLINK("https://checko.ru/search?query=3801001629","Чекко: проверить")</f>
        <v/>
      </c>
      <c r="S180" t="n">
        <v>1</v>
      </c>
      <c r="T180" s="35" t="inlineStr">
        <is>
          <t>4 — Не обогащён</t>
        </is>
      </c>
      <c r="U180" s="35" t="inlineStr">
        <is>
          <t>Нет ОКВЭД/ССЧР</t>
        </is>
      </c>
      <c r="V180" s="35" t="inlineStr">
        <is>
          <t>Не определено</t>
        </is>
      </c>
      <c r="W180" s="35" t="inlineStr"/>
      <c r="X180" s="35" t="inlineStr"/>
    </row>
    <row r="181" ht="15" customHeight="1" s="24">
      <c r="A181" s="13" t="n">
        <v>800152096</v>
      </c>
      <c r="B181" s="13" t="inlineStr">
        <is>
          <t>Усть-Ордынская ДМШ</t>
        </is>
      </c>
      <c r="C181" s="13" t="n">
        <v>8506007661</v>
      </c>
      <c r="D181" s="13" t="inlineStr">
        <is>
          <t>8506007661</t>
        </is>
      </c>
      <c r="E181" s="13" t="inlineStr">
        <is>
          <t>ЮЛ РФ</t>
        </is>
      </c>
      <c r="F181" s="13" t="n"/>
      <c r="G181" s="14" t="n"/>
      <c r="H181" s="14" t="n"/>
      <c r="I181" s="14" t="n"/>
      <c r="J181" s="14" t="n"/>
      <c r="K181" s="53" t="inlineStr"/>
      <c r="L181" s="53" t="inlineStr">
        <is>
          <t>Не определено</t>
        </is>
      </c>
      <c r="M181" s="53" t="inlineStr"/>
      <c r="N181" s="54" t="inlineStr"/>
      <c r="O181" s="55" t="inlineStr"/>
      <c r="P181" s="16" t="inlineStr">
        <is>
          <t>Требует обогащения</t>
        </is>
      </c>
      <c r="Q181" s="16">
        <f>HYPERLINK("https://pb.nalog.ru/search.html?query=8506007661","ФНС: проверить")</f>
        <v/>
      </c>
      <c r="R181" s="16">
        <f>HYPERLINK("https://checko.ru/search?query=3801001629","Чекко: проверить")</f>
        <v/>
      </c>
      <c r="S181" t="n">
        <v>1</v>
      </c>
      <c r="T181" s="35" t="inlineStr">
        <is>
          <t>4 — Не обогащён</t>
        </is>
      </c>
      <c r="U181" s="35" t="inlineStr">
        <is>
          <t>Нет ОКВЭД/ССЧР</t>
        </is>
      </c>
      <c r="V181" s="35" t="inlineStr">
        <is>
          <t>Не определено</t>
        </is>
      </c>
      <c r="W181" s="35" t="inlineStr"/>
      <c r="X181" s="35" t="inlineStr"/>
    </row>
    <row r="182" ht="15" customHeight="1" s="24">
      <c r="A182" s="13" t="n">
        <v>800241371</v>
      </c>
      <c r="B182" s="13" t="inlineStr">
        <is>
          <t>Ангарский филиал ФГБУ "ВСНЦ ЭЧ" СО РАМН</t>
        </is>
      </c>
      <c r="C182" s="13" t="n">
        <v>3808015740</v>
      </c>
      <c r="D182" s="13" t="inlineStr">
        <is>
          <t>3808015740</t>
        </is>
      </c>
      <c r="E182" s="13" t="inlineStr">
        <is>
          <t>ЮЛ РФ</t>
        </is>
      </c>
      <c r="F182" s="13" t="n"/>
      <c r="G182" s="14" t="n"/>
      <c r="H182" s="14" t="n"/>
      <c r="I182" s="14" t="n"/>
      <c r="J182" s="14" t="n"/>
      <c r="K182" s="53" t="inlineStr"/>
      <c r="L182" s="53" t="inlineStr">
        <is>
          <t>Не определено</t>
        </is>
      </c>
      <c r="M182" s="53" t="inlineStr"/>
      <c r="N182" s="54" t="inlineStr"/>
      <c r="O182" s="55" t="inlineStr"/>
      <c r="P182" s="16" t="inlineStr">
        <is>
          <t>Требует обогащения</t>
        </is>
      </c>
      <c r="Q182" s="16">
        <f>HYPERLINK("https://pb.nalog.ru/search.html?query=3808015740","ФНС: проверить")</f>
        <v/>
      </c>
      <c r="R182" s="16">
        <f>HYPERLINK("https://checko.ru/search?query=3801001629","Чекко: проверить")</f>
        <v/>
      </c>
      <c r="S182" t="n">
        <v>1</v>
      </c>
      <c r="T182" s="35" t="inlineStr">
        <is>
          <t>4 — Не обогащён</t>
        </is>
      </c>
      <c r="U182" s="35" t="inlineStr">
        <is>
          <t>Нет ОКВЭД/ССЧР</t>
        </is>
      </c>
      <c r="V182" s="35" t="inlineStr">
        <is>
          <t>Не определено</t>
        </is>
      </c>
      <c r="W182" s="35" t="inlineStr"/>
      <c r="X182" s="35" t="inlineStr"/>
    </row>
    <row r="183" ht="27.75" customHeight="1" s="24">
      <c r="A183" s="13" t="n">
        <v>801115679</v>
      </c>
      <c r="B183" s="13" t="inlineStr">
        <is>
          <t>Шарагайская средняя общеобразовательная школа</t>
        </is>
      </c>
      <c r="C183" s="13" t="n">
        <v>3822001210</v>
      </c>
      <c r="D183" s="13" t="inlineStr">
        <is>
          <t>3822001210</t>
        </is>
      </c>
      <c r="E183" s="13" t="inlineStr">
        <is>
          <t>ЮЛ РФ</t>
        </is>
      </c>
      <c r="F183" s="13" t="n"/>
      <c r="G183" s="14" t="n"/>
      <c r="H183" s="14" t="n"/>
      <c r="I183" s="14" t="n"/>
      <c r="J183" s="14" t="n"/>
      <c r="K183" s="53" t="inlineStr"/>
      <c r="L183" s="53" t="inlineStr">
        <is>
          <t>Не определено</t>
        </is>
      </c>
      <c r="M183" s="53" t="inlineStr"/>
      <c r="N183" s="54" t="inlineStr"/>
      <c r="O183" s="55" t="inlineStr"/>
      <c r="P183" s="16" t="inlineStr">
        <is>
          <t>Требует обогащения</t>
        </is>
      </c>
      <c r="Q183" s="16">
        <f>HYPERLINK("https://pb.nalog.ru/search.html?query=3822001210","ФНС: проверить")</f>
        <v/>
      </c>
      <c r="R183" s="16">
        <f>HYPERLINK("https://checko.ru/search?query=3801001629","Чекко: проверить")</f>
        <v/>
      </c>
      <c r="S183" t="n">
        <v>1</v>
      </c>
      <c r="T183" s="35" t="inlineStr">
        <is>
          <t>4 — Не обогащён</t>
        </is>
      </c>
      <c r="U183" s="35" t="inlineStr">
        <is>
          <t>Нет ОКВЭД/ССЧР</t>
        </is>
      </c>
      <c r="V183" s="35" t="inlineStr">
        <is>
          <t>Не определено</t>
        </is>
      </c>
      <c r="W183" s="35" t="inlineStr"/>
      <c r="X183" s="35" t="inlineStr"/>
    </row>
    <row r="184" ht="41.25" customHeight="1" s="24">
      <c r="A184" s="13" t="n">
        <v>800150954</v>
      </c>
      <c r="B184" s="13" t="inlineStr">
        <is>
          <t>МУНИЦИПАЛЬНОЕ КАЗЕННОЕ УЧРЕЖДЕНИЕ "УПРАВЛЕНИЕ КАПИТАЛЬНОГО СТРОИТЕЛЬСТВА ГОРОДА ИРКУТСКА"</t>
        </is>
      </c>
      <c r="C184" s="13" t="n">
        <v>3808193380</v>
      </c>
      <c r="D184" s="13" t="inlineStr">
        <is>
          <t>3808193380</t>
        </is>
      </c>
      <c r="E184" s="13" t="inlineStr">
        <is>
          <t>ЮЛ РФ</t>
        </is>
      </c>
      <c r="F184" s="13" t="n"/>
      <c r="G184" s="14" t="n"/>
      <c r="H184" s="14" t="n"/>
      <c r="I184" s="14" t="n"/>
      <c r="J184" s="14" t="n"/>
      <c r="K184" s="53" t="inlineStr"/>
      <c r="L184" s="53" t="inlineStr">
        <is>
          <t>Не определено</t>
        </is>
      </c>
      <c r="M184" s="53" t="inlineStr"/>
      <c r="N184" s="54" t="inlineStr"/>
      <c r="O184" s="55" t="inlineStr"/>
      <c r="P184" s="16" t="inlineStr">
        <is>
          <t>Требует обогащения</t>
        </is>
      </c>
      <c r="Q184" s="16">
        <f>HYPERLINK("https://pb.nalog.ru/search.html?query=3808193380","ФНС: проверить")</f>
        <v/>
      </c>
      <c r="R184" s="16">
        <f>HYPERLINK("https://checko.ru/search?query=3801001629","Чекко: проверить")</f>
        <v/>
      </c>
      <c r="S184" t="n">
        <v>1</v>
      </c>
      <c r="T184" s="35" t="inlineStr">
        <is>
          <t>4 — Не обогащён</t>
        </is>
      </c>
      <c r="U184" s="35" t="inlineStr">
        <is>
          <t>Нет ОКВЭД/ССЧР</t>
        </is>
      </c>
      <c r="V184" s="35" t="inlineStr">
        <is>
          <t>Не определено</t>
        </is>
      </c>
      <c r="W184" s="35" t="inlineStr"/>
      <c r="X184" s="35" t="inlineStr"/>
    </row>
    <row r="185" ht="27.75" customHeight="1" s="24">
      <c r="A185" s="13" t="n">
        <v>800220338</v>
      </c>
      <c r="B185" s="13" t="inlineStr">
        <is>
          <t>МАОУ ДОД "Дворец детского и юношеского творчества"</t>
        </is>
      </c>
      <c r="C185" s="13" t="n">
        <v>3803204328</v>
      </c>
      <c r="D185" s="13" t="inlineStr">
        <is>
          <t>3803204328</t>
        </is>
      </c>
      <c r="E185" s="13" t="inlineStr">
        <is>
          <t>ЮЛ РФ</t>
        </is>
      </c>
      <c r="F185" s="13" t="n"/>
      <c r="G185" s="14" t="n"/>
      <c r="H185" s="14" t="n"/>
      <c r="I185" s="14" t="n"/>
      <c r="J185" s="14" t="n"/>
      <c r="K185" s="53" t="inlineStr"/>
      <c r="L185" s="53" t="inlineStr">
        <is>
          <t>Не определено</t>
        </is>
      </c>
      <c r="M185" s="53" t="inlineStr"/>
      <c r="N185" s="54" t="inlineStr"/>
      <c r="O185" s="55" t="inlineStr"/>
      <c r="P185" s="16" t="inlineStr">
        <is>
          <t>Требует обогащения</t>
        </is>
      </c>
      <c r="Q185" s="16">
        <f>HYPERLINK("https://pb.nalog.ru/search.html?query=3803204328","ФНС: проверить")</f>
        <v/>
      </c>
      <c r="R185" s="16">
        <f>HYPERLINK("https://checko.ru/search?query=3801001629","Чекко: проверить")</f>
        <v/>
      </c>
      <c r="S185" t="n">
        <v>1</v>
      </c>
      <c r="T185" s="35" t="inlineStr">
        <is>
          <t>4 — Не обогащён</t>
        </is>
      </c>
      <c r="U185" s="35" t="inlineStr">
        <is>
          <t>Нет ОКВЭД/ССЧР</t>
        </is>
      </c>
      <c r="V185" s="35" t="inlineStr">
        <is>
          <t>Не определено</t>
        </is>
      </c>
      <c r="W185" s="35" t="inlineStr"/>
      <c r="X185" s="35" t="inlineStr"/>
    </row>
    <row r="186" ht="27.75" customHeight="1" s="24">
      <c r="A186" s="13" t="n">
        <v>800128333</v>
      </c>
      <c r="B186" s="13" t="inlineStr">
        <is>
          <t>Иркутский филиал ФГУ "ТФГИ по Сибирскому федеральному округу"</t>
        </is>
      </c>
      <c r="C186" s="13" t="n">
        <v>5406173483</v>
      </c>
      <c r="D186" s="13" t="inlineStr">
        <is>
          <t>5406173483</t>
        </is>
      </c>
      <c r="E186" s="13" t="inlineStr">
        <is>
          <t>ЮЛ РФ</t>
        </is>
      </c>
      <c r="F186" s="13" t="n"/>
      <c r="G186" s="14" t="n"/>
      <c r="H186" s="14" t="n"/>
      <c r="I186" s="14" t="n"/>
      <c r="J186" s="14" t="n"/>
      <c r="K186" s="53" t="inlineStr"/>
      <c r="L186" s="53" t="inlineStr">
        <is>
          <t>Не определено</t>
        </is>
      </c>
      <c r="M186" s="53" t="inlineStr"/>
      <c r="N186" s="54" t="inlineStr"/>
      <c r="O186" s="55" t="inlineStr"/>
      <c r="P186" s="16" t="inlineStr">
        <is>
          <t>Требует обогащения</t>
        </is>
      </c>
      <c r="Q186" s="16">
        <f>HYPERLINK("https://pb.nalog.ru/search.html?query=5406173483","ФНС: проверить")</f>
        <v/>
      </c>
      <c r="R186" s="16">
        <f>HYPERLINK("https://checko.ru/search?query=3801001629","Чекко: проверить")</f>
        <v/>
      </c>
      <c r="S186" t="n">
        <v>1</v>
      </c>
      <c r="T186" s="35" t="inlineStr">
        <is>
          <t>4 — Не обогащён</t>
        </is>
      </c>
      <c r="U186" s="35" t="inlineStr">
        <is>
          <t>Нет ОКВЭД/ССЧР</t>
        </is>
      </c>
      <c r="V186" s="35" t="inlineStr">
        <is>
          <t>Не определено</t>
        </is>
      </c>
      <c r="W186" s="35" t="inlineStr"/>
      <c r="X186" s="35" t="inlineStr"/>
    </row>
    <row r="187" ht="15" customHeight="1" s="24">
      <c r="A187" s="13" t="n">
        <v>800220664</v>
      </c>
      <c r="B187" s="13" t="inlineStr">
        <is>
          <t>МАУК ''Дворец искусств г. Братска''</t>
        </is>
      </c>
      <c r="C187" s="13" t="n">
        <v>3805102057</v>
      </c>
      <c r="D187" s="13" t="inlineStr">
        <is>
          <t>3805102057</t>
        </is>
      </c>
      <c r="E187" s="13" t="inlineStr">
        <is>
          <t>ЮЛ РФ</t>
        </is>
      </c>
      <c r="F187" s="13" t="n"/>
      <c r="G187" s="14" t="n"/>
      <c r="H187" s="14" t="n"/>
      <c r="I187" s="14" t="n"/>
      <c r="J187" s="14" t="n"/>
      <c r="K187" s="53" t="inlineStr"/>
      <c r="L187" s="53" t="inlineStr">
        <is>
          <t>Не определено</t>
        </is>
      </c>
      <c r="M187" s="53" t="inlineStr"/>
      <c r="N187" s="54" t="inlineStr"/>
      <c r="O187" s="55" t="inlineStr"/>
      <c r="P187" s="16" t="inlineStr">
        <is>
          <t>Требует обогащения</t>
        </is>
      </c>
      <c r="Q187" s="16">
        <f>HYPERLINK("https://pb.nalog.ru/search.html?query=3805102057","ФНС: проверить")</f>
        <v/>
      </c>
      <c r="R187" s="16">
        <f>HYPERLINK("https://checko.ru/search?query=3801001629","Чекко: проверить")</f>
        <v/>
      </c>
      <c r="S187" t="n">
        <v>1</v>
      </c>
      <c r="T187" s="35" t="inlineStr">
        <is>
          <t>4 — Не обогащён</t>
        </is>
      </c>
      <c r="U187" s="35" t="inlineStr">
        <is>
          <t>Нет ОКВЭД/ССЧР</t>
        </is>
      </c>
      <c r="V187" s="35" t="inlineStr">
        <is>
          <t>Не определено</t>
        </is>
      </c>
      <c r="W187" s="35" t="inlineStr"/>
      <c r="X187" s="35" t="inlineStr"/>
    </row>
    <row r="188" ht="15" customHeight="1" s="24">
      <c r="A188" s="13" t="n">
        <v>801595487</v>
      </c>
      <c r="B188" s="13" t="inlineStr">
        <is>
          <t>ФГБОУ ВО ИРГУПС</t>
        </is>
      </c>
      <c r="C188" s="13" t="n">
        <v>3812010086</v>
      </c>
      <c r="D188" s="13" t="inlineStr">
        <is>
          <t>3812010086</t>
        </is>
      </c>
      <c r="E188" s="13" t="inlineStr">
        <is>
          <t>ЮЛ РФ</t>
        </is>
      </c>
      <c r="F188" s="13" t="n"/>
      <c r="G188" s="14" t="n"/>
      <c r="H188" s="14" t="n"/>
      <c r="I188" s="14" t="n"/>
      <c r="J188" s="14" t="n"/>
      <c r="K188" s="53" t="inlineStr"/>
      <c r="L188" s="53" t="inlineStr">
        <is>
          <t>Не определено</t>
        </is>
      </c>
      <c r="M188" s="53" t="inlineStr"/>
      <c r="N188" s="54" t="inlineStr"/>
      <c r="O188" s="55" t="inlineStr"/>
      <c r="P188" s="16" t="inlineStr">
        <is>
          <t>Требует обогащения</t>
        </is>
      </c>
      <c r="Q188" s="16">
        <f>HYPERLINK("https://pb.nalog.ru/search.html?query=3812010086","ФНС: проверить")</f>
        <v/>
      </c>
      <c r="R188" s="16">
        <f>HYPERLINK("https://checko.ru/search?query=3801001629","Чекко: проверить")</f>
        <v/>
      </c>
      <c r="S188" t="n">
        <v>1</v>
      </c>
      <c r="T188" s="35" t="inlineStr">
        <is>
          <t>4 — Не обогащён</t>
        </is>
      </c>
      <c r="U188" s="35" t="inlineStr">
        <is>
          <t>Нет ОКВЭД/ССЧР</t>
        </is>
      </c>
      <c r="V188" s="35" t="inlineStr">
        <is>
          <t>Не определено</t>
        </is>
      </c>
      <c r="W188" s="35" t="inlineStr"/>
      <c r="X188" s="35" t="inlineStr"/>
    </row>
    <row r="189" ht="15" customHeight="1" s="24">
      <c r="A189" s="13" t="n">
        <v>800153067</v>
      </c>
      <c r="B189" s="13" t="inlineStr">
        <is>
          <t>Отдел культуры Усть-Орда</t>
        </is>
      </c>
      <c r="C189" s="13" t="n">
        <v>8506003547</v>
      </c>
      <c r="D189" s="13" t="inlineStr">
        <is>
          <t>8506003547</t>
        </is>
      </c>
      <c r="E189" s="13" t="inlineStr">
        <is>
          <t>ЮЛ РФ</t>
        </is>
      </c>
      <c r="F189" s="13" t="n"/>
      <c r="G189" s="14" t="n"/>
      <c r="H189" s="14" t="n"/>
      <c r="I189" s="14" t="n"/>
      <c r="J189" s="14" t="n"/>
      <c r="K189" s="53" t="inlineStr"/>
      <c r="L189" s="53" t="inlineStr">
        <is>
          <t>Не определено</t>
        </is>
      </c>
      <c r="M189" s="53" t="inlineStr"/>
      <c r="N189" s="54" t="inlineStr"/>
      <c r="O189" s="55" t="inlineStr"/>
      <c r="P189" s="16" t="inlineStr">
        <is>
          <t>Требует обогащения</t>
        </is>
      </c>
      <c r="Q189" s="16">
        <f>HYPERLINK("https://pb.nalog.ru/search.html?query=8506003547","ФНС: проверить")</f>
        <v/>
      </c>
      <c r="R189" s="16">
        <f>HYPERLINK("https://checko.ru/search?query=3801001629","Чекко: проверить")</f>
        <v/>
      </c>
      <c r="S189" t="n">
        <v>1</v>
      </c>
      <c r="T189" s="35" t="inlineStr">
        <is>
          <t>4 — Не обогащён</t>
        </is>
      </c>
      <c r="U189" s="35" t="inlineStr">
        <is>
          <t>Нет ОКВЭД/ССЧР</t>
        </is>
      </c>
      <c r="V189" s="35" t="inlineStr">
        <is>
          <t>Не определено</t>
        </is>
      </c>
      <c r="W189" s="35" t="inlineStr"/>
      <c r="X189" s="35" t="inlineStr"/>
    </row>
    <row r="190" ht="27.75" customHeight="1" s="24">
      <c r="A190" s="13" t="n">
        <v>800135036</v>
      </c>
      <c r="B190" s="13" t="inlineStr">
        <is>
          <t>ОГБУ здравоохранения "Черемховская городская больница №1"</t>
        </is>
      </c>
      <c r="C190" s="13" t="n">
        <v>3820001261</v>
      </c>
      <c r="D190" s="13" t="inlineStr">
        <is>
          <t>3820001261</t>
        </is>
      </c>
      <c r="E190" s="13" t="inlineStr">
        <is>
          <t>ЮЛ РФ</t>
        </is>
      </c>
      <c r="F190" s="13" t="n"/>
      <c r="G190" s="14" t="n"/>
      <c r="H190" s="14" t="n"/>
      <c r="I190" s="14" t="n"/>
      <c r="J190" s="14" t="n"/>
      <c r="K190" s="53" t="inlineStr"/>
      <c r="L190" s="53" t="inlineStr">
        <is>
          <t>Не определено</t>
        </is>
      </c>
      <c r="M190" s="53" t="inlineStr"/>
      <c r="N190" s="54" t="inlineStr"/>
      <c r="O190" s="55" t="inlineStr"/>
      <c r="P190" s="16" t="inlineStr">
        <is>
          <t>Требует обогащения</t>
        </is>
      </c>
      <c r="Q190" s="16">
        <f>HYPERLINK("https://pb.nalog.ru/search.html?query=3820001261","ФНС: проверить")</f>
        <v/>
      </c>
      <c r="R190" s="16">
        <f>HYPERLINK("https://checko.ru/search?query=3801001629","Чекко: проверить")</f>
        <v/>
      </c>
      <c r="S190" t="n">
        <v>1</v>
      </c>
      <c r="T190" s="35" t="inlineStr">
        <is>
          <t>4 — Не обогащён</t>
        </is>
      </c>
      <c r="U190" s="35" t="inlineStr">
        <is>
          <t>Нет ОКВЭД/ССЧР</t>
        </is>
      </c>
      <c r="V190" s="35" t="inlineStr">
        <is>
          <t>Не определено</t>
        </is>
      </c>
      <c r="W190" s="35" t="inlineStr"/>
      <c r="X190" s="35" t="inlineStr"/>
    </row>
    <row r="191" ht="27.75" customHeight="1" s="24">
      <c r="A191" s="13" t="n">
        <v>12575557</v>
      </c>
      <c r="B191" s="13" t="inlineStr">
        <is>
          <t>ОГБУЗ Заларинская центральная районная больница</t>
        </is>
      </c>
      <c r="C191" s="13" t="n">
        <v>3825003671</v>
      </c>
      <c r="D191" s="13" t="inlineStr">
        <is>
          <t>3825003671</t>
        </is>
      </c>
      <c r="E191" s="13" t="inlineStr">
        <is>
          <t>ЮЛ РФ</t>
        </is>
      </c>
      <c r="F191" s="13" t="n"/>
      <c r="G191" s="14" t="n"/>
      <c r="H191" s="14" t="n"/>
      <c r="I191" s="14" t="n"/>
      <c r="J191" s="14" t="n"/>
      <c r="K191" s="53" t="inlineStr"/>
      <c r="L191" s="53" t="inlineStr">
        <is>
          <t>Не определено</t>
        </is>
      </c>
      <c r="M191" s="53" t="inlineStr"/>
      <c r="N191" s="54" t="inlineStr"/>
      <c r="O191" s="55" t="inlineStr"/>
      <c r="P191" s="16" t="inlineStr">
        <is>
          <t>Требует обогащения</t>
        </is>
      </c>
      <c r="Q191" s="16">
        <f>HYPERLINK("https://pb.nalog.ru/search.html?query=3825003671","ФНС: проверить")</f>
        <v/>
      </c>
      <c r="R191" s="16">
        <f>HYPERLINK("https://checko.ru/search?query=3801001629","Чекко: проверить")</f>
        <v/>
      </c>
      <c r="S191" t="n">
        <v>1</v>
      </c>
      <c r="T191" s="35" t="inlineStr">
        <is>
          <t>4 — Не обогащён</t>
        </is>
      </c>
      <c r="U191" s="35" t="inlineStr">
        <is>
          <t>Нет ОКВЭД/ССЧР</t>
        </is>
      </c>
      <c r="V191" s="35" t="inlineStr">
        <is>
          <t>Не определено</t>
        </is>
      </c>
      <c r="W191" s="35" t="inlineStr"/>
      <c r="X191" s="35" t="inlineStr"/>
    </row>
    <row r="192" ht="41.25" customHeight="1" s="24">
      <c r="A192" s="13" t="n">
        <v>800232278</v>
      </c>
      <c r="B192" s="13" t="inlineStr">
        <is>
          <t>ОБЛАСТНОЕ ГОСУДАРСТВЕННОЕ АВТОНОМНОЕ УЧРЕЖДЕНИЕ ЗДРАВООХРАНЕНИЯ "ИРКУТСКАЯ ГОРОДСКАЯ КЛИНИЧЕСКАЯ БОЛЬНИЦА № 10"</t>
        </is>
      </c>
      <c r="C192" s="13" t="n">
        <v>3812014556</v>
      </c>
      <c r="D192" s="13" t="inlineStr">
        <is>
          <t>3812014556</t>
        </is>
      </c>
      <c r="E192" s="13" t="inlineStr">
        <is>
          <t>ЮЛ РФ</t>
        </is>
      </c>
      <c r="F192" s="13" t="n"/>
      <c r="G192" s="14" t="n"/>
      <c r="H192" s="14" t="n"/>
      <c r="I192" s="14" t="n"/>
      <c r="J192" s="14" t="n"/>
      <c r="K192" s="53" t="inlineStr"/>
      <c r="L192" s="53" t="inlineStr">
        <is>
          <t>Не определено</t>
        </is>
      </c>
      <c r="M192" s="53" t="inlineStr"/>
      <c r="N192" s="54" t="inlineStr"/>
      <c r="O192" s="55" t="inlineStr"/>
      <c r="P192" s="16" t="inlineStr">
        <is>
          <t>Требует обогащения</t>
        </is>
      </c>
      <c r="Q192" s="16">
        <f>HYPERLINK("https://pb.nalog.ru/search.html?query=3812014556","ФНС: проверить")</f>
        <v/>
      </c>
      <c r="R192" s="16">
        <f>HYPERLINK("https://checko.ru/search?query=3801001629","Чекко: проверить")</f>
        <v/>
      </c>
      <c r="S192" t="n">
        <v>1</v>
      </c>
      <c r="T192" s="35" t="inlineStr">
        <is>
          <t>4 — Не обогащён</t>
        </is>
      </c>
      <c r="U192" s="35" t="inlineStr">
        <is>
          <t>Нет ОКВЭД/ССЧР</t>
        </is>
      </c>
      <c r="V192" s="35" t="inlineStr">
        <is>
          <t>Не определено</t>
        </is>
      </c>
      <c r="W192" s="35" t="inlineStr"/>
      <c r="X192" s="35" t="inlineStr"/>
    </row>
    <row r="193" ht="54.75" customHeight="1" s="24">
      <c r="A193" s="13" t="n">
        <v>800123728</v>
      </c>
      <c r="B193" s="13" t="inlineStr">
        <is>
          <t>Федеральное государственное бюджетное образовательное учреждение высшего образования "Иркутский государственный медицинский университет" Министерства</t>
        </is>
      </c>
      <c r="C193" s="13" t="n">
        <v>3811022096</v>
      </c>
      <c r="D193" s="13" t="inlineStr">
        <is>
          <t>3811022096</t>
        </is>
      </c>
      <c r="E193" s="13" t="inlineStr">
        <is>
          <t>ЮЛ РФ</t>
        </is>
      </c>
      <c r="F193" s="13" t="n"/>
      <c r="G193" s="14" t="n"/>
      <c r="H193" s="14" t="n"/>
      <c r="I193" s="14" t="n"/>
      <c r="J193" s="14" t="n"/>
      <c r="K193" s="53" t="inlineStr"/>
      <c r="L193" s="53" t="inlineStr">
        <is>
          <t>Не определено</t>
        </is>
      </c>
      <c r="M193" s="53" t="inlineStr"/>
      <c r="N193" s="54" t="inlineStr"/>
      <c r="O193" s="55" t="inlineStr"/>
      <c r="P193" s="16" t="inlineStr">
        <is>
          <t>Требует обогащения</t>
        </is>
      </c>
      <c r="Q193" s="16">
        <f>HYPERLINK("https://pb.nalog.ru/search.html?query=3811022096","ФНС: проверить")</f>
        <v/>
      </c>
      <c r="R193" s="16">
        <f>HYPERLINK("https://checko.ru/search?query=3801001629","Чекко: проверить")</f>
        <v/>
      </c>
      <c r="S193" t="n">
        <v>1</v>
      </c>
      <c r="T193" s="35" t="inlineStr">
        <is>
          <t>4 — Не обогащён</t>
        </is>
      </c>
      <c r="U193" s="35" t="inlineStr">
        <is>
          <t>Нет ОКВЭД/ССЧР</t>
        </is>
      </c>
      <c r="V193" s="35" t="inlineStr">
        <is>
          <t>Не определено</t>
        </is>
      </c>
      <c r="W193" s="35" t="inlineStr"/>
      <c r="X193" s="35" t="inlineStr"/>
    </row>
    <row r="194" ht="15" customHeight="1" s="24">
      <c r="A194" s="13" t="n">
        <v>800121417</v>
      </c>
      <c r="B194" s="13" t="inlineStr">
        <is>
          <t>ОГАУЗ "Братская городская больница № 1"</t>
        </is>
      </c>
      <c r="C194" s="13" t="n">
        <v>3804004681</v>
      </c>
      <c r="D194" s="13" t="inlineStr">
        <is>
          <t>3804004681</t>
        </is>
      </c>
      <c r="E194" s="13" t="inlineStr">
        <is>
          <t>ЮЛ РФ</t>
        </is>
      </c>
      <c r="F194" s="13" t="n"/>
      <c r="G194" s="14" t="n"/>
      <c r="H194" s="14" t="n"/>
      <c r="I194" s="14" t="n"/>
      <c r="J194" s="14" t="n"/>
      <c r="K194" s="53" t="inlineStr"/>
      <c r="L194" s="53" t="inlineStr">
        <is>
          <t>Не определено</t>
        </is>
      </c>
      <c r="M194" s="53" t="inlineStr"/>
      <c r="N194" s="54" t="inlineStr"/>
      <c r="O194" s="55" t="inlineStr"/>
      <c r="P194" s="16" t="inlineStr">
        <is>
          <t>Требует обогащения</t>
        </is>
      </c>
      <c r="Q194" s="16">
        <f>HYPERLINK("https://pb.nalog.ru/search.html?query=3804004681","ФНС: проверить")</f>
        <v/>
      </c>
      <c r="R194" s="16">
        <f>HYPERLINK("https://checko.ru/search?query=3801001629","Чекко: проверить")</f>
        <v/>
      </c>
      <c r="S194" t="n">
        <v>1</v>
      </c>
      <c r="T194" s="35" t="inlineStr">
        <is>
          <t>4 — Не обогащён</t>
        </is>
      </c>
      <c r="U194" s="35" t="inlineStr">
        <is>
          <t>Нет ОКВЭД/ССЧР</t>
        </is>
      </c>
      <c r="V194" s="35" t="inlineStr">
        <is>
          <t>Не определено</t>
        </is>
      </c>
      <c r="W194" s="35" t="inlineStr"/>
      <c r="X194" s="35" t="inlineStr"/>
    </row>
    <row r="195" ht="15" customHeight="1" s="24">
      <c r="A195" s="13" t="n">
        <v>10340808</v>
      </c>
      <c r="B195" s="13" t="inlineStr">
        <is>
          <t>ИП Гурутова Людмила Александровна</t>
        </is>
      </c>
      <c r="C195" s="13" t="n">
        <v>381100245830</v>
      </c>
      <c r="D195" s="13" t="inlineStr">
        <is>
          <t>381100245830</t>
        </is>
      </c>
      <c r="E195" s="13" t="inlineStr">
        <is>
          <t>ИП РФ / физлицо</t>
        </is>
      </c>
      <c r="F195" s="13" t="n"/>
      <c r="G195" s="14" t="n"/>
      <c r="H195" s="14" t="n"/>
      <c r="I195" s="14" t="n"/>
      <c r="J195" s="14" t="n"/>
      <c r="K195" s="53" t="inlineStr"/>
      <c r="L195" s="53" t="inlineStr">
        <is>
          <t>Не определено</t>
        </is>
      </c>
      <c r="M195" s="53" t="inlineStr"/>
      <c r="N195" s="54" t="inlineStr"/>
      <c r="O195" s="55" t="inlineStr"/>
      <c r="P195" s="16" t="inlineStr">
        <is>
          <t>Требует обогащения</t>
        </is>
      </c>
      <c r="Q195" s="16">
        <f>HYPERLINK("https://pb.nalog.ru/search.html?query=381100245830","ФНС: проверить")</f>
        <v/>
      </c>
      <c r="R195" s="16">
        <f>HYPERLINK("https://checko.ru/search?query=3801001629","Чекко: проверить")</f>
        <v/>
      </c>
      <c r="S195" t="n">
        <v>1</v>
      </c>
      <c r="T195" s="35" t="inlineStr">
        <is>
          <t>4 — Не обогащён</t>
        </is>
      </c>
      <c r="U195" s="35" t="inlineStr">
        <is>
          <t>Нет ОКВЭД/ССЧР</t>
        </is>
      </c>
      <c r="V195" s="35" t="inlineStr">
        <is>
          <t>Не определено</t>
        </is>
      </c>
      <c r="W195" s="35" t="inlineStr"/>
      <c r="X195" s="35" t="inlineStr"/>
    </row>
    <row r="196" ht="15" customHeight="1" s="24">
      <c r="A196" s="13" t="n">
        <v>800374014</v>
      </c>
      <c r="B196" s="13" t="inlineStr">
        <is>
          <t>ООО "Сфера"</t>
        </is>
      </c>
      <c r="C196" s="13" t="n">
        <v>3818047519</v>
      </c>
      <c r="D196" s="13" t="inlineStr">
        <is>
          <t>3818047519</t>
        </is>
      </c>
      <c r="E196" s="13" t="inlineStr">
        <is>
          <t>ЮЛ РФ</t>
        </is>
      </c>
      <c r="F196" s="13" t="n"/>
      <c r="G196" s="52" t="n">
        <v>14</v>
      </c>
      <c r="H196" s="52" t="n">
        <v>2025</v>
      </c>
      <c r="I196" s="14" t="n"/>
      <c r="J196" s="14" t="n"/>
      <c r="K196" s="53" t="inlineStr">
        <is>
          <t>Нет</t>
        </is>
      </c>
      <c r="L196" s="53" t="inlineStr">
        <is>
          <t>Не определено</t>
        </is>
      </c>
      <c r="M196" s="53" t="inlineStr">
        <is>
          <t>До 25</t>
        </is>
      </c>
      <c r="N196" s="54" t="n">
        <v>8400</v>
      </c>
      <c r="O196" s="55" t="inlineStr">
        <is>
          <t>1–15</t>
        </is>
      </c>
      <c r="P196" s="16" t="inlineStr">
        <is>
          <t>ССЧР обогащена; ОКВЭД не найден/не загружен</t>
        </is>
      </c>
      <c r="Q196" s="16" t="inlineStr">
        <is>
          <t>ФНС открытые данные ССЧР (ДатаСост 31.12.2025; набор 7707329152-sshr2019)</t>
        </is>
      </c>
      <c r="R196" s="16">
        <f>HYPERLINK("https://checko.ru/search?query=3801001629","Чекко: проверить")</f>
        <v/>
      </c>
      <c r="S196" t="n">
        <v>1</v>
      </c>
      <c r="T196" s="35" t="inlineStr">
        <is>
          <t>4 — Не обогащён</t>
        </is>
      </c>
      <c r="U196" s="35" t="inlineStr">
        <is>
          <t>Нет ОКВЭД/ССЧР</t>
        </is>
      </c>
      <c r="V196" s="35" t="inlineStr">
        <is>
          <t>Не определено</t>
        </is>
      </c>
      <c r="W196" s="35" t="inlineStr">
        <is>
          <t>Нет</t>
        </is>
      </c>
      <c r="X196" s="35" t="inlineStr"/>
    </row>
    <row r="197" ht="15" customHeight="1" s="24">
      <c r="A197" s="13" t="n">
        <v>10340807</v>
      </c>
      <c r="B197" s="13" t="inlineStr">
        <is>
          <t>ИП Гурутова Людмила Александровна</t>
        </is>
      </c>
      <c r="C197" s="13" t="n">
        <v>381100245830</v>
      </c>
      <c r="D197" s="13" t="inlineStr">
        <is>
          <t>381100245830</t>
        </is>
      </c>
      <c r="E197" s="13" t="inlineStr">
        <is>
          <t>ИП РФ / физлицо</t>
        </is>
      </c>
      <c r="F197" s="13" t="n"/>
      <c r="G197" s="14" t="n"/>
      <c r="H197" s="14" t="n"/>
      <c r="I197" s="14" t="n"/>
      <c r="J197" s="14" t="n"/>
      <c r="K197" s="53" t="inlineStr"/>
      <c r="L197" s="53" t="inlineStr">
        <is>
          <t>Не определено</t>
        </is>
      </c>
      <c r="M197" s="53" t="inlineStr"/>
      <c r="N197" s="54" t="inlineStr"/>
      <c r="O197" s="55" t="inlineStr"/>
      <c r="P197" s="16" t="inlineStr">
        <is>
          <t>Требует обогащения</t>
        </is>
      </c>
      <c r="Q197" s="16">
        <f>HYPERLINK("https://pb.nalog.ru/search.html?query=381100245830","ФНС: проверить")</f>
        <v/>
      </c>
      <c r="R197" s="16">
        <f>HYPERLINK("https://checko.ru/search?query=3801001629","Чекко: проверить")</f>
        <v/>
      </c>
      <c r="S197" t="n">
        <v>0</v>
      </c>
      <c r="T197" s="35" t="inlineStr">
        <is>
          <t>4 — Не обогащён</t>
        </is>
      </c>
      <c r="U197" s="35" t="inlineStr">
        <is>
          <t>Нет ОКВЭД/ССЧР</t>
        </is>
      </c>
      <c r="V197" s="35" t="inlineStr">
        <is>
          <t>Не определено</t>
        </is>
      </c>
      <c r="W197" s="35" t="inlineStr"/>
      <c r="X197" s="35" t="inlineStr"/>
    </row>
    <row r="198" ht="15" customHeight="1" s="24">
      <c r="A198" s="13" t="n">
        <v>10340833</v>
      </c>
      <c r="B198" s="13" t="inlineStr">
        <is>
          <t>ИП Гурутова Людмила Александровна</t>
        </is>
      </c>
      <c r="C198" s="13" t="n">
        <v>381100245830</v>
      </c>
      <c r="D198" s="13" t="inlineStr">
        <is>
          <t>381100245830</t>
        </is>
      </c>
      <c r="E198" s="13" t="inlineStr">
        <is>
          <t>ИП РФ / физлицо</t>
        </is>
      </c>
      <c r="F198" s="13" t="n"/>
      <c r="G198" s="14" t="n"/>
      <c r="H198" s="14" t="n"/>
      <c r="I198" s="14" t="n"/>
      <c r="J198" s="14" t="n"/>
      <c r="K198" s="53" t="inlineStr"/>
      <c r="L198" s="53" t="inlineStr">
        <is>
          <t>Не определено</t>
        </is>
      </c>
      <c r="M198" s="53" t="inlineStr"/>
      <c r="N198" s="54" t="inlineStr"/>
      <c r="O198" s="55" t="inlineStr"/>
      <c r="P198" s="16" t="inlineStr">
        <is>
          <t>Требует обогащения</t>
        </is>
      </c>
      <c r="Q198" s="16">
        <f>HYPERLINK("https://pb.nalog.ru/search.html?query=381100245830","ФНС: проверить")</f>
        <v/>
      </c>
      <c r="R198" s="16">
        <f>HYPERLINK("https://checko.ru/search?query=3801001629","Чекко: проверить")</f>
        <v/>
      </c>
      <c r="S198" t="n">
        <v>0</v>
      </c>
      <c r="T198" s="35" t="inlineStr">
        <is>
          <t>4 — Не обогащён</t>
        </is>
      </c>
      <c r="U198" s="35" t="inlineStr">
        <is>
          <t>Нет ОКВЭД/ССЧР</t>
        </is>
      </c>
      <c r="V198" s="35" t="inlineStr">
        <is>
          <t>Не определено</t>
        </is>
      </c>
      <c r="W198" s="35" t="inlineStr"/>
      <c r="X198" s="35" t="inlineStr"/>
    </row>
    <row r="199" ht="15" customHeight="1" s="24">
      <c r="A199" s="13" t="n">
        <v>10982377</v>
      </c>
      <c r="B199" s="13" t="inlineStr">
        <is>
          <t>ИП Гурутова Людмила Александровна</t>
        </is>
      </c>
      <c r="C199" s="13" t="n">
        <v>381100245830</v>
      </c>
      <c r="D199" s="13" t="inlineStr">
        <is>
          <t>381100245830</t>
        </is>
      </c>
      <c r="E199" s="13" t="inlineStr">
        <is>
          <t>ИП РФ / физлицо</t>
        </is>
      </c>
      <c r="F199" s="13" t="n"/>
      <c r="G199" s="14" t="n"/>
      <c r="H199" s="14" t="n"/>
      <c r="I199" s="14" t="n"/>
      <c r="J199" s="14" t="n"/>
      <c r="K199" s="53" t="inlineStr"/>
      <c r="L199" s="53" t="inlineStr">
        <is>
          <t>Не определено</t>
        </is>
      </c>
      <c r="M199" s="53" t="inlineStr"/>
      <c r="N199" s="54" t="inlineStr"/>
      <c r="O199" s="55" t="inlineStr"/>
      <c r="P199" s="16" t="inlineStr">
        <is>
          <t>Требует обогащения</t>
        </is>
      </c>
      <c r="Q199" s="16">
        <f>HYPERLINK("https://pb.nalog.ru/search.html?query=381100245830","ФНС: проверить")</f>
        <v/>
      </c>
      <c r="R199" s="16">
        <f>HYPERLINK("https://checko.ru/search?query=3801001629","Чекко: проверить")</f>
        <v/>
      </c>
      <c r="S199" t="n">
        <v>0</v>
      </c>
      <c r="T199" s="35" t="inlineStr">
        <is>
          <t>4 — Не обогащён</t>
        </is>
      </c>
      <c r="U199" s="35" t="inlineStr">
        <is>
          <t>Нет ОКВЭД/ССЧР</t>
        </is>
      </c>
      <c r="V199" s="35" t="inlineStr">
        <is>
          <t>Не определено</t>
        </is>
      </c>
      <c r="W199" s="35" t="inlineStr"/>
      <c r="X199" s="35" t="inlineStr"/>
    </row>
    <row r="200" ht="27.75" customHeight="1" s="24">
      <c r="A200" s="13" t="n">
        <v>16235102</v>
      </c>
      <c r="B200" s="13" t="inlineStr">
        <is>
          <t>Индивидуальный предприниматель Гурутова Людмила Александровна</t>
        </is>
      </c>
      <c r="C200" s="13" t="n">
        <v>381100245830</v>
      </c>
      <c r="D200" s="13" t="inlineStr">
        <is>
          <t>381100245830</t>
        </is>
      </c>
      <c r="E200" s="13" t="inlineStr">
        <is>
          <t>ИП РФ / физлицо</t>
        </is>
      </c>
      <c r="F200" s="13" t="n"/>
      <c r="G200" s="14" t="n"/>
      <c r="H200" s="14" t="n"/>
      <c r="I200" s="14" t="n"/>
      <c r="J200" s="14" t="n"/>
      <c r="K200" s="53" t="inlineStr"/>
      <c r="L200" s="53" t="inlineStr">
        <is>
          <t>Не определено</t>
        </is>
      </c>
      <c r="M200" s="53" t="inlineStr"/>
      <c r="N200" s="54" t="inlineStr"/>
      <c r="O200" s="55" t="inlineStr"/>
      <c r="P200" s="16" t="inlineStr">
        <is>
          <t>Требует обогащения</t>
        </is>
      </c>
      <c r="Q200" s="16">
        <f>HYPERLINK("https://pb.nalog.ru/search.html?query=381100245830","ФНС: проверить")</f>
        <v/>
      </c>
      <c r="R200" s="16">
        <f>HYPERLINK("https://checko.ru/search?query=3801001629","Чекко: проверить")</f>
        <v/>
      </c>
      <c r="S200" t="n">
        <v>0</v>
      </c>
      <c r="T200" s="35" t="inlineStr">
        <is>
          <t>4 — Не обогащён</t>
        </is>
      </c>
      <c r="U200" s="35" t="inlineStr">
        <is>
          <t>Нет ОКВЭД/ССЧР</t>
        </is>
      </c>
      <c r="V200" s="35" t="inlineStr">
        <is>
          <t>Не определено</t>
        </is>
      </c>
      <c r="W200" s="35" t="inlineStr"/>
      <c r="X200" s="35" t="inlineStr"/>
    </row>
    <row r="201" ht="15" customHeight="1" s="24">
      <c r="A201" s="13" t="n">
        <v>800360473</v>
      </c>
      <c r="B201" s="13" t="inlineStr">
        <is>
          <t>ООО "Сфера"</t>
        </is>
      </c>
      <c r="C201" s="13" t="n">
        <v>3818047519</v>
      </c>
      <c r="D201" s="13" t="inlineStr">
        <is>
          <t>3818047519</t>
        </is>
      </c>
      <c r="E201" s="13" t="inlineStr">
        <is>
          <t>ЮЛ РФ</t>
        </is>
      </c>
      <c r="F201" s="13" t="n"/>
      <c r="G201" s="52" t="n">
        <v>14</v>
      </c>
      <c r="H201" s="52" t="n">
        <v>2025</v>
      </c>
      <c r="I201" s="14" t="n"/>
      <c r="J201" s="14" t="n"/>
      <c r="K201" s="53" t="inlineStr">
        <is>
          <t>Нет</t>
        </is>
      </c>
      <c r="L201" s="53" t="inlineStr">
        <is>
          <t>Не определено</t>
        </is>
      </c>
      <c r="M201" s="53" t="inlineStr">
        <is>
          <t>До 25</t>
        </is>
      </c>
      <c r="N201" s="54" t="n">
        <v>8400</v>
      </c>
      <c r="O201" s="55" t="inlineStr">
        <is>
          <t>1–15</t>
        </is>
      </c>
      <c r="P201" s="16" t="inlineStr">
        <is>
          <t>ССЧР обогащена; ОКВЭД не найден/не загружен</t>
        </is>
      </c>
      <c r="Q201" s="16" t="inlineStr">
        <is>
          <t>ФНС открытые данные ССЧР (ДатаСост 31.12.2025; набор 7707329152-sshr2019)</t>
        </is>
      </c>
      <c r="R201" s="16">
        <f>HYPERLINK("https://checko.ru/search?query=3801001629","Чекко: проверить")</f>
        <v/>
      </c>
      <c r="S201" t="n">
        <v>0</v>
      </c>
      <c r="T201" s="35" t="inlineStr">
        <is>
          <t>4 — Не обогащён</t>
        </is>
      </c>
      <c r="U201" s="35" t="inlineStr">
        <is>
          <t>Нет ОКВЭД/ССЧР</t>
        </is>
      </c>
      <c r="V201" s="35" t="inlineStr">
        <is>
          <t>Не определено</t>
        </is>
      </c>
      <c r="W201" s="35" t="inlineStr">
        <is>
          <t>Нет</t>
        </is>
      </c>
      <c r="X201" s="35" t="inlineStr"/>
    </row>
    <row r="202" ht="15" customHeight="1" s="24">
      <c r="A202" s="13" t="n">
        <v>800360462</v>
      </c>
      <c r="B202" s="13" t="inlineStr">
        <is>
          <t>ООО "Сфера"</t>
        </is>
      </c>
      <c r="C202" s="13" t="n">
        <v>3818047519</v>
      </c>
      <c r="D202" s="13" t="inlineStr">
        <is>
          <t>3818047519</t>
        </is>
      </c>
      <c r="E202" s="13" t="inlineStr">
        <is>
          <t>ЮЛ РФ</t>
        </is>
      </c>
      <c r="F202" s="13" t="n"/>
      <c r="G202" s="52" t="n">
        <v>14</v>
      </c>
      <c r="H202" s="52" t="n">
        <v>2025</v>
      </c>
      <c r="I202" s="14" t="n"/>
      <c r="J202" s="14" t="n"/>
      <c r="K202" s="53" t="inlineStr">
        <is>
          <t>Нет</t>
        </is>
      </c>
      <c r="L202" s="53" t="inlineStr">
        <is>
          <t>Не определено</t>
        </is>
      </c>
      <c r="M202" s="53" t="inlineStr">
        <is>
          <t>До 25</t>
        </is>
      </c>
      <c r="N202" s="54" t="n">
        <v>8400</v>
      </c>
      <c r="O202" s="55" t="inlineStr">
        <is>
          <t>1–15</t>
        </is>
      </c>
      <c r="P202" s="16" t="inlineStr">
        <is>
          <t>ССЧР обогащена; ОКВЭД не найден/не загружен</t>
        </is>
      </c>
      <c r="Q202" s="16" t="inlineStr">
        <is>
          <t>ФНС открытые данные ССЧР (ДатаСост 31.12.2025; набор 7707329152-sshr2019)</t>
        </is>
      </c>
      <c r="R202" s="16">
        <f>HYPERLINK("https://checko.ru/search?query=3801001629","Чекко: проверить")</f>
        <v/>
      </c>
      <c r="S202" t="n">
        <v>0</v>
      </c>
      <c r="T202" s="35" t="inlineStr">
        <is>
          <t>4 — Не обогащён</t>
        </is>
      </c>
      <c r="U202" s="35" t="inlineStr">
        <is>
          <t>Нет ОКВЭД/ССЧР</t>
        </is>
      </c>
      <c r="V202" s="35" t="inlineStr">
        <is>
          <t>Не определено</t>
        </is>
      </c>
      <c r="W202" s="35" t="inlineStr">
        <is>
          <t>Нет</t>
        </is>
      </c>
      <c r="X202" s="35" t="inlineStr"/>
    </row>
    <row r="203" ht="15" customHeight="1" s="24">
      <c r="A203" s="13" t="n">
        <v>802351052</v>
      </c>
      <c r="B203" s="13" t="inlineStr">
        <is>
          <t>ООО "СФЕРА"</t>
        </is>
      </c>
      <c r="C203" s="13" t="n">
        <v>3818047519</v>
      </c>
      <c r="D203" s="13" t="inlineStr">
        <is>
          <t>3818047519</t>
        </is>
      </c>
      <c r="E203" s="13" t="inlineStr">
        <is>
          <t>ЮЛ РФ</t>
        </is>
      </c>
      <c r="F203" s="13" t="n"/>
      <c r="G203" s="52" t="n">
        <v>14</v>
      </c>
      <c r="H203" s="52" t="n">
        <v>2025</v>
      </c>
      <c r="I203" s="14" t="n"/>
      <c r="J203" s="14" t="n"/>
      <c r="K203" s="53" t="inlineStr">
        <is>
          <t>Нет</t>
        </is>
      </c>
      <c r="L203" s="53" t="inlineStr">
        <is>
          <t>Не определено</t>
        </is>
      </c>
      <c r="M203" s="53" t="inlineStr">
        <is>
          <t>До 25</t>
        </is>
      </c>
      <c r="N203" s="54" t="n">
        <v>8400</v>
      </c>
      <c r="O203" s="55" t="inlineStr">
        <is>
          <t>1–15</t>
        </is>
      </c>
      <c r="P203" s="16" t="inlineStr">
        <is>
          <t>ССЧР обогащена; ОКВЭД не найден/не загружен</t>
        </is>
      </c>
      <c r="Q203" s="16" t="inlineStr">
        <is>
          <t>ФНС открытые данные ССЧР (ДатаСост 31.12.2025; набор 7707329152-sshr2019)</t>
        </is>
      </c>
      <c r="R203" s="16">
        <f>HYPERLINK("https://checko.ru/search?query=3801001629","Чекко: проверить")</f>
        <v/>
      </c>
      <c r="S203" t="n">
        <v>0</v>
      </c>
      <c r="T203" s="35" t="inlineStr">
        <is>
          <t>4 — Не обогащён</t>
        </is>
      </c>
      <c r="U203" s="35" t="inlineStr">
        <is>
          <t>Нет ОКВЭД/ССЧР</t>
        </is>
      </c>
      <c r="V203" s="35" t="inlineStr">
        <is>
          <t>Не определено</t>
        </is>
      </c>
      <c r="W203" s="35" t="inlineStr">
        <is>
          <t>Нет</t>
        </is>
      </c>
      <c r="X203" s="35" t="inlineStr"/>
    </row>
    <row r="204" ht="15" customHeight="1" s="24">
      <c r="A204" s="13" t="n">
        <v>800373811</v>
      </c>
      <c r="B204" s="13" t="inlineStr">
        <is>
          <t>ООО "Сфера"</t>
        </is>
      </c>
      <c r="C204" s="13" t="n">
        <v>3818047519</v>
      </c>
      <c r="D204" s="13" t="inlineStr">
        <is>
          <t>3818047519</t>
        </is>
      </c>
      <c r="E204" s="13" t="inlineStr">
        <is>
          <t>ЮЛ РФ</t>
        </is>
      </c>
      <c r="F204" s="13" t="n"/>
      <c r="G204" s="52" t="n">
        <v>14</v>
      </c>
      <c r="H204" s="52" t="n">
        <v>2025</v>
      </c>
      <c r="I204" s="14" t="n"/>
      <c r="J204" s="14" t="n"/>
      <c r="K204" s="53" t="inlineStr">
        <is>
          <t>Нет</t>
        </is>
      </c>
      <c r="L204" s="53" t="inlineStr">
        <is>
          <t>Не определено</t>
        </is>
      </c>
      <c r="M204" s="53" t="inlineStr">
        <is>
          <t>До 25</t>
        </is>
      </c>
      <c r="N204" s="54" t="n">
        <v>8400</v>
      </c>
      <c r="O204" s="55" t="inlineStr">
        <is>
          <t>1–15</t>
        </is>
      </c>
      <c r="P204" s="16" t="inlineStr">
        <is>
          <t>ССЧР обогащена; ОКВЭД не найден/не загружен</t>
        </is>
      </c>
      <c r="Q204" s="16" t="inlineStr">
        <is>
          <t>ФНС открытые данные ССЧР (ДатаСост 31.12.2025; набор 7707329152-sshr2019)</t>
        </is>
      </c>
      <c r="R204" s="16">
        <f>HYPERLINK("https://checko.ru/search?query=3801001629","Чекко: проверить")</f>
        <v/>
      </c>
      <c r="S204" t="n">
        <v>0</v>
      </c>
      <c r="T204" s="35" t="inlineStr">
        <is>
          <t>4 — Не обогащён</t>
        </is>
      </c>
      <c r="U204" s="35" t="inlineStr">
        <is>
          <t>Нет ОКВЭД/ССЧР</t>
        </is>
      </c>
      <c r="V204" s="35" t="inlineStr">
        <is>
          <t>Не определено</t>
        </is>
      </c>
      <c r="W204" s="35" t="inlineStr">
        <is>
          <t>Нет</t>
        </is>
      </c>
      <c r="X204" s="35" t="inlineStr"/>
    </row>
    <row r="205" ht="15" customHeight="1" s="24">
      <c r="A205" s="13" t="n">
        <v>800360446</v>
      </c>
      <c r="B205" s="13" t="inlineStr">
        <is>
          <t>ООО "Сфера"</t>
        </is>
      </c>
      <c r="C205" s="13" t="n">
        <v>3818047519</v>
      </c>
      <c r="D205" s="13" t="inlineStr">
        <is>
          <t>3818047519</t>
        </is>
      </c>
      <c r="E205" s="13" t="inlineStr">
        <is>
          <t>ЮЛ РФ</t>
        </is>
      </c>
      <c r="F205" s="13" t="n"/>
      <c r="G205" s="52" t="n">
        <v>14</v>
      </c>
      <c r="H205" s="52" t="n">
        <v>2025</v>
      </c>
      <c r="I205" s="14" t="n"/>
      <c r="J205" s="14" t="n"/>
      <c r="K205" s="53" t="inlineStr">
        <is>
          <t>Нет</t>
        </is>
      </c>
      <c r="L205" s="53" t="inlineStr">
        <is>
          <t>Не определено</t>
        </is>
      </c>
      <c r="M205" s="53" t="inlineStr">
        <is>
          <t>До 25</t>
        </is>
      </c>
      <c r="N205" s="54" t="n">
        <v>8400</v>
      </c>
      <c r="O205" s="55" t="inlineStr">
        <is>
          <t>1–15</t>
        </is>
      </c>
      <c r="P205" s="16" t="inlineStr">
        <is>
          <t>ССЧР обогащена; ОКВЭД не найден/не загружен</t>
        </is>
      </c>
      <c r="Q205" s="16" t="inlineStr">
        <is>
          <t>ФНС открытые данные ССЧР (ДатаСост 31.12.2025; набор 7707329152-sshr2019)</t>
        </is>
      </c>
      <c r="R205" s="16">
        <f>HYPERLINK("https://checko.ru/search?query=3801001629","Чекко: проверить")</f>
        <v/>
      </c>
      <c r="S205" t="n">
        <v>0</v>
      </c>
      <c r="T205" s="35" t="inlineStr">
        <is>
          <t>4 — Не обогащён</t>
        </is>
      </c>
      <c r="U205" s="35" t="inlineStr">
        <is>
          <t>Нет ОКВЭД/ССЧР</t>
        </is>
      </c>
      <c r="V205" s="35" t="inlineStr">
        <is>
          <t>Не определено</t>
        </is>
      </c>
      <c r="W205" s="35" t="inlineStr">
        <is>
          <t>Нет</t>
        </is>
      </c>
      <c r="X205" s="35" t="inlineStr"/>
    </row>
    <row r="206" ht="15" customHeight="1" s="24">
      <c r="A206" s="13" t="n">
        <v>800361416</v>
      </c>
      <c r="B206" s="13" t="inlineStr">
        <is>
          <t>ООО "Сфера"</t>
        </is>
      </c>
      <c r="C206" s="13" t="n">
        <v>3818047519</v>
      </c>
      <c r="D206" s="13" t="inlineStr">
        <is>
          <t>3818047519</t>
        </is>
      </c>
      <c r="E206" s="13" t="inlineStr">
        <is>
          <t>ЮЛ РФ</t>
        </is>
      </c>
      <c r="F206" s="13" t="n"/>
      <c r="G206" s="52" t="n">
        <v>14</v>
      </c>
      <c r="H206" s="52" t="n">
        <v>2025</v>
      </c>
      <c r="I206" s="14" t="n"/>
      <c r="J206" s="14" t="n"/>
      <c r="K206" s="53" t="inlineStr">
        <is>
          <t>Нет</t>
        </is>
      </c>
      <c r="L206" s="53" t="inlineStr">
        <is>
          <t>Не определено</t>
        </is>
      </c>
      <c r="M206" s="53" t="inlineStr">
        <is>
          <t>До 25</t>
        </is>
      </c>
      <c r="N206" s="54" t="n">
        <v>8400</v>
      </c>
      <c r="O206" s="55" t="inlineStr">
        <is>
          <t>1–15</t>
        </is>
      </c>
      <c r="P206" s="16" t="inlineStr">
        <is>
          <t>ССЧР обогащена; ОКВЭД не найден/не загружен</t>
        </is>
      </c>
      <c r="Q206" s="16" t="inlineStr">
        <is>
          <t>ФНС открытые данные ССЧР (ДатаСост 31.12.2025; набор 7707329152-sshr2019)</t>
        </is>
      </c>
      <c r="R206" s="16">
        <f>HYPERLINK("https://checko.ru/search?query=3801001629","Чекко: проверить")</f>
        <v/>
      </c>
      <c r="S206" t="n">
        <v>0</v>
      </c>
      <c r="T206" s="35" t="inlineStr">
        <is>
          <t>4 — Не обогащён</t>
        </is>
      </c>
      <c r="U206" s="35" t="inlineStr">
        <is>
          <t>Нет ОКВЭД/ССЧР</t>
        </is>
      </c>
      <c r="V206" s="35" t="inlineStr">
        <is>
          <t>Не определено</t>
        </is>
      </c>
      <c r="W206" s="35" t="inlineStr">
        <is>
          <t>Нет</t>
        </is>
      </c>
      <c r="X206" s="35" t="inlineStr"/>
    </row>
    <row r="207" ht="27.75" customHeight="1" s="24">
      <c r="A207" s="13" t="n">
        <v>5000116342</v>
      </c>
      <c r="B207" s="13" t="inlineStr">
        <is>
          <t>Администрация Муниципального Округа Истра Московской Области</t>
        </is>
      </c>
      <c r="C207" s="13" t="n">
        <v>5017015766</v>
      </c>
      <c r="D207" s="13" t="inlineStr">
        <is>
          <t>5017015766</t>
        </is>
      </c>
      <c r="E207" s="13" t="inlineStr">
        <is>
          <t>ЮЛ РФ</t>
        </is>
      </c>
      <c r="F207" s="13" t="n"/>
      <c r="G207" s="14" t="n"/>
      <c r="H207" s="14" t="n"/>
      <c r="I207" s="14" t="n"/>
      <c r="J207" s="14" t="n"/>
      <c r="K207" s="53" t="inlineStr"/>
      <c r="L207" s="53" t="inlineStr">
        <is>
          <t>Не определено</t>
        </is>
      </c>
      <c r="M207" s="53" t="inlineStr"/>
      <c r="N207" s="54" t="inlineStr"/>
      <c r="O207" s="55" t="inlineStr"/>
      <c r="P207" s="16" t="inlineStr">
        <is>
          <t>Требует обогащения</t>
        </is>
      </c>
      <c r="Q207" s="16">
        <f>HYPERLINK("https://pb.nalog.ru/search.html?query=5017015766","ФНС: проверить")</f>
        <v/>
      </c>
      <c r="R207" s="16">
        <f>HYPERLINK("https://checko.ru/search?query=3801001629","Чекко: проверить")</f>
        <v/>
      </c>
      <c r="S207" t="n">
        <v>1</v>
      </c>
      <c r="T207" s="35" t="inlineStr">
        <is>
          <t>4 — Не обогащён</t>
        </is>
      </c>
      <c r="U207" s="35" t="inlineStr">
        <is>
          <t>Нет ОКВЭД/ССЧР</t>
        </is>
      </c>
      <c r="V207" s="35" t="inlineStr">
        <is>
          <t>Не определено</t>
        </is>
      </c>
      <c r="W207" s="35" t="inlineStr"/>
      <c r="X207" s="35" t="inlineStr"/>
    </row>
    <row r="208" ht="15" customHeight="1" s="24">
      <c r="A208" s="13" t="n">
        <v>5000021501</v>
      </c>
      <c r="B208" s="13" t="inlineStr">
        <is>
          <t>МКУ "УПРАВЛЕНИЕ ДЕЛАМИ АДМИНИСТРАЦИИ"</t>
        </is>
      </c>
      <c r="C208" s="13" t="n">
        <v>5047148996</v>
      </c>
      <c r="D208" s="13" t="inlineStr">
        <is>
          <t>5047148996</t>
        </is>
      </c>
      <c r="E208" s="13" t="inlineStr">
        <is>
          <t>ЮЛ РФ</t>
        </is>
      </c>
      <c r="F208" s="13" t="n"/>
      <c r="G208" s="14" t="n"/>
      <c r="H208" s="14" t="n"/>
      <c r="I208" s="14" t="n"/>
      <c r="J208" s="14" t="n"/>
      <c r="K208" s="53" t="inlineStr"/>
      <c r="L208" s="53" t="inlineStr">
        <is>
          <t>Не определено</t>
        </is>
      </c>
      <c r="M208" s="53" t="inlineStr"/>
      <c r="N208" s="54" t="inlineStr"/>
      <c r="O208" s="55" t="inlineStr"/>
      <c r="P208" s="16" t="inlineStr">
        <is>
          <t>Требует обогащения</t>
        </is>
      </c>
      <c r="Q208" s="16">
        <f>HYPERLINK("https://pb.nalog.ru/search.html?query=5047148996","ФНС: проверить")</f>
        <v/>
      </c>
      <c r="R208" s="16">
        <f>HYPERLINK("https://checko.ru/search?query=3801001629","Чекко: проверить")</f>
        <v/>
      </c>
      <c r="S208" t="n">
        <v>1</v>
      </c>
      <c r="T208" s="35" t="inlineStr">
        <is>
          <t>4 — Не обогащён</t>
        </is>
      </c>
      <c r="U208" s="35" t="inlineStr">
        <is>
          <t>Нет ОКВЭД/ССЧР</t>
        </is>
      </c>
      <c r="V208" s="35" t="inlineStr">
        <is>
          <t>Не определено</t>
        </is>
      </c>
      <c r="W208" s="35" t="inlineStr"/>
      <c r="X208" s="35" t="inlineStr"/>
    </row>
    <row r="209" ht="15" customHeight="1" s="24">
      <c r="A209" s="13" t="n">
        <v>5000024536</v>
      </c>
      <c r="B209" s="13" t="inlineStr">
        <is>
          <t>МКУ "Централизованная бухгалтерия"</t>
        </is>
      </c>
      <c r="C209" s="13" t="n">
        <v>5003085322</v>
      </c>
      <c r="D209" s="13" t="inlineStr">
        <is>
          <t>5003085322</t>
        </is>
      </c>
      <c r="E209" s="13" t="inlineStr">
        <is>
          <t>ЮЛ РФ</t>
        </is>
      </c>
      <c r="F209" s="13" t="n"/>
      <c r="G209" s="14" t="n"/>
      <c r="H209" s="14" t="n"/>
      <c r="I209" s="14" t="n"/>
      <c r="J209" s="14" t="n"/>
      <c r="K209" s="53" t="inlineStr"/>
      <c r="L209" s="53" t="inlineStr">
        <is>
          <t>Не определено</t>
        </is>
      </c>
      <c r="M209" s="53" t="inlineStr"/>
      <c r="N209" s="54" t="inlineStr"/>
      <c r="O209" s="55" t="inlineStr"/>
      <c r="P209" s="16" t="inlineStr">
        <is>
          <t>Требует обогащения</t>
        </is>
      </c>
      <c r="Q209" s="16">
        <f>HYPERLINK("https://pb.nalog.ru/search.html?query=5003085322","ФНС: проверить")</f>
        <v/>
      </c>
      <c r="R209" s="16">
        <f>HYPERLINK("https://checko.ru/search?query=3801001629","Чекко: проверить")</f>
        <v/>
      </c>
      <c r="S209" t="n">
        <v>1</v>
      </c>
      <c r="T209" s="35" t="inlineStr">
        <is>
          <t>4 — Не обогащён</t>
        </is>
      </c>
      <c r="U209" s="35" t="inlineStr">
        <is>
          <t>Нет ОКВЭД/ССЧР</t>
        </is>
      </c>
      <c r="V209" s="35" t="inlineStr">
        <is>
          <t>Не определено</t>
        </is>
      </c>
      <c r="W209" s="35" t="inlineStr"/>
      <c r="X209" s="35" t="inlineStr"/>
    </row>
    <row r="210" ht="41.25" customHeight="1" s="24">
      <c r="A210" s="13" t="n">
        <v>5000116339</v>
      </c>
      <c r="B210" s="13" t="inlineStr">
        <is>
          <t>АДМИНИСТРАЦИЯ МУНИЦИПАЛЬНОГО ОБРАЗОВАНИЯ ГОРОДСКОЙ ОКРУГ ЛЮБЕРЦЫ МОСКОВСКОЙ ОБЛАСТИ</t>
        </is>
      </c>
      <c r="C210" s="13" t="n">
        <v>5027036758</v>
      </c>
      <c r="D210" s="13" t="inlineStr">
        <is>
          <t>5027036758</t>
        </is>
      </c>
      <c r="E210" s="13" t="inlineStr">
        <is>
          <t>ЮЛ РФ</t>
        </is>
      </c>
      <c r="F210" s="13" t="n"/>
      <c r="G210" s="14" t="n"/>
      <c r="H210" s="14" t="n"/>
      <c r="I210" s="14" t="n"/>
      <c r="J210" s="14" t="n"/>
      <c r="K210" s="53" t="inlineStr"/>
      <c r="L210" s="53" t="inlineStr">
        <is>
          <t>Не определено</t>
        </is>
      </c>
      <c r="M210" s="53" t="inlineStr"/>
      <c r="N210" s="54" t="inlineStr"/>
      <c r="O210" s="55" t="inlineStr"/>
      <c r="P210" s="16" t="inlineStr">
        <is>
          <t>Требует обогащения</t>
        </is>
      </c>
      <c r="Q210" s="16">
        <f>HYPERLINK("https://pb.nalog.ru/search.html?query=5027036758","ФНС: проверить")</f>
        <v/>
      </c>
      <c r="R210" s="16">
        <f>HYPERLINK("https://checko.ru/search?query=3801001629","Чекко: проверить")</f>
        <v/>
      </c>
      <c r="S210" t="n">
        <v>1</v>
      </c>
      <c r="T210" s="35" t="inlineStr">
        <is>
          <t>4 — Не обогащён</t>
        </is>
      </c>
      <c r="U210" s="35" t="inlineStr">
        <is>
          <t>Нет ОКВЭД/ССЧР</t>
        </is>
      </c>
      <c r="V210" s="35" t="inlineStr">
        <is>
          <t>Не определено</t>
        </is>
      </c>
      <c r="W210" s="35" t="inlineStr"/>
      <c r="X210" s="35" t="inlineStr"/>
    </row>
    <row r="211" ht="41.25" customHeight="1" s="24">
      <c r="A211" s="13" t="n">
        <v>5000023930</v>
      </c>
      <c r="B211" s="13" t="inlineStr">
        <is>
          <t>МУ "Централизованная бухгалтерия муниципальных учреждений культуры, молодежной политики и спорта"</t>
        </is>
      </c>
      <c r="C211" s="13" t="n">
        <v>5004022780</v>
      </c>
      <c r="D211" s="13" t="inlineStr">
        <is>
          <t>5004022780</t>
        </is>
      </c>
      <c r="E211" s="13" t="inlineStr">
        <is>
          <t>ЮЛ РФ</t>
        </is>
      </c>
      <c r="F211" s="13" t="n"/>
      <c r="G211" s="14" t="n"/>
      <c r="H211" s="14" t="n"/>
      <c r="I211" s="14" t="n"/>
      <c r="J211" s="14" t="n"/>
      <c r="K211" s="53" t="inlineStr"/>
      <c r="L211" s="53" t="inlineStr">
        <is>
          <t>Не определено</t>
        </is>
      </c>
      <c r="M211" s="53" t="inlineStr"/>
      <c r="N211" s="54" t="inlineStr"/>
      <c r="O211" s="55" t="inlineStr"/>
      <c r="P211" s="16" t="inlineStr">
        <is>
          <t>Требует обогащения</t>
        </is>
      </c>
      <c r="Q211" s="16">
        <f>HYPERLINK("https://pb.nalog.ru/search.html?query=5004022780","ФНС: проверить")</f>
        <v/>
      </c>
      <c r="R211" s="16">
        <f>HYPERLINK("https://checko.ru/search?query=3801001629","Чекко: проверить")</f>
        <v/>
      </c>
      <c r="S211" t="n">
        <v>1</v>
      </c>
      <c r="T211" s="35" t="inlineStr">
        <is>
          <t>4 — Не обогащён</t>
        </is>
      </c>
      <c r="U211" s="35" t="inlineStr">
        <is>
          <t>Нет ОКВЭД/ССЧР</t>
        </is>
      </c>
      <c r="V211" s="35" t="inlineStr">
        <is>
          <t>Не определено</t>
        </is>
      </c>
      <c r="W211" s="35" t="inlineStr"/>
      <c r="X211" s="35" t="inlineStr"/>
    </row>
    <row r="212" ht="27.75" customHeight="1" s="24">
      <c r="A212" s="13" t="n">
        <v>5000080323</v>
      </c>
      <c r="B212" s="13" t="inlineStr">
        <is>
          <t>МУ "ЦЕНТРАЛИЗОВАННАЯ БУХГАЛТЕРИЯ №1 Г. БРОННИЦЫ"</t>
        </is>
      </c>
      <c r="C212" s="13" t="n">
        <v>5040112380</v>
      </c>
      <c r="D212" s="13" t="inlineStr">
        <is>
          <t>5040112380</t>
        </is>
      </c>
      <c r="E212" s="13" t="inlineStr">
        <is>
          <t>ЮЛ РФ</t>
        </is>
      </c>
      <c r="F212" s="13" t="n"/>
      <c r="G212" s="14" t="n"/>
      <c r="H212" s="14" t="n"/>
      <c r="I212" s="14" t="n"/>
      <c r="J212" s="14" t="n"/>
      <c r="K212" s="53" t="inlineStr"/>
      <c r="L212" s="53" t="inlineStr">
        <is>
          <t>Не определено</t>
        </is>
      </c>
      <c r="M212" s="53" t="inlineStr"/>
      <c r="N212" s="54" t="inlineStr"/>
      <c r="O212" s="55" t="inlineStr"/>
      <c r="P212" s="16" t="inlineStr">
        <is>
          <t>Требует обогащения</t>
        </is>
      </c>
      <c r="Q212" s="16">
        <f>HYPERLINK("https://pb.nalog.ru/search.html?query=5040112380","ФНС: проверить")</f>
        <v/>
      </c>
      <c r="R212" s="16">
        <f>HYPERLINK("https://checko.ru/search?query=3801001629","Чекко: проверить")</f>
        <v/>
      </c>
      <c r="S212" t="n">
        <v>1</v>
      </c>
      <c r="T212" s="35" t="inlineStr">
        <is>
          <t>4 — Не обогащён</t>
        </is>
      </c>
      <c r="U212" s="35" t="inlineStr">
        <is>
          <t>Нет ОКВЭД/ССЧР</t>
        </is>
      </c>
      <c r="V212" s="35" t="inlineStr">
        <is>
          <t>Не определено</t>
        </is>
      </c>
      <c r="W212" s="35" t="inlineStr"/>
      <c r="X212" s="35" t="inlineStr"/>
    </row>
    <row r="213" ht="41.25" customHeight="1" s="24">
      <c r="A213" s="13" t="n">
        <v>5000122477</v>
      </c>
      <c r="B213" s="13" t="inlineStr">
        <is>
          <t>Можайское муниципальное учреждение «Централизованная бухгалтерия физической культуры и спорта»</t>
        </is>
      </c>
      <c r="C213" s="13" t="n">
        <v>5028026576</v>
      </c>
      <c r="D213" s="13" t="inlineStr">
        <is>
          <t>5028026576</t>
        </is>
      </c>
      <c r="E213" s="13" t="inlineStr">
        <is>
          <t>ЮЛ РФ</t>
        </is>
      </c>
      <c r="F213" s="13" t="n"/>
      <c r="G213" s="14" t="n"/>
      <c r="H213" s="14" t="n"/>
      <c r="I213" s="14" t="n"/>
      <c r="J213" s="14" t="n"/>
      <c r="K213" s="53" t="inlineStr"/>
      <c r="L213" s="53" t="inlineStr">
        <is>
          <t>Не определено</t>
        </is>
      </c>
      <c r="M213" s="53" t="inlineStr"/>
      <c r="N213" s="54" t="inlineStr"/>
      <c r="O213" s="55" t="inlineStr"/>
      <c r="P213" s="16" t="inlineStr">
        <is>
          <t>Требует обогащения</t>
        </is>
      </c>
      <c r="Q213" s="16">
        <f>HYPERLINK("https://pb.nalog.ru/search.html?query=5028026576","ФНС: проверить")</f>
        <v/>
      </c>
      <c r="R213" s="16">
        <f>HYPERLINK("https://checko.ru/search?query=3801001629","Чекко: проверить")</f>
        <v/>
      </c>
      <c r="S213" t="n">
        <v>1</v>
      </c>
      <c r="T213" s="35" t="inlineStr">
        <is>
          <t>4 — Не обогащён</t>
        </is>
      </c>
      <c r="U213" s="35" t="inlineStr">
        <is>
          <t>Нет ОКВЭД/ССЧР</t>
        </is>
      </c>
      <c r="V213" s="35" t="inlineStr">
        <is>
          <t>Не определено</t>
        </is>
      </c>
      <c r="W213" s="35" t="inlineStr"/>
      <c r="X213" s="35" t="inlineStr"/>
    </row>
    <row r="214" ht="54.75" customHeight="1" s="24">
      <c r="A214" s="13" t="n">
        <v>5000017006</v>
      </c>
      <c r="B214" s="13" t="inlineStr">
        <is>
          <t>МУНИЦИПАЛЬНОЕ КАЗЕННОЕ УЧРЕЖДЕНИЕ "ЦЕНТРАЛИЗОВАННАЯ БУХГАЛТЕРИЯ МУНИЦИПАЛЬНЫХ УЧРЕЖДЕНИЙ ГОРОДСКОГО ОКРУГА ЭЛЕКТРОСТАЛЬ МОСКОВСКОЙ ОБЛАСТИ"</t>
        </is>
      </c>
      <c r="C214" s="13" t="n">
        <v>5053041987</v>
      </c>
      <c r="D214" s="13" t="inlineStr">
        <is>
          <t>5053041987</t>
        </is>
      </c>
      <c r="E214" s="13" t="inlineStr">
        <is>
          <t>ЮЛ РФ</t>
        </is>
      </c>
      <c r="F214" s="13" t="n"/>
      <c r="G214" s="14" t="n"/>
      <c r="H214" s="14" t="n"/>
      <c r="I214" s="14" t="n"/>
      <c r="J214" s="14" t="n"/>
      <c r="K214" s="53" t="inlineStr"/>
      <c r="L214" s="53" t="inlineStr">
        <is>
          <t>Не определено</t>
        </is>
      </c>
      <c r="M214" s="53" t="inlineStr"/>
      <c r="N214" s="54" t="inlineStr"/>
      <c r="O214" s="55" t="inlineStr"/>
      <c r="P214" s="16" t="inlineStr">
        <is>
          <t>Требует обогащения</t>
        </is>
      </c>
      <c r="Q214" s="16">
        <f>HYPERLINK("https://pb.nalog.ru/search.html?query=5053041987","ФНС: проверить")</f>
        <v/>
      </c>
      <c r="R214" s="16">
        <f>HYPERLINK("https://checko.ru/search?query=3801001629","Чекко: проверить")</f>
        <v/>
      </c>
      <c r="S214" t="n">
        <v>1</v>
      </c>
      <c r="T214" s="35" t="inlineStr">
        <is>
          <t>4 — Не обогащён</t>
        </is>
      </c>
      <c r="U214" s="35" t="inlineStr">
        <is>
          <t>Нет ОКВЭД/ССЧР</t>
        </is>
      </c>
      <c r="V214" s="35" t="inlineStr">
        <is>
          <t>Не определено</t>
        </is>
      </c>
      <c r="W214" s="35" t="inlineStr"/>
      <c r="X214" s="35" t="inlineStr"/>
    </row>
    <row r="215" ht="15" customHeight="1" s="24">
      <c r="A215" s="13" t="n">
        <v>5000121170</v>
      </c>
      <c r="B215" s="13" t="inlineStr">
        <is>
          <t>Триумф Дворец спорта</t>
        </is>
      </c>
      <c r="C215" s="13" t="n">
        <v>5027112952</v>
      </c>
      <c r="D215" s="13" t="inlineStr">
        <is>
          <t>5027112952</t>
        </is>
      </c>
      <c r="E215" s="13" t="inlineStr">
        <is>
          <t>ЮЛ РФ</t>
        </is>
      </c>
      <c r="F215" s="13" t="n"/>
      <c r="G215" s="14" t="n"/>
      <c r="H215" s="14" t="n"/>
      <c r="I215" s="14" t="n"/>
      <c r="J215" s="14" t="n"/>
      <c r="K215" s="53" t="inlineStr"/>
      <c r="L215" s="53" t="inlineStr">
        <is>
          <t>Не определено</t>
        </is>
      </c>
      <c r="M215" s="53" t="inlineStr"/>
      <c r="N215" s="54" t="inlineStr"/>
      <c r="O215" s="55" t="inlineStr"/>
      <c r="P215" s="16" t="inlineStr">
        <is>
          <t>Требует обогащения</t>
        </is>
      </c>
      <c r="Q215" s="16">
        <f>HYPERLINK("https://pb.nalog.ru/search.html?query=5027112952","ФНС: проверить")</f>
        <v/>
      </c>
      <c r="R215" s="16">
        <f>HYPERLINK("https://checko.ru/search?query=3801001629","Чекко: проверить")</f>
        <v/>
      </c>
      <c r="S215" t="n">
        <v>1</v>
      </c>
      <c r="T215" s="35" t="inlineStr">
        <is>
          <t>4 — Не обогащён</t>
        </is>
      </c>
      <c r="U215" s="35" t="inlineStr">
        <is>
          <t>Нет ОКВЭД/ССЧР</t>
        </is>
      </c>
      <c r="V215" s="35" t="inlineStr">
        <is>
          <t>Не определено</t>
        </is>
      </c>
      <c r="W215" s="35" t="inlineStr"/>
      <c r="X215" s="35" t="inlineStr"/>
    </row>
    <row r="216" ht="41.25" customHeight="1" s="24">
      <c r="A216" s="13" t="n">
        <v>5000101504</v>
      </c>
      <c r="B216" s="13" t="inlineStr">
        <is>
          <t>Муниципальное бюджетное учреждение дополнительного образования Спортивная школа олимпийского резерва по самбо и дзюдо "Союз"</t>
        </is>
      </c>
      <c r="C216" s="13" t="n">
        <v>5056000629</v>
      </c>
      <c r="D216" s="13" t="inlineStr">
        <is>
          <t>5056000629</t>
        </is>
      </c>
      <c r="E216" s="13" t="inlineStr">
        <is>
          <t>ЮЛ РФ</t>
        </is>
      </c>
      <c r="F216" s="13" t="n"/>
      <c r="G216" s="14" t="n"/>
      <c r="H216" s="14" t="n"/>
      <c r="I216" s="14" t="n"/>
      <c r="J216" s="14" t="n"/>
      <c r="K216" s="53" t="inlineStr"/>
      <c r="L216" s="53" t="inlineStr">
        <is>
          <t>Не определено</t>
        </is>
      </c>
      <c r="M216" s="53" t="inlineStr"/>
      <c r="N216" s="54" t="inlineStr"/>
      <c r="O216" s="55" t="inlineStr"/>
      <c r="P216" s="16" t="inlineStr">
        <is>
          <t>Требует обогащения</t>
        </is>
      </c>
      <c r="Q216" s="16">
        <f>HYPERLINK("https://pb.nalog.ru/search.html?query=5056000629","ФНС: проверить")</f>
        <v/>
      </c>
      <c r="R216" s="16">
        <f>HYPERLINK("https://checko.ru/search?query=3801001629","Чекко: проверить")</f>
        <v/>
      </c>
      <c r="S216" t="n">
        <v>1</v>
      </c>
      <c r="T216" s="35" t="inlineStr">
        <is>
          <t>4 — Не обогащён</t>
        </is>
      </c>
      <c r="U216" s="35" t="inlineStr">
        <is>
          <t>Нет ОКВЭД/ССЧР</t>
        </is>
      </c>
      <c r="V216" s="35" t="inlineStr">
        <is>
          <t>Не определено</t>
        </is>
      </c>
      <c r="W216" s="35" t="inlineStr"/>
      <c r="X216" s="35" t="inlineStr"/>
    </row>
    <row r="217" ht="15" customHeight="1" s="24">
      <c r="A217" s="13" t="n">
        <v>5000041278</v>
      </c>
      <c r="B217" s="13" t="inlineStr">
        <is>
          <t>МАОУ СОШ №27</t>
        </is>
      </c>
      <c r="C217" s="13" t="n">
        <v>5027213541</v>
      </c>
      <c r="D217" s="13" t="inlineStr">
        <is>
          <t>5027213541</t>
        </is>
      </c>
      <c r="E217" s="13" t="inlineStr">
        <is>
          <t>ЮЛ РФ</t>
        </is>
      </c>
      <c r="F217" s="13" t="n"/>
      <c r="G217" s="14" t="n"/>
      <c r="H217" s="14" t="n"/>
      <c r="I217" s="14" t="n"/>
      <c r="J217" s="14" t="n"/>
      <c r="K217" s="53" t="inlineStr"/>
      <c r="L217" s="53" t="inlineStr">
        <is>
          <t>Не определено</t>
        </is>
      </c>
      <c r="M217" s="53" t="inlineStr"/>
      <c r="N217" s="54" t="inlineStr"/>
      <c r="O217" s="55" t="inlineStr"/>
      <c r="P217" s="16" t="inlineStr">
        <is>
          <t>Требует обогащения</t>
        </is>
      </c>
      <c r="Q217" s="16">
        <f>HYPERLINK("https://pb.nalog.ru/search.html?query=5027213541","ФНС: проверить")</f>
        <v/>
      </c>
      <c r="R217" s="16">
        <f>HYPERLINK("https://checko.ru/search?query=3801001629","Чекко: проверить")</f>
        <v/>
      </c>
      <c r="S217" t="n">
        <v>1</v>
      </c>
      <c r="T217" s="35" t="inlineStr">
        <is>
          <t>4 — Не обогащён</t>
        </is>
      </c>
      <c r="U217" s="35" t="inlineStr">
        <is>
          <t>Нет ОКВЭД/ССЧР</t>
        </is>
      </c>
      <c r="V217" s="35" t="inlineStr">
        <is>
          <t>Не определено</t>
        </is>
      </c>
      <c r="W217" s="35" t="inlineStr"/>
      <c r="X217" s="35" t="inlineStr"/>
    </row>
    <row r="218" ht="15" customHeight="1" s="24">
      <c r="A218" s="13" t="n">
        <v>5000116374</v>
      </c>
      <c r="B218" s="13" t="inlineStr">
        <is>
          <t>МУП « СК «МЕТАЛЛУРГ»</t>
        </is>
      </c>
      <c r="C218" s="13" t="n">
        <v>5003007660</v>
      </c>
      <c r="D218" s="13" t="inlineStr">
        <is>
          <t>5003007660</t>
        </is>
      </c>
      <c r="E218" s="13" t="inlineStr">
        <is>
          <t>ЮЛ РФ</t>
        </is>
      </c>
      <c r="F218" s="13" t="n"/>
      <c r="G218" s="14" t="n"/>
      <c r="H218" s="14" t="n"/>
      <c r="I218" s="14" t="n"/>
      <c r="J218" s="14" t="n"/>
      <c r="K218" s="53" t="inlineStr"/>
      <c r="L218" s="53" t="inlineStr">
        <is>
          <t>Не определено</t>
        </is>
      </c>
      <c r="M218" s="53" t="inlineStr"/>
      <c r="N218" s="54" t="inlineStr"/>
      <c r="O218" s="55" t="inlineStr"/>
      <c r="P218" s="16" t="inlineStr">
        <is>
          <t>Требует обогащения</t>
        </is>
      </c>
      <c r="Q218" s="16">
        <f>HYPERLINK("https://pb.nalog.ru/search.html?query=5003007660","ФНС: проверить")</f>
        <v/>
      </c>
      <c r="R218" s="16">
        <f>HYPERLINK("https://checko.ru/search?query=3801001629","Чекко: проверить")</f>
        <v/>
      </c>
      <c r="S218" t="n">
        <v>1</v>
      </c>
      <c r="T218" s="35" t="inlineStr">
        <is>
          <t>4 — Не обогащён</t>
        </is>
      </c>
      <c r="U218" s="35" t="inlineStr">
        <is>
          <t>Нет ОКВЭД/ССЧР</t>
        </is>
      </c>
      <c r="V218" s="35" t="inlineStr">
        <is>
          <t>Не определено</t>
        </is>
      </c>
      <c r="W218" s="35" t="inlineStr"/>
      <c r="X218" s="35" t="inlineStr"/>
    </row>
    <row r="219" ht="27.75" customHeight="1" s="24">
      <c r="A219" s="13" t="n">
        <v>5000009415</v>
      </c>
      <c r="B219" s="13" t="inlineStr">
        <is>
          <t>МКУ "ЕДДС" Волоколамского муниципального района</t>
        </is>
      </c>
      <c r="C219" s="13" t="n">
        <v>5004025580</v>
      </c>
      <c r="D219" s="13" t="inlineStr">
        <is>
          <t>5004025580</t>
        </is>
      </c>
      <c r="E219" s="13" t="inlineStr">
        <is>
          <t>ЮЛ РФ</t>
        </is>
      </c>
      <c r="F219" s="13" t="n"/>
      <c r="G219" s="14" t="n"/>
      <c r="H219" s="14" t="n"/>
      <c r="I219" s="14" t="n"/>
      <c r="J219" s="14" t="n"/>
      <c r="K219" s="53" t="inlineStr"/>
      <c r="L219" s="53" t="inlineStr">
        <is>
          <t>Не определено</t>
        </is>
      </c>
      <c r="M219" s="53" t="inlineStr"/>
      <c r="N219" s="54" t="inlineStr"/>
      <c r="O219" s="55" t="inlineStr"/>
      <c r="P219" s="16" t="inlineStr">
        <is>
          <t>Требует обогащения</t>
        </is>
      </c>
      <c r="Q219" s="16">
        <f>HYPERLINK("https://pb.nalog.ru/search.html?query=5004025580","ФНС: проверить")</f>
        <v/>
      </c>
      <c r="R219" s="16">
        <f>HYPERLINK("https://checko.ru/search?query=3801001629","Чекко: проверить")</f>
        <v/>
      </c>
      <c r="S219" t="n">
        <v>1</v>
      </c>
      <c r="T219" s="35" t="inlineStr">
        <is>
          <t>4 — Не обогащён</t>
        </is>
      </c>
      <c r="U219" s="35" t="inlineStr">
        <is>
          <t>Нет ОКВЭД/ССЧР</t>
        </is>
      </c>
      <c r="V219" s="35" t="inlineStr">
        <is>
          <t>Не определено</t>
        </is>
      </c>
      <c r="W219" s="35" t="inlineStr"/>
      <c r="X219" s="35" t="inlineStr"/>
    </row>
    <row r="220" ht="15" customHeight="1" s="24">
      <c r="A220" s="13" t="n">
        <v>5000009419</v>
      </c>
      <c r="B220" s="13" t="inlineStr">
        <is>
          <t>МАУ "Волок-Медиа"</t>
        </is>
      </c>
      <c r="C220" s="13" t="n">
        <v>5004027041</v>
      </c>
      <c r="D220" s="13" t="inlineStr">
        <is>
          <t>5004027041</t>
        </is>
      </c>
      <c r="E220" s="13" t="inlineStr">
        <is>
          <t>ЮЛ РФ</t>
        </is>
      </c>
      <c r="F220" s="13" t="n"/>
      <c r="G220" s="14" t="n"/>
      <c r="H220" s="14" t="n"/>
      <c r="I220" s="14" t="n"/>
      <c r="J220" s="14" t="n"/>
      <c r="K220" s="53" t="inlineStr"/>
      <c r="L220" s="53" t="inlineStr">
        <is>
          <t>Не определено</t>
        </is>
      </c>
      <c r="M220" s="53" t="inlineStr"/>
      <c r="N220" s="54" t="inlineStr"/>
      <c r="O220" s="55" t="inlineStr"/>
      <c r="P220" s="16" t="inlineStr">
        <is>
          <t>Требует обогащения</t>
        </is>
      </c>
      <c r="Q220" s="16">
        <f>HYPERLINK("https://pb.nalog.ru/search.html?query=5004027041","ФНС: проверить")</f>
        <v/>
      </c>
      <c r="R220" s="16">
        <f>HYPERLINK("https://checko.ru/search?query=3801001629","Чекко: проверить")</f>
        <v/>
      </c>
      <c r="S220" t="n">
        <v>1</v>
      </c>
      <c r="T220" s="35" t="inlineStr">
        <is>
          <t>4 — Не обогащён</t>
        </is>
      </c>
      <c r="U220" s="35" t="inlineStr">
        <is>
          <t>Нет ОКВЭД/ССЧР</t>
        </is>
      </c>
      <c r="V220" s="35" t="inlineStr">
        <is>
          <t>Не определено</t>
        </is>
      </c>
      <c r="W220" s="35" t="inlineStr"/>
      <c r="X220" s="35" t="inlineStr"/>
    </row>
    <row r="221" ht="15" customHeight="1" s="24">
      <c r="A221" s="13" t="n">
        <v>5000110052</v>
      </c>
      <c r="B221" s="13" t="inlineStr">
        <is>
          <t>МКУ "УКС"</t>
        </is>
      </c>
      <c r="C221" s="13" t="n">
        <v>5017111526</v>
      </c>
      <c r="D221" s="13" t="inlineStr">
        <is>
          <t>5017111526</t>
        </is>
      </c>
      <c r="E221" s="13" t="inlineStr">
        <is>
          <t>ЮЛ РФ</t>
        </is>
      </c>
      <c r="F221" s="13" t="n"/>
      <c r="G221" s="14" t="n"/>
      <c r="H221" s="14" t="n"/>
      <c r="I221" s="14" t="n"/>
      <c r="J221" s="14" t="n"/>
      <c r="K221" s="53" t="inlineStr"/>
      <c r="L221" s="53" t="inlineStr">
        <is>
          <t>Не определено</t>
        </is>
      </c>
      <c r="M221" s="53" t="inlineStr"/>
      <c r="N221" s="54" t="inlineStr"/>
      <c r="O221" s="55" t="inlineStr"/>
      <c r="P221" s="16" t="inlineStr">
        <is>
          <t>Требует обогащения</t>
        </is>
      </c>
      <c r="Q221" s="16">
        <f>HYPERLINK("https://pb.nalog.ru/search.html?query=5017111526","ФНС: проверить")</f>
        <v/>
      </c>
      <c r="R221" s="16">
        <f>HYPERLINK("https://checko.ru/search?query=3801001629","Чекко: проверить")</f>
        <v/>
      </c>
      <c r="S221" t="n">
        <v>1</v>
      </c>
      <c r="T221" s="35" t="inlineStr">
        <is>
          <t>4 — Не обогащён</t>
        </is>
      </c>
      <c r="U221" s="35" t="inlineStr">
        <is>
          <t>Нет ОКВЭД/ССЧР</t>
        </is>
      </c>
      <c r="V221" s="35" t="inlineStr">
        <is>
          <t>Не определено</t>
        </is>
      </c>
      <c r="W221" s="35" t="inlineStr"/>
      <c r="X221" s="35" t="inlineStr"/>
    </row>
    <row r="222" ht="15" customHeight="1" s="24">
      <c r="A222" s="13" t="n">
        <v>5000074093</v>
      </c>
      <c r="B222" s="13" t="inlineStr">
        <is>
          <t>МУК "Истринский драматический театр"</t>
        </is>
      </c>
      <c r="C222" s="13" t="n">
        <v>5017058230</v>
      </c>
      <c r="D222" s="13" t="inlineStr">
        <is>
          <t>5017058230</t>
        </is>
      </c>
      <c r="E222" s="13" t="inlineStr">
        <is>
          <t>ЮЛ РФ</t>
        </is>
      </c>
      <c r="F222" s="13" t="n"/>
      <c r="G222" s="14" t="n"/>
      <c r="H222" s="14" t="n"/>
      <c r="I222" s="14" t="n"/>
      <c r="J222" s="14" t="n"/>
      <c r="K222" s="53" t="inlineStr"/>
      <c r="L222" s="53" t="inlineStr">
        <is>
          <t>Не определено</t>
        </is>
      </c>
      <c r="M222" s="53" t="inlineStr"/>
      <c r="N222" s="54" t="inlineStr"/>
      <c r="O222" s="55" t="inlineStr"/>
      <c r="P222" s="16" t="inlineStr">
        <is>
          <t>Требует обогащения</t>
        </is>
      </c>
      <c r="Q222" s="16">
        <f>HYPERLINK("https://pb.nalog.ru/search.html?query=5017058230","ФНС: проверить")</f>
        <v/>
      </c>
      <c r="R222" s="16">
        <f>HYPERLINK("https://checko.ru/search?query=3801001629","Чекко: проверить")</f>
        <v/>
      </c>
      <c r="S222" t="n">
        <v>1</v>
      </c>
      <c r="T222" s="35" t="inlineStr">
        <is>
          <t>4 — Не обогащён</t>
        </is>
      </c>
      <c r="U222" s="35" t="inlineStr">
        <is>
          <t>Нет ОКВЭД/ССЧР</t>
        </is>
      </c>
      <c r="V222" s="35" t="inlineStr">
        <is>
          <t>Не определено</t>
        </is>
      </c>
      <c r="W222" s="35" t="inlineStr"/>
      <c r="X222" s="35" t="inlineStr"/>
    </row>
    <row r="223" ht="27.75" customHeight="1" s="24">
      <c r="A223" s="13" t="n">
        <v>5000009426</v>
      </c>
      <c r="B223" s="13" t="inlineStr">
        <is>
          <t>Администрация Волоколамского муниципального района</t>
        </is>
      </c>
      <c r="C223" s="13" t="n">
        <v>5004003890</v>
      </c>
      <c r="D223" s="13" t="inlineStr">
        <is>
          <t>5004003890</t>
        </is>
      </c>
      <c r="E223" s="13" t="inlineStr">
        <is>
          <t>ЮЛ РФ</t>
        </is>
      </c>
      <c r="F223" s="13" t="n"/>
      <c r="G223" s="14" t="n"/>
      <c r="H223" s="14" t="n"/>
      <c r="I223" s="14" t="n"/>
      <c r="J223" s="14" t="n"/>
      <c r="K223" s="53" t="inlineStr"/>
      <c r="L223" s="53" t="inlineStr">
        <is>
          <t>Не определено</t>
        </is>
      </c>
      <c r="M223" s="53" t="inlineStr"/>
      <c r="N223" s="54" t="inlineStr"/>
      <c r="O223" s="55" t="inlineStr"/>
      <c r="P223" s="16" t="inlineStr">
        <is>
          <t>Требует обогащения</t>
        </is>
      </c>
      <c r="Q223" s="16">
        <f>HYPERLINK("https://pb.nalog.ru/search.html?query=5004003890","ФНС: проверить")</f>
        <v/>
      </c>
      <c r="R223" s="16">
        <f>HYPERLINK("https://checko.ru/search?query=3801001629","Чекко: проверить")</f>
        <v/>
      </c>
      <c r="S223" t="n">
        <v>1</v>
      </c>
      <c r="T223" s="35" t="inlineStr">
        <is>
          <t>4 — Не обогащён</t>
        </is>
      </c>
      <c r="U223" s="35" t="inlineStr">
        <is>
          <t>Нет ОКВЭД/ССЧР</t>
        </is>
      </c>
      <c r="V223" s="35" t="inlineStr">
        <is>
          <t>Не определено</t>
        </is>
      </c>
      <c r="W223" s="35" t="inlineStr"/>
      <c r="X223" s="35" t="inlineStr"/>
    </row>
    <row r="224" ht="15" customHeight="1" s="24">
      <c r="A224" s="13" t="n">
        <v>5000116389</v>
      </c>
      <c r="B224" s="13" t="inlineStr">
        <is>
          <t>АУ «Арена Химки»</t>
        </is>
      </c>
      <c r="C224" s="13" t="n">
        <v>5047069529</v>
      </c>
      <c r="D224" s="13" t="inlineStr">
        <is>
          <t>5047069529</t>
        </is>
      </c>
      <c r="E224" s="13" t="inlineStr">
        <is>
          <t>ЮЛ РФ</t>
        </is>
      </c>
      <c r="F224" s="13" t="n"/>
      <c r="G224" s="14" t="n"/>
      <c r="H224" s="14" t="n"/>
      <c r="I224" s="14" t="n"/>
      <c r="J224" s="14" t="n"/>
      <c r="K224" s="53" t="inlineStr"/>
      <c r="L224" s="53" t="inlineStr">
        <is>
          <t>Не определено</t>
        </is>
      </c>
      <c r="M224" s="53" t="inlineStr"/>
      <c r="N224" s="54" t="inlineStr"/>
      <c r="O224" s="55" t="inlineStr"/>
      <c r="P224" s="16" t="inlineStr">
        <is>
          <t>Требует обогащения</t>
        </is>
      </c>
      <c r="Q224" s="16">
        <f>HYPERLINK("https://pb.nalog.ru/search.html?query=5047069529","ФНС: проверить")</f>
        <v/>
      </c>
      <c r="R224" s="16">
        <f>HYPERLINK("https://checko.ru/search?query=3801001629","Чекко: проверить")</f>
        <v/>
      </c>
      <c r="S224" t="n">
        <v>1</v>
      </c>
      <c r="T224" s="35" t="inlineStr">
        <is>
          <t>4 — Не обогащён</t>
        </is>
      </c>
      <c r="U224" s="35" t="inlineStr">
        <is>
          <t>Нет ОКВЭД/ССЧР</t>
        </is>
      </c>
      <c r="V224" s="35" t="inlineStr">
        <is>
          <t>Не определено</t>
        </is>
      </c>
      <c r="W224" s="35" t="inlineStr"/>
      <c r="X224" s="35" t="inlineStr"/>
    </row>
    <row r="225" ht="54.75" customHeight="1" s="24">
      <c r="A225" s="13" t="n">
        <v>5000091097</v>
      </c>
      <c r="B225" s="13" t="inlineStr">
        <is>
          <t>МУНИЦИПАЛЬНОЕ ОБЩЕОБРАЗОВАТЕЛЬНОЕ УЧРЕЖДЕНИЕ ГИМНАЗИЯ № 41 МУНИЦИПАЛЬНОГО ОБРАЗОВАНИЯ ГОРОДСКОЙ ОКРУ</t>
        </is>
      </c>
      <c r="C225" s="13" t="n">
        <v>5027037744</v>
      </c>
      <c r="D225" s="13" t="inlineStr">
        <is>
          <t>5027037744</t>
        </is>
      </c>
      <c r="E225" s="13" t="inlineStr">
        <is>
          <t>ЮЛ РФ</t>
        </is>
      </c>
      <c r="F225" s="13" t="n"/>
      <c r="G225" s="14" t="n"/>
      <c r="H225" s="14" t="n"/>
      <c r="I225" s="14" t="n"/>
      <c r="J225" s="14" t="n"/>
      <c r="K225" s="53" t="inlineStr"/>
      <c r="L225" s="53" t="inlineStr">
        <is>
          <t>Не определено</t>
        </is>
      </c>
      <c r="M225" s="53" t="inlineStr"/>
      <c r="N225" s="54" t="inlineStr"/>
      <c r="O225" s="55" t="inlineStr"/>
      <c r="P225" s="16" t="inlineStr">
        <is>
          <t>Требует обогащения</t>
        </is>
      </c>
      <c r="Q225" s="16">
        <f>HYPERLINK("https://pb.nalog.ru/search.html?query=5027037744","ФНС: проверить")</f>
        <v/>
      </c>
      <c r="R225" s="16">
        <f>HYPERLINK("https://checko.ru/search?query=3801001629","Чекко: проверить")</f>
        <v/>
      </c>
      <c r="S225" t="n">
        <v>1</v>
      </c>
      <c r="T225" s="35" t="inlineStr">
        <is>
          <t>4 — Не обогащён</t>
        </is>
      </c>
      <c r="U225" s="35" t="inlineStr">
        <is>
          <t>Нет ОКВЭД/ССЧР</t>
        </is>
      </c>
      <c r="V225" s="35" t="inlineStr">
        <is>
          <t>Не определено</t>
        </is>
      </c>
      <c r="W225" s="35" t="inlineStr"/>
      <c r="X225" s="35" t="inlineStr"/>
    </row>
    <row r="226" ht="41.25" customHeight="1" s="24">
      <c r="A226" s="13" t="n">
        <v>5000121173</v>
      </c>
      <c r="B226" s="13" t="inlineStr">
        <is>
          <t>СОВЕТ ДЕПУТАТОВ МУНИЦИПАЛЬНОГО ОБРАЗОВАНИЯ ГОРОДСКОЙ ОКРУГ ЛЮБЕРЦЫ МОСКОВСКОЙ ОБЛАСТИ</t>
        </is>
      </c>
      <c r="C226" s="13" t="n">
        <v>5027115417</v>
      </c>
      <c r="D226" s="13" t="inlineStr">
        <is>
          <t>5027115417</t>
        </is>
      </c>
      <c r="E226" s="13" t="inlineStr">
        <is>
          <t>ЮЛ РФ</t>
        </is>
      </c>
      <c r="F226" s="13" t="n"/>
      <c r="G226" s="14" t="n"/>
      <c r="H226" s="14" t="n"/>
      <c r="I226" s="14" t="n"/>
      <c r="J226" s="14" t="n"/>
      <c r="K226" s="53" t="inlineStr"/>
      <c r="L226" s="53" t="inlineStr">
        <is>
          <t>Не определено</t>
        </is>
      </c>
      <c r="M226" s="53" t="inlineStr"/>
      <c r="N226" s="54" t="inlineStr"/>
      <c r="O226" s="55" t="inlineStr"/>
      <c r="P226" s="16" t="inlineStr">
        <is>
          <t>Требует обогащения</t>
        </is>
      </c>
      <c r="Q226" s="16">
        <f>HYPERLINK("https://pb.nalog.ru/search.html?query=5027115417","ФНС: проверить")</f>
        <v/>
      </c>
      <c r="R226" s="16">
        <f>HYPERLINK("https://checko.ru/search?query=3801001629","Чекко: проверить")</f>
        <v/>
      </c>
      <c r="S226" t="n">
        <v>1</v>
      </c>
      <c r="T226" s="35" t="inlineStr">
        <is>
          <t>4 — Не обогащён</t>
        </is>
      </c>
      <c r="U226" s="35" t="inlineStr">
        <is>
          <t>Нет ОКВЭД/ССЧР</t>
        </is>
      </c>
      <c r="V226" s="35" t="inlineStr">
        <is>
          <t>Не определено</t>
        </is>
      </c>
      <c r="W226" s="35" t="inlineStr"/>
      <c r="X226" s="35" t="inlineStr"/>
    </row>
    <row r="227" ht="15" customHeight="1" s="24">
      <c r="A227" s="13" t="n">
        <v>5000009420</v>
      </c>
      <c r="B227" s="13" t="inlineStr">
        <is>
          <t>МКУ "ЦМЗ" ВМР"</t>
        </is>
      </c>
      <c r="C227" s="13" t="n">
        <v>5004027154</v>
      </c>
      <c r="D227" s="13" t="inlineStr">
        <is>
          <t>5004027154</t>
        </is>
      </c>
      <c r="E227" s="13" t="inlineStr">
        <is>
          <t>ЮЛ РФ</t>
        </is>
      </c>
      <c r="F227" s="13" t="n"/>
      <c r="G227" s="14" t="n"/>
      <c r="H227" s="14" t="n"/>
      <c r="I227" s="14" t="n"/>
      <c r="J227" s="14" t="n"/>
      <c r="K227" s="53" t="inlineStr"/>
      <c r="L227" s="53" t="inlineStr">
        <is>
          <t>Не определено</t>
        </is>
      </c>
      <c r="M227" s="53" t="inlineStr"/>
      <c r="N227" s="54" t="inlineStr"/>
      <c r="O227" s="55" t="inlineStr"/>
      <c r="P227" s="16" t="inlineStr">
        <is>
          <t>Требует обогащения</t>
        </is>
      </c>
      <c r="Q227" s="16">
        <f>HYPERLINK("https://pb.nalog.ru/search.html?query=5004027154","ФНС: проверить")</f>
        <v/>
      </c>
      <c r="R227" s="16">
        <f>HYPERLINK("https://checko.ru/search?query=3801001629","Чекко: проверить")</f>
        <v/>
      </c>
      <c r="S227" t="n">
        <v>1</v>
      </c>
      <c r="T227" s="35" t="inlineStr">
        <is>
          <t>4 — Не обогащён</t>
        </is>
      </c>
      <c r="U227" s="35" t="inlineStr">
        <is>
          <t>Нет ОКВЭД/ССЧР</t>
        </is>
      </c>
      <c r="V227" s="35" t="inlineStr">
        <is>
          <t>Не определено</t>
        </is>
      </c>
      <c r="W227" s="35" t="inlineStr"/>
      <c r="X227" s="35" t="inlineStr"/>
    </row>
    <row r="228" ht="27.75" customHeight="1" s="24">
      <c r="A228" s="13" t="n">
        <v>5000009408</v>
      </c>
      <c r="B228" s="13" t="inlineStr">
        <is>
          <t>МУ "Волоколамский районный центр культуры и творчества" "Родники"</t>
        </is>
      </c>
      <c r="C228" s="13" t="n">
        <v>5004017830</v>
      </c>
      <c r="D228" s="13" t="inlineStr">
        <is>
          <t>5004017830</t>
        </is>
      </c>
      <c r="E228" s="13" t="inlineStr">
        <is>
          <t>ЮЛ РФ</t>
        </is>
      </c>
      <c r="F228" s="13" t="n"/>
      <c r="G228" s="14" t="n"/>
      <c r="H228" s="14" t="n"/>
      <c r="I228" s="14" t="n"/>
      <c r="J228" s="14" t="n"/>
      <c r="K228" s="53" t="inlineStr"/>
      <c r="L228" s="53" t="inlineStr">
        <is>
          <t>Не определено</t>
        </is>
      </c>
      <c r="M228" s="53" t="inlineStr"/>
      <c r="N228" s="54" t="inlineStr"/>
      <c r="O228" s="55" t="inlineStr"/>
      <c r="P228" s="16" t="inlineStr">
        <is>
          <t>Требует обогащения</t>
        </is>
      </c>
      <c r="Q228" s="16">
        <f>HYPERLINK("https://pb.nalog.ru/search.html?query=5004017830","ФНС: проверить")</f>
        <v/>
      </c>
      <c r="R228" s="16">
        <f>HYPERLINK("https://checko.ru/search?query=3801001629","Чекко: проверить")</f>
        <v/>
      </c>
      <c r="S228" t="n">
        <v>1</v>
      </c>
      <c r="T228" s="35" t="inlineStr">
        <is>
          <t>4 — Не обогащён</t>
        </is>
      </c>
      <c r="U228" s="35" t="inlineStr">
        <is>
          <t>Нет ОКВЭД/ССЧР</t>
        </is>
      </c>
      <c r="V228" s="35" t="inlineStr">
        <is>
          <t>Не определено</t>
        </is>
      </c>
      <c r="W228" s="35" t="inlineStr"/>
      <c r="X228" s="35" t="inlineStr"/>
    </row>
    <row r="229" ht="15" customHeight="1" s="24">
      <c r="A229" s="13" t="n">
        <v>5000009409</v>
      </c>
      <c r="B229" s="13" t="inlineStr">
        <is>
          <t>МКУ Сычевский ДК</t>
        </is>
      </c>
      <c r="C229" s="13" t="n">
        <v>5004017886</v>
      </c>
      <c r="D229" s="13" t="inlineStr">
        <is>
          <t>5004017886</t>
        </is>
      </c>
      <c r="E229" s="13" t="inlineStr">
        <is>
          <t>ЮЛ РФ</t>
        </is>
      </c>
      <c r="F229" s="13" t="n"/>
      <c r="G229" s="14" t="n"/>
      <c r="H229" s="14" t="n"/>
      <c r="I229" s="14" t="n"/>
      <c r="J229" s="14" t="n"/>
      <c r="K229" s="53" t="inlineStr"/>
      <c r="L229" s="53" t="inlineStr">
        <is>
          <t>Не определено</t>
        </is>
      </c>
      <c r="M229" s="53" t="inlineStr"/>
      <c r="N229" s="54" t="inlineStr"/>
      <c r="O229" s="55" t="inlineStr"/>
      <c r="P229" s="16" t="inlineStr">
        <is>
          <t>Требует обогащения</t>
        </is>
      </c>
      <c r="Q229" s="16">
        <f>HYPERLINK("https://pb.nalog.ru/search.html?query=5004017886","ФНС: проверить")</f>
        <v/>
      </c>
      <c r="R229" s="16">
        <f>HYPERLINK("https://checko.ru/search?query=3801001629","Чекко: проверить")</f>
        <v/>
      </c>
      <c r="S229" t="n">
        <v>1</v>
      </c>
      <c r="T229" s="35" t="inlineStr">
        <is>
          <t>4 — Не обогащён</t>
        </is>
      </c>
      <c r="U229" s="35" t="inlineStr">
        <is>
          <t>Нет ОКВЭД/ССЧР</t>
        </is>
      </c>
      <c r="V229" s="35" t="inlineStr">
        <is>
          <t>Не определено</t>
        </is>
      </c>
      <c r="W229" s="35" t="inlineStr"/>
      <c r="X229" s="35" t="inlineStr"/>
    </row>
    <row r="230" ht="15" customHeight="1" s="24">
      <c r="A230" s="13" t="n">
        <v>5000023933</v>
      </c>
      <c r="B230" s="13" t="inlineStr">
        <is>
          <t>МУ «СФЦ «Гвардия»</t>
        </is>
      </c>
      <c r="C230" s="13" t="n">
        <v>5004012729</v>
      </c>
      <c r="D230" s="13" t="inlineStr">
        <is>
          <t>5004012729</t>
        </is>
      </c>
      <c r="E230" s="13" t="inlineStr">
        <is>
          <t>ЮЛ РФ</t>
        </is>
      </c>
      <c r="F230" s="13" t="n"/>
      <c r="G230" s="14" t="n"/>
      <c r="H230" s="14" t="n"/>
      <c r="I230" s="14" t="n"/>
      <c r="J230" s="14" t="n"/>
      <c r="K230" s="53" t="inlineStr"/>
      <c r="L230" s="53" t="inlineStr">
        <is>
          <t>Не определено</t>
        </is>
      </c>
      <c r="M230" s="53" t="inlineStr"/>
      <c r="N230" s="54" t="inlineStr"/>
      <c r="O230" s="55" t="inlineStr"/>
      <c r="P230" s="16" t="inlineStr">
        <is>
          <t>Требует обогащения</t>
        </is>
      </c>
      <c r="Q230" s="16">
        <f>HYPERLINK("https://pb.nalog.ru/search.html?query=5004012729","ФНС: проверить")</f>
        <v/>
      </c>
      <c r="R230" s="16">
        <f>HYPERLINK("https://checko.ru/search?query=3801001629","Чекко: проверить")</f>
        <v/>
      </c>
      <c r="S230" t="n">
        <v>1</v>
      </c>
      <c r="T230" s="35" t="inlineStr">
        <is>
          <t>4 — Не обогащён</t>
        </is>
      </c>
      <c r="U230" s="35" t="inlineStr">
        <is>
          <t>Нет ОКВЭД/ССЧР</t>
        </is>
      </c>
      <c r="V230" s="35" t="inlineStr">
        <is>
          <t>Не определено</t>
        </is>
      </c>
      <c r="W230" s="35" t="inlineStr"/>
      <c r="X230" s="35" t="inlineStr"/>
    </row>
    <row r="231" ht="15" customHeight="1" s="24">
      <c r="A231" s="13" t="n">
        <v>5000023934</v>
      </c>
      <c r="B231" s="13" t="inlineStr">
        <is>
          <t>МБУ «Волоколамский БЦ»</t>
        </is>
      </c>
      <c r="C231" s="13" t="n">
        <v>5004017910</v>
      </c>
      <c r="D231" s="13" t="inlineStr">
        <is>
          <t>5004017910</t>
        </is>
      </c>
      <c r="E231" s="13" t="inlineStr">
        <is>
          <t>ЮЛ РФ</t>
        </is>
      </c>
      <c r="F231" s="13" t="n"/>
      <c r="G231" s="14" t="n"/>
      <c r="H231" s="14" t="n"/>
      <c r="I231" s="14" t="n"/>
      <c r="J231" s="14" t="n"/>
      <c r="K231" s="53" t="inlineStr"/>
      <c r="L231" s="53" t="inlineStr">
        <is>
          <t>Не определено</t>
        </is>
      </c>
      <c r="M231" s="53" t="inlineStr"/>
      <c r="N231" s="54" t="inlineStr"/>
      <c r="O231" s="55" t="inlineStr"/>
      <c r="P231" s="16" t="inlineStr">
        <is>
          <t>Требует обогащения</t>
        </is>
      </c>
      <c r="Q231" s="16">
        <f>HYPERLINK("https://pb.nalog.ru/search.html?query=5004017910","ФНС: проверить")</f>
        <v/>
      </c>
      <c r="R231" s="16">
        <f>HYPERLINK("https://checko.ru/search?query=3801001629","Чекко: проверить")</f>
        <v/>
      </c>
      <c r="S231" t="n">
        <v>1</v>
      </c>
      <c r="T231" s="35" t="inlineStr">
        <is>
          <t>4 — Не обогащён</t>
        </is>
      </c>
      <c r="U231" s="35" t="inlineStr">
        <is>
          <t>Нет ОКВЭД/ССЧР</t>
        </is>
      </c>
      <c r="V231" s="35" t="inlineStr">
        <is>
          <t>Не определено</t>
        </is>
      </c>
      <c r="W231" s="35" t="inlineStr"/>
      <c r="X231" s="35" t="inlineStr"/>
    </row>
    <row r="232" ht="15" customHeight="1" s="24">
      <c r="A232" s="13" t="n">
        <v>5000024551</v>
      </c>
      <c r="B232" s="13" t="inlineStr">
        <is>
          <t>МАОУ «Бутовская СОШ №2»</t>
        </is>
      </c>
      <c r="C232" s="13" t="n">
        <v>5003119451</v>
      </c>
      <c r="D232" s="13" t="inlineStr">
        <is>
          <t>5003119451</t>
        </is>
      </c>
      <c r="E232" s="13" t="inlineStr">
        <is>
          <t>ЮЛ РФ</t>
        </is>
      </c>
      <c r="F232" s="13" t="n"/>
      <c r="G232" s="14" t="n"/>
      <c r="H232" s="14" t="n"/>
      <c r="I232" s="14" t="n"/>
      <c r="J232" s="14" t="n"/>
      <c r="K232" s="53" t="inlineStr"/>
      <c r="L232" s="53" t="inlineStr">
        <is>
          <t>Не определено</t>
        </is>
      </c>
      <c r="M232" s="53" t="inlineStr"/>
      <c r="N232" s="54" t="inlineStr"/>
      <c r="O232" s="55" t="inlineStr"/>
      <c r="P232" s="16" t="inlineStr">
        <is>
          <t>Требует обогащения</t>
        </is>
      </c>
      <c r="Q232" s="16">
        <f>HYPERLINK("https://pb.nalog.ru/search.html?query=5003119451","ФНС: проверить")</f>
        <v/>
      </c>
      <c r="R232" s="16">
        <f>HYPERLINK("https://checko.ru/search?query=3801001629","Чекко: проверить")</f>
        <v/>
      </c>
      <c r="S232" t="n">
        <v>1</v>
      </c>
      <c r="T232" s="35" t="inlineStr">
        <is>
          <t>4 — Не обогащён</t>
        </is>
      </c>
      <c r="U232" s="35" t="inlineStr">
        <is>
          <t>Нет ОКВЭД/ССЧР</t>
        </is>
      </c>
      <c r="V232" s="35" t="inlineStr">
        <is>
          <t>Не определено</t>
        </is>
      </c>
      <c r="W232" s="35" t="inlineStr"/>
      <c r="X232" s="35" t="inlineStr"/>
    </row>
    <row r="233" ht="41.25" customHeight="1" s="24">
      <c r="A233" s="13" t="n">
        <v>5000024537</v>
      </c>
      <c r="B233" s="13" t="inlineStr">
        <is>
          <t>Управление образования Администрации Ленинского муниципального района Московской области</t>
        </is>
      </c>
      <c r="C233" s="13" t="n">
        <v>5003028885</v>
      </c>
      <c r="D233" s="13" t="inlineStr">
        <is>
          <t>5003028885</t>
        </is>
      </c>
      <c r="E233" s="13" t="inlineStr">
        <is>
          <t>ЮЛ РФ</t>
        </is>
      </c>
      <c r="F233" s="13" t="n"/>
      <c r="G233" s="14" t="n"/>
      <c r="H233" s="14" t="n"/>
      <c r="I233" s="14" t="n"/>
      <c r="J233" s="14" t="n"/>
      <c r="K233" s="53" t="inlineStr"/>
      <c r="L233" s="53" t="inlineStr">
        <is>
          <t>Не определено</t>
        </is>
      </c>
      <c r="M233" s="53" t="inlineStr"/>
      <c r="N233" s="54" t="inlineStr"/>
      <c r="O233" s="55" t="inlineStr"/>
      <c r="P233" s="16" t="inlineStr">
        <is>
          <t>Требует обогащения</t>
        </is>
      </c>
      <c r="Q233" s="16">
        <f>HYPERLINK("https://pb.nalog.ru/search.html?query=5003028885","ФНС: проверить")</f>
        <v/>
      </c>
      <c r="R233" s="16">
        <f>HYPERLINK("https://checko.ru/search?query=3801001629","Чекко: проверить")</f>
        <v/>
      </c>
      <c r="S233" t="n">
        <v>1</v>
      </c>
      <c r="T233" s="35" t="inlineStr">
        <is>
          <t>4 — Не обогащён</t>
        </is>
      </c>
      <c r="U233" s="35" t="inlineStr">
        <is>
          <t>Нет ОКВЭД/ССЧР</t>
        </is>
      </c>
      <c r="V233" s="35" t="inlineStr">
        <is>
          <t>Не определено</t>
        </is>
      </c>
      <c r="W233" s="35" t="inlineStr"/>
      <c r="X233" s="35" t="inlineStr"/>
    </row>
    <row r="234" ht="15" customHeight="1" s="24">
      <c r="A234" s="13" t="n">
        <v>5000024541</v>
      </c>
      <c r="B234" s="13" t="inlineStr">
        <is>
          <t>МАОУ «Видновская СОШ №10»</t>
        </is>
      </c>
      <c r="C234" s="13" t="n">
        <v>5003119518</v>
      </c>
      <c r="D234" s="13" t="inlineStr">
        <is>
          <t>5003119518</t>
        </is>
      </c>
      <c r="E234" s="13" t="inlineStr">
        <is>
          <t>ЮЛ РФ</t>
        </is>
      </c>
      <c r="F234" s="13" t="n"/>
      <c r="G234" s="14" t="n"/>
      <c r="H234" s="14" t="n"/>
      <c r="I234" s="14" t="n"/>
      <c r="J234" s="14" t="n"/>
      <c r="K234" s="53" t="inlineStr"/>
      <c r="L234" s="53" t="inlineStr">
        <is>
          <t>Не определено</t>
        </is>
      </c>
      <c r="M234" s="53" t="inlineStr"/>
      <c r="N234" s="54" t="inlineStr"/>
      <c r="O234" s="55" t="inlineStr"/>
      <c r="P234" s="16" t="inlineStr">
        <is>
          <t>Требует обогащения</t>
        </is>
      </c>
      <c r="Q234" s="16">
        <f>HYPERLINK("https://pb.nalog.ru/search.html?query=5003119518","ФНС: проверить")</f>
        <v/>
      </c>
      <c r="R234" s="16">
        <f>HYPERLINK("https://checko.ru/search?query=3801001629","Чекко: проверить")</f>
        <v/>
      </c>
      <c r="S234" t="n">
        <v>1</v>
      </c>
      <c r="T234" s="35" t="inlineStr">
        <is>
          <t>4 — Не обогащён</t>
        </is>
      </c>
      <c r="U234" s="35" t="inlineStr">
        <is>
          <t>Нет ОКВЭД/ССЧР</t>
        </is>
      </c>
      <c r="V234" s="35" t="inlineStr">
        <is>
          <t>Не определено</t>
        </is>
      </c>
      <c r="W234" s="35" t="inlineStr"/>
      <c r="X234" s="35" t="inlineStr"/>
    </row>
    <row r="235" ht="15" customHeight="1" s="24">
      <c r="A235" s="13" t="n">
        <v>5000024542</v>
      </c>
      <c r="B235" s="13" t="inlineStr">
        <is>
          <t>МАОУ «Видновская СОШ №11»</t>
        </is>
      </c>
      <c r="C235" s="13" t="n">
        <v>5003123970</v>
      </c>
      <c r="D235" s="13" t="inlineStr">
        <is>
          <t>5003123970</t>
        </is>
      </c>
      <c r="E235" s="13" t="inlineStr">
        <is>
          <t>ЮЛ РФ</t>
        </is>
      </c>
      <c r="F235" s="13" t="n"/>
      <c r="G235" s="14" t="n"/>
      <c r="H235" s="14" t="n"/>
      <c r="I235" s="14" t="n"/>
      <c r="J235" s="14" t="n"/>
      <c r="K235" s="53" t="inlineStr"/>
      <c r="L235" s="53" t="inlineStr">
        <is>
          <t>Не определено</t>
        </is>
      </c>
      <c r="M235" s="53" t="inlineStr"/>
      <c r="N235" s="54" t="inlineStr"/>
      <c r="O235" s="55" t="inlineStr"/>
      <c r="P235" s="16" t="inlineStr">
        <is>
          <t>Требует обогащения</t>
        </is>
      </c>
      <c r="Q235" s="16">
        <f>HYPERLINK("https://pb.nalog.ru/search.html?query=5003123970","ФНС: проверить")</f>
        <v/>
      </c>
      <c r="R235" s="16">
        <f>HYPERLINK("https://checko.ru/search?query=3801001629","Чекко: проверить")</f>
        <v/>
      </c>
      <c r="S235" t="n">
        <v>1</v>
      </c>
      <c r="T235" s="35" t="inlineStr">
        <is>
          <t>4 — Не обогащён</t>
        </is>
      </c>
      <c r="U235" s="35" t="inlineStr">
        <is>
          <t>Нет ОКВЭД/ССЧР</t>
        </is>
      </c>
      <c r="V235" s="35" t="inlineStr">
        <is>
          <t>Не определено</t>
        </is>
      </c>
      <c r="W235" s="35" t="inlineStr"/>
      <c r="X235" s="35" t="inlineStr"/>
    </row>
    <row r="236" ht="15" customHeight="1" s="24">
      <c r="A236" s="13" t="n">
        <v>5000024543</v>
      </c>
      <c r="B236" s="13" t="inlineStr">
        <is>
          <t>МБОУ «Молоковская СОШ»</t>
        </is>
      </c>
      <c r="C236" s="13" t="n">
        <v>5003021505</v>
      </c>
      <c r="D236" s="13" t="inlineStr">
        <is>
          <t>5003021505</t>
        </is>
      </c>
      <c r="E236" s="13" t="inlineStr">
        <is>
          <t>ЮЛ РФ</t>
        </is>
      </c>
      <c r="F236" s="13" t="n"/>
      <c r="G236" s="14" t="n"/>
      <c r="H236" s="14" t="n"/>
      <c r="I236" s="14" t="n"/>
      <c r="J236" s="14" t="n"/>
      <c r="K236" s="53" t="inlineStr"/>
      <c r="L236" s="53" t="inlineStr">
        <is>
          <t>Не определено</t>
        </is>
      </c>
      <c r="M236" s="53" t="inlineStr"/>
      <c r="N236" s="54" t="inlineStr"/>
      <c r="O236" s="55" t="inlineStr"/>
      <c r="P236" s="16" t="inlineStr">
        <is>
          <t>Требует обогащения</t>
        </is>
      </c>
      <c r="Q236" s="16">
        <f>HYPERLINK("https://pb.nalog.ru/search.html?query=5003021505","ФНС: проверить")</f>
        <v/>
      </c>
      <c r="R236" s="16">
        <f>HYPERLINK("https://checko.ru/search?query=3801001629","Чекко: проверить")</f>
        <v/>
      </c>
      <c r="S236" t="n">
        <v>1</v>
      </c>
      <c r="T236" s="35" t="inlineStr">
        <is>
          <t>4 — Не обогащён</t>
        </is>
      </c>
      <c r="U236" s="35" t="inlineStr">
        <is>
          <t>Нет ОКВЭД/ССЧР</t>
        </is>
      </c>
      <c r="V236" s="35" t="inlineStr">
        <is>
          <t>Не определено</t>
        </is>
      </c>
      <c r="W236" s="35" t="inlineStr"/>
      <c r="X236" s="35" t="inlineStr"/>
    </row>
    <row r="237" ht="15" customHeight="1" s="24">
      <c r="A237" s="13" t="n">
        <v>5000024544</v>
      </c>
      <c r="B237" s="13" t="inlineStr">
        <is>
          <t>МБОУ Володарская СОШ</t>
        </is>
      </c>
      <c r="C237" s="13" t="n">
        <v>5003021590</v>
      </c>
      <c r="D237" s="13" t="inlineStr">
        <is>
          <t>5003021590</t>
        </is>
      </c>
      <c r="E237" s="13" t="inlineStr">
        <is>
          <t>ЮЛ РФ</t>
        </is>
      </c>
      <c r="F237" s="13" t="n"/>
      <c r="G237" s="14" t="n"/>
      <c r="H237" s="14" t="n"/>
      <c r="I237" s="14" t="n"/>
      <c r="J237" s="14" t="n"/>
      <c r="K237" s="53" t="inlineStr"/>
      <c r="L237" s="53" t="inlineStr">
        <is>
          <t>Не определено</t>
        </is>
      </c>
      <c r="M237" s="53" t="inlineStr"/>
      <c r="N237" s="54" t="inlineStr"/>
      <c r="O237" s="55" t="inlineStr"/>
      <c r="P237" s="16" t="inlineStr">
        <is>
          <t>Требует обогащения</t>
        </is>
      </c>
      <c r="Q237" s="16">
        <f>HYPERLINK("https://pb.nalog.ru/search.html?query=5003021590","ФНС: проверить")</f>
        <v/>
      </c>
      <c r="R237" s="16">
        <f>HYPERLINK("https://checko.ru/search?query=3801001629","Чекко: проверить")</f>
        <v/>
      </c>
      <c r="S237" t="n">
        <v>1</v>
      </c>
      <c r="T237" s="35" t="inlineStr">
        <is>
          <t>4 — Не обогащён</t>
        </is>
      </c>
      <c r="U237" s="35" t="inlineStr">
        <is>
          <t>Нет ОКВЭД/ССЧР</t>
        </is>
      </c>
      <c r="V237" s="35" t="inlineStr">
        <is>
          <t>Не определено</t>
        </is>
      </c>
      <c r="W237" s="35" t="inlineStr"/>
      <c r="X237" s="35" t="inlineStr"/>
    </row>
    <row r="238" ht="41.25" customHeight="1" s="24">
      <c r="A238" s="13" t="n">
        <v>5000116515</v>
      </c>
      <c r="B238" s="13" t="inlineStr">
        <is>
          <t>МБУ "Многофункциональный центр предоставления государственных и муниципальных услуг»</t>
        </is>
      </c>
      <c r="C238" s="13" t="n">
        <v>5027205773</v>
      </c>
      <c r="D238" s="13" t="inlineStr">
        <is>
          <t>5027205773</t>
        </is>
      </c>
      <c r="E238" s="13" t="inlineStr">
        <is>
          <t>ЮЛ РФ</t>
        </is>
      </c>
      <c r="F238" s="13" t="n"/>
      <c r="G238" s="14" t="n"/>
      <c r="H238" s="14" t="n"/>
      <c r="I238" s="14" t="n"/>
      <c r="J238" s="14" t="n"/>
      <c r="K238" s="53" t="inlineStr"/>
      <c r="L238" s="53" t="inlineStr">
        <is>
          <t>Не определено</t>
        </is>
      </c>
      <c r="M238" s="53" t="inlineStr"/>
      <c r="N238" s="54" t="inlineStr"/>
      <c r="O238" s="55" t="inlineStr"/>
      <c r="P238" s="16" t="inlineStr">
        <is>
          <t>Требует обогащения</t>
        </is>
      </c>
      <c r="Q238" s="16">
        <f>HYPERLINK("https://pb.nalog.ru/search.html?query=5027205773","ФНС: проверить")</f>
        <v/>
      </c>
      <c r="R238" s="16">
        <f>HYPERLINK("https://checko.ru/search?query=3801001629","Чекко: проверить")</f>
        <v/>
      </c>
      <c r="S238" t="n">
        <v>1</v>
      </c>
      <c r="T238" s="35" t="inlineStr">
        <is>
          <t>4 — Не обогащён</t>
        </is>
      </c>
      <c r="U238" s="35" t="inlineStr">
        <is>
          <t>Нет ОКВЭД/ССЧР</t>
        </is>
      </c>
      <c r="V238" s="35" t="inlineStr">
        <is>
          <t>Не определено</t>
        </is>
      </c>
      <c r="W238" s="35" t="inlineStr"/>
      <c r="X238" s="35" t="inlineStr"/>
    </row>
    <row r="239" ht="41.25" customHeight="1" s="24">
      <c r="A239" s="13" t="n">
        <v>5000021519</v>
      </c>
      <c r="B239" s="13" t="inlineStr">
        <is>
          <t>ФИНАНСОВОЕ УПРАВЛЕНИЕ АДМИНИСТРАЦИИ ГОРОДСКОГО ОКРУГА ХИМКИ МОСКОВСКОЙ ОБЛАСТИ</t>
        </is>
      </c>
      <c r="C239" s="13" t="n">
        <v>5047105840</v>
      </c>
      <c r="D239" s="13" t="inlineStr">
        <is>
          <t>5047105840</t>
        </is>
      </c>
      <c r="E239" s="13" t="inlineStr">
        <is>
          <t>ЮЛ РФ</t>
        </is>
      </c>
      <c r="F239" s="13" t="n"/>
      <c r="G239" s="14" t="n"/>
      <c r="H239" s="14" t="n"/>
      <c r="I239" s="14" t="n"/>
      <c r="J239" s="14" t="n"/>
      <c r="K239" s="53" t="inlineStr"/>
      <c r="L239" s="53" t="inlineStr">
        <is>
          <t>Не определено</t>
        </is>
      </c>
      <c r="M239" s="53" t="inlineStr"/>
      <c r="N239" s="54" t="inlineStr"/>
      <c r="O239" s="55" t="inlineStr"/>
      <c r="P239" s="16" t="inlineStr">
        <is>
          <t>Требует обогащения</t>
        </is>
      </c>
      <c r="Q239" s="16">
        <f>HYPERLINK("https://pb.nalog.ru/search.html?query=5047105840","ФНС: проверить")</f>
        <v/>
      </c>
      <c r="R239" s="16">
        <f>HYPERLINK("https://checko.ru/search?query=3801001629","Чекко: проверить")</f>
        <v/>
      </c>
      <c r="S239" t="n">
        <v>1</v>
      </c>
      <c r="T239" s="35" t="inlineStr">
        <is>
          <t>4 — Не обогащён</t>
        </is>
      </c>
      <c r="U239" s="35" t="inlineStr">
        <is>
          <t>Нет ОКВЭД/ССЧР</t>
        </is>
      </c>
      <c r="V239" s="35" t="inlineStr">
        <is>
          <t>Не определено</t>
        </is>
      </c>
      <c r="W239" s="35" t="inlineStr"/>
      <c r="X239" s="35" t="inlineStr"/>
    </row>
    <row r="240" ht="15" customHeight="1" s="24">
      <c r="A240" s="13" t="n">
        <v>5000024578</v>
      </c>
      <c r="B240" s="13" t="inlineStr">
        <is>
          <t>МБОУ «Видновская СОШ №2»</t>
        </is>
      </c>
      <c r="C240" s="13" t="n">
        <v>5003021625</v>
      </c>
      <c r="D240" s="13" t="inlineStr">
        <is>
          <t>5003021625</t>
        </is>
      </c>
      <c r="E240" s="13" t="inlineStr">
        <is>
          <t>ЮЛ РФ</t>
        </is>
      </c>
      <c r="F240" s="13" t="n"/>
      <c r="G240" s="14" t="n"/>
      <c r="H240" s="14" t="n"/>
      <c r="I240" s="14" t="n"/>
      <c r="J240" s="14" t="n"/>
      <c r="K240" s="53" t="inlineStr"/>
      <c r="L240" s="53" t="inlineStr">
        <is>
          <t>Не определено</t>
        </is>
      </c>
      <c r="M240" s="53" t="inlineStr"/>
      <c r="N240" s="54" t="inlineStr"/>
      <c r="O240" s="55" t="inlineStr"/>
      <c r="P240" s="16" t="inlineStr">
        <is>
          <t>Требует обогащения</t>
        </is>
      </c>
      <c r="Q240" s="16">
        <f>HYPERLINK("https://pb.nalog.ru/search.html?query=5003021625","ФНС: проверить")</f>
        <v/>
      </c>
      <c r="R240" s="16">
        <f>HYPERLINK("https://checko.ru/search?query=3801001629","Чекко: проверить")</f>
        <v/>
      </c>
      <c r="S240" t="n">
        <v>1</v>
      </c>
      <c r="T240" s="35" t="inlineStr">
        <is>
          <t>4 — Не обогащён</t>
        </is>
      </c>
      <c r="U240" s="35" t="inlineStr">
        <is>
          <t>Нет ОКВЭД/ССЧР</t>
        </is>
      </c>
      <c r="V240" s="35" t="inlineStr">
        <is>
          <t>Не определено</t>
        </is>
      </c>
      <c r="W240" s="35" t="inlineStr"/>
      <c r="X240" s="35" t="inlineStr"/>
    </row>
    <row r="241" ht="54.75" customHeight="1" s="24">
      <c r="A241" s="13" t="n">
        <v>5000024577</v>
      </c>
      <c r="B241" s="13" t="inlineStr">
        <is>
          <t>Муниципальное казенное образовательное учреждение дополнительного профессионального образования "Учебно-методический образовательный центр"</t>
        </is>
      </c>
      <c r="C241" s="13" t="n">
        <v>5003027458</v>
      </c>
      <c r="D241" s="13" t="inlineStr">
        <is>
          <t>5003027458</t>
        </is>
      </c>
      <c r="E241" s="13" t="inlineStr">
        <is>
          <t>ЮЛ РФ</t>
        </is>
      </c>
      <c r="F241" s="13" t="n"/>
      <c r="G241" s="14" t="n"/>
      <c r="H241" s="14" t="n"/>
      <c r="I241" s="14" t="n"/>
      <c r="J241" s="14" t="n"/>
      <c r="K241" s="53" t="inlineStr"/>
      <c r="L241" s="53" t="inlineStr">
        <is>
          <t>Не определено</t>
        </is>
      </c>
      <c r="M241" s="53" t="inlineStr"/>
      <c r="N241" s="54" t="inlineStr"/>
      <c r="O241" s="55" t="inlineStr"/>
      <c r="P241" s="16" t="inlineStr">
        <is>
          <t>Требует обогащения</t>
        </is>
      </c>
      <c r="Q241" s="16">
        <f>HYPERLINK("https://pb.nalog.ru/search.html?query=5003027458","ФНС: проверить")</f>
        <v/>
      </c>
      <c r="R241" s="16">
        <f>HYPERLINK("https://checko.ru/search?query=3801001629","Чекко: проверить")</f>
        <v/>
      </c>
      <c r="S241" t="n">
        <v>1</v>
      </c>
      <c r="T241" s="35" t="inlineStr">
        <is>
          <t>4 — Не обогащён</t>
        </is>
      </c>
      <c r="U241" s="35" t="inlineStr">
        <is>
          <t>Нет ОКВЭД/ССЧР</t>
        </is>
      </c>
      <c r="V241" s="35" t="inlineStr">
        <is>
          <t>Не определено</t>
        </is>
      </c>
      <c r="W241" s="35" t="inlineStr"/>
      <c r="X241" s="35" t="inlineStr"/>
    </row>
    <row r="242" ht="27.75" customHeight="1" s="24">
      <c r="A242" s="13" t="n">
        <v>5000121172</v>
      </c>
      <c r="B242" s="13" t="inlineStr">
        <is>
          <t>Контрольно-счетная палата Люберецкого муниципального района</t>
        </is>
      </c>
      <c r="C242" s="13" t="n">
        <v>5027197561</v>
      </c>
      <c r="D242" s="13" t="inlineStr">
        <is>
          <t>5027197561</t>
        </is>
      </c>
      <c r="E242" s="13" t="inlineStr">
        <is>
          <t>ЮЛ РФ</t>
        </is>
      </c>
      <c r="F242" s="13" t="n"/>
      <c r="G242" s="14" t="n"/>
      <c r="H242" s="14" t="n"/>
      <c r="I242" s="14" t="n"/>
      <c r="J242" s="14" t="n"/>
      <c r="K242" s="53" t="inlineStr"/>
      <c r="L242" s="53" t="inlineStr">
        <is>
          <t>Не определено</t>
        </is>
      </c>
      <c r="M242" s="53" t="inlineStr"/>
      <c r="N242" s="54" t="inlineStr"/>
      <c r="O242" s="55" t="inlineStr"/>
      <c r="P242" s="16" t="inlineStr">
        <is>
          <t>Требует обогащения</t>
        </is>
      </c>
      <c r="Q242" s="16">
        <f>HYPERLINK("https://pb.nalog.ru/search.html?query=5027197561","ФНС: проверить")</f>
        <v/>
      </c>
      <c r="R242" s="16">
        <f>HYPERLINK("https://checko.ru/search?query=3801001629","Чекко: проверить")</f>
        <v/>
      </c>
      <c r="S242" t="n">
        <v>1</v>
      </c>
      <c r="T242" s="35" t="inlineStr">
        <is>
          <t>4 — Не обогащён</t>
        </is>
      </c>
      <c r="U242" s="35" t="inlineStr">
        <is>
          <t>Нет ОКВЭД/ССЧР</t>
        </is>
      </c>
      <c r="V242" s="35" t="inlineStr">
        <is>
          <t>Не определено</t>
        </is>
      </c>
      <c r="W242" s="35" t="inlineStr"/>
      <c r="X242" s="35" t="inlineStr"/>
    </row>
    <row r="243" ht="27.75" customHeight="1" s="24">
      <c r="A243" s="13" t="n">
        <v>5000116381</v>
      </c>
      <c r="B243" s="13" t="inlineStr">
        <is>
          <t>Ревизионная комиссия Ленинского Муниципального района</t>
        </is>
      </c>
      <c r="C243" s="13" t="n">
        <v>5003105258</v>
      </c>
      <c r="D243" s="13" t="inlineStr">
        <is>
          <t>5003105258</t>
        </is>
      </c>
      <c r="E243" s="13" t="inlineStr">
        <is>
          <t>ЮЛ РФ</t>
        </is>
      </c>
      <c r="F243" s="13" t="n"/>
      <c r="G243" s="14" t="n"/>
      <c r="H243" s="14" t="n"/>
      <c r="I243" s="14" t="n"/>
      <c r="J243" s="14" t="n"/>
      <c r="K243" s="53" t="inlineStr"/>
      <c r="L243" s="53" t="inlineStr">
        <is>
          <t>Не определено</t>
        </is>
      </c>
      <c r="M243" s="53" t="inlineStr"/>
      <c r="N243" s="54" t="inlineStr"/>
      <c r="O243" s="55" t="inlineStr"/>
      <c r="P243" s="16" t="inlineStr">
        <is>
          <t>Требует обогащения</t>
        </is>
      </c>
      <c r="Q243" s="16">
        <f>HYPERLINK("https://pb.nalog.ru/search.html?query=5003105258","ФНС: проверить")</f>
        <v/>
      </c>
      <c r="R243" s="16">
        <f>HYPERLINK("https://checko.ru/search?query=3801001629","Чекко: проверить")</f>
        <v/>
      </c>
      <c r="S243" t="n">
        <v>1</v>
      </c>
      <c r="T243" s="35" t="inlineStr">
        <is>
          <t>4 — Не обогащён</t>
        </is>
      </c>
      <c r="U243" s="35" t="inlineStr">
        <is>
          <t>Нет ОКВЭД/ССЧР</t>
        </is>
      </c>
      <c r="V243" s="35" t="inlineStr">
        <is>
          <t>Не определено</t>
        </is>
      </c>
      <c r="W243" s="35" t="inlineStr"/>
      <c r="X243" s="35" t="inlineStr"/>
    </row>
    <row r="244" ht="15" customHeight="1" s="24">
      <c r="A244" s="13" t="n">
        <v>5000116394</v>
      </c>
      <c r="B244" s="13" t="inlineStr">
        <is>
          <t>АУ «ФК «Химки»</t>
        </is>
      </c>
      <c r="C244" s="13" t="n">
        <v>5047025627</v>
      </c>
      <c r="D244" s="13" t="inlineStr">
        <is>
          <t>5047025627</t>
        </is>
      </c>
      <c r="E244" s="13" t="inlineStr">
        <is>
          <t>ЮЛ РФ</t>
        </is>
      </c>
      <c r="F244" s="13" t="n"/>
      <c r="G244" s="14" t="n"/>
      <c r="H244" s="14" t="n"/>
      <c r="I244" s="14" t="n"/>
      <c r="J244" s="14" t="n"/>
      <c r="K244" s="53" t="inlineStr"/>
      <c r="L244" s="53" t="inlineStr">
        <is>
          <t>Не определено</t>
        </is>
      </c>
      <c r="M244" s="53" t="inlineStr"/>
      <c r="N244" s="54" t="inlineStr"/>
      <c r="O244" s="55" t="inlineStr"/>
      <c r="P244" s="16" t="inlineStr">
        <is>
          <t>Требует обогащения</t>
        </is>
      </c>
      <c r="Q244" s="16">
        <f>HYPERLINK("https://pb.nalog.ru/search.html?query=5047025627","ФНС: проверить")</f>
        <v/>
      </c>
      <c r="R244" s="16">
        <f>HYPERLINK("https://checko.ru/search?query=3801001629","Чекко: проверить")</f>
        <v/>
      </c>
      <c r="S244" t="n">
        <v>1</v>
      </c>
      <c r="T244" s="35" t="inlineStr">
        <is>
          <t>4 — Не обогащён</t>
        </is>
      </c>
      <c r="U244" s="35" t="inlineStr">
        <is>
          <t>Нет ОКВЭД/ССЧР</t>
        </is>
      </c>
      <c r="V244" s="35" t="inlineStr">
        <is>
          <t>Не определено</t>
        </is>
      </c>
      <c r="W244" s="35" t="inlineStr"/>
      <c r="X244" s="35" t="inlineStr"/>
    </row>
    <row r="245" ht="27.75" customHeight="1" s="24">
      <c r="A245" s="13" t="n">
        <v>5000041251</v>
      </c>
      <c r="B245" s="13" t="inlineStr">
        <is>
          <t>МОУ Центр социально-трудовой адаптации и профориентации муниципал</t>
        </is>
      </c>
      <c r="C245" s="13" t="n">
        <v>5027036170</v>
      </c>
      <c r="D245" s="13" t="inlineStr">
        <is>
          <t>5027036170</t>
        </is>
      </c>
      <c r="E245" s="13" t="inlineStr">
        <is>
          <t>ЮЛ РФ</t>
        </is>
      </c>
      <c r="F245" s="13" t="n"/>
      <c r="G245" s="14" t="n"/>
      <c r="H245" s="14" t="n"/>
      <c r="I245" s="14" t="n"/>
      <c r="J245" s="14" t="n"/>
      <c r="K245" s="53" t="inlineStr"/>
      <c r="L245" s="53" t="inlineStr">
        <is>
          <t>Не определено</t>
        </is>
      </c>
      <c r="M245" s="53" t="inlineStr"/>
      <c r="N245" s="54" t="inlineStr"/>
      <c r="O245" s="55" t="inlineStr"/>
      <c r="P245" s="16" t="inlineStr">
        <is>
          <t>Требует обогащения</t>
        </is>
      </c>
      <c r="Q245" s="16">
        <f>HYPERLINK("https://pb.nalog.ru/search.html?query=5027036170","ФНС: проверить")</f>
        <v/>
      </c>
      <c r="R245" s="16">
        <f>HYPERLINK("https://checko.ru/search?query=3801001629","Чекко: проверить")</f>
        <v/>
      </c>
      <c r="S245" t="n">
        <v>1</v>
      </c>
      <c r="T245" s="35" t="inlineStr">
        <is>
          <t>4 — Не обогащён</t>
        </is>
      </c>
      <c r="U245" s="35" t="inlineStr">
        <is>
          <t>Нет ОКВЭД/ССЧР</t>
        </is>
      </c>
      <c r="V245" s="35" t="inlineStr">
        <is>
          <t>Не определено</t>
        </is>
      </c>
      <c r="W245" s="35" t="inlineStr"/>
      <c r="X245" s="35" t="inlineStr"/>
    </row>
    <row r="246" ht="27.75" customHeight="1" s="24">
      <c r="A246" s="13" t="n">
        <v>5000121613</v>
      </c>
      <c r="B246" s="13" t="inlineStr">
        <is>
          <t>Финансовое управление администрации города Бронницы</t>
        </is>
      </c>
      <c r="C246" s="13" t="n">
        <v>5002092084</v>
      </c>
      <c r="D246" s="13" t="inlineStr">
        <is>
          <t>5002092084</t>
        </is>
      </c>
      <c r="E246" s="13" t="inlineStr">
        <is>
          <t>ЮЛ РФ</t>
        </is>
      </c>
      <c r="F246" s="13" t="n"/>
      <c r="G246" s="14" t="n"/>
      <c r="H246" s="14" t="n"/>
      <c r="I246" s="14" t="n"/>
      <c r="J246" s="14" t="n"/>
      <c r="K246" s="53" t="inlineStr"/>
      <c r="L246" s="53" t="inlineStr">
        <is>
          <t>Не определено</t>
        </is>
      </c>
      <c r="M246" s="53" t="inlineStr"/>
      <c r="N246" s="54" t="inlineStr"/>
      <c r="O246" s="55" t="inlineStr"/>
      <c r="P246" s="16" t="inlineStr">
        <is>
          <t>Требует обогащения</t>
        </is>
      </c>
      <c r="Q246" s="16">
        <f>HYPERLINK("https://pb.nalog.ru/search.html?query=5002092084","ФНС: проверить")</f>
        <v/>
      </c>
      <c r="R246" s="16">
        <f>HYPERLINK("https://checko.ru/search?query=3801001629","Чекко: проверить")</f>
        <v/>
      </c>
      <c r="S246" t="n">
        <v>1</v>
      </c>
      <c r="T246" s="35" t="inlineStr">
        <is>
          <t>4 — Не обогащён</t>
        </is>
      </c>
      <c r="U246" s="35" t="inlineStr">
        <is>
          <t>Нет ОКВЭД/ССЧР</t>
        </is>
      </c>
      <c r="V246" s="35" t="inlineStr">
        <is>
          <t>Не определено</t>
        </is>
      </c>
      <c r="W246" s="35" t="inlineStr"/>
      <c r="X246" s="35" t="inlineStr"/>
    </row>
    <row r="247" ht="27.75" customHeight="1" s="24">
      <c r="A247" s="13" t="n">
        <v>5000118775</v>
      </c>
      <c r="B247" s="13" t="inlineStr">
        <is>
          <t>Специализированная служба в сфере погребения и похоронного дела, МКУ</t>
        </is>
      </c>
      <c r="C247" s="13" t="n">
        <v>5047178630</v>
      </c>
      <c r="D247" s="13" t="inlineStr">
        <is>
          <t>5047178630</t>
        </is>
      </c>
      <c r="E247" s="13" t="inlineStr">
        <is>
          <t>ЮЛ РФ</t>
        </is>
      </c>
      <c r="F247" s="13" t="n"/>
      <c r="G247" s="14" t="n"/>
      <c r="H247" s="14" t="n"/>
      <c r="I247" s="14" t="n"/>
      <c r="J247" s="14" t="n"/>
      <c r="K247" s="53" t="inlineStr"/>
      <c r="L247" s="53" t="inlineStr">
        <is>
          <t>Не определено</t>
        </is>
      </c>
      <c r="M247" s="53" t="inlineStr"/>
      <c r="N247" s="54" t="inlineStr"/>
      <c r="O247" s="55" t="inlineStr"/>
      <c r="P247" s="16" t="inlineStr">
        <is>
          <t>Требует обогащения</t>
        </is>
      </c>
      <c r="Q247" s="16">
        <f>HYPERLINK("https://pb.nalog.ru/search.html?query=5047178630","ФНС: проверить")</f>
        <v/>
      </c>
      <c r="R247" s="16">
        <f>HYPERLINK("https://checko.ru/search?query=3801001629","Чекко: проверить")</f>
        <v/>
      </c>
      <c r="S247" t="n">
        <v>1</v>
      </c>
      <c r="T247" s="35" t="inlineStr">
        <is>
          <t>4 — Не обогащён</t>
        </is>
      </c>
      <c r="U247" s="35" t="inlineStr">
        <is>
          <t>Нет ОКВЭД/ССЧР</t>
        </is>
      </c>
      <c r="V247" s="35" t="inlineStr">
        <is>
          <t>Не определено</t>
        </is>
      </c>
      <c r="W247" s="35" t="inlineStr"/>
      <c r="X247" s="35" t="inlineStr"/>
    </row>
    <row r="248" ht="15" customHeight="1" s="24">
      <c r="A248" s="13" t="n">
        <v>5000080325</v>
      </c>
      <c r="B248" s="13" t="inlineStr">
        <is>
          <t>МУДО «Бронницкая детская школа искусств»</t>
        </is>
      </c>
      <c r="C248" s="13" t="n">
        <v>5002003775</v>
      </c>
      <c r="D248" s="13" t="inlineStr">
        <is>
          <t>5002003775</t>
        </is>
      </c>
      <c r="E248" s="13" t="inlineStr">
        <is>
          <t>ЮЛ РФ</t>
        </is>
      </c>
      <c r="F248" s="13" t="n"/>
      <c r="G248" s="14" t="n"/>
      <c r="H248" s="14" t="n"/>
      <c r="I248" s="14" t="n"/>
      <c r="J248" s="14" t="n"/>
      <c r="K248" s="53" t="inlineStr"/>
      <c r="L248" s="53" t="inlineStr">
        <is>
          <t>Не определено</t>
        </is>
      </c>
      <c r="M248" s="53" t="inlineStr"/>
      <c r="N248" s="54" t="inlineStr"/>
      <c r="O248" s="55" t="inlineStr"/>
      <c r="P248" s="16" t="inlineStr">
        <is>
          <t>Требует обогащения</t>
        </is>
      </c>
      <c r="Q248" s="16">
        <f>HYPERLINK("https://pb.nalog.ru/search.html?query=5002003775","ФНС: проверить")</f>
        <v/>
      </c>
      <c r="R248" s="16">
        <f>HYPERLINK("https://checko.ru/search?query=3801001629","Чекко: проверить")</f>
        <v/>
      </c>
      <c r="S248" t="n">
        <v>1</v>
      </c>
      <c r="T248" s="35" t="inlineStr">
        <is>
          <t>4 — Не обогащён</t>
        </is>
      </c>
      <c r="U248" s="35" t="inlineStr">
        <is>
          <t>Нет ОКВЭД/ССЧР</t>
        </is>
      </c>
      <c r="V248" s="35" t="inlineStr">
        <is>
          <t>Не определено</t>
        </is>
      </c>
      <c r="W248" s="35" t="inlineStr"/>
      <c r="X248" s="35" t="inlineStr"/>
    </row>
    <row r="249" ht="54.75" customHeight="1" s="24">
      <c r="A249" s="13" t="n">
        <v>5000080328</v>
      </c>
      <c r="B249" s="13" t="inlineStr">
        <is>
          <t>МУ «Многофункциональный центр предоставления государственных и муниципальных услуг городского округа Бронницы Московской облас</t>
        </is>
      </c>
      <c r="C249" s="13" t="n">
        <v>5002132837</v>
      </c>
      <c r="D249" s="13" t="inlineStr">
        <is>
          <t>5002132837</t>
        </is>
      </c>
      <c r="E249" s="13" t="inlineStr">
        <is>
          <t>ЮЛ РФ</t>
        </is>
      </c>
      <c r="F249" s="13" t="n"/>
      <c r="G249" s="14" t="n"/>
      <c r="H249" s="14" t="n"/>
      <c r="I249" s="14" t="n"/>
      <c r="J249" s="14" t="n"/>
      <c r="K249" s="53" t="inlineStr"/>
      <c r="L249" s="53" t="inlineStr">
        <is>
          <t>Не определено</t>
        </is>
      </c>
      <c r="M249" s="53" t="inlineStr"/>
      <c r="N249" s="54" t="inlineStr"/>
      <c r="O249" s="55" t="inlineStr"/>
      <c r="P249" s="16" t="inlineStr">
        <is>
          <t>Требует обогащения</t>
        </is>
      </c>
      <c r="Q249" s="16">
        <f>HYPERLINK("https://pb.nalog.ru/search.html?query=5002132837","ФНС: проверить")</f>
        <v/>
      </c>
      <c r="R249" s="16">
        <f>HYPERLINK("https://checko.ru/search?query=3801001629","Чекко: проверить")</f>
        <v/>
      </c>
      <c r="S249" t="n">
        <v>1</v>
      </c>
      <c r="T249" s="35" t="inlineStr">
        <is>
          <t>4 — Не обогащён</t>
        </is>
      </c>
      <c r="U249" s="35" t="inlineStr">
        <is>
          <t>Нет ОКВЭД/ССЧР</t>
        </is>
      </c>
      <c r="V249" s="35" t="inlineStr">
        <is>
          <t>Не определено</t>
        </is>
      </c>
      <c r="W249" s="35" t="inlineStr"/>
      <c r="X249" s="35" t="inlineStr"/>
    </row>
    <row r="250" ht="27.75" customHeight="1" s="24">
      <c r="A250" s="13" t="n">
        <v>5000080334</v>
      </c>
      <c r="B250" s="13" t="inlineStr">
        <is>
          <t>Контрольно-счетной комиссии городского округа Бронницы Московской области</t>
        </is>
      </c>
      <c r="C250" s="13" t="n">
        <v>5040114437</v>
      </c>
      <c r="D250" s="13" t="inlineStr">
        <is>
          <t>5040114437</t>
        </is>
      </c>
      <c r="E250" s="13" t="inlineStr">
        <is>
          <t>ЮЛ РФ</t>
        </is>
      </c>
      <c r="F250" s="13" t="n"/>
      <c r="G250" s="14" t="n"/>
      <c r="H250" s="14" t="n"/>
      <c r="I250" s="14" t="n"/>
      <c r="J250" s="14" t="n"/>
      <c r="K250" s="53" t="inlineStr"/>
      <c r="L250" s="53" t="inlineStr">
        <is>
          <t>Не определено</t>
        </is>
      </c>
      <c r="M250" s="53" t="inlineStr"/>
      <c r="N250" s="54" t="inlineStr"/>
      <c r="O250" s="55" t="inlineStr"/>
      <c r="P250" s="16" t="inlineStr">
        <is>
          <t>Требует обогащения</t>
        </is>
      </c>
      <c r="Q250" s="16">
        <f>HYPERLINK("https://pb.nalog.ru/search.html?query=5040114437","ФНС: проверить")</f>
        <v/>
      </c>
      <c r="R250" s="16">
        <f>HYPERLINK("https://checko.ru/search?query=3801001629","Чекко: проверить")</f>
        <v/>
      </c>
      <c r="S250" t="n">
        <v>1</v>
      </c>
      <c r="T250" s="35" t="inlineStr">
        <is>
          <t>4 — Не обогащён</t>
        </is>
      </c>
      <c r="U250" s="35" t="inlineStr">
        <is>
          <t>Нет ОКВЭД/ССЧР</t>
        </is>
      </c>
      <c r="V250" s="35" t="inlineStr">
        <is>
          <t>Не определено</t>
        </is>
      </c>
      <c r="W250" s="35" t="inlineStr"/>
      <c r="X250" s="35" t="inlineStr"/>
    </row>
    <row r="251" ht="27.75" customHeight="1" s="24">
      <c r="A251" s="13" t="n">
        <v>5000116372</v>
      </c>
      <c r="B251" s="13" t="inlineStr">
        <is>
          <t>Финансовое управление администрации Ленинского муниципального района</t>
        </is>
      </c>
      <c r="C251" s="13" t="n">
        <v>5003005422</v>
      </c>
      <c r="D251" s="13" t="inlineStr">
        <is>
          <t>5003005422</t>
        </is>
      </c>
      <c r="E251" s="13" t="inlineStr">
        <is>
          <t>ЮЛ РФ</t>
        </is>
      </c>
      <c r="F251" s="13" t="n"/>
      <c r="G251" s="14" t="n"/>
      <c r="H251" s="14" t="n"/>
      <c r="I251" s="14" t="n"/>
      <c r="J251" s="14" t="n"/>
      <c r="K251" s="53" t="inlineStr"/>
      <c r="L251" s="53" t="inlineStr">
        <is>
          <t>Не определено</t>
        </is>
      </c>
      <c r="M251" s="53" t="inlineStr"/>
      <c r="N251" s="54" t="inlineStr"/>
      <c r="O251" s="55" t="inlineStr"/>
      <c r="P251" s="16" t="inlineStr">
        <is>
          <t>Требует обогащения</t>
        </is>
      </c>
      <c r="Q251" s="16">
        <f>HYPERLINK("https://pb.nalog.ru/search.html?query=5003005422","ФНС: проверить")</f>
        <v/>
      </c>
      <c r="R251" s="16">
        <f>HYPERLINK("https://checko.ru/search?query=3801001629","Чекко: проверить")</f>
        <v/>
      </c>
      <c r="S251" t="n">
        <v>1</v>
      </c>
      <c r="T251" s="35" t="inlineStr">
        <is>
          <t>4 — Не обогащён</t>
        </is>
      </c>
      <c r="U251" s="35" t="inlineStr">
        <is>
          <t>Нет ОКВЭД/ССЧР</t>
        </is>
      </c>
      <c r="V251" s="35" t="inlineStr">
        <is>
          <t>Не определено</t>
        </is>
      </c>
      <c r="W251" s="35" t="inlineStr"/>
      <c r="X251" s="35" t="inlineStr"/>
    </row>
    <row r="252" ht="15" customHeight="1" s="24">
      <c r="A252" s="13" t="n">
        <v>5000112737</v>
      </c>
      <c r="B252" s="13" t="inlineStr">
        <is>
          <t>МАОУ "ОЦ "ЛИДЕР"</t>
        </is>
      </c>
      <c r="C252" s="13" t="n">
        <v>5003164415</v>
      </c>
      <c r="D252" s="13" t="inlineStr">
        <is>
          <t>5003164415</t>
        </is>
      </c>
      <c r="E252" s="13" t="inlineStr">
        <is>
          <t>ЮЛ РФ</t>
        </is>
      </c>
      <c r="F252" s="13" t="n"/>
      <c r="G252" s="14" t="n"/>
      <c r="H252" s="14" t="n"/>
      <c r="I252" s="14" t="n"/>
      <c r="J252" s="14" t="n"/>
      <c r="K252" s="53" t="inlineStr"/>
      <c r="L252" s="53" t="inlineStr">
        <is>
          <t>Не определено</t>
        </is>
      </c>
      <c r="M252" s="53" t="inlineStr"/>
      <c r="N252" s="54" t="inlineStr"/>
      <c r="O252" s="55" t="inlineStr"/>
      <c r="P252" s="16" t="inlineStr">
        <is>
          <t>Требует обогащения</t>
        </is>
      </c>
      <c r="Q252" s="16">
        <f>HYPERLINK("https://pb.nalog.ru/search.html?query=5003164415","ФНС: проверить")</f>
        <v/>
      </c>
      <c r="R252" s="16">
        <f>HYPERLINK("https://checko.ru/search?query=3801001629","Чекко: проверить")</f>
        <v/>
      </c>
      <c r="S252" t="n">
        <v>1</v>
      </c>
      <c r="T252" s="35" t="inlineStr">
        <is>
          <t>4 — Не обогащён</t>
        </is>
      </c>
      <c r="U252" s="35" t="inlineStr">
        <is>
          <t>Нет ОКВЭД/ССЧР</t>
        </is>
      </c>
      <c r="V252" s="35" t="inlineStr">
        <is>
          <t>Не определено</t>
        </is>
      </c>
      <c r="W252" s="35" t="inlineStr"/>
      <c r="X252" s="35" t="inlineStr"/>
    </row>
    <row r="253" ht="15" customHeight="1" s="24">
      <c r="A253" s="13" t="n">
        <v>5000121178</v>
      </c>
      <c r="B253" s="13" t="inlineStr">
        <is>
          <t>МАУ "ИНФОРМАЦИОННЫЙ ЦЕНТР"</t>
        </is>
      </c>
      <c r="C253" s="13" t="n">
        <v>5027327563</v>
      </c>
      <c r="D253" s="13" t="inlineStr">
        <is>
          <t>5027327563</t>
        </is>
      </c>
      <c r="E253" s="13" t="inlineStr">
        <is>
          <t>ЮЛ РФ</t>
        </is>
      </c>
      <c r="F253" s="13" t="n"/>
      <c r="G253" s="14" t="n"/>
      <c r="H253" s="14" t="n"/>
      <c r="I253" s="14" t="n"/>
      <c r="J253" s="14" t="n"/>
      <c r="K253" s="53" t="inlineStr"/>
      <c r="L253" s="53" t="inlineStr">
        <is>
          <t>Не определено</t>
        </is>
      </c>
      <c r="M253" s="53" t="inlineStr"/>
      <c r="N253" s="54" t="inlineStr"/>
      <c r="O253" s="55" t="inlineStr"/>
      <c r="P253" s="16" t="inlineStr">
        <is>
          <t>Требует обогащения</t>
        </is>
      </c>
      <c r="Q253" s="16">
        <f>HYPERLINK("https://pb.nalog.ru/search.html?query=5027327563","ФНС: проверить")</f>
        <v/>
      </c>
      <c r="R253" s="16">
        <f>HYPERLINK("https://checko.ru/search?query=3801001629","Чекко: проверить")</f>
        <v/>
      </c>
      <c r="S253" t="n">
        <v>1</v>
      </c>
      <c r="T253" s="35" t="inlineStr">
        <is>
          <t>4 — Не обогащён</t>
        </is>
      </c>
      <c r="U253" s="35" t="inlineStr">
        <is>
          <t>Нет ОКВЭД/ССЧР</t>
        </is>
      </c>
      <c r="V253" s="35" t="inlineStr">
        <is>
          <t>Не определено</t>
        </is>
      </c>
      <c r="W253" s="35" t="inlineStr"/>
      <c r="X253" s="35" t="inlineStr"/>
    </row>
    <row r="254" ht="27.75" customHeight="1" s="24">
      <c r="A254" s="13" t="n">
        <v>5000021396</v>
      </c>
      <c r="B254" s="13" t="inlineStr">
        <is>
          <t>МКУ "Центр бухгалтерского обслуживания городского округа Химки Московской области"</t>
        </is>
      </c>
      <c r="C254" s="13" t="n">
        <v>5047206768</v>
      </c>
      <c r="D254" s="13" t="inlineStr">
        <is>
          <t>5047206768</t>
        </is>
      </c>
      <c r="E254" s="13" t="inlineStr">
        <is>
          <t>ЮЛ РФ</t>
        </is>
      </c>
      <c r="F254" s="13" t="n"/>
      <c r="G254" s="14" t="n"/>
      <c r="H254" s="14" t="n"/>
      <c r="I254" s="14" t="n"/>
      <c r="J254" s="14" t="n"/>
      <c r="K254" s="53" t="inlineStr"/>
      <c r="L254" s="53" t="inlineStr">
        <is>
          <t>Не определено</t>
        </is>
      </c>
      <c r="M254" s="53" t="inlineStr"/>
      <c r="N254" s="54" t="inlineStr"/>
      <c r="O254" s="55" t="inlineStr"/>
      <c r="P254" s="16" t="inlineStr">
        <is>
          <t>Требует обогащения</t>
        </is>
      </c>
      <c r="Q254" s="16">
        <f>HYPERLINK("https://pb.nalog.ru/search.html?query=5047206768","ФНС: проверить")</f>
        <v/>
      </c>
      <c r="R254" s="16">
        <f>HYPERLINK("https://checko.ru/search?query=3801001629","Чекко: проверить")</f>
        <v/>
      </c>
      <c r="S254" t="n">
        <v>1</v>
      </c>
      <c r="T254" s="35" t="inlineStr">
        <is>
          <t>4 — Не обогащён</t>
        </is>
      </c>
      <c r="U254" s="35" t="inlineStr">
        <is>
          <t>Нет ОКВЭД/ССЧР</t>
        </is>
      </c>
      <c r="V254" s="35" t="inlineStr">
        <is>
          <t>Не определено</t>
        </is>
      </c>
      <c r="W254" s="35" t="inlineStr"/>
      <c r="X254" s="35" t="inlineStr"/>
    </row>
    <row r="255" ht="15" customHeight="1" s="24">
      <c r="A255" s="13" t="n">
        <v>5000116373</v>
      </c>
      <c r="B255" s="13" t="inlineStr">
        <is>
          <t>МБУ "Дорсервис"</t>
        </is>
      </c>
      <c r="C255" s="13" t="n">
        <v>5003115016</v>
      </c>
      <c r="D255" s="13" t="inlineStr">
        <is>
          <t>5003115016</t>
        </is>
      </c>
      <c r="E255" s="13" t="inlineStr">
        <is>
          <t>ЮЛ РФ</t>
        </is>
      </c>
      <c r="F255" s="13" t="n"/>
      <c r="G255" s="14" t="n"/>
      <c r="H255" s="14" t="n"/>
      <c r="I255" s="14" t="n"/>
      <c r="J255" s="14" t="n"/>
      <c r="K255" s="53" t="inlineStr"/>
      <c r="L255" s="53" t="inlineStr">
        <is>
          <t>Не определено</t>
        </is>
      </c>
      <c r="M255" s="53" t="inlineStr"/>
      <c r="N255" s="54" t="inlineStr"/>
      <c r="O255" s="55" t="inlineStr"/>
      <c r="P255" s="16" t="inlineStr">
        <is>
          <t>Требует обогащения</t>
        </is>
      </c>
      <c r="Q255" s="16">
        <f>HYPERLINK("https://pb.nalog.ru/search.html?query=5003115016","ФНС: проверить")</f>
        <v/>
      </c>
      <c r="R255" s="16">
        <f>HYPERLINK("https://checko.ru/search?query=3801001629","Чекко: проверить")</f>
        <v/>
      </c>
      <c r="S255" t="n">
        <v>1</v>
      </c>
      <c r="T255" s="35" t="inlineStr">
        <is>
          <t>4 — Не обогащён</t>
        </is>
      </c>
      <c r="U255" s="35" t="inlineStr">
        <is>
          <t>Нет ОКВЭД/ССЧР</t>
        </is>
      </c>
      <c r="V255" s="35" t="inlineStr">
        <is>
          <t>Не определено</t>
        </is>
      </c>
      <c r="W255" s="35" t="inlineStr"/>
      <c r="X255" s="35" t="inlineStr"/>
    </row>
    <row r="256" ht="15" customHeight="1" s="24">
      <c r="A256" s="13" t="n">
        <v>5000093168</v>
      </c>
      <c r="B256" s="13" t="inlineStr">
        <is>
          <t>МКУ "КСИМР"</t>
        </is>
      </c>
      <c r="C256" s="13" t="n">
        <v>5017106974</v>
      </c>
      <c r="D256" s="13" t="inlineStr">
        <is>
          <t>5017106974</t>
        </is>
      </c>
      <c r="E256" s="13" t="inlineStr">
        <is>
          <t>ЮЛ РФ</t>
        </is>
      </c>
      <c r="F256" s="13" t="n"/>
      <c r="G256" s="14" t="n"/>
      <c r="H256" s="14" t="n"/>
      <c r="I256" s="14" t="n"/>
      <c r="J256" s="14" t="n"/>
      <c r="K256" s="53" t="inlineStr"/>
      <c r="L256" s="53" t="inlineStr">
        <is>
          <t>Не определено</t>
        </is>
      </c>
      <c r="M256" s="53" t="inlineStr"/>
      <c r="N256" s="54" t="inlineStr"/>
      <c r="O256" s="55" t="inlineStr"/>
      <c r="P256" s="16" t="inlineStr">
        <is>
          <t>Требует обогащения</t>
        </is>
      </c>
      <c r="Q256" s="16">
        <f>HYPERLINK("https://pb.nalog.ru/search.html?query=5017106974","ФНС: проверить")</f>
        <v/>
      </c>
      <c r="R256" s="16">
        <f>HYPERLINK("https://checko.ru/search?query=3801001629","Чекко: проверить")</f>
        <v/>
      </c>
      <c r="S256" t="n">
        <v>1</v>
      </c>
      <c r="T256" s="35" t="inlineStr">
        <is>
          <t>4 — Не обогащён</t>
        </is>
      </c>
      <c r="U256" s="35" t="inlineStr">
        <is>
          <t>Нет ОКВЭД/ССЧР</t>
        </is>
      </c>
      <c r="V256" s="35" t="inlineStr">
        <is>
          <t>Не определено</t>
        </is>
      </c>
      <c r="W256" s="35" t="inlineStr"/>
      <c r="X256" s="35" t="inlineStr"/>
    </row>
    <row r="257" ht="41.25" customHeight="1" s="24">
      <c r="A257" s="13" t="n">
        <v>5000101510</v>
      </c>
      <c r="B257" s="13" t="inlineStr">
        <is>
          <t>Муниципальное бюджетное учреждение культуры "Централизованная библиотечная система г. Дзержинский"</t>
        </is>
      </c>
      <c r="C257" s="13" t="n">
        <v>5027062620</v>
      </c>
      <c r="D257" s="13" t="inlineStr">
        <is>
          <t>5027062620</t>
        </is>
      </c>
      <c r="E257" s="13" t="inlineStr">
        <is>
          <t>ЮЛ РФ</t>
        </is>
      </c>
      <c r="F257" s="13" t="n"/>
      <c r="G257" s="14" t="n"/>
      <c r="H257" s="14" t="n"/>
      <c r="I257" s="14" t="n"/>
      <c r="J257" s="14" t="n"/>
      <c r="K257" s="53" t="inlineStr"/>
      <c r="L257" s="53" t="inlineStr">
        <is>
          <t>Не определено</t>
        </is>
      </c>
      <c r="M257" s="53" t="inlineStr"/>
      <c r="N257" s="54" t="inlineStr"/>
      <c r="O257" s="55" t="inlineStr"/>
      <c r="P257" s="16" t="inlineStr">
        <is>
          <t>Требует обогащения</t>
        </is>
      </c>
      <c r="Q257" s="16">
        <f>HYPERLINK("https://pb.nalog.ru/search.html?query=5027062620","ФНС: проверить")</f>
        <v/>
      </c>
      <c r="R257" s="16">
        <f>HYPERLINK("https://checko.ru/search?query=3801001629","Чекко: проверить")</f>
        <v/>
      </c>
      <c r="S257" t="n">
        <v>1</v>
      </c>
      <c r="T257" s="35" t="inlineStr">
        <is>
          <t>4 — Не обогащён</t>
        </is>
      </c>
      <c r="U257" s="35" t="inlineStr">
        <is>
          <t>Нет ОКВЭД/ССЧР</t>
        </is>
      </c>
      <c r="V257" s="35" t="inlineStr">
        <is>
          <t>Не определено</t>
        </is>
      </c>
      <c r="W257" s="35" t="inlineStr"/>
      <c r="X257" s="35" t="inlineStr"/>
    </row>
    <row r="258" ht="15" customHeight="1" s="24">
      <c r="A258" s="13" t="n">
        <v>5000100923</v>
      </c>
      <c r="B258" s="13" t="inlineStr">
        <is>
          <t>МОУ СОШ № 26</t>
        </is>
      </c>
      <c r="C258" s="13" t="n">
        <v>5027319731</v>
      </c>
      <c r="D258" s="13" t="inlineStr">
        <is>
          <t>5027319731</t>
        </is>
      </c>
      <c r="E258" s="13" t="inlineStr">
        <is>
          <t>ЮЛ РФ</t>
        </is>
      </c>
      <c r="F258" s="13" t="n"/>
      <c r="G258" s="14" t="n"/>
      <c r="H258" s="14" t="n"/>
      <c r="I258" s="14" t="n"/>
      <c r="J258" s="14" t="n"/>
      <c r="K258" s="53" t="inlineStr"/>
      <c r="L258" s="53" t="inlineStr">
        <is>
          <t>Не определено</t>
        </is>
      </c>
      <c r="M258" s="53" t="inlineStr"/>
      <c r="N258" s="54" t="inlineStr"/>
      <c r="O258" s="55" t="inlineStr"/>
      <c r="P258" s="16" t="inlineStr">
        <is>
          <t>Требует обогащения</t>
        </is>
      </c>
      <c r="Q258" s="16">
        <f>HYPERLINK("https://pb.nalog.ru/search.html?query=5027319731","ФНС: проверить")</f>
        <v/>
      </c>
      <c r="R258" s="16">
        <f>HYPERLINK("https://checko.ru/search?query=3801001629","Чекко: проверить")</f>
        <v/>
      </c>
      <c r="S258" t="n">
        <v>1</v>
      </c>
      <c r="T258" s="35" t="inlineStr">
        <is>
          <t>4 — Не обогащён</t>
        </is>
      </c>
      <c r="U258" s="35" t="inlineStr">
        <is>
          <t>Нет ОКВЭД/ССЧР</t>
        </is>
      </c>
      <c r="V258" s="35" t="inlineStr">
        <is>
          <t>Не определено</t>
        </is>
      </c>
      <c r="W258" s="35" t="inlineStr"/>
      <c r="X258" s="35" t="inlineStr"/>
    </row>
    <row r="259" ht="15" customHeight="1" s="24">
      <c r="A259" s="13" t="n">
        <v>5000107131</v>
      </c>
      <c r="B259" s="13" t="inlineStr">
        <is>
          <t>ФГБОУ СОШ "Горки" РАО</t>
        </is>
      </c>
      <c r="C259" s="13" t="n">
        <v>5003008550</v>
      </c>
      <c r="D259" s="13" t="inlineStr">
        <is>
          <t>5003008550</t>
        </is>
      </c>
      <c r="E259" s="13" t="inlineStr">
        <is>
          <t>ЮЛ РФ</t>
        </is>
      </c>
      <c r="F259" s="13" t="n"/>
      <c r="G259" s="14" t="n"/>
      <c r="H259" s="14" t="n"/>
      <c r="I259" s="14" t="n"/>
      <c r="J259" s="14" t="n"/>
      <c r="K259" s="53" t="inlineStr"/>
      <c r="L259" s="53" t="inlineStr">
        <is>
          <t>Не определено</t>
        </is>
      </c>
      <c r="M259" s="53" t="inlineStr"/>
      <c r="N259" s="54" t="inlineStr"/>
      <c r="O259" s="55" t="inlineStr"/>
      <c r="P259" s="16" t="inlineStr">
        <is>
          <t>Требует обогащения</t>
        </is>
      </c>
      <c r="Q259" s="16">
        <f>HYPERLINK("https://pb.nalog.ru/search.html?query=5003008550","ФНС: проверить")</f>
        <v/>
      </c>
      <c r="R259" s="16">
        <f>HYPERLINK("https://checko.ru/search?query=3801001629","Чекко: проверить")</f>
        <v/>
      </c>
      <c r="S259" t="n">
        <v>1</v>
      </c>
      <c r="T259" s="35" t="inlineStr">
        <is>
          <t>4 — Не обогащён</t>
        </is>
      </c>
      <c r="U259" s="35" t="inlineStr">
        <is>
          <t>Нет ОКВЭД/ССЧР</t>
        </is>
      </c>
      <c r="V259" s="35" t="inlineStr">
        <is>
          <t>Не определено</t>
        </is>
      </c>
      <c r="W259" s="35" t="inlineStr"/>
      <c r="X259" s="35" t="inlineStr"/>
    </row>
    <row r="260" ht="15" customHeight="1" s="24">
      <c r="A260" s="13" t="n">
        <v>5000116378</v>
      </c>
      <c r="B260" s="13" t="inlineStr">
        <is>
          <t>МКУ "УИАР ЛЕНИНСКОГО РАЙОНА"</t>
        </is>
      </c>
      <c r="C260" s="13" t="n">
        <v>5003103821</v>
      </c>
      <c r="D260" s="13" t="inlineStr">
        <is>
          <t>5003103821</t>
        </is>
      </c>
      <c r="E260" s="13" t="inlineStr">
        <is>
          <t>ЮЛ РФ</t>
        </is>
      </c>
      <c r="F260" s="13" t="n"/>
      <c r="G260" s="14" t="n"/>
      <c r="H260" s="14" t="n"/>
      <c r="I260" s="14" t="n"/>
      <c r="J260" s="14" t="n"/>
      <c r="K260" s="53" t="inlineStr"/>
      <c r="L260" s="53" t="inlineStr">
        <is>
          <t>Не определено</t>
        </is>
      </c>
      <c r="M260" s="53" t="inlineStr"/>
      <c r="N260" s="54" t="inlineStr"/>
      <c r="O260" s="55" t="inlineStr"/>
      <c r="P260" s="16" t="inlineStr">
        <is>
          <t>Требует обогащения</t>
        </is>
      </c>
      <c r="Q260" s="16">
        <f>HYPERLINK("https://pb.nalog.ru/search.html?query=5003103821","ФНС: проверить")</f>
        <v/>
      </c>
      <c r="R260" s="16">
        <f>HYPERLINK("https://checko.ru/search?query=3801001629","Чекко: проверить")</f>
        <v/>
      </c>
      <c r="S260" t="n">
        <v>1</v>
      </c>
      <c r="T260" s="35" t="inlineStr">
        <is>
          <t>4 — Не обогащён</t>
        </is>
      </c>
      <c r="U260" s="35" t="inlineStr">
        <is>
          <t>Нет ОКВЭД/ССЧР</t>
        </is>
      </c>
      <c r="V260" s="35" t="inlineStr">
        <is>
          <t>Не определено</t>
        </is>
      </c>
      <c r="W260" s="35" t="inlineStr"/>
      <c r="X260" s="35" t="inlineStr"/>
    </row>
    <row r="261" ht="27.75" customHeight="1" s="24">
      <c r="A261" s="13" t="n">
        <v>5000116386</v>
      </c>
      <c r="B261" s="13" t="inlineStr">
        <is>
          <t>Объединенное городское хозяйство, МБУ г.о. Химки МО</t>
        </is>
      </c>
      <c r="C261" s="13" t="n">
        <v>5047131270</v>
      </c>
      <c r="D261" s="13" t="inlineStr">
        <is>
          <t>5047131270</t>
        </is>
      </c>
      <c r="E261" s="13" t="inlineStr">
        <is>
          <t>ЮЛ РФ</t>
        </is>
      </c>
      <c r="F261" s="13" t="n"/>
      <c r="G261" s="14" t="n"/>
      <c r="H261" s="14" t="n"/>
      <c r="I261" s="14" t="n"/>
      <c r="J261" s="14" t="n"/>
      <c r="K261" s="53" t="inlineStr"/>
      <c r="L261" s="53" t="inlineStr">
        <is>
          <t>Не определено</t>
        </is>
      </c>
      <c r="M261" s="53" t="inlineStr"/>
      <c r="N261" s="54" t="inlineStr"/>
      <c r="O261" s="55" t="inlineStr"/>
      <c r="P261" s="16" t="inlineStr">
        <is>
          <t>Требует обогащения</t>
        </is>
      </c>
      <c r="Q261" s="16">
        <f>HYPERLINK("https://pb.nalog.ru/search.html?query=5047131270","ФНС: проверить")</f>
        <v/>
      </c>
      <c r="R261" s="16">
        <f>HYPERLINK("https://checko.ru/search?query=3801001629","Чекко: проверить")</f>
        <v/>
      </c>
      <c r="S261" t="n">
        <v>1</v>
      </c>
      <c r="T261" s="35" t="inlineStr">
        <is>
          <t>4 — Не обогащён</t>
        </is>
      </c>
      <c r="U261" s="35" t="inlineStr">
        <is>
          <t>Нет ОКВЭД/ССЧР</t>
        </is>
      </c>
      <c r="V261" s="35" t="inlineStr">
        <is>
          <t>Не определено</t>
        </is>
      </c>
      <c r="W261" s="35" t="inlineStr"/>
      <c r="X261" s="35" t="inlineStr"/>
    </row>
    <row r="262" ht="27.75" customHeight="1" s="24">
      <c r="A262" s="13" t="n">
        <v>5000101502</v>
      </c>
      <c r="B262" s="13" t="inlineStr">
        <is>
          <t>Муниципальное бюджетное учреждение культуры "Дворец культуры "Энергетик"</t>
        </is>
      </c>
      <c r="C262" s="13" t="n">
        <v>5056009325</v>
      </c>
      <c r="D262" s="13" t="inlineStr">
        <is>
          <t>5056009325</t>
        </is>
      </c>
      <c r="E262" s="13" t="inlineStr">
        <is>
          <t>ЮЛ РФ</t>
        </is>
      </c>
      <c r="F262" s="13" t="n"/>
      <c r="G262" s="14" t="n"/>
      <c r="H262" s="14" t="n"/>
      <c r="I262" s="14" t="n"/>
      <c r="J262" s="14" t="n"/>
      <c r="K262" s="53" t="inlineStr"/>
      <c r="L262" s="53" t="inlineStr">
        <is>
          <t>Не определено</t>
        </is>
      </c>
      <c r="M262" s="53" t="inlineStr"/>
      <c r="N262" s="54" t="inlineStr"/>
      <c r="O262" s="55" t="inlineStr"/>
      <c r="P262" s="16" t="inlineStr">
        <is>
          <t>Требует обогащения</t>
        </is>
      </c>
      <c r="Q262" s="16">
        <f>HYPERLINK("https://pb.nalog.ru/search.html?query=5056009325","ФНС: проверить")</f>
        <v/>
      </c>
      <c r="R262" s="16">
        <f>HYPERLINK("https://checko.ru/search?query=3801001629","Чекко: проверить")</f>
        <v/>
      </c>
      <c r="S262" t="n">
        <v>1</v>
      </c>
      <c r="T262" s="35" t="inlineStr">
        <is>
          <t>4 — Не обогащён</t>
        </is>
      </c>
      <c r="U262" s="35" t="inlineStr">
        <is>
          <t>Нет ОКВЭД/ССЧР</t>
        </is>
      </c>
      <c r="V262" s="35" t="inlineStr">
        <is>
          <t>Не определено</t>
        </is>
      </c>
      <c r="W262" s="35" t="inlineStr"/>
      <c r="X262" s="35" t="inlineStr"/>
    </row>
    <row r="263" ht="15" customHeight="1" s="24">
      <c r="A263" s="13" t="n">
        <v>5000116364</v>
      </c>
      <c r="B263" s="13" t="inlineStr">
        <is>
          <t>Парк отдыха Видное</t>
        </is>
      </c>
      <c r="C263" s="13" t="n">
        <v>5003002380</v>
      </c>
      <c r="D263" s="13" t="inlineStr">
        <is>
          <t>5003002380</t>
        </is>
      </c>
      <c r="E263" s="13" t="inlineStr">
        <is>
          <t>ЮЛ РФ</t>
        </is>
      </c>
      <c r="F263" s="13" t="n"/>
      <c r="G263" s="14" t="n"/>
      <c r="H263" s="14" t="n"/>
      <c r="I263" s="14" t="n"/>
      <c r="J263" s="14" t="n"/>
      <c r="K263" s="53" t="inlineStr"/>
      <c r="L263" s="53" t="inlineStr">
        <is>
          <t>Не определено</t>
        </is>
      </c>
      <c r="M263" s="53" t="inlineStr"/>
      <c r="N263" s="54" t="inlineStr"/>
      <c r="O263" s="55" t="inlineStr"/>
      <c r="P263" s="16" t="inlineStr">
        <is>
          <t>Требует обогащения</t>
        </is>
      </c>
      <c r="Q263" s="16">
        <f>HYPERLINK("https://pb.nalog.ru/search.html?query=5003002380","ФНС: проверить")</f>
        <v/>
      </c>
      <c r="R263" s="16">
        <f>HYPERLINK("https://checko.ru/search?query=3801001629","Чекко: проверить")</f>
        <v/>
      </c>
      <c r="S263" t="n">
        <v>1</v>
      </c>
      <c r="T263" s="35" t="inlineStr">
        <is>
          <t>4 — Не обогащён</t>
        </is>
      </c>
      <c r="U263" s="35" t="inlineStr">
        <is>
          <t>Нет ОКВЭД/ССЧР</t>
        </is>
      </c>
      <c r="V263" s="35" t="inlineStr">
        <is>
          <t>Не определено</t>
        </is>
      </c>
      <c r="W263" s="35" t="inlineStr"/>
      <c r="X263" s="35" t="inlineStr"/>
    </row>
    <row r="264" ht="41.25" customHeight="1" s="24">
      <c r="A264" s="13" t="n">
        <v>5000021518</v>
      </c>
      <c r="B264" s="13" t="inlineStr">
        <is>
          <t>Управление по жилищно-коммунальному хозяйству администрации городского округа Химки М.О.</t>
        </is>
      </c>
      <c r="C264" s="13" t="n">
        <v>5047094589</v>
      </c>
      <c r="D264" s="13" t="inlineStr">
        <is>
          <t>5047094589</t>
        </is>
      </c>
      <c r="E264" s="13" t="inlineStr">
        <is>
          <t>ЮЛ РФ</t>
        </is>
      </c>
      <c r="F264" s="13" t="n"/>
      <c r="G264" s="14" t="n"/>
      <c r="H264" s="14" t="n"/>
      <c r="I264" s="14" t="n"/>
      <c r="J264" s="14" t="n"/>
      <c r="K264" s="53" t="inlineStr"/>
      <c r="L264" s="53" t="inlineStr">
        <is>
          <t>Не определено</t>
        </is>
      </c>
      <c r="M264" s="53" t="inlineStr"/>
      <c r="N264" s="54" t="inlineStr"/>
      <c r="O264" s="55" t="inlineStr"/>
      <c r="P264" s="16" t="inlineStr">
        <is>
          <t>Требует обогащения</t>
        </is>
      </c>
      <c r="Q264" s="16">
        <f>HYPERLINK("https://pb.nalog.ru/search.html?query=5047094589","ФНС: проверить")</f>
        <v/>
      </c>
      <c r="R264" s="16">
        <f>HYPERLINK("https://checko.ru/search?query=3801001629","Чекко: проверить")</f>
        <v/>
      </c>
      <c r="S264" t="n">
        <v>1</v>
      </c>
      <c r="T264" s="35" t="inlineStr">
        <is>
          <t>4 — Не обогащён</t>
        </is>
      </c>
      <c r="U264" s="35" t="inlineStr">
        <is>
          <t>Нет ОКВЭД/ССЧР</t>
        </is>
      </c>
      <c r="V264" s="35" t="inlineStr">
        <is>
          <t>Не определено</t>
        </is>
      </c>
      <c r="W264" s="35" t="inlineStr"/>
      <c r="X264" s="35" t="inlineStr"/>
    </row>
    <row r="265" ht="41.25" customHeight="1" s="24">
      <c r="A265" s="13" t="n">
        <v>5000101509</v>
      </c>
      <c r="B265" s="13" t="inlineStr">
        <is>
          <t>Муниципальное бюджетное учреждение дополнительного образования Спортивная школа "Орбита"</t>
        </is>
      </c>
      <c r="C265" s="13" t="n">
        <v>5027053915</v>
      </c>
      <c r="D265" s="13" t="inlineStr">
        <is>
          <t>5027053915</t>
        </is>
      </c>
      <c r="E265" s="13" t="inlineStr">
        <is>
          <t>ЮЛ РФ</t>
        </is>
      </c>
      <c r="F265" s="13" t="n"/>
      <c r="G265" s="14" t="n"/>
      <c r="H265" s="14" t="n"/>
      <c r="I265" s="14" t="n"/>
      <c r="J265" s="14" t="n"/>
      <c r="K265" s="53" t="inlineStr"/>
      <c r="L265" s="53" t="inlineStr">
        <is>
          <t>Не определено</t>
        </is>
      </c>
      <c r="M265" s="53" t="inlineStr"/>
      <c r="N265" s="54" t="inlineStr"/>
      <c r="O265" s="55" t="inlineStr"/>
      <c r="P265" s="16" t="inlineStr">
        <is>
          <t>Требует обогащения</t>
        </is>
      </c>
      <c r="Q265" s="16">
        <f>HYPERLINK("https://pb.nalog.ru/search.html?query=5027053915","ФНС: проверить")</f>
        <v/>
      </c>
      <c r="R265" s="16">
        <f>HYPERLINK("https://checko.ru/search?query=3801001629","Чекко: проверить")</f>
        <v/>
      </c>
      <c r="S265" t="n">
        <v>1</v>
      </c>
      <c r="T265" s="35" t="inlineStr">
        <is>
          <t>4 — Не обогащён</t>
        </is>
      </c>
      <c r="U265" s="35" t="inlineStr">
        <is>
          <t>Нет ОКВЭД/ССЧР</t>
        </is>
      </c>
      <c r="V265" s="35" t="inlineStr">
        <is>
          <t>Не определено</t>
        </is>
      </c>
      <c r="W265" s="35" t="inlineStr"/>
      <c r="X265" s="35" t="inlineStr"/>
    </row>
    <row r="266" ht="15" customHeight="1" s="24">
      <c r="A266" s="13" t="n">
        <v>5000116360</v>
      </c>
      <c r="B266" s="13" t="inlineStr">
        <is>
          <t>МКУ по работе с молодежью "Энергия"</t>
        </is>
      </c>
      <c r="C266" s="13" t="n">
        <v>5003104127</v>
      </c>
      <c r="D266" s="13" t="inlineStr">
        <is>
          <t>5003104127</t>
        </is>
      </c>
      <c r="E266" s="13" t="inlineStr">
        <is>
          <t>ЮЛ РФ</t>
        </is>
      </c>
      <c r="F266" s="13" t="n"/>
      <c r="G266" s="14" t="n"/>
      <c r="H266" s="14" t="n"/>
      <c r="I266" s="14" t="n"/>
      <c r="J266" s="14" t="n"/>
      <c r="K266" s="53" t="inlineStr"/>
      <c r="L266" s="53" t="inlineStr">
        <is>
          <t>Не определено</t>
        </is>
      </c>
      <c r="M266" s="53" t="inlineStr"/>
      <c r="N266" s="54" t="inlineStr"/>
      <c r="O266" s="55" t="inlineStr"/>
      <c r="P266" s="16" t="inlineStr">
        <is>
          <t>Требует обогащения</t>
        </is>
      </c>
      <c r="Q266" s="16">
        <f>HYPERLINK("https://pb.nalog.ru/search.html?query=5003104127","ФНС: проверить")</f>
        <v/>
      </c>
      <c r="R266" s="16">
        <f>HYPERLINK("https://checko.ru/search?query=3801001629","Чекко: проверить")</f>
        <v/>
      </c>
      <c r="S266" t="n">
        <v>1</v>
      </c>
      <c r="T266" s="35" t="inlineStr">
        <is>
          <t>4 — Не обогащён</t>
        </is>
      </c>
      <c r="U266" s="35" t="inlineStr">
        <is>
          <t>Нет ОКВЭД/ССЧР</t>
        </is>
      </c>
      <c r="V266" s="35" t="inlineStr">
        <is>
          <t>Не определено</t>
        </is>
      </c>
      <c r="W266" s="35" t="inlineStr"/>
      <c r="X266" s="35" t="inlineStr"/>
    </row>
    <row r="267" ht="27.75" customHeight="1" s="24">
      <c r="A267" s="13" t="n">
        <v>5000118896</v>
      </c>
      <c r="B267" s="13" t="inlineStr">
        <is>
          <t>МКУ "МФЦ Ленинского района Московской области"</t>
        </is>
      </c>
      <c r="C267" s="13" t="n">
        <v>5003104166</v>
      </c>
      <c r="D267" s="13" t="inlineStr">
        <is>
          <t>5003104166</t>
        </is>
      </c>
      <c r="E267" s="13" t="inlineStr">
        <is>
          <t>ЮЛ РФ</t>
        </is>
      </c>
      <c r="F267" s="13" t="n"/>
      <c r="G267" s="14" t="n"/>
      <c r="H267" s="14" t="n"/>
      <c r="I267" s="14" t="n"/>
      <c r="J267" s="14" t="n"/>
      <c r="K267" s="53" t="inlineStr"/>
      <c r="L267" s="53" t="inlineStr">
        <is>
          <t>Не определено</t>
        </is>
      </c>
      <c r="M267" s="53" t="inlineStr"/>
      <c r="N267" s="54" t="inlineStr"/>
      <c r="O267" s="55" t="inlineStr"/>
      <c r="P267" s="16" t="inlineStr">
        <is>
          <t>Требует обогащения</t>
        </is>
      </c>
      <c r="Q267" s="16">
        <f>HYPERLINK("https://pb.nalog.ru/search.html?query=5003104166","ФНС: проверить")</f>
        <v/>
      </c>
      <c r="R267" s="16">
        <f>HYPERLINK("https://checko.ru/search?query=3801001629","Чекко: проверить")</f>
        <v/>
      </c>
      <c r="S267" t="n">
        <v>1</v>
      </c>
      <c r="T267" s="35" t="inlineStr">
        <is>
          <t>4 — Не обогащён</t>
        </is>
      </c>
      <c r="U267" s="35" t="inlineStr">
        <is>
          <t>Нет ОКВЭД/ССЧР</t>
        </is>
      </c>
      <c r="V267" s="35" t="inlineStr">
        <is>
          <t>Не определено</t>
        </is>
      </c>
      <c r="W267" s="35" t="inlineStr"/>
      <c r="X267" s="35" t="inlineStr"/>
    </row>
    <row r="268" ht="15" customHeight="1" s="24">
      <c r="A268" s="13" t="n">
        <v>5000116388</v>
      </c>
      <c r="B268" s="13" t="inlineStr">
        <is>
          <t>МКУ "ДЖКХ"</t>
        </is>
      </c>
      <c r="C268" s="13" t="n">
        <v>5047035135</v>
      </c>
      <c r="D268" s="13" t="inlineStr">
        <is>
          <t>5047035135</t>
        </is>
      </c>
      <c r="E268" s="13" t="inlineStr">
        <is>
          <t>ЮЛ РФ</t>
        </is>
      </c>
      <c r="F268" s="13" t="n"/>
      <c r="G268" s="14" t="n"/>
      <c r="H268" s="14" t="n"/>
      <c r="I268" s="14" t="n"/>
      <c r="J268" s="14" t="n"/>
      <c r="K268" s="53" t="inlineStr"/>
      <c r="L268" s="53" t="inlineStr">
        <is>
          <t>Не определено</t>
        </is>
      </c>
      <c r="M268" s="53" t="inlineStr"/>
      <c r="N268" s="54" t="inlineStr"/>
      <c r="O268" s="55" t="inlineStr"/>
      <c r="P268" s="16" t="inlineStr">
        <is>
          <t>Требует обогащения</t>
        </is>
      </c>
      <c r="Q268" s="16">
        <f>HYPERLINK("https://pb.nalog.ru/search.html?query=5047035135","ФНС: проверить")</f>
        <v/>
      </c>
      <c r="R268" s="16">
        <f>HYPERLINK("https://checko.ru/search?query=3801001629","Чекко: проверить")</f>
        <v/>
      </c>
      <c r="S268" t="n">
        <v>1</v>
      </c>
      <c r="T268" s="35" t="inlineStr">
        <is>
          <t>4 — Не обогащён</t>
        </is>
      </c>
      <c r="U268" s="35" t="inlineStr">
        <is>
          <t>Нет ОКВЭД/ССЧР</t>
        </is>
      </c>
      <c r="V268" s="35" t="inlineStr">
        <is>
          <t>Не определено</t>
        </is>
      </c>
      <c r="W268" s="35" t="inlineStr"/>
      <c r="X268" s="35" t="inlineStr"/>
    </row>
    <row r="269" ht="15" customHeight="1" s="24">
      <c r="A269" s="13" t="n">
        <v>5000074060</v>
      </c>
      <c r="B269" s="13" t="inlineStr">
        <is>
          <t>МОУ Лицей г.Истры</t>
        </is>
      </c>
      <c r="C269" s="13" t="n">
        <v>5017027225</v>
      </c>
      <c r="D269" s="13" t="inlineStr">
        <is>
          <t>5017027225</t>
        </is>
      </c>
      <c r="E269" s="13" t="inlineStr">
        <is>
          <t>ЮЛ РФ</t>
        </is>
      </c>
      <c r="F269" s="13" t="n"/>
      <c r="G269" s="14" t="n"/>
      <c r="H269" s="14" t="n"/>
      <c r="I269" s="14" t="n"/>
      <c r="J269" s="14" t="n"/>
      <c r="K269" s="53" t="inlineStr"/>
      <c r="L269" s="53" t="inlineStr">
        <is>
          <t>Не определено</t>
        </is>
      </c>
      <c r="M269" s="53" t="inlineStr"/>
      <c r="N269" s="54" t="inlineStr"/>
      <c r="O269" s="55" t="inlineStr"/>
      <c r="P269" s="16" t="inlineStr">
        <is>
          <t>Требует обогащения</t>
        </is>
      </c>
      <c r="Q269" s="16">
        <f>HYPERLINK("https://pb.nalog.ru/search.html?query=5017027225","ФНС: проверить")</f>
        <v/>
      </c>
      <c r="R269" s="16">
        <f>HYPERLINK("https://checko.ru/search?query=3801001629","Чекко: проверить")</f>
        <v/>
      </c>
      <c r="S269" t="n">
        <v>1</v>
      </c>
      <c r="T269" s="35" t="inlineStr">
        <is>
          <t>4 — Не обогащён</t>
        </is>
      </c>
      <c r="U269" s="35" t="inlineStr">
        <is>
          <t>Нет ОКВЭД/ССЧР</t>
        </is>
      </c>
      <c r="V269" s="35" t="inlineStr">
        <is>
          <t>Не определено</t>
        </is>
      </c>
      <c r="W269" s="35" t="inlineStr"/>
      <c r="X269" s="35" t="inlineStr"/>
    </row>
    <row r="270" ht="27.75" customHeight="1" s="24">
      <c r="A270" s="13" t="n">
        <v>5000074083</v>
      </c>
      <c r="B270" s="13" t="inlineStr">
        <is>
          <t>МОУ ДО "Центр творческого развития и гуманитарного образования"</t>
        </is>
      </c>
      <c r="C270" s="13" t="n">
        <v>5017049074</v>
      </c>
      <c r="D270" s="13" t="inlineStr">
        <is>
          <t>5017049074</t>
        </is>
      </c>
      <c r="E270" s="13" t="inlineStr">
        <is>
          <t>ЮЛ РФ</t>
        </is>
      </c>
      <c r="F270" s="13" t="n"/>
      <c r="G270" s="14" t="n"/>
      <c r="H270" s="14" t="n"/>
      <c r="I270" s="14" t="n"/>
      <c r="J270" s="14" t="n"/>
      <c r="K270" s="53" t="inlineStr"/>
      <c r="L270" s="53" t="inlineStr">
        <is>
          <t>Не определено</t>
        </is>
      </c>
      <c r="M270" s="53" t="inlineStr"/>
      <c r="N270" s="54" t="inlineStr"/>
      <c r="O270" s="55" t="inlineStr"/>
      <c r="P270" s="16" t="inlineStr">
        <is>
          <t>Требует обогащения</t>
        </is>
      </c>
      <c r="Q270" s="16">
        <f>HYPERLINK("https://pb.nalog.ru/search.html?query=5017049074","ФНС: проверить")</f>
        <v/>
      </c>
      <c r="R270" s="16">
        <f>HYPERLINK("https://checko.ru/search?query=3801001629","Чекко: проверить")</f>
        <v/>
      </c>
      <c r="S270" t="n">
        <v>1</v>
      </c>
      <c r="T270" s="35" t="inlineStr">
        <is>
          <t>4 — Не обогащён</t>
        </is>
      </c>
      <c r="U270" s="35" t="inlineStr">
        <is>
          <t>Нет ОКВЭД/ССЧР</t>
        </is>
      </c>
      <c r="V270" s="35" t="inlineStr">
        <is>
          <t>Не определено</t>
        </is>
      </c>
      <c r="W270" s="35" t="inlineStr"/>
      <c r="X270" s="35" t="inlineStr"/>
    </row>
    <row r="271" ht="27.75" customHeight="1" s="24">
      <c r="A271" s="13" t="n">
        <v>5000074098</v>
      </c>
      <c r="B271" s="13" t="inlineStr">
        <is>
          <t>Муниципальное учреждение спорта "Спортивный комплекс "Истра"</t>
        </is>
      </c>
      <c r="C271" s="13" t="n">
        <v>5017073648</v>
      </c>
      <c r="D271" s="13" t="inlineStr">
        <is>
          <t>5017073648</t>
        </is>
      </c>
      <c r="E271" s="13" t="inlineStr">
        <is>
          <t>ЮЛ РФ</t>
        </is>
      </c>
      <c r="F271" s="13" t="n"/>
      <c r="G271" s="14" t="n"/>
      <c r="H271" s="14" t="n"/>
      <c r="I271" s="14" t="n"/>
      <c r="J271" s="14" t="n"/>
      <c r="K271" s="53" t="inlineStr"/>
      <c r="L271" s="53" t="inlineStr">
        <is>
          <t>Не определено</t>
        </is>
      </c>
      <c r="M271" s="53" t="inlineStr"/>
      <c r="N271" s="54" t="inlineStr"/>
      <c r="O271" s="55" t="inlineStr"/>
      <c r="P271" s="16" t="inlineStr">
        <is>
          <t>Требует обогащения</t>
        </is>
      </c>
      <c r="Q271" s="16">
        <f>HYPERLINK("https://pb.nalog.ru/search.html?query=5017073648","ФНС: проверить")</f>
        <v/>
      </c>
      <c r="R271" s="16">
        <f>HYPERLINK("https://checko.ru/search?query=3801001629","Чекко: проверить")</f>
        <v/>
      </c>
      <c r="S271" t="n">
        <v>1</v>
      </c>
      <c r="T271" s="35" t="inlineStr">
        <is>
          <t>4 — Не обогащён</t>
        </is>
      </c>
      <c r="U271" s="35" t="inlineStr">
        <is>
          <t>Нет ОКВЭД/ССЧР</t>
        </is>
      </c>
      <c r="V271" s="35" t="inlineStr">
        <is>
          <t>Не определено</t>
        </is>
      </c>
      <c r="W271" s="35" t="inlineStr"/>
      <c r="X271" s="35" t="inlineStr"/>
    </row>
    <row r="272" ht="15" customHeight="1" s="24">
      <c r="A272" s="13" t="n">
        <v>5000009410</v>
      </c>
      <c r="B272" s="13" t="inlineStr">
        <is>
          <t>МУК МВК "ВОЛОКОЛАМСКИЙ КРЕМЛЬ"</t>
        </is>
      </c>
      <c r="C272" s="13" t="n">
        <v>5004009363</v>
      </c>
      <c r="D272" s="13" t="inlineStr">
        <is>
          <t>5004009363</t>
        </is>
      </c>
      <c r="E272" s="13" t="inlineStr">
        <is>
          <t>ЮЛ РФ</t>
        </is>
      </c>
      <c r="F272" s="13" t="n"/>
      <c r="G272" s="14" t="n"/>
      <c r="H272" s="14" t="n"/>
      <c r="I272" s="14" t="n"/>
      <c r="J272" s="14" t="n"/>
      <c r="K272" s="53" t="inlineStr"/>
      <c r="L272" s="53" t="inlineStr">
        <is>
          <t>Не определено</t>
        </is>
      </c>
      <c r="M272" s="53" t="inlineStr"/>
      <c r="N272" s="54" t="inlineStr"/>
      <c r="O272" s="55" t="inlineStr"/>
      <c r="P272" s="16" t="inlineStr">
        <is>
          <t>Требует обогащения</t>
        </is>
      </c>
      <c r="Q272" s="16">
        <f>HYPERLINK("https://pb.nalog.ru/search.html?query=5004009363","ФНС: проверить")</f>
        <v/>
      </c>
      <c r="R272" s="16">
        <f>HYPERLINK("https://checko.ru/search?query=3801001629","Чекко: проверить")</f>
        <v/>
      </c>
      <c r="S272" t="n">
        <v>1</v>
      </c>
      <c r="T272" s="35" t="inlineStr">
        <is>
          <t>4 — Не обогащён</t>
        </is>
      </c>
      <c r="U272" s="35" t="inlineStr">
        <is>
          <t>Нет ОКВЭД/ССЧР</t>
        </is>
      </c>
      <c r="V272" s="35" t="inlineStr">
        <is>
          <t>Не определено</t>
        </is>
      </c>
      <c r="W272" s="35" t="inlineStr"/>
      <c r="X272" s="35" t="inlineStr"/>
    </row>
    <row r="273" ht="15" customHeight="1" s="24">
      <c r="A273" s="13" t="n">
        <v>5000116349</v>
      </c>
      <c r="B273" s="13" t="inlineStr">
        <is>
          <t>МБУ "ЖКУ Г.О. ИСТРА"</t>
        </is>
      </c>
      <c r="C273" s="13" t="n">
        <v>5017125021</v>
      </c>
      <c r="D273" s="13" t="inlineStr">
        <is>
          <t>5017125021</t>
        </is>
      </c>
      <c r="E273" s="13" t="inlineStr">
        <is>
          <t>ЮЛ РФ</t>
        </is>
      </c>
      <c r="F273" s="13" t="n"/>
      <c r="G273" s="14" t="n"/>
      <c r="H273" s="14" t="n"/>
      <c r="I273" s="14" t="n"/>
      <c r="J273" s="14" t="n"/>
      <c r="K273" s="53" t="inlineStr"/>
      <c r="L273" s="53" t="inlineStr">
        <is>
          <t>Не определено</t>
        </is>
      </c>
      <c r="M273" s="53" t="inlineStr"/>
      <c r="N273" s="54" t="inlineStr"/>
      <c r="O273" s="55" t="inlineStr"/>
      <c r="P273" s="16" t="inlineStr">
        <is>
          <t>Требует обогащения</t>
        </is>
      </c>
      <c r="Q273" s="16">
        <f>HYPERLINK("https://pb.nalog.ru/search.html?query=5017125021","ФНС: проверить")</f>
        <v/>
      </c>
      <c r="R273" s="16">
        <f>HYPERLINK("https://checko.ru/search?query=3801001629","Чекко: проверить")</f>
        <v/>
      </c>
      <c r="S273" t="n">
        <v>1</v>
      </c>
      <c r="T273" s="35" t="inlineStr">
        <is>
          <t>4 — Не обогащён</t>
        </is>
      </c>
      <c r="U273" s="35" t="inlineStr">
        <is>
          <t>Нет ОКВЭД/ССЧР</t>
        </is>
      </c>
      <c r="V273" s="35" t="inlineStr">
        <is>
          <t>Не определено</t>
        </is>
      </c>
      <c r="W273" s="35" t="inlineStr"/>
      <c r="X273" s="35" t="inlineStr"/>
    </row>
    <row r="274" ht="27.75" customHeight="1" s="24">
      <c r="A274" s="13" t="n">
        <v>5000116348</v>
      </c>
      <c r="B274" s="13" t="inlineStr">
        <is>
          <t>Управление по финансам и казначейству истринского муниципального района</t>
        </is>
      </c>
      <c r="C274" s="13" t="n">
        <v>5017003601</v>
      </c>
      <c r="D274" s="13" t="inlineStr">
        <is>
          <t>5017003601</t>
        </is>
      </c>
      <c r="E274" s="13" t="inlineStr">
        <is>
          <t>ЮЛ РФ</t>
        </is>
      </c>
      <c r="F274" s="13" t="n"/>
      <c r="G274" s="14" t="n"/>
      <c r="H274" s="14" t="n"/>
      <c r="I274" s="14" t="n"/>
      <c r="J274" s="14" t="n"/>
      <c r="K274" s="53" t="inlineStr"/>
      <c r="L274" s="53" t="inlineStr">
        <is>
          <t>Не определено</t>
        </is>
      </c>
      <c r="M274" s="53" t="inlineStr"/>
      <c r="N274" s="54" t="inlineStr"/>
      <c r="O274" s="55" t="inlineStr"/>
      <c r="P274" s="16" t="inlineStr">
        <is>
          <t>Требует обогащения</t>
        </is>
      </c>
      <c r="Q274" s="16">
        <f>HYPERLINK("https://pb.nalog.ru/search.html?query=5017003601","ФНС: проверить")</f>
        <v/>
      </c>
      <c r="R274" s="16">
        <f>HYPERLINK("https://checko.ru/search?query=3801001629","Чекко: проверить")</f>
        <v/>
      </c>
      <c r="S274" t="n">
        <v>1</v>
      </c>
      <c r="T274" s="35" t="inlineStr">
        <is>
          <t>4 — Не обогащён</t>
        </is>
      </c>
      <c r="U274" s="35" t="inlineStr">
        <is>
          <t>Нет ОКВЭД/ССЧР</t>
        </is>
      </c>
      <c r="V274" s="35" t="inlineStr">
        <is>
          <t>Не определено</t>
        </is>
      </c>
      <c r="W274" s="35" t="inlineStr"/>
      <c r="X274" s="35" t="inlineStr"/>
    </row>
    <row r="275" ht="15" customHeight="1" s="24">
      <c r="A275" s="13" t="n">
        <v>5000041185</v>
      </c>
      <c r="B275" s="13" t="inlineStr">
        <is>
          <t>МУ "Комитет по культуре"</t>
        </is>
      </c>
      <c r="C275" s="13" t="n">
        <v>5027067643</v>
      </c>
      <c r="D275" s="13" t="inlineStr">
        <is>
          <t>5027067643</t>
        </is>
      </c>
      <c r="E275" s="13" t="inlineStr">
        <is>
          <t>ЮЛ РФ</t>
        </is>
      </c>
      <c r="F275" s="13" t="n"/>
      <c r="G275" s="14" t="n"/>
      <c r="H275" s="14" t="n"/>
      <c r="I275" s="14" t="n"/>
      <c r="J275" s="14" t="n"/>
      <c r="K275" s="53" t="inlineStr"/>
      <c r="L275" s="53" t="inlineStr">
        <is>
          <t>Не определено</t>
        </is>
      </c>
      <c r="M275" s="53" t="inlineStr"/>
      <c r="N275" s="54" t="inlineStr"/>
      <c r="O275" s="55" t="inlineStr"/>
      <c r="P275" s="16" t="inlineStr">
        <is>
          <t>Требует обогащения</t>
        </is>
      </c>
      <c r="Q275" s="16">
        <f>HYPERLINK("https://pb.nalog.ru/search.html?query=5027067643","ФНС: проверить")</f>
        <v/>
      </c>
      <c r="R275" s="16">
        <f>HYPERLINK("https://checko.ru/search?query=3801001629","Чекко: проверить")</f>
        <v/>
      </c>
      <c r="S275" t="n">
        <v>1</v>
      </c>
      <c r="T275" s="35" t="inlineStr">
        <is>
          <t>4 — Не обогащён</t>
        </is>
      </c>
      <c r="U275" s="35" t="inlineStr">
        <is>
          <t>Нет ОКВЭД/ССЧР</t>
        </is>
      </c>
      <c r="V275" s="35" t="inlineStr">
        <is>
          <t>Не определено</t>
        </is>
      </c>
      <c r="W275" s="35" t="inlineStr"/>
      <c r="X275" s="35" t="inlineStr"/>
    </row>
    <row r="276" ht="27.75" customHeight="1" s="24">
      <c r="A276" s="13" t="n">
        <v>5000116516</v>
      </c>
      <c r="B276" s="13" t="inlineStr">
        <is>
          <t>МКУ "ЕДИНАЯ ДЕЖУРНО-ДИСПЕЧЕРСКАЯ СЛУЖБА ГОРОДА ДЗЕРЖИНСКИЙ"</t>
        </is>
      </c>
      <c r="C276" s="13" t="n">
        <v>5027228805</v>
      </c>
      <c r="D276" s="13" t="inlineStr">
        <is>
          <t>5027228805</t>
        </is>
      </c>
      <c r="E276" s="13" t="inlineStr">
        <is>
          <t>ЮЛ РФ</t>
        </is>
      </c>
      <c r="F276" s="13" t="n"/>
      <c r="G276" s="14" t="n"/>
      <c r="H276" s="14" t="n"/>
      <c r="I276" s="14" t="n"/>
      <c r="J276" s="14" t="n"/>
      <c r="K276" s="53" t="inlineStr"/>
      <c r="L276" s="53" t="inlineStr">
        <is>
          <t>Не определено</t>
        </is>
      </c>
      <c r="M276" s="53" t="inlineStr"/>
      <c r="N276" s="54" t="inlineStr"/>
      <c r="O276" s="55" t="inlineStr"/>
      <c r="P276" s="16" t="inlineStr">
        <is>
          <t>Требует обогащения</t>
        </is>
      </c>
      <c r="Q276" s="16">
        <f>HYPERLINK("https://pb.nalog.ru/search.html?query=5027228805","ФНС: проверить")</f>
        <v/>
      </c>
      <c r="R276" s="16">
        <f>HYPERLINK("https://checko.ru/search?query=3801001629","Чекко: проверить")</f>
        <v/>
      </c>
      <c r="S276" t="n">
        <v>1</v>
      </c>
      <c r="T276" s="35" t="inlineStr">
        <is>
          <t>4 — Не обогащён</t>
        </is>
      </c>
      <c r="U276" s="35" t="inlineStr">
        <is>
          <t>Нет ОКВЭД/ССЧР</t>
        </is>
      </c>
      <c r="V276" s="35" t="inlineStr">
        <is>
          <t>Не определено</t>
        </is>
      </c>
      <c r="W276" s="35" t="inlineStr"/>
      <c r="X276" s="35" t="inlineStr"/>
    </row>
    <row r="277" ht="15" customHeight="1" s="24">
      <c r="A277" s="13" t="n">
        <v>5000086597</v>
      </c>
      <c r="B277" s="13" t="inlineStr">
        <is>
          <t>АУ "МФЦ городского округа Химки"</t>
        </is>
      </c>
      <c r="C277" s="13" t="n">
        <v>5047130780</v>
      </c>
      <c r="D277" s="13" t="inlineStr">
        <is>
          <t>5047130780</t>
        </is>
      </c>
      <c r="E277" s="13" t="inlineStr">
        <is>
          <t>ЮЛ РФ</t>
        </is>
      </c>
      <c r="F277" s="13" t="n"/>
      <c r="G277" s="14" t="n"/>
      <c r="H277" s="14" t="n"/>
      <c r="I277" s="14" t="n"/>
      <c r="J277" s="14" t="n"/>
      <c r="K277" s="53" t="inlineStr"/>
      <c r="L277" s="53" t="inlineStr">
        <is>
          <t>Не определено</t>
        </is>
      </c>
      <c r="M277" s="53" t="inlineStr"/>
      <c r="N277" s="54" t="inlineStr"/>
      <c r="O277" s="55" t="inlineStr"/>
      <c r="P277" s="16" t="inlineStr">
        <is>
          <t>Требует обогащения</t>
        </is>
      </c>
      <c r="Q277" s="16">
        <f>HYPERLINK("https://pb.nalog.ru/search.html?query=5047130780","ФНС: проверить")</f>
        <v/>
      </c>
      <c r="R277" s="16">
        <f>HYPERLINK("https://checko.ru/search?query=3801001629","Чекко: проверить")</f>
        <v/>
      </c>
      <c r="S277" t="n">
        <v>1</v>
      </c>
      <c r="T277" s="35" t="inlineStr">
        <is>
          <t>4 — Не обогащён</t>
        </is>
      </c>
      <c r="U277" s="35" t="inlineStr">
        <is>
          <t>Нет ОКВЭД/ССЧР</t>
        </is>
      </c>
      <c r="V277" s="35" t="inlineStr">
        <is>
          <t>Не определено</t>
        </is>
      </c>
      <c r="W277" s="35" t="inlineStr"/>
      <c r="X277" s="35" t="inlineStr"/>
    </row>
    <row r="278" ht="27.75" customHeight="1" s="24">
      <c r="A278" s="13" t="n">
        <v>5000121514</v>
      </c>
      <c r="B278" s="13" t="inlineStr">
        <is>
          <t>Совет депутатов Волоколамского муниципального района</t>
        </is>
      </c>
      <c r="C278" s="13" t="n">
        <v>5004019682</v>
      </c>
      <c r="D278" s="13" t="inlineStr">
        <is>
          <t>5004019682</t>
        </is>
      </c>
      <c r="E278" s="13" t="inlineStr">
        <is>
          <t>ЮЛ РФ</t>
        </is>
      </c>
      <c r="F278" s="13" t="n"/>
      <c r="G278" s="14" t="n"/>
      <c r="H278" s="14" t="n"/>
      <c r="I278" s="14" t="n"/>
      <c r="J278" s="14" t="n"/>
      <c r="K278" s="53" t="inlineStr"/>
      <c r="L278" s="53" t="inlineStr">
        <is>
          <t>Не определено</t>
        </is>
      </c>
      <c r="M278" s="53" t="inlineStr"/>
      <c r="N278" s="54" t="inlineStr"/>
      <c r="O278" s="55" t="inlineStr"/>
      <c r="P278" s="16" t="inlineStr">
        <is>
          <t>Требует обогащения</t>
        </is>
      </c>
      <c r="Q278" s="16">
        <f>HYPERLINK("https://pb.nalog.ru/search.html?query=5004019682","ФНС: проверить")</f>
        <v/>
      </c>
      <c r="R278" s="16">
        <f>HYPERLINK("https://checko.ru/search?query=3801001629","Чекко: проверить")</f>
        <v/>
      </c>
      <c r="S278" t="n">
        <v>1</v>
      </c>
      <c r="T278" s="35" t="inlineStr">
        <is>
          <t>4 — Не обогащён</t>
        </is>
      </c>
      <c r="U278" s="35" t="inlineStr">
        <is>
          <t>Нет ОКВЭД/ССЧР</t>
        </is>
      </c>
      <c r="V278" s="35" t="inlineStr">
        <is>
          <t>Не определено</t>
        </is>
      </c>
      <c r="W278" s="35" t="inlineStr"/>
      <c r="X278" s="35" t="inlineStr"/>
    </row>
    <row r="279" ht="15" customHeight="1" s="24">
      <c r="A279" s="13" t="n">
        <v>5000021408</v>
      </c>
      <c r="B279" s="13" t="inlineStr">
        <is>
          <t>МБОУ СОШ №14 г. Химки</t>
        </is>
      </c>
      <c r="C279" s="13" t="n">
        <v>5047045493</v>
      </c>
      <c r="D279" s="13" t="inlineStr">
        <is>
          <t>5047045493</t>
        </is>
      </c>
      <c r="E279" s="13" t="inlineStr">
        <is>
          <t>ЮЛ РФ</t>
        </is>
      </c>
      <c r="F279" s="13" t="n"/>
      <c r="G279" s="14" t="n"/>
      <c r="H279" s="14" t="n"/>
      <c r="I279" s="14" t="n"/>
      <c r="J279" s="14" t="n"/>
      <c r="K279" s="53" t="inlineStr"/>
      <c r="L279" s="53" t="inlineStr">
        <is>
          <t>Не определено</t>
        </is>
      </c>
      <c r="M279" s="53" t="inlineStr"/>
      <c r="N279" s="54" t="inlineStr"/>
      <c r="O279" s="55" t="inlineStr"/>
      <c r="P279" s="16" t="inlineStr">
        <is>
          <t>Требует обогащения</t>
        </is>
      </c>
      <c r="Q279" s="16">
        <f>HYPERLINK("https://pb.nalog.ru/search.html?query=5047045493","ФНС: проверить")</f>
        <v/>
      </c>
      <c r="R279" s="16">
        <f>HYPERLINK("https://checko.ru/search?query=3801001629","Чекко: проверить")</f>
        <v/>
      </c>
      <c r="S279" t="n">
        <v>1</v>
      </c>
      <c r="T279" s="35" t="inlineStr">
        <is>
          <t>4 — Не обогащён</t>
        </is>
      </c>
      <c r="U279" s="35" t="inlineStr">
        <is>
          <t>Нет ОКВЭД/ССЧР</t>
        </is>
      </c>
      <c r="V279" s="35" t="inlineStr">
        <is>
          <t>Не определено</t>
        </is>
      </c>
      <c r="W279" s="35" t="inlineStr"/>
      <c r="X279" s="35" t="inlineStr"/>
    </row>
    <row r="280" ht="15" customHeight="1" s="24">
      <c r="A280" s="13" t="n">
        <v>5000021409</v>
      </c>
      <c r="B280" s="13" t="inlineStr">
        <is>
          <t>МБОУ СОШ №1 г. Химки</t>
        </is>
      </c>
      <c r="C280" s="13" t="n">
        <v>5047045503</v>
      </c>
      <c r="D280" s="13" t="inlineStr">
        <is>
          <t>5047045503</t>
        </is>
      </c>
      <c r="E280" s="13" t="inlineStr">
        <is>
          <t>ЮЛ РФ</t>
        </is>
      </c>
      <c r="F280" s="13" t="n"/>
      <c r="G280" s="14" t="n"/>
      <c r="H280" s="14" t="n"/>
      <c r="I280" s="14" t="n"/>
      <c r="J280" s="14" t="n"/>
      <c r="K280" s="53" t="inlineStr"/>
      <c r="L280" s="53" t="inlineStr">
        <is>
          <t>Не определено</t>
        </is>
      </c>
      <c r="M280" s="53" t="inlineStr"/>
      <c r="N280" s="54" t="inlineStr"/>
      <c r="O280" s="55" t="inlineStr"/>
      <c r="P280" s="16" t="inlineStr">
        <is>
          <t>Требует обогащения</t>
        </is>
      </c>
      <c r="Q280" s="16">
        <f>HYPERLINK("https://pb.nalog.ru/search.html?query=5047045503","ФНС: проверить")</f>
        <v/>
      </c>
      <c r="R280" s="16">
        <f>HYPERLINK("https://checko.ru/search?query=3801001629","Чекко: проверить")</f>
        <v/>
      </c>
      <c r="S280" t="n">
        <v>1</v>
      </c>
      <c r="T280" s="35" t="inlineStr">
        <is>
          <t>4 — Не обогащён</t>
        </is>
      </c>
      <c r="U280" s="35" t="inlineStr">
        <is>
          <t>Нет ОКВЭД/ССЧР</t>
        </is>
      </c>
      <c r="V280" s="35" t="inlineStr">
        <is>
          <t>Не определено</t>
        </is>
      </c>
      <c r="W280" s="35" t="inlineStr"/>
      <c r="X280" s="35" t="inlineStr"/>
    </row>
    <row r="281" ht="15" customHeight="1" s="24">
      <c r="A281" s="13" t="n">
        <v>5000021410</v>
      </c>
      <c r="B281" s="13" t="inlineStr">
        <is>
          <t>МБОУ СОШ №20 Химки</t>
        </is>
      </c>
      <c r="C281" s="13" t="n">
        <v>5047045510</v>
      </c>
      <c r="D281" s="13" t="inlineStr">
        <is>
          <t>5047045510</t>
        </is>
      </c>
      <c r="E281" s="13" t="inlineStr">
        <is>
          <t>ЮЛ РФ</t>
        </is>
      </c>
      <c r="F281" s="13" t="n"/>
      <c r="G281" s="14" t="n"/>
      <c r="H281" s="14" t="n"/>
      <c r="I281" s="14" t="n"/>
      <c r="J281" s="14" t="n"/>
      <c r="K281" s="53" t="inlineStr"/>
      <c r="L281" s="53" t="inlineStr">
        <is>
          <t>Не определено</t>
        </is>
      </c>
      <c r="M281" s="53" t="inlineStr"/>
      <c r="N281" s="54" t="inlineStr"/>
      <c r="O281" s="55" t="inlineStr"/>
      <c r="P281" s="16" t="inlineStr">
        <is>
          <t>Требует обогащения</t>
        </is>
      </c>
      <c r="Q281" s="16">
        <f>HYPERLINK("https://pb.nalog.ru/search.html?query=5047045510","ФНС: проверить")</f>
        <v/>
      </c>
      <c r="R281" s="16">
        <f>HYPERLINK("https://checko.ru/search?query=3801001629","Чекко: проверить")</f>
        <v/>
      </c>
      <c r="S281" t="n">
        <v>1</v>
      </c>
      <c r="T281" s="35" t="inlineStr">
        <is>
          <t>4 — Не обогащён</t>
        </is>
      </c>
      <c r="U281" s="35" t="inlineStr">
        <is>
          <t>Нет ОКВЭД/ССЧР</t>
        </is>
      </c>
      <c r="V281" s="35" t="inlineStr">
        <is>
          <t>Не определено</t>
        </is>
      </c>
      <c r="W281" s="35" t="inlineStr"/>
      <c r="X281" s="35" t="inlineStr"/>
    </row>
    <row r="282" ht="15" customHeight="1" s="24">
      <c r="A282" s="13" t="n">
        <v>5000021411</v>
      </c>
      <c r="B282" s="13" t="inlineStr">
        <is>
          <t>МБОУ Гимназия №23 г.Химки</t>
        </is>
      </c>
      <c r="C282" s="13" t="n">
        <v>5047045535</v>
      </c>
      <c r="D282" s="13" t="inlineStr">
        <is>
          <t>5047045535</t>
        </is>
      </c>
      <c r="E282" s="13" t="inlineStr">
        <is>
          <t>ЮЛ РФ</t>
        </is>
      </c>
      <c r="F282" s="13" t="n"/>
      <c r="G282" s="14" t="n"/>
      <c r="H282" s="14" t="n"/>
      <c r="I282" s="14" t="n"/>
      <c r="J282" s="14" t="n"/>
      <c r="K282" s="53" t="inlineStr"/>
      <c r="L282" s="53" t="inlineStr">
        <is>
          <t>Не определено</t>
        </is>
      </c>
      <c r="M282" s="53" t="inlineStr"/>
      <c r="N282" s="54" t="inlineStr"/>
      <c r="O282" s="55" t="inlineStr"/>
      <c r="P282" s="16" t="inlineStr">
        <is>
          <t>Требует обогащения</t>
        </is>
      </c>
      <c r="Q282" s="16">
        <f>HYPERLINK("https://pb.nalog.ru/search.html?query=5047045535","ФНС: проверить")</f>
        <v/>
      </c>
      <c r="R282" s="16">
        <f>HYPERLINK("https://checko.ru/search?query=3801001629","Чекко: проверить")</f>
        <v/>
      </c>
      <c r="S282" t="n">
        <v>1</v>
      </c>
      <c r="T282" s="35" t="inlineStr">
        <is>
          <t>4 — Не обогащён</t>
        </is>
      </c>
      <c r="U282" s="35" t="inlineStr">
        <is>
          <t>Нет ОКВЭД/ССЧР</t>
        </is>
      </c>
      <c r="V282" s="35" t="inlineStr">
        <is>
          <t>Не определено</t>
        </is>
      </c>
      <c r="W282" s="35" t="inlineStr"/>
      <c r="X282" s="35" t="inlineStr"/>
    </row>
    <row r="283" ht="15" customHeight="1" s="24">
      <c r="A283" s="13" t="n">
        <v>5000021414</v>
      </c>
      <c r="B283" s="13" t="inlineStr">
        <is>
          <t>МБОУ "ШКОЛА РАВНЫХ ВОЗМОЖНОСТЕЙ"</t>
        </is>
      </c>
      <c r="C283" s="13" t="n">
        <v>5047047003</v>
      </c>
      <c r="D283" s="13" t="inlineStr">
        <is>
          <t>5047047003</t>
        </is>
      </c>
      <c r="E283" s="13" t="inlineStr">
        <is>
          <t>ЮЛ РФ</t>
        </is>
      </c>
      <c r="F283" s="13" t="n"/>
      <c r="G283" s="14" t="n"/>
      <c r="H283" s="14" t="n"/>
      <c r="I283" s="14" t="n"/>
      <c r="J283" s="14" t="n"/>
      <c r="K283" s="53" t="inlineStr"/>
      <c r="L283" s="53" t="inlineStr">
        <is>
          <t>Не определено</t>
        </is>
      </c>
      <c r="M283" s="53" t="inlineStr"/>
      <c r="N283" s="54" t="inlineStr"/>
      <c r="O283" s="55" t="inlineStr"/>
      <c r="P283" s="16" t="inlineStr">
        <is>
          <t>Требует обогащения</t>
        </is>
      </c>
      <c r="Q283" s="16">
        <f>HYPERLINK("https://pb.nalog.ru/search.html?query=5047047003","ФНС: проверить")</f>
        <v/>
      </c>
      <c r="R283" s="16">
        <f>HYPERLINK("https://checko.ru/search?query=3801001629","Чекко: проверить")</f>
        <v/>
      </c>
      <c r="S283" t="n">
        <v>1</v>
      </c>
      <c r="T283" s="35" t="inlineStr">
        <is>
          <t>4 — Не обогащён</t>
        </is>
      </c>
      <c r="U283" s="35" t="inlineStr">
        <is>
          <t>Нет ОКВЭД/ССЧР</t>
        </is>
      </c>
      <c r="V283" s="35" t="inlineStr">
        <is>
          <t>Не определено</t>
        </is>
      </c>
      <c r="W283" s="35" t="inlineStr"/>
      <c r="X283" s="35" t="inlineStr"/>
    </row>
    <row r="284" ht="15" customHeight="1" s="24">
      <c r="A284" s="13" t="n">
        <v>5000021416</v>
      </c>
      <c r="B284" s="13" t="inlineStr">
        <is>
          <t>МБОУ Лицей №12 г. Химки</t>
        </is>
      </c>
      <c r="C284" s="13" t="n">
        <v>5047050969</v>
      </c>
      <c r="D284" s="13" t="inlineStr">
        <is>
          <t>5047050969</t>
        </is>
      </c>
      <c r="E284" s="13" t="inlineStr">
        <is>
          <t>ЮЛ РФ</t>
        </is>
      </c>
      <c r="F284" s="13" t="n"/>
      <c r="G284" s="14" t="n"/>
      <c r="H284" s="14" t="n"/>
      <c r="I284" s="14" t="n"/>
      <c r="J284" s="14" t="n"/>
      <c r="K284" s="53" t="inlineStr"/>
      <c r="L284" s="53" t="inlineStr">
        <is>
          <t>Не определено</t>
        </is>
      </c>
      <c r="M284" s="53" t="inlineStr"/>
      <c r="N284" s="54" t="inlineStr"/>
      <c r="O284" s="55" t="inlineStr"/>
      <c r="P284" s="16" t="inlineStr">
        <is>
          <t>Требует обогащения</t>
        </is>
      </c>
      <c r="Q284" s="16">
        <f>HYPERLINK("https://pb.nalog.ru/search.html?query=5047050969","ФНС: проверить")</f>
        <v/>
      </c>
      <c r="R284" s="16">
        <f>HYPERLINK("https://checko.ru/search?query=3801001629","Чекко: проверить")</f>
        <v/>
      </c>
      <c r="S284" t="n">
        <v>1</v>
      </c>
      <c r="T284" s="35" t="inlineStr">
        <is>
          <t>4 — Не обогащён</t>
        </is>
      </c>
      <c r="U284" s="35" t="inlineStr">
        <is>
          <t>Нет ОКВЭД/ССЧР</t>
        </is>
      </c>
      <c r="V284" s="35" t="inlineStr">
        <is>
          <t>Не определено</t>
        </is>
      </c>
      <c r="W284" s="35" t="inlineStr"/>
      <c r="X284" s="35" t="inlineStr"/>
    </row>
    <row r="285" ht="15" customHeight="1" s="24">
      <c r="A285" s="13" t="n">
        <v>5000021418</v>
      </c>
      <c r="B285" s="13" t="inlineStr">
        <is>
          <t>МБОУ Гимназия №9 г.Химки</t>
        </is>
      </c>
      <c r="C285" s="13" t="n">
        <v>5047052243</v>
      </c>
      <c r="D285" s="13" t="inlineStr">
        <is>
          <t>5047052243</t>
        </is>
      </c>
      <c r="E285" s="13" t="inlineStr">
        <is>
          <t>ЮЛ РФ</t>
        </is>
      </c>
      <c r="F285" s="13" t="n"/>
      <c r="G285" s="14" t="n"/>
      <c r="H285" s="14" t="n"/>
      <c r="I285" s="14" t="n"/>
      <c r="J285" s="14" t="n"/>
      <c r="K285" s="53" t="inlineStr"/>
      <c r="L285" s="53" t="inlineStr">
        <is>
          <t>Не определено</t>
        </is>
      </c>
      <c r="M285" s="53" t="inlineStr"/>
      <c r="N285" s="54" t="inlineStr"/>
      <c r="O285" s="55" t="inlineStr"/>
      <c r="P285" s="16" t="inlineStr">
        <is>
          <t>Требует обогащения</t>
        </is>
      </c>
      <c r="Q285" s="16">
        <f>HYPERLINK("https://pb.nalog.ru/search.html?query=5047052243","ФНС: проверить")</f>
        <v/>
      </c>
      <c r="R285" s="16">
        <f>HYPERLINK("https://checko.ru/search?query=3801001629","Чекко: проверить")</f>
        <v/>
      </c>
      <c r="S285" t="n">
        <v>1</v>
      </c>
      <c r="T285" s="35" t="inlineStr">
        <is>
          <t>4 — Не обогащён</t>
        </is>
      </c>
      <c r="U285" s="35" t="inlineStr">
        <is>
          <t>Нет ОКВЭД/ССЧР</t>
        </is>
      </c>
      <c r="V285" s="35" t="inlineStr">
        <is>
          <t>Не определено</t>
        </is>
      </c>
      <c r="W285" s="35" t="inlineStr"/>
      <c r="X285" s="35" t="inlineStr"/>
    </row>
    <row r="286" ht="15" customHeight="1" s="24">
      <c r="A286" s="13" t="n">
        <v>5000021421</v>
      </c>
      <c r="B286" s="13" t="inlineStr">
        <is>
          <t>МБОУ Лицей №7 г. Химки</t>
        </is>
      </c>
      <c r="C286" s="13" t="n">
        <v>5047010194</v>
      </c>
      <c r="D286" s="13" t="inlineStr">
        <is>
          <t>5047010194</t>
        </is>
      </c>
      <c r="E286" s="13" t="inlineStr">
        <is>
          <t>ЮЛ РФ</t>
        </is>
      </c>
      <c r="F286" s="13" t="n"/>
      <c r="G286" s="14" t="n"/>
      <c r="H286" s="14" t="n"/>
      <c r="I286" s="14" t="n"/>
      <c r="J286" s="14" t="n"/>
      <c r="K286" s="53" t="inlineStr"/>
      <c r="L286" s="53" t="inlineStr">
        <is>
          <t>Не определено</t>
        </is>
      </c>
      <c r="M286" s="53" t="inlineStr"/>
      <c r="N286" s="54" t="inlineStr"/>
      <c r="O286" s="55" t="inlineStr"/>
      <c r="P286" s="16" t="inlineStr">
        <is>
          <t>Требует обогащения</t>
        </is>
      </c>
      <c r="Q286" s="16">
        <f>HYPERLINK("https://pb.nalog.ru/search.html?query=5047010194","ФНС: проверить")</f>
        <v/>
      </c>
      <c r="R286" s="16">
        <f>HYPERLINK("https://checko.ru/search?query=3801001629","Чекко: проверить")</f>
        <v/>
      </c>
      <c r="S286" t="n">
        <v>1</v>
      </c>
      <c r="T286" s="35" t="inlineStr">
        <is>
          <t>4 — Не обогащён</t>
        </is>
      </c>
      <c r="U286" s="35" t="inlineStr">
        <is>
          <t>Нет ОКВЭД/ССЧР</t>
        </is>
      </c>
      <c r="V286" s="35" t="inlineStr">
        <is>
          <t>Не определено</t>
        </is>
      </c>
      <c r="W286" s="35" t="inlineStr"/>
      <c r="X286" s="35" t="inlineStr"/>
    </row>
    <row r="287" ht="15" customHeight="1" s="24">
      <c r="A287" s="13" t="n">
        <v>5000021422</v>
      </c>
      <c r="B287" s="13" t="inlineStr">
        <is>
          <t>Управление по образованию</t>
        </is>
      </c>
      <c r="C287" s="13" t="n">
        <v>5047015629</v>
      </c>
      <c r="D287" s="13" t="inlineStr">
        <is>
          <t>5047015629</t>
        </is>
      </c>
      <c r="E287" s="13" t="inlineStr">
        <is>
          <t>ЮЛ РФ</t>
        </is>
      </c>
      <c r="F287" s="13" t="n"/>
      <c r="G287" s="14" t="n"/>
      <c r="H287" s="14" t="n"/>
      <c r="I287" s="14" t="n"/>
      <c r="J287" s="14" t="n"/>
      <c r="K287" s="53" t="inlineStr"/>
      <c r="L287" s="53" t="inlineStr">
        <is>
          <t>Не определено</t>
        </is>
      </c>
      <c r="M287" s="53" t="inlineStr"/>
      <c r="N287" s="54" t="inlineStr"/>
      <c r="O287" s="55" t="inlineStr"/>
      <c r="P287" s="16" t="inlineStr">
        <is>
          <t>Требует обогащения</t>
        </is>
      </c>
      <c r="Q287" s="16">
        <f>HYPERLINK("https://pb.nalog.ru/search.html?query=5047015629","ФНС: проверить")</f>
        <v/>
      </c>
      <c r="R287" s="16">
        <f>HYPERLINK("https://checko.ru/search?query=3801001629","Чекко: проверить")</f>
        <v/>
      </c>
      <c r="S287" t="n">
        <v>1</v>
      </c>
      <c r="T287" s="35" t="inlineStr">
        <is>
          <t>4 — Не обогащён</t>
        </is>
      </c>
      <c r="U287" s="35" t="inlineStr">
        <is>
          <t>Нет ОКВЭД/ССЧР</t>
        </is>
      </c>
      <c r="V287" s="35" t="inlineStr">
        <is>
          <t>Не определено</t>
        </is>
      </c>
      <c r="W287" s="35" t="inlineStr"/>
      <c r="X287" s="35" t="inlineStr"/>
    </row>
    <row r="288" ht="15" customHeight="1" s="24">
      <c r="A288" s="13" t="n">
        <v>5000021423</v>
      </c>
      <c r="B288" s="13" t="inlineStr">
        <is>
          <t>МБОУ Лицей №10 г. Химки</t>
        </is>
      </c>
      <c r="C288" s="13" t="n">
        <v>5047049032</v>
      </c>
      <c r="D288" s="13" t="inlineStr">
        <is>
          <t>5047049032</t>
        </is>
      </c>
      <c r="E288" s="13" t="inlineStr">
        <is>
          <t>ЮЛ РФ</t>
        </is>
      </c>
      <c r="F288" s="13" t="n"/>
      <c r="G288" s="14" t="n"/>
      <c r="H288" s="14" t="n"/>
      <c r="I288" s="14" t="n"/>
      <c r="J288" s="14" t="n"/>
      <c r="K288" s="53" t="inlineStr"/>
      <c r="L288" s="53" t="inlineStr">
        <is>
          <t>Не определено</t>
        </is>
      </c>
      <c r="M288" s="53" t="inlineStr"/>
      <c r="N288" s="54" t="inlineStr"/>
      <c r="O288" s="55" t="inlineStr"/>
      <c r="P288" s="16" t="inlineStr">
        <is>
          <t>Требует обогащения</t>
        </is>
      </c>
      <c r="Q288" s="16">
        <f>HYPERLINK("https://pb.nalog.ru/search.html?query=5047049032","ФНС: проверить")</f>
        <v/>
      </c>
      <c r="R288" s="16">
        <f>HYPERLINK("https://checko.ru/search?query=3801001629","Чекко: проверить")</f>
        <v/>
      </c>
      <c r="S288" t="n">
        <v>1</v>
      </c>
      <c r="T288" s="35" t="inlineStr">
        <is>
          <t>4 — Не обогащён</t>
        </is>
      </c>
      <c r="U288" s="35" t="inlineStr">
        <is>
          <t>Нет ОКВЭД/ССЧР</t>
        </is>
      </c>
      <c r="V288" s="35" t="inlineStr">
        <is>
          <t>Не определено</t>
        </is>
      </c>
      <c r="W288" s="35" t="inlineStr"/>
      <c r="X288" s="35" t="inlineStr"/>
    </row>
    <row r="289" ht="15" customHeight="1" s="24">
      <c r="A289" s="13" t="n">
        <v>5000021425</v>
      </c>
      <c r="B289" s="13" t="inlineStr">
        <is>
          <t>МОУ Центр "Успех"</t>
        </is>
      </c>
      <c r="C289" s="13" t="n">
        <v>5047051289</v>
      </c>
      <c r="D289" s="13" t="inlineStr">
        <is>
          <t>5047051289</t>
        </is>
      </c>
      <c r="E289" s="13" t="inlineStr">
        <is>
          <t>ЮЛ РФ</t>
        </is>
      </c>
      <c r="F289" s="13" t="n"/>
      <c r="G289" s="14" t="n"/>
      <c r="H289" s="14" t="n"/>
      <c r="I289" s="14" t="n"/>
      <c r="J289" s="14" t="n"/>
      <c r="K289" s="53" t="inlineStr"/>
      <c r="L289" s="53" t="inlineStr">
        <is>
          <t>Не определено</t>
        </is>
      </c>
      <c r="M289" s="53" t="inlineStr"/>
      <c r="N289" s="54" t="inlineStr"/>
      <c r="O289" s="55" t="inlineStr"/>
      <c r="P289" s="16" t="inlineStr">
        <is>
          <t>Требует обогащения</t>
        </is>
      </c>
      <c r="Q289" s="16">
        <f>HYPERLINK("https://pb.nalog.ru/search.html?query=5047051289","ФНС: проверить")</f>
        <v/>
      </c>
      <c r="R289" s="16">
        <f>HYPERLINK("https://checko.ru/search?query=3801001629","Чекко: проверить")</f>
        <v/>
      </c>
      <c r="S289" t="n">
        <v>1</v>
      </c>
      <c r="T289" s="35" t="inlineStr">
        <is>
          <t>4 — Не обогащён</t>
        </is>
      </c>
      <c r="U289" s="35" t="inlineStr">
        <is>
          <t>Нет ОКВЭД/ССЧР</t>
        </is>
      </c>
      <c r="V289" s="35" t="inlineStr">
        <is>
          <t>Не определено</t>
        </is>
      </c>
      <c r="W289" s="35" t="inlineStr"/>
      <c r="X289" s="35" t="inlineStr"/>
    </row>
    <row r="290" ht="15" customHeight="1" s="24">
      <c r="A290" s="13" t="n">
        <v>5000021426</v>
      </c>
      <c r="B290" s="13" t="inlineStr">
        <is>
          <t>МБОУ ДПО ЦПР</t>
        </is>
      </c>
      <c r="C290" s="13" t="n">
        <v>5047095938</v>
      </c>
      <c r="D290" s="13" t="inlineStr">
        <is>
          <t>5047095938</t>
        </is>
      </c>
      <c r="E290" s="13" t="inlineStr">
        <is>
          <t>ЮЛ РФ</t>
        </is>
      </c>
      <c r="F290" s="13" t="n"/>
      <c r="G290" s="14" t="n"/>
      <c r="H290" s="14" t="n"/>
      <c r="I290" s="14" t="n"/>
      <c r="J290" s="14" t="n"/>
      <c r="K290" s="53" t="inlineStr"/>
      <c r="L290" s="53" t="inlineStr">
        <is>
          <t>Не определено</t>
        </is>
      </c>
      <c r="M290" s="53" t="inlineStr"/>
      <c r="N290" s="54" t="inlineStr"/>
      <c r="O290" s="55" t="inlineStr"/>
      <c r="P290" s="16" t="inlineStr">
        <is>
          <t>Требует обогащения</t>
        </is>
      </c>
      <c r="Q290" s="16">
        <f>HYPERLINK("https://pb.nalog.ru/search.html?query=5047095938","ФНС: проверить")</f>
        <v/>
      </c>
      <c r="R290" s="16">
        <f>HYPERLINK("https://checko.ru/search?query=3801001629","Чекко: проверить")</f>
        <v/>
      </c>
      <c r="S290" t="n">
        <v>1</v>
      </c>
      <c r="T290" s="35" t="inlineStr">
        <is>
          <t>4 — Не обогащён</t>
        </is>
      </c>
      <c r="U290" s="35" t="inlineStr">
        <is>
          <t>Нет ОКВЭД/ССЧР</t>
        </is>
      </c>
      <c r="V290" s="35" t="inlineStr">
        <is>
          <t>Не определено</t>
        </is>
      </c>
      <c r="W290" s="35" t="inlineStr"/>
      <c r="X290" s="35" t="inlineStr"/>
    </row>
    <row r="291" ht="15" customHeight="1" s="24">
      <c r="A291" s="13" t="n">
        <v>5000041283</v>
      </c>
      <c r="B291" s="13" t="inlineStr">
        <is>
          <t>МОУ Кадетская школа</t>
        </is>
      </c>
      <c r="C291" s="13" t="n">
        <v>5027092865</v>
      </c>
      <c r="D291" s="13" t="inlineStr">
        <is>
          <t>5027092865</t>
        </is>
      </c>
      <c r="E291" s="13" t="inlineStr">
        <is>
          <t>ЮЛ РФ</t>
        </is>
      </c>
      <c r="F291" s="13" t="n"/>
      <c r="G291" s="14" t="n"/>
      <c r="H291" s="14" t="n"/>
      <c r="I291" s="14" t="n"/>
      <c r="J291" s="14" t="n"/>
      <c r="K291" s="53" t="inlineStr"/>
      <c r="L291" s="53" t="inlineStr">
        <is>
          <t>Не определено</t>
        </is>
      </c>
      <c r="M291" s="53" t="inlineStr"/>
      <c r="N291" s="54" t="inlineStr"/>
      <c r="O291" s="55" t="inlineStr"/>
      <c r="P291" s="16" t="inlineStr">
        <is>
          <t>Требует обогащения</t>
        </is>
      </c>
      <c r="Q291" s="16">
        <f>HYPERLINK("https://pb.nalog.ru/search.html?query=5027092865","ФНС: проверить")</f>
        <v/>
      </c>
      <c r="R291" s="16">
        <f>HYPERLINK("https://checko.ru/search?query=3801001629","Чекко: проверить")</f>
        <v/>
      </c>
      <c r="S291" t="n">
        <v>1</v>
      </c>
      <c r="T291" s="35" t="inlineStr">
        <is>
          <t>4 — Не обогащён</t>
        </is>
      </c>
      <c r="U291" s="35" t="inlineStr">
        <is>
          <t>Нет ОКВЭД/ССЧР</t>
        </is>
      </c>
      <c r="V291" s="35" t="inlineStr">
        <is>
          <t>Не определено</t>
        </is>
      </c>
      <c r="W291" s="35" t="inlineStr"/>
      <c r="X291" s="35" t="inlineStr"/>
    </row>
    <row r="292" ht="15" customHeight="1" s="24">
      <c r="A292" s="13" t="n">
        <v>5000021494</v>
      </c>
      <c r="B292" s="13" t="inlineStr">
        <is>
          <t>АУ СН ГОХ "Спорт для всех"</t>
        </is>
      </c>
      <c r="C292" s="13" t="n">
        <v>5047089003</v>
      </c>
      <c r="D292" s="13" t="inlineStr">
        <is>
          <t>5047089003</t>
        </is>
      </c>
      <c r="E292" s="13" t="inlineStr">
        <is>
          <t>ЮЛ РФ</t>
        </is>
      </c>
      <c r="F292" s="13" t="n"/>
      <c r="G292" s="14" t="n"/>
      <c r="H292" s="14" t="n"/>
      <c r="I292" s="14" t="n"/>
      <c r="J292" s="14" t="n"/>
      <c r="K292" s="53" t="inlineStr"/>
      <c r="L292" s="53" t="inlineStr">
        <is>
          <t>Не определено</t>
        </is>
      </c>
      <c r="M292" s="53" t="inlineStr"/>
      <c r="N292" s="54" t="inlineStr"/>
      <c r="O292" s="55" t="inlineStr"/>
      <c r="P292" s="16" t="inlineStr">
        <is>
          <t>Требует обогащения</t>
        </is>
      </c>
      <c r="Q292" s="16">
        <f>HYPERLINK("https://pb.nalog.ru/search.html?query=5047089003","ФНС: проверить")</f>
        <v/>
      </c>
      <c r="R292" s="16">
        <f>HYPERLINK("https://checko.ru/search?query=3801001629","Чекко: проверить")</f>
        <v/>
      </c>
      <c r="S292" t="n">
        <v>1</v>
      </c>
      <c r="T292" s="35" t="inlineStr">
        <is>
          <t>4 — Не обогащён</t>
        </is>
      </c>
      <c r="U292" s="35" t="inlineStr">
        <is>
          <t>Нет ОКВЭД/ССЧР</t>
        </is>
      </c>
      <c r="V292" s="35" t="inlineStr">
        <is>
          <t>Не определено</t>
        </is>
      </c>
      <c r="W292" s="35" t="inlineStr"/>
      <c r="X292" s="35" t="inlineStr"/>
    </row>
    <row r="293" ht="15" customHeight="1" s="24">
      <c r="A293" s="13" t="n">
        <v>5000021464</v>
      </c>
      <c r="B293" s="13" t="inlineStr">
        <is>
          <t>МБУ ИТ-центр</t>
        </is>
      </c>
      <c r="C293" s="13" t="n">
        <v>5047133037</v>
      </c>
      <c r="D293" s="13" t="inlineStr">
        <is>
          <t>5047133037</t>
        </is>
      </c>
      <c r="E293" s="13" t="inlineStr">
        <is>
          <t>ЮЛ РФ</t>
        </is>
      </c>
      <c r="F293" s="13" t="n"/>
      <c r="G293" s="14" t="n"/>
      <c r="H293" s="14" t="n"/>
      <c r="I293" s="14" t="n"/>
      <c r="J293" s="14" t="n"/>
      <c r="K293" s="53" t="inlineStr"/>
      <c r="L293" s="53" t="inlineStr">
        <is>
          <t>Не определено</t>
        </is>
      </c>
      <c r="M293" s="53" t="inlineStr"/>
      <c r="N293" s="54" t="inlineStr"/>
      <c r="O293" s="55" t="inlineStr"/>
      <c r="P293" s="16" t="inlineStr">
        <is>
          <t>Требует обогащения</t>
        </is>
      </c>
      <c r="Q293" s="16">
        <f>HYPERLINK("https://pb.nalog.ru/search.html?query=5047133037","ФНС: проверить")</f>
        <v/>
      </c>
      <c r="R293" s="16">
        <f>HYPERLINK("https://checko.ru/search?query=3801001629","Чекко: проверить")</f>
        <v/>
      </c>
      <c r="S293" t="n">
        <v>1</v>
      </c>
      <c r="T293" s="35" t="inlineStr">
        <is>
          <t>4 — Не обогащён</t>
        </is>
      </c>
      <c r="U293" s="35" t="inlineStr">
        <is>
          <t>Нет ОКВЭД/ССЧР</t>
        </is>
      </c>
      <c r="V293" s="35" t="inlineStr">
        <is>
          <t>Не определено</t>
        </is>
      </c>
      <c r="W293" s="35" t="inlineStr"/>
      <c r="X293" s="35" t="inlineStr"/>
    </row>
    <row r="294" ht="15" customHeight="1" s="24">
      <c r="A294" s="13" t="n">
        <v>5000021476</v>
      </c>
      <c r="B294" s="13" t="inlineStr">
        <is>
          <t>МБОУ СОШ №29 г. ХИМКИ</t>
        </is>
      </c>
      <c r="C294" s="13" t="n">
        <v>5047158747</v>
      </c>
      <c r="D294" s="13" t="inlineStr">
        <is>
          <t>5047158747</t>
        </is>
      </c>
      <c r="E294" s="13" t="inlineStr">
        <is>
          <t>ЮЛ РФ</t>
        </is>
      </c>
      <c r="F294" s="13" t="n"/>
      <c r="G294" s="14" t="n"/>
      <c r="H294" s="14" t="n"/>
      <c r="I294" s="14" t="n"/>
      <c r="J294" s="14" t="n"/>
      <c r="K294" s="53" t="inlineStr"/>
      <c r="L294" s="53" t="inlineStr">
        <is>
          <t>Не определено</t>
        </is>
      </c>
      <c r="M294" s="53" t="inlineStr"/>
      <c r="N294" s="54" t="inlineStr"/>
      <c r="O294" s="55" t="inlineStr"/>
      <c r="P294" s="16" t="inlineStr">
        <is>
          <t>Требует обогащения</t>
        </is>
      </c>
      <c r="Q294" s="16">
        <f>HYPERLINK("https://pb.nalog.ru/search.html?query=5047158747","ФНС: проверить")</f>
        <v/>
      </c>
      <c r="R294" s="16">
        <f>HYPERLINK("https://checko.ru/search?query=3801001629","Чекко: проверить")</f>
        <v/>
      </c>
      <c r="S294" t="n">
        <v>1</v>
      </c>
      <c r="T294" s="35" t="inlineStr">
        <is>
          <t>4 — Не обогащён</t>
        </is>
      </c>
      <c r="U294" s="35" t="inlineStr">
        <is>
          <t>Нет ОКВЭД/ССЧР</t>
        </is>
      </c>
      <c r="V294" s="35" t="inlineStr">
        <is>
          <t>Не определено</t>
        </is>
      </c>
      <c r="W294" s="35" t="inlineStr"/>
      <c r="X294" s="35" t="inlineStr"/>
    </row>
    <row r="295" ht="15" customHeight="1" s="24">
      <c r="A295" s="13" t="n">
        <v>5000021484</v>
      </c>
      <c r="B295" s="13" t="inlineStr">
        <is>
          <t>МАУ "СШ им. А.П. Гореловой"</t>
        </is>
      </c>
      <c r="C295" s="13" t="n">
        <v>5047064739</v>
      </c>
      <c r="D295" s="13" t="inlineStr">
        <is>
          <t>5047064739</t>
        </is>
      </c>
      <c r="E295" s="13" t="inlineStr">
        <is>
          <t>ЮЛ РФ</t>
        </is>
      </c>
      <c r="F295" s="13" t="n"/>
      <c r="G295" s="14" t="n"/>
      <c r="H295" s="14" t="n"/>
      <c r="I295" s="14" t="n"/>
      <c r="J295" s="14" t="n"/>
      <c r="K295" s="53" t="inlineStr"/>
      <c r="L295" s="53" t="inlineStr">
        <is>
          <t>Не определено</t>
        </is>
      </c>
      <c r="M295" s="53" t="inlineStr"/>
      <c r="N295" s="54" t="inlineStr"/>
      <c r="O295" s="55" t="inlineStr"/>
      <c r="P295" s="16" t="inlineStr">
        <is>
          <t>Требует обогащения</t>
        </is>
      </c>
      <c r="Q295" s="16">
        <f>HYPERLINK("https://pb.nalog.ru/search.html?query=5047064739","ФНС: проверить")</f>
        <v/>
      </c>
      <c r="R295" s="16">
        <f>HYPERLINK("https://checko.ru/search?query=3801001629","Чекко: проверить")</f>
        <v/>
      </c>
      <c r="S295" t="n">
        <v>1</v>
      </c>
      <c r="T295" s="35" t="inlineStr">
        <is>
          <t>4 — Не обогащён</t>
        </is>
      </c>
      <c r="U295" s="35" t="inlineStr">
        <is>
          <t>Нет ОКВЭД/ССЧР</t>
        </is>
      </c>
      <c r="V295" s="35" t="inlineStr">
        <is>
          <t>Не определено</t>
        </is>
      </c>
      <c r="W295" s="35" t="inlineStr"/>
      <c r="X295" s="35" t="inlineStr"/>
    </row>
    <row r="296" ht="15" customHeight="1" s="24">
      <c r="A296" s="13" t="n">
        <v>5000021485</v>
      </c>
      <c r="B296" s="13" t="inlineStr">
        <is>
          <t>МБУ ФСКИ "БЛАГО"</t>
        </is>
      </c>
      <c r="C296" s="13" t="n">
        <v>5047064721</v>
      </c>
      <c r="D296" s="13" t="inlineStr">
        <is>
          <t>5047064721</t>
        </is>
      </c>
      <c r="E296" s="13" t="inlineStr">
        <is>
          <t>ЮЛ РФ</t>
        </is>
      </c>
      <c r="F296" s="13" t="n"/>
      <c r="G296" s="14" t="n"/>
      <c r="H296" s="14" t="n"/>
      <c r="I296" s="14" t="n"/>
      <c r="J296" s="14" t="n"/>
      <c r="K296" s="53" t="inlineStr"/>
      <c r="L296" s="53" t="inlineStr">
        <is>
          <t>Не определено</t>
        </is>
      </c>
      <c r="M296" s="53" t="inlineStr"/>
      <c r="N296" s="54" t="inlineStr"/>
      <c r="O296" s="55" t="inlineStr"/>
      <c r="P296" s="16" t="inlineStr">
        <is>
          <t>Требует обогащения</t>
        </is>
      </c>
      <c r="Q296" s="16">
        <f>HYPERLINK("https://pb.nalog.ru/search.html?query=5047064721","ФНС: проверить")</f>
        <v/>
      </c>
      <c r="R296" s="16">
        <f>HYPERLINK("https://checko.ru/search?query=3801001629","Чекко: проверить")</f>
        <v/>
      </c>
      <c r="S296" t="n">
        <v>1</v>
      </c>
      <c r="T296" s="35" t="inlineStr">
        <is>
          <t>4 — Не обогащён</t>
        </is>
      </c>
      <c r="U296" s="35" t="inlineStr">
        <is>
          <t>Нет ОКВЭД/ССЧР</t>
        </is>
      </c>
      <c r="V296" s="35" t="inlineStr">
        <is>
          <t>Не определено</t>
        </is>
      </c>
      <c r="W296" s="35" t="inlineStr"/>
      <c r="X296" s="35" t="inlineStr"/>
    </row>
    <row r="297" ht="15" customHeight="1" s="24">
      <c r="A297" s="13" t="n">
        <v>5000021486</v>
      </c>
      <c r="B297" s="13" t="inlineStr">
        <is>
          <t>МАУ ДО "ЦДО Виктория"</t>
        </is>
      </c>
      <c r="C297" s="13" t="n">
        <v>5047052620</v>
      </c>
      <c r="D297" s="13" t="inlineStr">
        <is>
          <t>5047052620</t>
        </is>
      </c>
      <c r="E297" s="13" t="inlineStr">
        <is>
          <t>ЮЛ РФ</t>
        </is>
      </c>
      <c r="F297" s="13" t="n"/>
      <c r="G297" s="14" t="n"/>
      <c r="H297" s="14" t="n"/>
      <c r="I297" s="14" t="n"/>
      <c r="J297" s="14" t="n"/>
      <c r="K297" s="53" t="inlineStr"/>
      <c r="L297" s="53" t="inlineStr">
        <is>
          <t>Не определено</t>
        </is>
      </c>
      <c r="M297" s="53" t="inlineStr"/>
      <c r="N297" s="54" t="inlineStr"/>
      <c r="O297" s="55" t="inlineStr"/>
      <c r="P297" s="16" t="inlineStr">
        <is>
          <t>Требует обогащения</t>
        </is>
      </c>
      <c r="Q297" s="16">
        <f>HYPERLINK("https://pb.nalog.ru/search.html?query=5047052620","ФНС: проверить")</f>
        <v/>
      </c>
      <c r="R297" s="16">
        <f>HYPERLINK("https://checko.ru/search?query=3801001629","Чекко: проверить")</f>
        <v/>
      </c>
      <c r="S297" t="n">
        <v>1</v>
      </c>
      <c r="T297" s="35" t="inlineStr">
        <is>
          <t>4 — Не обогащён</t>
        </is>
      </c>
      <c r="U297" s="35" t="inlineStr">
        <is>
          <t>Нет ОКВЭД/ССЧР</t>
        </is>
      </c>
      <c r="V297" s="35" t="inlineStr">
        <is>
          <t>Не определено</t>
        </is>
      </c>
      <c r="W297" s="35" t="inlineStr"/>
      <c r="X297" s="35" t="inlineStr"/>
    </row>
    <row r="298" ht="15" customHeight="1" s="24">
      <c r="A298" s="13" t="n">
        <v>5000021489</v>
      </c>
      <c r="B298" s="13" t="inlineStr">
        <is>
          <t>АУ "ДСМДМ"</t>
        </is>
      </c>
      <c r="C298" s="13" t="n">
        <v>5047041467</v>
      </c>
      <c r="D298" s="13" t="inlineStr">
        <is>
          <t>5047041467</t>
        </is>
      </c>
      <c r="E298" s="13" t="inlineStr">
        <is>
          <t>ЮЛ РФ</t>
        </is>
      </c>
      <c r="F298" s="13" t="n"/>
      <c r="G298" s="14" t="n"/>
      <c r="H298" s="14" t="n"/>
      <c r="I298" s="14" t="n"/>
      <c r="J298" s="14" t="n"/>
      <c r="K298" s="53" t="inlineStr"/>
      <c r="L298" s="53" t="inlineStr">
        <is>
          <t>Не определено</t>
        </is>
      </c>
      <c r="M298" s="53" t="inlineStr"/>
      <c r="N298" s="54" t="inlineStr"/>
      <c r="O298" s="55" t="inlineStr"/>
      <c r="P298" s="16" t="inlineStr">
        <is>
          <t>Требует обогащения</t>
        </is>
      </c>
      <c r="Q298" s="16">
        <f>HYPERLINK("https://pb.nalog.ru/search.html?query=5047041467","ФНС: проверить")</f>
        <v/>
      </c>
      <c r="R298" s="16">
        <f>HYPERLINK("https://checko.ru/search?query=3801001629","Чекко: проверить")</f>
        <v/>
      </c>
      <c r="S298" t="n">
        <v>1</v>
      </c>
      <c r="T298" s="35" t="inlineStr">
        <is>
          <t>4 — Не обогащён</t>
        </is>
      </c>
      <c r="U298" s="35" t="inlineStr">
        <is>
          <t>Нет ОКВЭД/ССЧР</t>
        </is>
      </c>
      <c r="V298" s="35" t="inlineStr">
        <is>
          <t>Не определено</t>
        </is>
      </c>
      <c r="W298" s="35" t="inlineStr"/>
      <c r="X298" s="35" t="inlineStr"/>
    </row>
    <row r="299" ht="27.75" customHeight="1" s="24">
      <c r="A299" s="13" t="n">
        <v>5000021491</v>
      </c>
      <c r="B299" s="13" t="inlineStr">
        <is>
          <t>МБОУ ДО ДЮТ "Интеграл" им. академика  П.Д. Грушина</t>
        </is>
      </c>
      <c r="C299" s="13" t="n">
        <v>5047052557</v>
      </c>
      <c r="D299" s="13" t="inlineStr">
        <is>
          <t>5047052557</t>
        </is>
      </c>
      <c r="E299" s="13" t="inlineStr">
        <is>
          <t>ЮЛ РФ</t>
        </is>
      </c>
      <c r="F299" s="13" t="n"/>
      <c r="G299" s="14" t="n"/>
      <c r="H299" s="14" t="n"/>
      <c r="I299" s="14" t="n"/>
      <c r="J299" s="14" t="n"/>
      <c r="K299" s="53" t="inlineStr"/>
      <c r="L299" s="53" t="inlineStr">
        <is>
          <t>Не определено</t>
        </is>
      </c>
      <c r="M299" s="53" t="inlineStr"/>
      <c r="N299" s="54" t="inlineStr"/>
      <c r="O299" s="55" t="inlineStr"/>
      <c r="P299" s="16" t="inlineStr">
        <is>
          <t>Требует обогащения</t>
        </is>
      </c>
      <c r="Q299" s="16">
        <f>HYPERLINK("https://pb.nalog.ru/search.html?query=5047052557","ФНС: проверить")</f>
        <v/>
      </c>
      <c r="R299" s="16">
        <f>HYPERLINK("https://checko.ru/search?query=3801001629","Чекко: проверить")</f>
        <v/>
      </c>
      <c r="S299" t="n">
        <v>1</v>
      </c>
      <c r="T299" s="35" t="inlineStr">
        <is>
          <t>4 — Не обогащён</t>
        </is>
      </c>
      <c r="U299" s="35" t="inlineStr">
        <is>
          <t>Нет ОКВЭД/ССЧР</t>
        </is>
      </c>
      <c r="V299" s="35" t="inlineStr">
        <is>
          <t>Не определено</t>
        </is>
      </c>
      <c r="W299" s="35" t="inlineStr"/>
      <c r="X299" s="35" t="inlineStr"/>
    </row>
    <row r="300" ht="15" customHeight="1" s="24">
      <c r="A300" s="13" t="n">
        <v>5000118895</v>
      </c>
      <c r="B300" s="13" t="inlineStr">
        <is>
          <t>МБУЛРМО «СПРС»</t>
        </is>
      </c>
      <c r="C300" s="13" t="n">
        <v>5003118507</v>
      </c>
      <c r="D300" s="13" t="inlineStr">
        <is>
          <t>5003118507</t>
        </is>
      </c>
      <c r="E300" s="13" t="inlineStr">
        <is>
          <t>ЮЛ РФ</t>
        </is>
      </c>
      <c r="F300" s="13" t="n"/>
      <c r="G300" s="14" t="n"/>
      <c r="H300" s="14" t="n"/>
      <c r="I300" s="14" t="n"/>
      <c r="J300" s="14" t="n"/>
      <c r="K300" s="53" t="inlineStr"/>
      <c r="L300" s="53" t="inlineStr">
        <is>
          <t>Не определено</t>
        </is>
      </c>
      <c r="M300" s="53" t="inlineStr"/>
      <c r="N300" s="54" t="inlineStr"/>
      <c r="O300" s="55" t="inlineStr"/>
      <c r="P300" s="16" t="inlineStr">
        <is>
          <t>Требует обогащения</t>
        </is>
      </c>
      <c r="Q300" s="16">
        <f>HYPERLINK("https://pb.nalog.ru/search.html?query=5003118507","ФНС: проверить")</f>
        <v/>
      </c>
      <c r="R300" s="16">
        <f>HYPERLINK("https://checko.ru/search?query=3801001629","Чекко: проверить")</f>
        <v/>
      </c>
      <c r="S300" t="n">
        <v>1</v>
      </c>
      <c r="T300" s="35" t="inlineStr">
        <is>
          <t>4 — Не обогащён</t>
        </is>
      </c>
      <c r="U300" s="35" t="inlineStr">
        <is>
          <t>Нет ОКВЭД/ССЧР</t>
        </is>
      </c>
      <c r="V300" s="35" t="inlineStr">
        <is>
          <t>Не определено</t>
        </is>
      </c>
      <c r="W300" s="35" t="inlineStr"/>
      <c r="X300" s="35" t="inlineStr"/>
    </row>
    <row r="301" ht="15" customHeight="1" s="24">
      <c r="A301" s="13" t="n">
        <v>5000021495</v>
      </c>
      <c r="B301" s="13" t="inlineStr">
        <is>
          <t>МАУ "СШОР №1"</t>
        </is>
      </c>
      <c r="C301" s="13" t="n">
        <v>5047045567</v>
      </c>
      <c r="D301" s="13" t="inlineStr">
        <is>
          <t>5047045567</t>
        </is>
      </c>
      <c r="E301" s="13" t="inlineStr">
        <is>
          <t>ЮЛ РФ</t>
        </is>
      </c>
      <c r="F301" s="13" t="n"/>
      <c r="G301" s="14" t="n"/>
      <c r="H301" s="14" t="n"/>
      <c r="I301" s="14" t="n"/>
      <c r="J301" s="14" t="n"/>
      <c r="K301" s="53" t="inlineStr"/>
      <c r="L301" s="53" t="inlineStr">
        <is>
          <t>Не определено</t>
        </is>
      </c>
      <c r="M301" s="53" t="inlineStr"/>
      <c r="N301" s="54" t="inlineStr"/>
      <c r="O301" s="55" t="inlineStr"/>
      <c r="P301" s="16" t="inlineStr">
        <is>
          <t>Требует обогащения</t>
        </is>
      </c>
      <c r="Q301" s="16">
        <f>HYPERLINK("https://pb.nalog.ru/search.html?query=5047045567","ФНС: проверить")</f>
        <v/>
      </c>
      <c r="R301" s="16">
        <f>HYPERLINK("https://checko.ru/search?query=3801001629","Чекко: проверить")</f>
        <v/>
      </c>
      <c r="S301" t="n">
        <v>1</v>
      </c>
      <c r="T301" s="35" t="inlineStr">
        <is>
          <t>4 — Не обогащён</t>
        </is>
      </c>
      <c r="U301" s="35" t="inlineStr">
        <is>
          <t>Нет ОКВЭД/ССЧР</t>
        </is>
      </c>
      <c r="V301" s="35" t="inlineStr">
        <is>
          <t>Не определено</t>
        </is>
      </c>
      <c r="W301" s="35" t="inlineStr"/>
      <c r="X301" s="35" t="inlineStr"/>
    </row>
    <row r="302" ht="15" customHeight="1" s="24">
      <c r="A302" s="13" t="n">
        <v>5000021496</v>
      </c>
      <c r="B302" s="13" t="inlineStr">
        <is>
          <t>МАДОУ "СДЮСШОР по фехтованию"</t>
        </is>
      </c>
      <c r="C302" s="13" t="n">
        <v>5047045670</v>
      </c>
      <c r="D302" s="13" t="inlineStr">
        <is>
          <t>5047045670</t>
        </is>
      </c>
      <c r="E302" s="13" t="inlineStr">
        <is>
          <t>ЮЛ РФ</t>
        </is>
      </c>
      <c r="F302" s="13" t="n"/>
      <c r="G302" s="14" t="n"/>
      <c r="H302" s="14" t="n"/>
      <c r="I302" s="14" t="n"/>
      <c r="J302" s="14" t="n"/>
      <c r="K302" s="53" t="inlineStr"/>
      <c r="L302" s="53" t="inlineStr">
        <is>
          <t>Не определено</t>
        </is>
      </c>
      <c r="M302" s="53" t="inlineStr"/>
      <c r="N302" s="54" t="inlineStr"/>
      <c r="O302" s="55" t="inlineStr"/>
      <c r="P302" s="16" t="inlineStr">
        <is>
          <t>Требует обогащения</t>
        </is>
      </c>
      <c r="Q302" s="16">
        <f>HYPERLINK("https://pb.nalog.ru/search.html?query=5047045670","ФНС: проверить")</f>
        <v/>
      </c>
      <c r="R302" s="16">
        <f>HYPERLINK("https://checko.ru/search?query=3801001629","Чекко: проверить")</f>
        <v/>
      </c>
      <c r="S302" t="n">
        <v>1</v>
      </c>
      <c r="T302" s="35" t="inlineStr">
        <is>
          <t>4 — Не обогащён</t>
        </is>
      </c>
      <c r="U302" s="35" t="inlineStr">
        <is>
          <t>Нет ОКВЭД/ССЧР</t>
        </is>
      </c>
      <c r="V302" s="35" t="inlineStr">
        <is>
          <t>Не определено</t>
        </is>
      </c>
      <c r="W302" s="35" t="inlineStr"/>
      <c r="X302" s="35" t="inlineStr"/>
    </row>
    <row r="303" ht="27.75" customHeight="1" s="24">
      <c r="A303" s="13" t="n">
        <v>5000021497</v>
      </c>
      <c r="B303" s="13" t="inlineStr">
        <is>
          <t>Управление социальных коммуникаций Администрации городского округа Химки МО</t>
        </is>
      </c>
      <c r="C303" s="13" t="n">
        <v>5047202611</v>
      </c>
      <c r="D303" s="13" t="inlineStr">
        <is>
          <t>5047202611</t>
        </is>
      </c>
      <c r="E303" s="13" t="inlineStr">
        <is>
          <t>ЮЛ РФ</t>
        </is>
      </c>
      <c r="F303" s="13" t="n"/>
      <c r="G303" s="14" t="n"/>
      <c r="H303" s="14" t="n"/>
      <c r="I303" s="14" t="n"/>
      <c r="J303" s="14" t="n"/>
      <c r="K303" s="53" t="inlineStr"/>
      <c r="L303" s="53" t="inlineStr">
        <is>
          <t>Не определено</t>
        </is>
      </c>
      <c r="M303" s="53" t="inlineStr"/>
      <c r="N303" s="54" t="inlineStr"/>
      <c r="O303" s="55" t="inlineStr"/>
      <c r="P303" s="16" t="inlineStr">
        <is>
          <t>Требует обогащения</t>
        </is>
      </c>
      <c r="Q303" s="16">
        <f>HYPERLINK("https://pb.nalog.ru/search.html?query=5047202611","ФНС: проверить")</f>
        <v/>
      </c>
      <c r="R303" s="16">
        <f>HYPERLINK("https://checko.ru/search?query=3801001629","Чекко: проверить")</f>
        <v/>
      </c>
      <c r="S303" t="n">
        <v>1</v>
      </c>
      <c r="T303" s="35" t="inlineStr">
        <is>
          <t>4 — Не обогащён</t>
        </is>
      </c>
      <c r="U303" s="35" t="inlineStr">
        <is>
          <t>Нет ОКВЭД/ССЧР</t>
        </is>
      </c>
      <c r="V303" s="35" t="inlineStr">
        <is>
          <t>Не определено</t>
        </is>
      </c>
      <c r="W303" s="35" t="inlineStr"/>
      <c r="X303" s="35" t="inlineStr"/>
    </row>
    <row r="304" ht="41.25" customHeight="1" s="24">
      <c r="A304" s="13" t="n">
        <v>5000021498</v>
      </c>
      <c r="B304" s="13" t="inlineStr">
        <is>
          <t>Управление физической культуры, спорта и молодежной политики Администраци городского округа Химки МО</t>
        </is>
      </c>
      <c r="C304" s="13" t="n">
        <v>5047203894</v>
      </c>
      <c r="D304" s="13" t="inlineStr">
        <is>
          <t>5047203894</t>
        </is>
      </c>
      <c r="E304" s="13" t="inlineStr">
        <is>
          <t>ЮЛ РФ</t>
        </is>
      </c>
      <c r="F304" s="13" t="n"/>
      <c r="G304" s="14" t="n"/>
      <c r="H304" s="14" t="n"/>
      <c r="I304" s="14" t="n"/>
      <c r="J304" s="14" t="n"/>
      <c r="K304" s="53" t="inlineStr"/>
      <c r="L304" s="53" t="inlineStr">
        <is>
          <t>Не определено</t>
        </is>
      </c>
      <c r="M304" s="53" t="inlineStr"/>
      <c r="N304" s="54" t="inlineStr"/>
      <c r="O304" s="55" t="inlineStr"/>
      <c r="P304" s="16" t="inlineStr">
        <is>
          <t>Требует обогащения</t>
        </is>
      </c>
      <c r="Q304" s="16">
        <f>HYPERLINK("https://pb.nalog.ru/search.html?query=5047203894","ФНС: проверить")</f>
        <v/>
      </c>
      <c r="R304" s="16">
        <f>HYPERLINK("https://checko.ru/search?query=3801001629","Чекко: проверить")</f>
        <v/>
      </c>
      <c r="S304" t="n">
        <v>1</v>
      </c>
      <c r="T304" s="35" t="inlineStr">
        <is>
          <t>4 — Не обогащён</t>
        </is>
      </c>
      <c r="U304" s="35" t="inlineStr">
        <is>
          <t>Нет ОКВЭД/ССЧР</t>
        </is>
      </c>
      <c r="V304" s="35" t="inlineStr">
        <is>
          <t>Не определено</t>
        </is>
      </c>
      <c r="W304" s="35" t="inlineStr"/>
      <c r="X304" s="35" t="inlineStr"/>
    </row>
    <row r="305" ht="27.75" customHeight="1" s="24">
      <c r="A305" s="13" t="n">
        <v>5000021500</v>
      </c>
      <c r="B305" s="13" t="inlineStr">
        <is>
          <t>КОНТРОЛЬНО-СЧЕТНАЯ ПАЛАТА ГОРОДСКОГО ОКРУГА ХИМКИ МОСКОВСКОЙ ОБЛАСТИ</t>
        </is>
      </c>
      <c r="C305" s="13" t="n">
        <v>5047150321</v>
      </c>
      <c r="D305" s="13" t="inlineStr">
        <is>
          <t>5047150321</t>
        </is>
      </c>
      <c r="E305" s="13" t="inlineStr">
        <is>
          <t>ЮЛ РФ</t>
        </is>
      </c>
      <c r="F305" s="13" t="n"/>
      <c r="G305" s="14" t="n"/>
      <c r="H305" s="14" t="n"/>
      <c r="I305" s="14" t="n"/>
      <c r="J305" s="14" t="n"/>
      <c r="K305" s="53" t="inlineStr"/>
      <c r="L305" s="53" t="inlineStr">
        <is>
          <t>Не определено</t>
        </is>
      </c>
      <c r="M305" s="53" t="inlineStr"/>
      <c r="N305" s="54" t="inlineStr"/>
      <c r="O305" s="55" t="inlineStr"/>
      <c r="P305" s="16" t="inlineStr">
        <is>
          <t>Требует обогащения</t>
        </is>
      </c>
      <c r="Q305" s="16">
        <f>HYPERLINK("https://pb.nalog.ru/search.html?query=5047150321","ФНС: проверить")</f>
        <v/>
      </c>
      <c r="R305" s="16">
        <f>HYPERLINK("https://checko.ru/search?query=3801001629","Чекко: проверить")</f>
        <v/>
      </c>
      <c r="S305" t="n">
        <v>1</v>
      </c>
      <c r="T305" s="35" t="inlineStr">
        <is>
          <t>4 — Не обогащён</t>
        </is>
      </c>
      <c r="U305" s="35" t="inlineStr">
        <is>
          <t>Нет ОКВЭД/ССЧР</t>
        </is>
      </c>
      <c r="V305" s="35" t="inlineStr">
        <is>
          <t>Не определено</t>
        </is>
      </c>
      <c r="W305" s="35" t="inlineStr"/>
      <c r="X305" s="35" t="inlineStr"/>
    </row>
    <row r="306" ht="15" customHeight="1" s="24">
      <c r="A306" s="13" t="n">
        <v>5000021502</v>
      </c>
      <c r="B306" s="13" t="inlineStr">
        <is>
          <t>МКУ "Управление информационной политики"</t>
        </is>
      </c>
      <c r="C306" s="13" t="n">
        <v>5047175277</v>
      </c>
      <c r="D306" s="13" t="inlineStr">
        <is>
          <t>5047175277</t>
        </is>
      </c>
      <c r="E306" s="13" t="inlineStr">
        <is>
          <t>ЮЛ РФ</t>
        </is>
      </c>
      <c r="F306" s="13" t="n"/>
      <c r="G306" s="14" t="n"/>
      <c r="H306" s="14" t="n"/>
      <c r="I306" s="14" t="n"/>
      <c r="J306" s="14" t="n"/>
      <c r="K306" s="53" t="inlineStr"/>
      <c r="L306" s="53" t="inlineStr">
        <is>
          <t>Не определено</t>
        </is>
      </c>
      <c r="M306" s="53" t="inlineStr"/>
      <c r="N306" s="54" t="inlineStr"/>
      <c r="O306" s="55" t="inlineStr"/>
      <c r="P306" s="16" t="inlineStr">
        <is>
          <t>Требует обогащения</t>
        </is>
      </c>
      <c r="Q306" s="16">
        <f>HYPERLINK("https://pb.nalog.ru/search.html?query=5047175277","ФНС: проверить")</f>
        <v/>
      </c>
      <c r="R306" s="16">
        <f>HYPERLINK("https://checko.ru/search?query=3801001629","Чекко: проверить")</f>
        <v/>
      </c>
      <c r="S306" t="n">
        <v>1</v>
      </c>
      <c r="T306" s="35" t="inlineStr">
        <is>
          <t>4 — Не обогащён</t>
        </is>
      </c>
      <c r="U306" s="35" t="inlineStr">
        <is>
          <t>Нет ОКВЭД/ССЧР</t>
        </is>
      </c>
      <c r="V306" s="35" t="inlineStr">
        <is>
          <t>Не определено</t>
        </is>
      </c>
      <c r="W306" s="35" t="inlineStr"/>
      <c r="X306" s="35" t="inlineStr"/>
    </row>
    <row r="307" ht="15" customHeight="1" s="24">
      <c r="A307" s="13" t="n">
        <v>5000041276</v>
      </c>
      <c r="B307" s="13" t="inlineStr">
        <is>
          <t>МОУ гимназия № 24 Люберцы</t>
        </is>
      </c>
      <c r="C307" s="13" t="n">
        <v>5027093450</v>
      </c>
      <c r="D307" s="13" t="inlineStr">
        <is>
          <t>5027093450</t>
        </is>
      </c>
      <c r="E307" s="13" t="inlineStr">
        <is>
          <t>ЮЛ РФ</t>
        </is>
      </c>
      <c r="F307" s="13" t="n"/>
      <c r="G307" s="14" t="n"/>
      <c r="H307" s="14" t="n"/>
      <c r="I307" s="14" t="n"/>
      <c r="J307" s="14" t="n"/>
      <c r="K307" s="53" t="inlineStr"/>
      <c r="L307" s="53" t="inlineStr">
        <is>
          <t>Не определено</t>
        </is>
      </c>
      <c r="M307" s="53" t="inlineStr"/>
      <c r="N307" s="54" t="inlineStr"/>
      <c r="O307" s="55" t="inlineStr"/>
      <c r="P307" s="16" t="inlineStr">
        <is>
          <t>Требует обогащения</t>
        </is>
      </c>
      <c r="Q307" s="16">
        <f>HYPERLINK("https://pb.nalog.ru/search.html?query=5027093450","ФНС: проверить")</f>
        <v/>
      </c>
      <c r="R307" s="16">
        <f>HYPERLINK("https://checko.ru/search?query=3801001629","Чекко: проверить")</f>
        <v/>
      </c>
      <c r="S307" t="n">
        <v>1</v>
      </c>
      <c r="T307" s="35" t="inlineStr">
        <is>
          <t>4 — Не обогащён</t>
        </is>
      </c>
      <c r="U307" s="35" t="inlineStr">
        <is>
          <t>Нет ОКВЭД/ССЧР</t>
        </is>
      </c>
      <c r="V307" s="35" t="inlineStr">
        <is>
          <t>Не определено</t>
        </is>
      </c>
      <c r="W307" s="35" t="inlineStr"/>
      <c r="X307" s="35" t="inlineStr"/>
    </row>
    <row r="308" ht="15" customHeight="1" s="24">
      <c r="A308" s="13" t="n">
        <v>5000021506</v>
      </c>
      <c r="B308" s="13" t="inlineStr">
        <is>
          <t>МАУК "ХДТ "Наш дом"</t>
        </is>
      </c>
      <c r="C308" s="13" t="n">
        <v>5047025000</v>
      </c>
      <c r="D308" s="13" t="inlineStr">
        <is>
          <t>5047025000</t>
        </is>
      </c>
      <c r="E308" s="13" t="inlineStr">
        <is>
          <t>ЮЛ РФ</t>
        </is>
      </c>
      <c r="F308" s="13" t="n"/>
      <c r="G308" s="14" t="n"/>
      <c r="H308" s="14" t="n"/>
      <c r="I308" s="14" t="n"/>
      <c r="J308" s="14" t="n"/>
      <c r="K308" s="53" t="inlineStr"/>
      <c r="L308" s="53" t="inlineStr">
        <is>
          <t>Не определено</t>
        </is>
      </c>
      <c r="M308" s="53" t="inlineStr"/>
      <c r="N308" s="54" t="inlineStr"/>
      <c r="O308" s="55" t="inlineStr"/>
      <c r="P308" s="16" t="inlineStr">
        <is>
          <t>Требует обогащения</t>
        </is>
      </c>
      <c r="Q308" s="16">
        <f>HYPERLINK("https://pb.nalog.ru/search.html?query=5047025000","ФНС: проверить")</f>
        <v/>
      </c>
      <c r="R308" s="16">
        <f>HYPERLINK("https://checko.ru/search?query=3801001629","Чекко: проверить")</f>
        <v/>
      </c>
      <c r="S308" t="n">
        <v>1</v>
      </c>
      <c r="T308" s="35" t="inlineStr">
        <is>
          <t>4 — Не обогащён</t>
        </is>
      </c>
      <c r="U308" s="35" t="inlineStr">
        <is>
          <t>Нет ОКВЭД/ССЧР</t>
        </is>
      </c>
      <c r="V308" s="35" t="inlineStr">
        <is>
          <t>Не определено</t>
        </is>
      </c>
      <c r="W308" s="35" t="inlineStr"/>
      <c r="X308" s="35" t="inlineStr"/>
    </row>
    <row r="309" ht="15" customHeight="1" s="24">
      <c r="A309" s="13" t="n">
        <v>5000021507</v>
      </c>
      <c r="B309" s="13" t="inlineStr">
        <is>
          <t>МБОУ ДО "Сходненская детская школа искусств"</t>
        </is>
      </c>
      <c r="C309" s="13" t="n">
        <v>5047055928</v>
      </c>
      <c r="D309" s="13" t="inlineStr">
        <is>
          <t>5047055928</t>
        </is>
      </c>
      <c r="E309" s="13" t="inlineStr">
        <is>
          <t>ЮЛ РФ</t>
        </is>
      </c>
      <c r="F309" s="13" t="n"/>
      <c r="G309" s="14" t="n"/>
      <c r="H309" s="14" t="n"/>
      <c r="I309" s="14" t="n"/>
      <c r="J309" s="14" t="n"/>
      <c r="K309" s="53" t="inlineStr"/>
      <c r="L309" s="53" t="inlineStr">
        <is>
          <t>Не определено</t>
        </is>
      </c>
      <c r="M309" s="53" t="inlineStr"/>
      <c r="N309" s="54" t="inlineStr"/>
      <c r="O309" s="55" t="inlineStr"/>
      <c r="P309" s="16" t="inlineStr">
        <is>
          <t>Требует обогащения</t>
        </is>
      </c>
      <c r="Q309" s="16">
        <f>HYPERLINK("https://pb.nalog.ru/search.html?query=5047055928","ФНС: проверить")</f>
        <v/>
      </c>
      <c r="R309" s="16">
        <f>HYPERLINK("https://checko.ru/search?query=3801001629","Чекко: проверить")</f>
        <v/>
      </c>
      <c r="S309" t="n">
        <v>1</v>
      </c>
      <c r="T309" s="35" t="inlineStr">
        <is>
          <t>4 — Не обогащён</t>
        </is>
      </c>
      <c r="U309" s="35" t="inlineStr">
        <is>
          <t>Нет ОКВЭД/ССЧР</t>
        </is>
      </c>
      <c r="V309" s="35" t="inlineStr">
        <is>
          <t>Не определено</t>
        </is>
      </c>
      <c r="W309" s="35" t="inlineStr"/>
      <c r="X309" s="35" t="inlineStr"/>
    </row>
    <row r="310" ht="15" customHeight="1" s="24">
      <c r="A310" s="13" t="n">
        <v>5000021508</v>
      </c>
      <c r="B310" s="13" t="inlineStr">
        <is>
          <t>МБОУ ДО "ДШИ им. А.Н. Верстовкого"</t>
        </is>
      </c>
      <c r="C310" s="13" t="n">
        <v>5047055950</v>
      </c>
      <c r="D310" s="13" t="inlineStr">
        <is>
          <t>5047055950</t>
        </is>
      </c>
      <c r="E310" s="13" t="inlineStr">
        <is>
          <t>ЮЛ РФ</t>
        </is>
      </c>
      <c r="F310" s="13" t="n"/>
      <c r="G310" s="14" t="n"/>
      <c r="H310" s="14" t="n"/>
      <c r="I310" s="14" t="n"/>
      <c r="J310" s="14" t="n"/>
      <c r="K310" s="53" t="inlineStr"/>
      <c r="L310" s="53" t="inlineStr">
        <is>
          <t>Не определено</t>
        </is>
      </c>
      <c r="M310" s="53" t="inlineStr"/>
      <c r="N310" s="54" t="inlineStr"/>
      <c r="O310" s="55" t="inlineStr"/>
      <c r="P310" s="16" t="inlineStr">
        <is>
          <t>Требует обогащения</t>
        </is>
      </c>
      <c r="Q310" s="16">
        <f>HYPERLINK("https://pb.nalog.ru/search.html?query=5047055950","ФНС: проверить")</f>
        <v/>
      </c>
      <c r="R310" s="16">
        <f>HYPERLINK("https://checko.ru/search?query=3801001629","Чекко: проверить")</f>
        <v/>
      </c>
      <c r="S310" t="n">
        <v>1</v>
      </c>
      <c r="T310" s="35" t="inlineStr">
        <is>
          <t>4 — Не обогащён</t>
        </is>
      </c>
      <c r="U310" s="35" t="inlineStr">
        <is>
          <t>Нет ОКВЭД/ССЧР</t>
        </is>
      </c>
      <c r="V310" s="35" t="inlineStr">
        <is>
          <t>Не определено</t>
        </is>
      </c>
      <c r="W310" s="35" t="inlineStr"/>
      <c r="X310" s="35" t="inlineStr"/>
    </row>
    <row r="311" ht="27.75" customHeight="1" s="24">
      <c r="A311" s="13" t="n">
        <v>5000021510</v>
      </c>
      <c r="B311" s="13" t="inlineStr">
        <is>
          <t>МБУК "Химкинская картинная галерея им. С.Н. Горшина"</t>
        </is>
      </c>
      <c r="C311" s="13" t="n">
        <v>5047056015</v>
      </c>
      <c r="D311" s="13" t="inlineStr">
        <is>
          <t>5047056015</t>
        </is>
      </c>
      <c r="E311" s="13" t="inlineStr">
        <is>
          <t>ЮЛ РФ</t>
        </is>
      </c>
      <c r="F311" s="13" t="n"/>
      <c r="G311" s="14" t="n"/>
      <c r="H311" s="14" t="n"/>
      <c r="I311" s="14" t="n"/>
      <c r="J311" s="14" t="n"/>
      <c r="K311" s="53" t="inlineStr"/>
      <c r="L311" s="53" t="inlineStr">
        <is>
          <t>Не определено</t>
        </is>
      </c>
      <c r="M311" s="53" t="inlineStr"/>
      <c r="N311" s="54" t="inlineStr"/>
      <c r="O311" s="55" t="inlineStr"/>
      <c r="P311" s="16" t="inlineStr">
        <is>
          <t>Требует обогащения</t>
        </is>
      </c>
      <c r="Q311" s="16">
        <f>HYPERLINK("https://pb.nalog.ru/search.html?query=5047056015","ФНС: проверить")</f>
        <v/>
      </c>
      <c r="R311" s="16">
        <f>HYPERLINK("https://checko.ru/search?query=3801001629","Чекко: проверить")</f>
        <v/>
      </c>
      <c r="S311" t="n">
        <v>1</v>
      </c>
      <c r="T311" s="35" t="inlineStr">
        <is>
          <t>4 — Не обогащён</t>
        </is>
      </c>
      <c r="U311" s="35" t="inlineStr">
        <is>
          <t>Нет ОКВЭД/ССЧР</t>
        </is>
      </c>
      <c r="V311" s="35" t="inlineStr">
        <is>
          <t>Не определено</t>
        </is>
      </c>
      <c r="W311" s="35" t="inlineStr"/>
      <c r="X311" s="35" t="inlineStr"/>
    </row>
    <row r="312" ht="15" customHeight="1" s="24">
      <c r="A312" s="13" t="n">
        <v>5000021512</v>
      </c>
      <c r="B312" s="13" t="inlineStr">
        <is>
          <t>АУ "Дворец культуры "Родина"</t>
        </is>
      </c>
      <c r="C312" s="13" t="n">
        <v>5047074617</v>
      </c>
      <c r="D312" s="13" t="inlineStr">
        <is>
          <t>5047074617</t>
        </is>
      </c>
      <c r="E312" s="13" t="inlineStr">
        <is>
          <t>ЮЛ РФ</t>
        </is>
      </c>
      <c r="F312" s="13" t="n"/>
      <c r="G312" s="14" t="n"/>
      <c r="H312" s="14" t="n"/>
      <c r="I312" s="14" t="n"/>
      <c r="J312" s="14" t="n"/>
      <c r="K312" s="53" t="inlineStr"/>
      <c r="L312" s="53" t="inlineStr">
        <is>
          <t>Не определено</t>
        </is>
      </c>
      <c r="M312" s="53" t="inlineStr"/>
      <c r="N312" s="54" t="inlineStr"/>
      <c r="O312" s="55" t="inlineStr"/>
      <c r="P312" s="16" t="inlineStr">
        <is>
          <t>Требует обогащения</t>
        </is>
      </c>
      <c r="Q312" s="16">
        <f>HYPERLINK("https://pb.nalog.ru/search.html?query=5047074617","ФНС: проверить")</f>
        <v/>
      </c>
      <c r="R312" s="16">
        <f>HYPERLINK("https://checko.ru/search?query=3801001629","Чекко: проверить")</f>
        <v/>
      </c>
      <c r="S312" t="n">
        <v>1</v>
      </c>
      <c r="T312" s="35" t="inlineStr">
        <is>
          <t>4 — Не обогащён</t>
        </is>
      </c>
      <c r="U312" s="35" t="inlineStr">
        <is>
          <t>Нет ОКВЭД/ССЧР</t>
        </is>
      </c>
      <c r="V312" s="35" t="inlineStr">
        <is>
          <t>Не определено</t>
        </is>
      </c>
      <c r="W312" s="35" t="inlineStr"/>
      <c r="X312" s="35" t="inlineStr"/>
    </row>
    <row r="313" ht="15" customHeight="1" s="24">
      <c r="A313" s="13" t="n">
        <v>5000021513</v>
      </c>
      <c r="B313" s="13" t="inlineStr">
        <is>
          <t>МАУК "Дом культуры "Контакт"</t>
        </is>
      </c>
      <c r="C313" s="13" t="n">
        <v>5047078851</v>
      </c>
      <c r="D313" s="13" t="inlineStr">
        <is>
          <t>5047078851</t>
        </is>
      </c>
      <c r="E313" s="13" t="inlineStr">
        <is>
          <t>ЮЛ РФ</t>
        </is>
      </c>
      <c r="F313" s="13" t="n"/>
      <c r="G313" s="14" t="n"/>
      <c r="H313" s="14" t="n"/>
      <c r="I313" s="14" t="n"/>
      <c r="J313" s="14" t="n"/>
      <c r="K313" s="53" t="inlineStr"/>
      <c r="L313" s="53" t="inlineStr">
        <is>
          <t>Не определено</t>
        </is>
      </c>
      <c r="M313" s="53" t="inlineStr"/>
      <c r="N313" s="54" t="inlineStr"/>
      <c r="O313" s="55" t="inlineStr"/>
      <c r="P313" s="16" t="inlineStr">
        <is>
          <t>Требует обогащения</t>
        </is>
      </c>
      <c r="Q313" s="16">
        <f>HYPERLINK("https://pb.nalog.ru/search.html?query=5047078851","ФНС: проверить")</f>
        <v/>
      </c>
      <c r="R313" s="16">
        <f>HYPERLINK("https://checko.ru/search?query=3801001629","Чекко: проверить")</f>
        <v/>
      </c>
      <c r="S313" t="n">
        <v>1</v>
      </c>
      <c r="T313" s="35" t="inlineStr">
        <is>
          <t>4 — Не обогащён</t>
        </is>
      </c>
      <c r="U313" s="35" t="inlineStr">
        <is>
          <t>Нет ОКВЭД/ССЧР</t>
        </is>
      </c>
      <c r="V313" s="35" t="inlineStr">
        <is>
          <t>Не определено</t>
        </is>
      </c>
      <c r="W313" s="35" t="inlineStr"/>
      <c r="X313" s="35" t="inlineStr"/>
    </row>
    <row r="314" ht="15" customHeight="1" s="24">
      <c r="A314" s="13" t="n">
        <v>5000021515</v>
      </c>
      <c r="B314" s="13" t="inlineStr">
        <is>
          <t>МАУК "Объединенная дирекция парков"</t>
        </is>
      </c>
      <c r="C314" s="13" t="n">
        <v>5047143652</v>
      </c>
      <c r="D314" s="13" t="inlineStr">
        <is>
          <t>5047143652</t>
        </is>
      </c>
      <c r="E314" s="13" t="inlineStr">
        <is>
          <t>ЮЛ РФ</t>
        </is>
      </c>
      <c r="F314" s="13" t="n"/>
      <c r="G314" s="14" t="n"/>
      <c r="H314" s="14" t="n"/>
      <c r="I314" s="14" t="n"/>
      <c r="J314" s="14" t="n"/>
      <c r="K314" s="53" t="inlineStr"/>
      <c r="L314" s="53" t="inlineStr">
        <is>
          <t>Не определено</t>
        </is>
      </c>
      <c r="M314" s="53" t="inlineStr"/>
      <c r="N314" s="54" t="inlineStr"/>
      <c r="O314" s="55" t="inlineStr"/>
      <c r="P314" s="16" t="inlineStr">
        <is>
          <t>Требует обогащения</t>
        </is>
      </c>
      <c r="Q314" s="16">
        <f>HYPERLINK("https://pb.nalog.ru/search.html?query=5047143652","ФНС: проверить")</f>
        <v/>
      </c>
      <c r="R314" s="16">
        <f>HYPERLINK("https://checko.ru/search?query=3801001629","Чекко: проверить")</f>
        <v/>
      </c>
      <c r="S314" t="n">
        <v>1</v>
      </c>
      <c r="T314" s="35" t="inlineStr">
        <is>
          <t>4 — Не обогащён</t>
        </is>
      </c>
      <c r="U314" s="35" t="inlineStr">
        <is>
          <t>Нет ОКВЭД/ССЧР</t>
        </is>
      </c>
      <c r="V314" s="35" t="inlineStr">
        <is>
          <t>Не определено</t>
        </is>
      </c>
      <c r="W314" s="35" t="inlineStr"/>
      <c r="X314" s="35" t="inlineStr"/>
    </row>
    <row r="315" ht="27.75" customHeight="1" s="24">
      <c r="A315" s="13" t="n">
        <v>5000021516</v>
      </c>
      <c r="B315" s="13" t="inlineStr">
        <is>
          <t>Управление культуры Администрации городского округа Химки Московской области</t>
        </is>
      </c>
      <c r="C315" s="13" t="n">
        <v>5047203887</v>
      </c>
      <c r="D315" s="13" t="inlineStr">
        <is>
          <t>5047203887</t>
        </is>
      </c>
      <c r="E315" s="13" t="inlineStr">
        <is>
          <t>ЮЛ РФ</t>
        </is>
      </c>
      <c r="F315" s="13" t="n"/>
      <c r="G315" s="14" t="n"/>
      <c r="H315" s="14" t="n"/>
      <c r="I315" s="14" t="n"/>
      <c r="J315" s="14" t="n"/>
      <c r="K315" s="53" t="inlineStr"/>
      <c r="L315" s="53" t="inlineStr">
        <is>
          <t>Не определено</t>
        </is>
      </c>
      <c r="M315" s="53" t="inlineStr"/>
      <c r="N315" s="54" t="inlineStr"/>
      <c r="O315" s="55" t="inlineStr"/>
      <c r="P315" s="16" t="inlineStr">
        <is>
          <t>Требует обогащения</t>
        </is>
      </c>
      <c r="Q315" s="16">
        <f>HYPERLINK("https://pb.nalog.ru/search.html?query=5047203887","ФНС: проверить")</f>
        <v/>
      </c>
      <c r="R315" s="16">
        <f>HYPERLINK("https://checko.ru/search?query=3801001629","Чекко: проверить")</f>
        <v/>
      </c>
      <c r="S315" t="n">
        <v>1</v>
      </c>
      <c r="T315" s="35" t="inlineStr">
        <is>
          <t>4 — Не обогащён</t>
        </is>
      </c>
      <c r="U315" s="35" t="inlineStr">
        <is>
          <t>Нет ОКВЭД/ССЧР</t>
        </is>
      </c>
      <c r="V315" s="35" t="inlineStr">
        <is>
          <t>Не определено</t>
        </is>
      </c>
      <c r="W315" s="35" t="inlineStr"/>
      <c r="X315" s="35" t="inlineStr"/>
    </row>
    <row r="316" ht="15" customHeight="1" s="24">
      <c r="A316" s="13" t="n">
        <v>5000021503</v>
      </c>
      <c r="B316" s="13" t="inlineStr">
        <is>
          <t>Управление централизации закупок</t>
        </is>
      </c>
      <c r="C316" s="13" t="n">
        <v>5047165840</v>
      </c>
      <c r="D316" s="13" t="inlineStr">
        <is>
          <t>5047165840</t>
        </is>
      </c>
      <c r="E316" s="13" t="inlineStr">
        <is>
          <t>ЮЛ РФ</t>
        </is>
      </c>
      <c r="F316" s="13" t="n"/>
      <c r="G316" s="14" t="n"/>
      <c r="H316" s="14" t="n"/>
      <c r="I316" s="14" t="n"/>
      <c r="J316" s="14" t="n"/>
      <c r="K316" s="53" t="inlineStr"/>
      <c r="L316" s="53" t="inlineStr">
        <is>
          <t>Не определено</t>
        </is>
      </c>
      <c r="M316" s="53" t="inlineStr"/>
      <c r="N316" s="54" t="inlineStr"/>
      <c r="O316" s="55" t="inlineStr"/>
      <c r="P316" s="16" t="inlineStr">
        <is>
          <t>Требует обогащения</t>
        </is>
      </c>
      <c r="Q316" s="16">
        <f>HYPERLINK("https://pb.nalog.ru/search.html?query=5047165840","ФНС: проверить")</f>
        <v/>
      </c>
      <c r="R316" s="16">
        <f>HYPERLINK("https://checko.ru/search?query=3801001629","Чекко: проверить")</f>
        <v/>
      </c>
      <c r="S316" t="n">
        <v>1</v>
      </c>
      <c r="T316" s="35" t="inlineStr">
        <is>
          <t>4 — Не обогащён</t>
        </is>
      </c>
      <c r="U316" s="35" t="inlineStr">
        <is>
          <t>Нет ОКВЭД/ССЧР</t>
        </is>
      </c>
      <c r="V316" s="35" t="inlineStr">
        <is>
          <t>Не определено</t>
        </is>
      </c>
      <c r="W316" s="35" t="inlineStr"/>
      <c r="X316" s="35" t="inlineStr"/>
    </row>
    <row r="317" ht="15" customHeight="1" s="24">
      <c r="A317" s="13" t="n">
        <v>5000021504</v>
      </c>
      <c r="B317" s="13" t="inlineStr">
        <is>
          <t>Совет депутатов</t>
        </is>
      </c>
      <c r="C317" s="13" t="n">
        <v>5047138596</v>
      </c>
      <c r="D317" s="13" t="inlineStr">
        <is>
          <t>5047138596</t>
        </is>
      </c>
      <c r="E317" s="13" t="inlineStr">
        <is>
          <t>ЮЛ РФ</t>
        </is>
      </c>
      <c r="F317" s="13" t="n"/>
      <c r="G317" s="14" t="n"/>
      <c r="H317" s="14" t="n"/>
      <c r="I317" s="14" t="n"/>
      <c r="J317" s="14" t="n"/>
      <c r="K317" s="53" t="inlineStr"/>
      <c r="L317" s="53" t="inlineStr">
        <is>
          <t>Не определено</t>
        </is>
      </c>
      <c r="M317" s="53" t="inlineStr"/>
      <c r="N317" s="54" t="inlineStr"/>
      <c r="O317" s="55" t="inlineStr"/>
      <c r="P317" s="16" t="inlineStr">
        <is>
          <t>Требует обогащения</t>
        </is>
      </c>
      <c r="Q317" s="16">
        <f>HYPERLINK("https://pb.nalog.ru/search.html?query=5047138596","ФНС: проверить")</f>
        <v/>
      </c>
      <c r="R317" s="16">
        <f>HYPERLINK("https://checko.ru/search?query=3801001629","Чекко: проверить")</f>
        <v/>
      </c>
      <c r="S317" t="n">
        <v>1</v>
      </c>
      <c r="T317" s="35" t="inlineStr">
        <is>
          <t>4 — Не обогащён</t>
        </is>
      </c>
      <c r="U317" s="35" t="inlineStr">
        <is>
          <t>Нет ОКВЭД/ССЧР</t>
        </is>
      </c>
      <c r="V317" s="35" t="inlineStr">
        <is>
          <t>Не определено</t>
        </is>
      </c>
      <c r="W317" s="35" t="inlineStr"/>
      <c r="X317" s="35" t="inlineStr"/>
    </row>
    <row r="318" ht="15" customHeight="1" s="24">
      <c r="A318" s="13" t="n">
        <v>5000021517</v>
      </c>
      <c r="B318" s="13" t="inlineStr">
        <is>
          <t>МКУ "УПРАВЛЕНИЕ СТРОИТЕЛЬСТВА"</t>
        </is>
      </c>
      <c r="C318" s="13" t="n">
        <v>5047207970</v>
      </c>
      <c r="D318" s="13" t="inlineStr">
        <is>
          <t>5047207970</t>
        </is>
      </c>
      <c r="E318" s="13" t="inlineStr">
        <is>
          <t>ЮЛ РФ</t>
        </is>
      </c>
      <c r="F318" s="13" t="n"/>
      <c r="G318" s="14" t="n"/>
      <c r="H318" s="14" t="n"/>
      <c r="I318" s="14" t="n"/>
      <c r="J318" s="14" t="n"/>
      <c r="K318" s="53" t="inlineStr"/>
      <c r="L318" s="53" t="inlineStr">
        <is>
          <t>Не определено</t>
        </is>
      </c>
      <c r="M318" s="53" t="inlineStr"/>
      <c r="N318" s="54" t="inlineStr"/>
      <c r="O318" s="55" t="inlineStr"/>
      <c r="P318" s="16" t="inlineStr">
        <is>
          <t>Требует обогащения</t>
        </is>
      </c>
      <c r="Q318" s="16">
        <f>HYPERLINK("https://pb.nalog.ru/search.html?query=5047207970","ФНС: проверить")</f>
        <v/>
      </c>
      <c r="R318" s="16">
        <f>HYPERLINK("https://checko.ru/search?query=3801001629","Чекко: проверить")</f>
        <v/>
      </c>
      <c r="S318" t="n">
        <v>1</v>
      </c>
      <c r="T318" s="35" t="inlineStr">
        <is>
          <t>4 — Не обогащён</t>
        </is>
      </c>
      <c r="U318" s="35" t="inlineStr">
        <is>
          <t>Нет ОКВЭД/ССЧР</t>
        </is>
      </c>
      <c r="V318" s="35" t="inlineStr">
        <is>
          <t>Не определено</t>
        </is>
      </c>
      <c r="W318" s="35" t="inlineStr"/>
      <c r="X318" s="35" t="inlineStr"/>
    </row>
    <row r="319" ht="15" customHeight="1" s="24">
      <c r="A319" s="13" t="n">
        <v>5000116368</v>
      </c>
      <c r="B319" s="13" t="inlineStr">
        <is>
          <t>МАУДО "ДШИ Г.ВИДНОЕ"</t>
        </is>
      </c>
      <c r="C319" s="13" t="n">
        <v>5003041389</v>
      </c>
      <c r="D319" s="13" t="inlineStr">
        <is>
          <t>5003041389</t>
        </is>
      </c>
      <c r="E319" s="13" t="inlineStr">
        <is>
          <t>ЮЛ РФ</t>
        </is>
      </c>
      <c r="F319" s="13" t="n"/>
      <c r="G319" s="14" t="n"/>
      <c r="H319" s="14" t="n"/>
      <c r="I319" s="14" t="n"/>
      <c r="J319" s="14" t="n"/>
      <c r="K319" s="53" t="inlineStr"/>
      <c r="L319" s="53" t="inlineStr">
        <is>
          <t>Не определено</t>
        </is>
      </c>
      <c r="M319" s="53" t="inlineStr"/>
      <c r="N319" s="54" t="inlineStr"/>
      <c r="O319" s="55" t="inlineStr"/>
      <c r="P319" s="16" t="inlineStr">
        <is>
          <t>Требует обогащения</t>
        </is>
      </c>
      <c r="Q319" s="16">
        <f>HYPERLINK("https://pb.nalog.ru/search.html?query=5003041389","ФНС: проверить")</f>
        <v/>
      </c>
      <c r="R319" s="16">
        <f>HYPERLINK("https://checko.ru/search?query=3801001629","Чекко: проверить")</f>
        <v/>
      </c>
      <c r="S319" t="n">
        <v>1</v>
      </c>
      <c r="T319" s="35" t="inlineStr">
        <is>
          <t>4 — Не обогащён</t>
        </is>
      </c>
      <c r="U319" s="35" t="inlineStr">
        <is>
          <t>Нет ОКВЭД/ССЧР</t>
        </is>
      </c>
      <c r="V319" s="35" t="inlineStr">
        <is>
          <t>Не определено</t>
        </is>
      </c>
      <c r="W319" s="35" t="inlineStr"/>
      <c r="X319" s="35" t="inlineStr"/>
    </row>
    <row r="320" ht="15" customHeight="1" s="24">
      <c r="A320" s="13" t="n">
        <v>5000116371</v>
      </c>
      <c r="B320" s="13" t="inlineStr">
        <is>
          <t>МКУ "УО СППД"</t>
        </is>
      </c>
      <c r="C320" s="13" t="n">
        <v>5003123458</v>
      </c>
      <c r="D320" s="13" t="inlineStr">
        <is>
          <t>5003123458</t>
        </is>
      </c>
      <c r="E320" s="13" t="inlineStr">
        <is>
          <t>ЮЛ РФ</t>
        </is>
      </c>
      <c r="F320" s="13" t="n"/>
      <c r="G320" s="14" t="n"/>
      <c r="H320" s="14" t="n"/>
      <c r="I320" s="14" t="n"/>
      <c r="J320" s="14" t="n"/>
      <c r="K320" s="53" t="inlineStr"/>
      <c r="L320" s="53" t="inlineStr">
        <is>
          <t>Не определено</t>
        </is>
      </c>
      <c r="M320" s="53" t="inlineStr"/>
      <c r="N320" s="54" t="inlineStr"/>
      <c r="O320" s="55" t="inlineStr"/>
      <c r="P320" s="16" t="inlineStr">
        <is>
          <t>Требует обогащения</t>
        </is>
      </c>
      <c r="Q320" s="16">
        <f>HYPERLINK("https://pb.nalog.ru/search.html?query=5003123458","ФНС: проверить")</f>
        <v/>
      </c>
      <c r="R320" s="16">
        <f>HYPERLINK("https://checko.ru/search?query=3801001629","Чекко: проверить")</f>
        <v/>
      </c>
      <c r="S320" t="n">
        <v>1</v>
      </c>
      <c r="T320" s="35" t="inlineStr">
        <is>
          <t>4 — Не обогащён</t>
        </is>
      </c>
      <c r="U320" s="35" t="inlineStr">
        <is>
          <t>Нет ОКВЭД/ССЧР</t>
        </is>
      </c>
      <c r="V320" s="35" t="inlineStr">
        <is>
          <t>Не определено</t>
        </is>
      </c>
      <c r="W320" s="35" t="inlineStr"/>
      <c r="X320" s="35" t="inlineStr"/>
    </row>
    <row r="321" ht="41.25" customHeight="1" s="24">
      <c r="A321" s="13" t="n">
        <v>5000101499</v>
      </c>
      <c r="B321" s="13" t="inlineStr">
        <is>
          <t>Муниципальное казенное учреждение "Центр по организации закупок городского округа Дзержинский"</t>
        </is>
      </c>
      <c r="C321" s="13" t="n">
        <v>5027256489</v>
      </c>
      <c r="D321" s="13" t="inlineStr">
        <is>
          <t>5027256489</t>
        </is>
      </c>
      <c r="E321" s="13" t="inlineStr">
        <is>
          <t>ЮЛ РФ</t>
        </is>
      </c>
      <c r="F321" s="13" t="n"/>
      <c r="G321" s="14" t="n"/>
      <c r="H321" s="14" t="n"/>
      <c r="I321" s="14" t="n"/>
      <c r="J321" s="14" t="n"/>
      <c r="K321" s="53" t="inlineStr"/>
      <c r="L321" s="53" t="inlineStr">
        <is>
          <t>Не определено</t>
        </is>
      </c>
      <c r="M321" s="53" t="inlineStr"/>
      <c r="N321" s="54" t="inlineStr"/>
      <c r="O321" s="55" t="inlineStr"/>
      <c r="P321" s="16" t="inlineStr">
        <is>
          <t>Требует обогащения</t>
        </is>
      </c>
      <c r="Q321" s="16">
        <f>HYPERLINK("https://pb.nalog.ru/search.html?query=5027256489","ФНС: проверить")</f>
        <v/>
      </c>
      <c r="R321" s="16">
        <f>HYPERLINK("https://checko.ru/search?query=3801001629","Чекко: проверить")</f>
        <v/>
      </c>
      <c r="S321" t="n">
        <v>1</v>
      </c>
      <c r="T321" s="35" t="inlineStr">
        <is>
          <t>4 — Не обогащён</t>
        </is>
      </c>
      <c r="U321" s="35" t="inlineStr">
        <is>
          <t>Нет ОКВЭД/ССЧР</t>
        </is>
      </c>
      <c r="V321" s="35" t="inlineStr">
        <is>
          <t>Не определено</t>
        </is>
      </c>
      <c r="W321" s="35" t="inlineStr"/>
      <c r="X321" s="35" t="inlineStr"/>
    </row>
    <row r="322" ht="15" customHeight="1" s="24">
      <c r="A322" s="13" t="n">
        <v>5000074096</v>
      </c>
      <c r="B322" s="13" t="inlineStr">
        <is>
          <t>МУК Ленино-Снегирёвский музей</t>
        </is>
      </c>
      <c r="C322" s="13" t="n">
        <v>5017053560</v>
      </c>
      <c r="D322" s="13" t="inlineStr">
        <is>
          <t>5017053560</t>
        </is>
      </c>
      <c r="E322" s="13" t="inlineStr">
        <is>
          <t>ЮЛ РФ</t>
        </is>
      </c>
      <c r="F322" s="13" t="n"/>
      <c r="G322" s="14" t="n"/>
      <c r="H322" s="14" t="n"/>
      <c r="I322" s="14" t="n"/>
      <c r="J322" s="14" t="n"/>
      <c r="K322" s="53" t="inlineStr"/>
      <c r="L322" s="53" t="inlineStr">
        <is>
          <t>Не определено</t>
        </is>
      </c>
      <c r="M322" s="53" t="inlineStr"/>
      <c r="N322" s="54" t="inlineStr"/>
      <c r="O322" s="55" t="inlineStr"/>
      <c r="P322" s="16" t="inlineStr">
        <is>
          <t>Требует обогащения</t>
        </is>
      </c>
      <c r="Q322" s="16">
        <f>HYPERLINK("https://pb.nalog.ru/search.html?query=5017053560","ФНС: проверить")</f>
        <v/>
      </c>
      <c r="R322" s="16">
        <f>HYPERLINK("https://checko.ru/search?query=3801001629","Чекко: проверить")</f>
        <v/>
      </c>
      <c r="S322" t="n">
        <v>1</v>
      </c>
      <c r="T322" s="35" t="inlineStr">
        <is>
          <t>4 — Не обогащён</t>
        </is>
      </c>
      <c r="U322" s="35" t="inlineStr">
        <is>
          <t>Нет ОКВЭД/ССЧР</t>
        </is>
      </c>
      <c r="V322" s="35" t="inlineStr">
        <is>
          <t>Не определено</t>
        </is>
      </c>
      <c r="W322" s="35" t="inlineStr"/>
      <c r="X322" s="35" t="inlineStr"/>
    </row>
    <row r="323" ht="27.75" customHeight="1" s="24">
      <c r="A323" s="13" t="n">
        <v>5000058630</v>
      </c>
      <c r="B323" s="13" t="inlineStr">
        <is>
          <t>МКУ "Централизованная клубная система сельского поселения Спасское "СОЗВЕЗДИЕ""</t>
        </is>
      </c>
      <c r="C323" s="13" t="n">
        <v>5004017861</v>
      </c>
      <c r="D323" s="13" t="inlineStr">
        <is>
          <t>5004017861</t>
        </is>
      </c>
      <c r="E323" s="13" t="inlineStr">
        <is>
          <t>ЮЛ РФ</t>
        </is>
      </c>
      <c r="F323" s="13" t="n"/>
      <c r="G323" s="14" t="n"/>
      <c r="H323" s="14" t="n"/>
      <c r="I323" s="14" t="n"/>
      <c r="J323" s="14" t="n"/>
      <c r="K323" s="53" t="inlineStr"/>
      <c r="L323" s="53" t="inlineStr">
        <is>
          <t>Не определено</t>
        </is>
      </c>
      <c r="M323" s="53" t="inlineStr"/>
      <c r="N323" s="54" t="inlineStr"/>
      <c r="O323" s="55" t="inlineStr"/>
      <c r="P323" s="16" t="inlineStr">
        <is>
          <t>Требует обогащения</t>
        </is>
      </c>
      <c r="Q323" s="16">
        <f>HYPERLINK("https://pb.nalog.ru/search.html?query=5004017861","ФНС: проверить")</f>
        <v/>
      </c>
      <c r="R323" s="16">
        <f>HYPERLINK("https://checko.ru/search?query=3801001629","Чекко: проверить")</f>
        <v/>
      </c>
      <c r="S323" t="n">
        <v>1</v>
      </c>
      <c r="T323" s="35" t="inlineStr">
        <is>
          <t>4 — Не обогащён</t>
        </is>
      </c>
      <c r="U323" s="35" t="inlineStr">
        <is>
          <t>Нет ОКВЭД/ССЧР</t>
        </is>
      </c>
      <c r="V323" s="35" t="inlineStr">
        <is>
          <t>Не определено</t>
        </is>
      </c>
      <c r="W323" s="35" t="inlineStr"/>
      <c r="X323" s="35" t="inlineStr"/>
    </row>
    <row r="324" ht="15" customHeight="1" s="24">
      <c r="A324" s="13" t="n">
        <v>5000101485</v>
      </c>
      <c r="B324" s="13" t="inlineStr">
        <is>
          <t>МБУ "ИстраСпас"</t>
        </is>
      </c>
      <c r="C324" s="13" t="n">
        <v>5017101084</v>
      </c>
      <c r="D324" s="13" t="inlineStr">
        <is>
          <t>5017101084</t>
        </is>
      </c>
      <c r="E324" s="13" t="inlineStr">
        <is>
          <t>ЮЛ РФ</t>
        </is>
      </c>
      <c r="F324" s="13" t="n"/>
      <c r="G324" s="14" t="n"/>
      <c r="H324" s="14" t="n"/>
      <c r="I324" s="14" t="n"/>
      <c r="J324" s="14" t="n"/>
      <c r="K324" s="53" t="inlineStr"/>
      <c r="L324" s="53" t="inlineStr">
        <is>
          <t>Не определено</t>
        </is>
      </c>
      <c r="M324" s="53" t="inlineStr"/>
      <c r="N324" s="54" t="inlineStr"/>
      <c r="O324" s="55" t="inlineStr"/>
      <c r="P324" s="16" t="inlineStr">
        <is>
          <t>Требует обогащения</t>
        </is>
      </c>
      <c r="Q324" s="16">
        <f>HYPERLINK("https://pb.nalog.ru/search.html?query=5017101084","ФНС: проверить")</f>
        <v/>
      </c>
      <c r="R324" s="16">
        <f>HYPERLINK("https://checko.ru/search?query=3801001629","Чекко: проверить")</f>
        <v/>
      </c>
      <c r="S324" t="n">
        <v>1</v>
      </c>
      <c r="T324" s="35" t="inlineStr">
        <is>
          <t>4 — Не обогащён</t>
        </is>
      </c>
      <c r="U324" s="35" t="inlineStr">
        <is>
          <t>Нет ОКВЭД/ССЧР</t>
        </is>
      </c>
      <c r="V324" s="35" t="inlineStr">
        <is>
          <t>Не определено</t>
        </is>
      </c>
      <c r="W324" s="35" t="inlineStr"/>
      <c r="X324" s="35" t="inlineStr"/>
    </row>
    <row r="325" ht="15" customHeight="1" s="24">
      <c r="A325" s="13" t="n">
        <v>5000116344</v>
      </c>
      <c r="B325" s="13" t="inlineStr">
        <is>
          <t>МБУ "ДОДХИБИМР"</t>
        </is>
      </c>
      <c r="C325" s="13" t="n">
        <v>5017108700</v>
      </c>
      <c r="D325" s="13" t="inlineStr">
        <is>
          <t>5017108700</t>
        </is>
      </c>
      <c r="E325" s="13" t="inlineStr">
        <is>
          <t>ЮЛ РФ</t>
        </is>
      </c>
      <c r="F325" s="13" t="n"/>
      <c r="G325" s="14" t="n"/>
      <c r="H325" s="14" t="n"/>
      <c r="I325" s="14" t="n"/>
      <c r="J325" s="14" t="n"/>
      <c r="K325" s="53" t="inlineStr"/>
      <c r="L325" s="53" t="inlineStr">
        <is>
          <t>Не определено</t>
        </is>
      </c>
      <c r="M325" s="53" t="inlineStr"/>
      <c r="N325" s="54" t="inlineStr"/>
      <c r="O325" s="55" t="inlineStr"/>
      <c r="P325" s="16" t="inlineStr">
        <is>
          <t>Требует обогащения</t>
        </is>
      </c>
      <c r="Q325" s="16">
        <f>HYPERLINK("https://pb.nalog.ru/search.html?query=5017108700","ФНС: проверить")</f>
        <v/>
      </c>
      <c r="R325" s="16">
        <f>HYPERLINK("https://checko.ru/search?query=3801001629","Чекко: проверить")</f>
        <v/>
      </c>
      <c r="S325" t="n">
        <v>1</v>
      </c>
      <c r="T325" s="35" t="inlineStr">
        <is>
          <t>4 — Не обогащён</t>
        </is>
      </c>
      <c r="U325" s="35" t="inlineStr">
        <is>
          <t>Нет ОКВЭД/ССЧР</t>
        </is>
      </c>
      <c r="V325" s="35" t="inlineStr">
        <is>
          <t>Не определено</t>
        </is>
      </c>
      <c r="W325" s="35" t="inlineStr"/>
      <c r="X325" s="35" t="inlineStr"/>
    </row>
    <row r="326" ht="15" customHeight="1" s="24">
      <c r="A326" s="13" t="n">
        <v>5000058624</v>
      </c>
      <c r="B326" s="13" t="inlineStr">
        <is>
          <t>МКУ КДЦ "Кашино"</t>
        </is>
      </c>
      <c r="C326" s="13" t="n">
        <v>5004027362</v>
      </c>
      <c r="D326" s="13" t="inlineStr">
        <is>
          <t>5004027362</t>
        </is>
      </c>
      <c r="E326" s="13" t="inlineStr">
        <is>
          <t>ЮЛ РФ</t>
        </is>
      </c>
      <c r="F326" s="13" t="n"/>
      <c r="G326" s="14" t="n"/>
      <c r="H326" s="14" t="n"/>
      <c r="I326" s="14" t="n"/>
      <c r="J326" s="14" t="n"/>
      <c r="K326" s="53" t="inlineStr"/>
      <c r="L326" s="53" t="inlineStr">
        <is>
          <t>Не определено</t>
        </is>
      </c>
      <c r="M326" s="53" t="inlineStr"/>
      <c r="N326" s="54" t="inlineStr"/>
      <c r="O326" s="55" t="inlineStr"/>
      <c r="P326" s="16" t="inlineStr">
        <is>
          <t>Требует обогащения</t>
        </is>
      </c>
      <c r="Q326" s="16">
        <f>HYPERLINK("https://pb.nalog.ru/search.html?query=5004027362","ФНС: проверить")</f>
        <v/>
      </c>
      <c r="R326" s="16">
        <f>HYPERLINK("https://checko.ru/search?query=3801001629","Чекко: проверить")</f>
        <v/>
      </c>
      <c r="S326" t="n">
        <v>1</v>
      </c>
      <c r="T326" s="35" t="inlineStr">
        <is>
          <t>4 — Не обогащён</t>
        </is>
      </c>
      <c r="U326" s="35" t="inlineStr">
        <is>
          <t>Нет ОКВЭД/ССЧР</t>
        </is>
      </c>
      <c r="V326" s="35" t="inlineStr">
        <is>
          <t>Не определено</t>
        </is>
      </c>
      <c r="W326" s="35" t="inlineStr"/>
      <c r="X326" s="35" t="inlineStr"/>
    </row>
    <row r="327" ht="27.75" customHeight="1" s="24">
      <c r="A327" s="13" t="n">
        <v>5000101503</v>
      </c>
      <c r="B327" s="13" t="inlineStr">
        <is>
          <t>Муниципальное бюджетное учреждение "Молодежный центр "Лидер"</t>
        </is>
      </c>
      <c r="C327" s="13" t="n">
        <v>5056001460</v>
      </c>
      <c r="D327" s="13" t="inlineStr">
        <is>
          <t>5056001460</t>
        </is>
      </c>
      <c r="E327" s="13" t="inlineStr">
        <is>
          <t>ЮЛ РФ</t>
        </is>
      </c>
      <c r="F327" s="13" t="n"/>
      <c r="G327" s="14" t="n"/>
      <c r="H327" s="14" t="n"/>
      <c r="I327" s="14" t="n"/>
      <c r="J327" s="14" t="n"/>
      <c r="K327" s="53" t="inlineStr"/>
      <c r="L327" s="53" t="inlineStr">
        <is>
          <t>Не определено</t>
        </is>
      </c>
      <c r="M327" s="53" t="inlineStr"/>
      <c r="N327" s="54" t="inlineStr"/>
      <c r="O327" s="55" t="inlineStr"/>
      <c r="P327" s="16" t="inlineStr">
        <is>
          <t>Требует обогащения</t>
        </is>
      </c>
      <c r="Q327" s="16">
        <f>HYPERLINK("https://pb.nalog.ru/search.html?query=5056001460","ФНС: проверить")</f>
        <v/>
      </c>
      <c r="R327" s="16">
        <f>HYPERLINK("https://checko.ru/search?query=3801001629","Чекко: проверить")</f>
        <v/>
      </c>
      <c r="S327" t="n">
        <v>1</v>
      </c>
      <c r="T327" s="35" t="inlineStr">
        <is>
          <t>4 — Не обогащён</t>
        </is>
      </c>
      <c r="U327" s="35" t="inlineStr">
        <is>
          <t>Нет ОКВЭД/ССЧР</t>
        </is>
      </c>
      <c r="V327" s="35" t="inlineStr">
        <is>
          <t>Не определено</t>
        </is>
      </c>
      <c r="W327" s="35" t="inlineStr"/>
      <c r="X327" s="35" t="inlineStr"/>
    </row>
    <row r="328" ht="15" customHeight="1" s="24">
      <c r="A328" s="13" t="n">
        <v>5000116367</v>
      </c>
      <c r="B328" s="13" t="inlineStr">
        <is>
          <t>Видновская дирекция киносети</t>
        </is>
      </c>
      <c r="C328" s="13" t="n">
        <v>5003005976</v>
      </c>
      <c r="D328" s="13" t="inlineStr">
        <is>
          <t>5003005976</t>
        </is>
      </c>
      <c r="E328" s="13" t="inlineStr">
        <is>
          <t>ЮЛ РФ</t>
        </is>
      </c>
      <c r="F328" s="13" t="n"/>
      <c r="G328" s="14" t="n"/>
      <c r="H328" s="14" t="n"/>
      <c r="I328" s="14" t="n"/>
      <c r="J328" s="14" t="n"/>
      <c r="K328" s="53" t="inlineStr"/>
      <c r="L328" s="53" t="inlineStr">
        <is>
          <t>Не определено</t>
        </is>
      </c>
      <c r="M328" s="53" t="inlineStr"/>
      <c r="N328" s="54" t="inlineStr"/>
      <c r="O328" s="55" t="inlineStr"/>
      <c r="P328" s="16" t="inlineStr">
        <is>
          <t>Требует обогащения</t>
        </is>
      </c>
      <c r="Q328" s="16">
        <f>HYPERLINK("https://pb.nalog.ru/search.html?query=5003005976","ФНС: проверить")</f>
        <v/>
      </c>
      <c r="R328" s="16">
        <f>HYPERLINK("https://checko.ru/search?query=3801001629","Чекко: проверить")</f>
        <v/>
      </c>
      <c r="S328" t="n">
        <v>1</v>
      </c>
      <c r="T328" s="35" t="inlineStr">
        <is>
          <t>4 — Не обогащён</t>
        </is>
      </c>
      <c r="U328" s="35" t="inlineStr">
        <is>
          <t>Нет ОКВЭД/ССЧР</t>
        </is>
      </c>
      <c r="V328" s="35" t="inlineStr">
        <is>
          <t>Не определено</t>
        </is>
      </c>
      <c r="W328" s="35" t="inlineStr"/>
      <c r="X328" s="35" t="inlineStr"/>
    </row>
    <row r="329" ht="27.75" customHeight="1" s="24">
      <c r="A329" s="13" t="n">
        <v>5000041198</v>
      </c>
      <c r="B329" s="13" t="inlineStr">
        <is>
          <t>МУ "КОМИТЕТ ПО ФИЗИЧЕСКОЙ КУЛЬТУРЕ, СПОРТУ</t>
        </is>
      </c>
      <c r="C329" s="13" t="n">
        <v>5027018124</v>
      </c>
      <c r="D329" s="13" t="inlineStr">
        <is>
          <t>5027018124</t>
        </is>
      </c>
      <c r="E329" s="13" t="inlineStr">
        <is>
          <t>ЮЛ РФ</t>
        </is>
      </c>
      <c r="F329" s="13" t="n"/>
      <c r="G329" s="14" t="n"/>
      <c r="H329" s="14" t="n"/>
      <c r="I329" s="14" t="n"/>
      <c r="J329" s="14" t="n"/>
      <c r="K329" s="53" t="inlineStr"/>
      <c r="L329" s="53" t="inlineStr">
        <is>
          <t>Не определено</t>
        </is>
      </c>
      <c r="M329" s="53" t="inlineStr"/>
      <c r="N329" s="54" t="inlineStr"/>
      <c r="O329" s="55" t="inlineStr"/>
      <c r="P329" s="16" t="inlineStr">
        <is>
          <t>Требует обогащения</t>
        </is>
      </c>
      <c r="Q329" s="16">
        <f>HYPERLINK("https://pb.nalog.ru/search.html?query=5027018124","ФНС: проверить")</f>
        <v/>
      </c>
      <c r="R329" s="16">
        <f>HYPERLINK("https://checko.ru/search?query=3801001629","Чекко: проверить")</f>
        <v/>
      </c>
      <c r="S329" t="n">
        <v>1</v>
      </c>
      <c r="T329" s="35" t="inlineStr">
        <is>
          <t>4 — Не обогащён</t>
        </is>
      </c>
      <c r="U329" s="35" t="inlineStr">
        <is>
          <t>Нет ОКВЭД/ССЧР</t>
        </is>
      </c>
      <c r="V329" s="35" t="inlineStr">
        <is>
          <t>Не определено</t>
        </is>
      </c>
      <c r="W329" s="35" t="inlineStr"/>
      <c r="X329" s="35" t="inlineStr"/>
    </row>
    <row r="330" ht="15" customHeight="1" s="24">
      <c r="A330" s="13" t="n">
        <v>5000101507</v>
      </c>
      <c r="B330" s="13" t="inlineStr">
        <is>
          <t>МБУ "Угреша-Дзержинский"</t>
        </is>
      </c>
      <c r="C330" s="13" t="n">
        <v>5056003066</v>
      </c>
      <c r="D330" s="13" t="inlineStr">
        <is>
          <t>5056003066</t>
        </is>
      </c>
      <c r="E330" s="13" t="inlineStr">
        <is>
          <t>ЮЛ РФ</t>
        </is>
      </c>
      <c r="F330" s="13" t="n"/>
      <c r="G330" s="14" t="n"/>
      <c r="H330" s="14" t="n"/>
      <c r="I330" s="14" t="n"/>
      <c r="J330" s="14" t="n"/>
      <c r="K330" s="53" t="inlineStr"/>
      <c r="L330" s="53" t="inlineStr">
        <is>
          <t>Не определено</t>
        </is>
      </c>
      <c r="M330" s="53" t="inlineStr"/>
      <c r="N330" s="54" t="inlineStr"/>
      <c r="O330" s="55" t="inlineStr"/>
      <c r="P330" s="16" t="inlineStr">
        <is>
          <t>Требует обогащения</t>
        </is>
      </c>
      <c r="Q330" s="16">
        <f>HYPERLINK("https://pb.nalog.ru/search.html?query=5056003066","ФНС: проверить")</f>
        <v/>
      </c>
      <c r="R330" s="16">
        <f>HYPERLINK("https://checko.ru/search?query=3801001629","Чекко: проверить")</f>
        <v/>
      </c>
      <c r="S330" t="n">
        <v>1</v>
      </c>
      <c r="T330" s="35" t="inlineStr">
        <is>
          <t>4 — Не обогащён</t>
        </is>
      </c>
      <c r="U330" s="35" t="inlineStr">
        <is>
          <t>Нет ОКВЭД/ССЧР</t>
        </is>
      </c>
      <c r="V330" s="35" t="inlineStr">
        <is>
          <t>Не определено</t>
        </is>
      </c>
      <c r="W330" s="35" t="inlineStr"/>
      <c r="X330" s="35" t="inlineStr"/>
    </row>
    <row r="331" ht="15" customHeight="1" s="24">
      <c r="A331" s="13" t="n">
        <v>5000116376</v>
      </c>
      <c r="B331" s="13" t="inlineStr">
        <is>
          <t>МАОУ Видновская гимназия</t>
        </is>
      </c>
      <c r="C331" s="13" t="n">
        <v>5003021537</v>
      </c>
      <c r="D331" s="13" t="inlineStr">
        <is>
          <t>5003021537</t>
        </is>
      </c>
      <c r="E331" s="13" t="inlineStr">
        <is>
          <t>ЮЛ РФ</t>
        </is>
      </c>
      <c r="F331" s="13" t="n"/>
      <c r="G331" s="14" t="n"/>
      <c r="H331" s="14" t="n"/>
      <c r="I331" s="14" t="n"/>
      <c r="J331" s="14" t="n"/>
      <c r="K331" s="53" t="inlineStr"/>
      <c r="L331" s="53" t="inlineStr">
        <is>
          <t>Не определено</t>
        </is>
      </c>
      <c r="M331" s="53" t="inlineStr"/>
      <c r="N331" s="54" t="inlineStr"/>
      <c r="O331" s="55" t="inlineStr"/>
      <c r="P331" s="16" t="inlineStr">
        <is>
          <t>Требует обогащения</t>
        </is>
      </c>
      <c r="Q331" s="16">
        <f>HYPERLINK("https://pb.nalog.ru/search.html?query=5003021537","ФНС: проверить")</f>
        <v/>
      </c>
      <c r="R331" s="16">
        <f>HYPERLINK("https://checko.ru/search?query=3801001629","Чекко: проверить")</f>
        <v/>
      </c>
      <c r="S331" t="n">
        <v>1</v>
      </c>
      <c r="T331" s="35" t="inlineStr">
        <is>
          <t>4 — Не обогащён</t>
        </is>
      </c>
      <c r="U331" s="35" t="inlineStr">
        <is>
          <t>Нет ОКВЭД/ССЧР</t>
        </is>
      </c>
      <c r="V331" s="35" t="inlineStr">
        <is>
          <t>Не определено</t>
        </is>
      </c>
      <c r="W331" s="35" t="inlineStr"/>
      <c r="X331" s="35" t="inlineStr"/>
    </row>
    <row r="332" ht="27.75" customHeight="1" s="24">
      <c r="A332" s="13" t="n">
        <v>5000116380</v>
      </c>
      <c r="B332" s="13" t="inlineStr">
        <is>
          <t>Совет депутатов Ленинского муниципального района Московской области</t>
        </is>
      </c>
      <c r="C332" s="13" t="n">
        <v>5003087425</v>
      </c>
      <c r="D332" s="13" t="inlineStr">
        <is>
          <t>5003087425</t>
        </is>
      </c>
      <c r="E332" s="13" t="inlineStr">
        <is>
          <t>ЮЛ РФ</t>
        </is>
      </c>
      <c r="F332" s="13" t="n"/>
      <c r="G332" s="14" t="n"/>
      <c r="H332" s="14" t="n"/>
      <c r="I332" s="14" t="n"/>
      <c r="J332" s="14" t="n"/>
      <c r="K332" s="53" t="inlineStr"/>
      <c r="L332" s="53" t="inlineStr">
        <is>
          <t>Не определено</t>
        </is>
      </c>
      <c r="M332" s="53" t="inlineStr"/>
      <c r="N332" s="54" t="inlineStr"/>
      <c r="O332" s="55" t="inlineStr"/>
      <c r="P332" s="16" t="inlineStr">
        <is>
          <t>Требует обогащения</t>
        </is>
      </c>
      <c r="Q332" s="16">
        <f>HYPERLINK("https://pb.nalog.ru/search.html?query=5003087425","ФНС: проверить")</f>
        <v/>
      </c>
      <c r="R332" s="16">
        <f>HYPERLINK("https://checko.ru/search?query=3801001629","Чекко: проверить")</f>
        <v/>
      </c>
      <c r="S332" t="n">
        <v>1</v>
      </c>
      <c r="T332" s="35" t="inlineStr">
        <is>
          <t>4 — Не обогащён</t>
        </is>
      </c>
      <c r="U332" s="35" t="inlineStr">
        <is>
          <t>Нет ОКВЭД/ССЧР</t>
        </is>
      </c>
      <c r="V332" s="35" t="inlineStr">
        <is>
          <t>Не определено</t>
        </is>
      </c>
      <c r="W332" s="35" t="inlineStr"/>
      <c r="X332" s="35" t="inlineStr"/>
    </row>
    <row r="333" ht="27.75" customHeight="1" s="24">
      <c r="A333" s="13" t="n">
        <v>5000116362</v>
      </c>
      <c r="B333" s="13" t="inlineStr">
        <is>
          <t>МБУ спорта «Центр физической культуры и спорта пос. совхоза им.Ленина»</t>
        </is>
      </c>
      <c r="C333" s="13" t="n">
        <v>5003098378</v>
      </c>
      <c r="D333" s="13" t="inlineStr">
        <is>
          <t>5003098378</t>
        </is>
      </c>
      <c r="E333" s="13" t="inlineStr">
        <is>
          <t>ЮЛ РФ</t>
        </is>
      </c>
      <c r="F333" s="13" t="n"/>
      <c r="G333" s="14" t="n"/>
      <c r="H333" s="14" t="n"/>
      <c r="I333" s="14" t="n"/>
      <c r="J333" s="14" t="n"/>
      <c r="K333" s="53" t="inlineStr"/>
      <c r="L333" s="53" t="inlineStr">
        <is>
          <t>Не определено</t>
        </is>
      </c>
      <c r="M333" s="53" t="inlineStr"/>
      <c r="N333" s="54" t="inlineStr"/>
      <c r="O333" s="55" t="inlineStr"/>
      <c r="P333" s="16" t="inlineStr">
        <is>
          <t>Требует обогащения</t>
        </is>
      </c>
      <c r="Q333" s="16">
        <f>HYPERLINK("https://pb.nalog.ru/search.html?query=5003098378","ФНС: проверить")</f>
        <v/>
      </c>
      <c r="R333" s="16">
        <f>HYPERLINK("https://checko.ru/search?query=3801001629","Чекко: проверить")</f>
        <v/>
      </c>
      <c r="S333" t="n">
        <v>1</v>
      </c>
      <c r="T333" s="35" t="inlineStr">
        <is>
          <t>4 — Не обогащён</t>
        </is>
      </c>
      <c r="U333" s="35" t="inlineStr">
        <is>
          <t>Нет ОКВЭД/ССЧР</t>
        </is>
      </c>
      <c r="V333" s="35" t="inlineStr">
        <is>
          <t>Не определено</t>
        </is>
      </c>
      <c r="W333" s="35" t="inlineStr"/>
      <c r="X333" s="35" t="inlineStr"/>
    </row>
    <row r="334" ht="15" customHeight="1" s="24">
      <c r="A334" s="13" t="n">
        <v>5000121168</v>
      </c>
      <c r="B334" s="13" t="inlineStr">
        <is>
          <t>МКУ "ЕДДС-112"</t>
        </is>
      </c>
      <c r="C334" s="13" t="n">
        <v>5027222955</v>
      </c>
      <c r="D334" s="13" t="inlineStr">
        <is>
          <t>5027222955</t>
        </is>
      </c>
      <c r="E334" s="13" t="inlineStr">
        <is>
          <t>ЮЛ РФ</t>
        </is>
      </c>
      <c r="F334" s="13" t="n"/>
      <c r="G334" s="14" t="n"/>
      <c r="H334" s="14" t="n"/>
      <c r="I334" s="14" t="n"/>
      <c r="J334" s="14" t="n"/>
      <c r="K334" s="53" t="inlineStr"/>
      <c r="L334" s="53" t="inlineStr">
        <is>
          <t>Не определено</t>
        </is>
      </c>
      <c r="M334" s="53" t="inlineStr"/>
      <c r="N334" s="54" t="inlineStr"/>
      <c r="O334" s="55" t="inlineStr"/>
      <c r="P334" s="16" t="inlineStr">
        <is>
          <t>Требует обогащения</t>
        </is>
      </c>
      <c r="Q334" s="16">
        <f>HYPERLINK("https://pb.nalog.ru/search.html?query=5027222955","ФНС: проверить")</f>
        <v/>
      </c>
      <c r="R334" s="16">
        <f>HYPERLINK("https://checko.ru/search?query=3801001629","Чекко: проверить")</f>
        <v/>
      </c>
      <c r="S334" t="n">
        <v>1</v>
      </c>
      <c r="T334" s="35" t="inlineStr">
        <is>
          <t>4 — Не обогащён</t>
        </is>
      </c>
      <c r="U334" s="35" t="inlineStr">
        <is>
          <t>Нет ОКВЭД/ССЧР</t>
        </is>
      </c>
      <c r="V334" s="35" t="inlineStr">
        <is>
          <t>Не определено</t>
        </is>
      </c>
      <c r="W334" s="35" t="inlineStr"/>
      <c r="X334" s="35" t="inlineStr"/>
    </row>
    <row r="335" ht="15" customHeight="1" s="24">
      <c r="A335" s="13" t="n">
        <v>5000101501</v>
      </c>
      <c r="B335" s="13" t="inlineStr">
        <is>
          <t>Муниципальное бюджетное учреждение «ДИСК»</t>
        </is>
      </c>
      <c r="C335" s="13" t="n">
        <v>5027223589</v>
      </c>
      <c r="D335" s="13" t="inlineStr">
        <is>
          <t>5027223589</t>
        </is>
      </c>
      <c r="E335" s="13" t="inlineStr">
        <is>
          <t>ЮЛ РФ</t>
        </is>
      </c>
      <c r="F335" s="13" t="n"/>
      <c r="G335" s="14" t="n"/>
      <c r="H335" s="14" t="n"/>
      <c r="I335" s="14" t="n"/>
      <c r="J335" s="14" t="n"/>
      <c r="K335" s="53" t="inlineStr"/>
      <c r="L335" s="53" t="inlineStr">
        <is>
          <t>Не определено</t>
        </is>
      </c>
      <c r="M335" s="53" t="inlineStr"/>
      <c r="N335" s="54" t="inlineStr"/>
      <c r="O335" s="55" t="inlineStr"/>
      <c r="P335" s="16" t="inlineStr">
        <is>
          <t>Требует обогащения</t>
        </is>
      </c>
      <c r="Q335" s="16">
        <f>HYPERLINK("https://pb.nalog.ru/search.html?query=5027223589","ФНС: проверить")</f>
        <v/>
      </c>
      <c r="R335" s="16">
        <f>HYPERLINK("https://checko.ru/search?query=3801001629","Чекко: проверить")</f>
        <v/>
      </c>
      <c r="S335" t="n">
        <v>1</v>
      </c>
      <c r="T335" s="35" t="inlineStr">
        <is>
          <t>4 — Не обогащён</t>
        </is>
      </c>
      <c r="U335" s="35" t="inlineStr">
        <is>
          <t>Нет ОКВЭД/ССЧР</t>
        </is>
      </c>
      <c r="V335" s="35" t="inlineStr">
        <is>
          <t>Не определено</t>
        </is>
      </c>
      <c r="W335" s="35" t="inlineStr"/>
      <c r="X335" s="35" t="inlineStr"/>
    </row>
    <row r="336" ht="15" customHeight="1" s="24">
      <c r="A336" s="13" t="n">
        <v>5000116366</v>
      </c>
      <c r="B336" s="13" t="inlineStr">
        <is>
          <t>МУК "ДК" Буревестник"</t>
        </is>
      </c>
      <c r="C336" s="13" t="n">
        <v>5003085019</v>
      </c>
      <c r="D336" s="13" t="inlineStr">
        <is>
          <t>5003085019</t>
        </is>
      </c>
      <c r="E336" s="13" t="inlineStr">
        <is>
          <t>ЮЛ РФ</t>
        </is>
      </c>
      <c r="F336" s="13" t="n"/>
      <c r="G336" s="14" t="n"/>
      <c r="H336" s="14" t="n"/>
      <c r="I336" s="14" t="n"/>
      <c r="J336" s="14" t="n"/>
      <c r="K336" s="53" t="inlineStr"/>
      <c r="L336" s="53" t="inlineStr">
        <is>
          <t>Не определено</t>
        </is>
      </c>
      <c r="M336" s="53" t="inlineStr"/>
      <c r="N336" s="54" t="inlineStr"/>
      <c r="O336" s="55" t="inlineStr"/>
      <c r="P336" s="16" t="inlineStr">
        <is>
          <t>Требует обогащения</t>
        </is>
      </c>
      <c r="Q336" s="16">
        <f>HYPERLINK("https://pb.nalog.ru/search.html?query=5003085019","ФНС: проверить")</f>
        <v/>
      </c>
      <c r="R336" s="16">
        <f>HYPERLINK("https://checko.ru/search?query=3801001629","Чекко: проверить")</f>
        <v/>
      </c>
      <c r="S336" t="n">
        <v>1</v>
      </c>
      <c r="T336" s="35" t="inlineStr">
        <is>
          <t>4 — Не обогащён</t>
        </is>
      </c>
      <c r="U336" s="35" t="inlineStr">
        <is>
          <t>Нет ОКВЭД/ССЧР</t>
        </is>
      </c>
      <c r="V336" s="35" t="inlineStr">
        <is>
          <t>Не определено</t>
        </is>
      </c>
      <c r="W336" s="35" t="inlineStr"/>
      <c r="X336" s="35" t="inlineStr"/>
    </row>
    <row r="337" ht="27.75" customHeight="1" s="24">
      <c r="A337" s="13" t="n">
        <v>5000009421</v>
      </c>
      <c r="B337" s="13" t="inlineStr">
        <is>
          <t>Контрольно-ревизионная палата Волоколамского муниципального района</t>
        </is>
      </c>
      <c r="C337" s="13" t="n">
        <v>5004023350</v>
      </c>
      <c r="D337" s="13" t="inlineStr">
        <is>
          <t>5004023350</t>
        </is>
      </c>
      <c r="E337" s="13" t="inlineStr">
        <is>
          <t>ЮЛ РФ</t>
        </is>
      </c>
      <c r="F337" s="13" t="n"/>
      <c r="G337" s="14" t="n"/>
      <c r="H337" s="14" t="n"/>
      <c r="I337" s="14" t="n"/>
      <c r="J337" s="14" t="n"/>
      <c r="K337" s="53" t="inlineStr"/>
      <c r="L337" s="53" t="inlineStr">
        <is>
          <t>Не определено</t>
        </is>
      </c>
      <c r="M337" s="53" t="inlineStr"/>
      <c r="N337" s="54" t="inlineStr"/>
      <c r="O337" s="55" t="inlineStr"/>
      <c r="P337" s="16" t="inlineStr">
        <is>
          <t>Требует обогащения</t>
        </is>
      </c>
      <c r="Q337" s="16">
        <f>HYPERLINK("https://pb.nalog.ru/search.html?query=5004023350","ФНС: проверить")</f>
        <v/>
      </c>
      <c r="R337" s="16">
        <f>HYPERLINK("https://checko.ru/search?query=3801001629","Чекко: проверить")</f>
        <v/>
      </c>
      <c r="S337" t="n">
        <v>1</v>
      </c>
      <c r="T337" s="35" t="inlineStr">
        <is>
          <t>4 — Не обогащён</t>
        </is>
      </c>
      <c r="U337" s="35" t="inlineStr">
        <is>
          <t>Нет ОКВЭД/ССЧР</t>
        </is>
      </c>
      <c r="V337" s="35" t="inlineStr">
        <is>
          <t>Не определено</t>
        </is>
      </c>
      <c r="W337" s="35" t="inlineStr"/>
      <c r="X337" s="35" t="inlineStr"/>
    </row>
    <row r="338" ht="41.25" customHeight="1" s="24">
      <c r="A338" s="13" t="n">
        <v>5000120868</v>
      </c>
      <c r="B338" s="13" t="inlineStr">
        <is>
          <t>МУНИЦИПАЛЬНОЕ КАЗЕННОЕ УЧРЕЖДЕНИЕ ЛЕНИНСКОГО ГОРОДСКОГО ОКРУГА МОСКОВСКОЙ ОБЛАСТИ "ВИДНОВСКОЕ УПРАВЛ</t>
        </is>
      </c>
      <c r="C338" s="13" t="n">
        <v>5003133230</v>
      </c>
      <c r="D338" s="13" t="inlineStr">
        <is>
          <t>5003133230</t>
        </is>
      </c>
      <c r="E338" s="13" t="inlineStr">
        <is>
          <t>ЮЛ РФ</t>
        </is>
      </c>
      <c r="F338" s="13" t="n"/>
      <c r="G338" s="14" t="n"/>
      <c r="H338" s="14" t="n"/>
      <c r="I338" s="14" t="n"/>
      <c r="J338" s="14" t="n"/>
      <c r="K338" s="53" t="inlineStr"/>
      <c r="L338" s="53" t="inlineStr">
        <is>
          <t>Не определено</t>
        </is>
      </c>
      <c r="M338" s="53" t="inlineStr"/>
      <c r="N338" s="54" t="inlineStr"/>
      <c r="O338" s="55" t="inlineStr"/>
      <c r="P338" s="16" t="inlineStr">
        <is>
          <t>Требует обогащения</t>
        </is>
      </c>
      <c r="Q338" s="16">
        <f>HYPERLINK("https://pb.nalog.ru/search.html?query=5003133230","ФНС: проверить")</f>
        <v/>
      </c>
      <c r="R338" s="16">
        <f>HYPERLINK("https://checko.ru/search?query=3801001629","Чекко: проверить")</f>
        <v/>
      </c>
      <c r="S338" t="n">
        <v>1</v>
      </c>
      <c r="T338" s="35" t="inlineStr">
        <is>
          <t>4 — Не обогащён</t>
        </is>
      </c>
      <c r="U338" s="35" t="inlineStr">
        <is>
          <t>Нет ОКВЭД/ССЧР</t>
        </is>
      </c>
      <c r="V338" s="35" t="inlineStr">
        <is>
          <t>Не определено</t>
        </is>
      </c>
      <c r="W338" s="35" t="inlineStr"/>
      <c r="X338" s="35" t="inlineStr"/>
    </row>
    <row r="339" ht="15" customHeight="1" s="24">
      <c r="A339" s="13" t="n">
        <v>5000116392</v>
      </c>
      <c r="B339" s="13" t="inlineStr">
        <is>
          <t>МАОУ ДОД СДЮСШОР по футболу</t>
        </is>
      </c>
      <c r="C339" s="13" t="n">
        <v>5047047652</v>
      </c>
      <c r="D339" s="13" t="inlineStr">
        <is>
          <t>5047047652</t>
        </is>
      </c>
      <c r="E339" s="13" t="inlineStr">
        <is>
          <t>ЮЛ РФ</t>
        </is>
      </c>
      <c r="F339" s="13" t="n"/>
      <c r="G339" s="14" t="n"/>
      <c r="H339" s="14" t="n"/>
      <c r="I339" s="14" t="n"/>
      <c r="J339" s="14" t="n"/>
      <c r="K339" s="53" t="inlineStr"/>
      <c r="L339" s="53" t="inlineStr">
        <is>
          <t>Не определено</t>
        </is>
      </c>
      <c r="M339" s="53" t="inlineStr"/>
      <c r="N339" s="54" t="inlineStr"/>
      <c r="O339" s="55" t="inlineStr"/>
      <c r="P339" s="16" t="inlineStr">
        <is>
          <t>Требует обогащения</t>
        </is>
      </c>
      <c r="Q339" s="16">
        <f>HYPERLINK("https://pb.nalog.ru/search.html?query=5047047652","ФНС: проверить")</f>
        <v/>
      </c>
      <c r="R339" s="16">
        <f>HYPERLINK("https://checko.ru/search?query=3801001629","Чекко: проверить")</f>
        <v/>
      </c>
      <c r="S339" t="n">
        <v>1</v>
      </c>
      <c r="T339" s="35" t="inlineStr">
        <is>
          <t>4 — Не обогащён</t>
        </is>
      </c>
      <c r="U339" s="35" t="inlineStr">
        <is>
          <t>Нет ОКВЭД/ССЧР</t>
        </is>
      </c>
      <c r="V339" s="35" t="inlineStr">
        <is>
          <t>Не определено</t>
        </is>
      </c>
      <c r="W339" s="35" t="inlineStr"/>
      <c r="X339" s="35" t="inlineStr"/>
    </row>
    <row r="340" ht="15" customHeight="1" s="24">
      <c r="A340" s="13" t="n">
        <v>5000116347</v>
      </c>
      <c r="B340" s="13" t="inlineStr">
        <is>
          <t>МКУ "СЛУЖБА КЛАДБИЩ ИСТРИНСКОГО РАЙОНА"</t>
        </is>
      </c>
      <c r="C340" s="13" t="n">
        <v>5017109051</v>
      </c>
      <c r="D340" s="13" t="inlineStr">
        <is>
          <t>5017109051</t>
        </is>
      </c>
      <c r="E340" s="13" t="inlineStr">
        <is>
          <t>ЮЛ РФ</t>
        </is>
      </c>
      <c r="F340" s="13" t="n"/>
      <c r="G340" s="14" t="n"/>
      <c r="H340" s="14" t="n"/>
      <c r="I340" s="14" t="n"/>
      <c r="J340" s="14" t="n"/>
      <c r="K340" s="53" t="inlineStr"/>
      <c r="L340" s="53" t="inlineStr">
        <is>
          <t>Не определено</t>
        </is>
      </c>
      <c r="M340" s="53" t="inlineStr"/>
      <c r="N340" s="54" t="inlineStr"/>
      <c r="O340" s="55" t="inlineStr"/>
      <c r="P340" s="16" t="inlineStr">
        <is>
          <t>Требует обогащения</t>
        </is>
      </c>
      <c r="Q340" s="16">
        <f>HYPERLINK("https://pb.nalog.ru/search.html?query=5017109051","ФНС: проверить")</f>
        <v/>
      </c>
      <c r="R340" s="16">
        <f>HYPERLINK("https://checko.ru/search?query=3801001629","Чекко: проверить")</f>
        <v/>
      </c>
      <c r="S340" t="n">
        <v>1</v>
      </c>
      <c r="T340" s="35" t="inlineStr">
        <is>
          <t>4 — Не обогащён</t>
        </is>
      </c>
      <c r="U340" s="35" t="inlineStr">
        <is>
          <t>Нет ОКВЭД/ССЧР</t>
        </is>
      </c>
      <c r="V340" s="35" t="inlineStr">
        <is>
          <t>Не определено</t>
        </is>
      </c>
      <c r="W340" s="35" t="inlineStr"/>
      <c r="X340" s="35" t="inlineStr"/>
    </row>
    <row r="341" ht="15" customHeight="1" s="24">
      <c r="A341" s="13" t="n">
        <v>5000009423</v>
      </c>
      <c r="B341" s="13" t="inlineStr">
        <is>
          <t>МАУ "СРС"</t>
        </is>
      </c>
      <c r="C341" s="13" t="n">
        <v>5004028221</v>
      </c>
      <c r="D341" s="13" t="inlineStr">
        <is>
          <t>5004028221</t>
        </is>
      </c>
      <c r="E341" s="13" t="inlineStr">
        <is>
          <t>ЮЛ РФ</t>
        </is>
      </c>
      <c r="F341" s="13" t="n"/>
      <c r="G341" s="14" t="n"/>
      <c r="H341" s="14" t="n"/>
      <c r="I341" s="14" t="n"/>
      <c r="J341" s="14" t="n"/>
      <c r="K341" s="53" t="inlineStr"/>
      <c r="L341" s="53" t="inlineStr">
        <is>
          <t>Не определено</t>
        </is>
      </c>
      <c r="M341" s="53" t="inlineStr"/>
      <c r="N341" s="54" t="inlineStr"/>
      <c r="O341" s="55" t="inlineStr"/>
      <c r="P341" s="16" t="inlineStr">
        <is>
          <t>Требует обогащения</t>
        </is>
      </c>
      <c r="Q341" s="16">
        <f>HYPERLINK("https://pb.nalog.ru/search.html?query=5004028221","ФНС: проверить")</f>
        <v/>
      </c>
      <c r="R341" s="16">
        <f>HYPERLINK("https://checko.ru/search?query=3801001629","Чекко: проверить")</f>
        <v/>
      </c>
      <c r="S341" t="n">
        <v>1</v>
      </c>
      <c r="T341" s="35" t="inlineStr">
        <is>
          <t>4 — Не обогащён</t>
        </is>
      </c>
      <c r="U341" s="35" t="inlineStr">
        <is>
          <t>Нет ОКВЭД/ССЧР</t>
        </is>
      </c>
      <c r="V341" s="35" t="inlineStr">
        <is>
          <t>Не определено</t>
        </is>
      </c>
      <c r="W341" s="35" t="inlineStr"/>
      <c r="X341" s="35" t="inlineStr"/>
    </row>
    <row r="342" ht="27.75" customHeight="1" s="24">
      <c r="A342" s="13" t="n">
        <v>5000087403</v>
      </c>
      <c r="B342" s="13" t="inlineStr">
        <is>
          <t>МБУ ДО ЦЕНТР ДЕТСКОГО ТВОРЧЕСТВА "ГАРМОНИЯ"</t>
        </is>
      </c>
      <c r="C342" s="13" t="n">
        <v>5003021632</v>
      </c>
      <c r="D342" s="13" t="inlineStr">
        <is>
          <t>5003021632</t>
        </is>
      </c>
      <c r="E342" s="13" t="inlineStr">
        <is>
          <t>ЮЛ РФ</t>
        </is>
      </c>
      <c r="F342" s="13" t="n"/>
      <c r="G342" s="14" t="n"/>
      <c r="H342" s="14" t="n"/>
      <c r="I342" s="14" t="n"/>
      <c r="J342" s="14" t="n"/>
      <c r="K342" s="53" t="inlineStr"/>
      <c r="L342" s="53" t="inlineStr">
        <is>
          <t>Не определено</t>
        </is>
      </c>
      <c r="M342" s="53" t="inlineStr"/>
      <c r="N342" s="54" t="inlineStr"/>
      <c r="O342" s="55" t="inlineStr"/>
      <c r="P342" s="16" t="inlineStr">
        <is>
          <t>Требует обогащения</t>
        </is>
      </c>
      <c r="Q342" s="16">
        <f>HYPERLINK("https://pb.nalog.ru/search.html?query=5003021632","ФНС: проверить")</f>
        <v/>
      </c>
      <c r="R342" s="16">
        <f>HYPERLINK("https://checko.ru/search?query=3801001629","Чекко: проверить")</f>
        <v/>
      </c>
      <c r="S342" t="n">
        <v>1</v>
      </c>
      <c r="T342" s="35" t="inlineStr">
        <is>
          <t>4 — Не обогащён</t>
        </is>
      </c>
      <c r="U342" s="35" t="inlineStr">
        <is>
          <t>Нет ОКВЭД/ССЧР</t>
        </is>
      </c>
      <c r="V342" s="35" t="inlineStr">
        <is>
          <t>Не определено</t>
        </is>
      </c>
      <c r="W342" s="35" t="inlineStr"/>
      <c r="X342" s="35" t="inlineStr"/>
    </row>
    <row r="343" ht="15" customHeight="1" s="24">
      <c r="A343" s="13" t="n">
        <v>5000121530</v>
      </c>
      <c r="B343" s="13" t="inlineStr">
        <is>
          <t>МУ Дворец спорта "Лама"</t>
        </is>
      </c>
      <c r="C343" s="13" t="n">
        <v>5004020208</v>
      </c>
      <c r="D343" s="13" t="inlineStr">
        <is>
          <t>5004020208</t>
        </is>
      </c>
      <c r="E343" s="13" t="inlineStr">
        <is>
          <t>ЮЛ РФ</t>
        </is>
      </c>
      <c r="F343" s="13" t="n"/>
      <c r="G343" s="14" t="n"/>
      <c r="H343" s="14" t="n"/>
      <c r="I343" s="14" t="n"/>
      <c r="J343" s="14" t="n"/>
      <c r="K343" s="53" t="inlineStr"/>
      <c r="L343" s="53" t="inlineStr">
        <is>
          <t>Не определено</t>
        </is>
      </c>
      <c r="M343" s="53" t="inlineStr"/>
      <c r="N343" s="54" t="inlineStr"/>
      <c r="O343" s="55" t="inlineStr"/>
      <c r="P343" s="16" t="inlineStr">
        <is>
          <t>Требует обогащения</t>
        </is>
      </c>
      <c r="Q343" s="16">
        <f>HYPERLINK("https://pb.nalog.ru/search.html?query=5004020208","ФНС: проверить")</f>
        <v/>
      </c>
      <c r="R343" s="16">
        <f>HYPERLINK("https://checko.ru/search?query=3801001629","Чекко: проверить")</f>
        <v/>
      </c>
      <c r="S343" t="n">
        <v>1</v>
      </c>
      <c r="T343" s="35" t="inlineStr">
        <is>
          <t>4 — Не обогащён</t>
        </is>
      </c>
      <c r="U343" s="35" t="inlineStr">
        <is>
          <t>Нет ОКВЭД/ССЧР</t>
        </is>
      </c>
      <c r="V343" s="35" t="inlineStr">
        <is>
          <t>Не определено</t>
        </is>
      </c>
      <c r="W343" s="35" t="inlineStr"/>
      <c r="X343" s="35" t="inlineStr"/>
    </row>
    <row r="344" ht="15" customHeight="1" s="24">
      <c r="A344" s="13" t="n">
        <v>5000101511</v>
      </c>
      <c r="B344" s="13" t="inlineStr">
        <is>
          <t>МБОУ «Лицей №6 «Парус»</t>
        </is>
      </c>
      <c r="C344" s="13" t="n">
        <v>5027108258</v>
      </c>
      <c r="D344" s="13" t="inlineStr">
        <is>
          <t>5027108258</t>
        </is>
      </c>
      <c r="E344" s="13" t="inlineStr">
        <is>
          <t>ЮЛ РФ</t>
        </is>
      </c>
      <c r="F344" s="13" t="n"/>
      <c r="G344" s="14" t="n"/>
      <c r="H344" s="14" t="n"/>
      <c r="I344" s="14" t="n"/>
      <c r="J344" s="14" t="n"/>
      <c r="K344" s="53" t="inlineStr"/>
      <c r="L344" s="53" t="inlineStr">
        <is>
          <t>Не определено</t>
        </is>
      </c>
      <c r="M344" s="53" t="inlineStr"/>
      <c r="N344" s="54" t="inlineStr"/>
      <c r="O344" s="55" t="inlineStr"/>
      <c r="P344" s="16" t="inlineStr">
        <is>
          <t>Требует обогащения</t>
        </is>
      </c>
      <c r="Q344" s="16">
        <f>HYPERLINK("https://pb.nalog.ru/search.html?query=5027108258","ФНС: проверить")</f>
        <v/>
      </c>
      <c r="R344" s="16">
        <f>HYPERLINK("https://checko.ru/search?query=3801001629","Чекко: проверить")</f>
        <v/>
      </c>
      <c r="S344" t="n">
        <v>1</v>
      </c>
      <c r="T344" s="35" t="inlineStr">
        <is>
          <t>4 — Не обогащён</t>
        </is>
      </c>
      <c r="U344" s="35" t="inlineStr">
        <is>
          <t>Нет ОКВЭД/ССЧР</t>
        </is>
      </c>
      <c r="V344" s="35" t="inlineStr">
        <is>
          <t>Не определено</t>
        </is>
      </c>
      <c r="W344" s="35" t="inlineStr"/>
      <c r="X344" s="35" t="inlineStr"/>
    </row>
    <row r="345" ht="27.75" customHeight="1" s="24">
      <c r="A345" s="13" t="n">
        <v>5000074070</v>
      </c>
      <c r="B345" s="13" t="inlineStr">
        <is>
          <t>МОУ "Средняя общеобразовательная школа №4 имени Героя Советского Союза Л.М.Доватора"</t>
        </is>
      </c>
      <c r="C345" s="13" t="n">
        <v>5017049853</v>
      </c>
      <c r="D345" s="13" t="inlineStr">
        <is>
          <t>5017049853</t>
        </is>
      </c>
      <c r="E345" s="13" t="inlineStr">
        <is>
          <t>ЮЛ РФ</t>
        </is>
      </c>
      <c r="F345" s="13" t="n"/>
      <c r="G345" s="14" t="n"/>
      <c r="H345" s="14" t="n"/>
      <c r="I345" s="14" t="n"/>
      <c r="J345" s="14" t="n"/>
      <c r="K345" s="53" t="inlineStr"/>
      <c r="L345" s="53" t="inlineStr">
        <is>
          <t>Не определено</t>
        </is>
      </c>
      <c r="M345" s="53" t="inlineStr"/>
      <c r="N345" s="54" t="inlineStr"/>
      <c r="O345" s="55" t="inlineStr"/>
      <c r="P345" s="16" t="inlineStr">
        <is>
          <t>Требует обогащения</t>
        </is>
      </c>
      <c r="Q345" s="16">
        <f>HYPERLINK("https://pb.nalog.ru/search.html?query=5017049853","ФНС: проверить")</f>
        <v/>
      </c>
      <c r="R345" s="16">
        <f>HYPERLINK("https://checko.ru/search?query=3801001629","Чекко: проверить")</f>
        <v/>
      </c>
      <c r="S345" t="n">
        <v>1</v>
      </c>
      <c r="T345" s="35" t="inlineStr">
        <is>
          <t>4 — Не обогащён</t>
        </is>
      </c>
      <c r="U345" s="35" t="inlineStr">
        <is>
          <t>Нет ОКВЭД/ССЧР</t>
        </is>
      </c>
      <c r="V345" s="35" t="inlineStr">
        <is>
          <t>Не определено</t>
        </is>
      </c>
      <c r="W345" s="35" t="inlineStr"/>
      <c r="X345" s="35" t="inlineStr"/>
    </row>
    <row r="346" ht="27.75" customHeight="1" s="24">
      <c r="A346" s="13" t="n">
        <v>5000074075</v>
      </c>
      <c r="B346" s="13" t="inlineStr">
        <is>
          <t>МОУ Новопетровская средняя общеобразовательная школа</t>
        </is>
      </c>
      <c r="C346" s="13" t="n">
        <v>5017048345</v>
      </c>
      <c r="D346" s="13" t="inlineStr">
        <is>
          <t>5017048345</t>
        </is>
      </c>
      <c r="E346" s="13" t="inlineStr">
        <is>
          <t>ЮЛ РФ</t>
        </is>
      </c>
      <c r="F346" s="13" t="n"/>
      <c r="G346" s="14" t="n"/>
      <c r="H346" s="14" t="n"/>
      <c r="I346" s="14" t="n"/>
      <c r="J346" s="14" t="n"/>
      <c r="K346" s="53" t="inlineStr"/>
      <c r="L346" s="53" t="inlineStr">
        <is>
          <t>Не определено</t>
        </is>
      </c>
      <c r="M346" s="53" t="inlineStr"/>
      <c r="N346" s="54" t="inlineStr"/>
      <c r="O346" s="55" t="inlineStr"/>
      <c r="P346" s="16" t="inlineStr">
        <is>
          <t>Требует обогащения</t>
        </is>
      </c>
      <c r="Q346" s="16">
        <f>HYPERLINK("https://pb.nalog.ru/search.html?query=5017048345","ФНС: проверить")</f>
        <v/>
      </c>
      <c r="R346" s="16">
        <f>HYPERLINK("https://checko.ru/search?query=3801001629","Чекко: проверить")</f>
        <v/>
      </c>
      <c r="S346" t="n">
        <v>1</v>
      </c>
      <c r="T346" s="35" t="inlineStr">
        <is>
          <t>4 — Не обогащён</t>
        </is>
      </c>
      <c r="U346" s="35" t="inlineStr">
        <is>
          <t>Нет ОКВЭД/ССЧР</t>
        </is>
      </c>
      <c r="V346" s="35" t="inlineStr">
        <is>
          <t>Не определено</t>
        </is>
      </c>
      <c r="W346" s="35" t="inlineStr"/>
      <c r="X346" s="35" t="inlineStr"/>
    </row>
    <row r="347" ht="27.75" customHeight="1" s="24">
      <c r="A347" s="13" t="n">
        <v>5000074076</v>
      </c>
      <c r="B347" s="13" t="inlineStr">
        <is>
          <t>МОУ "Румянцевская средняя общеобразовательная школа"</t>
        </is>
      </c>
      <c r="C347" s="13" t="n">
        <v>5017048352</v>
      </c>
      <c r="D347" s="13" t="inlineStr">
        <is>
          <t>5017048352</t>
        </is>
      </c>
      <c r="E347" s="13" t="inlineStr">
        <is>
          <t>ЮЛ РФ</t>
        </is>
      </c>
      <c r="F347" s="13" t="n"/>
      <c r="G347" s="14" t="n"/>
      <c r="H347" s="14" t="n"/>
      <c r="I347" s="14" t="n"/>
      <c r="J347" s="14" t="n"/>
      <c r="K347" s="53" t="inlineStr"/>
      <c r="L347" s="53" t="inlineStr">
        <is>
          <t>Не определено</t>
        </is>
      </c>
      <c r="M347" s="53" t="inlineStr"/>
      <c r="N347" s="54" t="inlineStr"/>
      <c r="O347" s="55" t="inlineStr"/>
      <c r="P347" s="16" t="inlineStr">
        <is>
          <t>Требует обогащения</t>
        </is>
      </c>
      <c r="Q347" s="16">
        <f>HYPERLINK("https://pb.nalog.ru/search.html?query=5017048352","ФНС: проверить")</f>
        <v/>
      </c>
      <c r="R347" s="16">
        <f>HYPERLINK("https://checko.ru/search?query=3801001629","Чекко: проверить")</f>
        <v/>
      </c>
      <c r="S347" t="n">
        <v>1</v>
      </c>
      <c r="T347" s="35" t="inlineStr">
        <is>
          <t>4 — Не обогащён</t>
        </is>
      </c>
      <c r="U347" s="35" t="inlineStr">
        <is>
          <t>Нет ОКВЭД/ССЧР</t>
        </is>
      </c>
      <c r="V347" s="35" t="inlineStr">
        <is>
          <t>Не определено</t>
        </is>
      </c>
      <c r="W347" s="35" t="inlineStr"/>
      <c r="X347" s="35" t="inlineStr"/>
    </row>
    <row r="348" ht="41.25" customHeight="1" s="24">
      <c r="A348" s="13" t="n">
        <v>5000074077</v>
      </c>
      <c r="B348" s="13" t="inlineStr">
        <is>
          <t>МБОУ "Новопетровская школа-интернат для обучающихся с ограниченными возможностями здоровья"</t>
        </is>
      </c>
      <c r="C348" s="13" t="n">
        <v>5017048440</v>
      </c>
      <c r="D348" s="13" t="inlineStr">
        <is>
          <t>5017048440</t>
        </is>
      </c>
      <c r="E348" s="13" t="inlineStr">
        <is>
          <t>ЮЛ РФ</t>
        </is>
      </c>
      <c r="F348" s="13" t="n"/>
      <c r="G348" s="14" t="n"/>
      <c r="H348" s="14" t="n"/>
      <c r="I348" s="14" t="n"/>
      <c r="J348" s="14" t="n"/>
      <c r="K348" s="53" t="inlineStr"/>
      <c r="L348" s="53" t="inlineStr">
        <is>
          <t>Не определено</t>
        </is>
      </c>
      <c r="M348" s="53" t="inlineStr"/>
      <c r="N348" s="54" t="inlineStr"/>
      <c r="O348" s="55" t="inlineStr"/>
      <c r="P348" s="16" t="inlineStr">
        <is>
          <t>Требует обогащения</t>
        </is>
      </c>
      <c r="Q348" s="16">
        <f>HYPERLINK("https://pb.nalog.ru/search.html?query=5017048440","ФНС: проверить")</f>
        <v/>
      </c>
      <c r="R348" s="16">
        <f>HYPERLINK("https://checko.ru/search?query=3801001629","Чекко: проверить")</f>
        <v/>
      </c>
      <c r="S348" t="n">
        <v>1</v>
      </c>
      <c r="T348" s="35" t="inlineStr">
        <is>
          <t>4 — Не обогащён</t>
        </is>
      </c>
      <c r="U348" s="35" t="inlineStr">
        <is>
          <t>Нет ОКВЭД/ССЧР</t>
        </is>
      </c>
      <c r="V348" s="35" t="inlineStr">
        <is>
          <t>Не определено</t>
        </is>
      </c>
      <c r="W348" s="35" t="inlineStr"/>
      <c r="X348" s="35" t="inlineStr"/>
    </row>
    <row r="349" ht="27.75" customHeight="1" s="24">
      <c r="A349" s="13" t="n">
        <v>5000074078</v>
      </c>
      <c r="B349" s="13" t="inlineStr">
        <is>
          <t>МОУ "Октябрьская средняя общеобразовательная школа"</t>
        </is>
      </c>
      <c r="C349" s="13" t="n">
        <v>5017048377</v>
      </c>
      <c r="D349" s="13" t="inlineStr">
        <is>
          <t>5017048377</t>
        </is>
      </c>
      <c r="E349" s="13" t="inlineStr">
        <is>
          <t>ЮЛ РФ</t>
        </is>
      </c>
      <c r="F349" s="13" t="n"/>
      <c r="G349" s="14" t="n"/>
      <c r="H349" s="14" t="n"/>
      <c r="I349" s="14" t="n"/>
      <c r="J349" s="14" t="n"/>
      <c r="K349" s="53" t="inlineStr"/>
      <c r="L349" s="53" t="inlineStr">
        <is>
          <t>Не определено</t>
        </is>
      </c>
      <c r="M349" s="53" t="inlineStr"/>
      <c r="N349" s="54" t="inlineStr"/>
      <c r="O349" s="55" t="inlineStr"/>
      <c r="P349" s="16" t="inlineStr">
        <is>
          <t>Требует обогащения</t>
        </is>
      </c>
      <c r="Q349" s="16">
        <f>HYPERLINK("https://pb.nalog.ru/search.html?query=5017048377","ФНС: проверить")</f>
        <v/>
      </c>
      <c r="R349" s="16">
        <f>HYPERLINK("https://checko.ru/search?query=3801001629","Чекко: проверить")</f>
        <v/>
      </c>
      <c r="S349" t="n">
        <v>1</v>
      </c>
      <c r="T349" s="35" t="inlineStr">
        <is>
          <t>4 — Не обогащён</t>
        </is>
      </c>
      <c r="U349" s="35" t="inlineStr">
        <is>
          <t>Нет ОКВЭД/ССЧР</t>
        </is>
      </c>
      <c r="V349" s="35" t="inlineStr">
        <is>
          <t>Не определено</t>
        </is>
      </c>
      <c r="W349" s="35" t="inlineStr"/>
      <c r="X349" s="35" t="inlineStr"/>
    </row>
    <row r="350" ht="41.25" customHeight="1" s="24">
      <c r="A350" s="13" t="n">
        <v>5000074071</v>
      </c>
      <c r="B350" s="13" t="inlineStr">
        <is>
          <t>МБОУ "Дедовская школа-интернат для обучающихся с ограниченными возможностями здоровья"</t>
        </is>
      </c>
      <c r="C350" s="13" t="n">
        <v>5017049236</v>
      </c>
      <c r="D350" s="13" t="inlineStr">
        <is>
          <t>5017049236</t>
        </is>
      </c>
      <c r="E350" s="13" t="inlineStr">
        <is>
          <t>ЮЛ РФ</t>
        </is>
      </c>
      <c r="F350" s="13" t="n"/>
      <c r="G350" s="14" t="n"/>
      <c r="H350" s="14" t="n"/>
      <c r="I350" s="14" t="n"/>
      <c r="J350" s="14" t="n"/>
      <c r="K350" s="53" t="inlineStr"/>
      <c r="L350" s="53" t="inlineStr">
        <is>
          <t>Не определено</t>
        </is>
      </c>
      <c r="M350" s="53" t="inlineStr"/>
      <c r="N350" s="54" t="inlineStr"/>
      <c r="O350" s="55" t="inlineStr"/>
      <c r="P350" s="16" t="inlineStr">
        <is>
          <t>Требует обогащения</t>
        </is>
      </c>
      <c r="Q350" s="16">
        <f>HYPERLINK("https://pb.nalog.ru/search.html?query=5017049236","ФНС: проверить")</f>
        <v/>
      </c>
      <c r="R350" s="16">
        <f>HYPERLINK("https://checko.ru/search?query=3801001629","Чекко: проверить")</f>
        <v/>
      </c>
      <c r="S350" t="n">
        <v>1</v>
      </c>
      <c r="T350" s="35" t="inlineStr">
        <is>
          <t>4 — Не обогащён</t>
        </is>
      </c>
      <c r="U350" s="35" t="inlineStr">
        <is>
          <t>Нет ОКВЭД/ССЧР</t>
        </is>
      </c>
      <c r="V350" s="35" t="inlineStr">
        <is>
          <t>Не определено</t>
        </is>
      </c>
      <c r="W350" s="35" t="inlineStr"/>
      <c r="X350" s="35" t="inlineStr"/>
    </row>
    <row r="351" ht="27.75" customHeight="1" s="24">
      <c r="A351" s="13" t="n">
        <v>5000074073</v>
      </c>
      <c r="B351" s="13" t="inlineStr">
        <is>
          <t>МОУ "Костровская средняя общеобразовательная школа"</t>
        </is>
      </c>
      <c r="C351" s="13" t="n">
        <v>5017048031</v>
      </c>
      <c r="D351" s="13" t="inlineStr">
        <is>
          <t>5017048031</t>
        </is>
      </c>
      <c r="E351" s="13" t="inlineStr">
        <is>
          <t>ЮЛ РФ</t>
        </is>
      </c>
      <c r="F351" s="13" t="n"/>
      <c r="G351" s="14" t="n"/>
      <c r="H351" s="14" t="n"/>
      <c r="I351" s="14" t="n"/>
      <c r="J351" s="14" t="n"/>
      <c r="K351" s="53" t="inlineStr"/>
      <c r="L351" s="53" t="inlineStr">
        <is>
          <t>Не определено</t>
        </is>
      </c>
      <c r="M351" s="53" t="inlineStr"/>
      <c r="N351" s="54" t="inlineStr"/>
      <c r="O351" s="55" t="inlineStr"/>
      <c r="P351" s="16" t="inlineStr">
        <is>
          <t>Требует обогащения</t>
        </is>
      </c>
      <c r="Q351" s="16">
        <f>HYPERLINK("https://pb.nalog.ru/search.html?query=5017048031","ФНС: проверить")</f>
        <v/>
      </c>
      <c r="R351" s="16">
        <f>HYPERLINK("https://checko.ru/search?query=3801001629","Чекко: проверить")</f>
        <v/>
      </c>
      <c r="S351" t="n">
        <v>1</v>
      </c>
      <c r="T351" s="35" t="inlineStr">
        <is>
          <t>4 — Не обогащён</t>
        </is>
      </c>
      <c r="U351" s="35" t="inlineStr">
        <is>
          <t>Нет ОКВЭД/ССЧР</t>
        </is>
      </c>
      <c r="V351" s="35" t="inlineStr">
        <is>
          <t>Не определено</t>
        </is>
      </c>
      <c r="W351" s="35" t="inlineStr"/>
      <c r="X351" s="35" t="inlineStr"/>
    </row>
    <row r="352" ht="27.75" customHeight="1" s="24">
      <c r="A352" s="13" t="n">
        <v>5000074074</v>
      </c>
      <c r="B352" s="13" t="inlineStr">
        <is>
          <t>МОУ "Глебовская средняя общеобразовательная школа"</t>
        </is>
      </c>
      <c r="C352" s="13" t="n">
        <v>5017048881</v>
      </c>
      <c r="D352" s="13" t="inlineStr">
        <is>
          <t>5017048881</t>
        </is>
      </c>
      <c r="E352" s="13" t="inlineStr">
        <is>
          <t>ЮЛ РФ</t>
        </is>
      </c>
      <c r="F352" s="13" t="n"/>
      <c r="G352" s="14" t="n"/>
      <c r="H352" s="14" t="n"/>
      <c r="I352" s="14" t="n"/>
      <c r="J352" s="14" t="n"/>
      <c r="K352" s="53" t="inlineStr"/>
      <c r="L352" s="53" t="inlineStr">
        <is>
          <t>Не определено</t>
        </is>
      </c>
      <c r="M352" s="53" t="inlineStr"/>
      <c r="N352" s="54" t="inlineStr"/>
      <c r="O352" s="55" t="inlineStr"/>
      <c r="P352" s="16" t="inlineStr">
        <is>
          <t>Требует обогащения</t>
        </is>
      </c>
      <c r="Q352" s="16">
        <f>HYPERLINK("https://pb.nalog.ru/search.html?query=5017048881","ФНС: проверить")</f>
        <v/>
      </c>
      <c r="R352" s="16">
        <f>HYPERLINK("https://checko.ru/search?query=3801001629","Чекко: проверить")</f>
        <v/>
      </c>
      <c r="S352" t="n">
        <v>1</v>
      </c>
      <c r="T352" s="35" t="inlineStr">
        <is>
          <t>4 — Не обогащён</t>
        </is>
      </c>
      <c r="U352" s="35" t="inlineStr">
        <is>
          <t>Нет ОКВЭД/ССЧР</t>
        </is>
      </c>
      <c r="V352" s="35" t="inlineStr">
        <is>
          <t>Не определено</t>
        </is>
      </c>
      <c r="W352" s="35" t="inlineStr"/>
      <c r="X352" s="35" t="inlineStr"/>
    </row>
    <row r="353" ht="41.25" customHeight="1" s="24">
      <c r="A353" s="13" t="n">
        <v>5000080324</v>
      </c>
      <c r="B353" s="13" t="inlineStr">
        <is>
          <t>Муниципального учреждения социального обслуживания молодежи «БРОННИЦКИЙ МОЛОДЕЖНЫЙ ЦЕНТР «АЛИБИ»</t>
        </is>
      </c>
      <c r="C353" s="13" t="n">
        <v>5002003662</v>
      </c>
      <c r="D353" s="13" t="inlineStr">
        <is>
          <t>5002003662</t>
        </is>
      </c>
      <c r="E353" s="13" t="inlineStr">
        <is>
          <t>ЮЛ РФ</t>
        </is>
      </c>
      <c r="F353" s="13" t="n"/>
      <c r="G353" s="14" t="n"/>
      <c r="H353" s="14" t="n"/>
      <c r="I353" s="14" t="n"/>
      <c r="J353" s="14" t="n"/>
      <c r="K353" s="53" t="inlineStr"/>
      <c r="L353" s="53" t="inlineStr">
        <is>
          <t>Не определено</t>
        </is>
      </c>
      <c r="M353" s="53" t="inlineStr"/>
      <c r="N353" s="54" t="inlineStr"/>
      <c r="O353" s="55" t="inlineStr"/>
      <c r="P353" s="16" t="inlineStr">
        <is>
          <t>Требует обогащения</t>
        </is>
      </c>
      <c r="Q353" s="16">
        <f>HYPERLINK("https://pb.nalog.ru/search.html?query=5002003662","ФНС: проверить")</f>
        <v/>
      </c>
      <c r="R353" s="16">
        <f>HYPERLINK("https://checko.ru/search?query=3801001629","Чекко: проверить")</f>
        <v/>
      </c>
      <c r="S353" t="n">
        <v>1</v>
      </c>
      <c r="T353" s="35" t="inlineStr">
        <is>
          <t>4 — Не обогащён</t>
        </is>
      </c>
      <c r="U353" s="35" t="inlineStr">
        <is>
          <t>Нет ОКВЭД/ССЧР</t>
        </is>
      </c>
      <c r="V353" s="35" t="inlineStr">
        <is>
          <t>Не определено</t>
        </is>
      </c>
      <c r="W353" s="35" t="inlineStr"/>
      <c r="X353" s="35" t="inlineStr"/>
    </row>
    <row r="354" ht="15" customHeight="1" s="24">
      <c r="A354" s="13" t="n">
        <v>5000080326</v>
      </c>
      <c r="B354" s="13" t="inlineStr">
        <is>
          <t>МУК «Культурно-досуговый центр «Бронницы»</t>
        </is>
      </c>
      <c r="C354" s="13" t="n">
        <v>5002065193</v>
      </c>
      <c r="D354" s="13" t="inlineStr">
        <is>
          <t>5002065193</t>
        </is>
      </c>
      <c r="E354" s="13" t="inlineStr">
        <is>
          <t>ЮЛ РФ</t>
        </is>
      </c>
      <c r="F354" s="13" t="n"/>
      <c r="G354" s="14" t="n"/>
      <c r="H354" s="14" t="n"/>
      <c r="I354" s="14" t="n"/>
      <c r="J354" s="14" t="n"/>
      <c r="K354" s="53" t="inlineStr"/>
      <c r="L354" s="53" t="inlineStr">
        <is>
          <t>Не определено</t>
        </is>
      </c>
      <c r="M354" s="53" t="inlineStr"/>
      <c r="N354" s="54" t="inlineStr"/>
      <c r="O354" s="55" t="inlineStr"/>
      <c r="P354" s="16" t="inlineStr">
        <is>
          <t>Требует обогащения</t>
        </is>
      </c>
      <c r="Q354" s="16">
        <f>HYPERLINK("https://pb.nalog.ru/search.html?query=5002065193","ФНС: проверить")</f>
        <v/>
      </c>
      <c r="R354" s="16">
        <f>HYPERLINK("https://checko.ru/search?query=3801001629","Чекко: проверить")</f>
        <v/>
      </c>
      <c r="S354" t="n">
        <v>1</v>
      </c>
      <c r="T354" s="35" t="inlineStr">
        <is>
          <t>4 — Не обогащён</t>
        </is>
      </c>
      <c r="U354" s="35" t="inlineStr">
        <is>
          <t>Нет ОКВЭД/ССЧР</t>
        </is>
      </c>
      <c r="V354" s="35" t="inlineStr">
        <is>
          <t>Не определено</t>
        </is>
      </c>
      <c r="W354" s="35" t="inlineStr"/>
      <c r="X354" s="35" t="inlineStr"/>
    </row>
    <row r="355" ht="15" customHeight="1" s="24">
      <c r="A355" s="13" t="n">
        <v>5000080327</v>
      </c>
      <c r="B355" s="13" t="inlineStr">
        <is>
          <t>МУК «Музей истории города Бронницы»</t>
        </is>
      </c>
      <c r="C355" s="13" t="n">
        <v>5002003831</v>
      </c>
      <c r="D355" s="13" t="inlineStr">
        <is>
          <t>5002003831</t>
        </is>
      </c>
      <c r="E355" s="13" t="inlineStr">
        <is>
          <t>ЮЛ РФ</t>
        </is>
      </c>
      <c r="F355" s="13" t="n"/>
      <c r="G355" s="14" t="n"/>
      <c r="H355" s="14" t="n"/>
      <c r="I355" s="14" t="n"/>
      <c r="J355" s="14" t="n"/>
      <c r="K355" s="53" t="inlineStr"/>
      <c r="L355" s="53" t="inlineStr">
        <is>
          <t>Не определено</t>
        </is>
      </c>
      <c r="M355" s="53" t="inlineStr"/>
      <c r="N355" s="54" t="inlineStr"/>
      <c r="O355" s="55" t="inlineStr"/>
      <c r="P355" s="16" t="inlineStr">
        <is>
          <t>Требует обогащения</t>
        </is>
      </c>
      <c r="Q355" s="16">
        <f>HYPERLINK("https://pb.nalog.ru/search.html?query=5002003831","ФНС: проверить")</f>
        <v/>
      </c>
      <c r="R355" s="16">
        <f>HYPERLINK("https://checko.ru/search?query=3801001629","Чекко: проверить")</f>
        <v/>
      </c>
      <c r="S355" t="n">
        <v>1</v>
      </c>
      <c r="T355" s="35" t="inlineStr">
        <is>
          <t>4 — Не обогащён</t>
        </is>
      </c>
      <c r="U355" s="35" t="inlineStr">
        <is>
          <t>Нет ОКВЭД/ССЧР</t>
        </is>
      </c>
      <c r="V355" s="35" t="inlineStr">
        <is>
          <t>Не определено</t>
        </is>
      </c>
      <c r="W355" s="35" t="inlineStr"/>
      <c r="X355" s="35" t="inlineStr"/>
    </row>
    <row r="356" ht="27.75" customHeight="1" s="24">
      <c r="A356" s="13" t="n">
        <v>5000080329</v>
      </c>
      <c r="B356" s="13" t="inlineStr">
        <is>
          <t>МУК «Библиотечно-информационный и досуговый центр»</t>
        </is>
      </c>
      <c r="C356" s="13" t="n">
        <v>5002003870</v>
      </c>
      <c r="D356" s="13" t="inlineStr">
        <is>
          <t>5002003870</t>
        </is>
      </c>
      <c r="E356" s="13" t="inlineStr">
        <is>
          <t>ЮЛ РФ</t>
        </is>
      </c>
      <c r="F356" s="13" t="n"/>
      <c r="G356" s="14" t="n"/>
      <c r="H356" s="14" t="n"/>
      <c r="I356" s="14" t="n"/>
      <c r="J356" s="14" t="n"/>
      <c r="K356" s="53" t="inlineStr"/>
      <c r="L356" s="53" t="inlineStr">
        <is>
          <t>Не определено</t>
        </is>
      </c>
      <c r="M356" s="53" t="inlineStr"/>
      <c r="N356" s="54" t="inlineStr"/>
      <c r="O356" s="55" t="inlineStr"/>
      <c r="P356" s="16" t="inlineStr">
        <is>
          <t>Требует обогащения</t>
        </is>
      </c>
      <c r="Q356" s="16">
        <f>HYPERLINK("https://pb.nalog.ru/search.html?query=5002003870","ФНС: проверить")</f>
        <v/>
      </c>
      <c r="R356" s="16">
        <f>HYPERLINK("https://checko.ru/search?query=3801001629","Чекко: проверить")</f>
        <v/>
      </c>
      <c r="S356" t="n">
        <v>1</v>
      </c>
      <c r="T356" s="35" t="inlineStr">
        <is>
          <t>4 — Не обогащён</t>
        </is>
      </c>
      <c r="U356" s="35" t="inlineStr">
        <is>
          <t>Нет ОКВЭД/ССЧР</t>
        </is>
      </c>
      <c r="V356" s="35" t="inlineStr">
        <is>
          <t>Не определено</t>
        </is>
      </c>
      <c r="W356" s="35" t="inlineStr"/>
      <c r="X356" s="35" t="inlineStr"/>
    </row>
    <row r="357" ht="27.75" customHeight="1" s="24">
      <c r="A357" s="13" t="n">
        <v>5000080330</v>
      </c>
      <c r="B357" s="13" t="inlineStr">
        <is>
          <t>Муниципального  учреждения «Бронницкие новости»</t>
        </is>
      </c>
      <c r="C357" s="13" t="n">
        <v>5002004070</v>
      </c>
      <c r="D357" s="13" t="inlineStr">
        <is>
          <t>5002004070</t>
        </is>
      </c>
      <c r="E357" s="13" t="inlineStr">
        <is>
          <t>ЮЛ РФ</t>
        </is>
      </c>
      <c r="F357" s="13" t="n"/>
      <c r="G357" s="14" t="n"/>
      <c r="H357" s="14" t="n"/>
      <c r="I357" s="14" t="n"/>
      <c r="J357" s="14" t="n"/>
      <c r="K357" s="53" t="inlineStr"/>
      <c r="L357" s="53" t="inlineStr">
        <is>
          <t>Не определено</t>
        </is>
      </c>
      <c r="M357" s="53" t="inlineStr"/>
      <c r="N357" s="54" t="inlineStr"/>
      <c r="O357" s="55" t="inlineStr"/>
      <c r="P357" s="16" t="inlineStr">
        <is>
          <t>Требует обогащения</t>
        </is>
      </c>
      <c r="Q357" s="16">
        <f>HYPERLINK("https://pb.nalog.ru/search.html?query=5002004070","ФНС: проверить")</f>
        <v/>
      </c>
      <c r="R357" s="16">
        <f>HYPERLINK("https://checko.ru/search?query=3801001629","Чекко: проверить")</f>
        <v/>
      </c>
      <c r="S357" t="n">
        <v>1</v>
      </c>
      <c r="T357" s="35" t="inlineStr">
        <is>
          <t>4 — Не обогащён</t>
        </is>
      </c>
      <c r="U357" s="35" t="inlineStr">
        <is>
          <t>Нет ОКВЭД/ССЧР</t>
        </is>
      </c>
      <c r="V357" s="35" t="inlineStr">
        <is>
          <t>Не определено</t>
        </is>
      </c>
      <c r="W357" s="35" t="inlineStr"/>
      <c r="X357" s="35" t="inlineStr"/>
    </row>
    <row r="358" ht="15" customHeight="1" s="24">
      <c r="A358" s="13" t="n">
        <v>5000080331</v>
      </c>
      <c r="B358" s="13" t="inlineStr">
        <is>
          <t>МБУ «Благоустройство»</t>
        </is>
      </c>
      <c r="C358" s="13" t="n">
        <v>5002004296</v>
      </c>
      <c r="D358" s="13" t="inlineStr">
        <is>
          <t>5002004296</t>
        </is>
      </c>
      <c r="E358" s="13" t="inlineStr">
        <is>
          <t>ЮЛ РФ</t>
        </is>
      </c>
      <c r="F358" s="13" t="n"/>
      <c r="G358" s="14" t="n"/>
      <c r="H358" s="14" t="n"/>
      <c r="I358" s="14" t="n"/>
      <c r="J358" s="14" t="n"/>
      <c r="K358" s="53" t="inlineStr"/>
      <c r="L358" s="53" t="inlineStr">
        <is>
          <t>Не определено</t>
        </is>
      </c>
      <c r="M358" s="53" t="inlineStr"/>
      <c r="N358" s="54" t="inlineStr"/>
      <c r="O358" s="55" t="inlineStr"/>
      <c r="P358" s="16" t="inlineStr">
        <is>
          <t>Требует обогащения</t>
        </is>
      </c>
      <c r="Q358" s="16">
        <f>HYPERLINK("https://pb.nalog.ru/search.html?query=5002004296","ФНС: проверить")</f>
        <v/>
      </c>
      <c r="R358" s="16">
        <f>HYPERLINK("https://checko.ru/search?query=3801001629","Чекко: проверить")</f>
        <v/>
      </c>
      <c r="S358" t="n">
        <v>1</v>
      </c>
      <c r="T358" s="35" t="inlineStr">
        <is>
          <t>4 — Не обогащён</t>
        </is>
      </c>
      <c r="U358" s="35" t="inlineStr">
        <is>
          <t>Нет ОКВЭД/ССЧР</t>
        </is>
      </c>
      <c r="V358" s="35" t="inlineStr">
        <is>
          <t>Не определено</t>
        </is>
      </c>
      <c r="W358" s="35" t="inlineStr"/>
      <c r="X358" s="35" t="inlineStr"/>
    </row>
    <row r="359" ht="27.75" customHeight="1" s="24">
      <c r="A359" s="13" t="n">
        <v>5000080332</v>
      </c>
      <c r="B359" s="13" t="inlineStr">
        <is>
          <t>МУ «Единая дежурно-диспетчерская служба системы 112 город</t>
        </is>
      </c>
      <c r="C359" s="13" t="n">
        <v>5002127932</v>
      </c>
      <c r="D359" s="13" t="inlineStr">
        <is>
          <t>5002127932</t>
        </is>
      </c>
      <c r="E359" s="13" t="inlineStr">
        <is>
          <t>ЮЛ РФ</t>
        </is>
      </c>
      <c r="F359" s="13" t="n"/>
      <c r="G359" s="14" t="n"/>
      <c r="H359" s="14" t="n"/>
      <c r="I359" s="14" t="n"/>
      <c r="J359" s="14" t="n"/>
      <c r="K359" s="53" t="inlineStr"/>
      <c r="L359" s="53" t="inlineStr">
        <is>
          <t>Не определено</t>
        </is>
      </c>
      <c r="M359" s="53" t="inlineStr"/>
      <c r="N359" s="54" t="inlineStr"/>
      <c r="O359" s="55" t="inlineStr"/>
      <c r="P359" s="16" t="inlineStr">
        <is>
          <t>Требует обогащения</t>
        </is>
      </c>
      <c r="Q359" s="16">
        <f>HYPERLINK("https://pb.nalog.ru/search.html?query=5002127932","ФНС: проверить")</f>
        <v/>
      </c>
      <c r="R359" s="16">
        <f>HYPERLINK("https://checko.ru/search?query=3801001629","Чекко: проверить")</f>
        <v/>
      </c>
      <c r="S359" t="n">
        <v>1</v>
      </c>
      <c r="T359" s="35" t="inlineStr">
        <is>
          <t>4 — Не обогащён</t>
        </is>
      </c>
      <c r="U359" s="35" t="inlineStr">
        <is>
          <t>Нет ОКВЭД/ССЧР</t>
        </is>
      </c>
      <c r="V359" s="35" t="inlineStr">
        <is>
          <t>Не определено</t>
        </is>
      </c>
      <c r="W359" s="35" t="inlineStr"/>
      <c r="X359" s="35" t="inlineStr"/>
    </row>
    <row r="360" ht="27.75" customHeight="1" s="24">
      <c r="A360" s="13" t="n">
        <v>5000080333</v>
      </c>
      <c r="B360" s="13" t="inlineStr">
        <is>
          <t>Совета депутатов городского округа Бронницы Московской области</t>
        </is>
      </c>
      <c r="C360" s="13" t="n">
        <v>5040108401</v>
      </c>
      <c r="D360" s="13" t="inlineStr">
        <is>
          <t>5040108401</t>
        </is>
      </c>
      <c r="E360" s="13" t="inlineStr">
        <is>
          <t>ЮЛ РФ</t>
        </is>
      </c>
      <c r="F360" s="13" t="n"/>
      <c r="G360" s="14" t="n"/>
      <c r="H360" s="14" t="n"/>
      <c r="I360" s="14" t="n"/>
      <c r="J360" s="14" t="n"/>
      <c r="K360" s="53" t="inlineStr"/>
      <c r="L360" s="53" t="inlineStr">
        <is>
          <t>Не определено</t>
        </is>
      </c>
      <c r="M360" s="53" t="inlineStr"/>
      <c r="N360" s="54" t="inlineStr"/>
      <c r="O360" s="55" t="inlineStr"/>
      <c r="P360" s="16" t="inlineStr">
        <is>
          <t>Требует обогащения</t>
        </is>
      </c>
      <c r="Q360" s="16">
        <f>HYPERLINK("https://pb.nalog.ru/search.html?query=5040108401","ФНС: проверить")</f>
        <v/>
      </c>
      <c r="R360" s="16">
        <f>HYPERLINK("https://checko.ru/search?query=3801001629","Чекко: проверить")</f>
        <v/>
      </c>
      <c r="S360" t="n">
        <v>1</v>
      </c>
      <c r="T360" s="35" t="inlineStr">
        <is>
          <t>4 — Не обогащён</t>
        </is>
      </c>
      <c r="U360" s="35" t="inlineStr">
        <is>
          <t>Нет ОКВЭД/ССЧР</t>
        </is>
      </c>
      <c r="V360" s="35" t="inlineStr">
        <is>
          <t>Не определено</t>
        </is>
      </c>
      <c r="W360" s="35" t="inlineStr"/>
      <c r="X360" s="35" t="inlineStr"/>
    </row>
    <row r="361" ht="27.75" customHeight="1" s="24">
      <c r="A361" s="13" t="n">
        <v>5000080335</v>
      </c>
      <c r="B361" s="13" t="inlineStr">
        <is>
          <t>МУ «Управление единого заказчика города Бронницы»</t>
        </is>
      </c>
      <c r="C361" s="13" t="n">
        <v>5002121955</v>
      </c>
      <c r="D361" s="13" t="inlineStr">
        <is>
          <t>5002121955</t>
        </is>
      </c>
      <c r="E361" s="13" t="inlineStr">
        <is>
          <t>ЮЛ РФ</t>
        </is>
      </c>
      <c r="F361" s="13" t="n"/>
      <c r="G361" s="14" t="n"/>
      <c r="H361" s="14" t="n"/>
      <c r="I361" s="14" t="n"/>
      <c r="J361" s="14" t="n"/>
      <c r="K361" s="53" t="inlineStr"/>
      <c r="L361" s="53" t="inlineStr">
        <is>
          <t>Не определено</t>
        </is>
      </c>
      <c r="M361" s="53" t="inlineStr"/>
      <c r="N361" s="54" t="inlineStr"/>
      <c r="O361" s="55" t="inlineStr"/>
      <c r="P361" s="16" t="inlineStr">
        <is>
          <t>Требует обогащения</t>
        </is>
      </c>
      <c r="Q361" s="16">
        <f>HYPERLINK("https://pb.nalog.ru/search.html?query=5002121955","ФНС: проверить")</f>
        <v/>
      </c>
      <c r="R361" s="16">
        <f>HYPERLINK("https://checko.ru/search?query=3801001629","Чекко: проверить")</f>
        <v/>
      </c>
      <c r="S361" t="n">
        <v>1</v>
      </c>
      <c r="T361" s="35" t="inlineStr">
        <is>
          <t>4 — Не обогащён</t>
        </is>
      </c>
      <c r="U361" s="35" t="inlineStr">
        <is>
          <t>Нет ОКВЭД/ССЧР</t>
        </is>
      </c>
      <c r="V361" s="35" t="inlineStr">
        <is>
          <t>Не определено</t>
        </is>
      </c>
      <c r="W361" s="35" t="inlineStr"/>
      <c r="X361" s="35" t="inlineStr"/>
    </row>
    <row r="362" ht="27.75" customHeight="1" s="24">
      <c r="A362" s="13" t="n">
        <v>5000087404</v>
      </c>
      <c r="B362" s="13" t="inlineStr">
        <is>
          <t>МАОУ "Видновский художественно-технический лицей"</t>
        </is>
      </c>
      <c r="C362" s="13" t="n">
        <v>5003021576</v>
      </c>
      <c r="D362" s="13" t="inlineStr">
        <is>
          <t>5003021576</t>
        </is>
      </c>
      <c r="E362" s="13" t="inlineStr">
        <is>
          <t>ЮЛ РФ</t>
        </is>
      </c>
      <c r="F362" s="13" t="n"/>
      <c r="G362" s="14" t="n"/>
      <c r="H362" s="14" t="n"/>
      <c r="I362" s="14" t="n"/>
      <c r="J362" s="14" t="n"/>
      <c r="K362" s="53" t="inlineStr"/>
      <c r="L362" s="53" t="inlineStr">
        <is>
          <t>Не определено</t>
        </is>
      </c>
      <c r="M362" s="53" t="inlineStr"/>
      <c r="N362" s="54" t="inlineStr"/>
      <c r="O362" s="55" t="inlineStr"/>
      <c r="P362" s="16" t="inlineStr">
        <is>
          <t>Требует обогащения</t>
        </is>
      </c>
      <c r="Q362" s="16">
        <f>HYPERLINK("https://pb.nalog.ru/search.html?query=5003021576","ФНС: проверить")</f>
        <v/>
      </c>
      <c r="R362" s="16">
        <f>HYPERLINK("https://checko.ru/search?query=3801001629","Чекко: проверить")</f>
        <v/>
      </c>
      <c r="S362" t="n">
        <v>1</v>
      </c>
      <c r="T362" s="35" t="inlineStr">
        <is>
          <t>4 — Не обогащён</t>
        </is>
      </c>
      <c r="U362" s="35" t="inlineStr">
        <is>
          <t>Нет ОКВЭД/ССЧР</t>
        </is>
      </c>
      <c r="V362" s="35" t="inlineStr">
        <is>
          <t>Не определено</t>
        </is>
      </c>
      <c r="W362" s="35" t="inlineStr"/>
      <c r="X362" s="35" t="inlineStr"/>
    </row>
    <row r="363" ht="54.75" customHeight="1" s="24">
      <c r="A363" s="13" t="n">
        <v>5000041175</v>
      </c>
      <c r="B363" s="13" t="inlineStr">
        <is>
          <t>муниципальное учреждение дополнительного образования "Детская музыкальная школа № 2" муниципального образования городской округ Люберцы Московской обл</t>
        </is>
      </c>
      <c r="C363" s="13" t="n">
        <v>5027075147</v>
      </c>
      <c r="D363" s="13" t="inlineStr">
        <is>
          <t>5027075147</t>
        </is>
      </c>
      <c r="E363" s="13" t="inlineStr">
        <is>
          <t>ЮЛ РФ</t>
        </is>
      </c>
      <c r="F363" s="13" t="n"/>
      <c r="G363" s="14" t="n"/>
      <c r="H363" s="14" t="n"/>
      <c r="I363" s="14" t="n"/>
      <c r="J363" s="14" t="n"/>
      <c r="K363" s="53" t="inlineStr"/>
      <c r="L363" s="53" t="inlineStr">
        <is>
          <t>Не определено</t>
        </is>
      </c>
      <c r="M363" s="53" t="inlineStr"/>
      <c r="N363" s="54" t="inlineStr"/>
      <c r="O363" s="55" t="inlineStr"/>
      <c r="P363" s="16" t="inlineStr">
        <is>
          <t>Требует обогащения</t>
        </is>
      </c>
      <c r="Q363" s="16">
        <f>HYPERLINK("https://pb.nalog.ru/search.html?query=5027075147","ФНС: проверить")</f>
        <v/>
      </c>
      <c r="R363" s="16">
        <f>HYPERLINK("https://checko.ru/search?query=3801001629","Чекко: проверить")</f>
        <v/>
      </c>
      <c r="S363" t="n">
        <v>1</v>
      </c>
      <c r="T363" s="35" t="inlineStr">
        <is>
          <t>4 — Не обогащён</t>
        </is>
      </c>
      <c r="U363" s="35" t="inlineStr">
        <is>
          <t>Нет ОКВЭД/ССЧР</t>
        </is>
      </c>
      <c r="V363" s="35" t="inlineStr">
        <is>
          <t>Не определено</t>
        </is>
      </c>
      <c r="W363" s="35" t="inlineStr"/>
      <c r="X363" s="35" t="inlineStr"/>
    </row>
    <row r="364" ht="54.75" customHeight="1" s="24">
      <c r="A364" s="13" t="n">
        <v>5000041176</v>
      </c>
      <c r="B364" s="13" t="inlineStr">
        <is>
          <t>Муниципальное учреждение дополнительного образования "Детская хореографическая школа" муниципального образования городской округ Люберцы Московской об</t>
        </is>
      </c>
      <c r="C364" s="13" t="n">
        <v>5027075059</v>
      </c>
      <c r="D364" s="13" t="inlineStr">
        <is>
          <t>5027075059</t>
        </is>
      </c>
      <c r="E364" s="13" t="inlineStr">
        <is>
          <t>ЮЛ РФ</t>
        </is>
      </c>
      <c r="F364" s="13" t="n"/>
      <c r="G364" s="14" t="n"/>
      <c r="H364" s="14" t="n"/>
      <c r="I364" s="14" t="n"/>
      <c r="J364" s="14" t="n"/>
      <c r="K364" s="53" t="inlineStr"/>
      <c r="L364" s="53" t="inlineStr">
        <is>
          <t>Не определено</t>
        </is>
      </c>
      <c r="M364" s="53" t="inlineStr"/>
      <c r="N364" s="54" t="inlineStr"/>
      <c r="O364" s="55" t="inlineStr"/>
      <c r="P364" s="16" t="inlineStr">
        <is>
          <t>Требует обогащения</t>
        </is>
      </c>
      <c r="Q364" s="16">
        <f>HYPERLINK("https://pb.nalog.ru/search.html?query=5027075059","ФНС: проверить")</f>
        <v/>
      </c>
      <c r="R364" s="16">
        <f>HYPERLINK("https://checko.ru/search?query=3801001629","Чекко: проверить")</f>
        <v/>
      </c>
      <c r="S364" t="n">
        <v>1</v>
      </c>
      <c r="T364" s="35" t="inlineStr">
        <is>
          <t>4 — Не обогащён</t>
        </is>
      </c>
      <c r="U364" s="35" t="inlineStr">
        <is>
          <t>Нет ОКВЭД/ССЧР</t>
        </is>
      </c>
      <c r="V364" s="35" t="inlineStr">
        <is>
          <t>Не определено</t>
        </is>
      </c>
      <c r="W364" s="35" t="inlineStr"/>
      <c r="X364" s="35" t="inlineStr"/>
    </row>
    <row r="365" ht="54.75" customHeight="1" s="24">
      <c r="A365" s="13" t="n">
        <v>5000041177</v>
      </c>
      <c r="B365" s="13" t="inlineStr">
        <is>
          <t>Муниципальное учреждение дополнительного образования "Детская художественная школа" муниципального образования городской округ Люберцы  Московской обл</t>
        </is>
      </c>
      <c r="C365" s="13" t="n">
        <v>5027076060</v>
      </c>
      <c r="D365" s="13" t="inlineStr">
        <is>
          <t>5027076060</t>
        </is>
      </c>
      <c r="E365" s="13" t="inlineStr">
        <is>
          <t>ЮЛ РФ</t>
        </is>
      </c>
      <c r="F365" s="13" t="n"/>
      <c r="G365" s="14" t="n"/>
      <c r="H365" s="14" t="n"/>
      <c r="I365" s="14" t="n"/>
      <c r="J365" s="14" t="n"/>
      <c r="K365" s="53" t="inlineStr"/>
      <c r="L365" s="53" t="inlineStr">
        <is>
          <t>Не определено</t>
        </is>
      </c>
      <c r="M365" s="53" t="inlineStr"/>
      <c r="N365" s="54" t="inlineStr"/>
      <c r="O365" s="55" t="inlineStr"/>
      <c r="P365" s="16" t="inlineStr">
        <is>
          <t>Требует обогащения</t>
        </is>
      </c>
      <c r="Q365" s="16">
        <f>HYPERLINK("https://pb.nalog.ru/search.html?query=5027076060","ФНС: проверить")</f>
        <v/>
      </c>
      <c r="R365" s="16">
        <f>HYPERLINK("https://checko.ru/search?query=3801001629","Чекко: проверить")</f>
        <v/>
      </c>
      <c r="S365" t="n">
        <v>1</v>
      </c>
      <c r="T365" s="35" t="inlineStr">
        <is>
          <t>4 — Не обогащён</t>
        </is>
      </c>
      <c r="U365" s="35" t="inlineStr">
        <is>
          <t>Нет ОКВЭД/ССЧР</t>
        </is>
      </c>
      <c r="V365" s="35" t="inlineStr">
        <is>
          <t>Не определено</t>
        </is>
      </c>
      <c r="W365" s="35" t="inlineStr"/>
      <c r="X365" s="35" t="inlineStr"/>
    </row>
    <row r="366" ht="54.75" customHeight="1" s="24">
      <c r="A366" s="13" t="n">
        <v>5000041181</v>
      </c>
      <c r="B366" s="13" t="inlineStr">
        <is>
          <t>Муниципальное учреждение дополнительного образования "Детская школа искусств № 3" муниципального образования городской округ Люберцы Московской област</t>
        </is>
      </c>
      <c r="C366" s="13" t="n">
        <v>5027075450</v>
      </c>
      <c r="D366" s="13" t="inlineStr">
        <is>
          <t>5027075450</t>
        </is>
      </c>
      <c r="E366" s="13" t="inlineStr">
        <is>
          <t>ЮЛ РФ</t>
        </is>
      </c>
      <c r="F366" s="13" t="n"/>
      <c r="G366" s="14" t="n"/>
      <c r="H366" s="14" t="n"/>
      <c r="I366" s="14" t="n"/>
      <c r="J366" s="14" t="n"/>
      <c r="K366" s="53" t="inlineStr"/>
      <c r="L366" s="53" t="inlineStr">
        <is>
          <t>Не определено</t>
        </is>
      </c>
      <c r="M366" s="53" t="inlineStr"/>
      <c r="N366" s="54" t="inlineStr"/>
      <c r="O366" s="55" t="inlineStr"/>
      <c r="P366" s="16" t="inlineStr">
        <is>
          <t>Требует обогащения</t>
        </is>
      </c>
      <c r="Q366" s="16">
        <f>HYPERLINK("https://pb.nalog.ru/search.html?query=5027075450","ФНС: проверить")</f>
        <v/>
      </c>
      <c r="R366" s="16">
        <f>HYPERLINK("https://checko.ru/search?query=3801001629","Чекко: проверить")</f>
        <v/>
      </c>
      <c r="S366" t="n">
        <v>1</v>
      </c>
      <c r="T366" s="35" t="inlineStr">
        <is>
          <t>4 — Не обогащён</t>
        </is>
      </c>
      <c r="U366" s="35" t="inlineStr">
        <is>
          <t>Нет ОКВЭД/ССЧР</t>
        </is>
      </c>
      <c r="V366" s="35" t="inlineStr">
        <is>
          <t>Не определено</t>
        </is>
      </c>
      <c r="W366" s="35" t="inlineStr"/>
      <c r="X366" s="35" t="inlineStr"/>
    </row>
    <row r="367" ht="54.75" customHeight="1" s="24">
      <c r="A367" s="13" t="n">
        <v>5000041187</v>
      </c>
      <c r="B367" s="13" t="inlineStr">
        <is>
          <t>Муниципальное учреждение культуры "Красковский культурный центр" муниципального образования городской округ Люберцы Московской области</t>
        </is>
      </c>
      <c r="C367" s="13" t="n">
        <v>5027065999</v>
      </c>
      <c r="D367" s="13" t="inlineStr">
        <is>
          <t>5027065999</t>
        </is>
      </c>
      <c r="E367" s="13" t="inlineStr">
        <is>
          <t>ЮЛ РФ</t>
        </is>
      </c>
      <c r="F367" s="13" t="n"/>
      <c r="G367" s="14" t="n"/>
      <c r="H367" s="14" t="n"/>
      <c r="I367" s="14" t="n"/>
      <c r="J367" s="14" t="n"/>
      <c r="K367" s="53" t="inlineStr"/>
      <c r="L367" s="53" t="inlineStr">
        <is>
          <t>Не определено</t>
        </is>
      </c>
      <c r="M367" s="53" t="inlineStr"/>
      <c r="N367" s="54" t="inlineStr"/>
      <c r="O367" s="55" t="inlineStr"/>
      <c r="P367" s="16" t="inlineStr">
        <is>
          <t>Требует обогащения</t>
        </is>
      </c>
      <c r="Q367" s="16">
        <f>HYPERLINK("https://pb.nalog.ru/search.html?query=5027065999","ФНС: проверить")</f>
        <v/>
      </c>
      <c r="R367" s="16">
        <f>HYPERLINK("https://checko.ru/search?query=3801001629","Чекко: проверить")</f>
        <v/>
      </c>
      <c r="S367" t="n">
        <v>1</v>
      </c>
      <c r="T367" s="35" t="inlineStr">
        <is>
          <t>4 — Не обогащён</t>
        </is>
      </c>
      <c r="U367" s="35" t="inlineStr">
        <is>
          <t>Нет ОКВЭД/ССЧР</t>
        </is>
      </c>
      <c r="V367" s="35" t="inlineStr">
        <is>
          <t>Не определено</t>
        </is>
      </c>
      <c r="W367" s="35" t="inlineStr"/>
      <c r="X367" s="35" t="inlineStr"/>
    </row>
    <row r="368" ht="54.75" customHeight="1" s="24">
      <c r="A368" s="13" t="n">
        <v>5000041188</v>
      </c>
      <c r="B368" s="13" t="inlineStr">
        <is>
          <t>муниципальное учреждение культуры "Люберецкий дворец культуры" муниципального образования городской округ Люберцы Московской области</t>
        </is>
      </c>
      <c r="C368" s="13" t="n">
        <v>5027122485</v>
      </c>
      <c r="D368" s="13" t="inlineStr">
        <is>
          <t>5027122485</t>
        </is>
      </c>
      <c r="E368" s="13" t="inlineStr">
        <is>
          <t>ЮЛ РФ</t>
        </is>
      </c>
      <c r="F368" s="13" t="n"/>
      <c r="G368" s="14" t="n"/>
      <c r="H368" s="14" t="n"/>
      <c r="I368" s="14" t="n"/>
      <c r="J368" s="14" t="n"/>
      <c r="K368" s="53" t="inlineStr"/>
      <c r="L368" s="53" t="inlineStr">
        <is>
          <t>Не определено</t>
        </is>
      </c>
      <c r="M368" s="53" t="inlineStr"/>
      <c r="N368" s="54" t="inlineStr"/>
      <c r="O368" s="55" t="inlineStr"/>
      <c r="P368" s="16" t="inlineStr">
        <is>
          <t>Требует обогащения</t>
        </is>
      </c>
      <c r="Q368" s="16">
        <f>HYPERLINK("https://pb.nalog.ru/search.html?query=5027122485","ФНС: проверить")</f>
        <v/>
      </c>
      <c r="R368" s="16">
        <f>HYPERLINK("https://checko.ru/search?query=3801001629","Чекко: проверить")</f>
        <v/>
      </c>
      <c r="S368" t="n">
        <v>1</v>
      </c>
      <c r="T368" s="35" t="inlineStr">
        <is>
          <t>4 — Не обогащён</t>
        </is>
      </c>
      <c r="U368" s="35" t="inlineStr">
        <is>
          <t>Нет ОКВЭД/ССЧР</t>
        </is>
      </c>
      <c r="V368" s="35" t="inlineStr">
        <is>
          <t>Не определено</t>
        </is>
      </c>
      <c r="W368" s="35" t="inlineStr"/>
      <c r="X368" s="35" t="inlineStr"/>
    </row>
    <row r="369" ht="41.25" customHeight="1" s="24">
      <c r="A369" s="13" t="n">
        <v>5000041189</v>
      </c>
      <c r="B369" s="13" t="inlineStr">
        <is>
          <t>муниципальное учреждение "Молодежный клуб" муниципального образования городской округ Люберцы Московской области</t>
        </is>
      </c>
      <c r="C369" s="13" t="n">
        <v>5027195807</v>
      </c>
      <c r="D369" s="13" t="inlineStr">
        <is>
          <t>5027195807</t>
        </is>
      </c>
      <c r="E369" s="13" t="inlineStr">
        <is>
          <t>ЮЛ РФ</t>
        </is>
      </c>
      <c r="F369" s="13" t="n"/>
      <c r="G369" s="14" t="n"/>
      <c r="H369" s="14" t="n"/>
      <c r="I369" s="14" t="n"/>
      <c r="J369" s="14" t="n"/>
      <c r="K369" s="53" t="inlineStr"/>
      <c r="L369" s="53" t="inlineStr">
        <is>
          <t>Не определено</t>
        </is>
      </c>
      <c r="M369" s="53" t="inlineStr"/>
      <c r="N369" s="54" t="inlineStr"/>
      <c r="O369" s="55" t="inlineStr"/>
      <c r="P369" s="16" t="inlineStr">
        <is>
          <t>Требует обогащения</t>
        </is>
      </c>
      <c r="Q369" s="16">
        <f>HYPERLINK("https://pb.nalog.ru/search.html?query=5027195807","ФНС: проверить")</f>
        <v/>
      </c>
      <c r="R369" s="16">
        <f>HYPERLINK("https://checko.ru/search?query=3801001629","Чекко: проверить")</f>
        <v/>
      </c>
      <c r="S369" t="n">
        <v>1</v>
      </c>
      <c r="T369" s="35" t="inlineStr">
        <is>
          <t>4 — Не обогащён</t>
        </is>
      </c>
      <c r="U369" s="35" t="inlineStr">
        <is>
          <t>Нет ОКВЭД/ССЧР</t>
        </is>
      </c>
      <c r="V369" s="35" t="inlineStr">
        <is>
          <t>Не определено</t>
        </is>
      </c>
      <c r="W369" s="35" t="inlineStr"/>
      <c r="X369" s="35" t="inlineStr"/>
    </row>
    <row r="370" ht="54.75" customHeight="1" s="24">
      <c r="A370" s="13" t="n">
        <v>5000041190</v>
      </c>
      <c r="B370" s="13" t="inlineStr">
        <is>
          <t>муниципальное учреждение культуры "Музейно-выставочный комплекс" муниципального образования городской округ Люберцы Московской области</t>
        </is>
      </c>
      <c r="C370" s="13" t="n">
        <v>5027006778</v>
      </c>
      <c r="D370" s="13" t="inlineStr">
        <is>
          <t>5027006778</t>
        </is>
      </c>
      <c r="E370" s="13" t="inlineStr">
        <is>
          <t>ЮЛ РФ</t>
        </is>
      </c>
      <c r="F370" s="13" t="n"/>
      <c r="G370" s="14" t="n"/>
      <c r="H370" s="14" t="n"/>
      <c r="I370" s="14" t="n"/>
      <c r="J370" s="14" t="n"/>
      <c r="K370" s="53" t="inlineStr"/>
      <c r="L370" s="53" t="inlineStr">
        <is>
          <t>Не определено</t>
        </is>
      </c>
      <c r="M370" s="53" t="inlineStr"/>
      <c r="N370" s="54" t="inlineStr"/>
      <c r="O370" s="55" t="inlineStr"/>
      <c r="P370" s="16" t="inlineStr">
        <is>
          <t>Требует обогащения</t>
        </is>
      </c>
      <c r="Q370" s="16">
        <f>HYPERLINK("https://pb.nalog.ru/search.html?query=5027006778","ФНС: проверить")</f>
        <v/>
      </c>
      <c r="R370" s="16">
        <f>HYPERLINK("https://checko.ru/search?query=3801001629","Чекко: проверить")</f>
        <v/>
      </c>
      <c r="S370" t="n">
        <v>1</v>
      </c>
      <c r="T370" s="35" t="inlineStr">
        <is>
          <t>4 — Не обогащён</t>
        </is>
      </c>
      <c r="U370" s="35" t="inlineStr">
        <is>
          <t>Нет ОКВЭД/ССЧР</t>
        </is>
      </c>
      <c r="V370" s="35" t="inlineStr">
        <is>
          <t>Не определено</t>
        </is>
      </c>
      <c r="W370" s="35" t="inlineStr"/>
      <c r="X370" s="35" t="inlineStr"/>
    </row>
    <row r="371" ht="41.25" customHeight="1" s="24">
      <c r="A371" s="13" t="n">
        <v>5000041192</v>
      </c>
      <c r="B371" s="13" t="inlineStr">
        <is>
          <t>Муниципальное учреждение "Парк культуры и отдыха" муниципального образования городской округ Люберцы Московской области</t>
        </is>
      </c>
      <c r="C371" s="13" t="n">
        <v>5027037783</v>
      </c>
      <c r="D371" s="13" t="inlineStr">
        <is>
          <t>5027037783</t>
        </is>
      </c>
      <c r="E371" s="13" t="inlineStr">
        <is>
          <t>ЮЛ РФ</t>
        </is>
      </c>
      <c r="F371" s="13" t="n"/>
      <c r="G371" s="14" t="n"/>
      <c r="H371" s="14" t="n"/>
      <c r="I371" s="14" t="n"/>
      <c r="J371" s="14" t="n"/>
      <c r="K371" s="53" t="inlineStr"/>
      <c r="L371" s="53" t="inlineStr">
        <is>
          <t>Не определено</t>
        </is>
      </c>
      <c r="M371" s="53" t="inlineStr"/>
      <c r="N371" s="54" t="inlineStr"/>
      <c r="O371" s="55" t="inlineStr"/>
      <c r="P371" s="16" t="inlineStr">
        <is>
          <t>Требует обогащения</t>
        </is>
      </c>
      <c r="Q371" s="16">
        <f>HYPERLINK("https://pb.nalog.ru/search.html?query=5027037783","ФНС: проверить")</f>
        <v/>
      </c>
      <c r="R371" s="16">
        <f>HYPERLINK("https://checko.ru/search?query=3801001629","Чекко: проверить")</f>
        <v/>
      </c>
      <c r="S371" t="n">
        <v>1</v>
      </c>
      <c r="T371" s="35" t="inlineStr">
        <is>
          <t>4 — Не обогащён</t>
        </is>
      </c>
      <c r="U371" s="35" t="inlineStr">
        <is>
          <t>Нет ОКВЭД/ССЧР</t>
        </is>
      </c>
      <c r="V371" s="35" t="inlineStr">
        <is>
          <t>Не определено</t>
        </is>
      </c>
      <c r="W371" s="35" t="inlineStr"/>
      <c r="X371" s="35" t="inlineStr"/>
    </row>
    <row r="372" ht="41.25" customHeight="1" s="24">
      <c r="A372" s="13" t="n">
        <v>5000041193</v>
      </c>
      <c r="B372" s="13" t="inlineStr">
        <is>
          <t>Муниципальное учреждение культуры Театр кукол "РАДУГА" муниципального образования городской округ Люберцы Московской области</t>
        </is>
      </c>
      <c r="C372" s="13" t="n">
        <v>5027093643</v>
      </c>
      <c r="D372" s="13" t="inlineStr">
        <is>
          <t>5027093643</t>
        </is>
      </c>
      <c r="E372" s="13" t="inlineStr">
        <is>
          <t>ЮЛ РФ</t>
        </is>
      </c>
      <c r="F372" s="13" t="n"/>
      <c r="G372" s="14" t="n"/>
      <c r="H372" s="14" t="n"/>
      <c r="I372" s="14" t="n"/>
      <c r="J372" s="14" t="n"/>
      <c r="K372" s="53" t="inlineStr"/>
      <c r="L372" s="53" t="inlineStr">
        <is>
          <t>Не определено</t>
        </is>
      </c>
      <c r="M372" s="53" t="inlineStr"/>
      <c r="N372" s="54" t="inlineStr"/>
      <c r="O372" s="55" t="inlineStr"/>
      <c r="P372" s="16" t="inlineStr">
        <is>
          <t>Требует обогащения</t>
        </is>
      </c>
      <c r="Q372" s="16">
        <f>HYPERLINK("https://pb.nalog.ru/search.html?query=5027093643","ФНС: проверить")</f>
        <v/>
      </c>
      <c r="R372" s="16">
        <f>HYPERLINK("https://checko.ru/search?query=3801001629","Чекко: проверить")</f>
        <v/>
      </c>
      <c r="S372" t="n">
        <v>1</v>
      </c>
      <c r="T372" s="35" t="inlineStr">
        <is>
          <t>4 — Не обогащён</t>
        </is>
      </c>
      <c r="U372" s="35" t="inlineStr">
        <is>
          <t>Нет ОКВЭД/ССЧР</t>
        </is>
      </c>
      <c r="V372" s="35" t="inlineStr">
        <is>
          <t>Не определено</t>
        </is>
      </c>
      <c r="W372" s="35" t="inlineStr"/>
      <c r="X372" s="35" t="inlineStr"/>
    </row>
    <row r="373" ht="54.75" customHeight="1" s="24">
      <c r="A373" s="13" t="n">
        <v>5000041194</v>
      </c>
      <c r="B373" s="13" t="inlineStr">
        <is>
          <t>муниципальное учреждение культуры "Центральная библиотека имени С.Есенина" муниципального образования городской округ Люберцы Московской области</t>
        </is>
      </c>
      <c r="C373" s="13" t="n">
        <v>5027131176</v>
      </c>
      <c r="D373" s="13" t="inlineStr">
        <is>
          <t>5027131176</t>
        </is>
      </c>
      <c r="E373" s="13" t="inlineStr">
        <is>
          <t>ЮЛ РФ</t>
        </is>
      </c>
      <c r="F373" s="13" t="n"/>
      <c r="G373" s="14" t="n"/>
      <c r="H373" s="14" t="n"/>
      <c r="I373" s="14" t="n"/>
      <c r="J373" s="14" t="n"/>
      <c r="K373" s="53" t="inlineStr"/>
      <c r="L373" s="53" t="inlineStr">
        <is>
          <t>Не определено</t>
        </is>
      </c>
      <c r="M373" s="53" t="inlineStr"/>
      <c r="N373" s="54" t="inlineStr"/>
      <c r="O373" s="55" t="inlineStr"/>
      <c r="P373" s="16" t="inlineStr">
        <is>
          <t>Требует обогащения</t>
        </is>
      </c>
      <c r="Q373" s="16">
        <f>HYPERLINK("https://pb.nalog.ru/search.html?query=5027131176","ФНС: проверить")</f>
        <v/>
      </c>
      <c r="R373" s="16">
        <f>HYPERLINK("https://checko.ru/search?query=3801001629","Чекко: проверить")</f>
        <v/>
      </c>
      <c r="S373" t="n">
        <v>1</v>
      </c>
      <c r="T373" s="35" t="inlineStr">
        <is>
          <t>4 — Не обогащён</t>
        </is>
      </c>
      <c r="U373" s="35" t="inlineStr">
        <is>
          <t>Нет ОКВЭД/ССЧР</t>
        </is>
      </c>
      <c r="V373" s="35" t="inlineStr">
        <is>
          <t>Не определено</t>
        </is>
      </c>
      <c r="W373" s="35" t="inlineStr"/>
      <c r="X373" s="35" t="inlineStr"/>
    </row>
    <row r="374" ht="54.75" customHeight="1" s="24">
      <c r="A374" s="13" t="n">
        <v>5000041200</v>
      </c>
      <c r="B374" s="13" t="inlineStr">
        <is>
          <t>Муниципальное учреждение "Комплексная спортивная школа олимпийского резерва" муниципального образования городской округ Люберцы Московской области</t>
        </is>
      </c>
      <c r="C374" s="13" t="n">
        <v>5027124210</v>
      </c>
      <c r="D374" s="13" t="inlineStr">
        <is>
          <t>5027124210</t>
        </is>
      </c>
      <c r="E374" s="13" t="inlineStr">
        <is>
          <t>ЮЛ РФ</t>
        </is>
      </c>
      <c r="F374" s="13" t="n"/>
      <c r="G374" s="14" t="n"/>
      <c r="H374" s="14" t="n"/>
      <c r="I374" s="14" t="n"/>
      <c r="J374" s="14" t="n"/>
      <c r="K374" s="53" t="inlineStr"/>
      <c r="L374" s="53" t="inlineStr">
        <is>
          <t>Не определено</t>
        </is>
      </c>
      <c r="M374" s="53" t="inlineStr"/>
      <c r="N374" s="54" t="inlineStr"/>
      <c r="O374" s="55" t="inlineStr"/>
      <c r="P374" s="16" t="inlineStr">
        <is>
          <t>Требует обогащения</t>
        </is>
      </c>
      <c r="Q374" s="16">
        <f>HYPERLINK("https://pb.nalog.ru/search.html?query=5027124210","ФНС: проверить")</f>
        <v/>
      </c>
      <c r="R374" s="16">
        <f>HYPERLINK("https://checko.ru/search?query=3801001629","Чекко: проверить")</f>
        <v/>
      </c>
      <c r="S374" t="n">
        <v>1</v>
      </c>
      <c r="T374" s="35" t="inlineStr">
        <is>
          <t>4 — Не обогащён</t>
        </is>
      </c>
      <c r="U374" s="35" t="inlineStr">
        <is>
          <t>Нет ОКВЭД/ССЧР</t>
        </is>
      </c>
      <c r="V374" s="35" t="inlineStr">
        <is>
          <t>Не определено</t>
        </is>
      </c>
      <c r="W374" s="35" t="inlineStr"/>
      <c r="X374" s="35" t="inlineStr"/>
    </row>
    <row r="375" ht="54.75" customHeight="1" s="24">
      <c r="A375" s="13" t="n">
        <v>5000041202</v>
      </c>
      <c r="B375" s="13" t="inlineStr">
        <is>
          <t>Муниципальное учреждение спортивная школа олимпийского резерва по баскетболу "Спартак" муниципального образования городской округ Люберцы Московской о</t>
        </is>
      </c>
      <c r="C375" s="13" t="n">
        <v>5027091967</v>
      </c>
      <c r="D375" s="13" t="inlineStr">
        <is>
          <t>5027091967</t>
        </is>
      </c>
      <c r="E375" s="13" t="inlineStr">
        <is>
          <t>ЮЛ РФ</t>
        </is>
      </c>
      <c r="F375" s="13" t="n"/>
      <c r="G375" s="14" t="n"/>
      <c r="H375" s="14" t="n"/>
      <c r="I375" s="14" t="n"/>
      <c r="J375" s="14" t="n"/>
      <c r="K375" s="53" t="inlineStr"/>
      <c r="L375" s="53" t="inlineStr">
        <is>
          <t>Не определено</t>
        </is>
      </c>
      <c r="M375" s="53" t="inlineStr"/>
      <c r="N375" s="54" t="inlineStr"/>
      <c r="O375" s="55" t="inlineStr"/>
      <c r="P375" s="16" t="inlineStr">
        <is>
          <t>Требует обогащения</t>
        </is>
      </c>
      <c r="Q375" s="16">
        <f>HYPERLINK("https://pb.nalog.ru/search.html?query=5027091967","ФНС: проверить")</f>
        <v/>
      </c>
      <c r="R375" s="16">
        <f>HYPERLINK("https://checko.ru/search?query=3801001629","Чекко: проверить")</f>
        <v/>
      </c>
      <c r="S375" t="n">
        <v>1</v>
      </c>
      <c r="T375" s="35" t="inlineStr">
        <is>
          <t>4 — Не обогащён</t>
        </is>
      </c>
      <c r="U375" s="35" t="inlineStr">
        <is>
          <t>Нет ОКВЭД/ССЧР</t>
        </is>
      </c>
      <c r="V375" s="35" t="inlineStr">
        <is>
          <t>Не определено</t>
        </is>
      </c>
      <c r="W375" s="35" t="inlineStr"/>
      <c r="X375" s="35" t="inlineStr"/>
    </row>
    <row r="376" ht="54.75" customHeight="1" s="24">
      <c r="A376" s="13" t="n">
        <v>5000041203</v>
      </c>
      <c r="B376" s="13" t="inlineStr">
        <is>
          <t>Муниципальное учреждение спортивная школа олимпийского резерва муниципального образования городской округ Люберцы Московской области</t>
        </is>
      </c>
      <c r="C376" s="13" t="n">
        <v>5027091332</v>
      </c>
      <c r="D376" s="13" t="inlineStr">
        <is>
          <t>5027091332</t>
        </is>
      </c>
      <c r="E376" s="13" t="inlineStr">
        <is>
          <t>ЮЛ РФ</t>
        </is>
      </c>
      <c r="F376" s="13" t="n"/>
      <c r="G376" s="14" t="n"/>
      <c r="H376" s="14" t="n"/>
      <c r="I376" s="14" t="n"/>
      <c r="J376" s="14" t="n"/>
      <c r="K376" s="53" t="inlineStr"/>
      <c r="L376" s="53" t="inlineStr">
        <is>
          <t>Не определено</t>
        </is>
      </c>
      <c r="M376" s="53" t="inlineStr"/>
      <c r="N376" s="54" t="inlineStr"/>
      <c r="O376" s="55" t="inlineStr"/>
      <c r="P376" s="16" t="inlineStr">
        <is>
          <t>Требует обогащения</t>
        </is>
      </c>
      <c r="Q376" s="16">
        <f>HYPERLINK("https://pb.nalog.ru/search.html?query=5027091332","ФНС: проверить")</f>
        <v/>
      </c>
      <c r="R376" s="16">
        <f>HYPERLINK("https://checko.ru/search?query=3801001629","Чекко: проверить")</f>
        <v/>
      </c>
      <c r="S376" t="n">
        <v>1</v>
      </c>
      <c r="T376" s="35" t="inlineStr">
        <is>
          <t>4 — Не обогащён</t>
        </is>
      </c>
      <c r="U376" s="35" t="inlineStr">
        <is>
          <t>Нет ОКВЭД/ССЧР</t>
        </is>
      </c>
      <c r="V376" s="35" t="inlineStr">
        <is>
          <t>Не определено</t>
        </is>
      </c>
      <c r="W376" s="35" t="inlineStr"/>
      <c r="X376" s="35" t="inlineStr"/>
    </row>
    <row r="377" ht="41.25" customHeight="1" s="24">
      <c r="A377" s="13" t="n">
        <v>5000041248</v>
      </c>
      <c r="B377" s="13" t="inlineStr">
        <is>
          <t>МОУ "Инженерно-технологический лицей" муниципального образования городской округ Люберцы Московской области</t>
        </is>
      </c>
      <c r="C377" s="13" t="n">
        <v>5027277979</v>
      </c>
      <c r="D377" s="13" t="inlineStr">
        <is>
          <t>5027277979</t>
        </is>
      </c>
      <c r="E377" s="13" t="inlineStr">
        <is>
          <t>ЮЛ РФ</t>
        </is>
      </c>
      <c r="F377" s="13" t="n"/>
      <c r="G377" s="14" t="n"/>
      <c r="H377" s="14" t="n"/>
      <c r="I377" s="14" t="n"/>
      <c r="J377" s="14" t="n"/>
      <c r="K377" s="53" t="inlineStr"/>
      <c r="L377" s="53" t="inlineStr">
        <is>
          <t>Не определено</t>
        </is>
      </c>
      <c r="M377" s="53" t="inlineStr"/>
      <c r="N377" s="54" t="inlineStr"/>
      <c r="O377" s="55" t="inlineStr"/>
      <c r="P377" s="16" t="inlineStr">
        <is>
          <t>Требует обогащения</t>
        </is>
      </c>
      <c r="Q377" s="16">
        <f>HYPERLINK("https://pb.nalog.ru/search.html?query=5027277979","ФНС: проверить")</f>
        <v/>
      </c>
      <c r="R377" s="16">
        <f>HYPERLINK("https://checko.ru/search?query=3801001629","Чекко: проверить")</f>
        <v/>
      </c>
      <c r="S377" t="n">
        <v>1</v>
      </c>
      <c r="T377" s="35" t="inlineStr">
        <is>
          <t>4 — Не обогащён</t>
        </is>
      </c>
      <c r="U377" s="35" t="inlineStr">
        <is>
          <t>Нет ОКВЭД/ССЧР</t>
        </is>
      </c>
      <c r="V377" s="35" t="inlineStr">
        <is>
          <t>Не определено</t>
        </is>
      </c>
      <c r="W377" s="35" t="inlineStr"/>
      <c r="X377" s="35" t="inlineStr"/>
    </row>
    <row r="378" ht="54.75" customHeight="1" s="24">
      <c r="A378" s="13" t="n">
        <v>5000041250</v>
      </c>
      <c r="B378" s="13" t="inlineStr">
        <is>
          <t>муниципальное общеобразовательное учреждение  школа-интернат VIII вида № 3 "Развитие" муниципального образования городской округ Люберцы Московской об</t>
        </is>
      </c>
      <c r="C378" s="13" t="n">
        <v>5027118538</v>
      </c>
      <c r="D378" s="13" t="inlineStr">
        <is>
          <t>5027118538</t>
        </is>
      </c>
      <c r="E378" s="13" t="inlineStr">
        <is>
          <t>ЮЛ РФ</t>
        </is>
      </c>
      <c r="F378" s="13" t="n"/>
      <c r="G378" s="14" t="n"/>
      <c r="H378" s="14" t="n"/>
      <c r="I378" s="14" t="n"/>
      <c r="J378" s="14" t="n"/>
      <c r="K378" s="53" t="inlineStr"/>
      <c r="L378" s="53" t="inlineStr">
        <is>
          <t>Не определено</t>
        </is>
      </c>
      <c r="M378" s="53" t="inlineStr"/>
      <c r="N378" s="54" t="inlineStr"/>
      <c r="O378" s="55" t="inlineStr"/>
      <c r="P378" s="16" t="inlineStr">
        <is>
          <t>Требует обогащения</t>
        </is>
      </c>
      <c r="Q378" s="16">
        <f>HYPERLINK("https://pb.nalog.ru/search.html?query=5027118538","ФНС: проверить")</f>
        <v/>
      </c>
      <c r="R378" s="16">
        <f>HYPERLINK("https://checko.ru/search?query=3801001629","Чекко: проверить")</f>
        <v/>
      </c>
      <c r="S378" t="n">
        <v>1</v>
      </c>
      <c r="T378" s="35" t="inlineStr">
        <is>
          <t>4 — Не обогащён</t>
        </is>
      </c>
      <c r="U378" s="35" t="inlineStr">
        <is>
          <t>Нет ОКВЭД/ССЧР</t>
        </is>
      </c>
      <c r="V378" s="35" t="inlineStr">
        <is>
          <t>Не определено</t>
        </is>
      </c>
      <c r="W378" s="35" t="inlineStr"/>
      <c r="X378" s="35" t="inlineStr"/>
    </row>
    <row r="379" ht="54.75" customHeight="1" s="24">
      <c r="A379" s="13" t="n">
        <v>5000041252</v>
      </c>
      <c r="B379" s="13" t="inlineStr">
        <is>
          <t>муниципальное учреждение дополнительного профеcсионального образования "Центр развития образования" муниципального образования городской округ Люберцы</t>
        </is>
      </c>
      <c r="C379" s="13" t="n">
        <v>5027123009</v>
      </c>
      <c r="D379" s="13" t="inlineStr">
        <is>
          <t>5027123009</t>
        </is>
      </c>
      <c r="E379" s="13" t="inlineStr">
        <is>
          <t>ЮЛ РФ</t>
        </is>
      </c>
      <c r="F379" s="13" t="n"/>
      <c r="G379" s="14" t="n"/>
      <c r="H379" s="14" t="n"/>
      <c r="I379" s="14" t="n"/>
      <c r="J379" s="14" t="n"/>
      <c r="K379" s="53" t="inlineStr"/>
      <c r="L379" s="53" t="inlineStr">
        <is>
          <t>Не определено</t>
        </is>
      </c>
      <c r="M379" s="53" t="inlineStr"/>
      <c r="N379" s="54" t="inlineStr"/>
      <c r="O379" s="55" t="inlineStr"/>
      <c r="P379" s="16" t="inlineStr">
        <is>
          <t>Требует обогащения</t>
        </is>
      </c>
      <c r="Q379" s="16">
        <f>HYPERLINK("https://pb.nalog.ru/search.html?query=5027123009","ФНС: проверить")</f>
        <v/>
      </c>
      <c r="R379" s="16">
        <f>HYPERLINK("https://checko.ru/search?query=3801001629","Чекко: проверить")</f>
        <v/>
      </c>
      <c r="S379" t="n">
        <v>1</v>
      </c>
      <c r="T379" s="35" t="inlineStr">
        <is>
          <t>4 — Не обогащён</t>
        </is>
      </c>
      <c r="U379" s="35" t="inlineStr">
        <is>
          <t>Нет ОКВЭД/ССЧР</t>
        </is>
      </c>
      <c r="V379" s="35" t="inlineStr">
        <is>
          <t>Не определено</t>
        </is>
      </c>
      <c r="W379" s="35" t="inlineStr"/>
      <c r="X379" s="35" t="inlineStr"/>
    </row>
    <row r="380" ht="41.25" customHeight="1" s="24">
      <c r="A380" s="13" t="n">
        <v>5000041253</v>
      </c>
      <c r="B380" s="13" t="inlineStr">
        <is>
          <t>МУДО "Дворец детского (юношеского) творчества" муниципального образования городской округ Люберцы Мо</t>
        </is>
      </c>
      <c r="C380" s="13" t="n">
        <v>5027092914</v>
      </c>
      <c r="D380" s="13" t="inlineStr">
        <is>
          <t>5027092914</t>
        </is>
      </c>
      <c r="E380" s="13" t="inlineStr">
        <is>
          <t>ЮЛ РФ</t>
        </is>
      </c>
      <c r="F380" s="13" t="n"/>
      <c r="G380" s="14" t="n"/>
      <c r="H380" s="14" t="n"/>
      <c r="I380" s="14" t="n"/>
      <c r="J380" s="14" t="n"/>
      <c r="K380" s="53" t="inlineStr"/>
      <c r="L380" s="53" t="inlineStr">
        <is>
          <t>Не определено</t>
        </is>
      </c>
      <c r="M380" s="53" t="inlineStr"/>
      <c r="N380" s="54" t="inlineStr"/>
      <c r="O380" s="55" t="inlineStr"/>
      <c r="P380" s="16" t="inlineStr">
        <is>
          <t>Требует обогащения</t>
        </is>
      </c>
      <c r="Q380" s="16">
        <f>HYPERLINK("https://pb.nalog.ru/search.html?query=5027092914","ФНС: проверить")</f>
        <v/>
      </c>
      <c r="R380" s="16">
        <f>HYPERLINK("https://checko.ru/search?query=3801001629","Чекко: проверить")</f>
        <v/>
      </c>
      <c r="S380" t="n">
        <v>1</v>
      </c>
      <c r="T380" s="35" t="inlineStr">
        <is>
          <t>4 — Не обогащён</t>
        </is>
      </c>
      <c r="U380" s="35" t="inlineStr">
        <is>
          <t>Нет ОКВЭД/ССЧР</t>
        </is>
      </c>
      <c r="V380" s="35" t="inlineStr">
        <is>
          <t>Не определено</t>
        </is>
      </c>
      <c r="W380" s="35" t="inlineStr"/>
      <c r="X380" s="35" t="inlineStr"/>
    </row>
    <row r="381" ht="41.25" customHeight="1" s="24">
      <c r="A381" s="13" t="n">
        <v>5000041255</v>
      </c>
      <c r="B381" s="13" t="inlineStr">
        <is>
          <t>управление образованием администрации муниципального образования городской округ Люберцы Московской области</t>
        </is>
      </c>
      <c r="C381" s="13" t="n">
        <v>5027259553</v>
      </c>
      <c r="D381" s="13" t="inlineStr">
        <is>
          <t>5027259553</t>
        </is>
      </c>
      <c r="E381" s="13" t="inlineStr">
        <is>
          <t>ЮЛ РФ</t>
        </is>
      </c>
      <c r="F381" s="13" t="n"/>
      <c r="G381" s="14" t="n"/>
      <c r="H381" s="14" t="n"/>
      <c r="I381" s="14" t="n"/>
      <c r="J381" s="14" t="n"/>
      <c r="K381" s="53" t="inlineStr"/>
      <c r="L381" s="53" t="inlineStr">
        <is>
          <t>Не определено</t>
        </is>
      </c>
      <c r="M381" s="53" t="inlineStr"/>
      <c r="N381" s="54" t="inlineStr"/>
      <c r="O381" s="55" t="inlineStr"/>
      <c r="P381" s="16" t="inlineStr">
        <is>
          <t>Требует обогащения</t>
        </is>
      </c>
      <c r="Q381" s="16">
        <f>HYPERLINK("https://pb.nalog.ru/search.html?query=5027259553","ФНС: проверить")</f>
        <v/>
      </c>
      <c r="R381" s="16">
        <f>HYPERLINK("https://checko.ru/search?query=3801001629","Чекко: проверить")</f>
        <v/>
      </c>
      <c r="S381" t="n">
        <v>1</v>
      </c>
      <c r="T381" s="35" t="inlineStr">
        <is>
          <t>4 — Не обогащён</t>
        </is>
      </c>
      <c r="U381" s="35" t="inlineStr">
        <is>
          <t>Нет ОКВЭД/ССЧР</t>
        </is>
      </c>
      <c r="V381" s="35" t="inlineStr">
        <is>
          <t>Не определено</t>
        </is>
      </c>
      <c r="W381" s="35" t="inlineStr"/>
      <c r="X381" s="35" t="inlineStr"/>
    </row>
    <row r="382" ht="54.75" customHeight="1" s="24">
      <c r="A382" s="13" t="n">
        <v>5000041256</v>
      </c>
      <c r="B382" s="13" t="inlineStr">
        <is>
          <t>муниципальное общеобразовательное учреждение гимназия №1 муниципального образования городской округ Люберцы Московской области</t>
        </is>
      </c>
      <c r="C382" s="13" t="n">
        <v>5027093379</v>
      </c>
      <c r="D382" s="13" t="inlineStr">
        <is>
          <t>5027093379</t>
        </is>
      </c>
      <c r="E382" s="13" t="inlineStr">
        <is>
          <t>ЮЛ РФ</t>
        </is>
      </c>
      <c r="F382" s="13" t="n"/>
      <c r="G382" s="14" t="n"/>
      <c r="H382" s="14" t="n"/>
      <c r="I382" s="14" t="n"/>
      <c r="J382" s="14" t="n"/>
      <c r="K382" s="53" t="inlineStr"/>
      <c r="L382" s="53" t="inlineStr">
        <is>
          <t>Не определено</t>
        </is>
      </c>
      <c r="M382" s="53" t="inlineStr"/>
      <c r="N382" s="54" t="inlineStr"/>
      <c r="O382" s="55" t="inlineStr"/>
      <c r="P382" s="16" t="inlineStr">
        <is>
          <t>Требует обогащения</t>
        </is>
      </c>
      <c r="Q382" s="16">
        <f>HYPERLINK("https://pb.nalog.ru/search.html?query=5027093379","ФНС: проверить")</f>
        <v/>
      </c>
      <c r="R382" s="16">
        <f>HYPERLINK("https://checko.ru/search?query=3801001629","Чекко: проверить")</f>
        <v/>
      </c>
      <c r="S382" t="n">
        <v>1</v>
      </c>
      <c r="T382" s="35" t="inlineStr">
        <is>
          <t>4 — Не обогащён</t>
        </is>
      </c>
      <c r="U382" s="35" t="inlineStr">
        <is>
          <t>Нет ОКВЭД/ССЧР</t>
        </is>
      </c>
      <c r="V382" s="35" t="inlineStr">
        <is>
          <t>Не определено</t>
        </is>
      </c>
      <c r="W382" s="35" t="inlineStr"/>
      <c r="X382" s="35" t="inlineStr"/>
    </row>
    <row r="383" ht="27.75" customHeight="1" s="24">
      <c r="A383" s="13" t="n">
        <v>5000041258</v>
      </c>
      <c r="B383" s="13" t="inlineStr">
        <is>
          <t>МОУ лицей № 4 муниципального образования городской округ Люберцы Московской области</t>
        </is>
      </c>
      <c r="C383" s="13" t="n">
        <v>5027093481</v>
      </c>
      <c r="D383" s="13" t="inlineStr">
        <is>
          <t>5027093481</t>
        </is>
      </c>
      <c r="E383" s="13" t="inlineStr">
        <is>
          <t>ЮЛ РФ</t>
        </is>
      </c>
      <c r="F383" s="13" t="n"/>
      <c r="G383" s="14" t="n"/>
      <c r="H383" s="14" t="n"/>
      <c r="I383" s="14" t="n"/>
      <c r="J383" s="14" t="n"/>
      <c r="K383" s="53" t="inlineStr"/>
      <c r="L383" s="53" t="inlineStr">
        <is>
          <t>Не определено</t>
        </is>
      </c>
      <c r="M383" s="53" t="inlineStr"/>
      <c r="N383" s="54" t="inlineStr"/>
      <c r="O383" s="55" t="inlineStr"/>
      <c r="P383" s="16" t="inlineStr">
        <is>
          <t>Требует обогащения</t>
        </is>
      </c>
      <c r="Q383" s="16">
        <f>HYPERLINK("https://pb.nalog.ru/search.html?query=5027093481","ФНС: проверить")</f>
        <v/>
      </c>
      <c r="R383" s="16">
        <f>HYPERLINK("https://checko.ru/search?query=3801001629","Чекко: проверить")</f>
        <v/>
      </c>
      <c r="S383" t="n">
        <v>1</v>
      </c>
      <c r="T383" s="35" t="inlineStr">
        <is>
          <t>4 — Не обогащён</t>
        </is>
      </c>
      <c r="U383" s="35" t="inlineStr">
        <is>
          <t>Нет ОКВЭД/ССЧР</t>
        </is>
      </c>
      <c r="V383" s="35" t="inlineStr">
        <is>
          <t>Не определено</t>
        </is>
      </c>
      <c r="W383" s="35" t="inlineStr"/>
      <c r="X383" s="35" t="inlineStr"/>
    </row>
    <row r="384" ht="54.75" customHeight="1" s="24">
      <c r="A384" s="13" t="n">
        <v>5000041259</v>
      </c>
      <c r="B384" s="13" t="inlineStr">
        <is>
          <t>муниципальное общеобразовательное учреждение гимназия №5 муниципального образования городской округ Люберцы Московской области</t>
        </is>
      </c>
      <c r="C384" s="13" t="n">
        <v>5027093114</v>
      </c>
      <c r="D384" s="13" t="inlineStr">
        <is>
          <t>5027093114</t>
        </is>
      </c>
      <c r="E384" s="13" t="inlineStr">
        <is>
          <t>ЮЛ РФ</t>
        </is>
      </c>
      <c r="F384" s="13" t="n"/>
      <c r="G384" s="14" t="n"/>
      <c r="H384" s="14" t="n"/>
      <c r="I384" s="14" t="n"/>
      <c r="J384" s="14" t="n"/>
      <c r="K384" s="53" t="inlineStr"/>
      <c r="L384" s="53" t="inlineStr">
        <is>
          <t>Не определено</t>
        </is>
      </c>
      <c r="M384" s="53" t="inlineStr"/>
      <c r="N384" s="54" t="inlineStr"/>
      <c r="O384" s="55" t="inlineStr"/>
      <c r="P384" s="16" t="inlineStr">
        <is>
          <t>Требует обогащения</t>
        </is>
      </c>
      <c r="Q384" s="16">
        <f>HYPERLINK("https://pb.nalog.ru/search.html?query=5027093114","ФНС: проверить")</f>
        <v/>
      </c>
      <c r="R384" s="16">
        <f>HYPERLINK("https://checko.ru/search?query=3801001629","Чекко: проверить")</f>
        <v/>
      </c>
      <c r="S384" t="n">
        <v>1</v>
      </c>
      <c r="T384" s="35" t="inlineStr">
        <is>
          <t>4 — Не обогащён</t>
        </is>
      </c>
      <c r="U384" s="35" t="inlineStr">
        <is>
          <t>Нет ОКВЭД/ССЧР</t>
        </is>
      </c>
      <c r="V384" s="35" t="inlineStr">
        <is>
          <t>Не определено</t>
        </is>
      </c>
      <c r="W384" s="35" t="inlineStr"/>
      <c r="X384" s="35" t="inlineStr"/>
    </row>
    <row r="385" ht="54.75" customHeight="1" s="24">
      <c r="A385" s="13" t="n">
        <v>5000041262</v>
      </c>
      <c r="B385" s="13" t="inlineStr">
        <is>
          <t>муниципальное общеобразовательное учреждение средняя общеобразовательная школа № 8 муниципального образования городской округ Люберцы Московской облас</t>
        </is>
      </c>
      <c r="C385" s="13" t="n">
        <v>5027092858</v>
      </c>
      <c r="D385" s="13" t="inlineStr">
        <is>
          <t>5027092858</t>
        </is>
      </c>
      <c r="E385" s="13" t="inlineStr">
        <is>
          <t>ЮЛ РФ</t>
        </is>
      </c>
      <c r="F385" s="13" t="n"/>
      <c r="G385" s="14" t="n"/>
      <c r="H385" s="14" t="n"/>
      <c r="I385" s="14" t="n"/>
      <c r="J385" s="14" t="n"/>
      <c r="K385" s="53" t="inlineStr"/>
      <c r="L385" s="53" t="inlineStr">
        <is>
          <t>Не определено</t>
        </is>
      </c>
      <c r="M385" s="53" t="inlineStr"/>
      <c r="N385" s="54" t="inlineStr"/>
      <c r="O385" s="55" t="inlineStr"/>
      <c r="P385" s="16" t="inlineStr">
        <is>
          <t>Требует обогащения</t>
        </is>
      </c>
      <c r="Q385" s="16">
        <f>HYPERLINK("https://pb.nalog.ru/search.html?query=5027092858","ФНС: проверить")</f>
        <v/>
      </c>
      <c r="R385" s="16">
        <f>HYPERLINK("https://checko.ru/search?query=3801001629","Чекко: проверить")</f>
        <v/>
      </c>
      <c r="S385" t="n">
        <v>1</v>
      </c>
      <c r="T385" s="35" t="inlineStr">
        <is>
          <t>4 — Не обогащён</t>
        </is>
      </c>
      <c r="U385" s="35" t="inlineStr">
        <is>
          <t>Нет ОКВЭД/ССЧР</t>
        </is>
      </c>
      <c r="V385" s="35" t="inlineStr">
        <is>
          <t>Не определено</t>
        </is>
      </c>
      <c r="W385" s="35" t="inlineStr"/>
      <c r="X385" s="35" t="inlineStr"/>
    </row>
    <row r="386" ht="27.75" customHeight="1" s="24">
      <c r="A386" s="13" t="n">
        <v>5000041266</v>
      </c>
      <c r="B386" s="13" t="inlineStr">
        <is>
          <t>МОУ лицей № 12 муниципального образования городской округ Люберцы Московской области</t>
        </is>
      </c>
      <c r="C386" s="13" t="n">
        <v>5027071576</v>
      </c>
      <c r="D386" s="13" t="inlineStr">
        <is>
          <t>5027071576</t>
        </is>
      </c>
      <c r="E386" s="13" t="inlineStr">
        <is>
          <t>ЮЛ РФ</t>
        </is>
      </c>
      <c r="F386" s="13" t="n"/>
      <c r="G386" s="14" t="n"/>
      <c r="H386" s="14" t="n"/>
      <c r="I386" s="14" t="n"/>
      <c r="J386" s="14" t="n"/>
      <c r="K386" s="53" t="inlineStr"/>
      <c r="L386" s="53" t="inlineStr">
        <is>
          <t>Не определено</t>
        </is>
      </c>
      <c r="M386" s="53" t="inlineStr"/>
      <c r="N386" s="54" t="inlineStr"/>
      <c r="O386" s="55" t="inlineStr"/>
      <c r="P386" s="16" t="inlineStr">
        <is>
          <t>Требует обогащения</t>
        </is>
      </c>
      <c r="Q386" s="16">
        <f>HYPERLINK("https://pb.nalog.ru/search.html?query=5027071576","ФНС: проверить")</f>
        <v/>
      </c>
      <c r="R386" s="16">
        <f>HYPERLINK("https://checko.ru/search?query=3801001629","Чекко: проверить")</f>
        <v/>
      </c>
      <c r="S386" t="n">
        <v>1</v>
      </c>
      <c r="T386" s="35" t="inlineStr">
        <is>
          <t>4 — Не обогащён</t>
        </is>
      </c>
      <c r="U386" s="35" t="inlineStr">
        <is>
          <t>Нет ОКВЭД/ССЧР</t>
        </is>
      </c>
      <c r="V386" s="35" t="inlineStr">
        <is>
          <t>Не определено</t>
        </is>
      </c>
      <c r="W386" s="35" t="inlineStr"/>
      <c r="X386" s="35" t="inlineStr"/>
    </row>
    <row r="387" ht="54.75" customHeight="1" s="24">
      <c r="A387" s="13" t="n">
        <v>5000041279</v>
      </c>
      <c r="B387" s="13" t="inlineStr">
        <is>
          <t>муниципальное общеобразовательное учреждение средняя общеобразовательная школа № 28 муниципального образования городской округ Люберцы Московской обла</t>
        </is>
      </c>
      <c r="C387" s="13" t="n">
        <v>5027254749</v>
      </c>
      <c r="D387" s="13" t="inlineStr">
        <is>
          <t>5027254749</t>
        </is>
      </c>
      <c r="E387" s="13" t="inlineStr">
        <is>
          <t>ЮЛ РФ</t>
        </is>
      </c>
      <c r="F387" s="13" t="n"/>
      <c r="G387" s="14" t="n"/>
      <c r="H387" s="14" t="n"/>
      <c r="I387" s="14" t="n"/>
      <c r="J387" s="14" t="n"/>
      <c r="K387" s="53" t="inlineStr"/>
      <c r="L387" s="53" t="inlineStr">
        <is>
          <t>Не определено</t>
        </is>
      </c>
      <c r="M387" s="53" t="inlineStr"/>
      <c r="N387" s="54" t="inlineStr"/>
      <c r="O387" s="55" t="inlineStr"/>
      <c r="P387" s="16" t="inlineStr">
        <is>
          <t>Требует обогащения</t>
        </is>
      </c>
      <c r="Q387" s="16">
        <f>HYPERLINK("https://pb.nalog.ru/search.html?query=5027254749","ФНС: проверить")</f>
        <v/>
      </c>
      <c r="R387" s="16">
        <f>HYPERLINK("https://checko.ru/search?query=3801001629","Чекко: проверить")</f>
        <v/>
      </c>
      <c r="S387" t="n">
        <v>1</v>
      </c>
      <c r="T387" s="35" t="inlineStr">
        <is>
          <t>4 — Не обогащён</t>
        </is>
      </c>
      <c r="U387" s="35" t="inlineStr">
        <is>
          <t>Нет ОКВЭД/ССЧР</t>
        </is>
      </c>
      <c r="V387" s="35" t="inlineStr">
        <is>
          <t>Не определено</t>
        </is>
      </c>
      <c r="W387" s="35" t="inlineStr"/>
      <c r="X387" s="35" t="inlineStr"/>
    </row>
    <row r="388" ht="54.75" customHeight="1" s="24">
      <c r="A388" s="13" t="n">
        <v>5000041284</v>
      </c>
      <c r="B388" s="13" t="inlineStr">
        <is>
          <t>муниципальное общеобразовательное учреждение гимназия № 46 муниципального образования городской округ Люберцы Московской области</t>
        </is>
      </c>
      <c r="C388" s="13" t="n">
        <v>5027079737</v>
      </c>
      <c r="D388" s="13" t="inlineStr">
        <is>
          <t>5027079737</t>
        </is>
      </c>
      <c r="E388" s="13" t="inlineStr">
        <is>
          <t>ЮЛ РФ</t>
        </is>
      </c>
      <c r="F388" s="13" t="n"/>
      <c r="G388" s="14" t="n"/>
      <c r="H388" s="14" t="n"/>
      <c r="I388" s="14" t="n"/>
      <c r="J388" s="14" t="n"/>
      <c r="K388" s="53" t="inlineStr"/>
      <c r="L388" s="53" t="inlineStr">
        <is>
          <t>Не определено</t>
        </is>
      </c>
      <c r="M388" s="53" t="inlineStr"/>
      <c r="N388" s="54" t="inlineStr"/>
      <c r="O388" s="55" t="inlineStr"/>
      <c r="P388" s="16" t="inlineStr">
        <is>
          <t>Требует обогащения</t>
        </is>
      </c>
      <c r="Q388" s="16">
        <f>HYPERLINK("https://pb.nalog.ru/search.html?query=5027079737","ФНС: проверить")</f>
        <v/>
      </c>
      <c r="R388" s="16">
        <f>HYPERLINK("https://checko.ru/search?query=3801001629","Чекко: проверить")</f>
        <v/>
      </c>
      <c r="S388" t="n">
        <v>1</v>
      </c>
      <c r="T388" s="35" t="inlineStr">
        <is>
          <t>4 — Не обогащён</t>
        </is>
      </c>
      <c r="U388" s="35" t="inlineStr">
        <is>
          <t>Нет ОКВЭД/ССЧР</t>
        </is>
      </c>
      <c r="V388" s="35" t="inlineStr">
        <is>
          <t>Не определено</t>
        </is>
      </c>
      <c r="W388" s="35" t="inlineStr"/>
      <c r="X388" s="35" t="inlineStr"/>
    </row>
    <row r="389" ht="54.75" customHeight="1" s="24">
      <c r="A389" s="13" t="n">
        <v>5000041287</v>
      </c>
      <c r="B389" s="13" t="inlineStr">
        <is>
          <t>муниципальное общеобразовательное учреждение средняя общеобразовательная школа № 52 муниципального образования  городской округ Люберцы  Московской об</t>
        </is>
      </c>
      <c r="C389" s="13" t="n">
        <v>5027080080</v>
      </c>
      <c r="D389" s="13" t="inlineStr">
        <is>
          <t>5027080080</t>
        </is>
      </c>
      <c r="E389" s="13" t="inlineStr">
        <is>
          <t>ЮЛ РФ</t>
        </is>
      </c>
      <c r="F389" s="13" t="n"/>
      <c r="G389" s="14" t="n"/>
      <c r="H389" s="14" t="n"/>
      <c r="I389" s="14" t="n"/>
      <c r="J389" s="14" t="n"/>
      <c r="K389" s="53" t="inlineStr"/>
      <c r="L389" s="53" t="inlineStr">
        <is>
          <t>Не определено</t>
        </is>
      </c>
      <c r="M389" s="53" t="inlineStr"/>
      <c r="N389" s="54" t="inlineStr"/>
      <c r="O389" s="55" t="inlineStr"/>
      <c r="P389" s="16" t="inlineStr">
        <is>
          <t>Требует обогащения</t>
        </is>
      </c>
      <c r="Q389" s="16">
        <f>HYPERLINK("https://pb.nalog.ru/search.html?query=5027080080","ФНС: проверить")</f>
        <v/>
      </c>
      <c r="R389" s="16">
        <f>HYPERLINK("https://checko.ru/search?query=3801001629","Чекко: проверить")</f>
        <v/>
      </c>
      <c r="S389" t="n">
        <v>1</v>
      </c>
      <c r="T389" s="35" t="inlineStr">
        <is>
          <t>4 — Не обогащён</t>
        </is>
      </c>
      <c r="U389" s="35" t="inlineStr">
        <is>
          <t>Нет ОКВЭД/ССЧР</t>
        </is>
      </c>
      <c r="V389" s="35" t="inlineStr">
        <is>
          <t>Не определено</t>
        </is>
      </c>
      <c r="W389" s="35" t="inlineStr"/>
      <c r="X389" s="35" t="inlineStr"/>
    </row>
    <row r="390" ht="54.75" customHeight="1" s="24">
      <c r="A390" s="13" t="n">
        <v>5000041288</v>
      </c>
      <c r="B390" s="13" t="inlineStr">
        <is>
          <t>муниципальное общеобразовательное учреждение средняя общеобразовательная школа № 53 муниципального образования городской округ Люберцы Московской обла</t>
        </is>
      </c>
      <c r="C390" s="13" t="n">
        <v>5027080002</v>
      </c>
      <c r="D390" s="13" t="inlineStr">
        <is>
          <t>5027080002</t>
        </is>
      </c>
      <c r="E390" s="13" t="inlineStr">
        <is>
          <t>ЮЛ РФ</t>
        </is>
      </c>
      <c r="F390" s="13" t="n"/>
      <c r="G390" s="14" t="n"/>
      <c r="H390" s="14" t="n"/>
      <c r="I390" s="14" t="n"/>
      <c r="J390" s="14" t="n"/>
      <c r="K390" s="53" t="inlineStr"/>
      <c r="L390" s="53" t="inlineStr">
        <is>
          <t>Не определено</t>
        </is>
      </c>
      <c r="M390" s="53" t="inlineStr"/>
      <c r="N390" s="54" t="inlineStr"/>
      <c r="O390" s="55" t="inlineStr"/>
      <c r="P390" s="16" t="inlineStr">
        <is>
          <t>Требует обогащения</t>
        </is>
      </c>
      <c r="Q390" s="16">
        <f>HYPERLINK("https://pb.nalog.ru/search.html?query=5027080002","ФНС: проверить")</f>
        <v/>
      </c>
      <c r="R390" s="16">
        <f>HYPERLINK("https://checko.ru/search?query=3801001629","Чекко: проверить")</f>
        <v/>
      </c>
      <c r="S390" t="n">
        <v>1</v>
      </c>
      <c r="T390" s="35" t="inlineStr">
        <is>
          <t>4 — Не обогащён</t>
        </is>
      </c>
      <c r="U390" s="35" t="inlineStr">
        <is>
          <t>Нет ОКВЭД/ССЧР</t>
        </is>
      </c>
      <c r="V390" s="35" t="inlineStr">
        <is>
          <t>Не определено</t>
        </is>
      </c>
      <c r="W390" s="35" t="inlineStr"/>
      <c r="X390" s="35" t="inlineStr"/>
    </row>
    <row r="391" ht="54.75" customHeight="1" s="24">
      <c r="A391" s="13" t="n">
        <v>5000041290</v>
      </c>
      <c r="B391" s="13" t="inlineStr">
        <is>
          <t>муниципальное общеобразовательное учреждение "Гимназия № 56" муниципального образования городской округ Люберцы Московской области</t>
        </is>
      </c>
      <c r="C391" s="13" t="n">
        <v>5027072467</v>
      </c>
      <c r="D391" s="13" t="inlineStr">
        <is>
          <t>5027072467</t>
        </is>
      </c>
      <c r="E391" s="13" t="inlineStr">
        <is>
          <t>ЮЛ РФ</t>
        </is>
      </c>
      <c r="F391" s="13" t="n"/>
      <c r="G391" s="14" t="n"/>
      <c r="H391" s="14" t="n"/>
      <c r="I391" s="14" t="n"/>
      <c r="J391" s="14" t="n"/>
      <c r="K391" s="53" t="inlineStr"/>
      <c r="L391" s="53" t="inlineStr">
        <is>
          <t>Не определено</t>
        </is>
      </c>
      <c r="M391" s="53" t="inlineStr"/>
      <c r="N391" s="54" t="inlineStr"/>
      <c r="O391" s="55" t="inlineStr"/>
      <c r="P391" s="16" t="inlineStr">
        <is>
          <t>Требует обогащения</t>
        </is>
      </c>
      <c r="Q391" s="16">
        <f>HYPERLINK("https://pb.nalog.ru/search.html?query=5027072467","ФНС: проверить")</f>
        <v/>
      </c>
      <c r="R391" s="16">
        <f>HYPERLINK("https://checko.ru/search?query=3801001629","Чекко: проверить")</f>
        <v/>
      </c>
      <c r="S391" t="n">
        <v>1</v>
      </c>
      <c r="T391" s="35" t="inlineStr">
        <is>
          <t>4 — Не обогащён</t>
        </is>
      </c>
      <c r="U391" s="35" t="inlineStr">
        <is>
          <t>Нет ОКВЭД/ССЧР</t>
        </is>
      </c>
      <c r="V391" s="35" t="inlineStr">
        <is>
          <t>Не определено</t>
        </is>
      </c>
      <c r="W391" s="35" t="inlineStr"/>
      <c r="X391" s="35" t="inlineStr"/>
    </row>
    <row r="392" ht="27.75" customHeight="1" s="24">
      <c r="A392" s="13" t="n">
        <v>5000087398</v>
      </c>
      <c r="B392" s="13" t="inlineStr">
        <is>
          <t>МБОУ Видновская средняя общеобразовательная школа № 7</t>
        </is>
      </c>
      <c r="C392" s="13" t="n">
        <v>5003021551</v>
      </c>
      <c r="D392" s="13" t="inlineStr">
        <is>
          <t>5003021551</t>
        </is>
      </c>
      <c r="E392" s="13" t="inlineStr">
        <is>
          <t>ЮЛ РФ</t>
        </is>
      </c>
      <c r="F392" s="13" t="n"/>
      <c r="G392" s="14" t="n"/>
      <c r="H392" s="14" t="n"/>
      <c r="I392" s="14" t="n"/>
      <c r="J392" s="14" t="n"/>
      <c r="K392" s="53" t="inlineStr"/>
      <c r="L392" s="53" t="inlineStr">
        <is>
          <t>Не определено</t>
        </is>
      </c>
      <c r="M392" s="53" t="inlineStr"/>
      <c r="N392" s="54" t="inlineStr"/>
      <c r="O392" s="55" t="inlineStr"/>
      <c r="P392" s="16" t="inlineStr">
        <is>
          <t>Требует обогащения</t>
        </is>
      </c>
      <c r="Q392" s="16">
        <f>HYPERLINK("https://pb.nalog.ru/search.html?query=5003021551","ФНС: проверить")</f>
        <v/>
      </c>
      <c r="R392" s="16">
        <f>HYPERLINK("https://checko.ru/search?query=3801001629","Чекко: проверить")</f>
        <v/>
      </c>
      <c r="S392" t="n">
        <v>1</v>
      </c>
      <c r="T392" s="35" t="inlineStr">
        <is>
          <t>4 — Не обогащён</t>
        </is>
      </c>
      <c r="U392" s="35" t="inlineStr">
        <is>
          <t>Нет ОКВЭД/ССЧР</t>
        </is>
      </c>
      <c r="V392" s="35" t="inlineStr">
        <is>
          <t>Не определено</t>
        </is>
      </c>
      <c r="W392" s="35" t="inlineStr"/>
      <c r="X392" s="35" t="inlineStr"/>
    </row>
    <row r="393" ht="27.75" customHeight="1" s="24">
      <c r="A393" s="13" t="n">
        <v>5000087397</v>
      </c>
      <c r="B393" s="13" t="inlineStr">
        <is>
          <t>МБОУ Видновская средняя общеобразовательная школа №1</t>
        </is>
      </c>
      <c r="C393" s="13" t="n">
        <v>5003021569</v>
      </c>
      <c r="D393" s="13" t="inlineStr">
        <is>
          <t>5003021569</t>
        </is>
      </c>
      <c r="E393" s="13" t="inlineStr">
        <is>
          <t>ЮЛ РФ</t>
        </is>
      </c>
      <c r="F393" s="13" t="n"/>
      <c r="G393" s="14" t="n"/>
      <c r="H393" s="14" t="n"/>
      <c r="I393" s="14" t="n"/>
      <c r="J393" s="14" t="n"/>
      <c r="K393" s="53" t="inlineStr"/>
      <c r="L393" s="53" t="inlineStr">
        <is>
          <t>Не определено</t>
        </is>
      </c>
      <c r="M393" s="53" t="inlineStr"/>
      <c r="N393" s="54" t="inlineStr"/>
      <c r="O393" s="55" t="inlineStr"/>
      <c r="P393" s="16" t="inlineStr">
        <is>
          <t>Требует обогащения</t>
        </is>
      </c>
      <c r="Q393" s="16">
        <f>HYPERLINK("https://pb.nalog.ru/search.html?query=5003021569","ФНС: проверить")</f>
        <v/>
      </c>
      <c r="R393" s="16">
        <f>HYPERLINK("https://checko.ru/search?query=3801001629","Чекко: проверить")</f>
        <v/>
      </c>
      <c r="S393" t="n">
        <v>1</v>
      </c>
      <c r="T393" s="35" t="inlineStr">
        <is>
          <t>4 — Не обогащён</t>
        </is>
      </c>
      <c r="U393" s="35" t="inlineStr">
        <is>
          <t>Нет ОКВЭД/ССЧР</t>
        </is>
      </c>
      <c r="V393" s="35" t="inlineStr">
        <is>
          <t>Не определено</t>
        </is>
      </c>
      <c r="W393" s="35" t="inlineStr"/>
      <c r="X393" s="35" t="inlineStr"/>
    </row>
    <row r="394" ht="15" customHeight="1" s="24">
      <c r="A394" s="13" t="n">
        <v>5000116343</v>
      </c>
      <c r="B394" s="13" t="inlineStr">
        <is>
          <t>МАУ "МФЦ" г.Истра</t>
        </is>
      </c>
      <c r="C394" s="13" t="n">
        <v>5017099692</v>
      </c>
      <c r="D394" s="13" t="inlineStr">
        <is>
          <t>5017099692</t>
        </is>
      </c>
      <c r="E394" s="13" t="inlineStr">
        <is>
          <t>ЮЛ РФ</t>
        </is>
      </c>
      <c r="F394" s="13" t="n"/>
      <c r="G394" s="14" t="n"/>
      <c r="H394" s="14" t="n"/>
      <c r="I394" s="14" t="n"/>
      <c r="J394" s="14" t="n"/>
      <c r="K394" s="53" t="inlineStr"/>
      <c r="L394" s="53" t="inlineStr">
        <is>
          <t>Не определено</t>
        </is>
      </c>
      <c r="M394" s="53" t="inlineStr"/>
      <c r="N394" s="54" t="inlineStr"/>
      <c r="O394" s="55" t="inlineStr"/>
      <c r="P394" s="16" t="inlineStr">
        <is>
          <t>Требует обогащения</t>
        </is>
      </c>
      <c r="Q394" s="16">
        <f>HYPERLINK("https://pb.nalog.ru/search.html?query=5017099692","ФНС: проверить")</f>
        <v/>
      </c>
      <c r="R394" s="16">
        <f>HYPERLINK("https://checko.ru/search?query=3801001629","Чекко: проверить")</f>
        <v/>
      </c>
      <c r="S394" t="n">
        <v>1</v>
      </c>
      <c r="T394" s="35" t="inlineStr">
        <is>
          <t>4 — Не обогащён</t>
        </is>
      </c>
      <c r="U394" s="35" t="inlineStr">
        <is>
          <t>Нет ОКВЭД/ССЧР</t>
        </is>
      </c>
      <c r="V394" s="35" t="inlineStr">
        <is>
          <t>Не определено</t>
        </is>
      </c>
      <c r="W394" s="35" t="inlineStr"/>
      <c r="X394" s="35" t="inlineStr"/>
    </row>
    <row r="395" ht="15" customHeight="1" s="24">
      <c r="A395" s="13" t="n">
        <v>5000101500</v>
      </c>
      <c r="B395" s="13" t="inlineStr">
        <is>
          <t>МБУ "БЛАГОСТ"</t>
        </is>
      </c>
      <c r="C395" s="13" t="n">
        <v>5027236683</v>
      </c>
      <c r="D395" s="13" t="inlineStr">
        <is>
          <t>5027236683</t>
        </is>
      </c>
      <c r="E395" s="13" t="inlineStr">
        <is>
          <t>ЮЛ РФ</t>
        </is>
      </c>
      <c r="F395" s="13" t="n"/>
      <c r="G395" s="14" t="n"/>
      <c r="H395" s="14" t="n"/>
      <c r="I395" s="14" t="n"/>
      <c r="J395" s="14" t="n"/>
      <c r="K395" s="53" t="inlineStr"/>
      <c r="L395" s="53" t="inlineStr">
        <is>
          <t>Не определено</t>
        </is>
      </c>
      <c r="M395" s="53" t="inlineStr"/>
      <c r="N395" s="54" t="inlineStr"/>
      <c r="O395" s="55" t="inlineStr"/>
      <c r="P395" s="16" t="inlineStr">
        <is>
          <t>Требует обогащения</t>
        </is>
      </c>
      <c r="Q395" s="16">
        <f>HYPERLINK("https://pb.nalog.ru/search.html?query=5027236683","ФНС: проверить")</f>
        <v/>
      </c>
      <c r="R395" s="16">
        <f>HYPERLINK("https://checko.ru/search?query=3801001629","Чекко: проверить")</f>
        <v/>
      </c>
      <c r="S395" t="n">
        <v>1</v>
      </c>
      <c r="T395" s="35" t="inlineStr">
        <is>
          <t>4 — Не обогащён</t>
        </is>
      </c>
      <c r="U395" s="35" t="inlineStr">
        <is>
          <t>Нет ОКВЭД/ССЧР</t>
        </is>
      </c>
      <c r="V395" s="35" t="inlineStr">
        <is>
          <t>Не определено</t>
        </is>
      </c>
      <c r="W395" s="35" t="inlineStr"/>
      <c r="X395" s="35" t="inlineStr"/>
    </row>
    <row r="396" ht="41.25" customHeight="1" s="24">
      <c r="A396" s="13" t="n">
        <v>5000101513</v>
      </c>
      <c r="B396" s="13" t="inlineStr">
        <is>
          <t>Муниципальное бюджетное общеобразовательное учреждение "Гимназия №4"</t>
        </is>
      </c>
      <c r="C396" s="13" t="n">
        <v>5027043716</v>
      </c>
      <c r="D396" s="13" t="inlineStr">
        <is>
          <t>5027043716</t>
        </is>
      </c>
      <c r="E396" s="13" t="inlineStr">
        <is>
          <t>ЮЛ РФ</t>
        </is>
      </c>
      <c r="F396" s="13" t="n"/>
      <c r="G396" s="14" t="n"/>
      <c r="H396" s="14" t="n"/>
      <c r="I396" s="14" t="n"/>
      <c r="J396" s="14" t="n"/>
      <c r="K396" s="53" t="inlineStr"/>
      <c r="L396" s="53" t="inlineStr">
        <is>
          <t>Не определено</t>
        </is>
      </c>
      <c r="M396" s="53" t="inlineStr"/>
      <c r="N396" s="54" t="inlineStr"/>
      <c r="O396" s="55" t="inlineStr"/>
      <c r="P396" s="16" t="inlineStr">
        <is>
          <t>Требует обогащения</t>
        </is>
      </c>
      <c r="Q396" s="16">
        <f>HYPERLINK("https://pb.nalog.ru/search.html?query=5027043716","ФНС: проверить")</f>
        <v/>
      </c>
      <c r="R396" s="16">
        <f>HYPERLINK("https://checko.ru/search?query=3801001629","Чекко: проверить")</f>
        <v/>
      </c>
      <c r="S396" t="n">
        <v>1</v>
      </c>
      <c r="T396" s="35" t="inlineStr">
        <is>
          <t>4 — Не обогащён</t>
        </is>
      </c>
      <c r="U396" s="35" t="inlineStr">
        <is>
          <t>Нет ОКВЭД/ССЧР</t>
        </is>
      </c>
      <c r="V396" s="35" t="inlineStr">
        <is>
          <t>Не определено</t>
        </is>
      </c>
      <c r="W396" s="35" t="inlineStr"/>
      <c r="X396" s="35" t="inlineStr"/>
    </row>
    <row r="397" ht="15" customHeight="1" s="24">
      <c r="A397" s="13" t="n">
        <v>5000119015</v>
      </c>
      <c r="B397" s="13" t="inlineStr">
        <is>
          <t>АУ ГОХ "ЦАТО"</t>
        </is>
      </c>
      <c r="C397" s="13" t="n">
        <v>5047093497</v>
      </c>
      <c r="D397" s="13" t="inlineStr">
        <is>
          <t>5047093497</t>
        </is>
      </c>
      <c r="E397" s="13" t="inlineStr">
        <is>
          <t>ЮЛ РФ</t>
        </is>
      </c>
      <c r="F397" s="13" t="n"/>
      <c r="G397" s="14" t="n"/>
      <c r="H397" s="14" t="n"/>
      <c r="I397" s="14" t="n"/>
      <c r="J397" s="14" t="n"/>
      <c r="K397" s="53" t="inlineStr"/>
      <c r="L397" s="53" t="inlineStr">
        <is>
          <t>Не определено</t>
        </is>
      </c>
      <c r="M397" s="53" t="inlineStr"/>
      <c r="N397" s="54" t="inlineStr"/>
      <c r="O397" s="55" t="inlineStr"/>
      <c r="P397" s="16" t="inlineStr">
        <is>
          <t>Требует обогащения</t>
        </is>
      </c>
      <c r="Q397" s="16">
        <f>HYPERLINK("https://pb.nalog.ru/search.html?query=5047093497","ФНС: проверить")</f>
        <v/>
      </c>
      <c r="R397" s="16">
        <f>HYPERLINK("https://checko.ru/search?query=3801001629","Чекко: проверить")</f>
        <v/>
      </c>
      <c r="S397" t="n">
        <v>1</v>
      </c>
      <c r="T397" s="35" t="inlineStr">
        <is>
          <t>4 — Не обогащён</t>
        </is>
      </c>
      <c r="U397" s="35" t="inlineStr">
        <is>
          <t>Нет ОКВЭД/ССЧР</t>
        </is>
      </c>
      <c r="V397" s="35" t="inlineStr">
        <is>
          <t>Не определено</t>
        </is>
      </c>
      <c r="W397" s="35" t="inlineStr"/>
      <c r="X397" s="35" t="inlineStr"/>
    </row>
    <row r="398" ht="15" customHeight="1" s="24">
      <c r="A398" s="13" t="n">
        <v>5000116391</v>
      </c>
      <c r="B398" s="13" t="inlineStr">
        <is>
          <t>МАУ СШ "ХИМКИ"</t>
        </is>
      </c>
      <c r="C398" s="13" t="n">
        <v>5047057386</v>
      </c>
      <c r="D398" s="13" t="inlineStr">
        <is>
          <t>5047057386</t>
        </is>
      </c>
      <c r="E398" s="13" t="inlineStr">
        <is>
          <t>ЮЛ РФ</t>
        </is>
      </c>
      <c r="F398" s="13" t="n"/>
      <c r="G398" s="14" t="n"/>
      <c r="H398" s="14" t="n"/>
      <c r="I398" s="14" t="n"/>
      <c r="J398" s="14" t="n"/>
      <c r="K398" s="53" t="inlineStr"/>
      <c r="L398" s="53" t="inlineStr">
        <is>
          <t>Не определено</t>
        </is>
      </c>
      <c r="M398" s="53" t="inlineStr"/>
      <c r="N398" s="54" t="inlineStr"/>
      <c r="O398" s="55" t="inlineStr"/>
      <c r="P398" s="16" t="inlineStr">
        <is>
          <t>Требует обогащения</t>
        </is>
      </c>
      <c r="Q398" s="16">
        <f>HYPERLINK("https://pb.nalog.ru/search.html?query=5047057386","ФНС: проверить")</f>
        <v/>
      </c>
      <c r="R398" s="16">
        <f>HYPERLINK("https://checko.ru/search?query=3801001629","Чекко: проверить")</f>
        <v/>
      </c>
      <c r="S398" t="n">
        <v>1</v>
      </c>
      <c r="T398" s="35" t="inlineStr">
        <is>
          <t>4 — Не обогащён</t>
        </is>
      </c>
      <c r="U398" s="35" t="inlineStr">
        <is>
          <t>Нет ОКВЭД/ССЧР</t>
        </is>
      </c>
      <c r="V398" s="35" t="inlineStr">
        <is>
          <t>Не определено</t>
        </is>
      </c>
      <c r="W398" s="35" t="inlineStr"/>
      <c r="X398" s="35" t="inlineStr"/>
    </row>
    <row r="399" ht="15" customHeight="1" s="24">
      <c r="A399" s="13" t="n">
        <v>5000121098</v>
      </c>
      <c r="B399" s="13" t="inlineStr">
        <is>
          <t>МУ ГОХ "Аварийно-спасательная служба"</t>
        </is>
      </c>
      <c r="C399" s="13" t="n">
        <v>5047090739</v>
      </c>
      <c r="D399" s="13" t="inlineStr">
        <is>
          <t>5047090739</t>
        </is>
      </c>
      <c r="E399" s="13" t="inlineStr">
        <is>
          <t>ЮЛ РФ</t>
        </is>
      </c>
      <c r="F399" s="13" t="n"/>
      <c r="G399" s="14" t="n"/>
      <c r="H399" s="14" t="n"/>
      <c r="I399" s="14" t="n"/>
      <c r="J399" s="14" t="n"/>
      <c r="K399" s="53" t="inlineStr"/>
      <c r="L399" s="53" t="inlineStr">
        <is>
          <t>Не определено</t>
        </is>
      </c>
      <c r="M399" s="53" t="inlineStr"/>
      <c r="N399" s="54" t="inlineStr"/>
      <c r="O399" s="55" t="inlineStr"/>
      <c r="P399" s="16" t="inlineStr">
        <is>
          <t>Требует обогащения</t>
        </is>
      </c>
      <c r="Q399" s="16">
        <f>HYPERLINK("https://pb.nalog.ru/search.html?query=5047090739","ФНС: проверить")</f>
        <v/>
      </c>
      <c r="R399" s="16">
        <f>HYPERLINK("https://checko.ru/search?query=3801001629","Чекко: проверить")</f>
        <v/>
      </c>
      <c r="S399" t="n">
        <v>1</v>
      </c>
      <c r="T399" s="35" t="inlineStr">
        <is>
          <t>4 — Не обогащён</t>
        </is>
      </c>
      <c r="U399" s="35" t="inlineStr">
        <is>
          <t>Нет ОКВЭД/ССЧР</t>
        </is>
      </c>
      <c r="V399" s="35" t="inlineStr">
        <is>
          <t>Не определено</t>
        </is>
      </c>
      <c r="W399" s="35" t="inlineStr"/>
      <c r="X399" s="35" t="inlineStr"/>
    </row>
    <row r="400" ht="15" customHeight="1" s="24">
      <c r="A400" s="13" t="n">
        <v>5000116405</v>
      </c>
      <c r="B400" s="13" t="inlineStr">
        <is>
          <t>МАОУ ЛИЦЕЙ № 21 Г. ХИМКИ</t>
        </is>
      </c>
      <c r="C400" s="13" t="n">
        <v>5047051419</v>
      </c>
      <c r="D400" s="13" t="inlineStr">
        <is>
          <t>5047051419</t>
        </is>
      </c>
      <c r="E400" s="13" t="inlineStr">
        <is>
          <t>ЮЛ РФ</t>
        </is>
      </c>
      <c r="F400" s="13" t="n"/>
      <c r="G400" s="14" t="n"/>
      <c r="H400" s="14" t="n"/>
      <c r="I400" s="14" t="n"/>
      <c r="J400" s="14" t="n"/>
      <c r="K400" s="53" t="inlineStr"/>
      <c r="L400" s="53" t="inlineStr">
        <is>
          <t>Не определено</t>
        </is>
      </c>
      <c r="M400" s="53" t="inlineStr"/>
      <c r="N400" s="54" t="inlineStr"/>
      <c r="O400" s="55" t="inlineStr"/>
      <c r="P400" s="16" t="inlineStr">
        <is>
          <t>Требует обогащения</t>
        </is>
      </c>
      <c r="Q400" s="16">
        <f>HYPERLINK("https://pb.nalog.ru/search.html?query=5047051419","ФНС: проверить")</f>
        <v/>
      </c>
      <c r="R400" s="16">
        <f>HYPERLINK("https://checko.ru/search?query=3801001629","Чекко: проверить")</f>
        <v/>
      </c>
      <c r="S400" t="n">
        <v>1</v>
      </c>
      <c r="T400" s="35" t="inlineStr">
        <is>
          <t>4 — Не обогащён</t>
        </is>
      </c>
      <c r="U400" s="35" t="inlineStr">
        <is>
          <t>Нет ОКВЭД/ССЧР</t>
        </is>
      </c>
      <c r="V400" s="35" t="inlineStr">
        <is>
          <t>Не определено</t>
        </is>
      </c>
      <c r="W400" s="35" t="inlineStr"/>
      <c r="X400" s="35" t="inlineStr"/>
    </row>
    <row r="401" ht="27.75" customHeight="1" s="24">
      <c r="A401" s="13" t="n">
        <v>5000121169</v>
      </c>
      <c r="B401" s="13" t="inlineStr">
        <is>
          <t>КУИ АДМИНИСТРАЦИИ ГОРОДСКОГО ОКРУГА ЛЮБЕРЦЫ</t>
        </is>
      </c>
      <c r="C401" s="13" t="n">
        <v>5027254114</v>
      </c>
      <c r="D401" s="13" t="inlineStr">
        <is>
          <t>5027254114</t>
        </is>
      </c>
      <c r="E401" s="13" t="inlineStr">
        <is>
          <t>ЮЛ РФ</t>
        </is>
      </c>
      <c r="F401" s="13" t="n"/>
      <c r="G401" s="14" t="n"/>
      <c r="H401" s="14" t="n"/>
      <c r="I401" s="14" t="n"/>
      <c r="J401" s="14" t="n"/>
      <c r="K401" s="53" t="inlineStr"/>
      <c r="L401" s="53" t="inlineStr">
        <is>
          <t>Не определено</t>
        </is>
      </c>
      <c r="M401" s="53" t="inlineStr"/>
      <c r="N401" s="54" t="inlineStr"/>
      <c r="O401" s="55" t="inlineStr"/>
      <c r="P401" s="16" t="inlineStr">
        <is>
          <t>Требует обогащения</t>
        </is>
      </c>
      <c r="Q401" s="16">
        <f>HYPERLINK("https://pb.nalog.ru/search.html?query=5027254114","ФНС: проверить")</f>
        <v/>
      </c>
      <c r="R401" s="16">
        <f>HYPERLINK("https://checko.ru/search?query=3801001629","Чекко: проверить")</f>
        <v/>
      </c>
      <c r="S401" t="n">
        <v>1</v>
      </c>
      <c r="T401" s="35" t="inlineStr">
        <is>
          <t>4 — Не обогащён</t>
        </is>
      </c>
      <c r="U401" s="35" t="inlineStr">
        <is>
          <t>Нет ОКВЭД/ССЧР</t>
        </is>
      </c>
      <c r="V401" s="35" t="inlineStr">
        <is>
          <t>Не определено</t>
        </is>
      </c>
      <c r="W401" s="35" t="inlineStr"/>
      <c r="X401" s="35" t="inlineStr"/>
    </row>
    <row r="402" ht="41.25" customHeight="1" s="24">
      <c r="A402" s="13" t="n">
        <v>5000121167</v>
      </c>
      <c r="B402" s="13" t="inlineStr">
        <is>
          <t>ФИНАНСОВОЕ УПРАВЛЕНИЕ АДМИНИСТРАЦИИ МУНИЦИПАЛЬНОГО ОБРАЗОВАНИЯ ГОРОДСКОЙ ОКРУГ ЛЮБЕРЦЫ МОСКОВСКОЙ ОБ</t>
        </is>
      </c>
      <c r="C402" s="13" t="n">
        <v>5027150235</v>
      </c>
      <c r="D402" s="13" t="inlineStr">
        <is>
          <t>5027150235</t>
        </is>
      </c>
      <c r="E402" s="13" t="inlineStr">
        <is>
          <t>ЮЛ РФ</t>
        </is>
      </c>
      <c r="F402" s="13" t="n"/>
      <c r="G402" s="14" t="n"/>
      <c r="H402" s="14" t="n"/>
      <c r="I402" s="14" t="n"/>
      <c r="J402" s="14" t="n"/>
      <c r="K402" s="53" t="inlineStr"/>
      <c r="L402" s="53" t="inlineStr">
        <is>
          <t>Не определено</t>
        </is>
      </c>
      <c r="M402" s="53" t="inlineStr"/>
      <c r="N402" s="54" t="inlineStr"/>
      <c r="O402" s="55" t="inlineStr"/>
      <c r="P402" s="16" t="inlineStr">
        <is>
          <t>Требует обогащения</t>
        </is>
      </c>
      <c r="Q402" s="16">
        <f>HYPERLINK("https://pb.nalog.ru/search.html?query=5027150235","ФНС: проверить")</f>
        <v/>
      </c>
      <c r="R402" s="16">
        <f>HYPERLINK("https://checko.ru/search?query=3801001629","Чекко: проверить")</f>
        <v/>
      </c>
      <c r="S402" t="n">
        <v>1</v>
      </c>
      <c r="T402" s="35" t="inlineStr">
        <is>
          <t>4 — Не обогащён</t>
        </is>
      </c>
      <c r="U402" s="35" t="inlineStr">
        <is>
          <t>Нет ОКВЭД/ССЧР</t>
        </is>
      </c>
      <c r="V402" s="35" t="inlineStr">
        <is>
          <t>Не определено</t>
        </is>
      </c>
      <c r="W402" s="35" t="inlineStr"/>
      <c r="X402" s="35" t="inlineStr"/>
    </row>
    <row r="403" ht="27.75" customHeight="1" s="24">
      <c r="A403" s="13" t="n">
        <v>5000116379</v>
      </c>
      <c r="B403" s="13" t="inlineStr">
        <is>
          <t>Администрация Ленинского городского округа Московской области</t>
        </is>
      </c>
      <c r="C403" s="13" t="n">
        <v>5003138447</v>
      </c>
      <c r="D403" s="13" t="inlineStr">
        <is>
          <t>5003138447</t>
        </is>
      </c>
      <c r="E403" s="13" t="inlineStr">
        <is>
          <t>ЮЛ РФ</t>
        </is>
      </c>
      <c r="F403" s="13" t="n"/>
      <c r="G403" s="14" t="n"/>
      <c r="H403" s="14" t="n"/>
      <c r="I403" s="14" t="n"/>
      <c r="J403" s="14" t="n"/>
      <c r="K403" s="53" t="inlineStr"/>
      <c r="L403" s="53" t="inlineStr">
        <is>
          <t>Не определено</t>
        </is>
      </c>
      <c r="M403" s="53" t="inlineStr"/>
      <c r="N403" s="54" t="inlineStr"/>
      <c r="O403" s="55" t="inlineStr"/>
      <c r="P403" s="16" t="inlineStr">
        <is>
          <t>Требует обогащения</t>
        </is>
      </c>
      <c r="Q403" s="16">
        <f>HYPERLINK("https://pb.nalog.ru/search.html?query=5003138447","ФНС: проверить")</f>
        <v/>
      </c>
      <c r="R403" s="16">
        <f>HYPERLINK("https://checko.ru/search?query=3801001629","Чекко: проверить")</f>
        <v/>
      </c>
      <c r="S403" t="n">
        <v>1</v>
      </c>
      <c r="T403" s="35" t="inlineStr">
        <is>
          <t>4 — Не обогащён</t>
        </is>
      </c>
      <c r="U403" s="35" t="inlineStr">
        <is>
          <t>Нет ОКВЭД/ССЧР</t>
        </is>
      </c>
      <c r="V403" s="35" t="inlineStr">
        <is>
          <t>Не определено</t>
        </is>
      </c>
      <c r="W403" s="35" t="inlineStr"/>
      <c r="X403" s="35" t="inlineStr"/>
    </row>
    <row r="404" ht="15" customHeight="1" s="24">
      <c r="A404" s="13" t="n">
        <v>5000116370</v>
      </c>
      <c r="B404" s="13" t="inlineStr">
        <is>
          <t>МКУ "МЦУР ЛГО"</t>
        </is>
      </c>
      <c r="C404" s="13" t="n">
        <v>5003167960</v>
      </c>
      <c r="D404" s="13" t="inlineStr">
        <is>
          <t>5003167960</t>
        </is>
      </c>
      <c r="E404" s="13" t="inlineStr">
        <is>
          <t>ЮЛ РФ</t>
        </is>
      </c>
      <c r="F404" s="13" t="n"/>
      <c r="G404" s="14" t="n"/>
      <c r="H404" s="14" t="n"/>
      <c r="I404" s="14" t="n"/>
      <c r="J404" s="14" t="n"/>
      <c r="K404" s="53" t="inlineStr"/>
      <c r="L404" s="53" t="inlineStr">
        <is>
          <t>Не определено</t>
        </is>
      </c>
      <c r="M404" s="53" t="inlineStr"/>
      <c r="N404" s="54" t="inlineStr"/>
      <c r="O404" s="55" t="inlineStr"/>
      <c r="P404" s="16" t="inlineStr">
        <is>
          <t>Требует обогащения</t>
        </is>
      </c>
      <c r="Q404" s="16">
        <f>HYPERLINK("https://pb.nalog.ru/search.html?query=5003167960","ФНС: проверить")</f>
        <v/>
      </c>
      <c r="R404" s="16">
        <f>HYPERLINK("https://checko.ru/search?query=3801001629","Чекко: проверить")</f>
        <v/>
      </c>
      <c r="S404" t="n">
        <v>1</v>
      </c>
      <c r="T404" s="35" t="inlineStr">
        <is>
          <t>4 — Не обогащён</t>
        </is>
      </c>
      <c r="U404" s="35" t="inlineStr">
        <is>
          <t>Нет ОКВЭД/ССЧР</t>
        </is>
      </c>
      <c r="V404" s="35" t="inlineStr">
        <is>
          <t>Не определено</t>
        </is>
      </c>
      <c r="W404" s="35" t="inlineStr"/>
      <c r="X404" s="35" t="inlineStr"/>
    </row>
    <row r="405" ht="15" customHeight="1" s="24">
      <c r="A405" s="13" t="n">
        <v>5000116369</v>
      </c>
      <c r="B405" s="13" t="inlineStr">
        <is>
          <t>МАУ "ДК "ВИДНОЕ"</t>
        </is>
      </c>
      <c r="C405" s="13" t="n">
        <v>5003030669</v>
      </c>
      <c r="D405" s="13" t="inlineStr">
        <is>
          <t>5003030669</t>
        </is>
      </c>
      <c r="E405" s="13" t="inlineStr">
        <is>
          <t>ЮЛ РФ</t>
        </is>
      </c>
      <c r="F405" s="13" t="n"/>
      <c r="G405" s="14" t="n"/>
      <c r="H405" s="14" t="n"/>
      <c r="I405" s="14" t="n"/>
      <c r="J405" s="14" t="n"/>
      <c r="K405" s="53" t="inlineStr"/>
      <c r="L405" s="53" t="inlineStr">
        <is>
          <t>Не определено</t>
        </is>
      </c>
      <c r="M405" s="53" t="inlineStr"/>
      <c r="N405" s="54" t="inlineStr"/>
      <c r="O405" s="55" t="inlineStr"/>
      <c r="P405" s="16" t="inlineStr">
        <is>
          <t>Требует обогащения</t>
        </is>
      </c>
      <c r="Q405" s="16">
        <f>HYPERLINK("https://pb.nalog.ru/search.html?query=5003030669","ФНС: проверить")</f>
        <v/>
      </c>
      <c r="R405" s="16">
        <f>HYPERLINK("https://checko.ru/search?query=3801001629","Чекко: проверить")</f>
        <v/>
      </c>
      <c r="S405" t="n">
        <v>1</v>
      </c>
      <c r="T405" s="35" t="inlineStr">
        <is>
          <t>4 — Не обогащён</t>
        </is>
      </c>
      <c r="U405" s="35" t="inlineStr">
        <is>
          <t>Нет ОКВЭД/ССЧР</t>
        </is>
      </c>
      <c r="V405" s="35" t="inlineStr">
        <is>
          <t>Не определено</t>
        </is>
      </c>
      <c r="W405" s="35" t="inlineStr"/>
      <c r="X405" s="35" t="inlineStr"/>
    </row>
    <row r="406" ht="27.75" customHeight="1" s="24">
      <c r="A406" s="13" t="n">
        <v>5000117231</v>
      </c>
      <c r="B406" s="13" t="inlineStr">
        <is>
          <t>Муниципальное казенное учреждение "Аллея Славы" Муниципального Округа Истра</t>
        </is>
      </c>
      <c r="C406" s="13" t="n">
        <v>5017140679</v>
      </c>
      <c r="D406" s="13" t="inlineStr">
        <is>
          <t>5017140679</t>
        </is>
      </c>
      <c r="E406" s="13" t="inlineStr">
        <is>
          <t>ЮЛ РФ</t>
        </is>
      </c>
      <c r="F406" s="13" t="n"/>
      <c r="G406" s="14" t="n"/>
      <c r="H406" s="14" t="n"/>
      <c r="I406" s="14" t="n"/>
      <c r="J406" s="14" t="n"/>
      <c r="K406" s="53" t="inlineStr"/>
      <c r="L406" s="53" t="inlineStr">
        <is>
          <t>Не определено</t>
        </is>
      </c>
      <c r="M406" s="53" t="inlineStr"/>
      <c r="N406" s="54" t="inlineStr"/>
      <c r="O406" s="55" t="inlineStr"/>
      <c r="P406" s="16" t="inlineStr">
        <is>
          <t>Требует обогащения</t>
        </is>
      </c>
      <c r="Q406" s="16">
        <f>HYPERLINK("https://pb.nalog.ru/search.html?query=5017140679","ФНС: проверить")</f>
        <v/>
      </c>
      <c r="R406" s="16">
        <f>HYPERLINK("https://checko.ru/search?query=3801001629","Чекко: проверить")</f>
        <v/>
      </c>
      <c r="S406" t="n">
        <v>1</v>
      </c>
      <c r="T406" s="35" t="inlineStr">
        <is>
          <t>4 — Не обогащён</t>
        </is>
      </c>
      <c r="U406" s="35" t="inlineStr">
        <is>
          <t>Нет ОКВЭД/ССЧР</t>
        </is>
      </c>
      <c r="V406" s="35" t="inlineStr">
        <is>
          <t>Не определено</t>
        </is>
      </c>
      <c r="W406" s="35" t="inlineStr"/>
      <c r="X406" s="35" t="inlineStr"/>
    </row>
    <row r="407" ht="15" customHeight="1" s="24">
      <c r="A407" s="13" t="n">
        <v>5000111271</v>
      </c>
      <c r="B407" s="13" t="inlineStr">
        <is>
          <t>МОУ СОШ "СОЗВЕЗДИЕ"</t>
        </is>
      </c>
      <c r="C407" s="13" t="n">
        <v>5027327595</v>
      </c>
      <c r="D407" s="13" t="inlineStr">
        <is>
          <t>5027327595</t>
        </is>
      </c>
      <c r="E407" s="13" t="inlineStr">
        <is>
          <t>ЮЛ РФ</t>
        </is>
      </c>
      <c r="F407" s="13" t="n"/>
      <c r="G407" s="14" t="n"/>
      <c r="H407" s="14" t="n"/>
      <c r="I407" s="14" t="n"/>
      <c r="J407" s="14" t="n"/>
      <c r="K407" s="53" t="inlineStr"/>
      <c r="L407" s="53" t="inlineStr">
        <is>
          <t>Не определено</t>
        </is>
      </c>
      <c r="M407" s="53" t="inlineStr"/>
      <c r="N407" s="54" t="inlineStr"/>
      <c r="O407" s="55" t="inlineStr"/>
      <c r="P407" s="16" t="inlineStr">
        <is>
          <t>Требует обогащения</t>
        </is>
      </c>
      <c r="Q407" s="16">
        <f>HYPERLINK("https://pb.nalog.ru/search.html?query=5027327595","ФНС: проверить")</f>
        <v/>
      </c>
      <c r="R407" s="16">
        <f>HYPERLINK("https://checko.ru/search?query=3801001629","Чекко: проверить")</f>
        <v/>
      </c>
      <c r="S407" t="n">
        <v>1</v>
      </c>
      <c r="T407" s="35" t="inlineStr">
        <is>
          <t>4 — Не обогащён</t>
        </is>
      </c>
      <c r="U407" s="35" t="inlineStr">
        <is>
          <t>Нет ОКВЭД/ССЧР</t>
        </is>
      </c>
      <c r="V407" s="35" t="inlineStr">
        <is>
          <t>Не определено</t>
        </is>
      </c>
      <c r="W407" s="35" t="inlineStr"/>
      <c r="X407" s="35" t="inlineStr"/>
    </row>
    <row r="408" ht="41.25" customHeight="1" s="24">
      <c r="A408" s="13" t="n">
        <v>5000111272</v>
      </c>
      <c r="B408" s="13" t="inlineStr">
        <is>
          <t>МУНИЦИПАЛЬНОЕ ОБЩЕОБРАЗОВАТЕЛЬНОЕ УЧРЕЖДЕНИЕ "ОСТРОВЕЦКАЯ СРЕДНЯЯ ОБЩЕОБРАЗОВАТЕЛЬНАЯ ШКОЛА"</t>
        </is>
      </c>
      <c r="C408" s="13" t="n">
        <v>5040040753</v>
      </c>
      <c r="D408" s="13" t="inlineStr">
        <is>
          <t>5040040753</t>
        </is>
      </c>
      <c r="E408" s="13" t="inlineStr">
        <is>
          <t>ЮЛ РФ</t>
        </is>
      </c>
      <c r="F408" s="13" t="n"/>
      <c r="G408" s="14" t="n"/>
      <c r="H408" s="14" t="n"/>
      <c r="I408" s="14" t="n"/>
      <c r="J408" s="14" t="n"/>
      <c r="K408" s="53" t="inlineStr"/>
      <c r="L408" s="53" t="inlineStr">
        <is>
          <t>Не определено</t>
        </is>
      </c>
      <c r="M408" s="53" t="inlineStr"/>
      <c r="N408" s="54" t="inlineStr"/>
      <c r="O408" s="55" t="inlineStr"/>
      <c r="P408" s="16" t="inlineStr">
        <is>
          <t>Требует обогащения</t>
        </is>
      </c>
      <c r="Q408" s="16">
        <f>HYPERLINK("https://pb.nalog.ru/search.html?query=5040040753","ФНС: проверить")</f>
        <v/>
      </c>
      <c r="R408" s="16">
        <f>HYPERLINK("https://checko.ru/search?query=3801001629","Чекко: проверить")</f>
        <v/>
      </c>
      <c r="S408" t="n">
        <v>1</v>
      </c>
      <c r="T408" s="35" t="inlineStr">
        <is>
          <t>4 — Не обогащён</t>
        </is>
      </c>
      <c r="U408" s="35" t="inlineStr">
        <is>
          <t>Нет ОКВЭД/ССЧР</t>
        </is>
      </c>
      <c r="V408" s="35" t="inlineStr">
        <is>
          <t>Не определено</t>
        </is>
      </c>
      <c r="W408" s="35" t="inlineStr"/>
      <c r="X408" s="35" t="inlineStr"/>
    </row>
    <row r="409" ht="15" customHeight="1" s="24">
      <c r="A409" s="13" t="n">
        <v>5000116396</v>
      </c>
      <c r="B409" s="13" t="inlineStr">
        <is>
          <t>МБОУ КУТУЗОВСКАЯ СОШ</t>
        </is>
      </c>
      <c r="C409" s="13" t="n">
        <v>5047276099</v>
      </c>
      <c r="D409" s="13" t="inlineStr">
        <is>
          <t>5047276099</t>
        </is>
      </c>
      <c r="E409" s="13" t="inlineStr">
        <is>
          <t>ЮЛ РФ</t>
        </is>
      </c>
      <c r="F409" s="13" t="n"/>
      <c r="G409" s="14" t="n"/>
      <c r="H409" s="14" t="n"/>
      <c r="I409" s="14" t="n"/>
      <c r="J409" s="14" t="n"/>
      <c r="K409" s="53" t="inlineStr"/>
      <c r="L409" s="53" t="inlineStr">
        <is>
          <t>Не определено</t>
        </is>
      </c>
      <c r="M409" s="53" t="inlineStr"/>
      <c r="N409" s="54" t="inlineStr"/>
      <c r="O409" s="55" t="inlineStr"/>
      <c r="P409" s="16" t="inlineStr">
        <is>
          <t>Требует обогащения</t>
        </is>
      </c>
      <c r="Q409" s="16">
        <f>HYPERLINK("https://pb.nalog.ru/search.html?query=5047276099","ФНС: проверить")</f>
        <v/>
      </c>
      <c r="R409" s="16">
        <f>HYPERLINK("https://checko.ru/search?query=3801001629","Чекко: проверить")</f>
        <v/>
      </c>
      <c r="S409" t="n">
        <v>1</v>
      </c>
      <c r="T409" s="35" t="inlineStr">
        <is>
          <t>4 — Не обогащён</t>
        </is>
      </c>
      <c r="U409" s="35" t="inlineStr">
        <is>
          <t>Нет ОКВЭД/ССЧР</t>
        </is>
      </c>
      <c r="V409" s="35" t="inlineStr">
        <is>
          <t>Не определено</t>
        </is>
      </c>
      <c r="W409" s="35" t="inlineStr"/>
      <c r="X409" s="35" t="inlineStr"/>
    </row>
    <row r="410" ht="41.25" customHeight="1" s="24">
      <c r="A410" s="13" t="n">
        <v>5000116509</v>
      </c>
      <c r="B410" s="13" t="inlineStr">
        <is>
          <t>Муниципальное бюджетное учреждение дополнительного образования «Детская музыкальная школа»</t>
        </is>
      </c>
      <c r="C410" s="13" t="n">
        <v>5027064392</v>
      </c>
      <c r="D410" s="13" t="inlineStr">
        <is>
          <t>5027064392</t>
        </is>
      </c>
      <c r="E410" s="13" t="inlineStr">
        <is>
          <t>ЮЛ РФ</t>
        </is>
      </c>
      <c r="F410" s="13" t="n"/>
      <c r="G410" s="14" t="n"/>
      <c r="H410" s="14" t="n"/>
      <c r="I410" s="14" t="n"/>
      <c r="J410" s="14" t="n"/>
      <c r="K410" s="53" t="inlineStr"/>
      <c r="L410" s="53" t="inlineStr">
        <is>
          <t>Не определено</t>
        </is>
      </c>
      <c r="M410" s="53" t="inlineStr"/>
      <c r="N410" s="54" t="inlineStr"/>
      <c r="O410" s="55" t="inlineStr"/>
      <c r="P410" s="16" t="inlineStr">
        <is>
          <t>Требует обогащения</t>
        </is>
      </c>
      <c r="Q410" s="16">
        <f>HYPERLINK("https://pb.nalog.ru/search.html?query=5027064392","ФНС: проверить")</f>
        <v/>
      </c>
      <c r="R410" s="16">
        <f>HYPERLINK("https://checko.ru/search?query=3801001629","Чекко: проверить")</f>
        <v/>
      </c>
      <c r="S410" t="n">
        <v>1</v>
      </c>
      <c r="T410" s="35" t="inlineStr">
        <is>
          <t>4 — Не обогащён</t>
        </is>
      </c>
      <c r="U410" s="35" t="inlineStr">
        <is>
          <t>Нет ОКВЭД/ССЧР</t>
        </is>
      </c>
      <c r="V410" s="35" t="inlineStr">
        <is>
          <t>Не определено</t>
        </is>
      </c>
      <c r="W410" s="35" t="inlineStr"/>
      <c r="X410" s="35" t="inlineStr"/>
    </row>
    <row r="411" ht="41.25" customHeight="1" s="24">
      <c r="A411" s="13" t="n">
        <v>5000116510</v>
      </c>
      <c r="B411" s="13" t="inlineStr">
        <is>
          <t>Муниципальное бюджетное учреждение дополнительного образования "Детская школа искусств"</t>
        </is>
      </c>
      <c r="C411" s="13" t="n">
        <v>5027033242</v>
      </c>
      <c r="D411" s="13" t="inlineStr">
        <is>
          <t>5027033242</t>
        </is>
      </c>
      <c r="E411" s="13" t="inlineStr">
        <is>
          <t>ЮЛ РФ</t>
        </is>
      </c>
      <c r="F411" s="13" t="n"/>
      <c r="G411" s="14" t="n"/>
      <c r="H411" s="14" t="n"/>
      <c r="I411" s="14" t="n"/>
      <c r="J411" s="14" t="n"/>
      <c r="K411" s="53" t="inlineStr"/>
      <c r="L411" s="53" t="inlineStr">
        <is>
          <t>Не определено</t>
        </is>
      </c>
      <c r="M411" s="53" t="inlineStr"/>
      <c r="N411" s="54" t="inlineStr"/>
      <c r="O411" s="55" t="inlineStr"/>
      <c r="P411" s="16" t="inlineStr">
        <is>
          <t>Требует обогащения</t>
        </is>
      </c>
      <c r="Q411" s="16">
        <f>HYPERLINK("https://pb.nalog.ru/search.html?query=5027033242","ФНС: проверить")</f>
        <v/>
      </c>
      <c r="R411" s="16">
        <f>HYPERLINK("https://checko.ru/search?query=3801001629","Чекко: проверить")</f>
        <v/>
      </c>
      <c r="S411" t="n">
        <v>1</v>
      </c>
      <c r="T411" s="35" t="inlineStr">
        <is>
          <t>4 — Не обогащён</t>
        </is>
      </c>
      <c r="U411" s="35" t="inlineStr">
        <is>
          <t>Нет ОКВЭД/ССЧР</t>
        </is>
      </c>
      <c r="V411" s="35" t="inlineStr">
        <is>
          <t>Не определено</t>
        </is>
      </c>
      <c r="W411" s="35" t="inlineStr"/>
      <c r="X411" s="35" t="inlineStr"/>
    </row>
    <row r="412" ht="27.75" customHeight="1" s="24">
      <c r="A412" s="13" t="n">
        <v>5000116511</v>
      </c>
      <c r="B412" s="13" t="inlineStr">
        <is>
          <t>Муниципальное автономное учреждение культуры Культурно-эстетический центр</t>
        </is>
      </c>
      <c r="C412" s="13" t="n">
        <v>5027054203</v>
      </c>
      <c r="D412" s="13" t="inlineStr">
        <is>
          <t>5027054203</t>
        </is>
      </c>
      <c r="E412" s="13" t="inlineStr">
        <is>
          <t>ЮЛ РФ</t>
        </is>
      </c>
      <c r="F412" s="13" t="n"/>
      <c r="G412" s="14" t="n"/>
      <c r="H412" s="14" t="n"/>
      <c r="I412" s="14" t="n"/>
      <c r="J412" s="14" t="n"/>
      <c r="K412" s="53" t="inlineStr"/>
      <c r="L412" s="53" t="inlineStr">
        <is>
          <t>Не определено</t>
        </is>
      </c>
      <c r="M412" s="53" t="inlineStr"/>
      <c r="N412" s="54" t="inlineStr"/>
      <c r="O412" s="55" t="inlineStr"/>
      <c r="P412" s="16" t="inlineStr">
        <is>
          <t>Требует обогащения</t>
        </is>
      </c>
      <c r="Q412" s="16">
        <f>HYPERLINK("https://pb.nalog.ru/search.html?query=5027054203","ФНС: проверить")</f>
        <v/>
      </c>
      <c r="R412" s="16">
        <f>HYPERLINK("https://checko.ru/search?query=3801001629","Чекко: проверить")</f>
        <v/>
      </c>
      <c r="S412" t="n">
        <v>1</v>
      </c>
      <c r="T412" s="35" t="inlineStr">
        <is>
          <t>4 — Не обогащён</t>
        </is>
      </c>
      <c r="U412" s="35" t="inlineStr">
        <is>
          <t>Нет ОКВЭД/ССЧР</t>
        </is>
      </c>
      <c r="V412" s="35" t="inlineStr">
        <is>
          <t>Не определено</t>
        </is>
      </c>
      <c r="W412" s="35" t="inlineStr"/>
      <c r="X412" s="35" t="inlineStr"/>
    </row>
    <row r="413" ht="15" customHeight="1" s="24">
      <c r="A413" s="13" t="n">
        <v>5000117708</v>
      </c>
      <c r="B413" s="13" t="inlineStr">
        <is>
          <t>МБУ "ЦППМСП М.О. ИСТРА"</t>
        </is>
      </c>
      <c r="C413" s="13" t="n">
        <v>5017142179</v>
      </c>
      <c r="D413" s="13" t="inlineStr">
        <is>
          <t>5017142179</t>
        </is>
      </c>
      <c r="E413" s="13" t="inlineStr">
        <is>
          <t>ЮЛ РФ</t>
        </is>
      </c>
      <c r="F413" s="13" t="n"/>
      <c r="G413" s="14" t="n"/>
      <c r="H413" s="14" t="n"/>
      <c r="I413" s="14" t="n"/>
      <c r="J413" s="14" t="n"/>
      <c r="K413" s="53" t="inlineStr"/>
      <c r="L413" s="53" t="inlineStr">
        <is>
          <t>Не определено</t>
        </is>
      </c>
      <c r="M413" s="53" t="inlineStr"/>
      <c r="N413" s="54" t="inlineStr"/>
      <c r="O413" s="55" t="inlineStr"/>
      <c r="P413" s="16" t="inlineStr">
        <is>
          <t>Требует обогащения</t>
        </is>
      </c>
      <c r="Q413" s="16">
        <f>HYPERLINK("https://pb.nalog.ru/search.html?query=5017142179","ФНС: проверить")</f>
        <v/>
      </c>
      <c r="R413" s="16">
        <f>HYPERLINK("https://checko.ru/search?query=3801001629","Чекко: проверить")</f>
        <v/>
      </c>
      <c r="S413" t="n">
        <v>1</v>
      </c>
      <c r="T413" s="35" t="inlineStr">
        <is>
          <t>4 — Не обогащён</t>
        </is>
      </c>
      <c r="U413" s="35" t="inlineStr">
        <is>
          <t>Нет ОКВЭД/ССЧР</t>
        </is>
      </c>
      <c r="V413" s="35" t="inlineStr">
        <is>
          <t>Не определено</t>
        </is>
      </c>
      <c r="W413" s="35" t="inlineStr"/>
      <c r="X413" s="35" t="inlineStr"/>
    </row>
    <row r="414" ht="27.75" customHeight="1" s="24">
      <c r="A414" s="13" t="n">
        <v>5000118147</v>
      </c>
      <c r="B414" s="13" t="inlineStr">
        <is>
          <t>Муниципальное учреждение Городского Округа Люберцы "Территориальное"</t>
        </is>
      </c>
      <c r="C414" s="13" t="n">
        <v>5027341906</v>
      </c>
      <c r="D414" s="13" t="inlineStr">
        <is>
          <t>5027341906</t>
        </is>
      </c>
      <c r="E414" s="13" t="inlineStr">
        <is>
          <t>ЮЛ РФ</t>
        </is>
      </c>
      <c r="F414" s="13" t="n"/>
      <c r="G414" s="14" t="n"/>
      <c r="H414" s="14" t="n"/>
      <c r="I414" s="14" t="n"/>
      <c r="J414" s="14" t="n"/>
      <c r="K414" s="53" t="inlineStr"/>
      <c r="L414" s="53" t="inlineStr">
        <is>
          <t>Не определено</t>
        </is>
      </c>
      <c r="M414" s="53" t="inlineStr"/>
      <c r="N414" s="54" t="inlineStr"/>
      <c r="O414" s="55" t="inlineStr"/>
      <c r="P414" s="16" t="inlineStr">
        <is>
          <t>Требует обогащения</t>
        </is>
      </c>
      <c r="Q414" s="16">
        <f>HYPERLINK("https://pb.nalog.ru/search.html?query=5027341906","ФНС: проверить")</f>
        <v/>
      </c>
      <c r="R414" s="16">
        <f>HYPERLINK("https://checko.ru/search?query=3801001629","Чекко: проверить")</f>
        <v/>
      </c>
      <c r="S414" t="n">
        <v>1</v>
      </c>
      <c r="T414" s="35" t="inlineStr">
        <is>
          <t>4 — Не обогащён</t>
        </is>
      </c>
      <c r="U414" s="35" t="inlineStr">
        <is>
          <t>Нет ОКВЭД/ССЧР</t>
        </is>
      </c>
      <c r="V414" s="35" t="inlineStr">
        <is>
          <t>Не определено</t>
        </is>
      </c>
      <c r="W414" s="35" t="inlineStr"/>
      <c r="X414" s="35" t="inlineStr"/>
    </row>
    <row r="415" ht="27.75" customHeight="1" s="24">
      <c r="A415" s="13" t="n">
        <v>5000101498</v>
      </c>
      <c r="B415" s="13" t="inlineStr">
        <is>
          <t>АДМИНИСТРАЦИЯ ГОРОДСКОГО ОКРУГА ДЗЕРЖИНСКИЙ</t>
        </is>
      </c>
      <c r="C415" s="13" t="n">
        <v>5027023974</v>
      </c>
      <c r="D415" s="13" t="inlineStr">
        <is>
          <t>5027023974</t>
        </is>
      </c>
      <c r="E415" s="13" t="inlineStr">
        <is>
          <t>ЮЛ РФ</t>
        </is>
      </c>
      <c r="F415" s="13" t="n"/>
      <c r="G415" s="14" t="n"/>
      <c r="H415" s="14" t="n"/>
      <c r="I415" s="14" t="n"/>
      <c r="J415" s="14" t="n"/>
      <c r="K415" s="53" t="inlineStr"/>
      <c r="L415" s="53" t="inlineStr">
        <is>
          <t>Не определено</t>
        </is>
      </c>
      <c r="M415" s="53" t="inlineStr"/>
      <c r="N415" s="54" t="inlineStr"/>
      <c r="O415" s="55" t="inlineStr"/>
      <c r="P415" s="16" t="inlineStr">
        <is>
          <t>Требует обогащения</t>
        </is>
      </c>
      <c r="Q415" s="16">
        <f>HYPERLINK("https://pb.nalog.ru/search.html?query=5027023974","ФНС: проверить")</f>
        <v/>
      </c>
      <c r="R415" s="16">
        <f>HYPERLINK("https://checko.ru/search?query=3801001629","Чекко: проверить")</f>
        <v/>
      </c>
      <c r="S415" t="n">
        <v>1</v>
      </c>
      <c r="T415" s="35" t="inlineStr">
        <is>
          <t>4 — Не обогащён</t>
        </is>
      </c>
      <c r="U415" s="35" t="inlineStr">
        <is>
          <t>Нет ОКВЭД/ССЧР</t>
        </is>
      </c>
      <c r="V415" s="35" t="inlineStr">
        <is>
          <t>Не определено</t>
        </is>
      </c>
      <c r="W415" s="35" t="inlineStr"/>
      <c r="X415" s="35" t="inlineStr"/>
    </row>
    <row r="416" ht="54.75" customHeight="1" s="24">
      <c r="A416" s="13" t="n">
        <v>5000119275</v>
      </c>
      <c r="B416" s="13" t="inlineStr">
        <is>
          <t>Муниципальное учреждение "Люберецкий Многофункциональный Центр Предоставления Государственных и Муниципальных Услуг" Муниципального Образования Городс</t>
        </is>
      </c>
      <c r="C416" s="13" t="n">
        <v>5027200221</v>
      </c>
      <c r="D416" s="13" t="inlineStr">
        <is>
          <t>5027200221</t>
        </is>
      </c>
      <c r="E416" s="13" t="inlineStr">
        <is>
          <t>ЮЛ РФ</t>
        </is>
      </c>
      <c r="F416" s="13" t="n"/>
      <c r="G416" s="14" t="n"/>
      <c r="H416" s="14" t="n"/>
      <c r="I416" s="14" t="n"/>
      <c r="J416" s="14" t="n"/>
      <c r="K416" s="53" t="inlineStr"/>
      <c r="L416" s="53" t="inlineStr">
        <is>
          <t>Не определено</t>
        </is>
      </c>
      <c r="M416" s="53" t="inlineStr"/>
      <c r="N416" s="54" t="inlineStr"/>
      <c r="O416" s="55" t="inlineStr"/>
      <c r="P416" s="16" t="inlineStr">
        <is>
          <t>Требует обогащения</t>
        </is>
      </c>
      <c r="Q416" s="16">
        <f>HYPERLINK("https://pb.nalog.ru/search.html?query=5027200221","ФНС: проверить")</f>
        <v/>
      </c>
      <c r="R416" s="16">
        <f>HYPERLINK("https://checko.ru/search?query=3801001629","Чекко: проверить")</f>
        <v/>
      </c>
      <c r="S416" t="n">
        <v>1</v>
      </c>
      <c r="T416" s="35" t="inlineStr">
        <is>
          <t>4 — Не обогащён</t>
        </is>
      </c>
      <c r="U416" s="35" t="inlineStr">
        <is>
          <t>Нет ОКВЭД/ССЧР</t>
        </is>
      </c>
      <c r="V416" s="35" t="inlineStr">
        <is>
          <t>Не определено</t>
        </is>
      </c>
      <c r="W416" s="35" t="inlineStr"/>
      <c r="X416" s="35" t="inlineStr"/>
    </row>
    <row r="417" ht="15" customHeight="1" s="24">
      <c r="A417" s="13" t="n">
        <v>5000021419</v>
      </c>
      <c r="B417" s="13" t="inlineStr">
        <is>
          <t>МБОУ школа-интернат г.Химки</t>
        </is>
      </c>
      <c r="C417" s="13" t="n">
        <v>5047052331</v>
      </c>
      <c r="D417" s="13" t="inlineStr">
        <is>
          <t>5047052331</t>
        </is>
      </c>
      <c r="E417" s="13" t="inlineStr">
        <is>
          <t>ЮЛ РФ</t>
        </is>
      </c>
      <c r="F417" s="13" t="n"/>
      <c r="G417" s="14" t="n"/>
      <c r="H417" s="14" t="n"/>
      <c r="I417" s="14" t="n"/>
      <c r="J417" s="14" t="n"/>
      <c r="K417" s="53" t="inlineStr"/>
      <c r="L417" s="53" t="inlineStr">
        <is>
          <t>Не определено</t>
        </is>
      </c>
      <c r="M417" s="53" t="inlineStr"/>
      <c r="N417" s="54" t="inlineStr"/>
      <c r="O417" s="55" t="inlineStr"/>
      <c r="P417" s="16" t="inlineStr">
        <is>
          <t>Требует обогащения</t>
        </is>
      </c>
      <c r="Q417" s="16">
        <f>HYPERLINK("https://pb.nalog.ru/search.html?query=5047052331","ФНС: проверить")</f>
        <v/>
      </c>
      <c r="R417" s="16">
        <f>HYPERLINK("https://checko.ru/search?query=3801001629","Чекко: проверить")</f>
        <v/>
      </c>
      <c r="S417" t="n">
        <v>1</v>
      </c>
      <c r="T417" s="35" t="inlineStr">
        <is>
          <t>4 — Не обогащён</t>
        </is>
      </c>
      <c r="U417" s="35" t="inlineStr">
        <is>
          <t>Нет ОКВЭД/ССЧР</t>
        </is>
      </c>
      <c r="V417" s="35" t="inlineStr">
        <is>
          <t>Не определено</t>
        </is>
      </c>
      <c r="W417" s="35" t="inlineStr"/>
      <c r="X417" s="35" t="inlineStr"/>
    </row>
    <row r="418" ht="15" customHeight="1" s="24">
      <c r="A418" s="13" t="n">
        <v>5000021424</v>
      </c>
      <c r="B418" s="13" t="inlineStr">
        <is>
          <t>МБОУ СОШ №8 г. Химки</t>
        </is>
      </c>
      <c r="C418" s="13" t="n">
        <v>5047045542</v>
      </c>
      <c r="D418" s="13" t="inlineStr">
        <is>
          <t>5047045542</t>
        </is>
      </c>
      <c r="E418" s="13" t="inlineStr">
        <is>
          <t>ЮЛ РФ</t>
        </is>
      </c>
      <c r="F418" s="13" t="n"/>
      <c r="G418" s="14" t="n"/>
      <c r="H418" s="14" t="n"/>
      <c r="I418" s="14" t="n"/>
      <c r="J418" s="14" t="n"/>
      <c r="K418" s="53" t="inlineStr"/>
      <c r="L418" s="53" t="inlineStr">
        <is>
          <t>Не определено</t>
        </is>
      </c>
      <c r="M418" s="53" t="inlineStr"/>
      <c r="N418" s="54" t="inlineStr"/>
      <c r="O418" s="55" t="inlineStr"/>
      <c r="P418" s="16" t="inlineStr">
        <is>
          <t>Требует обогащения</t>
        </is>
      </c>
      <c r="Q418" s="16">
        <f>HYPERLINK("https://pb.nalog.ru/search.html?query=5047045542","ФНС: проверить")</f>
        <v/>
      </c>
      <c r="R418" s="16">
        <f>HYPERLINK("https://checko.ru/search?query=3801001629","Чекко: проверить")</f>
        <v/>
      </c>
      <c r="S418" t="n">
        <v>1</v>
      </c>
      <c r="T418" s="35" t="inlineStr">
        <is>
          <t>4 — Не обогащён</t>
        </is>
      </c>
      <c r="U418" s="35" t="inlineStr">
        <is>
          <t>Нет ОКВЭД/ССЧР</t>
        </is>
      </c>
      <c r="V418" s="35" t="inlineStr">
        <is>
          <t>Не определено</t>
        </is>
      </c>
      <c r="W418" s="35" t="inlineStr"/>
      <c r="X418" s="35" t="inlineStr"/>
    </row>
    <row r="419" ht="15" customHeight="1" s="24">
      <c r="A419" s="13" t="n">
        <v>5000021477</v>
      </c>
      <c r="B419" s="13" t="inlineStr">
        <is>
          <t>МБОУ СОШ №30 г. ХИМКИ</t>
        </is>
      </c>
      <c r="C419" s="13" t="n">
        <v>5047160930</v>
      </c>
      <c r="D419" s="13" t="inlineStr">
        <is>
          <t>5047160930</t>
        </is>
      </c>
      <c r="E419" s="13" t="inlineStr">
        <is>
          <t>ЮЛ РФ</t>
        </is>
      </c>
      <c r="F419" s="13" t="n"/>
      <c r="G419" s="14" t="n"/>
      <c r="H419" s="14" t="n"/>
      <c r="I419" s="14" t="n"/>
      <c r="J419" s="14" t="n"/>
      <c r="K419" s="53" t="inlineStr"/>
      <c r="L419" s="53" t="inlineStr">
        <is>
          <t>Не определено</t>
        </is>
      </c>
      <c r="M419" s="53" t="inlineStr"/>
      <c r="N419" s="54" t="inlineStr"/>
      <c r="O419" s="55" t="inlineStr"/>
      <c r="P419" s="16" t="inlineStr">
        <is>
          <t>Требует обогащения</t>
        </is>
      </c>
      <c r="Q419" s="16">
        <f>HYPERLINK("https://pb.nalog.ru/search.html?query=5047160930","ФНС: проверить")</f>
        <v/>
      </c>
      <c r="R419" s="16">
        <f>HYPERLINK("https://checko.ru/search?query=3801001629","Чекко: проверить")</f>
        <v/>
      </c>
      <c r="S419" t="n">
        <v>1</v>
      </c>
      <c r="T419" s="35" t="inlineStr">
        <is>
          <t>4 — Не обогащён</t>
        </is>
      </c>
      <c r="U419" s="35" t="inlineStr">
        <is>
          <t>Нет ОКВЭД/ССЧР</t>
        </is>
      </c>
      <c r="V419" s="35" t="inlineStr">
        <is>
          <t>Не определено</t>
        </is>
      </c>
      <c r="W419" s="35" t="inlineStr"/>
      <c r="X419" s="35" t="inlineStr"/>
    </row>
    <row r="420" ht="15" customHeight="1" s="24">
      <c r="A420" s="13" t="n">
        <v>5000021487</v>
      </c>
      <c r="B420" s="13" t="inlineStr">
        <is>
          <t>АУ "МЦ "Восход"</t>
        </is>
      </c>
      <c r="C420" s="13" t="n">
        <v>5047041474</v>
      </c>
      <c r="D420" s="13" t="inlineStr">
        <is>
          <t>5047041474</t>
        </is>
      </c>
      <c r="E420" s="13" t="inlineStr">
        <is>
          <t>ЮЛ РФ</t>
        </is>
      </c>
      <c r="F420" s="13" t="n"/>
      <c r="G420" s="14" t="n"/>
      <c r="H420" s="14" t="n"/>
      <c r="I420" s="14" t="n"/>
      <c r="J420" s="14" t="n"/>
      <c r="K420" s="53" t="inlineStr"/>
      <c r="L420" s="53" t="inlineStr">
        <is>
          <t>Не определено</t>
        </is>
      </c>
      <c r="M420" s="53" t="inlineStr"/>
      <c r="N420" s="54" t="inlineStr"/>
      <c r="O420" s="55" t="inlineStr"/>
      <c r="P420" s="16" t="inlineStr">
        <is>
          <t>Требует обогащения</t>
        </is>
      </c>
      <c r="Q420" s="16">
        <f>HYPERLINK("https://pb.nalog.ru/search.html?query=5047041474","ФНС: проверить")</f>
        <v/>
      </c>
      <c r="R420" s="16">
        <f>HYPERLINK("https://checko.ru/search?query=3801001629","Чекко: проверить")</f>
        <v/>
      </c>
      <c r="S420" t="n">
        <v>1</v>
      </c>
      <c r="T420" s="35" t="inlineStr">
        <is>
          <t>4 — Не обогащён</t>
        </is>
      </c>
      <c r="U420" s="35" t="inlineStr">
        <is>
          <t>Нет ОКВЭД/ССЧР</t>
        </is>
      </c>
      <c r="V420" s="35" t="inlineStr">
        <is>
          <t>Не определено</t>
        </is>
      </c>
      <c r="W420" s="35" t="inlineStr"/>
      <c r="X420" s="35" t="inlineStr"/>
    </row>
    <row r="421" ht="15" customHeight="1" s="24">
      <c r="A421" s="13" t="n">
        <v>5000021490</v>
      </c>
      <c r="B421" s="13" t="inlineStr">
        <is>
          <t>МАУ СШ по ЗВС</t>
        </is>
      </c>
      <c r="C421" s="13" t="n">
        <v>5047052638</v>
      </c>
      <c r="D421" s="13" t="inlineStr">
        <is>
          <t>5047052638</t>
        </is>
      </c>
      <c r="E421" s="13" t="inlineStr">
        <is>
          <t>ЮЛ РФ</t>
        </is>
      </c>
      <c r="F421" s="13" t="n"/>
      <c r="G421" s="14" t="n"/>
      <c r="H421" s="14" t="n"/>
      <c r="I421" s="14" t="n"/>
      <c r="J421" s="14" t="n"/>
      <c r="K421" s="53" t="inlineStr"/>
      <c r="L421" s="53" t="inlineStr">
        <is>
          <t>Не определено</t>
        </is>
      </c>
      <c r="M421" s="53" t="inlineStr"/>
      <c r="N421" s="54" t="inlineStr"/>
      <c r="O421" s="55" t="inlineStr"/>
      <c r="P421" s="16" t="inlineStr">
        <is>
          <t>Требует обогащения</t>
        </is>
      </c>
      <c r="Q421" s="16">
        <f>HYPERLINK("https://pb.nalog.ru/search.html?query=5047052638","ФНС: проверить")</f>
        <v/>
      </c>
      <c r="R421" s="16">
        <f>HYPERLINK("https://checko.ru/search?query=3801001629","Чекко: проверить")</f>
        <v/>
      </c>
      <c r="S421" t="n">
        <v>1</v>
      </c>
      <c r="T421" s="35" t="inlineStr">
        <is>
          <t>4 — Не обогащён</t>
        </is>
      </c>
      <c r="U421" s="35" t="inlineStr">
        <is>
          <t>Нет ОКВЭД/ССЧР</t>
        </is>
      </c>
      <c r="V421" s="35" t="inlineStr">
        <is>
          <t>Не определено</t>
        </is>
      </c>
      <c r="W421" s="35" t="inlineStr"/>
      <c r="X421" s="35" t="inlineStr"/>
    </row>
    <row r="422" ht="15" customHeight="1" s="24">
      <c r="A422" s="13" t="n">
        <v>5000021509</v>
      </c>
      <c r="B422" s="13" t="inlineStr">
        <is>
          <t>МАО ДО "Центральная детская школа искусств"</t>
        </is>
      </c>
      <c r="C422" s="13" t="n">
        <v>5047055967</v>
      </c>
      <c r="D422" s="13" t="inlineStr">
        <is>
          <t>5047055967</t>
        </is>
      </c>
      <c r="E422" s="13" t="inlineStr">
        <is>
          <t>ЮЛ РФ</t>
        </is>
      </c>
      <c r="F422" s="13" t="n"/>
      <c r="G422" s="14" t="n"/>
      <c r="H422" s="14" t="n"/>
      <c r="I422" s="14" t="n"/>
      <c r="J422" s="14" t="n"/>
      <c r="K422" s="53" t="inlineStr"/>
      <c r="L422" s="53" t="inlineStr">
        <is>
          <t>Не определено</t>
        </is>
      </c>
      <c r="M422" s="53" t="inlineStr"/>
      <c r="N422" s="54" t="inlineStr"/>
      <c r="O422" s="55" t="inlineStr"/>
      <c r="P422" s="16" t="inlineStr">
        <is>
          <t>Требует обогащения</t>
        </is>
      </c>
      <c r="Q422" s="16">
        <f>HYPERLINK("https://pb.nalog.ru/search.html?query=5047055967","ФНС: проверить")</f>
        <v/>
      </c>
      <c r="R422" s="16">
        <f>HYPERLINK("https://checko.ru/search?query=3801001629","Чекко: проверить")</f>
        <v/>
      </c>
      <c r="S422" t="n">
        <v>1</v>
      </c>
      <c r="T422" s="35" t="inlineStr">
        <is>
          <t>4 — Не обогащён</t>
        </is>
      </c>
      <c r="U422" s="35" t="inlineStr">
        <is>
          <t>Нет ОКВЭД/ССЧР</t>
        </is>
      </c>
      <c r="V422" s="35" t="inlineStr">
        <is>
          <t>Не определено</t>
        </is>
      </c>
      <c r="W422" s="35" t="inlineStr"/>
      <c r="X422" s="35" t="inlineStr"/>
    </row>
    <row r="423" ht="15" customHeight="1" s="24">
      <c r="A423" s="13" t="n">
        <v>5000021514</v>
      </c>
      <c r="B423" s="13" t="inlineStr">
        <is>
          <t>МБУК "Химкинская ЦБС"</t>
        </is>
      </c>
      <c r="C423" s="13" t="n">
        <v>5047079735</v>
      </c>
      <c r="D423" s="13" t="inlineStr">
        <is>
          <t>5047079735</t>
        </is>
      </c>
      <c r="E423" s="13" t="inlineStr">
        <is>
          <t>ЮЛ РФ</t>
        </is>
      </c>
      <c r="F423" s="13" t="n"/>
      <c r="G423" s="14" t="n"/>
      <c r="H423" s="14" t="n"/>
      <c r="I423" s="14" t="n"/>
      <c r="J423" s="14" t="n"/>
      <c r="K423" s="53" t="inlineStr"/>
      <c r="L423" s="53" t="inlineStr">
        <is>
          <t>Не определено</t>
        </is>
      </c>
      <c r="M423" s="53" t="inlineStr"/>
      <c r="N423" s="54" t="inlineStr"/>
      <c r="O423" s="55" t="inlineStr"/>
      <c r="P423" s="16" t="inlineStr">
        <is>
          <t>Требует обогащения</t>
        </is>
      </c>
      <c r="Q423" s="16">
        <f>HYPERLINK("https://pb.nalog.ru/search.html?query=5047079735","ФНС: проверить")</f>
        <v/>
      </c>
      <c r="R423" s="16">
        <f>HYPERLINK("https://checko.ru/search?query=3801001629","Чекко: проверить")</f>
        <v/>
      </c>
      <c r="S423" t="n">
        <v>1</v>
      </c>
      <c r="T423" s="35" t="inlineStr">
        <is>
          <t>4 — Не обогащён</t>
        </is>
      </c>
      <c r="U423" s="35" t="inlineStr">
        <is>
          <t>Нет ОКВЭД/ССЧР</t>
        </is>
      </c>
      <c r="V423" s="35" t="inlineStr">
        <is>
          <t>Не определено</t>
        </is>
      </c>
      <c r="W423" s="35" t="inlineStr"/>
      <c r="X423" s="35" t="inlineStr"/>
    </row>
    <row r="424" ht="27.75" customHeight="1" s="24">
      <c r="A424" s="13" t="n">
        <v>5000020954</v>
      </c>
      <c r="B424" s="13" t="inlineStr">
        <is>
          <t>МБОУ ЛУНЁВСКАЯ СРЕДНЯЯ ОБЩЕОБРАЗОВАТЕЛЬНАЯ ШКОЛА</t>
        </is>
      </c>
      <c r="C424" s="13" t="n">
        <v>5044019216</v>
      </c>
      <c r="D424" s="13" t="inlineStr">
        <is>
          <t>5044019216</t>
        </is>
      </c>
      <c r="E424" s="13" t="inlineStr">
        <is>
          <t>ЮЛ РФ</t>
        </is>
      </c>
      <c r="F424" s="13" t="n"/>
      <c r="G424" s="14" t="n"/>
      <c r="H424" s="14" t="n"/>
      <c r="I424" s="14" t="n"/>
      <c r="J424" s="14" t="n"/>
      <c r="K424" s="53" t="inlineStr"/>
      <c r="L424" s="53" t="inlineStr">
        <is>
          <t>Не определено</t>
        </is>
      </c>
      <c r="M424" s="53" t="inlineStr"/>
      <c r="N424" s="54" t="inlineStr"/>
      <c r="O424" s="55" t="inlineStr"/>
      <c r="P424" s="16" t="inlineStr">
        <is>
          <t>Требует обогащения</t>
        </is>
      </c>
      <c r="Q424" s="16">
        <f>HYPERLINK("https://pb.nalog.ru/search.html?query=5044019216","ФНС: проверить")</f>
        <v/>
      </c>
      <c r="R424" s="16">
        <f>HYPERLINK("https://checko.ru/search?query=3801001629","Чекко: проверить")</f>
        <v/>
      </c>
      <c r="S424" t="n">
        <v>1</v>
      </c>
      <c r="T424" s="35" t="inlineStr">
        <is>
          <t>4 — Не обогащён</t>
        </is>
      </c>
      <c r="U424" s="35" t="inlineStr">
        <is>
          <t>Нет ОКВЭД/ССЧР</t>
        </is>
      </c>
      <c r="V424" s="35" t="inlineStr">
        <is>
          <t>Не определено</t>
        </is>
      </c>
      <c r="W424" s="35" t="inlineStr"/>
      <c r="X424" s="35" t="inlineStr"/>
    </row>
    <row r="425" ht="27.75" customHeight="1" s="24">
      <c r="A425" s="13" t="n">
        <v>5000121513</v>
      </c>
      <c r="B425" s="13" t="inlineStr">
        <is>
          <t>Финансовое управление администрации Волоколамского городского округа</t>
        </is>
      </c>
      <c r="C425" s="13" t="n">
        <v>5004022300</v>
      </c>
      <c r="D425" s="13" t="inlineStr">
        <is>
          <t>5004022300</t>
        </is>
      </c>
      <c r="E425" s="13" t="inlineStr">
        <is>
          <t>ЮЛ РФ</t>
        </is>
      </c>
      <c r="F425" s="13" t="n"/>
      <c r="G425" s="14" t="n"/>
      <c r="H425" s="14" t="n"/>
      <c r="I425" s="14" t="n"/>
      <c r="J425" s="14" t="n"/>
      <c r="K425" s="53" t="inlineStr"/>
      <c r="L425" s="53" t="inlineStr">
        <is>
          <t>Не определено</t>
        </is>
      </c>
      <c r="M425" s="53" t="inlineStr"/>
      <c r="N425" s="54" t="inlineStr"/>
      <c r="O425" s="55" t="inlineStr"/>
      <c r="P425" s="16" t="inlineStr">
        <is>
          <t>Требует обогащения</t>
        </is>
      </c>
      <c r="Q425" s="16">
        <f>HYPERLINK("https://pb.nalog.ru/search.html?query=5004022300","ФНС: проверить")</f>
        <v/>
      </c>
      <c r="R425" s="16">
        <f>HYPERLINK("https://checko.ru/search?query=3801001629","Чекко: проверить")</f>
        <v/>
      </c>
      <c r="S425" t="n">
        <v>1</v>
      </c>
      <c r="T425" s="35" t="inlineStr">
        <is>
          <t>4 — Не обогащён</t>
        </is>
      </c>
      <c r="U425" s="35" t="inlineStr">
        <is>
          <t>Нет ОКВЭД/ССЧР</t>
        </is>
      </c>
      <c r="V425" s="35" t="inlineStr">
        <is>
          <t>Не определено</t>
        </is>
      </c>
      <c r="W425" s="35" t="inlineStr"/>
      <c r="X425" s="35" t="inlineStr"/>
    </row>
    <row r="426" ht="27.75" customHeight="1" s="24">
      <c r="A426" s="13" t="n">
        <v>5000058626</v>
      </c>
      <c r="B426" s="13" t="inlineStr">
        <is>
          <t>Муниципальное казенное учреждение "Теряевский дом культуры"</t>
        </is>
      </c>
      <c r="C426" s="13" t="n">
        <v>5004017727</v>
      </c>
      <c r="D426" s="13" t="inlineStr">
        <is>
          <t>5004017727</t>
        </is>
      </c>
      <c r="E426" s="13" t="inlineStr">
        <is>
          <t>ЮЛ РФ</t>
        </is>
      </c>
      <c r="F426" s="13" t="n"/>
      <c r="G426" s="14" t="n"/>
      <c r="H426" s="14" t="n"/>
      <c r="I426" s="14" t="n"/>
      <c r="J426" s="14" t="n"/>
      <c r="K426" s="53" t="inlineStr"/>
      <c r="L426" s="53" t="inlineStr">
        <is>
          <t>Не определено</t>
        </is>
      </c>
      <c r="M426" s="53" t="inlineStr"/>
      <c r="N426" s="54" t="inlineStr"/>
      <c r="O426" s="55" t="inlineStr"/>
      <c r="P426" s="16" t="inlineStr">
        <is>
          <t>Требует обогащения</t>
        </is>
      </c>
      <c r="Q426" s="16">
        <f>HYPERLINK("https://pb.nalog.ru/search.html?query=5004017727","ФНС: проверить")</f>
        <v/>
      </c>
      <c r="R426" s="16">
        <f>HYPERLINK("https://checko.ru/search?query=3801001629","Чекко: проверить")</f>
        <v/>
      </c>
      <c r="S426" t="n">
        <v>1</v>
      </c>
      <c r="T426" s="35" t="inlineStr">
        <is>
          <t>4 — Не обогащён</t>
        </is>
      </c>
      <c r="U426" s="35" t="inlineStr">
        <is>
          <t>Нет ОКВЭД/ССЧР</t>
        </is>
      </c>
      <c r="V426" s="35" t="inlineStr">
        <is>
          <t>Не определено</t>
        </is>
      </c>
      <c r="W426" s="35" t="inlineStr"/>
      <c r="X426" s="35" t="inlineStr"/>
    </row>
    <row r="427" ht="15" customHeight="1" s="24">
      <c r="A427" s="13" t="n">
        <v>5000074066</v>
      </c>
      <c r="B427" s="13" t="inlineStr">
        <is>
          <t>МОУ "Павловская СОШ"</t>
        </is>
      </c>
      <c r="C427" s="13" t="n">
        <v>5017048899</v>
      </c>
      <c r="D427" s="13" t="inlineStr">
        <is>
          <t>5017048899</t>
        </is>
      </c>
      <c r="E427" s="13" t="inlineStr">
        <is>
          <t>ЮЛ РФ</t>
        </is>
      </c>
      <c r="F427" s="13" t="n"/>
      <c r="G427" s="14" t="n"/>
      <c r="H427" s="14" t="n"/>
      <c r="I427" s="14" t="n"/>
      <c r="J427" s="14" t="n"/>
      <c r="K427" s="53" t="inlineStr"/>
      <c r="L427" s="53" t="inlineStr">
        <is>
          <t>Не определено</t>
        </is>
      </c>
      <c r="M427" s="53" t="inlineStr"/>
      <c r="N427" s="54" t="inlineStr"/>
      <c r="O427" s="55" t="inlineStr"/>
      <c r="P427" s="16" t="inlineStr">
        <is>
          <t>Требует обогащения</t>
        </is>
      </c>
      <c r="Q427" s="16">
        <f>HYPERLINK("https://pb.nalog.ru/search.html?query=5017048899","ФНС: проверить")</f>
        <v/>
      </c>
      <c r="R427" s="16">
        <f>HYPERLINK("https://checko.ru/search?query=3801001629","Чекко: проверить")</f>
        <v/>
      </c>
      <c r="S427" t="n">
        <v>1</v>
      </c>
      <c r="T427" s="35" t="inlineStr">
        <is>
          <t>4 — Не обогащён</t>
        </is>
      </c>
      <c r="U427" s="35" t="inlineStr">
        <is>
          <t>Нет ОКВЭД/ССЧР</t>
        </is>
      </c>
      <c r="V427" s="35" t="inlineStr">
        <is>
          <t>Не определено</t>
        </is>
      </c>
      <c r="W427" s="35" t="inlineStr"/>
      <c r="X427" s="35" t="inlineStr"/>
    </row>
    <row r="428" ht="27.75" customHeight="1" s="24">
      <c r="A428" s="13" t="n">
        <v>5000009412</v>
      </c>
      <c r="B428" s="13" t="inlineStr">
        <is>
          <t>МОУДО "Волоколамская детская музыкальная школа"</t>
        </is>
      </c>
      <c r="C428" s="13" t="n">
        <v>5004013514</v>
      </c>
      <c r="D428" s="13" t="inlineStr">
        <is>
          <t>5004013514</t>
        </is>
      </c>
      <c r="E428" s="13" t="inlineStr">
        <is>
          <t>ЮЛ РФ</t>
        </is>
      </c>
      <c r="F428" s="13" t="n"/>
      <c r="G428" s="14" t="n"/>
      <c r="H428" s="14" t="n"/>
      <c r="I428" s="14" t="n"/>
      <c r="J428" s="14" t="n"/>
      <c r="K428" s="53" t="inlineStr"/>
      <c r="L428" s="53" t="inlineStr">
        <is>
          <t>Не определено</t>
        </is>
      </c>
      <c r="M428" s="53" t="inlineStr"/>
      <c r="N428" s="54" t="inlineStr"/>
      <c r="O428" s="55" t="inlineStr"/>
      <c r="P428" s="16" t="inlineStr">
        <is>
          <t>Требует обогащения</t>
        </is>
      </c>
      <c r="Q428" s="16">
        <f>HYPERLINK("https://pb.nalog.ru/search.html?query=5004013514","ФНС: проверить")</f>
        <v/>
      </c>
      <c r="R428" s="16">
        <f>HYPERLINK("https://checko.ru/search?query=3801001629","Чекко: проверить")</f>
        <v/>
      </c>
      <c r="S428" t="n">
        <v>1</v>
      </c>
      <c r="T428" s="35" t="inlineStr">
        <is>
          <t>4 — Не обогащён</t>
        </is>
      </c>
      <c r="U428" s="35" t="inlineStr">
        <is>
          <t>Нет ОКВЭД/ССЧР</t>
        </is>
      </c>
      <c r="V428" s="35" t="inlineStr">
        <is>
          <t>Не определено</t>
        </is>
      </c>
      <c r="W428" s="35" t="inlineStr"/>
      <c r="X428" s="35" t="inlineStr"/>
    </row>
    <row r="429" ht="15" customHeight="1" s="24">
      <c r="A429" s="13" t="n">
        <v>5000009418</v>
      </c>
      <c r="B429" s="13" t="inlineStr">
        <is>
          <t>МБУ "МЦ "Молодежное содружетво"</t>
        </is>
      </c>
      <c r="C429" s="13" t="n">
        <v>5004026055</v>
      </c>
      <c r="D429" s="13" t="inlineStr">
        <is>
          <t>5004026055</t>
        </is>
      </c>
      <c r="E429" s="13" t="inlineStr">
        <is>
          <t>ЮЛ РФ</t>
        </is>
      </c>
      <c r="F429" s="13" t="n"/>
      <c r="G429" s="14" t="n"/>
      <c r="H429" s="14" t="n"/>
      <c r="I429" s="14" t="n"/>
      <c r="J429" s="14" t="n"/>
      <c r="K429" s="53" t="inlineStr"/>
      <c r="L429" s="53" t="inlineStr">
        <is>
          <t>Не определено</t>
        </is>
      </c>
      <c r="M429" s="53" t="inlineStr"/>
      <c r="N429" s="54" t="inlineStr"/>
      <c r="O429" s="55" t="inlineStr"/>
      <c r="P429" s="16" t="inlineStr">
        <is>
          <t>Требует обогащения</t>
        </is>
      </c>
      <c r="Q429" s="16">
        <f>HYPERLINK("https://pb.nalog.ru/search.html?query=5004026055","ФНС: проверить")</f>
        <v/>
      </c>
      <c r="R429" s="16">
        <f>HYPERLINK("https://checko.ru/search?query=3801001629","Чекко: проверить")</f>
        <v/>
      </c>
      <c r="S429" t="n">
        <v>1</v>
      </c>
      <c r="T429" s="35" t="inlineStr">
        <is>
          <t>4 — Не обогащён</t>
        </is>
      </c>
      <c r="U429" s="35" t="inlineStr">
        <is>
          <t>Нет ОКВЭД/ССЧР</t>
        </is>
      </c>
      <c r="V429" s="35" t="inlineStr">
        <is>
          <t>Не определено</t>
        </is>
      </c>
      <c r="W429" s="35" t="inlineStr"/>
      <c r="X429" s="35" t="inlineStr"/>
    </row>
    <row r="430" ht="15" customHeight="1" s="24">
      <c r="A430" s="13" t="n">
        <v>5000120870</v>
      </c>
      <c r="B430" s="13" t="inlineStr">
        <is>
          <t>МКУ "ЦТ ЛЕНИНСКОГО РАЙОНА"</t>
        </is>
      </c>
      <c r="C430" s="13" t="n">
        <v>5003115009</v>
      </c>
      <c r="D430" s="13" t="inlineStr">
        <is>
          <t>5003115009</t>
        </is>
      </c>
      <c r="E430" s="13" t="inlineStr">
        <is>
          <t>ЮЛ РФ</t>
        </is>
      </c>
      <c r="F430" s="13" t="n"/>
      <c r="G430" s="14" t="n"/>
      <c r="H430" s="14" t="n"/>
      <c r="I430" s="14" t="n"/>
      <c r="J430" s="14" t="n"/>
      <c r="K430" s="53" t="inlineStr"/>
      <c r="L430" s="53" t="inlineStr">
        <is>
          <t>Не определено</t>
        </is>
      </c>
      <c r="M430" s="53" t="inlineStr"/>
      <c r="N430" s="54" t="inlineStr"/>
      <c r="O430" s="55" t="inlineStr"/>
      <c r="P430" s="16" t="inlineStr">
        <is>
          <t>Требует обогащения</t>
        </is>
      </c>
      <c r="Q430" s="16">
        <f>HYPERLINK("https://pb.nalog.ru/search.html?query=5003115009","ФНС: проверить")</f>
        <v/>
      </c>
      <c r="R430" s="16">
        <f>HYPERLINK("https://checko.ru/search?query=3801001629","Чекко: проверить")</f>
        <v/>
      </c>
      <c r="S430" t="n">
        <v>1</v>
      </c>
      <c r="T430" s="35" t="inlineStr">
        <is>
          <t>4 — Не обогащён</t>
        </is>
      </c>
      <c r="U430" s="35" t="inlineStr">
        <is>
          <t>Нет ОКВЭД/ССЧР</t>
        </is>
      </c>
      <c r="V430" s="35" t="inlineStr">
        <is>
          <t>Не определено</t>
        </is>
      </c>
      <c r="W430" s="35" t="inlineStr"/>
      <c r="X430" s="35" t="inlineStr"/>
    </row>
    <row r="431" ht="15" customHeight="1" s="24">
      <c r="A431" s="13" t="n">
        <v>5000023932</v>
      </c>
      <c r="B431" s="13" t="inlineStr">
        <is>
          <t>МУ «Парковый комплекс»</t>
        </is>
      </c>
      <c r="C431" s="13" t="n">
        <v>5004010369</v>
      </c>
      <c r="D431" s="13" t="inlineStr">
        <is>
          <t>5004010369</t>
        </is>
      </c>
      <c r="E431" s="13" t="inlineStr">
        <is>
          <t>ЮЛ РФ</t>
        </is>
      </c>
      <c r="F431" s="13" t="n"/>
      <c r="G431" s="14" t="n"/>
      <c r="H431" s="14" t="n"/>
      <c r="I431" s="14" t="n"/>
      <c r="J431" s="14" t="n"/>
      <c r="K431" s="53" t="inlineStr"/>
      <c r="L431" s="53" t="inlineStr">
        <is>
          <t>Не определено</t>
        </is>
      </c>
      <c r="M431" s="53" t="inlineStr"/>
      <c r="N431" s="54" t="inlineStr"/>
      <c r="O431" s="55" t="inlineStr"/>
      <c r="P431" s="16" t="inlineStr">
        <is>
          <t>Требует обогащения</t>
        </is>
      </c>
      <c r="Q431" s="16">
        <f>HYPERLINK("https://pb.nalog.ru/search.html?query=5004010369","ФНС: проверить")</f>
        <v/>
      </c>
      <c r="R431" s="16">
        <f>HYPERLINK("https://checko.ru/search?query=3801001629","Чекко: проверить")</f>
        <v/>
      </c>
      <c r="S431" t="n">
        <v>1</v>
      </c>
      <c r="T431" s="35" t="inlineStr">
        <is>
          <t>4 — Не обогащён</t>
        </is>
      </c>
      <c r="U431" s="35" t="inlineStr">
        <is>
          <t>Нет ОКВЭД/ССЧР</t>
        </is>
      </c>
      <c r="V431" s="35" t="inlineStr">
        <is>
          <t>Не определено</t>
        </is>
      </c>
      <c r="W431" s="35" t="inlineStr"/>
      <c r="X431" s="35" t="inlineStr"/>
    </row>
    <row r="432" ht="27.75" customHeight="1" s="24">
      <c r="A432" s="13" t="n">
        <v>5000023936</v>
      </c>
      <c r="B432" s="13" t="inlineStr">
        <is>
          <t>МУНИЦИПАЛЬНОЕ БЮДЖЕТНОЕ УЧРЕЖДЕНИЕ "ЦЕНТР РАЗВИТИЯ "ГОРОДСКОЕ ХОЗЯЙСТВО"</t>
        </is>
      </c>
      <c r="C432" s="13" t="n">
        <v>5004028408</v>
      </c>
      <c r="D432" s="13" t="inlineStr">
        <is>
          <t>5004028408</t>
        </is>
      </c>
      <c r="E432" s="13" t="inlineStr">
        <is>
          <t>ЮЛ РФ</t>
        </is>
      </c>
      <c r="F432" s="13" t="n"/>
      <c r="G432" s="14" t="n"/>
      <c r="H432" s="14" t="n"/>
      <c r="I432" s="14" t="n"/>
      <c r="J432" s="14" t="n"/>
      <c r="K432" s="53" t="inlineStr"/>
      <c r="L432" s="53" t="inlineStr">
        <is>
          <t>Не определено</t>
        </is>
      </c>
      <c r="M432" s="53" t="inlineStr"/>
      <c r="N432" s="54" t="inlineStr"/>
      <c r="O432" s="55" t="inlineStr"/>
      <c r="P432" s="16" t="inlineStr">
        <is>
          <t>Требует обогащения</t>
        </is>
      </c>
      <c r="Q432" s="16">
        <f>HYPERLINK("https://pb.nalog.ru/search.html?query=5004028408","ФНС: проверить")</f>
        <v/>
      </c>
      <c r="R432" s="16">
        <f>HYPERLINK("https://checko.ru/search?query=3801001629","Чекко: проверить")</f>
        <v/>
      </c>
      <c r="S432" t="n">
        <v>1</v>
      </c>
      <c r="T432" s="35" t="inlineStr">
        <is>
          <t>4 — Не обогащён</t>
        </is>
      </c>
      <c r="U432" s="35" t="inlineStr">
        <is>
          <t>Нет ОКВЭД/ССЧР</t>
        </is>
      </c>
      <c r="V432" s="35" t="inlineStr">
        <is>
          <t>Не определено</t>
        </is>
      </c>
      <c r="W432" s="35" t="inlineStr"/>
      <c r="X432" s="35" t="inlineStr"/>
    </row>
    <row r="433" ht="41.25" customHeight="1" s="24">
      <c r="A433" s="13" t="n">
        <v>5000120871</v>
      </c>
      <c r="B433" s="13" t="inlineStr">
        <is>
          <t>МКУ "ЕДИНАЯ ДЕЖУРНАЯ ДИСПЕТЧЕРСКАЯ СЛУЖБА ЛЕНИНСКОГО МУНИЦИПАЛЬНОГО РАЙОНА"</t>
        </is>
      </c>
      <c r="C433" s="13" t="n">
        <v>5003112086</v>
      </c>
      <c r="D433" s="13" t="inlineStr">
        <is>
          <t>5003112086</t>
        </is>
      </c>
      <c r="E433" s="13" t="inlineStr">
        <is>
          <t>ЮЛ РФ</t>
        </is>
      </c>
      <c r="F433" s="13" t="n"/>
      <c r="G433" s="14" t="n"/>
      <c r="H433" s="14" t="n"/>
      <c r="I433" s="14" t="n"/>
      <c r="J433" s="14" t="n"/>
      <c r="K433" s="53" t="inlineStr"/>
      <c r="L433" s="53" t="inlineStr">
        <is>
          <t>Не определено</t>
        </is>
      </c>
      <c r="M433" s="53" t="inlineStr"/>
      <c r="N433" s="54" t="inlineStr"/>
      <c r="O433" s="55" t="inlineStr"/>
      <c r="P433" s="16" t="inlineStr">
        <is>
          <t>Требует обогащения</t>
        </is>
      </c>
      <c r="Q433" s="16">
        <f>HYPERLINK("https://pb.nalog.ru/search.html?query=5003112086","ФНС: проверить")</f>
        <v/>
      </c>
      <c r="R433" s="16">
        <f>HYPERLINK("https://checko.ru/search?query=3801001629","Чекко: проверить")</f>
        <v/>
      </c>
      <c r="S433" t="n">
        <v>1</v>
      </c>
      <c r="T433" s="35" t="inlineStr">
        <is>
          <t>4 — Не обогащён</t>
        </is>
      </c>
      <c r="U433" s="35" t="inlineStr">
        <is>
          <t>Нет ОКВЭД/ССЧР</t>
        </is>
      </c>
      <c r="V433" s="35" t="inlineStr">
        <is>
          <t>Не определено</t>
        </is>
      </c>
      <c r="W433" s="35" t="inlineStr"/>
      <c r="X433" s="35" t="inlineStr"/>
    </row>
    <row r="434" ht="15" customHeight="1" s="24">
      <c r="A434" s="13" t="n">
        <v>5000024545</v>
      </c>
      <c r="B434" s="13" t="inlineStr">
        <is>
          <t>МБОУ Развилковская СОШ с УИОП</t>
        </is>
      </c>
      <c r="C434" s="13" t="n">
        <v>5003021664</v>
      </c>
      <c r="D434" s="13" t="inlineStr">
        <is>
          <t>5003021664</t>
        </is>
      </c>
      <c r="E434" s="13" t="inlineStr">
        <is>
          <t>ЮЛ РФ</t>
        </is>
      </c>
      <c r="F434" s="13" t="n"/>
      <c r="G434" s="14" t="n"/>
      <c r="H434" s="14" t="n"/>
      <c r="I434" s="14" t="n"/>
      <c r="J434" s="14" t="n"/>
      <c r="K434" s="53" t="inlineStr"/>
      <c r="L434" s="53" t="inlineStr">
        <is>
          <t>Не определено</t>
        </is>
      </c>
      <c r="M434" s="53" t="inlineStr"/>
      <c r="N434" s="54" t="inlineStr"/>
      <c r="O434" s="55" t="inlineStr"/>
      <c r="P434" s="16" t="inlineStr">
        <is>
          <t>Требует обогащения</t>
        </is>
      </c>
      <c r="Q434" s="16">
        <f>HYPERLINK("https://pb.nalog.ru/search.html?query=5003021664","ФНС: проверить")</f>
        <v/>
      </c>
      <c r="R434" s="16">
        <f>HYPERLINK("https://checko.ru/search?query=3801001629","Чекко: проверить")</f>
        <v/>
      </c>
      <c r="S434" t="n">
        <v>1</v>
      </c>
      <c r="T434" s="35" t="inlineStr">
        <is>
          <t>4 — Не обогащён</t>
        </is>
      </c>
      <c r="U434" s="35" t="inlineStr">
        <is>
          <t>Нет ОКВЭД/ССЧР</t>
        </is>
      </c>
      <c r="V434" s="35" t="inlineStr">
        <is>
          <t>Не определено</t>
        </is>
      </c>
      <c r="W434" s="35" t="inlineStr"/>
      <c r="X434" s="35" t="inlineStr"/>
    </row>
    <row r="435" ht="27.75" customHeight="1" s="24">
      <c r="A435" s="13" t="n">
        <v>5000024548</v>
      </c>
      <c r="B435" s="13" t="inlineStr">
        <is>
          <t>МБОУ "Лопатинская средняя общеобразовательная школа"</t>
        </is>
      </c>
      <c r="C435" s="13" t="n">
        <v>5003130720</v>
      </c>
      <c r="D435" s="13" t="inlineStr">
        <is>
          <t>5003130720</t>
        </is>
      </c>
      <c r="E435" s="13" t="inlineStr">
        <is>
          <t>ЮЛ РФ</t>
        </is>
      </c>
      <c r="F435" s="13" t="n"/>
      <c r="G435" s="14" t="n"/>
      <c r="H435" s="14" t="n"/>
      <c r="I435" s="14" t="n"/>
      <c r="J435" s="14" t="n"/>
      <c r="K435" s="53" t="inlineStr"/>
      <c r="L435" s="53" t="inlineStr">
        <is>
          <t>Не определено</t>
        </is>
      </c>
      <c r="M435" s="53" t="inlineStr"/>
      <c r="N435" s="54" t="inlineStr"/>
      <c r="O435" s="55" t="inlineStr"/>
      <c r="P435" s="16" t="inlineStr">
        <is>
          <t>Требует обогащения</t>
        </is>
      </c>
      <c r="Q435" s="16">
        <f>HYPERLINK("https://pb.nalog.ru/search.html?query=5003130720","ФНС: проверить")</f>
        <v/>
      </c>
      <c r="R435" s="16">
        <f>HYPERLINK("https://checko.ru/search?query=3801001629","Чекко: проверить")</f>
        <v/>
      </c>
      <c r="S435" t="n">
        <v>1</v>
      </c>
      <c r="T435" s="35" t="inlineStr">
        <is>
          <t>4 — Не обогащён</t>
        </is>
      </c>
      <c r="U435" s="35" t="inlineStr">
        <is>
          <t>Нет ОКВЭД/ССЧР</t>
        </is>
      </c>
      <c r="V435" s="35" t="inlineStr">
        <is>
          <t>Не определено</t>
        </is>
      </c>
      <c r="W435" s="35" t="inlineStr"/>
      <c r="X435" s="35" t="inlineStr"/>
    </row>
    <row r="436" ht="15" customHeight="1" s="24">
      <c r="A436" s="13" t="n">
        <v>5000024550</v>
      </c>
      <c r="B436" s="13" t="inlineStr">
        <is>
          <t>МБОУ «Бутовская СОШ № 1»</t>
        </is>
      </c>
      <c r="C436" s="13" t="n">
        <v>5003107544</v>
      </c>
      <c r="D436" s="13" t="inlineStr">
        <is>
          <t>5003107544</t>
        </is>
      </c>
      <c r="E436" s="13" t="inlineStr">
        <is>
          <t>ЮЛ РФ</t>
        </is>
      </c>
      <c r="F436" s="13" t="n"/>
      <c r="G436" s="14" t="n"/>
      <c r="H436" s="14" t="n"/>
      <c r="I436" s="14" t="n"/>
      <c r="J436" s="14" t="n"/>
      <c r="K436" s="53" t="inlineStr"/>
      <c r="L436" s="53" t="inlineStr">
        <is>
          <t>Не определено</t>
        </is>
      </c>
      <c r="M436" s="53" t="inlineStr"/>
      <c r="N436" s="54" t="inlineStr"/>
      <c r="O436" s="55" t="inlineStr"/>
      <c r="P436" s="16" t="inlineStr">
        <is>
          <t>Требует обогащения</t>
        </is>
      </c>
      <c r="Q436" s="16">
        <f>HYPERLINK("https://pb.nalog.ru/search.html?query=5003107544","ФНС: проверить")</f>
        <v/>
      </c>
      <c r="R436" s="16">
        <f>HYPERLINK("https://checko.ru/search?query=3801001629","Чекко: проверить")</f>
        <v/>
      </c>
      <c r="S436" t="n">
        <v>1</v>
      </c>
      <c r="T436" s="35" t="inlineStr">
        <is>
          <t>4 — Не обогащён</t>
        </is>
      </c>
      <c r="U436" s="35" t="inlineStr">
        <is>
          <t>Нет ОКВЭД/ССЧР</t>
        </is>
      </c>
      <c r="V436" s="35" t="inlineStr">
        <is>
          <t>Не определено</t>
        </is>
      </c>
      <c r="W436" s="35" t="inlineStr"/>
      <c r="X436" s="35" t="inlineStr"/>
    </row>
    <row r="437" ht="15" customHeight="1" s="24">
      <c r="A437" s="13" t="n">
        <v>5000121529</v>
      </c>
      <c r="B437" s="13" t="inlineStr">
        <is>
          <t>МУ "ЦОДОМС" ВГО</t>
        </is>
      </c>
      <c r="C437" s="13" t="n">
        <v>5004026087</v>
      </c>
      <c r="D437" s="13" t="inlineStr">
        <is>
          <t>5004026087</t>
        </is>
      </c>
      <c r="E437" s="13" t="inlineStr">
        <is>
          <t>ЮЛ РФ</t>
        </is>
      </c>
      <c r="F437" s="13" t="n"/>
      <c r="G437" s="14" t="n"/>
      <c r="H437" s="14" t="n"/>
      <c r="I437" s="14" t="n"/>
      <c r="J437" s="14" t="n"/>
      <c r="K437" s="53" t="inlineStr"/>
      <c r="L437" s="53" t="inlineStr">
        <is>
          <t>Не определено</t>
        </is>
      </c>
      <c r="M437" s="53" t="inlineStr"/>
      <c r="N437" s="54" t="inlineStr"/>
      <c r="O437" s="55" t="inlineStr"/>
      <c r="P437" s="16" t="inlineStr">
        <is>
          <t>Требует обогащения</t>
        </is>
      </c>
      <c r="Q437" s="16">
        <f>HYPERLINK("https://pb.nalog.ru/search.html?query=5004026087","ФНС: проверить")</f>
        <v/>
      </c>
      <c r="R437" s="16">
        <f>HYPERLINK("https://checko.ru/search?query=3801001629","Чекко: проверить")</f>
        <v/>
      </c>
      <c r="S437" t="n">
        <v>1</v>
      </c>
      <c r="T437" s="35" t="inlineStr">
        <is>
          <t>4 — Не обогащён</t>
        </is>
      </c>
      <c r="U437" s="35" t="inlineStr">
        <is>
          <t>Нет ОКВЭД/ССЧР</t>
        </is>
      </c>
      <c r="V437" s="35" t="inlineStr">
        <is>
          <t>Не определено</t>
        </is>
      </c>
      <c r="W437" s="35" t="inlineStr"/>
      <c r="X437" s="35" t="inlineStr"/>
    </row>
    <row r="438" ht="15" customHeight="1" s="24">
      <c r="A438" s="13" t="n">
        <v>5000024539</v>
      </c>
      <c r="B438" s="13" t="inlineStr">
        <is>
          <t>МБОУ Видновская СОШ № 5</t>
        </is>
      </c>
      <c r="C438" s="13" t="n">
        <v>5003021544</v>
      </c>
      <c r="D438" s="13" t="inlineStr">
        <is>
          <t>5003021544</t>
        </is>
      </c>
      <c r="E438" s="13" t="inlineStr">
        <is>
          <t>ЮЛ РФ</t>
        </is>
      </c>
      <c r="F438" s="13" t="n"/>
      <c r="G438" s="14" t="n"/>
      <c r="H438" s="14" t="n"/>
      <c r="I438" s="14" t="n"/>
      <c r="J438" s="14" t="n"/>
      <c r="K438" s="53" t="inlineStr"/>
      <c r="L438" s="53" t="inlineStr">
        <is>
          <t>Не определено</t>
        </is>
      </c>
      <c r="M438" s="53" t="inlineStr"/>
      <c r="N438" s="54" t="inlineStr"/>
      <c r="O438" s="55" t="inlineStr"/>
      <c r="P438" s="16" t="inlineStr">
        <is>
          <t>Требует обогащения</t>
        </is>
      </c>
      <c r="Q438" s="16">
        <f>HYPERLINK("https://pb.nalog.ru/search.html?query=5003021544","ФНС: проверить")</f>
        <v/>
      </c>
      <c r="R438" s="16">
        <f>HYPERLINK("https://checko.ru/search?query=3801001629","Чекко: проверить")</f>
        <v/>
      </c>
      <c r="S438" t="n">
        <v>1</v>
      </c>
      <c r="T438" s="35" t="inlineStr">
        <is>
          <t>4 — Не обогащён</t>
        </is>
      </c>
      <c r="U438" s="35" t="inlineStr">
        <is>
          <t>Нет ОКВЭД/ССЧР</t>
        </is>
      </c>
      <c r="V438" s="35" t="inlineStr">
        <is>
          <t>Не определено</t>
        </is>
      </c>
      <c r="W438" s="35" t="inlineStr"/>
      <c r="X438" s="35" t="inlineStr"/>
    </row>
    <row r="439" ht="15" customHeight="1" s="24">
      <c r="A439" s="13" t="n">
        <v>5000121610</v>
      </c>
      <c r="B439" s="13" t="inlineStr">
        <is>
          <t>СШОР г. Бронницы имени А. Сыроежкина, МАУ</t>
        </is>
      </c>
      <c r="C439" s="13" t="n">
        <v>5002002620</v>
      </c>
      <c r="D439" s="13" t="inlineStr">
        <is>
          <t>5002002620</t>
        </is>
      </c>
      <c r="E439" s="13" t="inlineStr">
        <is>
          <t>ЮЛ РФ</t>
        </is>
      </c>
      <c r="F439" s="13" t="n"/>
      <c r="G439" s="14" t="n"/>
      <c r="H439" s="14" t="n"/>
      <c r="I439" s="14" t="n"/>
      <c r="J439" s="14" t="n"/>
      <c r="K439" s="53" t="inlineStr"/>
      <c r="L439" s="53" t="inlineStr">
        <is>
          <t>Не определено</t>
        </is>
      </c>
      <c r="M439" s="53" t="inlineStr"/>
      <c r="N439" s="54" t="inlineStr"/>
      <c r="O439" s="55" t="inlineStr"/>
      <c r="P439" s="16" t="inlineStr">
        <is>
          <t>Требует обогащения</t>
        </is>
      </c>
      <c r="Q439" s="16">
        <f>HYPERLINK("https://pb.nalog.ru/search.html?query=5002002620","ФНС: проверить")</f>
        <v/>
      </c>
      <c r="R439" s="16">
        <f>HYPERLINK("https://checko.ru/search?query=3801001629","Чекко: проверить")</f>
        <v/>
      </c>
      <c r="S439" t="n">
        <v>1</v>
      </c>
      <c r="T439" s="35" t="inlineStr">
        <is>
          <t>4 — Не обогащён</t>
        </is>
      </c>
      <c r="U439" s="35" t="inlineStr">
        <is>
          <t>Нет ОКВЭД/ССЧР</t>
        </is>
      </c>
      <c r="V439" s="35" t="inlineStr">
        <is>
          <t>Не определено</t>
        </is>
      </c>
      <c r="W439" s="35" t="inlineStr"/>
      <c r="X439" s="35" t="inlineStr"/>
    </row>
    <row r="440" ht="54.75" customHeight="1" s="24">
      <c r="A440" s="13" t="n">
        <v>5000074019</v>
      </c>
      <c r="B440" s="13" t="inlineStr">
        <is>
          <t>МУ(гол) Централизованная бухгалтерия по обслуживанию муниципальных учреждений образования Истринского муниципального района</t>
        </is>
      </c>
      <c r="C440" s="13" t="n">
        <v>5017003619</v>
      </c>
      <c r="D440" s="13" t="inlineStr">
        <is>
          <t>5017003619</t>
        </is>
      </c>
      <c r="E440" s="13" t="inlineStr">
        <is>
          <t>ЮЛ РФ</t>
        </is>
      </c>
      <c r="F440" s="13" t="n"/>
      <c r="G440" s="14" t="n"/>
      <c r="H440" s="14" t="n"/>
      <c r="I440" s="14" t="n"/>
      <c r="J440" s="14" t="n"/>
      <c r="K440" s="53" t="inlineStr"/>
      <c r="L440" s="53" t="inlineStr">
        <is>
          <t>Не определено</t>
        </is>
      </c>
      <c r="M440" s="53" t="inlineStr"/>
      <c r="N440" s="54" t="inlineStr"/>
      <c r="O440" s="55" t="inlineStr"/>
      <c r="P440" s="16" t="inlineStr">
        <is>
          <t>Требует обогащения</t>
        </is>
      </c>
      <c r="Q440" s="16">
        <f>HYPERLINK("https://pb.nalog.ru/search.html?query=5017003619","ФНС: проверить")</f>
        <v/>
      </c>
      <c r="R440" s="16">
        <f>HYPERLINK("https://checko.ru/search?query=3801001629","Чекко: проверить")</f>
        <v/>
      </c>
      <c r="S440" t="n">
        <v>1</v>
      </c>
      <c r="T440" s="35" t="inlineStr">
        <is>
          <t>4 — Не обогащён</t>
        </is>
      </c>
      <c r="U440" s="35" t="inlineStr">
        <is>
          <t>Нет ОКВЭД/ССЧР</t>
        </is>
      </c>
      <c r="V440" s="35" t="inlineStr">
        <is>
          <t>Не определено</t>
        </is>
      </c>
      <c r="W440" s="35" t="inlineStr"/>
      <c r="X440" s="35" t="inlineStr"/>
    </row>
    <row r="441" ht="27.75" customHeight="1" s="24">
      <c r="A441" s="13" t="n">
        <v>5000121528</v>
      </c>
      <c r="B441" s="13" t="inlineStr">
        <is>
          <t>Мфц Волоколамского Муниципального Района, МБУ</t>
        </is>
      </c>
      <c r="C441" s="13" t="n">
        <v>5004025750</v>
      </c>
      <c r="D441" s="13" t="inlineStr">
        <is>
          <t>5004025750</t>
        </is>
      </c>
      <c r="E441" s="13" t="inlineStr">
        <is>
          <t>ЮЛ РФ</t>
        </is>
      </c>
      <c r="F441" s="13" t="n"/>
      <c r="G441" s="14" t="n"/>
      <c r="H441" s="14" t="n"/>
      <c r="I441" s="14" t="n"/>
      <c r="J441" s="14" t="n"/>
      <c r="K441" s="53" t="inlineStr"/>
      <c r="L441" s="53" t="inlineStr">
        <is>
          <t>Не определено</t>
        </is>
      </c>
      <c r="M441" s="53" t="inlineStr"/>
      <c r="N441" s="54" t="inlineStr"/>
      <c r="O441" s="55" t="inlineStr"/>
      <c r="P441" s="16" t="inlineStr">
        <is>
          <t>Требует обогащения</t>
        </is>
      </c>
      <c r="Q441" s="16">
        <f>HYPERLINK("https://pb.nalog.ru/search.html?query=5004025750","ФНС: проверить")</f>
        <v/>
      </c>
      <c r="R441" s="16">
        <f>HYPERLINK("https://checko.ru/search?query=3801001629","Чекко: проверить")</f>
        <v/>
      </c>
      <c r="S441" t="n">
        <v>1</v>
      </c>
      <c r="T441" s="35" t="inlineStr">
        <is>
          <t>4 — Не обогащён</t>
        </is>
      </c>
      <c r="U441" s="35" t="inlineStr">
        <is>
          <t>Нет ОКВЭД/ССЧР</t>
        </is>
      </c>
      <c r="V441" s="35" t="inlineStr">
        <is>
          <t>Не определено</t>
        </is>
      </c>
      <c r="W441" s="35" t="inlineStr"/>
      <c r="X441" s="35" t="inlineStr"/>
    </row>
    <row r="442" ht="15" customHeight="1" s="24">
      <c r="A442" s="13" t="n">
        <v>5000121171</v>
      </c>
      <c r="B442" s="13" t="inlineStr">
        <is>
          <t>МУ "ДЦО"</t>
        </is>
      </c>
      <c r="C442" s="13" t="n">
        <v>5027161340</v>
      </c>
      <c r="D442" s="13" t="inlineStr">
        <is>
          <t>5027161340</t>
        </is>
      </c>
      <c r="E442" s="13" t="inlineStr">
        <is>
          <t>ЮЛ РФ</t>
        </is>
      </c>
      <c r="F442" s="13" t="n"/>
      <c r="G442" s="14" t="n"/>
      <c r="H442" s="14" t="n"/>
      <c r="I442" s="14" t="n"/>
      <c r="J442" s="14" t="n"/>
      <c r="K442" s="53" t="inlineStr"/>
      <c r="L442" s="53" t="inlineStr">
        <is>
          <t>Не определено</t>
        </is>
      </c>
      <c r="M442" s="53" t="inlineStr"/>
      <c r="N442" s="54" t="inlineStr"/>
      <c r="O442" s="55" t="inlineStr"/>
      <c r="P442" s="16" t="inlineStr">
        <is>
          <t>Требует обогащения</t>
        </is>
      </c>
      <c r="Q442" s="16">
        <f>HYPERLINK("https://pb.nalog.ru/search.html?query=5027161340","ФНС: проверить")</f>
        <v/>
      </c>
      <c r="R442" s="16">
        <f>HYPERLINK("https://checko.ru/search?query=3801001629","Чекко: проверить")</f>
        <v/>
      </c>
      <c r="S442" t="n">
        <v>1</v>
      </c>
      <c r="T442" s="35" t="inlineStr">
        <is>
          <t>4 — Не обогащён</t>
        </is>
      </c>
      <c r="U442" s="35" t="inlineStr">
        <is>
          <t>Нет ОКВЭД/ССЧР</t>
        </is>
      </c>
      <c r="V442" s="35" t="inlineStr">
        <is>
          <t>Не определено</t>
        </is>
      </c>
      <c r="W442" s="35" t="inlineStr"/>
      <c r="X442" s="35" t="inlineStr"/>
    </row>
    <row r="443" ht="15" customHeight="1" s="24">
      <c r="A443" s="13" t="n">
        <v>5000041199</v>
      </c>
      <c r="B443" s="13" t="inlineStr">
        <is>
          <t>МУ "Стадион "Торпедо"</t>
        </is>
      </c>
      <c r="C443" s="13" t="n">
        <v>5027143421</v>
      </c>
      <c r="D443" s="13" t="inlineStr">
        <is>
          <t>5027143421</t>
        </is>
      </c>
      <c r="E443" s="13" t="inlineStr">
        <is>
          <t>ЮЛ РФ</t>
        </is>
      </c>
      <c r="F443" s="13" t="n"/>
      <c r="G443" s="14" t="n"/>
      <c r="H443" s="14" t="n"/>
      <c r="I443" s="14" t="n"/>
      <c r="J443" s="14" t="n"/>
      <c r="K443" s="53" t="inlineStr"/>
      <c r="L443" s="53" t="inlineStr">
        <is>
          <t>Не определено</t>
        </is>
      </c>
      <c r="M443" s="53" t="inlineStr"/>
      <c r="N443" s="54" t="inlineStr"/>
      <c r="O443" s="55" t="inlineStr"/>
      <c r="P443" s="16" t="inlineStr">
        <is>
          <t>Требует обогащения</t>
        </is>
      </c>
      <c r="Q443" s="16">
        <f>HYPERLINK("https://pb.nalog.ru/search.html?query=5027143421","ФНС: проверить")</f>
        <v/>
      </c>
      <c r="R443" s="16">
        <f>HYPERLINK("https://checko.ru/search?query=3801001629","Чекко: проверить")</f>
        <v/>
      </c>
      <c r="S443" t="n">
        <v>1</v>
      </c>
      <c r="T443" s="35" t="inlineStr">
        <is>
          <t>4 — Не обогащён</t>
        </is>
      </c>
      <c r="U443" s="35" t="inlineStr">
        <is>
          <t>Нет ОКВЭД/ССЧР</t>
        </is>
      </c>
      <c r="V443" s="35" t="inlineStr">
        <is>
          <t>Не определено</t>
        </is>
      </c>
      <c r="W443" s="35" t="inlineStr"/>
      <c r="X443" s="35" t="inlineStr"/>
    </row>
    <row r="444" ht="41.25" customHeight="1" s="24">
      <c r="A444" s="13" t="n">
        <v>5000009425</v>
      </c>
      <c r="B444" s="13" t="inlineStr">
        <is>
          <t>Комитет по управлению имуществом администрации Волоколамского муниципального района</t>
        </is>
      </c>
      <c r="C444" s="13" t="n">
        <v>5004002400</v>
      </c>
      <c r="D444" s="13" t="inlineStr">
        <is>
          <t>5004002400</t>
        </is>
      </c>
      <c r="E444" s="13" t="inlineStr">
        <is>
          <t>ЮЛ РФ</t>
        </is>
      </c>
      <c r="F444" s="13" t="n"/>
      <c r="G444" s="14" t="n"/>
      <c r="H444" s="14" t="n"/>
      <c r="I444" s="14" t="n"/>
      <c r="J444" s="14" t="n"/>
      <c r="K444" s="53" t="inlineStr"/>
      <c r="L444" s="53" t="inlineStr">
        <is>
          <t>Не определено</t>
        </is>
      </c>
      <c r="M444" s="53" t="inlineStr"/>
      <c r="N444" s="54" t="inlineStr"/>
      <c r="O444" s="55" t="inlineStr"/>
      <c r="P444" s="16" t="inlineStr">
        <is>
          <t>Требует обогащения</t>
        </is>
      </c>
      <c r="Q444" s="16">
        <f>HYPERLINK("https://pb.nalog.ru/search.html?query=5004002400","ФНС: проверить")</f>
        <v/>
      </c>
      <c r="R444" s="16">
        <f>HYPERLINK("https://checko.ru/search?query=3801001629","Чекко: проверить")</f>
        <v/>
      </c>
      <c r="S444" t="n">
        <v>1</v>
      </c>
      <c r="T444" s="35" t="inlineStr">
        <is>
          <t>4 — Не обогащён</t>
        </is>
      </c>
      <c r="U444" s="35" t="inlineStr">
        <is>
          <t>Нет ОКВЭД/ССЧР</t>
        </is>
      </c>
      <c r="V444" s="35" t="inlineStr">
        <is>
          <t>Не определено</t>
        </is>
      </c>
      <c r="W444" s="35" t="inlineStr"/>
      <c r="X444" s="35" t="inlineStr"/>
    </row>
    <row r="445" ht="15" customHeight="1" s="24">
      <c r="A445" s="13" t="n">
        <v>5000091099</v>
      </c>
      <c r="B445" s="13" t="inlineStr">
        <is>
          <t>МАОУ Октябрьская СОШ №54</t>
        </is>
      </c>
      <c r="C445" s="13" t="n">
        <v>5027202807</v>
      </c>
      <c r="D445" s="13" t="inlineStr">
        <is>
          <t>5027202807</t>
        </is>
      </c>
      <c r="E445" s="13" t="inlineStr">
        <is>
          <t>ЮЛ РФ</t>
        </is>
      </c>
      <c r="F445" s="13" t="n"/>
      <c r="G445" s="14" t="n"/>
      <c r="H445" s="14" t="n"/>
      <c r="I445" s="14" t="n"/>
      <c r="J445" s="14" t="n"/>
      <c r="K445" s="53" t="inlineStr"/>
      <c r="L445" s="53" t="inlineStr">
        <is>
          <t>Не определено</t>
        </is>
      </c>
      <c r="M445" s="53" t="inlineStr"/>
      <c r="N445" s="54" t="inlineStr"/>
      <c r="O445" s="55" t="inlineStr"/>
      <c r="P445" s="16" t="inlineStr">
        <is>
          <t>Требует обогащения</t>
        </is>
      </c>
      <c r="Q445" s="16">
        <f>HYPERLINK("https://pb.nalog.ru/search.html?query=5027202807","ФНС: проверить")</f>
        <v/>
      </c>
      <c r="R445" s="16">
        <f>HYPERLINK("https://checko.ru/search?query=3801001629","Чекко: проверить")</f>
        <v/>
      </c>
      <c r="S445" t="n">
        <v>1</v>
      </c>
      <c r="T445" s="35" t="inlineStr">
        <is>
          <t>4 — Не обогащён</t>
        </is>
      </c>
      <c r="U445" s="35" t="inlineStr">
        <is>
          <t>Нет ОКВЭД/ССЧР</t>
        </is>
      </c>
      <c r="V445" s="35" t="inlineStr">
        <is>
          <t>Не определено</t>
        </is>
      </c>
      <c r="W445" s="35" t="inlineStr"/>
      <c r="X445" s="35" t="inlineStr"/>
    </row>
    <row r="446" ht="15" customHeight="1" s="24">
      <c r="A446" s="13" t="n">
        <v>5000091096</v>
      </c>
      <c r="B446" s="13" t="inlineStr">
        <is>
          <t>МАОУ гимназия №16 "Интерес"</t>
        </is>
      </c>
      <c r="C446" s="13" t="n">
        <v>5027200535</v>
      </c>
      <c r="D446" s="13" t="inlineStr">
        <is>
          <t>5027200535</t>
        </is>
      </c>
      <c r="E446" s="13" t="inlineStr">
        <is>
          <t>ЮЛ РФ</t>
        </is>
      </c>
      <c r="F446" s="13" t="n"/>
      <c r="G446" s="14" t="n"/>
      <c r="H446" s="14" t="n"/>
      <c r="I446" s="14" t="n"/>
      <c r="J446" s="14" t="n"/>
      <c r="K446" s="53" t="inlineStr"/>
      <c r="L446" s="53" t="inlineStr">
        <is>
          <t>Не определено</t>
        </is>
      </c>
      <c r="M446" s="53" t="inlineStr"/>
      <c r="N446" s="54" t="inlineStr"/>
      <c r="O446" s="55" t="inlineStr"/>
      <c r="P446" s="16" t="inlineStr">
        <is>
          <t>Требует обогащения</t>
        </is>
      </c>
      <c r="Q446" s="16">
        <f>HYPERLINK("https://pb.nalog.ru/search.html?query=5027200535","ФНС: проверить")</f>
        <v/>
      </c>
      <c r="R446" s="16">
        <f>HYPERLINK("https://checko.ru/search?query=3801001629","Чекко: проверить")</f>
        <v/>
      </c>
      <c r="S446" t="n">
        <v>1</v>
      </c>
      <c r="T446" s="35" t="inlineStr">
        <is>
          <t>4 — Не обогащён</t>
        </is>
      </c>
      <c r="U446" s="35" t="inlineStr">
        <is>
          <t>Нет ОКВЭД/ССЧР</t>
        </is>
      </c>
      <c r="V446" s="35" t="inlineStr">
        <is>
          <t>Не определено</t>
        </is>
      </c>
      <c r="W446" s="35" t="inlineStr"/>
      <c r="X446" s="35" t="inlineStr"/>
    </row>
    <row r="447" ht="41.25" customHeight="1" s="24">
      <c r="A447" s="13" t="n">
        <v>5000121174</v>
      </c>
      <c r="B447" s="13" t="inlineStr">
        <is>
          <t>Муниципальное казенное учреждение города Люберцы «Люберецкая специализированная служба по вопросам похоронного дела</t>
        </is>
      </c>
      <c r="C447" s="13" t="n">
        <v>5027163450</v>
      </c>
      <c r="D447" s="13" t="inlineStr">
        <is>
          <t>5027163450</t>
        </is>
      </c>
      <c r="E447" s="13" t="inlineStr">
        <is>
          <t>ЮЛ РФ</t>
        </is>
      </c>
      <c r="F447" s="13" t="n"/>
      <c r="G447" s="14" t="n"/>
      <c r="H447" s="14" t="n"/>
      <c r="I447" s="14" t="n"/>
      <c r="J447" s="14" t="n"/>
      <c r="K447" s="53" t="inlineStr"/>
      <c r="L447" s="53" t="inlineStr">
        <is>
          <t>Не определено</t>
        </is>
      </c>
      <c r="M447" s="53" t="inlineStr"/>
      <c r="N447" s="54" t="inlineStr"/>
      <c r="O447" s="55" t="inlineStr"/>
      <c r="P447" s="16" t="inlineStr">
        <is>
          <t>Требует обогащения</t>
        </is>
      </c>
      <c r="Q447" s="16">
        <f>HYPERLINK("https://pb.nalog.ru/search.html?query=5027163450","ФНС: проверить")</f>
        <v/>
      </c>
      <c r="R447" s="16">
        <f>HYPERLINK("https://checko.ru/search?query=3801001629","Чекко: проверить")</f>
        <v/>
      </c>
      <c r="S447" t="n">
        <v>1</v>
      </c>
      <c r="T447" s="35" t="inlineStr">
        <is>
          <t>4 — Не обогащён</t>
        </is>
      </c>
      <c r="U447" s="35" t="inlineStr">
        <is>
          <t>Нет ОКВЭД/ССЧР</t>
        </is>
      </c>
      <c r="V447" s="35" t="inlineStr">
        <is>
          <t>Не определено</t>
        </is>
      </c>
      <c r="W447" s="35" t="inlineStr"/>
      <c r="X447" s="35" t="inlineStr"/>
    </row>
    <row r="448" ht="15" customHeight="1" s="24">
      <c r="A448" s="13" t="n">
        <v>5000116345</v>
      </c>
      <c r="B448" s="13" t="inlineStr">
        <is>
          <t>МБУ "Дом Доброты"</t>
        </is>
      </c>
      <c r="C448" s="13" t="n">
        <v>5017070051</v>
      </c>
      <c r="D448" s="13" t="inlineStr">
        <is>
          <t>5017070051</t>
        </is>
      </c>
      <c r="E448" s="13" t="inlineStr">
        <is>
          <t>ЮЛ РФ</t>
        </is>
      </c>
      <c r="F448" s="13" t="n"/>
      <c r="G448" s="14" t="n"/>
      <c r="H448" s="14" t="n"/>
      <c r="I448" s="14" t="n"/>
      <c r="J448" s="14" t="n"/>
      <c r="K448" s="53" t="inlineStr"/>
      <c r="L448" s="53" t="inlineStr">
        <is>
          <t>Не определено</t>
        </is>
      </c>
      <c r="M448" s="53" t="inlineStr"/>
      <c r="N448" s="54" t="inlineStr"/>
      <c r="O448" s="55" t="inlineStr"/>
      <c r="P448" s="16" t="inlineStr">
        <is>
          <t>Требует обогащения</t>
        </is>
      </c>
      <c r="Q448" s="16">
        <f>HYPERLINK("https://pb.nalog.ru/search.html?query=5017070051","ФНС: проверить")</f>
        <v/>
      </c>
      <c r="R448" s="16">
        <f>HYPERLINK("https://checko.ru/search?query=3801001629","Чекко: проверить")</f>
        <v/>
      </c>
      <c r="S448" t="n">
        <v>1</v>
      </c>
      <c r="T448" s="35" t="inlineStr">
        <is>
          <t>4 — Не обогащён</t>
        </is>
      </c>
      <c r="U448" s="35" t="inlineStr">
        <is>
          <t>Нет ОКВЭД/ССЧР</t>
        </is>
      </c>
      <c r="V448" s="35" t="inlineStr">
        <is>
          <t>Не определено</t>
        </is>
      </c>
      <c r="W448" s="35" t="inlineStr"/>
      <c r="X448" s="35" t="inlineStr"/>
    </row>
    <row r="449" ht="41.25" customHeight="1" s="24">
      <c r="A449" s="13" t="n">
        <v>5000041173</v>
      </c>
      <c r="B449" s="13" t="inlineStr">
        <is>
          <t>МУ «Централизованная бухгалтерия управления по образованию Люберецкого района Московской области»</t>
        </is>
      </c>
      <c r="C449" s="13" t="n">
        <v>5027036878</v>
      </c>
      <c r="D449" s="13" t="inlineStr">
        <is>
          <t>5027036878</t>
        </is>
      </c>
      <c r="E449" s="13" t="inlineStr">
        <is>
          <t>ЮЛ РФ</t>
        </is>
      </c>
      <c r="F449" s="13" t="n"/>
      <c r="G449" s="14" t="n"/>
      <c r="H449" s="14" t="n"/>
      <c r="I449" s="14" t="n"/>
      <c r="J449" s="14" t="n"/>
      <c r="K449" s="53" t="inlineStr"/>
      <c r="L449" s="53" t="inlineStr">
        <is>
          <t>Не определено</t>
        </is>
      </c>
      <c r="M449" s="53" t="inlineStr"/>
      <c r="N449" s="54" t="inlineStr"/>
      <c r="O449" s="55" t="inlineStr"/>
      <c r="P449" s="16" t="inlineStr">
        <is>
          <t>Требует обогащения</t>
        </is>
      </c>
      <c r="Q449" s="16">
        <f>HYPERLINK("https://pb.nalog.ru/search.html?query=5027036878","ФНС: проверить")</f>
        <v/>
      </c>
      <c r="R449" s="16">
        <f>HYPERLINK("https://checko.ru/search?query=3801001629","Чекко: проверить")</f>
        <v/>
      </c>
      <c r="S449" t="n">
        <v>1</v>
      </c>
      <c r="T449" s="35" t="inlineStr">
        <is>
          <t>4 — Не обогащён</t>
        </is>
      </c>
      <c r="U449" s="35" t="inlineStr">
        <is>
          <t>Нет ОКВЭД/ССЧР</t>
        </is>
      </c>
      <c r="V449" s="35" t="inlineStr">
        <is>
          <t>Не определено</t>
        </is>
      </c>
      <c r="W449" s="35" t="inlineStr"/>
      <c r="X449" s="35" t="inlineStr"/>
    </row>
    <row r="450" ht="15" customHeight="1" s="24">
      <c r="A450" s="13" t="n">
        <v>5000121166</v>
      </c>
      <c r="B450" s="13" t="inlineStr">
        <is>
          <t>МУ "ОКБЖКХ"</t>
        </is>
      </c>
      <c r="C450" s="13" t="n">
        <v>5027233185</v>
      </c>
      <c r="D450" s="13" t="inlineStr">
        <is>
          <t>5027233185</t>
        </is>
      </c>
      <c r="E450" s="13" t="inlineStr">
        <is>
          <t>ЮЛ РФ</t>
        </is>
      </c>
      <c r="F450" s="13" t="n"/>
      <c r="G450" s="14" t="n"/>
      <c r="H450" s="14" t="n"/>
      <c r="I450" s="14" t="n"/>
      <c r="J450" s="14" t="n"/>
      <c r="K450" s="53" t="inlineStr"/>
      <c r="L450" s="53" t="inlineStr">
        <is>
          <t>Не определено</t>
        </is>
      </c>
      <c r="M450" s="53" t="inlineStr"/>
      <c r="N450" s="54" t="inlineStr"/>
      <c r="O450" s="55" t="inlineStr"/>
      <c r="P450" s="16" t="inlineStr">
        <is>
          <t>Требует обогащения</t>
        </is>
      </c>
      <c r="Q450" s="16">
        <f>HYPERLINK("https://pb.nalog.ru/search.html?query=5027233185","ФНС: проверить")</f>
        <v/>
      </c>
      <c r="R450" s="16">
        <f>HYPERLINK("https://checko.ru/search?query=3801001629","Чекко: проверить")</f>
        <v/>
      </c>
      <c r="S450" t="n">
        <v>1</v>
      </c>
      <c r="T450" s="35" t="inlineStr">
        <is>
          <t>4 — Не обогащён</t>
        </is>
      </c>
      <c r="U450" s="35" t="inlineStr">
        <is>
          <t>Нет ОКВЭД/ССЧР</t>
        </is>
      </c>
      <c r="V450" s="35" t="inlineStr">
        <is>
          <t>Не определено</t>
        </is>
      </c>
      <c r="W450" s="35" t="inlineStr"/>
      <c r="X450" s="35" t="inlineStr"/>
    </row>
    <row r="451" ht="15" customHeight="1" s="24">
      <c r="A451" s="13" t="n">
        <v>5000116365</v>
      </c>
      <c r="B451" s="13" t="inlineStr">
        <is>
          <t>МБУ "ЦРМ"Юность"</t>
        </is>
      </c>
      <c r="C451" s="13" t="n">
        <v>5003103839</v>
      </c>
      <c r="D451" s="13" t="inlineStr">
        <is>
          <t>5003103839</t>
        </is>
      </c>
      <c r="E451" s="13" t="inlineStr">
        <is>
          <t>ЮЛ РФ</t>
        </is>
      </c>
      <c r="F451" s="13" t="n"/>
      <c r="G451" s="14" t="n"/>
      <c r="H451" s="14" t="n"/>
      <c r="I451" s="14" t="n"/>
      <c r="J451" s="14" t="n"/>
      <c r="K451" s="53" t="inlineStr"/>
      <c r="L451" s="53" t="inlineStr">
        <is>
          <t>Не определено</t>
        </is>
      </c>
      <c r="M451" s="53" t="inlineStr"/>
      <c r="N451" s="54" t="inlineStr"/>
      <c r="O451" s="55" t="inlineStr"/>
      <c r="P451" s="16" t="inlineStr">
        <is>
          <t>Требует обогащения</t>
        </is>
      </c>
      <c r="Q451" s="16">
        <f>HYPERLINK("https://pb.nalog.ru/search.html?query=5003103839","ФНС: проверить")</f>
        <v/>
      </c>
      <c r="R451" s="16">
        <f>HYPERLINK("https://checko.ru/search?query=3801001629","Чекко: проверить")</f>
        <v/>
      </c>
      <c r="S451" t="n">
        <v>1</v>
      </c>
      <c r="T451" s="35" t="inlineStr">
        <is>
          <t>4 — Не обогащён</t>
        </is>
      </c>
      <c r="U451" s="35" t="inlineStr">
        <is>
          <t>Нет ОКВЭД/ССЧР</t>
        </is>
      </c>
      <c r="V451" s="35" t="inlineStr">
        <is>
          <t>Не определено</t>
        </is>
      </c>
      <c r="W451" s="35" t="inlineStr"/>
      <c r="X451" s="35" t="inlineStr"/>
    </row>
    <row r="452" ht="27.75" customHeight="1" s="24">
      <c r="A452" s="13" t="n">
        <v>5000119276</v>
      </c>
      <c r="B452" s="13" t="inlineStr">
        <is>
          <t>МУНИЦИПАЛЬНОЕ БЮДЖЕТНОЕ УЧРЕЖДЕНИЕ "КОМБИНАТ ШКОЛЬНОГО ПИТАНИЯ"</t>
        </is>
      </c>
      <c r="C452" s="13" t="n">
        <v>5047094187</v>
      </c>
      <c r="D452" s="13" t="inlineStr">
        <is>
          <t>5047094187</t>
        </is>
      </c>
      <c r="E452" s="13" t="inlineStr">
        <is>
          <t>ЮЛ РФ</t>
        </is>
      </c>
      <c r="F452" s="13" t="n"/>
      <c r="G452" s="14" t="n"/>
      <c r="H452" s="14" t="n"/>
      <c r="I452" s="14" t="n"/>
      <c r="J452" s="14" t="n"/>
      <c r="K452" s="53" t="inlineStr"/>
      <c r="L452" s="53" t="inlineStr">
        <is>
          <t>Не определено</t>
        </is>
      </c>
      <c r="M452" s="53" t="inlineStr"/>
      <c r="N452" s="54" t="inlineStr"/>
      <c r="O452" s="55" t="inlineStr"/>
      <c r="P452" s="16" t="inlineStr">
        <is>
          <t>Требует обогащения</t>
        </is>
      </c>
      <c r="Q452" s="16">
        <f>HYPERLINK("https://pb.nalog.ru/search.html?query=5047094187","ФНС: проверить")</f>
        <v/>
      </c>
      <c r="R452" s="16">
        <f>HYPERLINK("https://checko.ru/search?query=3801001629","Чекко: проверить")</f>
        <v/>
      </c>
      <c r="S452" t="n">
        <v>1</v>
      </c>
      <c r="T452" s="35" t="inlineStr">
        <is>
          <t>4 — Не обогащён</t>
        </is>
      </c>
      <c r="U452" s="35" t="inlineStr">
        <is>
          <t>Нет ОКВЭД/ССЧР</t>
        </is>
      </c>
      <c r="V452" s="35" t="inlineStr">
        <is>
          <t>Не определено</t>
        </is>
      </c>
      <c r="W452" s="35" t="inlineStr"/>
      <c r="X452" s="35" t="inlineStr"/>
    </row>
    <row r="453" ht="41.25" customHeight="1" s="24">
      <c r="A453" s="13" t="n">
        <v>5000107132</v>
      </c>
      <c r="B453" s="13" t="inlineStr">
        <is>
          <t>Муниципальное автономное общеобразовательное учреждение "Образовательный центр "Старт"</t>
        </is>
      </c>
      <c r="C453" s="13" t="n">
        <v>5003158002</v>
      </c>
      <c r="D453" s="13" t="inlineStr">
        <is>
          <t>5003158002</t>
        </is>
      </c>
      <c r="E453" s="13" t="inlineStr">
        <is>
          <t>ЮЛ РФ</t>
        </is>
      </c>
      <c r="F453" s="13" t="n"/>
      <c r="G453" s="14" t="n"/>
      <c r="H453" s="14" t="n"/>
      <c r="I453" s="14" t="n"/>
      <c r="J453" s="14" t="n"/>
      <c r="K453" s="53" t="inlineStr"/>
      <c r="L453" s="53" t="inlineStr">
        <is>
          <t>Не определено</t>
        </is>
      </c>
      <c r="M453" s="53" t="inlineStr"/>
      <c r="N453" s="54" t="inlineStr"/>
      <c r="O453" s="55" t="inlineStr"/>
      <c r="P453" s="16" t="inlineStr">
        <is>
          <t>Требует обогащения</t>
        </is>
      </c>
      <c r="Q453" s="16">
        <f>HYPERLINK("https://pb.nalog.ru/search.html?query=5003158002","ФНС: проверить")</f>
        <v/>
      </c>
      <c r="R453" s="16">
        <f>HYPERLINK("https://checko.ru/search?query=3801001629","Чекко: проверить")</f>
        <v/>
      </c>
      <c r="S453" t="n">
        <v>1</v>
      </c>
      <c r="T453" s="35" t="inlineStr">
        <is>
          <t>4 — Не обогащён</t>
        </is>
      </c>
      <c r="U453" s="35" t="inlineStr">
        <is>
          <t>Нет ОКВЭД/ССЧР</t>
        </is>
      </c>
      <c r="V453" s="35" t="inlineStr">
        <is>
          <t>Не определено</t>
        </is>
      </c>
      <c r="W453" s="35" t="inlineStr"/>
      <c r="X453" s="35" t="inlineStr"/>
    </row>
    <row r="454" ht="41.25" customHeight="1" s="24">
      <c r="A454" s="13" t="n">
        <v>5000101514</v>
      </c>
      <c r="B454" s="13" t="inlineStr">
        <is>
          <t>Муниципальное бюджетное общеобразовательное учреждение "Лицей №3" им. Главного маршала авиации А. Е. Голованова</t>
        </is>
      </c>
      <c r="C454" s="13" t="n">
        <v>5027012411</v>
      </c>
      <c r="D454" s="13" t="inlineStr">
        <is>
          <t>5027012411</t>
        </is>
      </c>
      <c r="E454" s="13" t="inlineStr">
        <is>
          <t>ЮЛ РФ</t>
        </is>
      </c>
      <c r="F454" s="13" t="n"/>
      <c r="G454" s="14" t="n"/>
      <c r="H454" s="14" t="n"/>
      <c r="I454" s="14" t="n"/>
      <c r="J454" s="14" t="n"/>
      <c r="K454" s="53" t="inlineStr"/>
      <c r="L454" s="53" t="inlineStr">
        <is>
          <t>Не определено</t>
        </is>
      </c>
      <c r="M454" s="53" t="inlineStr"/>
      <c r="N454" s="54" t="inlineStr"/>
      <c r="O454" s="55" t="inlineStr"/>
      <c r="P454" s="16" t="inlineStr">
        <is>
          <t>Требует обогащения</t>
        </is>
      </c>
      <c r="Q454" s="16">
        <f>HYPERLINK("https://pb.nalog.ru/search.html?query=5027012411","ФНС: проверить")</f>
        <v/>
      </c>
      <c r="R454" s="16">
        <f>HYPERLINK("https://checko.ru/search?query=3801001629","Чекко: проверить")</f>
        <v/>
      </c>
      <c r="S454" t="n">
        <v>1</v>
      </c>
      <c r="T454" s="35" t="inlineStr">
        <is>
          <t>4 — Не обогащён</t>
        </is>
      </c>
      <c r="U454" s="35" t="inlineStr">
        <is>
          <t>Нет ОКВЭД/ССЧР</t>
        </is>
      </c>
      <c r="V454" s="35" t="inlineStr">
        <is>
          <t>Не определено</t>
        </is>
      </c>
      <c r="W454" s="35" t="inlineStr"/>
      <c r="X454" s="35" t="inlineStr"/>
    </row>
    <row r="455" ht="15" customHeight="1" s="24">
      <c r="A455" s="13" t="n">
        <v>5000116357</v>
      </c>
      <c r="B455" s="13" t="inlineStr">
        <is>
          <t>МБУК "ЦК пос.совхоза им.Ленина"</t>
        </is>
      </c>
      <c r="C455" s="13" t="n">
        <v>5003084618</v>
      </c>
      <c r="D455" s="13" t="inlineStr">
        <is>
          <t>5003084618</t>
        </is>
      </c>
      <c r="E455" s="13" t="inlineStr">
        <is>
          <t>ЮЛ РФ</t>
        </is>
      </c>
      <c r="F455" s="13" t="n"/>
      <c r="G455" s="14" t="n"/>
      <c r="H455" s="14" t="n"/>
      <c r="I455" s="14" t="n"/>
      <c r="J455" s="14" t="n"/>
      <c r="K455" s="53" t="inlineStr"/>
      <c r="L455" s="53" t="inlineStr">
        <is>
          <t>Не определено</t>
        </is>
      </c>
      <c r="M455" s="53" t="inlineStr"/>
      <c r="N455" s="54" t="inlineStr"/>
      <c r="O455" s="55" t="inlineStr"/>
      <c r="P455" s="16" t="inlineStr">
        <is>
          <t>Требует обогащения</t>
        </is>
      </c>
      <c r="Q455" s="16">
        <f>HYPERLINK("https://pb.nalog.ru/search.html?query=5003084618","ФНС: проверить")</f>
        <v/>
      </c>
      <c r="R455" s="16">
        <f>HYPERLINK("https://checko.ru/search?query=3801001629","Чекко: проверить")</f>
        <v/>
      </c>
      <c r="S455" t="n">
        <v>1</v>
      </c>
      <c r="T455" s="35" t="inlineStr">
        <is>
          <t>4 — Не обогащён</t>
        </is>
      </c>
      <c r="U455" s="35" t="inlineStr">
        <is>
          <t>Нет ОКВЭД/ССЧР</t>
        </is>
      </c>
      <c r="V455" s="35" t="inlineStr">
        <is>
          <t>Не определено</t>
        </is>
      </c>
      <c r="W455" s="35" t="inlineStr"/>
      <c r="X455" s="35" t="inlineStr"/>
    </row>
    <row r="456" ht="27.75" customHeight="1" s="24">
      <c r="A456" s="13" t="n">
        <v>5000021505</v>
      </c>
      <c r="B456" s="13" t="inlineStr">
        <is>
          <t>МБУ ГОРОДСКОГО ОКРУГА ХИМКИ МОСКОВСКОЙ ОБЛАСТИ "МАЛЫЙ БИЗНЕС ХИМКИ"</t>
        </is>
      </c>
      <c r="C456" s="13" t="n">
        <v>5047012498</v>
      </c>
      <c r="D456" s="13" t="inlineStr">
        <is>
          <t>5047012498</t>
        </is>
      </c>
      <c r="E456" s="13" t="inlineStr">
        <is>
          <t>ЮЛ РФ</t>
        </is>
      </c>
      <c r="F456" s="13" t="n"/>
      <c r="G456" s="14" t="n"/>
      <c r="H456" s="14" t="n"/>
      <c r="I456" s="14" t="n"/>
      <c r="J456" s="14" t="n"/>
      <c r="K456" s="53" t="inlineStr"/>
      <c r="L456" s="53" t="inlineStr">
        <is>
          <t>Не определено</t>
        </is>
      </c>
      <c r="M456" s="53" t="inlineStr"/>
      <c r="N456" s="54" t="inlineStr"/>
      <c r="O456" s="55" t="inlineStr"/>
      <c r="P456" s="16" t="inlineStr">
        <is>
          <t>Требует обогащения</t>
        </is>
      </c>
      <c r="Q456" s="16">
        <f>HYPERLINK("https://pb.nalog.ru/search.html?query=5047012498","ФНС: проверить")</f>
        <v/>
      </c>
      <c r="R456" s="16">
        <f>HYPERLINK("https://checko.ru/search?query=3801001629","Чекко: проверить")</f>
        <v/>
      </c>
      <c r="S456" t="n">
        <v>1</v>
      </c>
      <c r="T456" s="35" t="inlineStr">
        <is>
          <t>4 — Не обогащён</t>
        </is>
      </c>
      <c r="U456" s="35" t="inlineStr">
        <is>
          <t>Нет ОКВЭД/ССЧР</t>
        </is>
      </c>
      <c r="V456" s="35" t="inlineStr">
        <is>
          <t>Не определено</t>
        </is>
      </c>
      <c r="W456" s="35" t="inlineStr"/>
      <c r="X456" s="35" t="inlineStr"/>
    </row>
    <row r="457" ht="15" customHeight="1" s="24">
      <c r="A457" s="13" t="n">
        <v>5000041270</v>
      </c>
      <c r="B457" s="13" t="inlineStr">
        <is>
          <t>МОУ гимназия №18</t>
        </is>
      </c>
      <c r="C457" s="13" t="n">
        <v>5027021590</v>
      </c>
      <c r="D457" s="13" t="inlineStr">
        <is>
          <t>5027021590</t>
        </is>
      </c>
      <c r="E457" s="13" t="inlineStr">
        <is>
          <t>ЮЛ РФ</t>
        </is>
      </c>
      <c r="F457" s="13" t="n"/>
      <c r="G457" s="14" t="n"/>
      <c r="H457" s="14" t="n"/>
      <c r="I457" s="14" t="n"/>
      <c r="J457" s="14" t="n"/>
      <c r="K457" s="53" t="inlineStr"/>
      <c r="L457" s="53" t="inlineStr">
        <is>
          <t>Не определено</t>
        </is>
      </c>
      <c r="M457" s="53" t="inlineStr"/>
      <c r="N457" s="54" t="inlineStr"/>
      <c r="O457" s="55" t="inlineStr"/>
      <c r="P457" s="16" t="inlineStr">
        <is>
          <t>Требует обогащения</t>
        </is>
      </c>
      <c r="Q457" s="16">
        <f>HYPERLINK("https://pb.nalog.ru/search.html?query=5027021590","ФНС: проверить")</f>
        <v/>
      </c>
      <c r="R457" s="16">
        <f>HYPERLINK("https://checko.ru/search?query=3801001629","Чекко: проверить")</f>
        <v/>
      </c>
      <c r="S457" t="n">
        <v>1</v>
      </c>
      <c r="T457" s="35" t="inlineStr">
        <is>
          <t>4 — Не обогащён</t>
        </is>
      </c>
      <c r="U457" s="35" t="inlineStr">
        <is>
          <t>Нет ОКВЭД/ССЧР</t>
        </is>
      </c>
      <c r="V457" s="35" t="inlineStr">
        <is>
          <t>Не определено</t>
        </is>
      </c>
      <c r="W457" s="35" t="inlineStr"/>
      <c r="X457" s="35" t="inlineStr"/>
    </row>
    <row r="458" ht="15" customHeight="1" s="24">
      <c r="A458" s="13" t="n">
        <v>5000116043</v>
      </c>
      <c r="B458" s="13" t="inlineStr">
        <is>
          <t>Управление по Образованию Г.О. Бронницы</t>
        </is>
      </c>
      <c r="C458" s="13" t="n">
        <v>5002001023</v>
      </c>
      <c r="D458" s="13" t="inlineStr">
        <is>
          <t>5002001023</t>
        </is>
      </c>
      <c r="E458" s="13" t="inlineStr">
        <is>
          <t>ЮЛ РФ</t>
        </is>
      </c>
      <c r="F458" s="13" t="n"/>
      <c r="G458" s="14" t="n"/>
      <c r="H458" s="14" t="n"/>
      <c r="I458" s="14" t="n"/>
      <c r="J458" s="14" t="n"/>
      <c r="K458" s="53" t="inlineStr"/>
      <c r="L458" s="53" t="inlineStr">
        <is>
          <t>Не определено</t>
        </is>
      </c>
      <c r="M458" s="53" t="inlineStr"/>
      <c r="N458" s="54" t="inlineStr"/>
      <c r="O458" s="55" t="inlineStr"/>
      <c r="P458" s="16" t="inlineStr">
        <is>
          <t>Требует обогащения</t>
        </is>
      </c>
      <c r="Q458" s="16">
        <f>HYPERLINK("https://pb.nalog.ru/search.html?query=5002001023","ФНС: проверить")</f>
        <v/>
      </c>
      <c r="R458" s="16">
        <f>HYPERLINK("https://checko.ru/search?query=3801001629","Чекко: проверить")</f>
        <v/>
      </c>
      <c r="S458" t="n">
        <v>1</v>
      </c>
      <c r="T458" s="35" t="inlineStr">
        <is>
          <t>4 — Не обогащён</t>
        </is>
      </c>
      <c r="U458" s="35" t="inlineStr">
        <is>
          <t>Нет ОКВЭД/ССЧР</t>
        </is>
      </c>
      <c r="V458" s="35" t="inlineStr">
        <is>
          <t>Не определено</t>
        </is>
      </c>
      <c r="W458" s="35" t="inlineStr"/>
      <c r="X458" s="35" t="inlineStr"/>
    </row>
    <row r="459" ht="15" customHeight="1" s="24">
      <c r="A459" s="13" t="n">
        <v>5000116363</v>
      </c>
      <c r="B459" s="13" t="inlineStr">
        <is>
          <t>МБУ "ЦД Дроздово"</t>
        </is>
      </c>
      <c r="C459" s="13" t="n">
        <v>5003084350</v>
      </c>
      <c r="D459" s="13" t="inlineStr">
        <is>
          <t>5003084350</t>
        </is>
      </c>
      <c r="E459" s="13" t="inlineStr">
        <is>
          <t>ЮЛ РФ</t>
        </is>
      </c>
      <c r="F459" s="13" t="n"/>
      <c r="G459" s="14" t="n"/>
      <c r="H459" s="14" t="n"/>
      <c r="I459" s="14" t="n"/>
      <c r="J459" s="14" t="n"/>
      <c r="K459" s="53" t="inlineStr"/>
      <c r="L459" s="53" t="inlineStr">
        <is>
          <t>Не определено</t>
        </is>
      </c>
      <c r="M459" s="53" t="inlineStr"/>
      <c r="N459" s="54" t="inlineStr"/>
      <c r="O459" s="55" t="inlineStr"/>
      <c r="P459" s="16" t="inlineStr">
        <is>
          <t>Требует обогащения</t>
        </is>
      </c>
      <c r="Q459" s="16">
        <f>HYPERLINK("https://pb.nalog.ru/search.html?query=5003084350","ФНС: проверить")</f>
        <v/>
      </c>
      <c r="R459" s="16">
        <f>HYPERLINK("https://checko.ru/search?query=3801001629","Чекко: проверить")</f>
        <v/>
      </c>
      <c r="S459" t="n">
        <v>1</v>
      </c>
      <c r="T459" s="35" t="inlineStr">
        <is>
          <t>4 — Не обогащён</t>
        </is>
      </c>
      <c r="U459" s="35" t="inlineStr">
        <is>
          <t>Нет ОКВЭД/ССЧР</t>
        </is>
      </c>
      <c r="V459" s="35" t="inlineStr">
        <is>
          <t>Не определено</t>
        </is>
      </c>
      <c r="W459" s="35" t="inlineStr"/>
      <c r="X459" s="35" t="inlineStr"/>
    </row>
    <row r="460" ht="15" customHeight="1" s="24">
      <c r="A460" s="13" t="n">
        <v>5000116361</v>
      </c>
      <c r="B460" s="13" t="inlineStr">
        <is>
          <t>МБУ ДО СШОР "ОЛИМП"</t>
        </is>
      </c>
      <c r="C460" s="13" t="n">
        <v>5003021583</v>
      </c>
      <c r="D460" s="13" t="inlineStr">
        <is>
          <t>5003021583</t>
        </is>
      </c>
      <c r="E460" s="13" t="inlineStr">
        <is>
          <t>ЮЛ РФ</t>
        </is>
      </c>
      <c r="F460" s="13" t="n"/>
      <c r="G460" s="14" t="n"/>
      <c r="H460" s="14" t="n"/>
      <c r="I460" s="14" t="n"/>
      <c r="J460" s="14" t="n"/>
      <c r="K460" s="53" t="inlineStr"/>
      <c r="L460" s="53" t="inlineStr">
        <is>
          <t>Не определено</t>
        </is>
      </c>
      <c r="M460" s="53" t="inlineStr"/>
      <c r="N460" s="54" t="inlineStr"/>
      <c r="O460" s="55" t="inlineStr"/>
      <c r="P460" s="16" t="inlineStr">
        <is>
          <t>Требует обогащения</t>
        </is>
      </c>
      <c r="Q460" s="16">
        <f>HYPERLINK("https://pb.nalog.ru/search.html?query=5003021583","ФНС: проверить")</f>
        <v/>
      </c>
      <c r="R460" s="16">
        <f>HYPERLINK("https://checko.ru/search?query=3801001629","Чекко: проверить")</f>
        <v/>
      </c>
      <c r="S460" t="n">
        <v>1</v>
      </c>
      <c r="T460" s="35" t="inlineStr">
        <is>
          <t>4 — Не обогащён</t>
        </is>
      </c>
      <c r="U460" s="35" t="inlineStr">
        <is>
          <t>Нет ОКВЭД/ССЧР</t>
        </is>
      </c>
      <c r="V460" s="35" t="inlineStr">
        <is>
          <t>Не определено</t>
        </is>
      </c>
      <c r="W460" s="35" t="inlineStr"/>
      <c r="X460" s="35" t="inlineStr"/>
    </row>
    <row r="461" ht="15" customHeight="1" s="24">
      <c r="A461" s="13" t="n">
        <v>5000116359</v>
      </c>
      <c r="B461" s="13" t="inlineStr">
        <is>
          <t>МБУДО ДШИ "ВРЕМЕНА ГОДА"</t>
        </is>
      </c>
      <c r="C461" s="13" t="n">
        <v>5003041413</v>
      </c>
      <c r="D461" s="13" t="inlineStr">
        <is>
          <t>5003041413</t>
        </is>
      </c>
      <c r="E461" s="13" t="inlineStr">
        <is>
          <t>ЮЛ РФ</t>
        </is>
      </c>
      <c r="F461" s="13" t="n"/>
      <c r="G461" s="14" t="n"/>
      <c r="H461" s="14" t="n"/>
      <c r="I461" s="14" t="n"/>
      <c r="J461" s="14" t="n"/>
      <c r="K461" s="53" t="inlineStr"/>
      <c r="L461" s="53" t="inlineStr">
        <is>
          <t>Не определено</t>
        </is>
      </c>
      <c r="M461" s="53" t="inlineStr"/>
      <c r="N461" s="54" t="inlineStr"/>
      <c r="O461" s="55" t="inlineStr"/>
      <c r="P461" s="16" t="inlineStr">
        <is>
          <t>Требует обогащения</t>
        </is>
      </c>
      <c r="Q461" s="16">
        <f>HYPERLINK("https://pb.nalog.ru/search.html?query=5003041413","ФНС: проверить")</f>
        <v/>
      </c>
      <c r="R461" s="16">
        <f>HYPERLINK("https://checko.ru/search?query=3801001629","Чекко: проверить")</f>
        <v/>
      </c>
      <c r="S461" t="n">
        <v>1</v>
      </c>
      <c r="T461" s="35" t="inlineStr">
        <is>
          <t>4 — Не обогащён</t>
        </is>
      </c>
      <c r="U461" s="35" t="inlineStr">
        <is>
          <t>Нет ОКВЭД/ССЧР</t>
        </is>
      </c>
      <c r="V461" s="35" t="inlineStr">
        <is>
          <t>Не определено</t>
        </is>
      </c>
      <c r="W461" s="35" t="inlineStr"/>
      <c r="X461" s="35" t="inlineStr"/>
    </row>
    <row r="462" ht="15" customHeight="1" s="24">
      <c r="A462" s="13" t="n">
        <v>5000116358</v>
      </c>
      <c r="B462" s="13" t="inlineStr">
        <is>
          <t>МБУК "ЦБС"</t>
        </is>
      </c>
      <c r="C462" s="13" t="n">
        <v>5003030644</v>
      </c>
      <c r="D462" s="13" t="inlineStr">
        <is>
          <t>5003030644</t>
        </is>
      </c>
      <c r="E462" s="13" t="inlineStr">
        <is>
          <t>ЮЛ РФ</t>
        </is>
      </c>
      <c r="F462" s="13" t="n"/>
      <c r="G462" s="14" t="n"/>
      <c r="H462" s="14" t="n"/>
      <c r="I462" s="14" t="n"/>
      <c r="J462" s="14" t="n"/>
      <c r="K462" s="53" t="inlineStr"/>
      <c r="L462" s="53" t="inlineStr">
        <is>
          <t>Не определено</t>
        </is>
      </c>
      <c r="M462" s="53" t="inlineStr"/>
      <c r="N462" s="54" t="inlineStr"/>
      <c r="O462" s="55" t="inlineStr"/>
      <c r="P462" s="16" t="inlineStr">
        <is>
          <t>Требует обогащения</t>
        </is>
      </c>
      <c r="Q462" s="16">
        <f>HYPERLINK("https://pb.nalog.ru/search.html?query=5003030644","ФНС: проверить")</f>
        <v/>
      </c>
      <c r="R462" s="16">
        <f>HYPERLINK("https://checko.ru/search?query=3801001629","Чекко: проверить")</f>
        <v/>
      </c>
      <c r="S462" t="n">
        <v>1</v>
      </c>
      <c r="T462" s="35" t="inlineStr">
        <is>
          <t>4 — Не обогащён</t>
        </is>
      </c>
      <c r="U462" s="35" t="inlineStr">
        <is>
          <t>Нет ОКВЭД/ССЧР</t>
        </is>
      </c>
      <c r="V462" s="35" t="inlineStr">
        <is>
          <t>Не определено</t>
        </is>
      </c>
      <c r="W462" s="35" t="inlineStr"/>
      <c r="X462" s="35" t="inlineStr"/>
    </row>
    <row r="463" ht="15" customHeight="1" s="24">
      <c r="A463" s="13" t="n">
        <v>5000116356</v>
      </c>
      <c r="B463" s="13" t="inlineStr">
        <is>
          <t>МБУ "ДВОРЕЦ СПОРТА ВИДНОЕ"</t>
        </is>
      </c>
      <c r="C463" s="13" t="n">
        <v>5003062727</v>
      </c>
      <c r="D463" s="13" t="inlineStr">
        <is>
          <t>5003062727</t>
        </is>
      </c>
      <c r="E463" s="13" t="inlineStr">
        <is>
          <t>ЮЛ РФ</t>
        </is>
      </c>
      <c r="F463" s="13" t="n"/>
      <c r="G463" s="14" t="n"/>
      <c r="H463" s="14" t="n"/>
      <c r="I463" s="14" t="n"/>
      <c r="J463" s="14" t="n"/>
      <c r="K463" s="53" t="inlineStr"/>
      <c r="L463" s="53" t="inlineStr">
        <is>
          <t>Не определено</t>
        </is>
      </c>
      <c r="M463" s="53" t="inlineStr"/>
      <c r="N463" s="54" t="inlineStr"/>
      <c r="O463" s="55" t="inlineStr"/>
      <c r="P463" s="16" t="inlineStr">
        <is>
          <t>Требует обогащения</t>
        </is>
      </c>
      <c r="Q463" s="16">
        <f>HYPERLINK("https://pb.nalog.ru/search.html?query=5003062727","ФНС: проверить")</f>
        <v/>
      </c>
      <c r="R463" s="16">
        <f>HYPERLINK("https://checko.ru/search?query=3801001629","Чекко: проверить")</f>
        <v/>
      </c>
      <c r="S463" t="n">
        <v>1</v>
      </c>
      <c r="T463" s="35" t="inlineStr">
        <is>
          <t>4 — Не обогащён</t>
        </is>
      </c>
      <c r="U463" s="35" t="inlineStr">
        <is>
          <t>Нет ОКВЭД/ССЧР</t>
        </is>
      </c>
      <c r="V463" s="35" t="inlineStr">
        <is>
          <t>Не определено</t>
        </is>
      </c>
      <c r="W463" s="35" t="inlineStr"/>
      <c r="X463" s="35" t="inlineStr"/>
    </row>
    <row r="464" ht="27.75" customHeight="1" s="24">
      <c r="A464" s="13" t="n">
        <v>5000116355</v>
      </c>
      <c r="B464" s="13" t="inlineStr">
        <is>
          <t>УМКС АДМИНИСТРАЦИИ ЛЕНИНСКОГО ГО МОСКОВСКОЙ ОБЛАСТИ</t>
        </is>
      </c>
      <c r="C464" s="13" t="n">
        <v>5003064587</v>
      </c>
      <c r="D464" s="13" t="inlineStr">
        <is>
          <t>5003064587</t>
        </is>
      </c>
      <c r="E464" s="13" t="inlineStr">
        <is>
          <t>ЮЛ РФ</t>
        </is>
      </c>
      <c r="F464" s="13" t="n"/>
      <c r="G464" s="14" t="n"/>
      <c r="H464" s="14" t="n"/>
      <c r="I464" s="14" t="n"/>
      <c r="J464" s="14" t="n"/>
      <c r="K464" s="53" t="inlineStr"/>
      <c r="L464" s="53" t="inlineStr">
        <is>
          <t>Не определено</t>
        </is>
      </c>
      <c r="M464" s="53" t="inlineStr"/>
      <c r="N464" s="54" t="inlineStr"/>
      <c r="O464" s="55" t="inlineStr"/>
      <c r="P464" s="16" t="inlineStr">
        <is>
          <t>Требует обогащения</t>
        </is>
      </c>
      <c r="Q464" s="16">
        <f>HYPERLINK("https://pb.nalog.ru/search.html?query=5003064587","ФНС: проверить")</f>
        <v/>
      </c>
      <c r="R464" s="16">
        <f>HYPERLINK("https://checko.ru/search?query=3801001629","Чекко: проверить")</f>
        <v/>
      </c>
      <c r="S464" t="n">
        <v>1</v>
      </c>
      <c r="T464" s="35" t="inlineStr">
        <is>
          <t>4 — Не обогащён</t>
        </is>
      </c>
      <c r="U464" s="35" t="inlineStr">
        <is>
          <t>Нет ОКВЭД/ССЧР</t>
        </is>
      </c>
      <c r="V464" s="35" t="inlineStr">
        <is>
          <t>Не определено</t>
        </is>
      </c>
      <c r="W464" s="35" t="inlineStr"/>
      <c r="X464" s="35" t="inlineStr"/>
    </row>
    <row r="465" ht="54.75" customHeight="1" s="24">
      <c r="A465" s="13" t="n">
        <v>5000116385</v>
      </c>
      <c r="B465" s="13" t="inlineStr">
        <is>
          <t>Муниципальное казенное учреждение "Центр бухгалтерского и кадрового сопровождения муниципальной сферы благоустройства жилищно-коммунального и дорожног</t>
        </is>
      </c>
      <c r="C465" s="13" t="n">
        <v>5047249144</v>
      </c>
      <c r="D465" s="13" t="inlineStr">
        <is>
          <t>5047249144</t>
        </is>
      </c>
      <c r="E465" s="13" t="inlineStr">
        <is>
          <t>ЮЛ РФ</t>
        </is>
      </c>
      <c r="F465" s="13" t="n"/>
      <c r="G465" s="14" t="n"/>
      <c r="H465" s="14" t="n"/>
      <c r="I465" s="14" t="n"/>
      <c r="J465" s="14" t="n"/>
      <c r="K465" s="53" t="inlineStr"/>
      <c r="L465" s="53" t="inlineStr">
        <is>
          <t>Не определено</t>
        </is>
      </c>
      <c r="M465" s="53" t="inlineStr"/>
      <c r="N465" s="54" t="inlineStr"/>
      <c r="O465" s="55" t="inlineStr"/>
      <c r="P465" s="16" t="inlineStr">
        <is>
          <t>Требует обогащения</t>
        </is>
      </c>
      <c r="Q465" s="16">
        <f>HYPERLINK("https://pb.nalog.ru/search.html?query=5047249144","ФНС: проверить")</f>
        <v/>
      </c>
      <c r="R465" s="16">
        <f>HYPERLINK("https://checko.ru/search?query=3801001629","Чекко: проверить")</f>
        <v/>
      </c>
      <c r="S465" t="n">
        <v>1</v>
      </c>
      <c r="T465" s="35" t="inlineStr">
        <is>
          <t>4 — Не обогащён</t>
        </is>
      </c>
      <c r="U465" s="35" t="inlineStr">
        <is>
          <t>Нет ОКВЭД/ССЧР</t>
        </is>
      </c>
      <c r="V465" s="35" t="inlineStr">
        <is>
          <t>Не определено</t>
        </is>
      </c>
      <c r="W465" s="35" t="inlineStr"/>
      <c r="X465" s="35" t="inlineStr"/>
    </row>
    <row r="466" ht="41.25" customHeight="1" s="24">
      <c r="A466" s="13" t="n">
        <v>5000116387</v>
      </c>
      <c r="B466" s="13" t="inlineStr">
        <is>
          <t>Управление жилищно-коммунального хозяйства Администрации городского округа Химки Московской области</t>
        </is>
      </c>
      <c r="C466" s="13" t="n">
        <v>5047243583</v>
      </c>
      <c r="D466" s="13" t="inlineStr">
        <is>
          <t>5047243583</t>
        </is>
      </c>
      <c r="E466" s="13" t="inlineStr">
        <is>
          <t>ЮЛ РФ</t>
        </is>
      </c>
      <c r="F466" s="13" t="n"/>
      <c r="G466" s="14" t="n"/>
      <c r="H466" s="14" t="n"/>
      <c r="I466" s="14" t="n"/>
      <c r="J466" s="14" t="n"/>
      <c r="K466" s="53" t="inlineStr"/>
      <c r="L466" s="53" t="inlineStr">
        <is>
          <t>Не определено</t>
        </is>
      </c>
      <c r="M466" s="53" t="inlineStr"/>
      <c r="N466" s="54" t="inlineStr"/>
      <c r="O466" s="55" t="inlineStr"/>
      <c r="P466" s="16" t="inlineStr">
        <is>
          <t>Требует обогащения</t>
        </is>
      </c>
      <c r="Q466" s="16">
        <f>HYPERLINK("https://pb.nalog.ru/search.html?query=5047243583","ФНС: проверить")</f>
        <v/>
      </c>
      <c r="R466" s="16">
        <f>HYPERLINK("https://checko.ru/search?query=3801001629","Чекко: проверить")</f>
        <v/>
      </c>
      <c r="S466" t="n">
        <v>1</v>
      </c>
      <c r="T466" s="35" t="inlineStr">
        <is>
          <t>4 — Не обогащён</t>
        </is>
      </c>
      <c r="U466" s="35" t="inlineStr">
        <is>
          <t>Нет ОКВЭД/ССЧР</t>
        </is>
      </c>
      <c r="V466" s="35" t="inlineStr">
        <is>
          <t>Не определено</t>
        </is>
      </c>
      <c r="W466" s="35" t="inlineStr"/>
      <c r="X466" s="35" t="inlineStr"/>
    </row>
    <row r="467" ht="15" customHeight="1" s="24">
      <c r="A467" s="13" t="n">
        <v>5000116390</v>
      </c>
      <c r="B467" s="13" t="inlineStr">
        <is>
          <t>МАУ ДО "СШ СТ "НАДЕЖДА"</t>
        </is>
      </c>
      <c r="C467" s="13" t="n">
        <v>5047076491</v>
      </c>
      <c r="D467" s="13" t="inlineStr">
        <is>
          <t>5047076491</t>
        </is>
      </c>
      <c r="E467" s="13" t="inlineStr">
        <is>
          <t>ЮЛ РФ</t>
        </is>
      </c>
      <c r="F467" s="13" t="n"/>
      <c r="G467" s="14" t="n"/>
      <c r="H467" s="14" t="n"/>
      <c r="I467" s="14" t="n"/>
      <c r="J467" s="14" t="n"/>
      <c r="K467" s="53" t="inlineStr"/>
      <c r="L467" s="53" t="inlineStr">
        <is>
          <t>Не определено</t>
        </is>
      </c>
      <c r="M467" s="53" t="inlineStr"/>
      <c r="N467" s="54" t="inlineStr"/>
      <c r="O467" s="55" t="inlineStr"/>
      <c r="P467" s="16" t="inlineStr">
        <is>
          <t>Требует обогащения</t>
        </is>
      </c>
      <c r="Q467" s="16">
        <f>HYPERLINK("https://pb.nalog.ru/search.html?query=5047076491","ФНС: проверить")</f>
        <v/>
      </c>
      <c r="R467" s="16">
        <f>HYPERLINK("https://checko.ru/search?query=3801001629","Чекко: проверить")</f>
        <v/>
      </c>
      <c r="S467" t="n">
        <v>1</v>
      </c>
      <c r="T467" s="35" t="inlineStr">
        <is>
          <t>4 — Не обогащён</t>
        </is>
      </c>
      <c r="U467" s="35" t="inlineStr">
        <is>
          <t>Нет ОКВЭД/ССЧР</t>
        </is>
      </c>
      <c r="V467" s="35" t="inlineStr">
        <is>
          <t>Не определено</t>
        </is>
      </c>
      <c r="W467" s="35" t="inlineStr"/>
      <c r="X467" s="35" t="inlineStr"/>
    </row>
    <row r="468" ht="15" customHeight="1" s="24">
      <c r="A468" s="13" t="n">
        <v>5000116393</v>
      </c>
      <c r="B468" s="13" t="inlineStr">
        <is>
          <t>МАУ ДО "СПОРТИВНАЯ ШКОЛА "ЛУНЕВО"</t>
        </is>
      </c>
      <c r="C468" s="13" t="n">
        <v>5044060616</v>
      </c>
      <c r="D468" s="13" t="inlineStr">
        <is>
          <t>5044060616</t>
        </is>
      </c>
      <c r="E468" s="13" t="inlineStr">
        <is>
          <t>ЮЛ РФ</t>
        </is>
      </c>
      <c r="F468" s="13" t="n"/>
      <c r="G468" s="14" t="n"/>
      <c r="H468" s="14" t="n"/>
      <c r="I468" s="14" t="n"/>
      <c r="J468" s="14" t="n"/>
      <c r="K468" s="53" t="inlineStr"/>
      <c r="L468" s="53" t="inlineStr">
        <is>
          <t>Не определено</t>
        </is>
      </c>
      <c r="M468" s="53" t="inlineStr"/>
      <c r="N468" s="54" t="inlineStr"/>
      <c r="O468" s="55" t="inlineStr"/>
      <c r="P468" s="16" t="inlineStr">
        <is>
          <t>Требует обогащения</t>
        </is>
      </c>
      <c r="Q468" s="16">
        <f>HYPERLINK("https://pb.nalog.ru/search.html?query=5044060616","ФНС: проверить")</f>
        <v/>
      </c>
      <c r="R468" s="16">
        <f>HYPERLINK("https://checko.ru/search?query=3801001629","Чекко: проверить")</f>
        <v/>
      </c>
      <c r="S468" t="n">
        <v>1</v>
      </c>
      <c r="T468" s="35" t="inlineStr">
        <is>
          <t>4 — Не обогащён</t>
        </is>
      </c>
      <c r="U468" s="35" t="inlineStr">
        <is>
          <t>Нет ОКВЭД/ССЧР</t>
        </is>
      </c>
      <c r="V468" s="35" t="inlineStr">
        <is>
          <t>Не определено</t>
        </is>
      </c>
      <c r="W468" s="35" t="inlineStr"/>
      <c r="X468" s="35" t="inlineStr"/>
    </row>
    <row r="469" ht="15" customHeight="1" s="24">
      <c r="A469" s="13" t="n">
        <v>5000116395</v>
      </c>
      <c r="B469" s="13" t="inlineStr">
        <is>
          <t>МКУ "УМПИТР"</t>
        </is>
      </c>
      <c r="C469" s="13" t="n">
        <v>5047264150</v>
      </c>
      <c r="D469" s="13" t="inlineStr">
        <is>
          <t>5047264150</t>
        </is>
      </c>
      <c r="E469" s="13" t="inlineStr">
        <is>
          <t>ЮЛ РФ</t>
        </is>
      </c>
      <c r="F469" s="13" t="n"/>
      <c r="G469" s="14" t="n"/>
      <c r="H469" s="14" t="n"/>
      <c r="I469" s="14" t="n"/>
      <c r="J469" s="14" t="n"/>
      <c r="K469" s="53" t="inlineStr"/>
      <c r="L469" s="53" t="inlineStr">
        <is>
          <t>Не определено</t>
        </is>
      </c>
      <c r="M469" s="53" t="inlineStr"/>
      <c r="N469" s="54" t="inlineStr"/>
      <c r="O469" s="55" t="inlineStr"/>
      <c r="P469" s="16" t="inlineStr">
        <is>
          <t>Требует обогащения</t>
        </is>
      </c>
      <c r="Q469" s="16">
        <f>HYPERLINK("https://pb.nalog.ru/search.html?query=5047264150","ФНС: проверить")</f>
        <v/>
      </c>
      <c r="R469" s="16">
        <f>HYPERLINK("https://checko.ru/search?query=3801001629","Чекко: проверить")</f>
        <v/>
      </c>
      <c r="S469" t="n">
        <v>1</v>
      </c>
      <c r="T469" s="35" t="inlineStr">
        <is>
          <t>4 — Не обогащён</t>
        </is>
      </c>
      <c r="U469" s="35" t="inlineStr">
        <is>
          <t>Нет ОКВЭД/ССЧР</t>
        </is>
      </c>
      <c r="V469" s="35" t="inlineStr">
        <is>
          <t>Не определено</t>
        </is>
      </c>
      <c r="W469" s="35" t="inlineStr"/>
      <c r="X469" s="35" t="inlineStr"/>
    </row>
    <row r="470" ht="15" customHeight="1" s="24">
      <c r="A470" s="13" t="n">
        <v>5000116397</v>
      </c>
      <c r="B470" s="13" t="inlineStr">
        <is>
          <t>МБОУ  ШКОЛА "ТРИУМФ" Г. ХИМКИ</t>
        </is>
      </c>
      <c r="C470" s="13" t="n">
        <v>5047275810</v>
      </c>
      <c r="D470" s="13" t="inlineStr">
        <is>
          <t>5047275810</t>
        </is>
      </c>
      <c r="E470" s="13" t="inlineStr">
        <is>
          <t>ЮЛ РФ</t>
        </is>
      </c>
      <c r="F470" s="13" t="n"/>
      <c r="G470" s="14" t="n"/>
      <c r="H470" s="14" t="n"/>
      <c r="I470" s="14" t="n"/>
      <c r="J470" s="14" t="n"/>
      <c r="K470" s="53" t="inlineStr"/>
      <c r="L470" s="53" t="inlineStr">
        <is>
          <t>Не определено</t>
        </is>
      </c>
      <c r="M470" s="53" t="inlineStr"/>
      <c r="N470" s="54" t="inlineStr"/>
      <c r="O470" s="55" t="inlineStr"/>
      <c r="P470" s="16" t="inlineStr">
        <is>
          <t>Требует обогащения</t>
        </is>
      </c>
      <c r="Q470" s="16">
        <f>HYPERLINK("https://pb.nalog.ru/search.html?query=5047275810","ФНС: проверить")</f>
        <v/>
      </c>
      <c r="R470" s="16">
        <f>HYPERLINK("https://checko.ru/search?query=3801001629","Чекко: проверить")</f>
        <v/>
      </c>
      <c r="S470" t="n">
        <v>1</v>
      </c>
      <c r="T470" s="35" t="inlineStr">
        <is>
          <t>4 — Не обогащён</t>
        </is>
      </c>
      <c r="U470" s="35" t="inlineStr">
        <is>
          <t>Нет ОКВЭД/ССЧР</t>
        </is>
      </c>
      <c r="V470" s="35" t="inlineStr">
        <is>
          <t>Не определено</t>
        </is>
      </c>
      <c r="W470" s="35" t="inlineStr"/>
      <c r="X470" s="35" t="inlineStr"/>
    </row>
    <row r="471" ht="15" customHeight="1" s="24">
      <c r="A471" s="13" t="n">
        <v>5000116398</v>
      </c>
      <c r="B471" s="13" t="inlineStr">
        <is>
          <t>МБОУ "ТРИДЦАТЬ ПЕРВАЯ ШКОЛА" Г. ХИМКИ</t>
        </is>
      </c>
      <c r="C471" s="13" t="n">
        <v>5047275835</v>
      </c>
      <c r="D471" s="13" t="inlineStr">
        <is>
          <t>5047275835</t>
        </is>
      </c>
      <c r="E471" s="13" t="inlineStr">
        <is>
          <t>ЮЛ РФ</t>
        </is>
      </c>
      <c r="F471" s="13" t="n"/>
      <c r="G471" s="14" t="n"/>
      <c r="H471" s="14" t="n"/>
      <c r="I471" s="14" t="n"/>
      <c r="J471" s="14" t="n"/>
      <c r="K471" s="53" t="inlineStr"/>
      <c r="L471" s="53" t="inlineStr">
        <is>
          <t>Не определено</t>
        </is>
      </c>
      <c r="M471" s="53" t="inlineStr"/>
      <c r="N471" s="54" t="inlineStr"/>
      <c r="O471" s="55" t="inlineStr"/>
      <c r="P471" s="16" t="inlineStr">
        <is>
          <t>Требует обогащения</t>
        </is>
      </c>
      <c r="Q471" s="16">
        <f>HYPERLINK("https://pb.nalog.ru/search.html?query=5047275835","ФНС: проверить")</f>
        <v/>
      </c>
      <c r="R471" s="16">
        <f>HYPERLINK("https://checko.ru/search?query=3801001629","Чекко: проверить")</f>
        <v/>
      </c>
      <c r="S471" t="n">
        <v>1</v>
      </c>
      <c r="T471" s="35" t="inlineStr">
        <is>
          <t>4 — Не обогащён</t>
        </is>
      </c>
      <c r="U471" s="35" t="inlineStr">
        <is>
          <t>Нет ОКВЭД/ССЧР</t>
        </is>
      </c>
      <c r="V471" s="35" t="inlineStr">
        <is>
          <t>Не определено</t>
        </is>
      </c>
      <c r="W471" s="35" t="inlineStr"/>
      <c r="X471" s="35" t="inlineStr"/>
    </row>
    <row r="472" ht="15" customHeight="1" s="24">
      <c r="A472" s="13" t="n">
        <v>5000116399</v>
      </c>
      <c r="B472" s="13" t="inlineStr">
        <is>
          <t>МБОУ ЛИЦЕЙ № 15 Г. ХИМКИ</t>
        </is>
      </c>
      <c r="C472" s="13" t="n">
        <v>5047276081</v>
      </c>
      <c r="D472" s="13" t="inlineStr">
        <is>
          <t>5047276081</t>
        </is>
      </c>
      <c r="E472" s="13" t="inlineStr">
        <is>
          <t>ЮЛ РФ</t>
        </is>
      </c>
      <c r="F472" s="13" t="n"/>
      <c r="G472" s="14" t="n"/>
      <c r="H472" s="14" t="n"/>
      <c r="I472" s="14" t="n"/>
      <c r="J472" s="14" t="n"/>
      <c r="K472" s="53" t="inlineStr"/>
      <c r="L472" s="53" t="inlineStr">
        <is>
          <t>Не определено</t>
        </is>
      </c>
      <c r="M472" s="53" t="inlineStr"/>
      <c r="N472" s="54" t="inlineStr"/>
      <c r="O472" s="55" t="inlineStr"/>
      <c r="P472" s="16" t="inlineStr">
        <is>
          <t>Требует обогащения</t>
        </is>
      </c>
      <c r="Q472" s="16">
        <f>HYPERLINK("https://pb.nalog.ru/search.html?query=5047276081","ФНС: проверить")</f>
        <v/>
      </c>
      <c r="R472" s="16">
        <f>HYPERLINK("https://checko.ru/search?query=3801001629","Чекко: проверить")</f>
        <v/>
      </c>
      <c r="S472" t="n">
        <v>1</v>
      </c>
      <c r="T472" s="35" t="inlineStr">
        <is>
          <t>4 — Не обогащён</t>
        </is>
      </c>
      <c r="U472" s="35" t="inlineStr">
        <is>
          <t>Нет ОКВЭД/ССЧР</t>
        </is>
      </c>
      <c r="V472" s="35" t="inlineStr">
        <is>
          <t>Не определено</t>
        </is>
      </c>
      <c r="W472" s="35" t="inlineStr"/>
      <c r="X472" s="35" t="inlineStr"/>
    </row>
    <row r="473" ht="15" customHeight="1" s="24">
      <c r="A473" s="13" t="n">
        <v>5000116400</v>
      </c>
      <c r="B473" s="13" t="inlineStr">
        <is>
          <t>МБОУ СОШ "ЛИГА ПЕРВЫХ" Г.ХИМКИ</t>
        </is>
      </c>
      <c r="C473" s="13" t="n">
        <v>5047275659</v>
      </c>
      <c r="D473" s="13" t="inlineStr">
        <is>
          <t>5047275659</t>
        </is>
      </c>
      <c r="E473" s="13" t="inlineStr">
        <is>
          <t>ЮЛ РФ</t>
        </is>
      </c>
      <c r="F473" s="13" t="n"/>
      <c r="G473" s="14" t="n"/>
      <c r="H473" s="14" t="n"/>
      <c r="I473" s="14" t="n"/>
      <c r="J473" s="14" t="n"/>
      <c r="K473" s="53" t="inlineStr"/>
      <c r="L473" s="53" t="inlineStr">
        <is>
          <t>Не определено</t>
        </is>
      </c>
      <c r="M473" s="53" t="inlineStr"/>
      <c r="N473" s="54" t="inlineStr"/>
      <c r="O473" s="55" t="inlineStr"/>
      <c r="P473" s="16" t="inlineStr">
        <is>
          <t>Требует обогащения</t>
        </is>
      </c>
      <c r="Q473" s="16">
        <f>HYPERLINK("https://pb.nalog.ru/search.html?query=5047275659","ФНС: проверить")</f>
        <v/>
      </c>
      <c r="R473" s="16">
        <f>HYPERLINK("https://checko.ru/search?query=3801001629","Чекко: проверить")</f>
        <v/>
      </c>
      <c r="S473" t="n">
        <v>1</v>
      </c>
      <c r="T473" s="35" t="inlineStr">
        <is>
          <t>4 — Не обогащён</t>
        </is>
      </c>
      <c r="U473" s="35" t="inlineStr">
        <is>
          <t>Нет ОКВЭД/ССЧР</t>
        </is>
      </c>
      <c r="V473" s="35" t="inlineStr">
        <is>
          <t>Не определено</t>
        </is>
      </c>
      <c r="W473" s="35" t="inlineStr"/>
      <c r="X473" s="35" t="inlineStr"/>
    </row>
    <row r="474" ht="15" customHeight="1" s="24">
      <c r="A474" s="13" t="n">
        <v>5000116401</v>
      </c>
      <c r="B474" s="13" t="inlineStr">
        <is>
          <t>МБОУ СОШ "НАСЛЕДИЕ" Г. ХИМКИ</t>
        </is>
      </c>
      <c r="C474" s="13" t="n">
        <v>5047275803</v>
      </c>
      <c r="D474" s="13" t="inlineStr">
        <is>
          <t>5047275803</t>
        </is>
      </c>
      <c r="E474" s="13" t="inlineStr">
        <is>
          <t>ЮЛ РФ</t>
        </is>
      </c>
      <c r="F474" s="13" t="n"/>
      <c r="G474" s="14" t="n"/>
      <c r="H474" s="14" t="n"/>
      <c r="I474" s="14" t="n"/>
      <c r="J474" s="14" t="n"/>
      <c r="K474" s="53" t="inlineStr"/>
      <c r="L474" s="53" t="inlineStr">
        <is>
          <t>Не определено</t>
        </is>
      </c>
      <c r="M474" s="53" t="inlineStr"/>
      <c r="N474" s="54" t="inlineStr"/>
      <c r="O474" s="55" t="inlineStr"/>
      <c r="P474" s="16" t="inlineStr">
        <is>
          <t>Требует обогащения</t>
        </is>
      </c>
      <c r="Q474" s="16">
        <f>HYPERLINK("https://pb.nalog.ru/search.html?query=5047275803","ФНС: проверить")</f>
        <v/>
      </c>
      <c r="R474" s="16">
        <f>HYPERLINK("https://checko.ru/search?query=3801001629","Чекко: проверить")</f>
        <v/>
      </c>
      <c r="S474" t="n">
        <v>1</v>
      </c>
      <c r="T474" s="35" t="inlineStr">
        <is>
          <t>4 — Не обогащён</t>
        </is>
      </c>
      <c r="U474" s="35" t="inlineStr">
        <is>
          <t>Нет ОКВЭД/ССЧР</t>
        </is>
      </c>
      <c r="V474" s="35" t="inlineStr">
        <is>
          <t>Не определено</t>
        </is>
      </c>
      <c r="W474" s="35" t="inlineStr"/>
      <c r="X474" s="35" t="inlineStr"/>
    </row>
    <row r="475" ht="15" customHeight="1" s="24">
      <c r="A475" s="13" t="n">
        <v>5000116402</v>
      </c>
      <c r="B475" s="13" t="inlineStr">
        <is>
          <t>МБОУ СОШ "ФЛАГМАН" Г.ХИМКИ</t>
        </is>
      </c>
      <c r="C475" s="13" t="n">
        <v>5047275828</v>
      </c>
      <c r="D475" s="13" t="inlineStr">
        <is>
          <t>5047275828</t>
        </is>
      </c>
      <c r="E475" s="13" t="inlineStr">
        <is>
          <t>ЮЛ РФ</t>
        </is>
      </c>
      <c r="F475" s="13" t="n"/>
      <c r="G475" s="14" t="n"/>
      <c r="H475" s="14" t="n"/>
      <c r="I475" s="14" t="n"/>
      <c r="J475" s="14" t="n"/>
      <c r="K475" s="53" t="inlineStr"/>
      <c r="L475" s="53" t="inlineStr">
        <is>
          <t>Не определено</t>
        </is>
      </c>
      <c r="M475" s="53" t="inlineStr"/>
      <c r="N475" s="54" t="inlineStr"/>
      <c r="O475" s="55" t="inlineStr"/>
      <c r="P475" s="16" t="inlineStr">
        <is>
          <t>Требует обогащения</t>
        </is>
      </c>
      <c r="Q475" s="16">
        <f>HYPERLINK("https://pb.nalog.ru/search.html?query=5047275828","ФНС: проверить")</f>
        <v/>
      </c>
      <c r="R475" s="16">
        <f>HYPERLINK("https://checko.ru/search?query=3801001629","Чекко: проверить")</f>
        <v/>
      </c>
      <c r="S475" t="n">
        <v>1</v>
      </c>
      <c r="T475" s="35" t="inlineStr">
        <is>
          <t>4 — Не обогащён</t>
        </is>
      </c>
      <c r="U475" s="35" t="inlineStr">
        <is>
          <t>Нет ОКВЭД/ССЧР</t>
        </is>
      </c>
      <c r="V475" s="35" t="inlineStr">
        <is>
          <t>Не определено</t>
        </is>
      </c>
      <c r="W475" s="35" t="inlineStr"/>
      <c r="X475" s="35" t="inlineStr"/>
    </row>
    <row r="476" ht="15" customHeight="1" s="24">
      <c r="A476" s="13" t="n">
        <v>5000116403</v>
      </c>
      <c r="B476" s="13" t="inlineStr">
        <is>
          <t>МАОУ "ПЕРСПЕКТИВА" Г. ХИМКИ</t>
        </is>
      </c>
      <c r="C476" s="13" t="n">
        <v>5047275923</v>
      </c>
      <c r="D476" s="13" t="inlineStr">
        <is>
          <t>5047275923</t>
        </is>
      </c>
      <c r="E476" s="13" t="inlineStr">
        <is>
          <t>ЮЛ РФ</t>
        </is>
      </c>
      <c r="F476" s="13" t="n"/>
      <c r="G476" s="14" t="n"/>
      <c r="H476" s="14" t="n"/>
      <c r="I476" s="14" t="n"/>
      <c r="J476" s="14" t="n"/>
      <c r="K476" s="53" t="inlineStr"/>
      <c r="L476" s="53" t="inlineStr">
        <is>
          <t>Не определено</t>
        </is>
      </c>
      <c r="M476" s="53" t="inlineStr"/>
      <c r="N476" s="54" t="inlineStr"/>
      <c r="O476" s="55" t="inlineStr"/>
      <c r="P476" s="16" t="inlineStr">
        <is>
          <t>Требует обогащения</t>
        </is>
      </c>
      <c r="Q476" s="16">
        <f>HYPERLINK("https://pb.nalog.ru/search.html?query=5047275923","ФНС: проверить")</f>
        <v/>
      </c>
      <c r="R476" s="16">
        <f>HYPERLINK("https://checko.ru/search?query=3801001629","Чекко: проверить")</f>
        <v/>
      </c>
      <c r="S476" t="n">
        <v>1</v>
      </c>
      <c r="T476" s="35" t="inlineStr">
        <is>
          <t>4 — Не обогащён</t>
        </is>
      </c>
      <c r="U476" s="35" t="inlineStr">
        <is>
          <t>Нет ОКВЭД/ССЧР</t>
        </is>
      </c>
      <c r="V476" s="35" t="inlineStr">
        <is>
          <t>Не определено</t>
        </is>
      </c>
      <c r="W476" s="35" t="inlineStr"/>
      <c r="X476" s="35" t="inlineStr"/>
    </row>
    <row r="477" ht="15" customHeight="1" s="24">
      <c r="A477" s="13" t="n">
        <v>5000116404</v>
      </c>
      <c r="B477" s="13" t="inlineStr">
        <is>
          <t>МАОУ АКЛ Г. ХИМКИ</t>
        </is>
      </c>
      <c r="C477" s="13" t="n">
        <v>5047276109</v>
      </c>
      <c r="D477" s="13" t="inlineStr">
        <is>
          <t>5047276109</t>
        </is>
      </c>
      <c r="E477" s="13" t="inlineStr">
        <is>
          <t>ЮЛ РФ</t>
        </is>
      </c>
      <c r="F477" s="13" t="n"/>
      <c r="G477" s="14" t="n"/>
      <c r="H477" s="14" t="n"/>
      <c r="I477" s="14" t="n"/>
      <c r="J477" s="14" t="n"/>
      <c r="K477" s="53" t="inlineStr"/>
      <c r="L477" s="53" t="inlineStr">
        <is>
          <t>Не определено</t>
        </is>
      </c>
      <c r="M477" s="53" t="inlineStr"/>
      <c r="N477" s="54" t="inlineStr"/>
      <c r="O477" s="55" t="inlineStr"/>
      <c r="P477" s="16" t="inlineStr">
        <is>
          <t>Требует обогащения</t>
        </is>
      </c>
      <c r="Q477" s="16">
        <f>HYPERLINK("https://pb.nalog.ru/search.html?query=5047276109","ФНС: проверить")</f>
        <v/>
      </c>
      <c r="R477" s="16">
        <f>HYPERLINK("https://checko.ru/search?query=3801001629","Чекко: проверить")</f>
        <v/>
      </c>
      <c r="S477" t="n">
        <v>1</v>
      </c>
      <c r="T477" s="35" t="inlineStr">
        <is>
          <t>4 — Не обогащён</t>
        </is>
      </c>
      <c r="U477" s="35" t="inlineStr">
        <is>
          <t>Нет ОКВЭД/ССЧР</t>
        </is>
      </c>
      <c r="V477" s="35" t="inlineStr">
        <is>
          <t>Не определено</t>
        </is>
      </c>
      <c r="W477" s="35" t="inlineStr"/>
      <c r="X477" s="35" t="inlineStr"/>
    </row>
    <row r="478" ht="15" customHeight="1" s="24">
      <c r="A478" s="13" t="n">
        <v>5000116406</v>
      </c>
      <c r="B478" s="13" t="inlineStr">
        <is>
          <t>МАОУ ДОД ДДТ "Созвездие"</t>
        </is>
      </c>
      <c r="C478" s="13" t="n">
        <v>5047113880</v>
      </c>
      <c r="D478" s="13" t="inlineStr">
        <is>
          <t>5047113880</t>
        </is>
      </c>
      <c r="E478" s="13" t="inlineStr">
        <is>
          <t>ЮЛ РФ</t>
        </is>
      </c>
      <c r="F478" s="13" t="n"/>
      <c r="G478" s="14" t="n"/>
      <c r="H478" s="14" t="n"/>
      <c r="I478" s="14" t="n"/>
      <c r="J478" s="14" t="n"/>
      <c r="K478" s="53" t="inlineStr"/>
      <c r="L478" s="53" t="inlineStr">
        <is>
          <t>Не определено</t>
        </is>
      </c>
      <c r="M478" s="53" t="inlineStr"/>
      <c r="N478" s="54" t="inlineStr"/>
      <c r="O478" s="55" t="inlineStr"/>
      <c r="P478" s="16" t="inlineStr">
        <is>
          <t>Требует обогащения</t>
        </is>
      </c>
      <c r="Q478" s="16">
        <f>HYPERLINK("https://pb.nalog.ru/search.html?query=5047113880","ФНС: проверить")</f>
        <v/>
      </c>
      <c r="R478" s="16">
        <f>HYPERLINK("https://checko.ru/search?query=3801001629","Чекко: проверить")</f>
        <v/>
      </c>
      <c r="S478" t="n">
        <v>1</v>
      </c>
      <c r="T478" s="35" t="inlineStr">
        <is>
          <t>4 — Не обогащён</t>
        </is>
      </c>
      <c r="U478" s="35" t="inlineStr">
        <is>
          <t>Нет ОКВЭД/ССЧР</t>
        </is>
      </c>
      <c r="V478" s="35" t="inlineStr">
        <is>
          <t>Не определено</t>
        </is>
      </c>
      <c r="W478" s="35" t="inlineStr"/>
      <c r="X478" s="35" t="inlineStr"/>
    </row>
    <row r="479" ht="15" customHeight="1" s="24">
      <c r="A479" s="13" t="n">
        <v>5000116407</v>
      </c>
      <c r="B479" s="13" t="inlineStr">
        <is>
          <t>МБУ К "ЦИКД и СД"</t>
        </is>
      </c>
      <c r="C479" s="13" t="n">
        <v>5044068090</v>
      </c>
      <c r="D479" s="13" t="inlineStr">
        <is>
          <t>5044068090</t>
        </is>
      </c>
      <c r="E479" s="13" t="inlineStr">
        <is>
          <t>ЮЛ РФ</t>
        </is>
      </c>
      <c r="F479" s="13" t="n"/>
      <c r="G479" s="14" t="n"/>
      <c r="H479" s="14" t="n"/>
      <c r="I479" s="14" t="n"/>
      <c r="J479" s="14" t="n"/>
      <c r="K479" s="53" t="inlineStr"/>
      <c r="L479" s="53" t="inlineStr">
        <is>
          <t>Не определено</t>
        </is>
      </c>
      <c r="M479" s="53" t="inlineStr"/>
      <c r="N479" s="54" t="inlineStr"/>
      <c r="O479" s="55" t="inlineStr"/>
      <c r="P479" s="16" t="inlineStr">
        <is>
          <t>Требует обогащения</t>
        </is>
      </c>
      <c r="Q479" s="16">
        <f>HYPERLINK("https://pb.nalog.ru/search.html?query=5044068090","ФНС: проверить")</f>
        <v/>
      </c>
      <c r="R479" s="16">
        <f>HYPERLINK("https://checko.ru/search?query=3801001629","Чекко: проверить")</f>
        <v/>
      </c>
      <c r="S479" t="n">
        <v>1</v>
      </c>
      <c r="T479" s="35" t="inlineStr">
        <is>
          <t>4 — Не обогащён</t>
        </is>
      </c>
      <c r="U479" s="35" t="inlineStr">
        <is>
          <t>Нет ОКВЭД/ССЧР</t>
        </is>
      </c>
      <c r="V479" s="35" t="inlineStr">
        <is>
          <t>Не определено</t>
        </is>
      </c>
      <c r="W479" s="35" t="inlineStr"/>
      <c r="X479" s="35" t="inlineStr"/>
    </row>
    <row r="480" ht="41.25" customHeight="1" s="24">
      <c r="A480" s="13" t="n">
        <v>5000111537</v>
      </c>
      <c r="B480" s="13" t="inlineStr">
        <is>
          <t>Комитет по управлению имуществом Администрации городского округа Химки Московской области</t>
        </is>
      </c>
      <c r="C480" s="13" t="n">
        <v>5047010638</v>
      </c>
      <c r="D480" s="13" t="inlineStr">
        <is>
          <t>5047010638</t>
        </is>
      </c>
      <c r="E480" s="13" t="inlineStr">
        <is>
          <t>ЮЛ РФ</t>
        </is>
      </c>
      <c r="F480" s="13" t="n"/>
      <c r="G480" s="14" t="n"/>
      <c r="H480" s="14" t="n"/>
      <c r="I480" s="14" t="n"/>
      <c r="J480" s="14" t="n"/>
      <c r="K480" s="53" t="inlineStr"/>
      <c r="L480" s="53" t="inlineStr">
        <is>
          <t>Не определено</t>
        </is>
      </c>
      <c r="M480" s="53" t="inlineStr"/>
      <c r="N480" s="54" t="inlineStr"/>
      <c r="O480" s="55" t="inlineStr"/>
      <c r="P480" s="16" t="inlineStr">
        <is>
          <t>Требует обогащения</t>
        </is>
      </c>
      <c r="Q480" s="16">
        <f>HYPERLINK("https://pb.nalog.ru/search.html?query=5047010638","ФНС: проверить")</f>
        <v/>
      </c>
      <c r="R480" s="16">
        <f>HYPERLINK("https://checko.ru/search?query=3801001629","Чекко: проверить")</f>
        <v/>
      </c>
      <c r="S480" t="n">
        <v>1</v>
      </c>
      <c r="T480" s="35" t="inlineStr">
        <is>
          <t>4 — Не обогащён</t>
        </is>
      </c>
      <c r="U480" s="35" t="inlineStr">
        <is>
          <t>Нет ОКВЭД/ССЧР</t>
        </is>
      </c>
      <c r="V480" s="35" t="inlineStr">
        <is>
          <t>Не определено</t>
        </is>
      </c>
      <c r="W480" s="35" t="inlineStr"/>
      <c r="X480" s="35" t="inlineStr"/>
    </row>
    <row r="481" ht="41.25" customHeight="1" s="24">
      <c r="A481" s="13" t="n">
        <v>5000116340</v>
      </c>
      <c r="B481" s="13" t="inlineStr">
        <is>
          <t>МУНИЦИПАЛЬНОЕ УЧРЕЖДЕНИЕ "УПРАВЛЕНИЕ КАПИТАЛЬНОГО СТРОИТЕЛЬСТВА" ГОРОДСКОГО ОКРУГА ЛЮБЕРЦЫ МОСКОВСКОЙ ОБЛАСТИ</t>
        </is>
      </c>
      <c r="C481" s="13" t="n">
        <v>5027313426</v>
      </c>
      <c r="D481" s="13" t="inlineStr">
        <is>
          <t>5027313426</t>
        </is>
      </c>
      <c r="E481" s="13" t="inlineStr">
        <is>
          <t>ЮЛ РФ</t>
        </is>
      </c>
      <c r="F481" s="13" t="n"/>
      <c r="G481" s="14" t="n"/>
      <c r="H481" s="14" t="n"/>
      <c r="I481" s="14" t="n"/>
      <c r="J481" s="14" t="n"/>
      <c r="K481" s="53" t="inlineStr"/>
      <c r="L481" s="53" t="inlineStr">
        <is>
          <t>Не определено</t>
        </is>
      </c>
      <c r="M481" s="53" t="inlineStr"/>
      <c r="N481" s="54" t="inlineStr"/>
      <c r="O481" s="55" t="inlineStr"/>
      <c r="P481" s="16" t="inlineStr">
        <is>
          <t>Требует обогащения</t>
        </is>
      </c>
      <c r="Q481" s="16">
        <f>HYPERLINK("https://pb.nalog.ru/search.html?query=5027313426","ФНС: проверить")</f>
        <v/>
      </c>
      <c r="R481" s="16">
        <f>HYPERLINK("https://checko.ru/search?query=3801001629","Чекко: проверить")</f>
        <v/>
      </c>
      <c r="S481" t="n">
        <v>1</v>
      </c>
      <c r="T481" s="35" t="inlineStr">
        <is>
          <t>4 — Не обогащён</t>
        </is>
      </c>
      <c r="U481" s="35" t="inlineStr">
        <is>
          <t>Нет ОКВЭД/ССЧР</t>
        </is>
      </c>
      <c r="V481" s="35" t="inlineStr">
        <is>
          <t>Не определено</t>
        </is>
      </c>
      <c r="W481" s="35" t="inlineStr"/>
      <c r="X481" s="35" t="inlineStr"/>
    </row>
    <row r="482" ht="41.25" customHeight="1" s="24">
      <c r="A482" s="13" t="n">
        <v>5000116375</v>
      </c>
      <c r="B482" s="13" t="inlineStr">
        <is>
          <t>МУНИЦИПАЛЬНОЕ АВТОНОМНОЕ УЧРЕЖДЕНИЕ ДОПОЛНИТЕЛЬНОГО  ОБРАЗОВАНИЯ "ДЕТСКИЙ ОЗДОРОВИТЕЛЬНО-ОБРАЗОВАТЕЬ</t>
        </is>
      </c>
      <c r="C482" s="13" t="n">
        <v>5003030323</v>
      </c>
      <c r="D482" s="13" t="inlineStr">
        <is>
          <t>5003030323</t>
        </is>
      </c>
      <c r="E482" s="13" t="inlineStr">
        <is>
          <t>ЮЛ РФ</t>
        </is>
      </c>
      <c r="F482" s="13" t="n"/>
      <c r="G482" s="14" t="n"/>
      <c r="H482" s="14" t="n"/>
      <c r="I482" s="14" t="n"/>
      <c r="J482" s="14" t="n"/>
      <c r="K482" s="53" t="inlineStr"/>
      <c r="L482" s="53" t="inlineStr">
        <is>
          <t>Не определено</t>
        </is>
      </c>
      <c r="M482" s="53" t="inlineStr"/>
      <c r="N482" s="54" t="inlineStr"/>
      <c r="O482" s="55" t="inlineStr"/>
      <c r="P482" s="16" t="inlineStr">
        <is>
          <t>Требует обогащения</t>
        </is>
      </c>
      <c r="Q482" s="16">
        <f>HYPERLINK("https://pb.nalog.ru/search.html?query=5003030323","ФНС: проверить")</f>
        <v/>
      </c>
      <c r="R482" s="16">
        <f>HYPERLINK("https://checko.ru/search?query=3801001629","Чекко: проверить")</f>
        <v/>
      </c>
      <c r="S482" t="n">
        <v>1</v>
      </c>
      <c r="T482" s="35" t="inlineStr">
        <is>
          <t>4 — Не обогащён</t>
        </is>
      </c>
      <c r="U482" s="35" t="inlineStr">
        <is>
          <t>Нет ОКВЭД/ССЧР</t>
        </is>
      </c>
      <c r="V482" s="35" t="inlineStr">
        <is>
          <t>Не определено</t>
        </is>
      </c>
      <c r="W482" s="35" t="inlineStr"/>
      <c r="X482" s="35" t="inlineStr"/>
    </row>
    <row r="483" ht="27.75" customHeight="1" s="24">
      <c r="A483" s="13" t="n">
        <v>5000021499</v>
      </c>
      <c r="B483" s="13" t="inlineStr">
        <is>
          <t>Администрация городского округа Химки Московской области</t>
        </is>
      </c>
      <c r="C483" s="13" t="n">
        <v>5047009801</v>
      </c>
      <c r="D483" s="13" t="inlineStr">
        <is>
          <t>5047009801</t>
        </is>
      </c>
      <c r="E483" s="13" t="inlineStr">
        <is>
          <t>ЮЛ РФ</t>
        </is>
      </c>
      <c r="F483" s="13" t="n"/>
      <c r="G483" s="14" t="n"/>
      <c r="H483" s="14" t="n"/>
      <c r="I483" s="14" t="n"/>
      <c r="J483" s="14" t="n"/>
      <c r="K483" s="53" t="inlineStr"/>
      <c r="L483" s="53" t="inlineStr">
        <is>
          <t>Не определено</t>
        </is>
      </c>
      <c r="M483" s="53" t="inlineStr"/>
      <c r="N483" s="54" t="inlineStr"/>
      <c r="O483" s="55" t="inlineStr"/>
      <c r="P483" s="16" t="inlineStr">
        <is>
          <t>Требует обогащения</t>
        </is>
      </c>
      <c r="Q483" s="16">
        <f>HYPERLINK("https://pb.nalog.ru/search.html?query=5047009801","ФНС: проверить")</f>
        <v/>
      </c>
      <c r="R483" s="16">
        <f>HYPERLINK("https://checko.ru/search?query=3801001629","Чекко: проверить")</f>
        <v/>
      </c>
      <c r="S483" t="n">
        <v>1</v>
      </c>
      <c r="T483" s="35" t="inlineStr">
        <is>
          <t>4 — Не обогащён</t>
        </is>
      </c>
      <c r="U483" s="35" t="inlineStr">
        <is>
          <t>Нет ОКВЭД/ССЧР</t>
        </is>
      </c>
      <c r="V483" s="35" t="inlineStr">
        <is>
          <t>Не определено</t>
        </is>
      </c>
      <c r="W483" s="35" t="inlineStr"/>
      <c r="X483" s="35" t="inlineStr"/>
    </row>
    <row r="484" ht="41.25" customHeight="1" s="24">
      <c r="A484" s="13" t="n">
        <v>5000101512</v>
      </c>
      <c r="B484" s="13" t="inlineStr">
        <is>
          <t>Муниципальное бюджетное общеобразовательное учреждение "Гимназия № 5"</t>
        </is>
      </c>
      <c r="C484" s="13" t="n">
        <v>5027045329</v>
      </c>
      <c r="D484" s="13" t="inlineStr">
        <is>
          <t>5027045329</t>
        </is>
      </c>
      <c r="E484" s="13" t="inlineStr">
        <is>
          <t>ЮЛ РФ</t>
        </is>
      </c>
      <c r="F484" s="13" t="n"/>
      <c r="G484" s="14" t="n"/>
      <c r="H484" s="14" t="n"/>
      <c r="I484" s="14" t="n"/>
      <c r="J484" s="14" t="n"/>
      <c r="K484" s="53" t="inlineStr"/>
      <c r="L484" s="53" t="inlineStr">
        <is>
          <t>Не определено</t>
        </is>
      </c>
      <c r="M484" s="53" t="inlineStr"/>
      <c r="N484" s="54" t="inlineStr"/>
      <c r="O484" s="55" t="inlineStr"/>
      <c r="P484" s="16" t="inlineStr">
        <is>
          <t>Требует обогащения</t>
        </is>
      </c>
      <c r="Q484" s="16">
        <f>HYPERLINK("https://pb.nalog.ru/search.html?query=5027045329","ФНС: проверить")</f>
        <v/>
      </c>
      <c r="R484" s="16">
        <f>HYPERLINK("https://checko.ru/search?query=3801001629","Чекко: проверить")</f>
        <v/>
      </c>
      <c r="S484" t="n">
        <v>1</v>
      </c>
      <c r="T484" s="35" t="inlineStr">
        <is>
          <t>4 — Не обогащён</t>
        </is>
      </c>
      <c r="U484" s="35" t="inlineStr">
        <is>
          <t>Нет ОКВЭД/ССЧР</t>
        </is>
      </c>
      <c r="V484" s="35" t="inlineStr">
        <is>
          <t>Не определено</t>
        </is>
      </c>
      <c r="W484" s="35" t="inlineStr"/>
      <c r="X484" s="35" t="inlineStr"/>
    </row>
    <row r="485" ht="27.75" customHeight="1" s="24">
      <c r="A485" s="13" t="n">
        <v>5000074080</v>
      </c>
      <c r="B485" s="13" t="inlineStr">
        <is>
          <t>МОУ "Покровская  средняя общеобразовательная школа"</t>
        </is>
      </c>
      <c r="C485" s="13" t="n">
        <v>5017048296</v>
      </c>
      <c r="D485" s="13" t="inlineStr">
        <is>
          <t>5017048296</t>
        </is>
      </c>
      <c r="E485" s="13" t="inlineStr">
        <is>
          <t>ЮЛ РФ</t>
        </is>
      </c>
      <c r="F485" s="13" t="n"/>
      <c r="G485" s="14" t="n"/>
      <c r="H485" s="14" t="n"/>
      <c r="I485" s="14" t="n"/>
      <c r="J485" s="14" t="n"/>
      <c r="K485" s="53" t="inlineStr"/>
      <c r="L485" s="53" t="inlineStr">
        <is>
          <t>Не определено</t>
        </is>
      </c>
      <c r="M485" s="53" t="inlineStr"/>
      <c r="N485" s="54" t="inlineStr"/>
      <c r="O485" s="55" t="inlineStr"/>
      <c r="P485" s="16" t="inlineStr">
        <is>
          <t>Требует обогащения</t>
        </is>
      </c>
      <c r="Q485" s="16">
        <f>HYPERLINK("https://pb.nalog.ru/search.html?query=5017048296","ФНС: проверить")</f>
        <v/>
      </c>
      <c r="R485" s="16">
        <f>HYPERLINK("https://checko.ru/search?query=3801001629","Чекко: проверить")</f>
        <v/>
      </c>
      <c r="S485" t="n">
        <v>1</v>
      </c>
      <c r="T485" s="35" t="inlineStr">
        <is>
          <t>4 — Не обогащён</t>
        </is>
      </c>
      <c r="U485" s="35" t="inlineStr">
        <is>
          <t>Нет ОКВЭД/ССЧР</t>
        </is>
      </c>
      <c r="V485" s="35" t="inlineStr">
        <is>
          <t>Не определено</t>
        </is>
      </c>
      <c r="W485" s="35" t="inlineStr"/>
      <c r="X485" s="35" t="inlineStr"/>
    </row>
    <row r="486" ht="27.75" customHeight="1" s="24">
      <c r="A486" s="13" t="n">
        <v>5000074082</v>
      </c>
      <c r="B486" s="13" t="inlineStr">
        <is>
          <t>МОУ ДО "Центр развития творчества детей и юношества "Ровесник"</t>
        </is>
      </c>
      <c r="C486" s="13" t="n">
        <v>5017048426</v>
      </c>
      <c r="D486" s="13" t="inlineStr">
        <is>
          <t>5017048426</t>
        </is>
      </c>
      <c r="E486" s="13" t="inlineStr">
        <is>
          <t>ЮЛ РФ</t>
        </is>
      </c>
      <c r="F486" s="13" t="n"/>
      <c r="G486" s="14" t="n"/>
      <c r="H486" s="14" t="n"/>
      <c r="I486" s="14" t="n"/>
      <c r="J486" s="14" t="n"/>
      <c r="K486" s="53" t="inlineStr"/>
      <c r="L486" s="53" t="inlineStr">
        <is>
          <t>Не определено</t>
        </is>
      </c>
      <c r="M486" s="53" t="inlineStr"/>
      <c r="N486" s="54" t="inlineStr"/>
      <c r="O486" s="55" t="inlineStr"/>
      <c r="P486" s="16" t="inlineStr">
        <is>
          <t>Требует обогащения</t>
        </is>
      </c>
      <c r="Q486" s="16">
        <f>HYPERLINK("https://pb.nalog.ru/search.html?query=5017048426","ФНС: проверить")</f>
        <v/>
      </c>
      <c r="R486" s="16">
        <f>HYPERLINK("https://checko.ru/search?query=3801001629","Чекко: проверить")</f>
        <v/>
      </c>
      <c r="S486" t="n">
        <v>1</v>
      </c>
      <c r="T486" s="35" t="inlineStr">
        <is>
          <t>4 — Не обогащён</t>
        </is>
      </c>
      <c r="U486" s="35" t="inlineStr">
        <is>
          <t>Нет ОКВЭД/ССЧР</t>
        </is>
      </c>
      <c r="V486" s="35" t="inlineStr">
        <is>
          <t>Не определено</t>
        </is>
      </c>
      <c r="W486" s="35" t="inlineStr"/>
      <c r="X486" s="35" t="inlineStr"/>
    </row>
    <row r="487" ht="27.75" customHeight="1" s="24">
      <c r="A487" s="13" t="n">
        <v>5000074084</v>
      </c>
      <c r="B487" s="13" t="inlineStr">
        <is>
          <t>МОУ ДО "Центр детского и юношеского туризма и краеведения"</t>
        </is>
      </c>
      <c r="C487" s="13" t="n">
        <v>5017033370</v>
      </c>
      <c r="D487" s="13" t="inlineStr">
        <is>
          <t>5017033370</t>
        </is>
      </c>
      <c r="E487" s="13" t="inlineStr">
        <is>
          <t>ЮЛ РФ</t>
        </is>
      </c>
      <c r="F487" s="13" t="n"/>
      <c r="G487" s="14" t="n"/>
      <c r="H487" s="14" t="n"/>
      <c r="I487" s="14" t="n"/>
      <c r="J487" s="14" t="n"/>
      <c r="K487" s="53" t="inlineStr"/>
      <c r="L487" s="53" t="inlineStr">
        <is>
          <t>Не определено</t>
        </is>
      </c>
      <c r="M487" s="53" t="inlineStr"/>
      <c r="N487" s="54" t="inlineStr"/>
      <c r="O487" s="55" t="inlineStr"/>
      <c r="P487" s="16" t="inlineStr">
        <is>
          <t>Требует обогащения</t>
        </is>
      </c>
      <c r="Q487" s="16">
        <f>HYPERLINK("https://pb.nalog.ru/search.html?query=5017033370","ФНС: проверить")</f>
        <v/>
      </c>
      <c r="R487" s="16">
        <f>HYPERLINK("https://checko.ru/search?query=3801001629","Чекко: проверить")</f>
        <v/>
      </c>
      <c r="S487" t="n">
        <v>1</v>
      </c>
      <c r="T487" s="35" t="inlineStr">
        <is>
          <t>4 — Не обогащён</t>
        </is>
      </c>
      <c r="U487" s="35" t="inlineStr">
        <is>
          <t>Нет ОКВЭД/ССЧР</t>
        </is>
      </c>
      <c r="V487" s="35" t="inlineStr">
        <is>
          <t>Не определено</t>
        </is>
      </c>
      <c r="W487" s="35" t="inlineStr"/>
      <c r="X487" s="35" t="inlineStr"/>
    </row>
    <row r="488" ht="15" customHeight="1" s="24">
      <c r="A488" s="13" t="n">
        <v>5000074085</v>
      </c>
      <c r="B488" s="13" t="inlineStr">
        <is>
          <t>МОУ "Учебно-методический центр"</t>
        </is>
      </c>
      <c r="C488" s="13" t="n">
        <v>5017071256</v>
      </c>
      <c r="D488" s="13" t="inlineStr">
        <is>
          <t>5017071256</t>
        </is>
      </c>
      <c r="E488" s="13" t="inlineStr">
        <is>
          <t>ЮЛ РФ</t>
        </is>
      </c>
      <c r="F488" s="13" t="n"/>
      <c r="G488" s="14" t="n"/>
      <c r="H488" s="14" t="n"/>
      <c r="I488" s="14" t="n"/>
      <c r="J488" s="14" t="n"/>
      <c r="K488" s="53" t="inlineStr"/>
      <c r="L488" s="53" t="inlineStr">
        <is>
          <t>Не определено</t>
        </is>
      </c>
      <c r="M488" s="53" t="inlineStr"/>
      <c r="N488" s="54" t="inlineStr"/>
      <c r="O488" s="55" t="inlineStr"/>
      <c r="P488" s="16" t="inlineStr">
        <is>
          <t>Требует обогащения</t>
        </is>
      </c>
      <c r="Q488" s="16">
        <f>HYPERLINK("https://pb.nalog.ru/search.html?query=5017071256","ФНС: проверить")</f>
        <v/>
      </c>
      <c r="R488" s="16">
        <f>HYPERLINK("https://checko.ru/search?query=3801001629","Чекко: проверить")</f>
        <v/>
      </c>
      <c r="S488" t="n">
        <v>1</v>
      </c>
      <c r="T488" s="35" t="inlineStr">
        <is>
          <t>4 — Не обогащён</t>
        </is>
      </c>
      <c r="U488" s="35" t="inlineStr">
        <is>
          <t>Нет ОКВЭД/ССЧР</t>
        </is>
      </c>
      <c r="V488" s="35" t="inlineStr">
        <is>
          <t>Не определено</t>
        </is>
      </c>
      <c r="W488" s="35" t="inlineStr"/>
      <c r="X488" s="35" t="inlineStr"/>
    </row>
    <row r="489" ht="15" customHeight="1" s="24">
      <c r="A489" s="13" t="n">
        <v>5000074088</v>
      </c>
      <c r="B489" s="13" t="inlineStr">
        <is>
          <t>МОУ ДО "Истринская детская музыкальная школа"</t>
        </is>
      </c>
      <c r="C489" s="13" t="n">
        <v>5017045834</v>
      </c>
      <c r="D489" s="13" t="inlineStr">
        <is>
          <t>5017045834</t>
        </is>
      </c>
      <c r="E489" s="13" t="inlineStr">
        <is>
          <t>ЮЛ РФ</t>
        </is>
      </c>
      <c r="F489" s="13" t="n"/>
      <c r="G489" s="14" t="n"/>
      <c r="H489" s="14" t="n"/>
      <c r="I489" s="14" t="n"/>
      <c r="J489" s="14" t="n"/>
      <c r="K489" s="53" t="inlineStr"/>
      <c r="L489" s="53" t="inlineStr">
        <is>
          <t>Не определено</t>
        </is>
      </c>
      <c r="M489" s="53" t="inlineStr"/>
      <c r="N489" s="54" t="inlineStr"/>
      <c r="O489" s="55" t="inlineStr"/>
      <c r="P489" s="16" t="inlineStr">
        <is>
          <t>Требует обогащения</t>
        </is>
      </c>
      <c r="Q489" s="16">
        <f>HYPERLINK("https://pb.nalog.ru/search.html?query=5017045834","ФНС: проверить")</f>
        <v/>
      </c>
      <c r="R489" s="16">
        <f>HYPERLINK("https://checko.ru/search?query=3801001629","Чекко: проверить")</f>
        <v/>
      </c>
      <c r="S489" t="n">
        <v>1</v>
      </c>
      <c r="T489" s="35" t="inlineStr">
        <is>
          <t>4 — Не обогащён</t>
        </is>
      </c>
      <c r="U489" s="35" t="inlineStr">
        <is>
          <t>Нет ОКВЭД/ССЧР</t>
        </is>
      </c>
      <c r="V489" s="35" t="inlineStr">
        <is>
          <t>Не определено</t>
        </is>
      </c>
      <c r="W489" s="35" t="inlineStr"/>
      <c r="X489" s="35" t="inlineStr"/>
    </row>
    <row r="490" ht="15" customHeight="1" s="24">
      <c r="A490" s="13" t="n">
        <v>5000074092</v>
      </c>
      <c r="B490" s="13" t="inlineStr">
        <is>
          <t>МАУК "Дирекция парков"</t>
        </is>
      </c>
      <c r="C490" s="13" t="n">
        <v>5017113611</v>
      </c>
      <c r="D490" s="13" t="inlineStr">
        <is>
          <t>5017113611</t>
        </is>
      </c>
      <c r="E490" s="13" t="inlineStr">
        <is>
          <t>ЮЛ РФ</t>
        </is>
      </c>
      <c r="F490" s="13" t="n"/>
      <c r="G490" s="14" t="n"/>
      <c r="H490" s="14" t="n"/>
      <c r="I490" s="14" t="n"/>
      <c r="J490" s="14" t="n"/>
      <c r="K490" s="53" t="inlineStr"/>
      <c r="L490" s="53" t="inlineStr">
        <is>
          <t>Не определено</t>
        </is>
      </c>
      <c r="M490" s="53" t="inlineStr"/>
      <c r="N490" s="54" t="inlineStr"/>
      <c r="O490" s="55" t="inlineStr"/>
      <c r="P490" s="16" t="inlineStr">
        <is>
          <t>Требует обогащения</t>
        </is>
      </c>
      <c r="Q490" s="16">
        <f>HYPERLINK("https://pb.nalog.ru/search.html?query=5017113611","ФНС: проверить")</f>
        <v/>
      </c>
      <c r="R490" s="16">
        <f>HYPERLINK("https://checko.ru/search?query=3801001629","Чекко: проверить")</f>
        <v/>
      </c>
      <c r="S490" t="n">
        <v>1</v>
      </c>
      <c r="T490" s="35" t="inlineStr">
        <is>
          <t>4 — Не обогащён</t>
        </is>
      </c>
      <c r="U490" s="35" t="inlineStr">
        <is>
          <t>Нет ОКВЭД/ССЧР</t>
        </is>
      </c>
      <c r="V490" s="35" t="inlineStr">
        <is>
          <t>Не определено</t>
        </is>
      </c>
      <c r="W490" s="35" t="inlineStr"/>
      <c r="X490" s="35" t="inlineStr"/>
    </row>
    <row r="491" ht="27.75" customHeight="1" s="24">
      <c r="A491" s="13" t="n">
        <v>5000074094</v>
      </c>
      <c r="B491" s="13" t="inlineStr">
        <is>
          <t>МУК "Истринская централизованная библиотечная система"</t>
        </is>
      </c>
      <c r="C491" s="13" t="n">
        <v>5017069377</v>
      </c>
      <c r="D491" s="13" t="inlineStr">
        <is>
          <t>5017069377</t>
        </is>
      </c>
      <c r="E491" s="13" t="inlineStr">
        <is>
          <t>ЮЛ РФ</t>
        </is>
      </c>
      <c r="F491" s="13" t="n"/>
      <c r="G491" s="14" t="n"/>
      <c r="H491" s="14" t="n"/>
      <c r="I491" s="14" t="n"/>
      <c r="J491" s="14" t="n"/>
      <c r="K491" s="53" t="inlineStr"/>
      <c r="L491" s="53" t="inlineStr">
        <is>
          <t>Не определено</t>
        </is>
      </c>
      <c r="M491" s="53" t="inlineStr"/>
      <c r="N491" s="54" t="inlineStr"/>
      <c r="O491" s="55" t="inlineStr"/>
      <c r="P491" s="16" t="inlineStr">
        <is>
          <t>Требует обогащения</t>
        </is>
      </c>
      <c r="Q491" s="16">
        <f>HYPERLINK("https://pb.nalog.ru/search.html?query=5017069377","ФНС: проверить")</f>
        <v/>
      </c>
      <c r="R491" s="16">
        <f>HYPERLINK("https://checko.ru/search?query=3801001629","Чекко: проверить")</f>
        <v/>
      </c>
      <c r="S491" t="n">
        <v>1</v>
      </c>
      <c r="T491" s="35" t="inlineStr">
        <is>
          <t>4 — Не обогащён</t>
        </is>
      </c>
      <c r="U491" s="35" t="inlineStr">
        <is>
          <t>Нет ОКВЭД/ССЧР</t>
        </is>
      </c>
      <c r="V491" s="35" t="inlineStr">
        <is>
          <t>Не определено</t>
        </is>
      </c>
      <c r="W491" s="35" t="inlineStr"/>
      <c r="X491" s="35" t="inlineStr"/>
    </row>
    <row r="492" ht="15" customHeight="1" s="24">
      <c r="A492" s="13" t="n">
        <v>5000058617</v>
      </c>
      <c r="B492" s="13" t="inlineStr">
        <is>
          <t>МКУК "Осташевский культурно-досуговый центр"</t>
        </is>
      </c>
      <c r="C492" s="13" t="n">
        <v>5004028990</v>
      </c>
      <c r="D492" s="13" t="inlineStr">
        <is>
          <t>5004028990</t>
        </is>
      </c>
      <c r="E492" s="13" t="inlineStr">
        <is>
          <t>ЮЛ РФ</t>
        </is>
      </c>
      <c r="F492" s="13" t="n"/>
      <c r="G492" s="14" t="n"/>
      <c r="H492" s="14" t="n"/>
      <c r="I492" s="14" t="n"/>
      <c r="J492" s="14" t="n"/>
      <c r="K492" s="53" t="inlineStr"/>
      <c r="L492" s="53" t="inlineStr">
        <is>
          <t>Не определено</t>
        </is>
      </c>
      <c r="M492" s="53" t="inlineStr"/>
      <c r="N492" s="54" t="inlineStr"/>
      <c r="O492" s="55" t="inlineStr"/>
      <c r="P492" s="16" t="inlineStr">
        <is>
          <t>Требует обогащения</t>
        </is>
      </c>
      <c r="Q492" s="16">
        <f>HYPERLINK("https://pb.nalog.ru/search.html?query=5004028990","ФНС: проверить")</f>
        <v/>
      </c>
      <c r="R492" s="16">
        <f>HYPERLINK("https://checko.ru/search?query=3801001629","Чекко: проверить")</f>
        <v/>
      </c>
      <c r="S492" t="n">
        <v>1</v>
      </c>
      <c r="T492" s="35" t="inlineStr">
        <is>
          <t>4 — Не обогащён</t>
        </is>
      </c>
      <c r="U492" s="35" t="inlineStr">
        <is>
          <t>Нет ОКВЭД/ССЧР</t>
        </is>
      </c>
      <c r="V492" s="35" t="inlineStr">
        <is>
          <t>Не определено</t>
        </is>
      </c>
      <c r="W492" s="35" t="inlineStr"/>
      <c r="X492" s="35" t="inlineStr"/>
    </row>
    <row r="493" ht="41.25" customHeight="1" s="24">
      <c r="A493" s="13" t="n">
        <v>5000107130</v>
      </c>
      <c r="B493" s="13" t="inlineStr">
        <is>
          <t>Муниципальное автономное общеобразовательное учреждение "Образовательный центр  "Успех"</t>
        </is>
      </c>
      <c r="C493" s="13" t="n">
        <v>5003157993</v>
      </c>
      <c r="D493" s="13" t="inlineStr">
        <is>
          <t>5003157993</t>
        </is>
      </c>
      <c r="E493" s="13" t="inlineStr">
        <is>
          <t>ЮЛ РФ</t>
        </is>
      </c>
      <c r="F493" s="13" t="n"/>
      <c r="G493" s="14" t="n"/>
      <c r="H493" s="14" t="n"/>
      <c r="I493" s="14" t="n"/>
      <c r="J493" s="14" t="n"/>
      <c r="K493" s="53" t="inlineStr"/>
      <c r="L493" s="53" t="inlineStr">
        <is>
          <t>Не определено</t>
        </is>
      </c>
      <c r="M493" s="53" t="inlineStr"/>
      <c r="N493" s="54" t="inlineStr"/>
      <c r="O493" s="55" t="inlineStr"/>
      <c r="P493" s="16" t="inlineStr">
        <is>
          <t>Требует обогащения</t>
        </is>
      </c>
      <c r="Q493" s="16">
        <f>HYPERLINK("https://pb.nalog.ru/search.html?query=5003157993","ФНС: проверить")</f>
        <v/>
      </c>
      <c r="R493" s="16">
        <f>HYPERLINK("https://checko.ru/search?query=3801001629","Чекко: проверить")</f>
        <v/>
      </c>
      <c r="S493" t="n">
        <v>1</v>
      </c>
      <c r="T493" s="35" t="inlineStr">
        <is>
          <t>4 — Не обогащён</t>
        </is>
      </c>
      <c r="U493" s="35" t="inlineStr">
        <is>
          <t>Нет ОКВЭД/ССЧР</t>
        </is>
      </c>
      <c r="V493" s="35" t="inlineStr">
        <is>
          <t>Не определено</t>
        </is>
      </c>
      <c r="W493" s="35" t="inlineStr"/>
      <c r="X493" s="35" t="inlineStr"/>
    </row>
    <row r="494" ht="15" customHeight="1" s="24">
      <c r="A494" s="13" t="n">
        <v>5000120869</v>
      </c>
      <c r="B494" s="13" t="inlineStr">
        <is>
          <t>МКУ "ЦОД"</t>
        </is>
      </c>
      <c r="C494" s="13" t="n">
        <v>5003136979</v>
      </c>
      <c r="D494" s="13" t="inlineStr">
        <is>
          <t>5003136979</t>
        </is>
      </c>
      <c r="E494" s="13" t="inlineStr">
        <is>
          <t>ЮЛ РФ</t>
        </is>
      </c>
      <c r="F494" s="13" t="n"/>
      <c r="G494" s="14" t="n"/>
      <c r="H494" s="14" t="n"/>
      <c r="I494" s="14" t="n"/>
      <c r="J494" s="14" t="n"/>
      <c r="K494" s="53" t="inlineStr"/>
      <c r="L494" s="53" t="inlineStr">
        <is>
          <t>Не определено</t>
        </is>
      </c>
      <c r="M494" s="53" t="inlineStr"/>
      <c r="N494" s="54" t="inlineStr"/>
      <c r="O494" s="55" t="inlineStr"/>
      <c r="P494" s="16" t="inlineStr">
        <is>
          <t>Требует обогащения</t>
        </is>
      </c>
      <c r="Q494" s="16">
        <f>HYPERLINK("https://pb.nalog.ru/search.html?query=5003136979","ФНС: проверить")</f>
        <v/>
      </c>
      <c r="R494" s="16">
        <f>HYPERLINK("https://checko.ru/search?query=3801001629","Чекко: проверить")</f>
        <v/>
      </c>
      <c r="S494" t="n">
        <v>1</v>
      </c>
      <c r="T494" s="35" t="inlineStr">
        <is>
          <t>4 — Не обогащён</t>
        </is>
      </c>
      <c r="U494" s="35" t="inlineStr">
        <is>
          <t>Нет ОКВЭД/ССЧР</t>
        </is>
      </c>
      <c r="V494" s="35" t="inlineStr">
        <is>
          <t>Не определено</t>
        </is>
      </c>
      <c r="W494" s="35" t="inlineStr"/>
      <c r="X494" s="35" t="inlineStr"/>
    </row>
    <row r="495" ht="15" customHeight="1" s="24">
      <c r="A495" s="13" t="n">
        <v>5000118894</v>
      </c>
      <c r="B495" s="13" t="inlineStr">
        <is>
          <t>МБУ "БЛАГОУСТРОЙСТВО"</t>
        </is>
      </c>
      <c r="C495" s="13" t="n">
        <v>5003151790</v>
      </c>
      <c r="D495" s="13" t="inlineStr">
        <is>
          <t>5003151790</t>
        </is>
      </c>
      <c r="E495" s="13" t="inlineStr">
        <is>
          <t>ЮЛ РФ</t>
        </is>
      </c>
      <c r="F495" s="13" t="n"/>
      <c r="G495" s="14" t="n"/>
      <c r="H495" s="14" t="n"/>
      <c r="I495" s="14" t="n"/>
      <c r="J495" s="14" t="n"/>
      <c r="K495" s="53" t="inlineStr"/>
      <c r="L495" s="53" t="inlineStr">
        <is>
          <t>Не определено</t>
        </is>
      </c>
      <c r="M495" s="53" t="inlineStr"/>
      <c r="N495" s="54" t="inlineStr"/>
      <c r="O495" s="55" t="inlineStr"/>
      <c r="P495" s="16" t="inlineStr">
        <is>
          <t>Требует обогащения</t>
        </is>
      </c>
      <c r="Q495" s="16">
        <f>HYPERLINK("https://pb.nalog.ru/search.html?query=5003151790","ФНС: проверить")</f>
        <v/>
      </c>
      <c r="R495" s="16">
        <f>HYPERLINK("https://checko.ru/search?query=3801001629","Чекко: проверить")</f>
        <v/>
      </c>
      <c r="S495" t="n">
        <v>1</v>
      </c>
      <c r="T495" s="35" t="inlineStr">
        <is>
          <t>4 — Не обогащён</t>
        </is>
      </c>
      <c r="U495" s="35" t="inlineStr">
        <is>
          <t>Нет ОКВЭД/ССЧР</t>
        </is>
      </c>
      <c r="V495" s="35" t="inlineStr">
        <is>
          <t>Не определено</t>
        </is>
      </c>
      <c r="W495" s="35" t="inlineStr"/>
      <c r="X495" s="35" t="inlineStr"/>
    </row>
    <row r="496" ht="54.75" customHeight="1" s="24">
      <c r="A496" s="13" t="n">
        <v>5000091095</v>
      </c>
      <c r="B496" s="13" t="inlineStr">
        <is>
          <t>МУНИЦИПАЛЬНОЕ ОБЩЕОБРАЗОВАТЕЛЬНОЕ УЧРЕЖДЕНИЕ "ЛИНГВИСТИЧЕСКАЯ ШКОЛА" МУНИЦИПАЛЬНОГО ОБРАЗОВАНИЯ ГОРОДСКОЙ ОКРУГ ЛЮБЕРЦЫ МОСКОВСКОЙ ОБЛАСТИ</t>
        </is>
      </c>
      <c r="C496" s="13" t="n">
        <v>5027296410</v>
      </c>
      <c r="D496" s="13" t="inlineStr">
        <is>
          <t>5027296410</t>
        </is>
      </c>
      <c r="E496" s="13" t="inlineStr">
        <is>
          <t>ЮЛ РФ</t>
        </is>
      </c>
      <c r="F496" s="13" t="n"/>
      <c r="G496" s="14" t="n"/>
      <c r="H496" s="14" t="n"/>
      <c r="I496" s="14" t="n"/>
      <c r="J496" s="14" t="n"/>
      <c r="K496" s="53" t="inlineStr"/>
      <c r="L496" s="53" t="inlineStr">
        <is>
          <t>Не определено</t>
        </is>
      </c>
      <c r="M496" s="53" t="inlineStr"/>
      <c r="N496" s="54" t="inlineStr"/>
      <c r="O496" s="55" t="inlineStr"/>
      <c r="P496" s="16" t="inlineStr">
        <is>
          <t>Требует обогащения</t>
        </is>
      </c>
      <c r="Q496" s="16">
        <f>HYPERLINK("https://pb.nalog.ru/search.html?query=5027296410","ФНС: проверить")</f>
        <v/>
      </c>
      <c r="R496" s="16">
        <f>HYPERLINK("https://checko.ru/search?query=3801001629","Чекко: проверить")</f>
        <v/>
      </c>
      <c r="S496" t="n">
        <v>1</v>
      </c>
      <c r="T496" s="35" t="inlineStr">
        <is>
          <t>4 — Не обогащён</t>
        </is>
      </c>
      <c r="U496" s="35" t="inlineStr">
        <is>
          <t>Нет ОКВЭД/ССЧР</t>
        </is>
      </c>
      <c r="V496" s="35" t="inlineStr">
        <is>
          <t>Не определено</t>
        </is>
      </c>
      <c r="W496" s="35" t="inlineStr"/>
      <c r="X496" s="35" t="inlineStr"/>
    </row>
    <row r="497" ht="68.25" customHeight="1" s="24">
      <c r="A497" s="13" t="n">
        <v>5000091098</v>
      </c>
      <c r="B497" s="13" t="inlineStr">
        <is>
          <t>МУНИЦИПАЛЬНОЕ ОБЩЕОБРАЗОВАТЕЛЬНОЕ УЧРЕЖДЕНИЕ СРЕДНЯЯ ОБЩЕОБРАЗОВАТЕЛЬНАЯ ШКОЛА № 51 МУНИЦИПАЛЬНОГО ОБРАЗОВАНИЯ ГОРОДСКОЙ ОКРУГ ЛЮБЕРЦЫ МОСКОВСКОЙ ОБЛА</t>
        </is>
      </c>
      <c r="C497" s="13" t="n">
        <v>5027298288</v>
      </c>
      <c r="D497" s="13" t="inlineStr">
        <is>
          <t>5027298288</t>
        </is>
      </c>
      <c r="E497" s="13" t="inlineStr">
        <is>
          <t>ЮЛ РФ</t>
        </is>
      </c>
      <c r="F497" s="13" t="n"/>
      <c r="G497" s="14" t="n"/>
      <c r="H497" s="14" t="n"/>
      <c r="I497" s="14" t="n"/>
      <c r="J497" s="14" t="n"/>
      <c r="K497" s="53" t="inlineStr"/>
      <c r="L497" s="53" t="inlineStr">
        <is>
          <t>Не определено</t>
        </is>
      </c>
      <c r="M497" s="53" t="inlineStr"/>
      <c r="N497" s="54" t="inlineStr"/>
      <c r="O497" s="55" t="inlineStr"/>
      <c r="P497" s="16" t="inlineStr">
        <is>
          <t>Требует обогащения</t>
        </is>
      </c>
      <c r="Q497" s="16">
        <f>HYPERLINK("https://pb.nalog.ru/search.html?query=5027298288","ФНС: проверить")</f>
        <v/>
      </c>
      <c r="R497" s="16">
        <f>HYPERLINK("https://checko.ru/search?query=3801001629","Чекко: проверить")</f>
        <v/>
      </c>
      <c r="S497" t="n">
        <v>1</v>
      </c>
      <c r="T497" s="35" t="inlineStr">
        <is>
          <t>4 — Не обогащён</t>
        </is>
      </c>
      <c r="U497" s="35" t="inlineStr">
        <is>
          <t>Нет ОКВЭД/ССЧР</t>
        </is>
      </c>
      <c r="V497" s="35" t="inlineStr">
        <is>
          <t>Не определено</t>
        </is>
      </c>
      <c r="W497" s="35" t="inlineStr"/>
      <c r="X497" s="35" t="inlineStr"/>
    </row>
    <row r="498" ht="27.75" customHeight="1" s="24">
      <c r="A498" s="13" t="n">
        <v>5000093166</v>
      </c>
      <c r="B498" s="13" t="inlineStr">
        <is>
          <t>Контрольно-счетный орган городского округа Истра Московской области</t>
        </is>
      </c>
      <c r="C498" s="13" t="n">
        <v>5017127011</v>
      </c>
      <c r="D498" s="13" t="inlineStr">
        <is>
          <t>5017127011</t>
        </is>
      </c>
      <c r="E498" s="13" t="inlineStr">
        <is>
          <t>ЮЛ РФ</t>
        </is>
      </c>
      <c r="F498" s="13" t="n"/>
      <c r="G498" s="14" t="n"/>
      <c r="H498" s="14" t="n"/>
      <c r="I498" s="14" t="n"/>
      <c r="J498" s="14" t="n"/>
      <c r="K498" s="53" t="inlineStr"/>
      <c r="L498" s="53" t="inlineStr">
        <is>
          <t>Не определено</t>
        </is>
      </c>
      <c r="M498" s="53" t="inlineStr"/>
      <c r="N498" s="54" t="inlineStr"/>
      <c r="O498" s="55" t="inlineStr"/>
      <c r="P498" s="16" t="inlineStr">
        <is>
          <t>Требует обогащения</t>
        </is>
      </c>
      <c r="Q498" s="16">
        <f>HYPERLINK("https://pb.nalog.ru/search.html?query=5017127011","ФНС: проверить")</f>
        <v/>
      </c>
      <c r="R498" s="16">
        <f>HYPERLINK("https://checko.ru/search?query=3801001629","Чекко: проверить")</f>
        <v/>
      </c>
      <c r="S498" t="n">
        <v>1</v>
      </c>
      <c r="T498" s="35" t="inlineStr">
        <is>
          <t>4 — Не обогащён</t>
        </is>
      </c>
      <c r="U498" s="35" t="inlineStr">
        <is>
          <t>Нет ОКВЭД/ССЧР</t>
        </is>
      </c>
      <c r="V498" s="35" t="inlineStr">
        <is>
          <t>Не определено</t>
        </is>
      </c>
      <c r="W498" s="35" t="inlineStr"/>
      <c r="X498" s="35" t="inlineStr"/>
    </row>
    <row r="499" ht="15" customHeight="1" s="24">
      <c r="A499" s="13" t="n">
        <v>5000097552</v>
      </c>
      <c r="B499" s="13" t="inlineStr">
        <is>
          <t>МКУ "МЦУР"</t>
        </is>
      </c>
      <c r="C499" s="13" t="n">
        <v>5047260606</v>
      </c>
      <c r="D499" s="13" t="inlineStr">
        <is>
          <t>5047260606</t>
        </is>
      </c>
      <c r="E499" s="13" t="inlineStr">
        <is>
          <t>ЮЛ РФ</t>
        </is>
      </c>
      <c r="F499" s="13" t="n"/>
      <c r="G499" s="14" t="n"/>
      <c r="H499" s="14" t="n"/>
      <c r="I499" s="14" t="n"/>
      <c r="J499" s="14" t="n"/>
      <c r="K499" s="53" t="inlineStr"/>
      <c r="L499" s="53" t="inlineStr">
        <is>
          <t>Не определено</t>
        </is>
      </c>
      <c r="M499" s="53" t="inlineStr"/>
      <c r="N499" s="54" t="inlineStr"/>
      <c r="O499" s="55" t="inlineStr"/>
      <c r="P499" s="16" t="inlineStr">
        <is>
          <t>Требует обогащения</t>
        </is>
      </c>
      <c r="Q499" s="16">
        <f>HYPERLINK("https://pb.nalog.ru/search.html?query=5047260606","ФНС: проверить")</f>
        <v/>
      </c>
      <c r="R499" s="16">
        <f>HYPERLINK("https://checko.ru/search?query=3801001629","Чекко: проверить")</f>
        <v/>
      </c>
      <c r="S499" t="n">
        <v>1</v>
      </c>
      <c r="T499" s="35" t="inlineStr">
        <is>
          <t>4 — Не обогащён</t>
        </is>
      </c>
      <c r="U499" s="35" t="inlineStr">
        <is>
          <t>Нет ОКВЭД/ССЧР</t>
        </is>
      </c>
      <c r="V499" s="35" t="inlineStr">
        <is>
          <t>Не определено</t>
        </is>
      </c>
      <c r="W499" s="35" t="inlineStr"/>
      <c r="X499" s="35" t="inlineStr"/>
    </row>
    <row r="500" ht="15" customHeight="1" s="24">
      <c r="A500" s="13" t="n">
        <v>5000086596</v>
      </c>
      <c r="B500" s="13" t="inlineStr">
        <is>
          <t>МБОУ СОШ № 32 Г. ХИМКИ</t>
        </is>
      </c>
      <c r="C500" s="13" t="n">
        <v>5047253447</v>
      </c>
      <c r="D500" s="13" t="inlineStr">
        <is>
          <t>5047253447</t>
        </is>
      </c>
      <c r="E500" s="13" t="inlineStr">
        <is>
          <t>ЮЛ РФ</t>
        </is>
      </c>
      <c r="F500" s="13" t="n"/>
      <c r="G500" s="14" t="n"/>
      <c r="H500" s="14" t="n"/>
      <c r="I500" s="14" t="n"/>
      <c r="J500" s="14" t="n"/>
      <c r="K500" s="53" t="inlineStr"/>
      <c r="L500" s="53" t="inlineStr">
        <is>
          <t>Не определено</t>
        </is>
      </c>
      <c r="M500" s="53" t="inlineStr"/>
      <c r="N500" s="54" t="inlineStr"/>
      <c r="O500" s="55" t="inlineStr"/>
      <c r="P500" s="16" t="inlineStr">
        <is>
          <t>Требует обогащения</t>
        </is>
      </c>
      <c r="Q500" s="16">
        <f>HYPERLINK("https://pb.nalog.ru/search.html?query=5047253447","ФНС: проверить")</f>
        <v/>
      </c>
      <c r="R500" s="16">
        <f>HYPERLINK("https://checko.ru/search?query=3801001629","Чекко: проверить")</f>
        <v/>
      </c>
      <c r="S500" t="n">
        <v>1</v>
      </c>
      <c r="T500" s="35" t="inlineStr">
        <is>
          <t>4 — Не обогащён</t>
        </is>
      </c>
      <c r="U500" s="35" t="inlineStr">
        <is>
          <t>Нет ОКВЭД/ССЧР</t>
        </is>
      </c>
      <c r="V500" s="35" t="inlineStr">
        <is>
          <t>Не определено</t>
        </is>
      </c>
      <c r="W500" s="35" t="inlineStr"/>
      <c r="X500" s="35" t="inlineStr"/>
    </row>
    <row r="501" ht="27.75" customHeight="1" s="24">
      <c r="A501" s="13" t="n">
        <v>5000087401</v>
      </c>
      <c r="B501" s="13" t="inlineStr">
        <is>
          <t>МБОУ "Мисайловская средняя общеобразовательная школа № 1"</t>
        </is>
      </c>
      <c r="C501" s="13" t="n">
        <v>5003142740</v>
      </c>
      <c r="D501" s="13" t="inlineStr">
        <is>
          <t>5003142740</t>
        </is>
      </c>
      <c r="E501" s="13" t="inlineStr">
        <is>
          <t>ЮЛ РФ</t>
        </is>
      </c>
      <c r="F501" s="13" t="n"/>
      <c r="G501" s="14" t="n"/>
      <c r="H501" s="14" t="n"/>
      <c r="I501" s="14" t="n"/>
      <c r="J501" s="14" t="n"/>
      <c r="K501" s="53" t="inlineStr"/>
      <c r="L501" s="53" t="inlineStr">
        <is>
          <t>Не определено</t>
        </is>
      </c>
      <c r="M501" s="53" t="inlineStr"/>
      <c r="N501" s="54" t="inlineStr"/>
      <c r="O501" s="55" t="inlineStr"/>
      <c r="P501" s="16" t="inlineStr">
        <is>
          <t>Требует обогащения</t>
        </is>
      </c>
      <c r="Q501" s="16">
        <f>HYPERLINK("https://pb.nalog.ru/search.html?query=5003142740","ФНС: проверить")</f>
        <v/>
      </c>
      <c r="R501" s="16">
        <f>HYPERLINK("https://checko.ru/search?query=3801001629","Чекко: проверить")</f>
        <v/>
      </c>
      <c r="S501" t="n">
        <v>1</v>
      </c>
      <c r="T501" s="35" t="inlineStr">
        <is>
          <t>4 — Не обогащён</t>
        </is>
      </c>
      <c r="U501" s="35" t="inlineStr">
        <is>
          <t>Нет ОКВЭД/ССЧР</t>
        </is>
      </c>
      <c r="V501" s="35" t="inlineStr">
        <is>
          <t>Не определено</t>
        </is>
      </c>
      <c r="W501" s="35" t="inlineStr"/>
      <c r="X501" s="35" t="inlineStr"/>
    </row>
    <row r="502" ht="15" customHeight="1" s="24">
      <c r="A502" s="13" t="n">
        <v>5000116346</v>
      </c>
      <c r="B502" s="13" t="inlineStr">
        <is>
          <t>МБУ "ЦОД Омсу ГОИ"</t>
        </is>
      </c>
      <c r="C502" s="13" t="n">
        <v>5017118867</v>
      </c>
      <c r="D502" s="13" t="inlineStr">
        <is>
          <t>5017118867</t>
        </is>
      </c>
      <c r="E502" s="13" t="inlineStr">
        <is>
          <t>ЮЛ РФ</t>
        </is>
      </c>
      <c r="F502" s="13" t="n"/>
      <c r="G502" s="14" t="n"/>
      <c r="H502" s="14" t="n"/>
      <c r="I502" s="14" t="n"/>
      <c r="J502" s="14" t="n"/>
      <c r="K502" s="53" t="inlineStr"/>
      <c r="L502" s="53" t="inlineStr">
        <is>
          <t>Не определено</t>
        </is>
      </c>
      <c r="M502" s="53" t="inlineStr"/>
      <c r="N502" s="54" t="inlineStr"/>
      <c r="O502" s="55" t="inlineStr"/>
      <c r="P502" s="16" t="inlineStr">
        <is>
          <t>Требует обогащения</t>
        </is>
      </c>
      <c r="Q502" s="16">
        <f>HYPERLINK("https://pb.nalog.ru/search.html?query=5017118867","ФНС: проверить")</f>
        <v/>
      </c>
      <c r="R502" s="16">
        <f>HYPERLINK("https://checko.ru/search?query=3801001629","Чекко: проверить")</f>
        <v/>
      </c>
      <c r="S502" t="n">
        <v>1</v>
      </c>
      <c r="T502" s="35" t="inlineStr">
        <is>
          <t>4 — Не обогащён</t>
        </is>
      </c>
      <c r="U502" s="35" t="inlineStr">
        <is>
          <t>Нет ОКВЭД/ССЧР</t>
        </is>
      </c>
      <c r="V502" s="35" t="inlineStr">
        <is>
          <t>Не определено</t>
        </is>
      </c>
      <c r="W502" s="35" t="inlineStr"/>
      <c r="X502" s="35" t="inlineStr"/>
    </row>
    <row r="503" ht="41.25" customHeight="1" s="24">
      <c r="A503" s="13" t="n">
        <v>5000074058</v>
      </c>
      <c r="B503" s="13" t="inlineStr">
        <is>
          <t>Муниципальное общеобразовательное учреждение "Средняя общеобразовательная школа имени А.П.Чехова"</t>
        </is>
      </c>
      <c r="C503" s="13" t="n">
        <v>5017045418</v>
      </c>
      <c r="D503" s="13" t="inlineStr">
        <is>
          <t>5017045418</t>
        </is>
      </c>
      <c r="E503" s="13" t="inlineStr">
        <is>
          <t>ЮЛ РФ</t>
        </is>
      </c>
      <c r="F503" s="13" t="n"/>
      <c r="G503" s="14" t="n"/>
      <c r="H503" s="14" t="n"/>
      <c r="I503" s="14" t="n"/>
      <c r="J503" s="14" t="n"/>
      <c r="K503" s="53" t="inlineStr"/>
      <c r="L503" s="53" t="inlineStr">
        <is>
          <t>Не определено</t>
        </is>
      </c>
      <c r="M503" s="53" t="inlineStr"/>
      <c r="N503" s="54" t="inlineStr"/>
      <c r="O503" s="55" t="inlineStr"/>
      <c r="P503" s="16" t="inlineStr">
        <is>
          <t>Требует обогащения</t>
        </is>
      </c>
      <c r="Q503" s="16">
        <f>HYPERLINK("https://pb.nalog.ru/search.html?query=5017045418","ФНС: проверить")</f>
        <v/>
      </c>
      <c r="R503" s="16">
        <f>HYPERLINK("https://checko.ru/search?query=3801001629","Чекко: проверить")</f>
        <v/>
      </c>
      <c r="S503" t="n">
        <v>1</v>
      </c>
      <c r="T503" s="35" t="inlineStr">
        <is>
          <t>4 — Не обогащён</t>
        </is>
      </c>
      <c r="U503" s="35" t="inlineStr">
        <is>
          <t>Нет ОКВЭД/ССЧР</t>
        </is>
      </c>
      <c r="V503" s="35" t="inlineStr">
        <is>
          <t>Не определено</t>
        </is>
      </c>
      <c r="W503" s="35" t="inlineStr"/>
      <c r="X503" s="35" t="inlineStr"/>
    </row>
    <row r="504" ht="41.25" customHeight="1" s="24">
      <c r="A504" s="13" t="n">
        <v>5000074059</v>
      </c>
      <c r="B504" s="13" t="inlineStr">
        <is>
          <t>Муниципальное общеобразовательное учреждение "Средняя общеобразовательная школа № 2" г. Истра</t>
        </is>
      </c>
      <c r="C504" s="13" t="n">
        <v>5017049726</v>
      </c>
      <c r="D504" s="13" t="inlineStr">
        <is>
          <t>5017049726</t>
        </is>
      </c>
      <c r="E504" s="13" t="inlineStr">
        <is>
          <t>ЮЛ РФ</t>
        </is>
      </c>
      <c r="F504" s="13" t="n"/>
      <c r="G504" s="14" t="n"/>
      <c r="H504" s="14" t="n"/>
      <c r="I504" s="14" t="n"/>
      <c r="J504" s="14" t="n"/>
      <c r="K504" s="53" t="inlineStr"/>
      <c r="L504" s="53" t="inlineStr">
        <is>
          <t>Не определено</t>
        </is>
      </c>
      <c r="M504" s="53" t="inlineStr"/>
      <c r="N504" s="54" t="inlineStr"/>
      <c r="O504" s="55" t="inlineStr"/>
      <c r="P504" s="16" t="inlineStr">
        <is>
          <t>Требует обогащения</t>
        </is>
      </c>
      <c r="Q504" s="16">
        <f>HYPERLINK("https://pb.nalog.ru/search.html?query=5017049726","ФНС: проверить")</f>
        <v/>
      </c>
      <c r="R504" s="16">
        <f>HYPERLINK("https://checko.ru/search?query=3801001629","Чекко: проверить")</f>
        <v/>
      </c>
      <c r="S504" t="n">
        <v>1</v>
      </c>
      <c r="T504" s="35" t="inlineStr">
        <is>
          <t>4 — Не обогащён</t>
        </is>
      </c>
      <c r="U504" s="35" t="inlineStr">
        <is>
          <t>Нет ОКВЭД/ССЧР</t>
        </is>
      </c>
      <c r="V504" s="35" t="inlineStr">
        <is>
          <t>Не определено</t>
        </is>
      </c>
      <c r="W504" s="35" t="inlineStr"/>
      <c r="X504" s="35" t="inlineStr"/>
    </row>
    <row r="505" ht="41.25" customHeight="1" s="24">
      <c r="A505" s="13" t="n">
        <v>5000074061</v>
      </c>
      <c r="B505" s="13" t="inlineStr">
        <is>
          <t>Муниципальное общеобразовательное учреждение Истринская средняя общеобразовательная школа №3</t>
        </is>
      </c>
      <c r="C505" s="13" t="n">
        <v>5017045425</v>
      </c>
      <c r="D505" s="13" t="inlineStr">
        <is>
          <t>5017045425</t>
        </is>
      </c>
      <c r="E505" s="13" t="inlineStr">
        <is>
          <t>ЮЛ РФ</t>
        </is>
      </c>
      <c r="F505" s="13" t="n"/>
      <c r="G505" s="14" t="n"/>
      <c r="H505" s="14" t="n"/>
      <c r="I505" s="14" t="n"/>
      <c r="J505" s="14" t="n"/>
      <c r="K505" s="53" t="inlineStr"/>
      <c r="L505" s="53" t="inlineStr">
        <is>
          <t>Не определено</t>
        </is>
      </c>
      <c r="M505" s="53" t="inlineStr"/>
      <c r="N505" s="54" t="inlineStr"/>
      <c r="O505" s="55" t="inlineStr"/>
      <c r="P505" s="16" t="inlineStr">
        <is>
          <t>Требует обогащения</t>
        </is>
      </c>
      <c r="Q505" s="16">
        <f>HYPERLINK("https://pb.nalog.ru/search.html?query=5017045425","ФНС: проверить")</f>
        <v/>
      </c>
      <c r="R505" s="16">
        <f>HYPERLINK("https://checko.ru/search?query=3801001629","Чекко: проверить")</f>
        <v/>
      </c>
      <c r="S505" t="n">
        <v>1</v>
      </c>
      <c r="T505" s="35" t="inlineStr">
        <is>
          <t>4 — Не обогащён</t>
        </is>
      </c>
      <c r="U505" s="35" t="inlineStr">
        <is>
          <t>Нет ОКВЭД/ССЧР</t>
        </is>
      </c>
      <c r="V505" s="35" t="inlineStr">
        <is>
          <t>Не определено</t>
        </is>
      </c>
      <c r="W505" s="35" t="inlineStr"/>
      <c r="X505" s="35" t="inlineStr"/>
    </row>
    <row r="506" ht="27.75" customHeight="1" s="24">
      <c r="A506" s="13" t="n">
        <v>5000074063</v>
      </c>
      <c r="B506" s="13" t="inlineStr">
        <is>
          <t>МОУ "Первомайская средняя общеобразовательная школа"</t>
        </is>
      </c>
      <c r="C506" s="13" t="n">
        <v>5017049003</v>
      </c>
      <c r="D506" s="13" t="inlineStr">
        <is>
          <t>5017049003</t>
        </is>
      </c>
      <c r="E506" s="13" t="inlineStr">
        <is>
          <t>ЮЛ РФ</t>
        </is>
      </c>
      <c r="F506" s="13" t="n"/>
      <c r="G506" s="14" t="n"/>
      <c r="H506" s="14" t="n"/>
      <c r="I506" s="14" t="n"/>
      <c r="J506" s="14" t="n"/>
      <c r="K506" s="53" t="inlineStr"/>
      <c r="L506" s="53" t="inlineStr">
        <is>
          <t>Не определено</t>
        </is>
      </c>
      <c r="M506" s="53" t="inlineStr"/>
      <c r="N506" s="54" t="inlineStr"/>
      <c r="O506" s="55" t="inlineStr"/>
      <c r="P506" s="16" t="inlineStr">
        <is>
          <t>Требует обогащения</t>
        </is>
      </c>
      <c r="Q506" s="16">
        <f>HYPERLINK("https://pb.nalog.ru/search.html?query=5017049003","ФНС: проверить")</f>
        <v/>
      </c>
      <c r="R506" s="16">
        <f>HYPERLINK("https://checko.ru/search?query=3801001629","Чекко: проверить")</f>
        <v/>
      </c>
      <c r="S506" t="n">
        <v>1</v>
      </c>
      <c r="T506" s="35" t="inlineStr">
        <is>
          <t>4 — Не обогащён</t>
        </is>
      </c>
      <c r="U506" s="35" t="inlineStr">
        <is>
          <t>Нет ОКВЭД/ССЧР</t>
        </is>
      </c>
      <c r="V506" s="35" t="inlineStr">
        <is>
          <t>Не определено</t>
        </is>
      </c>
      <c r="W506" s="35" t="inlineStr"/>
      <c r="X506" s="35" t="inlineStr"/>
    </row>
    <row r="507" ht="27.75" customHeight="1" s="24">
      <c r="A507" s="13" t="n">
        <v>5000074064</v>
      </c>
      <c r="B507" s="13" t="inlineStr">
        <is>
          <t>МОУ "Рождественская  средняя общеобразовательная школа"</t>
        </is>
      </c>
      <c r="C507" s="13" t="n">
        <v>5017031101</v>
      </c>
      <c r="D507" s="13" t="inlineStr">
        <is>
          <t>5017031101</t>
        </is>
      </c>
      <c r="E507" s="13" t="inlineStr">
        <is>
          <t>ЮЛ РФ</t>
        </is>
      </c>
      <c r="F507" s="13" t="n"/>
      <c r="G507" s="14" t="n"/>
      <c r="H507" s="14" t="n"/>
      <c r="I507" s="14" t="n"/>
      <c r="J507" s="14" t="n"/>
      <c r="K507" s="53" t="inlineStr"/>
      <c r="L507" s="53" t="inlineStr">
        <is>
          <t>Не определено</t>
        </is>
      </c>
      <c r="M507" s="53" t="inlineStr"/>
      <c r="N507" s="54" t="inlineStr"/>
      <c r="O507" s="55" t="inlineStr"/>
      <c r="P507" s="16" t="inlineStr">
        <is>
          <t>Требует обогащения</t>
        </is>
      </c>
      <c r="Q507" s="16">
        <f>HYPERLINK("https://pb.nalog.ru/search.html?query=5017031101","ФНС: проверить")</f>
        <v/>
      </c>
      <c r="R507" s="16">
        <f>HYPERLINK("https://checko.ru/search?query=3801001629","Чекко: проверить")</f>
        <v/>
      </c>
      <c r="S507" t="n">
        <v>1</v>
      </c>
      <c r="T507" s="35" t="inlineStr">
        <is>
          <t>4 — Не обогащён</t>
        </is>
      </c>
      <c r="U507" s="35" t="inlineStr">
        <is>
          <t>Нет ОКВЭД/ССЧР</t>
        </is>
      </c>
      <c r="V507" s="35" t="inlineStr">
        <is>
          <t>Не определено</t>
        </is>
      </c>
      <c r="W507" s="35" t="inlineStr"/>
      <c r="X507" s="35" t="inlineStr"/>
    </row>
    <row r="508" ht="41.25" customHeight="1" s="24">
      <c r="A508" s="13" t="n">
        <v>5000074067</v>
      </c>
      <c r="B508" s="13" t="inlineStr">
        <is>
          <t>Муниципальное общеобразовательное учреждение Дедовская средняя общеобразовательная школа №1</t>
        </is>
      </c>
      <c r="C508" s="13" t="n">
        <v>5017048930</v>
      </c>
      <c r="D508" s="13" t="inlineStr">
        <is>
          <t>5017048930</t>
        </is>
      </c>
      <c r="E508" s="13" t="inlineStr">
        <is>
          <t>ЮЛ РФ</t>
        </is>
      </c>
      <c r="F508" s="13" t="n"/>
      <c r="G508" s="14" t="n"/>
      <c r="H508" s="14" t="n"/>
      <c r="I508" s="14" t="n"/>
      <c r="J508" s="14" t="n"/>
      <c r="K508" s="53" t="inlineStr"/>
      <c r="L508" s="53" t="inlineStr">
        <is>
          <t>Не определено</t>
        </is>
      </c>
      <c r="M508" s="53" t="inlineStr"/>
      <c r="N508" s="54" t="inlineStr"/>
      <c r="O508" s="55" t="inlineStr"/>
      <c r="P508" s="16" t="inlineStr">
        <is>
          <t>Требует обогащения</t>
        </is>
      </c>
      <c r="Q508" s="16">
        <f>HYPERLINK("https://pb.nalog.ru/search.html?query=5017048930","ФНС: проверить")</f>
        <v/>
      </c>
      <c r="R508" s="16">
        <f>HYPERLINK("https://checko.ru/search?query=3801001629","Чекко: проверить")</f>
        <v/>
      </c>
      <c r="S508" t="n">
        <v>1</v>
      </c>
      <c r="T508" s="35" t="inlineStr">
        <is>
          <t>4 — Не обогащён</t>
        </is>
      </c>
      <c r="U508" s="35" t="inlineStr">
        <is>
          <t>Нет ОКВЭД/ССЧР</t>
        </is>
      </c>
      <c r="V508" s="35" t="inlineStr">
        <is>
          <t>Не определено</t>
        </is>
      </c>
      <c r="W508" s="35" t="inlineStr"/>
      <c r="X508" s="35" t="inlineStr"/>
    </row>
    <row r="509" ht="15" customHeight="1" s="24">
      <c r="A509" s="13" t="n">
        <v>5000074095</v>
      </c>
      <c r="B509" s="13" t="inlineStr">
        <is>
          <t>МУК "Истринский культурно-досуговый комплекс"</t>
        </is>
      </c>
      <c r="C509" s="13" t="n">
        <v>5017072771</v>
      </c>
      <c r="D509" s="13" t="inlineStr">
        <is>
          <t>5017072771</t>
        </is>
      </c>
      <c r="E509" s="13" t="inlineStr">
        <is>
          <t>ЮЛ РФ</t>
        </is>
      </c>
      <c r="F509" s="13" t="n"/>
      <c r="G509" s="14" t="n"/>
      <c r="H509" s="14" t="n"/>
      <c r="I509" s="14" t="n"/>
      <c r="J509" s="14" t="n"/>
      <c r="K509" s="53" t="inlineStr"/>
      <c r="L509" s="53" t="inlineStr">
        <is>
          <t>Не определено</t>
        </is>
      </c>
      <c r="M509" s="53" t="inlineStr"/>
      <c r="N509" s="54" t="inlineStr"/>
      <c r="O509" s="55" t="inlineStr"/>
      <c r="P509" s="16" t="inlineStr">
        <is>
          <t>Требует обогащения</t>
        </is>
      </c>
      <c r="Q509" s="16">
        <f>HYPERLINK("https://pb.nalog.ru/search.html?query=5017072771","ФНС: проверить")</f>
        <v/>
      </c>
      <c r="R509" s="16">
        <f>HYPERLINK("https://checko.ru/search?query=3801001629","Чекко: проверить")</f>
        <v/>
      </c>
      <c r="S509" t="n">
        <v>1</v>
      </c>
      <c r="T509" s="35" t="inlineStr">
        <is>
          <t>4 — Не обогащён</t>
        </is>
      </c>
      <c r="U509" s="35" t="inlineStr">
        <is>
          <t>Нет ОКВЭД/ССЧР</t>
        </is>
      </c>
      <c r="V509" s="35" t="inlineStr">
        <is>
          <t>Не определено</t>
        </is>
      </c>
      <c r="W509" s="35" t="inlineStr"/>
      <c r="X509" s="35" t="inlineStr"/>
    </row>
    <row r="510" ht="15" customHeight="1" s="24">
      <c r="A510" s="13" t="n">
        <v>5000074068</v>
      </c>
      <c r="B510" s="13" t="inlineStr">
        <is>
          <t>МОУ "Лицей" г.Дедовск</t>
        </is>
      </c>
      <c r="C510" s="13" t="n">
        <v>5017027232</v>
      </c>
      <c r="D510" s="13" t="inlineStr">
        <is>
          <t>5017027232</t>
        </is>
      </c>
      <c r="E510" s="13" t="inlineStr">
        <is>
          <t>ЮЛ РФ</t>
        </is>
      </c>
      <c r="F510" s="13" t="n"/>
      <c r="G510" s="14" t="n"/>
      <c r="H510" s="14" t="n"/>
      <c r="I510" s="14" t="n"/>
      <c r="J510" s="14" t="n"/>
      <c r="K510" s="53" t="inlineStr"/>
      <c r="L510" s="53" t="inlineStr">
        <is>
          <t>Не определено</t>
        </is>
      </c>
      <c r="M510" s="53" t="inlineStr"/>
      <c r="N510" s="54" t="inlineStr"/>
      <c r="O510" s="55" t="inlineStr"/>
      <c r="P510" s="16" t="inlineStr">
        <is>
          <t>Требует обогащения</t>
        </is>
      </c>
      <c r="Q510" s="16">
        <f>HYPERLINK("https://pb.nalog.ru/search.html?query=5017027232","ФНС: проверить")</f>
        <v/>
      </c>
      <c r="R510" s="16">
        <f>HYPERLINK("https://checko.ru/search?query=3801001629","Чекко: проверить")</f>
        <v/>
      </c>
      <c r="S510" t="n">
        <v>1</v>
      </c>
      <c r="T510" s="35" t="inlineStr">
        <is>
          <t>4 — Не обогащён</t>
        </is>
      </c>
      <c r="U510" s="35" t="inlineStr">
        <is>
          <t>Нет ОКВЭД/ССЧР</t>
        </is>
      </c>
      <c r="V510" s="35" t="inlineStr">
        <is>
          <t>Не определено</t>
        </is>
      </c>
      <c r="W510" s="35" t="inlineStr"/>
      <c r="X510" s="35" t="inlineStr"/>
    </row>
    <row r="511" ht="41.25" customHeight="1" s="24">
      <c r="A511" s="13" t="n">
        <v>5000074069</v>
      </c>
      <c r="B511" s="13" t="inlineStr">
        <is>
          <t>Муниципальное общеобразовательное учреждение Дедовская средняя общеобразовательная школа №3</t>
        </is>
      </c>
      <c r="C511" s="13" t="n">
        <v>5017048948</v>
      </c>
      <c r="D511" s="13" t="inlineStr">
        <is>
          <t>5017048948</t>
        </is>
      </c>
      <c r="E511" s="13" t="inlineStr">
        <is>
          <t>ЮЛ РФ</t>
        </is>
      </c>
      <c r="F511" s="13" t="n"/>
      <c r="G511" s="14" t="n"/>
      <c r="H511" s="14" t="n"/>
      <c r="I511" s="14" t="n"/>
      <c r="J511" s="14" t="n"/>
      <c r="K511" s="53" t="inlineStr"/>
      <c r="L511" s="53" t="inlineStr">
        <is>
          <t>Не определено</t>
        </is>
      </c>
      <c r="M511" s="53" t="inlineStr"/>
      <c r="N511" s="54" t="inlineStr"/>
      <c r="O511" s="55" t="inlineStr"/>
      <c r="P511" s="16" t="inlineStr">
        <is>
          <t>Требует обогащения</t>
        </is>
      </c>
      <c r="Q511" s="16">
        <f>HYPERLINK("https://pb.nalog.ru/search.html?query=5017048948","ФНС: проверить")</f>
        <v/>
      </c>
      <c r="R511" s="16">
        <f>HYPERLINK("https://checko.ru/search?query=3801001629","Чекко: проверить")</f>
        <v/>
      </c>
      <c r="S511" t="n">
        <v>1</v>
      </c>
      <c r="T511" s="35" t="inlineStr">
        <is>
          <t>4 — Не обогащён</t>
        </is>
      </c>
      <c r="U511" s="35" t="inlineStr">
        <is>
          <t>Нет ОКВЭД/ССЧР</t>
        </is>
      </c>
      <c r="V511" s="35" t="inlineStr">
        <is>
          <t>Не определено</t>
        </is>
      </c>
      <c r="W511" s="35" t="inlineStr"/>
      <c r="X511" s="35" t="inlineStr"/>
    </row>
    <row r="512" ht="27.75" customHeight="1" s="24">
      <c r="A512" s="13" t="n">
        <v>5000074097</v>
      </c>
      <c r="B512" s="13" t="inlineStr">
        <is>
          <t>МБУ по работе с молодежью "Молодежный центр"</t>
        </is>
      </c>
      <c r="C512" s="13" t="n">
        <v>5017113499</v>
      </c>
      <c r="D512" s="13" t="inlineStr">
        <is>
          <t>5017113499</t>
        </is>
      </c>
      <c r="E512" s="13" t="inlineStr">
        <is>
          <t>ЮЛ РФ</t>
        </is>
      </c>
      <c r="F512" s="13" t="n"/>
      <c r="G512" s="14" t="n"/>
      <c r="H512" s="14" t="n"/>
      <c r="I512" s="14" t="n"/>
      <c r="J512" s="14" t="n"/>
      <c r="K512" s="53" t="inlineStr"/>
      <c r="L512" s="53" t="inlineStr">
        <is>
          <t>Не определено</t>
        </is>
      </c>
      <c r="M512" s="53" t="inlineStr"/>
      <c r="N512" s="54" t="inlineStr"/>
      <c r="O512" s="55" t="inlineStr"/>
      <c r="P512" s="16" t="inlineStr">
        <is>
          <t>Требует обогащения</t>
        </is>
      </c>
      <c r="Q512" s="16">
        <f>HYPERLINK("https://pb.nalog.ru/search.html?query=5017113499","ФНС: проверить")</f>
        <v/>
      </c>
      <c r="R512" s="16">
        <f>HYPERLINK("https://checko.ru/search?query=3801001629","Чекко: проверить")</f>
        <v/>
      </c>
      <c r="S512" t="n">
        <v>1</v>
      </c>
      <c r="T512" s="35" t="inlineStr">
        <is>
          <t>4 — Не обогащён</t>
        </is>
      </c>
      <c r="U512" s="35" t="inlineStr">
        <is>
          <t>Нет ОКВЭД/ССЧР</t>
        </is>
      </c>
      <c r="V512" s="35" t="inlineStr">
        <is>
          <t>Не определено</t>
        </is>
      </c>
      <c r="W512" s="35" t="inlineStr"/>
      <c r="X512" s="35" t="inlineStr"/>
    </row>
    <row r="513" ht="27.75" customHeight="1" s="24">
      <c r="A513" s="13" t="n">
        <v>5000074100</v>
      </c>
      <c r="B513" s="13" t="inlineStr">
        <is>
          <t>Совет депутатов городского округа Истра Московской области</t>
        </is>
      </c>
      <c r="C513" s="13" t="n">
        <v>5017103846</v>
      </c>
      <c r="D513" s="13" t="inlineStr">
        <is>
          <t>5017103846</t>
        </is>
      </c>
      <c r="E513" s="13" t="inlineStr">
        <is>
          <t>ЮЛ РФ</t>
        </is>
      </c>
      <c r="F513" s="13" t="n"/>
      <c r="G513" s="14" t="n"/>
      <c r="H513" s="14" t="n"/>
      <c r="I513" s="14" t="n"/>
      <c r="J513" s="14" t="n"/>
      <c r="K513" s="53" t="inlineStr"/>
      <c r="L513" s="53" t="inlineStr">
        <is>
          <t>Не определено</t>
        </is>
      </c>
      <c r="M513" s="53" t="inlineStr"/>
      <c r="N513" s="54" t="inlineStr"/>
      <c r="O513" s="55" t="inlineStr"/>
      <c r="P513" s="16" t="inlineStr">
        <is>
          <t>Требует обогащения</t>
        </is>
      </c>
      <c r="Q513" s="16">
        <f>HYPERLINK("https://pb.nalog.ru/search.html?query=5017103846","ФНС: проверить")</f>
        <v/>
      </c>
      <c r="R513" s="16">
        <f>HYPERLINK("https://checko.ru/search?query=3801001629","Чекко: проверить")</f>
        <v/>
      </c>
      <c r="S513" t="n">
        <v>1</v>
      </c>
      <c r="T513" s="35" t="inlineStr">
        <is>
          <t>4 — Не обогащён</t>
        </is>
      </c>
      <c r="U513" s="35" t="inlineStr">
        <is>
          <t>Нет ОКВЭД/ССЧР</t>
        </is>
      </c>
      <c r="V513" s="35" t="inlineStr">
        <is>
          <t>Не определено</t>
        </is>
      </c>
      <c r="W513" s="35" t="inlineStr"/>
      <c r="X513" s="35" t="inlineStr"/>
    </row>
    <row r="514" ht="15" customHeight="1" s="24">
      <c r="A514" s="13" t="n">
        <v>5000074101</v>
      </c>
      <c r="B514" s="13" t="inlineStr">
        <is>
          <t>МАУ "Информационный центр "Время и Медиа"</t>
        </is>
      </c>
      <c r="C514" s="13" t="n">
        <v>5017122415</v>
      </c>
      <c r="D514" s="13" t="inlineStr">
        <is>
          <t>5017122415</t>
        </is>
      </c>
      <c r="E514" s="13" t="inlineStr">
        <is>
          <t>ЮЛ РФ</t>
        </is>
      </c>
      <c r="F514" s="13" t="n"/>
      <c r="G514" s="14" t="n"/>
      <c r="H514" s="14" t="n"/>
      <c r="I514" s="14" t="n"/>
      <c r="J514" s="14" t="n"/>
      <c r="K514" s="53" t="inlineStr"/>
      <c r="L514" s="53" t="inlineStr">
        <is>
          <t>Не определено</t>
        </is>
      </c>
      <c r="M514" s="53" t="inlineStr"/>
      <c r="N514" s="54" t="inlineStr"/>
      <c r="O514" s="55" t="inlineStr"/>
      <c r="P514" s="16" t="inlineStr">
        <is>
          <t>Требует обогащения</t>
        </is>
      </c>
      <c r="Q514" s="16">
        <f>HYPERLINK("https://pb.nalog.ru/search.html?query=5017122415","ФНС: проверить")</f>
        <v/>
      </c>
      <c r="R514" s="16">
        <f>HYPERLINK("https://checko.ru/search?query=3801001629","Чекко: проверить")</f>
        <v/>
      </c>
      <c r="S514" t="n">
        <v>1</v>
      </c>
      <c r="T514" s="35" t="inlineStr">
        <is>
          <t>4 — Не обогащён</t>
        </is>
      </c>
      <c r="U514" s="35" t="inlineStr">
        <is>
          <t>Нет ОКВЭД/ССЧР</t>
        </is>
      </c>
      <c r="V514" s="35" t="inlineStr">
        <is>
          <t>Не определено</t>
        </is>
      </c>
      <c r="W514" s="35" t="inlineStr"/>
      <c r="X514" s="35" t="inlineStr"/>
    </row>
    <row r="515" ht="27.75" customHeight="1" s="24">
      <c r="A515" s="13" t="n">
        <v>5000074102</v>
      </c>
      <c r="B515" s="13" t="inlineStr">
        <is>
          <t>МБУ "Истринская спортивная школа" имени Н.Л.Федорович</t>
        </is>
      </c>
      <c r="C515" s="13" t="n">
        <v>5017049067</v>
      </c>
      <c r="D515" s="13" t="inlineStr">
        <is>
          <t>5017049067</t>
        </is>
      </c>
      <c r="E515" s="13" t="inlineStr">
        <is>
          <t>ЮЛ РФ</t>
        </is>
      </c>
      <c r="F515" s="13" t="n"/>
      <c r="G515" s="14" t="n"/>
      <c r="H515" s="14" t="n"/>
      <c r="I515" s="14" t="n"/>
      <c r="J515" s="14" t="n"/>
      <c r="K515" s="53" t="inlineStr"/>
      <c r="L515" s="53" t="inlineStr">
        <is>
          <t>Не определено</t>
        </is>
      </c>
      <c r="M515" s="53" t="inlineStr"/>
      <c r="N515" s="54" t="inlineStr"/>
      <c r="O515" s="55" t="inlineStr"/>
      <c r="P515" s="16" t="inlineStr">
        <is>
          <t>Требует обогащения</t>
        </is>
      </c>
      <c r="Q515" s="16">
        <f>HYPERLINK("https://pb.nalog.ru/search.html?query=5017049067","ФНС: проверить")</f>
        <v/>
      </c>
      <c r="R515" s="16">
        <f>HYPERLINK("https://checko.ru/search?query=3801001629","Чекко: проверить")</f>
        <v/>
      </c>
      <c r="S515" t="n">
        <v>1</v>
      </c>
      <c r="T515" s="35" t="inlineStr">
        <is>
          <t>4 — Не обогащён</t>
        </is>
      </c>
      <c r="U515" s="35" t="inlineStr">
        <is>
          <t>Нет ОКВЭД/ССЧР</t>
        </is>
      </c>
      <c r="V515" s="35" t="inlineStr">
        <is>
          <t>Не определено</t>
        </is>
      </c>
      <c r="W515" s="35" t="inlineStr"/>
      <c r="X515" s="35" t="inlineStr"/>
    </row>
    <row r="516" ht="41.25" customHeight="1" s="24">
      <c r="A516" s="13" t="n">
        <v>5000122510</v>
      </c>
      <c r="B516" s="13" t="inlineStr">
        <is>
          <t>МБУ «Многофункциональный центр по предоставлению государственных услуг Можайского муниципального района»</t>
        </is>
      </c>
      <c r="C516" s="13" t="n">
        <v>5028030068</v>
      </c>
      <c r="D516" s="13" t="inlineStr">
        <is>
          <t>5028030068</t>
        </is>
      </c>
      <c r="E516" s="13" t="inlineStr">
        <is>
          <t>ЮЛ РФ</t>
        </is>
      </c>
      <c r="F516" s="13" t="n"/>
      <c r="G516" s="14" t="n"/>
      <c r="H516" s="14" t="n"/>
      <c r="I516" s="14" t="n"/>
      <c r="J516" s="14" t="n"/>
      <c r="K516" s="53" t="inlineStr"/>
      <c r="L516" s="53" t="inlineStr">
        <is>
          <t>Не определено</t>
        </is>
      </c>
      <c r="M516" s="53" t="inlineStr"/>
      <c r="N516" s="54" t="inlineStr"/>
      <c r="O516" s="55" t="inlineStr"/>
      <c r="P516" s="16" t="inlineStr">
        <is>
          <t>Требует обогащения</t>
        </is>
      </c>
      <c r="Q516" s="16">
        <f>HYPERLINK("https://pb.nalog.ru/search.html?query=5028030068","ФНС: проверить")</f>
        <v/>
      </c>
      <c r="R516" s="16">
        <f>HYPERLINK("https://checko.ru/search?query=3801001629","Чекко: проверить")</f>
        <v/>
      </c>
      <c r="S516" t="n">
        <v>1</v>
      </c>
      <c r="T516" s="35" t="inlineStr">
        <is>
          <t>4 — Не обогащён</t>
        </is>
      </c>
      <c r="U516" s="35" t="inlineStr">
        <is>
          <t>Нет ОКВЭД/ССЧР</t>
        </is>
      </c>
      <c r="V516" s="35" t="inlineStr">
        <is>
          <t>Не определено</t>
        </is>
      </c>
      <c r="W516" s="35" t="inlineStr"/>
      <c r="X516" s="35" t="inlineStr"/>
    </row>
    <row r="517" ht="15" customHeight="1" s="24">
      <c r="A517" s="13" t="n">
        <v>5000122499</v>
      </c>
      <c r="B517" s="13" t="inlineStr">
        <is>
          <t>МБУ ММО МО "Парк Ривьера"</t>
        </is>
      </c>
      <c r="C517" s="13" t="n">
        <v>5028027900</v>
      </c>
      <c r="D517" s="13" t="inlineStr">
        <is>
          <t>5028027900</t>
        </is>
      </c>
      <c r="E517" s="13" t="inlineStr">
        <is>
          <t>ЮЛ РФ</t>
        </is>
      </c>
      <c r="F517" s="13" t="n"/>
      <c r="G517" s="14" t="n"/>
      <c r="H517" s="14" t="n"/>
      <c r="I517" s="14" t="n"/>
      <c r="J517" s="14" t="n"/>
      <c r="K517" s="53" t="inlineStr"/>
      <c r="L517" s="53" t="inlineStr">
        <is>
          <t>Не определено</t>
        </is>
      </c>
      <c r="M517" s="53" t="inlineStr"/>
      <c r="N517" s="54" t="inlineStr"/>
      <c r="O517" s="55" t="inlineStr"/>
      <c r="P517" s="16" t="inlineStr">
        <is>
          <t>Требует обогащения</t>
        </is>
      </c>
      <c r="Q517" s="16">
        <f>HYPERLINK("https://pb.nalog.ru/search.html?query=5028027900","ФНС: проверить")</f>
        <v/>
      </c>
      <c r="R517" s="16">
        <f>HYPERLINK("https://checko.ru/search?query=3801001629","Чекко: проверить")</f>
        <v/>
      </c>
      <c r="S517" t="n">
        <v>1</v>
      </c>
      <c r="T517" s="35" t="inlineStr">
        <is>
          <t>4 — Не обогащён</t>
        </is>
      </c>
      <c r="U517" s="35" t="inlineStr">
        <is>
          <t>Нет ОКВЭД/ССЧР</t>
        </is>
      </c>
      <c r="V517" s="35" t="inlineStr">
        <is>
          <t>Не определено</t>
        </is>
      </c>
      <c r="W517" s="35" t="inlineStr"/>
      <c r="X517" s="35" t="inlineStr"/>
    </row>
    <row r="518" ht="15" customHeight="1" s="24">
      <c r="A518" s="13" t="n">
        <v>5000122504</v>
      </c>
      <c r="B518" s="13" t="inlineStr">
        <is>
          <t>МУ "Можайский Дворец спорта "Багратион"</t>
        </is>
      </c>
      <c r="C518" s="13" t="n">
        <v>5028022010</v>
      </c>
      <c r="D518" s="13" t="inlineStr">
        <is>
          <t>5028022010</t>
        </is>
      </c>
      <c r="E518" s="13" t="inlineStr">
        <is>
          <t>ЮЛ РФ</t>
        </is>
      </c>
      <c r="F518" s="13" t="n"/>
      <c r="G518" s="14" t="n"/>
      <c r="H518" s="14" t="n"/>
      <c r="I518" s="14" t="n"/>
      <c r="J518" s="14" t="n"/>
      <c r="K518" s="53" t="inlineStr"/>
      <c r="L518" s="53" t="inlineStr">
        <is>
          <t>Не определено</t>
        </is>
      </c>
      <c r="M518" s="53" t="inlineStr"/>
      <c r="N518" s="54" t="inlineStr"/>
      <c r="O518" s="55" t="inlineStr"/>
      <c r="P518" s="16" t="inlineStr">
        <is>
          <t>Требует обогащения</t>
        </is>
      </c>
      <c r="Q518" s="16">
        <f>HYPERLINK("https://pb.nalog.ru/search.html?query=5028022010","ФНС: проверить")</f>
        <v/>
      </c>
      <c r="R518" s="16">
        <f>HYPERLINK("https://checko.ru/search?query=3801001629","Чекко: проверить")</f>
        <v/>
      </c>
      <c r="S518" t="n">
        <v>1</v>
      </c>
      <c r="T518" s="35" t="inlineStr">
        <is>
          <t>4 — Не обогащён</t>
        </is>
      </c>
      <c r="U518" s="35" t="inlineStr">
        <is>
          <t>Нет ОКВЭД/ССЧР</t>
        </is>
      </c>
      <c r="V518" s="35" t="inlineStr">
        <is>
          <t>Не определено</t>
        </is>
      </c>
      <c r="W518" s="35" t="inlineStr"/>
      <c r="X518" s="35" t="inlineStr"/>
    </row>
    <row r="519" ht="15" customHeight="1" s="24">
      <c r="A519" s="13" t="n">
        <v>5000122498</v>
      </c>
      <c r="B519" s="13" t="inlineStr">
        <is>
          <t>ММБУ "Спортивная школа по самбо и дзюдо</t>
        </is>
      </c>
      <c r="C519" s="13" t="n">
        <v>5028022116</v>
      </c>
      <c r="D519" s="13" t="inlineStr">
        <is>
          <t>5028022116</t>
        </is>
      </c>
      <c r="E519" s="13" t="inlineStr">
        <is>
          <t>ЮЛ РФ</t>
        </is>
      </c>
      <c r="F519" s="13" t="n"/>
      <c r="G519" s="14" t="n"/>
      <c r="H519" s="14" t="n"/>
      <c r="I519" s="14" t="n"/>
      <c r="J519" s="14" t="n"/>
      <c r="K519" s="53" t="inlineStr"/>
      <c r="L519" s="53" t="inlineStr">
        <is>
          <t>Не определено</t>
        </is>
      </c>
      <c r="M519" s="53" t="inlineStr"/>
      <c r="N519" s="54" t="inlineStr"/>
      <c r="O519" s="55" t="inlineStr"/>
      <c r="P519" s="16" t="inlineStr">
        <is>
          <t>Требует обогащения</t>
        </is>
      </c>
      <c r="Q519" s="16">
        <f>HYPERLINK("https://pb.nalog.ru/search.html?query=5028022116","ФНС: проверить")</f>
        <v/>
      </c>
      <c r="R519" s="16">
        <f>HYPERLINK("https://checko.ru/search?query=3801001629","Чекко: проверить")</f>
        <v/>
      </c>
      <c r="S519" t="n">
        <v>1</v>
      </c>
      <c r="T519" s="35" t="inlineStr">
        <is>
          <t>4 — Не обогащён</t>
        </is>
      </c>
      <c r="U519" s="35" t="inlineStr">
        <is>
          <t>Нет ОКВЭД/ССЧР</t>
        </is>
      </c>
      <c r="V519" s="35" t="inlineStr">
        <is>
          <t>Не определено</t>
        </is>
      </c>
      <c r="W519" s="35" t="inlineStr"/>
      <c r="X519" s="35" t="inlineStr"/>
    </row>
    <row r="520" ht="15" customHeight="1" s="24">
      <c r="A520" s="13" t="n">
        <v>5000122503</v>
      </c>
      <c r="B520" s="13" t="inlineStr">
        <is>
          <t>МБУК "Можайский культурно-досуговой центр"</t>
        </is>
      </c>
      <c r="C520" s="13" t="n">
        <v>5028023261</v>
      </c>
      <c r="D520" s="13" t="inlineStr">
        <is>
          <t>5028023261</t>
        </is>
      </c>
      <c r="E520" s="13" t="inlineStr">
        <is>
          <t>ЮЛ РФ</t>
        </is>
      </c>
      <c r="F520" s="13" t="n"/>
      <c r="G520" s="14" t="n"/>
      <c r="H520" s="14" t="n"/>
      <c r="I520" s="14" t="n"/>
      <c r="J520" s="14" t="n"/>
      <c r="K520" s="53" t="inlineStr"/>
      <c r="L520" s="53" t="inlineStr">
        <is>
          <t>Не определено</t>
        </is>
      </c>
      <c r="M520" s="53" t="inlineStr"/>
      <c r="N520" s="54" t="inlineStr"/>
      <c r="O520" s="55" t="inlineStr"/>
      <c r="P520" s="16" t="inlineStr">
        <is>
          <t>Требует обогащения</t>
        </is>
      </c>
      <c r="Q520" s="16">
        <f>HYPERLINK("https://pb.nalog.ru/search.html?query=5028023261","ФНС: проверить")</f>
        <v/>
      </c>
      <c r="R520" s="16">
        <f>HYPERLINK("https://checko.ru/search?query=3801001629","Чекко: проверить")</f>
        <v/>
      </c>
      <c r="S520" t="n">
        <v>1</v>
      </c>
      <c r="T520" s="35" t="inlineStr">
        <is>
          <t>4 — Не обогащён</t>
        </is>
      </c>
      <c r="U520" s="35" t="inlineStr">
        <is>
          <t>Нет ОКВЭД/ССЧР</t>
        </is>
      </c>
      <c r="V520" s="35" t="inlineStr">
        <is>
          <t>Не определено</t>
        </is>
      </c>
      <c r="W520" s="35" t="inlineStr"/>
      <c r="X520" s="35" t="inlineStr"/>
    </row>
    <row r="521" ht="15" customHeight="1" s="24">
      <c r="A521" s="13" t="n">
        <v>5000122501</v>
      </c>
      <c r="B521" s="13" t="inlineStr">
        <is>
          <t>МБУК ДО "Детская музыкальная школа №1"</t>
        </is>
      </c>
      <c r="C521" s="13" t="n">
        <v>5028017726</v>
      </c>
      <c r="D521" s="13" t="inlineStr">
        <is>
          <t>5028017726</t>
        </is>
      </c>
      <c r="E521" s="13" t="inlineStr">
        <is>
          <t>ЮЛ РФ</t>
        </is>
      </c>
      <c r="F521" s="13" t="n"/>
      <c r="G521" s="14" t="n"/>
      <c r="H521" s="14" t="n"/>
      <c r="I521" s="14" t="n"/>
      <c r="J521" s="14" t="n"/>
      <c r="K521" s="53" t="inlineStr"/>
      <c r="L521" s="53" t="inlineStr">
        <is>
          <t>Не определено</t>
        </is>
      </c>
      <c r="M521" s="53" t="inlineStr"/>
      <c r="N521" s="54" t="inlineStr"/>
      <c r="O521" s="55" t="inlineStr"/>
      <c r="P521" s="16" t="inlineStr">
        <is>
          <t>Требует обогащения</t>
        </is>
      </c>
      <c r="Q521" s="16">
        <f>HYPERLINK("https://pb.nalog.ru/search.html?query=5028017726","ФНС: проверить")</f>
        <v/>
      </c>
      <c r="R521" s="16">
        <f>HYPERLINK("https://checko.ru/search?query=3801001629","Чекко: проверить")</f>
        <v/>
      </c>
      <c r="S521" t="n">
        <v>1</v>
      </c>
      <c r="T521" s="35" t="inlineStr">
        <is>
          <t>4 — Не обогащён</t>
        </is>
      </c>
      <c r="U521" s="35" t="inlineStr">
        <is>
          <t>Нет ОКВЭД/ССЧР</t>
        </is>
      </c>
      <c r="V521" s="35" t="inlineStr">
        <is>
          <t>Не определено</t>
        </is>
      </c>
      <c r="W521" s="35" t="inlineStr"/>
      <c r="X521" s="35" t="inlineStr"/>
    </row>
    <row r="522" ht="27.75" customHeight="1" s="24">
      <c r="A522" s="13" t="n">
        <v>5000122496</v>
      </c>
      <c r="B522" s="13" t="inlineStr">
        <is>
          <t>МБУК ДО "Детская школа искусств №1 им. С.В.Герасимова</t>
        </is>
      </c>
      <c r="C522" s="13" t="n">
        <v>5028017758</v>
      </c>
      <c r="D522" s="13" t="inlineStr">
        <is>
          <t>5028017758</t>
        </is>
      </c>
      <c r="E522" s="13" t="inlineStr">
        <is>
          <t>ЮЛ РФ</t>
        </is>
      </c>
      <c r="F522" s="13" t="n"/>
      <c r="G522" s="14" t="n"/>
      <c r="H522" s="14" t="n"/>
      <c r="I522" s="14" t="n"/>
      <c r="J522" s="14" t="n"/>
      <c r="K522" s="53" t="inlineStr"/>
      <c r="L522" s="53" t="inlineStr">
        <is>
          <t>Не определено</t>
        </is>
      </c>
      <c r="M522" s="53" t="inlineStr"/>
      <c r="N522" s="54" t="inlineStr"/>
      <c r="O522" s="55" t="inlineStr"/>
      <c r="P522" s="16" t="inlineStr">
        <is>
          <t>Требует обогащения</t>
        </is>
      </c>
      <c r="Q522" s="16">
        <f>HYPERLINK("https://pb.nalog.ru/search.html?query=5028017758","ФНС: проверить")</f>
        <v/>
      </c>
      <c r="R522" s="16">
        <f>HYPERLINK("https://checko.ru/search?query=3801001629","Чекко: проверить")</f>
        <v/>
      </c>
      <c r="S522" t="n">
        <v>1</v>
      </c>
      <c r="T522" s="35" t="inlineStr">
        <is>
          <t>4 — Не обогащён</t>
        </is>
      </c>
      <c r="U522" s="35" t="inlineStr">
        <is>
          <t>Нет ОКВЭД/ССЧР</t>
        </is>
      </c>
      <c r="V522" s="35" t="inlineStr">
        <is>
          <t>Не определено</t>
        </is>
      </c>
      <c r="W522" s="35" t="inlineStr"/>
      <c r="X522" s="35" t="inlineStr"/>
    </row>
    <row r="523" ht="15" customHeight="1" s="24">
      <c r="A523" s="13" t="n">
        <v>5000122505</v>
      </c>
      <c r="B523" s="13" t="inlineStr">
        <is>
          <t>МКУ ММО МО по Работе с Молодежью "ММЦ"</t>
        </is>
      </c>
      <c r="C523" s="13" t="n">
        <v>5028034256</v>
      </c>
      <c r="D523" s="13" t="inlineStr">
        <is>
          <t>5028034256</t>
        </is>
      </c>
      <c r="E523" s="13" t="inlineStr">
        <is>
          <t>ЮЛ РФ</t>
        </is>
      </c>
      <c r="F523" s="13" t="n"/>
      <c r="G523" s="14" t="n"/>
      <c r="H523" s="14" t="n"/>
      <c r="I523" s="14" t="n"/>
      <c r="J523" s="14" t="n"/>
      <c r="K523" s="53" t="inlineStr"/>
      <c r="L523" s="53" t="inlineStr">
        <is>
          <t>Не определено</t>
        </is>
      </c>
      <c r="M523" s="53" t="inlineStr"/>
      <c r="N523" s="54" t="inlineStr"/>
      <c r="O523" s="55" t="inlineStr"/>
      <c r="P523" s="16" t="inlineStr">
        <is>
          <t>Требует обогащения</t>
        </is>
      </c>
      <c r="Q523" s="16">
        <f>HYPERLINK("https://pb.nalog.ru/search.html?query=5028034256","ФНС: проверить")</f>
        <v/>
      </c>
      <c r="R523" s="16">
        <f>HYPERLINK("https://checko.ru/search?query=3801001629","Чекко: проверить")</f>
        <v/>
      </c>
      <c r="S523" t="n">
        <v>1</v>
      </c>
      <c r="T523" s="35" t="inlineStr">
        <is>
          <t>4 — Не обогащён</t>
        </is>
      </c>
      <c r="U523" s="35" t="inlineStr">
        <is>
          <t>Нет ОКВЭД/ССЧР</t>
        </is>
      </c>
      <c r="V523" s="35" t="inlineStr">
        <is>
          <t>Не определено</t>
        </is>
      </c>
      <c r="W523" s="35" t="inlineStr"/>
      <c r="X523" s="35" t="inlineStr"/>
    </row>
    <row r="524" ht="15" customHeight="1" s="24">
      <c r="A524" s="13" t="n">
        <v>5000122502</v>
      </c>
      <c r="B524" s="13" t="inlineStr">
        <is>
          <t>МБУК «Можайская Библиотека»</t>
        </is>
      </c>
      <c r="C524" s="13" t="n">
        <v>5028023279</v>
      </c>
      <c r="D524" s="13" t="inlineStr">
        <is>
          <t>5028023279</t>
        </is>
      </c>
      <c r="E524" s="13" t="inlineStr">
        <is>
          <t>ЮЛ РФ</t>
        </is>
      </c>
      <c r="F524" s="13" t="n"/>
      <c r="G524" s="14" t="n"/>
      <c r="H524" s="14" t="n"/>
      <c r="I524" s="14" t="n"/>
      <c r="J524" s="14" t="n"/>
      <c r="K524" s="53" t="inlineStr"/>
      <c r="L524" s="53" t="inlineStr">
        <is>
          <t>Не определено</t>
        </is>
      </c>
      <c r="M524" s="53" t="inlineStr"/>
      <c r="N524" s="54" t="inlineStr"/>
      <c r="O524" s="55" t="inlineStr"/>
      <c r="P524" s="16" t="inlineStr">
        <is>
          <t>Требует обогащения</t>
        </is>
      </c>
      <c r="Q524" s="16">
        <f>HYPERLINK("https://pb.nalog.ru/search.html?query=5028023279","ФНС: проверить")</f>
        <v/>
      </c>
      <c r="R524" s="16">
        <f>HYPERLINK("https://checko.ru/search?query=3801001629","Чекко: проверить")</f>
        <v/>
      </c>
      <c r="S524" t="n">
        <v>1</v>
      </c>
      <c r="T524" s="35" t="inlineStr">
        <is>
          <t>4 — Не обогащён</t>
        </is>
      </c>
      <c r="U524" s="35" t="inlineStr">
        <is>
          <t>Нет ОКВЭД/ССЧР</t>
        </is>
      </c>
      <c r="V524" s="35" t="inlineStr">
        <is>
          <t>Не определено</t>
        </is>
      </c>
      <c r="W524" s="35" t="inlineStr"/>
      <c r="X524" s="35" t="inlineStr"/>
    </row>
    <row r="525" ht="27.75" customHeight="1" s="24">
      <c r="A525" s="13" t="n">
        <v>5000122508</v>
      </c>
      <c r="B525" s="13" t="inlineStr">
        <is>
          <t>Финансово-казначейское управление администрации Можайского района</t>
        </is>
      </c>
      <c r="C525" s="13" t="n">
        <v>5028106221</v>
      </c>
      <c r="D525" s="13" t="inlineStr">
        <is>
          <t>5028106221</t>
        </is>
      </c>
      <c r="E525" s="13" t="inlineStr">
        <is>
          <t>ЮЛ РФ</t>
        </is>
      </c>
      <c r="F525" s="13" t="n"/>
      <c r="G525" s="14" t="n"/>
      <c r="H525" s="14" t="n"/>
      <c r="I525" s="14" t="n"/>
      <c r="J525" s="14" t="n"/>
      <c r="K525" s="53" t="inlineStr"/>
      <c r="L525" s="53" t="inlineStr">
        <is>
          <t>Не определено</t>
        </is>
      </c>
      <c r="M525" s="53" t="inlineStr"/>
      <c r="N525" s="54" t="inlineStr"/>
      <c r="O525" s="55" t="inlineStr"/>
      <c r="P525" s="16" t="inlineStr">
        <is>
          <t>Требует обогащения</t>
        </is>
      </c>
      <c r="Q525" s="16">
        <f>HYPERLINK("https://pb.nalog.ru/search.html?query=5028106221","ФНС: проверить")</f>
        <v/>
      </c>
      <c r="R525" s="16">
        <f>HYPERLINK("https://checko.ru/search?query=3801001629","Чекко: проверить")</f>
        <v/>
      </c>
      <c r="S525" t="n">
        <v>1</v>
      </c>
      <c r="T525" s="35" t="inlineStr">
        <is>
          <t>4 — Не обогащён</t>
        </is>
      </c>
      <c r="U525" s="35" t="inlineStr">
        <is>
          <t>Нет ОКВЭД/ССЧР</t>
        </is>
      </c>
      <c r="V525" s="35" t="inlineStr">
        <is>
          <t>Не определено</t>
        </is>
      </c>
      <c r="W525" s="35" t="inlineStr"/>
      <c r="X525" s="35" t="inlineStr"/>
    </row>
    <row r="526" ht="15" customHeight="1" s="24">
      <c r="A526" s="13" t="n">
        <v>5000122497</v>
      </c>
      <c r="B526" s="13" t="inlineStr">
        <is>
          <t>МБУК ДО "Детская школа искусств №2"</t>
        </is>
      </c>
      <c r="C526" s="13" t="n">
        <v>5028017814</v>
      </c>
      <c r="D526" s="13" t="inlineStr">
        <is>
          <t>5028017814</t>
        </is>
      </c>
      <c r="E526" s="13" t="inlineStr">
        <is>
          <t>ЮЛ РФ</t>
        </is>
      </c>
      <c r="F526" s="13" t="n"/>
      <c r="G526" s="14" t="n"/>
      <c r="H526" s="14" t="n"/>
      <c r="I526" s="14" t="n"/>
      <c r="J526" s="14" t="n"/>
      <c r="K526" s="53" t="inlineStr"/>
      <c r="L526" s="53" t="inlineStr">
        <is>
          <t>Не определено</t>
        </is>
      </c>
      <c r="M526" s="53" t="inlineStr"/>
      <c r="N526" s="54" t="inlineStr"/>
      <c r="O526" s="55" t="inlineStr"/>
      <c r="P526" s="16" t="inlineStr">
        <is>
          <t>Требует обогащения</t>
        </is>
      </c>
      <c r="Q526" s="16">
        <f>HYPERLINK("https://pb.nalog.ru/search.html?query=5028017814","ФНС: проверить")</f>
        <v/>
      </c>
      <c r="R526" s="16">
        <f>HYPERLINK("https://checko.ru/search?query=3801001629","Чекко: проверить")</f>
        <v/>
      </c>
      <c r="S526" t="n">
        <v>1</v>
      </c>
      <c r="T526" s="35" t="inlineStr">
        <is>
          <t>4 — Не обогащён</t>
        </is>
      </c>
      <c r="U526" s="35" t="inlineStr">
        <is>
          <t>Нет ОКВЭД/ССЧР</t>
        </is>
      </c>
      <c r="V526" s="35" t="inlineStr">
        <is>
          <t>Не определено</t>
        </is>
      </c>
      <c r="W526" s="35" t="inlineStr"/>
      <c r="X526" s="35" t="inlineStr"/>
    </row>
    <row r="527" ht="15" customHeight="1" s="24">
      <c r="A527" s="13" t="n">
        <v>5000122500</v>
      </c>
      <c r="B527" s="13" t="inlineStr">
        <is>
          <t>МБУК ДО "Детская музыкальная школа №2"</t>
        </is>
      </c>
      <c r="C527" s="13" t="n">
        <v>5028017740</v>
      </c>
      <c r="D527" s="13" t="inlineStr">
        <is>
          <t>5028017740</t>
        </is>
      </c>
      <c r="E527" s="13" t="inlineStr">
        <is>
          <t>ЮЛ РФ</t>
        </is>
      </c>
      <c r="F527" s="13" t="n"/>
      <c r="G527" s="14" t="n"/>
      <c r="H527" s="14" t="n"/>
      <c r="I527" s="14" t="n"/>
      <c r="J527" s="14" t="n"/>
      <c r="K527" s="53" t="inlineStr"/>
      <c r="L527" s="53" t="inlineStr">
        <is>
          <t>Не определено</t>
        </is>
      </c>
      <c r="M527" s="53" t="inlineStr"/>
      <c r="N527" s="54" t="inlineStr"/>
      <c r="O527" s="55" t="inlineStr"/>
      <c r="P527" s="16" t="inlineStr">
        <is>
          <t>Требует обогащения</t>
        </is>
      </c>
      <c r="Q527" s="16">
        <f>HYPERLINK("https://pb.nalog.ru/search.html?query=5028017740","ФНС: проверить")</f>
        <v/>
      </c>
      <c r="R527" s="16">
        <f>HYPERLINK("https://checko.ru/search?query=3801001629","Чекко: проверить")</f>
        <v/>
      </c>
      <c r="S527" t="n">
        <v>1</v>
      </c>
      <c r="T527" s="35" t="inlineStr">
        <is>
          <t>4 — Не обогащён</t>
        </is>
      </c>
      <c r="U527" s="35" t="inlineStr">
        <is>
          <t>Нет ОКВЭД/ССЧР</t>
        </is>
      </c>
      <c r="V527" s="35" t="inlineStr">
        <is>
          <t>Не определено</t>
        </is>
      </c>
      <c r="W527" s="35" t="inlineStr"/>
      <c r="X527" s="35" t="inlineStr"/>
    </row>
    <row r="528" ht="15" customHeight="1" s="24">
      <c r="A528" s="13" t="n">
        <v>5000017038</v>
      </c>
      <c r="B528" s="13" t="inlineStr">
        <is>
          <t>ЦБС Электросталь</t>
        </is>
      </c>
      <c r="C528" s="13" t="n">
        <v>5053040214</v>
      </c>
      <c r="D528" s="13" t="inlineStr">
        <is>
          <t>5053040214</t>
        </is>
      </c>
      <c r="E528" s="13" t="inlineStr">
        <is>
          <t>ЮЛ РФ</t>
        </is>
      </c>
      <c r="F528" s="13" t="n"/>
      <c r="G528" s="14" t="n"/>
      <c r="H528" s="14" t="n"/>
      <c r="I528" s="14" t="n"/>
      <c r="J528" s="14" t="n"/>
      <c r="K528" s="53" t="inlineStr"/>
      <c r="L528" s="53" t="inlineStr">
        <is>
          <t>Не определено</t>
        </is>
      </c>
      <c r="M528" s="53" t="inlineStr"/>
      <c r="N528" s="54" t="inlineStr"/>
      <c r="O528" s="55" t="inlineStr"/>
      <c r="P528" s="16" t="inlineStr">
        <is>
          <t>Требует обогащения</t>
        </is>
      </c>
      <c r="Q528" s="16">
        <f>HYPERLINK("https://pb.nalog.ru/search.html?query=5053040214","ФНС: проверить")</f>
        <v/>
      </c>
      <c r="R528" s="16">
        <f>HYPERLINK("https://checko.ru/search?query=3801001629","Чекко: проверить")</f>
        <v/>
      </c>
      <c r="S528" t="n">
        <v>1</v>
      </c>
      <c r="T528" s="35" t="inlineStr">
        <is>
          <t>4 — Не обогащён</t>
        </is>
      </c>
      <c r="U528" s="35" t="inlineStr">
        <is>
          <t>Нет ОКВЭД/ССЧР</t>
        </is>
      </c>
      <c r="V528" s="35" t="inlineStr">
        <is>
          <t>Не определено</t>
        </is>
      </c>
      <c r="W528" s="35" t="inlineStr"/>
      <c r="X528" s="35" t="inlineStr"/>
    </row>
    <row r="529" ht="15" customHeight="1" s="24">
      <c r="A529" s="13" t="n">
        <v>5000104743</v>
      </c>
      <c r="B529" s="13" t="inlineStr">
        <is>
          <t>МОУДО ЦДОД</t>
        </is>
      </c>
      <c r="C529" s="13" t="n">
        <v>5031151961</v>
      </c>
      <c r="D529" s="13" t="inlineStr">
        <is>
          <t>5031151961</t>
        </is>
      </c>
      <c r="E529" s="13" t="inlineStr">
        <is>
          <t>ЮЛ РФ</t>
        </is>
      </c>
      <c r="F529" s="13" t="n"/>
      <c r="G529" s="14" t="n"/>
      <c r="H529" s="14" t="n"/>
      <c r="I529" s="14" t="n"/>
      <c r="J529" s="14" t="n"/>
      <c r="K529" s="53" t="inlineStr"/>
      <c r="L529" s="53" t="inlineStr">
        <is>
          <t>Не определено</t>
        </is>
      </c>
      <c r="M529" s="53" t="inlineStr"/>
      <c r="N529" s="54" t="inlineStr"/>
      <c r="O529" s="55" t="inlineStr"/>
      <c r="P529" s="16" t="inlineStr">
        <is>
          <t>Требует обогащения</t>
        </is>
      </c>
      <c r="Q529" s="16">
        <f>HYPERLINK("https://pb.nalog.ru/search.html?query=5031151961","ФНС: проверить")</f>
        <v/>
      </c>
      <c r="R529" s="16">
        <f>HYPERLINK("https://checko.ru/search?query=3801001629","Чекко: проверить")</f>
        <v/>
      </c>
      <c r="S529" t="n">
        <v>1</v>
      </c>
      <c r="T529" s="35" t="inlineStr">
        <is>
          <t>4 — Не обогащён</t>
        </is>
      </c>
      <c r="U529" s="35" t="inlineStr">
        <is>
          <t>Нет ОКВЭД/ССЧР</t>
        </is>
      </c>
      <c r="V529" s="35" t="inlineStr">
        <is>
          <t>Не определено</t>
        </is>
      </c>
      <c r="W529" s="35" t="inlineStr"/>
      <c r="X529" s="35" t="inlineStr"/>
    </row>
    <row r="530" ht="15" customHeight="1" s="24">
      <c r="A530" s="13" t="n">
        <v>5000017056</v>
      </c>
      <c r="B530" s="13" t="inlineStr">
        <is>
          <t>Детская музыкальная школа, МАУ ДО</t>
        </is>
      </c>
      <c r="C530" s="13" t="n">
        <v>5053018240</v>
      </c>
      <c r="D530" s="13" t="inlineStr">
        <is>
          <t>5053018240</t>
        </is>
      </c>
      <c r="E530" s="13" t="inlineStr">
        <is>
          <t>ЮЛ РФ</t>
        </is>
      </c>
      <c r="F530" s="13" t="n"/>
      <c r="G530" s="14" t="n"/>
      <c r="H530" s="14" t="n"/>
      <c r="I530" s="14" t="n"/>
      <c r="J530" s="14" t="n"/>
      <c r="K530" s="53" t="inlineStr"/>
      <c r="L530" s="53" t="inlineStr">
        <is>
          <t>Не определено</t>
        </is>
      </c>
      <c r="M530" s="53" t="inlineStr"/>
      <c r="N530" s="54" t="inlineStr"/>
      <c r="O530" s="55" t="inlineStr"/>
      <c r="P530" s="16" t="inlineStr">
        <is>
          <t>Требует обогащения</t>
        </is>
      </c>
      <c r="Q530" s="16">
        <f>HYPERLINK("https://pb.nalog.ru/search.html?query=5053018240","ФНС: проверить")</f>
        <v/>
      </c>
      <c r="R530" s="16">
        <f>HYPERLINK("https://checko.ru/search?query=3801001629","Чекко: проверить")</f>
        <v/>
      </c>
      <c r="S530" t="n">
        <v>1</v>
      </c>
      <c r="T530" s="35" t="inlineStr">
        <is>
          <t>4 — Не обогащён</t>
        </is>
      </c>
      <c r="U530" s="35" t="inlineStr">
        <is>
          <t>Нет ОКВЭД/ССЧР</t>
        </is>
      </c>
      <c r="V530" s="35" t="inlineStr">
        <is>
          <t>Не определено</t>
        </is>
      </c>
      <c r="W530" s="35" t="inlineStr"/>
      <c r="X530" s="35" t="inlineStr"/>
    </row>
    <row r="531" ht="15" customHeight="1" s="24">
      <c r="A531" s="13" t="n">
        <v>5000017042</v>
      </c>
      <c r="B531" s="13" t="inlineStr">
        <is>
          <t>МБУ "ЭГЦПВ"</t>
        </is>
      </c>
      <c r="C531" s="13" t="n">
        <v>5053040221</v>
      </c>
      <c r="D531" s="13" t="inlineStr">
        <is>
          <t>5053040221</t>
        </is>
      </c>
      <c r="E531" s="13" t="inlineStr">
        <is>
          <t>ЮЛ РФ</t>
        </is>
      </c>
      <c r="F531" s="13" t="n"/>
      <c r="G531" s="14" t="n"/>
      <c r="H531" s="14" t="n"/>
      <c r="I531" s="14" t="n"/>
      <c r="J531" s="14" t="n"/>
      <c r="K531" s="53" t="inlineStr"/>
      <c r="L531" s="53" t="inlineStr">
        <is>
          <t>Не определено</t>
        </is>
      </c>
      <c r="M531" s="53" t="inlineStr"/>
      <c r="N531" s="54" t="inlineStr"/>
      <c r="O531" s="55" t="inlineStr"/>
      <c r="P531" s="16" t="inlineStr">
        <is>
          <t>Требует обогащения</t>
        </is>
      </c>
      <c r="Q531" s="16">
        <f>HYPERLINK("https://pb.nalog.ru/search.html?query=5053040221","ФНС: проверить")</f>
        <v/>
      </c>
      <c r="R531" s="16">
        <f>HYPERLINK("https://checko.ru/search?query=3801001629","Чекко: проверить")</f>
        <v/>
      </c>
      <c r="S531" t="n">
        <v>1</v>
      </c>
      <c r="T531" s="35" t="inlineStr">
        <is>
          <t>4 — Не обогащён</t>
        </is>
      </c>
      <c r="U531" s="35" t="inlineStr">
        <is>
          <t>Нет ОКВЭД/ССЧР</t>
        </is>
      </c>
      <c r="V531" s="35" t="inlineStr">
        <is>
          <t>Не определено</t>
        </is>
      </c>
      <c r="W531" s="35" t="inlineStr"/>
      <c r="X531" s="35" t="inlineStr"/>
    </row>
    <row r="532" ht="15" customHeight="1" s="24">
      <c r="A532" s="13" t="n">
        <v>5000017043</v>
      </c>
      <c r="B532" s="13" t="inlineStr">
        <is>
          <t>МБУ "ПАРКИ ЭЛЕКТРОСТАЛИ"</t>
        </is>
      </c>
      <c r="C532" s="13" t="n">
        <v>5053045639</v>
      </c>
      <c r="D532" s="13" t="inlineStr">
        <is>
          <t>5053045639</t>
        </is>
      </c>
      <c r="E532" s="13" t="inlineStr">
        <is>
          <t>ЮЛ РФ</t>
        </is>
      </c>
      <c r="F532" s="13" t="n"/>
      <c r="G532" s="14" t="n"/>
      <c r="H532" s="14" t="n"/>
      <c r="I532" s="14" t="n"/>
      <c r="J532" s="14" t="n"/>
      <c r="K532" s="53" t="inlineStr"/>
      <c r="L532" s="53" t="inlineStr">
        <is>
          <t>Не определено</t>
        </is>
      </c>
      <c r="M532" s="53" t="inlineStr"/>
      <c r="N532" s="54" t="inlineStr"/>
      <c r="O532" s="55" t="inlineStr"/>
      <c r="P532" s="16" t="inlineStr">
        <is>
          <t>Требует обогащения</t>
        </is>
      </c>
      <c r="Q532" s="16">
        <f>HYPERLINK("https://pb.nalog.ru/search.html?query=5053045639","ФНС: проверить")</f>
        <v/>
      </c>
      <c r="R532" s="16">
        <f>HYPERLINK("https://checko.ru/search?query=3801001629","Чекко: проверить")</f>
        <v/>
      </c>
      <c r="S532" t="n">
        <v>1</v>
      </c>
      <c r="T532" s="35" t="inlineStr">
        <is>
          <t>4 — Не обогащён</t>
        </is>
      </c>
      <c r="U532" s="35" t="inlineStr">
        <is>
          <t>Нет ОКВЭД/ССЧР</t>
        </is>
      </c>
      <c r="V532" s="35" t="inlineStr">
        <is>
          <t>Не определено</t>
        </is>
      </c>
      <c r="W532" s="35" t="inlineStr"/>
      <c r="X532" s="35" t="inlineStr"/>
    </row>
    <row r="533" ht="15" customHeight="1" s="24">
      <c r="A533" s="13" t="n">
        <v>5000017037</v>
      </c>
      <c r="B533" s="13" t="inlineStr">
        <is>
          <t>МУ РН "Молодежный Центр"</t>
        </is>
      </c>
      <c r="C533" s="13" t="n">
        <v>5053040528</v>
      </c>
      <c r="D533" s="13" t="inlineStr">
        <is>
          <t>5053040528</t>
        </is>
      </c>
      <c r="E533" s="13" t="inlineStr">
        <is>
          <t>ЮЛ РФ</t>
        </is>
      </c>
      <c r="F533" s="13" t="n"/>
      <c r="G533" s="14" t="n"/>
      <c r="H533" s="14" t="n"/>
      <c r="I533" s="14" t="n"/>
      <c r="J533" s="14" t="n"/>
      <c r="K533" s="53" t="inlineStr"/>
      <c r="L533" s="53" t="inlineStr">
        <is>
          <t>Не определено</t>
        </is>
      </c>
      <c r="M533" s="53" t="inlineStr"/>
      <c r="N533" s="54" t="inlineStr"/>
      <c r="O533" s="55" t="inlineStr"/>
      <c r="P533" s="16" t="inlineStr">
        <is>
          <t>Требует обогащения</t>
        </is>
      </c>
      <c r="Q533" s="16">
        <f>HYPERLINK("https://pb.nalog.ru/search.html?query=5053040528","ФНС: проверить")</f>
        <v/>
      </c>
      <c r="R533" s="16">
        <f>HYPERLINK("https://checko.ru/search?query=3801001629","Чекко: проверить")</f>
        <v/>
      </c>
      <c r="S533" t="n">
        <v>1</v>
      </c>
      <c r="T533" s="35" t="inlineStr">
        <is>
          <t>4 — Не обогащён</t>
        </is>
      </c>
      <c r="U533" s="35" t="inlineStr">
        <is>
          <t>Нет ОКВЭД/ССЧР</t>
        </is>
      </c>
      <c r="V533" s="35" t="inlineStr">
        <is>
          <t>Не определено</t>
        </is>
      </c>
      <c r="W533" s="35" t="inlineStr"/>
      <c r="X533" s="35" t="inlineStr"/>
    </row>
    <row r="534" ht="15" customHeight="1" s="24">
      <c r="A534" s="13" t="n">
        <v>5000017051</v>
      </c>
      <c r="B534" s="13" t="inlineStr">
        <is>
          <t>Спорт.школа по дзюдо Электросталь</t>
        </is>
      </c>
      <c r="C534" s="13" t="n">
        <v>5053022504</v>
      </c>
      <c r="D534" s="13" t="inlineStr">
        <is>
          <t>5053022504</t>
        </is>
      </c>
      <c r="E534" s="13" t="inlineStr">
        <is>
          <t>ЮЛ РФ</t>
        </is>
      </c>
      <c r="F534" s="13" t="n"/>
      <c r="G534" s="14" t="n"/>
      <c r="H534" s="14" t="n"/>
      <c r="I534" s="14" t="n"/>
      <c r="J534" s="14" t="n"/>
      <c r="K534" s="53" t="inlineStr"/>
      <c r="L534" s="53" t="inlineStr">
        <is>
          <t>Не определено</t>
        </is>
      </c>
      <c r="M534" s="53" t="inlineStr"/>
      <c r="N534" s="54" t="inlineStr"/>
      <c r="O534" s="55" t="inlineStr"/>
      <c r="P534" s="16" t="inlineStr">
        <is>
          <t>Требует обогащения</t>
        </is>
      </c>
      <c r="Q534" s="16">
        <f>HYPERLINK("https://pb.nalog.ru/search.html?query=5053022504","ФНС: проверить")</f>
        <v/>
      </c>
      <c r="R534" s="16">
        <f>HYPERLINK("https://checko.ru/search?query=3801001629","Чекко: проверить")</f>
        <v/>
      </c>
      <c r="S534" t="n">
        <v>1</v>
      </c>
      <c r="T534" s="35" t="inlineStr">
        <is>
          <t>4 — Не обогащён</t>
        </is>
      </c>
      <c r="U534" s="35" t="inlineStr">
        <is>
          <t>Нет ОКВЭД/ССЧР</t>
        </is>
      </c>
      <c r="V534" s="35" t="inlineStr">
        <is>
          <t>Не определено</t>
        </is>
      </c>
      <c r="W534" s="35" t="inlineStr"/>
      <c r="X534" s="35" t="inlineStr"/>
    </row>
    <row r="535" ht="27.75" customHeight="1" s="24">
      <c r="A535" s="13" t="n">
        <v>5000017052</v>
      </c>
      <c r="B535" s="13" t="inlineStr">
        <is>
          <t>Спорт.школа Кристалл_Электросталь по водным видам спорта</t>
        </is>
      </c>
      <c r="C535" s="13" t="n">
        <v>5053030600</v>
      </c>
      <c r="D535" s="13" t="inlineStr">
        <is>
          <t>5053030600</t>
        </is>
      </c>
      <c r="E535" s="13" t="inlineStr">
        <is>
          <t>ЮЛ РФ</t>
        </is>
      </c>
      <c r="F535" s="13" t="n"/>
      <c r="G535" s="14" t="n"/>
      <c r="H535" s="14" t="n"/>
      <c r="I535" s="14" t="n"/>
      <c r="J535" s="14" t="n"/>
      <c r="K535" s="53" t="inlineStr"/>
      <c r="L535" s="53" t="inlineStr">
        <is>
          <t>Не определено</t>
        </is>
      </c>
      <c r="M535" s="53" t="inlineStr"/>
      <c r="N535" s="54" t="inlineStr"/>
      <c r="O535" s="55" t="inlineStr"/>
      <c r="P535" s="16" t="inlineStr">
        <is>
          <t>Требует обогащения</t>
        </is>
      </c>
      <c r="Q535" s="16">
        <f>HYPERLINK("https://pb.nalog.ru/search.html?query=5053030600","ФНС: проверить")</f>
        <v/>
      </c>
      <c r="R535" s="16">
        <f>HYPERLINK("https://checko.ru/search?query=3801001629","Чекко: проверить")</f>
        <v/>
      </c>
      <c r="S535" t="n">
        <v>1</v>
      </c>
      <c r="T535" s="35" t="inlineStr">
        <is>
          <t>4 — Не обогащён</t>
        </is>
      </c>
      <c r="U535" s="35" t="inlineStr">
        <is>
          <t>Нет ОКВЭД/ССЧР</t>
        </is>
      </c>
      <c r="V535" s="35" t="inlineStr">
        <is>
          <t>Не определено</t>
        </is>
      </c>
      <c r="W535" s="35" t="inlineStr"/>
      <c r="X535" s="35" t="inlineStr"/>
    </row>
    <row r="536" ht="15" customHeight="1" s="24">
      <c r="A536" s="13" t="n">
        <v>5000017003</v>
      </c>
      <c r="B536" s="13" t="inlineStr">
        <is>
          <t>МБОУ "Центр "Надежда"</t>
        </is>
      </c>
      <c r="C536" s="13" t="n">
        <v>5053041970</v>
      </c>
      <c r="D536" s="13" t="inlineStr">
        <is>
          <t>5053041970</t>
        </is>
      </c>
      <c r="E536" s="13" t="inlineStr">
        <is>
          <t>ЮЛ РФ</t>
        </is>
      </c>
      <c r="F536" s="13" t="n"/>
      <c r="G536" s="14" t="n"/>
      <c r="H536" s="14" t="n"/>
      <c r="I536" s="14" t="n"/>
      <c r="J536" s="14" t="n"/>
      <c r="K536" s="53" t="inlineStr"/>
      <c r="L536" s="53" t="inlineStr">
        <is>
          <t>Не определено</t>
        </is>
      </c>
      <c r="M536" s="53" t="inlineStr"/>
      <c r="N536" s="54" t="inlineStr"/>
      <c r="O536" s="55" t="inlineStr"/>
      <c r="P536" s="16" t="inlineStr">
        <is>
          <t>Требует обогащения</t>
        </is>
      </c>
      <c r="Q536" s="16">
        <f>HYPERLINK("https://pb.nalog.ru/search.html?query=5053041970","ФНС: проверить")</f>
        <v/>
      </c>
      <c r="R536" s="16">
        <f>HYPERLINK("https://checko.ru/search?query=3801001629","Чекко: проверить")</f>
        <v/>
      </c>
      <c r="S536" t="n">
        <v>1</v>
      </c>
      <c r="T536" s="35" t="inlineStr">
        <is>
          <t>4 — Не обогащён</t>
        </is>
      </c>
      <c r="U536" s="35" t="inlineStr">
        <is>
          <t>Нет ОКВЭД/ССЧР</t>
        </is>
      </c>
      <c r="V536" s="35" t="inlineStr">
        <is>
          <t>Не определено</t>
        </is>
      </c>
      <c r="W536" s="35" t="inlineStr"/>
      <c r="X536" s="35" t="inlineStr"/>
    </row>
    <row r="537" ht="15" customHeight="1" s="24">
      <c r="A537" s="13" t="n">
        <v>5000017007</v>
      </c>
      <c r="B537" s="13" t="inlineStr">
        <is>
          <t>МУ ДПО "Методический центр"</t>
        </is>
      </c>
      <c r="C537" s="13" t="n">
        <v>5053052770</v>
      </c>
      <c r="D537" s="13" t="inlineStr">
        <is>
          <t>5053052770</t>
        </is>
      </c>
      <c r="E537" s="13" t="inlineStr">
        <is>
          <t>ЮЛ РФ</t>
        </is>
      </c>
      <c r="F537" s="13" t="n"/>
      <c r="G537" s="14" t="n"/>
      <c r="H537" s="14" t="n"/>
      <c r="I537" s="14" t="n"/>
      <c r="J537" s="14" t="n"/>
      <c r="K537" s="53" t="inlineStr"/>
      <c r="L537" s="53" t="inlineStr">
        <is>
          <t>Не определено</t>
        </is>
      </c>
      <c r="M537" s="53" t="inlineStr"/>
      <c r="N537" s="54" t="inlineStr"/>
      <c r="O537" s="55" t="inlineStr"/>
      <c r="P537" s="16" t="inlineStr">
        <is>
          <t>Требует обогащения</t>
        </is>
      </c>
      <c r="Q537" s="16">
        <f>HYPERLINK("https://pb.nalog.ru/search.html?query=5053052770","ФНС: проверить")</f>
        <v/>
      </c>
      <c r="R537" s="16">
        <f>HYPERLINK("https://checko.ru/search?query=3801001629","Чекко: проверить")</f>
        <v/>
      </c>
      <c r="S537" t="n">
        <v>1</v>
      </c>
      <c r="T537" s="35" t="inlineStr">
        <is>
          <t>4 — Не обогащён</t>
        </is>
      </c>
      <c r="U537" s="35" t="inlineStr">
        <is>
          <t>Нет ОКВЭД/ССЧР</t>
        </is>
      </c>
      <c r="V537" s="35" t="inlineStr">
        <is>
          <t>Не определено</t>
        </is>
      </c>
      <c r="W537" s="35" t="inlineStr"/>
      <c r="X537" s="35" t="inlineStr"/>
    </row>
    <row r="538" ht="15" customHeight="1" s="24">
      <c r="A538" s="13" t="n">
        <v>5000017009</v>
      </c>
      <c r="B538" s="13" t="inlineStr">
        <is>
          <t>МОУ "СОШ № 1"</t>
        </is>
      </c>
      <c r="C538" s="13" t="n">
        <v>5053003396</v>
      </c>
      <c r="D538" s="13" t="inlineStr">
        <is>
          <t>5053003396</t>
        </is>
      </c>
      <c r="E538" s="13" t="inlineStr">
        <is>
          <t>ЮЛ РФ</t>
        </is>
      </c>
      <c r="F538" s="13" t="n"/>
      <c r="G538" s="14" t="n"/>
      <c r="H538" s="14" t="n"/>
      <c r="I538" s="14" t="n"/>
      <c r="J538" s="14" t="n"/>
      <c r="K538" s="53" t="inlineStr"/>
      <c r="L538" s="53" t="inlineStr">
        <is>
          <t>Не определено</t>
        </is>
      </c>
      <c r="M538" s="53" t="inlineStr"/>
      <c r="N538" s="54" t="inlineStr"/>
      <c r="O538" s="55" t="inlineStr"/>
      <c r="P538" s="16" t="inlineStr">
        <is>
          <t>Требует обогащения</t>
        </is>
      </c>
      <c r="Q538" s="16">
        <f>HYPERLINK("https://pb.nalog.ru/search.html?query=5053003396","ФНС: проверить")</f>
        <v/>
      </c>
      <c r="R538" s="16">
        <f>HYPERLINK("https://checko.ru/search?query=3801001629","Чекко: проверить")</f>
        <v/>
      </c>
      <c r="S538" t="n">
        <v>1</v>
      </c>
      <c r="T538" s="35" t="inlineStr">
        <is>
          <t>4 — Не обогащён</t>
        </is>
      </c>
      <c r="U538" s="35" t="inlineStr">
        <is>
          <t>Нет ОКВЭД/ССЧР</t>
        </is>
      </c>
      <c r="V538" s="35" t="inlineStr">
        <is>
          <t>Не определено</t>
        </is>
      </c>
      <c r="W538" s="35" t="inlineStr"/>
      <c r="X538" s="35" t="inlineStr"/>
    </row>
    <row r="539" ht="15" customHeight="1" s="24">
      <c r="A539" s="13" t="n">
        <v>5000017012</v>
      </c>
      <c r="B539" s="13" t="inlineStr">
        <is>
          <t>МОУ "Гимназия №4"</t>
        </is>
      </c>
      <c r="C539" s="13" t="n">
        <v>5053003163</v>
      </c>
      <c r="D539" s="13" t="inlineStr">
        <is>
          <t>5053003163</t>
        </is>
      </c>
      <c r="E539" s="13" t="inlineStr">
        <is>
          <t>ЮЛ РФ</t>
        </is>
      </c>
      <c r="F539" s="13" t="n"/>
      <c r="G539" s="14" t="n"/>
      <c r="H539" s="14" t="n"/>
      <c r="I539" s="14" t="n"/>
      <c r="J539" s="14" t="n"/>
      <c r="K539" s="53" t="inlineStr"/>
      <c r="L539" s="53" t="inlineStr">
        <is>
          <t>Не определено</t>
        </is>
      </c>
      <c r="M539" s="53" t="inlineStr"/>
      <c r="N539" s="54" t="inlineStr"/>
      <c r="O539" s="55" t="inlineStr"/>
      <c r="P539" s="16" t="inlineStr">
        <is>
          <t>Требует обогащения</t>
        </is>
      </c>
      <c r="Q539" s="16">
        <f>HYPERLINK("https://pb.nalog.ru/search.html?query=5053003163","ФНС: проверить")</f>
        <v/>
      </c>
      <c r="R539" s="16">
        <f>HYPERLINK("https://checko.ru/search?query=3801001629","Чекко: проверить")</f>
        <v/>
      </c>
      <c r="S539" t="n">
        <v>1</v>
      </c>
      <c r="T539" s="35" t="inlineStr">
        <is>
          <t>4 — Не обогащён</t>
        </is>
      </c>
      <c r="U539" s="35" t="inlineStr">
        <is>
          <t>Нет ОКВЭД/ССЧР</t>
        </is>
      </c>
      <c r="V539" s="35" t="inlineStr">
        <is>
          <t>Не определено</t>
        </is>
      </c>
      <c r="W539" s="35" t="inlineStr"/>
      <c r="X539" s="35" t="inlineStr"/>
    </row>
    <row r="540" ht="15" customHeight="1" s="24">
      <c r="A540" s="13" t="n">
        <v>5000017013</v>
      </c>
      <c r="B540" s="13" t="inlineStr">
        <is>
          <t>МОУ "СОШ №5"</t>
        </is>
      </c>
      <c r="C540" s="13" t="n">
        <v>5053003082</v>
      </c>
      <c r="D540" s="13" t="inlineStr">
        <is>
          <t>5053003082</t>
        </is>
      </c>
      <c r="E540" s="13" t="inlineStr">
        <is>
          <t>ЮЛ РФ</t>
        </is>
      </c>
      <c r="F540" s="13" t="n"/>
      <c r="G540" s="14" t="n"/>
      <c r="H540" s="14" t="n"/>
      <c r="I540" s="14" t="n"/>
      <c r="J540" s="14" t="n"/>
      <c r="K540" s="53" t="inlineStr"/>
      <c r="L540" s="53" t="inlineStr">
        <is>
          <t>Не определено</t>
        </is>
      </c>
      <c r="M540" s="53" t="inlineStr"/>
      <c r="N540" s="54" t="inlineStr"/>
      <c r="O540" s="55" t="inlineStr"/>
      <c r="P540" s="16" t="inlineStr">
        <is>
          <t>Требует обогащения</t>
        </is>
      </c>
      <c r="Q540" s="16">
        <f>HYPERLINK("https://pb.nalog.ru/search.html?query=5053003082","ФНС: проверить")</f>
        <v/>
      </c>
      <c r="R540" s="16">
        <f>HYPERLINK("https://checko.ru/search?query=3801001629","Чекко: проверить")</f>
        <v/>
      </c>
      <c r="S540" t="n">
        <v>1</v>
      </c>
      <c r="T540" s="35" t="inlineStr">
        <is>
          <t>4 — Не обогащён</t>
        </is>
      </c>
      <c r="U540" s="35" t="inlineStr">
        <is>
          <t>Нет ОКВЭД/ССЧР</t>
        </is>
      </c>
      <c r="V540" s="35" t="inlineStr">
        <is>
          <t>Не определено</t>
        </is>
      </c>
      <c r="W540" s="35" t="inlineStr"/>
      <c r="X540" s="35" t="inlineStr"/>
    </row>
    <row r="541" ht="15" customHeight="1" s="24">
      <c r="A541" s="13" t="n">
        <v>5000017014</v>
      </c>
      <c r="B541" s="13" t="inlineStr">
        <is>
          <t>МОУ "Лицей №7"</t>
        </is>
      </c>
      <c r="C541" s="13" t="n">
        <v>5053011460</v>
      </c>
      <c r="D541" s="13" t="inlineStr">
        <is>
          <t>5053011460</t>
        </is>
      </c>
      <c r="E541" s="13" t="inlineStr">
        <is>
          <t>ЮЛ РФ</t>
        </is>
      </c>
      <c r="F541" s="13" t="n"/>
      <c r="G541" s="14" t="n"/>
      <c r="H541" s="14" t="n"/>
      <c r="I541" s="14" t="n"/>
      <c r="J541" s="14" t="n"/>
      <c r="K541" s="53" t="inlineStr"/>
      <c r="L541" s="53" t="inlineStr">
        <is>
          <t>Не определено</t>
        </is>
      </c>
      <c r="M541" s="53" t="inlineStr"/>
      <c r="N541" s="54" t="inlineStr"/>
      <c r="O541" s="55" t="inlineStr"/>
      <c r="P541" s="16" t="inlineStr">
        <is>
          <t>Требует обогащения</t>
        </is>
      </c>
      <c r="Q541" s="16">
        <f>HYPERLINK("https://pb.nalog.ru/search.html?query=5053011460","ФНС: проверить")</f>
        <v/>
      </c>
      <c r="R541" s="16">
        <f>HYPERLINK("https://checko.ru/search?query=3801001629","Чекко: проверить")</f>
        <v/>
      </c>
      <c r="S541" t="n">
        <v>1</v>
      </c>
      <c r="T541" s="35" t="inlineStr">
        <is>
          <t>4 — Не обогащён</t>
        </is>
      </c>
      <c r="U541" s="35" t="inlineStr">
        <is>
          <t>Нет ОКВЭД/ССЧР</t>
        </is>
      </c>
      <c r="V541" s="35" t="inlineStr">
        <is>
          <t>Не определено</t>
        </is>
      </c>
      <c r="W541" s="35" t="inlineStr"/>
      <c r="X541" s="35" t="inlineStr"/>
    </row>
    <row r="542" ht="15" customHeight="1" s="24">
      <c r="A542" s="13" t="n">
        <v>5000017015</v>
      </c>
      <c r="B542" s="13" t="inlineStr">
        <is>
          <t>МОУ "Лицей №8"</t>
        </is>
      </c>
      <c r="C542" s="13" t="n">
        <v>5053012915</v>
      </c>
      <c r="D542" s="13" t="inlineStr">
        <is>
          <t>5053012915</t>
        </is>
      </c>
      <c r="E542" s="13" t="inlineStr">
        <is>
          <t>ЮЛ РФ</t>
        </is>
      </c>
      <c r="F542" s="13" t="n"/>
      <c r="G542" s="14" t="n"/>
      <c r="H542" s="14" t="n"/>
      <c r="I542" s="14" t="n"/>
      <c r="J542" s="14" t="n"/>
      <c r="K542" s="53" t="inlineStr"/>
      <c r="L542" s="53" t="inlineStr">
        <is>
          <t>Не определено</t>
        </is>
      </c>
      <c r="M542" s="53" t="inlineStr"/>
      <c r="N542" s="54" t="inlineStr"/>
      <c r="O542" s="55" t="inlineStr"/>
      <c r="P542" s="16" t="inlineStr">
        <is>
          <t>Требует обогащения</t>
        </is>
      </c>
      <c r="Q542" s="16">
        <f>HYPERLINK("https://pb.nalog.ru/search.html?query=5053012915","ФНС: проверить")</f>
        <v/>
      </c>
      <c r="R542" s="16">
        <f>HYPERLINK("https://checko.ru/search?query=3801001629","Чекко: проверить")</f>
        <v/>
      </c>
      <c r="S542" t="n">
        <v>1</v>
      </c>
      <c r="T542" s="35" t="inlineStr">
        <is>
          <t>4 — Не обогащён</t>
        </is>
      </c>
      <c r="U542" s="35" t="inlineStr">
        <is>
          <t>Нет ОКВЭД/ССЧР</t>
        </is>
      </c>
      <c r="V542" s="35" t="inlineStr">
        <is>
          <t>Не определено</t>
        </is>
      </c>
      <c r="W542" s="35" t="inlineStr"/>
      <c r="X542" s="35" t="inlineStr"/>
    </row>
    <row r="543" ht="15" customHeight="1" s="24">
      <c r="A543" s="13" t="n">
        <v>5000017017</v>
      </c>
      <c r="B543" s="13" t="inlineStr">
        <is>
          <t>МОУ "СОШ №11"</t>
        </is>
      </c>
      <c r="C543" s="13" t="n">
        <v>5053003967</v>
      </c>
      <c r="D543" s="13" t="inlineStr">
        <is>
          <t>5053003967</t>
        </is>
      </c>
      <c r="E543" s="13" t="inlineStr">
        <is>
          <t>ЮЛ РФ</t>
        </is>
      </c>
      <c r="F543" s="13" t="n"/>
      <c r="G543" s="14" t="n"/>
      <c r="H543" s="14" t="n"/>
      <c r="I543" s="14" t="n"/>
      <c r="J543" s="14" t="n"/>
      <c r="K543" s="53" t="inlineStr"/>
      <c r="L543" s="53" t="inlineStr">
        <is>
          <t>Не определено</t>
        </is>
      </c>
      <c r="M543" s="53" t="inlineStr"/>
      <c r="N543" s="54" t="inlineStr"/>
      <c r="O543" s="55" t="inlineStr"/>
      <c r="P543" s="16" t="inlineStr">
        <is>
          <t>Требует обогащения</t>
        </is>
      </c>
      <c r="Q543" s="16">
        <f>HYPERLINK("https://pb.nalog.ru/search.html?query=5053003967","ФНС: проверить")</f>
        <v/>
      </c>
      <c r="R543" s="16">
        <f>HYPERLINK("https://checko.ru/search?query=3801001629","Чекко: проверить")</f>
        <v/>
      </c>
      <c r="S543" t="n">
        <v>1</v>
      </c>
      <c r="T543" s="35" t="inlineStr">
        <is>
          <t>4 — Не обогащён</t>
        </is>
      </c>
      <c r="U543" s="35" t="inlineStr">
        <is>
          <t>Нет ОКВЭД/ССЧР</t>
        </is>
      </c>
      <c r="V543" s="35" t="inlineStr">
        <is>
          <t>Не определено</t>
        </is>
      </c>
      <c r="W543" s="35" t="inlineStr"/>
      <c r="X543" s="35" t="inlineStr"/>
    </row>
    <row r="544" ht="15" customHeight="1" s="24">
      <c r="A544" s="13" t="n">
        <v>5000017018</v>
      </c>
      <c r="B544" s="13" t="inlineStr">
        <is>
          <t>МОУ "СОШ №12 с УИИЯ"</t>
        </is>
      </c>
      <c r="C544" s="13" t="n">
        <v>5053003156</v>
      </c>
      <c r="D544" s="13" t="inlineStr">
        <is>
          <t>5053003156</t>
        </is>
      </c>
      <c r="E544" s="13" t="inlineStr">
        <is>
          <t>ЮЛ РФ</t>
        </is>
      </c>
      <c r="F544" s="13" t="n"/>
      <c r="G544" s="14" t="n"/>
      <c r="H544" s="14" t="n"/>
      <c r="I544" s="14" t="n"/>
      <c r="J544" s="14" t="n"/>
      <c r="K544" s="53" t="inlineStr"/>
      <c r="L544" s="53" t="inlineStr">
        <is>
          <t>Не определено</t>
        </is>
      </c>
      <c r="M544" s="53" t="inlineStr"/>
      <c r="N544" s="54" t="inlineStr"/>
      <c r="O544" s="55" t="inlineStr"/>
      <c r="P544" s="16" t="inlineStr">
        <is>
          <t>Требует обогащения</t>
        </is>
      </c>
      <c r="Q544" s="16">
        <f>HYPERLINK("https://pb.nalog.ru/search.html?query=5053003156","ФНС: проверить")</f>
        <v/>
      </c>
      <c r="R544" s="16">
        <f>HYPERLINK("https://checko.ru/search?query=3801001629","Чекко: проверить")</f>
        <v/>
      </c>
      <c r="S544" t="n">
        <v>1</v>
      </c>
      <c r="T544" s="35" t="inlineStr">
        <is>
          <t>4 — Не обогащён</t>
        </is>
      </c>
      <c r="U544" s="35" t="inlineStr">
        <is>
          <t>Нет ОКВЭД/ССЧР</t>
        </is>
      </c>
      <c r="V544" s="35" t="inlineStr">
        <is>
          <t>Не определено</t>
        </is>
      </c>
      <c r="W544" s="35" t="inlineStr"/>
      <c r="X544" s="35" t="inlineStr"/>
    </row>
    <row r="545" ht="15" customHeight="1" s="24">
      <c r="A545" s="13" t="n">
        <v>5000017022</v>
      </c>
      <c r="B545" s="13" t="inlineStr">
        <is>
          <t>МОУ "СОШ №16 с УИОП"</t>
        </is>
      </c>
      <c r="C545" s="13" t="n">
        <v>5053002931</v>
      </c>
      <c r="D545" s="13" t="inlineStr">
        <is>
          <t>5053002931</t>
        </is>
      </c>
      <c r="E545" s="13" t="inlineStr">
        <is>
          <t>ЮЛ РФ</t>
        </is>
      </c>
      <c r="F545" s="13" t="n"/>
      <c r="G545" s="14" t="n"/>
      <c r="H545" s="14" t="n"/>
      <c r="I545" s="14" t="n"/>
      <c r="J545" s="14" t="n"/>
      <c r="K545" s="53" t="inlineStr"/>
      <c r="L545" s="53" t="inlineStr">
        <is>
          <t>Не определено</t>
        </is>
      </c>
      <c r="M545" s="53" t="inlineStr"/>
      <c r="N545" s="54" t="inlineStr"/>
      <c r="O545" s="55" t="inlineStr"/>
      <c r="P545" s="16" t="inlineStr">
        <is>
          <t>Требует обогащения</t>
        </is>
      </c>
      <c r="Q545" s="16">
        <f>HYPERLINK("https://pb.nalog.ru/search.html?query=5053002931","ФНС: проверить")</f>
        <v/>
      </c>
      <c r="R545" s="16">
        <f>HYPERLINK("https://checko.ru/search?query=3801001629","Чекко: проверить")</f>
        <v/>
      </c>
      <c r="S545" t="n">
        <v>1</v>
      </c>
      <c r="T545" s="35" t="inlineStr">
        <is>
          <t>4 — Не обогащён</t>
        </is>
      </c>
      <c r="U545" s="35" t="inlineStr">
        <is>
          <t>Нет ОКВЭД/ССЧР</t>
        </is>
      </c>
      <c r="V545" s="35" t="inlineStr">
        <is>
          <t>Не определено</t>
        </is>
      </c>
      <c r="W545" s="35" t="inlineStr"/>
      <c r="X545" s="35" t="inlineStr"/>
    </row>
    <row r="546" ht="15" customHeight="1" s="24">
      <c r="A546" s="13" t="n">
        <v>5000017024</v>
      </c>
      <c r="B546" s="13" t="inlineStr">
        <is>
          <t>МОУ "СОШ №18"</t>
        </is>
      </c>
      <c r="C546" s="13" t="n">
        <v>5053002995</v>
      </c>
      <c r="D546" s="13" t="inlineStr">
        <is>
          <t>5053002995</t>
        </is>
      </c>
      <c r="E546" s="13" t="inlineStr">
        <is>
          <t>ЮЛ РФ</t>
        </is>
      </c>
      <c r="F546" s="13" t="n"/>
      <c r="G546" s="14" t="n"/>
      <c r="H546" s="14" t="n"/>
      <c r="I546" s="14" t="n"/>
      <c r="J546" s="14" t="n"/>
      <c r="K546" s="53" t="inlineStr"/>
      <c r="L546" s="53" t="inlineStr">
        <is>
          <t>Не определено</t>
        </is>
      </c>
      <c r="M546" s="53" t="inlineStr"/>
      <c r="N546" s="54" t="inlineStr"/>
      <c r="O546" s="55" t="inlineStr"/>
      <c r="P546" s="16" t="inlineStr">
        <is>
          <t>Требует обогащения</t>
        </is>
      </c>
      <c r="Q546" s="16">
        <f>HYPERLINK("https://pb.nalog.ru/search.html?query=5053002995","ФНС: проверить")</f>
        <v/>
      </c>
      <c r="R546" s="16">
        <f>HYPERLINK("https://checko.ru/search?query=3801001629","Чекко: проверить")</f>
        <v/>
      </c>
      <c r="S546" t="n">
        <v>1</v>
      </c>
      <c r="T546" s="35" t="inlineStr">
        <is>
          <t>4 — Не обогащён</t>
        </is>
      </c>
      <c r="U546" s="35" t="inlineStr">
        <is>
          <t>Нет ОКВЭД/ССЧР</t>
        </is>
      </c>
      <c r="V546" s="35" t="inlineStr">
        <is>
          <t>Не определено</t>
        </is>
      </c>
      <c r="W546" s="35" t="inlineStr"/>
      <c r="X546" s="35" t="inlineStr"/>
    </row>
    <row r="547" ht="15" customHeight="1" s="24">
      <c r="A547" s="13" t="n">
        <v>5000017027</v>
      </c>
      <c r="B547" s="13" t="inlineStr">
        <is>
          <t>МОУ "Гимназия №21"</t>
        </is>
      </c>
      <c r="C547" s="13" t="n">
        <v>5053003830</v>
      </c>
      <c r="D547" s="13" t="inlineStr">
        <is>
          <t>5053003830</t>
        </is>
      </c>
      <c r="E547" s="13" t="inlineStr">
        <is>
          <t>ЮЛ РФ</t>
        </is>
      </c>
      <c r="F547" s="13" t="n"/>
      <c r="G547" s="14" t="n"/>
      <c r="H547" s="14" t="n"/>
      <c r="I547" s="14" t="n"/>
      <c r="J547" s="14" t="n"/>
      <c r="K547" s="53" t="inlineStr"/>
      <c r="L547" s="53" t="inlineStr">
        <is>
          <t>Не определено</t>
        </is>
      </c>
      <c r="M547" s="53" t="inlineStr"/>
      <c r="N547" s="54" t="inlineStr"/>
      <c r="O547" s="55" t="inlineStr"/>
      <c r="P547" s="16" t="inlineStr">
        <is>
          <t>Требует обогащения</t>
        </is>
      </c>
      <c r="Q547" s="16">
        <f>HYPERLINK("https://pb.nalog.ru/search.html?query=5053003830","ФНС: проверить")</f>
        <v/>
      </c>
      <c r="R547" s="16">
        <f>HYPERLINK("https://checko.ru/search?query=3801001629","Чекко: проверить")</f>
        <v/>
      </c>
      <c r="S547" t="n">
        <v>1</v>
      </c>
      <c r="T547" s="35" t="inlineStr">
        <is>
          <t>4 — Не обогащён</t>
        </is>
      </c>
      <c r="U547" s="35" t="inlineStr">
        <is>
          <t>Нет ОКВЭД/ССЧР</t>
        </is>
      </c>
      <c r="V547" s="35" t="inlineStr">
        <is>
          <t>Не определено</t>
        </is>
      </c>
      <c r="W547" s="35" t="inlineStr"/>
      <c r="X547" s="35" t="inlineStr"/>
    </row>
    <row r="548" ht="15" customHeight="1" s="24">
      <c r="A548" s="13" t="n">
        <v>5000017028</v>
      </c>
      <c r="B548" s="13" t="inlineStr">
        <is>
          <t>МОУ "СОШ №22 с УИОП"</t>
        </is>
      </c>
      <c r="C548" s="13" t="n">
        <v>5053002970</v>
      </c>
      <c r="D548" s="13" t="inlineStr">
        <is>
          <t>5053002970</t>
        </is>
      </c>
      <c r="E548" s="13" t="inlineStr">
        <is>
          <t>ЮЛ РФ</t>
        </is>
      </c>
      <c r="F548" s="13" t="n"/>
      <c r="G548" s="14" t="n"/>
      <c r="H548" s="14" t="n"/>
      <c r="I548" s="14" t="n"/>
      <c r="J548" s="14" t="n"/>
      <c r="K548" s="53" t="inlineStr"/>
      <c r="L548" s="53" t="inlineStr">
        <is>
          <t>Не определено</t>
        </is>
      </c>
      <c r="M548" s="53" t="inlineStr"/>
      <c r="N548" s="54" t="inlineStr"/>
      <c r="O548" s="55" t="inlineStr"/>
      <c r="P548" s="16" t="inlineStr">
        <is>
          <t>Требует обогащения</t>
        </is>
      </c>
      <c r="Q548" s="16">
        <f>HYPERLINK("https://pb.nalog.ru/search.html?query=5053002970","ФНС: проверить")</f>
        <v/>
      </c>
      <c r="R548" s="16">
        <f>HYPERLINK("https://checko.ru/search?query=3801001629","Чекко: проверить")</f>
        <v/>
      </c>
      <c r="S548" t="n">
        <v>1</v>
      </c>
      <c r="T548" s="35" t="inlineStr">
        <is>
          <t>4 — Не обогащён</t>
        </is>
      </c>
      <c r="U548" s="35" t="inlineStr">
        <is>
          <t>Нет ОКВЭД/ССЧР</t>
        </is>
      </c>
      <c r="V548" s="35" t="inlineStr">
        <is>
          <t>Не определено</t>
        </is>
      </c>
      <c r="W548" s="35" t="inlineStr"/>
      <c r="X548" s="35" t="inlineStr"/>
    </row>
    <row r="549" ht="27.75" customHeight="1" s="24">
      <c r="A549" s="13" t="n">
        <v>5000017029</v>
      </c>
      <c r="B549" s="13" t="inlineStr">
        <is>
          <t>МБОУ "ФРЯЗЕВСКАЯ СОШ № 41 ИМ.Б.А.ВОРОБЬЕВА"</t>
        </is>
      </c>
      <c r="C549" s="13" t="n">
        <v>5031028654</v>
      </c>
      <c r="D549" s="13" t="inlineStr">
        <is>
          <t>5031028654</t>
        </is>
      </c>
      <c r="E549" s="13" t="inlineStr">
        <is>
          <t>ЮЛ РФ</t>
        </is>
      </c>
      <c r="F549" s="13" t="n"/>
      <c r="G549" s="14" t="n"/>
      <c r="H549" s="14" t="n"/>
      <c r="I549" s="14" t="n"/>
      <c r="J549" s="14" t="n"/>
      <c r="K549" s="53" t="inlineStr"/>
      <c r="L549" s="53" t="inlineStr">
        <is>
          <t>Не определено</t>
        </is>
      </c>
      <c r="M549" s="53" t="inlineStr"/>
      <c r="N549" s="54" t="inlineStr"/>
      <c r="O549" s="55" t="inlineStr"/>
      <c r="P549" s="16" t="inlineStr">
        <is>
          <t>Требует обогащения</t>
        </is>
      </c>
      <c r="Q549" s="16">
        <f>HYPERLINK("https://pb.nalog.ru/search.html?query=5031028654","ФНС: проверить")</f>
        <v/>
      </c>
      <c r="R549" s="16">
        <f>HYPERLINK("https://checko.ru/search?query=3801001629","Чекко: проверить")</f>
        <v/>
      </c>
      <c r="S549" t="n">
        <v>1</v>
      </c>
      <c r="T549" s="35" t="inlineStr">
        <is>
          <t>4 — Не обогащён</t>
        </is>
      </c>
      <c r="U549" s="35" t="inlineStr">
        <is>
          <t>Нет ОКВЭД/ССЧР</t>
        </is>
      </c>
      <c r="V549" s="35" t="inlineStr">
        <is>
          <t>Не определено</t>
        </is>
      </c>
      <c r="W549" s="35" t="inlineStr"/>
      <c r="X549" s="35" t="inlineStr"/>
    </row>
    <row r="550" ht="27.75" customHeight="1" s="24">
      <c r="A550" s="13" t="n">
        <v>5000017032</v>
      </c>
      <c r="B550" s="13" t="inlineStr">
        <is>
          <t>Управление образования Администрации городского округа Электросталь</t>
        </is>
      </c>
      <c r="C550" s="13" t="n">
        <v>5053011421</v>
      </c>
      <c r="D550" s="13" t="inlineStr">
        <is>
          <t>5053011421</t>
        </is>
      </c>
      <c r="E550" s="13" t="inlineStr">
        <is>
          <t>ЮЛ РФ</t>
        </is>
      </c>
      <c r="F550" s="13" t="n"/>
      <c r="G550" s="14" t="n"/>
      <c r="H550" s="14" t="n"/>
      <c r="I550" s="14" t="n"/>
      <c r="J550" s="14" t="n"/>
      <c r="K550" s="53" t="inlineStr"/>
      <c r="L550" s="53" t="inlineStr">
        <is>
          <t>Не определено</t>
        </is>
      </c>
      <c r="M550" s="53" t="inlineStr"/>
      <c r="N550" s="54" t="inlineStr"/>
      <c r="O550" s="55" t="inlineStr"/>
      <c r="P550" s="16" t="inlineStr">
        <is>
          <t>Требует обогащения</t>
        </is>
      </c>
      <c r="Q550" s="16">
        <f>HYPERLINK("https://pb.nalog.ru/search.html?query=5053011421","ФНС: проверить")</f>
        <v/>
      </c>
      <c r="R550" s="16">
        <f>HYPERLINK("https://checko.ru/search?query=3801001629","Чекко: проверить")</f>
        <v/>
      </c>
      <c r="S550" t="n">
        <v>1</v>
      </c>
      <c r="T550" s="35" t="inlineStr">
        <is>
          <t>4 — Не обогащён</t>
        </is>
      </c>
      <c r="U550" s="35" t="inlineStr">
        <is>
          <t>Нет ОКВЭД/ССЧР</t>
        </is>
      </c>
      <c r="V550" s="35" t="inlineStr">
        <is>
          <t>Не определено</t>
        </is>
      </c>
      <c r="W550" s="35" t="inlineStr"/>
      <c r="X550" s="35" t="inlineStr"/>
    </row>
    <row r="551" ht="27.75" customHeight="1" s="24">
      <c r="A551" s="13" t="n">
        <v>5000017034</v>
      </c>
      <c r="B551" s="13" t="inlineStr">
        <is>
          <t>УФКИС АДМИНИСТРАЦИИ ГОРОДСКОГО ОКРУГА ЭЛЕКТРОСТАЛЬ МОСКОВСКОЙ ОБЛАСТИ</t>
        </is>
      </c>
      <c r="C551" s="13" t="n">
        <v>5053045903</v>
      </c>
      <c r="D551" s="13" t="inlineStr">
        <is>
          <t>5053045903</t>
        </is>
      </c>
      <c r="E551" s="13" t="inlineStr">
        <is>
          <t>ЮЛ РФ</t>
        </is>
      </c>
      <c r="F551" s="13" t="n"/>
      <c r="G551" s="14" t="n"/>
      <c r="H551" s="14" t="n"/>
      <c r="I551" s="14" t="n"/>
      <c r="J551" s="14" t="n"/>
      <c r="K551" s="53" t="inlineStr"/>
      <c r="L551" s="53" t="inlineStr">
        <is>
          <t>Не определено</t>
        </is>
      </c>
      <c r="M551" s="53" t="inlineStr"/>
      <c r="N551" s="54" t="inlineStr"/>
      <c r="O551" s="55" t="inlineStr"/>
      <c r="P551" s="16" t="inlineStr">
        <is>
          <t>Требует обогащения</t>
        </is>
      </c>
      <c r="Q551" s="16">
        <f>HYPERLINK("https://pb.nalog.ru/search.html?query=5053045903","ФНС: проверить")</f>
        <v/>
      </c>
      <c r="R551" s="16">
        <f>HYPERLINK("https://checko.ru/search?query=3801001629","Чекко: проверить")</f>
        <v/>
      </c>
      <c r="S551" t="n">
        <v>1</v>
      </c>
      <c r="T551" s="35" t="inlineStr">
        <is>
          <t>4 — Не обогащён</t>
        </is>
      </c>
      <c r="U551" s="35" t="inlineStr">
        <is>
          <t>Нет ОКВЭД/ССЧР</t>
        </is>
      </c>
      <c r="V551" s="35" t="inlineStr">
        <is>
          <t>Не определено</t>
        </is>
      </c>
      <c r="W551" s="35" t="inlineStr"/>
      <c r="X551" s="35" t="inlineStr"/>
    </row>
    <row r="552" ht="15" customHeight="1" s="24">
      <c r="A552" s="13" t="n">
        <v>5000017036</v>
      </c>
      <c r="B552" s="13" t="inlineStr">
        <is>
          <t>МБУДО "ДХШ"</t>
        </is>
      </c>
      <c r="C552" s="13" t="n">
        <v>5053018226</v>
      </c>
      <c r="D552" s="13" t="inlineStr">
        <is>
          <t>5053018226</t>
        </is>
      </c>
      <c r="E552" s="13" t="inlineStr">
        <is>
          <t>ЮЛ РФ</t>
        </is>
      </c>
      <c r="F552" s="13" t="n"/>
      <c r="G552" s="14" t="n"/>
      <c r="H552" s="14" t="n"/>
      <c r="I552" s="14" t="n"/>
      <c r="J552" s="14" t="n"/>
      <c r="K552" s="53" t="inlineStr"/>
      <c r="L552" s="53" t="inlineStr">
        <is>
          <t>Не определено</t>
        </is>
      </c>
      <c r="M552" s="53" t="inlineStr"/>
      <c r="N552" s="54" t="inlineStr"/>
      <c r="O552" s="55" t="inlineStr"/>
      <c r="P552" s="16" t="inlineStr">
        <is>
          <t>Требует обогащения</t>
        </is>
      </c>
      <c r="Q552" s="16">
        <f>HYPERLINK("https://pb.nalog.ru/search.html?query=5053018226","ФНС: проверить")</f>
        <v/>
      </c>
      <c r="R552" s="16">
        <f>HYPERLINK("https://checko.ru/search?query=3801001629","Чекко: проверить")</f>
        <v/>
      </c>
      <c r="S552" t="n">
        <v>1</v>
      </c>
      <c r="T552" s="35" t="inlineStr">
        <is>
          <t>4 — Не обогащён</t>
        </is>
      </c>
      <c r="U552" s="35" t="inlineStr">
        <is>
          <t>Нет ОКВЭД/ССЧР</t>
        </is>
      </c>
      <c r="V552" s="35" t="inlineStr">
        <is>
          <t>Не определено</t>
        </is>
      </c>
      <c r="W552" s="35" t="inlineStr"/>
      <c r="X552" s="35" t="inlineStr"/>
    </row>
    <row r="553" ht="27.75" customHeight="1" s="24">
      <c r="A553" s="13" t="n">
        <v>5000017049</v>
      </c>
      <c r="B553" s="13" t="inlineStr">
        <is>
          <t>МБУ "СШОР ПО ИГРОВЫМ ВИДАМ СПОРТА "ЭЛЕКТРОСТАЛЬ"</t>
        </is>
      </c>
      <c r="C553" s="13" t="n">
        <v>5053014983</v>
      </c>
      <c r="D553" s="13" t="inlineStr">
        <is>
          <t>5053014983</t>
        </is>
      </c>
      <c r="E553" s="13" t="inlineStr">
        <is>
          <t>ЮЛ РФ</t>
        </is>
      </c>
      <c r="F553" s="13" t="n"/>
      <c r="G553" s="14" t="n"/>
      <c r="H553" s="14" t="n"/>
      <c r="I553" s="14" t="n"/>
      <c r="J553" s="14" t="n"/>
      <c r="K553" s="53" t="inlineStr"/>
      <c r="L553" s="53" t="inlineStr">
        <is>
          <t>Не определено</t>
        </is>
      </c>
      <c r="M553" s="53" t="inlineStr"/>
      <c r="N553" s="54" t="inlineStr"/>
      <c r="O553" s="55" t="inlineStr"/>
      <c r="P553" s="16" t="inlineStr">
        <is>
          <t>Требует обогащения</t>
        </is>
      </c>
      <c r="Q553" s="16">
        <f>HYPERLINK("https://pb.nalog.ru/search.html?query=5053014983","ФНС: проверить")</f>
        <v/>
      </c>
      <c r="R553" s="16">
        <f>HYPERLINK("https://checko.ru/search?query=3801001629","Чекко: проверить")</f>
        <v/>
      </c>
      <c r="S553" t="n">
        <v>1</v>
      </c>
      <c r="T553" s="35" t="inlineStr">
        <is>
          <t>4 — Не обогащён</t>
        </is>
      </c>
      <c r="U553" s="35" t="inlineStr">
        <is>
          <t>Нет ОКВЭД/ССЧР</t>
        </is>
      </c>
      <c r="V553" s="35" t="inlineStr">
        <is>
          <t>Не определено</t>
        </is>
      </c>
      <c r="W553" s="35" t="inlineStr"/>
      <c r="X553" s="35" t="inlineStr"/>
    </row>
    <row r="554" ht="27.75" customHeight="1" s="24">
      <c r="A554" s="13" t="n">
        <v>5000017050</v>
      </c>
      <c r="B554" s="13" t="inlineStr">
        <is>
          <t>МБУ "СШОР ПО ХОККЕЮ С ШАЙБОЙ "КРИСТАЛЛ-ЭЛЕКТРОСТАЛЬ"</t>
        </is>
      </c>
      <c r="C554" s="13" t="n">
        <v>5053025745</v>
      </c>
      <c r="D554" s="13" t="inlineStr">
        <is>
          <t>5053025745</t>
        </is>
      </c>
      <c r="E554" s="13" t="inlineStr">
        <is>
          <t>ЮЛ РФ</t>
        </is>
      </c>
      <c r="F554" s="13" t="n"/>
      <c r="G554" s="14" t="n"/>
      <c r="H554" s="14" t="n"/>
      <c r="I554" s="14" t="n"/>
      <c r="J554" s="14" t="n"/>
      <c r="K554" s="53" t="inlineStr"/>
      <c r="L554" s="53" t="inlineStr">
        <is>
          <t>Не определено</t>
        </is>
      </c>
      <c r="M554" s="53" t="inlineStr"/>
      <c r="N554" s="54" t="inlineStr"/>
      <c r="O554" s="55" t="inlineStr"/>
      <c r="P554" s="16" t="inlineStr">
        <is>
          <t>Требует обогащения</t>
        </is>
      </c>
      <c r="Q554" s="16">
        <f>HYPERLINK("https://pb.nalog.ru/search.html?query=5053025745","ФНС: проверить")</f>
        <v/>
      </c>
      <c r="R554" s="16">
        <f>HYPERLINK("https://checko.ru/search?query=3801001629","Чекко: проверить")</f>
        <v/>
      </c>
      <c r="S554" t="n">
        <v>1</v>
      </c>
      <c r="T554" s="35" t="inlineStr">
        <is>
          <t>4 — Не обогащён</t>
        </is>
      </c>
      <c r="U554" s="35" t="inlineStr">
        <is>
          <t>Нет ОКВЭД/ССЧР</t>
        </is>
      </c>
      <c r="V554" s="35" t="inlineStr">
        <is>
          <t>Не определено</t>
        </is>
      </c>
      <c r="W554" s="35" t="inlineStr"/>
      <c r="X554" s="35" t="inlineStr"/>
    </row>
    <row r="555" ht="15" customHeight="1" s="24">
      <c r="A555" s="13" t="n">
        <v>5000017054</v>
      </c>
      <c r="B555" s="13" t="inlineStr">
        <is>
          <t>МБУ "МИР СПОРТА "СТАЛЬ"</t>
        </is>
      </c>
      <c r="C555" s="13" t="n">
        <v>5053045727</v>
      </c>
      <c r="D555" s="13" t="inlineStr">
        <is>
          <t>5053045727</t>
        </is>
      </c>
      <c r="E555" s="13" t="inlineStr">
        <is>
          <t>ЮЛ РФ</t>
        </is>
      </c>
      <c r="F555" s="13" t="n"/>
      <c r="G555" s="14" t="n"/>
      <c r="H555" s="14" t="n"/>
      <c r="I555" s="14" t="n"/>
      <c r="J555" s="14" t="n"/>
      <c r="K555" s="53" t="inlineStr"/>
      <c r="L555" s="53" t="inlineStr">
        <is>
          <t>Не определено</t>
        </is>
      </c>
      <c r="M555" s="53" t="inlineStr"/>
      <c r="N555" s="54" t="inlineStr"/>
      <c r="O555" s="55" t="inlineStr"/>
      <c r="P555" s="16" t="inlineStr">
        <is>
          <t>Требует обогащения</t>
        </is>
      </c>
      <c r="Q555" s="16">
        <f>HYPERLINK("https://pb.nalog.ru/search.html?query=5053045727","ФНС: проверить")</f>
        <v/>
      </c>
      <c r="R555" s="16">
        <f>HYPERLINK("https://checko.ru/search?query=3801001629","Чекко: проверить")</f>
        <v/>
      </c>
      <c r="S555" t="n">
        <v>1</v>
      </c>
      <c r="T555" s="35" t="inlineStr">
        <is>
          <t>4 — Не обогащён</t>
        </is>
      </c>
      <c r="U555" s="35" t="inlineStr">
        <is>
          <t>Нет ОКВЭД/ССЧР</t>
        </is>
      </c>
      <c r="V555" s="35" t="inlineStr">
        <is>
          <t>Не определено</t>
        </is>
      </c>
      <c r="W555" s="35" t="inlineStr"/>
      <c r="X555" s="35" t="inlineStr"/>
    </row>
    <row r="556" ht="15" customHeight="1" s="24">
      <c r="A556" s="13" t="n">
        <v>5000017019</v>
      </c>
      <c r="B556" s="13" t="inlineStr">
        <is>
          <t>МОУ «СОШ № 13 с УИОП»</t>
        </is>
      </c>
      <c r="C556" s="13" t="n">
        <v>5053004520</v>
      </c>
      <c r="D556" s="13" t="inlineStr">
        <is>
          <t>5053004520</t>
        </is>
      </c>
      <c r="E556" s="13" t="inlineStr">
        <is>
          <t>ЮЛ РФ</t>
        </is>
      </c>
      <c r="F556" s="13" t="n"/>
      <c r="G556" s="14" t="n"/>
      <c r="H556" s="14" t="n"/>
      <c r="I556" s="14" t="n"/>
      <c r="J556" s="14" t="n"/>
      <c r="K556" s="53" t="inlineStr"/>
      <c r="L556" s="53" t="inlineStr">
        <is>
          <t>Не определено</t>
        </is>
      </c>
      <c r="M556" s="53" t="inlineStr"/>
      <c r="N556" s="54" t="inlineStr"/>
      <c r="O556" s="55" t="inlineStr"/>
      <c r="P556" s="16" t="inlineStr">
        <is>
          <t>Требует обогащения</t>
        </is>
      </c>
      <c r="Q556" s="16">
        <f>HYPERLINK("https://pb.nalog.ru/search.html?query=5053004520","ФНС: проверить")</f>
        <v/>
      </c>
      <c r="R556" s="16">
        <f>HYPERLINK("https://checko.ru/search?query=3801001629","Чекко: проверить")</f>
        <v/>
      </c>
      <c r="S556" t="n">
        <v>1</v>
      </c>
      <c r="T556" s="35" t="inlineStr">
        <is>
          <t>4 — Не обогащён</t>
        </is>
      </c>
      <c r="U556" s="35" t="inlineStr">
        <is>
          <t>Нет ОКВЭД/ССЧР</t>
        </is>
      </c>
      <c r="V556" s="35" t="inlineStr">
        <is>
          <t>Не определено</t>
        </is>
      </c>
      <c r="W556" s="35" t="inlineStr"/>
      <c r="X556" s="35" t="inlineStr"/>
    </row>
    <row r="557" ht="15" customHeight="1" s="24">
      <c r="A557" s="13" t="n">
        <v>5000017004</v>
      </c>
      <c r="B557" s="13" t="inlineStr">
        <is>
          <t>МСКОУ "Специальная Школа-интернат 1-2 вида"</t>
        </is>
      </c>
      <c r="C557" s="13" t="n">
        <v>5053003090</v>
      </c>
      <c r="D557" s="13" t="inlineStr">
        <is>
          <t>5053003090</t>
        </is>
      </c>
      <c r="E557" s="13" t="inlineStr">
        <is>
          <t>ЮЛ РФ</t>
        </is>
      </c>
      <c r="F557" s="13" t="n"/>
      <c r="G557" s="14" t="n"/>
      <c r="H557" s="14" t="n"/>
      <c r="I557" s="14" t="n"/>
      <c r="J557" s="14" t="n"/>
      <c r="K557" s="53" t="inlineStr"/>
      <c r="L557" s="53" t="inlineStr">
        <is>
          <t>Не определено</t>
        </is>
      </c>
      <c r="M557" s="53" t="inlineStr"/>
      <c r="N557" s="54" t="inlineStr"/>
      <c r="O557" s="55" t="inlineStr"/>
      <c r="P557" s="16" t="inlineStr">
        <is>
          <t>Требует обогащения</t>
        </is>
      </c>
      <c r="Q557" s="16">
        <f>HYPERLINK("https://pb.nalog.ru/search.html?query=5053003090","ФНС: проверить")</f>
        <v/>
      </c>
      <c r="R557" s="16">
        <f>HYPERLINK("https://checko.ru/search?query=3801001629","Чекко: проверить")</f>
        <v/>
      </c>
      <c r="S557" t="n">
        <v>1</v>
      </c>
      <c r="T557" s="35" t="inlineStr">
        <is>
          <t>4 — Не обогащён</t>
        </is>
      </c>
      <c r="U557" s="35" t="inlineStr">
        <is>
          <t>Нет ОКВЭД/ССЧР</t>
        </is>
      </c>
      <c r="V557" s="35" t="inlineStr">
        <is>
          <t>Не определено</t>
        </is>
      </c>
      <c r="W557" s="35" t="inlineStr"/>
      <c r="X557" s="35" t="inlineStr"/>
    </row>
    <row r="558" ht="15" customHeight="1" s="24">
      <c r="A558" s="13" t="n">
        <v>5000017039</v>
      </c>
      <c r="B558" s="13" t="inlineStr">
        <is>
          <t>МУ "Музейно-выставочный центр"</t>
        </is>
      </c>
      <c r="C558" s="13" t="n">
        <v>5053027799</v>
      </c>
      <c r="D558" s="13" t="inlineStr">
        <is>
          <t>5053027799</t>
        </is>
      </c>
      <c r="E558" s="13" t="inlineStr">
        <is>
          <t>ЮЛ РФ</t>
        </is>
      </c>
      <c r="F558" s="13" t="n"/>
      <c r="G558" s="14" t="n"/>
      <c r="H558" s="14" t="n"/>
      <c r="I558" s="14" t="n"/>
      <c r="J558" s="14" t="n"/>
      <c r="K558" s="53" t="inlineStr"/>
      <c r="L558" s="53" t="inlineStr">
        <is>
          <t>Не определено</t>
        </is>
      </c>
      <c r="M558" s="53" t="inlineStr"/>
      <c r="N558" s="54" t="inlineStr"/>
      <c r="O558" s="55" t="inlineStr"/>
      <c r="P558" s="16" t="inlineStr">
        <is>
          <t>Требует обогащения</t>
        </is>
      </c>
      <c r="Q558" s="16">
        <f>HYPERLINK("https://pb.nalog.ru/search.html?query=5053027799","ФНС: проверить")</f>
        <v/>
      </c>
      <c r="R558" s="16">
        <f>HYPERLINK("https://checko.ru/search?query=3801001629","Чекко: проверить")</f>
        <v/>
      </c>
      <c r="S558" t="n">
        <v>1</v>
      </c>
      <c r="T558" s="35" t="inlineStr">
        <is>
          <t>4 — Не обогащён</t>
        </is>
      </c>
      <c r="U558" s="35" t="inlineStr">
        <is>
          <t>Нет ОКВЭД/ССЧР</t>
        </is>
      </c>
      <c r="V558" s="35" t="inlineStr">
        <is>
          <t>Не определено</t>
        </is>
      </c>
      <c r="W558" s="35" t="inlineStr"/>
      <c r="X558" s="35" t="inlineStr"/>
    </row>
    <row r="559" ht="15" customHeight="1" s="24">
      <c r="A559" s="13" t="n">
        <v>5000017016</v>
      </c>
      <c r="B559" s="13" t="inlineStr">
        <is>
          <t>МОУ "Гимназия №9"</t>
        </is>
      </c>
      <c r="C559" s="13" t="n">
        <v>5053014493</v>
      </c>
      <c r="D559" s="13" t="inlineStr">
        <is>
          <t>5053014493</t>
        </is>
      </c>
      <c r="E559" s="13" t="inlineStr">
        <is>
          <t>ЮЛ РФ</t>
        </is>
      </c>
      <c r="F559" s="13" t="n"/>
      <c r="G559" s="14" t="n"/>
      <c r="H559" s="14" t="n"/>
      <c r="I559" s="14" t="n"/>
      <c r="J559" s="14" t="n"/>
      <c r="K559" s="53" t="inlineStr"/>
      <c r="L559" s="53" t="inlineStr">
        <is>
          <t>Не определено</t>
        </is>
      </c>
      <c r="M559" s="53" t="inlineStr"/>
      <c r="N559" s="54" t="inlineStr"/>
      <c r="O559" s="55" t="inlineStr"/>
      <c r="P559" s="16" t="inlineStr">
        <is>
          <t>Требует обогащения</t>
        </is>
      </c>
      <c r="Q559" s="16">
        <f>HYPERLINK("https://pb.nalog.ru/search.html?query=5053014493","ФНС: проверить")</f>
        <v/>
      </c>
      <c r="R559" s="16">
        <f>HYPERLINK("https://checko.ru/search?query=3801001629","Чекко: проверить")</f>
        <v/>
      </c>
      <c r="S559" t="n">
        <v>1</v>
      </c>
      <c r="T559" s="35" t="inlineStr">
        <is>
          <t>4 — Не обогащён</t>
        </is>
      </c>
      <c r="U559" s="35" t="inlineStr">
        <is>
          <t>Нет ОКВЭД/ССЧР</t>
        </is>
      </c>
      <c r="V559" s="35" t="inlineStr">
        <is>
          <t>Не определено</t>
        </is>
      </c>
      <c r="W559" s="35" t="inlineStr"/>
      <c r="X559" s="35" t="inlineStr"/>
    </row>
    <row r="560" ht="15" customHeight="1" s="24">
      <c r="A560" s="13" t="n">
        <v>5000017020</v>
      </c>
      <c r="B560" s="13" t="inlineStr">
        <is>
          <t>МОУ "Лицей №14"</t>
        </is>
      </c>
      <c r="C560" s="13" t="n">
        <v>5053014849</v>
      </c>
      <c r="D560" s="13" t="inlineStr">
        <is>
          <t>5053014849</t>
        </is>
      </c>
      <c r="E560" s="13" t="inlineStr">
        <is>
          <t>ЮЛ РФ</t>
        </is>
      </c>
      <c r="F560" s="13" t="n"/>
      <c r="G560" s="14" t="n"/>
      <c r="H560" s="14" t="n"/>
      <c r="I560" s="14" t="n"/>
      <c r="J560" s="14" t="n"/>
      <c r="K560" s="53" t="inlineStr"/>
      <c r="L560" s="53" t="inlineStr">
        <is>
          <t>Не определено</t>
        </is>
      </c>
      <c r="M560" s="53" t="inlineStr"/>
      <c r="N560" s="54" t="inlineStr"/>
      <c r="O560" s="55" t="inlineStr"/>
      <c r="P560" s="16" t="inlineStr">
        <is>
          <t>Требует обогащения</t>
        </is>
      </c>
      <c r="Q560" s="16">
        <f>HYPERLINK("https://pb.nalog.ru/search.html?query=5053014849","ФНС: проверить")</f>
        <v/>
      </c>
      <c r="R560" s="16">
        <f>HYPERLINK("https://checko.ru/search?query=3801001629","Чекко: проверить")</f>
        <v/>
      </c>
      <c r="S560" t="n">
        <v>1</v>
      </c>
      <c r="T560" s="35" t="inlineStr">
        <is>
          <t>4 — Не обогащён</t>
        </is>
      </c>
      <c r="U560" s="35" t="inlineStr">
        <is>
          <t>Нет ОКВЭД/ССЧР</t>
        </is>
      </c>
      <c r="V560" s="35" t="inlineStr">
        <is>
          <t>Не определено</t>
        </is>
      </c>
      <c r="W560" s="35" t="inlineStr"/>
      <c r="X560" s="35" t="inlineStr"/>
    </row>
    <row r="561" ht="15" customHeight="1" s="24">
      <c r="A561" s="13" t="n">
        <v>5000017021</v>
      </c>
      <c r="B561" s="13" t="inlineStr">
        <is>
          <t>МОУ "СОШ №15 с УИОП"</t>
        </is>
      </c>
      <c r="C561" s="13" t="n">
        <v>5053003364</v>
      </c>
      <c r="D561" s="13" t="inlineStr">
        <is>
          <t>5053003364</t>
        </is>
      </c>
      <c r="E561" s="13" t="inlineStr">
        <is>
          <t>ЮЛ РФ</t>
        </is>
      </c>
      <c r="F561" s="13" t="n"/>
      <c r="G561" s="14" t="n"/>
      <c r="H561" s="14" t="n"/>
      <c r="I561" s="14" t="n"/>
      <c r="J561" s="14" t="n"/>
      <c r="K561" s="53" t="inlineStr"/>
      <c r="L561" s="53" t="inlineStr">
        <is>
          <t>Не определено</t>
        </is>
      </c>
      <c r="M561" s="53" t="inlineStr"/>
      <c r="N561" s="54" t="inlineStr"/>
      <c r="O561" s="55" t="inlineStr"/>
      <c r="P561" s="16" t="inlineStr">
        <is>
          <t>Требует обогащения</t>
        </is>
      </c>
      <c r="Q561" s="16">
        <f>HYPERLINK("https://pb.nalog.ru/search.html?query=5053003364","ФНС: проверить")</f>
        <v/>
      </c>
      <c r="R561" s="16">
        <f>HYPERLINK("https://checko.ru/search?query=3801001629","Чекко: проверить")</f>
        <v/>
      </c>
      <c r="S561" t="n">
        <v>1</v>
      </c>
      <c r="T561" s="35" t="inlineStr">
        <is>
          <t>4 — Не обогащён</t>
        </is>
      </c>
      <c r="U561" s="35" t="inlineStr">
        <is>
          <t>Нет ОКВЭД/ССЧР</t>
        </is>
      </c>
      <c r="V561" s="35" t="inlineStr">
        <is>
          <t>Не определено</t>
        </is>
      </c>
      <c r="W561" s="35" t="inlineStr"/>
      <c r="X561" s="35" t="inlineStr"/>
    </row>
    <row r="562" ht="27.75" customHeight="1" s="24">
      <c r="A562" s="13" t="n">
        <v>5000017035</v>
      </c>
      <c r="B562" s="13" t="inlineStr">
        <is>
          <t>МУДО "ДЕТСКАЯ МУЗЫКАЛЬНАЯ ШКОЛА ИМЕНИ Ж.И.АНДРЕЕНКО"</t>
        </is>
      </c>
      <c r="C562" s="13" t="n">
        <v>5053018233</v>
      </c>
      <c r="D562" s="13" t="inlineStr">
        <is>
          <t>5053018233</t>
        </is>
      </c>
      <c r="E562" s="13" t="inlineStr">
        <is>
          <t>ЮЛ РФ</t>
        </is>
      </c>
      <c r="F562" s="13" t="n"/>
      <c r="G562" s="14" t="n"/>
      <c r="H562" s="14" t="n"/>
      <c r="I562" s="14" t="n"/>
      <c r="J562" s="14" t="n"/>
      <c r="K562" s="53" t="inlineStr"/>
      <c r="L562" s="53" t="inlineStr">
        <is>
          <t>Не определено</t>
        </is>
      </c>
      <c r="M562" s="53" t="inlineStr"/>
      <c r="N562" s="54" t="inlineStr"/>
      <c r="O562" s="55" t="inlineStr"/>
      <c r="P562" s="16" t="inlineStr">
        <is>
          <t>Требует обогащения</t>
        </is>
      </c>
      <c r="Q562" s="16">
        <f>HYPERLINK("https://pb.nalog.ru/search.html?query=5053018233","ФНС: проверить")</f>
        <v/>
      </c>
      <c r="R562" s="16">
        <f>HYPERLINK("https://checko.ru/search?query=3801001629","Чекко: проверить")</f>
        <v/>
      </c>
      <c r="S562" t="n">
        <v>1</v>
      </c>
      <c r="T562" s="35" t="inlineStr">
        <is>
          <t>4 — Не обогащён</t>
        </is>
      </c>
      <c r="U562" s="35" t="inlineStr">
        <is>
          <t>Нет ОКВЭД/ССЧР</t>
        </is>
      </c>
      <c r="V562" s="35" t="inlineStr">
        <is>
          <t>Не определено</t>
        </is>
      </c>
      <c r="W562" s="35" t="inlineStr"/>
      <c r="X562" s="35" t="inlineStr"/>
    </row>
    <row r="563" ht="15" customHeight="1" s="24">
      <c r="A563" s="13" t="n">
        <v>5000017044</v>
      </c>
      <c r="B563" s="13" t="inlineStr">
        <is>
          <t>МБУК "СДК "ЕЛИЗАВЕТИНО"</t>
        </is>
      </c>
      <c r="C563" s="13" t="n">
        <v>5031066628</v>
      </c>
      <c r="D563" s="13" t="inlineStr">
        <is>
          <t>5031066628</t>
        </is>
      </c>
      <c r="E563" s="13" t="inlineStr">
        <is>
          <t>ЮЛ РФ</t>
        </is>
      </c>
      <c r="F563" s="13" t="n"/>
      <c r="G563" s="14" t="n"/>
      <c r="H563" s="14" t="n"/>
      <c r="I563" s="14" t="n"/>
      <c r="J563" s="14" t="n"/>
      <c r="K563" s="53" t="inlineStr"/>
      <c r="L563" s="53" t="inlineStr">
        <is>
          <t>Не определено</t>
        </is>
      </c>
      <c r="M563" s="53" t="inlineStr"/>
      <c r="N563" s="54" t="inlineStr"/>
      <c r="O563" s="55" t="inlineStr"/>
      <c r="P563" s="16" t="inlineStr">
        <is>
          <t>Требует обогащения</t>
        </is>
      </c>
      <c r="Q563" s="16">
        <f>HYPERLINK("https://pb.nalog.ru/search.html?query=5031066628","ФНС: проверить")</f>
        <v/>
      </c>
      <c r="R563" s="16">
        <f>HYPERLINK("https://checko.ru/search?query=3801001629","Чекко: проверить")</f>
        <v/>
      </c>
      <c r="S563" t="n">
        <v>1</v>
      </c>
      <c r="T563" s="35" t="inlineStr">
        <is>
          <t>4 — Не обогащён</t>
        </is>
      </c>
      <c r="U563" s="35" t="inlineStr">
        <is>
          <t>Нет ОКВЭД/ССЧР</t>
        </is>
      </c>
      <c r="V563" s="35" t="inlineStr">
        <is>
          <t>Не определено</t>
        </is>
      </c>
      <c r="W563" s="35" t="inlineStr"/>
      <c r="X563" s="35" t="inlineStr"/>
    </row>
    <row r="564" ht="15" customHeight="1" s="24">
      <c r="A564" s="13" t="n">
        <v>5000017045</v>
      </c>
      <c r="B564" s="13" t="inlineStr">
        <is>
          <t>МБУ"КЦ"ОКТЯБРЬ"</t>
        </is>
      </c>
      <c r="C564" s="13" t="n">
        <v>5053045967</v>
      </c>
      <c r="D564" s="13" t="inlineStr">
        <is>
          <t>5053045967</t>
        </is>
      </c>
      <c r="E564" s="13" t="inlineStr">
        <is>
          <t>ЮЛ РФ</t>
        </is>
      </c>
      <c r="F564" s="13" t="n"/>
      <c r="G564" s="14" t="n"/>
      <c r="H564" s="14" t="n"/>
      <c r="I564" s="14" t="n"/>
      <c r="J564" s="14" t="n"/>
      <c r="K564" s="53" t="inlineStr"/>
      <c r="L564" s="53" t="inlineStr">
        <is>
          <t>Не определено</t>
        </is>
      </c>
      <c r="M564" s="53" t="inlineStr"/>
      <c r="N564" s="54" t="inlineStr"/>
      <c r="O564" s="55" t="inlineStr"/>
      <c r="P564" s="16" t="inlineStr">
        <is>
          <t>Требует обогащения</t>
        </is>
      </c>
      <c r="Q564" s="16">
        <f>HYPERLINK("https://pb.nalog.ru/search.html?query=5053045967","ФНС: проверить")</f>
        <v/>
      </c>
      <c r="R564" s="16">
        <f>HYPERLINK("https://checko.ru/search?query=3801001629","Чекко: проверить")</f>
        <v/>
      </c>
      <c r="S564" t="n">
        <v>1</v>
      </c>
      <c r="T564" s="35" t="inlineStr">
        <is>
          <t>4 — Не обогащён</t>
        </is>
      </c>
      <c r="U564" s="35" t="inlineStr">
        <is>
          <t>Нет ОКВЭД/ССЧР</t>
        </is>
      </c>
      <c r="V564" s="35" t="inlineStr">
        <is>
          <t>Не определено</t>
        </is>
      </c>
      <c r="W564" s="35" t="inlineStr"/>
      <c r="X564" s="35" t="inlineStr"/>
    </row>
    <row r="565" ht="41.25" customHeight="1" s="24">
      <c r="A565" s="13" t="n">
        <v>5000017046</v>
      </c>
      <c r="B565" s="13" t="inlineStr">
        <is>
          <t>УПРАВЛЕНИЕ ПО КУЛЬТУРЕ И ДЕЛАМ МОЛОДЕЖИ АДМИНИСТРАЦИИ ГОРОДСКОГО ОКРУГА ЭЛЕКТРОСТАЛЬ МОСКОВСКОЙ ОБЛАСТИ</t>
        </is>
      </c>
      <c r="C565" s="13" t="n">
        <v>5053045910</v>
      </c>
      <c r="D565" s="13" t="inlineStr">
        <is>
          <t>5053045910</t>
        </is>
      </c>
      <c r="E565" s="13" t="inlineStr">
        <is>
          <t>ЮЛ РФ</t>
        </is>
      </c>
      <c r="F565" s="13" t="n"/>
      <c r="G565" s="14" t="n"/>
      <c r="H565" s="14" t="n"/>
      <c r="I565" s="14" t="n"/>
      <c r="J565" s="14" t="n"/>
      <c r="K565" s="53" t="inlineStr"/>
      <c r="L565" s="53" t="inlineStr">
        <is>
          <t>Не определено</t>
        </is>
      </c>
      <c r="M565" s="53" t="inlineStr"/>
      <c r="N565" s="54" t="inlineStr"/>
      <c r="O565" s="55" t="inlineStr"/>
      <c r="P565" s="16" t="inlineStr">
        <is>
          <t>Требует обогащения</t>
        </is>
      </c>
      <c r="Q565" s="16">
        <f>HYPERLINK("https://pb.nalog.ru/search.html?query=5053045910","ФНС: проверить")</f>
        <v/>
      </c>
      <c r="R565" s="16">
        <f>HYPERLINK("https://checko.ru/search?query=3801001629","Чекко: проверить")</f>
        <v/>
      </c>
      <c r="S565" t="n">
        <v>1</v>
      </c>
      <c r="T565" s="35" t="inlineStr">
        <is>
          <t>4 — Не обогащён</t>
        </is>
      </c>
      <c r="U565" s="35" t="inlineStr">
        <is>
          <t>Нет ОКВЭД/ССЧР</t>
        </is>
      </c>
      <c r="V565" s="35" t="inlineStr">
        <is>
          <t>Не определено</t>
        </is>
      </c>
      <c r="W565" s="35" t="inlineStr"/>
      <c r="X565" s="35" t="inlineStr"/>
    </row>
    <row r="566" ht="27.75" customHeight="1" s="24">
      <c r="A566" s="13" t="n">
        <v>5000050774</v>
      </c>
      <c r="B566" s="13" t="inlineStr">
        <is>
          <t>Центр развития творчества детей и юношества Диалог</t>
        </is>
      </c>
      <c r="C566" s="13" t="n">
        <v>5053021821</v>
      </c>
      <c r="D566" s="13" t="inlineStr">
        <is>
          <t>5053021821</t>
        </is>
      </c>
      <c r="E566" s="13" t="inlineStr">
        <is>
          <t>ЮЛ РФ</t>
        </is>
      </c>
      <c r="F566" s="13" t="n"/>
      <c r="G566" s="14" t="n"/>
      <c r="H566" s="14" t="n"/>
      <c r="I566" s="14" t="n"/>
      <c r="J566" s="14" t="n"/>
      <c r="K566" s="53" t="inlineStr"/>
      <c r="L566" s="53" t="inlineStr">
        <is>
          <t>Не определено</t>
        </is>
      </c>
      <c r="M566" s="53" t="inlineStr"/>
      <c r="N566" s="54" t="inlineStr"/>
      <c r="O566" s="55" t="inlineStr"/>
      <c r="P566" s="16" t="inlineStr">
        <is>
          <t>Требует обогащения</t>
        </is>
      </c>
      <c r="Q566" s="16">
        <f>HYPERLINK("https://pb.nalog.ru/search.html?query=5053021821","ФНС: проверить")</f>
        <v/>
      </c>
      <c r="R566" s="16">
        <f>HYPERLINK("https://checko.ru/search?query=3801001629","Чекко: проверить")</f>
        <v/>
      </c>
      <c r="S566" t="n">
        <v>1</v>
      </c>
      <c r="T566" s="35" t="inlineStr">
        <is>
          <t>4 — Не обогащён</t>
        </is>
      </c>
      <c r="U566" s="35" t="inlineStr">
        <is>
          <t>Нет ОКВЭД/ССЧР</t>
        </is>
      </c>
      <c r="V566" s="35" t="inlineStr">
        <is>
          <t>Не определено</t>
        </is>
      </c>
      <c r="W566" s="35" t="inlineStr"/>
      <c r="X566" s="35" t="inlineStr"/>
    </row>
    <row r="567" ht="15" customHeight="1" s="24">
      <c r="A567" s="13" t="n">
        <v>5000092327</v>
      </c>
      <c r="B567" s="13" t="inlineStr">
        <is>
          <t>Администрация МО Табарсук</t>
        </is>
      </c>
      <c r="C567" s="13" t="n">
        <v>8501006262</v>
      </c>
      <c r="D567" s="13" t="inlineStr">
        <is>
          <t>8501006262</t>
        </is>
      </c>
      <c r="E567" s="13" t="inlineStr">
        <is>
          <t>ЮЛ РФ</t>
        </is>
      </c>
      <c r="F567" s="13" t="n"/>
      <c r="G567" s="14" t="n"/>
      <c r="H567" s="14" t="n"/>
      <c r="I567" s="14" t="n"/>
      <c r="J567" s="14" t="n"/>
      <c r="K567" s="53" t="inlineStr"/>
      <c r="L567" s="53" t="inlineStr">
        <is>
          <t>Не определено</t>
        </is>
      </c>
      <c r="M567" s="53" t="inlineStr"/>
      <c r="N567" s="54" t="inlineStr"/>
      <c r="O567" s="55" t="inlineStr"/>
      <c r="P567" s="16" t="inlineStr">
        <is>
          <t>Требует обогащения</t>
        </is>
      </c>
      <c r="Q567" s="16">
        <f>HYPERLINK("https://pb.nalog.ru/search.html?query=8501006262","ФНС: проверить")</f>
        <v/>
      </c>
      <c r="R567" s="16">
        <f>HYPERLINK("https://checko.ru/search?query=3801001629","Чекко: проверить")</f>
        <v/>
      </c>
      <c r="S567" t="n">
        <v>1</v>
      </c>
      <c r="T567" s="35" t="inlineStr">
        <is>
          <t>4 — Не обогащён</t>
        </is>
      </c>
      <c r="U567" s="35" t="inlineStr">
        <is>
          <t>Нет ОКВЭД/ССЧР</t>
        </is>
      </c>
      <c r="V567" s="35" t="inlineStr">
        <is>
          <t>Не определено</t>
        </is>
      </c>
      <c r="W567" s="35" t="inlineStr"/>
      <c r="X567" s="35" t="inlineStr"/>
    </row>
    <row r="568" ht="27.75" customHeight="1" s="24">
      <c r="A568" s="13" t="n">
        <v>5000018492</v>
      </c>
      <c r="B568" s="13" t="inlineStr">
        <is>
          <t>Администрация муниципального образования "Зоны"</t>
        </is>
      </c>
      <c r="C568" s="13" t="n">
        <v>8501006093</v>
      </c>
      <c r="D568" s="13" t="inlineStr">
        <is>
          <t>8501006093</t>
        </is>
      </c>
      <c r="E568" s="13" t="inlineStr">
        <is>
          <t>ЮЛ РФ</t>
        </is>
      </c>
      <c r="F568" s="13" t="n"/>
      <c r="G568" s="14" t="n"/>
      <c r="H568" s="14" t="n"/>
      <c r="I568" s="14" t="n"/>
      <c r="J568" s="14" t="n"/>
      <c r="K568" s="53" t="inlineStr"/>
      <c r="L568" s="53" t="inlineStr">
        <is>
          <t>Не определено</t>
        </is>
      </c>
      <c r="M568" s="53" t="inlineStr"/>
      <c r="N568" s="54" t="inlineStr"/>
      <c r="O568" s="55" t="inlineStr"/>
      <c r="P568" s="16" t="inlineStr">
        <is>
          <t>Требует обогащения</t>
        </is>
      </c>
      <c r="Q568" s="16">
        <f>HYPERLINK("https://pb.nalog.ru/search.html?query=8501006093","ФНС: проверить")</f>
        <v/>
      </c>
      <c r="R568" s="16">
        <f>HYPERLINK("https://checko.ru/search?query=3801001629","Чекко: проверить")</f>
        <v/>
      </c>
      <c r="S568" t="n">
        <v>1</v>
      </c>
      <c r="T568" s="35" t="inlineStr">
        <is>
          <t>4 — Не обогащён</t>
        </is>
      </c>
      <c r="U568" s="35" t="inlineStr">
        <is>
          <t>Нет ОКВЭД/ССЧР</t>
        </is>
      </c>
      <c r="V568" s="35" t="inlineStr">
        <is>
          <t>Не определено</t>
        </is>
      </c>
      <c r="W568" s="35" t="inlineStr"/>
      <c r="X568" s="35" t="inlineStr"/>
    </row>
    <row r="569" ht="15" customHeight="1" s="24">
      <c r="A569" s="13" t="n">
        <v>5000117449</v>
      </c>
      <c r="B569" s="13" t="inlineStr">
        <is>
          <t>АО "РЖД МЕДИЦИНА"</t>
        </is>
      </c>
      <c r="C569" s="13" t="n">
        <v>7708379090</v>
      </c>
      <c r="D569" s="13" t="inlineStr">
        <is>
          <t>7708379090</t>
        </is>
      </c>
      <c r="E569" s="13" t="inlineStr">
        <is>
          <t>ЮЛ РФ</t>
        </is>
      </c>
      <c r="F569" s="13" t="n"/>
      <c r="G569" s="52" t="n">
        <v>76</v>
      </c>
      <c r="H569" s="52" t="n">
        <v>2025</v>
      </c>
      <c r="I569" s="52" t="inlineStr">
        <is>
          <t>86.10</t>
        </is>
      </c>
      <c r="J569" s="52" t="inlineStr">
        <is>
          <t>86.10; 20.59.5; 21.20; 33.13; 33.20; 43.11; 43.21; 43.22; 43.31; 43.32; 43.33; 43.34; 46.12.31; 46.14; 46.16; 46.18; 46.19; 46.44.2; 46.45; 46.46; 46.49.49; 46.51; 46.52; 46.75; 46.90; 47.41; 47.73; 47.74; 47.75; 47.78; 47.91; 47.99; 49.41.2; 49.41.3; 52.29; 56.10; 56.10.21; 56.29.2; 62.01; 62.02; 62.03; 62.09; 63.11; 63.11.1; 64.91; 66.19; 68.10; 68.20; 69.10; 69.20; 69.20.2; 69.20.3; 70.22; 73.11; 73.12; 73.20; 73.20.1; 73.20.2; 78.10; 78.20; 78.30; 81.10; 81.21; 81.22; 81.29; 82.99; 86.21; 86.22; 86.23; 86.90; 86.90.1; 86.90.2; 86.90.3; 86.90.4; 86.90.9</t>
        </is>
      </c>
      <c r="K569" s="53" t="inlineStr">
        <is>
          <t>Да</t>
        </is>
      </c>
      <c r="L569" s="53" t="inlineStr">
        <is>
          <t>Да</t>
        </is>
      </c>
      <c r="M569" s="53" t="inlineStr">
        <is>
          <t>До 100</t>
        </is>
      </c>
      <c r="N569" s="54" t="n">
        <v>33600</v>
      </c>
      <c r="O569" s="55" t="inlineStr">
        <is>
          <t>51–100</t>
        </is>
      </c>
      <c r="P569" s="16" t="inlineStr">
        <is>
          <t>ССЧР + ОКВЭД обогащены</t>
        </is>
      </c>
      <c r="Q569" s="16" t="inlineStr">
        <is>
          <t>ФНС открытые данные ССЧР (ДатаСост 31.12.2025; набор 7707329152-sshr2019)</t>
        </is>
      </c>
      <c r="R569" s="16" t="inlineStr">
        <is>
          <t>ЕГРЮЛ / egrul.nalog.ru (выписка)</t>
        </is>
      </c>
      <c r="S569" t="n">
        <v>1</v>
      </c>
      <c r="T569" s="35" t="inlineStr">
        <is>
          <t>1 — Горячий</t>
        </is>
      </c>
      <c r="U569" s="35" t="inlineStr">
        <is>
          <t>ОКВЭД + 22+</t>
        </is>
      </c>
      <c r="V569" s="35" t="inlineStr">
        <is>
          <t>Да</t>
        </is>
      </c>
      <c r="W569" s="35" t="inlineStr">
        <is>
          <t>Да</t>
        </is>
      </c>
      <c r="X569" s="35" t="inlineStr">
        <is>
          <t>Да</t>
        </is>
      </c>
    </row>
    <row r="570" ht="27.75" customHeight="1" s="24">
      <c r="A570" s="13" t="n">
        <v>5000038144</v>
      </c>
      <c r="B570" s="13" t="inlineStr">
        <is>
          <t>Комитет по культуре администрации муниципального образования "Аларский район"</t>
        </is>
      </c>
      <c r="C570" s="13" t="n">
        <v>8501001560</v>
      </c>
      <c r="D570" s="13" t="inlineStr">
        <is>
          <t>8501001560</t>
        </is>
      </c>
      <c r="E570" s="13" t="inlineStr">
        <is>
          <t>ЮЛ РФ</t>
        </is>
      </c>
      <c r="F570" s="13" t="n"/>
      <c r="G570" s="14" t="n"/>
      <c r="H570" s="14" t="n"/>
      <c r="I570" s="14" t="n"/>
      <c r="J570" s="14" t="n"/>
      <c r="K570" s="53" t="inlineStr"/>
      <c r="L570" s="53" t="inlineStr">
        <is>
          <t>Не определено</t>
        </is>
      </c>
      <c r="M570" s="53" t="inlineStr"/>
      <c r="N570" s="54" t="inlineStr"/>
      <c r="O570" s="55" t="inlineStr"/>
      <c r="P570" s="16" t="inlineStr">
        <is>
          <t>Требует обогащения</t>
        </is>
      </c>
      <c r="Q570" s="16">
        <f>HYPERLINK("https://pb.nalog.ru/search.html?query=8501001560","ФНС: проверить")</f>
        <v/>
      </c>
      <c r="R570" s="16">
        <f>HYPERLINK("https://checko.ru/search?query=3801001629","Чекко: проверить")</f>
        <v/>
      </c>
      <c r="S570" t="n">
        <v>1</v>
      </c>
      <c r="T570" s="35" t="inlineStr">
        <is>
          <t>4 — Не обогащён</t>
        </is>
      </c>
      <c r="U570" s="35" t="inlineStr">
        <is>
          <t>Нет ОКВЭД/ССЧР</t>
        </is>
      </c>
      <c r="V570" s="35" t="inlineStr">
        <is>
          <t>Не определено</t>
        </is>
      </c>
      <c r="W570" s="35" t="inlineStr"/>
      <c r="X570" s="35" t="inlineStr"/>
    </row>
    <row r="571" ht="27.75" customHeight="1" s="24">
      <c r="A571" s="13" t="n">
        <v>5000037593</v>
      </c>
      <c r="B571" s="13" t="inlineStr">
        <is>
          <t>Администрация Подымахинского сельского поселения</t>
        </is>
      </c>
      <c r="C571" s="13" t="n">
        <v>3818019367</v>
      </c>
      <c r="D571" s="13" t="inlineStr">
        <is>
          <t>3818019367</t>
        </is>
      </c>
      <c r="E571" s="13" t="inlineStr">
        <is>
          <t>ЮЛ РФ</t>
        </is>
      </c>
      <c r="F571" s="13" t="n"/>
      <c r="G571" s="14" t="n"/>
      <c r="H571" s="14" t="n"/>
      <c r="I571" s="14" t="n"/>
      <c r="J571" s="14" t="n"/>
      <c r="K571" s="53" t="inlineStr"/>
      <c r="L571" s="53" t="inlineStr">
        <is>
          <t>Не определено</t>
        </is>
      </c>
      <c r="M571" s="53" t="inlineStr"/>
      <c r="N571" s="54" t="inlineStr"/>
      <c r="O571" s="55" t="inlineStr"/>
      <c r="P571" s="16" t="inlineStr">
        <is>
          <t>Требует обогащения</t>
        </is>
      </c>
      <c r="Q571" s="16">
        <f>HYPERLINK("https://pb.nalog.ru/search.html?query=3818019367","ФНС: проверить")</f>
        <v/>
      </c>
      <c r="R571" s="16">
        <f>HYPERLINK("https://checko.ru/search?query=3801001629","Чекко: проверить")</f>
        <v/>
      </c>
      <c r="S571" t="n">
        <v>1</v>
      </c>
      <c r="T571" s="35" t="inlineStr">
        <is>
          <t>4 — Не обогащён</t>
        </is>
      </c>
      <c r="U571" s="35" t="inlineStr">
        <is>
          <t>Нет ОКВЭД/ССЧР</t>
        </is>
      </c>
      <c r="V571" s="35" t="inlineStr">
        <is>
          <t>Не определено</t>
        </is>
      </c>
      <c r="W571" s="35" t="inlineStr"/>
      <c r="X571" s="35" t="inlineStr"/>
    </row>
    <row r="572" ht="27.75" customHeight="1" s="24">
      <c r="A572" s="13" t="n">
        <v>5000101484</v>
      </c>
      <c r="B572" s="13" t="inlineStr">
        <is>
          <t>Администрация Янтальского городского поселения Усть-Кутского МО</t>
        </is>
      </c>
      <c r="C572" s="13" t="n">
        <v>3818019303</v>
      </c>
      <c r="D572" s="13" t="inlineStr">
        <is>
          <t>3818019303</t>
        </is>
      </c>
      <c r="E572" s="13" t="inlineStr">
        <is>
          <t>ЮЛ РФ</t>
        </is>
      </c>
      <c r="F572" s="13" t="n"/>
      <c r="G572" s="14" t="n"/>
      <c r="H572" s="14" t="n"/>
      <c r="I572" s="14" t="n"/>
      <c r="J572" s="14" t="n"/>
      <c r="K572" s="53" t="inlineStr"/>
      <c r="L572" s="53" t="inlineStr">
        <is>
          <t>Не определено</t>
        </is>
      </c>
      <c r="M572" s="53" t="inlineStr"/>
      <c r="N572" s="54" t="inlineStr"/>
      <c r="O572" s="55" t="inlineStr"/>
      <c r="P572" s="16" t="inlineStr">
        <is>
          <t>Требует обогащения</t>
        </is>
      </c>
      <c r="Q572" s="16">
        <f>HYPERLINK("https://pb.nalog.ru/search.html?query=3818019303","ФНС: проверить")</f>
        <v/>
      </c>
      <c r="R572" s="16">
        <f>HYPERLINK("https://checko.ru/search?query=3801001629","Чекко: проверить")</f>
        <v/>
      </c>
      <c r="S572" t="n">
        <v>1</v>
      </c>
      <c r="T572" s="35" t="inlineStr">
        <is>
          <t>4 — Не обогащён</t>
        </is>
      </c>
      <c r="U572" s="35" t="inlineStr">
        <is>
          <t>Нет ОКВЭД/ССЧР</t>
        </is>
      </c>
      <c r="V572" s="35" t="inlineStr">
        <is>
          <t>Не определено</t>
        </is>
      </c>
      <c r="W572" s="35" t="inlineStr"/>
      <c r="X572" s="35" t="inlineStr"/>
    </row>
    <row r="573" ht="15" customHeight="1" s="24">
      <c r="A573" s="13" t="n">
        <v>5000092902</v>
      </c>
      <c r="B573" s="13" t="inlineStr">
        <is>
          <t>ГБУСО "ЦМСРИ "РОСТОК" ЗАБАЙКАЛЬСКОГО КРАЯ</t>
        </is>
      </c>
      <c r="C573" s="13" t="n">
        <v>7536056375</v>
      </c>
      <c r="D573" s="13" t="inlineStr">
        <is>
          <t>7536056375</t>
        </is>
      </c>
      <c r="E573" s="13" t="inlineStr">
        <is>
          <t>ЮЛ РФ</t>
        </is>
      </c>
      <c r="F573" s="13" t="n"/>
      <c r="G573" s="14" t="n"/>
      <c r="H573" s="14" t="n"/>
      <c r="I573" s="14" t="n"/>
      <c r="J573" s="14" t="n"/>
      <c r="K573" s="53" t="inlineStr"/>
      <c r="L573" s="53" t="inlineStr">
        <is>
          <t>Не определено</t>
        </is>
      </c>
      <c r="M573" s="53" t="inlineStr"/>
      <c r="N573" s="54" t="inlineStr"/>
      <c r="O573" s="55" t="inlineStr"/>
      <c r="P573" s="16" t="inlineStr">
        <is>
          <t>Требует обогащения</t>
        </is>
      </c>
      <c r="Q573" s="16">
        <f>HYPERLINK("https://pb.nalog.ru/search.html?query=7536056375","ФНС: проверить")</f>
        <v/>
      </c>
      <c r="R573" s="16">
        <f>HYPERLINK("https://checko.ru/search?query=3801001629","Чекко: проверить")</f>
        <v/>
      </c>
      <c r="S573" t="n">
        <v>1</v>
      </c>
      <c r="T573" s="35" t="inlineStr">
        <is>
          <t>4 — Не обогащён</t>
        </is>
      </c>
      <c r="U573" s="35" t="inlineStr">
        <is>
          <t>Нет ОКВЭД/ССЧР</t>
        </is>
      </c>
      <c r="V573" s="35" t="inlineStr">
        <is>
          <t>Не определено</t>
        </is>
      </c>
      <c r="W573" s="35" t="inlineStr"/>
      <c r="X573" s="35" t="inlineStr"/>
    </row>
    <row r="574" ht="41.25" customHeight="1" s="24">
      <c r="A574" s="13" t="n">
        <v>5000008111</v>
      </c>
      <c r="B574" s="13" t="inlineStr">
        <is>
          <t>МКУ «Централизованная бухгалтерия администрации муниципального образования г. Бодайбо и района»</t>
        </is>
      </c>
      <c r="C574" s="13" t="n">
        <v>3802012969</v>
      </c>
      <c r="D574" s="13" t="inlineStr">
        <is>
          <t>3802012969</t>
        </is>
      </c>
      <c r="E574" s="13" t="inlineStr">
        <is>
          <t>ЮЛ РФ</t>
        </is>
      </c>
      <c r="F574" s="13" t="n"/>
      <c r="G574" s="14" t="n"/>
      <c r="H574" s="14" t="n"/>
      <c r="I574" s="14" t="n"/>
      <c r="J574" s="14" t="n"/>
      <c r="K574" s="53" t="inlineStr"/>
      <c r="L574" s="53" t="inlineStr">
        <is>
          <t>Не определено</t>
        </is>
      </c>
      <c r="M574" s="53" t="inlineStr"/>
      <c r="N574" s="54" t="inlineStr"/>
      <c r="O574" s="55" t="inlineStr"/>
      <c r="P574" s="16" t="inlineStr">
        <is>
          <t>Требует обогащения</t>
        </is>
      </c>
      <c r="Q574" s="16">
        <f>HYPERLINK("https://pb.nalog.ru/search.html?query=3802012969","ФНС: проверить")</f>
        <v/>
      </c>
      <c r="R574" s="16">
        <f>HYPERLINK("https://checko.ru/search?query=3801001629","Чекко: проверить")</f>
        <v/>
      </c>
      <c r="S574" t="n">
        <v>1</v>
      </c>
      <c r="T574" s="35" t="inlineStr">
        <is>
          <t>4 — Не обогащён</t>
        </is>
      </c>
      <c r="U574" s="35" t="inlineStr">
        <is>
          <t>Нет ОКВЭД/ССЧР</t>
        </is>
      </c>
      <c r="V574" s="35" t="inlineStr">
        <is>
          <t>Не определено</t>
        </is>
      </c>
      <c r="W574" s="35" t="inlineStr"/>
      <c r="X574" s="35" t="inlineStr"/>
    </row>
    <row r="575" ht="41.25" customHeight="1" s="24">
      <c r="A575" s="13" t="n">
        <v>5000102218</v>
      </c>
      <c r="B575" s="13" t="inlineStr">
        <is>
          <t>АДМИНИСТРАЦИЯ НИЙСКОГО СЕЛЬСКОГО ПОСЕЛЕНИЯ УСТЬ-КУТСКОГО МУНИЦИПАЛЬНОГО РАЙОНА ИРКУТСКОЙ ОБЛАСТИ</t>
        </is>
      </c>
      <c r="C575" s="13" t="n">
        <v>3818019310</v>
      </c>
      <c r="D575" s="13" t="inlineStr">
        <is>
          <t>3818019310</t>
        </is>
      </c>
      <c r="E575" s="13" t="inlineStr">
        <is>
          <t>ЮЛ РФ</t>
        </is>
      </c>
      <c r="F575" s="13" t="n"/>
      <c r="G575" s="14" t="n"/>
      <c r="H575" s="14" t="n"/>
      <c r="I575" s="14" t="n"/>
      <c r="J575" s="14" t="n"/>
      <c r="K575" s="53" t="inlineStr"/>
      <c r="L575" s="53" t="inlineStr">
        <is>
          <t>Не определено</t>
        </is>
      </c>
      <c r="M575" s="53" t="inlineStr"/>
      <c r="N575" s="54" t="inlineStr"/>
      <c r="O575" s="55" t="inlineStr"/>
      <c r="P575" s="16" t="inlineStr">
        <is>
          <t>Требует обогащения</t>
        </is>
      </c>
      <c r="Q575" s="16">
        <f>HYPERLINK("https://pb.nalog.ru/search.html?query=3818019310","ФНС: проверить")</f>
        <v/>
      </c>
      <c r="R575" s="16">
        <f>HYPERLINK("https://checko.ru/search?query=3801001629","Чекко: проверить")</f>
        <v/>
      </c>
      <c r="S575" t="n">
        <v>1</v>
      </c>
      <c r="T575" s="35" t="inlineStr">
        <is>
          <t>4 — Не обогащён</t>
        </is>
      </c>
      <c r="U575" s="35" t="inlineStr">
        <is>
          <t>Нет ОКВЭД/ССЧР</t>
        </is>
      </c>
      <c r="V575" s="35" t="inlineStr">
        <is>
          <t>Не определено</t>
        </is>
      </c>
      <c r="W575" s="35" t="inlineStr"/>
      <c r="X575" s="35" t="inlineStr"/>
    </row>
    <row r="576" ht="15" customHeight="1" s="24">
      <c r="A576" s="13" t="n">
        <v>5000102518</v>
      </c>
      <c r="B576" s="13" t="inlineStr">
        <is>
          <t>Администрация МО "Ангарский"</t>
        </is>
      </c>
      <c r="C576" s="13" t="n">
        <v>8501006181</v>
      </c>
      <c r="D576" s="13" t="inlineStr">
        <is>
          <t>8501006181</t>
        </is>
      </c>
      <c r="E576" s="13" t="inlineStr">
        <is>
          <t>ЮЛ РФ</t>
        </is>
      </c>
      <c r="F576" s="13" t="n"/>
      <c r="G576" s="14" t="n"/>
      <c r="H576" s="14" t="n"/>
      <c r="I576" s="14" t="n"/>
      <c r="J576" s="14" t="n"/>
      <c r="K576" s="53" t="inlineStr"/>
      <c r="L576" s="53" t="inlineStr">
        <is>
          <t>Не определено</t>
        </is>
      </c>
      <c r="M576" s="53" t="inlineStr"/>
      <c r="N576" s="54" t="inlineStr"/>
      <c r="O576" s="55" t="inlineStr"/>
      <c r="P576" s="16" t="inlineStr">
        <is>
          <t>Требует обогащения</t>
        </is>
      </c>
      <c r="Q576" s="16">
        <f>HYPERLINK("https://pb.nalog.ru/search.html?query=8501006181","ФНС: проверить")</f>
        <v/>
      </c>
      <c r="R576" s="16">
        <f>HYPERLINK("https://checko.ru/search?query=3801001629","Чекко: проверить")</f>
        <v/>
      </c>
      <c r="S576" t="n">
        <v>1</v>
      </c>
      <c r="T576" s="35" t="inlineStr">
        <is>
          <t>4 — Не обогащён</t>
        </is>
      </c>
      <c r="U576" s="35" t="inlineStr">
        <is>
          <t>Нет ОКВЭД/ССЧР</t>
        </is>
      </c>
      <c r="V576" s="35" t="inlineStr">
        <is>
          <t>Не определено</t>
        </is>
      </c>
      <c r="W576" s="35" t="inlineStr"/>
      <c r="X576" s="35" t="inlineStr"/>
    </row>
    <row r="577" ht="41.25" customHeight="1" s="24">
      <c r="A577" s="13" t="n">
        <v>5000101479</v>
      </c>
      <c r="B577" s="13" t="inlineStr">
        <is>
          <t>Муниципальное казенное учреждение культуры "Методический центр народного творчества и досуга"Звезда"</t>
        </is>
      </c>
      <c r="C577" s="13" t="n">
        <v>3818023148</v>
      </c>
      <c r="D577" s="13" t="inlineStr">
        <is>
          <t>3818023148</t>
        </is>
      </c>
      <c r="E577" s="13" t="inlineStr">
        <is>
          <t>ЮЛ РФ</t>
        </is>
      </c>
      <c r="F577" s="13" t="n"/>
      <c r="G577" s="14" t="n"/>
      <c r="H577" s="14" t="n"/>
      <c r="I577" s="14" t="n"/>
      <c r="J577" s="14" t="n"/>
      <c r="K577" s="53" t="inlineStr"/>
      <c r="L577" s="53" t="inlineStr">
        <is>
          <t>Не определено</t>
        </is>
      </c>
      <c r="M577" s="53" t="inlineStr"/>
      <c r="N577" s="54" t="inlineStr"/>
      <c r="O577" s="55" t="inlineStr"/>
      <c r="P577" s="16" t="inlineStr">
        <is>
          <t>Требует обогащения</t>
        </is>
      </c>
      <c r="Q577" s="16">
        <f>HYPERLINK("https://pb.nalog.ru/search.html?query=3818023148","ФНС: проверить")</f>
        <v/>
      </c>
      <c r="R577" s="16">
        <f>HYPERLINK("https://checko.ru/search?query=3801001629","Чекко: проверить")</f>
        <v/>
      </c>
      <c r="S577" t="n">
        <v>1</v>
      </c>
      <c r="T577" s="35" t="inlineStr">
        <is>
          <t>4 — Не обогащён</t>
        </is>
      </c>
      <c r="U577" s="35" t="inlineStr">
        <is>
          <t>Нет ОКВЭД/ССЧР</t>
        </is>
      </c>
      <c r="V577" s="35" t="inlineStr">
        <is>
          <t>Не определено</t>
        </is>
      </c>
      <c r="W577" s="35" t="inlineStr"/>
      <c r="X577" s="35" t="inlineStr"/>
    </row>
    <row r="578" ht="15" customHeight="1" s="24">
      <c r="A578" s="13" t="n">
        <v>5000102010</v>
      </c>
      <c r="B578" s="13" t="inlineStr">
        <is>
          <t>Администрация Ручейского сельского поселения</t>
        </is>
      </c>
      <c r="C578" s="13" t="n">
        <v>3818019335</v>
      </c>
      <c r="D578" s="13" t="inlineStr">
        <is>
          <t>3818019335</t>
        </is>
      </c>
      <c r="E578" s="13" t="inlineStr">
        <is>
          <t>ЮЛ РФ</t>
        </is>
      </c>
      <c r="F578" s="13" t="n"/>
      <c r="G578" s="14" t="n"/>
      <c r="H578" s="14" t="n"/>
      <c r="I578" s="14" t="n"/>
      <c r="J578" s="14" t="n"/>
      <c r="K578" s="53" t="inlineStr"/>
      <c r="L578" s="53" t="inlineStr">
        <is>
          <t>Не определено</t>
        </is>
      </c>
      <c r="M578" s="53" t="inlineStr"/>
      <c r="N578" s="54" t="inlineStr"/>
      <c r="O578" s="55" t="inlineStr"/>
      <c r="P578" s="16" t="inlineStr">
        <is>
          <t>Требует обогащения</t>
        </is>
      </c>
      <c r="Q578" s="16">
        <f>HYPERLINK("https://pb.nalog.ru/search.html?query=3818019335","ФНС: проверить")</f>
        <v/>
      </c>
      <c r="R578" s="16">
        <f>HYPERLINK("https://checko.ru/search?query=3801001629","Чекко: проверить")</f>
        <v/>
      </c>
      <c r="S578" t="n">
        <v>1</v>
      </c>
      <c r="T578" s="35" t="inlineStr">
        <is>
          <t>4 — Не обогащён</t>
        </is>
      </c>
      <c r="U578" s="35" t="inlineStr">
        <is>
          <t>Нет ОКВЭД/ССЧР</t>
        </is>
      </c>
      <c r="V578" s="35" t="inlineStr">
        <is>
          <t>Не определено</t>
        </is>
      </c>
      <c r="W578" s="35" t="inlineStr"/>
      <c r="X578" s="35" t="inlineStr"/>
    </row>
    <row r="579" ht="15" customHeight="1" s="24">
      <c r="A579" s="13" t="n">
        <v>5000041421</v>
      </c>
      <c r="B579" s="13" t="inlineStr">
        <is>
          <t>Администрация МО Хохорск</t>
        </is>
      </c>
      <c r="C579" s="13" t="n">
        <v>8503005881</v>
      </c>
      <c r="D579" s="13" t="inlineStr">
        <is>
          <t>8503005881</t>
        </is>
      </c>
      <c r="E579" s="13" t="inlineStr">
        <is>
          <t>ЮЛ РФ</t>
        </is>
      </c>
      <c r="F579" s="13" t="n"/>
      <c r="G579" s="14" t="n"/>
      <c r="H579" s="14" t="n"/>
      <c r="I579" s="14" t="n"/>
      <c r="J579" s="14" t="n"/>
      <c r="K579" s="53" t="inlineStr"/>
      <c r="L579" s="53" t="inlineStr">
        <is>
          <t>Не определено</t>
        </is>
      </c>
      <c r="M579" s="53" t="inlineStr"/>
      <c r="N579" s="54" t="inlineStr"/>
      <c r="O579" s="55" t="inlineStr"/>
      <c r="P579" s="16" t="inlineStr">
        <is>
          <t>Требует обогащения</t>
        </is>
      </c>
      <c r="Q579" s="16">
        <f>HYPERLINK("https://pb.nalog.ru/search.html?query=8503005881","ФНС: проверить")</f>
        <v/>
      </c>
      <c r="R579" s="16">
        <f>HYPERLINK("https://checko.ru/search?query=3801001629","Чекко: проверить")</f>
        <v/>
      </c>
      <c r="S579" t="n">
        <v>1</v>
      </c>
      <c r="T579" s="35" t="inlineStr">
        <is>
          <t>4 — Не обогащён</t>
        </is>
      </c>
      <c r="U579" s="35" t="inlineStr">
        <is>
          <t>Нет ОКВЭД/ССЧР</t>
        </is>
      </c>
      <c r="V579" s="35" t="inlineStr">
        <is>
          <t>Не определено</t>
        </is>
      </c>
      <c r="W579" s="35" t="inlineStr"/>
      <c r="X579" s="35" t="inlineStr"/>
    </row>
    <row r="580" ht="15" customHeight="1" s="24">
      <c r="A580" s="13" t="n">
        <v>5000098049</v>
      </c>
      <c r="B580" s="13" t="inlineStr">
        <is>
          <t>""МКУ "СЕРВИСЦЕНТР""</t>
        </is>
      </c>
      <c r="C580" s="13" t="n">
        <v>3834016035</v>
      </c>
      <c r="D580" s="13" t="inlineStr">
        <is>
          <t>3834016035</t>
        </is>
      </c>
      <c r="E580" s="13" t="inlineStr">
        <is>
          <t>ЮЛ РФ</t>
        </is>
      </c>
      <c r="F580" s="13" t="n"/>
      <c r="G580" s="14" t="n"/>
      <c r="H580" s="14" t="n"/>
      <c r="I580" s="14" t="n"/>
      <c r="J580" s="14" t="n"/>
      <c r="K580" s="53" t="inlineStr"/>
      <c r="L580" s="53" t="inlineStr">
        <is>
          <t>Не определено</t>
        </is>
      </c>
      <c r="M580" s="53" t="inlineStr"/>
      <c r="N580" s="54" t="inlineStr"/>
      <c r="O580" s="55" t="inlineStr"/>
      <c r="P580" s="16" t="inlineStr">
        <is>
          <t>Требует обогащения</t>
        </is>
      </c>
      <c r="Q580" s="16">
        <f>HYPERLINK("https://pb.nalog.ru/search.html?query=3834016035","ФНС: проверить")</f>
        <v/>
      </c>
      <c r="R580" s="16">
        <f>HYPERLINK("https://checko.ru/search?query=3801001629","Чекко: проверить")</f>
        <v/>
      </c>
      <c r="S580" t="n">
        <v>1</v>
      </c>
      <c r="T580" s="35" t="inlineStr">
        <is>
          <t>4 — Не обогащён</t>
        </is>
      </c>
      <c r="U580" s="35" t="inlineStr">
        <is>
          <t>Нет ОКВЭД/ССЧР</t>
        </is>
      </c>
      <c r="V580" s="35" t="inlineStr">
        <is>
          <t>Не определено</t>
        </is>
      </c>
      <c r="W580" s="35" t="inlineStr"/>
      <c r="X580" s="35" t="inlineStr"/>
    </row>
    <row r="581" ht="27.75" customHeight="1" s="24">
      <c r="A581" s="13" t="n">
        <v>5000118786</v>
      </c>
      <c r="B581" s="13" t="inlineStr">
        <is>
          <t>Управление образования администрации муниципального образования "</t>
        </is>
      </c>
      <c r="C581" s="13" t="n">
        <v>8501000380</v>
      </c>
      <c r="D581" s="13" t="inlineStr">
        <is>
          <t>8501000380</t>
        </is>
      </c>
      <c r="E581" s="13" t="inlineStr">
        <is>
          <t>ЮЛ РФ</t>
        </is>
      </c>
      <c r="F581" s="13" t="n"/>
      <c r="G581" s="14" t="n"/>
      <c r="H581" s="14" t="n"/>
      <c r="I581" s="14" t="n"/>
      <c r="J581" s="14" t="n"/>
      <c r="K581" s="53" t="inlineStr"/>
      <c r="L581" s="53" t="inlineStr">
        <is>
          <t>Не определено</t>
        </is>
      </c>
      <c r="M581" s="53" t="inlineStr"/>
      <c r="N581" s="54" t="inlineStr"/>
      <c r="O581" s="55" t="inlineStr"/>
      <c r="P581" s="16" t="inlineStr">
        <is>
          <t>Требует обогащения</t>
        </is>
      </c>
      <c r="Q581" s="16">
        <f>HYPERLINK("https://pb.nalog.ru/search.html?query=8501000380","ФНС: проверить")</f>
        <v/>
      </c>
      <c r="R581" s="16">
        <f>HYPERLINK("https://checko.ru/search?query=3801001629","Чекко: проверить")</f>
        <v/>
      </c>
      <c r="S581" t="n">
        <v>1</v>
      </c>
      <c r="T581" s="35" t="inlineStr">
        <is>
          <t>4 — Не обогащён</t>
        </is>
      </c>
      <c r="U581" s="35" t="inlineStr">
        <is>
          <t>Нет ОКВЭД/ССЧР</t>
        </is>
      </c>
      <c r="V581" s="35" t="inlineStr">
        <is>
          <t>Не определено</t>
        </is>
      </c>
      <c r="W581" s="35" t="inlineStr"/>
      <c r="X581" s="35" t="inlineStr"/>
    </row>
    <row r="582" ht="15" customHeight="1" s="24">
      <c r="A582" s="13" t="n">
        <v>5000020993</v>
      </c>
      <c r="B582" s="13" t="inlineStr">
        <is>
          <t>Администрация МО Аларь</t>
        </is>
      </c>
      <c r="C582" s="13" t="n">
        <v>8501006103</v>
      </c>
      <c r="D582" s="13" t="inlineStr">
        <is>
          <t>8501006103</t>
        </is>
      </c>
      <c r="E582" s="13" t="inlineStr">
        <is>
          <t>ЮЛ РФ</t>
        </is>
      </c>
      <c r="F582" s="13" t="n"/>
      <c r="G582" s="14" t="n"/>
      <c r="H582" s="14" t="n"/>
      <c r="I582" s="14" t="n"/>
      <c r="J582" s="14" t="n"/>
      <c r="K582" s="53" t="inlineStr"/>
      <c r="L582" s="53" t="inlineStr">
        <is>
          <t>Не определено</t>
        </is>
      </c>
      <c r="M582" s="53" t="inlineStr"/>
      <c r="N582" s="54" t="inlineStr"/>
      <c r="O582" s="55" t="inlineStr"/>
      <c r="P582" s="16" t="inlineStr">
        <is>
          <t>Требует обогащения</t>
        </is>
      </c>
      <c r="Q582" s="16">
        <f>HYPERLINK("https://pb.nalog.ru/search.html?query=8501006103","ФНС: проверить")</f>
        <v/>
      </c>
      <c r="R582" s="16">
        <f>HYPERLINK("https://checko.ru/search?query=3801001629","Чекко: проверить")</f>
        <v/>
      </c>
      <c r="S582" t="n">
        <v>1</v>
      </c>
      <c r="T582" s="35" t="inlineStr">
        <is>
          <t>4 — Не обогащён</t>
        </is>
      </c>
      <c r="U582" s="35" t="inlineStr">
        <is>
          <t>Нет ОКВЭД/ССЧР</t>
        </is>
      </c>
      <c r="V582" s="35" t="inlineStr">
        <is>
          <t>Не определено</t>
        </is>
      </c>
      <c r="W582" s="35" t="inlineStr"/>
      <c r="X582" s="35" t="inlineStr"/>
    </row>
    <row r="583" ht="27.75" customHeight="1" s="24">
      <c r="A583" s="13" t="n">
        <v>5000081907</v>
      </c>
      <c r="B583" s="13" t="inlineStr">
        <is>
          <t>Министерство финансов Кабардино-Балкарской Республики</t>
        </is>
      </c>
      <c r="C583" s="13" t="n">
        <v>711037858</v>
      </c>
      <c r="D583" s="13" t="n"/>
      <c r="E583" s="13" t="inlineStr">
        <is>
          <t>Не определён</t>
        </is>
      </c>
      <c r="F583" s="13" t="inlineStr">
        <is>
          <t>711037858</t>
        </is>
      </c>
      <c r="G583" s="14" t="n"/>
      <c r="H583" s="14" t="n"/>
      <c r="I583" s="14" t="n"/>
      <c r="J583" s="14" t="n"/>
      <c r="K583" s="13">
        <f>IF(G583="","",IF(G583&gt;=22,"Да","Нет"))</f>
        <v/>
      </c>
      <c r="L583" s="13">
        <f>IF(OR(I583="",J583=""),"Не определено",IF(OR(COUNTIF(I583,"45*")&gt;0,COUNTIF(J583,"*45*")&gt;0,COUNTIF(I583,"46*")&gt;0,COUNTIF(J583,"*46*")&gt;0,COUNTIF(I583,"47*")&gt;0,COUNTIF(J583,"*47*")&gt;0,COUNTIF(I583,"10*")&gt;0,COUNTIF(J583,"*10*")&gt;0,COUNTIF(I583,"11*")&gt;0,COUNTIF(J583,"*11*")&gt;0,COUNTIF(I583,"12*")&gt;0,COUNTIF(J583,"*12*")&gt;0,COUNTIF(I583,"13*")&gt;0,COUNTIF(J583,"*13*")&gt;0,COUNTIF(I583,"14*")&gt;0,COUNTIF(J583,"*14*")&gt;0,COUNTIF(I583,"15*")&gt;0,COUNTIF(J583,"*15*")&gt;0,COUNTIF(I583,"16*")&gt;0,COUNTIF(J583,"*16*")&gt;0,COUNTIF(I583,"17*")&gt;0,COUNTIF(J583,"*17*")&gt;0,COUNTIF(I583,"18*")&gt;0,COUNTIF(J583,"*18*")&gt;0,COUNTIF(I583,"19*")&gt;0,COUNTIF(J583,"*19*")&gt;0,COUNTIF(I583,"20*")&gt;0,COUNTIF(J583,"*20*")&gt;0,COUNTIF(I583,"21*")&gt;0,COUNTIF(J583,"*21*")&gt;0,COUNTIF(I583,"22*")&gt;0,COUNTIF(J583,"*22*")&gt;0,COUNTIF(I583,"23*")&gt;0,COUNTIF(J583,"*23*")&gt;0,COUNTIF(I583,"24*")&gt;0,COUNTIF(J583,"*24*")&gt;0,COUNTIF(I583,"25*")&gt;0,COUNTIF(J583,"*25*")&gt;0,COUNTIF(I583,"26*")&gt;0,COUNTIF(J583,"*26*")&gt;0,COUNTIF(I583,"27*")&gt;0,COUNTIF(J583,"*27*")&gt;0,COUNTIF(I583,"28*")&gt;0,COUNTIF(J583,"*28*")&gt;0,COUNTIF(I583,"29*")&gt;0,COUNTIF(J583,"*29*")&gt;0,COUNTIF(I583,"30*")&gt;0,COUNTIF(J583,"*30*")&gt;0,COUNTIF(I583,"31*")&gt;0,COUNTIF(J583,"*31*")&gt;0,COUNTIF(I583,"32*")&gt;0,COUNTIF(J583,"*32*")&gt;0,COUNTIF(I583,"33*")&gt;0,COUNTIF(J583,"*33*")&gt;0,COUNTIF(I583,"41*")&gt;0,COUNTIF(J583,"*41*")&gt;0,COUNTIF(I583,"42*")&gt;0,COUNTIF(J583,"*42*")&gt;0,COUNTIF(I583,"43*")&gt;0,COUNTIF(J583,"*43*")&gt;0,COUNTIF(I583,"49*")&gt;0,COUNTIF(J583,"*49*")&gt;0,COUNTIF(I583,"52*")&gt;0,COUNTIF(J583,"*52*")&gt;0,COUNTIF(I583,"55*")&gt;0,COUNTIF(J583,"*55*")&gt;0,COUNTIF(I583,"56*")&gt;0,COUNTIF(J583,"*56*")&gt;0,COUNTIF(I583,"68*")&gt;0,COUNTIF(J583,"*68*")&gt;0,COUNTIF(I583,"78*")&gt;0,COUNTIF(J583,"*78*")&gt;0,COUNTIF(I583,"81*")&gt;0,COUNTIF(J583,"*81*")&gt;0,COUNTIF(I583,"82*")&gt;0,COUNTIF(J583,"*82*")&gt;0,COUNTIF(I583,"64*")&gt;0,COUNTIF(J583,"*64*")&gt;0,COUNTIF(I583,"65*")&gt;0,COUNTIF(J583,"*65*")&gt;0,COUNTIF(I583,"66*")&gt;0,COUNTIF(J583,"*66*")&gt;0,COUNTIF(I583,"61*")&gt;0,COUNTIF(J583,"*61*")&gt;0,COUNTIF(I583,"62*")&gt;0,COUNTIF(J583,"*62*")&gt;0,COUNTIF(I583,"63*")&gt;0,COUNTIF(J583,"*63*")&gt;0,COUNTIF(I583,"85*")&gt;0,COUNTIF(J583,"*85*")&gt;0,COUNTIF(I583,"86*")&gt;0,COUNTIF(J583,"*86*")&gt;0),"Да","Нет"))</f>
        <v/>
      </c>
      <c r="M583" s="13">
        <f>IF(OR(G583="",L583&lt;&gt;"Да"),"",IF(G583&lt;=100,"До 100",IF(G583&lt;=200,"До 200",IF(G583&lt;=500,"До 500","Отдельное КП"))))</f>
        <v/>
      </c>
      <c r="N583" s="15">
        <f>IF(OR(G583="",L583&lt;&gt;"Да"),"",IF(G583&lt;=100,33600,IF(G583&lt;=200,62400,IF(G583&lt;=500,144000,""))))</f>
        <v/>
      </c>
      <c r="O583" s="16">
        <f>IF(G583="","",IF(G583&lt;=15,"1–15",IF(G583&lt;=30,"16–30",IF(G583&lt;=50,"31–50",IF(G583&lt;=100,"51–100",IF(G583&lt;=150,"101–150",IF(G583&lt;=200,"151–200",IF(G583&lt;=500,"201–500","500+"))))))))</f>
        <v/>
      </c>
      <c r="P583" s="16" t="inlineStr">
        <is>
          <t>Нет совпадения в предоставленной выгрузке ССЧР</t>
        </is>
      </c>
      <c r="Q583" s="16" t="n"/>
      <c r="R583" s="16">
        <f>HYPERLINK("https://checko.ru/search?query=3801001629","Чекко: проверить")</f>
        <v/>
      </c>
      <c r="S583" t="n">
        <v>0</v>
      </c>
    </row>
    <row r="584" ht="27.75" customHeight="1" s="24">
      <c r="A584" s="13" t="n">
        <v>5000092226</v>
      </c>
      <c r="B584" s="13" t="inlineStr">
        <is>
          <t>АДМИНИСТРАЦИЯ  МУНИЦИПАЛЬНОГО ОБРАЗОВАНИЯ "ИРХИДЕЙ" (головн</t>
        </is>
      </c>
      <c r="C584" s="13" t="n">
        <v>8505006048</v>
      </c>
      <c r="D584" s="13" t="inlineStr">
        <is>
          <t>8505006048</t>
        </is>
      </c>
      <c r="E584" s="13" t="inlineStr">
        <is>
          <t>ЮЛ РФ</t>
        </is>
      </c>
      <c r="F584" s="13" t="n"/>
      <c r="G584" s="14" t="n"/>
      <c r="H584" s="14" t="n"/>
      <c r="I584" s="14" t="n"/>
      <c r="J584" s="14" t="n"/>
      <c r="K584" s="53" t="inlineStr"/>
      <c r="L584" s="53" t="inlineStr">
        <is>
          <t>Не определено</t>
        </is>
      </c>
      <c r="M584" s="53" t="inlineStr"/>
      <c r="N584" s="54" t="inlineStr"/>
      <c r="O584" s="55" t="inlineStr"/>
      <c r="P584" s="16" t="inlineStr">
        <is>
          <t>Требует обогащения</t>
        </is>
      </c>
      <c r="Q584" s="16">
        <f>HYPERLINK("https://pb.nalog.ru/search.html?query=8505006048","ФНС: проверить")</f>
        <v/>
      </c>
      <c r="R584" s="16">
        <f>HYPERLINK("https://checko.ru/search?query=3801001629","Чекко: проверить")</f>
        <v/>
      </c>
      <c r="S584" t="n">
        <v>1</v>
      </c>
      <c r="T584" s="35" t="inlineStr">
        <is>
          <t>4 — Не обогащён</t>
        </is>
      </c>
      <c r="U584" s="35" t="inlineStr">
        <is>
          <t>Нет ОКВЭД/ССЧР</t>
        </is>
      </c>
      <c r="V584" s="35" t="inlineStr">
        <is>
          <t>Не определено</t>
        </is>
      </c>
      <c r="W584" s="35" t="inlineStr"/>
      <c r="X584" s="35" t="inlineStr"/>
    </row>
    <row r="585" ht="27.75" customHeight="1" s="24">
      <c r="A585" s="13" t="n">
        <v>5000116677</v>
      </c>
      <c r="B585" s="13" t="inlineStr">
        <is>
          <t>Администрация Одинцовского Муниципального района Московской области</t>
        </is>
      </c>
      <c r="C585" s="13" t="n">
        <v>5032004222</v>
      </c>
      <c r="D585" s="13" t="inlineStr">
        <is>
          <t>5032004222</t>
        </is>
      </c>
      <c r="E585" s="13" t="inlineStr">
        <is>
          <t>ЮЛ РФ</t>
        </is>
      </c>
      <c r="F585" s="13" t="n"/>
      <c r="G585" s="14" t="n"/>
      <c r="H585" s="14" t="n"/>
      <c r="I585" s="14" t="n"/>
      <c r="J585" s="14" t="n"/>
      <c r="K585" s="53" t="inlineStr"/>
      <c r="L585" s="53" t="inlineStr">
        <is>
          <t>Не определено</t>
        </is>
      </c>
      <c r="M585" s="53" t="inlineStr"/>
      <c r="N585" s="54" t="inlineStr"/>
      <c r="O585" s="55" t="inlineStr"/>
      <c r="P585" s="16" t="inlineStr">
        <is>
          <t>Требует обогащения</t>
        </is>
      </c>
      <c r="Q585" s="16">
        <f>HYPERLINK("https://pb.nalog.ru/search.html?query=5032004222","ФНС: проверить")</f>
        <v/>
      </c>
      <c r="R585" s="16">
        <f>HYPERLINK("https://checko.ru/search?query=3801001629","Чекко: проверить")</f>
        <v/>
      </c>
      <c r="S585" t="n">
        <v>1</v>
      </c>
      <c r="T585" s="35" t="inlineStr">
        <is>
          <t>4 — Не обогащён</t>
        </is>
      </c>
      <c r="U585" s="35" t="inlineStr">
        <is>
          <t>Нет ОКВЭД/ССЧР</t>
        </is>
      </c>
      <c r="V585" s="35" t="inlineStr">
        <is>
          <t>Не определено</t>
        </is>
      </c>
      <c r="W585" s="35" t="inlineStr"/>
      <c r="X585" s="35" t="inlineStr"/>
    </row>
    <row r="586" ht="15" customHeight="1" s="24">
      <c r="A586" s="13" t="n">
        <v>5000116254</v>
      </c>
      <c r="B586" s="13" t="inlineStr">
        <is>
          <t>Администрация МО Луховицкого района</t>
        </is>
      </c>
      <c r="C586" s="13" t="n">
        <v>5072722974</v>
      </c>
      <c r="D586" s="13" t="inlineStr">
        <is>
          <t>5072722974</t>
        </is>
      </c>
      <c r="E586" s="13" t="inlineStr">
        <is>
          <t>ЮЛ РФ</t>
        </is>
      </c>
      <c r="F586" s="13" t="n"/>
      <c r="G586" s="14" t="n"/>
      <c r="H586" s="14" t="n"/>
      <c r="I586" s="14" t="n"/>
      <c r="J586" s="14" t="n"/>
      <c r="K586" s="53" t="inlineStr"/>
      <c r="L586" s="53" t="inlineStr">
        <is>
          <t>Не определено</t>
        </is>
      </c>
      <c r="M586" s="53" t="inlineStr"/>
      <c r="N586" s="54" t="inlineStr"/>
      <c r="O586" s="55" t="inlineStr"/>
      <c r="P586" s="16" t="inlineStr">
        <is>
          <t>Требует обогащения</t>
        </is>
      </c>
      <c r="Q586" s="16">
        <f>HYPERLINK("https://pb.nalog.ru/search.html?query=5072722974","ФНС: проверить")</f>
        <v/>
      </c>
      <c r="R586" s="16">
        <f>HYPERLINK("https://checko.ru/search?query=3801001629","Чекко: проверить")</f>
        <v/>
      </c>
      <c r="S586" t="n">
        <v>1</v>
      </c>
      <c r="T586" s="35" t="inlineStr">
        <is>
          <t>4 — Не обогащён</t>
        </is>
      </c>
      <c r="U586" s="35" t="inlineStr">
        <is>
          <t>Нет ОКВЭД/ССЧР</t>
        </is>
      </c>
      <c r="V586" s="35" t="inlineStr">
        <is>
          <t>Не определено</t>
        </is>
      </c>
      <c r="W586" s="35" t="inlineStr"/>
      <c r="X586" s="35" t="inlineStr"/>
    </row>
    <row r="587" ht="15" customHeight="1" s="24">
      <c r="A587" s="13" t="n">
        <v>5000094049</v>
      </c>
      <c r="B587" s="13" t="inlineStr">
        <is>
          <t>Администрация города Черемхово</t>
        </is>
      </c>
      <c r="C587" s="13" t="n">
        <v>3820010121</v>
      </c>
      <c r="D587" s="13" t="inlineStr">
        <is>
          <t>3820010121</t>
        </is>
      </c>
      <c r="E587" s="13" t="inlineStr">
        <is>
          <t>ЮЛ РФ</t>
        </is>
      </c>
      <c r="F587" s="13" t="n"/>
      <c r="G587" s="14" t="n"/>
      <c r="H587" s="14" t="n"/>
      <c r="I587" s="14" t="n"/>
      <c r="J587" s="14" t="n"/>
      <c r="K587" s="53" t="inlineStr"/>
      <c r="L587" s="53" t="inlineStr">
        <is>
          <t>Не определено</t>
        </is>
      </c>
      <c r="M587" s="53" t="inlineStr"/>
      <c r="N587" s="54" t="inlineStr"/>
      <c r="O587" s="55" t="inlineStr"/>
      <c r="P587" s="16" t="inlineStr">
        <is>
          <t>Требует обогащения</t>
        </is>
      </c>
      <c r="Q587" s="16">
        <f>HYPERLINK("https://pb.nalog.ru/search.html?query=3820010121","ФНС: проверить")</f>
        <v/>
      </c>
      <c r="R587" s="16">
        <f>HYPERLINK("https://checko.ru/search?query=3801001629","Чекко: проверить")</f>
        <v/>
      </c>
      <c r="S587" t="n">
        <v>1</v>
      </c>
      <c r="T587" s="35" t="inlineStr">
        <is>
          <t>4 — Не обогащён</t>
        </is>
      </c>
      <c r="U587" s="35" t="inlineStr">
        <is>
          <t>Нет ОКВЭД/ССЧР</t>
        </is>
      </c>
      <c r="V587" s="35" t="inlineStr">
        <is>
          <t>Не определено</t>
        </is>
      </c>
      <c r="W587" s="35" t="inlineStr"/>
      <c r="X587" s="35" t="inlineStr"/>
    </row>
    <row r="588" ht="41.25" customHeight="1" s="24">
      <c r="A588" s="13" t="n">
        <v>5000022232</v>
      </c>
      <c r="B588" s="13" t="inlineStr">
        <is>
          <t>Администрация Шара-Тоготского муниципального образования - Администрация сельского поселения</t>
        </is>
      </c>
      <c r="C588" s="13" t="n">
        <v>3836003480</v>
      </c>
      <c r="D588" s="13" t="inlineStr">
        <is>
          <t>3836003480</t>
        </is>
      </c>
      <c r="E588" s="13" t="inlineStr">
        <is>
          <t>ЮЛ РФ</t>
        </is>
      </c>
      <c r="F588" s="13" t="n"/>
      <c r="G588" s="14" t="n"/>
      <c r="H588" s="14" t="n"/>
      <c r="I588" s="14" t="n"/>
      <c r="J588" s="14" t="n"/>
      <c r="K588" s="53" t="inlineStr"/>
      <c r="L588" s="53" t="inlineStr">
        <is>
          <t>Не определено</t>
        </is>
      </c>
      <c r="M588" s="53" t="inlineStr"/>
      <c r="N588" s="54" t="inlineStr"/>
      <c r="O588" s="55" t="inlineStr"/>
      <c r="P588" s="16" t="inlineStr">
        <is>
          <t>Требует обогащения</t>
        </is>
      </c>
      <c r="Q588" s="16">
        <f>HYPERLINK("https://pb.nalog.ru/search.html?query=3836003480","ФНС: проверить")</f>
        <v/>
      </c>
      <c r="R588" s="16">
        <f>HYPERLINK("https://checko.ru/search?query=3801001629","Чекко: проверить")</f>
        <v/>
      </c>
      <c r="S588" t="n">
        <v>1</v>
      </c>
      <c r="T588" s="35" t="inlineStr">
        <is>
          <t>4 — Не обогащён</t>
        </is>
      </c>
      <c r="U588" s="35" t="inlineStr">
        <is>
          <t>Нет ОКВЭД/ССЧР</t>
        </is>
      </c>
      <c r="V588" s="35" t="inlineStr">
        <is>
          <t>Не определено</t>
        </is>
      </c>
      <c r="W588" s="35" t="inlineStr"/>
      <c r="X588" s="35" t="inlineStr"/>
    </row>
    <row r="589" ht="15" customHeight="1" s="24">
      <c r="A589" s="13" t="n">
        <v>5000030170</v>
      </c>
      <c r="B589" s="13" t="inlineStr">
        <is>
          <t>Администрация МО "Баяндаевский район"</t>
        </is>
      </c>
      <c r="C589" s="13" t="n">
        <v>8502000224</v>
      </c>
      <c r="D589" s="13" t="inlineStr">
        <is>
          <t>8502000224</t>
        </is>
      </c>
      <c r="E589" s="13" t="inlineStr">
        <is>
          <t>ЮЛ РФ</t>
        </is>
      </c>
      <c r="F589" s="13" t="n"/>
      <c r="G589" s="14" t="n"/>
      <c r="H589" s="14" t="n"/>
      <c r="I589" s="14" t="n"/>
      <c r="J589" s="14" t="n"/>
      <c r="K589" s="53" t="inlineStr"/>
      <c r="L589" s="53" t="inlineStr">
        <is>
          <t>Не определено</t>
        </is>
      </c>
      <c r="M589" s="53" t="inlineStr"/>
      <c r="N589" s="54" t="inlineStr"/>
      <c r="O589" s="55" t="inlineStr"/>
      <c r="P589" s="16" t="inlineStr">
        <is>
          <t>Требует обогащения</t>
        </is>
      </c>
      <c r="Q589" s="16">
        <f>HYPERLINK("https://pb.nalog.ru/search.html?query=8502000224","ФНС: проверить")</f>
        <v/>
      </c>
      <c r="R589" s="16">
        <f>HYPERLINK("https://checko.ru/search?query=3801001629","Чекко: проверить")</f>
        <v/>
      </c>
      <c r="S589" t="n">
        <v>1</v>
      </c>
      <c r="T589" s="35" t="inlineStr">
        <is>
          <t>4 — Не обогащён</t>
        </is>
      </c>
      <c r="U589" s="35" t="inlineStr">
        <is>
          <t>Нет ОКВЭД/ССЧР</t>
        </is>
      </c>
      <c r="V589" s="35" t="inlineStr">
        <is>
          <t>Не определено</t>
        </is>
      </c>
      <c r="W589" s="35" t="inlineStr"/>
      <c r="X589" s="35" t="inlineStr"/>
    </row>
    <row r="590" ht="27.75" customHeight="1" s="24">
      <c r="A590" s="13" t="n">
        <v>5000006314</v>
      </c>
      <c r="B590" s="13" t="inlineStr">
        <is>
          <t>Областное государственное казённое учреждение “Областное казначейство”</t>
        </is>
      </c>
      <c r="C590" s="13" t="n">
        <v>7325151774</v>
      </c>
      <c r="D590" s="13" t="inlineStr">
        <is>
          <t>7325151774</t>
        </is>
      </c>
      <c r="E590" s="13" t="inlineStr">
        <is>
          <t>ЮЛ РФ</t>
        </is>
      </c>
      <c r="F590" s="13" t="n"/>
      <c r="G590" s="14" t="n"/>
      <c r="H590" s="14" t="n"/>
      <c r="I590" s="14" t="n"/>
      <c r="J590" s="14" t="n"/>
      <c r="K590" s="53" t="inlineStr"/>
      <c r="L590" s="53" t="inlineStr">
        <is>
          <t>Не определено</t>
        </is>
      </c>
      <c r="M590" s="53" t="inlineStr"/>
      <c r="N590" s="54" t="inlineStr"/>
      <c r="O590" s="55" t="inlineStr"/>
      <c r="P590" s="16" t="inlineStr">
        <is>
          <t>Требует обогащения</t>
        </is>
      </c>
      <c r="Q590" s="16">
        <f>HYPERLINK("https://pb.nalog.ru/search.html?query=7325151774","ФНС: проверить")</f>
        <v/>
      </c>
      <c r="R590" s="16">
        <f>HYPERLINK("https://checko.ru/search?query=3801001629","Чекко: проверить")</f>
        <v/>
      </c>
      <c r="S590" t="n">
        <v>1</v>
      </c>
      <c r="T590" s="35" t="inlineStr">
        <is>
          <t>4 — Не обогащён</t>
        </is>
      </c>
      <c r="U590" s="35" t="inlineStr">
        <is>
          <t>Нет ОКВЭД/ССЧР</t>
        </is>
      </c>
      <c r="V590" s="35" t="inlineStr">
        <is>
          <t>Не определено</t>
        </is>
      </c>
      <c r="W590" s="35" t="inlineStr"/>
      <c r="X590" s="35" t="inlineStr"/>
    </row>
    <row r="591" ht="27.75" customHeight="1" s="24">
      <c r="A591" s="13" t="n">
        <v>5000091615</v>
      </c>
      <c r="B591" s="13" t="inlineStr">
        <is>
          <t>Администрация Ключи-Булакского сельского поселения</t>
        </is>
      </c>
      <c r="C591" s="13" t="n">
        <v>3823018200</v>
      </c>
      <c r="D591" s="13" t="inlineStr">
        <is>
          <t>3823018200</t>
        </is>
      </c>
      <c r="E591" s="13" t="inlineStr">
        <is>
          <t>ЮЛ РФ</t>
        </is>
      </c>
      <c r="F591" s="13" t="n"/>
      <c r="G591" s="14" t="n"/>
      <c r="H591" s="14" t="n"/>
      <c r="I591" s="14" t="n"/>
      <c r="J591" s="14" t="n"/>
      <c r="K591" s="53" t="inlineStr"/>
      <c r="L591" s="53" t="inlineStr">
        <is>
          <t>Не определено</t>
        </is>
      </c>
      <c r="M591" s="53" t="inlineStr"/>
      <c r="N591" s="54" t="inlineStr"/>
      <c r="O591" s="55" t="inlineStr"/>
      <c r="P591" s="16" t="inlineStr">
        <is>
          <t>Требует обогащения</t>
        </is>
      </c>
      <c r="Q591" s="16">
        <f>HYPERLINK("https://pb.nalog.ru/search.html?query=3823018200","ФНС: проверить")</f>
        <v/>
      </c>
      <c r="R591" s="16">
        <f>HYPERLINK("https://checko.ru/search?query=3801001629","Чекко: проверить")</f>
        <v/>
      </c>
      <c r="S591" t="n">
        <v>1</v>
      </c>
      <c r="T591" s="35" t="inlineStr">
        <is>
          <t>4 — Не обогащён</t>
        </is>
      </c>
      <c r="U591" s="35" t="inlineStr">
        <is>
          <t>Нет ОКВЭД/ССЧР</t>
        </is>
      </c>
      <c r="V591" s="35" t="inlineStr">
        <is>
          <t>Не определено</t>
        </is>
      </c>
      <c r="W591" s="35" t="inlineStr"/>
      <c r="X591" s="35" t="inlineStr"/>
    </row>
    <row r="592" ht="27.75" customHeight="1" s="24">
      <c r="A592" s="13" t="n">
        <v>5000098036</v>
      </c>
      <c r="B592" s="13" t="inlineStr">
        <is>
          <t>МИНИСТЕРСТВО ЦИФРОВОГО РАЗВИТИЯ И СВЯЗИ ОРЕНБУРГСКОЙ ОБЛАСТИ (головн</t>
        </is>
      </c>
      <c r="C592" s="13" t="n">
        <v>5610151539</v>
      </c>
      <c r="D592" s="13" t="inlineStr">
        <is>
          <t>5610151539</t>
        </is>
      </c>
      <c r="E592" s="13" t="inlineStr">
        <is>
          <t>ЮЛ РФ</t>
        </is>
      </c>
      <c r="F592" s="13" t="n"/>
      <c r="G592" s="14" t="n"/>
      <c r="H592" s="14" t="n"/>
      <c r="I592" s="14" t="n"/>
      <c r="J592" s="14" t="n"/>
      <c r="K592" s="53" t="inlineStr"/>
      <c r="L592" s="53" t="inlineStr">
        <is>
          <t>Не определено</t>
        </is>
      </c>
      <c r="M592" s="53" t="inlineStr"/>
      <c r="N592" s="54" t="inlineStr"/>
      <c r="O592" s="55" t="inlineStr"/>
      <c r="P592" s="16" t="inlineStr">
        <is>
          <t>Требует обогащения</t>
        </is>
      </c>
      <c r="Q592" s="16">
        <f>HYPERLINK("https://pb.nalog.ru/search.html?query=5610151539","ФНС: проверить")</f>
        <v/>
      </c>
      <c r="R592" s="16">
        <f>HYPERLINK("https://checko.ru/search?query=3801001629","Чекко: проверить")</f>
        <v/>
      </c>
      <c r="S592" t="n">
        <v>1</v>
      </c>
      <c r="T592" s="35" t="inlineStr">
        <is>
          <t>4 — Не обогащён</t>
        </is>
      </c>
      <c r="U592" s="35" t="inlineStr">
        <is>
          <t>Нет ОКВЭД/ССЧР</t>
        </is>
      </c>
      <c r="V592" s="35" t="inlineStr">
        <is>
          <t>Не определено</t>
        </is>
      </c>
      <c r="W592" s="35" t="inlineStr"/>
      <c r="X592" s="35" t="inlineStr"/>
    </row>
    <row r="593" ht="27.75" customHeight="1" s="24">
      <c r="A593" s="13" t="n">
        <v>5000092214</v>
      </c>
      <c r="B593" s="13" t="inlineStr">
        <is>
          <t>Администрация Алзамайского муниципального образования</t>
        </is>
      </c>
      <c r="C593" s="13" t="n">
        <v>3813002063</v>
      </c>
      <c r="D593" s="13" t="inlineStr">
        <is>
          <t>3813002063</t>
        </is>
      </c>
      <c r="E593" s="13" t="inlineStr">
        <is>
          <t>ЮЛ РФ</t>
        </is>
      </c>
      <c r="F593" s="13" t="n"/>
      <c r="G593" s="14" t="n"/>
      <c r="H593" s="14" t="n"/>
      <c r="I593" s="14" t="n"/>
      <c r="J593" s="14" t="n"/>
      <c r="K593" s="53" t="inlineStr"/>
      <c r="L593" s="53" t="inlineStr">
        <is>
          <t>Не определено</t>
        </is>
      </c>
      <c r="M593" s="53" t="inlineStr"/>
      <c r="N593" s="54" t="inlineStr"/>
      <c r="O593" s="55" t="inlineStr"/>
      <c r="P593" s="16" t="inlineStr">
        <is>
          <t>Требует обогащения</t>
        </is>
      </c>
      <c r="Q593" s="16">
        <f>HYPERLINK("https://pb.nalog.ru/search.html?query=3813002063","ФНС: проверить")</f>
        <v/>
      </c>
      <c r="R593" s="16">
        <f>HYPERLINK("https://checko.ru/search?query=3801001629","Чекко: проверить")</f>
        <v/>
      </c>
      <c r="S593" t="n">
        <v>1</v>
      </c>
      <c r="T593" s="35" t="inlineStr">
        <is>
          <t>4 — Не обогащён</t>
        </is>
      </c>
      <c r="U593" s="35" t="inlineStr">
        <is>
          <t>Нет ОКВЭД/ССЧР</t>
        </is>
      </c>
      <c r="V593" s="35" t="inlineStr">
        <is>
          <t>Не определено</t>
        </is>
      </c>
      <c r="W593" s="35" t="inlineStr"/>
      <c r="X593" s="35" t="inlineStr"/>
    </row>
    <row r="594" ht="41.25" customHeight="1" s="24">
      <c r="A594" s="13" t="n">
        <v>5000001309</v>
      </c>
      <c r="B594" s="13" t="inlineStr">
        <is>
          <t>ОБЛАСТНОЕ ГОСУДАРСТВЕННОЕ АВТОНОМНОЕ УЧРЕЖДЕНИЕ "ИНФОРМАЦИОННО-ТЕХНИЧЕСКИЙ ЦЕНТР ИРКУТСКОЙ ОБЛАСТИ"</t>
        </is>
      </c>
      <c r="C594" s="13" t="n">
        <v>3808237260</v>
      </c>
      <c r="D594" s="13" t="inlineStr">
        <is>
          <t>3808237260</t>
        </is>
      </c>
      <c r="E594" s="13" t="inlineStr">
        <is>
          <t>ЮЛ РФ</t>
        </is>
      </c>
      <c r="F594" s="13" t="n"/>
      <c r="G594" s="14" t="n"/>
      <c r="H594" s="14" t="n"/>
      <c r="I594" s="14" t="n"/>
      <c r="J594" s="14" t="n"/>
      <c r="K594" s="53" t="inlineStr"/>
      <c r="L594" s="53" t="inlineStr">
        <is>
          <t>Не определено</t>
        </is>
      </c>
      <c r="M594" s="53" t="inlineStr"/>
      <c r="N594" s="54" t="inlineStr"/>
      <c r="O594" s="55" t="inlineStr"/>
      <c r="P594" s="16" t="inlineStr">
        <is>
          <t>Требует обогащения</t>
        </is>
      </c>
      <c r="Q594" s="16">
        <f>HYPERLINK("https://pb.nalog.ru/search.html?query=3808237260","ФНС: проверить")</f>
        <v/>
      </c>
      <c r="R594" s="16">
        <f>HYPERLINK("https://checko.ru/search?query=3801001629","Чекко: проверить")</f>
        <v/>
      </c>
      <c r="S594" t="n">
        <v>1</v>
      </c>
      <c r="T594" s="35" t="inlineStr">
        <is>
          <t>4 — Не обогащён</t>
        </is>
      </c>
      <c r="U594" s="35" t="inlineStr">
        <is>
          <t>Нет ОКВЭД/ССЧР</t>
        </is>
      </c>
      <c r="V594" s="35" t="inlineStr">
        <is>
          <t>Не определено</t>
        </is>
      </c>
      <c r="W594" s="35" t="inlineStr"/>
      <c r="X594" s="35" t="inlineStr"/>
    </row>
    <row r="595" ht="15" customHeight="1" s="24">
      <c r="A595" s="13" t="n">
        <v>5000102755</v>
      </c>
      <c r="B595" s="13" t="inlineStr">
        <is>
          <t>Администрация МО "Кулункунское"</t>
        </is>
      </c>
      <c r="C595" s="13" t="n">
        <v>8506009651</v>
      </c>
      <c r="D595" s="13" t="inlineStr">
        <is>
          <t>8506009651</t>
        </is>
      </c>
      <c r="E595" s="13" t="inlineStr">
        <is>
          <t>ЮЛ РФ</t>
        </is>
      </c>
      <c r="F595" s="13" t="n"/>
      <c r="G595" s="14" t="n"/>
      <c r="H595" s="14" t="n"/>
      <c r="I595" s="14" t="n"/>
      <c r="J595" s="14" t="n"/>
      <c r="K595" s="53" t="inlineStr"/>
      <c r="L595" s="53" t="inlineStr">
        <is>
          <t>Не определено</t>
        </is>
      </c>
      <c r="M595" s="53" t="inlineStr"/>
      <c r="N595" s="54" t="inlineStr"/>
      <c r="O595" s="55" t="inlineStr"/>
      <c r="P595" s="16" t="inlineStr">
        <is>
          <t>Требует обогащения</t>
        </is>
      </c>
      <c r="Q595" s="16">
        <f>HYPERLINK("https://pb.nalog.ru/search.html?query=8506009651","ФНС: проверить")</f>
        <v/>
      </c>
      <c r="R595" s="16">
        <f>HYPERLINK("https://checko.ru/search?query=3801001629","Чекко: проверить")</f>
        <v/>
      </c>
      <c r="S595" t="n">
        <v>1</v>
      </c>
      <c r="T595" s="35" t="inlineStr">
        <is>
          <t>4 — Не обогащён</t>
        </is>
      </c>
      <c r="U595" s="35" t="inlineStr">
        <is>
          <t>Нет ОКВЭД/ССЧР</t>
        </is>
      </c>
      <c r="V595" s="35" t="inlineStr">
        <is>
          <t>Не определено</t>
        </is>
      </c>
      <c r="W595" s="35" t="inlineStr"/>
      <c r="X595" s="35" t="inlineStr"/>
    </row>
    <row r="596" ht="15" customHeight="1" s="24">
      <c r="A596" s="13" t="n">
        <v>5000008534</v>
      </c>
      <c r="B596" s="13" t="inlineStr">
        <is>
          <t>Центральный аппарат ФССП РОССИИ</t>
        </is>
      </c>
      <c r="C596" s="13" t="n">
        <v>7709576929</v>
      </c>
      <c r="D596" s="13" t="inlineStr">
        <is>
          <t>7709576929</t>
        </is>
      </c>
      <c r="E596" s="13" t="inlineStr">
        <is>
          <t>ЮЛ РФ</t>
        </is>
      </c>
      <c r="F596" s="13" t="n"/>
      <c r="G596" s="14" t="n"/>
      <c r="H596" s="14" t="n"/>
      <c r="I596" s="14" t="n"/>
      <c r="J596" s="14" t="n"/>
      <c r="K596" s="53" t="inlineStr"/>
      <c r="L596" s="53" t="inlineStr">
        <is>
          <t>Не определено</t>
        </is>
      </c>
      <c r="M596" s="53" t="inlineStr"/>
      <c r="N596" s="54" t="inlineStr"/>
      <c r="O596" s="55" t="inlineStr"/>
      <c r="P596" s="16" t="inlineStr">
        <is>
          <t>Требует обогащения</t>
        </is>
      </c>
      <c r="Q596" s="16">
        <f>HYPERLINK("https://pb.nalog.ru/search.html?query=7709576929","ФНС: проверить")</f>
        <v/>
      </c>
      <c r="R596" s="16">
        <f>HYPERLINK("https://checko.ru/search?query=3801001629","Чекко: проверить")</f>
        <v/>
      </c>
      <c r="S596" t="n">
        <v>1</v>
      </c>
      <c r="T596" s="35" t="inlineStr">
        <is>
          <t>4 — Не обогащён</t>
        </is>
      </c>
      <c r="U596" s="35" t="inlineStr">
        <is>
          <t>Нет ОКВЭД/ССЧР</t>
        </is>
      </c>
      <c r="V596" s="35" t="inlineStr">
        <is>
          <t>Не определено</t>
        </is>
      </c>
      <c r="W596" s="35" t="inlineStr"/>
      <c r="X596" s="35" t="inlineStr"/>
    </row>
    <row r="597" ht="27.75" customHeight="1" s="24">
      <c r="A597" s="13" t="n">
        <v>5000014009</v>
      </c>
      <c r="B597" s="13" t="inlineStr">
        <is>
          <t>Финансовое управление Администрации Мамско-Чуйского района</t>
        </is>
      </c>
      <c r="C597" s="13" t="n">
        <v>3833001283</v>
      </c>
      <c r="D597" s="13" t="inlineStr">
        <is>
          <t>3833001283</t>
        </is>
      </c>
      <c r="E597" s="13" t="inlineStr">
        <is>
          <t>ЮЛ РФ</t>
        </is>
      </c>
      <c r="F597" s="13" t="n"/>
      <c r="G597" s="14" t="n"/>
      <c r="H597" s="14" t="n"/>
      <c r="I597" s="14" t="n"/>
      <c r="J597" s="14" t="n"/>
      <c r="K597" s="53" t="inlineStr"/>
      <c r="L597" s="53" t="inlineStr">
        <is>
          <t>Не определено</t>
        </is>
      </c>
      <c r="M597" s="53" t="inlineStr"/>
      <c r="N597" s="54" t="inlineStr"/>
      <c r="O597" s="55" t="inlineStr"/>
      <c r="P597" s="16" t="inlineStr">
        <is>
          <t>Требует обогащения</t>
        </is>
      </c>
      <c r="Q597" s="16">
        <f>HYPERLINK("https://pb.nalog.ru/search.html?query=3833001283","ФНС: проверить")</f>
        <v/>
      </c>
      <c r="R597" s="16">
        <f>HYPERLINK("https://checko.ru/search?query=3801001629","Чекко: проверить")</f>
        <v/>
      </c>
      <c r="S597" t="n">
        <v>1</v>
      </c>
      <c r="T597" s="35" t="inlineStr">
        <is>
          <t>4 — Не обогащён</t>
        </is>
      </c>
      <c r="U597" s="35" t="inlineStr">
        <is>
          <t>Нет ОКВЭД/ССЧР</t>
        </is>
      </c>
      <c r="V597" s="35" t="inlineStr">
        <is>
          <t>Не определено</t>
        </is>
      </c>
      <c r="W597" s="35" t="inlineStr"/>
      <c r="X597" s="35" t="inlineStr"/>
    </row>
    <row r="598" ht="41.25" customHeight="1" s="24">
      <c r="A598" s="13" t="n">
        <v>5000042544</v>
      </c>
      <c r="B598" s="13" t="inlineStr">
        <is>
          <t>Комитет образования администрации муниципального района «Газимуро-Заводский район»</t>
        </is>
      </c>
      <c r="C598" s="13" t="n">
        <v>7504000852</v>
      </c>
      <c r="D598" s="13" t="inlineStr">
        <is>
          <t>7504000852</t>
        </is>
      </c>
      <c r="E598" s="13" t="inlineStr">
        <is>
          <t>ЮЛ РФ</t>
        </is>
      </c>
      <c r="F598" s="13" t="n"/>
      <c r="G598" s="14" t="n"/>
      <c r="H598" s="14" t="n"/>
      <c r="I598" s="14" t="n"/>
      <c r="J598" s="14" t="n"/>
      <c r="K598" s="53" t="inlineStr"/>
      <c r="L598" s="53" t="inlineStr">
        <is>
          <t>Не определено</t>
        </is>
      </c>
      <c r="M598" s="53" t="inlineStr"/>
      <c r="N598" s="54" t="inlineStr"/>
      <c r="O598" s="55" t="inlineStr"/>
      <c r="P598" s="16" t="inlineStr">
        <is>
          <t>Требует обогащения</t>
        </is>
      </c>
      <c r="Q598" s="16">
        <f>HYPERLINK("https://pb.nalog.ru/search.html?query=7504000852","ФНС: проверить")</f>
        <v/>
      </c>
      <c r="R598" s="16">
        <f>HYPERLINK("https://checko.ru/search?query=3801001629","Чекко: проверить")</f>
        <v/>
      </c>
      <c r="S598" t="n">
        <v>1</v>
      </c>
      <c r="T598" s="35" t="inlineStr">
        <is>
          <t>4 — Не обогащён</t>
        </is>
      </c>
      <c r="U598" s="35" t="inlineStr">
        <is>
          <t>Нет ОКВЭД/ССЧР</t>
        </is>
      </c>
      <c r="V598" s="35" t="inlineStr">
        <is>
          <t>Не определено</t>
        </is>
      </c>
      <c r="W598" s="35" t="inlineStr"/>
      <c r="X598" s="35" t="inlineStr"/>
    </row>
    <row r="599" ht="41.25" customHeight="1" s="24">
      <c r="A599" s="13" t="n">
        <v>5000093507</v>
      </c>
      <c r="B599" s="13" t="inlineStr">
        <is>
          <t>МКУ РЕСУРСНЫЙ ЦЕНТР УПРАВЛЕНИЯ ОБРАЗОВАНИЕМ УСТЬ-КУТСКОГО МУНИЦИПАЛЬНОГО ОБРАЗОВАНИЯ</t>
        </is>
      </c>
      <c r="C599" s="13" t="n">
        <v>3818048456</v>
      </c>
      <c r="D599" s="13" t="inlineStr">
        <is>
          <t>3818048456</t>
        </is>
      </c>
      <c r="E599" s="13" t="inlineStr">
        <is>
          <t>ЮЛ РФ</t>
        </is>
      </c>
      <c r="F599" s="13" t="n"/>
      <c r="G599" s="14" t="n"/>
      <c r="H599" s="14" t="n"/>
      <c r="I599" s="14" t="n"/>
      <c r="J599" s="14" t="n"/>
      <c r="K599" s="53" t="inlineStr"/>
      <c r="L599" s="53" t="inlineStr">
        <is>
          <t>Не определено</t>
        </is>
      </c>
      <c r="M599" s="53" t="inlineStr"/>
      <c r="N599" s="54" t="inlineStr"/>
      <c r="O599" s="55" t="inlineStr"/>
      <c r="P599" s="16" t="inlineStr">
        <is>
          <t>Требует обогащения</t>
        </is>
      </c>
      <c r="Q599" s="16">
        <f>HYPERLINK("https://pb.nalog.ru/search.html?query=3818048456","ФНС: проверить")</f>
        <v/>
      </c>
      <c r="R599" s="16">
        <f>HYPERLINK("https://checko.ru/search?query=3801001629","Чекко: проверить")</f>
        <v/>
      </c>
      <c r="S599" t="n">
        <v>1</v>
      </c>
      <c r="T599" s="35" t="inlineStr">
        <is>
          <t>4 — Не обогащён</t>
        </is>
      </c>
      <c r="U599" s="35" t="inlineStr">
        <is>
          <t>Нет ОКВЭД/ССЧР</t>
        </is>
      </c>
      <c r="V599" s="35" t="inlineStr">
        <is>
          <t>Не определено</t>
        </is>
      </c>
      <c r="W599" s="35" t="inlineStr"/>
      <c r="X599" s="35" t="inlineStr"/>
    </row>
    <row r="600" ht="27.75" customHeight="1" s="24">
      <c r="A600" s="13" t="n">
        <v>5000017081</v>
      </c>
      <c r="B600" s="13" t="inlineStr">
        <is>
          <t>Администрация Хужирского муниципального образования-администрация сельского поселения</t>
        </is>
      </c>
      <c r="C600" s="13" t="n">
        <v>3836003440</v>
      </c>
      <c r="D600" s="13" t="inlineStr">
        <is>
          <t>3836003440</t>
        </is>
      </c>
      <c r="E600" s="13" t="inlineStr">
        <is>
          <t>ЮЛ РФ</t>
        </is>
      </c>
      <c r="F600" s="13" t="n"/>
      <c r="G600" s="14" t="n"/>
      <c r="H600" s="14" t="n"/>
      <c r="I600" s="14" t="n"/>
      <c r="J600" s="14" t="n"/>
      <c r="K600" s="53" t="inlineStr"/>
      <c r="L600" s="53" t="inlineStr">
        <is>
          <t>Не определено</t>
        </is>
      </c>
      <c r="M600" s="53" t="inlineStr"/>
      <c r="N600" s="54" t="inlineStr"/>
      <c r="O600" s="55" t="inlineStr"/>
      <c r="P600" s="16" t="inlineStr">
        <is>
          <t>Требует обогащения</t>
        </is>
      </c>
      <c r="Q600" s="16">
        <f>HYPERLINK("https://pb.nalog.ru/search.html?query=3836003440","ФНС: проверить")</f>
        <v/>
      </c>
      <c r="R600" s="16">
        <f>HYPERLINK("https://checko.ru/search?query=3801001629","Чекко: проверить")</f>
        <v/>
      </c>
      <c r="S600" t="n">
        <v>1</v>
      </c>
      <c r="T600" s="35" t="inlineStr">
        <is>
          <t>4 — Не обогащён</t>
        </is>
      </c>
      <c r="U600" s="35" t="inlineStr">
        <is>
          <t>Нет ОКВЭД/ССЧР</t>
        </is>
      </c>
      <c r="V600" s="35" t="inlineStr">
        <is>
          <t>Не определено</t>
        </is>
      </c>
      <c r="W600" s="35" t="inlineStr"/>
      <c r="X600" s="35" t="inlineStr"/>
    </row>
    <row r="601" ht="41.25" customHeight="1" s="24">
      <c r="A601" s="13" t="n">
        <v>5000045936</v>
      </c>
      <c r="B601" s="13" t="inlineStr">
        <is>
          <t>Комитет по жилищно-коммунальному хозяйству, транспорту, связи, капитальному строительству и архитектуре</t>
        </is>
      </c>
      <c r="C601" s="13" t="n">
        <v>8501006488</v>
      </c>
      <c r="D601" s="13" t="inlineStr">
        <is>
          <t>8501006488</t>
        </is>
      </c>
      <c r="E601" s="13" t="inlineStr">
        <is>
          <t>ЮЛ РФ</t>
        </is>
      </c>
      <c r="F601" s="13" t="n"/>
      <c r="G601" s="14" t="n"/>
      <c r="H601" s="14" t="n"/>
      <c r="I601" s="14" t="n"/>
      <c r="J601" s="14" t="n"/>
      <c r="K601" s="53" t="inlineStr"/>
      <c r="L601" s="53" t="inlineStr">
        <is>
          <t>Не определено</t>
        </is>
      </c>
      <c r="M601" s="53" t="inlineStr"/>
      <c r="N601" s="54" t="inlineStr"/>
      <c r="O601" s="55" t="inlineStr"/>
      <c r="P601" s="16" t="inlineStr">
        <is>
          <t>Требует обогащения</t>
        </is>
      </c>
      <c r="Q601" s="16">
        <f>HYPERLINK("https://pb.nalog.ru/search.html?query=8501006488","ФНС: проверить")</f>
        <v/>
      </c>
      <c r="R601" s="16">
        <f>HYPERLINK("https://checko.ru/search?query=3801001629","Чекко: проверить")</f>
        <v/>
      </c>
      <c r="S601" t="n">
        <v>1</v>
      </c>
      <c r="T601" s="35" t="inlineStr">
        <is>
          <t>4 — Не обогащён</t>
        </is>
      </c>
      <c r="U601" s="35" t="inlineStr">
        <is>
          <t>Нет ОКВЭД/ССЧР</t>
        </is>
      </c>
      <c r="V601" s="35" t="inlineStr">
        <is>
          <t>Не определено</t>
        </is>
      </c>
      <c r="W601" s="35" t="inlineStr"/>
      <c r="X601" s="35" t="inlineStr"/>
    </row>
    <row r="602" ht="41.25" customHeight="1" s="24">
      <c r="A602" s="13" t="n">
        <v>5000018426</v>
      </c>
      <c r="B602" s="13" t="inlineStr">
        <is>
          <t>МКУ "Централизованная бухгалтерия образовательных учреждений г.Бодайбо и района"</t>
        </is>
      </c>
      <c r="C602" s="13" t="n">
        <v>3802012038</v>
      </c>
      <c r="D602" s="13" t="inlineStr">
        <is>
          <t>3802012038</t>
        </is>
      </c>
      <c r="E602" s="13" t="inlineStr">
        <is>
          <t>ЮЛ РФ</t>
        </is>
      </c>
      <c r="F602" s="13" t="n"/>
      <c r="G602" s="14" t="n"/>
      <c r="H602" s="14" t="n"/>
      <c r="I602" s="14" t="n"/>
      <c r="J602" s="14" t="n"/>
      <c r="K602" s="53" t="inlineStr"/>
      <c r="L602" s="53" t="inlineStr">
        <is>
          <t>Не определено</t>
        </is>
      </c>
      <c r="M602" s="53" t="inlineStr"/>
      <c r="N602" s="54" t="inlineStr"/>
      <c r="O602" s="55" t="inlineStr"/>
      <c r="P602" s="16" t="inlineStr">
        <is>
          <t>Требует обогащения</t>
        </is>
      </c>
      <c r="Q602" s="16">
        <f>HYPERLINK("https://pb.nalog.ru/search.html?query=3802012038","ФНС: проверить")</f>
        <v/>
      </c>
      <c r="R602" s="16">
        <f>HYPERLINK("https://checko.ru/search?query=3801001629","Чекко: проверить")</f>
        <v/>
      </c>
      <c r="S602" t="n">
        <v>1</v>
      </c>
      <c r="T602" s="35" t="inlineStr">
        <is>
          <t>4 — Не обогащён</t>
        </is>
      </c>
      <c r="U602" s="35" t="inlineStr">
        <is>
          <t>Нет ОКВЭД/ССЧР</t>
        </is>
      </c>
      <c r="V602" s="35" t="inlineStr">
        <is>
          <t>Не определено</t>
        </is>
      </c>
      <c r="W602" s="35" t="inlineStr"/>
      <c r="X602" s="35" t="inlineStr"/>
    </row>
    <row r="603" ht="27.75" customHeight="1" s="24">
      <c r="A603" s="13" t="n">
        <v>5000048971</v>
      </c>
      <c r="B603" s="13" t="inlineStr">
        <is>
          <t>Финансовое управление администрации г.Бодайбо и района</t>
        </is>
      </c>
      <c r="C603" s="13" t="n">
        <v>3802001460</v>
      </c>
      <c r="D603" s="13" t="inlineStr">
        <is>
          <t>3802001460</t>
        </is>
      </c>
      <c r="E603" s="13" t="inlineStr">
        <is>
          <t>ЮЛ РФ</t>
        </is>
      </c>
      <c r="F603" s="13" t="n"/>
      <c r="G603" s="14" t="n"/>
      <c r="H603" s="14" t="n"/>
      <c r="I603" s="14" t="n"/>
      <c r="J603" s="14" t="n"/>
      <c r="K603" s="53" t="inlineStr"/>
      <c r="L603" s="53" t="inlineStr">
        <is>
          <t>Не определено</t>
        </is>
      </c>
      <c r="M603" s="53" t="inlineStr"/>
      <c r="N603" s="54" t="inlineStr"/>
      <c r="O603" s="55" t="inlineStr"/>
      <c r="P603" s="16" t="inlineStr">
        <is>
          <t>Требует обогащения</t>
        </is>
      </c>
      <c r="Q603" s="16">
        <f>HYPERLINK("https://pb.nalog.ru/search.html?query=3802001460","ФНС: проверить")</f>
        <v/>
      </c>
      <c r="R603" s="16">
        <f>HYPERLINK("https://checko.ru/search?query=3801001629","Чекко: проверить")</f>
        <v/>
      </c>
      <c r="S603" t="n">
        <v>1</v>
      </c>
      <c r="T603" s="35" t="inlineStr">
        <is>
          <t>4 — Не обогащён</t>
        </is>
      </c>
      <c r="U603" s="35" t="inlineStr">
        <is>
          <t>Нет ОКВЭД/ССЧР</t>
        </is>
      </c>
      <c r="V603" s="35" t="inlineStr">
        <is>
          <t>Не определено</t>
        </is>
      </c>
      <c r="W603" s="35" t="inlineStr"/>
      <c r="X603" s="35" t="inlineStr"/>
    </row>
    <row r="604" ht="15" customHeight="1" s="24">
      <c r="A604" s="13" t="n">
        <v>5000072246</v>
      </c>
      <c r="B604" s="13" t="inlineStr">
        <is>
          <t>Администрация г. Иркутска</t>
        </is>
      </c>
      <c r="C604" s="13" t="n">
        <v>3808131271</v>
      </c>
      <c r="D604" s="13" t="inlineStr">
        <is>
          <t>3808131271</t>
        </is>
      </c>
      <c r="E604" s="13" t="inlineStr">
        <is>
          <t>ЮЛ РФ</t>
        </is>
      </c>
      <c r="F604" s="13" t="n"/>
      <c r="G604" s="14" t="n"/>
      <c r="H604" s="14" t="n"/>
      <c r="I604" s="14" t="n"/>
      <c r="J604" s="14" t="n"/>
      <c r="K604" s="53" t="inlineStr"/>
      <c r="L604" s="53" t="inlineStr">
        <is>
          <t>Не определено</t>
        </is>
      </c>
      <c r="M604" s="53" t="inlineStr"/>
      <c r="N604" s="54" t="inlineStr"/>
      <c r="O604" s="55" t="inlineStr"/>
      <c r="P604" s="16" t="inlineStr">
        <is>
          <t>Требует обогащения</t>
        </is>
      </c>
      <c r="Q604" s="16">
        <f>HYPERLINK("https://pb.nalog.ru/search.html?query=3808131271","ФНС: проверить")</f>
        <v/>
      </c>
      <c r="R604" s="16">
        <f>HYPERLINK("https://checko.ru/search?query=3801001629","Чекко: проверить")</f>
        <v/>
      </c>
      <c r="S604" t="n">
        <v>1</v>
      </c>
      <c r="T604" s="35" t="inlineStr">
        <is>
          <t>4 — Не обогащён</t>
        </is>
      </c>
      <c r="U604" s="35" t="inlineStr">
        <is>
          <t>Нет ОКВЭД/ССЧР</t>
        </is>
      </c>
      <c r="V604" s="35" t="inlineStr">
        <is>
          <t>Не определено</t>
        </is>
      </c>
      <c r="W604" s="35" t="inlineStr"/>
      <c r="X604" s="35" t="inlineStr"/>
    </row>
    <row r="605" ht="15" customHeight="1" s="24">
      <c r="A605" s="13" t="n">
        <v>5000047000</v>
      </c>
      <c r="B605" s="13" t="inlineStr">
        <is>
          <t>МУ Централизованная бухгалтерия УК г. Иркутска</t>
        </is>
      </c>
      <c r="C605" s="13" t="n">
        <v>3808143291</v>
      </c>
      <c r="D605" s="13" t="inlineStr">
        <is>
          <t>3808143291</t>
        </is>
      </c>
      <c r="E605" s="13" t="inlineStr">
        <is>
          <t>ЮЛ РФ</t>
        </is>
      </c>
      <c r="F605" s="13" t="n"/>
      <c r="G605" s="14" t="n"/>
      <c r="H605" s="14" t="n"/>
      <c r="I605" s="14" t="n"/>
      <c r="J605" s="14" t="n"/>
      <c r="K605" s="53" t="inlineStr"/>
      <c r="L605" s="53" t="inlineStr">
        <is>
          <t>Не определено</t>
        </is>
      </c>
      <c r="M605" s="53" t="inlineStr"/>
      <c r="N605" s="54" t="inlineStr"/>
      <c r="O605" s="55" t="inlineStr"/>
      <c r="P605" s="16" t="inlineStr">
        <is>
          <t>Требует обогащения</t>
        </is>
      </c>
      <c r="Q605" s="16">
        <f>HYPERLINK("https://pb.nalog.ru/search.html?query=3808143291","ФНС: проверить")</f>
        <v/>
      </c>
      <c r="R605" s="16">
        <f>HYPERLINK("https://checko.ru/search?query=3801001629","Чекко: проверить")</f>
        <v/>
      </c>
      <c r="S605" t="n">
        <v>1</v>
      </c>
      <c r="T605" s="35" t="inlineStr">
        <is>
          <t>4 — Не обогащён</t>
        </is>
      </c>
      <c r="U605" s="35" t="inlineStr">
        <is>
          <t>Нет ОКВЭД/ССЧР</t>
        </is>
      </c>
      <c r="V605" s="35" t="inlineStr">
        <is>
          <t>Не определено</t>
        </is>
      </c>
      <c r="W605" s="35" t="inlineStr"/>
      <c r="X605" s="35" t="inlineStr"/>
    </row>
    <row r="606" ht="27.75" customHeight="1" s="24">
      <c r="A606" s="13" t="n">
        <v>5000111683</v>
      </c>
      <c r="B606" s="13" t="inlineStr">
        <is>
          <t>АДМИНИСТРАЦИЯ ЧУНСКОГО МУНИЦИПАЛЬНОГО ОКРУГА</t>
        </is>
      </c>
      <c r="C606" s="13" t="n">
        <v>3816036825</v>
      </c>
      <c r="D606" s="13" t="inlineStr">
        <is>
          <t>3816036825</t>
        </is>
      </c>
      <c r="E606" s="13" t="inlineStr">
        <is>
          <t>ЮЛ РФ</t>
        </is>
      </c>
      <c r="F606" s="13" t="n"/>
      <c r="G606" s="14" t="n"/>
      <c r="H606" s="14" t="n"/>
      <c r="I606" s="14" t="n"/>
      <c r="J606" s="14" t="n"/>
      <c r="K606" s="53" t="inlineStr"/>
      <c r="L606" s="53" t="inlineStr">
        <is>
          <t>Не определено</t>
        </is>
      </c>
      <c r="M606" s="53" t="inlineStr"/>
      <c r="N606" s="54" t="inlineStr"/>
      <c r="O606" s="55" t="inlineStr"/>
      <c r="P606" s="16" t="inlineStr">
        <is>
          <t>Требует обогащения</t>
        </is>
      </c>
      <c r="Q606" s="16">
        <f>HYPERLINK("https://pb.nalog.ru/search.html?query=3816036825","ФНС: проверить")</f>
        <v/>
      </c>
      <c r="R606" s="16">
        <f>HYPERLINK("https://checko.ru/search?query=3801001629","Чекко: проверить")</f>
        <v/>
      </c>
      <c r="S606" t="n">
        <v>1</v>
      </c>
      <c r="T606" s="35" t="inlineStr">
        <is>
          <t>4 — Не обогащён</t>
        </is>
      </c>
      <c r="U606" s="35" t="inlineStr">
        <is>
          <t>Нет ОКВЭД/ССЧР</t>
        </is>
      </c>
      <c r="V606" s="35" t="inlineStr">
        <is>
          <t>Не определено</t>
        </is>
      </c>
      <c r="W606" s="35" t="inlineStr"/>
      <c r="X606" s="35" t="inlineStr"/>
    </row>
    <row r="607" ht="27.75" customHeight="1" s="24">
      <c r="A607" s="13" t="n">
        <v>5000122245</v>
      </c>
      <c r="B607" s="13" t="inlineStr">
        <is>
          <t>Комитет по финансам администрации Заларинского района</t>
        </is>
      </c>
      <c r="C607" s="13" t="n">
        <v>3825001392</v>
      </c>
      <c r="D607" s="13" t="inlineStr">
        <is>
          <t>3825001392</t>
        </is>
      </c>
      <c r="E607" s="13" t="inlineStr">
        <is>
          <t>ЮЛ РФ</t>
        </is>
      </c>
      <c r="F607" s="13" t="n"/>
      <c r="G607" s="14" t="n"/>
      <c r="H607" s="14" t="n"/>
      <c r="I607" s="14" t="n"/>
      <c r="J607" s="14" t="n"/>
      <c r="K607" s="53" t="inlineStr"/>
      <c r="L607" s="53" t="inlineStr">
        <is>
          <t>Не определено</t>
        </is>
      </c>
      <c r="M607" s="53" t="inlineStr"/>
      <c r="N607" s="54" t="inlineStr"/>
      <c r="O607" s="55" t="inlineStr"/>
      <c r="P607" s="16" t="inlineStr">
        <is>
          <t>Требует обогащения</t>
        </is>
      </c>
      <c r="Q607" s="16">
        <f>HYPERLINK("https://pb.nalog.ru/search.html?query=3825001392","ФНС: проверить")</f>
        <v/>
      </c>
      <c r="R607" s="16">
        <f>HYPERLINK("https://checko.ru/search?query=3801001629","Чекко: проверить")</f>
        <v/>
      </c>
      <c r="S607" t="n">
        <v>1</v>
      </c>
      <c r="T607" s="35" t="inlineStr">
        <is>
          <t>4 — Не обогащён</t>
        </is>
      </c>
      <c r="U607" s="35" t="inlineStr">
        <is>
          <t>Нет ОКВЭД/ССЧР</t>
        </is>
      </c>
      <c r="V607" s="35" t="inlineStr">
        <is>
          <t>Не определено</t>
        </is>
      </c>
      <c r="W607" s="35" t="inlineStr"/>
      <c r="X607" s="35" t="inlineStr"/>
    </row>
    <row r="608" ht="27.75" customHeight="1" s="24">
      <c r="A608" s="13" t="n">
        <v>5000018612</v>
      </c>
      <c r="B608" s="13" t="inlineStr">
        <is>
          <t>МУ «Централизованная бухгалтерия муниципальных учреждений культуры»</t>
        </is>
      </c>
      <c r="C608" s="13" t="n">
        <v>3802012750</v>
      </c>
      <c r="D608" s="13" t="inlineStr">
        <is>
          <t>3802012750</t>
        </is>
      </c>
      <c r="E608" s="13" t="inlineStr">
        <is>
          <t>ЮЛ РФ</t>
        </is>
      </c>
      <c r="F608" s="13" t="n"/>
      <c r="G608" s="14" t="n"/>
      <c r="H608" s="14" t="n"/>
      <c r="I608" s="14" t="n"/>
      <c r="J608" s="14" t="n"/>
      <c r="K608" s="53" t="inlineStr"/>
      <c r="L608" s="53" t="inlineStr">
        <is>
          <t>Не определено</t>
        </is>
      </c>
      <c r="M608" s="53" t="inlineStr"/>
      <c r="N608" s="54" t="inlineStr"/>
      <c r="O608" s="55" t="inlineStr"/>
      <c r="P608" s="16" t="inlineStr">
        <is>
          <t>Требует обогащения</t>
        </is>
      </c>
      <c r="Q608" s="16">
        <f>HYPERLINK("https://pb.nalog.ru/search.html?query=3802012750","ФНС: проверить")</f>
        <v/>
      </c>
      <c r="R608" s="16">
        <f>HYPERLINK("https://checko.ru/search?query=3801001629","Чекко: проверить")</f>
        <v/>
      </c>
      <c r="S608" t="n">
        <v>1</v>
      </c>
      <c r="T608" s="35" t="inlineStr">
        <is>
          <t>4 — Не обогащён</t>
        </is>
      </c>
      <c r="U608" s="35" t="inlineStr">
        <is>
          <t>Нет ОКВЭД/ССЧР</t>
        </is>
      </c>
      <c r="V608" s="35" t="inlineStr">
        <is>
          <t>Не определено</t>
        </is>
      </c>
      <c r="W608" s="35" t="inlineStr"/>
      <c r="X608" s="35" t="inlineStr"/>
    </row>
    <row r="609" ht="27.75" customHeight="1" s="24">
      <c r="A609" s="13" t="n">
        <v>5000020991</v>
      </c>
      <c r="B609" s="13" t="inlineStr">
        <is>
          <t>АДМИНИСТРАЦИЯ МУНИЦИПАЛЬНОГО ОБРАЗОВАНИЯ "КАМЕНКА"</t>
        </is>
      </c>
      <c r="C609" s="13" t="n">
        <v>8503005850</v>
      </c>
      <c r="D609" s="13" t="inlineStr">
        <is>
          <t>8503005850</t>
        </is>
      </c>
      <c r="E609" s="13" t="inlineStr">
        <is>
          <t>ЮЛ РФ</t>
        </is>
      </c>
      <c r="F609" s="13" t="n"/>
      <c r="G609" s="14" t="n"/>
      <c r="H609" s="14" t="n"/>
      <c r="I609" s="14" t="n"/>
      <c r="J609" s="14" t="n"/>
      <c r="K609" s="53" t="inlineStr"/>
      <c r="L609" s="53" t="inlineStr">
        <is>
          <t>Не определено</t>
        </is>
      </c>
      <c r="M609" s="53" t="inlineStr"/>
      <c r="N609" s="54" t="inlineStr"/>
      <c r="O609" s="55" t="inlineStr"/>
      <c r="P609" s="16" t="inlineStr">
        <is>
          <t>Требует обогащения</t>
        </is>
      </c>
      <c r="Q609" s="16">
        <f>HYPERLINK("https://pb.nalog.ru/search.html?query=8503005850","ФНС: проверить")</f>
        <v/>
      </c>
      <c r="R609" s="16">
        <f>HYPERLINK("https://checko.ru/search?query=3801001629","Чекко: проверить")</f>
        <v/>
      </c>
      <c r="S609" t="n">
        <v>1</v>
      </c>
      <c r="T609" s="35" t="inlineStr">
        <is>
          <t>4 — Не обогащён</t>
        </is>
      </c>
      <c r="U609" s="35" t="inlineStr">
        <is>
          <t>Нет ОКВЭД/ССЧР</t>
        </is>
      </c>
      <c r="V609" s="35" t="inlineStr">
        <is>
          <t>Не определено</t>
        </is>
      </c>
      <c r="W609" s="35" t="inlineStr"/>
      <c r="X609" s="35" t="inlineStr"/>
    </row>
    <row r="610" ht="27.75" customHeight="1" s="24">
      <c r="A610" s="13" t="n">
        <v>5000047341</v>
      </c>
      <c r="B610" s="13" t="inlineStr">
        <is>
          <t>Администрация Наро-Фоминского муниципального района Московский области</t>
        </is>
      </c>
      <c r="C610" s="13" t="n">
        <v>5030010950</v>
      </c>
      <c r="D610" s="13" t="inlineStr">
        <is>
          <t>5030010950</t>
        </is>
      </c>
      <c r="E610" s="13" t="inlineStr">
        <is>
          <t>ЮЛ РФ</t>
        </is>
      </c>
      <c r="F610" s="13" t="n"/>
      <c r="G610" s="14" t="n"/>
      <c r="H610" s="14" t="n"/>
      <c r="I610" s="14" t="n"/>
      <c r="J610" s="14" t="n"/>
      <c r="K610" s="53" t="inlineStr"/>
      <c r="L610" s="53" t="inlineStr">
        <is>
          <t>Не определено</t>
        </is>
      </c>
      <c r="M610" s="53" t="inlineStr"/>
      <c r="N610" s="54" t="inlineStr"/>
      <c r="O610" s="55" t="inlineStr"/>
      <c r="P610" s="16" t="inlineStr">
        <is>
          <t>Требует обогащения</t>
        </is>
      </c>
      <c r="Q610" s="16">
        <f>HYPERLINK("https://pb.nalog.ru/search.html?query=5030010950","ФНС: проверить")</f>
        <v/>
      </c>
      <c r="R610" s="16">
        <f>HYPERLINK("https://checko.ru/search?query=3801001629","Чекко: проверить")</f>
        <v/>
      </c>
      <c r="S610" t="n">
        <v>1</v>
      </c>
      <c r="T610" s="35" t="inlineStr">
        <is>
          <t>4 — Не обогащён</t>
        </is>
      </c>
      <c r="U610" s="35" t="inlineStr">
        <is>
          <t>Нет ОКВЭД/ССЧР</t>
        </is>
      </c>
      <c r="V610" s="35" t="inlineStr">
        <is>
          <t>Не определено</t>
        </is>
      </c>
      <c r="W610" s="35" t="inlineStr"/>
      <c r="X610" s="35" t="inlineStr"/>
    </row>
    <row r="611" ht="27.75" customHeight="1" s="24">
      <c r="A611" s="13" t="n">
        <v>5000088786</v>
      </c>
      <c r="B611" s="13" t="inlineStr">
        <is>
          <t>ФИНАНСОВОЕ УПРАВЛЕНИЕ ОСИНСКОГО МУНИЦИПАЛЬНОГО РАЙОНА</t>
        </is>
      </c>
      <c r="C611" s="13" t="n">
        <v>8505006104</v>
      </c>
      <c r="D611" s="13" t="inlineStr">
        <is>
          <t>8505006104</t>
        </is>
      </c>
      <c r="E611" s="13" t="inlineStr">
        <is>
          <t>ЮЛ РФ</t>
        </is>
      </c>
      <c r="F611" s="13" t="n"/>
      <c r="G611" s="14" t="n"/>
      <c r="H611" s="14" t="n"/>
      <c r="I611" s="14" t="n"/>
      <c r="J611" s="14" t="n"/>
      <c r="K611" s="53" t="inlineStr"/>
      <c r="L611" s="53" t="inlineStr">
        <is>
          <t>Не определено</t>
        </is>
      </c>
      <c r="M611" s="53" t="inlineStr"/>
      <c r="N611" s="54" t="inlineStr"/>
      <c r="O611" s="55" t="inlineStr"/>
      <c r="P611" s="16" t="inlineStr">
        <is>
          <t>Требует обогащения</t>
        </is>
      </c>
      <c r="Q611" s="16">
        <f>HYPERLINK("https://pb.nalog.ru/search.html?query=8505006104","ФНС: проверить")</f>
        <v/>
      </c>
      <c r="R611" s="16">
        <f>HYPERLINK("https://checko.ru/search?query=3801001629","Чекко: проверить")</f>
        <v/>
      </c>
      <c r="S611" t="n">
        <v>1</v>
      </c>
      <c r="T611" s="35" t="inlineStr">
        <is>
          <t>4 — Не обогащён</t>
        </is>
      </c>
      <c r="U611" s="35" t="inlineStr">
        <is>
          <t>Нет ОКВЭД/ССЧР</t>
        </is>
      </c>
      <c r="V611" s="35" t="inlineStr">
        <is>
          <t>Не определено</t>
        </is>
      </c>
      <c r="W611" s="35" t="inlineStr"/>
      <c r="X611" s="35" t="inlineStr"/>
    </row>
    <row r="612" ht="41.25" customHeight="1" s="24">
      <c r="A612" s="13" t="n">
        <v>5000017889</v>
      </c>
      <c r="B612" s="13" t="inlineStr">
        <is>
          <t>МКУ "Централизованная бухгалтерия муниципальных казенных учреждений системы образования района"</t>
        </is>
      </c>
      <c r="C612" s="13" t="n">
        <v>3802012856</v>
      </c>
      <c r="D612" s="13" t="inlineStr">
        <is>
          <t>3802012856</t>
        </is>
      </c>
      <c r="E612" s="13" t="inlineStr">
        <is>
          <t>ЮЛ РФ</t>
        </is>
      </c>
      <c r="F612" s="13" t="n"/>
      <c r="G612" s="14" t="n"/>
      <c r="H612" s="14" t="n"/>
      <c r="I612" s="14" t="n"/>
      <c r="J612" s="14" t="n"/>
      <c r="K612" s="53" t="inlineStr"/>
      <c r="L612" s="53" t="inlineStr">
        <is>
          <t>Не определено</t>
        </is>
      </c>
      <c r="M612" s="53" t="inlineStr"/>
      <c r="N612" s="54" t="inlineStr"/>
      <c r="O612" s="55" t="inlineStr"/>
      <c r="P612" s="16" t="inlineStr">
        <is>
          <t>Требует обогащения</t>
        </is>
      </c>
      <c r="Q612" s="16">
        <f>HYPERLINK("https://pb.nalog.ru/search.html?query=3802012856","ФНС: проверить")</f>
        <v/>
      </c>
      <c r="R612" s="16">
        <f>HYPERLINK("https://checko.ru/search?query=3801001629","Чекко: проверить")</f>
        <v/>
      </c>
      <c r="S612" t="n">
        <v>1</v>
      </c>
      <c r="T612" s="35" t="inlineStr">
        <is>
          <t>4 — Не обогащён</t>
        </is>
      </c>
      <c r="U612" s="35" t="inlineStr">
        <is>
          <t>Нет ОКВЭД/ССЧР</t>
        </is>
      </c>
      <c r="V612" s="35" t="inlineStr">
        <is>
          <t>Не определено</t>
        </is>
      </c>
      <c r="W612" s="35" t="inlineStr"/>
      <c r="X612" s="35" t="inlineStr"/>
    </row>
    <row r="613" ht="27.75" customHeight="1" s="24">
      <c r="A613" s="13" t="n">
        <v>5000123025</v>
      </c>
      <c r="B613" s="13" t="inlineStr">
        <is>
          <t>АДМИНИСТРАЦИЯ ГОРОДСКОГО ОКРУГА КОТЕЛЬНИКИ МОСКОВСКОЙ ОБЛАСТИ</t>
        </is>
      </c>
      <c r="C613" s="13" t="n">
        <v>5027036772</v>
      </c>
      <c r="D613" s="13" t="inlineStr">
        <is>
          <t>5027036772</t>
        </is>
      </c>
      <c r="E613" s="13" t="inlineStr">
        <is>
          <t>ЮЛ РФ</t>
        </is>
      </c>
      <c r="F613" s="13" t="n"/>
      <c r="G613" s="14" t="n"/>
      <c r="H613" s="14" t="n"/>
      <c r="I613" s="14" t="n"/>
      <c r="J613" s="14" t="n"/>
      <c r="K613" s="53" t="inlineStr"/>
      <c r="L613" s="53" t="inlineStr">
        <is>
          <t>Не определено</t>
        </is>
      </c>
      <c r="M613" s="53" t="inlineStr"/>
      <c r="N613" s="54" t="inlineStr"/>
      <c r="O613" s="55" t="inlineStr"/>
      <c r="P613" s="16" t="inlineStr">
        <is>
          <t>Требует обогащения</t>
        </is>
      </c>
      <c r="Q613" s="16">
        <f>HYPERLINK("https://pb.nalog.ru/search.html?query=5027036772","ФНС: проверить")</f>
        <v/>
      </c>
      <c r="R613" s="16">
        <f>HYPERLINK("https://checko.ru/search?query=3801001629","Чекко: проверить")</f>
        <v/>
      </c>
      <c r="S613" t="n">
        <v>1</v>
      </c>
      <c r="T613" s="35" t="inlineStr">
        <is>
          <t>4 — Не обогащён</t>
        </is>
      </c>
      <c r="U613" s="35" t="inlineStr">
        <is>
          <t>Нет ОКВЭД/ССЧР</t>
        </is>
      </c>
      <c r="V613" s="35" t="inlineStr">
        <is>
          <t>Не определено</t>
        </is>
      </c>
      <c r="W613" s="35" t="inlineStr"/>
      <c r="X613" s="35" t="inlineStr"/>
    </row>
    <row r="614" ht="15" customHeight="1" s="24">
      <c r="A614" s="13" t="n">
        <v>5000051193</v>
      </c>
      <c r="B614" s="13" t="inlineStr">
        <is>
          <t>Администрация Куйтунского ГП</t>
        </is>
      </c>
      <c r="C614" s="13" t="n">
        <v>3814010116</v>
      </c>
      <c r="D614" s="13" t="inlineStr">
        <is>
          <t>3814010116</t>
        </is>
      </c>
      <c r="E614" s="13" t="inlineStr">
        <is>
          <t>ЮЛ РФ</t>
        </is>
      </c>
      <c r="F614" s="13" t="n"/>
      <c r="G614" s="14" t="n"/>
      <c r="H614" s="14" t="n"/>
      <c r="I614" s="14" t="n"/>
      <c r="J614" s="14" t="n"/>
      <c r="K614" s="53" t="inlineStr"/>
      <c r="L614" s="53" t="inlineStr">
        <is>
          <t>Не определено</t>
        </is>
      </c>
      <c r="M614" s="53" t="inlineStr"/>
      <c r="N614" s="54" t="inlineStr"/>
      <c r="O614" s="55" t="inlineStr"/>
      <c r="P614" s="16" t="inlineStr">
        <is>
          <t>Требует обогащения</t>
        </is>
      </c>
      <c r="Q614" s="16">
        <f>HYPERLINK("https://pb.nalog.ru/search.html?query=3814010116","ФНС: проверить")</f>
        <v/>
      </c>
      <c r="R614" s="16">
        <f>HYPERLINK("https://checko.ru/search?query=3801001629","Чекко: проверить")</f>
        <v/>
      </c>
      <c r="S614" t="n">
        <v>1</v>
      </c>
      <c r="T614" s="35" t="inlineStr">
        <is>
          <t>4 — Не обогащён</t>
        </is>
      </c>
      <c r="U614" s="35" t="inlineStr">
        <is>
          <t>Нет ОКВЭД/ССЧР</t>
        </is>
      </c>
      <c r="V614" s="35" t="inlineStr">
        <is>
          <t>Не определено</t>
        </is>
      </c>
      <c r="W614" s="35" t="inlineStr"/>
      <c r="X614" s="35" t="inlineStr"/>
    </row>
    <row r="615" ht="15" customHeight="1" s="24">
      <c r="A615" s="13" t="n">
        <v>5000022195</v>
      </c>
      <c r="B615" s="13" t="inlineStr">
        <is>
          <t>Администрация МО "Тараса"</t>
        </is>
      </c>
      <c r="C615" s="13" t="n">
        <v>8503005867</v>
      </c>
      <c r="D615" s="13" t="inlineStr">
        <is>
          <t>8503005867</t>
        </is>
      </c>
      <c r="E615" s="13" t="inlineStr">
        <is>
          <t>ЮЛ РФ</t>
        </is>
      </c>
      <c r="F615" s="13" t="n"/>
      <c r="G615" s="14" t="n"/>
      <c r="H615" s="14" t="n"/>
      <c r="I615" s="14" t="n"/>
      <c r="J615" s="14" t="n"/>
      <c r="K615" s="53" t="inlineStr"/>
      <c r="L615" s="53" t="inlineStr">
        <is>
          <t>Не определено</t>
        </is>
      </c>
      <c r="M615" s="53" t="inlineStr"/>
      <c r="N615" s="54" t="inlineStr"/>
      <c r="O615" s="55" t="inlineStr"/>
      <c r="P615" s="16" t="inlineStr">
        <is>
          <t>Требует обогащения</t>
        </is>
      </c>
      <c r="Q615" s="16">
        <f>HYPERLINK("https://pb.nalog.ru/search.html?query=8503005867","ФНС: проверить")</f>
        <v/>
      </c>
      <c r="R615" s="16">
        <f>HYPERLINK("https://checko.ru/search?query=3801001629","Чекко: проверить")</f>
        <v/>
      </c>
      <c r="S615" t="n">
        <v>1</v>
      </c>
      <c r="T615" s="35" t="inlineStr">
        <is>
          <t>4 — Не обогащён</t>
        </is>
      </c>
      <c r="U615" s="35" t="inlineStr">
        <is>
          <t>Нет ОКВЭД/ССЧР</t>
        </is>
      </c>
      <c r="V615" s="35" t="inlineStr">
        <is>
          <t>Не определено</t>
        </is>
      </c>
      <c r="W615" s="35" t="inlineStr"/>
      <c r="X615" s="35" t="inlineStr"/>
    </row>
    <row r="616" ht="27.75" customHeight="1" s="24">
      <c r="A616" s="13" t="n">
        <v>5000122395</v>
      </c>
      <c r="B616" s="13" t="inlineStr">
        <is>
          <t>АДМИНИСТРАЦИЯ СЕРГИЕВО-ПОСАДСКОГО ГОРОДСКОГО ОКРУГА МОСКОВСКОЙ ОБЛАСТИ</t>
        </is>
      </c>
      <c r="C616" s="13" t="n">
        <v>5042022397</v>
      </c>
      <c r="D616" s="13" t="inlineStr">
        <is>
          <t>5042022397</t>
        </is>
      </c>
      <c r="E616" s="13" t="inlineStr">
        <is>
          <t>ЮЛ РФ</t>
        </is>
      </c>
      <c r="F616" s="13" t="n"/>
      <c r="G616" s="14" t="n"/>
      <c r="H616" s="14" t="n"/>
      <c r="I616" s="14" t="n"/>
      <c r="J616" s="14" t="n"/>
      <c r="K616" s="53" t="inlineStr"/>
      <c r="L616" s="53" t="inlineStr">
        <is>
          <t>Не определено</t>
        </is>
      </c>
      <c r="M616" s="53" t="inlineStr"/>
      <c r="N616" s="54" t="inlineStr"/>
      <c r="O616" s="55" t="inlineStr"/>
      <c r="P616" s="16" t="inlineStr">
        <is>
          <t>Требует обогащения</t>
        </is>
      </c>
      <c r="Q616" s="16">
        <f>HYPERLINK("https://pb.nalog.ru/search.html?query=5042022397","ФНС: проверить")</f>
        <v/>
      </c>
      <c r="R616" s="16">
        <f>HYPERLINK("https://checko.ru/search?query=3801001629","Чекко: проверить")</f>
        <v/>
      </c>
      <c r="S616" t="n">
        <v>1</v>
      </c>
      <c r="T616" s="35" t="inlineStr">
        <is>
          <t>4 — Не обогащён</t>
        </is>
      </c>
      <c r="U616" s="35" t="inlineStr">
        <is>
          <t>Нет ОКВЭД/ССЧР</t>
        </is>
      </c>
      <c r="V616" s="35" t="inlineStr">
        <is>
          <t>Не определено</t>
        </is>
      </c>
      <c r="W616" s="35" t="inlineStr"/>
      <c r="X616" s="35" t="inlineStr"/>
    </row>
    <row r="617" ht="27.75" customHeight="1" s="24">
      <c r="A617" s="13" t="n">
        <v>5000094052</v>
      </c>
      <c r="B617" s="13" t="inlineStr">
        <is>
          <t>Финансовое управление Балаганского района Иркутской области</t>
        </is>
      </c>
      <c r="C617" s="13" t="n">
        <v>3822000143</v>
      </c>
      <c r="D617" s="13" t="inlineStr">
        <is>
          <t>3822000143</t>
        </is>
      </c>
      <c r="E617" s="13" t="inlineStr">
        <is>
          <t>ЮЛ РФ</t>
        </is>
      </c>
      <c r="F617" s="13" t="n"/>
      <c r="G617" s="14" t="n"/>
      <c r="H617" s="14" t="n"/>
      <c r="I617" s="14" t="n"/>
      <c r="J617" s="14" t="n"/>
      <c r="K617" s="53" t="inlineStr"/>
      <c r="L617" s="53" t="inlineStr">
        <is>
          <t>Не определено</t>
        </is>
      </c>
      <c r="M617" s="53" t="inlineStr"/>
      <c r="N617" s="54" t="inlineStr"/>
      <c r="O617" s="55" t="inlineStr"/>
      <c r="P617" s="16" t="inlineStr">
        <is>
          <t>Требует обогащения</t>
        </is>
      </c>
      <c r="Q617" s="16">
        <f>HYPERLINK("https://pb.nalog.ru/search.html?query=3822000143","ФНС: проверить")</f>
        <v/>
      </c>
      <c r="R617" s="16">
        <f>HYPERLINK("https://checko.ru/search?query=3801001629","Чекко: проверить")</f>
        <v/>
      </c>
      <c r="S617" t="n">
        <v>1</v>
      </c>
      <c r="T617" s="35" t="inlineStr">
        <is>
          <t>4 — Не обогащён</t>
        </is>
      </c>
      <c r="U617" s="35" t="inlineStr">
        <is>
          <t>Нет ОКВЭД/ССЧР</t>
        </is>
      </c>
      <c r="V617" s="35" t="inlineStr">
        <is>
          <t>Не определено</t>
        </is>
      </c>
      <c r="W617" s="35" t="inlineStr"/>
      <c r="X617" s="35" t="inlineStr"/>
    </row>
    <row r="618" ht="15" customHeight="1" s="24">
      <c r="A618" s="13" t="n">
        <v>5000122529</v>
      </c>
      <c r="B618" s="13" t="inlineStr">
        <is>
          <t>Министерство финансов Камчатского края</t>
        </is>
      </c>
      <c r="C618" s="13" t="n">
        <v>4101121129</v>
      </c>
      <c r="D618" s="13" t="inlineStr">
        <is>
          <t>4101121129</t>
        </is>
      </c>
      <c r="E618" s="13" t="inlineStr">
        <is>
          <t>ЮЛ РФ</t>
        </is>
      </c>
      <c r="F618" s="13" t="n"/>
      <c r="G618" s="14" t="n"/>
      <c r="H618" s="14" t="n"/>
      <c r="I618" s="14" t="n"/>
      <c r="J618" s="14" t="n"/>
      <c r="K618" s="53" t="inlineStr"/>
      <c r="L618" s="53" t="inlineStr">
        <is>
          <t>Не определено</t>
        </is>
      </c>
      <c r="M618" s="53" t="inlineStr"/>
      <c r="N618" s="54" t="inlineStr"/>
      <c r="O618" s="55" t="inlineStr"/>
      <c r="P618" s="16" t="inlineStr">
        <is>
          <t>Требует обогащения</t>
        </is>
      </c>
      <c r="Q618" s="16">
        <f>HYPERLINK("https://pb.nalog.ru/search.html?query=4101121129","ФНС: проверить")</f>
        <v/>
      </c>
      <c r="R618" s="16">
        <f>HYPERLINK("https://checko.ru/search?query=3801001629","Чекко: проверить")</f>
        <v/>
      </c>
      <c r="S618" t="n">
        <v>1</v>
      </c>
      <c r="T618" s="35" t="inlineStr">
        <is>
          <t>4 — Не обогащён</t>
        </is>
      </c>
      <c r="U618" s="35" t="inlineStr">
        <is>
          <t>Нет ОКВЭД/ССЧР</t>
        </is>
      </c>
      <c r="V618" s="35" t="inlineStr">
        <is>
          <t>Не определено</t>
        </is>
      </c>
      <c r="W618" s="35" t="inlineStr"/>
      <c r="X618" s="35" t="inlineStr"/>
    </row>
    <row r="619" ht="15" customHeight="1" s="24">
      <c r="A619" s="13" t="n">
        <v>5000112073</v>
      </c>
      <c r="B619" s="13" t="inlineStr">
        <is>
          <t>Администрация МО "Егоровск"</t>
        </is>
      </c>
      <c r="C619" s="13" t="n">
        <v>8501006294</v>
      </c>
      <c r="D619" s="13" t="inlineStr">
        <is>
          <t>8501006294</t>
        </is>
      </c>
      <c r="E619" s="13" t="inlineStr">
        <is>
          <t>ЮЛ РФ</t>
        </is>
      </c>
      <c r="F619" s="13" t="n"/>
      <c r="G619" s="14" t="n"/>
      <c r="H619" s="14" t="n"/>
      <c r="I619" s="14" t="n"/>
      <c r="J619" s="14" t="n"/>
      <c r="K619" s="53" t="inlineStr"/>
      <c r="L619" s="53" t="inlineStr">
        <is>
          <t>Не определено</t>
        </is>
      </c>
      <c r="M619" s="53" t="inlineStr"/>
      <c r="N619" s="54" t="inlineStr"/>
      <c r="O619" s="55" t="inlineStr"/>
      <c r="P619" s="16" t="inlineStr">
        <is>
          <t>Требует обогащения</t>
        </is>
      </c>
      <c r="Q619" s="16">
        <f>HYPERLINK("https://pb.nalog.ru/search.html?query=8501006294","ФНС: проверить")</f>
        <v/>
      </c>
      <c r="R619" s="16">
        <f>HYPERLINK("https://checko.ru/search?query=3801001629","Чекко: проверить")</f>
        <v/>
      </c>
      <c r="S619" t="n">
        <v>1</v>
      </c>
      <c r="T619" s="35" t="inlineStr">
        <is>
          <t>4 — Не обогащён</t>
        </is>
      </c>
      <c r="U619" s="35" t="inlineStr">
        <is>
          <t>Нет ОКВЭД/ССЧР</t>
        </is>
      </c>
      <c r="V619" s="35" t="inlineStr">
        <is>
          <t>Не определено</t>
        </is>
      </c>
      <c r="W619" s="35" t="inlineStr"/>
      <c r="X619" s="35" t="inlineStr"/>
    </row>
    <row r="620" ht="27.75" customHeight="1" s="24">
      <c r="A620" s="13" t="n">
        <v>5000106383</v>
      </c>
      <c r="B620" s="13" t="inlineStr">
        <is>
          <t>КОНТРОЛЬНО-СЧЕТНАЯ ПАЛАТА БОХАНСКОГО МУНИЦИПАЛЬНОГО РАЙОНА</t>
        </is>
      </c>
      <c r="C620" s="13" t="n">
        <v>3849085761</v>
      </c>
      <c r="D620" s="13" t="inlineStr">
        <is>
          <t>3849085761</t>
        </is>
      </c>
      <c r="E620" s="13" t="inlineStr">
        <is>
          <t>ЮЛ РФ</t>
        </is>
      </c>
      <c r="F620" s="13" t="n"/>
      <c r="G620" s="14" t="n"/>
      <c r="H620" s="14" t="n"/>
      <c r="I620" s="14" t="n"/>
      <c r="J620" s="14" t="n"/>
      <c r="K620" s="53" t="inlineStr"/>
      <c r="L620" s="53" t="inlineStr">
        <is>
          <t>Не определено</t>
        </is>
      </c>
      <c r="M620" s="53" t="inlineStr"/>
      <c r="N620" s="54" t="inlineStr"/>
      <c r="O620" s="55" t="inlineStr"/>
      <c r="P620" s="16" t="inlineStr">
        <is>
          <t>Требует обогащения</t>
        </is>
      </c>
      <c r="Q620" s="16">
        <f>HYPERLINK("https://pb.nalog.ru/search.html?query=3849085761","ФНС: проверить")</f>
        <v/>
      </c>
      <c r="R620" s="16">
        <f>HYPERLINK("https://checko.ru/search?query=3801001629","Чекко: проверить")</f>
        <v/>
      </c>
      <c r="S620" t="n">
        <v>1</v>
      </c>
      <c r="T620" s="35" t="inlineStr">
        <is>
          <t>4 — Не обогащён</t>
        </is>
      </c>
      <c r="U620" s="35" t="inlineStr">
        <is>
          <t>Нет ОКВЭД/ССЧР</t>
        </is>
      </c>
      <c r="V620" s="35" t="inlineStr">
        <is>
          <t>Не определено</t>
        </is>
      </c>
      <c r="W620" s="35" t="inlineStr"/>
      <c r="X620" s="35" t="inlineStr"/>
    </row>
    <row r="621" ht="15" customHeight="1" s="24">
      <c r="A621" s="13" t="n">
        <v>5000025704</v>
      </c>
      <c r="B621" s="13" t="inlineStr">
        <is>
          <t>УПРАВЛЕНИЕ ОБРАЗОВАНИЯ г.ЧЕРЕМХОВО</t>
        </is>
      </c>
      <c r="C621" s="13" t="n">
        <v>3820010604</v>
      </c>
      <c r="D621" s="13" t="inlineStr">
        <is>
          <t>3820010604</t>
        </is>
      </c>
      <c r="E621" s="13" t="inlineStr">
        <is>
          <t>ЮЛ РФ</t>
        </is>
      </c>
      <c r="F621" s="13" t="n"/>
      <c r="G621" s="14" t="n"/>
      <c r="H621" s="14" t="n"/>
      <c r="I621" s="14" t="n"/>
      <c r="J621" s="14" t="n"/>
      <c r="K621" s="53" t="inlineStr"/>
      <c r="L621" s="53" t="inlineStr">
        <is>
          <t>Не определено</t>
        </is>
      </c>
      <c r="M621" s="53" t="inlineStr"/>
      <c r="N621" s="54" t="inlineStr"/>
      <c r="O621" s="55" t="inlineStr"/>
      <c r="P621" s="16" t="inlineStr">
        <is>
          <t>Требует обогащения</t>
        </is>
      </c>
      <c r="Q621" s="16">
        <f>HYPERLINK("https://pb.nalog.ru/search.html?query=3820010604","ФНС: проверить")</f>
        <v/>
      </c>
      <c r="R621" s="16">
        <f>HYPERLINK("https://checko.ru/search?query=3801001629","Чекко: проверить")</f>
        <v/>
      </c>
      <c r="S621" t="n">
        <v>1</v>
      </c>
      <c r="T621" s="35" t="inlineStr">
        <is>
          <t>4 — Не обогащён</t>
        </is>
      </c>
      <c r="U621" s="35" t="inlineStr">
        <is>
          <t>Нет ОКВЭД/ССЧР</t>
        </is>
      </c>
      <c r="V621" s="35" t="inlineStr">
        <is>
          <t>Не определено</t>
        </is>
      </c>
      <c r="W621" s="35" t="inlineStr"/>
      <c r="X621" s="35" t="inlineStr"/>
    </row>
    <row r="622" ht="27.75" customHeight="1" s="24">
      <c r="A622" s="13" t="n">
        <v>5000041706</v>
      </c>
      <c r="B622" s="13" t="inlineStr">
        <is>
          <t>МКУ "ЦЕНТР РАЗВИТИЯ ОБРАЗОВАНИЯ ГОРОДА СВИРСКА"</t>
        </is>
      </c>
      <c r="C622" s="13" t="n">
        <v>3851992855</v>
      </c>
      <c r="D622" s="13" t="inlineStr">
        <is>
          <t>3851992855</t>
        </is>
      </c>
      <c r="E622" s="13" t="inlineStr">
        <is>
          <t>ЮЛ РФ</t>
        </is>
      </c>
      <c r="F622" s="13" t="n"/>
      <c r="G622" s="14" t="n"/>
      <c r="H622" s="14" t="n"/>
      <c r="I622" s="14" t="n"/>
      <c r="J622" s="14" t="n"/>
      <c r="K622" s="53" t="inlineStr"/>
      <c r="L622" s="53" t="inlineStr">
        <is>
          <t>Не определено</t>
        </is>
      </c>
      <c r="M622" s="53" t="inlineStr"/>
      <c r="N622" s="54" t="inlineStr"/>
      <c r="O622" s="55" t="inlineStr"/>
      <c r="P622" s="16" t="inlineStr">
        <is>
          <t>Требует обогащения</t>
        </is>
      </c>
      <c r="Q622" s="16">
        <f>HYPERLINK("https://pb.nalog.ru/search.html?query=3851992855","ФНС: проверить")</f>
        <v/>
      </c>
      <c r="R622" s="16">
        <f>HYPERLINK("https://checko.ru/search?query=3801001629","Чекко: проверить")</f>
        <v/>
      </c>
      <c r="S622" t="n">
        <v>1</v>
      </c>
      <c r="T622" s="35" t="inlineStr">
        <is>
          <t>4 — Не обогащён</t>
        </is>
      </c>
      <c r="U622" s="35" t="inlineStr">
        <is>
          <t>Нет ОКВЭД/ССЧР</t>
        </is>
      </c>
      <c r="V622" s="35" t="inlineStr">
        <is>
          <t>Не определено</t>
        </is>
      </c>
      <c r="W622" s="35" t="inlineStr"/>
      <c r="X622" s="35" t="inlineStr"/>
    </row>
    <row r="623" ht="41.25" customHeight="1" s="24">
      <c r="A623" s="13" t="n">
        <v>5000013004</v>
      </c>
      <c r="B623" s="13" t="inlineStr">
        <is>
          <t>МКУ «Централизованная бухгалтерия Управления культуры, спорта и молодежной политики администрации Тайшетского района»</t>
        </is>
      </c>
      <c r="C623" s="13" t="n">
        <v>3815013550</v>
      </c>
      <c r="D623" s="13" t="inlineStr">
        <is>
          <t>3815013550</t>
        </is>
      </c>
      <c r="E623" s="13" t="inlineStr">
        <is>
          <t>ЮЛ РФ</t>
        </is>
      </c>
      <c r="F623" s="13" t="n"/>
      <c r="G623" s="14" t="n"/>
      <c r="H623" s="14" t="n"/>
      <c r="I623" s="14" t="n"/>
      <c r="J623" s="14" t="n"/>
      <c r="K623" s="53" t="inlineStr"/>
      <c r="L623" s="53" t="inlineStr">
        <is>
          <t>Не определено</t>
        </is>
      </c>
      <c r="M623" s="53" t="inlineStr"/>
      <c r="N623" s="54" t="inlineStr"/>
      <c r="O623" s="55" t="inlineStr"/>
      <c r="P623" s="16" t="inlineStr">
        <is>
          <t>Требует обогащения</t>
        </is>
      </c>
      <c r="Q623" s="16">
        <f>HYPERLINK("https://pb.nalog.ru/search.html?query=3815013550","ФНС: проверить")</f>
        <v/>
      </c>
      <c r="R623" s="16">
        <f>HYPERLINK("https://checko.ru/search?query=3801001629","Чекко: проверить")</f>
        <v/>
      </c>
      <c r="S623" t="n">
        <v>1</v>
      </c>
      <c r="T623" s="35" t="inlineStr">
        <is>
          <t>4 — Не обогащён</t>
        </is>
      </c>
      <c r="U623" s="35" t="inlineStr">
        <is>
          <t>Нет ОКВЭД/ССЧР</t>
        </is>
      </c>
      <c r="V623" s="35" t="inlineStr">
        <is>
          <t>Не определено</t>
        </is>
      </c>
      <c r="W623" s="35" t="inlineStr"/>
      <c r="X623" s="35" t="inlineStr"/>
    </row>
    <row r="624" ht="15" customHeight="1" s="24">
      <c r="A624" s="13" t="n">
        <v>5000091378</v>
      </c>
      <c r="B624" s="13" t="inlineStr">
        <is>
          <t>МИНГОСУПРАВЛЕНИЯ САХАЛИНСКОЙ ОБЛАСТИ</t>
        </is>
      </c>
      <c r="C624" s="13" t="n">
        <v>6501307562</v>
      </c>
      <c r="D624" s="13" t="inlineStr">
        <is>
          <t>6501307562</t>
        </is>
      </c>
      <c r="E624" s="13" t="inlineStr">
        <is>
          <t>ЮЛ РФ</t>
        </is>
      </c>
      <c r="F624" s="13" t="n"/>
      <c r="G624" s="14" t="n"/>
      <c r="H624" s="14" t="n"/>
      <c r="I624" s="14" t="n"/>
      <c r="J624" s="14" t="n"/>
      <c r="K624" s="53" t="inlineStr"/>
      <c r="L624" s="53" t="inlineStr">
        <is>
          <t>Не определено</t>
        </is>
      </c>
      <c r="M624" s="53" t="inlineStr"/>
      <c r="N624" s="54" t="inlineStr"/>
      <c r="O624" s="55" t="inlineStr"/>
      <c r="P624" s="16" t="inlineStr">
        <is>
          <t>Требует обогащения</t>
        </is>
      </c>
      <c r="Q624" s="16">
        <f>HYPERLINK("https://pb.nalog.ru/search.html?query=6501307562","ФНС: проверить")</f>
        <v/>
      </c>
      <c r="R624" s="16">
        <f>HYPERLINK("https://checko.ru/search?query=3801001629","Чекко: проверить")</f>
        <v/>
      </c>
      <c r="S624" t="n">
        <v>1</v>
      </c>
      <c r="T624" s="35" t="inlineStr">
        <is>
          <t>4 — Не обогащён</t>
        </is>
      </c>
      <c r="U624" s="35" t="inlineStr">
        <is>
          <t>Нет ОКВЭД/ССЧР</t>
        </is>
      </c>
      <c r="V624" s="35" t="inlineStr">
        <is>
          <t>Не определено</t>
        </is>
      </c>
      <c r="W624" s="35" t="inlineStr"/>
      <c r="X624" s="35" t="inlineStr"/>
    </row>
    <row r="625" ht="27.75" customHeight="1" s="24">
      <c r="A625" s="13" t="n">
        <v>5000097264</v>
      </c>
      <c r="B625" s="13" t="inlineStr">
        <is>
          <t>Многофункциональный центр Управления культуры, спорта и молодёжной политики</t>
        </is>
      </c>
      <c r="C625" s="13" t="n">
        <v>3818030850</v>
      </c>
      <c r="D625" s="13" t="inlineStr">
        <is>
          <t>3818030850</t>
        </is>
      </c>
      <c r="E625" s="13" t="inlineStr">
        <is>
          <t>ЮЛ РФ</t>
        </is>
      </c>
      <c r="F625" s="13" t="n"/>
      <c r="G625" s="14" t="n"/>
      <c r="H625" s="14" t="n"/>
      <c r="I625" s="14" t="n"/>
      <c r="J625" s="14" t="n"/>
      <c r="K625" s="53" t="inlineStr"/>
      <c r="L625" s="53" t="inlineStr">
        <is>
          <t>Не определено</t>
        </is>
      </c>
      <c r="M625" s="53" t="inlineStr"/>
      <c r="N625" s="54" t="inlineStr"/>
      <c r="O625" s="55" t="inlineStr"/>
      <c r="P625" s="16" t="inlineStr">
        <is>
          <t>Требует обогащения</t>
        </is>
      </c>
      <c r="Q625" s="16">
        <f>HYPERLINK("https://pb.nalog.ru/search.html?query=3818030850","ФНС: проверить")</f>
        <v/>
      </c>
      <c r="R625" s="16">
        <f>HYPERLINK("https://checko.ru/search?query=3801001629","Чекко: проверить")</f>
        <v/>
      </c>
      <c r="S625" t="n">
        <v>1</v>
      </c>
      <c r="T625" s="35" t="inlineStr">
        <is>
          <t>4 — Не обогащён</t>
        </is>
      </c>
      <c r="U625" s="35" t="inlineStr">
        <is>
          <t>Нет ОКВЭД/ССЧР</t>
        </is>
      </c>
      <c r="V625" s="35" t="inlineStr">
        <is>
          <t>Не определено</t>
        </is>
      </c>
      <c r="W625" s="35" t="inlineStr"/>
      <c r="X625" s="35" t="inlineStr"/>
    </row>
    <row r="626" ht="15" customHeight="1" s="24">
      <c r="A626" s="13" t="n">
        <v>5000089210</v>
      </c>
      <c r="B626" s="13" t="inlineStr">
        <is>
          <t>МИНИСТЕРСТВО ФИНАНСОВ ПРИМОРСКОГО КРАЯ</t>
        </is>
      </c>
      <c r="C626" s="13" t="n">
        <v>2540036171</v>
      </c>
      <c r="D626" s="13" t="inlineStr">
        <is>
          <t>2540036171</t>
        </is>
      </c>
      <c r="E626" s="13" t="inlineStr">
        <is>
          <t>ЮЛ РФ</t>
        </is>
      </c>
      <c r="F626" s="13" t="n"/>
      <c r="G626" s="14" t="n"/>
      <c r="H626" s="14" t="n"/>
      <c r="I626" s="14" t="n"/>
      <c r="J626" s="14" t="n"/>
      <c r="K626" s="53" t="inlineStr"/>
      <c r="L626" s="53" t="inlineStr">
        <is>
          <t>Не определено</t>
        </is>
      </c>
      <c r="M626" s="53" t="inlineStr"/>
      <c r="N626" s="54" t="inlineStr"/>
      <c r="O626" s="55" t="inlineStr"/>
      <c r="P626" s="16" t="inlineStr">
        <is>
          <t>Требует обогащения</t>
        </is>
      </c>
      <c r="Q626" s="16">
        <f>HYPERLINK("https://pb.nalog.ru/search.html?query=2540036171","ФНС: проверить")</f>
        <v/>
      </c>
      <c r="R626" s="16">
        <f>HYPERLINK("https://checko.ru/search?query=3801001629","Чекко: проверить")</f>
        <v/>
      </c>
      <c r="S626" t="n">
        <v>1</v>
      </c>
      <c r="T626" s="35" t="inlineStr">
        <is>
          <t>4 — Не обогащён</t>
        </is>
      </c>
      <c r="U626" s="35" t="inlineStr">
        <is>
          <t>Нет ОКВЭД/ССЧР</t>
        </is>
      </c>
      <c r="V626" s="35" t="inlineStr">
        <is>
          <t>Не определено</t>
        </is>
      </c>
      <c r="W626" s="35" t="inlineStr"/>
      <c r="X626" s="35" t="inlineStr"/>
    </row>
    <row r="627" ht="27.75" customHeight="1" s="24">
      <c r="A627" s="13" t="n">
        <v>5000012964</v>
      </c>
      <c r="B627" s="13" t="inlineStr">
        <is>
          <t>Министерство финансов Сахалинской области (головн</t>
        </is>
      </c>
      <c r="C627" s="13" t="n">
        <v>6500005657</v>
      </c>
      <c r="D627" s="13" t="inlineStr">
        <is>
          <t>6500005657</t>
        </is>
      </c>
      <c r="E627" s="13" t="inlineStr">
        <is>
          <t>ЮЛ РФ</t>
        </is>
      </c>
      <c r="F627" s="13" t="n"/>
      <c r="G627" s="14" t="n"/>
      <c r="H627" s="14" t="n"/>
      <c r="I627" s="14" t="n"/>
      <c r="J627" s="14" t="n"/>
      <c r="K627" s="53" t="inlineStr"/>
      <c r="L627" s="53" t="inlineStr">
        <is>
          <t>Не определено</t>
        </is>
      </c>
      <c r="M627" s="53" t="inlineStr"/>
      <c r="N627" s="54" t="inlineStr"/>
      <c r="O627" s="55" t="inlineStr"/>
      <c r="P627" s="16" t="inlineStr">
        <is>
          <t>Требует обогащения</t>
        </is>
      </c>
      <c r="Q627" s="16">
        <f>HYPERLINK("https://pb.nalog.ru/search.html?query=6500005657","ФНС: проверить")</f>
        <v/>
      </c>
      <c r="R627" s="16">
        <f>HYPERLINK("https://checko.ru/search?query=3801001629","Чекко: проверить")</f>
        <v/>
      </c>
      <c r="S627" t="n">
        <v>1</v>
      </c>
      <c r="T627" s="35" t="inlineStr">
        <is>
          <t>4 — Не обогащён</t>
        </is>
      </c>
      <c r="U627" s="35" t="inlineStr">
        <is>
          <t>Нет ОКВЭД/ССЧР</t>
        </is>
      </c>
      <c r="V627" s="35" t="inlineStr">
        <is>
          <t>Не определено</t>
        </is>
      </c>
      <c r="W627" s="35" t="inlineStr"/>
      <c r="X627" s="35" t="inlineStr"/>
    </row>
    <row r="628" ht="27.75" customHeight="1" s="24">
      <c r="A628" s="13" t="n">
        <v>5000025791</v>
      </c>
      <c r="B628" s="13" t="inlineStr">
        <is>
          <t>Администрация муниципального образования «Олойское»</t>
        </is>
      </c>
      <c r="C628" s="13" t="n">
        <v>8506009700</v>
      </c>
      <c r="D628" s="13" t="inlineStr">
        <is>
          <t>8506009700</t>
        </is>
      </c>
      <c r="E628" s="13" t="inlineStr">
        <is>
          <t>ЮЛ РФ</t>
        </is>
      </c>
      <c r="F628" s="13" t="n"/>
      <c r="G628" s="14" t="n"/>
      <c r="H628" s="14" t="n"/>
      <c r="I628" s="14" t="n"/>
      <c r="J628" s="14" t="n"/>
      <c r="K628" s="53" t="inlineStr"/>
      <c r="L628" s="53" t="inlineStr">
        <is>
          <t>Не определено</t>
        </is>
      </c>
      <c r="M628" s="53" t="inlineStr"/>
      <c r="N628" s="54" t="inlineStr"/>
      <c r="O628" s="55" t="inlineStr"/>
      <c r="P628" s="16" t="inlineStr">
        <is>
          <t>Требует обогащения</t>
        </is>
      </c>
      <c r="Q628" s="16">
        <f>HYPERLINK("https://pb.nalog.ru/search.html?query=8506009700","ФНС: проверить")</f>
        <v/>
      </c>
      <c r="R628" s="16">
        <f>HYPERLINK("https://checko.ru/search?query=3801001629","Чекко: проверить")</f>
        <v/>
      </c>
      <c r="S628" t="n">
        <v>1</v>
      </c>
      <c r="T628" s="35" t="inlineStr">
        <is>
          <t>4 — Не обогащён</t>
        </is>
      </c>
      <c r="U628" s="35" t="inlineStr">
        <is>
          <t>Нет ОКВЭД/ССЧР</t>
        </is>
      </c>
      <c r="V628" s="35" t="inlineStr">
        <is>
          <t>Не определено</t>
        </is>
      </c>
      <c r="W628" s="35" t="inlineStr"/>
      <c r="X628" s="35" t="inlineStr"/>
    </row>
    <row r="629" ht="27.75" customHeight="1" s="24">
      <c r="A629" s="13" t="n">
        <v>5000021047</v>
      </c>
      <c r="B629" s="13" t="inlineStr">
        <is>
          <t>МКУ культуры «Централизованная бухгалтерия управления культуры г. Бодайбо и района»</t>
        </is>
      </c>
      <c r="C629" s="13" t="n">
        <v>3802013271</v>
      </c>
      <c r="D629" s="13" t="inlineStr">
        <is>
          <t>3802013271</t>
        </is>
      </c>
      <c r="E629" s="13" t="inlineStr">
        <is>
          <t>ЮЛ РФ</t>
        </is>
      </c>
      <c r="F629" s="13" t="n"/>
      <c r="G629" s="14" t="n"/>
      <c r="H629" s="14" t="n"/>
      <c r="I629" s="14" t="n"/>
      <c r="J629" s="14" t="n"/>
      <c r="K629" s="53" t="inlineStr"/>
      <c r="L629" s="53" t="inlineStr">
        <is>
          <t>Не определено</t>
        </is>
      </c>
      <c r="M629" s="53" t="inlineStr"/>
      <c r="N629" s="54" t="inlineStr"/>
      <c r="O629" s="55" t="inlineStr"/>
      <c r="P629" s="16" t="inlineStr">
        <is>
          <t>Требует обогащения</t>
        </is>
      </c>
      <c r="Q629" s="16">
        <f>HYPERLINK("https://pb.nalog.ru/search.html?query=3802013271","ФНС: проверить")</f>
        <v/>
      </c>
      <c r="R629" s="16">
        <f>HYPERLINK("https://checko.ru/search?query=3801001629","Чекко: проверить")</f>
        <v/>
      </c>
      <c r="S629" t="n">
        <v>1</v>
      </c>
      <c r="T629" s="35" t="inlineStr">
        <is>
          <t>4 — Не обогащён</t>
        </is>
      </c>
      <c r="U629" s="35" t="inlineStr">
        <is>
          <t>Нет ОКВЭД/ССЧР</t>
        </is>
      </c>
      <c r="V629" s="35" t="inlineStr">
        <is>
          <t>Не определено</t>
        </is>
      </c>
      <c r="W629" s="35" t="inlineStr"/>
      <c r="X629" s="35" t="inlineStr"/>
    </row>
    <row r="630" ht="27.75" customHeight="1" s="24">
      <c r="A630" s="13" t="n">
        <v>5000048404</v>
      </c>
      <c r="B630" s="13" t="inlineStr">
        <is>
          <t>Администрация муниципального образования «Шаралдай»</t>
        </is>
      </c>
      <c r="C630" s="13" t="n">
        <v>8503005779</v>
      </c>
      <c r="D630" s="13" t="inlineStr">
        <is>
          <t>8503005779</t>
        </is>
      </c>
      <c r="E630" s="13" t="inlineStr">
        <is>
          <t>ЮЛ РФ</t>
        </is>
      </c>
      <c r="F630" s="13" t="n"/>
      <c r="G630" s="14" t="n"/>
      <c r="H630" s="14" t="n"/>
      <c r="I630" s="14" t="n"/>
      <c r="J630" s="14" t="n"/>
      <c r="K630" s="53" t="inlineStr"/>
      <c r="L630" s="53" t="inlineStr">
        <is>
          <t>Не определено</t>
        </is>
      </c>
      <c r="M630" s="53" t="inlineStr"/>
      <c r="N630" s="54" t="inlineStr"/>
      <c r="O630" s="55" t="inlineStr"/>
      <c r="P630" s="16" t="inlineStr">
        <is>
          <t>Требует обогащения</t>
        </is>
      </c>
      <c r="Q630" s="16">
        <f>HYPERLINK("https://pb.nalog.ru/search.html?query=8503005779","ФНС: проверить")</f>
        <v/>
      </c>
      <c r="R630" s="16">
        <f>HYPERLINK("https://checko.ru/search?query=3801001629","Чекко: проверить")</f>
        <v/>
      </c>
      <c r="S630" t="n">
        <v>1</v>
      </c>
      <c r="T630" s="35" t="inlineStr">
        <is>
          <t>4 — Не обогащён</t>
        </is>
      </c>
      <c r="U630" s="35" t="inlineStr">
        <is>
          <t>Нет ОКВЭД/ССЧР</t>
        </is>
      </c>
      <c r="V630" s="35" t="inlineStr">
        <is>
          <t>Не определено</t>
        </is>
      </c>
      <c r="W630" s="35" t="inlineStr"/>
      <c r="X630" s="35" t="inlineStr"/>
    </row>
    <row r="631" ht="41.25" customHeight="1" s="24">
      <c r="A631" s="13" t="n">
        <v>5000074572</v>
      </c>
      <c r="B631" s="13" t="inlineStr">
        <is>
          <t>МБУ ГОРОДСКОГО ОКРУГА КОРОЛЁВ МОСКОВСКОЙ ОБЛАСТИ "ЦЕНТРАЛИЗОВАННАЯ БУХГАЛТЕРИЯ"</t>
        </is>
      </c>
      <c r="C631" s="13" t="n">
        <v>5018123764</v>
      </c>
      <c r="D631" s="13" t="inlineStr">
        <is>
          <t>5018123764</t>
        </is>
      </c>
      <c r="E631" s="13" t="inlineStr">
        <is>
          <t>ЮЛ РФ</t>
        </is>
      </c>
      <c r="F631" s="13" t="n"/>
      <c r="G631" s="14" t="n"/>
      <c r="H631" s="14" t="n"/>
      <c r="I631" s="14" t="n"/>
      <c r="J631" s="14" t="n"/>
      <c r="K631" s="53" t="inlineStr"/>
      <c r="L631" s="53" t="inlineStr">
        <is>
          <t>Не определено</t>
        </is>
      </c>
      <c r="M631" s="53" t="inlineStr"/>
      <c r="N631" s="54" t="inlineStr"/>
      <c r="O631" s="55" t="inlineStr"/>
      <c r="P631" s="16" t="inlineStr">
        <is>
          <t>Требует обогащения</t>
        </is>
      </c>
      <c r="Q631" s="16">
        <f>HYPERLINK("https://pb.nalog.ru/search.html?query=5018123764","ФНС: проверить")</f>
        <v/>
      </c>
      <c r="R631" s="16">
        <f>HYPERLINK("https://checko.ru/search?query=3801001629","Чекко: проверить")</f>
        <v/>
      </c>
      <c r="S631" t="n">
        <v>1</v>
      </c>
      <c r="T631" s="35" t="inlineStr">
        <is>
          <t>4 — Не обогащён</t>
        </is>
      </c>
      <c r="U631" s="35" t="inlineStr">
        <is>
          <t>Нет ОКВЭД/ССЧР</t>
        </is>
      </c>
      <c r="V631" s="35" t="inlineStr">
        <is>
          <t>Не определено</t>
        </is>
      </c>
      <c r="W631" s="35" t="inlineStr"/>
      <c r="X631" s="35" t="inlineStr"/>
    </row>
    <row r="632" ht="15" customHeight="1" s="24">
      <c r="A632" s="13" t="n">
        <v>5000025421</v>
      </c>
      <c r="B632" s="13" t="inlineStr">
        <is>
          <t>Администрация МО "Половинка"</t>
        </is>
      </c>
      <c r="C632" s="13" t="n">
        <v>8502003232</v>
      </c>
      <c r="D632" s="13" t="inlineStr">
        <is>
          <t>8502003232</t>
        </is>
      </c>
      <c r="E632" s="13" t="inlineStr">
        <is>
          <t>ЮЛ РФ</t>
        </is>
      </c>
      <c r="F632" s="13" t="n"/>
      <c r="G632" s="14" t="n"/>
      <c r="H632" s="14" t="n"/>
      <c r="I632" s="14" t="n"/>
      <c r="J632" s="14" t="n"/>
      <c r="K632" s="53" t="inlineStr"/>
      <c r="L632" s="53" t="inlineStr">
        <is>
          <t>Не определено</t>
        </is>
      </c>
      <c r="M632" s="53" t="inlineStr"/>
      <c r="N632" s="54" t="inlineStr"/>
      <c r="O632" s="55" t="inlineStr"/>
      <c r="P632" s="16" t="inlineStr">
        <is>
          <t>Требует обогащения</t>
        </is>
      </c>
      <c r="Q632" s="16">
        <f>HYPERLINK("https://pb.nalog.ru/search.html?query=8502003232","ФНС: проверить")</f>
        <v/>
      </c>
      <c r="R632" s="16">
        <f>HYPERLINK("https://checko.ru/search?query=3801001629","Чекко: проверить")</f>
        <v/>
      </c>
      <c r="S632" t="n">
        <v>1</v>
      </c>
      <c r="T632" s="35" t="inlineStr">
        <is>
          <t>4 — Не обогащён</t>
        </is>
      </c>
      <c r="U632" s="35" t="inlineStr">
        <is>
          <t>Нет ОКВЭД/ССЧР</t>
        </is>
      </c>
      <c r="V632" s="35" t="inlineStr">
        <is>
          <t>Не определено</t>
        </is>
      </c>
      <c r="W632" s="35" t="inlineStr"/>
      <c r="X632" s="35" t="inlineStr"/>
    </row>
    <row r="633" ht="27.75" customHeight="1" s="24">
      <c r="A633" s="13" t="n">
        <v>5000027469</v>
      </c>
      <c r="B633" s="13" t="inlineStr">
        <is>
          <t>Финансовое Управление Ольхонской районной администрации</t>
        </is>
      </c>
      <c r="C633" s="13" t="n">
        <v>3836001073</v>
      </c>
      <c r="D633" s="13" t="inlineStr">
        <is>
          <t>3836001073</t>
        </is>
      </c>
      <c r="E633" s="13" t="inlineStr">
        <is>
          <t>ЮЛ РФ</t>
        </is>
      </c>
      <c r="F633" s="13" t="n"/>
      <c r="G633" s="14" t="n"/>
      <c r="H633" s="14" t="n"/>
      <c r="I633" s="14" t="n"/>
      <c r="J633" s="14" t="n"/>
      <c r="K633" s="53" t="inlineStr"/>
      <c r="L633" s="53" t="inlineStr">
        <is>
          <t>Не определено</t>
        </is>
      </c>
      <c r="M633" s="53" t="inlineStr"/>
      <c r="N633" s="54" t="inlineStr"/>
      <c r="O633" s="55" t="inlineStr"/>
      <c r="P633" s="16" t="inlineStr">
        <is>
          <t>Требует обогащения</t>
        </is>
      </c>
      <c r="Q633" s="16">
        <f>HYPERLINK("https://pb.nalog.ru/search.html?query=3836001073","ФНС: проверить")</f>
        <v/>
      </c>
      <c r="R633" s="16">
        <f>HYPERLINK("https://checko.ru/search?query=3801001629","Чекко: проверить")</f>
        <v/>
      </c>
      <c r="S633" t="n">
        <v>1</v>
      </c>
      <c r="T633" s="35" t="inlineStr">
        <is>
          <t>4 — Не обогащён</t>
        </is>
      </c>
      <c r="U633" s="35" t="inlineStr">
        <is>
          <t>Нет ОКВЭД/ССЧР</t>
        </is>
      </c>
      <c r="V633" s="35" t="inlineStr">
        <is>
          <t>Не определено</t>
        </is>
      </c>
      <c r="W633" s="35" t="inlineStr"/>
      <c r="X633" s="35" t="inlineStr"/>
    </row>
    <row r="634" ht="15" customHeight="1" s="24">
      <c r="A634" s="13" t="n">
        <v>5000022103</v>
      </c>
      <c r="B634" s="13" t="inlineStr">
        <is>
          <t>Администрация МО "Маниловск"</t>
        </is>
      </c>
      <c r="C634" s="13" t="n">
        <v>8501006336</v>
      </c>
      <c r="D634" s="13" t="inlineStr">
        <is>
          <t>8501006336</t>
        </is>
      </c>
      <c r="E634" s="13" t="inlineStr">
        <is>
          <t>ЮЛ РФ</t>
        </is>
      </c>
      <c r="F634" s="13" t="n"/>
      <c r="G634" s="14" t="n"/>
      <c r="H634" s="14" t="n"/>
      <c r="I634" s="14" t="n"/>
      <c r="J634" s="14" t="n"/>
      <c r="K634" s="53" t="inlineStr"/>
      <c r="L634" s="53" t="inlineStr">
        <is>
          <t>Не определено</t>
        </is>
      </c>
      <c r="M634" s="53" t="inlineStr"/>
      <c r="N634" s="54" t="inlineStr"/>
      <c r="O634" s="55" t="inlineStr"/>
      <c r="P634" s="16" t="inlineStr">
        <is>
          <t>Требует обогащения</t>
        </is>
      </c>
      <c r="Q634" s="16">
        <f>HYPERLINK("https://pb.nalog.ru/search.html?query=8501006336","ФНС: проверить")</f>
        <v/>
      </c>
      <c r="R634" s="16">
        <f>HYPERLINK("https://checko.ru/search?query=3801001629","Чекко: проверить")</f>
        <v/>
      </c>
      <c r="S634" t="n">
        <v>1</v>
      </c>
      <c r="T634" s="35" t="inlineStr">
        <is>
          <t>4 — Не обогащён</t>
        </is>
      </c>
      <c r="U634" s="35" t="inlineStr">
        <is>
          <t>Нет ОКВЭД/ССЧР</t>
        </is>
      </c>
      <c r="V634" s="35" t="inlineStr">
        <is>
          <t>Не определено</t>
        </is>
      </c>
      <c r="W634" s="35" t="inlineStr"/>
      <c r="X634" s="35" t="inlineStr"/>
    </row>
    <row r="635" ht="15" customHeight="1" s="24">
      <c r="A635" s="13" t="n">
        <v>5000025615</v>
      </c>
      <c r="B635" s="13" t="inlineStr">
        <is>
          <t>МКУ "Центр поддержки молодёжных инициатив"</t>
        </is>
      </c>
      <c r="C635" s="13" t="n">
        <v>3820013115</v>
      </c>
      <c r="D635" s="13" t="inlineStr">
        <is>
          <t>3820013115</t>
        </is>
      </c>
      <c r="E635" s="13" t="inlineStr">
        <is>
          <t>ЮЛ РФ</t>
        </is>
      </c>
      <c r="F635" s="13" t="n"/>
      <c r="G635" s="14" t="n"/>
      <c r="H635" s="14" t="n"/>
      <c r="I635" s="14" t="n"/>
      <c r="J635" s="14" t="n"/>
      <c r="K635" s="53" t="inlineStr"/>
      <c r="L635" s="53" t="inlineStr">
        <is>
          <t>Не определено</t>
        </is>
      </c>
      <c r="M635" s="53" t="inlineStr"/>
      <c r="N635" s="54" t="inlineStr"/>
      <c r="O635" s="55" t="inlineStr"/>
      <c r="P635" s="16" t="inlineStr">
        <is>
          <t>Требует обогащения</t>
        </is>
      </c>
      <c r="Q635" s="16">
        <f>HYPERLINK("https://pb.nalog.ru/search.html?query=3820013115","ФНС: проверить")</f>
        <v/>
      </c>
      <c r="R635" s="16">
        <f>HYPERLINK("https://checko.ru/search?query=3801001629","Чекко: проверить")</f>
        <v/>
      </c>
      <c r="S635" t="n">
        <v>1</v>
      </c>
      <c r="T635" s="35" t="inlineStr">
        <is>
          <t>4 — Не обогащён</t>
        </is>
      </c>
      <c r="U635" s="35" t="inlineStr">
        <is>
          <t>Нет ОКВЭД/ССЧР</t>
        </is>
      </c>
      <c r="V635" s="35" t="inlineStr">
        <is>
          <t>Не определено</t>
        </is>
      </c>
      <c r="W635" s="35" t="inlineStr"/>
      <c r="X635" s="35" t="inlineStr"/>
    </row>
    <row r="636" ht="27.75" customHeight="1" s="24">
      <c r="A636" s="13" t="n">
        <v>5000025613</v>
      </c>
      <c r="B636" s="13" t="inlineStr">
        <is>
          <t>МБУ "Центр развития физической культуры и спорта"</t>
        </is>
      </c>
      <c r="C636" s="13" t="n">
        <v>3851005499</v>
      </c>
      <c r="D636" s="13" t="inlineStr">
        <is>
          <t>3851005499</t>
        </is>
      </c>
      <c r="E636" s="13" t="inlineStr">
        <is>
          <t>ЮЛ РФ</t>
        </is>
      </c>
      <c r="F636" s="13" t="n"/>
      <c r="G636" s="14" t="n"/>
      <c r="H636" s="14" t="n"/>
      <c r="I636" s="14" t="n"/>
      <c r="J636" s="14" t="n"/>
      <c r="K636" s="53" t="inlineStr"/>
      <c r="L636" s="53" t="inlineStr">
        <is>
          <t>Не определено</t>
        </is>
      </c>
      <c r="M636" s="53" t="inlineStr"/>
      <c r="N636" s="54" t="inlineStr"/>
      <c r="O636" s="55" t="inlineStr"/>
      <c r="P636" s="16" t="inlineStr">
        <is>
          <t>Требует обогащения</t>
        </is>
      </c>
      <c r="Q636" s="16">
        <f>HYPERLINK("https://pb.nalog.ru/search.html?query=3851005499","ФНС: проверить")</f>
        <v/>
      </c>
      <c r="R636" s="16">
        <f>HYPERLINK("https://checko.ru/search?query=3801001629","Чекко: проверить")</f>
        <v/>
      </c>
      <c r="S636" t="n">
        <v>1</v>
      </c>
      <c r="T636" s="35" t="inlineStr">
        <is>
          <t>4 — Не обогащён</t>
        </is>
      </c>
      <c r="U636" s="35" t="inlineStr">
        <is>
          <t>Нет ОКВЭД/ССЧР</t>
        </is>
      </c>
      <c r="V636" s="35" t="inlineStr">
        <is>
          <t>Не определено</t>
        </is>
      </c>
      <c r="W636" s="35" t="inlineStr"/>
      <c r="X636" s="35" t="inlineStr"/>
    </row>
    <row r="637" ht="15" customHeight="1" s="24">
      <c r="A637" s="13" t="n">
        <v>5000116099</v>
      </c>
      <c r="B637" s="13" t="inlineStr">
        <is>
          <t>Администрация МО "Алужинское"/О</t>
        </is>
      </c>
      <c r="C637" s="13" t="n">
        <v>8506009683</v>
      </c>
      <c r="D637" s="13" t="inlineStr">
        <is>
          <t>8506009683</t>
        </is>
      </c>
      <c r="E637" s="13" t="inlineStr">
        <is>
          <t>ЮЛ РФ</t>
        </is>
      </c>
      <c r="F637" s="13" t="n"/>
      <c r="G637" s="14" t="n"/>
      <c r="H637" s="14" t="n"/>
      <c r="I637" s="14" t="n"/>
      <c r="J637" s="14" t="n"/>
      <c r="K637" s="53" t="inlineStr"/>
      <c r="L637" s="53" t="inlineStr">
        <is>
          <t>Не определено</t>
        </is>
      </c>
      <c r="M637" s="53" t="inlineStr"/>
      <c r="N637" s="54" t="inlineStr"/>
      <c r="O637" s="55" t="inlineStr"/>
      <c r="P637" s="16" t="inlineStr">
        <is>
          <t>Требует обогащения</t>
        </is>
      </c>
      <c r="Q637" s="16">
        <f>HYPERLINK("https://pb.nalog.ru/search.html?query=8506009683","ФНС: проверить")</f>
        <v/>
      </c>
      <c r="R637" s="16">
        <f>HYPERLINK("https://checko.ru/search?query=3801001629","Чекко: проверить")</f>
        <v/>
      </c>
      <c r="S637" t="n">
        <v>1</v>
      </c>
      <c r="T637" s="35" t="inlineStr">
        <is>
          <t>4 — Не обогащён</t>
        </is>
      </c>
      <c r="U637" s="35" t="inlineStr">
        <is>
          <t>Нет ОКВЭД/ССЧР</t>
        </is>
      </c>
      <c r="V637" s="35" t="inlineStr">
        <is>
          <t>Не определено</t>
        </is>
      </c>
      <c r="W637" s="35" t="inlineStr"/>
      <c r="X637" s="35" t="inlineStr"/>
    </row>
    <row r="638" ht="27.75" customHeight="1" s="24">
      <c r="A638" s="13" t="n">
        <v>5000123532</v>
      </c>
      <c r="B638" s="13" t="inlineStr">
        <is>
          <t>АДМИНИСТРАЦИЯ НУКУТСКОГО МУНИЦИПАЛЬНОГО ОКРУГА</t>
        </is>
      </c>
      <c r="C638" s="13" t="n">
        <v>3801166050</v>
      </c>
      <c r="D638" s="13" t="inlineStr">
        <is>
          <t>3801166050</t>
        </is>
      </c>
      <c r="E638" s="13" t="inlineStr">
        <is>
          <t>ЮЛ РФ</t>
        </is>
      </c>
      <c r="F638" s="13" t="n"/>
      <c r="G638" s="14" t="n"/>
      <c r="H638" s="14" t="n"/>
      <c r="I638" s="14" t="n"/>
      <c r="J638" s="14" t="n"/>
      <c r="K638" s="53" t="inlineStr"/>
      <c r="L638" s="53" t="inlineStr">
        <is>
          <t>Не определено</t>
        </is>
      </c>
      <c r="M638" s="53" t="inlineStr"/>
      <c r="N638" s="54" t="inlineStr"/>
      <c r="O638" s="55" t="inlineStr"/>
      <c r="P638" s="16" t="inlineStr">
        <is>
          <t>Требует обогащения</t>
        </is>
      </c>
      <c r="Q638" s="16">
        <f>HYPERLINK("https://pb.nalog.ru/search.html?query=3801166050","ФНС: проверить")</f>
        <v/>
      </c>
      <c r="R638" s="16">
        <f>HYPERLINK("https://checko.ru/search?query=3801001629","Чекко: проверить")</f>
        <v/>
      </c>
      <c r="S638" t="n">
        <v>1</v>
      </c>
      <c r="T638" s="35" t="inlineStr">
        <is>
          <t>4 — Не обогащён</t>
        </is>
      </c>
      <c r="U638" s="35" t="inlineStr">
        <is>
          <t>Нет ОКВЭД/ССЧР</t>
        </is>
      </c>
      <c r="V638" s="35" t="inlineStr">
        <is>
          <t>Не определено</t>
        </is>
      </c>
      <c r="W638" s="35" t="inlineStr"/>
      <c r="X638" s="35" t="inlineStr"/>
    </row>
    <row r="639" ht="27.75" customHeight="1" s="24">
      <c r="A639" s="13" t="n">
        <v>5000025088</v>
      </c>
      <c r="B639" s="13" t="inlineStr">
        <is>
          <t>Администрация муниципального образования "Могоенок"</t>
        </is>
      </c>
      <c r="C639" s="13" t="n">
        <v>8501006248</v>
      </c>
      <c r="D639" s="13" t="inlineStr">
        <is>
          <t>8501006248</t>
        </is>
      </c>
      <c r="E639" s="13" t="inlineStr">
        <is>
          <t>ЮЛ РФ</t>
        </is>
      </c>
      <c r="F639" s="13" t="n"/>
      <c r="G639" s="14" t="n"/>
      <c r="H639" s="14" t="n"/>
      <c r="I639" s="14" t="n"/>
      <c r="J639" s="14" t="n"/>
      <c r="K639" s="53" t="inlineStr"/>
      <c r="L639" s="53" t="inlineStr">
        <is>
          <t>Не определено</t>
        </is>
      </c>
      <c r="M639" s="53" t="inlineStr"/>
      <c r="N639" s="54" t="inlineStr"/>
      <c r="O639" s="55" t="inlineStr"/>
      <c r="P639" s="16" t="inlineStr">
        <is>
          <t>Требует обогащения</t>
        </is>
      </c>
      <c r="Q639" s="16">
        <f>HYPERLINK("https://pb.nalog.ru/search.html?query=8501006248","ФНС: проверить")</f>
        <v/>
      </c>
      <c r="R639" s="16">
        <f>HYPERLINK("https://checko.ru/search?query=3801001629","Чекко: проверить")</f>
        <v/>
      </c>
      <c r="S639" t="n">
        <v>1</v>
      </c>
      <c r="T639" s="35" t="inlineStr">
        <is>
          <t>4 — Не обогащён</t>
        </is>
      </c>
      <c r="U639" s="35" t="inlineStr">
        <is>
          <t>Нет ОКВЭД/ССЧР</t>
        </is>
      </c>
      <c r="V639" s="35" t="inlineStr">
        <is>
          <t>Не определено</t>
        </is>
      </c>
      <c r="W639" s="35" t="inlineStr"/>
      <c r="X639" s="35" t="inlineStr"/>
    </row>
    <row r="640" ht="27.75" customHeight="1" s="24">
      <c r="A640" s="13" t="n">
        <v>5000081339</v>
      </c>
      <c r="B640" s="13" t="inlineStr">
        <is>
          <t>МБОУ Кумарейская средняя общеобразовательная школа</t>
        </is>
      </c>
      <c r="C640" s="13" t="n">
        <v>3822001203</v>
      </c>
      <c r="D640" s="13" t="inlineStr">
        <is>
          <t>3822001203</t>
        </is>
      </c>
      <c r="E640" s="13" t="inlineStr">
        <is>
          <t>ЮЛ РФ</t>
        </is>
      </c>
      <c r="F640" s="13" t="n"/>
      <c r="G640" s="14" t="n"/>
      <c r="H640" s="14" t="n"/>
      <c r="I640" s="14" t="n"/>
      <c r="J640" s="14" t="n"/>
      <c r="K640" s="53" t="inlineStr"/>
      <c r="L640" s="53" t="inlineStr">
        <is>
          <t>Не определено</t>
        </is>
      </c>
      <c r="M640" s="53" t="inlineStr"/>
      <c r="N640" s="54" t="inlineStr"/>
      <c r="O640" s="55" t="inlineStr"/>
      <c r="P640" s="16" t="inlineStr">
        <is>
          <t>Требует обогащения</t>
        </is>
      </c>
      <c r="Q640" s="16">
        <f>HYPERLINK("https://pb.nalog.ru/search.html?query=3822001203","ФНС: проверить")</f>
        <v/>
      </c>
      <c r="R640" s="16">
        <f>HYPERLINK("https://checko.ru/search?query=3801001629","Чекко: проверить")</f>
        <v/>
      </c>
      <c r="S640" t="n">
        <v>1</v>
      </c>
      <c r="T640" s="35" t="inlineStr">
        <is>
          <t>4 — Не обогащён</t>
        </is>
      </c>
      <c r="U640" s="35" t="inlineStr">
        <is>
          <t>Нет ОКВЭД/ССЧР</t>
        </is>
      </c>
      <c r="V640" s="35" t="inlineStr">
        <is>
          <t>Не определено</t>
        </is>
      </c>
      <c r="W640" s="35" t="inlineStr"/>
      <c r="X640" s="35" t="inlineStr"/>
    </row>
    <row r="641" ht="27.75" customHeight="1" s="24">
      <c r="A641" s="13" t="n">
        <v>5000097553</v>
      </c>
      <c r="B641" s="13" t="inlineStr">
        <is>
          <t>Администрация муниципального образования "Куйта"</t>
        </is>
      </c>
      <c r="C641" s="13" t="n">
        <v>8501006128</v>
      </c>
      <c r="D641" s="13" t="inlineStr">
        <is>
          <t>8501006128</t>
        </is>
      </c>
      <c r="E641" s="13" t="inlineStr">
        <is>
          <t>ЮЛ РФ</t>
        </is>
      </c>
      <c r="F641" s="13" t="n"/>
      <c r="G641" s="14" t="n"/>
      <c r="H641" s="14" t="n"/>
      <c r="I641" s="14" t="n"/>
      <c r="J641" s="14" t="n"/>
      <c r="K641" s="53" t="inlineStr"/>
      <c r="L641" s="53" t="inlineStr">
        <is>
          <t>Не определено</t>
        </is>
      </c>
      <c r="M641" s="53" t="inlineStr"/>
      <c r="N641" s="54" t="inlineStr"/>
      <c r="O641" s="55" t="inlineStr"/>
      <c r="P641" s="16" t="inlineStr">
        <is>
          <t>Требует обогащения</t>
        </is>
      </c>
      <c r="Q641" s="16">
        <f>HYPERLINK("https://pb.nalog.ru/search.html?query=8501006128","ФНС: проверить")</f>
        <v/>
      </c>
      <c r="R641" s="16">
        <f>HYPERLINK("https://checko.ru/search?query=3801001629","Чекко: проверить")</f>
        <v/>
      </c>
      <c r="S641" t="n">
        <v>1</v>
      </c>
      <c r="T641" s="35" t="inlineStr">
        <is>
          <t>4 — Не обогащён</t>
        </is>
      </c>
      <c r="U641" s="35" t="inlineStr">
        <is>
          <t>Нет ОКВЭД/ССЧР</t>
        </is>
      </c>
      <c r="V641" s="35" t="inlineStr">
        <is>
          <t>Не определено</t>
        </is>
      </c>
      <c r="W641" s="35" t="inlineStr"/>
      <c r="X641" s="35" t="inlineStr"/>
    </row>
    <row r="642" ht="27.75" customHeight="1" s="24">
      <c r="A642" s="13" t="n">
        <v>5000097564</v>
      </c>
      <c r="B642" s="13" t="inlineStr">
        <is>
          <t>Администрация Звездненского городского поселения</t>
        </is>
      </c>
      <c r="C642" s="13" t="n">
        <v>3818019342</v>
      </c>
      <c r="D642" s="13" t="inlineStr">
        <is>
          <t>3818019342</t>
        </is>
      </c>
      <c r="E642" s="13" t="inlineStr">
        <is>
          <t>ЮЛ РФ</t>
        </is>
      </c>
      <c r="F642" s="13" t="n"/>
      <c r="G642" s="14" t="n"/>
      <c r="H642" s="14" t="n"/>
      <c r="I642" s="14" t="n"/>
      <c r="J642" s="14" t="n"/>
      <c r="K642" s="53" t="inlineStr"/>
      <c r="L642" s="53" t="inlineStr">
        <is>
          <t>Не определено</t>
        </is>
      </c>
      <c r="M642" s="53" t="inlineStr"/>
      <c r="N642" s="54" t="inlineStr"/>
      <c r="O642" s="55" t="inlineStr"/>
      <c r="P642" s="16" t="inlineStr">
        <is>
          <t>Требует обогащения</t>
        </is>
      </c>
      <c r="Q642" s="16">
        <f>HYPERLINK("https://pb.nalog.ru/search.html?query=3818019342","ФНС: проверить")</f>
        <v/>
      </c>
      <c r="R642" s="16">
        <f>HYPERLINK("https://checko.ru/search?query=3801001629","Чекко: проверить")</f>
        <v/>
      </c>
      <c r="S642" t="n">
        <v>1</v>
      </c>
      <c r="T642" s="35" t="inlineStr">
        <is>
          <t>4 — Не обогащён</t>
        </is>
      </c>
      <c r="U642" s="35" t="inlineStr">
        <is>
          <t>Нет ОКВЭД/ССЧР</t>
        </is>
      </c>
      <c r="V642" s="35" t="inlineStr">
        <is>
          <t>Не определено</t>
        </is>
      </c>
      <c r="W642" s="35" t="inlineStr"/>
      <c r="X642" s="35" t="inlineStr"/>
    </row>
    <row r="643" ht="41.25" customHeight="1" s="24">
      <c r="A643" s="13" t="n">
        <v>5000122029</v>
      </c>
      <c r="B643" s="13" t="inlineStr">
        <is>
          <t>ОЕКСКИЙ АДМИНИСТРАТИВНЫЙ ОКРУГ АДМИНИСТРАЦИИ ИРКУТСКОГО МУНИЦИПАЛЬНОГО ОКРУГА</t>
        </is>
      </c>
      <c r="C643" s="13" t="n">
        <v>3808294300</v>
      </c>
      <c r="D643" s="13" t="inlineStr">
        <is>
          <t>3808294300</t>
        </is>
      </c>
      <c r="E643" s="13" t="inlineStr">
        <is>
          <t>ЮЛ РФ</t>
        </is>
      </c>
      <c r="F643" s="13" t="n"/>
      <c r="G643" s="14" t="n"/>
      <c r="H643" s="14" t="n"/>
      <c r="I643" s="14" t="n"/>
      <c r="J643" s="14" t="n"/>
      <c r="K643" s="53" t="inlineStr"/>
      <c r="L643" s="53" t="inlineStr">
        <is>
          <t>Не определено</t>
        </is>
      </c>
      <c r="M643" s="53" t="inlineStr"/>
      <c r="N643" s="54" t="inlineStr"/>
      <c r="O643" s="55" t="inlineStr"/>
      <c r="P643" s="16" t="inlineStr">
        <is>
          <t>Требует обогащения</t>
        </is>
      </c>
      <c r="Q643" s="16">
        <f>HYPERLINK("https://pb.nalog.ru/search.html?query=3808294300","ФНС: проверить")</f>
        <v/>
      </c>
      <c r="R643" s="16">
        <f>HYPERLINK("https://checko.ru/search?query=3801001629","Чекко: проверить")</f>
        <v/>
      </c>
      <c r="S643" t="n">
        <v>1</v>
      </c>
      <c r="T643" s="35" t="inlineStr">
        <is>
          <t>4 — Не обогащён</t>
        </is>
      </c>
      <c r="U643" s="35" t="inlineStr">
        <is>
          <t>Нет ОКВЭД/ССЧР</t>
        </is>
      </c>
      <c r="V643" s="35" t="inlineStr">
        <is>
          <t>Не определено</t>
        </is>
      </c>
      <c r="W643" s="35" t="inlineStr"/>
      <c r="X643" s="35" t="inlineStr"/>
    </row>
    <row r="644" ht="41.25" customHeight="1" s="24">
      <c r="A644" s="13" t="n">
        <v>5000108568</v>
      </c>
      <c r="B644" s="13" t="inlineStr">
        <is>
          <t>Муниципальное бюджетное учреждение Города Тулуна "Центр Финансового и Технического Обслуживания"</t>
        </is>
      </c>
      <c r="C644" s="13" t="n">
        <v>3816037018</v>
      </c>
      <c r="D644" s="13" t="inlineStr">
        <is>
          <t>3816037018</t>
        </is>
      </c>
      <c r="E644" s="13" t="inlineStr">
        <is>
          <t>ЮЛ РФ</t>
        </is>
      </c>
      <c r="F644" s="13" t="n"/>
      <c r="G644" s="14" t="n"/>
      <c r="H644" s="14" t="n"/>
      <c r="I644" s="14" t="n"/>
      <c r="J644" s="14" t="n"/>
      <c r="K644" s="53" t="inlineStr"/>
      <c r="L644" s="53" t="inlineStr">
        <is>
          <t>Не определено</t>
        </is>
      </c>
      <c r="M644" s="53" t="inlineStr"/>
      <c r="N644" s="54" t="inlineStr"/>
      <c r="O644" s="55" t="inlineStr"/>
      <c r="P644" s="16" t="inlineStr">
        <is>
          <t>Требует обогащения</t>
        </is>
      </c>
      <c r="Q644" s="16">
        <f>HYPERLINK("https://pb.nalog.ru/search.html?query=3816037018","ФНС: проверить")</f>
        <v/>
      </c>
      <c r="R644" s="16">
        <f>HYPERLINK("https://checko.ru/search?query=3801001629","Чекко: проверить")</f>
        <v/>
      </c>
      <c r="S644" t="n">
        <v>1</v>
      </c>
      <c r="T644" s="35" t="inlineStr">
        <is>
          <t>4 — Не обогащён</t>
        </is>
      </c>
      <c r="U644" s="35" t="inlineStr">
        <is>
          <t>Нет ОКВЭД/ССЧР</t>
        </is>
      </c>
      <c r="V644" s="35" t="inlineStr">
        <is>
          <t>Не определено</t>
        </is>
      </c>
      <c r="W644" s="35" t="inlineStr"/>
      <c r="X644" s="35" t="inlineStr"/>
    </row>
    <row r="645" ht="15" customHeight="1" s="24">
      <c r="A645" s="13" t="n">
        <v>5000057007</v>
      </c>
      <c r="B645" s="13" t="inlineStr">
        <is>
          <t>Администрация МО "Баяндай"</t>
        </is>
      </c>
      <c r="C645" s="13" t="n">
        <v>8502003176</v>
      </c>
      <c r="D645" s="13" t="inlineStr">
        <is>
          <t>8502003176</t>
        </is>
      </c>
      <c r="E645" s="13" t="inlineStr">
        <is>
          <t>ЮЛ РФ</t>
        </is>
      </c>
      <c r="F645" s="13" t="n"/>
      <c r="G645" s="14" t="n"/>
      <c r="H645" s="14" t="n"/>
      <c r="I645" s="14" t="n"/>
      <c r="J645" s="14" t="n"/>
      <c r="K645" s="53" t="inlineStr"/>
      <c r="L645" s="53" t="inlineStr">
        <is>
          <t>Не определено</t>
        </is>
      </c>
      <c r="M645" s="53" t="inlineStr"/>
      <c r="N645" s="54" t="inlineStr"/>
      <c r="O645" s="55" t="inlineStr"/>
      <c r="P645" s="16" t="inlineStr">
        <is>
          <t>Требует обогащения</t>
        </is>
      </c>
      <c r="Q645" s="16">
        <f>HYPERLINK("https://pb.nalog.ru/search.html?query=8502003176","ФНС: проверить")</f>
        <v/>
      </c>
      <c r="R645" s="16">
        <f>HYPERLINK("https://checko.ru/search?query=3801001629","Чекко: проверить")</f>
        <v/>
      </c>
      <c r="S645" t="n">
        <v>1</v>
      </c>
      <c r="T645" s="35" t="inlineStr">
        <is>
          <t>4 — Не обогащён</t>
        </is>
      </c>
      <c r="U645" s="35" t="inlineStr">
        <is>
          <t>Нет ОКВЭД/ССЧР</t>
        </is>
      </c>
      <c r="V645" s="35" t="inlineStr">
        <is>
          <t>Не определено</t>
        </is>
      </c>
      <c r="W645" s="35" t="inlineStr"/>
      <c r="X645" s="35" t="inlineStr"/>
    </row>
    <row r="646" ht="27.75" customHeight="1" s="24">
      <c r="A646" s="13" t="n">
        <v>5000027675</v>
      </c>
      <c r="B646" s="13" t="inlineStr">
        <is>
          <t>Администрация муниципального образования "Катангский район"</t>
        </is>
      </c>
      <c r="C646" s="13" t="n">
        <v>3829000992</v>
      </c>
      <c r="D646" s="13" t="inlineStr">
        <is>
          <t>3829000992</t>
        </is>
      </c>
      <c r="E646" s="13" t="inlineStr">
        <is>
          <t>ЮЛ РФ</t>
        </is>
      </c>
      <c r="F646" s="13" t="n"/>
      <c r="G646" s="14" t="n"/>
      <c r="H646" s="14" t="n"/>
      <c r="I646" s="14" t="n"/>
      <c r="J646" s="14" t="n"/>
      <c r="K646" s="53" t="inlineStr"/>
      <c r="L646" s="53" t="inlineStr">
        <is>
          <t>Не определено</t>
        </is>
      </c>
      <c r="M646" s="53" t="inlineStr"/>
      <c r="N646" s="54" t="inlineStr"/>
      <c r="O646" s="55" t="inlineStr"/>
      <c r="P646" s="16" t="inlineStr">
        <is>
          <t>Требует обогащения</t>
        </is>
      </c>
      <c r="Q646" s="16">
        <f>HYPERLINK("https://pb.nalog.ru/search.html?query=3829000992","ФНС: проверить")</f>
        <v/>
      </c>
      <c r="R646" s="16">
        <f>HYPERLINK("https://checko.ru/search?query=3801001629","Чекко: проверить")</f>
        <v/>
      </c>
      <c r="S646" t="n">
        <v>1</v>
      </c>
      <c r="T646" s="35" t="inlineStr">
        <is>
          <t>4 — Не обогащён</t>
        </is>
      </c>
      <c r="U646" s="35" t="inlineStr">
        <is>
          <t>Нет ОКВЭД/ССЧР</t>
        </is>
      </c>
      <c r="V646" s="35" t="inlineStr">
        <is>
          <t>Не определено</t>
        </is>
      </c>
      <c r="W646" s="35" t="inlineStr"/>
      <c r="X646" s="35" t="inlineStr"/>
    </row>
    <row r="647" ht="15" customHeight="1" s="24">
      <c r="A647" s="13" t="n">
        <v>5000025631</v>
      </c>
      <c r="B647" s="13" t="inlineStr">
        <is>
          <t>Администрация МО Иваническ</t>
        </is>
      </c>
      <c r="C647" s="13" t="n">
        <v>8501006255</v>
      </c>
      <c r="D647" s="13" t="inlineStr">
        <is>
          <t>8501006255</t>
        </is>
      </c>
      <c r="E647" s="13" t="inlineStr">
        <is>
          <t>ЮЛ РФ</t>
        </is>
      </c>
      <c r="F647" s="13" t="n"/>
      <c r="G647" s="14" t="n"/>
      <c r="H647" s="14" t="n"/>
      <c r="I647" s="14" t="n"/>
      <c r="J647" s="14" t="n"/>
      <c r="K647" s="53" t="inlineStr"/>
      <c r="L647" s="53" t="inlineStr">
        <is>
          <t>Не определено</t>
        </is>
      </c>
      <c r="M647" s="53" t="inlineStr"/>
      <c r="N647" s="54" t="inlineStr"/>
      <c r="O647" s="55" t="inlineStr"/>
      <c r="P647" s="16" t="inlineStr">
        <is>
          <t>Требует обогащения</t>
        </is>
      </c>
      <c r="Q647" s="16">
        <f>HYPERLINK("https://pb.nalog.ru/search.html?query=8501006255","ФНС: проверить")</f>
        <v/>
      </c>
      <c r="R647" s="16">
        <f>HYPERLINK("https://checko.ru/search?query=3801001629","Чекко: проверить")</f>
        <v/>
      </c>
      <c r="S647" t="n">
        <v>1</v>
      </c>
      <c r="T647" s="35" t="inlineStr">
        <is>
          <t>4 — Не обогащён</t>
        </is>
      </c>
      <c r="U647" s="35" t="inlineStr">
        <is>
          <t>Нет ОКВЭД/ССЧР</t>
        </is>
      </c>
      <c r="V647" s="35" t="inlineStr">
        <is>
          <t>Не определено</t>
        </is>
      </c>
      <c r="W647" s="35" t="inlineStr"/>
      <c r="X647" s="35" t="inlineStr"/>
    </row>
    <row r="648" ht="15" customHeight="1" s="24">
      <c r="A648" s="13" t="n">
        <v>5000092328</v>
      </c>
      <c r="B648" s="13" t="inlineStr">
        <is>
          <t>Дума муниципального образования "Табарсук"</t>
        </is>
      </c>
      <c r="C648" s="13" t="n">
        <v>8501006270</v>
      </c>
      <c r="D648" s="13" t="inlineStr">
        <is>
          <t>8501006270</t>
        </is>
      </c>
      <c r="E648" s="13" t="inlineStr">
        <is>
          <t>ЮЛ РФ</t>
        </is>
      </c>
      <c r="F648" s="13" t="n"/>
      <c r="G648" s="14" t="n"/>
      <c r="H648" s="14" t="n"/>
      <c r="I648" s="14" t="n"/>
      <c r="J648" s="14" t="n"/>
      <c r="K648" s="53" t="inlineStr"/>
      <c r="L648" s="53" t="inlineStr">
        <is>
          <t>Не определено</t>
        </is>
      </c>
      <c r="M648" s="53" t="inlineStr"/>
      <c r="N648" s="54" t="inlineStr"/>
      <c r="O648" s="55" t="inlineStr"/>
      <c r="P648" s="16" t="inlineStr">
        <is>
          <t>Требует обогащения</t>
        </is>
      </c>
      <c r="Q648" s="16">
        <f>HYPERLINK("https://pb.nalog.ru/search.html?query=8501006270","ФНС: проверить")</f>
        <v/>
      </c>
      <c r="R648" s="16">
        <f>HYPERLINK("https://checko.ru/search?query=3801001629","Чекко: проверить")</f>
        <v/>
      </c>
      <c r="S648" t="n">
        <v>1</v>
      </c>
      <c r="T648" s="35" t="inlineStr">
        <is>
          <t>4 — Не обогащён</t>
        </is>
      </c>
      <c r="U648" s="35" t="inlineStr">
        <is>
          <t>Нет ОКВЭД/ССЧР</t>
        </is>
      </c>
      <c r="V648" s="35" t="inlineStr">
        <is>
          <t>Не определено</t>
        </is>
      </c>
      <c r="W648" s="35" t="inlineStr"/>
      <c r="X648" s="35" t="inlineStr"/>
    </row>
    <row r="649" ht="27.75" customHeight="1" s="24">
      <c r="A649" s="13" t="n">
        <v>5000092329</v>
      </c>
      <c r="B649" s="13" t="inlineStr">
        <is>
          <t>МБУК "Информационно-культурный центр" муниципального образования "Табарсук"</t>
        </is>
      </c>
      <c r="C649" s="13" t="n">
        <v>3851004992</v>
      </c>
      <c r="D649" s="13" t="inlineStr">
        <is>
          <t>3851004992</t>
        </is>
      </c>
      <c r="E649" s="13" t="inlineStr">
        <is>
          <t>ЮЛ РФ</t>
        </is>
      </c>
      <c r="F649" s="13" t="n"/>
      <c r="G649" s="14" t="n"/>
      <c r="H649" s="14" t="n"/>
      <c r="I649" s="14" t="n"/>
      <c r="J649" s="14" t="n"/>
      <c r="K649" s="53" t="inlineStr"/>
      <c r="L649" s="53" t="inlineStr">
        <is>
          <t>Не определено</t>
        </is>
      </c>
      <c r="M649" s="53" t="inlineStr"/>
      <c r="N649" s="54" t="inlineStr"/>
      <c r="O649" s="55" t="inlineStr"/>
      <c r="P649" s="16" t="inlineStr">
        <is>
          <t>Требует обогащения</t>
        </is>
      </c>
      <c r="Q649" s="16">
        <f>HYPERLINK("https://pb.nalog.ru/search.html?query=3851004992","ФНС: проверить")</f>
        <v/>
      </c>
      <c r="R649" s="16">
        <f>HYPERLINK("https://checko.ru/search?query=3801001629","Чекко: проверить")</f>
        <v/>
      </c>
      <c r="S649" t="n">
        <v>1</v>
      </c>
      <c r="T649" s="35" t="inlineStr">
        <is>
          <t>4 — Не обогащён</t>
        </is>
      </c>
      <c r="U649" s="35" t="inlineStr">
        <is>
          <t>Нет ОКВЭД/ССЧР</t>
        </is>
      </c>
      <c r="V649" s="35" t="inlineStr">
        <is>
          <t>Не определено</t>
        </is>
      </c>
      <c r="W649" s="35" t="inlineStr"/>
      <c r="X649" s="35" t="inlineStr"/>
    </row>
    <row r="650" ht="27.75" customHeight="1" s="24">
      <c r="A650" s="13" t="n">
        <v>5000092330</v>
      </c>
      <c r="B650" s="13" t="inlineStr">
        <is>
          <t>Финансовый отдел администрации муниципального образования "Табарсук"</t>
        </is>
      </c>
      <c r="C650" s="13" t="n">
        <v>8501004970</v>
      </c>
      <c r="D650" s="13" t="inlineStr">
        <is>
          <t>8501004970</t>
        </is>
      </c>
      <c r="E650" s="13" t="inlineStr">
        <is>
          <t>ЮЛ РФ</t>
        </is>
      </c>
      <c r="F650" s="13" t="n"/>
      <c r="G650" s="14" t="n"/>
      <c r="H650" s="14" t="n"/>
      <c r="I650" s="14" t="n"/>
      <c r="J650" s="14" t="n"/>
      <c r="K650" s="53" t="inlineStr"/>
      <c r="L650" s="53" t="inlineStr">
        <is>
          <t>Не определено</t>
        </is>
      </c>
      <c r="M650" s="53" t="inlineStr"/>
      <c r="N650" s="54" t="inlineStr"/>
      <c r="O650" s="55" t="inlineStr"/>
      <c r="P650" s="16" t="inlineStr">
        <is>
          <t>Требует обогащения</t>
        </is>
      </c>
      <c r="Q650" s="16">
        <f>HYPERLINK("https://pb.nalog.ru/search.html?query=8501004970","ФНС: проверить")</f>
        <v/>
      </c>
      <c r="R650" s="16">
        <f>HYPERLINK("https://checko.ru/search?query=3801001629","Чекко: проверить")</f>
        <v/>
      </c>
      <c r="S650" t="n">
        <v>1</v>
      </c>
      <c r="T650" s="35" t="inlineStr">
        <is>
          <t>4 — Не обогащён</t>
        </is>
      </c>
      <c r="U650" s="35" t="inlineStr">
        <is>
          <t>Нет ОКВЭД/ССЧР</t>
        </is>
      </c>
      <c r="V650" s="35" t="inlineStr">
        <is>
          <t>Не определено</t>
        </is>
      </c>
      <c r="W650" s="35" t="inlineStr"/>
      <c r="X650" s="35" t="inlineStr"/>
    </row>
    <row r="651" ht="15" customHeight="1" s="24">
      <c r="A651" s="13" t="n">
        <v>5000018494</v>
      </c>
      <c r="B651" s="13" t="inlineStr">
        <is>
          <t>МКУ "ИКЦ" МО "Зоны"</t>
        </is>
      </c>
      <c r="C651" s="13" t="n">
        <v>3851005354</v>
      </c>
      <c r="D651" s="13" t="inlineStr">
        <is>
          <t>3851005354</t>
        </is>
      </c>
      <c r="E651" s="13" t="inlineStr">
        <is>
          <t>ЮЛ РФ</t>
        </is>
      </c>
      <c r="F651" s="13" t="n"/>
      <c r="G651" s="14" t="n"/>
      <c r="H651" s="14" t="n"/>
      <c r="I651" s="14" t="n"/>
      <c r="J651" s="14" t="n"/>
      <c r="K651" s="53" t="inlineStr"/>
      <c r="L651" s="53" t="inlineStr">
        <is>
          <t>Не определено</t>
        </is>
      </c>
      <c r="M651" s="53" t="inlineStr"/>
      <c r="N651" s="54" t="inlineStr"/>
      <c r="O651" s="55" t="inlineStr"/>
      <c r="P651" s="16" t="inlineStr">
        <is>
          <t>Требует обогащения</t>
        </is>
      </c>
      <c r="Q651" s="16">
        <f>HYPERLINK("https://pb.nalog.ru/search.html?query=3851005354","ФНС: проверить")</f>
        <v/>
      </c>
      <c r="R651" s="16">
        <f>HYPERLINK("https://checko.ru/search?query=3801001629","Чекко: проверить")</f>
        <v/>
      </c>
      <c r="S651" t="n">
        <v>1</v>
      </c>
      <c r="T651" s="35" t="inlineStr">
        <is>
          <t>4 — Не обогащён</t>
        </is>
      </c>
      <c r="U651" s="35" t="inlineStr">
        <is>
          <t>Нет ОКВЭД/ССЧР</t>
        </is>
      </c>
      <c r="V651" s="35" t="inlineStr">
        <is>
          <t>Не определено</t>
        </is>
      </c>
      <c r="W651" s="35" t="inlineStr"/>
      <c r="X651" s="35" t="inlineStr"/>
    </row>
    <row r="652" ht="15" customHeight="1" s="24">
      <c r="A652" s="13" t="n">
        <v>5000018493</v>
      </c>
      <c r="B652" s="13" t="inlineStr">
        <is>
          <t>Финансовый отдел МО "Зоны"</t>
        </is>
      </c>
      <c r="C652" s="13" t="n">
        <v>8501005029</v>
      </c>
      <c r="D652" s="13" t="inlineStr">
        <is>
          <t>8501005029</t>
        </is>
      </c>
      <c r="E652" s="13" t="inlineStr">
        <is>
          <t>ЮЛ РФ</t>
        </is>
      </c>
      <c r="F652" s="13" t="n"/>
      <c r="G652" s="14" t="n"/>
      <c r="H652" s="14" t="n"/>
      <c r="I652" s="14" t="n"/>
      <c r="J652" s="14" t="n"/>
      <c r="K652" s="53" t="inlineStr"/>
      <c r="L652" s="53" t="inlineStr">
        <is>
          <t>Не определено</t>
        </is>
      </c>
      <c r="M652" s="53" t="inlineStr"/>
      <c r="N652" s="54" t="inlineStr"/>
      <c r="O652" s="55" t="inlineStr"/>
      <c r="P652" s="16" t="inlineStr">
        <is>
          <t>Требует обогащения</t>
        </is>
      </c>
      <c r="Q652" s="16">
        <f>HYPERLINK("https://pb.nalog.ru/search.html?query=8501005029","ФНС: проверить")</f>
        <v/>
      </c>
      <c r="R652" s="16">
        <f>HYPERLINK("https://checko.ru/search?query=3801001629","Чекко: проверить")</f>
        <v/>
      </c>
      <c r="S652" t="n">
        <v>1</v>
      </c>
      <c r="T652" s="35" t="inlineStr">
        <is>
          <t>4 — Не обогащён</t>
        </is>
      </c>
      <c r="U652" s="35" t="inlineStr">
        <is>
          <t>Нет ОКВЭД/ССЧР</t>
        </is>
      </c>
      <c r="V652" s="35" t="inlineStr">
        <is>
          <t>Не определено</t>
        </is>
      </c>
      <c r="W652" s="35" t="inlineStr"/>
      <c r="X652" s="35" t="inlineStr"/>
    </row>
    <row r="653" ht="15" customHeight="1" s="24">
      <c r="A653" s="13" t="n">
        <v>5000117469</v>
      </c>
      <c r="B653" s="13" t="inlineStr">
        <is>
          <t>ЧУЗ "КП "РЖД-МЕДИЦИНА" Г. АРХАНГЕЛЬСК"</t>
        </is>
      </c>
      <c r="C653" s="13" t="n">
        <v>2901126556</v>
      </c>
      <c r="D653" s="13" t="inlineStr">
        <is>
          <t>2901126556</t>
        </is>
      </c>
      <c r="E653" s="13" t="inlineStr">
        <is>
          <t>ЮЛ РФ</t>
        </is>
      </c>
      <c r="F653" s="13" t="n"/>
      <c r="G653" s="14" t="n"/>
      <c r="H653" s="14" t="n"/>
      <c r="I653" s="14" t="n"/>
      <c r="J653" s="14" t="n"/>
      <c r="K653" s="53" t="inlineStr"/>
      <c r="L653" s="53" t="inlineStr">
        <is>
          <t>Не определено</t>
        </is>
      </c>
      <c r="M653" s="53" t="inlineStr"/>
      <c r="N653" s="54" t="inlineStr"/>
      <c r="O653" s="55" t="inlineStr"/>
      <c r="P653" s="16" t="inlineStr">
        <is>
          <t>Требует обогащения</t>
        </is>
      </c>
      <c r="Q653" s="16">
        <f>HYPERLINK("https://pb.nalog.ru/search.html?query=2901126556","ФНС: проверить")</f>
        <v/>
      </c>
      <c r="R653" s="16">
        <f>HYPERLINK("https://checko.ru/search?query=3801001629","Чекко: проверить")</f>
        <v/>
      </c>
      <c r="S653" t="n">
        <v>1</v>
      </c>
      <c r="T653" s="35" t="inlineStr">
        <is>
          <t>4 — Не обогащён</t>
        </is>
      </c>
      <c r="U653" s="35" t="inlineStr">
        <is>
          <t>Нет ОКВЭД/ССЧР</t>
        </is>
      </c>
      <c r="V653" s="35" t="inlineStr">
        <is>
          <t>Не определено</t>
        </is>
      </c>
      <c r="W653" s="35" t="inlineStr"/>
      <c r="X653" s="35" t="inlineStr"/>
    </row>
    <row r="654" ht="27.75" customHeight="1" s="24">
      <c r="A654" s="13" t="n">
        <v>5000117475</v>
      </c>
      <c r="B654" s="13" t="inlineStr">
        <is>
          <t>НУЗ "Дорожная клиническая больница на ст. Самара ОАО "РЖД"</t>
        </is>
      </c>
      <c r="C654" s="13" t="n">
        <v>6311071446</v>
      </c>
      <c r="D654" s="13" t="inlineStr">
        <is>
          <t>6311071446</t>
        </is>
      </c>
      <c r="E654" s="13" t="inlineStr">
        <is>
          <t>ЮЛ РФ</t>
        </is>
      </c>
      <c r="F654" s="13" t="n"/>
      <c r="G654" s="14" t="n"/>
      <c r="H654" s="14" t="n"/>
      <c r="I654" s="14" t="n"/>
      <c r="J654" s="14" t="n"/>
      <c r="K654" s="53" t="inlineStr"/>
      <c r="L654" s="53" t="inlineStr">
        <is>
          <t>Не определено</t>
        </is>
      </c>
      <c r="M654" s="53" t="inlineStr"/>
      <c r="N654" s="54" t="inlineStr"/>
      <c r="O654" s="55" t="inlineStr"/>
      <c r="P654" s="16" t="inlineStr">
        <is>
          <t>Требует обогащения</t>
        </is>
      </c>
      <c r="Q654" s="16">
        <f>HYPERLINK("https://pb.nalog.ru/search.html?query=6311071446","ФНС: проверить")</f>
        <v/>
      </c>
      <c r="R654" s="16">
        <f>HYPERLINK("https://checko.ru/search?query=3801001629","Чекко: проверить")</f>
        <v/>
      </c>
      <c r="S654" t="n">
        <v>1</v>
      </c>
      <c r="T654" s="35" t="inlineStr">
        <is>
          <t>4 — Не обогащён</t>
        </is>
      </c>
      <c r="U654" s="35" t="inlineStr">
        <is>
          <t>Нет ОКВЭД/ССЧР</t>
        </is>
      </c>
      <c r="V654" s="35" t="inlineStr">
        <is>
          <t>Не определено</t>
        </is>
      </c>
      <c r="W654" s="35" t="inlineStr"/>
      <c r="X654" s="35" t="inlineStr"/>
    </row>
    <row r="655" ht="41.25" customHeight="1" s="24">
      <c r="A655" s="13" t="n">
        <v>5000117501</v>
      </c>
      <c r="B655" s="13" t="inlineStr">
        <is>
          <t>ЧАСТНОЕ УЧРЕЖДЕНИЕ ЗДРАВООХРАНЕНИЯ "БОЛЬНИЦА "РЖД-МЕДИЦИНА" ГОРОДА РУЗАЕВКА"</t>
        </is>
      </c>
      <c r="C655" s="13" t="n">
        <v>1324128080</v>
      </c>
      <c r="D655" s="13" t="inlineStr">
        <is>
          <t>1324128080</t>
        </is>
      </c>
      <c r="E655" s="13" t="inlineStr">
        <is>
          <t>ЮЛ РФ</t>
        </is>
      </c>
      <c r="F655" s="13" t="n"/>
      <c r="G655" s="14" t="n"/>
      <c r="H655" s="14" t="n"/>
      <c r="I655" s="14" t="n"/>
      <c r="J655" s="14" t="n"/>
      <c r="K655" s="53" t="inlineStr"/>
      <c r="L655" s="53" t="inlineStr">
        <is>
          <t>Не определено</t>
        </is>
      </c>
      <c r="M655" s="53" t="inlineStr"/>
      <c r="N655" s="54" t="inlineStr"/>
      <c r="O655" s="55" t="inlineStr"/>
      <c r="P655" s="16" t="inlineStr">
        <is>
          <t>Требует обогащения</t>
        </is>
      </c>
      <c r="Q655" s="16">
        <f>HYPERLINK("https://pb.nalog.ru/search.html?query=1324128080","ФНС: проверить")</f>
        <v/>
      </c>
      <c r="R655" s="16">
        <f>HYPERLINK("https://checko.ru/search?query=3801001629","Чекко: проверить")</f>
        <v/>
      </c>
      <c r="S655" t="n">
        <v>1</v>
      </c>
      <c r="T655" s="35" t="inlineStr">
        <is>
          <t>4 — Не обогащён</t>
        </is>
      </c>
      <c r="U655" s="35" t="inlineStr">
        <is>
          <t>Нет ОКВЭД/ССЧР</t>
        </is>
      </c>
      <c r="V655" s="35" t="inlineStr">
        <is>
          <t>Не определено</t>
        </is>
      </c>
      <c r="W655" s="35" t="inlineStr"/>
      <c r="X655" s="35" t="inlineStr"/>
    </row>
    <row r="656" ht="27.75" customHeight="1" s="24">
      <c r="A656" s="13" t="n">
        <v>5000117454</v>
      </c>
      <c r="B656" s="13" t="inlineStr">
        <is>
          <t>НУЗ "Отделенческая больница на станции Елец ОАО "Российские железные дороги "</t>
        </is>
      </c>
      <c r="C656" s="13" t="n">
        <v>4821016054</v>
      </c>
      <c r="D656" s="13" t="inlineStr">
        <is>
          <t>4821016054</t>
        </is>
      </c>
      <c r="E656" s="13" t="inlineStr">
        <is>
          <t>ЮЛ РФ</t>
        </is>
      </c>
      <c r="F656" s="13" t="n"/>
      <c r="G656" s="14" t="n"/>
      <c r="H656" s="14" t="n"/>
      <c r="I656" s="14" t="n"/>
      <c r="J656" s="14" t="n"/>
      <c r="K656" s="53" t="inlineStr"/>
      <c r="L656" s="53" t="inlineStr">
        <is>
          <t>Не определено</t>
        </is>
      </c>
      <c r="M656" s="53" t="inlineStr"/>
      <c r="N656" s="54" t="inlineStr"/>
      <c r="O656" s="55" t="inlineStr"/>
      <c r="P656" s="16" t="inlineStr">
        <is>
          <t>Требует обогащения</t>
        </is>
      </c>
      <c r="Q656" s="16">
        <f>HYPERLINK("https://pb.nalog.ru/search.html?query=4821016054","ФНС: проверить")</f>
        <v/>
      </c>
      <c r="R656" s="16">
        <f>HYPERLINK("https://checko.ru/search?query=3801001629","Чекко: проверить")</f>
        <v/>
      </c>
      <c r="S656" t="n">
        <v>1</v>
      </c>
      <c r="T656" s="35" t="inlineStr">
        <is>
          <t>4 — Не обогащён</t>
        </is>
      </c>
      <c r="U656" s="35" t="inlineStr">
        <is>
          <t>Нет ОКВЭД/ССЧР</t>
        </is>
      </c>
      <c r="V656" s="35" t="inlineStr">
        <is>
          <t>Не определено</t>
        </is>
      </c>
      <c r="W656" s="35" t="inlineStr"/>
      <c r="X656" s="35" t="inlineStr"/>
    </row>
    <row r="657" ht="27.75" customHeight="1" s="24">
      <c r="A657" s="13" t="n">
        <v>5000117507</v>
      </c>
      <c r="B657" s="13" t="inlineStr">
        <is>
          <t>НУЗОтделенческая больница на ст.Курган ОАО РЖД</t>
        </is>
      </c>
      <c r="C657" s="13" t="n">
        <v>4501109694</v>
      </c>
      <c r="D657" s="13" t="inlineStr">
        <is>
          <t>4501109694</t>
        </is>
      </c>
      <c r="E657" s="13" t="inlineStr">
        <is>
          <t>ЮЛ РФ</t>
        </is>
      </c>
      <c r="F657" s="13" t="n"/>
      <c r="G657" s="14" t="n"/>
      <c r="H657" s="14" t="n"/>
      <c r="I657" s="14" t="n"/>
      <c r="J657" s="14" t="n"/>
      <c r="K657" s="53" t="inlineStr"/>
      <c r="L657" s="53" t="inlineStr">
        <is>
          <t>Не определено</t>
        </is>
      </c>
      <c r="M657" s="53" t="inlineStr"/>
      <c r="N657" s="54" t="inlineStr"/>
      <c r="O657" s="55" t="inlineStr"/>
      <c r="P657" s="16" t="inlineStr">
        <is>
          <t>Требует обогащения</t>
        </is>
      </c>
      <c r="Q657" s="16">
        <f>HYPERLINK("https://pb.nalog.ru/search.html?query=4501109694","ФНС: проверить")</f>
        <v/>
      </c>
      <c r="R657" s="16">
        <f>HYPERLINK("https://checko.ru/search?query=3801001629","Чекко: проверить")</f>
        <v/>
      </c>
      <c r="S657" t="n">
        <v>1</v>
      </c>
      <c r="T657" s="35" t="inlineStr">
        <is>
          <t>4 — Не обогащён</t>
        </is>
      </c>
      <c r="U657" s="35" t="inlineStr">
        <is>
          <t>Нет ОКВЭД/ССЧР</t>
        </is>
      </c>
      <c r="V657" s="35" t="inlineStr">
        <is>
          <t>Не определено</t>
        </is>
      </c>
      <c r="W657" s="35" t="inlineStr"/>
      <c r="X657" s="35" t="inlineStr"/>
    </row>
    <row r="658" ht="27.75" customHeight="1" s="24">
      <c r="A658" s="13" t="n">
        <v>5000117463</v>
      </c>
      <c r="B658" s="13" t="inlineStr">
        <is>
          <t>НУЗ "Дорожная клиническая больница на ст. Ярославль ОАО "РЖД"</t>
        </is>
      </c>
      <c r="C658" s="13" t="n">
        <v>7604068188</v>
      </c>
      <c r="D658" s="13" t="inlineStr">
        <is>
          <t>7604068188</t>
        </is>
      </c>
      <c r="E658" s="13" t="inlineStr">
        <is>
          <t>ЮЛ РФ</t>
        </is>
      </c>
      <c r="F658" s="13" t="n"/>
      <c r="G658" s="14" t="n"/>
      <c r="H658" s="14" t="n"/>
      <c r="I658" s="14" t="n"/>
      <c r="J658" s="14" t="n"/>
      <c r="K658" s="53" t="inlineStr"/>
      <c r="L658" s="53" t="inlineStr">
        <is>
          <t>Не определено</t>
        </is>
      </c>
      <c r="M658" s="53" t="inlineStr"/>
      <c r="N658" s="54" t="inlineStr"/>
      <c r="O658" s="55" t="inlineStr"/>
      <c r="P658" s="16" t="inlineStr">
        <is>
          <t>Требует обогащения</t>
        </is>
      </c>
      <c r="Q658" s="16">
        <f>HYPERLINK("https://pb.nalog.ru/search.html?query=7604068188","ФНС: проверить")</f>
        <v/>
      </c>
      <c r="R658" s="16">
        <f>HYPERLINK("https://checko.ru/search?query=3801001629","Чекко: проверить")</f>
        <v/>
      </c>
      <c r="S658" t="n">
        <v>1</v>
      </c>
      <c r="T658" s="35" t="inlineStr">
        <is>
          <t>4 — Не обогащён</t>
        </is>
      </c>
      <c r="U658" s="35" t="inlineStr">
        <is>
          <t>Нет ОКВЭД/ССЧР</t>
        </is>
      </c>
      <c r="V658" s="35" t="inlineStr">
        <is>
          <t>Не определено</t>
        </is>
      </c>
      <c r="W658" s="35" t="inlineStr"/>
      <c r="X658" s="35" t="inlineStr"/>
    </row>
    <row r="659" ht="27.75" customHeight="1" s="24">
      <c r="A659" s="13" t="n">
        <v>5000117509</v>
      </c>
      <c r="B659" s="13" t="inlineStr">
        <is>
          <t>Частное учреждение здравоохранения "Клиническая больница "РЖД-Медицина"</t>
        </is>
      </c>
      <c r="C659" s="13" t="n">
        <v>2630033954</v>
      </c>
      <c r="D659" s="13" t="inlineStr">
        <is>
          <t>2630033954</t>
        </is>
      </c>
      <c r="E659" s="13" t="inlineStr">
        <is>
          <t>ЮЛ РФ</t>
        </is>
      </c>
      <c r="F659" s="13" t="n"/>
      <c r="G659" s="14" t="n"/>
      <c r="H659" s="14" t="n"/>
      <c r="I659" s="14" t="n"/>
      <c r="J659" s="14" t="n"/>
      <c r="K659" s="53" t="inlineStr"/>
      <c r="L659" s="53" t="inlineStr">
        <is>
          <t>Не определено</t>
        </is>
      </c>
      <c r="M659" s="53" t="inlineStr"/>
      <c r="N659" s="54" t="inlineStr"/>
      <c r="O659" s="55" t="inlineStr"/>
      <c r="P659" s="16" t="inlineStr">
        <is>
          <t>Требует обогащения</t>
        </is>
      </c>
      <c r="Q659" s="16">
        <f>HYPERLINK("https://pb.nalog.ru/search.html?query=2630033954","ФНС: проверить")</f>
        <v/>
      </c>
      <c r="R659" s="16">
        <f>HYPERLINK("https://checko.ru/search?query=3801001629","Чекко: проверить")</f>
        <v/>
      </c>
      <c r="S659" t="n">
        <v>1</v>
      </c>
      <c r="T659" s="35" t="inlineStr">
        <is>
          <t>4 — Не обогащён</t>
        </is>
      </c>
      <c r="U659" s="35" t="inlineStr">
        <is>
          <t>Нет ОКВЭД/ССЧР</t>
        </is>
      </c>
      <c r="V659" s="35" t="inlineStr">
        <is>
          <t>Не определено</t>
        </is>
      </c>
      <c r="W659" s="35" t="inlineStr"/>
      <c r="X659" s="35" t="inlineStr"/>
    </row>
    <row r="660" ht="41.25" customHeight="1" s="24">
      <c r="A660" s="13" t="n">
        <v>5000117494</v>
      </c>
      <c r="B660" s="13" t="inlineStr">
        <is>
          <t>ЧАСТНОЕ УЧРЕЖДЕНИЕ ЗДРАВООХРАНЕНИЯ "ПОЛИКЛИНИКА "РЖД-МЕДИЦИНА" ГОРОДА ПЕЧОРА"</t>
        </is>
      </c>
      <c r="C660" s="13" t="n">
        <v>1105016553</v>
      </c>
      <c r="D660" s="13" t="inlineStr">
        <is>
          <t>1105016553</t>
        </is>
      </c>
      <c r="E660" s="13" t="inlineStr">
        <is>
          <t>ЮЛ РФ</t>
        </is>
      </c>
      <c r="F660" s="13" t="n"/>
      <c r="G660" s="14" t="n"/>
      <c r="H660" s="14" t="n"/>
      <c r="I660" s="14" t="n"/>
      <c r="J660" s="14" t="n"/>
      <c r="K660" s="53" t="inlineStr"/>
      <c r="L660" s="53" t="inlineStr">
        <is>
          <t>Не определено</t>
        </is>
      </c>
      <c r="M660" s="53" t="inlineStr"/>
      <c r="N660" s="54" t="inlineStr"/>
      <c r="O660" s="55" t="inlineStr"/>
      <c r="P660" s="16" t="inlineStr">
        <is>
          <t>Требует обогащения</t>
        </is>
      </c>
      <c r="Q660" s="16">
        <f>HYPERLINK("https://pb.nalog.ru/search.html?query=1105016553","ФНС: проверить")</f>
        <v/>
      </c>
      <c r="R660" s="16">
        <f>HYPERLINK("https://checko.ru/search?query=3801001629","Чекко: проверить")</f>
        <v/>
      </c>
      <c r="S660" t="n">
        <v>1</v>
      </c>
      <c r="T660" s="35" t="inlineStr">
        <is>
          <t>4 — Не обогащён</t>
        </is>
      </c>
      <c r="U660" s="35" t="inlineStr">
        <is>
          <t>Нет ОКВЭД/ССЧР</t>
        </is>
      </c>
      <c r="V660" s="35" t="inlineStr">
        <is>
          <t>Не определено</t>
        </is>
      </c>
      <c r="W660" s="35" t="inlineStr"/>
      <c r="X660" s="35" t="inlineStr"/>
    </row>
    <row r="661" ht="27.75" customHeight="1" s="24">
      <c r="A661" s="13" t="n">
        <v>5000117513</v>
      </c>
      <c r="B661" s="13" t="inlineStr">
        <is>
          <t>НУЗ "Отделенческая поликлиника на ст. Абакан ОАО "РЖД"</t>
        </is>
      </c>
      <c r="C661" s="13" t="n">
        <v>1901063791</v>
      </c>
      <c r="D661" s="13" t="inlineStr">
        <is>
          <t>1901063791</t>
        </is>
      </c>
      <c r="E661" s="13" t="inlineStr">
        <is>
          <t>ЮЛ РФ</t>
        </is>
      </c>
      <c r="F661" s="13" t="n"/>
      <c r="G661" s="14" t="n"/>
      <c r="H661" s="14" t="n"/>
      <c r="I661" s="14" t="n"/>
      <c r="J661" s="14" t="n"/>
      <c r="K661" s="53" t="inlineStr"/>
      <c r="L661" s="53" t="inlineStr">
        <is>
          <t>Не определено</t>
        </is>
      </c>
      <c r="M661" s="53" t="inlineStr"/>
      <c r="N661" s="54" t="inlineStr"/>
      <c r="O661" s="55" t="inlineStr"/>
      <c r="P661" s="16" t="inlineStr">
        <is>
          <t>Требует обогащения</t>
        </is>
      </c>
      <c r="Q661" s="16">
        <f>HYPERLINK("https://pb.nalog.ru/search.html?query=1901063791","ФНС: проверить")</f>
        <v/>
      </c>
      <c r="R661" s="16">
        <f>HYPERLINK("https://checko.ru/search?query=3801001629","Чекко: проверить")</f>
        <v/>
      </c>
      <c r="S661" t="n">
        <v>1</v>
      </c>
      <c r="T661" s="35" t="inlineStr">
        <is>
          <t>4 — Не обогащён</t>
        </is>
      </c>
      <c r="U661" s="35" t="inlineStr">
        <is>
          <t>Нет ОКВЭД/ССЧР</t>
        </is>
      </c>
      <c r="V661" s="35" t="inlineStr">
        <is>
          <t>Не определено</t>
        </is>
      </c>
      <c r="W661" s="35" t="inlineStr"/>
      <c r="X661" s="35" t="inlineStr"/>
    </row>
    <row r="662" ht="27.75" customHeight="1" s="24">
      <c r="A662" s="13" t="n">
        <v>5000117471</v>
      </c>
      <c r="B662" s="13" t="inlineStr">
        <is>
          <t>НУЗ Дорожная клиническая больница на ст.Ростов-Главный ОАО "РЖД"</t>
        </is>
      </c>
      <c r="C662" s="13" t="n">
        <v>6164224554</v>
      </c>
      <c r="D662" s="13" t="inlineStr">
        <is>
          <t>6164224554</t>
        </is>
      </c>
      <c r="E662" s="13" t="inlineStr">
        <is>
          <t>ЮЛ РФ</t>
        </is>
      </c>
      <c r="F662" s="13" t="n"/>
      <c r="G662" s="14" t="n"/>
      <c r="H662" s="14" t="n"/>
      <c r="I662" s="14" t="n"/>
      <c r="J662" s="14" t="n"/>
      <c r="K662" s="53" t="inlineStr"/>
      <c r="L662" s="53" t="inlineStr">
        <is>
          <t>Не определено</t>
        </is>
      </c>
      <c r="M662" s="53" t="inlineStr"/>
      <c r="N662" s="54" t="inlineStr"/>
      <c r="O662" s="55" t="inlineStr"/>
      <c r="P662" s="16" t="inlineStr">
        <is>
          <t>Требует обогащения</t>
        </is>
      </c>
      <c r="Q662" s="16">
        <f>HYPERLINK("https://pb.nalog.ru/search.html?query=6164224554","ФНС: проверить")</f>
        <v/>
      </c>
      <c r="R662" s="16">
        <f>HYPERLINK("https://checko.ru/search?query=3801001629","Чекко: проверить")</f>
        <v/>
      </c>
      <c r="S662" t="n">
        <v>1</v>
      </c>
      <c r="T662" s="35" t="inlineStr">
        <is>
          <t>4 — Не обогащён</t>
        </is>
      </c>
      <c r="U662" s="35" t="inlineStr">
        <is>
          <t>Нет ОКВЭД/ССЧР</t>
        </is>
      </c>
      <c r="V662" s="35" t="inlineStr">
        <is>
          <t>Не определено</t>
        </is>
      </c>
      <c r="W662" s="35" t="inlineStr"/>
      <c r="X662" s="35" t="inlineStr"/>
    </row>
    <row r="663" ht="27.75" customHeight="1" s="24">
      <c r="A663" s="13" t="n">
        <v>5000117500</v>
      </c>
      <c r="B663" s="13" t="inlineStr">
        <is>
          <t>НУЗ Отделенческая больница на станции Ульянговск ОАО "РЖД"</t>
        </is>
      </c>
      <c r="C663" s="13" t="n">
        <v>7326022130</v>
      </c>
      <c r="D663" s="13" t="inlineStr">
        <is>
          <t>7326022130</t>
        </is>
      </c>
      <c r="E663" s="13" t="inlineStr">
        <is>
          <t>ЮЛ РФ</t>
        </is>
      </c>
      <c r="F663" s="13" t="n"/>
      <c r="G663" s="14" t="n"/>
      <c r="H663" s="14" t="n"/>
      <c r="I663" s="14" t="n"/>
      <c r="J663" s="14" t="n"/>
      <c r="K663" s="53" t="inlineStr"/>
      <c r="L663" s="53" t="inlineStr">
        <is>
          <t>Не определено</t>
        </is>
      </c>
      <c r="M663" s="53" t="inlineStr"/>
      <c r="N663" s="54" t="inlineStr"/>
      <c r="O663" s="55" t="inlineStr"/>
      <c r="P663" s="16" t="inlineStr">
        <is>
          <t>Требует обогащения</t>
        </is>
      </c>
      <c r="Q663" s="16">
        <f>HYPERLINK("https://pb.nalog.ru/search.html?query=7326022130","ФНС: проверить")</f>
        <v/>
      </c>
      <c r="R663" s="16">
        <f>HYPERLINK("https://checko.ru/search?query=3801001629","Чекко: проверить")</f>
        <v/>
      </c>
      <c r="S663" t="n">
        <v>1</v>
      </c>
      <c r="T663" s="35" t="inlineStr">
        <is>
          <t>4 — Не обогащён</t>
        </is>
      </c>
      <c r="U663" s="35" t="inlineStr">
        <is>
          <t>Нет ОКВЭД/ССЧР</t>
        </is>
      </c>
      <c r="V663" s="35" t="inlineStr">
        <is>
          <t>Не определено</t>
        </is>
      </c>
      <c r="W663" s="35" t="inlineStr"/>
      <c r="X663" s="35" t="inlineStr"/>
    </row>
    <row r="664" ht="27.75" customHeight="1" s="24">
      <c r="A664" s="13" t="n">
        <v>5000117481</v>
      </c>
      <c r="B664" s="13" t="inlineStr">
        <is>
          <t>НУЗ "Дорожная клиническая больница на станции Красноярск ОАО "РЖД"</t>
        </is>
      </c>
      <c r="C664" s="13" t="n">
        <v>2460063910</v>
      </c>
      <c r="D664" s="13" t="inlineStr">
        <is>
          <t>2460063910</t>
        </is>
      </c>
      <c r="E664" s="13" t="inlineStr">
        <is>
          <t>ЮЛ РФ</t>
        </is>
      </c>
      <c r="F664" s="13" t="n"/>
      <c r="G664" s="14" t="n"/>
      <c r="H664" s="14" t="n"/>
      <c r="I664" s="14" t="n"/>
      <c r="J664" s="14" t="n"/>
      <c r="K664" s="53" t="inlineStr"/>
      <c r="L664" s="53" t="inlineStr">
        <is>
          <t>Не определено</t>
        </is>
      </c>
      <c r="M664" s="53" t="inlineStr"/>
      <c r="N664" s="54" t="inlineStr"/>
      <c r="O664" s="55" t="inlineStr"/>
      <c r="P664" s="16" t="inlineStr">
        <is>
          <t>Требует обогащения</t>
        </is>
      </c>
      <c r="Q664" s="16">
        <f>HYPERLINK("https://pb.nalog.ru/search.html?query=2460063910","ФНС: проверить")</f>
        <v/>
      </c>
      <c r="R664" s="16">
        <f>HYPERLINK("https://checko.ru/search?query=3801001629","Чекко: проверить")</f>
        <v/>
      </c>
      <c r="S664" t="n">
        <v>1</v>
      </c>
      <c r="T664" s="35" t="inlineStr">
        <is>
          <t>4 — Не обогащён</t>
        </is>
      </c>
      <c r="U664" s="35" t="inlineStr">
        <is>
          <t>Нет ОКВЭД/ССЧР</t>
        </is>
      </c>
      <c r="V664" s="35" t="inlineStr">
        <is>
          <t>Не определено</t>
        </is>
      </c>
      <c r="W664" s="35" t="inlineStr"/>
      <c r="X664" s="35" t="inlineStr"/>
    </row>
    <row r="665" ht="41.25" customHeight="1" s="24">
      <c r="A665" s="13" t="n">
        <v>5000117493</v>
      </c>
      <c r="B665" s="13" t="inlineStr">
        <is>
          <t>ЧАСТНОЕ УЧРЕЖДЕНИЕ ЗДРАВООХРАНЕНИЯ "ПОЛИКЛИНИКА "РЖД-МЕДИЦИНА" ГОРОДА ПСКОВ"</t>
        </is>
      </c>
      <c r="C665" s="13" t="n">
        <v>6027083809</v>
      </c>
      <c r="D665" s="13" t="inlineStr">
        <is>
          <t>6027083809</t>
        </is>
      </c>
      <c r="E665" s="13" t="inlineStr">
        <is>
          <t>ЮЛ РФ</t>
        </is>
      </c>
      <c r="F665" s="13" t="n"/>
      <c r="G665" s="14" t="n"/>
      <c r="H665" s="14" t="n"/>
      <c r="I665" s="14" t="n"/>
      <c r="J665" s="14" t="n"/>
      <c r="K665" s="53" t="inlineStr"/>
      <c r="L665" s="53" t="inlineStr">
        <is>
          <t>Не определено</t>
        </is>
      </c>
      <c r="M665" s="53" t="inlineStr"/>
      <c r="N665" s="54" t="inlineStr"/>
      <c r="O665" s="55" t="inlineStr"/>
      <c r="P665" s="16" t="inlineStr">
        <is>
          <t>Требует обогащения</t>
        </is>
      </c>
      <c r="Q665" s="16">
        <f>HYPERLINK("https://pb.nalog.ru/search.html?query=6027083809","ФНС: проверить")</f>
        <v/>
      </c>
      <c r="R665" s="16">
        <f>HYPERLINK("https://checko.ru/search?query=3801001629","Чекко: проверить")</f>
        <v/>
      </c>
      <c r="S665" t="n">
        <v>1</v>
      </c>
      <c r="T665" s="35" t="inlineStr">
        <is>
          <t>4 — Не обогащён</t>
        </is>
      </c>
      <c r="U665" s="35" t="inlineStr">
        <is>
          <t>Нет ОКВЭД/ССЧР</t>
        </is>
      </c>
      <c r="V665" s="35" t="inlineStr">
        <is>
          <t>Не определено</t>
        </is>
      </c>
      <c r="W665" s="35" t="inlineStr"/>
      <c r="X665" s="35" t="inlineStr"/>
    </row>
    <row r="666" ht="15" customHeight="1" s="24">
      <c r="A666" s="13" t="n">
        <v>5000117486</v>
      </c>
      <c r="B666" s="13" t="inlineStr">
        <is>
          <t>ЧУЗ "КБ "РЖД-МЕДИЦИНА" Г. ИРКУТСК"</t>
        </is>
      </c>
      <c r="C666" s="13" t="n">
        <v>3812079585</v>
      </c>
      <c r="D666" s="13" t="inlineStr">
        <is>
          <t>3812079585</t>
        </is>
      </c>
      <c r="E666" s="13" t="inlineStr">
        <is>
          <t>ЮЛ РФ</t>
        </is>
      </c>
      <c r="F666" s="13" t="n"/>
      <c r="G666" s="14" t="n"/>
      <c r="H666" s="14" t="n"/>
      <c r="I666" s="14" t="n"/>
      <c r="J666" s="14" t="n"/>
      <c r="K666" s="53" t="inlineStr"/>
      <c r="L666" s="53" t="inlineStr">
        <is>
          <t>Не определено</t>
        </is>
      </c>
      <c r="M666" s="53" t="inlineStr"/>
      <c r="N666" s="54" t="inlineStr"/>
      <c r="O666" s="55" t="inlineStr"/>
      <c r="P666" s="16" t="inlineStr">
        <is>
          <t>Требует обогащения</t>
        </is>
      </c>
      <c r="Q666" s="16">
        <f>HYPERLINK("https://pb.nalog.ru/search.html?query=3812079585","ФНС: проверить")</f>
        <v/>
      </c>
      <c r="R666" s="16">
        <f>HYPERLINK("https://checko.ru/search?query=3801001629","Чекко: проверить")</f>
        <v/>
      </c>
      <c r="S666" t="n">
        <v>1</v>
      </c>
      <c r="T666" s="35" t="inlineStr">
        <is>
          <t>4 — Не обогащён</t>
        </is>
      </c>
      <c r="U666" s="35" t="inlineStr">
        <is>
          <t>Нет ОКВЭД/ССЧР</t>
        </is>
      </c>
      <c r="V666" s="35" t="inlineStr">
        <is>
          <t>Не определено</t>
        </is>
      </c>
      <c r="W666" s="35" t="inlineStr"/>
      <c r="X666" s="35" t="inlineStr"/>
    </row>
    <row r="667" ht="15" customHeight="1" s="24">
      <c r="A667" s="13" t="n">
        <v>5000117484</v>
      </c>
      <c r="B667" s="13" t="inlineStr">
        <is>
          <t>ЧУЗ "КБ "РЖД-МЕДИЦИНА" Г. ХАБАРОВСК"</t>
        </is>
      </c>
      <c r="C667" s="13" t="n">
        <v>2724078132</v>
      </c>
      <c r="D667" s="13" t="inlineStr">
        <is>
          <t>2724078132</t>
        </is>
      </c>
      <c r="E667" s="13" t="inlineStr">
        <is>
          <t>ЮЛ РФ</t>
        </is>
      </c>
      <c r="F667" s="13" t="n"/>
      <c r="G667" s="14" t="n"/>
      <c r="H667" s="14" t="n"/>
      <c r="I667" s="14" t="n"/>
      <c r="J667" s="14" t="n"/>
      <c r="K667" s="53" t="inlineStr"/>
      <c r="L667" s="53" t="inlineStr">
        <is>
          <t>Не определено</t>
        </is>
      </c>
      <c r="M667" s="53" t="inlineStr"/>
      <c r="N667" s="54" t="inlineStr"/>
      <c r="O667" s="55" t="inlineStr"/>
      <c r="P667" s="16" t="inlineStr">
        <is>
          <t>Требует обогащения</t>
        </is>
      </c>
      <c r="Q667" s="16">
        <f>HYPERLINK("https://pb.nalog.ru/search.html?query=2724078132","ФНС: проверить")</f>
        <v/>
      </c>
      <c r="R667" s="16">
        <f>HYPERLINK("https://checko.ru/search?query=3801001629","Чекко: проверить")</f>
        <v/>
      </c>
      <c r="S667" t="n">
        <v>1</v>
      </c>
      <c r="T667" s="35" t="inlineStr">
        <is>
          <t>4 — Не обогащён</t>
        </is>
      </c>
      <c r="U667" s="35" t="inlineStr">
        <is>
          <t>Нет ОКВЭД/ССЧР</t>
        </is>
      </c>
      <c r="V667" s="35" t="inlineStr">
        <is>
          <t>Не определено</t>
        </is>
      </c>
      <c r="W667" s="35" t="inlineStr"/>
      <c r="X667" s="35" t="inlineStr"/>
    </row>
    <row r="668" ht="15" customHeight="1" s="24">
      <c r="A668" s="13" t="n">
        <v>5000117505</v>
      </c>
      <c r="B668" s="13" t="inlineStr">
        <is>
          <t>ЧУЗ "КБ "РЖД-МЕДИЦИНА" Г.ТЮМЕНЬ"</t>
        </is>
      </c>
      <c r="C668" s="13" t="n">
        <v>7204084594</v>
      </c>
      <c r="D668" s="13" t="inlineStr">
        <is>
          <t>7204084594</t>
        </is>
      </c>
      <c r="E668" s="13" t="inlineStr">
        <is>
          <t>ЮЛ РФ</t>
        </is>
      </c>
      <c r="F668" s="13" t="n"/>
      <c r="G668" s="14" t="n"/>
      <c r="H668" s="14" t="n"/>
      <c r="I668" s="14" t="n"/>
      <c r="J668" s="14" t="n"/>
      <c r="K668" s="53" t="inlineStr"/>
      <c r="L668" s="53" t="inlineStr">
        <is>
          <t>Не определено</t>
        </is>
      </c>
      <c r="M668" s="53" t="inlineStr"/>
      <c r="N668" s="54" t="inlineStr"/>
      <c r="O668" s="55" t="inlineStr"/>
      <c r="P668" s="16" t="inlineStr">
        <is>
          <t>Требует обогащения</t>
        </is>
      </c>
      <c r="Q668" s="16">
        <f>HYPERLINK("https://pb.nalog.ru/search.html?query=7204084594","ФНС: проверить")</f>
        <v/>
      </c>
      <c r="R668" s="16">
        <f>HYPERLINK("https://checko.ru/search?query=3801001629","Чекко: проверить")</f>
        <v/>
      </c>
      <c r="S668" t="n">
        <v>1</v>
      </c>
      <c r="T668" s="35" t="inlineStr">
        <is>
          <t>4 — Не обогащён</t>
        </is>
      </c>
      <c r="U668" s="35" t="inlineStr">
        <is>
          <t>Нет ОКВЭД/ССЧР</t>
        </is>
      </c>
      <c r="V668" s="35" t="inlineStr">
        <is>
          <t>Не определено</t>
        </is>
      </c>
      <c r="W668" s="35" t="inlineStr"/>
      <c r="X668" s="35" t="inlineStr"/>
    </row>
    <row r="669" ht="27.75" customHeight="1" s="24">
      <c r="A669" s="13" t="n">
        <v>5000117490</v>
      </c>
      <c r="B669" s="13" t="inlineStr">
        <is>
          <t>НУЗ Отделенческая больница на ст. Муром ОАО "РЖД"</t>
        </is>
      </c>
      <c r="C669" s="13" t="n">
        <v>3334004271</v>
      </c>
      <c r="D669" s="13" t="inlineStr">
        <is>
          <t>3334004271</t>
        </is>
      </c>
      <c r="E669" s="13" t="inlineStr">
        <is>
          <t>ЮЛ РФ</t>
        </is>
      </c>
      <c r="F669" s="13" t="n"/>
      <c r="G669" s="14" t="n"/>
      <c r="H669" s="14" t="n"/>
      <c r="I669" s="14" t="n"/>
      <c r="J669" s="14" t="n"/>
      <c r="K669" s="53" t="inlineStr"/>
      <c r="L669" s="53" t="inlineStr">
        <is>
          <t>Не определено</t>
        </is>
      </c>
      <c r="M669" s="53" t="inlineStr"/>
      <c r="N669" s="54" t="inlineStr"/>
      <c r="O669" s="55" t="inlineStr"/>
      <c r="P669" s="16" t="inlineStr">
        <is>
          <t>Требует обогащения</t>
        </is>
      </c>
      <c r="Q669" s="16">
        <f>HYPERLINK("https://pb.nalog.ru/search.html?query=3334004271","ФНС: проверить")</f>
        <v/>
      </c>
      <c r="R669" s="16">
        <f>HYPERLINK("https://checko.ru/search?query=3801001629","Чекко: проверить")</f>
        <v/>
      </c>
      <c r="S669" t="n">
        <v>1</v>
      </c>
      <c r="T669" s="35" t="inlineStr">
        <is>
          <t>4 — Не обогащён</t>
        </is>
      </c>
      <c r="U669" s="35" t="inlineStr">
        <is>
          <t>Нет ОКВЭД/ССЧР</t>
        </is>
      </c>
      <c r="V669" s="35" t="inlineStr">
        <is>
          <t>Не определено</t>
        </is>
      </c>
      <c r="W669" s="35" t="inlineStr"/>
      <c r="X669" s="35" t="inlineStr"/>
    </row>
    <row r="670" ht="27.75" customHeight="1" s="24">
      <c r="A670" s="13" t="n">
        <v>5000002343</v>
      </c>
      <c r="B670" s="13" t="inlineStr">
        <is>
          <t>НУЗ "Дорожная клиническая больница на ст. Новосибирск-Главный ОАО " РЖД"</t>
        </is>
      </c>
      <c r="C670" s="13" t="n">
        <v>5407268635</v>
      </c>
      <c r="D670" s="13" t="inlineStr">
        <is>
          <t>5407268635</t>
        </is>
      </c>
      <c r="E670" s="13" t="inlineStr">
        <is>
          <t>ЮЛ РФ</t>
        </is>
      </c>
      <c r="F670" s="13" t="n"/>
      <c r="G670" s="14" t="n"/>
      <c r="H670" s="14" t="n"/>
      <c r="I670" s="14" t="n"/>
      <c r="J670" s="14" t="n"/>
      <c r="K670" s="53" t="inlineStr"/>
      <c r="L670" s="53" t="inlineStr">
        <is>
          <t>Не определено</t>
        </is>
      </c>
      <c r="M670" s="53" t="inlineStr"/>
      <c r="N670" s="54" t="inlineStr"/>
      <c r="O670" s="55" t="inlineStr"/>
      <c r="P670" s="16" t="inlineStr">
        <is>
          <t>Требует обогащения</t>
        </is>
      </c>
      <c r="Q670" s="16">
        <f>HYPERLINK("https://pb.nalog.ru/search.html?query=5407268635","ФНС: проверить")</f>
        <v/>
      </c>
      <c r="R670" s="16">
        <f>HYPERLINK("https://checko.ru/search?query=3801001629","Чекко: проверить")</f>
        <v/>
      </c>
      <c r="S670" t="n">
        <v>1</v>
      </c>
      <c r="T670" s="35" t="inlineStr">
        <is>
          <t>4 — Не обогащён</t>
        </is>
      </c>
      <c r="U670" s="35" t="inlineStr">
        <is>
          <t>Нет ОКВЭД/ССЧР</t>
        </is>
      </c>
      <c r="V670" s="35" t="inlineStr">
        <is>
          <t>Не определено</t>
        </is>
      </c>
      <c r="W670" s="35" t="inlineStr"/>
      <c r="X670" s="35" t="inlineStr"/>
    </row>
    <row r="671" ht="15" customHeight="1" s="24">
      <c r="A671" s="13" t="n">
        <v>5000117497</v>
      </c>
      <c r="B671" s="13" t="inlineStr">
        <is>
          <t>НУЗ «Узловая больница на ст. Канаш ОАО «РЖД»</t>
        </is>
      </c>
      <c r="C671" s="13" t="n">
        <v>2123006616</v>
      </c>
      <c r="D671" s="13" t="inlineStr">
        <is>
          <t>2123006616</t>
        </is>
      </c>
      <c r="E671" s="13" t="inlineStr">
        <is>
          <t>ЮЛ РФ</t>
        </is>
      </c>
      <c r="F671" s="13" t="n"/>
      <c r="G671" s="14" t="n"/>
      <c r="H671" s="14" t="n"/>
      <c r="I671" s="14" t="n"/>
      <c r="J671" s="14" t="n"/>
      <c r="K671" s="53" t="inlineStr"/>
      <c r="L671" s="53" t="inlineStr">
        <is>
          <t>Не определено</t>
        </is>
      </c>
      <c r="M671" s="53" t="inlineStr"/>
      <c r="N671" s="54" t="inlineStr"/>
      <c r="O671" s="55" t="inlineStr"/>
      <c r="P671" s="16" t="inlineStr">
        <is>
          <t>Требует обогащения</t>
        </is>
      </c>
      <c r="Q671" s="16">
        <f>HYPERLINK("https://pb.nalog.ru/search.html?query=2123006616","ФНС: проверить")</f>
        <v/>
      </c>
      <c r="R671" s="16">
        <f>HYPERLINK("https://checko.ru/search?query=3801001629","Чекко: проверить")</f>
        <v/>
      </c>
      <c r="S671" t="n">
        <v>1</v>
      </c>
      <c r="T671" s="35" t="inlineStr">
        <is>
          <t>4 — Не обогащён</t>
        </is>
      </c>
      <c r="U671" s="35" t="inlineStr">
        <is>
          <t>Нет ОКВЭД/ССЧР</t>
        </is>
      </c>
      <c r="V671" s="35" t="inlineStr">
        <is>
          <t>Не определено</t>
        </is>
      </c>
      <c r="W671" s="35" t="inlineStr"/>
      <c r="X671" s="35" t="inlineStr"/>
    </row>
    <row r="672" ht="15" customHeight="1" s="24">
      <c r="A672" s="13" t="n">
        <v>5000117510</v>
      </c>
      <c r="B672" s="13" t="inlineStr">
        <is>
          <t>ЧУЗ "КБ "РЖД-МЕДИЦИНА" Г. ВЛАДИКАВКАЗ"</t>
        </is>
      </c>
      <c r="C672" s="13" t="n">
        <v>1516396220</v>
      </c>
      <c r="D672" s="13" t="inlineStr">
        <is>
          <t>1516396220</t>
        </is>
      </c>
      <c r="E672" s="13" t="inlineStr">
        <is>
          <t>ЮЛ РФ</t>
        </is>
      </c>
      <c r="F672" s="13" t="n"/>
      <c r="G672" s="14" t="n"/>
      <c r="H672" s="14" t="n"/>
      <c r="I672" s="14" t="n"/>
      <c r="J672" s="14" t="n"/>
      <c r="K672" s="53" t="inlineStr"/>
      <c r="L672" s="53" t="inlineStr">
        <is>
          <t>Не определено</t>
        </is>
      </c>
      <c r="M672" s="53" t="inlineStr"/>
      <c r="N672" s="54" t="inlineStr"/>
      <c r="O672" s="55" t="inlineStr"/>
      <c r="P672" s="16" t="inlineStr">
        <is>
          <t>Требует обогащения</t>
        </is>
      </c>
      <c r="Q672" s="16">
        <f>HYPERLINK("https://pb.nalog.ru/search.html?query=1516396220","ФНС: проверить")</f>
        <v/>
      </c>
      <c r="R672" s="16">
        <f>HYPERLINK("https://checko.ru/search?query=3801001629","Чекко: проверить")</f>
        <v/>
      </c>
      <c r="S672" t="n">
        <v>1</v>
      </c>
      <c r="T672" s="35" t="inlineStr">
        <is>
          <t>4 — Не обогащён</t>
        </is>
      </c>
      <c r="U672" s="35" t="inlineStr">
        <is>
          <t>Нет ОКВЭД/ССЧР</t>
        </is>
      </c>
      <c r="V672" s="35" t="inlineStr">
        <is>
          <t>Не определено</t>
        </is>
      </c>
      <c r="W672" s="35" t="inlineStr"/>
      <c r="X672" s="35" t="inlineStr"/>
    </row>
    <row r="673" ht="15" customHeight="1" s="24">
      <c r="A673" s="13" t="n">
        <v>5000117453</v>
      </c>
      <c r="B673" s="13" t="inlineStr">
        <is>
          <t>ЧУЗ "РЖД-Медицина" г. Мичуринск</t>
        </is>
      </c>
      <c r="C673" s="13" t="n">
        <v>6827014547</v>
      </c>
      <c r="D673" s="13" t="inlineStr">
        <is>
          <t>6827014547</t>
        </is>
      </c>
      <c r="E673" s="13" t="inlineStr">
        <is>
          <t>ЮЛ РФ</t>
        </is>
      </c>
      <c r="F673" s="13" t="n"/>
      <c r="G673" s="14" t="n"/>
      <c r="H673" s="14" t="n"/>
      <c r="I673" s="14" t="n"/>
      <c r="J673" s="14" t="n"/>
      <c r="K673" s="53" t="inlineStr"/>
      <c r="L673" s="53" t="inlineStr">
        <is>
          <t>Не определено</t>
        </is>
      </c>
      <c r="M673" s="53" t="inlineStr"/>
      <c r="N673" s="54" t="inlineStr"/>
      <c r="O673" s="55" t="inlineStr"/>
      <c r="P673" s="16" t="inlineStr">
        <is>
          <t>Требует обогащения</t>
        </is>
      </c>
      <c r="Q673" s="16">
        <f>HYPERLINK("https://pb.nalog.ru/search.html?query=6827014547","ФНС: проверить")</f>
        <v/>
      </c>
      <c r="R673" s="16">
        <f>HYPERLINK("https://checko.ru/search?query=3801001629","Чекко: проверить")</f>
        <v/>
      </c>
      <c r="S673" t="n">
        <v>1</v>
      </c>
      <c r="T673" s="35" t="inlineStr">
        <is>
          <t>4 — Не обогащён</t>
        </is>
      </c>
      <c r="U673" s="35" t="inlineStr">
        <is>
          <t>Нет ОКВЭД/ССЧР</t>
        </is>
      </c>
      <c r="V673" s="35" t="inlineStr">
        <is>
          <t>Не определено</t>
        </is>
      </c>
      <c r="W673" s="35" t="inlineStr"/>
      <c r="X673" s="35" t="inlineStr"/>
    </row>
    <row r="674" ht="27.75" customHeight="1" s="24">
      <c r="A674" s="13" t="n">
        <v>5000117472</v>
      </c>
      <c r="B674" s="13" t="inlineStr">
        <is>
          <t>НУЗ Отделенческая клиническая больница станции Астрахань-1 ОАО РЖД</t>
        </is>
      </c>
      <c r="C674" s="13" t="n">
        <v>3015066391</v>
      </c>
      <c r="D674" s="13" t="inlineStr">
        <is>
          <t>3015066391</t>
        </is>
      </c>
      <c r="E674" s="13" t="inlineStr">
        <is>
          <t>ЮЛ РФ</t>
        </is>
      </c>
      <c r="F674" s="13" t="n"/>
      <c r="G674" s="14" t="n"/>
      <c r="H674" s="14" t="n"/>
      <c r="I674" s="14" t="n"/>
      <c r="J674" s="14" t="n"/>
      <c r="K674" s="53" t="inlineStr"/>
      <c r="L674" s="53" t="inlineStr">
        <is>
          <t>Не определено</t>
        </is>
      </c>
      <c r="M674" s="53" t="inlineStr"/>
      <c r="N674" s="54" t="inlineStr"/>
      <c r="O674" s="55" t="inlineStr"/>
      <c r="P674" s="16" t="inlineStr">
        <is>
          <t>Требует обогащения</t>
        </is>
      </c>
      <c r="Q674" s="16">
        <f>HYPERLINK("https://pb.nalog.ru/search.html?query=3015066391","ФНС: проверить")</f>
        <v/>
      </c>
      <c r="R674" s="16">
        <f>HYPERLINK("https://checko.ru/search?query=3801001629","Чекко: проверить")</f>
        <v/>
      </c>
      <c r="S674" t="n">
        <v>1</v>
      </c>
      <c r="T674" s="35" t="inlineStr">
        <is>
          <t>4 — Не обогащён</t>
        </is>
      </c>
      <c r="U674" s="35" t="inlineStr">
        <is>
          <t>Нет ОКВЭД/ССЧР</t>
        </is>
      </c>
      <c r="V674" s="35" t="inlineStr">
        <is>
          <t>Не определено</t>
        </is>
      </c>
      <c r="W674" s="35" t="inlineStr"/>
      <c r="X674" s="35" t="inlineStr"/>
    </row>
    <row r="675" ht="27.75" customHeight="1" s="24">
      <c r="A675" s="13" t="n">
        <v>5000117461</v>
      </c>
      <c r="B675" s="13" t="inlineStr">
        <is>
          <t>НУЗ "Отделенческая больница на ст.Тула ОАО "РЖД"</t>
        </is>
      </c>
      <c r="C675" s="13" t="n">
        <v>7104044855</v>
      </c>
      <c r="D675" s="13" t="inlineStr">
        <is>
          <t>7104044855</t>
        </is>
      </c>
      <c r="E675" s="13" t="inlineStr">
        <is>
          <t>ЮЛ РФ</t>
        </is>
      </c>
      <c r="F675" s="13" t="n"/>
      <c r="G675" s="14" t="n"/>
      <c r="H675" s="14" t="n"/>
      <c r="I675" s="14" t="n"/>
      <c r="J675" s="14" t="n"/>
      <c r="K675" s="53" t="inlineStr"/>
      <c r="L675" s="53" t="inlineStr">
        <is>
          <t>Не определено</t>
        </is>
      </c>
      <c r="M675" s="53" t="inlineStr"/>
      <c r="N675" s="54" t="inlineStr"/>
      <c r="O675" s="55" t="inlineStr"/>
      <c r="P675" s="16" t="inlineStr">
        <is>
          <t>Требует обогащения</t>
        </is>
      </c>
      <c r="Q675" s="16">
        <f>HYPERLINK("https://pb.nalog.ru/search.html?query=7104044855","ФНС: проверить")</f>
        <v/>
      </c>
      <c r="R675" s="16">
        <f>HYPERLINK("https://checko.ru/search?query=3801001629","Чекко: проверить")</f>
        <v/>
      </c>
      <c r="S675" t="n">
        <v>1</v>
      </c>
      <c r="T675" s="35" t="inlineStr">
        <is>
          <t>4 — Не обогащён</t>
        </is>
      </c>
      <c r="U675" s="35" t="inlineStr">
        <is>
          <t>Нет ОКВЭД/ССЧР</t>
        </is>
      </c>
      <c r="V675" s="35" t="inlineStr">
        <is>
          <t>Не определено</t>
        </is>
      </c>
      <c r="W675" s="35" t="inlineStr"/>
      <c r="X675" s="35" t="inlineStr"/>
    </row>
    <row r="676" ht="41.25" customHeight="1" s="24">
      <c r="A676" s="13" t="n">
        <v>5000117492</v>
      </c>
      <c r="B676" s="13" t="inlineStr">
        <is>
          <t>ЧАСТНОЕ УЧРЕЖДЕНИЕ ЗДРАВООХРАНЕНИЯ "КЛИНИЧЕСКАЯ БОЛЬНИЦА "РЖД-МЕДИЦИНА" ГОРОДА ПЕТРОЗАВОДСК"</t>
        </is>
      </c>
      <c r="C676" s="13" t="n">
        <v>1001047966</v>
      </c>
      <c r="D676" s="13" t="inlineStr">
        <is>
          <t>1001047966</t>
        </is>
      </c>
      <c r="E676" s="13" t="inlineStr">
        <is>
          <t>ЮЛ РФ</t>
        </is>
      </c>
      <c r="F676" s="13" t="n"/>
      <c r="G676" s="14" t="n"/>
      <c r="H676" s="14" t="n"/>
      <c r="I676" s="14" t="n"/>
      <c r="J676" s="14" t="n"/>
      <c r="K676" s="53" t="inlineStr"/>
      <c r="L676" s="53" t="inlineStr">
        <is>
          <t>Не определено</t>
        </is>
      </c>
      <c r="M676" s="53" t="inlineStr"/>
      <c r="N676" s="54" t="inlineStr"/>
      <c r="O676" s="55" t="inlineStr"/>
      <c r="P676" s="16" t="inlineStr">
        <is>
          <t>Требует обогащения</t>
        </is>
      </c>
      <c r="Q676" s="16">
        <f>HYPERLINK("https://pb.nalog.ru/search.html?query=1001047966","ФНС: проверить")</f>
        <v/>
      </c>
      <c r="R676" s="16">
        <f>HYPERLINK("https://checko.ru/search?query=3801001629","Чекко: проверить")</f>
        <v/>
      </c>
      <c r="S676" t="n">
        <v>1</v>
      </c>
      <c r="T676" s="35" t="inlineStr">
        <is>
          <t>4 — Не обогащён</t>
        </is>
      </c>
      <c r="U676" s="35" t="inlineStr">
        <is>
          <t>Нет ОКВЭД/ССЧР</t>
        </is>
      </c>
      <c r="V676" s="35" t="inlineStr">
        <is>
          <t>Не определено</t>
        </is>
      </c>
      <c r="W676" s="35" t="inlineStr"/>
      <c r="X676" s="35" t="inlineStr"/>
    </row>
    <row r="677" ht="15" customHeight="1" s="24">
      <c r="A677" s="13" t="n">
        <v>5000117514</v>
      </c>
      <c r="B677" s="13" t="inlineStr">
        <is>
          <t>ЧУЗ "КБ "РЖД-МЕДИЦИНА" Г. УЛАН-УДЭ"</t>
        </is>
      </c>
      <c r="C677" s="13" t="n">
        <v>326021408</v>
      </c>
      <c r="D677" s="13" t="n"/>
      <c r="E677" s="13" t="inlineStr">
        <is>
          <t>Не определён</t>
        </is>
      </c>
      <c r="F677" s="13" t="inlineStr">
        <is>
          <t>326021408</t>
        </is>
      </c>
      <c r="G677" s="14" t="n"/>
      <c r="H677" s="14" t="n"/>
      <c r="I677" s="14" t="n"/>
      <c r="J677" s="14" t="n"/>
      <c r="K677" s="13">
        <f>IF(G677="","",IF(G677&gt;=22,"Да","Нет"))</f>
        <v/>
      </c>
      <c r="L677" s="13">
        <f>IF(OR(I677="",J677=""),"Не определено",IF(OR(COUNTIF(I677,"45*")&gt;0,COUNTIF(J677,"*45*")&gt;0,COUNTIF(I677,"46*")&gt;0,COUNTIF(J677,"*46*")&gt;0,COUNTIF(I677,"47*")&gt;0,COUNTIF(J677,"*47*")&gt;0,COUNTIF(I677,"10*")&gt;0,COUNTIF(J677,"*10*")&gt;0,COUNTIF(I677,"11*")&gt;0,COUNTIF(J677,"*11*")&gt;0,COUNTIF(I677,"12*")&gt;0,COUNTIF(J677,"*12*")&gt;0,COUNTIF(I677,"13*")&gt;0,COUNTIF(J677,"*13*")&gt;0,COUNTIF(I677,"14*")&gt;0,COUNTIF(J677,"*14*")&gt;0,COUNTIF(I677,"15*")&gt;0,COUNTIF(J677,"*15*")&gt;0,COUNTIF(I677,"16*")&gt;0,COUNTIF(J677,"*16*")&gt;0,COUNTIF(I677,"17*")&gt;0,COUNTIF(J677,"*17*")&gt;0,COUNTIF(I677,"18*")&gt;0,COUNTIF(J677,"*18*")&gt;0,COUNTIF(I677,"19*")&gt;0,COUNTIF(J677,"*19*")&gt;0,COUNTIF(I677,"20*")&gt;0,COUNTIF(J677,"*20*")&gt;0,COUNTIF(I677,"21*")&gt;0,COUNTIF(J677,"*21*")&gt;0,COUNTIF(I677,"22*")&gt;0,COUNTIF(J677,"*22*")&gt;0,COUNTIF(I677,"23*")&gt;0,COUNTIF(J677,"*23*")&gt;0,COUNTIF(I677,"24*")&gt;0,COUNTIF(J677,"*24*")&gt;0,COUNTIF(I677,"25*")&gt;0,COUNTIF(J677,"*25*")&gt;0,COUNTIF(I677,"26*")&gt;0,COUNTIF(J677,"*26*")&gt;0,COUNTIF(I677,"27*")&gt;0,COUNTIF(J677,"*27*")&gt;0,COUNTIF(I677,"28*")&gt;0,COUNTIF(J677,"*28*")&gt;0,COUNTIF(I677,"29*")&gt;0,COUNTIF(J677,"*29*")&gt;0,COUNTIF(I677,"30*")&gt;0,COUNTIF(J677,"*30*")&gt;0,COUNTIF(I677,"31*")&gt;0,COUNTIF(J677,"*31*")&gt;0,COUNTIF(I677,"32*")&gt;0,COUNTIF(J677,"*32*")&gt;0,COUNTIF(I677,"33*")&gt;0,COUNTIF(J677,"*33*")&gt;0,COUNTIF(I677,"41*")&gt;0,COUNTIF(J677,"*41*")&gt;0,COUNTIF(I677,"42*")&gt;0,COUNTIF(J677,"*42*")&gt;0,COUNTIF(I677,"43*")&gt;0,COUNTIF(J677,"*43*")&gt;0,COUNTIF(I677,"49*")&gt;0,COUNTIF(J677,"*49*")&gt;0,COUNTIF(I677,"52*")&gt;0,COUNTIF(J677,"*52*")&gt;0,COUNTIF(I677,"55*")&gt;0,COUNTIF(J677,"*55*")&gt;0,COUNTIF(I677,"56*")&gt;0,COUNTIF(J677,"*56*")&gt;0,COUNTIF(I677,"68*")&gt;0,COUNTIF(J677,"*68*")&gt;0,COUNTIF(I677,"78*")&gt;0,COUNTIF(J677,"*78*")&gt;0,COUNTIF(I677,"81*")&gt;0,COUNTIF(J677,"*81*")&gt;0,COUNTIF(I677,"82*")&gt;0,COUNTIF(J677,"*82*")&gt;0,COUNTIF(I677,"64*")&gt;0,COUNTIF(J677,"*64*")&gt;0,COUNTIF(I677,"65*")&gt;0,COUNTIF(J677,"*65*")&gt;0,COUNTIF(I677,"66*")&gt;0,COUNTIF(J677,"*66*")&gt;0,COUNTIF(I677,"61*")&gt;0,COUNTIF(J677,"*61*")&gt;0,COUNTIF(I677,"62*")&gt;0,COUNTIF(J677,"*62*")&gt;0,COUNTIF(I677,"63*")&gt;0,COUNTIF(J677,"*63*")&gt;0,COUNTIF(I677,"85*")&gt;0,COUNTIF(J677,"*85*")&gt;0,COUNTIF(I677,"86*")&gt;0,COUNTIF(J677,"*86*")&gt;0),"Да","Нет"))</f>
        <v/>
      </c>
      <c r="M677" s="13">
        <f>IF(OR(G677="",L677&lt;&gt;"Да"),"",IF(G677&lt;=100,"До 100",IF(G677&lt;=200,"До 200",IF(G677&lt;=500,"До 500","Отдельное КП"))))</f>
        <v/>
      </c>
      <c r="N677" s="15">
        <f>IF(OR(G677="",L677&lt;&gt;"Да"),"",IF(G677&lt;=100,33600,IF(G677&lt;=200,62400,IF(G677&lt;=500,144000,""))))</f>
        <v/>
      </c>
      <c r="O677" s="16">
        <f>IF(G677="","",IF(G677&lt;=15,"1–15",IF(G677&lt;=30,"16–30",IF(G677&lt;=50,"31–50",IF(G677&lt;=100,"51–100",IF(G677&lt;=150,"101–150",IF(G677&lt;=200,"151–200",IF(G677&lt;=500,"201–500","500+"))))))))</f>
        <v/>
      </c>
      <c r="P677" s="16" t="inlineStr">
        <is>
          <t>Нет совпадения в предоставленной выгрузке ССЧР</t>
        </is>
      </c>
      <c r="Q677" s="16" t="n"/>
      <c r="R677" s="16">
        <f>HYPERLINK("https://checko.ru/search?query=3801001629","Чекко: проверить")</f>
        <v/>
      </c>
      <c r="S677" t="n">
        <v>0</v>
      </c>
    </row>
    <row r="678" ht="27.75" customHeight="1" s="24">
      <c r="A678" s="13" t="n">
        <v>5000117468</v>
      </c>
      <c r="B678" s="13" t="inlineStr">
        <is>
          <t>Частное учреждение здравоохранения "Клиническая больница "РЖД-Медицина"</t>
        </is>
      </c>
      <c r="C678" s="13" t="n">
        <v>7804302780</v>
      </c>
      <c r="D678" s="13" t="inlineStr">
        <is>
          <t>7804302780</t>
        </is>
      </c>
      <c r="E678" s="13" t="inlineStr">
        <is>
          <t>ЮЛ РФ</t>
        </is>
      </c>
      <c r="F678" s="13" t="n"/>
      <c r="G678" s="14" t="n"/>
      <c r="H678" s="14" t="n"/>
      <c r="I678" s="14" t="n"/>
      <c r="J678" s="14" t="n"/>
      <c r="K678" s="53" t="inlineStr"/>
      <c r="L678" s="53" t="inlineStr">
        <is>
          <t>Не определено</t>
        </is>
      </c>
      <c r="M678" s="53" t="inlineStr"/>
      <c r="N678" s="54" t="inlineStr"/>
      <c r="O678" s="55" t="inlineStr"/>
      <c r="P678" s="16" t="inlineStr">
        <is>
          <t>Требует обогащения</t>
        </is>
      </c>
      <c r="Q678" s="16">
        <f>HYPERLINK("https://pb.nalog.ru/search.html?query=7804302780","ФНС: проверить")</f>
        <v/>
      </c>
      <c r="R678" s="16">
        <f>HYPERLINK("https://checko.ru/search?query=3801001629","Чекко: проверить")</f>
        <v/>
      </c>
      <c r="S678" t="n">
        <v>1</v>
      </c>
      <c r="T678" s="35" t="inlineStr">
        <is>
          <t>4 — Не обогащён</t>
        </is>
      </c>
      <c r="U678" s="35" t="inlineStr">
        <is>
          <t>Нет ОКВЭД/ССЧР</t>
        </is>
      </c>
      <c r="V678" s="35" t="inlineStr">
        <is>
          <t>Не определено</t>
        </is>
      </c>
      <c r="W678" s="35" t="inlineStr"/>
      <c r="X678" s="35" t="inlineStr"/>
    </row>
    <row r="679" ht="27.75" customHeight="1" s="24">
      <c r="A679" s="13" t="n">
        <v>5000117515</v>
      </c>
      <c r="B679" s="13" t="inlineStr">
        <is>
          <t>НУЗ "Отделенческая клиническая больница на станции Владивосток"</t>
        </is>
      </c>
      <c r="C679" s="13" t="n">
        <v>2540105410</v>
      </c>
      <c r="D679" s="13" t="inlineStr">
        <is>
          <t>2540105410</t>
        </is>
      </c>
      <c r="E679" s="13" t="inlineStr">
        <is>
          <t>ЮЛ РФ</t>
        </is>
      </c>
      <c r="F679" s="13" t="n"/>
      <c r="G679" s="14" t="n"/>
      <c r="H679" s="14" t="n"/>
      <c r="I679" s="14" t="n"/>
      <c r="J679" s="14" t="n"/>
      <c r="K679" s="53" t="inlineStr"/>
      <c r="L679" s="53" t="inlineStr">
        <is>
          <t>Не определено</t>
        </is>
      </c>
      <c r="M679" s="53" t="inlineStr"/>
      <c r="N679" s="54" t="inlineStr"/>
      <c r="O679" s="55" t="inlineStr"/>
      <c r="P679" s="16" t="inlineStr">
        <is>
          <t>Требует обогащения</t>
        </is>
      </c>
      <c r="Q679" s="16">
        <f>HYPERLINK("https://pb.nalog.ru/search.html?query=2540105410","ФНС: проверить")</f>
        <v/>
      </c>
      <c r="R679" s="16">
        <f>HYPERLINK("https://checko.ru/search?query=3801001629","Чекко: проверить")</f>
        <v/>
      </c>
      <c r="S679" t="n">
        <v>1</v>
      </c>
      <c r="T679" s="35" t="inlineStr">
        <is>
          <t>4 — Не обогащён</t>
        </is>
      </c>
      <c r="U679" s="35" t="inlineStr">
        <is>
          <t>Нет ОКВЭД/ССЧР</t>
        </is>
      </c>
      <c r="V679" s="35" t="inlineStr">
        <is>
          <t>Не определено</t>
        </is>
      </c>
      <c r="W679" s="35" t="inlineStr"/>
      <c r="X679" s="35" t="inlineStr"/>
    </row>
    <row r="680" ht="15" customHeight="1" s="24">
      <c r="A680" s="13" t="n">
        <v>5000117499</v>
      </c>
      <c r="B680" s="13" t="inlineStr">
        <is>
          <t>ЧУЗ «КБ «РЖД-Медицина» г.Пенза»</t>
        </is>
      </c>
      <c r="C680" s="13" t="n">
        <v>5834028940</v>
      </c>
      <c r="D680" s="13" t="inlineStr">
        <is>
          <t>5834028940</t>
        </is>
      </c>
      <c r="E680" s="13" t="inlineStr">
        <is>
          <t>ЮЛ РФ</t>
        </is>
      </c>
      <c r="F680" s="13" t="n"/>
      <c r="G680" s="14" t="n"/>
      <c r="H680" s="14" t="n"/>
      <c r="I680" s="14" t="n"/>
      <c r="J680" s="14" t="n"/>
      <c r="K680" s="53" t="inlineStr"/>
      <c r="L680" s="53" t="inlineStr">
        <is>
          <t>Не определено</t>
        </is>
      </c>
      <c r="M680" s="53" t="inlineStr"/>
      <c r="N680" s="54" t="inlineStr"/>
      <c r="O680" s="55" t="inlineStr"/>
      <c r="P680" s="16" t="inlineStr">
        <is>
          <t>Требует обогащения</t>
        </is>
      </c>
      <c r="Q680" s="16">
        <f>HYPERLINK("https://pb.nalog.ru/search.html?query=5834028940","ФНС: проверить")</f>
        <v/>
      </c>
      <c r="R680" s="16">
        <f>HYPERLINK("https://checko.ru/search?query=3801001629","Чекко: проверить")</f>
        <v/>
      </c>
      <c r="S680" t="n">
        <v>1</v>
      </c>
      <c r="T680" s="35" t="inlineStr">
        <is>
          <t>4 — Не обогащён</t>
        </is>
      </c>
      <c r="U680" s="35" t="inlineStr">
        <is>
          <t>Нет ОКВЭД/ССЧР</t>
        </is>
      </c>
      <c r="V680" s="35" t="inlineStr">
        <is>
          <t>Не определено</t>
        </is>
      </c>
      <c r="W680" s="35" t="inlineStr"/>
      <c r="X680" s="35" t="inlineStr"/>
    </row>
    <row r="681" ht="27.75" customHeight="1" s="24">
      <c r="A681" s="13" t="n">
        <v>5000117478</v>
      </c>
      <c r="B681" s="13" t="inlineStr">
        <is>
          <t>Дорожная больница на станции Свердловск-Пассажирский ОАО "РЖД"</t>
        </is>
      </c>
      <c r="C681" s="13" t="n">
        <v>6659108134</v>
      </c>
      <c r="D681" s="13" t="inlineStr">
        <is>
          <t>6659108134</t>
        </is>
      </c>
      <c r="E681" s="13" t="inlineStr">
        <is>
          <t>ЮЛ РФ</t>
        </is>
      </c>
      <c r="F681" s="13" t="n"/>
      <c r="G681" s="14" t="n"/>
      <c r="H681" s="14" t="n"/>
      <c r="I681" s="14" t="n"/>
      <c r="J681" s="14" t="n"/>
      <c r="K681" s="53" t="inlineStr"/>
      <c r="L681" s="53" t="inlineStr">
        <is>
          <t>Не определено</t>
        </is>
      </c>
      <c r="M681" s="53" t="inlineStr"/>
      <c r="N681" s="54" t="inlineStr"/>
      <c r="O681" s="55" t="inlineStr"/>
      <c r="P681" s="16" t="inlineStr">
        <is>
          <t>Требует обогащения</t>
        </is>
      </c>
      <c r="Q681" s="16">
        <f>HYPERLINK("https://pb.nalog.ru/search.html?query=6659108134","ФНС: проверить")</f>
        <v/>
      </c>
      <c r="R681" s="16">
        <f>HYPERLINK("https://checko.ru/search?query=3801001629","Чекко: проверить")</f>
        <v/>
      </c>
      <c r="S681" t="n">
        <v>1</v>
      </c>
      <c r="T681" s="35" t="inlineStr">
        <is>
          <t>4 — Не обогащён</t>
        </is>
      </c>
      <c r="U681" s="35" t="inlineStr">
        <is>
          <t>Нет ОКВЭД/ССЧР</t>
        </is>
      </c>
      <c r="V681" s="35" t="inlineStr">
        <is>
          <t>Не определено</t>
        </is>
      </c>
      <c r="W681" s="35" t="inlineStr"/>
      <c r="X681" s="35" t="inlineStr"/>
    </row>
    <row r="682" ht="27.75" customHeight="1" s="24">
      <c r="A682" s="13" t="n">
        <v>5000117467</v>
      </c>
      <c r="B682" s="13" t="inlineStr">
        <is>
          <t>НУЗ "Отделенческая больница на станции Вологда ОАО "Российские железные дороги"</t>
        </is>
      </c>
      <c r="C682" s="13" t="n">
        <v>3525140557</v>
      </c>
      <c r="D682" s="13" t="inlineStr">
        <is>
          <t>3525140557</t>
        </is>
      </c>
      <c r="E682" s="13" t="inlineStr">
        <is>
          <t>ЮЛ РФ</t>
        </is>
      </c>
      <c r="F682" s="13" t="n"/>
      <c r="G682" s="14" t="n"/>
      <c r="H682" s="14" t="n"/>
      <c r="I682" s="14" t="n"/>
      <c r="J682" s="14" t="n"/>
      <c r="K682" s="53" t="inlineStr"/>
      <c r="L682" s="53" t="inlineStr">
        <is>
          <t>Не определено</t>
        </is>
      </c>
      <c r="M682" s="53" t="inlineStr"/>
      <c r="N682" s="54" t="inlineStr"/>
      <c r="O682" s="55" t="inlineStr"/>
      <c r="P682" s="16" t="inlineStr">
        <is>
          <t>Требует обогащения</t>
        </is>
      </c>
      <c r="Q682" s="16">
        <f>HYPERLINK("https://pb.nalog.ru/search.html?query=3525140557","ФНС: проверить")</f>
        <v/>
      </c>
      <c r="R682" s="16">
        <f>HYPERLINK("https://checko.ru/search?query=3801001629","Чекко: проверить")</f>
        <v/>
      </c>
      <c r="S682" t="n">
        <v>1</v>
      </c>
      <c r="T682" s="35" t="inlineStr">
        <is>
          <t>4 — Не обогащён</t>
        </is>
      </c>
      <c r="U682" s="35" t="inlineStr">
        <is>
          <t>Нет ОКВЭД/ССЧР</t>
        </is>
      </c>
      <c r="V682" s="35" t="inlineStr">
        <is>
          <t>Не определено</t>
        </is>
      </c>
      <c r="W682" s="35" t="inlineStr"/>
      <c r="X682" s="35" t="inlineStr"/>
    </row>
    <row r="683" ht="27.75" customHeight="1" s="24">
      <c r="A683" s="13" t="n">
        <v>5000117462</v>
      </c>
      <c r="B683" s="13" t="inlineStr">
        <is>
          <t>НУЗ "Отделенческая больница на ст. Иваново ОАО "РЖД"</t>
        </is>
      </c>
      <c r="C683" s="13" t="n">
        <v>3702058617</v>
      </c>
      <c r="D683" s="13" t="inlineStr">
        <is>
          <t>3702058617</t>
        </is>
      </c>
      <c r="E683" s="13" t="inlineStr">
        <is>
          <t>ЮЛ РФ</t>
        </is>
      </c>
      <c r="F683" s="13" t="n"/>
      <c r="G683" s="14" t="n"/>
      <c r="H683" s="14" t="n"/>
      <c r="I683" s="14" t="n"/>
      <c r="J683" s="14" t="n"/>
      <c r="K683" s="53" t="inlineStr"/>
      <c r="L683" s="53" t="inlineStr">
        <is>
          <t>Не определено</t>
        </is>
      </c>
      <c r="M683" s="53" t="inlineStr"/>
      <c r="N683" s="54" t="inlineStr"/>
      <c r="O683" s="55" t="inlineStr"/>
      <c r="P683" s="16" t="inlineStr">
        <is>
          <t>Требует обогащения</t>
        </is>
      </c>
      <c r="Q683" s="16">
        <f>HYPERLINK("https://pb.nalog.ru/search.html?query=3702058617","ФНС: проверить")</f>
        <v/>
      </c>
      <c r="R683" s="16">
        <f>HYPERLINK("https://checko.ru/search?query=3801001629","Чекко: проверить")</f>
        <v/>
      </c>
      <c r="S683" t="n">
        <v>1</v>
      </c>
      <c r="T683" s="35" t="inlineStr">
        <is>
          <t>4 — Не обогащён</t>
        </is>
      </c>
      <c r="U683" s="35" t="inlineStr">
        <is>
          <t>Нет ОКВЭД/ССЧР</t>
        </is>
      </c>
      <c r="V683" s="35" t="inlineStr">
        <is>
          <t>Не определено</t>
        </is>
      </c>
      <c r="W683" s="35" t="inlineStr"/>
      <c r="X683" s="35" t="inlineStr"/>
    </row>
    <row r="684" ht="15" customHeight="1" s="24">
      <c r="A684" s="13" t="n">
        <v>5000117450</v>
      </c>
      <c r="B684" s="13" t="inlineStr">
        <is>
          <t>ЧУЗ "ЦКБ "РЖД-МЕДИЦИНА"</t>
        </is>
      </c>
      <c r="C684" s="13" t="n">
        <v>7716511464</v>
      </c>
      <c r="D684" s="13" t="inlineStr">
        <is>
          <t>7716511464</t>
        </is>
      </c>
      <c r="E684" s="13" t="inlineStr">
        <is>
          <t>ЮЛ РФ</t>
        </is>
      </c>
      <c r="F684" s="13" t="n"/>
      <c r="G684" s="14" t="n"/>
      <c r="H684" s="14" t="n"/>
      <c r="I684" s="14" t="n"/>
      <c r="J684" s="14" t="n"/>
      <c r="K684" s="53" t="inlineStr"/>
      <c r="L684" s="53" t="inlineStr">
        <is>
          <t>Не определено</t>
        </is>
      </c>
      <c r="M684" s="53" t="inlineStr"/>
      <c r="N684" s="54" t="inlineStr"/>
      <c r="O684" s="55" t="inlineStr"/>
      <c r="P684" s="16" t="inlineStr">
        <is>
          <t>Требует обогащения</t>
        </is>
      </c>
      <c r="Q684" s="16">
        <f>HYPERLINK("https://pb.nalog.ru/search.html?query=7716511464","ФНС: проверить")</f>
        <v/>
      </c>
      <c r="R684" s="16">
        <f>HYPERLINK("https://checko.ru/search?query=3801001629","Чекко: проверить")</f>
        <v/>
      </c>
      <c r="S684" t="n">
        <v>1</v>
      </c>
      <c r="T684" s="35" t="inlineStr">
        <is>
          <t>4 — Не обогащён</t>
        </is>
      </c>
      <c r="U684" s="35" t="inlineStr">
        <is>
          <t>Нет ОКВЭД/ССЧР</t>
        </is>
      </c>
      <c r="V684" s="35" t="inlineStr">
        <is>
          <t>Не определено</t>
        </is>
      </c>
      <c r="W684" s="35" t="inlineStr"/>
      <c r="X684" s="35" t="inlineStr"/>
    </row>
    <row r="685" ht="27.75" customHeight="1" s="24">
      <c r="A685" s="13" t="n">
        <v>5000117479</v>
      </c>
      <c r="B685" s="13" t="inlineStr">
        <is>
          <t>НУЗ "Дорожная клиническая больница на ст.  Челябинск ОАО "РЖД"</t>
        </is>
      </c>
      <c r="C685" s="13" t="n">
        <v>7451207988</v>
      </c>
      <c r="D685" s="13" t="inlineStr">
        <is>
          <t>7451207988</t>
        </is>
      </c>
      <c r="E685" s="13" t="inlineStr">
        <is>
          <t>ЮЛ РФ</t>
        </is>
      </c>
      <c r="F685" s="13" t="n"/>
      <c r="G685" s="14" t="n"/>
      <c r="H685" s="14" t="n"/>
      <c r="I685" s="14" t="n"/>
      <c r="J685" s="14" t="n"/>
      <c r="K685" s="53" t="inlineStr"/>
      <c r="L685" s="53" t="inlineStr">
        <is>
          <t>Не определено</t>
        </is>
      </c>
      <c r="M685" s="53" t="inlineStr"/>
      <c r="N685" s="54" t="inlineStr"/>
      <c r="O685" s="55" t="inlineStr"/>
      <c r="P685" s="16" t="inlineStr">
        <is>
          <t>Требует обогащения</t>
        </is>
      </c>
      <c r="Q685" s="16">
        <f>HYPERLINK("https://pb.nalog.ru/search.html?query=7451207988","ФНС: проверить")</f>
        <v/>
      </c>
      <c r="R685" s="16">
        <f>HYPERLINK("https://checko.ru/search?query=3801001629","Чекко: проверить")</f>
        <v/>
      </c>
      <c r="S685" t="n">
        <v>1</v>
      </c>
      <c r="T685" s="35" t="inlineStr">
        <is>
          <t>4 — Не обогащён</t>
        </is>
      </c>
      <c r="U685" s="35" t="inlineStr">
        <is>
          <t>Нет ОКВЭД/ССЧР</t>
        </is>
      </c>
      <c r="V685" s="35" t="inlineStr">
        <is>
          <t>Не определено</t>
        </is>
      </c>
      <c r="W685" s="35" t="inlineStr"/>
      <c r="X685" s="35" t="inlineStr"/>
    </row>
    <row r="686" ht="15" customHeight="1" s="24">
      <c r="A686" s="13" t="n">
        <v>5000117465</v>
      </c>
      <c r="B686" s="13" t="inlineStr">
        <is>
          <t>ЧУЗ "КБ "РЖД-МЕДИЦИНА" Г. ТВЕРЬ"</t>
        </is>
      </c>
      <c r="C686" s="13" t="n">
        <v>6901060246</v>
      </c>
      <c r="D686" s="13" t="inlineStr">
        <is>
          <t>6901060246</t>
        </is>
      </c>
      <c r="E686" s="13" t="inlineStr">
        <is>
          <t>ЮЛ РФ</t>
        </is>
      </c>
      <c r="F686" s="13" t="n"/>
      <c r="G686" s="14" t="n"/>
      <c r="H686" s="14" t="n"/>
      <c r="I686" s="14" t="n"/>
      <c r="J686" s="14" t="n"/>
      <c r="K686" s="53" t="inlineStr"/>
      <c r="L686" s="53" t="inlineStr">
        <is>
          <t>Не определено</t>
        </is>
      </c>
      <c r="M686" s="53" t="inlineStr"/>
      <c r="N686" s="54" t="inlineStr"/>
      <c r="O686" s="55" t="inlineStr"/>
      <c r="P686" s="16" t="inlineStr">
        <is>
          <t>Требует обогащения</t>
        </is>
      </c>
      <c r="Q686" s="16">
        <f>HYPERLINK("https://pb.nalog.ru/search.html?query=6901060246","ФНС: проверить")</f>
        <v/>
      </c>
      <c r="R686" s="16">
        <f>HYPERLINK("https://checko.ru/search?query=3801001629","Чекко: проверить")</f>
        <v/>
      </c>
      <c r="S686" t="n">
        <v>1</v>
      </c>
      <c r="T686" s="35" t="inlineStr">
        <is>
          <t>4 — Не обогащён</t>
        </is>
      </c>
      <c r="U686" s="35" t="inlineStr">
        <is>
          <t>Нет ОКВЭД/ССЧР</t>
        </is>
      </c>
      <c r="V686" s="35" t="inlineStr">
        <is>
          <t>Не определено</t>
        </is>
      </c>
      <c r="W686" s="35" t="inlineStr"/>
      <c r="X686" s="35" t="inlineStr"/>
    </row>
    <row r="687" ht="54.75" customHeight="1" s="24">
      <c r="A687" s="13" t="n">
        <v>5000117512</v>
      </c>
      <c r="B687" s="13" t="inlineStr">
        <is>
          <t>Негосударственное учреждение здравоохранения «Отделенческая больница на станции Кемерово» Открытого Акционерного Общества «Российские Железные Дороги»</t>
        </is>
      </c>
      <c r="C687" s="13" t="n">
        <v>4205069755</v>
      </c>
      <c r="D687" s="13" t="inlineStr">
        <is>
          <t>4205069755</t>
        </is>
      </c>
      <c r="E687" s="13" t="inlineStr">
        <is>
          <t>ЮЛ РФ</t>
        </is>
      </c>
      <c r="F687" s="13" t="n"/>
      <c r="G687" s="14" t="n"/>
      <c r="H687" s="14" t="n"/>
      <c r="I687" s="14" t="n"/>
      <c r="J687" s="14" t="n"/>
      <c r="K687" s="53" t="inlineStr"/>
      <c r="L687" s="53" t="inlineStr">
        <is>
          <t>Не определено</t>
        </is>
      </c>
      <c r="M687" s="53" t="inlineStr"/>
      <c r="N687" s="54" t="inlineStr"/>
      <c r="O687" s="55" t="inlineStr"/>
      <c r="P687" s="16" t="inlineStr">
        <is>
          <t>Требует обогащения</t>
        </is>
      </c>
      <c r="Q687" s="16">
        <f>HYPERLINK("https://pb.nalog.ru/search.html?query=4205069755","ФНС: проверить")</f>
        <v/>
      </c>
      <c r="R687" s="16">
        <f>HYPERLINK("https://checko.ru/search?query=3801001629","Чекко: проверить")</f>
        <v/>
      </c>
      <c r="S687" t="n">
        <v>1</v>
      </c>
      <c r="T687" s="35" t="inlineStr">
        <is>
          <t>4 — Не обогащён</t>
        </is>
      </c>
      <c r="U687" s="35" t="inlineStr">
        <is>
          <t>Нет ОКВЭД/ССЧР</t>
        </is>
      </c>
      <c r="V687" s="35" t="inlineStr">
        <is>
          <t>Не определено</t>
        </is>
      </c>
      <c r="W687" s="35" t="inlineStr"/>
      <c r="X687" s="35" t="inlineStr"/>
    </row>
    <row r="688" ht="15" customHeight="1" s="24">
      <c r="A688" s="13" t="n">
        <v>5000117470</v>
      </c>
      <c r="B688" s="13" t="inlineStr">
        <is>
          <t>НУЗ ОКБ на ст Краснодар РЖД</t>
        </is>
      </c>
      <c r="C688" s="13" t="n">
        <v>2311077377</v>
      </c>
      <c r="D688" s="13" t="inlineStr">
        <is>
          <t>2311077377</t>
        </is>
      </c>
      <c r="E688" s="13" t="inlineStr">
        <is>
          <t>ЮЛ РФ</t>
        </is>
      </c>
      <c r="F688" s="13" t="n"/>
      <c r="G688" s="14" t="n"/>
      <c r="H688" s="14" t="n"/>
      <c r="I688" s="14" t="n"/>
      <c r="J688" s="14" t="n"/>
      <c r="K688" s="53" t="inlineStr"/>
      <c r="L688" s="53" t="inlineStr">
        <is>
          <t>Не определено</t>
        </is>
      </c>
      <c r="M688" s="53" t="inlineStr"/>
      <c r="N688" s="54" t="inlineStr"/>
      <c r="O688" s="55" t="inlineStr"/>
      <c r="P688" s="16" t="inlineStr">
        <is>
          <t>Требует обогащения</t>
        </is>
      </c>
      <c r="Q688" s="16">
        <f>HYPERLINK("https://pb.nalog.ru/search.html?query=2311077377","ФНС: проверить")</f>
        <v/>
      </c>
      <c r="R688" s="16">
        <f>HYPERLINK("https://checko.ru/search?query=3801001629","Чекко: проверить")</f>
        <v/>
      </c>
      <c r="S688" t="n">
        <v>1</v>
      </c>
      <c r="T688" s="35" t="inlineStr">
        <is>
          <t>4 — Не обогащён</t>
        </is>
      </c>
      <c r="U688" s="35" t="inlineStr">
        <is>
          <t>Нет ОКВЭД/ССЧР</t>
        </is>
      </c>
      <c r="V688" s="35" t="inlineStr">
        <is>
          <t>Не определено</t>
        </is>
      </c>
      <c r="W688" s="35" t="inlineStr"/>
      <c r="X688" s="35" t="inlineStr"/>
    </row>
    <row r="689" ht="27.75" customHeight="1" s="24">
      <c r="A689" s="13" t="n">
        <v>5000117455</v>
      </c>
      <c r="B689" s="13" t="inlineStr">
        <is>
          <t>ЧУЗ «Клиническая больница «РЖД-Медицина» города Воронеж»</t>
        </is>
      </c>
      <c r="C689" s="13" t="n">
        <v>3662090146</v>
      </c>
      <c r="D689" s="13" t="inlineStr">
        <is>
          <t>3662090146</t>
        </is>
      </c>
      <c r="E689" s="13" t="inlineStr">
        <is>
          <t>ЮЛ РФ</t>
        </is>
      </c>
      <c r="F689" s="13" t="n"/>
      <c r="G689" s="14" t="n"/>
      <c r="H689" s="14" t="n"/>
      <c r="I689" s="14" t="n"/>
      <c r="J689" s="14" t="n"/>
      <c r="K689" s="53" t="inlineStr"/>
      <c r="L689" s="53" t="inlineStr">
        <is>
          <t>Не определено</t>
        </is>
      </c>
      <c r="M689" s="53" t="inlineStr"/>
      <c r="N689" s="54" t="inlineStr"/>
      <c r="O689" s="55" t="inlineStr"/>
      <c r="P689" s="16" t="inlineStr">
        <is>
          <t>Требует обогащения</t>
        </is>
      </c>
      <c r="Q689" s="16">
        <f>HYPERLINK("https://pb.nalog.ru/search.html?query=3662090146","ФНС: проверить")</f>
        <v/>
      </c>
      <c r="R689" s="16">
        <f>HYPERLINK("https://checko.ru/search?query=3801001629","Чекко: проверить")</f>
        <v/>
      </c>
      <c r="S689" t="n">
        <v>1</v>
      </c>
      <c r="T689" s="35" t="inlineStr">
        <is>
          <t>4 — Не обогащён</t>
        </is>
      </c>
      <c r="U689" s="35" t="inlineStr">
        <is>
          <t>Нет ОКВЭД/ССЧР</t>
        </is>
      </c>
      <c r="V689" s="35" t="inlineStr">
        <is>
          <t>Не определено</t>
        </is>
      </c>
      <c r="W689" s="35" t="inlineStr"/>
      <c r="X689" s="35" t="inlineStr"/>
    </row>
    <row r="690" ht="27.75" customHeight="1" s="24">
      <c r="A690" s="13" t="n">
        <v>5000117496</v>
      </c>
      <c r="B690" s="13" t="inlineStr">
        <is>
          <t>НУЗ "Отделенческая клиническая больница на станции Киров ОАО "Российские железные</t>
        </is>
      </c>
      <c r="C690" s="13" t="n">
        <v>4345084841</v>
      </c>
      <c r="D690" s="13" t="inlineStr">
        <is>
          <t>4345084841</t>
        </is>
      </c>
      <c r="E690" s="13" t="inlineStr">
        <is>
          <t>ЮЛ РФ</t>
        </is>
      </c>
      <c r="F690" s="13" t="n"/>
      <c r="G690" s="14" t="n"/>
      <c r="H690" s="14" t="n"/>
      <c r="I690" s="14" t="n"/>
      <c r="J690" s="14" t="n"/>
      <c r="K690" s="53" t="inlineStr"/>
      <c r="L690" s="53" t="inlineStr">
        <is>
          <t>Не определено</t>
        </is>
      </c>
      <c r="M690" s="53" t="inlineStr"/>
      <c r="N690" s="54" t="inlineStr"/>
      <c r="O690" s="55" t="inlineStr"/>
      <c r="P690" s="16" t="inlineStr">
        <is>
          <t>Требует обогащения</t>
        </is>
      </c>
      <c r="Q690" s="16">
        <f>HYPERLINK("https://pb.nalog.ru/search.html?query=4345084841","ФНС: проверить")</f>
        <v/>
      </c>
      <c r="R690" s="16">
        <f>HYPERLINK("https://checko.ru/search?query=3801001629","Чекко: проверить")</f>
        <v/>
      </c>
      <c r="S690" t="n">
        <v>1</v>
      </c>
      <c r="T690" s="35" t="inlineStr">
        <is>
          <t>4 — Не обогащён</t>
        </is>
      </c>
      <c r="U690" s="35" t="inlineStr">
        <is>
          <t>Нет ОКВЭД/ССЧР</t>
        </is>
      </c>
      <c r="V690" s="35" t="inlineStr">
        <is>
          <t>Не определено</t>
        </is>
      </c>
      <c r="W690" s="35" t="inlineStr"/>
      <c r="X690" s="35" t="inlineStr"/>
    </row>
    <row r="691" ht="15" customHeight="1" s="24">
      <c r="A691" s="13" t="n">
        <v>5000117480</v>
      </c>
      <c r="B691" s="13" t="inlineStr">
        <is>
          <t>ЧУЗ "КБ РЖД-Медицина г. Барнаул"</t>
        </is>
      </c>
      <c r="C691" s="13" t="n">
        <v>2221063789</v>
      </c>
      <c r="D691" s="13" t="inlineStr">
        <is>
          <t>2221063789</t>
        </is>
      </c>
      <c r="E691" s="13" t="inlineStr">
        <is>
          <t>ЮЛ РФ</t>
        </is>
      </c>
      <c r="F691" s="13" t="n"/>
      <c r="G691" s="14" t="n"/>
      <c r="H691" s="14" t="n"/>
      <c r="I691" s="14" t="n"/>
      <c r="J691" s="14" t="n"/>
      <c r="K691" s="53" t="inlineStr"/>
      <c r="L691" s="53" t="inlineStr">
        <is>
          <t>Не определено</t>
        </is>
      </c>
      <c r="M691" s="53" t="inlineStr"/>
      <c r="N691" s="54" t="inlineStr"/>
      <c r="O691" s="55" t="inlineStr"/>
      <c r="P691" s="16" t="inlineStr">
        <is>
          <t>Требует обогащения</t>
        </is>
      </c>
      <c r="Q691" s="16">
        <f>HYPERLINK("https://pb.nalog.ru/search.html?query=2221063789","ФНС: проверить")</f>
        <v/>
      </c>
      <c r="R691" s="16">
        <f>HYPERLINK("https://checko.ru/search?query=3801001629","Чекко: проверить")</f>
        <v/>
      </c>
      <c r="S691" t="n">
        <v>1</v>
      </c>
      <c r="T691" s="35" t="inlineStr">
        <is>
          <t>4 — Не обогащён</t>
        </is>
      </c>
      <c r="U691" s="35" t="inlineStr">
        <is>
          <t>Нет ОКВЭД/ССЧР</t>
        </is>
      </c>
      <c r="V691" s="35" t="inlineStr">
        <is>
          <t>Не определено</t>
        </is>
      </c>
      <c r="W691" s="35" t="inlineStr"/>
      <c r="X691" s="35" t="inlineStr"/>
    </row>
    <row r="692" ht="41.25" customHeight="1" s="24">
      <c r="A692" s="13" t="n">
        <v>5000117502</v>
      </c>
      <c r="B692" s="13" t="inlineStr">
        <is>
          <t>ЧАСТНОЕ УЧРЕЖДЕНИЕ ЗДРАВООХРАНЕНИЯ "КЛИНИЧЕСКАЯ БОЛЬНИЦА "РЖД-МЕДИЦИНА" ГОРОДА ПЕРМЬ"</t>
        </is>
      </c>
      <c r="C692" s="13" t="n">
        <v>5903017780</v>
      </c>
      <c r="D692" s="13" t="inlineStr">
        <is>
          <t>5903017780</t>
        </is>
      </c>
      <c r="E692" s="13" t="inlineStr">
        <is>
          <t>ЮЛ РФ</t>
        </is>
      </c>
      <c r="F692" s="13" t="n"/>
      <c r="G692" s="14" t="n"/>
      <c r="H692" s="14" t="n"/>
      <c r="I692" s="14" t="n"/>
      <c r="J692" s="14" t="n"/>
      <c r="K692" s="53" t="inlineStr"/>
      <c r="L692" s="53" t="inlineStr">
        <is>
          <t>Не определено</t>
        </is>
      </c>
      <c r="M692" s="53" t="inlineStr"/>
      <c r="N692" s="54" t="inlineStr"/>
      <c r="O692" s="55" t="inlineStr"/>
      <c r="P692" s="16" t="inlineStr">
        <is>
          <t>Требует обогащения</t>
        </is>
      </c>
      <c r="Q692" s="16">
        <f>HYPERLINK("https://pb.nalog.ru/search.html?query=5903017780","ФНС: проверить")</f>
        <v/>
      </c>
      <c r="R692" s="16">
        <f>HYPERLINK("https://checko.ru/search?query=3801001629","Чекко: проверить")</f>
        <v/>
      </c>
      <c r="S692" t="n">
        <v>1</v>
      </c>
      <c r="T692" s="35" t="inlineStr">
        <is>
          <t>4 — Не обогащён</t>
        </is>
      </c>
      <c r="U692" s="35" t="inlineStr">
        <is>
          <t>Нет ОКВЭД/ССЧР</t>
        </is>
      </c>
      <c r="V692" s="35" t="inlineStr">
        <is>
          <t>Не определено</t>
        </is>
      </c>
      <c r="W692" s="35" t="inlineStr"/>
      <c r="X692" s="35" t="inlineStr"/>
    </row>
    <row r="693" ht="27.75" customHeight="1" s="24">
      <c r="A693" s="13" t="n">
        <v>5000117457</v>
      </c>
      <c r="B693" s="13" t="inlineStr">
        <is>
          <t>НУЗ "Отделенческая больница им. К.Э.Циолковского на ст. Калуга ОАО "РЖД"</t>
        </is>
      </c>
      <c r="C693" s="13" t="n">
        <v>4029030735</v>
      </c>
      <c r="D693" s="13" t="inlineStr">
        <is>
          <t>4029030735</t>
        </is>
      </c>
      <c r="E693" s="13" t="inlineStr">
        <is>
          <t>ЮЛ РФ</t>
        </is>
      </c>
      <c r="F693" s="13" t="n"/>
      <c r="G693" s="14" t="n"/>
      <c r="H693" s="14" t="n"/>
      <c r="I693" s="14" t="n"/>
      <c r="J693" s="14" t="n"/>
      <c r="K693" s="53" t="inlineStr"/>
      <c r="L693" s="53" t="inlineStr">
        <is>
          <t>Не определено</t>
        </is>
      </c>
      <c r="M693" s="53" t="inlineStr"/>
      <c r="N693" s="54" t="inlineStr"/>
      <c r="O693" s="55" t="inlineStr"/>
      <c r="P693" s="16" t="inlineStr">
        <is>
          <t>Требует обогащения</t>
        </is>
      </c>
      <c r="Q693" s="16">
        <f>HYPERLINK("https://pb.nalog.ru/search.html?query=4029030735","ФНС: проверить")</f>
        <v/>
      </c>
      <c r="R693" s="16">
        <f>HYPERLINK("https://checko.ru/search?query=3801001629","Чекко: проверить")</f>
        <v/>
      </c>
      <c r="S693" t="n">
        <v>1</v>
      </c>
      <c r="T693" s="35" t="inlineStr">
        <is>
          <t>4 — Не обогащён</t>
        </is>
      </c>
      <c r="U693" s="35" t="inlineStr">
        <is>
          <t>Нет ОКВЭД/ССЧР</t>
        </is>
      </c>
      <c r="V693" s="35" t="inlineStr">
        <is>
          <t>Не определено</t>
        </is>
      </c>
      <c r="W693" s="35" t="inlineStr"/>
      <c r="X693" s="35" t="inlineStr"/>
    </row>
    <row r="694" ht="15" customHeight="1" s="24">
      <c r="A694" s="13" t="n">
        <v>5000117482</v>
      </c>
      <c r="B694" s="13" t="inlineStr">
        <is>
          <t>ЧУЗ "КБ" РЖД-МЕДИЦИНА" Г.ОМСК"</t>
        </is>
      </c>
      <c r="C694" s="13" t="n">
        <v>5505036350</v>
      </c>
      <c r="D694" s="13" t="inlineStr">
        <is>
          <t>5505036350</t>
        </is>
      </c>
      <c r="E694" s="13" t="inlineStr">
        <is>
          <t>ЮЛ РФ</t>
        </is>
      </c>
      <c r="F694" s="13" t="n"/>
      <c r="G694" s="14" t="n"/>
      <c r="H694" s="14" t="n"/>
      <c r="I694" s="14" t="n"/>
      <c r="J694" s="14" t="n"/>
      <c r="K694" s="53" t="inlineStr"/>
      <c r="L694" s="53" t="inlineStr">
        <is>
          <t>Не определено</t>
        </is>
      </c>
      <c r="M694" s="53" t="inlineStr"/>
      <c r="N694" s="54" t="inlineStr"/>
      <c r="O694" s="55" t="inlineStr"/>
      <c r="P694" s="16" t="inlineStr">
        <is>
          <t>Требует обогащения</t>
        </is>
      </c>
      <c r="Q694" s="16">
        <f>HYPERLINK("https://pb.nalog.ru/search.html?query=5505036350","ФНС: проверить")</f>
        <v/>
      </c>
      <c r="R694" s="16">
        <f>HYPERLINK("https://checko.ru/search?query=3801001629","Чекко: проверить")</f>
        <v/>
      </c>
      <c r="S694" t="n">
        <v>1</v>
      </c>
      <c r="T694" s="35" t="inlineStr">
        <is>
          <t>4 — Не обогащён</t>
        </is>
      </c>
      <c r="U694" s="35" t="inlineStr">
        <is>
          <t>Нет ОКВЭД/ССЧР</t>
        </is>
      </c>
      <c r="V694" s="35" t="inlineStr">
        <is>
          <t>Не определено</t>
        </is>
      </c>
      <c r="W694" s="35" t="inlineStr"/>
      <c r="X694" s="35" t="inlineStr"/>
    </row>
    <row r="695" ht="27.75" customHeight="1" s="24">
      <c r="A695" s="13" t="n">
        <v>5000117458</v>
      </c>
      <c r="B695" s="13" t="inlineStr">
        <is>
          <t>ОТДЕЛЕНЧЕСКАЯ БОЛЬНИЦА НА СТ.КУРСК ОАО РЖД НУЗ</t>
        </is>
      </c>
      <c r="C695" s="13" t="n">
        <v>4632044497</v>
      </c>
      <c r="D695" s="13" t="inlineStr">
        <is>
          <t>4632044497</t>
        </is>
      </c>
      <c r="E695" s="13" t="inlineStr">
        <is>
          <t>ЮЛ РФ</t>
        </is>
      </c>
      <c r="F695" s="13" t="n"/>
      <c r="G695" s="14" t="n"/>
      <c r="H695" s="14" t="n"/>
      <c r="I695" s="14" t="n"/>
      <c r="J695" s="14" t="n"/>
      <c r="K695" s="53" t="inlineStr"/>
      <c r="L695" s="53" t="inlineStr">
        <is>
          <t>Не определено</t>
        </is>
      </c>
      <c r="M695" s="53" t="inlineStr"/>
      <c r="N695" s="54" t="inlineStr"/>
      <c r="O695" s="55" t="inlineStr"/>
      <c r="P695" s="16" t="inlineStr">
        <is>
          <t>Требует обогащения</t>
        </is>
      </c>
      <c r="Q695" s="16">
        <f>HYPERLINK("https://pb.nalog.ru/search.html?query=4632044497","ФНС: проверить")</f>
        <v/>
      </c>
      <c r="R695" s="16">
        <f>HYPERLINK("https://checko.ru/search?query=3801001629","Чекко: проверить")</f>
        <v/>
      </c>
      <c r="S695" t="n">
        <v>1</v>
      </c>
      <c r="T695" s="35" t="inlineStr">
        <is>
          <t>4 — Не обогащён</t>
        </is>
      </c>
      <c r="U695" s="35" t="inlineStr">
        <is>
          <t>Нет ОКВЭД/ССЧР</t>
        </is>
      </c>
      <c r="V695" s="35" t="inlineStr">
        <is>
          <t>Не определено</t>
        </is>
      </c>
      <c r="W695" s="35" t="inlineStr"/>
      <c r="X695" s="35" t="inlineStr"/>
    </row>
    <row r="696" ht="27.75" customHeight="1" s="24">
      <c r="A696" s="13" t="n">
        <v>5000117459</v>
      </c>
      <c r="B696" s="13" t="inlineStr">
        <is>
          <t>НУЗ "Узловая больница на станции Орел" ОАО РЖД</t>
        </is>
      </c>
      <c r="C696" s="13" t="n">
        <v>5751028129</v>
      </c>
      <c r="D696" s="13" t="inlineStr">
        <is>
          <t>5751028129</t>
        </is>
      </c>
      <c r="E696" s="13" t="inlineStr">
        <is>
          <t>ЮЛ РФ</t>
        </is>
      </c>
      <c r="F696" s="13" t="n"/>
      <c r="G696" s="14" t="n"/>
      <c r="H696" s="14" t="n"/>
      <c r="I696" s="14" t="n"/>
      <c r="J696" s="14" t="n"/>
      <c r="K696" s="53" t="inlineStr"/>
      <c r="L696" s="53" t="inlineStr">
        <is>
          <t>Не определено</t>
        </is>
      </c>
      <c r="M696" s="53" t="inlineStr"/>
      <c r="N696" s="54" t="inlineStr"/>
      <c r="O696" s="55" t="inlineStr"/>
      <c r="P696" s="16" t="inlineStr">
        <is>
          <t>Требует обогащения</t>
        </is>
      </c>
      <c r="Q696" s="16">
        <f>HYPERLINK("https://pb.nalog.ru/search.html?query=5751028129","ФНС: проверить")</f>
        <v/>
      </c>
      <c r="R696" s="16">
        <f>HYPERLINK("https://checko.ru/search?query=3801001629","Чекко: проверить")</f>
        <v/>
      </c>
      <c r="S696" t="n">
        <v>1</v>
      </c>
      <c r="T696" s="35" t="inlineStr">
        <is>
          <t>4 — Не обогащён</t>
        </is>
      </c>
      <c r="U696" s="35" t="inlineStr">
        <is>
          <t>Нет ОКВЭД/ССЧР</t>
        </is>
      </c>
      <c r="V696" s="35" t="inlineStr">
        <is>
          <t>Не определено</t>
        </is>
      </c>
      <c r="W696" s="35" t="inlineStr"/>
      <c r="X696" s="35" t="inlineStr"/>
    </row>
    <row r="697" ht="15" customHeight="1" s="24">
      <c r="A697" s="13" t="n">
        <v>5000117477</v>
      </c>
      <c r="B697" s="13" t="inlineStr">
        <is>
          <t>ЧУЗ "КБ"РЖД-МЕДИЦИНА"Г.КАЗАНЬ"</t>
        </is>
      </c>
      <c r="C697" s="13" t="n">
        <v>1660072927</v>
      </c>
      <c r="D697" s="13" t="inlineStr">
        <is>
          <t>1660072927</t>
        </is>
      </c>
      <c r="E697" s="13" t="inlineStr">
        <is>
          <t>ЮЛ РФ</t>
        </is>
      </c>
      <c r="F697" s="13" t="n"/>
      <c r="G697" s="14" t="n"/>
      <c r="H697" s="14" t="n"/>
      <c r="I697" s="14" t="n"/>
      <c r="J697" s="14" t="n"/>
      <c r="K697" s="53" t="inlineStr"/>
      <c r="L697" s="53" t="inlineStr">
        <is>
          <t>Не определено</t>
        </is>
      </c>
      <c r="M697" s="53" t="inlineStr"/>
      <c r="N697" s="54" t="inlineStr"/>
      <c r="O697" s="55" t="inlineStr"/>
      <c r="P697" s="16" t="inlineStr">
        <is>
          <t>Требует обогащения</t>
        </is>
      </c>
      <c r="Q697" s="16">
        <f>HYPERLINK("https://pb.nalog.ru/search.html?query=1660072927","ФНС: проверить")</f>
        <v/>
      </c>
      <c r="R697" s="16">
        <f>HYPERLINK("https://checko.ru/search?query=3801001629","Чекко: проверить")</f>
        <v/>
      </c>
      <c r="S697" t="n">
        <v>1</v>
      </c>
      <c r="T697" s="35" t="inlineStr">
        <is>
          <t>4 — Не обогащён</t>
        </is>
      </c>
      <c r="U697" s="35" t="inlineStr">
        <is>
          <t>Нет ОКВЭД/ССЧР</t>
        </is>
      </c>
      <c r="V697" s="35" t="inlineStr">
        <is>
          <t>Не определено</t>
        </is>
      </c>
      <c r="W697" s="35" t="inlineStr"/>
      <c r="X697" s="35" t="inlineStr"/>
    </row>
    <row r="698" ht="27.75" customHeight="1" s="24">
      <c r="A698" s="13" t="n">
        <v>5000038146</v>
      </c>
      <c r="B698" s="13" t="inlineStr">
        <is>
          <t>МБУК "КРАЕВЕДЧЕСКИЙ МУЗЕЙ АЛАРСКОГО РАЙОНА"</t>
        </is>
      </c>
      <c r="C698" s="13" t="n">
        <v>3851997733</v>
      </c>
      <c r="D698" s="13" t="inlineStr">
        <is>
          <t>3851997733</t>
        </is>
      </c>
      <c r="E698" s="13" t="inlineStr">
        <is>
          <t>ЮЛ РФ</t>
        </is>
      </c>
      <c r="F698" s="13" t="n"/>
      <c r="G698" s="14" t="n"/>
      <c r="H698" s="14" t="n"/>
      <c r="I698" s="14" t="n"/>
      <c r="J698" s="14" t="n"/>
      <c r="K698" s="53" t="inlineStr"/>
      <c r="L698" s="53" t="inlineStr">
        <is>
          <t>Не определено</t>
        </is>
      </c>
      <c r="M698" s="53" t="inlineStr"/>
      <c r="N698" s="54" t="inlineStr"/>
      <c r="O698" s="55" t="inlineStr"/>
      <c r="P698" s="16" t="inlineStr">
        <is>
          <t>Требует обогащения</t>
        </is>
      </c>
      <c r="Q698" s="16">
        <f>HYPERLINK("https://pb.nalog.ru/search.html?query=3851997733","ФНС: проверить")</f>
        <v/>
      </c>
      <c r="R698" s="16">
        <f>HYPERLINK("https://checko.ru/search?query=3801001629","Чекко: проверить")</f>
        <v/>
      </c>
      <c r="S698" t="n">
        <v>1</v>
      </c>
      <c r="T698" s="35" t="inlineStr">
        <is>
          <t>4 — Не обогащён</t>
        </is>
      </c>
      <c r="U698" s="35" t="inlineStr">
        <is>
          <t>Нет ОКВЭД/ССЧР</t>
        </is>
      </c>
      <c r="V698" s="35" t="inlineStr">
        <is>
          <t>Не определено</t>
        </is>
      </c>
      <c r="W698" s="35" t="inlineStr"/>
      <c r="X698" s="35" t="inlineStr"/>
    </row>
    <row r="699" ht="27.75" customHeight="1" s="24">
      <c r="A699" s="13" t="n">
        <v>5000038145</v>
      </c>
      <c r="B699" s="13" t="inlineStr">
        <is>
          <t>МБУК "Межпоселенческий культурный Центр Досуга"</t>
        </is>
      </c>
      <c r="C699" s="13" t="n">
        <v>8501005808</v>
      </c>
      <c r="D699" s="13" t="inlineStr">
        <is>
          <t>8501005808</t>
        </is>
      </c>
      <c r="E699" s="13" t="inlineStr">
        <is>
          <t>ЮЛ РФ</t>
        </is>
      </c>
      <c r="F699" s="13" t="n"/>
      <c r="G699" s="14" t="n"/>
      <c r="H699" s="14" t="n"/>
      <c r="I699" s="14" t="n"/>
      <c r="J699" s="14" t="n"/>
      <c r="K699" s="53" t="inlineStr"/>
      <c r="L699" s="53" t="inlineStr">
        <is>
          <t>Не определено</t>
        </is>
      </c>
      <c r="M699" s="53" t="inlineStr"/>
      <c r="N699" s="54" t="inlineStr"/>
      <c r="O699" s="55" t="inlineStr"/>
      <c r="P699" s="16" t="inlineStr">
        <is>
          <t>Требует обогащения</t>
        </is>
      </c>
      <c r="Q699" s="16">
        <f>HYPERLINK("https://pb.nalog.ru/search.html?query=8501005808","ФНС: проверить")</f>
        <v/>
      </c>
      <c r="R699" s="16">
        <f>HYPERLINK("https://checko.ru/search?query=3801001629","Чекко: проверить")</f>
        <v/>
      </c>
      <c r="S699" t="n">
        <v>1</v>
      </c>
      <c r="T699" s="35" t="inlineStr">
        <is>
          <t>4 — Не обогащён</t>
        </is>
      </c>
      <c r="U699" s="35" t="inlineStr">
        <is>
          <t>Нет ОКВЭД/ССЧР</t>
        </is>
      </c>
      <c r="V699" s="35" t="inlineStr">
        <is>
          <t>Не определено</t>
        </is>
      </c>
      <c r="W699" s="35" t="inlineStr"/>
      <c r="X699" s="35" t="inlineStr"/>
    </row>
    <row r="700" ht="27.75" customHeight="1" s="24">
      <c r="A700" s="13" t="n">
        <v>5000038147</v>
      </c>
      <c r="B700" s="13" t="inlineStr">
        <is>
          <t>МБУК "Межпоселенческая Центральная Библиотека Им. А.В.Вампилова"</t>
        </is>
      </c>
      <c r="C700" s="13" t="n">
        <v>8501005798</v>
      </c>
      <c r="D700" s="13" t="inlineStr">
        <is>
          <t>8501005798</t>
        </is>
      </c>
      <c r="E700" s="13" t="inlineStr">
        <is>
          <t>ЮЛ РФ</t>
        </is>
      </c>
      <c r="F700" s="13" t="n"/>
      <c r="G700" s="14" t="n"/>
      <c r="H700" s="14" t="n"/>
      <c r="I700" s="14" t="n"/>
      <c r="J700" s="14" t="n"/>
      <c r="K700" s="53" t="inlineStr"/>
      <c r="L700" s="53" t="inlineStr">
        <is>
          <t>Не определено</t>
        </is>
      </c>
      <c r="M700" s="53" t="inlineStr"/>
      <c r="N700" s="54" t="inlineStr"/>
      <c r="O700" s="55" t="inlineStr"/>
      <c r="P700" s="16" t="inlineStr">
        <is>
          <t>Требует обогащения</t>
        </is>
      </c>
      <c r="Q700" s="16">
        <f>HYPERLINK("https://pb.nalog.ru/search.html?query=8501005798","ФНС: проверить")</f>
        <v/>
      </c>
      <c r="R700" s="16">
        <f>HYPERLINK("https://checko.ru/search?query=3801001629","Чекко: проверить")</f>
        <v/>
      </c>
      <c r="S700" t="n">
        <v>1</v>
      </c>
      <c r="T700" s="35" t="inlineStr">
        <is>
          <t>4 — Не обогащён</t>
        </is>
      </c>
      <c r="U700" s="35" t="inlineStr">
        <is>
          <t>Нет ОКВЭД/ССЧР</t>
        </is>
      </c>
      <c r="V700" s="35" t="inlineStr">
        <is>
          <t>Не определено</t>
        </is>
      </c>
      <c r="W700" s="35" t="inlineStr"/>
      <c r="X700" s="35" t="inlineStr"/>
    </row>
    <row r="701" ht="27.75" customHeight="1" s="24">
      <c r="A701" s="13" t="n">
        <v>5000038148</v>
      </c>
      <c r="B701" s="13" t="inlineStr">
        <is>
          <t>МБУ ДО Районная Детская Школа Искусств Имени А.Ф. Зонхоева</t>
        </is>
      </c>
      <c r="C701" s="13" t="n">
        <v>8501005780</v>
      </c>
      <c r="D701" s="13" t="inlineStr">
        <is>
          <t>8501005780</t>
        </is>
      </c>
      <c r="E701" s="13" t="inlineStr">
        <is>
          <t>ЮЛ РФ</t>
        </is>
      </c>
      <c r="F701" s="13" t="n"/>
      <c r="G701" s="14" t="n"/>
      <c r="H701" s="14" t="n"/>
      <c r="I701" s="14" t="n"/>
      <c r="J701" s="14" t="n"/>
      <c r="K701" s="53" t="inlineStr"/>
      <c r="L701" s="53" t="inlineStr">
        <is>
          <t>Не определено</t>
        </is>
      </c>
      <c r="M701" s="53" t="inlineStr"/>
      <c r="N701" s="54" t="inlineStr"/>
      <c r="O701" s="55" t="inlineStr"/>
      <c r="P701" s="16" t="inlineStr">
        <is>
          <t>Требует обогащения</t>
        </is>
      </c>
      <c r="Q701" s="16">
        <f>HYPERLINK("https://pb.nalog.ru/search.html?query=8501005780","ФНС: проверить")</f>
        <v/>
      </c>
      <c r="R701" s="16">
        <f>HYPERLINK("https://checko.ru/search?query=3801001629","Чекко: проверить")</f>
        <v/>
      </c>
      <c r="S701" t="n">
        <v>1</v>
      </c>
      <c r="T701" s="35" t="inlineStr">
        <is>
          <t>4 — Не обогащён</t>
        </is>
      </c>
      <c r="U701" s="35" t="inlineStr">
        <is>
          <t>Нет ОКВЭД/ССЧР</t>
        </is>
      </c>
      <c r="V701" s="35" t="inlineStr">
        <is>
          <t>Не определено</t>
        </is>
      </c>
      <c r="W701" s="35" t="inlineStr"/>
      <c r="X701" s="35" t="inlineStr"/>
    </row>
    <row r="702" ht="15" customHeight="1" s="24">
      <c r="A702" s="13" t="n">
        <v>5000097865</v>
      </c>
      <c r="B702" s="13" t="inlineStr">
        <is>
          <t>Финансовое управление администрации г.</t>
        </is>
      </c>
      <c r="C702" s="13" t="n">
        <v>3802001269</v>
      </c>
      <c r="D702" s="13" t="inlineStr">
        <is>
          <t>3802001269</t>
        </is>
      </c>
      <c r="E702" s="13" t="inlineStr">
        <is>
          <t>ЮЛ РФ</t>
        </is>
      </c>
      <c r="F702" s="13" t="n"/>
      <c r="G702" s="14" t="n"/>
      <c r="H702" s="14" t="n"/>
      <c r="I702" s="14" t="n"/>
      <c r="J702" s="14" t="n"/>
      <c r="K702" s="53" t="inlineStr"/>
      <c r="L702" s="53" t="inlineStr">
        <is>
          <t>Не определено</t>
        </is>
      </c>
      <c r="M702" s="53" t="inlineStr"/>
      <c r="N702" s="54" t="inlineStr"/>
      <c r="O702" s="55" t="inlineStr"/>
      <c r="P702" s="16" t="inlineStr">
        <is>
          <t>Требует обогащения</t>
        </is>
      </c>
      <c r="Q702" s="16">
        <f>HYPERLINK("https://pb.nalog.ru/search.html?query=3802001269","ФНС: проверить")</f>
        <v/>
      </c>
      <c r="R702" s="16">
        <f>HYPERLINK("https://checko.ru/search?query=3801001629","Чекко: проверить")</f>
        <v/>
      </c>
      <c r="S702" t="n">
        <v>1</v>
      </c>
      <c r="T702" s="35" t="inlineStr">
        <is>
          <t>4 — Не обогащён</t>
        </is>
      </c>
      <c r="U702" s="35" t="inlineStr">
        <is>
          <t>Нет ОКВЭД/ССЧР</t>
        </is>
      </c>
      <c r="V702" s="35" t="inlineStr">
        <is>
          <t>Не определено</t>
        </is>
      </c>
      <c r="W702" s="35" t="inlineStr"/>
      <c r="X702" s="35" t="inlineStr"/>
    </row>
    <row r="703" ht="15" customHeight="1" s="24">
      <c r="A703" s="13" t="n">
        <v>5000092906</v>
      </c>
      <c r="B703" s="13" t="inlineStr">
        <is>
          <t>Вершино-Шахтаминский детский дом""ГОУ</t>
        </is>
      </c>
      <c r="C703" s="13" t="n">
        <v>7526002109</v>
      </c>
      <c r="D703" s="13" t="inlineStr">
        <is>
          <t>7526002109</t>
        </is>
      </c>
      <c r="E703" s="13" t="inlineStr">
        <is>
          <t>ЮЛ РФ</t>
        </is>
      </c>
      <c r="F703" s="13" t="n"/>
      <c r="G703" s="14" t="n"/>
      <c r="H703" s="14" t="n"/>
      <c r="I703" s="14" t="n"/>
      <c r="J703" s="14" t="n"/>
      <c r="K703" s="53" t="inlineStr"/>
      <c r="L703" s="53" t="inlineStr">
        <is>
          <t>Не определено</t>
        </is>
      </c>
      <c r="M703" s="53" t="inlineStr"/>
      <c r="N703" s="54" t="inlineStr"/>
      <c r="O703" s="55" t="inlineStr"/>
      <c r="P703" s="16" t="inlineStr">
        <is>
          <t>Требует обогащения</t>
        </is>
      </c>
      <c r="Q703" s="16">
        <f>HYPERLINK("https://pb.nalog.ru/search.html?query=7526002109","ФНС: проверить")</f>
        <v/>
      </c>
      <c r="R703" s="16">
        <f>HYPERLINK("https://checko.ru/search?query=3801001629","Чекко: проверить")</f>
        <v/>
      </c>
      <c r="S703" t="n">
        <v>1</v>
      </c>
      <c r="T703" s="35" t="inlineStr">
        <is>
          <t>4 — Не обогащён</t>
        </is>
      </c>
      <c r="U703" s="35" t="inlineStr">
        <is>
          <t>Нет ОКВЭД/ССЧР</t>
        </is>
      </c>
      <c r="V703" s="35" t="inlineStr">
        <is>
          <t>Не определено</t>
        </is>
      </c>
      <c r="W703" s="35" t="inlineStr"/>
      <c r="X703" s="35" t="inlineStr"/>
    </row>
    <row r="704" ht="15" customHeight="1" s="24">
      <c r="A704" s="13" t="n">
        <v>5000092910</v>
      </c>
      <c r="B704" s="13" t="inlineStr">
        <is>
          <t>Карымский детский дом  ГОУ"</t>
        </is>
      </c>
      <c r="C704" s="13" t="n">
        <v>7508003653</v>
      </c>
      <c r="D704" s="13" t="inlineStr">
        <is>
          <t>7508003653</t>
        </is>
      </c>
      <c r="E704" s="13" t="inlineStr">
        <is>
          <t>ЮЛ РФ</t>
        </is>
      </c>
      <c r="F704" s="13" t="n"/>
      <c r="G704" s="14" t="n"/>
      <c r="H704" s="14" t="n"/>
      <c r="I704" s="14" t="n"/>
      <c r="J704" s="14" t="n"/>
      <c r="K704" s="53" t="inlineStr"/>
      <c r="L704" s="53" t="inlineStr">
        <is>
          <t>Не определено</t>
        </is>
      </c>
      <c r="M704" s="53" t="inlineStr"/>
      <c r="N704" s="54" t="inlineStr"/>
      <c r="O704" s="55" t="inlineStr"/>
      <c r="P704" s="16" t="inlineStr">
        <is>
          <t>Требует обогащения</t>
        </is>
      </c>
      <c r="Q704" s="16">
        <f>HYPERLINK("https://pb.nalog.ru/search.html?query=7508003653","ФНС: проверить")</f>
        <v/>
      </c>
      <c r="R704" s="16">
        <f>HYPERLINK("https://checko.ru/search?query=3801001629","Чекко: проверить")</f>
        <v/>
      </c>
      <c r="S704" t="n">
        <v>1</v>
      </c>
      <c r="T704" s="35" t="inlineStr">
        <is>
          <t>4 — Не обогащён</t>
        </is>
      </c>
      <c r="U704" s="35" t="inlineStr">
        <is>
          <t>Нет ОКВЭД/ССЧР</t>
        </is>
      </c>
      <c r="V704" s="35" t="inlineStr">
        <is>
          <t>Не определено</t>
        </is>
      </c>
      <c r="W704" s="35" t="inlineStr"/>
      <c r="X704" s="35" t="inlineStr"/>
    </row>
    <row r="705" ht="15" customHeight="1" s="24">
      <c r="A705" s="13" t="n">
        <v>5000092921</v>
      </c>
      <c r="B705" s="13" t="inlineStr">
        <is>
          <t>ГУСО ПЦСПСиД "Солнышко"</t>
        </is>
      </c>
      <c r="C705" s="13" t="n">
        <v>7518004840</v>
      </c>
      <c r="D705" s="13" t="inlineStr">
        <is>
          <t>7518004840</t>
        </is>
      </c>
      <c r="E705" s="13" t="inlineStr">
        <is>
          <t>ЮЛ РФ</t>
        </is>
      </c>
      <c r="F705" s="13" t="n"/>
      <c r="G705" s="14" t="n"/>
      <c r="H705" s="14" t="n"/>
      <c r="I705" s="14" t="n"/>
      <c r="J705" s="14" t="n"/>
      <c r="K705" s="53" t="inlineStr"/>
      <c r="L705" s="53" t="inlineStr">
        <is>
          <t>Не определено</t>
        </is>
      </c>
      <c r="M705" s="53" t="inlineStr"/>
      <c r="N705" s="54" t="inlineStr"/>
      <c r="O705" s="55" t="inlineStr"/>
      <c r="P705" s="16" t="inlineStr">
        <is>
          <t>Требует обогащения</t>
        </is>
      </c>
      <c r="Q705" s="16">
        <f>HYPERLINK("https://pb.nalog.ru/search.html?query=7518004840","ФНС: проверить")</f>
        <v/>
      </c>
      <c r="R705" s="16">
        <f>HYPERLINK("https://checko.ru/search?query=3801001629","Чекко: проверить")</f>
        <v/>
      </c>
      <c r="S705" t="n">
        <v>1</v>
      </c>
      <c r="T705" s="35" t="inlineStr">
        <is>
          <t>4 — Не обогащён</t>
        </is>
      </c>
      <c r="U705" s="35" t="inlineStr">
        <is>
          <t>Нет ОКВЭД/ССЧР</t>
        </is>
      </c>
      <c r="V705" s="35" t="inlineStr">
        <is>
          <t>Не определено</t>
        </is>
      </c>
      <c r="W705" s="35" t="inlineStr"/>
      <c r="X705" s="35" t="inlineStr"/>
    </row>
    <row r="706" ht="15" customHeight="1" s="24">
      <c r="A706" s="13" t="n">
        <v>5000092918</v>
      </c>
      <c r="B706" s="13" t="inlineStr">
        <is>
          <t>ГУСО БСРЦ "Подросток" Забайкальского края</t>
        </is>
      </c>
      <c r="C706" s="13" t="n">
        <v>7505003630</v>
      </c>
      <c r="D706" s="13" t="inlineStr">
        <is>
          <t>7505003630</t>
        </is>
      </c>
      <c r="E706" s="13" t="inlineStr">
        <is>
          <t>ЮЛ РФ</t>
        </is>
      </c>
      <c r="F706" s="13" t="n"/>
      <c r="G706" s="14" t="n"/>
      <c r="H706" s="14" t="n"/>
      <c r="I706" s="14" t="n"/>
      <c r="J706" s="14" t="n"/>
      <c r="K706" s="53" t="inlineStr"/>
      <c r="L706" s="53" t="inlineStr">
        <is>
          <t>Не определено</t>
        </is>
      </c>
      <c r="M706" s="53" t="inlineStr"/>
      <c r="N706" s="54" t="inlineStr"/>
      <c r="O706" s="55" t="inlineStr"/>
      <c r="P706" s="16" t="inlineStr">
        <is>
          <t>Требует обогащения</t>
        </is>
      </c>
      <c r="Q706" s="16">
        <f>HYPERLINK("https://pb.nalog.ru/search.html?query=7505003630","ФНС: проверить")</f>
        <v/>
      </c>
      <c r="R706" s="16">
        <f>HYPERLINK("https://checko.ru/search?query=3801001629","Чекко: проверить")</f>
        <v/>
      </c>
      <c r="S706" t="n">
        <v>1</v>
      </c>
      <c r="T706" s="35" t="inlineStr">
        <is>
          <t>4 — Не обогащён</t>
        </is>
      </c>
      <c r="U706" s="35" t="inlineStr">
        <is>
          <t>Нет ОКВЭД/ССЧР</t>
        </is>
      </c>
      <c r="V706" s="35" t="inlineStr">
        <is>
          <t>Не определено</t>
        </is>
      </c>
      <c r="W706" s="35" t="inlineStr"/>
      <c r="X706" s="35" t="inlineStr"/>
    </row>
    <row r="707" ht="27.75" customHeight="1" s="24">
      <c r="A707" s="13" t="n">
        <v>5000077066</v>
      </c>
      <c r="B707" s="13" t="inlineStr">
        <is>
          <t>Могочинская специальная (коррекционная) школа-интернат</t>
        </is>
      </c>
      <c r="C707" s="13" t="n">
        <v>7512000310</v>
      </c>
      <c r="D707" s="13" t="inlineStr">
        <is>
          <t>7512000310</t>
        </is>
      </c>
      <c r="E707" s="13" t="inlineStr">
        <is>
          <t>ЮЛ РФ</t>
        </is>
      </c>
      <c r="F707" s="13" t="n"/>
      <c r="G707" s="14" t="n"/>
      <c r="H707" s="14" t="n"/>
      <c r="I707" s="14" t="n"/>
      <c r="J707" s="14" t="n"/>
      <c r="K707" s="53" t="inlineStr"/>
      <c r="L707" s="53" t="inlineStr">
        <is>
          <t>Не определено</t>
        </is>
      </c>
      <c r="M707" s="53" t="inlineStr"/>
      <c r="N707" s="54" t="inlineStr"/>
      <c r="O707" s="55" t="inlineStr"/>
      <c r="P707" s="16" t="inlineStr">
        <is>
          <t>Требует обогащения</t>
        </is>
      </c>
      <c r="Q707" s="16">
        <f>HYPERLINK("https://pb.nalog.ru/search.html?query=7512000310","ФНС: проверить")</f>
        <v/>
      </c>
      <c r="R707" s="16">
        <f>HYPERLINK("https://checko.ru/search?query=3801001629","Чекко: проверить")</f>
        <v/>
      </c>
      <c r="S707" t="n">
        <v>1</v>
      </c>
      <c r="T707" s="35" t="inlineStr">
        <is>
          <t>4 — Не обогащён</t>
        </is>
      </c>
      <c r="U707" s="35" t="inlineStr">
        <is>
          <t>Нет ОКВЭД/ССЧР</t>
        </is>
      </c>
      <c r="V707" s="35" t="inlineStr">
        <is>
          <t>Не определено</t>
        </is>
      </c>
      <c r="W707" s="35" t="inlineStr"/>
      <c r="X707" s="35" t="inlineStr"/>
    </row>
    <row r="708" ht="15" customHeight="1" s="24">
      <c r="A708" s="13" t="n">
        <v>5000092912</v>
      </c>
      <c r="B708" s="13" t="inlineStr">
        <is>
          <t>ГУСО ИКЦСОН "Милосердие"Забайкальского края</t>
        </is>
      </c>
      <c r="C708" s="13" t="n">
        <v>7534013778</v>
      </c>
      <c r="D708" s="13" t="inlineStr">
        <is>
          <t>7534013778</t>
        </is>
      </c>
      <c r="E708" s="13" t="inlineStr">
        <is>
          <t>ЮЛ РФ</t>
        </is>
      </c>
      <c r="F708" s="13" t="n"/>
      <c r="G708" s="14" t="n"/>
      <c r="H708" s="14" t="n"/>
      <c r="I708" s="14" t="n"/>
      <c r="J708" s="14" t="n"/>
      <c r="K708" s="53" t="inlineStr"/>
      <c r="L708" s="53" t="inlineStr">
        <is>
          <t>Не определено</t>
        </is>
      </c>
      <c r="M708" s="53" t="inlineStr"/>
      <c r="N708" s="54" t="inlineStr"/>
      <c r="O708" s="55" t="inlineStr"/>
      <c r="P708" s="16" t="inlineStr">
        <is>
          <t>Требует обогащения</t>
        </is>
      </c>
      <c r="Q708" s="16">
        <f>HYPERLINK("https://pb.nalog.ru/search.html?query=7534013778","ФНС: проверить")</f>
        <v/>
      </c>
      <c r="R708" s="16">
        <f>HYPERLINK("https://checko.ru/search?query=3801001629","Чекко: проверить")</f>
        <v/>
      </c>
      <c r="S708" t="n">
        <v>1</v>
      </c>
      <c r="T708" s="35" t="inlineStr">
        <is>
          <t>4 — Не обогащён</t>
        </is>
      </c>
      <c r="U708" s="35" t="inlineStr">
        <is>
          <t>Нет ОКВЭД/ССЧР</t>
        </is>
      </c>
      <c r="V708" s="35" t="inlineStr">
        <is>
          <t>Не определено</t>
        </is>
      </c>
      <c r="W708" s="35" t="inlineStr"/>
      <c r="X708" s="35" t="inlineStr"/>
    </row>
    <row r="709" ht="27.75" customHeight="1" s="24">
      <c r="A709" s="13" t="n">
        <v>5000092911</v>
      </c>
      <c r="B709" s="13" t="inlineStr">
        <is>
          <t>ГУСО "МАККАВЕЕВСКИЙ ЦПДОПР "ИМПУЛЬС" ЗАБАЙКАЛЬСКОГО КРАЯ</t>
        </is>
      </c>
      <c r="C709" s="13" t="n">
        <v>7524008480</v>
      </c>
      <c r="D709" s="13" t="inlineStr">
        <is>
          <t>7524008480</t>
        </is>
      </c>
      <c r="E709" s="13" t="inlineStr">
        <is>
          <t>ЮЛ РФ</t>
        </is>
      </c>
      <c r="F709" s="13" t="n"/>
      <c r="G709" s="14" t="n"/>
      <c r="H709" s="14" t="n"/>
      <c r="I709" s="14" t="n"/>
      <c r="J709" s="14" t="n"/>
      <c r="K709" s="53" t="inlineStr"/>
      <c r="L709" s="53" t="inlineStr">
        <is>
          <t>Не определено</t>
        </is>
      </c>
      <c r="M709" s="53" t="inlineStr"/>
      <c r="N709" s="54" t="inlineStr"/>
      <c r="O709" s="55" t="inlineStr"/>
      <c r="P709" s="16" t="inlineStr">
        <is>
          <t>Требует обогащения</t>
        </is>
      </c>
      <c r="Q709" s="16">
        <f>HYPERLINK("https://pb.nalog.ru/search.html?query=7524008480","ФНС: проверить")</f>
        <v/>
      </c>
      <c r="R709" s="16">
        <f>HYPERLINK("https://checko.ru/search?query=3801001629","Чекко: проверить")</f>
        <v/>
      </c>
      <c r="S709" t="n">
        <v>1</v>
      </c>
      <c r="T709" s="35" t="inlineStr">
        <is>
          <t>4 — Не обогащён</t>
        </is>
      </c>
      <c r="U709" s="35" t="inlineStr">
        <is>
          <t>Нет ОКВЭД/ССЧР</t>
        </is>
      </c>
      <c r="V709" s="35" t="inlineStr">
        <is>
          <t>Не определено</t>
        </is>
      </c>
      <c r="W709" s="35" t="inlineStr"/>
      <c r="X709" s="35" t="inlineStr"/>
    </row>
    <row r="710" ht="27.75" customHeight="1" s="24">
      <c r="A710" s="13" t="n">
        <v>5000077065</v>
      </c>
      <c r="B710" s="13" t="inlineStr">
        <is>
          <t>ГОУ Малетинская Спец. (коррекционная)  школа-интернат</t>
        </is>
      </c>
      <c r="C710" s="13" t="n">
        <v>7517002590</v>
      </c>
      <c r="D710" s="13" t="inlineStr">
        <is>
          <t>7517002590</t>
        </is>
      </c>
      <c r="E710" s="13" t="inlineStr">
        <is>
          <t>ЮЛ РФ</t>
        </is>
      </c>
      <c r="F710" s="13" t="n"/>
      <c r="G710" s="14" t="n"/>
      <c r="H710" s="14" t="n"/>
      <c r="I710" s="14" t="n"/>
      <c r="J710" s="14" t="n"/>
      <c r="K710" s="53" t="inlineStr"/>
      <c r="L710" s="53" t="inlineStr">
        <is>
          <t>Не определено</t>
        </is>
      </c>
      <c r="M710" s="53" t="inlineStr"/>
      <c r="N710" s="54" t="inlineStr"/>
      <c r="O710" s="55" t="inlineStr"/>
      <c r="P710" s="16" t="inlineStr">
        <is>
          <t>Требует обогащения</t>
        </is>
      </c>
      <c r="Q710" s="16">
        <f>HYPERLINK("https://pb.nalog.ru/search.html?query=7517002590","ФНС: проверить")</f>
        <v/>
      </c>
      <c r="R710" s="16">
        <f>HYPERLINK("https://checko.ru/search?query=3801001629","Чекко: проверить")</f>
        <v/>
      </c>
      <c r="S710" t="n">
        <v>1</v>
      </c>
      <c r="T710" s="35" t="inlineStr">
        <is>
          <t>4 — Не обогащён</t>
        </is>
      </c>
      <c r="U710" s="35" t="inlineStr">
        <is>
          <t>Нет ОКВЭД/ССЧР</t>
        </is>
      </c>
      <c r="V710" s="35" t="inlineStr">
        <is>
          <t>Не определено</t>
        </is>
      </c>
      <c r="W710" s="35" t="inlineStr"/>
      <c r="X710" s="35" t="inlineStr"/>
    </row>
    <row r="711" ht="41.25" customHeight="1" s="24">
      <c r="A711" s="13" t="n">
        <v>5000092907</v>
      </c>
      <c r="B711" s="13" t="inlineStr">
        <is>
          <t>ГУСО "Могочинский центр социального обслуживания граждан пожилого возраста и инвалидов"</t>
        </is>
      </c>
      <c r="C711" s="13" t="n">
        <v>7512005011</v>
      </c>
      <c r="D711" s="13" t="inlineStr">
        <is>
          <t>7512005011</t>
        </is>
      </c>
      <c r="E711" s="13" t="inlineStr">
        <is>
          <t>ЮЛ РФ</t>
        </is>
      </c>
      <c r="F711" s="13" t="n"/>
      <c r="G711" s="14" t="n"/>
      <c r="H711" s="14" t="n"/>
      <c r="I711" s="14" t="n"/>
      <c r="J711" s="14" t="n"/>
      <c r="K711" s="53" t="inlineStr"/>
      <c r="L711" s="53" t="inlineStr">
        <is>
          <t>Не определено</t>
        </is>
      </c>
      <c r="M711" s="53" t="inlineStr"/>
      <c r="N711" s="54" t="inlineStr"/>
      <c r="O711" s="55" t="inlineStr"/>
      <c r="P711" s="16" t="inlineStr">
        <is>
          <t>Требует обогащения</t>
        </is>
      </c>
      <c r="Q711" s="16">
        <f>HYPERLINK("https://pb.nalog.ru/search.html?query=7512005011","ФНС: проверить")</f>
        <v/>
      </c>
      <c r="R711" s="16">
        <f>HYPERLINK("https://checko.ru/search?query=3801001629","Чекко: проверить")</f>
        <v/>
      </c>
      <c r="S711" t="n">
        <v>1</v>
      </c>
      <c r="T711" s="35" t="inlineStr">
        <is>
          <t>4 — Не обогащён</t>
        </is>
      </c>
      <c r="U711" s="35" t="inlineStr">
        <is>
          <t>Нет ОКВЭД/ССЧР</t>
        </is>
      </c>
      <c r="V711" s="35" t="inlineStr">
        <is>
          <t>Не определено</t>
        </is>
      </c>
      <c r="W711" s="35" t="inlineStr"/>
      <c r="X711" s="35" t="inlineStr"/>
    </row>
    <row r="712" ht="27.75" customHeight="1" s="24">
      <c r="A712" s="13" t="n">
        <v>5000092916</v>
      </c>
      <c r="B712" s="13" t="inlineStr">
        <is>
          <t>ГУСО Кыринский  СРЦ "Перекрёсток" Забайкальского края</t>
        </is>
      </c>
      <c r="C712" s="13" t="n">
        <v>7510002199</v>
      </c>
      <c r="D712" s="13" t="inlineStr">
        <is>
          <t>7510002199</t>
        </is>
      </c>
      <c r="E712" s="13" t="inlineStr">
        <is>
          <t>ЮЛ РФ</t>
        </is>
      </c>
      <c r="F712" s="13" t="n"/>
      <c r="G712" s="14" t="n"/>
      <c r="H712" s="14" t="n"/>
      <c r="I712" s="14" t="n"/>
      <c r="J712" s="14" t="n"/>
      <c r="K712" s="53" t="inlineStr"/>
      <c r="L712" s="53" t="inlineStr">
        <is>
          <t>Не определено</t>
        </is>
      </c>
      <c r="M712" s="53" t="inlineStr"/>
      <c r="N712" s="54" t="inlineStr"/>
      <c r="O712" s="55" t="inlineStr"/>
      <c r="P712" s="16" t="inlineStr">
        <is>
          <t>Требует обогащения</t>
        </is>
      </c>
      <c r="Q712" s="16">
        <f>HYPERLINK("https://pb.nalog.ru/search.html?query=7510002199","ФНС: проверить")</f>
        <v/>
      </c>
      <c r="R712" s="16">
        <f>HYPERLINK("https://checko.ru/search?query=3801001629","Чекко: проверить")</f>
        <v/>
      </c>
      <c r="S712" t="n">
        <v>1</v>
      </c>
      <c r="T712" s="35" t="inlineStr">
        <is>
          <t>4 — Не обогащён</t>
        </is>
      </c>
      <c r="U712" s="35" t="inlineStr">
        <is>
          <t>Нет ОКВЭД/ССЧР</t>
        </is>
      </c>
      <c r="V712" s="35" t="inlineStr">
        <is>
          <t>Не определено</t>
        </is>
      </c>
      <c r="W712" s="35" t="inlineStr"/>
      <c r="X712" s="35" t="inlineStr"/>
    </row>
    <row r="713" ht="41.25" customHeight="1" s="24">
      <c r="A713" s="13" t="n">
        <v>5000076572</v>
      </c>
      <c r="B713" s="13" t="inlineStr">
        <is>
          <t>УПРАВЛЕНИЕ ОБРАЗОВАНИЯ АДМИНИСТРАЦИИ ИРКУТСКОГО РАЙОННОГО МУНИЦИПАЛЬНОГО ОБРАЗОВАНИЯ</t>
        </is>
      </c>
      <c r="C713" s="13" t="n">
        <v>3827013160</v>
      </c>
      <c r="D713" s="13" t="inlineStr">
        <is>
          <t>3827013160</t>
        </is>
      </c>
      <c r="E713" s="13" t="inlineStr">
        <is>
          <t>ЮЛ РФ</t>
        </is>
      </c>
      <c r="F713" s="13" t="n"/>
      <c r="G713" s="14" t="n"/>
      <c r="H713" s="14" t="n"/>
      <c r="I713" s="14" t="n"/>
      <c r="J713" s="14" t="n"/>
      <c r="K713" s="53" t="inlineStr"/>
      <c r="L713" s="53" t="inlineStr">
        <is>
          <t>Не определено</t>
        </is>
      </c>
      <c r="M713" s="53" t="inlineStr"/>
      <c r="N713" s="54" t="inlineStr"/>
      <c r="O713" s="55" t="inlineStr"/>
      <c r="P713" s="16" t="inlineStr">
        <is>
          <t>Требует обогащения</t>
        </is>
      </c>
      <c r="Q713" s="16">
        <f>HYPERLINK("https://pb.nalog.ru/search.html?query=3827013160","ФНС: проверить")</f>
        <v/>
      </c>
      <c r="R713" s="16">
        <f>HYPERLINK("https://checko.ru/search?query=3801001629","Чекко: проверить")</f>
        <v/>
      </c>
      <c r="S713" t="n">
        <v>1</v>
      </c>
      <c r="T713" s="35" t="inlineStr">
        <is>
          <t>4 — Не обогащён</t>
        </is>
      </c>
      <c r="U713" s="35" t="inlineStr">
        <is>
          <t>Нет ОКВЭД/ССЧР</t>
        </is>
      </c>
      <c r="V713" s="35" t="inlineStr">
        <is>
          <t>Не определено</t>
        </is>
      </c>
      <c r="W713" s="35" t="inlineStr"/>
      <c r="X713" s="35" t="inlineStr"/>
    </row>
    <row r="714" ht="27.75" customHeight="1" s="24">
      <c r="A714" s="13" t="n">
        <v>5000077076</v>
      </c>
      <c r="B714" s="13" t="inlineStr">
        <is>
          <t>ГОУ "ХОХОТУЙСКАЯ СПЕЦИАЛЬНАЯ (КОРРЕКЦИОННАЯ) ШКОЛА-ИНТЕРНАТ"</t>
        </is>
      </c>
      <c r="C714" s="13" t="n">
        <v>7517001902</v>
      </c>
      <c r="D714" s="13" t="inlineStr">
        <is>
          <t>7517001902</t>
        </is>
      </c>
      <c r="E714" s="13" t="inlineStr">
        <is>
          <t>ЮЛ РФ</t>
        </is>
      </c>
      <c r="F714" s="13" t="n"/>
      <c r="G714" s="14" t="n"/>
      <c r="H714" s="14" t="n"/>
      <c r="I714" s="14" t="n"/>
      <c r="J714" s="14" t="n"/>
      <c r="K714" s="53" t="inlineStr"/>
      <c r="L714" s="53" t="inlineStr">
        <is>
          <t>Не определено</t>
        </is>
      </c>
      <c r="M714" s="53" t="inlineStr"/>
      <c r="N714" s="54" t="inlineStr"/>
      <c r="O714" s="55" t="inlineStr"/>
      <c r="P714" s="16" t="inlineStr">
        <is>
          <t>Требует обогащения</t>
        </is>
      </c>
      <c r="Q714" s="16">
        <f>HYPERLINK("https://pb.nalog.ru/search.html?query=7517001902","ФНС: проверить")</f>
        <v/>
      </c>
      <c r="R714" s="16">
        <f>HYPERLINK("https://checko.ru/search?query=3801001629","Чекко: проверить")</f>
        <v/>
      </c>
      <c r="S714" t="n">
        <v>1</v>
      </c>
      <c r="T714" s="35" t="inlineStr">
        <is>
          <t>4 — Не обогащён</t>
        </is>
      </c>
      <c r="U714" s="35" t="inlineStr">
        <is>
          <t>Нет ОКВЭД/ССЧР</t>
        </is>
      </c>
      <c r="V714" s="35" t="inlineStr">
        <is>
          <t>Не определено</t>
        </is>
      </c>
      <c r="W714" s="35" t="inlineStr"/>
      <c r="X714" s="35" t="inlineStr"/>
    </row>
    <row r="715" ht="15" customHeight="1" s="24">
      <c r="A715" s="13" t="n">
        <v>5000092905</v>
      </c>
      <c r="B715" s="13" t="inlineStr">
        <is>
          <t>ГОУ Борзинский детский дом-школа Светлячок</t>
        </is>
      </c>
      <c r="C715" s="13" t="n">
        <v>7529007151</v>
      </c>
      <c r="D715" s="13" t="inlineStr">
        <is>
          <t>7529007151</t>
        </is>
      </c>
      <c r="E715" s="13" t="inlineStr">
        <is>
          <t>ЮЛ РФ</t>
        </is>
      </c>
      <c r="F715" s="13" t="n"/>
      <c r="G715" s="14" t="n"/>
      <c r="H715" s="14" t="n"/>
      <c r="I715" s="14" t="n"/>
      <c r="J715" s="14" t="n"/>
      <c r="K715" s="53" t="inlineStr"/>
      <c r="L715" s="53" t="inlineStr">
        <is>
          <t>Не определено</t>
        </is>
      </c>
      <c r="M715" s="53" t="inlineStr"/>
      <c r="N715" s="54" t="inlineStr"/>
      <c r="O715" s="55" t="inlineStr"/>
      <c r="P715" s="16" t="inlineStr">
        <is>
          <t>Требует обогащения</t>
        </is>
      </c>
      <c r="Q715" s="16">
        <f>HYPERLINK("https://pb.nalog.ru/search.html?query=7529007151","ФНС: проверить")</f>
        <v/>
      </c>
      <c r="R715" s="16">
        <f>HYPERLINK("https://checko.ru/search?query=3801001629","Чекко: проверить")</f>
        <v/>
      </c>
      <c r="S715" t="n">
        <v>1</v>
      </c>
      <c r="T715" s="35" t="inlineStr">
        <is>
          <t>4 — Не обогащён</t>
        </is>
      </c>
      <c r="U715" s="35" t="inlineStr">
        <is>
          <t>Нет ОКВЭД/ССЧР</t>
        </is>
      </c>
      <c r="V715" s="35" t="inlineStr">
        <is>
          <t>Не определено</t>
        </is>
      </c>
      <c r="W715" s="35" t="inlineStr"/>
      <c r="X715" s="35" t="inlineStr"/>
    </row>
    <row r="716" ht="27.75" customHeight="1" s="24">
      <c r="A716" s="13" t="n">
        <v>5000037594</v>
      </c>
      <c r="B716" s="13" t="inlineStr">
        <is>
          <t>МКУК "Культурно-досуговый центр" Подымахинского муниципального образования</t>
        </is>
      </c>
      <c r="C716" s="13" t="n">
        <v>3818030762</v>
      </c>
      <c r="D716" s="13" t="inlineStr">
        <is>
          <t>3818030762</t>
        </is>
      </c>
      <c r="E716" s="13" t="inlineStr">
        <is>
          <t>ЮЛ РФ</t>
        </is>
      </c>
      <c r="F716" s="13" t="n"/>
      <c r="G716" s="14" t="n"/>
      <c r="H716" s="14" t="n"/>
      <c r="I716" s="14" t="n"/>
      <c r="J716" s="14" t="n"/>
      <c r="K716" s="53" t="inlineStr"/>
      <c r="L716" s="53" t="inlineStr">
        <is>
          <t>Не определено</t>
        </is>
      </c>
      <c r="M716" s="53" t="inlineStr"/>
      <c r="N716" s="54" t="inlineStr"/>
      <c r="O716" s="55" t="inlineStr"/>
      <c r="P716" s="16" t="inlineStr">
        <is>
          <t>Требует обогащения</t>
        </is>
      </c>
      <c r="Q716" s="16">
        <f>HYPERLINK("https://pb.nalog.ru/search.html?query=3818030762","ФНС: проверить")</f>
        <v/>
      </c>
      <c r="R716" s="16">
        <f>HYPERLINK("https://checko.ru/search?query=3801001629","Чекко: проверить")</f>
        <v/>
      </c>
      <c r="S716" t="n">
        <v>1</v>
      </c>
      <c r="T716" s="35" t="inlineStr">
        <is>
          <t>4 — Не обогащён</t>
        </is>
      </c>
      <c r="U716" s="35" t="inlineStr">
        <is>
          <t>Нет ОКВЭД/ССЧР</t>
        </is>
      </c>
      <c r="V716" s="35" t="inlineStr">
        <is>
          <t>Не определено</t>
        </is>
      </c>
      <c r="W716" s="35" t="inlineStr"/>
      <c r="X716" s="35" t="inlineStr"/>
    </row>
    <row r="717" ht="15" customHeight="1" s="24">
      <c r="A717" s="13" t="n">
        <v>5000097864</v>
      </c>
      <c r="B717" s="13" t="inlineStr">
        <is>
          <t>МАУ "Бодайбоинформпечать"</t>
        </is>
      </c>
      <c r="C717" s="13" t="n">
        <v>3802013578</v>
      </c>
      <c r="D717" s="13" t="inlineStr">
        <is>
          <t>3802013578</t>
        </is>
      </c>
      <c r="E717" s="13" t="inlineStr">
        <is>
          <t>ЮЛ РФ</t>
        </is>
      </c>
      <c r="F717" s="13" t="n"/>
      <c r="G717" s="14" t="n"/>
      <c r="H717" s="14" t="n"/>
      <c r="I717" s="14" t="n"/>
      <c r="J717" s="14" t="n"/>
      <c r="K717" s="53" t="inlineStr"/>
      <c r="L717" s="53" t="inlineStr">
        <is>
          <t>Не определено</t>
        </is>
      </c>
      <c r="M717" s="53" t="inlineStr"/>
      <c r="N717" s="54" t="inlineStr"/>
      <c r="O717" s="55" t="inlineStr"/>
      <c r="P717" s="16" t="inlineStr">
        <is>
          <t>Требует обогащения</t>
        </is>
      </c>
      <c r="Q717" s="16">
        <f>HYPERLINK("https://pb.nalog.ru/search.html?query=3802013578","ФНС: проверить")</f>
        <v/>
      </c>
      <c r="R717" s="16">
        <f>HYPERLINK("https://checko.ru/search?query=3801001629","Чекко: проверить")</f>
        <v/>
      </c>
      <c r="S717" t="n">
        <v>1</v>
      </c>
      <c r="T717" s="35" t="inlineStr">
        <is>
          <t>4 — Не обогащён</t>
        </is>
      </c>
      <c r="U717" s="35" t="inlineStr">
        <is>
          <t>Нет ОКВЭД/ССЧР</t>
        </is>
      </c>
      <c r="V717" s="35" t="inlineStr">
        <is>
          <t>Не определено</t>
        </is>
      </c>
      <c r="W717" s="35" t="inlineStr"/>
      <c r="X717" s="35" t="inlineStr"/>
    </row>
    <row r="718" ht="27.75" customHeight="1" s="24">
      <c r="A718" s="13" t="n">
        <v>5000008113</v>
      </c>
      <c r="B718" s="13" t="inlineStr">
        <is>
          <t>МКУ "АРХИВ АДМИНИСТРАЦИИ Г.БОДАЙБО И РАЙОНА"</t>
        </is>
      </c>
      <c r="C718" s="13" t="n">
        <v>3802012172</v>
      </c>
      <c r="D718" s="13" t="inlineStr">
        <is>
          <t>3802012172</t>
        </is>
      </c>
      <c r="E718" s="13" t="inlineStr">
        <is>
          <t>ЮЛ РФ</t>
        </is>
      </c>
      <c r="F718" s="13" t="n"/>
      <c r="G718" s="14" t="n"/>
      <c r="H718" s="14" t="n"/>
      <c r="I718" s="14" t="n"/>
      <c r="J718" s="14" t="n"/>
      <c r="K718" s="53" t="inlineStr"/>
      <c r="L718" s="53" t="inlineStr">
        <is>
          <t>Не определено</t>
        </is>
      </c>
      <c r="M718" s="53" t="inlineStr"/>
      <c r="N718" s="54" t="inlineStr"/>
      <c r="O718" s="55" t="inlineStr"/>
      <c r="P718" s="16" t="inlineStr">
        <is>
          <t>Требует обогащения</t>
        </is>
      </c>
      <c r="Q718" s="16">
        <f>HYPERLINK("https://pb.nalog.ru/search.html?query=3802012172","ФНС: проверить")</f>
        <v/>
      </c>
      <c r="R718" s="16">
        <f>HYPERLINK("https://checko.ru/search?query=3801001629","Чекко: проверить")</f>
        <v/>
      </c>
      <c r="S718" t="n">
        <v>1</v>
      </c>
      <c r="T718" s="35" t="inlineStr">
        <is>
          <t>4 — Не обогащён</t>
        </is>
      </c>
      <c r="U718" s="35" t="inlineStr">
        <is>
          <t>Нет ОКВЭД/ССЧР</t>
        </is>
      </c>
      <c r="V718" s="35" t="inlineStr">
        <is>
          <t>Не определено</t>
        </is>
      </c>
      <c r="W718" s="35" t="inlineStr"/>
      <c r="X718" s="35" t="inlineStr"/>
    </row>
    <row r="719" ht="27.75" customHeight="1" s="24">
      <c r="A719" s="13" t="n">
        <v>5000008114</v>
      </c>
      <c r="B719" s="13" t="inlineStr">
        <is>
          <t>Единая дежурно-диспетчерская служба администрации г. Бодайбо и района, МКУ</t>
        </is>
      </c>
      <c r="C719" s="13" t="n">
        <v>3802013176</v>
      </c>
      <c r="D719" s="13" t="inlineStr">
        <is>
          <t>3802013176</t>
        </is>
      </c>
      <c r="E719" s="13" t="inlineStr">
        <is>
          <t>ЮЛ РФ</t>
        </is>
      </c>
      <c r="F719" s="13" t="n"/>
      <c r="G719" s="14" t="n"/>
      <c r="H719" s="14" t="n"/>
      <c r="I719" s="14" t="n"/>
      <c r="J719" s="14" t="n"/>
      <c r="K719" s="53" t="inlineStr"/>
      <c r="L719" s="53" t="inlineStr">
        <is>
          <t>Не определено</t>
        </is>
      </c>
      <c r="M719" s="53" t="inlineStr"/>
      <c r="N719" s="54" t="inlineStr"/>
      <c r="O719" s="55" t="inlineStr"/>
      <c r="P719" s="16" t="inlineStr">
        <is>
          <t>Требует обогащения</t>
        </is>
      </c>
      <c r="Q719" s="16">
        <f>HYPERLINK("https://pb.nalog.ru/search.html?query=3802013176","ФНС: проверить")</f>
        <v/>
      </c>
      <c r="R719" s="16">
        <f>HYPERLINK("https://checko.ru/search?query=3801001629","Чекко: проверить")</f>
        <v/>
      </c>
      <c r="S719" t="n">
        <v>1</v>
      </c>
      <c r="T719" s="35" t="inlineStr">
        <is>
          <t>4 — Не обогащён</t>
        </is>
      </c>
      <c r="U719" s="35" t="inlineStr">
        <is>
          <t>Нет ОКВЭД/ССЧР</t>
        </is>
      </c>
      <c r="V719" s="35" t="inlineStr">
        <is>
          <t>Не определено</t>
        </is>
      </c>
      <c r="W719" s="35" t="inlineStr"/>
      <c r="X719" s="35" t="inlineStr"/>
    </row>
    <row r="720" ht="27.75" customHeight="1" s="24">
      <c r="A720" s="13" t="n">
        <v>5000008112</v>
      </c>
      <c r="B720" s="13" t="inlineStr">
        <is>
          <t>АДМИНИСТРАЦИЯ МУНИЦИПАЛЬНОГО ОБРАЗОВАНИЯ Г.БОДАЙБО И РАЙОНА</t>
        </is>
      </c>
      <c r="C720" s="13" t="n">
        <v>3802001340</v>
      </c>
      <c r="D720" s="13" t="inlineStr">
        <is>
          <t>3802001340</t>
        </is>
      </c>
      <c r="E720" s="13" t="inlineStr">
        <is>
          <t>ЮЛ РФ</t>
        </is>
      </c>
      <c r="F720" s="13" t="n"/>
      <c r="G720" s="14" t="n"/>
      <c r="H720" s="14" t="n"/>
      <c r="I720" s="14" t="n"/>
      <c r="J720" s="14" t="n"/>
      <c r="K720" s="53" t="inlineStr"/>
      <c r="L720" s="53" t="inlineStr">
        <is>
          <t>Не определено</t>
        </is>
      </c>
      <c r="M720" s="53" t="inlineStr"/>
      <c r="N720" s="54" t="inlineStr"/>
      <c r="O720" s="55" t="inlineStr"/>
      <c r="P720" s="16" t="inlineStr">
        <is>
          <t>Требует обогащения</t>
        </is>
      </c>
      <c r="Q720" s="16">
        <f>HYPERLINK("https://pb.nalog.ru/search.html?query=3802001340","ФНС: проверить")</f>
        <v/>
      </c>
      <c r="R720" s="16">
        <f>HYPERLINK("https://checko.ru/search?query=3801001629","Чекко: проверить")</f>
        <v/>
      </c>
      <c r="S720" t="n">
        <v>1</v>
      </c>
      <c r="T720" s="35" t="inlineStr">
        <is>
          <t>4 — Не обогащён</t>
        </is>
      </c>
      <c r="U720" s="35" t="inlineStr">
        <is>
          <t>Нет ОКВЭД/ССЧР</t>
        </is>
      </c>
      <c r="V720" s="35" t="inlineStr">
        <is>
          <t>Не определено</t>
        </is>
      </c>
      <c r="W720" s="35" t="inlineStr"/>
      <c r="X720" s="35" t="inlineStr"/>
    </row>
    <row r="721" ht="41.25" customHeight="1" s="24">
      <c r="A721" s="13" t="n">
        <v>5000092914</v>
      </c>
      <c r="B721" s="13" t="inlineStr">
        <is>
          <t>ГОСУДАРСТВЕННОЕ УЧРЕЖДЕНИЕ СОЦИАЛЬНОГО ОБСЛУЖИВАНИЯ "НОВО-АКАТУЙСКИЙ КОМПЛЕКСНЫЙ ЦЕНТР СОЦИАЛЬНОГО О</t>
        </is>
      </c>
      <c r="C721" s="13" t="n">
        <v>7502001882</v>
      </c>
      <c r="D721" s="13" t="inlineStr">
        <is>
          <t>7502001882</t>
        </is>
      </c>
      <c r="E721" s="13" t="inlineStr">
        <is>
          <t>ЮЛ РФ</t>
        </is>
      </c>
      <c r="F721" s="13" t="n"/>
      <c r="G721" s="14" t="n"/>
      <c r="H721" s="14" t="n"/>
      <c r="I721" s="14" t="n"/>
      <c r="J721" s="14" t="n"/>
      <c r="K721" s="53" t="inlineStr"/>
      <c r="L721" s="53" t="inlineStr">
        <is>
          <t>Не определено</t>
        </is>
      </c>
      <c r="M721" s="53" t="inlineStr"/>
      <c r="N721" s="54" t="inlineStr"/>
      <c r="O721" s="55" t="inlineStr"/>
      <c r="P721" s="16" t="inlineStr">
        <is>
          <t>Требует обогащения</t>
        </is>
      </c>
      <c r="Q721" s="16">
        <f>HYPERLINK("https://pb.nalog.ru/search.html?query=7502001882","ФНС: проверить")</f>
        <v/>
      </c>
      <c r="R721" s="16">
        <f>HYPERLINK("https://checko.ru/search?query=3801001629","Чекко: проверить")</f>
        <v/>
      </c>
      <c r="S721" t="n">
        <v>1</v>
      </c>
      <c r="T721" s="35" t="inlineStr">
        <is>
          <t>4 — Не обогащён</t>
        </is>
      </c>
      <c r="U721" s="35" t="inlineStr">
        <is>
          <t>Нет ОКВЭД/ССЧР</t>
        </is>
      </c>
      <c r="V721" s="35" t="inlineStr">
        <is>
          <t>Не определено</t>
        </is>
      </c>
      <c r="W721" s="35" t="inlineStr"/>
      <c r="X721" s="35" t="inlineStr"/>
    </row>
    <row r="722" ht="15" customHeight="1" s="24">
      <c r="A722" s="13" t="n">
        <v>5000092925</v>
      </c>
      <c r="B722" s="13" t="inlineStr">
        <is>
          <t>ГОУ "Читинский детский дом №2"</t>
        </is>
      </c>
      <c r="C722" s="13" t="n">
        <v>7536026187</v>
      </c>
      <c r="D722" s="13" t="inlineStr">
        <is>
          <t>7536026187</t>
        </is>
      </c>
      <c r="E722" s="13" t="inlineStr">
        <is>
          <t>ЮЛ РФ</t>
        </is>
      </c>
      <c r="F722" s="13" t="n"/>
      <c r="G722" s="14" t="n"/>
      <c r="H722" s="14" t="n"/>
      <c r="I722" s="14" t="n"/>
      <c r="J722" s="14" t="n"/>
      <c r="K722" s="53" t="inlineStr"/>
      <c r="L722" s="53" t="inlineStr">
        <is>
          <t>Не определено</t>
        </is>
      </c>
      <c r="M722" s="53" t="inlineStr"/>
      <c r="N722" s="54" t="inlineStr"/>
      <c r="O722" s="55" t="inlineStr"/>
      <c r="P722" s="16" t="inlineStr">
        <is>
          <t>Требует обогащения</t>
        </is>
      </c>
      <c r="Q722" s="16">
        <f>HYPERLINK("https://pb.nalog.ru/search.html?query=7536026187","ФНС: проверить")</f>
        <v/>
      </c>
      <c r="R722" s="16">
        <f>HYPERLINK("https://checko.ru/search?query=3801001629","Чекко: проверить")</f>
        <v/>
      </c>
      <c r="S722" t="n">
        <v>1</v>
      </c>
      <c r="T722" s="35" t="inlineStr">
        <is>
          <t>4 — Не обогащён</t>
        </is>
      </c>
      <c r="U722" s="35" t="inlineStr">
        <is>
          <t>Нет ОКВЭД/ССЧР</t>
        </is>
      </c>
      <c r="V722" s="35" t="inlineStr">
        <is>
          <t>Не определено</t>
        </is>
      </c>
      <c r="W722" s="35" t="inlineStr"/>
      <c r="X722" s="35" t="inlineStr"/>
    </row>
    <row r="723" ht="15" customHeight="1" s="24">
      <c r="A723" s="13" t="n">
        <v>5000092919</v>
      </c>
      <c r="B723" s="13" t="inlineStr">
        <is>
          <t>ГУСО ВСРЦ "РОСИНКА" ЗАБАЙКАЛЬСКОГО КРАЯ</t>
        </is>
      </c>
      <c r="C723" s="13" t="n">
        <v>7516002131</v>
      </c>
      <c r="D723" s="13" t="inlineStr">
        <is>
          <t>7516002131</t>
        </is>
      </c>
      <c r="E723" s="13" t="inlineStr">
        <is>
          <t>ЮЛ РФ</t>
        </is>
      </c>
      <c r="F723" s="13" t="n"/>
      <c r="G723" s="14" t="n"/>
      <c r="H723" s="14" t="n"/>
      <c r="I723" s="14" t="n"/>
      <c r="J723" s="14" t="n"/>
      <c r="K723" s="53" t="inlineStr"/>
      <c r="L723" s="53" t="inlineStr">
        <is>
          <t>Не определено</t>
        </is>
      </c>
      <c r="M723" s="53" t="inlineStr"/>
      <c r="N723" s="54" t="inlineStr"/>
      <c r="O723" s="55" t="inlineStr"/>
      <c r="P723" s="16" t="inlineStr">
        <is>
          <t>Требует обогащения</t>
        </is>
      </c>
      <c r="Q723" s="16">
        <f>HYPERLINK("https://pb.nalog.ru/search.html?query=7516002131","ФНС: проверить")</f>
        <v/>
      </c>
      <c r="R723" s="16">
        <f>HYPERLINK("https://checko.ru/search?query=3801001629","Чекко: проверить")</f>
        <v/>
      </c>
      <c r="S723" t="n">
        <v>1</v>
      </c>
      <c r="T723" s="35" t="inlineStr">
        <is>
          <t>4 — Не обогащён</t>
        </is>
      </c>
      <c r="U723" s="35" t="inlineStr">
        <is>
          <t>Нет ОКВЭД/ССЧР</t>
        </is>
      </c>
      <c r="V723" s="35" t="inlineStr">
        <is>
          <t>Не определено</t>
        </is>
      </c>
      <c r="W723" s="35" t="inlineStr"/>
      <c r="X723" s="35" t="inlineStr"/>
    </row>
    <row r="724" ht="41.25" customHeight="1" s="24">
      <c r="A724" s="13" t="n">
        <v>5000092903</v>
      </c>
      <c r="B724" s="13" t="inlineStr">
        <is>
          <t>Государственное образовательное учреждение "Балейский детский дом-школа для сирот и детей, оставшихся без попечения родителей"</t>
        </is>
      </c>
      <c r="C724" s="13" t="n">
        <v>7528000717</v>
      </c>
      <c r="D724" s="13" t="inlineStr">
        <is>
          <t>7528000717</t>
        </is>
      </c>
      <c r="E724" s="13" t="inlineStr">
        <is>
          <t>ЮЛ РФ</t>
        </is>
      </c>
      <c r="F724" s="13" t="n"/>
      <c r="G724" s="14" t="n"/>
      <c r="H724" s="14" t="n"/>
      <c r="I724" s="14" t="n"/>
      <c r="J724" s="14" t="n"/>
      <c r="K724" s="53" t="inlineStr"/>
      <c r="L724" s="53" t="inlineStr">
        <is>
          <t>Не определено</t>
        </is>
      </c>
      <c r="M724" s="53" t="inlineStr"/>
      <c r="N724" s="54" t="inlineStr"/>
      <c r="O724" s="55" t="inlineStr"/>
      <c r="P724" s="16" t="inlineStr">
        <is>
          <t>Требует обогащения</t>
        </is>
      </c>
      <c r="Q724" s="16">
        <f>HYPERLINK("https://pb.nalog.ru/search.html?query=7528000717","ФНС: проверить")</f>
        <v/>
      </c>
      <c r="R724" s="16">
        <f>HYPERLINK("https://checko.ru/search?query=3801001629","Чекко: проверить")</f>
        <v/>
      </c>
      <c r="S724" t="n">
        <v>1</v>
      </c>
      <c r="T724" s="35" t="inlineStr">
        <is>
          <t>4 — Не обогащён</t>
        </is>
      </c>
      <c r="U724" s="35" t="inlineStr">
        <is>
          <t>Нет ОКВЭД/ССЧР</t>
        </is>
      </c>
      <c r="V724" s="35" t="inlineStr">
        <is>
          <t>Не определено</t>
        </is>
      </c>
      <c r="W724" s="35" t="inlineStr"/>
      <c r="X724" s="35" t="inlineStr"/>
    </row>
    <row r="725" ht="27.75" customHeight="1" s="24">
      <c r="A725" s="13" t="n">
        <v>5000092909</v>
      </c>
      <c r="B725" s="13" t="inlineStr">
        <is>
          <t>ГУСО Акшинский  СРЦН "Задор" Забайкальского края</t>
        </is>
      </c>
      <c r="C725" s="13" t="n">
        <v>7501002202</v>
      </c>
      <c r="D725" s="13" t="inlineStr">
        <is>
          <t>7501002202</t>
        </is>
      </c>
      <c r="E725" s="13" t="inlineStr">
        <is>
          <t>ЮЛ РФ</t>
        </is>
      </c>
      <c r="F725" s="13" t="n"/>
      <c r="G725" s="14" t="n"/>
      <c r="H725" s="14" t="n"/>
      <c r="I725" s="14" t="n"/>
      <c r="J725" s="14" t="n"/>
      <c r="K725" s="53" t="inlineStr"/>
      <c r="L725" s="53" t="inlineStr">
        <is>
          <t>Не определено</t>
        </is>
      </c>
      <c r="M725" s="53" t="inlineStr"/>
      <c r="N725" s="54" t="inlineStr"/>
      <c r="O725" s="55" t="inlineStr"/>
      <c r="P725" s="16" t="inlineStr">
        <is>
          <t>Требует обогащения</t>
        </is>
      </c>
      <c r="Q725" s="16">
        <f>HYPERLINK("https://pb.nalog.ru/search.html?query=7501002202","ФНС: проверить")</f>
        <v/>
      </c>
      <c r="R725" s="16">
        <f>HYPERLINK("https://checko.ru/search?query=3801001629","Чекко: проверить")</f>
        <v/>
      </c>
      <c r="S725" t="n">
        <v>1</v>
      </c>
      <c r="T725" s="35" t="inlineStr">
        <is>
          <t>4 — Не обогащён</t>
        </is>
      </c>
      <c r="U725" s="35" t="inlineStr">
        <is>
          <t>Нет ОКВЭД/ССЧР</t>
        </is>
      </c>
      <c r="V725" s="35" t="inlineStr">
        <is>
          <t>Не определено</t>
        </is>
      </c>
      <c r="W725" s="35" t="inlineStr"/>
      <c r="X725" s="35" t="inlineStr"/>
    </row>
    <row r="726" ht="15" customHeight="1" s="24">
      <c r="A726" s="13" t="n">
        <v>5000092923</v>
      </c>
      <c r="B726" s="13" t="inlineStr">
        <is>
          <t>ГУСО КСРЦ "Надежда" для несовершеннолетних</t>
        </is>
      </c>
      <c r="C726" s="13" t="n">
        <v>7507001822</v>
      </c>
      <c r="D726" s="13" t="inlineStr">
        <is>
          <t>7507001822</t>
        </is>
      </c>
      <c r="E726" s="13" t="inlineStr">
        <is>
          <t>ЮЛ РФ</t>
        </is>
      </c>
      <c r="F726" s="13" t="n"/>
      <c r="G726" s="14" t="n"/>
      <c r="H726" s="14" t="n"/>
      <c r="I726" s="14" t="n"/>
      <c r="J726" s="14" t="n"/>
      <c r="K726" s="53" t="inlineStr"/>
      <c r="L726" s="53" t="inlineStr">
        <is>
          <t>Не определено</t>
        </is>
      </c>
      <c r="M726" s="53" t="inlineStr"/>
      <c r="N726" s="54" t="inlineStr"/>
      <c r="O726" s="55" t="inlineStr"/>
      <c r="P726" s="16" t="inlineStr">
        <is>
          <t>Требует обогащения</t>
        </is>
      </c>
      <c r="Q726" s="16">
        <f>HYPERLINK("https://pb.nalog.ru/search.html?query=7507001822","ФНС: проверить")</f>
        <v/>
      </c>
      <c r="R726" s="16">
        <f>HYPERLINK("https://checko.ru/search?query=3801001629","Чекко: проверить")</f>
        <v/>
      </c>
      <c r="S726" t="n">
        <v>1</v>
      </c>
      <c r="T726" s="35" t="inlineStr">
        <is>
          <t>4 — Не обогащён</t>
        </is>
      </c>
      <c r="U726" s="35" t="inlineStr">
        <is>
          <t>Нет ОКВЭД/ССЧР</t>
        </is>
      </c>
      <c r="V726" s="35" t="inlineStr">
        <is>
          <t>Не определено</t>
        </is>
      </c>
      <c r="W726" s="35" t="inlineStr"/>
      <c r="X726" s="35" t="inlineStr"/>
    </row>
    <row r="727" ht="15" customHeight="1" s="24">
      <c r="A727" s="13" t="n">
        <v>5000092908</v>
      </c>
      <c r="B727" s="13" t="inlineStr">
        <is>
          <t>ГУСО ЦПППН "Доверие" Забайкальского края</t>
        </is>
      </c>
      <c r="C727" s="13" t="n">
        <v>7536030345</v>
      </c>
      <c r="D727" s="13" t="inlineStr">
        <is>
          <t>7536030345</t>
        </is>
      </c>
      <c r="E727" s="13" t="inlineStr">
        <is>
          <t>ЮЛ РФ</t>
        </is>
      </c>
      <c r="F727" s="13" t="n"/>
      <c r="G727" s="14" t="n"/>
      <c r="H727" s="14" t="n"/>
      <c r="I727" s="14" t="n"/>
      <c r="J727" s="14" t="n"/>
      <c r="K727" s="53" t="inlineStr"/>
      <c r="L727" s="53" t="inlineStr">
        <is>
          <t>Не определено</t>
        </is>
      </c>
      <c r="M727" s="53" t="inlineStr"/>
      <c r="N727" s="54" t="inlineStr"/>
      <c r="O727" s="55" t="inlineStr"/>
      <c r="P727" s="16" t="inlineStr">
        <is>
          <t>Требует обогащения</t>
        </is>
      </c>
      <c r="Q727" s="16">
        <f>HYPERLINK("https://pb.nalog.ru/search.html?query=7536030345","ФНС: проверить")</f>
        <v/>
      </c>
      <c r="R727" s="16">
        <f>HYPERLINK("https://checko.ru/search?query=3801001629","Чекко: проверить")</f>
        <v/>
      </c>
      <c r="S727" t="n">
        <v>1</v>
      </c>
      <c r="T727" s="35" t="inlineStr">
        <is>
          <t>4 — Не обогащён</t>
        </is>
      </c>
      <c r="U727" s="35" t="inlineStr">
        <is>
          <t>Нет ОКВЭД/ССЧР</t>
        </is>
      </c>
      <c r="V727" s="35" t="inlineStr">
        <is>
          <t>Не определено</t>
        </is>
      </c>
      <c r="W727" s="35" t="inlineStr"/>
      <c r="X727" s="35" t="inlineStr"/>
    </row>
    <row r="728" ht="27.75" customHeight="1" s="24">
      <c r="A728" s="13" t="n">
        <v>5000092917</v>
      </c>
      <c r="B728" s="13" t="inlineStr">
        <is>
          <t>ГОУ "Петровск-Забайкальский детский дом-школа"</t>
        </is>
      </c>
      <c r="C728" s="13" t="n">
        <v>7531005539</v>
      </c>
      <c r="D728" s="13" t="inlineStr">
        <is>
          <t>7531005539</t>
        </is>
      </c>
      <c r="E728" s="13" t="inlineStr">
        <is>
          <t>ЮЛ РФ</t>
        </is>
      </c>
      <c r="F728" s="13" t="n"/>
      <c r="G728" s="14" t="n"/>
      <c r="H728" s="14" t="n"/>
      <c r="I728" s="14" t="n"/>
      <c r="J728" s="14" t="n"/>
      <c r="K728" s="53" t="inlineStr"/>
      <c r="L728" s="53" t="inlineStr">
        <is>
          <t>Не определено</t>
        </is>
      </c>
      <c r="M728" s="53" t="inlineStr"/>
      <c r="N728" s="54" t="inlineStr"/>
      <c r="O728" s="55" t="inlineStr"/>
      <c r="P728" s="16" t="inlineStr">
        <is>
          <t>Требует обогащения</t>
        </is>
      </c>
      <c r="Q728" s="16">
        <f>HYPERLINK("https://pb.nalog.ru/search.html?query=7531005539","ФНС: проверить")</f>
        <v/>
      </c>
      <c r="R728" s="16">
        <f>HYPERLINK("https://checko.ru/search?query=3801001629","Чекко: проверить")</f>
        <v/>
      </c>
      <c r="S728" t="n">
        <v>1</v>
      </c>
      <c r="T728" s="35" t="inlineStr">
        <is>
          <t>4 — Не обогащён</t>
        </is>
      </c>
      <c r="U728" s="35" t="inlineStr">
        <is>
          <t>Нет ОКВЭД/ССЧР</t>
        </is>
      </c>
      <c r="V728" s="35" t="inlineStr">
        <is>
          <t>Не определено</t>
        </is>
      </c>
      <c r="W728" s="35" t="inlineStr"/>
      <c r="X728" s="35" t="inlineStr"/>
    </row>
    <row r="729" ht="54.75" customHeight="1" s="24">
      <c r="A729" s="13" t="n">
        <v>5000092920</v>
      </c>
      <c r="B729" s="13" t="inlineStr">
        <is>
          <t>ГУСО "Новоширокинский социально-реабилитационный центр для несовершеннолетних "Семья" Забайкальского края</t>
        </is>
      </c>
      <c r="C729" s="13" t="n">
        <v>7504001687</v>
      </c>
      <c r="D729" s="13" t="inlineStr">
        <is>
          <t>7504001687</t>
        </is>
      </c>
      <c r="E729" s="13" t="inlineStr">
        <is>
          <t>ЮЛ РФ</t>
        </is>
      </c>
      <c r="F729" s="13" t="n"/>
      <c r="G729" s="14" t="n"/>
      <c r="H729" s="14" t="n"/>
      <c r="I729" s="14" t="n"/>
      <c r="J729" s="14" t="n"/>
      <c r="K729" s="53" t="inlineStr"/>
      <c r="L729" s="53" t="inlineStr">
        <is>
          <t>Не определено</t>
        </is>
      </c>
      <c r="M729" s="53" t="inlineStr"/>
      <c r="N729" s="54" t="inlineStr"/>
      <c r="O729" s="55" t="inlineStr"/>
      <c r="P729" s="16" t="inlineStr">
        <is>
          <t>Требует обогащения</t>
        </is>
      </c>
      <c r="Q729" s="16">
        <f>HYPERLINK("https://pb.nalog.ru/search.html?query=7504001687","ФНС: проверить")</f>
        <v/>
      </c>
      <c r="R729" s="16">
        <f>HYPERLINK("https://checko.ru/search?query=3801001629","Чекко: проверить")</f>
        <v/>
      </c>
      <c r="S729" t="n">
        <v>1</v>
      </c>
      <c r="T729" s="35" t="inlineStr">
        <is>
          <t>4 — Не обогащён</t>
        </is>
      </c>
      <c r="U729" s="35" t="inlineStr">
        <is>
          <t>Нет ОКВЭД/ССЧР</t>
        </is>
      </c>
      <c r="V729" s="35" t="inlineStr">
        <is>
          <t>Не определено</t>
        </is>
      </c>
      <c r="W729" s="35" t="inlineStr"/>
      <c r="X729" s="35" t="inlineStr"/>
    </row>
    <row r="730" ht="54.75" customHeight="1" s="24">
      <c r="A730" s="13" t="n">
        <v>5000077074</v>
      </c>
      <c r="B730" s="13" t="inlineStr">
        <is>
          <t>ГМУ для детей-сирот и детей оставшихся без попечения родителей"УРУЛЬГИНСКАЯ СПЕЦИАЛЬНАЯ (КОРРЕКЦИОННАЯ) ШКОЛА-ИНТЕРНАТ ДЛЯ ДЕТЕЙ С ОТКЛОНЕНИЯМИ В РАЗВ</t>
        </is>
      </c>
      <c r="C730" s="13" t="n">
        <v>7508004047</v>
      </c>
      <c r="D730" s="13" t="inlineStr">
        <is>
          <t>7508004047</t>
        </is>
      </c>
      <c r="E730" s="13" t="inlineStr">
        <is>
          <t>ЮЛ РФ</t>
        </is>
      </c>
      <c r="F730" s="13" t="n"/>
      <c r="G730" s="14" t="n"/>
      <c r="H730" s="14" t="n"/>
      <c r="I730" s="14" t="n"/>
      <c r="J730" s="14" t="n"/>
      <c r="K730" s="53" t="inlineStr"/>
      <c r="L730" s="53" t="inlineStr">
        <is>
          <t>Не определено</t>
        </is>
      </c>
      <c r="M730" s="53" t="inlineStr"/>
      <c r="N730" s="54" t="inlineStr"/>
      <c r="O730" s="55" t="inlineStr"/>
      <c r="P730" s="16" t="inlineStr">
        <is>
          <t>Требует обогащения</t>
        </is>
      </c>
      <c r="Q730" s="16">
        <f>HYPERLINK("https://pb.nalog.ru/search.html?query=7508004047","ФНС: проверить")</f>
        <v/>
      </c>
      <c r="R730" s="16">
        <f>HYPERLINK("https://checko.ru/search?query=3801001629","Чекко: проверить")</f>
        <v/>
      </c>
      <c r="S730" t="n">
        <v>1</v>
      </c>
      <c r="T730" s="35" t="inlineStr">
        <is>
          <t>4 — Не обогащён</t>
        </is>
      </c>
      <c r="U730" s="35" t="inlineStr">
        <is>
          <t>Нет ОКВЭД/ССЧР</t>
        </is>
      </c>
      <c r="V730" s="35" t="inlineStr">
        <is>
          <t>Не определено</t>
        </is>
      </c>
      <c r="W730" s="35" t="inlineStr"/>
      <c r="X730" s="35" t="inlineStr"/>
    </row>
    <row r="731" ht="27.75" customHeight="1" s="24">
      <c r="A731" s="13" t="n">
        <v>5000097866</v>
      </c>
      <c r="B731" s="13" t="inlineStr">
        <is>
          <t>Дума муниципального образования г.Бодайбо и района</t>
        </is>
      </c>
      <c r="C731" s="13" t="n">
        <v>3802011490</v>
      </c>
      <c r="D731" s="13" t="inlineStr">
        <is>
          <t>3802011490</t>
        </is>
      </c>
      <c r="E731" s="13" t="inlineStr">
        <is>
          <t>ЮЛ РФ</t>
        </is>
      </c>
      <c r="F731" s="13" t="n"/>
      <c r="G731" s="14" t="n"/>
      <c r="H731" s="14" t="n"/>
      <c r="I731" s="14" t="n"/>
      <c r="J731" s="14" t="n"/>
      <c r="K731" s="53" t="inlineStr"/>
      <c r="L731" s="53" t="inlineStr">
        <is>
          <t>Не определено</t>
        </is>
      </c>
      <c r="M731" s="53" t="inlineStr"/>
      <c r="N731" s="54" t="inlineStr"/>
      <c r="O731" s="55" t="inlineStr"/>
      <c r="P731" s="16" t="inlineStr">
        <is>
          <t>Требует обогащения</t>
        </is>
      </c>
      <c r="Q731" s="16">
        <f>HYPERLINK("https://pb.nalog.ru/search.html?query=3802011490","ФНС: проверить")</f>
        <v/>
      </c>
      <c r="R731" s="16">
        <f>HYPERLINK("https://checko.ru/search?query=3801001629","Чекко: проверить")</f>
        <v/>
      </c>
      <c r="S731" t="n">
        <v>1</v>
      </c>
      <c r="T731" s="35" t="inlineStr">
        <is>
          <t>4 — Не обогащён</t>
        </is>
      </c>
      <c r="U731" s="35" t="inlineStr">
        <is>
          <t>Нет ОКВЭД/ССЧР</t>
        </is>
      </c>
      <c r="V731" s="35" t="inlineStr">
        <is>
          <t>Не определено</t>
        </is>
      </c>
      <c r="W731" s="35" t="inlineStr"/>
      <c r="X731" s="35" t="inlineStr"/>
    </row>
    <row r="732" ht="41.25" customHeight="1" s="24">
      <c r="A732" s="13" t="n">
        <v>5000098782</v>
      </c>
      <c r="B732" s="13" t="inlineStr">
        <is>
          <t>Муниципальное казенное учреждение культуры "Культурно-досуговый центр" Нийского муниципального образования</t>
        </is>
      </c>
      <c r="C732" s="13" t="n">
        <v>3818030875</v>
      </c>
      <c r="D732" s="13" t="inlineStr">
        <is>
          <t>3818030875</t>
        </is>
      </c>
      <c r="E732" s="13" t="inlineStr">
        <is>
          <t>ЮЛ РФ</t>
        </is>
      </c>
      <c r="F732" s="13" t="n"/>
      <c r="G732" s="14" t="n"/>
      <c r="H732" s="14" t="n"/>
      <c r="I732" s="14" t="n"/>
      <c r="J732" s="14" t="n"/>
      <c r="K732" s="53" t="inlineStr"/>
      <c r="L732" s="53" t="inlineStr">
        <is>
          <t>Не определено</t>
        </is>
      </c>
      <c r="M732" s="53" t="inlineStr"/>
      <c r="N732" s="54" t="inlineStr"/>
      <c r="O732" s="55" t="inlineStr"/>
      <c r="P732" s="16" t="inlineStr">
        <is>
          <t>Требует обогащения</t>
        </is>
      </c>
      <c r="Q732" s="16">
        <f>HYPERLINK("https://pb.nalog.ru/search.html?query=3818030875","ФНС: проверить")</f>
        <v/>
      </c>
      <c r="R732" s="16">
        <f>HYPERLINK("https://checko.ru/search?query=3801001629","Чекко: проверить")</f>
        <v/>
      </c>
      <c r="S732" t="n">
        <v>1</v>
      </c>
      <c r="T732" s="35" t="inlineStr">
        <is>
          <t>4 — Не обогащён</t>
        </is>
      </c>
      <c r="U732" s="35" t="inlineStr">
        <is>
          <t>Нет ОКВЭД/ССЧР</t>
        </is>
      </c>
      <c r="V732" s="35" t="inlineStr">
        <is>
          <t>Не определено</t>
        </is>
      </c>
      <c r="W732" s="35" t="inlineStr"/>
      <c r="X732" s="35" t="inlineStr"/>
    </row>
    <row r="733" ht="41.25" customHeight="1" s="24">
      <c r="A733" s="13" t="n">
        <v>5000098780</v>
      </c>
      <c r="B733" s="13" t="inlineStr">
        <is>
          <t>Муниципальное казенное учреждение культуры "Культурно-досуговый центр "Украина" Янтальского муниципального образования</t>
        </is>
      </c>
      <c r="C733" s="13" t="n">
        <v>3818030924</v>
      </c>
      <c r="D733" s="13" t="inlineStr">
        <is>
          <t>3818030924</t>
        </is>
      </c>
      <c r="E733" s="13" t="inlineStr">
        <is>
          <t>ЮЛ РФ</t>
        </is>
      </c>
      <c r="F733" s="13" t="n"/>
      <c r="G733" s="14" t="n"/>
      <c r="H733" s="14" t="n"/>
      <c r="I733" s="14" t="n"/>
      <c r="J733" s="14" t="n"/>
      <c r="K733" s="53" t="inlineStr"/>
      <c r="L733" s="53" t="inlineStr">
        <is>
          <t>Не определено</t>
        </is>
      </c>
      <c r="M733" s="53" t="inlineStr"/>
      <c r="N733" s="54" t="inlineStr"/>
      <c r="O733" s="55" t="inlineStr"/>
      <c r="P733" s="16" t="inlineStr">
        <is>
          <t>Требует обогащения</t>
        </is>
      </c>
      <c r="Q733" s="16">
        <f>HYPERLINK("https://pb.nalog.ru/search.html?query=3818030924","ФНС: проверить")</f>
        <v/>
      </c>
      <c r="R733" s="16">
        <f>HYPERLINK("https://checko.ru/search?query=3801001629","Чекко: проверить")</f>
        <v/>
      </c>
      <c r="S733" t="n">
        <v>1</v>
      </c>
      <c r="T733" s="35" t="inlineStr">
        <is>
          <t>4 — Не обогащён</t>
        </is>
      </c>
      <c r="U733" s="35" t="inlineStr">
        <is>
          <t>Нет ОКВЭД/ССЧР</t>
        </is>
      </c>
      <c r="V733" s="35" t="inlineStr">
        <is>
          <t>Не определено</t>
        </is>
      </c>
      <c r="W733" s="35" t="inlineStr"/>
      <c r="X733" s="35" t="inlineStr"/>
    </row>
    <row r="734" ht="41.25" customHeight="1" s="24">
      <c r="A734" s="13" t="n">
        <v>5000110193</v>
      </c>
      <c r="B734" s="13" t="inlineStr">
        <is>
          <t>Государственное автономное учреждение социального обслуживания «Борзинский дом интернат для граждан,</t>
        </is>
      </c>
      <c r="C734" s="13" t="n">
        <v>7515002548</v>
      </c>
      <c r="D734" s="13" t="inlineStr">
        <is>
          <t>7515002548</t>
        </is>
      </c>
      <c r="E734" s="13" t="inlineStr">
        <is>
          <t>ЮЛ РФ</t>
        </is>
      </c>
      <c r="F734" s="13" t="n"/>
      <c r="G734" s="14" t="n"/>
      <c r="H734" s="14" t="n"/>
      <c r="I734" s="14" t="n"/>
      <c r="J734" s="14" t="n"/>
      <c r="K734" s="53" t="inlineStr"/>
      <c r="L734" s="53" t="inlineStr">
        <is>
          <t>Не определено</t>
        </is>
      </c>
      <c r="M734" s="53" t="inlineStr"/>
      <c r="N734" s="54" t="inlineStr"/>
      <c r="O734" s="55" t="inlineStr"/>
      <c r="P734" s="16" t="inlineStr">
        <is>
          <t>Требует обогащения</t>
        </is>
      </c>
      <c r="Q734" s="16">
        <f>HYPERLINK("https://pb.nalog.ru/search.html?query=7515002548","ФНС: проверить")</f>
        <v/>
      </c>
      <c r="R734" s="16">
        <f>HYPERLINK("https://checko.ru/search?query=3801001629","Чекко: проверить")</f>
        <v/>
      </c>
      <c r="S734" t="n">
        <v>1</v>
      </c>
      <c r="T734" s="35" t="inlineStr">
        <is>
          <t>4 — Не обогащён</t>
        </is>
      </c>
      <c r="U734" s="35" t="inlineStr">
        <is>
          <t>Нет ОКВЭД/ССЧР</t>
        </is>
      </c>
      <c r="V734" s="35" t="inlineStr">
        <is>
          <t>Не определено</t>
        </is>
      </c>
      <c r="W734" s="35" t="inlineStr"/>
      <c r="X734" s="35" t="inlineStr"/>
    </row>
    <row r="735" ht="27.75" customHeight="1" s="24">
      <c r="A735" s="13" t="n">
        <v>5000092926</v>
      </c>
      <c r="B735" s="13" t="inlineStr">
        <is>
          <t>ГУСО "ШЕРЛОВОГОРСКИЙ ЦПДОПР "АКВАМАРИН" ЗАБАЙКАЛЬСКОГО КРАЯ</t>
        </is>
      </c>
      <c r="C735" s="13" t="n">
        <v>7529003608</v>
      </c>
      <c r="D735" s="13" t="inlineStr">
        <is>
          <t>7529003608</t>
        </is>
      </c>
      <c r="E735" s="13" t="inlineStr">
        <is>
          <t>ЮЛ РФ</t>
        </is>
      </c>
      <c r="F735" s="13" t="n"/>
      <c r="G735" s="14" t="n"/>
      <c r="H735" s="14" t="n"/>
      <c r="I735" s="14" t="n"/>
      <c r="J735" s="14" t="n"/>
      <c r="K735" s="53" t="inlineStr"/>
      <c r="L735" s="53" t="inlineStr">
        <is>
          <t>Не определено</t>
        </is>
      </c>
      <c r="M735" s="53" t="inlineStr"/>
      <c r="N735" s="54" t="inlineStr"/>
      <c r="O735" s="55" t="inlineStr"/>
      <c r="P735" s="16" t="inlineStr">
        <is>
          <t>Требует обогащения</t>
        </is>
      </c>
      <c r="Q735" s="16">
        <f>HYPERLINK("https://pb.nalog.ru/search.html?query=7529003608","ФНС: проверить")</f>
        <v/>
      </c>
      <c r="R735" s="16">
        <f>HYPERLINK("https://checko.ru/search?query=3801001629","Чекко: проверить")</f>
        <v/>
      </c>
      <c r="S735" t="n">
        <v>1</v>
      </c>
      <c r="T735" s="35" t="inlineStr">
        <is>
          <t>4 — Не обогащён</t>
        </is>
      </c>
      <c r="U735" s="35" t="inlineStr">
        <is>
          <t>Нет ОКВЭД/ССЧР</t>
        </is>
      </c>
      <c r="V735" s="35" t="inlineStr">
        <is>
          <t>Не определено</t>
        </is>
      </c>
      <c r="W735" s="35" t="inlineStr"/>
      <c r="X735" s="35" t="inlineStr"/>
    </row>
    <row r="736" ht="27.75" customHeight="1" s="24">
      <c r="A736" s="13" t="n">
        <v>5000077054</v>
      </c>
      <c r="B736" s="13" t="inlineStr">
        <is>
          <t>ГОУ "БОРЗИНСКАЯ СПЕЦИАЛЬНАЯ (КОРРЕКЦИОННАЯ) ШКОЛА-ИНТЕРНАТ"</t>
        </is>
      </c>
      <c r="C736" s="13" t="n">
        <v>7529003580</v>
      </c>
      <c r="D736" s="13" t="inlineStr">
        <is>
          <t>7529003580</t>
        </is>
      </c>
      <c r="E736" s="13" t="inlineStr">
        <is>
          <t>ЮЛ РФ</t>
        </is>
      </c>
      <c r="F736" s="13" t="n"/>
      <c r="G736" s="14" t="n"/>
      <c r="H736" s="14" t="n"/>
      <c r="I736" s="14" t="n"/>
      <c r="J736" s="14" t="n"/>
      <c r="K736" s="53" t="inlineStr"/>
      <c r="L736" s="53" t="inlineStr">
        <is>
          <t>Не определено</t>
        </is>
      </c>
      <c r="M736" s="53" t="inlineStr"/>
      <c r="N736" s="54" t="inlineStr"/>
      <c r="O736" s="55" t="inlineStr"/>
      <c r="P736" s="16" t="inlineStr">
        <is>
          <t>Требует обогащения</t>
        </is>
      </c>
      <c r="Q736" s="16">
        <f>HYPERLINK("https://pb.nalog.ru/search.html?query=7529003580","ФНС: проверить")</f>
        <v/>
      </c>
      <c r="R736" s="16">
        <f>HYPERLINK("https://checko.ru/search?query=3801001629","Чекко: проверить")</f>
        <v/>
      </c>
      <c r="S736" t="n">
        <v>1</v>
      </c>
      <c r="T736" s="35" t="inlineStr">
        <is>
          <t>4 — Не обогащён</t>
        </is>
      </c>
      <c r="U736" s="35" t="inlineStr">
        <is>
          <t>Нет ОКВЭД/ССЧР</t>
        </is>
      </c>
      <c r="V736" s="35" t="inlineStr">
        <is>
          <t>Не определено</t>
        </is>
      </c>
      <c r="W736" s="35" t="inlineStr"/>
      <c r="X736" s="35" t="inlineStr"/>
    </row>
    <row r="737" ht="15" customHeight="1" s="24">
      <c r="A737" s="13" t="n">
        <v>5000092904</v>
      </c>
      <c r="B737" s="13" t="inlineStr">
        <is>
          <t>ГУСО ЧКЦСОН "БЕРЕГИНЯ" ЗАБАЙКАЛЬСКОГО КРАЯ</t>
        </is>
      </c>
      <c r="C737" s="13" t="n">
        <v>7537006095</v>
      </c>
      <c r="D737" s="13" t="inlineStr">
        <is>
          <t>7537006095</t>
        </is>
      </c>
      <c r="E737" s="13" t="inlineStr">
        <is>
          <t>ЮЛ РФ</t>
        </is>
      </c>
      <c r="F737" s="13" t="n"/>
      <c r="G737" s="14" t="n"/>
      <c r="H737" s="14" t="n"/>
      <c r="I737" s="14" t="n"/>
      <c r="J737" s="14" t="n"/>
      <c r="K737" s="53" t="inlineStr"/>
      <c r="L737" s="53" t="inlineStr">
        <is>
          <t>Не определено</t>
        </is>
      </c>
      <c r="M737" s="53" t="inlineStr"/>
      <c r="N737" s="54" t="inlineStr"/>
      <c r="O737" s="55" t="inlineStr"/>
      <c r="P737" s="16" t="inlineStr">
        <is>
          <t>Требует обогащения</t>
        </is>
      </c>
      <c r="Q737" s="16">
        <f>HYPERLINK("https://pb.nalog.ru/search.html?query=7537006095","ФНС: проверить")</f>
        <v/>
      </c>
      <c r="R737" s="16">
        <f>HYPERLINK("https://checko.ru/search?query=3801001629","Чекко: проверить")</f>
        <v/>
      </c>
      <c r="S737" t="n">
        <v>1</v>
      </c>
      <c r="T737" s="35" t="inlineStr">
        <is>
          <t>4 — Не обогащён</t>
        </is>
      </c>
      <c r="U737" s="35" t="inlineStr">
        <is>
          <t>Нет ОКВЭД/ССЧР</t>
        </is>
      </c>
      <c r="V737" s="35" t="inlineStr">
        <is>
          <t>Не определено</t>
        </is>
      </c>
      <c r="W737" s="35" t="inlineStr"/>
      <c r="X737" s="35" t="inlineStr"/>
    </row>
    <row r="738" ht="15" customHeight="1" s="24">
      <c r="A738" s="13" t="n">
        <v>5000092913</v>
      </c>
      <c r="B738" s="13" t="inlineStr">
        <is>
          <t>ГБСУ СО СРЦ "НАДЕЖДА" ЗАБАЙКАЛЬСКОГО КРАЯ</t>
        </is>
      </c>
      <c r="C738" s="13" t="n">
        <v>7537007765</v>
      </c>
      <c r="D738" s="13" t="inlineStr">
        <is>
          <t>7537007765</t>
        </is>
      </c>
      <c r="E738" s="13" t="inlineStr">
        <is>
          <t>ЮЛ РФ</t>
        </is>
      </c>
      <c r="F738" s="13" t="n"/>
      <c r="G738" s="14" t="n"/>
      <c r="H738" s="14" t="n"/>
      <c r="I738" s="14" t="n"/>
      <c r="J738" s="14" t="n"/>
      <c r="K738" s="53" t="inlineStr"/>
      <c r="L738" s="53" t="inlineStr">
        <is>
          <t>Не определено</t>
        </is>
      </c>
      <c r="M738" s="53" t="inlineStr"/>
      <c r="N738" s="54" t="inlineStr"/>
      <c r="O738" s="55" t="inlineStr"/>
      <c r="P738" s="16" t="inlineStr">
        <is>
          <t>Требует обогащения</t>
        </is>
      </c>
      <c r="Q738" s="16">
        <f>HYPERLINK("https://pb.nalog.ru/search.html?query=7537007765","ФНС: проверить")</f>
        <v/>
      </c>
      <c r="R738" s="16">
        <f>HYPERLINK("https://checko.ru/search?query=3801001629","Чекко: проверить")</f>
        <v/>
      </c>
      <c r="S738" t="n">
        <v>1</v>
      </c>
      <c r="T738" s="35" t="inlineStr">
        <is>
          <t>4 — Не обогащён</t>
        </is>
      </c>
      <c r="U738" s="35" t="inlineStr">
        <is>
          <t>Нет ОКВЭД/ССЧР</t>
        </is>
      </c>
      <c r="V738" s="35" t="inlineStr">
        <is>
          <t>Не определено</t>
        </is>
      </c>
      <c r="W738" s="35" t="inlineStr"/>
      <c r="X738" s="35" t="inlineStr"/>
    </row>
    <row r="739" ht="27.75" customHeight="1" s="24">
      <c r="A739" s="13" t="n">
        <v>5000092924</v>
      </c>
      <c r="B739" s="13" t="inlineStr">
        <is>
          <t>ГУСО "ЧЕРНОВСКИЙ ЦПДОПР "ВОСТОЧНЫЙ" ЗАБАЙКАЛЬСКОГО КРАЯ</t>
        </is>
      </c>
      <c r="C739" s="13" t="n">
        <v>7537002580</v>
      </c>
      <c r="D739" s="13" t="inlineStr">
        <is>
          <t>7537002580</t>
        </is>
      </c>
      <c r="E739" s="13" t="inlineStr">
        <is>
          <t>ЮЛ РФ</t>
        </is>
      </c>
      <c r="F739" s="13" t="n"/>
      <c r="G739" s="14" t="n"/>
      <c r="H739" s="14" t="n"/>
      <c r="I739" s="14" t="n"/>
      <c r="J739" s="14" t="n"/>
      <c r="K739" s="53" t="inlineStr"/>
      <c r="L739" s="53" t="inlineStr">
        <is>
          <t>Не определено</t>
        </is>
      </c>
      <c r="M739" s="53" t="inlineStr"/>
      <c r="N739" s="54" t="inlineStr"/>
      <c r="O739" s="55" t="inlineStr"/>
      <c r="P739" s="16" t="inlineStr">
        <is>
          <t>Требует обогащения</t>
        </is>
      </c>
      <c r="Q739" s="16">
        <f>HYPERLINK("https://pb.nalog.ru/search.html?query=7537002580","ФНС: проверить")</f>
        <v/>
      </c>
      <c r="R739" s="16">
        <f>HYPERLINK("https://checko.ru/search?query=3801001629","Чекко: проверить")</f>
        <v/>
      </c>
      <c r="S739" t="n">
        <v>1</v>
      </c>
      <c r="T739" s="35" t="inlineStr">
        <is>
          <t>4 — Не обогащён</t>
        </is>
      </c>
      <c r="U739" s="35" t="inlineStr">
        <is>
          <t>Нет ОКВЭД/ССЧР</t>
        </is>
      </c>
      <c r="V739" s="35" t="inlineStr">
        <is>
          <t>Не определено</t>
        </is>
      </c>
      <c r="W739" s="35" t="inlineStr"/>
      <c r="X739" s="35" t="inlineStr"/>
    </row>
    <row r="740" ht="27.75" customHeight="1" s="24">
      <c r="A740" s="13" t="n">
        <v>5000102520</v>
      </c>
      <c r="B740" s="13" t="inlineStr">
        <is>
          <t>Финансовый отдел администрации муниципального образования "Ангарский"</t>
        </is>
      </c>
      <c r="C740" s="13" t="n">
        <v>8501004890</v>
      </c>
      <c r="D740" s="13" t="inlineStr">
        <is>
          <t>8501004890</t>
        </is>
      </c>
      <c r="E740" s="13" t="inlineStr">
        <is>
          <t>ЮЛ РФ</t>
        </is>
      </c>
      <c r="F740" s="13" t="n"/>
      <c r="G740" s="14" t="n"/>
      <c r="H740" s="14" t="n"/>
      <c r="I740" s="14" t="n"/>
      <c r="J740" s="14" t="n"/>
      <c r="K740" s="53" t="inlineStr"/>
      <c r="L740" s="53" t="inlineStr">
        <is>
          <t>Не определено</t>
        </is>
      </c>
      <c r="M740" s="53" t="inlineStr"/>
      <c r="N740" s="54" t="inlineStr"/>
      <c r="O740" s="55" t="inlineStr"/>
      <c r="P740" s="16" t="inlineStr">
        <is>
          <t>Требует обогащения</t>
        </is>
      </c>
      <c r="Q740" s="16">
        <f>HYPERLINK("https://pb.nalog.ru/search.html?query=8501004890","ФНС: проверить")</f>
        <v/>
      </c>
      <c r="R740" s="16">
        <f>HYPERLINK("https://checko.ru/search?query=3801001629","Чекко: проверить")</f>
        <v/>
      </c>
      <c r="S740" t="n">
        <v>1</v>
      </c>
      <c r="T740" s="35" t="inlineStr">
        <is>
          <t>4 — Не обогащён</t>
        </is>
      </c>
      <c r="U740" s="35" t="inlineStr">
        <is>
          <t>Нет ОКВЭД/ССЧР</t>
        </is>
      </c>
      <c r="V740" s="35" t="inlineStr">
        <is>
          <t>Не определено</t>
        </is>
      </c>
      <c r="W740" s="35" t="inlineStr"/>
      <c r="X740" s="35" t="inlineStr"/>
    </row>
    <row r="741" ht="41.25" customHeight="1" s="24">
      <c r="A741" s="13" t="n">
        <v>5000118789</v>
      </c>
      <c r="B741" s="13" t="inlineStr">
        <is>
          <t>МУНИЦИПАЛЬНОЕ БЮДЖЕТНОЕ ОБЩЕОБРАЗОВАТЕЛЬНОЕ УЧРЕЖДЕНИЕ АЛАРСКАЯ СРЕДНЯЯ ОБЩЕОБРАЗОВАТЕЛЬНАЯ ШКОЛА</t>
        </is>
      </c>
      <c r="C741" s="13" t="n">
        <v>8501005692</v>
      </c>
      <c r="D741" s="13" t="inlineStr">
        <is>
          <t>8501005692</t>
        </is>
      </c>
      <c r="E741" s="13" t="inlineStr">
        <is>
          <t>ЮЛ РФ</t>
        </is>
      </c>
      <c r="F741" s="13" t="n"/>
      <c r="G741" s="14" t="n"/>
      <c r="H741" s="14" t="n"/>
      <c r="I741" s="14" t="n"/>
      <c r="J741" s="14" t="n"/>
      <c r="K741" s="53" t="inlineStr"/>
      <c r="L741" s="53" t="inlineStr">
        <is>
          <t>Не определено</t>
        </is>
      </c>
      <c r="M741" s="53" t="inlineStr"/>
      <c r="N741" s="54" t="inlineStr"/>
      <c r="O741" s="55" t="inlineStr"/>
      <c r="P741" s="16" t="inlineStr">
        <is>
          <t>Требует обогащения</t>
        </is>
      </c>
      <c r="Q741" s="16">
        <f>HYPERLINK("https://pb.nalog.ru/search.html?query=8501005692","ФНС: проверить")</f>
        <v/>
      </c>
      <c r="R741" s="16">
        <f>HYPERLINK("https://checko.ru/search?query=3801001629","Чекко: проверить")</f>
        <v/>
      </c>
      <c r="S741" t="n">
        <v>1</v>
      </c>
      <c r="T741" s="35" t="inlineStr">
        <is>
          <t>4 — Не обогащён</t>
        </is>
      </c>
      <c r="U741" s="35" t="inlineStr">
        <is>
          <t>Нет ОКВЭД/ССЧР</t>
        </is>
      </c>
      <c r="V741" s="35" t="inlineStr">
        <is>
          <t>Не определено</t>
        </is>
      </c>
      <c r="W741" s="35" t="inlineStr"/>
      <c r="X741" s="35" t="inlineStr"/>
    </row>
    <row r="742" ht="27.75" customHeight="1" s="24">
      <c r="A742" s="13" t="n">
        <v>5000041422</v>
      </c>
      <c r="B742" s="13" t="inlineStr">
        <is>
          <t>МБУК "Социально-культурный центр муниципального образования "Хохорск"</t>
        </is>
      </c>
      <c r="C742" s="13" t="n">
        <v>3849011946</v>
      </c>
      <c r="D742" s="13" t="inlineStr">
        <is>
          <t>3849011946</t>
        </is>
      </c>
      <c r="E742" s="13" t="inlineStr">
        <is>
          <t>ЮЛ РФ</t>
        </is>
      </c>
      <c r="F742" s="13" t="n"/>
      <c r="G742" s="14" t="n"/>
      <c r="H742" s="14" t="n"/>
      <c r="I742" s="14" t="n"/>
      <c r="J742" s="14" t="n"/>
      <c r="K742" s="53" t="inlineStr"/>
      <c r="L742" s="53" t="inlineStr">
        <is>
          <t>Не определено</t>
        </is>
      </c>
      <c r="M742" s="53" t="inlineStr"/>
      <c r="N742" s="54" t="inlineStr"/>
      <c r="O742" s="55" t="inlineStr"/>
      <c r="P742" s="16" t="inlineStr">
        <is>
          <t>Требует обогащения</t>
        </is>
      </c>
      <c r="Q742" s="16">
        <f>HYPERLINK("https://pb.nalog.ru/search.html?query=3849011946","ФНС: проверить")</f>
        <v/>
      </c>
      <c r="R742" s="16">
        <f>HYPERLINK("https://checko.ru/search?query=3801001629","Чекко: проверить")</f>
        <v/>
      </c>
      <c r="S742" t="n">
        <v>1</v>
      </c>
      <c r="T742" s="35" t="inlineStr">
        <is>
          <t>4 — Не обогащён</t>
        </is>
      </c>
      <c r="U742" s="35" t="inlineStr">
        <is>
          <t>Нет ОКВЭД/ССЧР</t>
        </is>
      </c>
      <c r="V742" s="35" t="inlineStr">
        <is>
          <t>Не определено</t>
        </is>
      </c>
      <c r="W742" s="35" t="inlineStr"/>
      <c r="X742" s="35" t="inlineStr"/>
    </row>
    <row r="743" ht="41.25" customHeight="1" s="24">
      <c r="A743" s="13" t="n">
        <v>5000098779</v>
      </c>
      <c r="B743" s="13" t="inlineStr">
        <is>
          <t>Муниципальное казенное учреждение культуры "Культурно-досуговый центр "Сибиряк" Ручейского муниципального образования</t>
        </is>
      </c>
      <c r="C743" s="13" t="n">
        <v>3818030868</v>
      </c>
      <c r="D743" s="13" t="inlineStr">
        <is>
          <t>3818030868</t>
        </is>
      </c>
      <c r="E743" s="13" t="inlineStr">
        <is>
          <t>ЮЛ РФ</t>
        </is>
      </c>
      <c r="F743" s="13" t="n"/>
      <c r="G743" s="14" t="n"/>
      <c r="H743" s="14" t="n"/>
      <c r="I743" s="14" t="n"/>
      <c r="J743" s="14" t="n"/>
      <c r="K743" s="53" t="inlineStr"/>
      <c r="L743" s="53" t="inlineStr">
        <is>
          <t>Не определено</t>
        </is>
      </c>
      <c r="M743" s="53" t="inlineStr"/>
      <c r="N743" s="54" t="inlineStr"/>
      <c r="O743" s="55" t="inlineStr"/>
      <c r="P743" s="16" t="inlineStr">
        <is>
          <t>Требует обогащения</t>
        </is>
      </c>
      <c r="Q743" s="16">
        <f>HYPERLINK("https://pb.nalog.ru/search.html?query=3818030868","ФНС: проверить")</f>
        <v/>
      </c>
      <c r="R743" s="16">
        <f>HYPERLINK("https://checko.ru/search?query=3801001629","Чекко: проверить")</f>
        <v/>
      </c>
      <c r="S743" t="n">
        <v>1</v>
      </c>
      <c r="T743" s="35" t="inlineStr">
        <is>
          <t>4 — Не обогащён</t>
        </is>
      </c>
      <c r="U743" s="35" t="inlineStr">
        <is>
          <t>Нет ОКВЭД/ССЧР</t>
        </is>
      </c>
      <c r="V743" s="35" t="inlineStr">
        <is>
          <t>Не определено</t>
        </is>
      </c>
      <c r="W743" s="35" t="inlineStr"/>
      <c r="X743" s="35" t="inlineStr"/>
    </row>
    <row r="744" ht="27.75" customHeight="1" s="24">
      <c r="A744" s="13" t="n">
        <v>5000098050</v>
      </c>
      <c r="B744" s="13" t="inlineStr">
        <is>
          <t>Администрация Нижнеилимского муниципального района</t>
        </is>
      </c>
      <c r="C744" s="13" t="n">
        <v>3834011301</v>
      </c>
      <c r="D744" s="13" t="inlineStr">
        <is>
          <t>3834011301</t>
        </is>
      </c>
      <c r="E744" s="13" t="inlineStr">
        <is>
          <t>ЮЛ РФ</t>
        </is>
      </c>
      <c r="F744" s="13" t="n"/>
      <c r="G744" s="14" t="n"/>
      <c r="H744" s="14" t="n"/>
      <c r="I744" s="14" t="n"/>
      <c r="J744" s="14" t="n"/>
      <c r="K744" s="53" t="inlineStr"/>
      <c r="L744" s="53" t="inlineStr">
        <is>
          <t>Не определено</t>
        </is>
      </c>
      <c r="M744" s="53" t="inlineStr"/>
      <c r="N744" s="54" t="inlineStr"/>
      <c r="O744" s="55" t="inlineStr"/>
      <c r="P744" s="16" t="inlineStr">
        <is>
          <t>Требует обогащения</t>
        </is>
      </c>
      <c r="Q744" s="16">
        <f>HYPERLINK("https://pb.nalog.ru/search.html?query=3834011301","ФНС: проверить")</f>
        <v/>
      </c>
      <c r="R744" s="16">
        <f>HYPERLINK("https://checko.ru/search?query=3801001629","Чекко: проверить")</f>
        <v/>
      </c>
      <c r="S744" t="n">
        <v>1</v>
      </c>
      <c r="T744" s="35" t="inlineStr">
        <is>
          <t>4 — Не обогащён</t>
        </is>
      </c>
      <c r="U744" s="35" t="inlineStr">
        <is>
          <t>Нет ОКВЭД/ССЧР</t>
        </is>
      </c>
      <c r="V744" s="35" t="inlineStr">
        <is>
          <t>Не определено</t>
        </is>
      </c>
      <c r="W744" s="35" t="inlineStr"/>
      <c r="X744" s="35" t="inlineStr"/>
    </row>
    <row r="745" ht="54.75" customHeight="1" s="24">
      <c r="A745" s="13" t="n">
        <v>5000118793</v>
      </c>
      <c r="B745" s="13" t="inlineStr">
        <is>
          <t>МУНИЦИПАЛЬНОЕ БЮДЖЕТНОЕ ОБЩЕОБРАЗОВАТЕЛЬНОЕ УЧРЕЖДЕНИЕ МОГОЕНОВСКАЯ СРЕДНЯЯ ОБЩЕОБРАЗОВАТЕЛЬНАЯ ШКОЛА</t>
        </is>
      </c>
      <c r="C745" s="13" t="n">
        <v>8501003871</v>
      </c>
      <c r="D745" s="13" t="inlineStr">
        <is>
          <t>8501003871</t>
        </is>
      </c>
      <c r="E745" s="13" t="inlineStr">
        <is>
          <t>ЮЛ РФ</t>
        </is>
      </c>
      <c r="F745" s="13" t="n"/>
      <c r="G745" s="14" t="n"/>
      <c r="H745" s="14" t="n"/>
      <c r="I745" s="14" t="n"/>
      <c r="J745" s="14" t="n"/>
      <c r="K745" s="53" t="inlineStr"/>
      <c r="L745" s="53" t="inlineStr">
        <is>
          <t>Не определено</t>
        </is>
      </c>
      <c r="M745" s="53" t="inlineStr"/>
      <c r="N745" s="54" t="inlineStr"/>
      <c r="O745" s="55" t="inlineStr"/>
      <c r="P745" s="16" t="inlineStr">
        <is>
          <t>Требует обогащения</t>
        </is>
      </c>
      <c r="Q745" s="16">
        <f>HYPERLINK("https://pb.nalog.ru/search.html?query=8501003871","ФНС: проверить")</f>
        <v/>
      </c>
      <c r="R745" s="16">
        <f>HYPERLINK("https://checko.ru/search?query=3801001629","Чекко: проверить")</f>
        <v/>
      </c>
      <c r="S745" t="n">
        <v>1</v>
      </c>
      <c r="T745" s="35" t="inlineStr">
        <is>
          <t>4 — Не обогащён</t>
        </is>
      </c>
      <c r="U745" s="35" t="inlineStr">
        <is>
          <t>Нет ОКВЭД/ССЧР</t>
        </is>
      </c>
      <c r="V745" s="35" t="inlineStr">
        <is>
          <t>Не определено</t>
        </is>
      </c>
      <c r="W745" s="35" t="inlineStr"/>
      <c r="X745" s="35" t="inlineStr"/>
    </row>
    <row r="746" ht="54.75" customHeight="1" s="24">
      <c r="A746" s="13" t="n">
        <v>5000101480</v>
      </c>
      <c r="B746" s="13" t="inlineStr">
        <is>
          <t>Муниципальное Казённое Образовательное учреждение Дополнительного Образования "Детская Школа Искусств Им. А.В.Кузакова г. Киренска"</t>
        </is>
      </c>
      <c r="C746" s="13" t="n">
        <v>3831003542</v>
      </c>
      <c r="D746" s="13" t="inlineStr">
        <is>
          <t>3831003542</t>
        </is>
      </c>
      <c r="E746" s="13" t="inlineStr">
        <is>
          <t>ЮЛ РФ</t>
        </is>
      </c>
      <c r="F746" s="13" t="n"/>
      <c r="G746" s="14" t="n"/>
      <c r="H746" s="14" t="n"/>
      <c r="I746" s="14" t="n"/>
      <c r="J746" s="14" t="n"/>
      <c r="K746" s="53" t="inlineStr"/>
      <c r="L746" s="53" t="inlineStr">
        <is>
          <t>Не определено</t>
        </is>
      </c>
      <c r="M746" s="53" t="inlineStr"/>
      <c r="N746" s="54" t="inlineStr"/>
      <c r="O746" s="55" t="inlineStr"/>
      <c r="P746" s="16" t="inlineStr">
        <is>
          <t>Требует обогащения</t>
        </is>
      </c>
      <c r="Q746" s="16">
        <f>HYPERLINK("https://pb.nalog.ru/search.html?query=3831003542","ФНС: проверить")</f>
        <v/>
      </c>
      <c r="R746" s="16">
        <f>HYPERLINK("https://checko.ru/search?query=3801001629","Чекко: проверить")</f>
        <v/>
      </c>
      <c r="S746" t="n">
        <v>1</v>
      </c>
      <c r="T746" s="35" t="inlineStr">
        <is>
          <t>4 — Не обогащён</t>
        </is>
      </c>
      <c r="U746" s="35" t="inlineStr">
        <is>
          <t>Нет ОКВЭД/ССЧР</t>
        </is>
      </c>
      <c r="V746" s="35" t="inlineStr">
        <is>
          <t>Не определено</t>
        </is>
      </c>
      <c r="W746" s="35" t="inlineStr"/>
      <c r="X746" s="35" t="inlineStr"/>
    </row>
    <row r="747" ht="27.75" customHeight="1" s="24">
      <c r="A747" s="13" t="n">
        <v>5000101481</v>
      </c>
      <c r="B747" s="13" t="inlineStr">
        <is>
          <t>Муниципальное казённое учреждение культуры "Историко-краеведческий музей"</t>
        </is>
      </c>
      <c r="C747" s="13" t="n">
        <v>3818023074</v>
      </c>
      <c r="D747" s="13" t="inlineStr">
        <is>
          <t>3818023074</t>
        </is>
      </c>
      <c r="E747" s="13" t="inlineStr">
        <is>
          <t>ЮЛ РФ</t>
        </is>
      </c>
      <c r="F747" s="13" t="n"/>
      <c r="G747" s="14" t="n"/>
      <c r="H747" s="14" t="n"/>
      <c r="I747" s="14" t="n"/>
      <c r="J747" s="14" t="n"/>
      <c r="K747" s="53" t="inlineStr"/>
      <c r="L747" s="53" t="inlineStr">
        <is>
          <t>Не определено</t>
        </is>
      </c>
      <c r="M747" s="53" t="inlineStr"/>
      <c r="N747" s="54" t="inlineStr"/>
      <c r="O747" s="55" t="inlineStr"/>
      <c r="P747" s="16" t="inlineStr">
        <is>
          <t>Требует обогащения</t>
        </is>
      </c>
      <c r="Q747" s="16">
        <f>HYPERLINK("https://pb.nalog.ru/search.html?query=3818023074","ФНС: проверить")</f>
        <v/>
      </c>
      <c r="R747" s="16">
        <f>HYPERLINK("https://checko.ru/search?query=3801001629","Чекко: проверить")</f>
        <v/>
      </c>
      <c r="S747" t="n">
        <v>1</v>
      </c>
      <c r="T747" s="35" t="inlineStr">
        <is>
          <t>4 — Не обогащён</t>
        </is>
      </c>
      <c r="U747" s="35" t="inlineStr">
        <is>
          <t>Нет ОКВЭД/ССЧР</t>
        </is>
      </c>
      <c r="V747" s="35" t="inlineStr">
        <is>
          <t>Не определено</t>
        </is>
      </c>
      <c r="W747" s="35" t="inlineStr"/>
      <c r="X747" s="35" t="inlineStr"/>
    </row>
    <row r="748" ht="41.25" customHeight="1" s="24">
      <c r="A748" s="13" t="n">
        <v>5000101482</v>
      </c>
      <c r="B748" s="13" t="inlineStr">
        <is>
          <t>Муниципальное казенное учреждение "Межпоселенческая библиотека" Муниципального образования Киренский район</t>
        </is>
      </c>
      <c r="C748" s="13" t="n">
        <v>3818023067</v>
      </c>
      <c r="D748" s="13" t="inlineStr">
        <is>
          <t>3818023067</t>
        </is>
      </c>
      <c r="E748" s="13" t="inlineStr">
        <is>
          <t>ЮЛ РФ</t>
        </is>
      </c>
      <c r="F748" s="13" t="n"/>
      <c r="G748" s="14" t="n"/>
      <c r="H748" s="14" t="n"/>
      <c r="I748" s="14" t="n"/>
      <c r="J748" s="14" t="n"/>
      <c r="K748" s="53" t="inlineStr"/>
      <c r="L748" s="53" t="inlineStr">
        <is>
          <t>Не определено</t>
        </is>
      </c>
      <c r="M748" s="53" t="inlineStr"/>
      <c r="N748" s="54" t="inlineStr"/>
      <c r="O748" s="55" t="inlineStr"/>
      <c r="P748" s="16" t="inlineStr">
        <is>
          <t>Требует обогащения</t>
        </is>
      </c>
      <c r="Q748" s="16">
        <f>HYPERLINK("https://pb.nalog.ru/search.html?query=3818023067","ФНС: проверить")</f>
        <v/>
      </c>
      <c r="R748" s="16">
        <f>HYPERLINK("https://checko.ru/search?query=3801001629","Чекко: проверить")</f>
        <v/>
      </c>
      <c r="S748" t="n">
        <v>1</v>
      </c>
      <c r="T748" s="35" t="inlineStr">
        <is>
          <t>4 — Не обогащён</t>
        </is>
      </c>
      <c r="U748" s="35" t="inlineStr">
        <is>
          <t>Нет ОКВЭД/ССЧР</t>
        </is>
      </c>
      <c r="V748" s="35" t="inlineStr">
        <is>
          <t>Не определено</t>
        </is>
      </c>
      <c r="W748" s="35" t="inlineStr"/>
      <c r="X748" s="35" t="inlineStr"/>
    </row>
    <row r="749" ht="41.25" customHeight="1" s="24">
      <c r="A749" s="13" t="n">
        <v>5000118788</v>
      </c>
      <c r="B749" s="13" t="inlineStr">
        <is>
          <t>МУНИЦИПАЛЬНОЕ БЮДЖЕТНОЕ ОБЩЕОБРАЗОВАТЕЛЬНОЕ УЧРЕЖДЕНИЕ АЛЯТСКАЯ СРЕДНЯЯ ОБЩЕОБРАЗОВАТЕЛЬНАЯ ШКОЛА</t>
        </is>
      </c>
      <c r="C749" s="13" t="n">
        <v>8501003857</v>
      </c>
      <c r="D749" s="13" t="inlineStr">
        <is>
          <t>8501003857</t>
        </is>
      </c>
      <c r="E749" s="13" t="inlineStr">
        <is>
          <t>ЮЛ РФ</t>
        </is>
      </c>
      <c r="F749" s="13" t="n"/>
      <c r="G749" s="14" t="n"/>
      <c r="H749" s="14" t="n"/>
      <c r="I749" s="14" t="n"/>
      <c r="J749" s="14" t="n"/>
      <c r="K749" s="53" t="inlineStr"/>
      <c r="L749" s="53" t="inlineStr">
        <is>
          <t>Не определено</t>
        </is>
      </c>
      <c r="M749" s="53" t="inlineStr"/>
      <c r="N749" s="54" t="inlineStr"/>
      <c r="O749" s="55" t="inlineStr"/>
      <c r="P749" s="16" t="inlineStr">
        <is>
          <t>Требует обогащения</t>
        </is>
      </c>
      <c r="Q749" s="16">
        <f>HYPERLINK("https://pb.nalog.ru/search.html?query=8501003857","ФНС: проверить")</f>
        <v/>
      </c>
      <c r="R749" s="16">
        <f>HYPERLINK("https://checko.ru/search?query=3801001629","Чекко: проверить")</f>
        <v/>
      </c>
      <c r="S749" t="n">
        <v>1</v>
      </c>
      <c r="T749" s="35" t="inlineStr">
        <is>
          <t>4 — Не обогащён</t>
        </is>
      </c>
      <c r="U749" s="35" t="inlineStr">
        <is>
          <t>Нет ОКВЭД/ССЧР</t>
        </is>
      </c>
      <c r="V749" s="35" t="inlineStr">
        <is>
          <t>Не определено</t>
        </is>
      </c>
      <c r="W749" s="35" t="inlineStr"/>
      <c r="X749" s="35" t="inlineStr"/>
    </row>
    <row r="750" ht="41.25" customHeight="1" s="24">
      <c r="A750" s="13" t="n">
        <v>5000118797</v>
      </c>
      <c r="B750" s="13" t="inlineStr">
        <is>
          <t>Муниципальное общеобразовательное учреждение Кутуликская средняя общеобразовательная школа</t>
        </is>
      </c>
      <c r="C750" s="13" t="n">
        <v>8501000373</v>
      </c>
      <c r="D750" s="13" t="inlineStr">
        <is>
          <t>8501000373</t>
        </is>
      </c>
      <c r="E750" s="13" t="inlineStr">
        <is>
          <t>ЮЛ РФ</t>
        </is>
      </c>
      <c r="F750" s="13" t="n"/>
      <c r="G750" s="14" t="n"/>
      <c r="H750" s="14" t="n"/>
      <c r="I750" s="14" t="n"/>
      <c r="J750" s="14" t="n"/>
      <c r="K750" s="53" t="inlineStr"/>
      <c r="L750" s="53" t="inlineStr">
        <is>
          <t>Не определено</t>
        </is>
      </c>
      <c r="M750" s="53" t="inlineStr"/>
      <c r="N750" s="54" t="inlineStr"/>
      <c r="O750" s="55" t="inlineStr"/>
      <c r="P750" s="16" t="inlineStr">
        <is>
          <t>Требует обогащения</t>
        </is>
      </c>
      <c r="Q750" s="16">
        <f>HYPERLINK("https://pb.nalog.ru/search.html?query=8501000373","ФНС: проверить")</f>
        <v/>
      </c>
      <c r="R750" s="16">
        <f>HYPERLINK("https://checko.ru/search?query=3801001629","Чекко: проверить")</f>
        <v/>
      </c>
      <c r="S750" t="n">
        <v>1</v>
      </c>
      <c r="T750" s="35" t="inlineStr">
        <is>
          <t>4 — Не обогащён</t>
        </is>
      </c>
      <c r="U750" s="35" t="inlineStr">
        <is>
          <t>Нет ОКВЭД/ССЧР</t>
        </is>
      </c>
      <c r="V750" s="35" t="inlineStr">
        <is>
          <t>Не определено</t>
        </is>
      </c>
      <c r="W750" s="35" t="inlineStr"/>
      <c r="X750" s="35" t="inlineStr"/>
    </row>
    <row r="751" ht="41.25" customHeight="1" s="24">
      <c r="A751" s="13" t="n">
        <v>5000102519</v>
      </c>
      <c r="B751" s="13" t="inlineStr">
        <is>
          <t>Муниципальное бюджетное учреждение культуры "Информационно-культурный центр" муниципального образования "Ангарский"</t>
        </is>
      </c>
      <c r="C751" s="13" t="n">
        <v>3851005040</v>
      </c>
      <c r="D751" s="13" t="inlineStr">
        <is>
          <t>3851005040</t>
        </is>
      </c>
      <c r="E751" s="13" t="inlineStr">
        <is>
          <t>ЮЛ РФ</t>
        </is>
      </c>
      <c r="F751" s="13" t="n"/>
      <c r="G751" s="14" t="n"/>
      <c r="H751" s="14" t="n"/>
      <c r="I751" s="14" t="n"/>
      <c r="J751" s="14" t="n"/>
      <c r="K751" s="53" t="inlineStr"/>
      <c r="L751" s="53" t="inlineStr">
        <is>
          <t>Не определено</t>
        </is>
      </c>
      <c r="M751" s="53" t="inlineStr"/>
      <c r="N751" s="54" t="inlineStr"/>
      <c r="O751" s="55" t="inlineStr"/>
      <c r="P751" s="16" t="inlineStr">
        <is>
          <t>Требует обогащения</t>
        </is>
      </c>
      <c r="Q751" s="16">
        <f>HYPERLINK("https://pb.nalog.ru/search.html?query=3851005040","ФНС: проверить")</f>
        <v/>
      </c>
      <c r="R751" s="16">
        <f>HYPERLINK("https://checko.ru/search?query=3801001629","Чекко: проверить")</f>
        <v/>
      </c>
      <c r="S751" t="n">
        <v>1</v>
      </c>
      <c r="T751" s="35" t="inlineStr">
        <is>
          <t>4 — Не обогащён</t>
        </is>
      </c>
      <c r="U751" s="35" t="inlineStr">
        <is>
          <t>Нет ОКВЭД/ССЧР</t>
        </is>
      </c>
      <c r="V751" s="35" t="inlineStr">
        <is>
          <t>Не определено</t>
        </is>
      </c>
      <c r="W751" s="35" t="inlineStr"/>
      <c r="X751" s="35" t="inlineStr"/>
    </row>
    <row r="752" ht="27.75" customHeight="1" s="24">
      <c r="A752" s="13" t="n">
        <v>5000001458</v>
      </c>
      <c r="B752" s="13" t="inlineStr">
        <is>
          <t>ГБУК Иркутский областной художественный музей им. В.П. Сукачева</t>
        </is>
      </c>
      <c r="C752" s="13" t="n">
        <v>3808040842</v>
      </c>
      <c r="D752" s="13" t="inlineStr">
        <is>
          <t>3808040842</t>
        </is>
      </c>
      <c r="E752" s="13" t="inlineStr">
        <is>
          <t>ЮЛ РФ</t>
        </is>
      </c>
      <c r="F752" s="13" t="n"/>
      <c r="G752" s="14" t="n"/>
      <c r="H752" s="14" t="n"/>
      <c r="I752" s="14" t="n"/>
      <c r="J752" s="14" t="n"/>
      <c r="K752" s="53" t="inlineStr"/>
      <c r="L752" s="53" t="inlineStr">
        <is>
          <t>Не определено</t>
        </is>
      </c>
      <c r="M752" s="53" t="inlineStr"/>
      <c r="N752" s="54" t="inlineStr"/>
      <c r="O752" s="55" t="inlineStr"/>
      <c r="P752" s="16" t="inlineStr">
        <is>
          <t>Требует обогащения</t>
        </is>
      </c>
      <c r="Q752" s="16">
        <f>HYPERLINK("https://pb.nalog.ru/search.html?query=3808040842","ФНС: проверить")</f>
        <v/>
      </c>
      <c r="R752" s="16">
        <f>HYPERLINK("https://checko.ru/search?query=3801001629","Чекко: проверить")</f>
        <v/>
      </c>
      <c r="S752" t="n">
        <v>1</v>
      </c>
      <c r="T752" s="35" t="inlineStr">
        <is>
          <t>4 — Не обогащён</t>
        </is>
      </c>
      <c r="U752" s="35" t="inlineStr">
        <is>
          <t>Нет ОКВЭД/ССЧР</t>
        </is>
      </c>
      <c r="V752" s="35" t="inlineStr">
        <is>
          <t>Не определено</t>
        </is>
      </c>
      <c r="W752" s="35" t="inlineStr"/>
      <c r="X752" s="35" t="inlineStr"/>
    </row>
    <row r="753" ht="15" customHeight="1" s="24">
      <c r="A753" s="13" t="n">
        <v>5000038524</v>
      </c>
      <c r="B753" s="13" t="inlineStr">
        <is>
          <t>ОГАУ "Волга-спорт-арена"</t>
        </is>
      </c>
      <c r="C753" s="13" t="n">
        <v>7327073338</v>
      </c>
      <c r="D753" s="13" t="inlineStr">
        <is>
          <t>7327073338</t>
        </is>
      </c>
      <c r="E753" s="13" t="inlineStr">
        <is>
          <t>ЮЛ РФ</t>
        </is>
      </c>
      <c r="F753" s="13" t="n"/>
      <c r="G753" s="14" t="n"/>
      <c r="H753" s="14" t="n"/>
      <c r="I753" s="14" t="n"/>
      <c r="J753" s="14" t="n"/>
      <c r="K753" s="53" t="inlineStr"/>
      <c r="L753" s="53" t="inlineStr">
        <is>
          <t>Не определено</t>
        </is>
      </c>
      <c r="M753" s="53" t="inlineStr"/>
      <c r="N753" s="54" t="inlineStr"/>
      <c r="O753" s="55" t="inlineStr"/>
      <c r="P753" s="16" t="inlineStr">
        <is>
          <t>Требует обогащения</t>
        </is>
      </c>
      <c r="Q753" s="16">
        <f>HYPERLINK("https://pb.nalog.ru/search.html?query=7327073338","ФНС: проверить")</f>
        <v/>
      </c>
      <c r="R753" s="16">
        <f>HYPERLINK("https://checko.ru/search?query=3801001629","Чекко: проверить")</f>
        <v/>
      </c>
      <c r="S753" t="n">
        <v>1</v>
      </c>
      <c r="T753" s="35" t="inlineStr">
        <is>
          <t>4 — Не обогащён</t>
        </is>
      </c>
      <c r="U753" s="35" t="inlineStr">
        <is>
          <t>Нет ОКВЭД/ССЧР</t>
        </is>
      </c>
      <c r="V753" s="35" t="inlineStr">
        <is>
          <t>Не определено</t>
        </is>
      </c>
      <c r="W753" s="35" t="inlineStr"/>
      <c r="X753" s="35" t="inlineStr"/>
    </row>
    <row r="754" ht="27.75" customHeight="1" s="24">
      <c r="A754" s="13" t="n">
        <v>5000001623</v>
      </c>
      <c r="B754" s="13" t="inlineStr">
        <is>
          <t>ОГАУЗ "Братская стоматологическая поликлиника №1"</t>
        </is>
      </c>
      <c r="C754" s="13" t="n">
        <v>3803101040</v>
      </c>
      <c r="D754" s="13" t="inlineStr">
        <is>
          <t>3803101040</t>
        </is>
      </c>
      <c r="E754" s="13" t="inlineStr">
        <is>
          <t>ЮЛ РФ</t>
        </is>
      </c>
      <c r="F754" s="13" t="n"/>
      <c r="G754" s="14" t="n"/>
      <c r="H754" s="14" t="n"/>
      <c r="I754" s="14" t="n"/>
      <c r="J754" s="14" t="n"/>
      <c r="K754" s="53" t="inlineStr"/>
      <c r="L754" s="53" t="inlineStr">
        <is>
          <t>Не определено</t>
        </is>
      </c>
      <c r="M754" s="53" t="inlineStr"/>
      <c r="N754" s="54" t="inlineStr"/>
      <c r="O754" s="55" t="inlineStr"/>
      <c r="P754" s="16" t="inlineStr">
        <is>
          <t>Требует обогащения</t>
        </is>
      </c>
      <c r="Q754" s="16">
        <f>HYPERLINK("https://pb.nalog.ru/search.html?query=3803101040","ФНС: проверить")</f>
        <v/>
      </c>
      <c r="R754" s="16">
        <f>HYPERLINK("https://checko.ru/search?query=3801001629","Чекко: проверить")</f>
        <v/>
      </c>
      <c r="S754" t="n">
        <v>1</v>
      </c>
      <c r="T754" s="35" t="inlineStr">
        <is>
          <t>4 — Не обогащён</t>
        </is>
      </c>
      <c r="U754" s="35" t="inlineStr">
        <is>
          <t>Нет ОКВЭД/ССЧР</t>
        </is>
      </c>
      <c r="V754" s="35" t="inlineStr">
        <is>
          <t>Не определено</t>
        </is>
      </c>
      <c r="W754" s="35" t="inlineStr"/>
      <c r="X754" s="35" t="inlineStr"/>
    </row>
    <row r="755" ht="27.75" customHeight="1" s="24">
      <c r="A755" s="13" t="n">
        <v>5000101666</v>
      </c>
      <c r="B755" s="13" t="inlineStr">
        <is>
          <t>Государственное казенное учреждение Иркутской области "Балаганское лесничество"</t>
        </is>
      </c>
      <c r="C755" s="13" t="n">
        <v>3816035412</v>
      </c>
      <c r="D755" s="13" t="inlineStr">
        <is>
          <t>3816035412</t>
        </is>
      </c>
      <c r="E755" s="13" t="inlineStr">
        <is>
          <t>ЮЛ РФ</t>
        </is>
      </c>
      <c r="F755" s="13" t="n"/>
      <c r="G755" s="14" t="n"/>
      <c r="H755" s="14" t="n"/>
      <c r="I755" s="14" t="n"/>
      <c r="J755" s="14" t="n"/>
      <c r="K755" s="53" t="inlineStr"/>
      <c r="L755" s="53" t="inlineStr">
        <is>
          <t>Не определено</t>
        </is>
      </c>
      <c r="M755" s="53" t="inlineStr"/>
      <c r="N755" s="54" t="inlineStr"/>
      <c r="O755" s="55" t="inlineStr"/>
      <c r="P755" s="16" t="inlineStr">
        <is>
          <t>Требует обогащения</t>
        </is>
      </c>
      <c r="Q755" s="16">
        <f>HYPERLINK("https://pb.nalog.ru/search.html?query=3816035412","ФНС: проверить")</f>
        <v/>
      </c>
      <c r="R755" s="16">
        <f>HYPERLINK("https://checko.ru/search?query=3801001629","Чекко: проверить")</f>
        <v/>
      </c>
      <c r="S755" t="n">
        <v>1</v>
      </c>
      <c r="T755" s="35" t="inlineStr">
        <is>
          <t>4 — Не обогащён</t>
        </is>
      </c>
      <c r="U755" s="35" t="inlineStr">
        <is>
          <t>Нет ОКВЭД/ССЧР</t>
        </is>
      </c>
      <c r="V755" s="35" t="inlineStr">
        <is>
          <t>Не определено</t>
        </is>
      </c>
      <c r="W755" s="35" t="inlineStr"/>
      <c r="X755" s="35" t="inlineStr"/>
    </row>
    <row r="756" ht="15" customHeight="1" s="24">
      <c r="A756" s="13" t="n">
        <v>5000002059</v>
      </c>
      <c r="B756" s="13" t="inlineStr">
        <is>
          <t>ОГУК "Киноконцертный зал "Эрдэм"</t>
        </is>
      </c>
      <c r="C756" s="13" t="n">
        <v>8506007848</v>
      </c>
      <c r="D756" s="13" t="inlineStr">
        <is>
          <t>8506007848</t>
        </is>
      </c>
      <c r="E756" s="13" t="inlineStr">
        <is>
          <t>ЮЛ РФ</t>
        </is>
      </c>
      <c r="F756" s="13" t="n"/>
      <c r="G756" s="14" t="n"/>
      <c r="H756" s="14" t="n"/>
      <c r="I756" s="14" t="n"/>
      <c r="J756" s="14" t="n"/>
      <c r="K756" s="53" t="inlineStr"/>
      <c r="L756" s="53" t="inlineStr">
        <is>
          <t>Не определено</t>
        </is>
      </c>
      <c r="M756" s="53" t="inlineStr"/>
      <c r="N756" s="54" t="inlineStr"/>
      <c r="O756" s="55" t="inlineStr"/>
      <c r="P756" s="16" t="inlineStr">
        <is>
          <t>Требует обогащения</t>
        </is>
      </c>
      <c r="Q756" s="16">
        <f>HYPERLINK("https://pb.nalog.ru/search.html?query=8506007848","ФНС: проверить")</f>
        <v/>
      </c>
      <c r="R756" s="16">
        <f>HYPERLINK("https://checko.ru/search?query=3801001629","Чекко: проверить")</f>
        <v/>
      </c>
      <c r="S756" t="n">
        <v>1</v>
      </c>
      <c r="T756" s="35" t="inlineStr">
        <is>
          <t>4 — Не обогащён</t>
        </is>
      </c>
      <c r="U756" s="35" t="inlineStr">
        <is>
          <t>Нет ОКВЭД/ССЧР</t>
        </is>
      </c>
      <c r="V756" s="35" t="inlineStr">
        <is>
          <t>Не определено</t>
        </is>
      </c>
      <c r="W756" s="35" t="inlineStr"/>
      <c r="X756" s="35" t="inlineStr"/>
    </row>
    <row r="757" ht="27.75" customHeight="1" s="24">
      <c r="A757" s="13" t="n">
        <v>5000038488</v>
      </c>
      <c r="B757" s="13" t="inlineStr">
        <is>
          <t>ОГБУ "Новоспасский центр ветеринарии и безопасности продовольствия"</t>
        </is>
      </c>
      <c r="C757" s="13" t="n">
        <v>7313003845</v>
      </c>
      <c r="D757" s="13" t="inlineStr">
        <is>
          <t>7313003845</t>
        </is>
      </c>
      <c r="E757" s="13" t="inlineStr">
        <is>
          <t>ЮЛ РФ</t>
        </is>
      </c>
      <c r="F757" s="13" t="n"/>
      <c r="G757" s="14" t="n"/>
      <c r="H757" s="14" t="n"/>
      <c r="I757" s="14" t="n"/>
      <c r="J757" s="14" t="n"/>
      <c r="K757" s="53" t="inlineStr"/>
      <c r="L757" s="53" t="inlineStr">
        <is>
          <t>Не определено</t>
        </is>
      </c>
      <c r="M757" s="53" t="inlineStr"/>
      <c r="N757" s="54" t="inlineStr"/>
      <c r="O757" s="55" t="inlineStr"/>
      <c r="P757" s="16" t="inlineStr">
        <is>
          <t>Требует обогащения</t>
        </is>
      </c>
      <c r="Q757" s="16">
        <f>HYPERLINK("https://pb.nalog.ru/search.html?query=7313003845","ФНС: проверить")</f>
        <v/>
      </c>
      <c r="R757" s="16">
        <f>HYPERLINK("https://checko.ru/search?query=3801001629","Чекко: проверить")</f>
        <v/>
      </c>
      <c r="S757" t="n">
        <v>1</v>
      </c>
      <c r="T757" s="35" t="inlineStr">
        <is>
          <t>4 — Не обогащён</t>
        </is>
      </c>
      <c r="U757" s="35" t="inlineStr">
        <is>
          <t>Нет ОКВЭД/ССЧР</t>
        </is>
      </c>
      <c r="V757" s="35" t="inlineStr">
        <is>
          <t>Не определено</t>
        </is>
      </c>
      <c r="W757" s="35" t="inlineStr"/>
      <c r="X757" s="35" t="inlineStr"/>
    </row>
    <row r="758" ht="27.75" customHeight="1" s="24">
      <c r="A758" s="13" t="n">
        <v>5000038496</v>
      </c>
      <c r="B758" s="13" t="inlineStr">
        <is>
          <t>ОГБУК "Ульяновский областной краеведческий музей имени И.А. Гончарова"</t>
        </is>
      </c>
      <c r="C758" s="13" t="n">
        <v>7325028516</v>
      </c>
      <c r="D758" s="13" t="inlineStr">
        <is>
          <t>7325028516</t>
        </is>
      </c>
      <c r="E758" s="13" t="inlineStr">
        <is>
          <t>ЮЛ РФ</t>
        </is>
      </c>
      <c r="F758" s="13" t="n"/>
      <c r="G758" s="14" t="n"/>
      <c r="H758" s="14" t="n"/>
      <c r="I758" s="14" t="n"/>
      <c r="J758" s="14" t="n"/>
      <c r="K758" s="53" t="inlineStr"/>
      <c r="L758" s="53" t="inlineStr">
        <is>
          <t>Не определено</t>
        </is>
      </c>
      <c r="M758" s="53" t="inlineStr"/>
      <c r="N758" s="54" t="inlineStr"/>
      <c r="O758" s="55" t="inlineStr"/>
      <c r="P758" s="16" t="inlineStr">
        <is>
          <t>Требует обогащения</t>
        </is>
      </c>
      <c r="Q758" s="16">
        <f>HYPERLINK("https://pb.nalog.ru/search.html?query=7325028516","ФНС: проверить")</f>
        <v/>
      </c>
      <c r="R758" s="16">
        <f>HYPERLINK("https://checko.ru/search?query=3801001629","Чекко: проверить")</f>
        <v/>
      </c>
      <c r="S758" t="n">
        <v>1</v>
      </c>
      <c r="T758" s="35" t="inlineStr">
        <is>
          <t>4 — Не обогащён</t>
        </is>
      </c>
      <c r="U758" s="35" t="inlineStr">
        <is>
          <t>Нет ОКВЭД/ССЧР</t>
        </is>
      </c>
      <c r="V758" s="35" t="inlineStr">
        <is>
          <t>Не определено</t>
        </is>
      </c>
      <c r="W758" s="35" t="inlineStr"/>
      <c r="X758" s="35" t="inlineStr"/>
    </row>
    <row r="759" ht="27.75" customHeight="1" s="24">
      <c r="A759" s="13" t="n">
        <v>5000001462</v>
      </c>
      <c r="B759" s="13" t="inlineStr">
        <is>
          <t>ГУК Областная специальная библиотека для слепых</t>
        </is>
      </c>
      <c r="C759" s="13" t="n">
        <v>3808050054</v>
      </c>
      <c r="D759" s="13" t="inlineStr">
        <is>
          <t>3808050054</t>
        </is>
      </c>
      <c r="E759" s="13" t="inlineStr">
        <is>
          <t>ЮЛ РФ</t>
        </is>
      </c>
      <c r="F759" s="13" t="n"/>
      <c r="G759" s="14" t="n"/>
      <c r="H759" s="14" t="n"/>
      <c r="I759" s="14" t="n"/>
      <c r="J759" s="14" t="n"/>
      <c r="K759" s="53" t="inlineStr"/>
      <c r="L759" s="53" t="inlineStr">
        <is>
          <t>Не определено</t>
        </is>
      </c>
      <c r="M759" s="53" t="inlineStr"/>
      <c r="N759" s="54" t="inlineStr"/>
      <c r="O759" s="55" t="inlineStr"/>
      <c r="P759" s="16" t="inlineStr">
        <is>
          <t>Требует обогащения</t>
        </is>
      </c>
      <c r="Q759" s="16">
        <f>HYPERLINK("https://pb.nalog.ru/search.html?query=3808050054","ФНС: проверить")</f>
        <v/>
      </c>
      <c r="R759" s="16">
        <f>HYPERLINK("https://checko.ru/search?query=3801001629","Чекко: проверить")</f>
        <v/>
      </c>
      <c r="S759" t="n">
        <v>1</v>
      </c>
      <c r="T759" s="35" t="inlineStr">
        <is>
          <t>4 — Не обогащён</t>
        </is>
      </c>
      <c r="U759" s="35" t="inlineStr">
        <is>
          <t>Нет ОКВЭД/ССЧР</t>
        </is>
      </c>
      <c r="V759" s="35" t="inlineStr">
        <is>
          <t>Не определено</t>
        </is>
      </c>
      <c r="W759" s="35" t="inlineStr"/>
      <c r="X759" s="35" t="inlineStr"/>
    </row>
    <row r="760" ht="15" customHeight="1" s="24">
      <c r="A760" s="13" t="n">
        <v>5000001535</v>
      </c>
      <c r="B760" s="13" t="inlineStr">
        <is>
          <t>ГБУЗ "Областной онкологический диспансер"</t>
        </is>
      </c>
      <c r="C760" s="13" t="n">
        <v>3809016338</v>
      </c>
      <c r="D760" s="13" t="inlineStr">
        <is>
          <t>3809016338</t>
        </is>
      </c>
      <c r="E760" s="13" t="inlineStr">
        <is>
          <t>ЮЛ РФ</t>
        </is>
      </c>
      <c r="F760" s="13" t="n"/>
      <c r="G760" s="14" t="n"/>
      <c r="H760" s="14" t="n"/>
      <c r="I760" s="14" t="n"/>
      <c r="J760" s="14" t="n"/>
      <c r="K760" s="53" t="inlineStr"/>
      <c r="L760" s="53" t="inlineStr">
        <is>
          <t>Не определено</t>
        </is>
      </c>
      <c r="M760" s="53" t="inlineStr"/>
      <c r="N760" s="54" t="inlineStr"/>
      <c r="O760" s="55" t="inlineStr"/>
      <c r="P760" s="16" t="inlineStr">
        <is>
          <t>Требует обогащения</t>
        </is>
      </c>
      <c r="Q760" s="16">
        <f>HYPERLINK("https://pb.nalog.ru/search.html?query=3809016338","ФНС: проверить")</f>
        <v/>
      </c>
      <c r="R760" s="16">
        <f>HYPERLINK("https://checko.ru/search?query=3801001629","Чекко: проверить")</f>
        <v/>
      </c>
      <c r="S760" t="n">
        <v>1</v>
      </c>
      <c r="T760" s="35" t="inlineStr">
        <is>
          <t>4 — Не обогащён</t>
        </is>
      </c>
      <c r="U760" s="35" t="inlineStr">
        <is>
          <t>Нет ОКВЭД/ССЧР</t>
        </is>
      </c>
      <c r="V760" s="35" t="inlineStr">
        <is>
          <t>Не определено</t>
        </is>
      </c>
      <c r="W760" s="35" t="inlineStr"/>
      <c r="X760" s="35" t="inlineStr"/>
    </row>
    <row r="761" ht="41.25" customHeight="1" s="24">
      <c r="A761" s="13" t="n">
        <v>5000001717</v>
      </c>
      <c r="B761" s="13" t="inlineStr">
        <is>
          <t>ОБГБУ СОЦИАЛЬНОГО ОБСЛУЖИВАНИЯ "СОЦИАЛЬНО-РЕАБИЛИТАЦИОННЫЙ ЦЕНТР ДЛЯ НЕСОВЕРШЕННОЛЕТНИХ ИРКУТСКОГО РАЙОНА"</t>
        </is>
      </c>
      <c r="C761" s="13" t="n">
        <v>3827014848</v>
      </c>
      <c r="D761" s="13" t="inlineStr">
        <is>
          <t>3827014848</t>
        </is>
      </c>
      <c r="E761" s="13" t="inlineStr">
        <is>
          <t>ЮЛ РФ</t>
        </is>
      </c>
      <c r="F761" s="13" t="n"/>
      <c r="G761" s="14" t="n"/>
      <c r="H761" s="14" t="n"/>
      <c r="I761" s="14" t="n"/>
      <c r="J761" s="14" t="n"/>
      <c r="K761" s="53" t="inlineStr"/>
      <c r="L761" s="53" t="inlineStr">
        <is>
          <t>Не определено</t>
        </is>
      </c>
      <c r="M761" s="53" t="inlineStr"/>
      <c r="N761" s="54" t="inlineStr"/>
      <c r="O761" s="55" t="inlineStr"/>
      <c r="P761" s="16" t="inlineStr">
        <is>
          <t>Требует обогащения</t>
        </is>
      </c>
      <c r="Q761" s="16">
        <f>HYPERLINK("https://pb.nalog.ru/search.html?query=3827014848","ФНС: проверить")</f>
        <v/>
      </c>
      <c r="R761" s="16">
        <f>HYPERLINK("https://checko.ru/search?query=3801001629","Чекко: проверить")</f>
        <v/>
      </c>
      <c r="S761" t="n">
        <v>1</v>
      </c>
      <c r="T761" s="35" t="inlineStr">
        <is>
          <t>4 — Не обогащён</t>
        </is>
      </c>
      <c r="U761" s="35" t="inlineStr">
        <is>
          <t>Нет ОКВЭД/ССЧР</t>
        </is>
      </c>
      <c r="V761" s="35" t="inlineStr">
        <is>
          <t>Не определено</t>
        </is>
      </c>
      <c r="W761" s="35" t="inlineStr"/>
      <c r="X761" s="35" t="inlineStr"/>
    </row>
    <row r="762" ht="15" customHeight="1" s="24">
      <c r="A762" s="13" t="n">
        <v>5000106068</v>
      </c>
      <c r="B762" s="13" t="inlineStr">
        <is>
          <t>Департамент Оренбургской области по ценам</t>
        </is>
      </c>
      <c r="C762" s="13" t="n">
        <v>5610061589</v>
      </c>
      <c r="D762" s="13" t="inlineStr">
        <is>
          <t>5610061589</t>
        </is>
      </c>
      <c r="E762" s="13" t="inlineStr">
        <is>
          <t>ЮЛ РФ</t>
        </is>
      </c>
      <c r="F762" s="13" t="n"/>
      <c r="G762" s="14" t="n"/>
      <c r="H762" s="14" t="n"/>
      <c r="I762" s="14" t="n"/>
      <c r="J762" s="14" t="n"/>
      <c r="K762" s="53" t="inlineStr"/>
      <c r="L762" s="53" t="inlineStr">
        <is>
          <t>Не определено</t>
        </is>
      </c>
      <c r="M762" s="53" t="inlineStr"/>
      <c r="N762" s="54" t="inlineStr"/>
      <c r="O762" s="55" t="inlineStr"/>
      <c r="P762" s="16" t="inlineStr">
        <is>
          <t>Требует обогащения</t>
        </is>
      </c>
      <c r="Q762" s="16">
        <f>HYPERLINK("https://pb.nalog.ru/search.html?query=5610061589","ФНС: проверить")</f>
        <v/>
      </c>
      <c r="R762" s="16">
        <f>HYPERLINK("https://checko.ru/search?query=3801001629","Чекко: проверить")</f>
        <v/>
      </c>
      <c r="S762" t="n">
        <v>1</v>
      </c>
      <c r="T762" s="35" t="inlineStr">
        <is>
          <t>4 — Не обогащён</t>
        </is>
      </c>
      <c r="U762" s="35" t="inlineStr">
        <is>
          <t>Нет ОКВЭД/ССЧР</t>
        </is>
      </c>
      <c r="V762" s="35" t="inlineStr">
        <is>
          <t>Не определено</t>
        </is>
      </c>
      <c r="W762" s="35" t="inlineStr"/>
      <c r="X762" s="35" t="inlineStr"/>
    </row>
    <row r="763" ht="41.25" customHeight="1" s="24">
      <c r="A763" s="13" t="n">
        <v>5000106174</v>
      </c>
      <c r="B763" s="13" t="inlineStr">
        <is>
          <t>АДМИНИСТРАЦИЯ МУНИЦИПАЛЬНОГО ОБРАЗОВАНИЯ КАЛИНИНСКИЙ СЕЛЬСОВЕТ ТАШЛИНСКОГО РАЙОНА ОРЕНБУРГСКОЙ ОБЛАСТИ</t>
        </is>
      </c>
      <c r="C763" s="13" t="n">
        <v>5648004406</v>
      </c>
      <c r="D763" s="13" t="inlineStr">
        <is>
          <t>5648004406</t>
        </is>
      </c>
      <c r="E763" s="13" t="inlineStr">
        <is>
          <t>ЮЛ РФ</t>
        </is>
      </c>
      <c r="F763" s="13" t="n"/>
      <c r="G763" s="14" t="n"/>
      <c r="H763" s="14" t="n"/>
      <c r="I763" s="14" t="n"/>
      <c r="J763" s="14" t="n"/>
      <c r="K763" s="53" t="inlineStr"/>
      <c r="L763" s="53" t="inlineStr">
        <is>
          <t>Не определено</t>
        </is>
      </c>
      <c r="M763" s="53" t="inlineStr"/>
      <c r="N763" s="54" t="inlineStr"/>
      <c r="O763" s="55" t="inlineStr"/>
      <c r="P763" s="16" t="inlineStr">
        <is>
          <t>Требует обогащения</t>
        </is>
      </c>
      <c r="Q763" s="16">
        <f>HYPERLINK("https://pb.nalog.ru/search.html?query=5648004406","ФНС: проверить")</f>
        <v/>
      </c>
      <c r="R763" s="16">
        <f>HYPERLINK("https://checko.ru/search?query=3801001629","Чекко: проверить")</f>
        <v/>
      </c>
      <c r="S763" t="n">
        <v>1</v>
      </c>
      <c r="T763" s="35" t="inlineStr">
        <is>
          <t>4 — Не обогащён</t>
        </is>
      </c>
      <c r="U763" s="35" t="inlineStr">
        <is>
          <t>Нет ОКВЭД/ССЧР</t>
        </is>
      </c>
      <c r="V763" s="35" t="inlineStr">
        <is>
          <t>Не определено</t>
        </is>
      </c>
      <c r="W763" s="35" t="inlineStr"/>
      <c r="X763" s="35" t="inlineStr"/>
    </row>
    <row r="764" ht="15" customHeight="1" s="24">
      <c r="A764" s="13" t="n">
        <v>5000094443</v>
      </c>
      <c r="B764" s="13" t="inlineStr">
        <is>
          <t>ГБУЗ "Районная больница" с. п. Заюково</t>
        </is>
      </c>
      <c r="C764" s="13" t="n">
        <v>701007830</v>
      </c>
      <c r="D764" s="13" t="n"/>
      <c r="E764" s="13" t="inlineStr">
        <is>
          <t>Не определён</t>
        </is>
      </c>
      <c r="F764" s="13" t="inlineStr">
        <is>
          <t>701007830</t>
        </is>
      </c>
      <c r="G764" s="14" t="n"/>
      <c r="H764" s="14" t="n"/>
      <c r="I764" s="14" t="n"/>
      <c r="J764" s="14" t="n"/>
      <c r="K764" s="13">
        <f>IF(G764="","",IF(G764&gt;=22,"Да","Нет"))</f>
        <v/>
      </c>
      <c r="L764" s="13">
        <f>IF(OR(I764="",J764=""),"Не определено",IF(OR(COUNTIF(I764,"45*")&gt;0,COUNTIF(J764,"*45*")&gt;0,COUNTIF(I764,"46*")&gt;0,COUNTIF(J764,"*46*")&gt;0,COUNTIF(I764,"47*")&gt;0,COUNTIF(J764,"*47*")&gt;0,COUNTIF(I764,"10*")&gt;0,COUNTIF(J764,"*10*")&gt;0,COUNTIF(I764,"11*")&gt;0,COUNTIF(J764,"*11*")&gt;0,COUNTIF(I764,"12*")&gt;0,COUNTIF(J764,"*12*")&gt;0,COUNTIF(I764,"13*")&gt;0,COUNTIF(J764,"*13*")&gt;0,COUNTIF(I764,"14*")&gt;0,COUNTIF(J764,"*14*")&gt;0,COUNTIF(I764,"15*")&gt;0,COUNTIF(J764,"*15*")&gt;0,COUNTIF(I764,"16*")&gt;0,COUNTIF(J764,"*16*")&gt;0,COUNTIF(I764,"17*")&gt;0,COUNTIF(J764,"*17*")&gt;0,COUNTIF(I764,"18*")&gt;0,COUNTIF(J764,"*18*")&gt;0,COUNTIF(I764,"19*")&gt;0,COUNTIF(J764,"*19*")&gt;0,COUNTIF(I764,"20*")&gt;0,COUNTIF(J764,"*20*")&gt;0,COUNTIF(I764,"21*")&gt;0,COUNTIF(J764,"*21*")&gt;0,COUNTIF(I764,"22*")&gt;0,COUNTIF(J764,"*22*")&gt;0,COUNTIF(I764,"23*")&gt;0,COUNTIF(J764,"*23*")&gt;0,COUNTIF(I764,"24*")&gt;0,COUNTIF(J764,"*24*")&gt;0,COUNTIF(I764,"25*")&gt;0,COUNTIF(J764,"*25*")&gt;0,COUNTIF(I764,"26*")&gt;0,COUNTIF(J764,"*26*")&gt;0,COUNTIF(I764,"27*")&gt;0,COUNTIF(J764,"*27*")&gt;0,COUNTIF(I764,"28*")&gt;0,COUNTIF(J764,"*28*")&gt;0,COUNTIF(I764,"29*")&gt;0,COUNTIF(J764,"*29*")&gt;0,COUNTIF(I764,"30*")&gt;0,COUNTIF(J764,"*30*")&gt;0,COUNTIF(I764,"31*")&gt;0,COUNTIF(J764,"*31*")&gt;0,COUNTIF(I764,"32*")&gt;0,COUNTIF(J764,"*32*")&gt;0,COUNTIF(I764,"33*")&gt;0,COUNTIF(J764,"*33*")&gt;0,COUNTIF(I764,"41*")&gt;0,COUNTIF(J764,"*41*")&gt;0,COUNTIF(I764,"42*")&gt;0,COUNTIF(J764,"*42*")&gt;0,COUNTIF(I764,"43*")&gt;0,COUNTIF(J764,"*43*")&gt;0,COUNTIF(I764,"49*")&gt;0,COUNTIF(J764,"*49*")&gt;0,COUNTIF(I764,"52*")&gt;0,COUNTIF(J764,"*52*")&gt;0,COUNTIF(I764,"55*")&gt;0,COUNTIF(J764,"*55*")&gt;0,COUNTIF(I764,"56*")&gt;0,COUNTIF(J764,"*56*")&gt;0,COUNTIF(I764,"68*")&gt;0,COUNTIF(J764,"*68*")&gt;0,COUNTIF(I764,"78*")&gt;0,COUNTIF(J764,"*78*")&gt;0,COUNTIF(I764,"81*")&gt;0,COUNTIF(J764,"*81*")&gt;0,COUNTIF(I764,"82*")&gt;0,COUNTIF(J764,"*82*")&gt;0,COUNTIF(I764,"64*")&gt;0,COUNTIF(J764,"*64*")&gt;0,COUNTIF(I764,"65*")&gt;0,COUNTIF(J764,"*65*")&gt;0,COUNTIF(I764,"66*")&gt;0,COUNTIF(J764,"*66*")&gt;0,COUNTIF(I764,"61*")&gt;0,COUNTIF(J764,"*61*")&gt;0,COUNTIF(I764,"62*")&gt;0,COUNTIF(J764,"*62*")&gt;0,COUNTIF(I764,"63*")&gt;0,COUNTIF(J764,"*63*")&gt;0,COUNTIF(I764,"85*")&gt;0,COUNTIF(J764,"*85*")&gt;0,COUNTIF(I764,"86*")&gt;0,COUNTIF(J764,"*86*")&gt;0),"Да","Нет"))</f>
        <v/>
      </c>
      <c r="M764" s="13">
        <f>IF(OR(G764="",L764&lt;&gt;"Да"),"",IF(G764&lt;=100,"До 100",IF(G764&lt;=200,"До 200",IF(G764&lt;=500,"До 500","Отдельное КП"))))</f>
        <v/>
      </c>
      <c r="N764" s="15">
        <f>IF(OR(G764="",L764&lt;&gt;"Да"),"",IF(G764&lt;=100,33600,IF(G764&lt;=200,62400,IF(G764&lt;=500,144000,""))))</f>
        <v/>
      </c>
      <c r="O764" s="16">
        <f>IF(G764="","",IF(G764&lt;=15,"1–15",IF(G764&lt;=30,"16–30",IF(G764&lt;=50,"31–50",IF(G764&lt;=100,"51–100",IF(G764&lt;=150,"101–150",IF(G764&lt;=200,"151–200",IF(G764&lt;=500,"201–500","500+"))))))))</f>
        <v/>
      </c>
      <c r="P764" s="16" t="inlineStr">
        <is>
          <t>Нет совпадения в предоставленной выгрузке ССЧР</t>
        </is>
      </c>
      <c r="Q764" s="16" t="n"/>
      <c r="R764" s="16">
        <f>HYPERLINK("https://checko.ru/search?query=3801001629","Чекко: проверить")</f>
        <v/>
      </c>
      <c r="S764" t="n">
        <v>0</v>
      </c>
    </row>
    <row r="765" ht="15" customHeight="1" s="24">
      <c r="A765" s="13" t="n">
        <v>5000094523</v>
      </c>
      <c r="B765" s="13" t="inlineStr">
        <is>
          <t>ГКУ "Зольское лесничество"</t>
        </is>
      </c>
      <c r="C765" s="13" t="n">
        <v>702007624</v>
      </c>
      <c r="D765" s="13" t="n"/>
      <c r="E765" s="13" t="inlineStr">
        <is>
          <t>Не определён</t>
        </is>
      </c>
      <c r="F765" s="13" t="inlineStr">
        <is>
          <t>702007624</t>
        </is>
      </c>
      <c r="G765" s="14" t="n"/>
      <c r="H765" s="14" t="n"/>
      <c r="I765" s="14" t="n"/>
      <c r="J765" s="14" t="n"/>
      <c r="K765" s="13">
        <f>IF(G765="","",IF(G765&gt;=22,"Да","Нет"))</f>
        <v/>
      </c>
      <c r="L765" s="13">
        <f>IF(OR(I765="",J765=""),"Не определено",IF(OR(COUNTIF(I765,"45*")&gt;0,COUNTIF(J765,"*45*")&gt;0,COUNTIF(I765,"46*")&gt;0,COUNTIF(J765,"*46*")&gt;0,COUNTIF(I765,"47*")&gt;0,COUNTIF(J765,"*47*")&gt;0,COUNTIF(I765,"10*")&gt;0,COUNTIF(J765,"*10*")&gt;0,COUNTIF(I765,"11*")&gt;0,COUNTIF(J765,"*11*")&gt;0,COUNTIF(I765,"12*")&gt;0,COUNTIF(J765,"*12*")&gt;0,COUNTIF(I765,"13*")&gt;0,COUNTIF(J765,"*13*")&gt;0,COUNTIF(I765,"14*")&gt;0,COUNTIF(J765,"*14*")&gt;0,COUNTIF(I765,"15*")&gt;0,COUNTIF(J765,"*15*")&gt;0,COUNTIF(I765,"16*")&gt;0,COUNTIF(J765,"*16*")&gt;0,COUNTIF(I765,"17*")&gt;0,COUNTIF(J765,"*17*")&gt;0,COUNTIF(I765,"18*")&gt;0,COUNTIF(J765,"*18*")&gt;0,COUNTIF(I765,"19*")&gt;0,COUNTIF(J765,"*19*")&gt;0,COUNTIF(I765,"20*")&gt;0,COUNTIF(J765,"*20*")&gt;0,COUNTIF(I765,"21*")&gt;0,COUNTIF(J765,"*21*")&gt;0,COUNTIF(I765,"22*")&gt;0,COUNTIF(J765,"*22*")&gt;0,COUNTIF(I765,"23*")&gt;0,COUNTIF(J765,"*23*")&gt;0,COUNTIF(I765,"24*")&gt;0,COUNTIF(J765,"*24*")&gt;0,COUNTIF(I765,"25*")&gt;0,COUNTIF(J765,"*25*")&gt;0,COUNTIF(I765,"26*")&gt;0,COUNTIF(J765,"*26*")&gt;0,COUNTIF(I765,"27*")&gt;0,COUNTIF(J765,"*27*")&gt;0,COUNTIF(I765,"28*")&gt;0,COUNTIF(J765,"*28*")&gt;0,COUNTIF(I765,"29*")&gt;0,COUNTIF(J765,"*29*")&gt;0,COUNTIF(I765,"30*")&gt;0,COUNTIF(J765,"*30*")&gt;0,COUNTIF(I765,"31*")&gt;0,COUNTIF(J765,"*31*")&gt;0,COUNTIF(I765,"32*")&gt;0,COUNTIF(J765,"*32*")&gt;0,COUNTIF(I765,"33*")&gt;0,COUNTIF(J765,"*33*")&gt;0,COUNTIF(I765,"41*")&gt;0,COUNTIF(J765,"*41*")&gt;0,COUNTIF(I765,"42*")&gt;0,COUNTIF(J765,"*42*")&gt;0,COUNTIF(I765,"43*")&gt;0,COUNTIF(J765,"*43*")&gt;0,COUNTIF(I765,"49*")&gt;0,COUNTIF(J765,"*49*")&gt;0,COUNTIF(I765,"52*")&gt;0,COUNTIF(J765,"*52*")&gt;0,COUNTIF(I765,"55*")&gt;0,COUNTIF(J765,"*55*")&gt;0,COUNTIF(I765,"56*")&gt;0,COUNTIF(J765,"*56*")&gt;0,COUNTIF(I765,"68*")&gt;0,COUNTIF(J765,"*68*")&gt;0,COUNTIF(I765,"78*")&gt;0,COUNTIF(J765,"*78*")&gt;0,COUNTIF(I765,"81*")&gt;0,COUNTIF(J765,"*81*")&gt;0,COUNTIF(I765,"82*")&gt;0,COUNTIF(J765,"*82*")&gt;0,COUNTIF(I765,"64*")&gt;0,COUNTIF(J765,"*64*")&gt;0,COUNTIF(I765,"65*")&gt;0,COUNTIF(J765,"*65*")&gt;0,COUNTIF(I765,"66*")&gt;0,COUNTIF(J765,"*66*")&gt;0,COUNTIF(I765,"61*")&gt;0,COUNTIF(J765,"*61*")&gt;0,COUNTIF(I765,"62*")&gt;0,COUNTIF(J765,"*62*")&gt;0,COUNTIF(I765,"63*")&gt;0,COUNTIF(J765,"*63*")&gt;0,COUNTIF(I765,"85*")&gt;0,COUNTIF(J765,"*85*")&gt;0,COUNTIF(I765,"86*")&gt;0,COUNTIF(J765,"*86*")&gt;0),"Да","Нет"))</f>
        <v/>
      </c>
      <c r="M765" s="13">
        <f>IF(OR(G765="",L765&lt;&gt;"Да"),"",IF(G765&lt;=100,"До 100",IF(G765&lt;=200,"До 200",IF(G765&lt;=500,"До 500","Отдельное КП"))))</f>
        <v/>
      </c>
      <c r="N765" s="15">
        <f>IF(OR(G765="",L765&lt;&gt;"Да"),"",IF(G765&lt;=100,33600,IF(G765&lt;=200,62400,IF(G765&lt;=500,144000,""))))</f>
        <v/>
      </c>
      <c r="O765" s="16">
        <f>IF(G765="","",IF(G765&lt;=15,"1–15",IF(G765&lt;=30,"16–30",IF(G765&lt;=50,"31–50",IF(G765&lt;=100,"51–100",IF(G765&lt;=150,"101–150",IF(G765&lt;=200,"151–200",IF(G765&lt;=500,"201–500","500+"))))))))</f>
        <v/>
      </c>
      <c r="P765" s="16" t="inlineStr">
        <is>
          <t>Нет совпадения в предоставленной выгрузке ССЧР</t>
        </is>
      </c>
      <c r="Q765" s="16" t="n"/>
      <c r="R765" s="16">
        <f>HYPERLINK("https://checko.ru/search?query=3801001629","Чекко: проверить")</f>
        <v/>
      </c>
      <c r="S765" t="n">
        <v>0</v>
      </c>
    </row>
    <row r="766" ht="15" customHeight="1" s="24">
      <c r="A766" s="13" t="n">
        <v>5000001482</v>
      </c>
      <c r="B766" s="13" t="inlineStr">
        <is>
          <t>Иркутский технологический колледж</t>
        </is>
      </c>
      <c r="C766" s="13" t="n">
        <v>3808124411</v>
      </c>
      <c r="D766" s="13" t="inlineStr">
        <is>
          <t>3808124411</t>
        </is>
      </c>
      <c r="E766" s="13" t="inlineStr">
        <is>
          <t>ЮЛ РФ</t>
        </is>
      </c>
      <c r="F766" s="13" t="n"/>
      <c r="G766" s="14" t="n"/>
      <c r="H766" s="14" t="n"/>
      <c r="I766" s="14" t="n"/>
      <c r="J766" s="14" t="n"/>
      <c r="K766" s="53" t="inlineStr"/>
      <c r="L766" s="53" t="inlineStr">
        <is>
          <t>Не определено</t>
        </is>
      </c>
      <c r="M766" s="53" t="inlineStr"/>
      <c r="N766" s="54" t="inlineStr"/>
      <c r="O766" s="55" t="inlineStr"/>
      <c r="P766" s="16" t="inlineStr">
        <is>
          <t>Требует обогащения</t>
        </is>
      </c>
      <c r="Q766" s="16">
        <f>HYPERLINK("https://pb.nalog.ru/search.html?query=3808124411","ФНС: проверить")</f>
        <v/>
      </c>
      <c r="R766" s="16">
        <f>HYPERLINK("https://checko.ru/search?query=3801001629","Чекко: проверить")</f>
        <v/>
      </c>
      <c r="S766" t="n">
        <v>1</v>
      </c>
      <c r="T766" s="35" t="inlineStr">
        <is>
          <t>4 — Не обогащён</t>
        </is>
      </c>
      <c r="U766" s="35" t="inlineStr">
        <is>
          <t>Нет ОКВЭД/ССЧР</t>
        </is>
      </c>
      <c r="V766" s="35" t="inlineStr">
        <is>
          <t>Не определено</t>
        </is>
      </c>
      <c r="W766" s="35" t="inlineStr"/>
      <c r="X766" s="35" t="inlineStr"/>
    </row>
    <row r="767" ht="27.75" customHeight="1" s="24">
      <c r="A767" s="13" t="n">
        <v>5000001751</v>
      </c>
      <c r="B767" s="13" t="inlineStr">
        <is>
          <t>ОбГКУ "УПРАВЛЕНИЕ СОЦИАЛЬНОЙ ЗАЩИТЫ НАСЕЛЕНИЯ ПО СЛЮДЯНСКОМУ РАЙОНУ"</t>
        </is>
      </c>
      <c r="C767" s="13" t="n">
        <v>3810339816</v>
      </c>
      <c r="D767" s="13" t="inlineStr">
        <is>
          <t>3810339816</t>
        </is>
      </c>
      <c r="E767" s="13" t="inlineStr">
        <is>
          <t>ЮЛ РФ</t>
        </is>
      </c>
      <c r="F767" s="13" t="n"/>
      <c r="G767" s="14" t="n"/>
      <c r="H767" s="14" t="n"/>
      <c r="I767" s="14" t="n"/>
      <c r="J767" s="14" t="n"/>
      <c r="K767" s="53" t="inlineStr"/>
      <c r="L767" s="53" t="inlineStr">
        <is>
          <t>Не определено</t>
        </is>
      </c>
      <c r="M767" s="53" t="inlineStr"/>
      <c r="N767" s="54" t="inlineStr"/>
      <c r="O767" s="55" t="inlineStr"/>
      <c r="P767" s="16" t="inlineStr">
        <is>
          <t>Требует обогащения</t>
        </is>
      </c>
      <c r="Q767" s="16">
        <f>HYPERLINK("https://pb.nalog.ru/search.html?query=3810339816","ФНС: проверить")</f>
        <v/>
      </c>
      <c r="R767" s="16">
        <f>HYPERLINK("https://checko.ru/search?query=3801001629","Чекко: проверить")</f>
        <v/>
      </c>
      <c r="S767" t="n">
        <v>1</v>
      </c>
      <c r="T767" s="35" t="inlineStr">
        <is>
          <t>4 — Не обогащён</t>
        </is>
      </c>
      <c r="U767" s="35" t="inlineStr">
        <is>
          <t>Нет ОКВЭД/ССЧР</t>
        </is>
      </c>
      <c r="V767" s="35" t="inlineStr">
        <is>
          <t>Не определено</t>
        </is>
      </c>
      <c r="W767" s="35" t="inlineStr"/>
      <c r="X767" s="35" t="inlineStr"/>
    </row>
    <row r="768" ht="15" customHeight="1" s="24">
      <c r="A768" s="13" t="n">
        <v>5000001511</v>
      </c>
      <c r="B768" s="13" t="inlineStr">
        <is>
          <t>Служба ветеринарии Иркутской области</t>
        </is>
      </c>
      <c r="C768" s="13" t="n">
        <v>3808172599</v>
      </c>
      <c r="D768" s="13" t="inlineStr">
        <is>
          <t>3808172599</t>
        </is>
      </c>
      <c r="E768" s="13" t="inlineStr">
        <is>
          <t>ЮЛ РФ</t>
        </is>
      </c>
      <c r="F768" s="13" t="n"/>
      <c r="G768" s="14" t="n"/>
      <c r="H768" s="14" t="n"/>
      <c r="I768" s="14" t="n"/>
      <c r="J768" s="14" t="n"/>
      <c r="K768" s="53" t="inlineStr"/>
      <c r="L768" s="53" t="inlineStr">
        <is>
          <t>Не определено</t>
        </is>
      </c>
      <c r="M768" s="53" t="inlineStr"/>
      <c r="N768" s="54" t="inlineStr"/>
      <c r="O768" s="55" t="inlineStr"/>
      <c r="P768" s="16" t="inlineStr">
        <is>
          <t>Требует обогащения</t>
        </is>
      </c>
      <c r="Q768" s="16">
        <f>HYPERLINK("https://pb.nalog.ru/search.html?query=3808172599","ФНС: проверить")</f>
        <v/>
      </c>
      <c r="R768" s="16">
        <f>HYPERLINK("https://checko.ru/search?query=3801001629","Чекко: проверить")</f>
        <v/>
      </c>
      <c r="S768" t="n">
        <v>1</v>
      </c>
      <c r="T768" s="35" t="inlineStr">
        <is>
          <t>4 — Не обогащён</t>
        </is>
      </c>
      <c r="U768" s="35" t="inlineStr">
        <is>
          <t>Нет ОКВЭД/ССЧР</t>
        </is>
      </c>
      <c r="V768" s="35" t="inlineStr">
        <is>
          <t>Не определено</t>
        </is>
      </c>
      <c r="W768" s="35" t="inlineStr"/>
      <c r="X768" s="35" t="inlineStr"/>
    </row>
    <row r="769" ht="15" customHeight="1" s="24">
      <c r="A769" s="13" t="n">
        <v>5000001924</v>
      </c>
      <c r="B769" s="13" t="inlineStr">
        <is>
          <t>Усольский гвардейский кадетский корпус</t>
        </is>
      </c>
      <c r="C769" s="13" t="n">
        <v>3819013431</v>
      </c>
      <c r="D769" s="13" t="inlineStr">
        <is>
          <t>3819013431</t>
        </is>
      </c>
      <c r="E769" s="13" t="inlineStr">
        <is>
          <t>ЮЛ РФ</t>
        </is>
      </c>
      <c r="F769" s="13" t="n"/>
      <c r="G769" s="14" t="n"/>
      <c r="H769" s="14" t="n"/>
      <c r="I769" s="14" t="n"/>
      <c r="J769" s="14" t="n"/>
      <c r="K769" s="53" t="inlineStr"/>
      <c r="L769" s="53" t="inlineStr">
        <is>
          <t>Не определено</t>
        </is>
      </c>
      <c r="M769" s="53" t="inlineStr"/>
      <c r="N769" s="54" t="inlineStr"/>
      <c r="O769" s="55" t="inlineStr"/>
      <c r="P769" s="16" t="inlineStr">
        <is>
          <t>Требует обогащения</t>
        </is>
      </c>
      <c r="Q769" s="16">
        <f>HYPERLINK("https://pb.nalog.ru/search.html?query=3819013431","ФНС: проверить")</f>
        <v/>
      </c>
      <c r="R769" s="16">
        <f>HYPERLINK("https://checko.ru/search?query=3801001629","Чекко: проверить")</f>
        <v/>
      </c>
      <c r="S769" t="n">
        <v>1</v>
      </c>
      <c r="T769" s="35" t="inlineStr">
        <is>
          <t>4 — Не обогащён</t>
        </is>
      </c>
      <c r="U769" s="35" t="inlineStr">
        <is>
          <t>Нет ОКВЭД/ССЧР</t>
        </is>
      </c>
      <c r="V769" s="35" t="inlineStr">
        <is>
          <t>Не определено</t>
        </is>
      </c>
      <c r="W769" s="35" t="inlineStr"/>
      <c r="X769" s="35" t="inlineStr"/>
    </row>
    <row r="770" ht="15" customHeight="1" s="24">
      <c r="A770" s="13" t="n">
        <v>5000094975</v>
      </c>
      <c r="B770" s="13" t="inlineStr">
        <is>
          <t>ГУЗ РДКБ</t>
        </is>
      </c>
      <c r="C770" s="13" t="n">
        <v>711033187</v>
      </c>
      <c r="D770" s="13" t="n"/>
      <c r="E770" s="13" t="inlineStr">
        <is>
          <t>Не определён</t>
        </is>
      </c>
      <c r="F770" s="13" t="inlineStr">
        <is>
          <t>711033187</t>
        </is>
      </c>
      <c r="G770" s="14" t="n"/>
      <c r="H770" s="14" t="n"/>
      <c r="I770" s="14" t="n"/>
      <c r="J770" s="14" t="n"/>
      <c r="K770" s="13">
        <f>IF(G770="","",IF(G770&gt;=22,"Да","Нет"))</f>
        <v/>
      </c>
      <c r="L770" s="13">
        <f>IF(OR(I770="",J770=""),"Не определено",IF(OR(COUNTIF(I770,"45*")&gt;0,COUNTIF(J770,"*45*")&gt;0,COUNTIF(I770,"46*")&gt;0,COUNTIF(J770,"*46*")&gt;0,COUNTIF(I770,"47*")&gt;0,COUNTIF(J770,"*47*")&gt;0,COUNTIF(I770,"10*")&gt;0,COUNTIF(J770,"*10*")&gt;0,COUNTIF(I770,"11*")&gt;0,COUNTIF(J770,"*11*")&gt;0,COUNTIF(I770,"12*")&gt;0,COUNTIF(J770,"*12*")&gt;0,COUNTIF(I770,"13*")&gt;0,COUNTIF(J770,"*13*")&gt;0,COUNTIF(I770,"14*")&gt;0,COUNTIF(J770,"*14*")&gt;0,COUNTIF(I770,"15*")&gt;0,COUNTIF(J770,"*15*")&gt;0,COUNTIF(I770,"16*")&gt;0,COUNTIF(J770,"*16*")&gt;0,COUNTIF(I770,"17*")&gt;0,COUNTIF(J770,"*17*")&gt;0,COUNTIF(I770,"18*")&gt;0,COUNTIF(J770,"*18*")&gt;0,COUNTIF(I770,"19*")&gt;0,COUNTIF(J770,"*19*")&gt;0,COUNTIF(I770,"20*")&gt;0,COUNTIF(J770,"*20*")&gt;0,COUNTIF(I770,"21*")&gt;0,COUNTIF(J770,"*21*")&gt;0,COUNTIF(I770,"22*")&gt;0,COUNTIF(J770,"*22*")&gt;0,COUNTIF(I770,"23*")&gt;0,COUNTIF(J770,"*23*")&gt;0,COUNTIF(I770,"24*")&gt;0,COUNTIF(J770,"*24*")&gt;0,COUNTIF(I770,"25*")&gt;0,COUNTIF(J770,"*25*")&gt;0,COUNTIF(I770,"26*")&gt;0,COUNTIF(J770,"*26*")&gt;0,COUNTIF(I770,"27*")&gt;0,COUNTIF(J770,"*27*")&gt;0,COUNTIF(I770,"28*")&gt;0,COUNTIF(J770,"*28*")&gt;0,COUNTIF(I770,"29*")&gt;0,COUNTIF(J770,"*29*")&gt;0,COUNTIF(I770,"30*")&gt;0,COUNTIF(J770,"*30*")&gt;0,COUNTIF(I770,"31*")&gt;0,COUNTIF(J770,"*31*")&gt;0,COUNTIF(I770,"32*")&gt;0,COUNTIF(J770,"*32*")&gt;0,COUNTIF(I770,"33*")&gt;0,COUNTIF(J770,"*33*")&gt;0,COUNTIF(I770,"41*")&gt;0,COUNTIF(J770,"*41*")&gt;0,COUNTIF(I770,"42*")&gt;0,COUNTIF(J770,"*42*")&gt;0,COUNTIF(I770,"43*")&gt;0,COUNTIF(J770,"*43*")&gt;0,COUNTIF(I770,"49*")&gt;0,COUNTIF(J770,"*49*")&gt;0,COUNTIF(I770,"52*")&gt;0,COUNTIF(J770,"*52*")&gt;0,COUNTIF(I770,"55*")&gt;0,COUNTIF(J770,"*55*")&gt;0,COUNTIF(I770,"56*")&gt;0,COUNTIF(J770,"*56*")&gt;0,COUNTIF(I770,"68*")&gt;0,COUNTIF(J770,"*68*")&gt;0,COUNTIF(I770,"78*")&gt;0,COUNTIF(J770,"*78*")&gt;0,COUNTIF(I770,"81*")&gt;0,COUNTIF(J770,"*81*")&gt;0,COUNTIF(I770,"82*")&gt;0,COUNTIF(J770,"*82*")&gt;0,COUNTIF(I770,"64*")&gt;0,COUNTIF(J770,"*64*")&gt;0,COUNTIF(I770,"65*")&gt;0,COUNTIF(J770,"*65*")&gt;0,COUNTIF(I770,"66*")&gt;0,COUNTIF(J770,"*66*")&gt;0,COUNTIF(I770,"61*")&gt;0,COUNTIF(J770,"*61*")&gt;0,COUNTIF(I770,"62*")&gt;0,COUNTIF(J770,"*62*")&gt;0,COUNTIF(I770,"63*")&gt;0,COUNTIF(J770,"*63*")&gt;0,COUNTIF(I770,"85*")&gt;0,COUNTIF(J770,"*85*")&gt;0,COUNTIF(I770,"86*")&gt;0,COUNTIF(J770,"*86*")&gt;0),"Да","Нет"))</f>
        <v/>
      </c>
      <c r="M770" s="13">
        <f>IF(OR(G770="",L770&lt;&gt;"Да"),"",IF(G770&lt;=100,"До 100",IF(G770&lt;=200,"До 200",IF(G770&lt;=500,"До 500","Отдельное КП"))))</f>
        <v/>
      </c>
      <c r="N770" s="15">
        <f>IF(OR(G770="",L770&lt;&gt;"Да"),"",IF(G770&lt;=100,33600,IF(G770&lt;=200,62400,IF(G770&lt;=500,144000,""))))</f>
        <v/>
      </c>
      <c r="O770" s="16">
        <f>IF(G770="","",IF(G770&lt;=15,"1–15",IF(G770&lt;=30,"16–30",IF(G770&lt;=50,"31–50",IF(G770&lt;=100,"51–100",IF(G770&lt;=150,"101–150",IF(G770&lt;=200,"151–200",IF(G770&lt;=500,"201–500","500+"))))))))</f>
        <v/>
      </c>
      <c r="P770" s="16" t="inlineStr">
        <is>
          <t>Нет совпадения в предоставленной выгрузке ССЧР</t>
        </is>
      </c>
      <c r="Q770" s="16" t="n"/>
      <c r="R770" s="16">
        <f>HYPERLINK("https://checko.ru/search?query=3801001629","Чекко: проверить")</f>
        <v/>
      </c>
      <c r="S770" t="n">
        <v>0</v>
      </c>
    </row>
    <row r="771" ht="41.25" customHeight="1" s="24">
      <c r="A771" s="13" t="n">
        <v>5000001459</v>
      </c>
      <c r="B771" s="13" t="inlineStr">
        <is>
          <t>ОбГКОУ для детей-сирот и детей, оставшихся без попечения родителей, специальная (коррекционная)</t>
        </is>
      </c>
      <c r="C771" s="13" t="n">
        <v>3808046080</v>
      </c>
      <c r="D771" s="13" t="inlineStr">
        <is>
          <t>3808046080</t>
        </is>
      </c>
      <c r="E771" s="13" t="inlineStr">
        <is>
          <t>ЮЛ РФ</t>
        </is>
      </c>
      <c r="F771" s="13" t="n"/>
      <c r="G771" s="14" t="n"/>
      <c r="H771" s="14" t="n"/>
      <c r="I771" s="14" t="n"/>
      <c r="J771" s="14" t="n"/>
      <c r="K771" s="53" t="inlineStr"/>
      <c r="L771" s="53" t="inlineStr">
        <is>
          <t>Не определено</t>
        </is>
      </c>
      <c r="M771" s="53" t="inlineStr"/>
      <c r="N771" s="54" t="inlineStr"/>
      <c r="O771" s="55" t="inlineStr"/>
      <c r="P771" s="16" t="inlineStr">
        <is>
          <t>Требует обогащения</t>
        </is>
      </c>
      <c r="Q771" s="16">
        <f>HYPERLINK("https://pb.nalog.ru/search.html?query=3808046080","ФНС: проверить")</f>
        <v/>
      </c>
      <c r="R771" s="16">
        <f>HYPERLINK("https://checko.ru/search?query=3801001629","Чекко: проверить")</f>
        <v/>
      </c>
      <c r="S771" t="n">
        <v>1</v>
      </c>
      <c r="T771" s="35" t="inlineStr">
        <is>
          <t>4 — Не обогащён</t>
        </is>
      </c>
      <c r="U771" s="35" t="inlineStr">
        <is>
          <t>Нет ОКВЭД/ССЧР</t>
        </is>
      </c>
      <c r="V771" s="35" t="inlineStr">
        <is>
          <t>Не определено</t>
        </is>
      </c>
      <c r="W771" s="35" t="inlineStr"/>
      <c r="X771" s="35" t="inlineStr"/>
    </row>
    <row r="772" ht="27.75" customHeight="1" s="24">
      <c r="A772" s="13" t="n">
        <v>5000001713</v>
      </c>
      <c r="B772" s="13" t="inlineStr">
        <is>
          <t>ОГКУСО "Центр помощи детям, оставшимся без попечения родителей, г. Ангарска</t>
        </is>
      </c>
      <c r="C772" s="13" t="n">
        <v>3801057420</v>
      </c>
      <c r="D772" s="13" t="inlineStr">
        <is>
          <t>3801057420</t>
        </is>
      </c>
      <c r="E772" s="13" t="inlineStr">
        <is>
          <t>ЮЛ РФ</t>
        </is>
      </c>
      <c r="F772" s="13" t="n"/>
      <c r="G772" s="14" t="n"/>
      <c r="H772" s="14" t="n"/>
      <c r="I772" s="14" t="n"/>
      <c r="J772" s="14" t="n"/>
      <c r="K772" s="53" t="inlineStr"/>
      <c r="L772" s="53" t="inlineStr">
        <is>
          <t>Не определено</t>
        </is>
      </c>
      <c r="M772" s="53" t="inlineStr"/>
      <c r="N772" s="54" t="inlineStr"/>
      <c r="O772" s="55" t="inlineStr"/>
      <c r="P772" s="16" t="inlineStr">
        <is>
          <t>Требует обогащения</t>
        </is>
      </c>
      <c r="Q772" s="16">
        <f>HYPERLINK("https://pb.nalog.ru/search.html?query=3801057420","ФНС: проверить")</f>
        <v/>
      </c>
      <c r="R772" s="16">
        <f>HYPERLINK("https://checko.ru/search?query=3801001629","Чекко: проверить")</f>
        <v/>
      </c>
      <c r="S772" t="n">
        <v>1</v>
      </c>
      <c r="T772" s="35" t="inlineStr">
        <is>
          <t>4 — Не обогащён</t>
        </is>
      </c>
      <c r="U772" s="35" t="inlineStr">
        <is>
          <t>Нет ОКВЭД/ССЧР</t>
        </is>
      </c>
      <c r="V772" s="35" t="inlineStr">
        <is>
          <t>Не определено</t>
        </is>
      </c>
      <c r="W772" s="35" t="inlineStr"/>
      <c r="X772" s="35" t="inlineStr"/>
    </row>
    <row r="773" ht="27.75" customHeight="1" s="24">
      <c r="A773" s="13" t="n">
        <v>5000001954</v>
      </c>
      <c r="B773" s="13" t="inlineStr">
        <is>
          <t>ОГОУ НПУ 31 (ГБПОУ Иркутской Области "Чунский многопрофильный техникум"</t>
        </is>
      </c>
      <c r="C773" s="13" t="n">
        <v>3844004127</v>
      </c>
      <c r="D773" s="13" t="inlineStr">
        <is>
          <t>3844004127</t>
        </is>
      </c>
      <c r="E773" s="13" t="inlineStr">
        <is>
          <t>ЮЛ РФ</t>
        </is>
      </c>
      <c r="F773" s="13" t="n"/>
      <c r="G773" s="14" t="n"/>
      <c r="H773" s="14" t="n"/>
      <c r="I773" s="14" t="n"/>
      <c r="J773" s="14" t="n"/>
      <c r="K773" s="53" t="inlineStr"/>
      <c r="L773" s="53" t="inlineStr">
        <is>
          <t>Не определено</t>
        </is>
      </c>
      <c r="M773" s="53" t="inlineStr"/>
      <c r="N773" s="54" t="inlineStr"/>
      <c r="O773" s="55" t="inlineStr"/>
      <c r="P773" s="16" t="inlineStr">
        <is>
          <t>Требует обогащения</t>
        </is>
      </c>
      <c r="Q773" s="16">
        <f>HYPERLINK("https://pb.nalog.ru/search.html?query=3844004127","ФНС: проверить")</f>
        <v/>
      </c>
      <c r="R773" s="16">
        <f>HYPERLINK("https://checko.ru/search?query=3801001629","Чекко: проверить")</f>
        <v/>
      </c>
      <c r="S773" t="n">
        <v>1</v>
      </c>
      <c r="T773" s="35" t="inlineStr">
        <is>
          <t>4 — Не обогащён</t>
        </is>
      </c>
      <c r="U773" s="35" t="inlineStr">
        <is>
          <t>Нет ОКВЭД/ССЧР</t>
        </is>
      </c>
      <c r="V773" s="35" t="inlineStr">
        <is>
          <t>Не определено</t>
        </is>
      </c>
      <c r="W773" s="35" t="inlineStr"/>
      <c r="X773" s="35" t="inlineStr"/>
    </row>
    <row r="774" ht="15" customHeight="1" s="24">
      <c r="A774" s="13" t="n">
        <v>5000001543</v>
      </c>
      <c r="B774" s="13" t="inlineStr">
        <is>
          <t>ОГСКОУ "Школа-интернат № 20"</t>
        </is>
      </c>
      <c r="C774" s="13" t="n">
        <v>3809023991</v>
      </c>
      <c r="D774" s="13" t="inlineStr">
        <is>
          <t>3809023991</t>
        </is>
      </c>
      <c r="E774" s="13" t="inlineStr">
        <is>
          <t>ЮЛ РФ</t>
        </is>
      </c>
      <c r="F774" s="13" t="n"/>
      <c r="G774" s="14" t="n"/>
      <c r="H774" s="14" t="n"/>
      <c r="I774" s="14" t="n"/>
      <c r="J774" s="14" t="n"/>
      <c r="K774" s="53" t="inlineStr"/>
      <c r="L774" s="53" t="inlineStr">
        <is>
          <t>Не определено</t>
        </is>
      </c>
      <c r="M774" s="53" t="inlineStr"/>
      <c r="N774" s="54" t="inlineStr"/>
      <c r="O774" s="55" t="inlineStr"/>
      <c r="P774" s="16" t="inlineStr">
        <is>
          <t>Требует обогащения</t>
        </is>
      </c>
      <c r="Q774" s="16">
        <f>HYPERLINK("https://pb.nalog.ru/search.html?query=3809023991","ФНС: проверить")</f>
        <v/>
      </c>
      <c r="R774" s="16">
        <f>HYPERLINK("https://checko.ru/search?query=3801001629","Чекко: проверить")</f>
        <v/>
      </c>
      <c r="S774" t="n">
        <v>1</v>
      </c>
      <c r="T774" s="35" t="inlineStr">
        <is>
          <t>4 — Не обогащён</t>
        </is>
      </c>
      <c r="U774" s="35" t="inlineStr">
        <is>
          <t>Нет ОКВЭД/ССЧР</t>
        </is>
      </c>
      <c r="V774" s="35" t="inlineStr">
        <is>
          <t>Не определено</t>
        </is>
      </c>
      <c r="W774" s="35" t="inlineStr"/>
      <c r="X774" s="35" t="inlineStr"/>
    </row>
    <row r="775" ht="27.75" customHeight="1" s="24">
      <c r="A775" s="13" t="n">
        <v>5000001715</v>
      </c>
      <c r="B775" s="13" t="inlineStr">
        <is>
          <t>ОбГКУ СО "Комплексный центр социального обслуживания населения Слюдянского района"</t>
        </is>
      </c>
      <c r="C775" s="13" t="n">
        <v>3837004366</v>
      </c>
      <c r="D775" s="13" t="inlineStr">
        <is>
          <t>3837004366</t>
        </is>
      </c>
      <c r="E775" s="13" t="inlineStr">
        <is>
          <t>ЮЛ РФ</t>
        </is>
      </c>
      <c r="F775" s="13" t="n"/>
      <c r="G775" s="14" t="n"/>
      <c r="H775" s="14" t="n"/>
      <c r="I775" s="14" t="n"/>
      <c r="J775" s="14" t="n"/>
      <c r="K775" s="53" t="inlineStr"/>
      <c r="L775" s="53" t="inlineStr">
        <is>
          <t>Не определено</t>
        </is>
      </c>
      <c r="M775" s="53" t="inlineStr"/>
      <c r="N775" s="54" t="inlineStr"/>
      <c r="O775" s="55" t="inlineStr"/>
      <c r="P775" s="16" t="inlineStr">
        <is>
          <t>Требует обогащения</t>
        </is>
      </c>
      <c r="Q775" s="16">
        <f>HYPERLINK("https://pb.nalog.ru/search.html?query=3837004366","ФНС: проверить")</f>
        <v/>
      </c>
      <c r="R775" s="16">
        <f>HYPERLINK("https://checko.ru/search?query=3801001629","Чекко: проверить")</f>
        <v/>
      </c>
      <c r="S775" t="n">
        <v>1</v>
      </c>
      <c r="T775" s="35" t="inlineStr">
        <is>
          <t>4 — Не обогащён</t>
        </is>
      </c>
      <c r="U775" s="35" t="inlineStr">
        <is>
          <t>Нет ОКВЭД/ССЧР</t>
        </is>
      </c>
      <c r="V775" s="35" t="inlineStr">
        <is>
          <t>Не определено</t>
        </is>
      </c>
      <c r="W775" s="35" t="inlineStr"/>
      <c r="X775" s="35" t="inlineStr"/>
    </row>
    <row r="776" ht="27.75" customHeight="1" s="24">
      <c r="A776" s="13" t="n">
        <v>5000001486</v>
      </c>
      <c r="B776" s="13" t="inlineStr">
        <is>
          <t>ФКУ "Государственное юридическое бюро по Иркутской области"</t>
        </is>
      </c>
      <c r="C776" s="13" t="n">
        <v>3808131384</v>
      </c>
      <c r="D776" s="13" t="inlineStr">
        <is>
          <t>3808131384</t>
        </is>
      </c>
      <c r="E776" s="13" t="inlineStr">
        <is>
          <t>ЮЛ РФ</t>
        </is>
      </c>
      <c r="F776" s="13" t="n"/>
      <c r="G776" s="14" t="n"/>
      <c r="H776" s="14" t="n"/>
      <c r="I776" s="14" t="n"/>
      <c r="J776" s="14" t="n"/>
      <c r="K776" s="53" t="inlineStr"/>
      <c r="L776" s="53" t="inlineStr">
        <is>
          <t>Не определено</t>
        </is>
      </c>
      <c r="M776" s="53" t="inlineStr"/>
      <c r="N776" s="54" t="inlineStr"/>
      <c r="O776" s="55" t="inlineStr"/>
      <c r="P776" s="16" t="inlineStr">
        <is>
          <t>Требует обогащения</t>
        </is>
      </c>
      <c r="Q776" s="16">
        <f>HYPERLINK("https://pb.nalog.ru/search.html?query=3808131384","ФНС: проверить")</f>
        <v/>
      </c>
      <c r="R776" s="16">
        <f>HYPERLINK("https://checko.ru/search?query=3801001629","Чекко: проверить")</f>
        <v/>
      </c>
      <c r="S776" t="n">
        <v>1</v>
      </c>
      <c r="T776" s="35" t="inlineStr">
        <is>
          <t>4 — Не обогащён</t>
        </is>
      </c>
      <c r="U776" s="35" t="inlineStr">
        <is>
          <t>Нет ОКВЭД/ССЧР</t>
        </is>
      </c>
      <c r="V776" s="35" t="inlineStr">
        <is>
          <t>Не определено</t>
        </is>
      </c>
      <c r="W776" s="35" t="inlineStr"/>
      <c r="X776" s="35" t="inlineStr"/>
    </row>
    <row r="777" ht="27.75" customHeight="1" s="24">
      <c r="A777" s="13" t="n">
        <v>5000036246</v>
      </c>
      <c r="B777" s="13" t="inlineStr">
        <is>
          <t>Областное автономное  учреждение "Редакция газеты "Волжские зори"</t>
        </is>
      </c>
      <c r="C777" s="13" t="n">
        <v>7321314001</v>
      </c>
      <c r="D777" s="13" t="inlineStr">
        <is>
          <t>7321314001</t>
        </is>
      </c>
      <c r="E777" s="13" t="inlineStr">
        <is>
          <t>ЮЛ РФ</t>
        </is>
      </c>
      <c r="F777" s="13" t="n"/>
      <c r="G777" s="14" t="n"/>
      <c r="H777" s="14" t="n"/>
      <c r="I777" s="14" t="n"/>
      <c r="J777" s="14" t="n"/>
      <c r="K777" s="53" t="inlineStr"/>
      <c r="L777" s="53" t="inlineStr">
        <is>
          <t>Не определено</t>
        </is>
      </c>
      <c r="M777" s="53" t="inlineStr"/>
      <c r="N777" s="54" t="inlineStr"/>
      <c r="O777" s="55" t="inlineStr"/>
      <c r="P777" s="16" t="inlineStr">
        <is>
          <t>Требует обогащения</t>
        </is>
      </c>
      <c r="Q777" s="16">
        <f>HYPERLINK("https://pb.nalog.ru/search.html?query=7321314001","ФНС: проверить")</f>
        <v/>
      </c>
      <c r="R777" s="16">
        <f>HYPERLINK("https://checko.ru/search?query=3801001629","Чекко: проверить")</f>
        <v/>
      </c>
      <c r="S777" t="n">
        <v>1</v>
      </c>
      <c r="T777" s="35" t="inlineStr">
        <is>
          <t>4 — Не обогащён</t>
        </is>
      </c>
      <c r="U777" s="35" t="inlineStr">
        <is>
          <t>Нет ОКВЭД/ССЧР</t>
        </is>
      </c>
      <c r="V777" s="35" t="inlineStr">
        <is>
          <t>Не определено</t>
        </is>
      </c>
      <c r="W777" s="35" t="inlineStr"/>
      <c r="X777" s="35" t="inlineStr"/>
    </row>
    <row r="778" ht="15" customHeight="1" s="24">
      <c r="A778" s="13" t="n">
        <v>5000008574</v>
      </c>
      <c r="B778" s="13" t="inlineStr">
        <is>
          <t>УФССП России по Ульяновской области</t>
        </is>
      </c>
      <c r="C778" s="13" t="n">
        <v>7327033261</v>
      </c>
      <c r="D778" s="13" t="inlineStr">
        <is>
          <t>7327033261</t>
        </is>
      </c>
      <c r="E778" s="13" t="inlineStr">
        <is>
          <t>ЮЛ РФ</t>
        </is>
      </c>
      <c r="F778" s="13" t="n"/>
      <c r="G778" s="14" t="n"/>
      <c r="H778" s="14" t="n"/>
      <c r="I778" s="14" t="n"/>
      <c r="J778" s="14" t="n"/>
      <c r="K778" s="53" t="inlineStr"/>
      <c r="L778" s="53" t="inlineStr">
        <is>
          <t>Не определено</t>
        </is>
      </c>
      <c r="M778" s="53" t="inlineStr"/>
      <c r="N778" s="54" t="inlineStr"/>
      <c r="O778" s="55" t="inlineStr"/>
      <c r="P778" s="16" t="inlineStr">
        <is>
          <t>Требует обогащения</t>
        </is>
      </c>
      <c r="Q778" s="16">
        <f>HYPERLINK("https://pb.nalog.ru/search.html?query=7327033261","ФНС: проверить")</f>
        <v/>
      </c>
      <c r="R778" s="16">
        <f>HYPERLINK("https://checko.ru/search?query=3801001629","Чекко: проверить")</f>
        <v/>
      </c>
      <c r="S778" t="n">
        <v>1</v>
      </c>
      <c r="T778" s="35" t="inlineStr">
        <is>
          <t>4 — Не обогащён</t>
        </is>
      </c>
      <c r="U778" s="35" t="inlineStr">
        <is>
          <t>Нет ОКВЭД/ССЧР</t>
        </is>
      </c>
      <c r="V778" s="35" t="inlineStr">
        <is>
          <t>Не определено</t>
        </is>
      </c>
      <c r="W778" s="35" t="inlineStr"/>
      <c r="X778" s="35" t="inlineStr"/>
    </row>
    <row r="779" ht="27.75" customHeight="1" s="24">
      <c r="A779" s="13" t="n">
        <v>5000001929</v>
      </c>
      <c r="B779" s="13" t="inlineStr">
        <is>
          <t>ГБПОУ Иутской области "Черемховский техникум промышленной индустрии и сервиса"</t>
        </is>
      </c>
      <c r="C779" s="13" t="n">
        <v>3820003212</v>
      </c>
      <c r="D779" s="13" t="inlineStr">
        <is>
          <t>3820003212</t>
        </is>
      </c>
      <c r="E779" s="13" t="inlineStr">
        <is>
          <t>ЮЛ РФ</t>
        </is>
      </c>
      <c r="F779" s="13" t="n"/>
      <c r="G779" s="14" t="n"/>
      <c r="H779" s="14" t="n"/>
      <c r="I779" s="14" t="n"/>
      <c r="J779" s="14" t="n"/>
      <c r="K779" s="53" t="inlineStr"/>
      <c r="L779" s="53" t="inlineStr">
        <is>
          <t>Не определено</t>
        </is>
      </c>
      <c r="M779" s="53" t="inlineStr"/>
      <c r="N779" s="54" t="inlineStr"/>
      <c r="O779" s="55" t="inlineStr"/>
      <c r="P779" s="16" t="inlineStr">
        <is>
          <t>Требует обогащения</t>
        </is>
      </c>
      <c r="Q779" s="16">
        <f>HYPERLINK("https://pb.nalog.ru/search.html?query=3820003212","ФНС: проверить")</f>
        <v/>
      </c>
      <c r="R779" s="16">
        <f>HYPERLINK("https://checko.ru/search?query=3801001629","Чекко: проверить")</f>
        <v/>
      </c>
      <c r="S779" t="n">
        <v>1</v>
      </c>
      <c r="T779" s="35" t="inlineStr">
        <is>
          <t>4 — Не обогащён</t>
        </is>
      </c>
      <c r="U779" s="35" t="inlineStr">
        <is>
          <t>Нет ОКВЭД/ССЧР</t>
        </is>
      </c>
      <c r="V779" s="35" t="inlineStr">
        <is>
          <t>Не определено</t>
        </is>
      </c>
      <c r="W779" s="35" t="inlineStr"/>
      <c r="X779" s="35" t="inlineStr"/>
    </row>
    <row r="780" ht="27.75" customHeight="1" s="24">
      <c r="A780" s="13" t="n">
        <v>5000001879</v>
      </c>
      <c r="B780" s="13" t="inlineStr">
        <is>
          <t>Нижнеилимская территориальная избирательная комиссия</t>
        </is>
      </c>
      <c r="C780" s="13" t="n">
        <v>3834011365</v>
      </c>
      <c r="D780" s="13" t="inlineStr">
        <is>
          <t>3834011365</t>
        </is>
      </c>
      <c r="E780" s="13" t="inlineStr">
        <is>
          <t>ЮЛ РФ</t>
        </is>
      </c>
      <c r="F780" s="13" t="n"/>
      <c r="G780" s="14" t="n"/>
      <c r="H780" s="14" t="n"/>
      <c r="I780" s="14" t="n"/>
      <c r="J780" s="14" t="n"/>
      <c r="K780" s="53" t="inlineStr"/>
      <c r="L780" s="53" t="inlineStr">
        <is>
          <t>Не определено</t>
        </is>
      </c>
      <c r="M780" s="53" t="inlineStr"/>
      <c r="N780" s="54" t="inlineStr"/>
      <c r="O780" s="55" t="inlineStr"/>
      <c r="P780" s="16" t="inlineStr">
        <is>
          <t>Требует обогащения</t>
        </is>
      </c>
      <c r="Q780" s="16">
        <f>HYPERLINK("https://pb.nalog.ru/search.html?query=3834011365","ФНС: проверить")</f>
        <v/>
      </c>
      <c r="R780" s="16">
        <f>HYPERLINK("https://checko.ru/search?query=3801001629","Чекко: проверить")</f>
        <v/>
      </c>
      <c r="S780" t="n">
        <v>1</v>
      </c>
      <c r="T780" s="35" t="inlineStr">
        <is>
          <t>4 — Не обогащён</t>
        </is>
      </c>
      <c r="U780" s="35" t="inlineStr">
        <is>
          <t>Нет ОКВЭД/ССЧР</t>
        </is>
      </c>
      <c r="V780" s="35" t="inlineStr">
        <is>
          <t>Не определено</t>
        </is>
      </c>
      <c r="W780" s="35" t="inlineStr"/>
      <c r="X780" s="35" t="inlineStr"/>
    </row>
    <row r="781" ht="27.75" customHeight="1" s="24">
      <c r="A781" s="13" t="n">
        <v>5000001395</v>
      </c>
      <c r="B781" s="13" t="inlineStr">
        <is>
          <t>Братская городская территориальная избирательная комиссия</t>
        </is>
      </c>
      <c r="C781" s="13" t="n">
        <v>3804028844</v>
      </c>
      <c r="D781" s="13" t="inlineStr">
        <is>
          <t>3804028844</t>
        </is>
      </c>
      <c r="E781" s="13" t="inlineStr">
        <is>
          <t>ЮЛ РФ</t>
        </is>
      </c>
      <c r="F781" s="13" t="n"/>
      <c r="G781" s="14" t="n"/>
      <c r="H781" s="14" t="n"/>
      <c r="I781" s="14" t="n"/>
      <c r="J781" s="14" t="n"/>
      <c r="K781" s="53" t="inlineStr"/>
      <c r="L781" s="53" t="inlineStr">
        <is>
          <t>Не определено</t>
        </is>
      </c>
      <c r="M781" s="53" t="inlineStr"/>
      <c r="N781" s="54" t="inlineStr"/>
      <c r="O781" s="55" t="inlineStr"/>
      <c r="P781" s="16" t="inlineStr">
        <is>
          <t>Требует обогащения</t>
        </is>
      </c>
      <c r="Q781" s="16">
        <f>HYPERLINK("https://pb.nalog.ru/search.html?query=3804028844","ФНС: проверить")</f>
        <v/>
      </c>
      <c r="R781" s="16">
        <f>HYPERLINK("https://checko.ru/search?query=3801001629","Чекко: проверить")</f>
        <v/>
      </c>
      <c r="S781" t="n">
        <v>1</v>
      </c>
      <c r="T781" s="35" t="inlineStr">
        <is>
          <t>4 — Не обогащён</t>
        </is>
      </c>
      <c r="U781" s="35" t="inlineStr">
        <is>
          <t>Нет ОКВЭД/ССЧР</t>
        </is>
      </c>
      <c r="V781" s="35" t="inlineStr">
        <is>
          <t>Не определено</t>
        </is>
      </c>
      <c r="W781" s="35" t="inlineStr"/>
      <c r="X781" s="35" t="inlineStr"/>
    </row>
    <row r="782" ht="27.75" customHeight="1" s="24">
      <c r="A782" s="13" t="n">
        <v>5000038497</v>
      </c>
      <c r="B782" s="13" t="inlineStr">
        <is>
          <t>ОбГБУК «Ульяновский областной художественный музей»</t>
        </is>
      </c>
      <c r="C782" s="13" t="n">
        <v>7325031124</v>
      </c>
      <c r="D782" s="13" t="inlineStr">
        <is>
          <t>7325031124</t>
        </is>
      </c>
      <c r="E782" s="13" t="inlineStr">
        <is>
          <t>ЮЛ РФ</t>
        </is>
      </c>
      <c r="F782" s="13" t="n"/>
      <c r="G782" s="14" t="n"/>
      <c r="H782" s="14" t="n"/>
      <c r="I782" s="14" t="n"/>
      <c r="J782" s="14" t="n"/>
      <c r="K782" s="53" t="inlineStr"/>
      <c r="L782" s="53" t="inlineStr">
        <is>
          <t>Не определено</t>
        </is>
      </c>
      <c r="M782" s="53" t="inlineStr"/>
      <c r="N782" s="54" t="inlineStr"/>
      <c r="O782" s="55" t="inlineStr"/>
      <c r="P782" s="16" t="inlineStr">
        <is>
          <t>Требует обогащения</t>
        </is>
      </c>
      <c r="Q782" s="16">
        <f>HYPERLINK("https://pb.nalog.ru/search.html?query=7325031124","ФНС: проверить")</f>
        <v/>
      </c>
      <c r="R782" s="16">
        <f>HYPERLINK("https://checko.ru/search?query=3801001629","Чекко: проверить")</f>
        <v/>
      </c>
      <c r="S782" t="n">
        <v>1</v>
      </c>
      <c r="T782" s="35" t="inlineStr">
        <is>
          <t>4 — Не обогащён</t>
        </is>
      </c>
      <c r="U782" s="35" t="inlineStr">
        <is>
          <t>Нет ОКВЭД/ССЧР</t>
        </is>
      </c>
      <c r="V782" s="35" t="inlineStr">
        <is>
          <t>Не определено</t>
        </is>
      </c>
      <c r="W782" s="35" t="inlineStr"/>
      <c r="X782" s="35" t="inlineStr"/>
    </row>
    <row r="783" ht="41.25" customHeight="1" s="24">
      <c r="A783" s="13" t="n">
        <v>5000001731</v>
      </c>
      <c r="B783" s="13" t="inlineStr">
        <is>
          <t>Управление министерства социального развития, опеки и попечительства Иркутской области по Братскому району</t>
        </is>
      </c>
      <c r="C783" s="13" t="n">
        <v>3804999525</v>
      </c>
      <c r="D783" s="13" t="inlineStr">
        <is>
          <t>3804999525</t>
        </is>
      </c>
      <c r="E783" s="13" t="inlineStr">
        <is>
          <t>ЮЛ РФ</t>
        </is>
      </c>
      <c r="F783" s="13" t="n"/>
      <c r="G783" s="14" t="n"/>
      <c r="H783" s="14" t="n"/>
      <c r="I783" s="14" t="n"/>
      <c r="J783" s="14" t="n"/>
      <c r="K783" s="53" t="inlineStr"/>
      <c r="L783" s="53" t="inlineStr">
        <is>
          <t>Не определено</t>
        </is>
      </c>
      <c r="M783" s="53" t="inlineStr"/>
      <c r="N783" s="54" t="inlineStr"/>
      <c r="O783" s="55" t="inlineStr"/>
      <c r="P783" s="16" t="inlineStr">
        <is>
          <t>Требует обогащения</t>
        </is>
      </c>
      <c r="Q783" s="16">
        <f>HYPERLINK("https://pb.nalog.ru/search.html?query=3804999525","ФНС: проверить")</f>
        <v/>
      </c>
      <c r="R783" s="16">
        <f>HYPERLINK("https://checko.ru/search?query=3801001629","Чекко: проверить")</f>
        <v/>
      </c>
      <c r="S783" t="n">
        <v>1</v>
      </c>
      <c r="T783" s="35" t="inlineStr">
        <is>
          <t>4 — Не обогащён</t>
        </is>
      </c>
      <c r="U783" s="35" t="inlineStr">
        <is>
          <t>Нет ОКВЭД/ССЧР</t>
        </is>
      </c>
      <c r="V783" s="35" t="inlineStr">
        <is>
          <t>Не определено</t>
        </is>
      </c>
      <c r="W783" s="35" t="inlineStr"/>
      <c r="X783" s="35" t="inlineStr"/>
    </row>
    <row r="784" ht="27.75" customHeight="1" s="24">
      <c r="A784" s="13" t="n">
        <v>5000002214</v>
      </c>
      <c r="B784" s="13" t="inlineStr">
        <is>
          <t>Иркутская районная территориальная избирательная комиссия</t>
        </is>
      </c>
      <c r="C784" s="13" t="n">
        <v>3827021080</v>
      </c>
      <c r="D784" s="13" t="inlineStr">
        <is>
          <t>3827021080</t>
        </is>
      </c>
      <c r="E784" s="13" t="inlineStr">
        <is>
          <t>ЮЛ РФ</t>
        </is>
      </c>
      <c r="F784" s="13" t="n"/>
      <c r="G784" s="14" t="n"/>
      <c r="H784" s="14" t="n"/>
      <c r="I784" s="14" t="n"/>
      <c r="J784" s="14" t="n"/>
      <c r="K784" s="53" t="inlineStr"/>
      <c r="L784" s="53" t="inlineStr">
        <is>
          <t>Не определено</t>
        </is>
      </c>
      <c r="M784" s="53" t="inlineStr"/>
      <c r="N784" s="54" t="inlineStr"/>
      <c r="O784" s="55" t="inlineStr"/>
      <c r="P784" s="16" t="inlineStr">
        <is>
          <t>Требует обогащения</t>
        </is>
      </c>
      <c r="Q784" s="16">
        <f>HYPERLINK("https://pb.nalog.ru/search.html?query=3827021080","ФНС: проверить")</f>
        <v/>
      </c>
      <c r="R784" s="16">
        <f>HYPERLINK("https://checko.ru/search?query=3801001629","Чекко: проверить")</f>
        <v/>
      </c>
      <c r="S784" t="n">
        <v>1</v>
      </c>
      <c r="T784" s="35" t="inlineStr">
        <is>
          <t>4 — Не обогащён</t>
        </is>
      </c>
      <c r="U784" s="35" t="inlineStr">
        <is>
          <t>Нет ОКВЭД/ССЧР</t>
        </is>
      </c>
      <c r="V784" s="35" t="inlineStr">
        <is>
          <t>Не определено</t>
        </is>
      </c>
      <c r="W784" s="35" t="inlineStr"/>
      <c r="X784" s="35" t="inlineStr"/>
    </row>
    <row r="785" ht="27.75" customHeight="1" s="24">
      <c r="A785" s="13" t="n">
        <v>5000001525</v>
      </c>
      <c r="B785" s="13" t="inlineStr">
        <is>
          <t>Агентство государственной экспертизы в строительстве Иркутской области</t>
        </is>
      </c>
      <c r="C785" s="13" t="n">
        <v>3808226558</v>
      </c>
      <c r="D785" s="13" t="inlineStr">
        <is>
          <t>3808226558</t>
        </is>
      </c>
      <c r="E785" s="13" t="inlineStr">
        <is>
          <t>ЮЛ РФ</t>
        </is>
      </c>
      <c r="F785" s="13" t="n"/>
      <c r="G785" s="14" t="n"/>
      <c r="H785" s="14" t="n"/>
      <c r="I785" s="14" t="n"/>
      <c r="J785" s="14" t="n"/>
      <c r="K785" s="53" t="inlineStr"/>
      <c r="L785" s="53" t="inlineStr">
        <is>
          <t>Не определено</t>
        </is>
      </c>
      <c r="M785" s="53" t="inlineStr"/>
      <c r="N785" s="54" t="inlineStr"/>
      <c r="O785" s="55" t="inlineStr"/>
      <c r="P785" s="16" t="inlineStr">
        <is>
          <t>Требует обогащения</t>
        </is>
      </c>
      <c r="Q785" s="16">
        <f>HYPERLINK("https://pb.nalog.ru/search.html?query=3808226558","ФНС: проверить")</f>
        <v/>
      </c>
      <c r="R785" s="16">
        <f>HYPERLINK("https://checko.ru/search?query=3801001629","Чекко: проверить")</f>
        <v/>
      </c>
      <c r="S785" t="n">
        <v>1</v>
      </c>
      <c r="T785" s="35" t="inlineStr">
        <is>
          <t>4 — Не обогащён</t>
        </is>
      </c>
      <c r="U785" s="35" t="inlineStr">
        <is>
          <t>Нет ОКВЭД/ССЧР</t>
        </is>
      </c>
      <c r="V785" s="35" t="inlineStr">
        <is>
          <t>Не определено</t>
        </is>
      </c>
      <c r="W785" s="35" t="inlineStr"/>
      <c r="X785" s="35" t="inlineStr"/>
    </row>
    <row r="786" ht="15" customHeight="1" s="24">
      <c r="A786" s="13" t="n">
        <v>5000001898</v>
      </c>
      <c r="B786" s="13" t="inlineStr">
        <is>
          <t>ОГБОУ СПО "Иркутский энергетический колледж"</t>
        </is>
      </c>
      <c r="C786" s="13" t="n">
        <v>3812008009</v>
      </c>
      <c r="D786" s="13" t="inlineStr">
        <is>
          <t>3812008009</t>
        </is>
      </c>
      <c r="E786" s="13" t="inlineStr">
        <is>
          <t>ЮЛ РФ</t>
        </is>
      </c>
      <c r="F786" s="13" t="n"/>
      <c r="G786" s="14" t="n"/>
      <c r="H786" s="14" t="n"/>
      <c r="I786" s="14" t="n"/>
      <c r="J786" s="14" t="n"/>
      <c r="K786" s="53" t="inlineStr"/>
      <c r="L786" s="53" t="inlineStr">
        <is>
          <t>Не определено</t>
        </is>
      </c>
      <c r="M786" s="53" t="inlineStr"/>
      <c r="N786" s="54" t="inlineStr"/>
      <c r="O786" s="55" t="inlineStr"/>
      <c r="P786" s="16" t="inlineStr">
        <is>
          <t>Требует обогащения</t>
        </is>
      </c>
      <c r="Q786" s="16">
        <f>HYPERLINK("https://pb.nalog.ru/search.html?query=3812008009","ФНС: проверить")</f>
        <v/>
      </c>
      <c r="R786" s="16">
        <f>HYPERLINK("https://checko.ru/search?query=3801001629","Чекко: проверить")</f>
        <v/>
      </c>
      <c r="S786" t="n">
        <v>1</v>
      </c>
      <c r="T786" s="35" t="inlineStr">
        <is>
          <t>4 — Не обогащён</t>
        </is>
      </c>
      <c r="U786" s="35" t="inlineStr">
        <is>
          <t>Нет ОКВЭД/ССЧР</t>
        </is>
      </c>
      <c r="V786" s="35" t="inlineStr">
        <is>
          <t>Не определено</t>
        </is>
      </c>
      <c r="W786" s="35" t="inlineStr"/>
      <c r="X786" s="35" t="inlineStr"/>
    </row>
    <row r="787" ht="15" customHeight="1" s="24">
      <c r="A787" s="13" t="n">
        <v>5000062585</v>
      </c>
      <c r="B787" s="13" t="inlineStr">
        <is>
          <t>ГУЗ УОСПК</t>
        </is>
      </c>
      <c r="C787" s="13" t="n">
        <v>7326016369</v>
      </c>
      <c r="D787" s="13" t="inlineStr">
        <is>
          <t>7326016369</t>
        </is>
      </c>
      <c r="E787" s="13" t="inlineStr">
        <is>
          <t>ЮЛ РФ</t>
        </is>
      </c>
      <c r="F787" s="13" t="n"/>
      <c r="G787" s="14" t="n"/>
      <c r="H787" s="14" t="n"/>
      <c r="I787" s="14" t="n"/>
      <c r="J787" s="14" t="n"/>
      <c r="K787" s="53" t="inlineStr"/>
      <c r="L787" s="53" t="inlineStr">
        <is>
          <t>Не определено</t>
        </is>
      </c>
      <c r="M787" s="53" t="inlineStr"/>
      <c r="N787" s="54" t="inlineStr"/>
      <c r="O787" s="55" t="inlineStr"/>
      <c r="P787" s="16" t="inlineStr">
        <is>
          <t>Требует обогащения</t>
        </is>
      </c>
      <c r="Q787" s="16">
        <f>HYPERLINK("https://pb.nalog.ru/search.html?query=7326016369","ФНС: проверить")</f>
        <v/>
      </c>
      <c r="R787" s="16">
        <f>HYPERLINK("https://checko.ru/search?query=3801001629","Чекко: проверить")</f>
        <v/>
      </c>
      <c r="S787" t="n">
        <v>1</v>
      </c>
      <c r="T787" s="35" t="inlineStr">
        <is>
          <t>4 — Не обогащён</t>
        </is>
      </c>
      <c r="U787" s="35" t="inlineStr">
        <is>
          <t>Нет ОКВЭД/ССЧР</t>
        </is>
      </c>
      <c r="V787" s="35" t="inlineStr">
        <is>
          <t>Не определено</t>
        </is>
      </c>
      <c r="W787" s="35" t="inlineStr"/>
      <c r="X787" s="35" t="inlineStr"/>
    </row>
    <row r="788" ht="15" customHeight="1" s="24">
      <c r="A788" s="13" t="n">
        <v>5000001541</v>
      </c>
      <c r="B788" s="13" t="inlineStr">
        <is>
          <t>ОГСКОУ «Школа-интернат № 8 г.Иркутска</t>
        </is>
      </c>
      <c r="C788" s="13" t="n">
        <v>3809023737</v>
      </c>
      <c r="D788" s="13" t="inlineStr">
        <is>
          <t>3809023737</t>
        </is>
      </c>
      <c r="E788" s="13" t="inlineStr">
        <is>
          <t>ЮЛ РФ</t>
        </is>
      </c>
      <c r="F788" s="13" t="n"/>
      <c r="G788" s="14" t="n"/>
      <c r="H788" s="14" t="n"/>
      <c r="I788" s="14" t="n"/>
      <c r="J788" s="14" t="n"/>
      <c r="K788" s="53" t="inlineStr"/>
      <c r="L788" s="53" t="inlineStr">
        <is>
          <t>Не определено</t>
        </is>
      </c>
      <c r="M788" s="53" t="inlineStr"/>
      <c r="N788" s="54" t="inlineStr"/>
      <c r="O788" s="55" t="inlineStr"/>
      <c r="P788" s="16" t="inlineStr">
        <is>
          <t>Требует обогащения</t>
        </is>
      </c>
      <c r="Q788" s="16">
        <f>HYPERLINK("https://pb.nalog.ru/search.html?query=3809023737","ФНС: проверить")</f>
        <v/>
      </c>
      <c r="R788" s="16">
        <f>HYPERLINK("https://checko.ru/search?query=3801001629","Чекко: проверить")</f>
        <v/>
      </c>
      <c r="S788" t="n">
        <v>1</v>
      </c>
      <c r="T788" s="35" t="inlineStr">
        <is>
          <t>4 — Не обогащён</t>
        </is>
      </c>
      <c r="U788" s="35" t="inlineStr">
        <is>
          <t>Нет ОКВЭД/ССЧР</t>
        </is>
      </c>
      <c r="V788" s="35" t="inlineStr">
        <is>
          <t>Не определено</t>
        </is>
      </c>
      <c r="W788" s="35" t="inlineStr"/>
      <c r="X788" s="35" t="inlineStr"/>
    </row>
    <row r="789" ht="15" customHeight="1" s="24">
      <c r="A789" s="13" t="n">
        <v>5000029862</v>
      </c>
      <c r="B789" s="13" t="inlineStr">
        <is>
          <t>МКУ "Жигаловское"</t>
        </is>
      </c>
      <c r="C789" s="13" t="n">
        <v>3827066959</v>
      </c>
      <c r="D789" s="13" t="inlineStr">
        <is>
          <t>3827066959</t>
        </is>
      </c>
      <c r="E789" s="13" t="inlineStr">
        <is>
          <t>ЮЛ РФ</t>
        </is>
      </c>
      <c r="F789" s="13" t="n"/>
      <c r="G789" s="14" t="n"/>
      <c r="H789" s="14" t="n"/>
      <c r="I789" s="14" t="n"/>
      <c r="J789" s="14" t="n"/>
      <c r="K789" s="53" t="inlineStr"/>
      <c r="L789" s="53" t="inlineStr">
        <is>
          <t>Не определено</t>
        </is>
      </c>
      <c r="M789" s="53" t="inlineStr"/>
      <c r="N789" s="54" t="inlineStr"/>
      <c r="O789" s="55" t="inlineStr"/>
      <c r="P789" s="16" t="inlineStr">
        <is>
          <t>Требует обогащения</t>
        </is>
      </c>
      <c r="Q789" s="16">
        <f>HYPERLINK("https://pb.nalog.ru/search.html?query=3827066959","ФНС: проверить")</f>
        <v/>
      </c>
      <c r="R789" s="16">
        <f>HYPERLINK("https://checko.ru/search?query=3801001629","Чекко: проверить")</f>
        <v/>
      </c>
      <c r="S789" t="n">
        <v>1</v>
      </c>
      <c r="T789" s="35" t="inlineStr">
        <is>
          <t>4 — Не обогащён</t>
        </is>
      </c>
      <c r="U789" s="35" t="inlineStr">
        <is>
          <t>Нет ОКВЭД/ССЧР</t>
        </is>
      </c>
      <c r="V789" s="35" t="inlineStr">
        <is>
          <t>Не определено</t>
        </is>
      </c>
      <c r="W789" s="35" t="inlineStr"/>
      <c r="X789" s="35" t="inlineStr"/>
    </row>
    <row r="790" ht="15" customHeight="1" s="24">
      <c r="A790" s="13" t="n">
        <v>5000001468</v>
      </c>
      <c r="B790" s="13" t="inlineStr">
        <is>
          <t>ОГОКУ ДОД ИОКДЮСШОР</t>
        </is>
      </c>
      <c r="C790" s="13" t="n">
        <v>3808057973</v>
      </c>
      <c r="D790" s="13" t="inlineStr">
        <is>
          <t>3808057973</t>
        </is>
      </c>
      <c r="E790" s="13" t="inlineStr">
        <is>
          <t>ЮЛ РФ</t>
        </is>
      </c>
      <c r="F790" s="13" t="n"/>
      <c r="G790" s="14" t="n"/>
      <c r="H790" s="14" t="n"/>
      <c r="I790" s="14" t="n"/>
      <c r="J790" s="14" t="n"/>
      <c r="K790" s="53" t="inlineStr"/>
      <c r="L790" s="53" t="inlineStr">
        <is>
          <t>Не определено</t>
        </is>
      </c>
      <c r="M790" s="53" t="inlineStr"/>
      <c r="N790" s="54" t="inlineStr"/>
      <c r="O790" s="55" t="inlineStr"/>
      <c r="P790" s="16" t="inlineStr">
        <is>
          <t>Требует обогащения</t>
        </is>
      </c>
      <c r="Q790" s="16">
        <f>HYPERLINK("https://pb.nalog.ru/search.html?query=3808057973","ФНС: проверить")</f>
        <v/>
      </c>
      <c r="R790" s="16">
        <f>HYPERLINK("https://checko.ru/search?query=3801001629","Чекко: проверить")</f>
        <v/>
      </c>
      <c r="S790" t="n">
        <v>1</v>
      </c>
      <c r="T790" s="35" t="inlineStr">
        <is>
          <t>4 — Не обогащён</t>
        </is>
      </c>
      <c r="U790" s="35" t="inlineStr">
        <is>
          <t>Нет ОКВЭД/ССЧР</t>
        </is>
      </c>
      <c r="V790" s="35" t="inlineStr">
        <is>
          <t>Не определено</t>
        </is>
      </c>
      <c r="W790" s="35" t="inlineStr"/>
      <c r="X790" s="35" t="inlineStr"/>
    </row>
    <row r="791" ht="15" customHeight="1" s="24">
      <c r="A791" s="13" t="n">
        <v>5000094571</v>
      </c>
      <c r="B791" s="13" t="inlineStr">
        <is>
          <t>ГБУЗ "МСП"</t>
        </is>
      </c>
      <c r="C791" s="13" t="n">
        <v>703002876</v>
      </c>
      <c r="D791" s="13" t="n"/>
      <c r="E791" s="13" t="inlineStr">
        <is>
          <t>Не определён</t>
        </is>
      </c>
      <c r="F791" s="13" t="inlineStr">
        <is>
          <t>703002876</t>
        </is>
      </c>
      <c r="G791" s="14" t="n"/>
      <c r="H791" s="14" t="n"/>
      <c r="I791" s="14" t="n"/>
      <c r="J791" s="14" t="n"/>
      <c r="K791" s="13">
        <f>IF(G791="","",IF(G791&gt;=22,"Да","Нет"))</f>
        <v/>
      </c>
      <c r="L791" s="13">
        <f>IF(OR(I791="",J791=""),"Не определено",IF(OR(COUNTIF(I791,"45*")&gt;0,COUNTIF(J791,"*45*")&gt;0,COUNTIF(I791,"46*")&gt;0,COUNTIF(J791,"*46*")&gt;0,COUNTIF(I791,"47*")&gt;0,COUNTIF(J791,"*47*")&gt;0,COUNTIF(I791,"10*")&gt;0,COUNTIF(J791,"*10*")&gt;0,COUNTIF(I791,"11*")&gt;0,COUNTIF(J791,"*11*")&gt;0,COUNTIF(I791,"12*")&gt;0,COUNTIF(J791,"*12*")&gt;0,COUNTIF(I791,"13*")&gt;0,COUNTIF(J791,"*13*")&gt;0,COUNTIF(I791,"14*")&gt;0,COUNTIF(J791,"*14*")&gt;0,COUNTIF(I791,"15*")&gt;0,COUNTIF(J791,"*15*")&gt;0,COUNTIF(I791,"16*")&gt;0,COUNTIF(J791,"*16*")&gt;0,COUNTIF(I791,"17*")&gt;0,COUNTIF(J791,"*17*")&gt;0,COUNTIF(I791,"18*")&gt;0,COUNTIF(J791,"*18*")&gt;0,COUNTIF(I791,"19*")&gt;0,COUNTIF(J791,"*19*")&gt;0,COUNTIF(I791,"20*")&gt;0,COUNTIF(J791,"*20*")&gt;0,COUNTIF(I791,"21*")&gt;0,COUNTIF(J791,"*21*")&gt;0,COUNTIF(I791,"22*")&gt;0,COUNTIF(J791,"*22*")&gt;0,COUNTIF(I791,"23*")&gt;0,COUNTIF(J791,"*23*")&gt;0,COUNTIF(I791,"24*")&gt;0,COUNTIF(J791,"*24*")&gt;0,COUNTIF(I791,"25*")&gt;0,COUNTIF(J791,"*25*")&gt;0,COUNTIF(I791,"26*")&gt;0,COUNTIF(J791,"*26*")&gt;0,COUNTIF(I791,"27*")&gt;0,COUNTIF(J791,"*27*")&gt;0,COUNTIF(I791,"28*")&gt;0,COUNTIF(J791,"*28*")&gt;0,COUNTIF(I791,"29*")&gt;0,COUNTIF(J791,"*29*")&gt;0,COUNTIF(I791,"30*")&gt;0,COUNTIF(J791,"*30*")&gt;0,COUNTIF(I791,"31*")&gt;0,COUNTIF(J791,"*31*")&gt;0,COUNTIF(I791,"32*")&gt;0,COUNTIF(J791,"*32*")&gt;0,COUNTIF(I791,"33*")&gt;0,COUNTIF(J791,"*33*")&gt;0,COUNTIF(I791,"41*")&gt;0,COUNTIF(J791,"*41*")&gt;0,COUNTIF(I791,"42*")&gt;0,COUNTIF(J791,"*42*")&gt;0,COUNTIF(I791,"43*")&gt;0,COUNTIF(J791,"*43*")&gt;0,COUNTIF(I791,"49*")&gt;0,COUNTIF(J791,"*49*")&gt;0,COUNTIF(I791,"52*")&gt;0,COUNTIF(J791,"*52*")&gt;0,COUNTIF(I791,"55*")&gt;0,COUNTIF(J791,"*55*")&gt;0,COUNTIF(I791,"56*")&gt;0,COUNTIF(J791,"*56*")&gt;0,COUNTIF(I791,"68*")&gt;0,COUNTIF(J791,"*68*")&gt;0,COUNTIF(I791,"78*")&gt;0,COUNTIF(J791,"*78*")&gt;0,COUNTIF(I791,"81*")&gt;0,COUNTIF(J791,"*81*")&gt;0,COUNTIF(I791,"82*")&gt;0,COUNTIF(J791,"*82*")&gt;0,COUNTIF(I791,"64*")&gt;0,COUNTIF(J791,"*64*")&gt;0,COUNTIF(I791,"65*")&gt;0,COUNTIF(J791,"*65*")&gt;0,COUNTIF(I791,"66*")&gt;0,COUNTIF(J791,"*66*")&gt;0,COUNTIF(I791,"61*")&gt;0,COUNTIF(J791,"*61*")&gt;0,COUNTIF(I791,"62*")&gt;0,COUNTIF(J791,"*62*")&gt;0,COUNTIF(I791,"63*")&gt;0,COUNTIF(J791,"*63*")&gt;0,COUNTIF(I791,"85*")&gt;0,COUNTIF(J791,"*85*")&gt;0,COUNTIF(I791,"86*")&gt;0,COUNTIF(J791,"*86*")&gt;0),"Да","Нет"))</f>
        <v/>
      </c>
      <c r="M791" s="13">
        <f>IF(OR(G791="",L791&lt;&gt;"Да"),"",IF(G791&lt;=100,"До 100",IF(G791&lt;=200,"До 200",IF(G791&lt;=500,"До 500","Отдельное КП"))))</f>
        <v/>
      </c>
      <c r="N791" s="15">
        <f>IF(OR(G791="",L791&lt;&gt;"Да"),"",IF(G791&lt;=100,33600,IF(G791&lt;=200,62400,IF(G791&lt;=500,144000,""))))</f>
        <v/>
      </c>
      <c r="O791" s="16">
        <f>IF(G791="","",IF(G791&lt;=15,"1–15",IF(G791&lt;=30,"16–30",IF(G791&lt;=50,"31–50",IF(G791&lt;=100,"51–100",IF(G791&lt;=150,"101–150",IF(G791&lt;=200,"151–200",IF(G791&lt;=500,"201–500","500+"))))))))</f>
        <v/>
      </c>
      <c r="P791" s="16" t="inlineStr">
        <is>
          <t>Нет совпадения в предоставленной выгрузке ССЧР</t>
        </is>
      </c>
      <c r="Q791" s="16" t="n"/>
      <c r="R791" s="16">
        <f>HYPERLINK("https://checko.ru/search?query=3801001629","Чекко: проверить")</f>
        <v/>
      </c>
      <c r="S791" t="n">
        <v>0</v>
      </c>
    </row>
    <row r="792" ht="27.75" customHeight="1" s="24">
      <c r="A792" s="13" t="n">
        <v>5000117748</v>
      </c>
      <c r="B792" s="13" t="inlineStr">
        <is>
          <t>Финансовое управление администрации Луховицкого муниципального ра</t>
        </is>
      </c>
      <c r="C792" s="13" t="n">
        <v>5072726295</v>
      </c>
      <c r="D792" s="13" t="inlineStr">
        <is>
          <t>5072726295</t>
        </is>
      </c>
      <c r="E792" s="13" t="inlineStr">
        <is>
          <t>ЮЛ РФ</t>
        </is>
      </c>
      <c r="F792" s="13" t="n"/>
      <c r="G792" s="14" t="n"/>
      <c r="H792" s="14" t="n"/>
      <c r="I792" s="14" t="n"/>
      <c r="J792" s="14" t="n"/>
      <c r="K792" s="53" t="inlineStr"/>
      <c r="L792" s="53" t="inlineStr">
        <is>
          <t>Не определено</t>
        </is>
      </c>
      <c r="M792" s="53" t="inlineStr"/>
      <c r="N792" s="54" t="inlineStr"/>
      <c r="O792" s="55" t="inlineStr"/>
      <c r="P792" s="16" t="inlineStr">
        <is>
          <t>Требует обогащения</t>
        </is>
      </c>
      <c r="Q792" s="16">
        <f>HYPERLINK("https://pb.nalog.ru/search.html?query=5072726295","ФНС: проверить")</f>
        <v/>
      </c>
      <c r="R792" s="16">
        <f>HYPERLINK("https://checko.ru/search?query=3801001629","Чекко: проверить")</f>
        <v/>
      </c>
      <c r="S792" t="n">
        <v>1</v>
      </c>
      <c r="T792" s="35" t="inlineStr">
        <is>
          <t>4 — Не обогащён</t>
        </is>
      </c>
      <c r="U792" s="35" t="inlineStr">
        <is>
          <t>Нет ОКВЭД/ССЧР</t>
        </is>
      </c>
      <c r="V792" s="35" t="inlineStr">
        <is>
          <t>Не определено</t>
        </is>
      </c>
      <c r="W792" s="35" t="inlineStr"/>
      <c r="X792" s="35" t="inlineStr"/>
    </row>
    <row r="793" ht="15" customHeight="1" s="24">
      <c r="A793" s="13" t="n">
        <v>5000001474</v>
      </c>
      <c r="B793" s="13" t="inlineStr">
        <is>
          <t>ОГКУ Центр профилактики наркомании</t>
        </is>
      </c>
      <c r="C793" s="13" t="n">
        <v>3808065100</v>
      </c>
      <c r="D793" s="13" t="inlineStr">
        <is>
          <t>3808065100</t>
        </is>
      </c>
      <c r="E793" s="13" t="inlineStr">
        <is>
          <t>ЮЛ РФ</t>
        </is>
      </c>
      <c r="F793" s="13" t="n"/>
      <c r="G793" s="14" t="n"/>
      <c r="H793" s="14" t="n"/>
      <c r="I793" s="14" t="n"/>
      <c r="J793" s="14" t="n"/>
      <c r="K793" s="53" t="inlineStr"/>
      <c r="L793" s="53" t="inlineStr">
        <is>
          <t>Не определено</t>
        </is>
      </c>
      <c r="M793" s="53" t="inlineStr"/>
      <c r="N793" s="54" t="inlineStr"/>
      <c r="O793" s="55" t="inlineStr"/>
      <c r="P793" s="16" t="inlineStr">
        <is>
          <t>Требует обогащения</t>
        </is>
      </c>
      <c r="Q793" s="16">
        <f>HYPERLINK("https://pb.nalog.ru/search.html?query=3808065100","ФНС: проверить")</f>
        <v/>
      </c>
      <c r="R793" s="16">
        <f>HYPERLINK("https://checko.ru/search?query=3801001629","Чекко: проверить")</f>
        <v/>
      </c>
      <c r="S793" t="n">
        <v>1</v>
      </c>
      <c r="T793" s="35" t="inlineStr">
        <is>
          <t>4 — Не обогащён</t>
        </is>
      </c>
      <c r="U793" s="35" t="inlineStr">
        <is>
          <t>Нет ОКВЭД/ССЧР</t>
        </is>
      </c>
      <c r="V793" s="35" t="inlineStr">
        <is>
          <t>Не определено</t>
        </is>
      </c>
      <c r="W793" s="35" t="inlineStr"/>
      <c r="X793" s="35" t="inlineStr"/>
    </row>
    <row r="794" ht="41.25" customHeight="1" s="24">
      <c r="A794" s="13" t="n">
        <v>5000106182</v>
      </c>
      <c r="B794" s="13" t="inlineStr">
        <is>
          <t>ГУ "Управление объектами животного мира и водными и биологическими ресурсами Оренбургской области"</t>
        </is>
      </c>
      <c r="C794" s="13" t="n">
        <v>5610111945</v>
      </c>
      <c r="D794" s="13" t="inlineStr">
        <is>
          <t>5610111945</t>
        </is>
      </c>
      <c r="E794" s="13" t="inlineStr">
        <is>
          <t>ЮЛ РФ</t>
        </is>
      </c>
      <c r="F794" s="13" t="n"/>
      <c r="G794" s="14" t="n"/>
      <c r="H794" s="14" t="n"/>
      <c r="I794" s="14" t="n"/>
      <c r="J794" s="14" t="n"/>
      <c r="K794" s="53" t="inlineStr"/>
      <c r="L794" s="53" t="inlineStr">
        <is>
          <t>Не определено</t>
        </is>
      </c>
      <c r="M794" s="53" t="inlineStr"/>
      <c r="N794" s="54" t="inlineStr"/>
      <c r="O794" s="55" t="inlineStr"/>
      <c r="P794" s="16" t="inlineStr">
        <is>
          <t>Требует обогащения</t>
        </is>
      </c>
      <c r="Q794" s="16">
        <f>HYPERLINK("https://pb.nalog.ru/search.html?query=5610111945","ФНС: проверить")</f>
        <v/>
      </c>
      <c r="R794" s="16">
        <f>HYPERLINK("https://checko.ru/search?query=3801001629","Чекко: проверить")</f>
        <v/>
      </c>
      <c r="S794" t="n">
        <v>1</v>
      </c>
      <c r="T794" s="35" t="inlineStr">
        <is>
          <t>4 — Не обогащён</t>
        </is>
      </c>
      <c r="U794" s="35" t="inlineStr">
        <is>
          <t>Нет ОКВЭД/ССЧР</t>
        </is>
      </c>
      <c r="V794" s="35" t="inlineStr">
        <is>
          <t>Не определено</t>
        </is>
      </c>
      <c r="W794" s="35" t="inlineStr"/>
      <c r="X794" s="35" t="inlineStr"/>
    </row>
    <row r="795" ht="27.75" customHeight="1" s="24">
      <c r="A795" s="13" t="n">
        <v>5000001930</v>
      </c>
      <c r="B795" s="13" t="inlineStr">
        <is>
          <t>ГОКУ Иркутской Области "Специальная (Коррекционная) Школа № 1 г. Черемхово"</t>
        </is>
      </c>
      <c r="C795" s="13" t="n">
        <v>3820005548</v>
      </c>
      <c r="D795" s="13" t="inlineStr">
        <is>
          <t>3820005548</t>
        </is>
      </c>
      <c r="E795" s="13" t="inlineStr">
        <is>
          <t>ЮЛ РФ</t>
        </is>
      </c>
      <c r="F795" s="13" t="n"/>
      <c r="G795" s="14" t="n"/>
      <c r="H795" s="14" t="n"/>
      <c r="I795" s="14" t="n"/>
      <c r="J795" s="14" t="n"/>
      <c r="K795" s="53" t="inlineStr"/>
      <c r="L795" s="53" t="inlineStr">
        <is>
          <t>Не определено</t>
        </is>
      </c>
      <c r="M795" s="53" t="inlineStr"/>
      <c r="N795" s="54" t="inlineStr"/>
      <c r="O795" s="55" t="inlineStr"/>
      <c r="P795" s="16" t="inlineStr">
        <is>
          <t>Требует обогащения</t>
        </is>
      </c>
      <c r="Q795" s="16">
        <f>HYPERLINK("https://pb.nalog.ru/search.html?query=3820005548","ФНС: проверить")</f>
        <v/>
      </c>
      <c r="R795" s="16">
        <f>HYPERLINK("https://checko.ru/search?query=3801001629","Чекко: проверить")</f>
        <v/>
      </c>
      <c r="S795" t="n">
        <v>1</v>
      </c>
      <c r="T795" s="35" t="inlineStr">
        <is>
          <t>4 — Не обогащён</t>
        </is>
      </c>
      <c r="U795" s="35" t="inlineStr">
        <is>
          <t>Нет ОКВЭД/ССЧР</t>
        </is>
      </c>
      <c r="V795" s="35" t="inlineStr">
        <is>
          <t>Не определено</t>
        </is>
      </c>
      <c r="W795" s="35" t="inlineStr"/>
      <c r="X795" s="35" t="inlineStr"/>
    </row>
    <row r="796" ht="27.75" customHeight="1" s="24">
      <c r="A796" s="13" t="n">
        <v>5000098023</v>
      </c>
      <c r="B796" s="13" t="inlineStr">
        <is>
          <t>Государственное казенное учреждение Иркутской области "Шелеховское лесничество"</t>
        </is>
      </c>
      <c r="C796" s="13" t="n">
        <v>3812997539</v>
      </c>
      <c r="D796" s="13" t="inlineStr">
        <is>
          <t>3812997539</t>
        </is>
      </c>
      <c r="E796" s="13" t="inlineStr">
        <is>
          <t>ЮЛ РФ</t>
        </is>
      </c>
      <c r="F796" s="13" t="n"/>
      <c r="G796" s="14" t="n"/>
      <c r="H796" s="14" t="n"/>
      <c r="I796" s="14" t="n"/>
      <c r="J796" s="14" t="n"/>
      <c r="K796" s="53" t="inlineStr"/>
      <c r="L796" s="53" t="inlineStr">
        <is>
          <t>Не определено</t>
        </is>
      </c>
      <c r="M796" s="53" t="inlineStr"/>
      <c r="N796" s="54" t="inlineStr"/>
      <c r="O796" s="55" t="inlineStr"/>
      <c r="P796" s="16" t="inlineStr">
        <is>
          <t>Требует обогащения</t>
        </is>
      </c>
      <c r="Q796" s="16">
        <f>HYPERLINK("https://pb.nalog.ru/search.html?query=3812997539","ФНС: проверить")</f>
        <v/>
      </c>
      <c r="R796" s="16">
        <f>HYPERLINK("https://checko.ru/search?query=3801001629","Чекко: проверить")</f>
        <v/>
      </c>
      <c r="S796" t="n">
        <v>1</v>
      </c>
      <c r="T796" s="35" t="inlineStr">
        <is>
          <t>4 — Не обогащён</t>
        </is>
      </c>
      <c r="U796" s="35" t="inlineStr">
        <is>
          <t>Нет ОКВЭД/ССЧР</t>
        </is>
      </c>
      <c r="V796" s="35" t="inlineStr">
        <is>
          <t>Не определено</t>
        </is>
      </c>
      <c r="W796" s="35" t="inlineStr"/>
      <c r="X796" s="35" t="inlineStr"/>
    </row>
    <row r="797" ht="27.75" customHeight="1" s="24">
      <c r="A797" s="13" t="n">
        <v>5000121218</v>
      </c>
      <c r="B797" s="13" t="inlineStr">
        <is>
          <t>МАУ "Хозяйственно-эксплуатационное управление"</t>
        </is>
      </c>
      <c r="C797" s="13" t="n">
        <v>5012049419</v>
      </c>
      <c r="D797" s="13" t="inlineStr">
        <is>
          <t>5012049419</t>
        </is>
      </c>
      <c r="E797" s="13" t="inlineStr">
        <is>
          <t>ЮЛ РФ</t>
        </is>
      </c>
      <c r="F797" s="13" t="n"/>
      <c r="G797" s="14" t="n"/>
      <c r="H797" s="14" t="n"/>
      <c r="I797" s="14" t="n"/>
      <c r="J797" s="14" t="n"/>
      <c r="K797" s="53" t="inlineStr"/>
      <c r="L797" s="53" t="inlineStr">
        <is>
          <t>Не определено</t>
        </is>
      </c>
      <c r="M797" s="53" t="inlineStr"/>
      <c r="N797" s="54" t="inlineStr"/>
      <c r="O797" s="55" t="inlineStr"/>
      <c r="P797" s="16" t="inlineStr">
        <is>
          <t>Требует обогащения</t>
        </is>
      </c>
      <c r="Q797" s="16">
        <f>HYPERLINK("https://pb.nalog.ru/search.html?query=5012049419","ФНС: проверить")</f>
        <v/>
      </c>
      <c r="R797" s="16">
        <f>HYPERLINK("https://checko.ru/search?query=3801001629","Чекко: проверить")</f>
        <v/>
      </c>
      <c r="S797" t="n">
        <v>1</v>
      </c>
      <c r="T797" s="35" t="inlineStr">
        <is>
          <t>4 — Не обогащён</t>
        </is>
      </c>
      <c r="U797" s="35" t="inlineStr">
        <is>
          <t>Нет ОКВЭД/ССЧР</t>
        </is>
      </c>
      <c r="V797" s="35" t="inlineStr">
        <is>
          <t>Не определено</t>
        </is>
      </c>
      <c r="W797" s="35" t="inlineStr"/>
      <c r="X797" s="35" t="inlineStr"/>
    </row>
    <row r="798" ht="41.25" customHeight="1" s="24">
      <c r="A798" s="13" t="n">
        <v>5000030171</v>
      </c>
      <c r="B798" s="13" t="inlineStr">
        <is>
          <t>МКУ КОНТРОЛЬНО-СЧЕТНАЯ ПАЛАТА МУНИЦИПАЛЬНОГО ОБРАЗОВАНИЯ "БАЯНДАЕВСКИЙ РАЙОН"</t>
        </is>
      </c>
      <c r="C798" s="13" t="n">
        <v>3849006262</v>
      </c>
      <c r="D798" s="13" t="inlineStr">
        <is>
          <t>3849006262</t>
        </is>
      </c>
      <c r="E798" s="13" t="inlineStr">
        <is>
          <t>ЮЛ РФ</t>
        </is>
      </c>
      <c r="F798" s="13" t="n"/>
      <c r="G798" s="14" t="n"/>
      <c r="H798" s="14" t="n"/>
      <c r="I798" s="14" t="n"/>
      <c r="J798" s="14" t="n"/>
      <c r="K798" s="53" t="inlineStr"/>
      <c r="L798" s="53" t="inlineStr">
        <is>
          <t>Не определено</t>
        </is>
      </c>
      <c r="M798" s="53" t="inlineStr"/>
      <c r="N798" s="54" t="inlineStr"/>
      <c r="O798" s="55" t="inlineStr"/>
      <c r="P798" s="16" t="inlineStr">
        <is>
          <t>Требует обогащения</t>
        </is>
      </c>
      <c r="Q798" s="16">
        <f>HYPERLINK("https://pb.nalog.ru/search.html?query=3849006262","ФНС: проверить")</f>
        <v/>
      </c>
      <c r="R798" s="16">
        <f>HYPERLINK("https://checko.ru/search?query=3801001629","Чекко: проверить")</f>
        <v/>
      </c>
      <c r="S798" t="n">
        <v>1</v>
      </c>
      <c r="T798" s="35" t="inlineStr">
        <is>
          <t>4 — Не обогащён</t>
        </is>
      </c>
      <c r="U798" s="35" t="inlineStr">
        <is>
          <t>Нет ОКВЭД/ССЧР</t>
        </is>
      </c>
      <c r="V798" s="35" t="inlineStr">
        <is>
          <t>Не определено</t>
        </is>
      </c>
      <c r="W798" s="35" t="inlineStr"/>
      <c r="X798" s="35" t="inlineStr"/>
    </row>
    <row r="799" ht="27.75" customHeight="1" s="24">
      <c r="A799" s="13" t="n">
        <v>5000030172</v>
      </c>
      <c r="B799" s="13" t="inlineStr">
        <is>
          <t>ДУМА МУНИЦИПАЛЬНОГО ОБРАЗОВАНИЯ "БАЯНДАЕВСКИЙ РАЙОН" ИРКУТСКОЙ ОБЛАСТИ</t>
        </is>
      </c>
      <c r="C799" s="13" t="n">
        <v>3849006784</v>
      </c>
      <c r="D799" s="13" t="inlineStr">
        <is>
          <t>3849006784</t>
        </is>
      </c>
      <c r="E799" s="13" t="inlineStr">
        <is>
          <t>ЮЛ РФ</t>
        </is>
      </c>
      <c r="F799" s="13" t="n"/>
      <c r="G799" s="14" t="n"/>
      <c r="H799" s="14" t="n"/>
      <c r="I799" s="14" t="n"/>
      <c r="J799" s="14" t="n"/>
      <c r="K799" s="53" t="inlineStr"/>
      <c r="L799" s="53" t="inlineStr">
        <is>
          <t>Не определено</t>
        </is>
      </c>
      <c r="M799" s="53" t="inlineStr"/>
      <c r="N799" s="54" t="inlineStr"/>
      <c r="O799" s="55" t="inlineStr"/>
      <c r="P799" s="16" t="inlineStr">
        <is>
          <t>Требует обогащения</t>
        </is>
      </c>
      <c r="Q799" s="16">
        <f>HYPERLINK("https://pb.nalog.ru/search.html?query=3849006784","ФНС: проверить")</f>
        <v/>
      </c>
      <c r="R799" s="16">
        <f>HYPERLINK("https://checko.ru/search?query=3801001629","Чекко: проверить")</f>
        <v/>
      </c>
      <c r="S799" t="n">
        <v>1</v>
      </c>
      <c r="T799" s="35" t="inlineStr">
        <is>
          <t>4 — Не обогащён</t>
        </is>
      </c>
      <c r="U799" s="35" t="inlineStr">
        <is>
          <t>Нет ОКВЭД/ССЧР</t>
        </is>
      </c>
      <c r="V799" s="35" t="inlineStr">
        <is>
          <t>Не определено</t>
        </is>
      </c>
      <c r="W799" s="35" t="inlineStr"/>
      <c r="X799" s="35" t="inlineStr"/>
    </row>
    <row r="800" ht="15" customHeight="1" s="24">
      <c r="A800" s="13" t="n">
        <v>5000001965</v>
      </c>
      <c r="B800" s="13" t="inlineStr">
        <is>
          <t>ОГБОУ СПО "Ангарский медицинский колледж"</t>
        </is>
      </c>
      <c r="C800" s="13" t="n">
        <v>3801022668</v>
      </c>
      <c r="D800" s="13" t="inlineStr">
        <is>
          <t>3801022668</t>
        </is>
      </c>
      <c r="E800" s="13" t="inlineStr">
        <is>
          <t>ЮЛ РФ</t>
        </is>
      </c>
      <c r="F800" s="13" t="n"/>
      <c r="G800" s="14" t="n"/>
      <c r="H800" s="14" t="n"/>
      <c r="I800" s="14" t="n"/>
      <c r="J800" s="14" t="n"/>
      <c r="K800" s="53" t="inlineStr"/>
      <c r="L800" s="53" t="inlineStr">
        <is>
          <t>Не определено</t>
        </is>
      </c>
      <c r="M800" s="53" t="inlineStr"/>
      <c r="N800" s="54" t="inlineStr"/>
      <c r="O800" s="55" t="inlineStr"/>
      <c r="P800" s="16" t="inlineStr">
        <is>
          <t>Требует обогащения</t>
        </is>
      </c>
      <c r="Q800" s="16">
        <f>HYPERLINK("https://pb.nalog.ru/search.html?query=3801022668","ФНС: проверить")</f>
        <v/>
      </c>
      <c r="R800" s="16">
        <f>HYPERLINK("https://checko.ru/search?query=3801001629","Чекко: проверить")</f>
        <v/>
      </c>
      <c r="S800" t="n">
        <v>1</v>
      </c>
      <c r="T800" s="35" t="inlineStr">
        <is>
          <t>4 — Не обогащён</t>
        </is>
      </c>
      <c r="U800" s="35" t="inlineStr">
        <is>
          <t>Нет ОКВЭД/ССЧР</t>
        </is>
      </c>
      <c r="V800" s="35" t="inlineStr">
        <is>
          <t>Не определено</t>
        </is>
      </c>
      <c r="W800" s="35" t="inlineStr"/>
      <c r="X800" s="35" t="inlineStr"/>
    </row>
    <row r="801" ht="27.75" customHeight="1" s="24">
      <c r="A801" s="13" t="n">
        <v>5000001457</v>
      </c>
      <c r="B801" s="13" t="inlineStr">
        <is>
          <t>ГОУ СПО "Иркутский областной колледж культуры"</t>
        </is>
      </c>
      <c r="C801" s="13" t="n">
        <v>3808040634</v>
      </c>
      <c r="D801" s="13" t="inlineStr">
        <is>
          <t>3808040634</t>
        </is>
      </c>
      <c r="E801" s="13" t="inlineStr">
        <is>
          <t>ЮЛ РФ</t>
        </is>
      </c>
      <c r="F801" s="13" t="n"/>
      <c r="G801" s="14" t="n"/>
      <c r="H801" s="14" t="n"/>
      <c r="I801" s="14" t="n"/>
      <c r="J801" s="14" t="n"/>
      <c r="K801" s="53" t="inlineStr"/>
      <c r="L801" s="53" t="inlineStr">
        <is>
          <t>Не определено</t>
        </is>
      </c>
      <c r="M801" s="53" t="inlineStr"/>
      <c r="N801" s="54" t="inlineStr"/>
      <c r="O801" s="55" t="inlineStr"/>
      <c r="P801" s="16" t="inlineStr">
        <is>
          <t>Требует обогащения</t>
        </is>
      </c>
      <c r="Q801" s="16">
        <f>HYPERLINK("https://pb.nalog.ru/search.html?query=3808040634","ФНС: проверить")</f>
        <v/>
      </c>
      <c r="R801" s="16">
        <f>HYPERLINK("https://checko.ru/search?query=3801001629","Чекко: проверить")</f>
        <v/>
      </c>
      <c r="S801" t="n">
        <v>1</v>
      </c>
      <c r="T801" s="35" t="inlineStr">
        <is>
          <t>4 — Не обогащён</t>
        </is>
      </c>
      <c r="U801" s="35" t="inlineStr">
        <is>
          <t>Нет ОКВЭД/ССЧР</t>
        </is>
      </c>
      <c r="V801" s="35" t="inlineStr">
        <is>
          <t>Не определено</t>
        </is>
      </c>
      <c r="W801" s="35" t="inlineStr"/>
      <c r="X801" s="35" t="inlineStr"/>
    </row>
    <row r="802" ht="15" customHeight="1" s="24">
      <c r="A802" s="13" t="n">
        <v>5000001399</v>
      </c>
      <c r="B802" s="13" t="inlineStr">
        <is>
          <t>ОГБОУ ДО "СДЮШОР" Спартак"</t>
        </is>
      </c>
      <c r="C802" s="13" t="n">
        <v>3804036154</v>
      </c>
      <c r="D802" s="13" t="inlineStr">
        <is>
          <t>3804036154</t>
        </is>
      </c>
      <c r="E802" s="13" t="inlineStr">
        <is>
          <t>ЮЛ РФ</t>
        </is>
      </c>
      <c r="F802" s="13" t="n"/>
      <c r="G802" s="14" t="n"/>
      <c r="H802" s="14" t="n"/>
      <c r="I802" s="14" t="n"/>
      <c r="J802" s="14" t="n"/>
      <c r="K802" s="53" t="inlineStr"/>
      <c r="L802" s="53" t="inlineStr">
        <is>
          <t>Не определено</t>
        </is>
      </c>
      <c r="M802" s="53" t="inlineStr"/>
      <c r="N802" s="54" t="inlineStr"/>
      <c r="O802" s="55" t="inlineStr"/>
      <c r="P802" s="16" t="inlineStr">
        <is>
          <t>Требует обогащения</t>
        </is>
      </c>
      <c r="Q802" s="16">
        <f>HYPERLINK("https://pb.nalog.ru/search.html?query=3804036154","ФНС: проверить")</f>
        <v/>
      </c>
      <c r="R802" s="16">
        <f>HYPERLINK("https://checko.ru/search?query=3801001629","Чекко: проверить")</f>
        <v/>
      </c>
      <c r="S802" t="n">
        <v>1</v>
      </c>
      <c r="T802" s="35" t="inlineStr">
        <is>
          <t>4 — Не обогащён</t>
        </is>
      </c>
      <c r="U802" s="35" t="inlineStr">
        <is>
          <t>Нет ОКВЭД/ССЧР</t>
        </is>
      </c>
      <c r="V802" s="35" t="inlineStr">
        <is>
          <t>Не определено</t>
        </is>
      </c>
      <c r="W802" s="35" t="inlineStr"/>
      <c r="X802" s="35" t="inlineStr"/>
    </row>
    <row r="803" ht="54.75" customHeight="1" s="24">
      <c r="A803" s="13" t="n">
        <v>5000116676</v>
      </c>
      <c r="B803" s="13" t="inlineStr">
        <is>
          <t>МКУ "Многофункциональный центр по предоставлению государственных и муниципальных услуг Одинцовского муниципального района Московской области"</t>
        </is>
      </c>
      <c r="C803" s="13" t="n">
        <v>5032263234</v>
      </c>
      <c r="D803" s="13" t="inlineStr">
        <is>
          <t>5032263234</t>
        </is>
      </c>
      <c r="E803" s="13" t="inlineStr">
        <is>
          <t>ЮЛ РФ</t>
        </is>
      </c>
      <c r="F803" s="13" t="n"/>
      <c r="G803" s="14" t="n"/>
      <c r="H803" s="14" t="n"/>
      <c r="I803" s="14" t="n"/>
      <c r="J803" s="14" t="n"/>
      <c r="K803" s="53" t="inlineStr"/>
      <c r="L803" s="53" t="inlineStr">
        <is>
          <t>Не определено</t>
        </is>
      </c>
      <c r="M803" s="53" t="inlineStr"/>
      <c r="N803" s="54" t="inlineStr"/>
      <c r="O803" s="55" t="inlineStr"/>
      <c r="P803" s="16" t="inlineStr">
        <is>
          <t>Требует обогащения</t>
        </is>
      </c>
      <c r="Q803" s="16">
        <f>HYPERLINK("https://pb.nalog.ru/search.html?query=5032263234","ФНС: проверить")</f>
        <v/>
      </c>
      <c r="R803" s="16">
        <f>HYPERLINK("https://checko.ru/search?query=3801001629","Чекко: проверить")</f>
        <v/>
      </c>
      <c r="S803" t="n">
        <v>1</v>
      </c>
      <c r="T803" s="35" t="inlineStr">
        <is>
          <t>4 — Не обогащён</t>
        </is>
      </c>
      <c r="U803" s="35" t="inlineStr">
        <is>
          <t>Нет ОКВЭД/ССЧР</t>
        </is>
      </c>
      <c r="V803" s="35" t="inlineStr">
        <is>
          <t>Не определено</t>
        </is>
      </c>
      <c r="W803" s="35" t="inlineStr"/>
      <c r="X803" s="35" t="inlineStr"/>
    </row>
    <row r="804" ht="15" customHeight="1" s="24">
      <c r="A804" s="13" t="n">
        <v>5000001864</v>
      </c>
      <c r="B804" s="13" t="inlineStr">
        <is>
          <t>ОГБУ СПО "Тайшетское медицинcкое училище"</t>
        </is>
      </c>
      <c r="C804" s="13" t="n">
        <v>3815002943</v>
      </c>
      <c r="D804" s="13" t="inlineStr">
        <is>
          <t>3815002943</t>
        </is>
      </c>
      <c r="E804" s="13" t="inlineStr">
        <is>
          <t>ЮЛ РФ</t>
        </is>
      </c>
      <c r="F804" s="13" t="n"/>
      <c r="G804" s="14" t="n"/>
      <c r="H804" s="14" t="n"/>
      <c r="I804" s="14" t="n"/>
      <c r="J804" s="14" t="n"/>
      <c r="K804" s="53" t="inlineStr"/>
      <c r="L804" s="53" t="inlineStr">
        <is>
          <t>Не определено</t>
        </is>
      </c>
      <c r="M804" s="53" t="inlineStr"/>
      <c r="N804" s="54" t="inlineStr"/>
      <c r="O804" s="55" t="inlineStr"/>
      <c r="P804" s="16" t="inlineStr">
        <is>
          <t>Требует обогащения</t>
        </is>
      </c>
      <c r="Q804" s="16">
        <f>HYPERLINK("https://pb.nalog.ru/search.html?query=3815002943","ФНС: проверить")</f>
        <v/>
      </c>
      <c r="R804" s="16">
        <f>HYPERLINK("https://checko.ru/search?query=3801001629","Чекко: проверить")</f>
        <v/>
      </c>
      <c r="S804" t="n">
        <v>1</v>
      </c>
      <c r="T804" s="35" t="inlineStr">
        <is>
          <t>4 — Не обогащён</t>
        </is>
      </c>
      <c r="U804" s="35" t="inlineStr">
        <is>
          <t>Нет ОКВЭД/ССЧР</t>
        </is>
      </c>
      <c r="V804" s="35" t="inlineStr">
        <is>
          <t>Не определено</t>
        </is>
      </c>
      <c r="W804" s="35" t="inlineStr"/>
      <c r="X804" s="35" t="inlineStr"/>
    </row>
    <row r="805" ht="15" customHeight="1" s="24">
      <c r="A805" s="13" t="n">
        <v>5000001983</v>
      </c>
      <c r="B805" s="13" t="inlineStr">
        <is>
          <t>ГБУ СПО Саянское медицинское училище</t>
        </is>
      </c>
      <c r="C805" s="13" t="n">
        <v>3814003359</v>
      </c>
      <c r="D805" s="13" t="inlineStr">
        <is>
          <t>3814003359</t>
        </is>
      </c>
      <c r="E805" s="13" t="inlineStr">
        <is>
          <t>ЮЛ РФ</t>
        </is>
      </c>
      <c r="F805" s="13" t="n"/>
      <c r="G805" s="14" t="n"/>
      <c r="H805" s="14" t="n"/>
      <c r="I805" s="14" t="n"/>
      <c r="J805" s="14" t="n"/>
      <c r="K805" s="53" t="inlineStr"/>
      <c r="L805" s="53" t="inlineStr">
        <is>
          <t>Не определено</t>
        </is>
      </c>
      <c r="M805" s="53" t="inlineStr"/>
      <c r="N805" s="54" t="inlineStr"/>
      <c r="O805" s="55" t="inlineStr"/>
      <c r="P805" s="16" t="inlineStr">
        <is>
          <t>Требует обогащения</t>
        </is>
      </c>
      <c r="Q805" s="16">
        <f>HYPERLINK("https://pb.nalog.ru/search.html?query=3814003359","ФНС: проверить")</f>
        <v/>
      </c>
      <c r="R805" s="16">
        <f>HYPERLINK("https://checko.ru/search?query=3801001629","Чекко: проверить")</f>
        <v/>
      </c>
      <c r="S805" t="n">
        <v>1</v>
      </c>
      <c r="T805" s="35" t="inlineStr">
        <is>
          <t>4 — Не обогащён</t>
        </is>
      </c>
      <c r="U805" s="35" t="inlineStr">
        <is>
          <t>Нет ОКВЭД/ССЧР</t>
        </is>
      </c>
      <c r="V805" s="35" t="inlineStr">
        <is>
          <t>Не определено</t>
        </is>
      </c>
      <c r="W805" s="35" t="inlineStr"/>
      <c r="X805" s="35" t="inlineStr"/>
    </row>
    <row r="806" ht="41.25" customHeight="1" s="24">
      <c r="A806" s="13" t="n">
        <v>5000062558</v>
      </c>
      <c r="B806" s="13" t="inlineStr">
        <is>
          <t>ОГА УСО "Реабилитационный центр для инвалидов молодого возраста "Сосновый бор" в р.п. Вешкайма</t>
        </is>
      </c>
      <c r="C806" s="13" t="n">
        <v>7305002372</v>
      </c>
      <c r="D806" s="13" t="inlineStr">
        <is>
          <t>7305002372</t>
        </is>
      </c>
      <c r="E806" s="13" t="inlineStr">
        <is>
          <t>ЮЛ РФ</t>
        </is>
      </c>
      <c r="F806" s="13" t="n"/>
      <c r="G806" s="14" t="n"/>
      <c r="H806" s="14" t="n"/>
      <c r="I806" s="14" t="n"/>
      <c r="J806" s="14" t="n"/>
      <c r="K806" s="53" t="inlineStr"/>
      <c r="L806" s="53" t="inlineStr">
        <is>
          <t>Не определено</t>
        </is>
      </c>
      <c r="M806" s="53" t="inlineStr"/>
      <c r="N806" s="54" t="inlineStr"/>
      <c r="O806" s="55" t="inlineStr"/>
      <c r="P806" s="16" t="inlineStr">
        <is>
          <t>Требует обогащения</t>
        </is>
      </c>
      <c r="Q806" s="16">
        <f>HYPERLINK("https://pb.nalog.ru/search.html?query=7305002372","ФНС: проверить")</f>
        <v/>
      </c>
      <c r="R806" s="16">
        <f>HYPERLINK("https://checko.ru/search?query=3801001629","Чекко: проверить")</f>
        <v/>
      </c>
      <c r="S806" t="n">
        <v>1</v>
      </c>
      <c r="T806" s="35" t="inlineStr">
        <is>
          <t>4 — Не обогащён</t>
        </is>
      </c>
      <c r="U806" s="35" t="inlineStr">
        <is>
          <t>Нет ОКВЭД/ССЧР</t>
        </is>
      </c>
      <c r="V806" s="35" t="inlineStr">
        <is>
          <t>Не определено</t>
        </is>
      </c>
      <c r="W806" s="35" t="inlineStr"/>
      <c r="X806" s="35" t="inlineStr"/>
    </row>
    <row r="807" ht="27.75" customHeight="1" s="24">
      <c r="A807" s="13" t="n">
        <v>5000001312</v>
      </c>
      <c r="B807" s="13" t="inlineStr">
        <is>
          <t>ОГОУ Специальная (коррекционная) школа интернат №6</t>
        </is>
      </c>
      <c r="C807" s="13" t="n">
        <v>3813100215</v>
      </c>
      <c r="D807" s="13" t="inlineStr">
        <is>
          <t>3813100215</t>
        </is>
      </c>
      <c r="E807" s="13" t="inlineStr">
        <is>
          <t>ЮЛ РФ</t>
        </is>
      </c>
      <c r="F807" s="13" t="n"/>
      <c r="G807" s="14" t="n"/>
      <c r="H807" s="14" t="n"/>
      <c r="I807" s="14" t="n"/>
      <c r="J807" s="14" t="n"/>
      <c r="K807" s="53" t="inlineStr"/>
      <c r="L807" s="53" t="inlineStr">
        <is>
          <t>Не определено</t>
        </is>
      </c>
      <c r="M807" s="53" t="inlineStr"/>
      <c r="N807" s="54" t="inlineStr"/>
      <c r="O807" s="55" t="inlineStr"/>
      <c r="P807" s="16" t="inlineStr">
        <is>
          <t>Требует обогащения</t>
        </is>
      </c>
      <c r="Q807" s="16">
        <f>HYPERLINK("https://pb.nalog.ru/search.html?query=3813100215","ФНС: проверить")</f>
        <v/>
      </c>
      <c r="R807" s="16">
        <f>HYPERLINK("https://checko.ru/search?query=3801001629","Чекко: проверить")</f>
        <v/>
      </c>
      <c r="S807" t="n">
        <v>1</v>
      </c>
      <c r="T807" s="35" t="inlineStr">
        <is>
          <t>4 — Не обогащён</t>
        </is>
      </c>
      <c r="U807" s="35" t="inlineStr">
        <is>
          <t>Нет ОКВЭД/ССЧР</t>
        </is>
      </c>
      <c r="V807" s="35" t="inlineStr">
        <is>
          <t>Не определено</t>
        </is>
      </c>
      <c r="W807" s="35" t="inlineStr"/>
      <c r="X807" s="35" t="inlineStr"/>
    </row>
    <row r="808" ht="27.75" customHeight="1" s="24">
      <c r="A808" s="13" t="n">
        <v>5000106117</v>
      </c>
      <c r="B808" s="13" t="inlineStr">
        <is>
          <t>ГБУ "Центр информационных технологий оренбургской области"</t>
        </is>
      </c>
      <c r="C808" s="13" t="n">
        <v>5610138249</v>
      </c>
      <c r="D808" s="13" t="inlineStr">
        <is>
          <t>5610138249</t>
        </is>
      </c>
      <c r="E808" s="13" t="inlineStr">
        <is>
          <t>ЮЛ РФ</t>
        </is>
      </c>
      <c r="F808" s="13" t="n"/>
      <c r="G808" s="14" t="n"/>
      <c r="H808" s="14" t="n"/>
      <c r="I808" s="14" t="n"/>
      <c r="J808" s="14" t="n"/>
      <c r="K808" s="53" t="inlineStr"/>
      <c r="L808" s="53" t="inlineStr">
        <is>
          <t>Не определено</t>
        </is>
      </c>
      <c r="M808" s="53" t="inlineStr"/>
      <c r="N808" s="54" t="inlineStr"/>
      <c r="O808" s="55" t="inlineStr"/>
      <c r="P808" s="16" t="inlineStr">
        <is>
          <t>Требует обогащения</t>
        </is>
      </c>
      <c r="Q808" s="16">
        <f>HYPERLINK("https://pb.nalog.ru/search.html?query=5610138249","ФНС: проверить")</f>
        <v/>
      </c>
      <c r="R808" s="16">
        <f>HYPERLINK("https://checko.ru/search?query=3801001629","Чекко: проверить")</f>
        <v/>
      </c>
      <c r="S808" t="n">
        <v>1</v>
      </c>
      <c r="T808" s="35" t="inlineStr">
        <is>
          <t>4 — Не обогащён</t>
        </is>
      </c>
      <c r="U808" s="35" t="inlineStr">
        <is>
          <t>Нет ОКВЭД/ССЧР</t>
        </is>
      </c>
      <c r="V808" s="35" t="inlineStr">
        <is>
          <t>Не определено</t>
        </is>
      </c>
      <c r="W808" s="35" t="inlineStr"/>
      <c r="X808" s="35" t="inlineStr"/>
    </row>
    <row r="809" ht="15" customHeight="1" s="24">
      <c r="A809" s="13" t="n">
        <v>5000095236</v>
      </c>
      <c r="B809" s="13" t="inlineStr">
        <is>
          <t>Госкомтранс КБР</t>
        </is>
      </c>
      <c r="C809" s="13" t="n">
        <v>725015371</v>
      </c>
      <c r="D809" s="13" t="n"/>
      <c r="E809" s="13" t="inlineStr">
        <is>
          <t>Не определён</t>
        </is>
      </c>
      <c r="F809" s="13" t="inlineStr">
        <is>
          <t>725015371</t>
        </is>
      </c>
      <c r="G809" s="14" t="n"/>
      <c r="H809" s="14" t="n"/>
      <c r="I809" s="14" t="n"/>
      <c r="J809" s="14" t="n"/>
      <c r="K809" s="13">
        <f>IF(G809="","",IF(G809&gt;=22,"Да","Нет"))</f>
        <v/>
      </c>
      <c r="L809" s="13">
        <f>IF(OR(I809="",J809=""),"Не определено",IF(OR(COUNTIF(I809,"45*")&gt;0,COUNTIF(J809,"*45*")&gt;0,COUNTIF(I809,"46*")&gt;0,COUNTIF(J809,"*46*")&gt;0,COUNTIF(I809,"47*")&gt;0,COUNTIF(J809,"*47*")&gt;0,COUNTIF(I809,"10*")&gt;0,COUNTIF(J809,"*10*")&gt;0,COUNTIF(I809,"11*")&gt;0,COUNTIF(J809,"*11*")&gt;0,COUNTIF(I809,"12*")&gt;0,COUNTIF(J809,"*12*")&gt;0,COUNTIF(I809,"13*")&gt;0,COUNTIF(J809,"*13*")&gt;0,COUNTIF(I809,"14*")&gt;0,COUNTIF(J809,"*14*")&gt;0,COUNTIF(I809,"15*")&gt;0,COUNTIF(J809,"*15*")&gt;0,COUNTIF(I809,"16*")&gt;0,COUNTIF(J809,"*16*")&gt;0,COUNTIF(I809,"17*")&gt;0,COUNTIF(J809,"*17*")&gt;0,COUNTIF(I809,"18*")&gt;0,COUNTIF(J809,"*18*")&gt;0,COUNTIF(I809,"19*")&gt;0,COUNTIF(J809,"*19*")&gt;0,COUNTIF(I809,"20*")&gt;0,COUNTIF(J809,"*20*")&gt;0,COUNTIF(I809,"21*")&gt;0,COUNTIF(J809,"*21*")&gt;0,COUNTIF(I809,"22*")&gt;0,COUNTIF(J809,"*22*")&gt;0,COUNTIF(I809,"23*")&gt;0,COUNTIF(J809,"*23*")&gt;0,COUNTIF(I809,"24*")&gt;0,COUNTIF(J809,"*24*")&gt;0,COUNTIF(I809,"25*")&gt;0,COUNTIF(J809,"*25*")&gt;0,COUNTIF(I809,"26*")&gt;0,COUNTIF(J809,"*26*")&gt;0,COUNTIF(I809,"27*")&gt;0,COUNTIF(J809,"*27*")&gt;0,COUNTIF(I809,"28*")&gt;0,COUNTIF(J809,"*28*")&gt;0,COUNTIF(I809,"29*")&gt;0,COUNTIF(J809,"*29*")&gt;0,COUNTIF(I809,"30*")&gt;0,COUNTIF(J809,"*30*")&gt;0,COUNTIF(I809,"31*")&gt;0,COUNTIF(J809,"*31*")&gt;0,COUNTIF(I809,"32*")&gt;0,COUNTIF(J809,"*32*")&gt;0,COUNTIF(I809,"33*")&gt;0,COUNTIF(J809,"*33*")&gt;0,COUNTIF(I809,"41*")&gt;0,COUNTIF(J809,"*41*")&gt;0,COUNTIF(I809,"42*")&gt;0,COUNTIF(J809,"*42*")&gt;0,COUNTIF(I809,"43*")&gt;0,COUNTIF(J809,"*43*")&gt;0,COUNTIF(I809,"49*")&gt;0,COUNTIF(J809,"*49*")&gt;0,COUNTIF(I809,"52*")&gt;0,COUNTIF(J809,"*52*")&gt;0,COUNTIF(I809,"55*")&gt;0,COUNTIF(J809,"*55*")&gt;0,COUNTIF(I809,"56*")&gt;0,COUNTIF(J809,"*56*")&gt;0,COUNTIF(I809,"68*")&gt;0,COUNTIF(J809,"*68*")&gt;0,COUNTIF(I809,"78*")&gt;0,COUNTIF(J809,"*78*")&gt;0,COUNTIF(I809,"81*")&gt;0,COUNTIF(J809,"*81*")&gt;0,COUNTIF(I809,"82*")&gt;0,COUNTIF(J809,"*82*")&gt;0,COUNTIF(I809,"64*")&gt;0,COUNTIF(J809,"*64*")&gt;0,COUNTIF(I809,"65*")&gt;0,COUNTIF(J809,"*65*")&gt;0,COUNTIF(I809,"66*")&gt;0,COUNTIF(J809,"*66*")&gt;0,COUNTIF(I809,"61*")&gt;0,COUNTIF(J809,"*61*")&gt;0,COUNTIF(I809,"62*")&gt;0,COUNTIF(J809,"*62*")&gt;0,COUNTIF(I809,"63*")&gt;0,COUNTIF(J809,"*63*")&gt;0,COUNTIF(I809,"85*")&gt;0,COUNTIF(J809,"*85*")&gt;0,COUNTIF(I809,"86*")&gt;0,COUNTIF(J809,"*86*")&gt;0),"Да","Нет"))</f>
        <v/>
      </c>
      <c r="M809" s="13">
        <f>IF(OR(G809="",L809&lt;&gt;"Да"),"",IF(G809&lt;=100,"До 100",IF(G809&lt;=200,"До 200",IF(G809&lt;=500,"До 500","Отдельное КП"))))</f>
        <v/>
      </c>
      <c r="N809" s="15">
        <f>IF(OR(G809="",L809&lt;&gt;"Да"),"",IF(G809&lt;=100,33600,IF(G809&lt;=200,62400,IF(G809&lt;=500,144000,""))))</f>
        <v/>
      </c>
      <c r="O809" s="16">
        <f>IF(G809="","",IF(G809&lt;=15,"1–15",IF(G809&lt;=30,"16–30",IF(G809&lt;=50,"31–50",IF(G809&lt;=100,"51–100",IF(G809&lt;=150,"101–150",IF(G809&lt;=200,"151–200",IF(G809&lt;=500,"201–500","500+"))))))))</f>
        <v/>
      </c>
      <c r="P809" s="16" t="inlineStr">
        <is>
          <t>Нет совпадения в предоставленной выгрузке ССЧР</t>
        </is>
      </c>
      <c r="Q809" s="16" t="n"/>
      <c r="R809" s="16">
        <f>HYPERLINK("https://checko.ru/search?query=3801001629","Чекко: проверить")</f>
        <v/>
      </c>
      <c r="S809" t="n">
        <v>0</v>
      </c>
    </row>
    <row r="810" ht="15" customHeight="1" s="24">
      <c r="A810" s="13" t="n">
        <v>5000116684</v>
      </c>
      <c r="B810" s="13" t="inlineStr">
        <is>
          <t>МБУ «Городское хозяйство «Голицыно»</t>
        </is>
      </c>
      <c r="C810" s="13" t="n">
        <v>5032287027</v>
      </c>
      <c r="D810" s="13" t="inlineStr">
        <is>
          <t>5032287027</t>
        </is>
      </c>
      <c r="E810" s="13" t="inlineStr">
        <is>
          <t>ЮЛ РФ</t>
        </is>
      </c>
      <c r="F810" s="13" t="n"/>
      <c r="G810" s="14" t="n"/>
      <c r="H810" s="14" t="n"/>
      <c r="I810" s="14" t="n"/>
      <c r="J810" s="14" t="n"/>
      <c r="K810" s="53" t="inlineStr"/>
      <c r="L810" s="53" t="inlineStr">
        <is>
          <t>Не определено</t>
        </is>
      </c>
      <c r="M810" s="53" t="inlineStr"/>
      <c r="N810" s="54" t="inlineStr"/>
      <c r="O810" s="55" t="inlineStr"/>
      <c r="P810" s="16" t="inlineStr">
        <is>
          <t>Требует обогащения</t>
        </is>
      </c>
      <c r="Q810" s="16">
        <f>HYPERLINK("https://pb.nalog.ru/search.html?query=5032287027","ФНС: проверить")</f>
        <v/>
      </c>
      <c r="R810" s="16">
        <f>HYPERLINK("https://checko.ru/search?query=3801001629","Чекко: проверить")</f>
        <v/>
      </c>
      <c r="S810" t="n">
        <v>1</v>
      </c>
      <c r="T810" s="35" t="inlineStr">
        <is>
          <t>4 — Не обогащён</t>
        </is>
      </c>
      <c r="U810" s="35" t="inlineStr">
        <is>
          <t>Нет ОКВЭД/ССЧР</t>
        </is>
      </c>
      <c r="V810" s="35" t="inlineStr">
        <is>
          <t>Не определено</t>
        </is>
      </c>
      <c r="W810" s="35" t="inlineStr"/>
      <c r="X810" s="35" t="inlineStr"/>
    </row>
    <row r="811" ht="15" customHeight="1" s="24">
      <c r="A811" s="13" t="n">
        <v>5000062636</v>
      </c>
      <c r="B811" s="13" t="inlineStr">
        <is>
          <t>Барышская Центральная Районная Больница</t>
        </is>
      </c>
      <c r="C811" s="13" t="n">
        <v>7301001650</v>
      </c>
      <c r="D811" s="13" t="inlineStr">
        <is>
          <t>7301001650</t>
        </is>
      </c>
      <c r="E811" s="13" t="inlineStr">
        <is>
          <t>ЮЛ РФ</t>
        </is>
      </c>
      <c r="F811" s="13" t="n"/>
      <c r="G811" s="14" t="n"/>
      <c r="H811" s="14" t="n"/>
      <c r="I811" s="14" t="n"/>
      <c r="J811" s="14" t="n"/>
      <c r="K811" s="53" t="inlineStr"/>
      <c r="L811" s="53" t="inlineStr">
        <is>
          <t>Не определено</t>
        </is>
      </c>
      <c r="M811" s="53" t="inlineStr"/>
      <c r="N811" s="54" t="inlineStr"/>
      <c r="O811" s="55" t="inlineStr"/>
      <c r="P811" s="16" t="inlineStr">
        <is>
          <t>Требует обогащения</t>
        </is>
      </c>
      <c r="Q811" s="16">
        <f>HYPERLINK("https://pb.nalog.ru/search.html?query=7301001650","ФНС: проверить")</f>
        <v/>
      </c>
      <c r="R811" s="16">
        <f>HYPERLINK("https://checko.ru/search?query=3801001629","Чекко: проверить")</f>
        <v/>
      </c>
      <c r="S811" t="n">
        <v>1</v>
      </c>
      <c r="T811" s="35" t="inlineStr">
        <is>
          <t>4 — Не обогащён</t>
        </is>
      </c>
      <c r="U811" s="35" t="inlineStr">
        <is>
          <t>Нет ОКВЭД/ССЧР</t>
        </is>
      </c>
      <c r="V811" s="35" t="inlineStr">
        <is>
          <t>Не определено</t>
        </is>
      </c>
      <c r="W811" s="35" t="inlineStr"/>
      <c r="X811" s="35" t="inlineStr"/>
    </row>
    <row r="812" ht="15" customHeight="1" s="24">
      <c r="A812" s="13" t="n">
        <v>5000036233</v>
      </c>
      <c r="B812" s="13" t="inlineStr">
        <is>
          <t>МБОУ ДОД "Специализированная детско-юно</t>
        </is>
      </c>
      <c r="C812" s="13" t="n">
        <v>7302032587</v>
      </c>
      <c r="D812" s="13" t="inlineStr">
        <is>
          <t>7302032587</t>
        </is>
      </c>
      <c r="E812" s="13" t="inlineStr">
        <is>
          <t>ЮЛ РФ</t>
        </is>
      </c>
      <c r="F812" s="13" t="n"/>
      <c r="G812" s="14" t="n"/>
      <c r="H812" s="14" t="n"/>
      <c r="I812" s="14" t="n"/>
      <c r="J812" s="14" t="n"/>
      <c r="K812" s="53" t="inlineStr"/>
      <c r="L812" s="53" t="inlineStr">
        <is>
          <t>Не определено</t>
        </is>
      </c>
      <c r="M812" s="53" t="inlineStr"/>
      <c r="N812" s="54" t="inlineStr"/>
      <c r="O812" s="55" t="inlineStr"/>
      <c r="P812" s="16" t="inlineStr">
        <is>
          <t>Требует обогащения</t>
        </is>
      </c>
      <c r="Q812" s="16">
        <f>HYPERLINK("https://pb.nalog.ru/search.html?query=7302032587","ФНС: проверить")</f>
        <v/>
      </c>
      <c r="R812" s="16">
        <f>HYPERLINK("https://checko.ru/search?query=3801001629","Чекко: проверить")</f>
        <v/>
      </c>
      <c r="S812" t="n">
        <v>1</v>
      </c>
      <c r="T812" s="35" t="inlineStr">
        <is>
          <t>4 — Не обогащён</t>
        </is>
      </c>
      <c r="U812" s="35" t="inlineStr">
        <is>
          <t>Нет ОКВЭД/ССЧР</t>
        </is>
      </c>
      <c r="V812" s="35" t="inlineStr">
        <is>
          <t>Не определено</t>
        </is>
      </c>
      <c r="W812" s="35" t="inlineStr"/>
      <c r="X812" s="35" t="inlineStr"/>
    </row>
    <row r="813" ht="27.75" customHeight="1" s="24">
      <c r="A813" s="13" t="n">
        <v>5000001698</v>
      </c>
      <c r="B813" s="13" t="inlineStr">
        <is>
          <t>ОГБУСО "Дом-интернат для престарелых и инвалидов г.Черемхово и Черемховского района</t>
        </is>
      </c>
      <c r="C813" s="13" t="n">
        <v>3820011968</v>
      </c>
      <c r="D813" s="13" t="inlineStr">
        <is>
          <t>3820011968</t>
        </is>
      </c>
      <c r="E813" s="13" t="inlineStr">
        <is>
          <t>ЮЛ РФ</t>
        </is>
      </c>
      <c r="F813" s="13" t="n"/>
      <c r="G813" s="14" t="n"/>
      <c r="H813" s="14" t="n"/>
      <c r="I813" s="14" t="n"/>
      <c r="J813" s="14" t="n"/>
      <c r="K813" s="53" t="inlineStr"/>
      <c r="L813" s="53" t="inlineStr">
        <is>
          <t>Не определено</t>
        </is>
      </c>
      <c r="M813" s="53" t="inlineStr"/>
      <c r="N813" s="54" t="inlineStr"/>
      <c r="O813" s="55" t="inlineStr"/>
      <c r="P813" s="16" t="inlineStr">
        <is>
          <t>Требует обогащения</t>
        </is>
      </c>
      <c r="Q813" s="16">
        <f>HYPERLINK("https://pb.nalog.ru/search.html?query=3820011968","ФНС: проверить")</f>
        <v/>
      </c>
      <c r="R813" s="16">
        <f>HYPERLINK("https://checko.ru/search?query=3801001629","Чекко: проверить")</f>
        <v/>
      </c>
      <c r="S813" t="n">
        <v>1</v>
      </c>
      <c r="T813" s="35" t="inlineStr">
        <is>
          <t>4 — Не обогащён</t>
        </is>
      </c>
      <c r="U813" s="35" t="inlineStr">
        <is>
          <t>Нет ОКВЭД/ССЧР</t>
        </is>
      </c>
      <c r="V813" s="35" t="inlineStr">
        <is>
          <t>Не определено</t>
        </is>
      </c>
      <c r="W813" s="35" t="inlineStr"/>
      <c r="X813" s="35" t="inlineStr"/>
    </row>
    <row r="814" ht="27.75" customHeight="1" s="24">
      <c r="A814" s="13" t="n">
        <v>5000106066</v>
      </c>
      <c r="B814" s="13" t="inlineStr">
        <is>
          <t>ГБУ «Медногорское городское управление ветеринарии»</t>
        </is>
      </c>
      <c r="C814" s="13" t="n">
        <v>5610008401</v>
      </c>
      <c r="D814" s="13" t="inlineStr">
        <is>
          <t>5610008401</t>
        </is>
      </c>
      <c r="E814" s="13" t="inlineStr">
        <is>
          <t>ЮЛ РФ</t>
        </is>
      </c>
      <c r="F814" s="13" t="n"/>
      <c r="G814" s="14" t="n"/>
      <c r="H814" s="14" t="n"/>
      <c r="I814" s="14" t="n"/>
      <c r="J814" s="14" t="n"/>
      <c r="K814" s="53" t="inlineStr"/>
      <c r="L814" s="53" t="inlineStr">
        <is>
          <t>Не определено</t>
        </is>
      </c>
      <c r="M814" s="53" t="inlineStr"/>
      <c r="N814" s="54" t="inlineStr"/>
      <c r="O814" s="55" t="inlineStr"/>
      <c r="P814" s="16" t="inlineStr">
        <is>
          <t>Требует обогащения</t>
        </is>
      </c>
      <c r="Q814" s="16">
        <f>HYPERLINK("https://pb.nalog.ru/search.html?query=5610008401","ФНС: проверить")</f>
        <v/>
      </c>
      <c r="R814" s="16">
        <f>HYPERLINK("https://checko.ru/search?query=3801001629","Чекко: проверить")</f>
        <v/>
      </c>
      <c r="S814" t="n">
        <v>1</v>
      </c>
      <c r="T814" s="35" t="inlineStr">
        <is>
          <t>4 — Не обогащён</t>
        </is>
      </c>
      <c r="U814" s="35" t="inlineStr">
        <is>
          <t>Нет ОКВЭД/ССЧР</t>
        </is>
      </c>
      <c r="V814" s="35" t="inlineStr">
        <is>
          <t>Не определено</t>
        </is>
      </c>
      <c r="W814" s="35" t="inlineStr"/>
      <c r="X814" s="35" t="inlineStr"/>
    </row>
    <row r="815" ht="15" customHeight="1" s="24">
      <c r="A815" s="13" t="n">
        <v>5000008546</v>
      </c>
      <c r="B815" s="13" t="inlineStr">
        <is>
          <t>УФССП России по Самарской области</t>
        </is>
      </c>
      <c r="C815" s="13" t="n">
        <v>6316096934</v>
      </c>
      <c r="D815" s="13" t="inlineStr">
        <is>
          <t>6316096934</t>
        </is>
      </c>
      <c r="E815" s="13" t="inlineStr">
        <is>
          <t>ЮЛ РФ</t>
        </is>
      </c>
      <c r="F815" s="13" t="n"/>
      <c r="G815" s="14" t="n"/>
      <c r="H815" s="14" t="n"/>
      <c r="I815" s="14" t="n"/>
      <c r="J815" s="14" t="n"/>
      <c r="K815" s="53" t="inlineStr"/>
      <c r="L815" s="53" t="inlineStr">
        <is>
          <t>Не определено</t>
        </is>
      </c>
      <c r="M815" s="53" t="inlineStr"/>
      <c r="N815" s="54" t="inlineStr"/>
      <c r="O815" s="55" t="inlineStr"/>
      <c r="P815" s="16" t="inlineStr">
        <is>
          <t>Требует обогащения</t>
        </is>
      </c>
      <c r="Q815" s="16">
        <f>HYPERLINK("https://pb.nalog.ru/search.html?query=6316096934","ФНС: проверить")</f>
        <v/>
      </c>
      <c r="R815" s="16">
        <f>HYPERLINK("https://checko.ru/search?query=3801001629","Чекко: проверить")</f>
        <v/>
      </c>
      <c r="S815" t="n">
        <v>1</v>
      </c>
      <c r="T815" s="35" t="inlineStr">
        <is>
          <t>4 — Не обогащён</t>
        </is>
      </c>
      <c r="U815" s="35" t="inlineStr">
        <is>
          <t>Нет ОКВЭД/ССЧР</t>
        </is>
      </c>
      <c r="V815" s="35" t="inlineStr">
        <is>
          <t>Не определено</t>
        </is>
      </c>
      <c r="W815" s="35" t="inlineStr"/>
      <c r="X815" s="35" t="inlineStr"/>
    </row>
    <row r="816" ht="27.75" customHeight="1" s="24">
      <c r="A816" s="13" t="n">
        <v>5000001545</v>
      </c>
      <c r="B816" s="13" t="inlineStr">
        <is>
          <t>Иркутский техникум авиастроения и материалообработки</t>
        </is>
      </c>
      <c r="C816" s="13" t="n">
        <v>3810007899</v>
      </c>
      <c r="D816" s="13" t="inlineStr">
        <is>
          <t>3810007899</t>
        </is>
      </c>
      <c r="E816" s="13" t="inlineStr">
        <is>
          <t>ЮЛ РФ</t>
        </is>
      </c>
      <c r="F816" s="13" t="n"/>
      <c r="G816" s="14" t="n"/>
      <c r="H816" s="14" t="n"/>
      <c r="I816" s="14" t="n"/>
      <c r="J816" s="14" t="n"/>
      <c r="K816" s="53" t="inlineStr"/>
      <c r="L816" s="53" t="inlineStr">
        <is>
          <t>Не определено</t>
        </is>
      </c>
      <c r="M816" s="53" t="inlineStr"/>
      <c r="N816" s="54" t="inlineStr"/>
      <c r="O816" s="55" t="inlineStr"/>
      <c r="P816" s="16" t="inlineStr">
        <is>
          <t>Требует обогащения</t>
        </is>
      </c>
      <c r="Q816" s="16">
        <f>HYPERLINK("https://pb.nalog.ru/search.html?query=3810007899","ФНС: проверить")</f>
        <v/>
      </c>
      <c r="R816" s="16">
        <f>HYPERLINK("https://checko.ru/search?query=3801001629","Чекко: проверить")</f>
        <v/>
      </c>
      <c r="S816" t="n">
        <v>1</v>
      </c>
      <c r="T816" s="35" t="inlineStr">
        <is>
          <t>4 — Не обогащён</t>
        </is>
      </c>
      <c r="U816" s="35" t="inlineStr">
        <is>
          <t>Нет ОКВЭД/ССЧР</t>
        </is>
      </c>
      <c r="V816" s="35" t="inlineStr">
        <is>
          <t>Не определено</t>
        </is>
      </c>
      <c r="W816" s="35" t="inlineStr"/>
      <c r="X816" s="35" t="inlineStr"/>
    </row>
    <row r="817" ht="15" customHeight="1" s="24">
      <c r="A817" s="13" t="n">
        <v>5000062624</v>
      </c>
      <c r="B817" s="13" t="inlineStr">
        <is>
          <t>ГУЗ «Кузоватовская ЦРБ»</t>
        </is>
      </c>
      <c r="C817" s="13" t="n">
        <v>7308001306</v>
      </c>
      <c r="D817" s="13" t="inlineStr">
        <is>
          <t>7308001306</t>
        </is>
      </c>
      <c r="E817" s="13" t="inlineStr">
        <is>
          <t>ЮЛ РФ</t>
        </is>
      </c>
      <c r="F817" s="13" t="n"/>
      <c r="G817" s="14" t="n"/>
      <c r="H817" s="14" t="n"/>
      <c r="I817" s="14" t="n"/>
      <c r="J817" s="14" t="n"/>
      <c r="K817" s="53" t="inlineStr"/>
      <c r="L817" s="53" t="inlineStr">
        <is>
          <t>Не определено</t>
        </is>
      </c>
      <c r="M817" s="53" t="inlineStr"/>
      <c r="N817" s="54" t="inlineStr"/>
      <c r="O817" s="55" t="inlineStr"/>
      <c r="P817" s="16" t="inlineStr">
        <is>
          <t>Требует обогащения</t>
        </is>
      </c>
      <c r="Q817" s="16">
        <f>HYPERLINK("https://pb.nalog.ru/search.html?query=7308001306","ФНС: проверить")</f>
        <v/>
      </c>
      <c r="R817" s="16">
        <f>HYPERLINK("https://checko.ru/search?query=3801001629","Чекко: проверить")</f>
        <v/>
      </c>
      <c r="S817" t="n">
        <v>1</v>
      </c>
      <c r="T817" s="35" t="inlineStr">
        <is>
          <t>4 — Не обогащён</t>
        </is>
      </c>
      <c r="U817" s="35" t="inlineStr">
        <is>
          <t>Нет ОКВЭД/ССЧР</t>
        </is>
      </c>
      <c r="V817" s="35" t="inlineStr">
        <is>
          <t>Не определено</t>
        </is>
      </c>
      <c r="W817" s="35" t="inlineStr"/>
      <c r="X817" s="35" t="inlineStr"/>
    </row>
    <row r="818" ht="15" customHeight="1" s="24">
      <c r="A818" s="13" t="n">
        <v>5000062616</v>
      </c>
      <c r="B818" s="13" t="inlineStr">
        <is>
          <t>ГУЗ "Павловская ЦРБ"</t>
        </is>
      </c>
      <c r="C818" s="13" t="n">
        <v>7314000170</v>
      </c>
      <c r="D818" s="13" t="inlineStr">
        <is>
          <t>7314000170</t>
        </is>
      </c>
      <c r="E818" s="13" t="inlineStr">
        <is>
          <t>ЮЛ РФ</t>
        </is>
      </c>
      <c r="F818" s="13" t="n"/>
      <c r="G818" s="14" t="n"/>
      <c r="H818" s="14" t="n"/>
      <c r="I818" s="14" t="n"/>
      <c r="J818" s="14" t="n"/>
      <c r="K818" s="53" t="inlineStr"/>
      <c r="L818" s="53" t="inlineStr">
        <is>
          <t>Не определено</t>
        </is>
      </c>
      <c r="M818" s="53" t="inlineStr"/>
      <c r="N818" s="54" t="inlineStr"/>
      <c r="O818" s="55" t="inlineStr"/>
      <c r="P818" s="16" t="inlineStr">
        <is>
          <t>Требует обогащения</t>
        </is>
      </c>
      <c r="Q818" s="16">
        <f>HYPERLINK("https://pb.nalog.ru/search.html?query=7314000170","ФНС: проверить")</f>
        <v/>
      </c>
      <c r="R818" s="16">
        <f>HYPERLINK("https://checko.ru/search?query=3801001629","Чекко: проверить")</f>
        <v/>
      </c>
      <c r="S818" t="n">
        <v>1</v>
      </c>
      <c r="T818" s="35" t="inlineStr">
        <is>
          <t>4 — Не обогащён</t>
        </is>
      </c>
      <c r="U818" s="35" t="inlineStr">
        <is>
          <t>Нет ОКВЭД/ССЧР</t>
        </is>
      </c>
      <c r="V818" s="35" t="inlineStr">
        <is>
          <t>Не определено</t>
        </is>
      </c>
      <c r="W818" s="35" t="inlineStr"/>
      <c r="X818" s="35" t="inlineStr"/>
    </row>
    <row r="819" ht="27.75" customHeight="1" s="24">
      <c r="A819" s="13" t="n">
        <v>5000036249</v>
      </c>
      <c r="B819" s="13" t="inlineStr">
        <is>
          <t>Областное автономное учреждение «Редакция газеты «Тереньгульские вести»</t>
        </is>
      </c>
      <c r="C819" s="13" t="n">
        <v>7321313992</v>
      </c>
      <c r="D819" s="13" t="inlineStr">
        <is>
          <t>7321313992</t>
        </is>
      </c>
      <c r="E819" s="13" t="inlineStr">
        <is>
          <t>ЮЛ РФ</t>
        </is>
      </c>
      <c r="F819" s="13" t="n"/>
      <c r="G819" s="14" t="n"/>
      <c r="H819" s="14" t="n"/>
      <c r="I819" s="14" t="n"/>
      <c r="J819" s="14" t="n"/>
      <c r="K819" s="53" t="inlineStr"/>
      <c r="L819" s="53" t="inlineStr">
        <is>
          <t>Не определено</t>
        </is>
      </c>
      <c r="M819" s="53" t="inlineStr"/>
      <c r="N819" s="54" t="inlineStr"/>
      <c r="O819" s="55" t="inlineStr"/>
      <c r="P819" s="16" t="inlineStr">
        <is>
          <t>Требует обогащения</t>
        </is>
      </c>
      <c r="Q819" s="16">
        <f>HYPERLINK("https://pb.nalog.ru/search.html?query=7321313992","ФНС: проверить")</f>
        <v/>
      </c>
      <c r="R819" s="16">
        <f>HYPERLINK("https://checko.ru/search?query=3801001629","Чекко: проверить")</f>
        <v/>
      </c>
      <c r="S819" t="n">
        <v>1</v>
      </c>
      <c r="T819" s="35" t="inlineStr">
        <is>
          <t>4 — Не обогащён</t>
        </is>
      </c>
      <c r="U819" s="35" t="inlineStr">
        <is>
          <t>Нет ОКВЭД/ССЧР</t>
        </is>
      </c>
      <c r="V819" s="35" t="inlineStr">
        <is>
          <t>Не определено</t>
        </is>
      </c>
      <c r="W819" s="35" t="inlineStr"/>
      <c r="X819" s="35" t="inlineStr"/>
    </row>
    <row r="820" ht="15" customHeight="1" s="24">
      <c r="A820" s="13" t="n">
        <v>5000095034</v>
      </c>
      <c r="B820" s="13" t="inlineStr">
        <is>
          <t>Прогимназия №65</t>
        </is>
      </c>
      <c r="C820" s="13" t="n">
        <v>711041519</v>
      </c>
      <c r="D820" s="13" t="n"/>
      <c r="E820" s="13" t="inlineStr">
        <is>
          <t>Не определён</t>
        </is>
      </c>
      <c r="F820" s="13" t="inlineStr">
        <is>
          <t>711041519</t>
        </is>
      </c>
      <c r="G820" s="14" t="n"/>
      <c r="H820" s="14" t="n"/>
      <c r="I820" s="14" t="n"/>
      <c r="J820" s="14" t="n"/>
      <c r="K820" s="13">
        <f>IF(G820="","",IF(G820&gt;=22,"Да","Нет"))</f>
        <v/>
      </c>
      <c r="L820" s="13">
        <f>IF(OR(I820="",J820=""),"Не определено",IF(OR(COUNTIF(I820,"45*")&gt;0,COUNTIF(J820,"*45*")&gt;0,COUNTIF(I820,"46*")&gt;0,COUNTIF(J820,"*46*")&gt;0,COUNTIF(I820,"47*")&gt;0,COUNTIF(J820,"*47*")&gt;0,COUNTIF(I820,"10*")&gt;0,COUNTIF(J820,"*10*")&gt;0,COUNTIF(I820,"11*")&gt;0,COUNTIF(J820,"*11*")&gt;0,COUNTIF(I820,"12*")&gt;0,COUNTIF(J820,"*12*")&gt;0,COUNTIF(I820,"13*")&gt;0,COUNTIF(J820,"*13*")&gt;0,COUNTIF(I820,"14*")&gt;0,COUNTIF(J820,"*14*")&gt;0,COUNTIF(I820,"15*")&gt;0,COUNTIF(J820,"*15*")&gt;0,COUNTIF(I820,"16*")&gt;0,COUNTIF(J820,"*16*")&gt;0,COUNTIF(I820,"17*")&gt;0,COUNTIF(J820,"*17*")&gt;0,COUNTIF(I820,"18*")&gt;0,COUNTIF(J820,"*18*")&gt;0,COUNTIF(I820,"19*")&gt;0,COUNTIF(J820,"*19*")&gt;0,COUNTIF(I820,"20*")&gt;0,COUNTIF(J820,"*20*")&gt;0,COUNTIF(I820,"21*")&gt;0,COUNTIF(J820,"*21*")&gt;0,COUNTIF(I820,"22*")&gt;0,COUNTIF(J820,"*22*")&gt;0,COUNTIF(I820,"23*")&gt;0,COUNTIF(J820,"*23*")&gt;0,COUNTIF(I820,"24*")&gt;0,COUNTIF(J820,"*24*")&gt;0,COUNTIF(I820,"25*")&gt;0,COUNTIF(J820,"*25*")&gt;0,COUNTIF(I820,"26*")&gt;0,COUNTIF(J820,"*26*")&gt;0,COUNTIF(I820,"27*")&gt;0,COUNTIF(J820,"*27*")&gt;0,COUNTIF(I820,"28*")&gt;0,COUNTIF(J820,"*28*")&gt;0,COUNTIF(I820,"29*")&gt;0,COUNTIF(J820,"*29*")&gt;0,COUNTIF(I820,"30*")&gt;0,COUNTIF(J820,"*30*")&gt;0,COUNTIF(I820,"31*")&gt;0,COUNTIF(J820,"*31*")&gt;0,COUNTIF(I820,"32*")&gt;0,COUNTIF(J820,"*32*")&gt;0,COUNTIF(I820,"33*")&gt;0,COUNTIF(J820,"*33*")&gt;0,COUNTIF(I820,"41*")&gt;0,COUNTIF(J820,"*41*")&gt;0,COUNTIF(I820,"42*")&gt;0,COUNTIF(J820,"*42*")&gt;0,COUNTIF(I820,"43*")&gt;0,COUNTIF(J820,"*43*")&gt;0,COUNTIF(I820,"49*")&gt;0,COUNTIF(J820,"*49*")&gt;0,COUNTIF(I820,"52*")&gt;0,COUNTIF(J820,"*52*")&gt;0,COUNTIF(I820,"55*")&gt;0,COUNTIF(J820,"*55*")&gt;0,COUNTIF(I820,"56*")&gt;0,COUNTIF(J820,"*56*")&gt;0,COUNTIF(I820,"68*")&gt;0,COUNTIF(J820,"*68*")&gt;0,COUNTIF(I820,"78*")&gt;0,COUNTIF(J820,"*78*")&gt;0,COUNTIF(I820,"81*")&gt;0,COUNTIF(J820,"*81*")&gt;0,COUNTIF(I820,"82*")&gt;0,COUNTIF(J820,"*82*")&gt;0,COUNTIF(I820,"64*")&gt;0,COUNTIF(J820,"*64*")&gt;0,COUNTIF(I820,"65*")&gt;0,COUNTIF(J820,"*65*")&gt;0,COUNTIF(I820,"66*")&gt;0,COUNTIF(J820,"*66*")&gt;0,COUNTIF(I820,"61*")&gt;0,COUNTIF(J820,"*61*")&gt;0,COUNTIF(I820,"62*")&gt;0,COUNTIF(J820,"*62*")&gt;0,COUNTIF(I820,"63*")&gt;0,COUNTIF(J820,"*63*")&gt;0,COUNTIF(I820,"85*")&gt;0,COUNTIF(J820,"*85*")&gt;0,COUNTIF(I820,"86*")&gt;0,COUNTIF(J820,"*86*")&gt;0),"Да","Нет"))</f>
        <v/>
      </c>
      <c r="M820" s="13">
        <f>IF(OR(G820="",L820&lt;&gt;"Да"),"",IF(G820&lt;=100,"До 100",IF(G820&lt;=200,"До 200",IF(G820&lt;=500,"До 500","Отдельное КП"))))</f>
        <v/>
      </c>
      <c r="N820" s="15">
        <f>IF(OR(G820="",L820&lt;&gt;"Да"),"",IF(G820&lt;=100,33600,IF(G820&lt;=200,62400,IF(G820&lt;=500,144000,""))))</f>
        <v/>
      </c>
      <c r="O820" s="16">
        <f>IF(G820="","",IF(G820&lt;=15,"1–15",IF(G820&lt;=30,"16–30",IF(G820&lt;=50,"31–50",IF(G820&lt;=100,"51–100",IF(G820&lt;=150,"101–150",IF(G820&lt;=200,"151–200",IF(G820&lt;=500,"201–500","500+"))))))))</f>
        <v/>
      </c>
      <c r="P820" s="16" t="inlineStr">
        <is>
          <t>Нет совпадения в предоставленной выгрузке ССЧР</t>
        </is>
      </c>
      <c r="Q820" s="16" t="n"/>
      <c r="R820" s="16">
        <f>HYPERLINK("https://checko.ru/search?query=3801001629","Чекко: проверить")</f>
        <v/>
      </c>
      <c r="S820" t="n">
        <v>0</v>
      </c>
    </row>
    <row r="821" ht="15" customHeight="1" s="24">
      <c r="A821" s="13" t="n">
        <v>5000008553</v>
      </c>
      <c r="B821" s="13" t="inlineStr">
        <is>
          <t>УФССП России по Калужской области</t>
        </is>
      </c>
      <c r="C821" s="13" t="n">
        <v>4027066824</v>
      </c>
      <c r="D821" s="13" t="inlineStr">
        <is>
          <t>4027066824</t>
        </is>
      </c>
      <c r="E821" s="13" t="inlineStr">
        <is>
          <t>ЮЛ РФ</t>
        </is>
      </c>
      <c r="F821" s="13" t="n"/>
      <c r="G821" s="14" t="n"/>
      <c r="H821" s="14" t="n"/>
      <c r="I821" s="14" t="n"/>
      <c r="J821" s="14" t="n"/>
      <c r="K821" s="53" t="inlineStr"/>
      <c r="L821" s="53" t="inlineStr">
        <is>
          <t>Не определено</t>
        </is>
      </c>
      <c r="M821" s="53" t="inlineStr"/>
      <c r="N821" s="54" t="inlineStr"/>
      <c r="O821" s="55" t="inlineStr"/>
      <c r="P821" s="16" t="inlineStr">
        <is>
          <t>Требует обогащения</t>
        </is>
      </c>
      <c r="Q821" s="16">
        <f>HYPERLINK("https://pb.nalog.ru/search.html?query=4027066824","ФНС: проверить")</f>
        <v/>
      </c>
      <c r="R821" s="16">
        <f>HYPERLINK("https://checko.ru/search?query=3801001629","Чекко: проверить")</f>
        <v/>
      </c>
      <c r="S821" t="n">
        <v>1</v>
      </c>
      <c r="T821" s="35" t="inlineStr">
        <is>
          <t>4 — Не обогащён</t>
        </is>
      </c>
      <c r="U821" s="35" t="inlineStr">
        <is>
          <t>Нет ОКВЭД/ССЧР</t>
        </is>
      </c>
      <c r="V821" s="35" t="inlineStr">
        <is>
          <t>Не определено</t>
        </is>
      </c>
      <c r="W821" s="35" t="inlineStr"/>
      <c r="X821" s="35" t="inlineStr"/>
    </row>
    <row r="822" ht="15" customHeight="1" s="24">
      <c r="A822" s="13" t="n">
        <v>5000003705</v>
      </c>
      <c r="B822" s="13" t="inlineStr">
        <is>
          <t>ОГБУ "БОХАНСКАЯ СББЖ"</t>
        </is>
      </c>
      <c r="C822" s="13" t="n">
        <v>8503005585</v>
      </c>
      <c r="D822" s="13" t="inlineStr">
        <is>
          <t>8503005585</t>
        </is>
      </c>
      <c r="E822" s="13" t="inlineStr">
        <is>
          <t>ЮЛ РФ</t>
        </is>
      </c>
      <c r="F822" s="13" t="n"/>
      <c r="G822" s="14" t="n"/>
      <c r="H822" s="14" t="n"/>
      <c r="I822" s="14" t="n"/>
      <c r="J822" s="14" t="n"/>
      <c r="K822" s="53" t="inlineStr"/>
      <c r="L822" s="53" t="inlineStr">
        <is>
          <t>Не определено</t>
        </is>
      </c>
      <c r="M822" s="53" t="inlineStr"/>
      <c r="N822" s="54" t="inlineStr"/>
      <c r="O822" s="55" t="inlineStr"/>
      <c r="P822" s="16" t="inlineStr">
        <is>
          <t>Требует обогащения</t>
        </is>
      </c>
      <c r="Q822" s="16">
        <f>HYPERLINK("https://pb.nalog.ru/search.html?query=8503005585","ФНС: проверить")</f>
        <v/>
      </c>
      <c r="R822" s="16">
        <f>HYPERLINK("https://checko.ru/search?query=3801001629","Чекко: проверить")</f>
        <v/>
      </c>
      <c r="S822" t="n">
        <v>1</v>
      </c>
      <c r="T822" s="35" t="inlineStr">
        <is>
          <t>4 — Не обогащён</t>
        </is>
      </c>
      <c r="U822" s="35" t="inlineStr">
        <is>
          <t>Нет ОКВЭД/ССЧР</t>
        </is>
      </c>
      <c r="V822" s="35" t="inlineStr">
        <is>
          <t>Не определено</t>
        </is>
      </c>
      <c r="W822" s="35" t="inlineStr"/>
      <c r="X822" s="35" t="inlineStr"/>
    </row>
    <row r="823" ht="15" customHeight="1" s="24">
      <c r="A823" s="13" t="n">
        <v>5000008589</v>
      </c>
      <c r="B823" s="13" t="inlineStr">
        <is>
          <t>УФССП России по Ярославской области</t>
        </is>
      </c>
      <c r="C823" s="13" t="n">
        <v>7604071938</v>
      </c>
      <c r="D823" s="13" t="inlineStr">
        <is>
          <t>7604071938</t>
        </is>
      </c>
      <c r="E823" s="13" t="inlineStr">
        <is>
          <t>ЮЛ РФ</t>
        </is>
      </c>
      <c r="F823" s="13" t="n"/>
      <c r="G823" s="14" t="n"/>
      <c r="H823" s="14" t="n"/>
      <c r="I823" s="14" t="n"/>
      <c r="J823" s="14" t="n"/>
      <c r="K823" s="53" t="inlineStr"/>
      <c r="L823" s="53" t="inlineStr">
        <is>
          <t>Не определено</t>
        </is>
      </c>
      <c r="M823" s="53" t="inlineStr"/>
      <c r="N823" s="54" t="inlineStr"/>
      <c r="O823" s="55" t="inlineStr"/>
      <c r="P823" s="16" t="inlineStr">
        <is>
          <t>Требует обогащения</t>
        </is>
      </c>
      <c r="Q823" s="16">
        <f>HYPERLINK("https://pb.nalog.ru/search.html?query=7604071938","ФНС: проверить")</f>
        <v/>
      </c>
      <c r="R823" s="16">
        <f>HYPERLINK("https://checko.ru/search?query=3801001629","Чекко: проверить")</f>
        <v/>
      </c>
      <c r="S823" t="n">
        <v>1</v>
      </c>
      <c r="T823" s="35" t="inlineStr">
        <is>
          <t>4 — Не обогащён</t>
        </is>
      </c>
      <c r="U823" s="35" t="inlineStr">
        <is>
          <t>Нет ОКВЭД/ССЧР</t>
        </is>
      </c>
      <c r="V823" s="35" t="inlineStr">
        <is>
          <t>Не определено</t>
        </is>
      </c>
      <c r="W823" s="35" t="inlineStr"/>
      <c r="X823" s="35" t="inlineStr"/>
    </row>
    <row r="824" ht="15" customHeight="1" s="24">
      <c r="A824" s="13" t="n">
        <v>5000094677</v>
      </c>
      <c r="B824" s="13" t="inlineStr">
        <is>
          <t>МКОУ "ООШ №4 Г.П.ТЕРЕК"</t>
        </is>
      </c>
      <c r="C824" s="13" t="n">
        <v>705007990</v>
      </c>
      <c r="D824" s="13" t="n"/>
      <c r="E824" s="13" t="inlineStr">
        <is>
          <t>Не определён</t>
        </is>
      </c>
      <c r="F824" s="13" t="inlineStr">
        <is>
          <t>705007990</t>
        </is>
      </c>
      <c r="G824" s="14" t="n"/>
      <c r="H824" s="14" t="n"/>
      <c r="I824" s="14" t="n"/>
      <c r="J824" s="14" t="n"/>
      <c r="K824" s="13">
        <f>IF(G824="","",IF(G824&gt;=22,"Да","Нет"))</f>
        <v/>
      </c>
      <c r="L824" s="13">
        <f>IF(OR(I824="",J824=""),"Не определено",IF(OR(COUNTIF(I824,"45*")&gt;0,COUNTIF(J824,"*45*")&gt;0,COUNTIF(I824,"46*")&gt;0,COUNTIF(J824,"*46*")&gt;0,COUNTIF(I824,"47*")&gt;0,COUNTIF(J824,"*47*")&gt;0,COUNTIF(I824,"10*")&gt;0,COUNTIF(J824,"*10*")&gt;0,COUNTIF(I824,"11*")&gt;0,COUNTIF(J824,"*11*")&gt;0,COUNTIF(I824,"12*")&gt;0,COUNTIF(J824,"*12*")&gt;0,COUNTIF(I824,"13*")&gt;0,COUNTIF(J824,"*13*")&gt;0,COUNTIF(I824,"14*")&gt;0,COUNTIF(J824,"*14*")&gt;0,COUNTIF(I824,"15*")&gt;0,COUNTIF(J824,"*15*")&gt;0,COUNTIF(I824,"16*")&gt;0,COUNTIF(J824,"*16*")&gt;0,COUNTIF(I824,"17*")&gt;0,COUNTIF(J824,"*17*")&gt;0,COUNTIF(I824,"18*")&gt;0,COUNTIF(J824,"*18*")&gt;0,COUNTIF(I824,"19*")&gt;0,COUNTIF(J824,"*19*")&gt;0,COUNTIF(I824,"20*")&gt;0,COUNTIF(J824,"*20*")&gt;0,COUNTIF(I824,"21*")&gt;0,COUNTIF(J824,"*21*")&gt;0,COUNTIF(I824,"22*")&gt;0,COUNTIF(J824,"*22*")&gt;0,COUNTIF(I824,"23*")&gt;0,COUNTIF(J824,"*23*")&gt;0,COUNTIF(I824,"24*")&gt;0,COUNTIF(J824,"*24*")&gt;0,COUNTIF(I824,"25*")&gt;0,COUNTIF(J824,"*25*")&gt;0,COUNTIF(I824,"26*")&gt;0,COUNTIF(J824,"*26*")&gt;0,COUNTIF(I824,"27*")&gt;0,COUNTIF(J824,"*27*")&gt;0,COUNTIF(I824,"28*")&gt;0,COUNTIF(J824,"*28*")&gt;0,COUNTIF(I824,"29*")&gt;0,COUNTIF(J824,"*29*")&gt;0,COUNTIF(I824,"30*")&gt;0,COUNTIF(J824,"*30*")&gt;0,COUNTIF(I824,"31*")&gt;0,COUNTIF(J824,"*31*")&gt;0,COUNTIF(I824,"32*")&gt;0,COUNTIF(J824,"*32*")&gt;0,COUNTIF(I824,"33*")&gt;0,COUNTIF(J824,"*33*")&gt;0,COUNTIF(I824,"41*")&gt;0,COUNTIF(J824,"*41*")&gt;0,COUNTIF(I824,"42*")&gt;0,COUNTIF(J824,"*42*")&gt;0,COUNTIF(I824,"43*")&gt;0,COUNTIF(J824,"*43*")&gt;0,COUNTIF(I824,"49*")&gt;0,COUNTIF(J824,"*49*")&gt;0,COUNTIF(I824,"52*")&gt;0,COUNTIF(J824,"*52*")&gt;0,COUNTIF(I824,"55*")&gt;0,COUNTIF(J824,"*55*")&gt;0,COUNTIF(I824,"56*")&gt;0,COUNTIF(J824,"*56*")&gt;0,COUNTIF(I824,"68*")&gt;0,COUNTIF(J824,"*68*")&gt;0,COUNTIF(I824,"78*")&gt;0,COUNTIF(J824,"*78*")&gt;0,COUNTIF(I824,"81*")&gt;0,COUNTIF(J824,"*81*")&gt;0,COUNTIF(I824,"82*")&gt;0,COUNTIF(J824,"*82*")&gt;0,COUNTIF(I824,"64*")&gt;0,COUNTIF(J824,"*64*")&gt;0,COUNTIF(I824,"65*")&gt;0,COUNTIF(J824,"*65*")&gt;0,COUNTIF(I824,"66*")&gt;0,COUNTIF(J824,"*66*")&gt;0,COUNTIF(I824,"61*")&gt;0,COUNTIF(J824,"*61*")&gt;0,COUNTIF(I824,"62*")&gt;0,COUNTIF(J824,"*62*")&gt;0,COUNTIF(I824,"63*")&gt;0,COUNTIF(J824,"*63*")&gt;0,COUNTIF(I824,"85*")&gt;0,COUNTIF(J824,"*85*")&gt;0,COUNTIF(I824,"86*")&gt;0,COUNTIF(J824,"*86*")&gt;0),"Да","Нет"))</f>
        <v/>
      </c>
      <c r="M824" s="13">
        <f>IF(OR(G824="",L824&lt;&gt;"Да"),"",IF(G824&lt;=100,"До 100",IF(G824&lt;=200,"До 200",IF(G824&lt;=500,"До 500","Отдельное КП"))))</f>
        <v/>
      </c>
      <c r="N824" s="15">
        <f>IF(OR(G824="",L824&lt;&gt;"Да"),"",IF(G824&lt;=100,33600,IF(G824&lt;=200,62400,IF(G824&lt;=500,144000,""))))</f>
        <v/>
      </c>
      <c r="O824" s="16">
        <f>IF(G824="","",IF(G824&lt;=15,"1–15",IF(G824&lt;=30,"16–30",IF(G824&lt;=50,"31–50",IF(G824&lt;=100,"51–100",IF(G824&lt;=150,"101–150",IF(G824&lt;=200,"151–200",IF(G824&lt;=500,"201–500","500+"))))))))</f>
        <v/>
      </c>
      <c r="P824" s="16" t="inlineStr">
        <is>
          <t>Нет совпадения в предоставленной выгрузке ССЧР</t>
        </is>
      </c>
      <c r="Q824" s="16" t="n"/>
      <c r="R824" s="16">
        <f>HYPERLINK("https://checko.ru/search?query=3801001629","Чекко: проверить")</f>
        <v/>
      </c>
      <c r="S824" t="n">
        <v>0</v>
      </c>
    </row>
    <row r="825" ht="15" customHeight="1" s="24">
      <c r="A825" s="13" t="n">
        <v>5000094622</v>
      </c>
      <c r="B825" s="13" t="inlineStr">
        <is>
          <t>МКОУ "ООШ №3 Г.П.ТЕРЕК"</t>
        </is>
      </c>
      <c r="C825" s="13" t="n">
        <v>705001532</v>
      </c>
      <c r="D825" s="13" t="n"/>
      <c r="E825" s="13" t="inlineStr">
        <is>
          <t>Не определён</t>
        </is>
      </c>
      <c r="F825" s="13" t="inlineStr">
        <is>
          <t>705001532</t>
        </is>
      </c>
      <c r="G825" s="14" t="n"/>
      <c r="H825" s="14" t="n"/>
      <c r="I825" s="14" t="n"/>
      <c r="J825" s="14" t="n"/>
      <c r="K825" s="13">
        <f>IF(G825="","",IF(G825&gt;=22,"Да","Нет"))</f>
        <v/>
      </c>
      <c r="L825" s="13">
        <f>IF(OR(I825="",J825=""),"Не определено",IF(OR(COUNTIF(I825,"45*")&gt;0,COUNTIF(J825,"*45*")&gt;0,COUNTIF(I825,"46*")&gt;0,COUNTIF(J825,"*46*")&gt;0,COUNTIF(I825,"47*")&gt;0,COUNTIF(J825,"*47*")&gt;0,COUNTIF(I825,"10*")&gt;0,COUNTIF(J825,"*10*")&gt;0,COUNTIF(I825,"11*")&gt;0,COUNTIF(J825,"*11*")&gt;0,COUNTIF(I825,"12*")&gt;0,COUNTIF(J825,"*12*")&gt;0,COUNTIF(I825,"13*")&gt;0,COUNTIF(J825,"*13*")&gt;0,COUNTIF(I825,"14*")&gt;0,COUNTIF(J825,"*14*")&gt;0,COUNTIF(I825,"15*")&gt;0,COUNTIF(J825,"*15*")&gt;0,COUNTIF(I825,"16*")&gt;0,COUNTIF(J825,"*16*")&gt;0,COUNTIF(I825,"17*")&gt;0,COUNTIF(J825,"*17*")&gt;0,COUNTIF(I825,"18*")&gt;0,COUNTIF(J825,"*18*")&gt;0,COUNTIF(I825,"19*")&gt;0,COUNTIF(J825,"*19*")&gt;0,COUNTIF(I825,"20*")&gt;0,COUNTIF(J825,"*20*")&gt;0,COUNTIF(I825,"21*")&gt;0,COUNTIF(J825,"*21*")&gt;0,COUNTIF(I825,"22*")&gt;0,COUNTIF(J825,"*22*")&gt;0,COUNTIF(I825,"23*")&gt;0,COUNTIF(J825,"*23*")&gt;0,COUNTIF(I825,"24*")&gt;0,COUNTIF(J825,"*24*")&gt;0,COUNTIF(I825,"25*")&gt;0,COUNTIF(J825,"*25*")&gt;0,COUNTIF(I825,"26*")&gt;0,COUNTIF(J825,"*26*")&gt;0,COUNTIF(I825,"27*")&gt;0,COUNTIF(J825,"*27*")&gt;0,COUNTIF(I825,"28*")&gt;0,COUNTIF(J825,"*28*")&gt;0,COUNTIF(I825,"29*")&gt;0,COUNTIF(J825,"*29*")&gt;0,COUNTIF(I825,"30*")&gt;0,COUNTIF(J825,"*30*")&gt;0,COUNTIF(I825,"31*")&gt;0,COUNTIF(J825,"*31*")&gt;0,COUNTIF(I825,"32*")&gt;0,COUNTIF(J825,"*32*")&gt;0,COUNTIF(I825,"33*")&gt;0,COUNTIF(J825,"*33*")&gt;0,COUNTIF(I825,"41*")&gt;0,COUNTIF(J825,"*41*")&gt;0,COUNTIF(I825,"42*")&gt;0,COUNTIF(J825,"*42*")&gt;0,COUNTIF(I825,"43*")&gt;0,COUNTIF(J825,"*43*")&gt;0,COUNTIF(I825,"49*")&gt;0,COUNTIF(J825,"*49*")&gt;0,COUNTIF(I825,"52*")&gt;0,COUNTIF(J825,"*52*")&gt;0,COUNTIF(I825,"55*")&gt;0,COUNTIF(J825,"*55*")&gt;0,COUNTIF(I825,"56*")&gt;0,COUNTIF(J825,"*56*")&gt;0,COUNTIF(I825,"68*")&gt;0,COUNTIF(J825,"*68*")&gt;0,COUNTIF(I825,"78*")&gt;0,COUNTIF(J825,"*78*")&gt;0,COUNTIF(I825,"81*")&gt;0,COUNTIF(J825,"*81*")&gt;0,COUNTIF(I825,"82*")&gt;0,COUNTIF(J825,"*82*")&gt;0,COUNTIF(I825,"64*")&gt;0,COUNTIF(J825,"*64*")&gt;0,COUNTIF(I825,"65*")&gt;0,COUNTIF(J825,"*65*")&gt;0,COUNTIF(I825,"66*")&gt;0,COUNTIF(J825,"*66*")&gt;0,COUNTIF(I825,"61*")&gt;0,COUNTIF(J825,"*61*")&gt;0,COUNTIF(I825,"62*")&gt;0,COUNTIF(J825,"*62*")&gt;0,COUNTIF(I825,"63*")&gt;0,COUNTIF(J825,"*63*")&gt;0,COUNTIF(I825,"85*")&gt;0,COUNTIF(J825,"*85*")&gt;0,COUNTIF(I825,"86*")&gt;0,COUNTIF(J825,"*86*")&gt;0),"Да","Нет"))</f>
        <v/>
      </c>
      <c r="M825" s="13">
        <f>IF(OR(G825="",L825&lt;&gt;"Да"),"",IF(G825&lt;=100,"До 100",IF(G825&lt;=200,"До 200",IF(G825&lt;=500,"До 500","Отдельное КП"))))</f>
        <v/>
      </c>
      <c r="N825" s="15">
        <f>IF(OR(G825="",L825&lt;&gt;"Да"),"",IF(G825&lt;=100,33600,IF(G825&lt;=200,62400,IF(G825&lt;=500,144000,""))))</f>
        <v/>
      </c>
      <c r="O825" s="16">
        <f>IF(G825="","",IF(G825&lt;=15,"1–15",IF(G825&lt;=30,"16–30",IF(G825&lt;=50,"31–50",IF(G825&lt;=100,"51–100",IF(G825&lt;=150,"101–150",IF(G825&lt;=200,"151–200",IF(G825&lt;=500,"201–500","500+"))))))))</f>
        <v/>
      </c>
      <c r="P825" s="16" t="inlineStr">
        <is>
          <t>Нет совпадения в предоставленной выгрузке ССЧР</t>
        </is>
      </c>
      <c r="Q825" s="16" t="n"/>
      <c r="R825" s="16">
        <f>HYPERLINK("https://checko.ru/search?query=3801001629","Чекко: проверить")</f>
        <v/>
      </c>
      <c r="S825" t="n">
        <v>0</v>
      </c>
    </row>
    <row r="826" ht="15" customHeight="1" s="24">
      <c r="A826" s="13" t="n">
        <v>5000095173</v>
      </c>
      <c r="B826" s="13" t="inlineStr">
        <is>
          <t>Администрация микрорайона Вольный аул</t>
        </is>
      </c>
      <c r="C826" s="13" t="n">
        <v>721056521</v>
      </c>
      <c r="D826" s="13" t="n"/>
      <c r="E826" s="13" t="inlineStr">
        <is>
          <t>Не определён</t>
        </is>
      </c>
      <c r="F826" s="13" t="inlineStr">
        <is>
          <t>721056521</t>
        </is>
      </c>
      <c r="G826" s="14" t="n"/>
      <c r="H826" s="14" t="n"/>
      <c r="I826" s="14" t="n"/>
      <c r="J826" s="14" t="n"/>
      <c r="K826" s="13">
        <f>IF(G826="","",IF(G826&gt;=22,"Да","Нет"))</f>
        <v/>
      </c>
      <c r="L826" s="13">
        <f>IF(OR(I826="",J826=""),"Не определено",IF(OR(COUNTIF(I826,"45*")&gt;0,COUNTIF(J826,"*45*")&gt;0,COUNTIF(I826,"46*")&gt;0,COUNTIF(J826,"*46*")&gt;0,COUNTIF(I826,"47*")&gt;0,COUNTIF(J826,"*47*")&gt;0,COUNTIF(I826,"10*")&gt;0,COUNTIF(J826,"*10*")&gt;0,COUNTIF(I826,"11*")&gt;0,COUNTIF(J826,"*11*")&gt;0,COUNTIF(I826,"12*")&gt;0,COUNTIF(J826,"*12*")&gt;0,COUNTIF(I826,"13*")&gt;0,COUNTIF(J826,"*13*")&gt;0,COUNTIF(I826,"14*")&gt;0,COUNTIF(J826,"*14*")&gt;0,COUNTIF(I826,"15*")&gt;0,COUNTIF(J826,"*15*")&gt;0,COUNTIF(I826,"16*")&gt;0,COUNTIF(J826,"*16*")&gt;0,COUNTIF(I826,"17*")&gt;0,COUNTIF(J826,"*17*")&gt;0,COUNTIF(I826,"18*")&gt;0,COUNTIF(J826,"*18*")&gt;0,COUNTIF(I826,"19*")&gt;0,COUNTIF(J826,"*19*")&gt;0,COUNTIF(I826,"20*")&gt;0,COUNTIF(J826,"*20*")&gt;0,COUNTIF(I826,"21*")&gt;0,COUNTIF(J826,"*21*")&gt;0,COUNTIF(I826,"22*")&gt;0,COUNTIF(J826,"*22*")&gt;0,COUNTIF(I826,"23*")&gt;0,COUNTIF(J826,"*23*")&gt;0,COUNTIF(I826,"24*")&gt;0,COUNTIF(J826,"*24*")&gt;0,COUNTIF(I826,"25*")&gt;0,COUNTIF(J826,"*25*")&gt;0,COUNTIF(I826,"26*")&gt;0,COUNTIF(J826,"*26*")&gt;0,COUNTIF(I826,"27*")&gt;0,COUNTIF(J826,"*27*")&gt;0,COUNTIF(I826,"28*")&gt;0,COUNTIF(J826,"*28*")&gt;0,COUNTIF(I826,"29*")&gt;0,COUNTIF(J826,"*29*")&gt;0,COUNTIF(I826,"30*")&gt;0,COUNTIF(J826,"*30*")&gt;0,COUNTIF(I826,"31*")&gt;0,COUNTIF(J826,"*31*")&gt;0,COUNTIF(I826,"32*")&gt;0,COUNTIF(J826,"*32*")&gt;0,COUNTIF(I826,"33*")&gt;0,COUNTIF(J826,"*33*")&gt;0,COUNTIF(I826,"41*")&gt;0,COUNTIF(J826,"*41*")&gt;0,COUNTIF(I826,"42*")&gt;0,COUNTIF(J826,"*42*")&gt;0,COUNTIF(I826,"43*")&gt;0,COUNTIF(J826,"*43*")&gt;0,COUNTIF(I826,"49*")&gt;0,COUNTIF(J826,"*49*")&gt;0,COUNTIF(I826,"52*")&gt;0,COUNTIF(J826,"*52*")&gt;0,COUNTIF(I826,"55*")&gt;0,COUNTIF(J826,"*55*")&gt;0,COUNTIF(I826,"56*")&gt;0,COUNTIF(J826,"*56*")&gt;0,COUNTIF(I826,"68*")&gt;0,COUNTIF(J826,"*68*")&gt;0,COUNTIF(I826,"78*")&gt;0,COUNTIF(J826,"*78*")&gt;0,COUNTIF(I826,"81*")&gt;0,COUNTIF(J826,"*81*")&gt;0,COUNTIF(I826,"82*")&gt;0,COUNTIF(J826,"*82*")&gt;0,COUNTIF(I826,"64*")&gt;0,COUNTIF(J826,"*64*")&gt;0,COUNTIF(I826,"65*")&gt;0,COUNTIF(J826,"*65*")&gt;0,COUNTIF(I826,"66*")&gt;0,COUNTIF(J826,"*66*")&gt;0,COUNTIF(I826,"61*")&gt;0,COUNTIF(J826,"*61*")&gt;0,COUNTIF(I826,"62*")&gt;0,COUNTIF(J826,"*62*")&gt;0,COUNTIF(I826,"63*")&gt;0,COUNTIF(J826,"*63*")&gt;0,COUNTIF(I826,"85*")&gt;0,COUNTIF(J826,"*85*")&gt;0,COUNTIF(I826,"86*")&gt;0,COUNTIF(J826,"*86*")&gt;0),"Да","Нет"))</f>
        <v/>
      </c>
      <c r="M826" s="13">
        <f>IF(OR(G826="",L826&lt;&gt;"Да"),"",IF(G826&lt;=100,"До 100",IF(G826&lt;=200,"До 200",IF(G826&lt;=500,"До 500","Отдельное КП"))))</f>
        <v/>
      </c>
      <c r="N826" s="15">
        <f>IF(OR(G826="",L826&lt;&gt;"Да"),"",IF(G826&lt;=100,33600,IF(G826&lt;=200,62400,IF(G826&lt;=500,144000,""))))</f>
        <v/>
      </c>
      <c r="O826" s="16">
        <f>IF(G826="","",IF(G826&lt;=15,"1–15",IF(G826&lt;=30,"16–30",IF(G826&lt;=50,"31–50",IF(G826&lt;=100,"51–100",IF(G826&lt;=150,"101–150",IF(G826&lt;=200,"151–200",IF(G826&lt;=500,"201–500","500+"))))))))</f>
        <v/>
      </c>
      <c r="P826" s="16" t="inlineStr">
        <is>
          <t>Нет совпадения в предоставленной выгрузке ССЧР</t>
        </is>
      </c>
      <c r="Q826" s="16" t="n"/>
      <c r="R826" s="16">
        <f>HYPERLINK("https://checko.ru/search?query=3801001629","Чекко: проверить")</f>
        <v/>
      </c>
      <c r="S826" t="n">
        <v>0</v>
      </c>
    </row>
    <row r="827" ht="15" customHeight="1" s="24">
      <c r="A827" s="13" t="n">
        <v>5000095153</v>
      </c>
      <c r="B827" s="13" t="inlineStr">
        <is>
          <t>Администрация пгт. Адиюх</t>
        </is>
      </c>
      <c r="C827" s="13" t="n">
        <v>721014151</v>
      </c>
      <c r="D827" s="13" t="n"/>
      <c r="E827" s="13" t="inlineStr">
        <is>
          <t>Не определён</t>
        </is>
      </c>
      <c r="F827" s="13" t="inlineStr">
        <is>
          <t>721014151</t>
        </is>
      </c>
      <c r="G827" s="14" t="n"/>
      <c r="H827" s="14" t="n"/>
      <c r="I827" s="14" t="n"/>
      <c r="J827" s="14" t="n"/>
      <c r="K827" s="13">
        <f>IF(G827="","",IF(G827&gt;=22,"Да","Нет"))</f>
        <v/>
      </c>
      <c r="L827" s="13">
        <f>IF(OR(I827="",J827=""),"Не определено",IF(OR(COUNTIF(I827,"45*")&gt;0,COUNTIF(J827,"*45*")&gt;0,COUNTIF(I827,"46*")&gt;0,COUNTIF(J827,"*46*")&gt;0,COUNTIF(I827,"47*")&gt;0,COUNTIF(J827,"*47*")&gt;0,COUNTIF(I827,"10*")&gt;0,COUNTIF(J827,"*10*")&gt;0,COUNTIF(I827,"11*")&gt;0,COUNTIF(J827,"*11*")&gt;0,COUNTIF(I827,"12*")&gt;0,COUNTIF(J827,"*12*")&gt;0,COUNTIF(I827,"13*")&gt;0,COUNTIF(J827,"*13*")&gt;0,COUNTIF(I827,"14*")&gt;0,COUNTIF(J827,"*14*")&gt;0,COUNTIF(I827,"15*")&gt;0,COUNTIF(J827,"*15*")&gt;0,COUNTIF(I827,"16*")&gt;0,COUNTIF(J827,"*16*")&gt;0,COUNTIF(I827,"17*")&gt;0,COUNTIF(J827,"*17*")&gt;0,COUNTIF(I827,"18*")&gt;0,COUNTIF(J827,"*18*")&gt;0,COUNTIF(I827,"19*")&gt;0,COUNTIF(J827,"*19*")&gt;0,COUNTIF(I827,"20*")&gt;0,COUNTIF(J827,"*20*")&gt;0,COUNTIF(I827,"21*")&gt;0,COUNTIF(J827,"*21*")&gt;0,COUNTIF(I827,"22*")&gt;0,COUNTIF(J827,"*22*")&gt;0,COUNTIF(I827,"23*")&gt;0,COUNTIF(J827,"*23*")&gt;0,COUNTIF(I827,"24*")&gt;0,COUNTIF(J827,"*24*")&gt;0,COUNTIF(I827,"25*")&gt;0,COUNTIF(J827,"*25*")&gt;0,COUNTIF(I827,"26*")&gt;0,COUNTIF(J827,"*26*")&gt;0,COUNTIF(I827,"27*")&gt;0,COUNTIF(J827,"*27*")&gt;0,COUNTIF(I827,"28*")&gt;0,COUNTIF(J827,"*28*")&gt;0,COUNTIF(I827,"29*")&gt;0,COUNTIF(J827,"*29*")&gt;0,COUNTIF(I827,"30*")&gt;0,COUNTIF(J827,"*30*")&gt;0,COUNTIF(I827,"31*")&gt;0,COUNTIF(J827,"*31*")&gt;0,COUNTIF(I827,"32*")&gt;0,COUNTIF(J827,"*32*")&gt;0,COUNTIF(I827,"33*")&gt;0,COUNTIF(J827,"*33*")&gt;0,COUNTIF(I827,"41*")&gt;0,COUNTIF(J827,"*41*")&gt;0,COUNTIF(I827,"42*")&gt;0,COUNTIF(J827,"*42*")&gt;0,COUNTIF(I827,"43*")&gt;0,COUNTIF(J827,"*43*")&gt;0,COUNTIF(I827,"49*")&gt;0,COUNTIF(J827,"*49*")&gt;0,COUNTIF(I827,"52*")&gt;0,COUNTIF(J827,"*52*")&gt;0,COUNTIF(I827,"55*")&gt;0,COUNTIF(J827,"*55*")&gt;0,COUNTIF(I827,"56*")&gt;0,COUNTIF(J827,"*56*")&gt;0,COUNTIF(I827,"68*")&gt;0,COUNTIF(J827,"*68*")&gt;0,COUNTIF(I827,"78*")&gt;0,COUNTIF(J827,"*78*")&gt;0,COUNTIF(I827,"81*")&gt;0,COUNTIF(J827,"*81*")&gt;0,COUNTIF(I827,"82*")&gt;0,COUNTIF(J827,"*82*")&gt;0,COUNTIF(I827,"64*")&gt;0,COUNTIF(J827,"*64*")&gt;0,COUNTIF(I827,"65*")&gt;0,COUNTIF(J827,"*65*")&gt;0,COUNTIF(I827,"66*")&gt;0,COUNTIF(J827,"*66*")&gt;0,COUNTIF(I827,"61*")&gt;0,COUNTIF(J827,"*61*")&gt;0,COUNTIF(I827,"62*")&gt;0,COUNTIF(J827,"*62*")&gt;0,COUNTIF(I827,"63*")&gt;0,COUNTIF(J827,"*63*")&gt;0,COUNTIF(I827,"85*")&gt;0,COUNTIF(J827,"*85*")&gt;0,COUNTIF(I827,"86*")&gt;0,COUNTIF(J827,"*86*")&gt;0),"Да","Нет"))</f>
        <v/>
      </c>
      <c r="M827" s="13">
        <f>IF(OR(G827="",L827&lt;&gt;"Да"),"",IF(G827&lt;=100,"До 100",IF(G827&lt;=200,"До 200",IF(G827&lt;=500,"До 500","Отдельное КП"))))</f>
        <v/>
      </c>
      <c r="N827" s="15">
        <f>IF(OR(G827="",L827&lt;&gt;"Да"),"",IF(G827&lt;=100,33600,IF(G827&lt;=200,62400,IF(G827&lt;=500,144000,""))))</f>
        <v/>
      </c>
      <c r="O827" s="16">
        <f>IF(G827="","",IF(G827&lt;=15,"1–15",IF(G827&lt;=30,"16–30",IF(G827&lt;=50,"31–50",IF(G827&lt;=100,"51–100",IF(G827&lt;=150,"101–150",IF(G827&lt;=200,"151–200",IF(G827&lt;=500,"201–500","500+"))))))))</f>
        <v/>
      </c>
      <c r="P827" s="16" t="inlineStr">
        <is>
          <t>Нет совпадения в предоставленной выгрузке ССЧР</t>
        </is>
      </c>
      <c r="Q827" s="16" t="n"/>
      <c r="R827" s="16">
        <f>HYPERLINK("https://checko.ru/search?query=3801001629","Чекко: проверить")</f>
        <v/>
      </c>
      <c r="S827" t="n">
        <v>0</v>
      </c>
    </row>
    <row r="828" ht="27.75" customHeight="1" s="24">
      <c r="A828" s="13" t="n">
        <v>5000094498</v>
      </c>
      <c r="B828" s="13" t="inlineStr">
        <is>
          <t>Местная администрация сельского поселения Залукодес Зольского муниципального района КБР</t>
        </is>
      </c>
      <c r="C828" s="13" t="n">
        <v>702002859</v>
      </c>
      <c r="D828" s="13" t="n"/>
      <c r="E828" s="13" t="inlineStr">
        <is>
          <t>Не определён</t>
        </is>
      </c>
      <c r="F828" s="13" t="inlineStr">
        <is>
          <t>702002859</t>
        </is>
      </c>
      <c r="G828" s="14" t="n"/>
      <c r="H828" s="14" t="n"/>
      <c r="I828" s="14" t="n"/>
      <c r="J828" s="14" t="n"/>
      <c r="K828" s="13">
        <f>IF(G828="","",IF(G828&gt;=22,"Да","Нет"))</f>
        <v/>
      </c>
      <c r="L828" s="13">
        <f>IF(OR(I828="",J828=""),"Не определено",IF(OR(COUNTIF(I828,"45*")&gt;0,COUNTIF(J828,"*45*")&gt;0,COUNTIF(I828,"46*")&gt;0,COUNTIF(J828,"*46*")&gt;0,COUNTIF(I828,"47*")&gt;0,COUNTIF(J828,"*47*")&gt;0,COUNTIF(I828,"10*")&gt;0,COUNTIF(J828,"*10*")&gt;0,COUNTIF(I828,"11*")&gt;0,COUNTIF(J828,"*11*")&gt;0,COUNTIF(I828,"12*")&gt;0,COUNTIF(J828,"*12*")&gt;0,COUNTIF(I828,"13*")&gt;0,COUNTIF(J828,"*13*")&gt;0,COUNTIF(I828,"14*")&gt;0,COUNTIF(J828,"*14*")&gt;0,COUNTIF(I828,"15*")&gt;0,COUNTIF(J828,"*15*")&gt;0,COUNTIF(I828,"16*")&gt;0,COUNTIF(J828,"*16*")&gt;0,COUNTIF(I828,"17*")&gt;0,COUNTIF(J828,"*17*")&gt;0,COUNTIF(I828,"18*")&gt;0,COUNTIF(J828,"*18*")&gt;0,COUNTIF(I828,"19*")&gt;0,COUNTIF(J828,"*19*")&gt;0,COUNTIF(I828,"20*")&gt;0,COUNTIF(J828,"*20*")&gt;0,COUNTIF(I828,"21*")&gt;0,COUNTIF(J828,"*21*")&gt;0,COUNTIF(I828,"22*")&gt;0,COUNTIF(J828,"*22*")&gt;0,COUNTIF(I828,"23*")&gt;0,COUNTIF(J828,"*23*")&gt;0,COUNTIF(I828,"24*")&gt;0,COUNTIF(J828,"*24*")&gt;0,COUNTIF(I828,"25*")&gt;0,COUNTIF(J828,"*25*")&gt;0,COUNTIF(I828,"26*")&gt;0,COUNTIF(J828,"*26*")&gt;0,COUNTIF(I828,"27*")&gt;0,COUNTIF(J828,"*27*")&gt;0,COUNTIF(I828,"28*")&gt;0,COUNTIF(J828,"*28*")&gt;0,COUNTIF(I828,"29*")&gt;0,COUNTIF(J828,"*29*")&gt;0,COUNTIF(I828,"30*")&gt;0,COUNTIF(J828,"*30*")&gt;0,COUNTIF(I828,"31*")&gt;0,COUNTIF(J828,"*31*")&gt;0,COUNTIF(I828,"32*")&gt;0,COUNTIF(J828,"*32*")&gt;0,COUNTIF(I828,"33*")&gt;0,COUNTIF(J828,"*33*")&gt;0,COUNTIF(I828,"41*")&gt;0,COUNTIF(J828,"*41*")&gt;0,COUNTIF(I828,"42*")&gt;0,COUNTIF(J828,"*42*")&gt;0,COUNTIF(I828,"43*")&gt;0,COUNTIF(J828,"*43*")&gt;0,COUNTIF(I828,"49*")&gt;0,COUNTIF(J828,"*49*")&gt;0,COUNTIF(I828,"52*")&gt;0,COUNTIF(J828,"*52*")&gt;0,COUNTIF(I828,"55*")&gt;0,COUNTIF(J828,"*55*")&gt;0,COUNTIF(I828,"56*")&gt;0,COUNTIF(J828,"*56*")&gt;0,COUNTIF(I828,"68*")&gt;0,COUNTIF(J828,"*68*")&gt;0,COUNTIF(I828,"78*")&gt;0,COUNTIF(J828,"*78*")&gt;0,COUNTIF(I828,"81*")&gt;0,COUNTIF(J828,"*81*")&gt;0,COUNTIF(I828,"82*")&gt;0,COUNTIF(J828,"*82*")&gt;0,COUNTIF(I828,"64*")&gt;0,COUNTIF(J828,"*64*")&gt;0,COUNTIF(I828,"65*")&gt;0,COUNTIF(J828,"*65*")&gt;0,COUNTIF(I828,"66*")&gt;0,COUNTIF(J828,"*66*")&gt;0,COUNTIF(I828,"61*")&gt;0,COUNTIF(J828,"*61*")&gt;0,COUNTIF(I828,"62*")&gt;0,COUNTIF(J828,"*62*")&gt;0,COUNTIF(I828,"63*")&gt;0,COUNTIF(J828,"*63*")&gt;0,COUNTIF(I828,"85*")&gt;0,COUNTIF(J828,"*85*")&gt;0,COUNTIF(I828,"86*")&gt;0,COUNTIF(J828,"*86*")&gt;0),"Да","Нет"))</f>
        <v/>
      </c>
      <c r="M828" s="13">
        <f>IF(OR(G828="",L828&lt;&gt;"Да"),"",IF(G828&lt;=100,"До 100",IF(G828&lt;=200,"До 200",IF(G828&lt;=500,"До 500","Отдельное КП"))))</f>
        <v/>
      </c>
      <c r="N828" s="15">
        <f>IF(OR(G828="",L828&lt;&gt;"Да"),"",IF(G828&lt;=100,33600,IF(G828&lt;=200,62400,IF(G828&lt;=500,144000,""))))</f>
        <v/>
      </c>
      <c r="O828" s="16">
        <f>IF(G828="","",IF(G828&lt;=15,"1–15",IF(G828&lt;=30,"16–30",IF(G828&lt;=50,"31–50",IF(G828&lt;=100,"51–100",IF(G828&lt;=150,"101–150",IF(G828&lt;=200,"151–200",IF(G828&lt;=500,"201–500","500+"))))))))</f>
        <v/>
      </c>
      <c r="P828" s="16" t="inlineStr">
        <is>
          <t>Нет совпадения в предоставленной выгрузке ССЧР</t>
        </is>
      </c>
      <c r="Q828" s="16" t="n"/>
      <c r="R828" s="16">
        <f>HYPERLINK("https://checko.ru/search?query=3801001629","Чекко: проверить")</f>
        <v/>
      </c>
      <c r="S828" t="n">
        <v>0</v>
      </c>
    </row>
    <row r="829" ht="15" customHeight="1" s="24">
      <c r="A829" s="13" t="n">
        <v>5000060606</v>
      </c>
      <c r="B829" s="13" t="inlineStr">
        <is>
          <t>ГУ РЦ "Восхождение"</t>
        </is>
      </c>
      <c r="C829" s="13" t="n">
        <v>7321032470</v>
      </c>
      <c r="D829" s="13" t="inlineStr">
        <is>
          <t>7321032470</t>
        </is>
      </c>
      <c r="E829" s="13" t="inlineStr">
        <is>
          <t>ЮЛ РФ</t>
        </is>
      </c>
      <c r="F829" s="13" t="n"/>
      <c r="G829" s="14" t="n"/>
      <c r="H829" s="14" t="n"/>
      <c r="I829" s="14" t="n"/>
      <c r="J829" s="14" t="n"/>
      <c r="K829" s="53" t="inlineStr"/>
      <c r="L829" s="53" t="inlineStr">
        <is>
          <t>Не определено</t>
        </is>
      </c>
      <c r="M829" s="53" t="inlineStr"/>
      <c r="N829" s="54" t="inlineStr"/>
      <c r="O829" s="55" t="inlineStr"/>
      <c r="P829" s="16" t="inlineStr">
        <is>
          <t>Требует обогащения</t>
        </is>
      </c>
      <c r="Q829" s="16">
        <f>HYPERLINK("https://pb.nalog.ru/search.html?query=7321032470","ФНС: проверить")</f>
        <v/>
      </c>
      <c r="R829" s="16">
        <f>HYPERLINK("https://checko.ru/search?query=3801001629","Чекко: проверить")</f>
        <v/>
      </c>
      <c r="S829" t="n">
        <v>1</v>
      </c>
      <c r="T829" s="35" t="inlineStr">
        <is>
          <t>4 — Не обогащён</t>
        </is>
      </c>
      <c r="U829" s="35" t="inlineStr">
        <is>
          <t>Нет ОКВЭД/ССЧР</t>
        </is>
      </c>
      <c r="V829" s="35" t="inlineStr">
        <is>
          <t>Не определено</t>
        </is>
      </c>
      <c r="W829" s="35" t="inlineStr"/>
      <c r="X829" s="35" t="inlineStr"/>
    </row>
    <row r="830" ht="15" customHeight="1" s="24">
      <c r="A830" s="13" t="n">
        <v>5000067539</v>
      </c>
      <c r="B830" s="13" t="inlineStr">
        <is>
          <t>Многопрофильн лицей №20</t>
        </is>
      </c>
      <c r="C830" s="13" t="n">
        <v>7328033306</v>
      </c>
      <c r="D830" s="13" t="inlineStr">
        <is>
          <t>7328033306</t>
        </is>
      </c>
      <c r="E830" s="13" t="inlineStr">
        <is>
          <t>ЮЛ РФ</t>
        </is>
      </c>
      <c r="F830" s="13" t="n"/>
      <c r="G830" s="14" t="n"/>
      <c r="H830" s="14" t="n"/>
      <c r="I830" s="14" t="n"/>
      <c r="J830" s="14" t="n"/>
      <c r="K830" s="53" t="inlineStr"/>
      <c r="L830" s="53" t="inlineStr">
        <is>
          <t>Не определено</t>
        </is>
      </c>
      <c r="M830" s="53" t="inlineStr"/>
      <c r="N830" s="54" t="inlineStr"/>
      <c r="O830" s="55" t="inlineStr"/>
      <c r="P830" s="16" t="inlineStr">
        <is>
          <t>Требует обогащения</t>
        </is>
      </c>
      <c r="Q830" s="16">
        <f>HYPERLINK("https://pb.nalog.ru/search.html?query=7328033306","ФНС: проверить")</f>
        <v/>
      </c>
      <c r="R830" s="16">
        <f>HYPERLINK("https://checko.ru/search?query=3801001629","Чекко: проверить")</f>
        <v/>
      </c>
      <c r="S830" t="n">
        <v>1</v>
      </c>
      <c r="T830" s="35" t="inlineStr">
        <is>
          <t>4 — Не обогащён</t>
        </is>
      </c>
      <c r="U830" s="35" t="inlineStr">
        <is>
          <t>Нет ОКВЭД/ССЧР</t>
        </is>
      </c>
      <c r="V830" s="35" t="inlineStr">
        <is>
          <t>Не определено</t>
        </is>
      </c>
      <c r="W830" s="35" t="inlineStr"/>
      <c r="X830" s="35" t="inlineStr"/>
    </row>
    <row r="831" ht="15" customHeight="1" s="24">
      <c r="A831" s="13" t="n">
        <v>5000062562</v>
      </c>
      <c r="B831" s="13" t="inlineStr">
        <is>
          <t>ОГБОУ СПО технологический техникум р.п. Карсун</t>
        </is>
      </c>
      <c r="C831" s="13" t="n">
        <v>7307000405</v>
      </c>
      <c r="D831" s="13" t="inlineStr">
        <is>
          <t>7307000405</t>
        </is>
      </c>
      <c r="E831" s="13" t="inlineStr">
        <is>
          <t>ЮЛ РФ</t>
        </is>
      </c>
      <c r="F831" s="13" t="n"/>
      <c r="G831" s="14" t="n"/>
      <c r="H831" s="14" t="n"/>
      <c r="I831" s="14" t="n"/>
      <c r="J831" s="14" t="n"/>
      <c r="K831" s="53" t="inlineStr"/>
      <c r="L831" s="53" t="inlineStr">
        <is>
          <t>Не определено</t>
        </is>
      </c>
      <c r="M831" s="53" t="inlineStr"/>
      <c r="N831" s="54" t="inlineStr"/>
      <c r="O831" s="55" t="inlineStr"/>
      <c r="P831" s="16" t="inlineStr">
        <is>
          <t>Требует обогащения</t>
        </is>
      </c>
      <c r="Q831" s="16">
        <f>HYPERLINK("https://pb.nalog.ru/search.html?query=7307000405","ФНС: проверить")</f>
        <v/>
      </c>
      <c r="R831" s="16">
        <f>HYPERLINK("https://checko.ru/search?query=3801001629","Чекко: проверить")</f>
        <v/>
      </c>
      <c r="S831" t="n">
        <v>1</v>
      </c>
      <c r="T831" s="35" t="inlineStr">
        <is>
          <t>4 — Не обогащён</t>
        </is>
      </c>
      <c r="U831" s="35" t="inlineStr">
        <is>
          <t>Нет ОКВЭД/ССЧР</t>
        </is>
      </c>
      <c r="V831" s="35" t="inlineStr">
        <is>
          <t>Не определено</t>
        </is>
      </c>
      <c r="W831" s="35" t="inlineStr"/>
      <c r="X831" s="35" t="inlineStr"/>
    </row>
    <row r="832" ht="15" customHeight="1" s="24">
      <c r="A832" s="13" t="n">
        <v>5000001639</v>
      </c>
      <c r="B832" s="13" t="inlineStr">
        <is>
          <t>МКУ "Врачебно-физкультурный диспансер"</t>
        </is>
      </c>
      <c r="C832" s="13" t="n">
        <v>3820010876</v>
      </c>
      <c r="D832" s="13" t="inlineStr">
        <is>
          <t>3820010876</t>
        </is>
      </c>
      <c r="E832" s="13" t="inlineStr">
        <is>
          <t>ЮЛ РФ</t>
        </is>
      </c>
      <c r="F832" s="13" t="n"/>
      <c r="G832" s="14" t="n"/>
      <c r="H832" s="14" t="n"/>
      <c r="I832" s="14" t="n"/>
      <c r="J832" s="14" t="n"/>
      <c r="K832" s="53" t="inlineStr"/>
      <c r="L832" s="53" t="inlineStr">
        <is>
          <t>Не определено</t>
        </is>
      </c>
      <c r="M832" s="53" t="inlineStr"/>
      <c r="N832" s="54" t="inlineStr"/>
      <c r="O832" s="55" t="inlineStr"/>
      <c r="P832" s="16" t="inlineStr">
        <is>
          <t>Требует обогащения</t>
        </is>
      </c>
      <c r="Q832" s="16">
        <f>HYPERLINK("https://pb.nalog.ru/search.html?query=3820010876","ФНС: проверить")</f>
        <v/>
      </c>
      <c r="R832" s="16">
        <f>HYPERLINK("https://checko.ru/search?query=3801001629","Чекко: проверить")</f>
        <v/>
      </c>
      <c r="S832" t="n">
        <v>1</v>
      </c>
      <c r="T832" s="35" t="inlineStr">
        <is>
          <t>4 — Не обогащён</t>
        </is>
      </c>
      <c r="U832" s="35" t="inlineStr">
        <is>
          <t>Нет ОКВЭД/ССЧР</t>
        </is>
      </c>
      <c r="V832" s="35" t="inlineStr">
        <is>
          <t>Не определено</t>
        </is>
      </c>
      <c r="W832" s="35" t="inlineStr"/>
      <c r="X832" s="35" t="inlineStr"/>
    </row>
    <row r="833" ht="27.75" customHeight="1" s="24">
      <c r="A833" s="13" t="n">
        <v>5000101662</v>
      </c>
      <c r="B833" s="13" t="inlineStr">
        <is>
          <t>Государственное казенное учреждение Иркутской области "Зиминское лесничество"</t>
        </is>
      </c>
      <c r="C833" s="13" t="n">
        <v>3816035444</v>
      </c>
      <c r="D833" s="13" t="inlineStr">
        <is>
          <t>3816035444</t>
        </is>
      </c>
      <c r="E833" s="13" t="inlineStr">
        <is>
          <t>ЮЛ РФ</t>
        </is>
      </c>
      <c r="F833" s="13" t="n"/>
      <c r="G833" s="14" t="n"/>
      <c r="H833" s="14" t="n"/>
      <c r="I833" s="14" t="n"/>
      <c r="J833" s="14" t="n"/>
      <c r="K833" s="53" t="inlineStr"/>
      <c r="L833" s="53" t="inlineStr">
        <is>
          <t>Не определено</t>
        </is>
      </c>
      <c r="M833" s="53" t="inlineStr"/>
      <c r="N833" s="54" t="inlineStr"/>
      <c r="O833" s="55" t="inlineStr"/>
      <c r="P833" s="16" t="inlineStr">
        <is>
          <t>Требует обогащения</t>
        </is>
      </c>
      <c r="Q833" s="16">
        <f>HYPERLINK("https://pb.nalog.ru/search.html?query=3816035444","ФНС: проверить")</f>
        <v/>
      </c>
      <c r="R833" s="16">
        <f>HYPERLINK("https://checko.ru/search?query=3801001629","Чекко: проверить")</f>
        <v/>
      </c>
      <c r="S833" t="n">
        <v>1</v>
      </c>
      <c r="T833" s="35" t="inlineStr">
        <is>
          <t>4 — Не обогащён</t>
        </is>
      </c>
      <c r="U833" s="35" t="inlineStr">
        <is>
          <t>Нет ОКВЭД/ССЧР</t>
        </is>
      </c>
      <c r="V833" s="35" t="inlineStr">
        <is>
          <t>Не определено</t>
        </is>
      </c>
      <c r="W833" s="35" t="inlineStr"/>
      <c r="X833" s="35" t="inlineStr"/>
    </row>
    <row r="834" ht="15" customHeight="1" s="24">
      <c r="A834" s="13" t="n">
        <v>5000008583</v>
      </c>
      <c r="B834" s="13" t="inlineStr">
        <is>
          <t>УФССП России по Амурской области</t>
        </is>
      </c>
      <c r="C834" s="13" t="n">
        <v>2801100515</v>
      </c>
      <c r="D834" s="13" t="inlineStr">
        <is>
          <t>2801100515</t>
        </is>
      </c>
      <c r="E834" s="13" t="inlineStr">
        <is>
          <t>ЮЛ РФ</t>
        </is>
      </c>
      <c r="F834" s="13" t="n"/>
      <c r="G834" s="14" t="n"/>
      <c r="H834" s="14" t="n"/>
      <c r="I834" s="14" t="n"/>
      <c r="J834" s="14" t="n"/>
      <c r="K834" s="53" t="inlineStr"/>
      <c r="L834" s="53" t="inlineStr">
        <is>
          <t>Не определено</t>
        </is>
      </c>
      <c r="M834" s="53" t="inlineStr"/>
      <c r="N834" s="54" t="inlineStr"/>
      <c r="O834" s="55" t="inlineStr"/>
      <c r="P834" s="16" t="inlineStr">
        <is>
          <t>Требует обогащения</t>
        </is>
      </c>
      <c r="Q834" s="16">
        <f>HYPERLINK("https://pb.nalog.ru/search.html?query=2801100515","ФНС: проверить")</f>
        <v/>
      </c>
      <c r="R834" s="16">
        <f>HYPERLINK("https://checko.ru/search?query=3801001629","Чекко: проверить")</f>
        <v/>
      </c>
      <c r="S834" t="n">
        <v>1</v>
      </c>
      <c r="T834" s="35" t="inlineStr">
        <is>
          <t>4 — Не обогащён</t>
        </is>
      </c>
      <c r="U834" s="35" t="inlineStr">
        <is>
          <t>Нет ОКВЭД/ССЧР</t>
        </is>
      </c>
      <c r="V834" s="35" t="inlineStr">
        <is>
          <t>Не определено</t>
        </is>
      </c>
      <c r="W834" s="35" t="inlineStr"/>
      <c r="X834" s="35" t="inlineStr"/>
    </row>
    <row r="835" ht="27.75" customHeight="1" s="24">
      <c r="A835" s="13" t="n">
        <v>5000001646</v>
      </c>
      <c r="B835" s="13" t="inlineStr">
        <is>
          <t>МАУЗ "Городской перинатальный центр" г. Иркутска</t>
        </is>
      </c>
      <c r="C835" s="13" t="n">
        <v>3808015003</v>
      </c>
      <c r="D835" s="13" t="inlineStr">
        <is>
          <t>3808015003</t>
        </is>
      </c>
      <c r="E835" s="13" t="inlineStr">
        <is>
          <t>ЮЛ РФ</t>
        </is>
      </c>
      <c r="F835" s="13" t="n"/>
      <c r="G835" s="14" t="n"/>
      <c r="H835" s="14" t="n"/>
      <c r="I835" s="14" t="n"/>
      <c r="J835" s="14" t="n"/>
      <c r="K835" s="53" t="inlineStr"/>
      <c r="L835" s="53" t="inlineStr">
        <is>
          <t>Не определено</t>
        </is>
      </c>
      <c r="M835" s="53" t="inlineStr"/>
      <c r="N835" s="54" t="inlineStr"/>
      <c r="O835" s="55" t="inlineStr"/>
      <c r="P835" s="16" t="inlineStr">
        <is>
          <t>Требует обогащения</t>
        </is>
      </c>
      <c r="Q835" s="16">
        <f>HYPERLINK("https://pb.nalog.ru/search.html?query=3808015003","ФНС: проверить")</f>
        <v/>
      </c>
      <c r="R835" s="16">
        <f>HYPERLINK("https://checko.ru/search?query=3801001629","Чекко: проверить")</f>
        <v/>
      </c>
      <c r="S835" t="n">
        <v>1</v>
      </c>
      <c r="T835" s="35" t="inlineStr">
        <is>
          <t>4 — Не обогащён</t>
        </is>
      </c>
      <c r="U835" s="35" t="inlineStr">
        <is>
          <t>Нет ОКВЭД/ССЧР</t>
        </is>
      </c>
      <c r="V835" s="35" t="inlineStr">
        <is>
          <t>Не определено</t>
        </is>
      </c>
      <c r="W835" s="35" t="inlineStr"/>
      <c r="X835" s="35" t="inlineStr"/>
    </row>
    <row r="836" ht="27.75" customHeight="1" s="24">
      <c r="A836" s="13" t="n">
        <v>5000001991</v>
      </c>
      <c r="B836" s="13" t="inlineStr">
        <is>
          <t>МБУЗ «Городская поликлиника № 2» г. Усть-Илимска</t>
        </is>
      </c>
      <c r="C836" s="13" t="n">
        <v>3817019847</v>
      </c>
      <c r="D836" s="13" t="inlineStr">
        <is>
          <t>3817019847</t>
        </is>
      </c>
      <c r="E836" s="13" t="inlineStr">
        <is>
          <t>ЮЛ РФ</t>
        </is>
      </c>
      <c r="F836" s="13" t="n"/>
      <c r="G836" s="14" t="n"/>
      <c r="H836" s="14" t="n"/>
      <c r="I836" s="14" t="n"/>
      <c r="J836" s="14" t="n"/>
      <c r="K836" s="53" t="inlineStr"/>
      <c r="L836" s="53" t="inlineStr">
        <is>
          <t>Не определено</t>
        </is>
      </c>
      <c r="M836" s="53" t="inlineStr"/>
      <c r="N836" s="54" t="inlineStr"/>
      <c r="O836" s="55" t="inlineStr"/>
      <c r="P836" s="16" t="inlineStr">
        <is>
          <t>Требует обогащения</t>
        </is>
      </c>
      <c r="Q836" s="16">
        <f>HYPERLINK("https://pb.nalog.ru/search.html?query=3817019847","ФНС: проверить")</f>
        <v/>
      </c>
      <c r="R836" s="16">
        <f>HYPERLINK("https://checko.ru/search?query=3801001629","Чекко: проверить")</f>
        <v/>
      </c>
      <c r="S836" t="n">
        <v>1</v>
      </c>
      <c r="T836" s="35" t="inlineStr">
        <is>
          <t>4 — Не обогащён</t>
        </is>
      </c>
      <c r="U836" s="35" t="inlineStr">
        <is>
          <t>Нет ОКВЭД/ССЧР</t>
        </is>
      </c>
      <c r="V836" s="35" t="inlineStr">
        <is>
          <t>Не определено</t>
        </is>
      </c>
      <c r="W836" s="35" t="inlineStr"/>
      <c r="X836" s="35" t="inlineStr"/>
    </row>
    <row r="837" ht="15" customHeight="1" s="24">
      <c r="A837" s="13" t="n">
        <v>5000001627</v>
      </c>
      <c r="B837" s="13" t="inlineStr">
        <is>
          <t>МБУЗ "Братская центральная районная больница"</t>
        </is>
      </c>
      <c r="C837" s="13" t="n">
        <v>3823001365</v>
      </c>
      <c r="D837" s="13" t="inlineStr">
        <is>
          <t>3823001365</t>
        </is>
      </c>
      <c r="E837" s="13" t="inlineStr">
        <is>
          <t>ЮЛ РФ</t>
        </is>
      </c>
      <c r="F837" s="13" t="n"/>
      <c r="G837" s="14" t="n"/>
      <c r="H837" s="14" t="n"/>
      <c r="I837" s="14" t="n"/>
      <c r="J837" s="14" t="n"/>
      <c r="K837" s="53" t="inlineStr"/>
      <c r="L837" s="53" t="inlineStr">
        <is>
          <t>Не определено</t>
        </is>
      </c>
      <c r="M837" s="53" t="inlineStr"/>
      <c r="N837" s="54" t="inlineStr"/>
      <c r="O837" s="55" t="inlineStr"/>
      <c r="P837" s="16" t="inlineStr">
        <is>
          <t>Требует обогащения</t>
        </is>
      </c>
      <c r="Q837" s="16">
        <f>HYPERLINK("https://pb.nalog.ru/search.html?query=3823001365","ФНС: проверить")</f>
        <v/>
      </c>
      <c r="R837" s="16">
        <f>HYPERLINK("https://checko.ru/search?query=3801001629","Чекко: проверить")</f>
        <v/>
      </c>
      <c r="S837" t="n">
        <v>1</v>
      </c>
      <c r="T837" s="35" t="inlineStr">
        <is>
          <t>4 — Не обогащён</t>
        </is>
      </c>
      <c r="U837" s="35" t="inlineStr">
        <is>
          <t>Нет ОКВЭД/ССЧР</t>
        </is>
      </c>
      <c r="V837" s="35" t="inlineStr">
        <is>
          <t>Не определено</t>
        </is>
      </c>
      <c r="W837" s="35" t="inlineStr"/>
      <c r="X837" s="35" t="inlineStr"/>
    </row>
    <row r="838" ht="27.75" customHeight="1" s="24">
      <c r="A838" s="13" t="n">
        <v>5000002207</v>
      </c>
      <c r="B838" s="13" t="inlineStr">
        <is>
          <t>МБУЗ "Жигаловская центральная районная больница"</t>
        </is>
      </c>
      <c r="C838" s="13" t="n">
        <v>3824000251</v>
      </c>
      <c r="D838" s="13" t="inlineStr">
        <is>
          <t>3824000251</t>
        </is>
      </c>
      <c r="E838" s="13" t="inlineStr">
        <is>
          <t>ЮЛ РФ</t>
        </is>
      </c>
      <c r="F838" s="13" t="n"/>
      <c r="G838" s="14" t="n"/>
      <c r="H838" s="14" t="n"/>
      <c r="I838" s="14" t="n"/>
      <c r="J838" s="14" t="n"/>
      <c r="K838" s="53" t="inlineStr"/>
      <c r="L838" s="53" t="inlineStr">
        <is>
          <t>Не определено</t>
        </is>
      </c>
      <c r="M838" s="53" t="inlineStr"/>
      <c r="N838" s="54" t="inlineStr"/>
      <c r="O838" s="55" t="inlineStr"/>
      <c r="P838" s="16" t="inlineStr">
        <is>
          <t>Требует обогащения</t>
        </is>
      </c>
      <c r="Q838" s="16">
        <f>HYPERLINK("https://pb.nalog.ru/search.html?query=3824000251","ФНС: проверить")</f>
        <v/>
      </c>
      <c r="R838" s="16">
        <f>HYPERLINK("https://checko.ru/search?query=3801001629","Чекко: проверить")</f>
        <v/>
      </c>
      <c r="S838" t="n">
        <v>1</v>
      </c>
      <c r="T838" s="35" t="inlineStr">
        <is>
          <t>4 — Не обогащён</t>
        </is>
      </c>
      <c r="U838" s="35" t="inlineStr">
        <is>
          <t>Нет ОКВЭД/ССЧР</t>
        </is>
      </c>
      <c r="V838" s="35" t="inlineStr">
        <is>
          <t>Не определено</t>
        </is>
      </c>
      <c r="W838" s="35" t="inlineStr"/>
      <c r="X838" s="35" t="inlineStr"/>
    </row>
    <row r="839" ht="27.75" customHeight="1" s="24">
      <c r="A839" s="13" t="n">
        <v>5000001618</v>
      </c>
      <c r="B839" s="13" t="inlineStr">
        <is>
          <t>ОбГБУЗ «Слюдянская центральная районная больница»</t>
        </is>
      </c>
      <c r="C839" s="13" t="n">
        <v>3837045027</v>
      </c>
      <c r="D839" s="13" t="inlineStr">
        <is>
          <t>3837045027</t>
        </is>
      </c>
      <c r="E839" s="13" t="inlineStr">
        <is>
          <t>ЮЛ РФ</t>
        </is>
      </c>
      <c r="F839" s="13" t="n"/>
      <c r="G839" s="14" t="n"/>
      <c r="H839" s="14" t="n"/>
      <c r="I839" s="14" t="n"/>
      <c r="J839" s="14" t="n"/>
      <c r="K839" s="53" t="inlineStr"/>
      <c r="L839" s="53" t="inlineStr">
        <is>
          <t>Не определено</t>
        </is>
      </c>
      <c r="M839" s="53" t="inlineStr"/>
      <c r="N839" s="54" t="inlineStr"/>
      <c r="O839" s="55" t="inlineStr"/>
      <c r="P839" s="16" t="inlineStr">
        <is>
          <t>Требует обогащения</t>
        </is>
      </c>
      <c r="Q839" s="16">
        <f>HYPERLINK("https://pb.nalog.ru/search.html?query=3837045027","ФНС: проверить")</f>
        <v/>
      </c>
      <c r="R839" s="16">
        <f>HYPERLINK("https://checko.ru/search?query=3801001629","Чекко: проверить")</f>
        <v/>
      </c>
      <c r="S839" t="n">
        <v>1</v>
      </c>
      <c r="T839" s="35" t="inlineStr">
        <is>
          <t>4 — Не обогащён</t>
        </is>
      </c>
      <c r="U839" s="35" t="inlineStr">
        <is>
          <t>Нет ОКВЭД/ССЧР</t>
        </is>
      </c>
      <c r="V839" s="35" t="inlineStr">
        <is>
          <t>Не определено</t>
        </is>
      </c>
      <c r="W839" s="35" t="inlineStr"/>
      <c r="X839" s="35" t="inlineStr"/>
    </row>
    <row r="840" ht="15" customHeight="1" s="24">
      <c r="A840" s="13" t="n">
        <v>5000095171</v>
      </c>
      <c r="B840" s="13" t="inlineStr">
        <is>
          <t>МКОУ СОШ 32</t>
        </is>
      </c>
      <c r="C840" s="13" t="n">
        <v>721054210</v>
      </c>
      <c r="D840" s="13" t="n"/>
      <c r="E840" s="13" t="inlineStr">
        <is>
          <t>Не определён</t>
        </is>
      </c>
      <c r="F840" s="13" t="inlineStr">
        <is>
          <t>721054210</t>
        </is>
      </c>
      <c r="G840" s="14" t="n"/>
      <c r="H840" s="14" t="n"/>
      <c r="I840" s="14" t="n"/>
      <c r="J840" s="14" t="n"/>
      <c r="K840" s="13">
        <f>IF(G840="","",IF(G840&gt;=22,"Да","Нет"))</f>
        <v/>
      </c>
      <c r="L840" s="13">
        <f>IF(OR(I840="",J840=""),"Не определено",IF(OR(COUNTIF(I840,"45*")&gt;0,COUNTIF(J840,"*45*")&gt;0,COUNTIF(I840,"46*")&gt;0,COUNTIF(J840,"*46*")&gt;0,COUNTIF(I840,"47*")&gt;0,COUNTIF(J840,"*47*")&gt;0,COUNTIF(I840,"10*")&gt;0,COUNTIF(J840,"*10*")&gt;0,COUNTIF(I840,"11*")&gt;0,COUNTIF(J840,"*11*")&gt;0,COUNTIF(I840,"12*")&gt;0,COUNTIF(J840,"*12*")&gt;0,COUNTIF(I840,"13*")&gt;0,COUNTIF(J840,"*13*")&gt;0,COUNTIF(I840,"14*")&gt;0,COUNTIF(J840,"*14*")&gt;0,COUNTIF(I840,"15*")&gt;0,COUNTIF(J840,"*15*")&gt;0,COUNTIF(I840,"16*")&gt;0,COUNTIF(J840,"*16*")&gt;0,COUNTIF(I840,"17*")&gt;0,COUNTIF(J840,"*17*")&gt;0,COUNTIF(I840,"18*")&gt;0,COUNTIF(J840,"*18*")&gt;0,COUNTIF(I840,"19*")&gt;0,COUNTIF(J840,"*19*")&gt;0,COUNTIF(I840,"20*")&gt;0,COUNTIF(J840,"*20*")&gt;0,COUNTIF(I840,"21*")&gt;0,COUNTIF(J840,"*21*")&gt;0,COUNTIF(I840,"22*")&gt;0,COUNTIF(J840,"*22*")&gt;0,COUNTIF(I840,"23*")&gt;0,COUNTIF(J840,"*23*")&gt;0,COUNTIF(I840,"24*")&gt;0,COUNTIF(J840,"*24*")&gt;0,COUNTIF(I840,"25*")&gt;0,COUNTIF(J840,"*25*")&gt;0,COUNTIF(I840,"26*")&gt;0,COUNTIF(J840,"*26*")&gt;0,COUNTIF(I840,"27*")&gt;0,COUNTIF(J840,"*27*")&gt;0,COUNTIF(I840,"28*")&gt;0,COUNTIF(J840,"*28*")&gt;0,COUNTIF(I840,"29*")&gt;0,COUNTIF(J840,"*29*")&gt;0,COUNTIF(I840,"30*")&gt;0,COUNTIF(J840,"*30*")&gt;0,COUNTIF(I840,"31*")&gt;0,COUNTIF(J840,"*31*")&gt;0,COUNTIF(I840,"32*")&gt;0,COUNTIF(J840,"*32*")&gt;0,COUNTIF(I840,"33*")&gt;0,COUNTIF(J840,"*33*")&gt;0,COUNTIF(I840,"41*")&gt;0,COUNTIF(J840,"*41*")&gt;0,COUNTIF(I840,"42*")&gt;0,COUNTIF(J840,"*42*")&gt;0,COUNTIF(I840,"43*")&gt;0,COUNTIF(J840,"*43*")&gt;0,COUNTIF(I840,"49*")&gt;0,COUNTIF(J840,"*49*")&gt;0,COUNTIF(I840,"52*")&gt;0,COUNTIF(J840,"*52*")&gt;0,COUNTIF(I840,"55*")&gt;0,COUNTIF(J840,"*55*")&gt;0,COUNTIF(I840,"56*")&gt;0,COUNTIF(J840,"*56*")&gt;0,COUNTIF(I840,"68*")&gt;0,COUNTIF(J840,"*68*")&gt;0,COUNTIF(I840,"78*")&gt;0,COUNTIF(J840,"*78*")&gt;0,COUNTIF(I840,"81*")&gt;0,COUNTIF(J840,"*81*")&gt;0,COUNTIF(I840,"82*")&gt;0,COUNTIF(J840,"*82*")&gt;0,COUNTIF(I840,"64*")&gt;0,COUNTIF(J840,"*64*")&gt;0,COUNTIF(I840,"65*")&gt;0,COUNTIF(J840,"*65*")&gt;0,COUNTIF(I840,"66*")&gt;0,COUNTIF(J840,"*66*")&gt;0,COUNTIF(I840,"61*")&gt;0,COUNTIF(J840,"*61*")&gt;0,COUNTIF(I840,"62*")&gt;0,COUNTIF(J840,"*62*")&gt;0,COUNTIF(I840,"63*")&gt;0,COUNTIF(J840,"*63*")&gt;0,COUNTIF(I840,"85*")&gt;0,COUNTIF(J840,"*85*")&gt;0,COUNTIF(I840,"86*")&gt;0,COUNTIF(J840,"*86*")&gt;0),"Да","Нет"))</f>
        <v/>
      </c>
      <c r="M840" s="13">
        <f>IF(OR(G840="",L840&lt;&gt;"Да"),"",IF(G840&lt;=100,"До 100",IF(G840&lt;=200,"До 200",IF(G840&lt;=500,"До 500","Отдельное КП"))))</f>
        <v/>
      </c>
      <c r="N840" s="15">
        <f>IF(OR(G840="",L840&lt;&gt;"Да"),"",IF(G840&lt;=100,33600,IF(G840&lt;=200,62400,IF(G840&lt;=500,144000,""))))</f>
        <v/>
      </c>
      <c r="O840" s="16">
        <f>IF(G840="","",IF(G840&lt;=15,"1–15",IF(G840&lt;=30,"16–30",IF(G840&lt;=50,"31–50",IF(G840&lt;=100,"51–100",IF(G840&lt;=150,"101–150",IF(G840&lt;=200,"151–200",IF(G840&lt;=500,"201–500","500+"))))))))</f>
        <v/>
      </c>
      <c r="P840" s="16" t="inlineStr">
        <is>
          <t>Нет совпадения в предоставленной выгрузке ССЧР</t>
        </is>
      </c>
      <c r="Q840" s="16" t="n"/>
      <c r="R840" s="16">
        <f>HYPERLINK("https://checko.ru/search?query=3801001629","Чекко: проверить")</f>
        <v/>
      </c>
      <c r="S840" t="n">
        <v>0</v>
      </c>
    </row>
    <row r="841" ht="15" customHeight="1" s="24">
      <c r="A841" s="13" t="n">
        <v>5000001629</v>
      </c>
      <c r="B841" s="13" t="inlineStr">
        <is>
          <t>ОГБУЗ "Иркутская городская поликлиника № 4"</t>
        </is>
      </c>
      <c r="C841" s="13" t="n">
        <v>3812014242</v>
      </c>
      <c r="D841" s="13" t="inlineStr">
        <is>
          <t>3812014242</t>
        </is>
      </c>
      <c r="E841" s="13" t="inlineStr">
        <is>
          <t>ЮЛ РФ</t>
        </is>
      </c>
      <c r="F841" s="13" t="n"/>
      <c r="G841" s="14" t="n"/>
      <c r="H841" s="14" t="n"/>
      <c r="I841" s="14" t="n"/>
      <c r="J841" s="14" t="n"/>
      <c r="K841" s="53" t="inlineStr"/>
      <c r="L841" s="53" t="inlineStr">
        <is>
          <t>Не определено</t>
        </is>
      </c>
      <c r="M841" s="53" t="inlineStr"/>
      <c r="N841" s="54" t="inlineStr"/>
      <c r="O841" s="55" t="inlineStr"/>
      <c r="P841" s="16" t="inlineStr">
        <is>
          <t>Требует обогащения</t>
        </is>
      </c>
      <c r="Q841" s="16">
        <f>HYPERLINK("https://pb.nalog.ru/search.html?query=3812014242","ФНС: проверить")</f>
        <v/>
      </c>
      <c r="R841" s="16">
        <f>HYPERLINK("https://checko.ru/search?query=3801001629","Чекко: проверить")</f>
        <v/>
      </c>
      <c r="S841" t="n">
        <v>1</v>
      </c>
      <c r="T841" s="35" t="inlineStr">
        <is>
          <t>4 — Не обогащён</t>
        </is>
      </c>
      <c r="U841" s="35" t="inlineStr">
        <is>
          <t>Нет ОКВЭД/ССЧР</t>
        </is>
      </c>
      <c r="V841" s="35" t="inlineStr">
        <is>
          <t>Не определено</t>
        </is>
      </c>
      <c r="W841" s="35" t="inlineStr"/>
      <c r="X841" s="35" t="inlineStr"/>
    </row>
    <row r="842" ht="27.75" customHeight="1" s="24">
      <c r="A842" s="13" t="n">
        <v>5000001648</v>
      </c>
      <c r="B842" s="13" t="inlineStr">
        <is>
          <t>ОГБУЗ "Усть-Удинская центральная районная больница"</t>
        </is>
      </c>
      <c r="C842" s="13" t="n">
        <v>3842000960</v>
      </c>
      <c r="D842" s="13" t="inlineStr">
        <is>
          <t>3842000960</t>
        </is>
      </c>
      <c r="E842" s="13" t="inlineStr">
        <is>
          <t>ЮЛ РФ</t>
        </is>
      </c>
      <c r="F842" s="13" t="n"/>
      <c r="G842" s="14" t="n"/>
      <c r="H842" s="14" t="n"/>
      <c r="I842" s="14" t="n"/>
      <c r="J842" s="14" t="n"/>
      <c r="K842" s="53" t="inlineStr"/>
      <c r="L842" s="53" t="inlineStr">
        <is>
          <t>Не определено</t>
        </is>
      </c>
      <c r="M842" s="53" t="inlineStr"/>
      <c r="N842" s="54" t="inlineStr"/>
      <c r="O842" s="55" t="inlineStr"/>
      <c r="P842" s="16" t="inlineStr">
        <is>
          <t>Требует обогащения</t>
        </is>
      </c>
      <c r="Q842" s="16">
        <f>HYPERLINK("https://pb.nalog.ru/search.html?query=3842000960","ФНС: проверить")</f>
        <v/>
      </c>
      <c r="R842" s="16">
        <f>HYPERLINK("https://checko.ru/search?query=3801001629","Чекко: проверить")</f>
        <v/>
      </c>
      <c r="S842" t="n">
        <v>1</v>
      </c>
      <c r="T842" s="35" t="inlineStr">
        <is>
          <t>4 — Не обогащён</t>
        </is>
      </c>
      <c r="U842" s="35" t="inlineStr">
        <is>
          <t>Нет ОКВЭД/ССЧР</t>
        </is>
      </c>
      <c r="V842" s="35" t="inlineStr">
        <is>
          <t>Не определено</t>
        </is>
      </c>
      <c r="W842" s="35" t="inlineStr"/>
      <c r="X842" s="35" t="inlineStr"/>
    </row>
    <row r="843" ht="15" customHeight="1" s="24">
      <c r="A843" s="13" t="n">
        <v>5000002029</v>
      </c>
      <c r="B843" s="13" t="inlineStr">
        <is>
          <t>ОГБУЗ "Куйтунская РБ"</t>
        </is>
      </c>
      <c r="C843" s="13" t="n">
        <v>3832003753</v>
      </c>
      <c r="D843" s="13" t="inlineStr">
        <is>
          <t>3832003753</t>
        </is>
      </c>
      <c r="E843" s="13" t="inlineStr">
        <is>
          <t>ЮЛ РФ</t>
        </is>
      </c>
      <c r="F843" s="13" t="n"/>
      <c r="G843" s="14" t="n"/>
      <c r="H843" s="14" t="n"/>
      <c r="I843" s="14" t="n"/>
      <c r="J843" s="14" t="n"/>
      <c r="K843" s="53" t="inlineStr"/>
      <c r="L843" s="53" t="inlineStr">
        <is>
          <t>Не определено</t>
        </is>
      </c>
      <c r="M843" s="53" t="inlineStr"/>
      <c r="N843" s="54" t="inlineStr"/>
      <c r="O843" s="55" t="inlineStr"/>
      <c r="P843" s="16" t="inlineStr">
        <is>
          <t>Требует обогащения</t>
        </is>
      </c>
      <c r="Q843" s="16">
        <f>HYPERLINK("https://pb.nalog.ru/search.html?query=3832003753","ФНС: проверить")</f>
        <v/>
      </c>
      <c r="R843" s="16">
        <f>HYPERLINK("https://checko.ru/search?query=3801001629","Чекко: проверить")</f>
        <v/>
      </c>
      <c r="S843" t="n">
        <v>1</v>
      </c>
      <c r="T843" s="35" t="inlineStr">
        <is>
          <t>4 — Не обогащён</t>
        </is>
      </c>
      <c r="U843" s="35" t="inlineStr">
        <is>
          <t>Нет ОКВЭД/ССЧР</t>
        </is>
      </c>
      <c r="V843" s="35" t="inlineStr">
        <is>
          <t>Не определено</t>
        </is>
      </c>
      <c r="W843" s="35" t="inlineStr"/>
      <c r="X843" s="35" t="inlineStr"/>
    </row>
    <row r="844" ht="27.75" customHeight="1" s="24">
      <c r="A844" s="13" t="n">
        <v>5000002007</v>
      </c>
      <c r="B844" s="13" t="inlineStr">
        <is>
          <t>МБУ "Балаганская центральная районная больница"</t>
        </is>
      </c>
      <c r="C844" s="13" t="n">
        <v>3822000249</v>
      </c>
      <c r="D844" s="13" t="inlineStr">
        <is>
          <t>3822000249</t>
        </is>
      </c>
      <c r="E844" s="13" t="inlineStr">
        <is>
          <t>ЮЛ РФ</t>
        </is>
      </c>
      <c r="F844" s="13" t="n"/>
      <c r="G844" s="14" t="n"/>
      <c r="H844" s="14" t="n"/>
      <c r="I844" s="14" t="n"/>
      <c r="J844" s="14" t="n"/>
      <c r="K844" s="53" t="inlineStr"/>
      <c r="L844" s="53" t="inlineStr">
        <is>
          <t>Не определено</t>
        </is>
      </c>
      <c r="M844" s="53" t="inlineStr"/>
      <c r="N844" s="54" t="inlineStr"/>
      <c r="O844" s="55" t="inlineStr"/>
      <c r="P844" s="16" t="inlineStr">
        <is>
          <t>Требует обогащения</t>
        </is>
      </c>
      <c r="Q844" s="16">
        <f>HYPERLINK("https://pb.nalog.ru/search.html?query=3822000249","ФНС: проверить")</f>
        <v/>
      </c>
      <c r="R844" s="16">
        <f>HYPERLINK("https://checko.ru/search?query=3801001629","Чекко: проверить")</f>
        <v/>
      </c>
      <c r="S844" t="n">
        <v>1</v>
      </c>
      <c r="T844" s="35" t="inlineStr">
        <is>
          <t>4 — Не обогащён</t>
        </is>
      </c>
      <c r="U844" s="35" t="inlineStr">
        <is>
          <t>Нет ОКВЭД/ССЧР</t>
        </is>
      </c>
      <c r="V844" s="35" t="inlineStr">
        <is>
          <t>Не определено</t>
        </is>
      </c>
      <c r="W844" s="35" t="inlineStr"/>
      <c r="X844" s="35" t="inlineStr"/>
    </row>
    <row r="845" ht="15" customHeight="1" s="24">
      <c r="A845" s="13" t="n">
        <v>5000001985</v>
      </c>
      <c r="B845" s="13" t="inlineStr">
        <is>
          <t>ОГБУЗ "Тайшетская ЦРБ"</t>
        </is>
      </c>
      <c r="C845" s="13" t="n">
        <v>3815002781</v>
      </c>
      <c r="D845" s="13" t="inlineStr">
        <is>
          <t>3815002781</t>
        </is>
      </c>
      <c r="E845" s="13" t="inlineStr">
        <is>
          <t>ЮЛ РФ</t>
        </is>
      </c>
      <c r="F845" s="13" t="n"/>
      <c r="G845" s="14" t="n"/>
      <c r="H845" s="14" t="n"/>
      <c r="I845" s="14" t="n"/>
      <c r="J845" s="14" t="n"/>
      <c r="K845" s="53" t="inlineStr"/>
      <c r="L845" s="53" t="inlineStr">
        <is>
          <t>Не определено</t>
        </is>
      </c>
      <c r="M845" s="53" t="inlineStr"/>
      <c r="N845" s="54" t="inlineStr"/>
      <c r="O845" s="55" t="inlineStr"/>
      <c r="P845" s="16" t="inlineStr">
        <is>
          <t>Требует обогащения</t>
        </is>
      </c>
      <c r="Q845" s="16">
        <f>HYPERLINK("https://pb.nalog.ru/search.html?query=3815002781","ФНС: проверить")</f>
        <v/>
      </c>
      <c r="R845" s="16">
        <f>HYPERLINK("https://checko.ru/search?query=3801001629","Чекко: проверить")</f>
        <v/>
      </c>
      <c r="S845" t="n">
        <v>1</v>
      </c>
      <c r="T845" s="35" t="inlineStr">
        <is>
          <t>4 — Не обогащён</t>
        </is>
      </c>
      <c r="U845" s="35" t="inlineStr">
        <is>
          <t>Нет ОКВЭД/ССЧР</t>
        </is>
      </c>
      <c r="V845" s="35" t="inlineStr">
        <is>
          <t>Не определено</t>
        </is>
      </c>
      <c r="W845" s="35" t="inlineStr"/>
      <c r="X845" s="35" t="inlineStr"/>
    </row>
    <row r="846" ht="27.75" customHeight="1" s="24">
      <c r="A846" s="13" t="n">
        <v>5000001349</v>
      </c>
      <c r="B846" s="13" t="inlineStr">
        <is>
          <t>МАУЗ "Городская детская больница №1", г. Ангарск</t>
        </is>
      </c>
      <c r="C846" s="13" t="n">
        <v>3801035723</v>
      </c>
      <c r="D846" s="13" t="inlineStr">
        <is>
          <t>3801035723</t>
        </is>
      </c>
      <c r="E846" s="13" t="inlineStr">
        <is>
          <t>ЮЛ РФ</t>
        </is>
      </c>
      <c r="F846" s="13" t="n"/>
      <c r="G846" s="14" t="n"/>
      <c r="H846" s="14" t="n"/>
      <c r="I846" s="14" t="n"/>
      <c r="J846" s="14" t="n"/>
      <c r="K846" s="53" t="inlineStr"/>
      <c r="L846" s="53" t="inlineStr">
        <is>
          <t>Не определено</t>
        </is>
      </c>
      <c r="M846" s="53" t="inlineStr"/>
      <c r="N846" s="54" t="inlineStr"/>
      <c r="O846" s="55" t="inlineStr"/>
      <c r="P846" s="16" t="inlineStr">
        <is>
          <t>Требует обогащения</t>
        </is>
      </c>
      <c r="Q846" s="16">
        <f>HYPERLINK("https://pb.nalog.ru/search.html?query=3801035723","ФНС: проверить")</f>
        <v/>
      </c>
      <c r="R846" s="16">
        <f>HYPERLINK("https://checko.ru/search?query=3801001629","Чекко: проверить")</f>
        <v/>
      </c>
      <c r="S846" t="n">
        <v>1</v>
      </c>
      <c r="T846" s="35" t="inlineStr">
        <is>
          <t>4 — Не обогащён</t>
        </is>
      </c>
      <c r="U846" s="35" t="inlineStr">
        <is>
          <t>Нет ОКВЭД/ССЧР</t>
        </is>
      </c>
      <c r="V846" s="35" t="inlineStr">
        <is>
          <t>Не определено</t>
        </is>
      </c>
      <c r="W846" s="35" t="inlineStr"/>
      <c r="X846" s="35" t="inlineStr"/>
    </row>
    <row r="847" ht="27.75" customHeight="1" s="24">
      <c r="A847" s="13" t="n">
        <v>5000001536</v>
      </c>
      <c r="B847" s="13" t="inlineStr">
        <is>
          <t>МАУЗ г.Иркутска "Городская клиническая больница №9"</t>
        </is>
      </c>
      <c r="C847" s="13" t="n">
        <v>3809016514</v>
      </c>
      <c r="D847" s="13" t="inlineStr">
        <is>
          <t>3809016514</t>
        </is>
      </c>
      <c r="E847" s="13" t="inlineStr">
        <is>
          <t>ЮЛ РФ</t>
        </is>
      </c>
      <c r="F847" s="13" t="n"/>
      <c r="G847" s="14" t="n"/>
      <c r="H847" s="14" t="n"/>
      <c r="I847" s="14" t="n"/>
      <c r="J847" s="14" t="n"/>
      <c r="K847" s="53" t="inlineStr"/>
      <c r="L847" s="53" t="inlineStr">
        <is>
          <t>Не определено</t>
        </is>
      </c>
      <c r="M847" s="53" t="inlineStr"/>
      <c r="N847" s="54" t="inlineStr"/>
      <c r="O847" s="55" t="inlineStr"/>
      <c r="P847" s="16" t="inlineStr">
        <is>
          <t>Требует обогащения</t>
        </is>
      </c>
      <c r="Q847" s="16">
        <f>HYPERLINK("https://pb.nalog.ru/search.html?query=3809016514","ФНС: проверить")</f>
        <v/>
      </c>
      <c r="R847" s="16">
        <f>HYPERLINK("https://checko.ru/search?query=3801001629","Чекко: проверить")</f>
        <v/>
      </c>
      <c r="S847" t="n">
        <v>1</v>
      </c>
      <c r="T847" s="35" t="inlineStr">
        <is>
          <t>4 — Не обогащён</t>
        </is>
      </c>
      <c r="U847" s="35" t="inlineStr">
        <is>
          <t>Нет ОКВЭД/ССЧР</t>
        </is>
      </c>
      <c r="V847" s="35" t="inlineStr">
        <is>
          <t>Не определено</t>
        </is>
      </c>
      <c r="W847" s="35" t="inlineStr"/>
      <c r="X847" s="35" t="inlineStr"/>
    </row>
    <row r="848" ht="15" customHeight="1" s="24">
      <c r="A848" s="13" t="n">
        <v>5000001392</v>
      </c>
      <c r="B848" s="13" t="inlineStr">
        <is>
          <t>ОГАУЗ "Братский Перинатальный центр"</t>
        </is>
      </c>
      <c r="C848" s="13" t="n">
        <v>3804005540</v>
      </c>
      <c r="D848" s="13" t="inlineStr">
        <is>
          <t>3804005540</t>
        </is>
      </c>
      <c r="E848" s="13" t="inlineStr">
        <is>
          <t>ЮЛ РФ</t>
        </is>
      </c>
      <c r="F848" s="13" t="n"/>
      <c r="G848" s="14" t="n"/>
      <c r="H848" s="14" t="n"/>
      <c r="I848" s="14" t="n"/>
      <c r="J848" s="14" t="n"/>
      <c r="K848" s="53" t="inlineStr"/>
      <c r="L848" s="53" t="inlineStr">
        <is>
          <t>Не определено</t>
        </is>
      </c>
      <c r="M848" s="53" t="inlineStr"/>
      <c r="N848" s="54" t="inlineStr"/>
      <c r="O848" s="55" t="inlineStr"/>
      <c r="P848" s="16" t="inlineStr">
        <is>
          <t>Требует обогащения</t>
        </is>
      </c>
      <c r="Q848" s="16">
        <f>HYPERLINK("https://pb.nalog.ru/search.html?query=3804005540","ФНС: проверить")</f>
        <v/>
      </c>
      <c r="R848" s="16">
        <f>HYPERLINK("https://checko.ru/search?query=3801001629","Чекко: проверить")</f>
        <v/>
      </c>
      <c r="S848" t="n">
        <v>1</v>
      </c>
      <c r="T848" s="35" t="inlineStr">
        <is>
          <t>4 — Не обогащён</t>
        </is>
      </c>
      <c r="U848" s="35" t="inlineStr">
        <is>
          <t>Нет ОКВЭД/ССЧР</t>
        </is>
      </c>
      <c r="V848" s="35" t="inlineStr">
        <is>
          <t>Не определено</t>
        </is>
      </c>
      <c r="W848" s="35" t="inlineStr"/>
      <c r="X848" s="35" t="inlineStr"/>
    </row>
    <row r="849" ht="27.75" customHeight="1" s="24">
      <c r="A849" s="13" t="n">
        <v>5000001624</v>
      </c>
      <c r="B849" s="13" t="inlineStr">
        <is>
          <t>ОГБУЗ Заларинская центральная районная больница</t>
        </is>
      </c>
      <c r="C849" s="13" t="n">
        <v>3825003671</v>
      </c>
      <c r="D849" s="13" t="inlineStr">
        <is>
          <t>3825003671</t>
        </is>
      </c>
      <c r="E849" s="13" t="inlineStr">
        <is>
          <t>ЮЛ РФ</t>
        </is>
      </c>
      <c r="F849" s="13" t="n"/>
      <c r="G849" s="14" t="n"/>
      <c r="H849" s="14" t="n"/>
      <c r="I849" s="14" t="n"/>
      <c r="J849" s="14" t="n"/>
      <c r="K849" s="53" t="inlineStr"/>
      <c r="L849" s="53" t="inlineStr">
        <is>
          <t>Не определено</t>
        </is>
      </c>
      <c r="M849" s="53" t="inlineStr"/>
      <c r="N849" s="54" t="inlineStr"/>
      <c r="O849" s="55" t="inlineStr"/>
      <c r="P849" s="16" t="inlineStr">
        <is>
          <t>Требует обогащения</t>
        </is>
      </c>
      <c r="Q849" s="16">
        <f>HYPERLINK("https://pb.nalog.ru/search.html?query=3825003671","ФНС: проверить")</f>
        <v/>
      </c>
      <c r="R849" s="16">
        <f>HYPERLINK("https://checko.ru/search?query=3801001629","Чекко: проверить")</f>
        <v/>
      </c>
      <c r="S849" t="n">
        <v>0</v>
      </c>
      <c r="T849" s="35" t="inlineStr">
        <is>
          <t>4 — Не обогащён</t>
        </is>
      </c>
      <c r="U849" s="35" t="inlineStr">
        <is>
          <t>Нет ОКВЭД/ССЧР</t>
        </is>
      </c>
      <c r="V849" s="35" t="inlineStr">
        <is>
          <t>Не определено</t>
        </is>
      </c>
      <c r="W849" s="35" t="inlineStr"/>
      <c r="X849" s="35" t="inlineStr"/>
    </row>
    <row r="850" ht="15" customHeight="1" s="24">
      <c r="A850" s="13" t="n">
        <v>5000094969</v>
      </c>
      <c r="B850" s="13" t="inlineStr">
        <is>
          <t>ГКУ БРДСРЦ "Радуга" МТ и СР КБР</t>
        </is>
      </c>
      <c r="C850" s="13" t="n">
        <v>711013543</v>
      </c>
      <c r="D850" s="13" t="n"/>
      <c r="E850" s="13" t="inlineStr">
        <is>
          <t>Не определён</t>
        </is>
      </c>
      <c r="F850" s="13" t="inlineStr">
        <is>
          <t>711013543</t>
        </is>
      </c>
      <c r="G850" s="14" t="n"/>
      <c r="H850" s="14" t="n"/>
      <c r="I850" s="14" t="n"/>
      <c r="J850" s="14" t="n"/>
      <c r="K850" s="13">
        <f>IF(G850="","",IF(G850&gt;=22,"Да","Нет"))</f>
        <v/>
      </c>
      <c r="L850" s="13">
        <f>IF(OR(I850="",J850=""),"Не определено",IF(OR(COUNTIF(I850,"45*")&gt;0,COUNTIF(J850,"*45*")&gt;0,COUNTIF(I850,"46*")&gt;0,COUNTIF(J850,"*46*")&gt;0,COUNTIF(I850,"47*")&gt;0,COUNTIF(J850,"*47*")&gt;0,COUNTIF(I850,"10*")&gt;0,COUNTIF(J850,"*10*")&gt;0,COUNTIF(I850,"11*")&gt;0,COUNTIF(J850,"*11*")&gt;0,COUNTIF(I850,"12*")&gt;0,COUNTIF(J850,"*12*")&gt;0,COUNTIF(I850,"13*")&gt;0,COUNTIF(J850,"*13*")&gt;0,COUNTIF(I850,"14*")&gt;0,COUNTIF(J850,"*14*")&gt;0,COUNTIF(I850,"15*")&gt;0,COUNTIF(J850,"*15*")&gt;0,COUNTIF(I850,"16*")&gt;0,COUNTIF(J850,"*16*")&gt;0,COUNTIF(I850,"17*")&gt;0,COUNTIF(J850,"*17*")&gt;0,COUNTIF(I850,"18*")&gt;0,COUNTIF(J850,"*18*")&gt;0,COUNTIF(I850,"19*")&gt;0,COUNTIF(J850,"*19*")&gt;0,COUNTIF(I850,"20*")&gt;0,COUNTIF(J850,"*20*")&gt;0,COUNTIF(I850,"21*")&gt;0,COUNTIF(J850,"*21*")&gt;0,COUNTIF(I850,"22*")&gt;0,COUNTIF(J850,"*22*")&gt;0,COUNTIF(I850,"23*")&gt;0,COUNTIF(J850,"*23*")&gt;0,COUNTIF(I850,"24*")&gt;0,COUNTIF(J850,"*24*")&gt;0,COUNTIF(I850,"25*")&gt;0,COUNTIF(J850,"*25*")&gt;0,COUNTIF(I850,"26*")&gt;0,COUNTIF(J850,"*26*")&gt;0,COUNTIF(I850,"27*")&gt;0,COUNTIF(J850,"*27*")&gt;0,COUNTIF(I850,"28*")&gt;0,COUNTIF(J850,"*28*")&gt;0,COUNTIF(I850,"29*")&gt;0,COUNTIF(J850,"*29*")&gt;0,COUNTIF(I850,"30*")&gt;0,COUNTIF(J850,"*30*")&gt;0,COUNTIF(I850,"31*")&gt;0,COUNTIF(J850,"*31*")&gt;0,COUNTIF(I850,"32*")&gt;0,COUNTIF(J850,"*32*")&gt;0,COUNTIF(I850,"33*")&gt;0,COUNTIF(J850,"*33*")&gt;0,COUNTIF(I850,"41*")&gt;0,COUNTIF(J850,"*41*")&gt;0,COUNTIF(I850,"42*")&gt;0,COUNTIF(J850,"*42*")&gt;0,COUNTIF(I850,"43*")&gt;0,COUNTIF(J850,"*43*")&gt;0,COUNTIF(I850,"49*")&gt;0,COUNTIF(J850,"*49*")&gt;0,COUNTIF(I850,"52*")&gt;0,COUNTIF(J850,"*52*")&gt;0,COUNTIF(I850,"55*")&gt;0,COUNTIF(J850,"*55*")&gt;0,COUNTIF(I850,"56*")&gt;0,COUNTIF(J850,"*56*")&gt;0,COUNTIF(I850,"68*")&gt;0,COUNTIF(J850,"*68*")&gt;0,COUNTIF(I850,"78*")&gt;0,COUNTIF(J850,"*78*")&gt;0,COUNTIF(I850,"81*")&gt;0,COUNTIF(J850,"*81*")&gt;0,COUNTIF(I850,"82*")&gt;0,COUNTIF(J850,"*82*")&gt;0,COUNTIF(I850,"64*")&gt;0,COUNTIF(J850,"*64*")&gt;0,COUNTIF(I850,"65*")&gt;0,COUNTIF(J850,"*65*")&gt;0,COUNTIF(I850,"66*")&gt;0,COUNTIF(J850,"*66*")&gt;0,COUNTIF(I850,"61*")&gt;0,COUNTIF(J850,"*61*")&gt;0,COUNTIF(I850,"62*")&gt;0,COUNTIF(J850,"*62*")&gt;0,COUNTIF(I850,"63*")&gt;0,COUNTIF(J850,"*63*")&gt;0,COUNTIF(I850,"85*")&gt;0,COUNTIF(J850,"*85*")&gt;0,COUNTIF(I850,"86*")&gt;0,COUNTIF(J850,"*86*")&gt;0),"Да","Нет"))</f>
        <v/>
      </c>
      <c r="M850" s="13">
        <f>IF(OR(G850="",L850&lt;&gt;"Да"),"",IF(G850&lt;=100,"До 100",IF(G850&lt;=200,"До 200",IF(G850&lt;=500,"До 500","Отдельное КП"))))</f>
        <v/>
      </c>
      <c r="N850" s="15">
        <f>IF(OR(G850="",L850&lt;&gt;"Да"),"",IF(G850&lt;=100,33600,IF(G850&lt;=200,62400,IF(G850&lt;=500,144000,""))))</f>
        <v/>
      </c>
      <c r="O850" s="16">
        <f>IF(G850="","",IF(G850&lt;=15,"1–15",IF(G850&lt;=30,"16–30",IF(G850&lt;=50,"31–50",IF(G850&lt;=100,"51–100",IF(G850&lt;=150,"101–150",IF(G850&lt;=200,"151–200",IF(G850&lt;=500,"201–500","500+"))))))))</f>
        <v/>
      </c>
      <c r="P850" s="16" t="inlineStr">
        <is>
          <t>Нет совпадения в предоставленной выгрузке ССЧР</t>
        </is>
      </c>
      <c r="Q850" s="16" t="n"/>
      <c r="R850" s="16">
        <f>HYPERLINK("https://checko.ru/search?query=3801001629","Чекко: проверить")</f>
        <v/>
      </c>
      <c r="S850" t="n">
        <v>0</v>
      </c>
    </row>
    <row r="851" ht="27.75" customHeight="1" s="24">
      <c r="A851" s="13" t="n">
        <v>5000106119</v>
      </c>
      <c r="B851" s="13" t="inlineStr">
        <is>
          <t>АППАРАТ УПОЛНОМОЧЕННОГО ПО ПРАВАМ РЕБЕНКА В ОРЕНБУРГСКОЙ ОБЛАСТИ</t>
        </is>
      </c>
      <c r="C851" s="13" t="n">
        <v>5610245392</v>
      </c>
      <c r="D851" s="13" t="inlineStr">
        <is>
          <t>5610245392</t>
        </is>
      </c>
      <c r="E851" s="13" t="inlineStr">
        <is>
          <t>ЮЛ РФ</t>
        </is>
      </c>
      <c r="F851" s="13" t="n"/>
      <c r="G851" s="14" t="n"/>
      <c r="H851" s="14" t="n"/>
      <c r="I851" s="14" t="n"/>
      <c r="J851" s="14" t="n"/>
      <c r="K851" s="53" t="inlineStr"/>
      <c r="L851" s="53" t="inlineStr">
        <is>
          <t>Не определено</t>
        </is>
      </c>
      <c r="M851" s="53" t="inlineStr"/>
      <c r="N851" s="54" t="inlineStr"/>
      <c r="O851" s="55" t="inlineStr"/>
      <c r="P851" s="16" t="inlineStr">
        <is>
          <t>Требует обогащения</t>
        </is>
      </c>
      <c r="Q851" s="16">
        <f>HYPERLINK("https://pb.nalog.ru/search.html?query=5610245392","ФНС: проверить")</f>
        <v/>
      </c>
      <c r="R851" s="16">
        <f>HYPERLINK("https://checko.ru/search?query=3801001629","Чекко: проверить")</f>
        <v/>
      </c>
      <c r="S851" t="n">
        <v>1</v>
      </c>
      <c r="T851" s="35" t="inlineStr">
        <is>
          <t>4 — Не обогащён</t>
        </is>
      </c>
      <c r="U851" s="35" t="inlineStr">
        <is>
          <t>Нет ОКВЭД/ССЧР</t>
        </is>
      </c>
      <c r="V851" s="35" t="inlineStr">
        <is>
          <t>Не определено</t>
        </is>
      </c>
      <c r="W851" s="35" t="inlineStr"/>
      <c r="X851" s="35" t="inlineStr"/>
    </row>
    <row r="852" ht="27.75" customHeight="1" s="24">
      <c r="A852" s="13" t="n">
        <v>5000001697</v>
      </c>
      <c r="B852" s="13" t="inlineStr">
        <is>
          <t>ОГБУ СО "Заларинский специальный дом-интернат для престарелых и инвалидов"</t>
        </is>
      </c>
      <c r="C852" s="13" t="n">
        <v>3825001498</v>
      </c>
      <c r="D852" s="13" t="inlineStr">
        <is>
          <t>3825001498</t>
        </is>
      </c>
      <c r="E852" s="13" t="inlineStr">
        <is>
          <t>ЮЛ РФ</t>
        </is>
      </c>
      <c r="F852" s="13" t="n"/>
      <c r="G852" s="14" t="n"/>
      <c r="H852" s="14" t="n"/>
      <c r="I852" s="14" t="n"/>
      <c r="J852" s="14" t="n"/>
      <c r="K852" s="53" t="inlineStr"/>
      <c r="L852" s="53" t="inlineStr">
        <is>
          <t>Не определено</t>
        </is>
      </c>
      <c r="M852" s="53" t="inlineStr"/>
      <c r="N852" s="54" t="inlineStr"/>
      <c r="O852" s="55" t="inlineStr"/>
      <c r="P852" s="16" t="inlineStr">
        <is>
          <t>Требует обогащения</t>
        </is>
      </c>
      <c r="Q852" s="16">
        <f>HYPERLINK("https://pb.nalog.ru/search.html?query=3825001498","ФНС: проверить")</f>
        <v/>
      </c>
      <c r="R852" s="16">
        <f>HYPERLINK("https://checko.ru/search?query=3801001629","Чекко: проверить")</f>
        <v/>
      </c>
      <c r="S852" t="n">
        <v>1</v>
      </c>
      <c r="T852" s="35" t="inlineStr">
        <is>
          <t>4 — Не обогащён</t>
        </is>
      </c>
      <c r="U852" s="35" t="inlineStr">
        <is>
          <t>Нет ОКВЭД/ССЧР</t>
        </is>
      </c>
      <c r="V852" s="35" t="inlineStr">
        <is>
          <t>Не определено</t>
        </is>
      </c>
      <c r="W852" s="35" t="inlineStr"/>
      <c r="X852" s="35" t="inlineStr"/>
    </row>
    <row r="853" ht="15" customHeight="1" s="24">
      <c r="A853" s="13" t="n">
        <v>5000008552</v>
      </c>
      <c r="B853" s="13" t="inlineStr">
        <is>
          <t>УФССП России по Ленинградской области</t>
        </is>
      </c>
      <c r="C853" s="13" t="n">
        <v>7842012440</v>
      </c>
      <c r="D853" s="13" t="inlineStr">
        <is>
          <t>7842012440</t>
        </is>
      </c>
      <c r="E853" s="13" t="inlineStr">
        <is>
          <t>ЮЛ РФ</t>
        </is>
      </c>
      <c r="F853" s="13" t="n"/>
      <c r="G853" s="14" t="n"/>
      <c r="H853" s="14" t="n"/>
      <c r="I853" s="14" t="n"/>
      <c r="J853" s="14" t="n"/>
      <c r="K853" s="53" t="inlineStr"/>
      <c r="L853" s="53" t="inlineStr">
        <is>
          <t>Не определено</t>
        </is>
      </c>
      <c r="M853" s="53" t="inlineStr"/>
      <c r="N853" s="54" t="inlineStr"/>
      <c r="O853" s="55" t="inlineStr"/>
      <c r="P853" s="16" t="inlineStr">
        <is>
          <t>Требует обогащения</t>
        </is>
      </c>
      <c r="Q853" s="16">
        <f>HYPERLINK("https://pb.nalog.ru/search.html?query=7842012440","ФНС: проверить")</f>
        <v/>
      </c>
      <c r="R853" s="16">
        <f>HYPERLINK("https://checko.ru/search?query=3801001629","Чекко: проверить")</f>
        <v/>
      </c>
      <c r="S853" t="n">
        <v>1</v>
      </c>
      <c r="T853" s="35" t="inlineStr">
        <is>
          <t>4 — Не обогащён</t>
        </is>
      </c>
      <c r="U853" s="35" t="inlineStr">
        <is>
          <t>Нет ОКВЭД/ССЧР</t>
        </is>
      </c>
      <c r="V853" s="35" t="inlineStr">
        <is>
          <t>Не определено</t>
        </is>
      </c>
      <c r="W853" s="35" t="inlineStr"/>
      <c r="X853" s="35" t="inlineStr"/>
    </row>
    <row r="854" ht="27.75" customHeight="1" s="24">
      <c r="A854" s="13" t="n">
        <v>5000001630</v>
      </c>
      <c r="B854" s="13" t="inlineStr">
        <is>
          <t>МАУЗ "Городская детская стоматологическая поликлиника" г. Иркутска</t>
        </is>
      </c>
      <c r="C854" s="13" t="n">
        <v>3811031460</v>
      </c>
      <c r="D854" s="13" t="inlineStr">
        <is>
          <t>3811031460</t>
        </is>
      </c>
      <c r="E854" s="13" t="inlineStr">
        <is>
          <t>ЮЛ РФ</t>
        </is>
      </c>
      <c r="F854" s="13" t="n"/>
      <c r="G854" s="14" t="n"/>
      <c r="H854" s="14" t="n"/>
      <c r="I854" s="14" t="n"/>
      <c r="J854" s="14" t="n"/>
      <c r="K854" s="53" t="inlineStr"/>
      <c r="L854" s="53" t="inlineStr">
        <is>
          <t>Не определено</t>
        </is>
      </c>
      <c r="M854" s="53" t="inlineStr"/>
      <c r="N854" s="54" t="inlineStr"/>
      <c r="O854" s="55" t="inlineStr"/>
      <c r="P854" s="16" t="inlineStr">
        <is>
          <t>Требует обогащения</t>
        </is>
      </c>
      <c r="Q854" s="16">
        <f>HYPERLINK("https://pb.nalog.ru/search.html?query=3811031460","ФНС: проверить")</f>
        <v/>
      </c>
      <c r="R854" s="16">
        <f>HYPERLINK("https://checko.ru/search?query=3801001629","Чекко: проверить")</f>
        <v/>
      </c>
      <c r="S854" t="n">
        <v>1</v>
      </c>
      <c r="T854" s="35" t="inlineStr">
        <is>
          <t>4 — Не обогащён</t>
        </is>
      </c>
      <c r="U854" s="35" t="inlineStr">
        <is>
          <t>Нет ОКВЭД/ССЧР</t>
        </is>
      </c>
      <c r="V854" s="35" t="inlineStr">
        <is>
          <t>Не определено</t>
        </is>
      </c>
      <c r="W854" s="35" t="inlineStr"/>
      <c r="X854" s="35" t="inlineStr"/>
    </row>
    <row r="855" ht="15" customHeight="1" s="24">
      <c r="A855" s="13" t="n">
        <v>5000001642</v>
      </c>
      <c r="B855" s="13" t="inlineStr">
        <is>
          <t>ГБУЗ «Областной гериатрический центр»</t>
        </is>
      </c>
      <c r="C855" s="13" t="n">
        <v>3808010132</v>
      </c>
      <c r="D855" s="13" t="inlineStr">
        <is>
          <t>3808010132</t>
        </is>
      </c>
      <c r="E855" s="13" t="inlineStr">
        <is>
          <t>ЮЛ РФ</t>
        </is>
      </c>
      <c r="F855" s="13" t="n"/>
      <c r="G855" s="14" t="n"/>
      <c r="H855" s="14" t="n"/>
      <c r="I855" s="14" t="n"/>
      <c r="J855" s="14" t="n"/>
      <c r="K855" s="53" t="inlineStr"/>
      <c r="L855" s="53" t="inlineStr">
        <is>
          <t>Не определено</t>
        </is>
      </c>
      <c r="M855" s="53" t="inlineStr"/>
      <c r="N855" s="54" t="inlineStr"/>
      <c r="O855" s="55" t="inlineStr"/>
      <c r="P855" s="16" t="inlineStr">
        <is>
          <t>Требует обогащения</t>
        </is>
      </c>
      <c r="Q855" s="16">
        <f>HYPERLINK("https://pb.nalog.ru/search.html?query=3808010132","ФНС: проверить")</f>
        <v/>
      </c>
      <c r="R855" s="16">
        <f>HYPERLINK("https://checko.ru/search?query=3801001629","Чекко: проверить")</f>
        <v/>
      </c>
      <c r="S855" t="n">
        <v>1</v>
      </c>
      <c r="T855" s="35" t="inlineStr">
        <is>
          <t>4 — Не обогащён</t>
        </is>
      </c>
      <c r="U855" s="35" t="inlineStr">
        <is>
          <t>Нет ОКВЭД/ССЧР</t>
        </is>
      </c>
      <c r="V855" s="35" t="inlineStr">
        <is>
          <t>Не определено</t>
        </is>
      </c>
      <c r="W855" s="35" t="inlineStr"/>
      <c r="X855" s="35" t="inlineStr"/>
    </row>
    <row r="856" ht="15" customHeight="1" s="24">
      <c r="A856" s="13" t="n">
        <v>5000001413</v>
      </c>
      <c r="B856" s="13" t="inlineStr">
        <is>
          <t>МБУЗ "Зиминская городская больница"</t>
        </is>
      </c>
      <c r="C856" s="13" t="n">
        <v>3806001340</v>
      </c>
      <c r="D856" s="13" t="inlineStr">
        <is>
          <t>3806001340</t>
        </is>
      </c>
      <c r="E856" s="13" t="inlineStr">
        <is>
          <t>ЮЛ РФ</t>
        </is>
      </c>
      <c r="F856" s="13" t="n"/>
      <c r="G856" s="14" t="n"/>
      <c r="H856" s="14" t="n"/>
      <c r="I856" s="14" t="n"/>
      <c r="J856" s="14" t="n"/>
      <c r="K856" s="53" t="inlineStr"/>
      <c r="L856" s="53" t="inlineStr">
        <is>
          <t>Не определено</t>
        </is>
      </c>
      <c r="M856" s="53" t="inlineStr"/>
      <c r="N856" s="54" t="inlineStr"/>
      <c r="O856" s="55" t="inlineStr"/>
      <c r="P856" s="16" t="inlineStr">
        <is>
          <t>Требует обогащения</t>
        </is>
      </c>
      <c r="Q856" s="16">
        <f>HYPERLINK("https://pb.nalog.ru/search.html?query=3806001340","ФНС: проверить")</f>
        <v/>
      </c>
      <c r="R856" s="16">
        <f>HYPERLINK("https://checko.ru/search?query=3801001629","Чекко: проверить")</f>
        <v/>
      </c>
      <c r="S856" t="n">
        <v>1</v>
      </c>
      <c r="T856" s="35" t="inlineStr">
        <is>
          <t>4 — Не обогащён</t>
        </is>
      </c>
      <c r="U856" s="35" t="inlineStr">
        <is>
          <t>Нет ОКВЭД/ССЧР</t>
        </is>
      </c>
      <c r="V856" s="35" t="inlineStr">
        <is>
          <t>Не определено</t>
        </is>
      </c>
      <c r="W856" s="35" t="inlineStr"/>
      <c r="X856" s="35" t="inlineStr"/>
    </row>
    <row r="857" ht="15" customHeight="1" s="24">
      <c r="A857" s="13" t="n">
        <v>5000001934</v>
      </c>
      <c r="B857" s="13" t="inlineStr">
        <is>
          <t>ОГСКОУ "Илирская школа - интернат"</t>
        </is>
      </c>
      <c r="C857" s="13" t="n">
        <v>3823001527</v>
      </c>
      <c r="D857" s="13" t="inlineStr">
        <is>
          <t>3823001527</t>
        </is>
      </c>
      <c r="E857" s="13" t="inlineStr">
        <is>
          <t>ЮЛ РФ</t>
        </is>
      </c>
      <c r="F857" s="13" t="n"/>
      <c r="G857" s="14" t="n"/>
      <c r="H857" s="14" t="n"/>
      <c r="I857" s="14" t="n"/>
      <c r="J857" s="14" t="n"/>
      <c r="K857" s="53" t="inlineStr"/>
      <c r="L857" s="53" t="inlineStr">
        <is>
          <t>Не определено</t>
        </is>
      </c>
      <c r="M857" s="53" t="inlineStr"/>
      <c r="N857" s="54" t="inlineStr"/>
      <c r="O857" s="55" t="inlineStr"/>
      <c r="P857" s="16" t="inlineStr">
        <is>
          <t>Требует обогащения</t>
        </is>
      </c>
      <c r="Q857" s="16">
        <f>HYPERLINK("https://pb.nalog.ru/search.html?query=3823001527","ФНС: проверить")</f>
        <v/>
      </c>
      <c r="R857" s="16">
        <f>HYPERLINK("https://checko.ru/search?query=3801001629","Чекко: проверить")</f>
        <v/>
      </c>
      <c r="S857" t="n">
        <v>1</v>
      </c>
      <c r="T857" s="35" t="inlineStr">
        <is>
          <t>4 — Не обогащён</t>
        </is>
      </c>
      <c r="U857" s="35" t="inlineStr">
        <is>
          <t>Нет ОКВЭД/ССЧР</t>
        </is>
      </c>
      <c r="V857" s="35" t="inlineStr">
        <is>
          <t>Не определено</t>
        </is>
      </c>
      <c r="W857" s="35" t="inlineStr"/>
      <c r="X857" s="35" t="inlineStr"/>
    </row>
    <row r="858" ht="27.75" customHeight="1" s="24">
      <c r="A858" s="13" t="n">
        <v>5000062643</v>
      </c>
      <c r="B858" s="13" t="inlineStr">
        <is>
          <t>ГКУЗ "Областной клинический противотуберкулезный диспансер"</t>
        </is>
      </c>
      <c r="C858" s="13" t="n">
        <v>7303023120</v>
      </c>
      <c r="D858" s="13" t="inlineStr">
        <is>
          <t>7303023120</t>
        </is>
      </c>
      <c r="E858" s="13" t="inlineStr">
        <is>
          <t>ЮЛ РФ</t>
        </is>
      </c>
      <c r="F858" s="13" t="n"/>
      <c r="G858" s="14" t="n"/>
      <c r="H858" s="14" t="n"/>
      <c r="I858" s="14" t="n"/>
      <c r="J858" s="14" t="n"/>
      <c r="K858" s="53" t="inlineStr"/>
      <c r="L858" s="53" t="inlineStr">
        <is>
          <t>Не определено</t>
        </is>
      </c>
      <c r="M858" s="53" t="inlineStr"/>
      <c r="N858" s="54" t="inlineStr"/>
      <c r="O858" s="55" t="inlineStr"/>
      <c r="P858" s="16" t="inlineStr">
        <is>
          <t>Требует обогащения</t>
        </is>
      </c>
      <c r="Q858" s="16">
        <f>HYPERLINK("https://pb.nalog.ru/search.html?query=7303023120","ФНС: проверить")</f>
        <v/>
      </c>
      <c r="R858" s="16">
        <f>HYPERLINK("https://checko.ru/search?query=3801001629","Чекко: проверить")</f>
        <v/>
      </c>
      <c r="S858" t="n">
        <v>1</v>
      </c>
      <c r="T858" s="35" t="inlineStr">
        <is>
          <t>4 — Не обогащён</t>
        </is>
      </c>
      <c r="U858" s="35" t="inlineStr">
        <is>
          <t>Нет ОКВЭД/ССЧР</t>
        </is>
      </c>
      <c r="V858" s="35" t="inlineStr">
        <is>
          <t>Не определено</t>
        </is>
      </c>
      <c r="W858" s="35" t="inlineStr"/>
      <c r="X858" s="35" t="inlineStr"/>
    </row>
    <row r="859" ht="15" customHeight="1" s="24">
      <c r="A859" s="13" t="n">
        <v>5000001606</v>
      </c>
      <c r="B859" s="13" t="inlineStr">
        <is>
          <t>МАУЗ Санаторий "Юбилейный" МО г.Братска</t>
        </is>
      </c>
      <c r="C859" s="13" t="n">
        <v>3803202828</v>
      </c>
      <c r="D859" s="13" t="inlineStr">
        <is>
          <t>3803202828</t>
        </is>
      </c>
      <c r="E859" s="13" t="inlineStr">
        <is>
          <t>ЮЛ РФ</t>
        </is>
      </c>
      <c r="F859" s="13" t="n"/>
      <c r="G859" s="14" t="n"/>
      <c r="H859" s="14" t="n"/>
      <c r="I859" s="14" t="n"/>
      <c r="J859" s="14" t="n"/>
      <c r="K859" s="53" t="inlineStr"/>
      <c r="L859" s="53" t="inlineStr">
        <is>
          <t>Не определено</t>
        </is>
      </c>
      <c r="M859" s="53" t="inlineStr"/>
      <c r="N859" s="54" t="inlineStr"/>
      <c r="O859" s="55" t="inlineStr"/>
      <c r="P859" s="16" t="inlineStr">
        <is>
          <t>Требует обогащения</t>
        </is>
      </c>
      <c r="Q859" s="16">
        <f>HYPERLINK("https://pb.nalog.ru/search.html?query=3803202828","ФНС: проверить")</f>
        <v/>
      </c>
      <c r="R859" s="16">
        <f>HYPERLINK("https://checko.ru/search?query=3801001629","Чекко: проверить")</f>
        <v/>
      </c>
      <c r="S859" t="n">
        <v>1</v>
      </c>
      <c r="T859" s="35" t="inlineStr">
        <is>
          <t>4 — Не обогащён</t>
        </is>
      </c>
      <c r="U859" s="35" t="inlineStr">
        <is>
          <t>Нет ОКВЭД/ССЧР</t>
        </is>
      </c>
      <c r="V859" s="35" t="inlineStr">
        <is>
          <t>Не определено</t>
        </is>
      </c>
      <c r="W859" s="35" t="inlineStr"/>
      <c r="X859" s="35" t="inlineStr"/>
    </row>
    <row r="860" ht="27.75" customHeight="1" s="24">
      <c r="A860" s="13" t="n">
        <v>5000002003</v>
      </c>
      <c r="B860" s="13" t="inlineStr">
        <is>
          <t>ОГБУ здравоохранения "Черемховская городская больница №1"</t>
        </is>
      </c>
      <c r="C860" s="13" t="n">
        <v>3820001261</v>
      </c>
      <c r="D860" s="13" t="inlineStr">
        <is>
          <t>3820001261</t>
        </is>
      </c>
      <c r="E860" s="13" t="inlineStr">
        <is>
          <t>ЮЛ РФ</t>
        </is>
      </c>
      <c r="F860" s="13" t="n"/>
      <c r="G860" s="14" t="n"/>
      <c r="H860" s="14" t="n"/>
      <c r="I860" s="14" t="n"/>
      <c r="J860" s="14" t="n"/>
      <c r="K860" s="53" t="inlineStr"/>
      <c r="L860" s="53" t="inlineStr">
        <is>
          <t>Не определено</t>
        </is>
      </c>
      <c r="M860" s="53" t="inlineStr"/>
      <c r="N860" s="54" t="inlineStr"/>
      <c r="O860" s="55" t="inlineStr"/>
      <c r="P860" s="16" t="inlineStr">
        <is>
          <t>Требует обогащения</t>
        </is>
      </c>
      <c r="Q860" s="16">
        <f>HYPERLINK("https://pb.nalog.ru/search.html?query=3820001261","ФНС: проверить")</f>
        <v/>
      </c>
      <c r="R860" s="16">
        <f>HYPERLINK("https://checko.ru/search?query=3801001629","Чекко: проверить")</f>
        <v/>
      </c>
      <c r="S860" t="n">
        <v>0</v>
      </c>
      <c r="T860" s="35" t="inlineStr">
        <is>
          <t>4 — Не обогащён</t>
        </is>
      </c>
      <c r="U860" s="35" t="inlineStr">
        <is>
          <t>Нет ОКВЭД/ССЧР</t>
        </is>
      </c>
      <c r="V860" s="35" t="inlineStr">
        <is>
          <t>Не определено</t>
        </is>
      </c>
      <c r="W860" s="35" t="inlineStr"/>
      <c r="X860" s="35" t="inlineStr"/>
    </row>
    <row r="861" ht="27.75" customHeight="1" s="24">
      <c r="A861" s="13" t="n">
        <v>5000001613</v>
      </c>
      <c r="B861" s="13" t="inlineStr">
        <is>
          <t>МБУЗ «Казачинско-Ленская Центральная районная больница»</t>
        </is>
      </c>
      <c r="C861" s="13" t="n">
        <v>3828000044</v>
      </c>
      <c r="D861" s="13" t="inlineStr">
        <is>
          <t>3828000044</t>
        </is>
      </c>
      <c r="E861" s="13" t="inlineStr">
        <is>
          <t>ЮЛ РФ</t>
        </is>
      </c>
      <c r="F861" s="13" t="n"/>
      <c r="G861" s="14" t="n"/>
      <c r="H861" s="14" t="n"/>
      <c r="I861" s="14" t="n"/>
      <c r="J861" s="14" t="n"/>
      <c r="K861" s="53" t="inlineStr"/>
      <c r="L861" s="53" t="inlineStr">
        <is>
          <t>Не определено</t>
        </is>
      </c>
      <c r="M861" s="53" t="inlineStr"/>
      <c r="N861" s="54" t="inlineStr"/>
      <c r="O861" s="55" t="inlineStr"/>
      <c r="P861" s="16" t="inlineStr">
        <is>
          <t>Требует обогащения</t>
        </is>
      </c>
      <c r="Q861" s="16">
        <f>HYPERLINK("https://pb.nalog.ru/search.html?query=3828000044","ФНС: проверить")</f>
        <v/>
      </c>
      <c r="R861" s="16">
        <f>HYPERLINK("https://checko.ru/search?query=3801001629","Чекко: проверить")</f>
        <v/>
      </c>
      <c r="S861" t="n">
        <v>1</v>
      </c>
      <c r="T861" s="35" t="inlineStr">
        <is>
          <t>4 — Не обогащён</t>
        </is>
      </c>
      <c r="U861" s="35" t="inlineStr">
        <is>
          <t>Нет ОКВЭД/ССЧР</t>
        </is>
      </c>
      <c r="V861" s="35" t="inlineStr">
        <is>
          <t>Не определено</t>
        </is>
      </c>
      <c r="W861" s="35" t="inlineStr"/>
      <c r="X861" s="35" t="inlineStr"/>
    </row>
    <row r="862" ht="27.75" customHeight="1" s="24">
      <c r="A862" s="13" t="n">
        <v>5000062572</v>
      </c>
      <c r="B862" s="13" t="inlineStr">
        <is>
          <t>Специальная (коррекционная) общеобразовательная школа – интернат</t>
        </is>
      </c>
      <c r="C862" s="13" t="n">
        <v>7326010374</v>
      </c>
      <c r="D862" s="13" t="inlineStr">
        <is>
          <t>7326010374</t>
        </is>
      </c>
      <c r="E862" s="13" t="inlineStr">
        <is>
          <t>ЮЛ РФ</t>
        </is>
      </c>
      <c r="F862" s="13" t="n"/>
      <c r="G862" s="14" t="n"/>
      <c r="H862" s="14" t="n"/>
      <c r="I862" s="14" t="n"/>
      <c r="J862" s="14" t="n"/>
      <c r="K862" s="53" t="inlineStr"/>
      <c r="L862" s="53" t="inlineStr">
        <is>
          <t>Не определено</t>
        </is>
      </c>
      <c r="M862" s="53" t="inlineStr"/>
      <c r="N862" s="54" t="inlineStr"/>
      <c r="O862" s="55" t="inlineStr"/>
      <c r="P862" s="16" t="inlineStr">
        <is>
          <t>Требует обогащения</t>
        </is>
      </c>
      <c r="Q862" s="16">
        <f>HYPERLINK("https://pb.nalog.ru/search.html?query=7326010374","ФНС: проверить")</f>
        <v/>
      </c>
      <c r="R862" s="16">
        <f>HYPERLINK("https://checko.ru/search?query=3801001629","Чекко: проверить")</f>
        <v/>
      </c>
      <c r="S862" t="n">
        <v>1</v>
      </c>
      <c r="T862" s="35" t="inlineStr">
        <is>
          <t>4 — Не обогащён</t>
        </is>
      </c>
      <c r="U862" s="35" t="inlineStr">
        <is>
          <t>Нет ОКВЭД/ССЧР</t>
        </is>
      </c>
      <c r="V862" s="35" t="inlineStr">
        <is>
          <t>Не определено</t>
        </is>
      </c>
      <c r="W862" s="35" t="inlineStr"/>
      <c r="X862" s="35" t="inlineStr"/>
    </row>
    <row r="863" ht="15" customHeight="1" s="24">
      <c r="A863" s="13" t="n">
        <v>5000036221</v>
      </c>
      <c r="B863" s="13" t="inlineStr">
        <is>
          <t>ОбГУ "Ульяновскоблстройзаказчик"</t>
        </is>
      </c>
      <c r="C863" s="13" t="n">
        <v>7325048632</v>
      </c>
      <c r="D863" s="13" t="inlineStr">
        <is>
          <t>7325048632</t>
        </is>
      </c>
      <c r="E863" s="13" t="inlineStr">
        <is>
          <t>ЮЛ РФ</t>
        </is>
      </c>
      <c r="F863" s="13" t="n"/>
      <c r="G863" s="14" t="n"/>
      <c r="H863" s="14" t="n"/>
      <c r="I863" s="14" t="n"/>
      <c r="J863" s="14" t="n"/>
      <c r="K863" s="53" t="inlineStr"/>
      <c r="L863" s="53" t="inlineStr">
        <is>
          <t>Не определено</t>
        </is>
      </c>
      <c r="M863" s="53" t="inlineStr"/>
      <c r="N863" s="54" t="inlineStr"/>
      <c r="O863" s="55" t="inlineStr"/>
      <c r="P863" s="16" t="inlineStr">
        <is>
          <t>Требует обогащения</t>
        </is>
      </c>
      <c r="Q863" s="16">
        <f>HYPERLINK("https://pb.nalog.ru/search.html?query=7325048632","ФНС: проверить")</f>
        <v/>
      </c>
      <c r="R863" s="16">
        <f>HYPERLINK("https://checko.ru/search?query=3801001629","Чекко: проверить")</f>
        <v/>
      </c>
      <c r="S863" t="n">
        <v>1</v>
      </c>
      <c r="T863" s="35" t="inlineStr">
        <is>
          <t>4 — Не обогащён</t>
        </is>
      </c>
      <c r="U863" s="35" t="inlineStr">
        <is>
          <t>Нет ОКВЭД/ССЧР</t>
        </is>
      </c>
      <c r="V863" s="35" t="inlineStr">
        <is>
          <t>Не определено</t>
        </is>
      </c>
      <c r="W863" s="35" t="inlineStr"/>
      <c r="X863" s="35" t="inlineStr"/>
    </row>
    <row r="864" ht="15" customHeight="1" s="24">
      <c r="A864" s="13" t="n">
        <v>5000095043</v>
      </c>
      <c r="B864" s="13" t="inlineStr">
        <is>
          <t>МБОУ "СОШ № 17" г.о. Нальчик</t>
        </is>
      </c>
      <c r="C864" s="13" t="n">
        <v>711042618</v>
      </c>
      <c r="D864" s="13" t="n"/>
      <c r="E864" s="13" t="inlineStr">
        <is>
          <t>Не определён</t>
        </is>
      </c>
      <c r="F864" s="13" t="inlineStr">
        <is>
          <t>711042618</t>
        </is>
      </c>
      <c r="G864" s="14" t="n"/>
      <c r="H864" s="14" t="n"/>
      <c r="I864" s="14" t="n"/>
      <c r="J864" s="14" t="n"/>
      <c r="K864" s="13">
        <f>IF(G864="","",IF(G864&gt;=22,"Да","Нет"))</f>
        <v/>
      </c>
      <c r="L864" s="13">
        <f>IF(OR(I864="",J864=""),"Не определено",IF(OR(COUNTIF(I864,"45*")&gt;0,COUNTIF(J864,"*45*")&gt;0,COUNTIF(I864,"46*")&gt;0,COUNTIF(J864,"*46*")&gt;0,COUNTIF(I864,"47*")&gt;0,COUNTIF(J864,"*47*")&gt;0,COUNTIF(I864,"10*")&gt;0,COUNTIF(J864,"*10*")&gt;0,COUNTIF(I864,"11*")&gt;0,COUNTIF(J864,"*11*")&gt;0,COUNTIF(I864,"12*")&gt;0,COUNTIF(J864,"*12*")&gt;0,COUNTIF(I864,"13*")&gt;0,COUNTIF(J864,"*13*")&gt;0,COUNTIF(I864,"14*")&gt;0,COUNTIF(J864,"*14*")&gt;0,COUNTIF(I864,"15*")&gt;0,COUNTIF(J864,"*15*")&gt;0,COUNTIF(I864,"16*")&gt;0,COUNTIF(J864,"*16*")&gt;0,COUNTIF(I864,"17*")&gt;0,COUNTIF(J864,"*17*")&gt;0,COUNTIF(I864,"18*")&gt;0,COUNTIF(J864,"*18*")&gt;0,COUNTIF(I864,"19*")&gt;0,COUNTIF(J864,"*19*")&gt;0,COUNTIF(I864,"20*")&gt;0,COUNTIF(J864,"*20*")&gt;0,COUNTIF(I864,"21*")&gt;0,COUNTIF(J864,"*21*")&gt;0,COUNTIF(I864,"22*")&gt;0,COUNTIF(J864,"*22*")&gt;0,COUNTIF(I864,"23*")&gt;0,COUNTIF(J864,"*23*")&gt;0,COUNTIF(I864,"24*")&gt;0,COUNTIF(J864,"*24*")&gt;0,COUNTIF(I864,"25*")&gt;0,COUNTIF(J864,"*25*")&gt;0,COUNTIF(I864,"26*")&gt;0,COUNTIF(J864,"*26*")&gt;0,COUNTIF(I864,"27*")&gt;0,COUNTIF(J864,"*27*")&gt;0,COUNTIF(I864,"28*")&gt;0,COUNTIF(J864,"*28*")&gt;0,COUNTIF(I864,"29*")&gt;0,COUNTIF(J864,"*29*")&gt;0,COUNTIF(I864,"30*")&gt;0,COUNTIF(J864,"*30*")&gt;0,COUNTIF(I864,"31*")&gt;0,COUNTIF(J864,"*31*")&gt;0,COUNTIF(I864,"32*")&gt;0,COUNTIF(J864,"*32*")&gt;0,COUNTIF(I864,"33*")&gt;0,COUNTIF(J864,"*33*")&gt;0,COUNTIF(I864,"41*")&gt;0,COUNTIF(J864,"*41*")&gt;0,COUNTIF(I864,"42*")&gt;0,COUNTIF(J864,"*42*")&gt;0,COUNTIF(I864,"43*")&gt;0,COUNTIF(J864,"*43*")&gt;0,COUNTIF(I864,"49*")&gt;0,COUNTIF(J864,"*49*")&gt;0,COUNTIF(I864,"52*")&gt;0,COUNTIF(J864,"*52*")&gt;0,COUNTIF(I864,"55*")&gt;0,COUNTIF(J864,"*55*")&gt;0,COUNTIF(I864,"56*")&gt;0,COUNTIF(J864,"*56*")&gt;0,COUNTIF(I864,"68*")&gt;0,COUNTIF(J864,"*68*")&gt;0,COUNTIF(I864,"78*")&gt;0,COUNTIF(J864,"*78*")&gt;0,COUNTIF(I864,"81*")&gt;0,COUNTIF(J864,"*81*")&gt;0,COUNTIF(I864,"82*")&gt;0,COUNTIF(J864,"*82*")&gt;0,COUNTIF(I864,"64*")&gt;0,COUNTIF(J864,"*64*")&gt;0,COUNTIF(I864,"65*")&gt;0,COUNTIF(J864,"*65*")&gt;0,COUNTIF(I864,"66*")&gt;0,COUNTIF(J864,"*66*")&gt;0,COUNTIF(I864,"61*")&gt;0,COUNTIF(J864,"*61*")&gt;0,COUNTIF(I864,"62*")&gt;0,COUNTIF(J864,"*62*")&gt;0,COUNTIF(I864,"63*")&gt;0,COUNTIF(J864,"*63*")&gt;0,COUNTIF(I864,"85*")&gt;0,COUNTIF(J864,"*85*")&gt;0,COUNTIF(I864,"86*")&gt;0,COUNTIF(J864,"*86*")&gt;0),"Да","Нет"))</f>
        <v/>
      </c>
      <c r="M864" s="13">
        <f>IF(OR(G864="",L864&lt;&gt;"Да"),"",IF(G864&lt;=100,"До 100",IF(G864&lt;=200,"До 200",IF(G864&lt;=500,"До 500","Отдельное КП"))))</f>
        <v/>
      </c>
      <c r="N864" s="15">
        <f>IF(OR(G864="",L864&lt;&gt;"Да"),"",IF(G864&lt;=100,33600,IF(G864&lt;=200,62400,IF(G864&lt;=500,144000,""))))</f>
        <v/>
      </c>
      <c r="O864" s="16">
        <f>IF(G864="","",IF(G864&lt;=15,"1–15",IF(G864&lt;=30,"16–30",IF(G864&lt;=50,"31–50",IF(G864&lt;=100,"51–100",IF(G864&lt;=150,"101–150",IF(G864&lt;=200,"151–200",IF(G864&lt;=500,"201–500","500+"))))))))</f>
        <v/>
      </c>
      <c r="P864" s="16" t="inlineStr">
        <is>
          <t>Нет совпадения в предоставленной выгрузке ССЧР</t>
        </is>
      </c>
      <c r="Q864" s="16" t="n"/>
      <c r="R864" s="16">
        <f>HYPERLINK("https://checko.ru/search?query=3801001629","Чекко: проверить")</f>
        <v/>
      </c>
      <c r="S864" t="n">
        <v>0</v>
      </c>
    </row>
    <row r="865" ht="27.75" customHeight="1" s="24">
      <c r="A865" s="13" t="n">
        <v>5000034605</v>
      </c>
      <c r="B865" s="13" t="inlineStr">
        <is>
          <t>МАОУ Одинцовский лицей №6 имени А.С.Пушкина</t>
        </is>
      </c>
      <c r="C865" s="13" t="n">
        <v>5032036707</v>
      </c>
      <c r="D865" s="13" t="inlineStr">
        <is>
          <t>5032036707</t>
        </is>
      </c>
      <c r="E865" s="13" t="inlineStr">
        <is>
          <t>ЮЛ РФ</t>
        </is>
      </c>
      <c r="F865" s="13" t="n"/>
      <c r="G865" s="14" t="n"/>
      <c r="H865" s="14" t="n"/>
      <c r="I865" s="14" t="n"/>
      <c r="J865" s="14" t="n"/>
      <c r="K865" s="53" t="inlineStr"/>
      <c r="L865" s="53" t="inlineStr">
        <is>
          <t>Не определено</t>
        </is>
      </c>
      <c r="M865" s="53" t="inlineStr"/>
      <c r="N865" s="54" t="inlineStr"/>
      <c r="O865" s="55" t="inlineStr"/>
      <c r="P865" s="16" t="inlineStr">
        <is>
          <t>Требует обогащения</t>
        </is>
      </c>
      <c r="Q865" s="16">
        <f>HYPERLINK("https://pb.nalog.ru/search.html?query=5032036707","ФНС: проверить")</f>
        <v/>
      </c>
      <c r="R865" s="16">
        <f>HYPERLINK("https://checko.ru/search?query=3801001629","Чекко: проверить")</f>
        <v/>
      </c>
      <c r="S865" t="n">
        <v>1</v>
      </c>
      <c r="T865" s="35" t="inlineStr">
        <is>
          <t>4 — Не обогащён</t>
        </is>
      </c>
      <c r="U865" s="35" t="inlineStr">
        <is>
          <t>Нет ОКВЭД/ССЧР</t>
        </is>
      </c>
      <c r="V865" s="35" t="inlineStr">
        <is>
          <t>Не определено</t>
        </is>
      </c>
      <c r="W865" s="35" t="inlineStr"/>
      <c r="X865" s="35" t="inlineStr"/>
    </row>
    <row r="866" ht="27.75" customHeight="1" s="24">
      <c r="A866" s="13" t="n">
        <v>5000002035</v>
      </c>
      <c r="B866" s="13" t="inlineStr">
        <is>
          <t>МБУЗ "Ольхонская центральная районная больница"</t>
        </is>
      </c>
      <c r="C866" s="13" t="n">
        <v>3836001179</v>
      </c>
      <c r="D866" s="13" t="inlineStr">
        <is>
          <t>3836001179</t>
        </is>
      </c>
      <c r="E866" s="13" t="inlineStr">
        <is>
          <t>ЮЛ РФ</t>
        </is>
      </c>
      <c r="F866" s="13" t="n"/>
      <c r="G866" s="14" t="n"/>
      <c r="H866" s="14" t="n"/>
      <c r="I866" s="14" t="n"/>
      <c r="J866" s="14" t="n"/>
      <c r="K866" s="53" t="inlineStr"/>
      <c r="L866" s="53" t="inlineStr">
        <is>
          <t>Не определено</t>
        </is>
      </c>
      <c r="M866" s="53" t="inlineStr"/>
      <c r="N866" s="54" t="inlineStr"/>
      <c r="O866" s="55" t="inlineStr"/>
      <c r="P866" s="16" t="inlineStr">
        <is>
          <t>Требует обогащения</t>
        </is>
      </c>
      <c r="Q866" s="16">
        <f>HYPERLINK("https://pb.nalog.ru/search.html?query=3836001179","ФНС: проверить")</f>
        <v/>
      </c>
      <c r="R866" s="16">
        <f>HYPERLINK("https://checko.ru/search?query=3801001629","Чекко: проверить")</f>
        <v/>
      </c>
      <c r="S866" t="n">
        <v>1</v>
      </c>
      <c r="T866" s="35" t="inlineStr">
        <is>
          <t>4 — Не обогащён</t>
        </is>
      </c>
      <c r="U866" s="35" t="inlineStr">
        <is>
          <t>Нет ОКВЭД/ССЧР</t>
        </is>
      </c>
      <c r="V866" s="35" t="inlineStr">
        <is>
          <t>Не определено</t>
        </is>
      </c>
      <c r="W866" s="35" t="inlineStr"/>
      <c r="X866" s="35" t="inlineStr"/>
    </row>
    <row r="867" ht="27.75" customHeight="1" s="24">
      <c r="A867" s="13" t="n">
        <v>5000001598</v>
      </c>
      <c r="B867" s="13" t="inlineStr">
        <is>
          <t>МУЗ "Центральная районная больница" г. Нижнеудинск</t>
        </is>
      </c>
      <c r="C867" s="13" t="n">
        <v>3813200315</v>
      </c>
      <c r="D867" s="13" t="inlineStr">
        <is>
          <t>3813200315</t>
        </is>
      </c>
      <c r="E867" s="13" t="inlineStr">
        <is>
          <t>ЮЛ РФ</t>
        </is>
      </c>
      <c r="F867" s="13" t="n"/>
      <c r="G867" s="14" t="n"/>
      <c r="H867" s="14" t="n"/>
      <c r="I867" s="14" t="n"/>
      <c r="J867" s="14" t="n"/>
      <c r="K867" s="53" t="inlineStr"/>
      <c r="L867" s="53" t="inlineStr">
        <is>
          <t>Не определено</t>
        </is>
      </c>
      <c r="M867" s="53" t="inlineStr"/>
      <c r="N867" s="54" t="inlineStr"/>
      <c r="O867" s="55" t="inlineStr"/>
      <c r="P867" s="16" t="inlineStr">
        <is>
          <t>Требует обогащения</t>
        </is>
      </c>
      <c r="Q867" s="16">
        <f>HYPERLINK("https://pb.nalog.ru/search.html?query=3813200315","ФНС: проверить")</f>
        <v/>
      </c>
      <c r="R867" s="16">
        <f>HYPERLINK("https://checko.ru/search?query=3801001629","Чекко: проверить")</f>
        <v/>
      </c>
      <c r="S867" t="n">
        <v>1</v>
      </c>
      <c r="T867" s="35" t="inlineStr">
        <is>
          <t>4 — Не обогащён</t>
        </is>
      </c>
      <c r="U867" s="35" t="inlineStr">
        <is>
          <t>Нет ОКВЭД/ССЧР</t>
        </is>
      </c>
      <c r="V867" s="35" t="inlineStr">
        <is>
          <t>Не определено</t>
        </is>
      </c>
      <c r="W867" s="35" t="inlineStr"/>
      <c r="X867" s="35" t="inlineStr"/>
    </row>
    <row r="868" ht="15" customHeight="1" s="24">
      <c r="A868" s="13" t="n">
        <v>5000001883</v>
      </c>
      <c r="B868" s="13" t="inlineStr">
        <is>
          <t>МБУЗ Боханская центральная районная больница</t>
        </is>
      </c>
      <c r="C868" s="13" t="n">
        <v>8503001870</v>
      </c>
      <c r="D868" s="13" t="inlineStr">
        <is>
          <t>8503001870</t>
        </is>
      </c>
      <c r="E868" s="13" t="inlineStr">
        <is>
          <t>ЮЛ РФ</t>
        </is>
      </c>
      <c r="F868" s="13" t="n"/>
      <c r="G868" s="14" t="n"/>
      <c r="H868" s="14" t="n"/>
      <c r="I868" s="14" t="n"/>
      <c r="J868" s="14" t="n"/>
      <c r="K868" s="53" t="inlineStr"/>
      <c r="L868" s="53" t="inlineStr">
        <is>
          <t>Не определено</t>
        </is>
      </c>
      <c r="M868" s="53" t="inlineStr"/>
      <c r="N868" s="54" t="inlineStr"/>
      <c r="O868" s="55" t="inlineStr"/>
      <c r="P868" s="16" t="inlineStr">
        <is>
          <t>Требует обогащения</t>
        </is>
      </c>
      <c r="Q868" s="16">
        <f>HYPERLINK("https://pb.nalog.ru/search.html?query=8503001870","ФНС: проверить")</f>
        <v/>
      </c>
      <c r="R868" s="16">
        <f>HYPERLINK("https://checko.ru/search?query=3801001629","Чекко: проверить")</f>
        <v/>
      </c>
      <c r="S868" t="n">
        <v>1</v>
      </c>
      <c r="T868" s="35" t="inlineStr">
        <is>
          <t>4 — Не обогащён</t>
        </is>
      </c>
      <c r="U868" s="35" t="inlineStr">
        <is>
          <t>Нет ОКВЭД/ССЧР</t>
        </is>
      </c>
      <c r="V868" s="35" t="inlineStr">
        <is>
          <t>Не определено</t>
        </is>
      </c>
      <c r="W868" s="35" t="inlineStr"/>
      <c r="X868" s="35" t="inlineStr"/>
    </row>
    <row r="869" ht="15" customHeight="1" s="24">
      <c r="A869" s="13" t="n">
        <v>5000001626</v>
      </c>
      <c r="B869" s="13" t="inlineStr">
        <is>
          <t>ОГБУЗ "Братская детская городская больница"</t>
        </is>
      </c>
      <c r="C869" s="13" t="n">
        <v>3803101097</v>
      </c>
      <c r="D869" s="13" t="inlineStr">
        <is>
          <t>3803101097</t>
        </is>
      </c>
      <c r="E869" s="13" t="inlineStr">
        <is>
          <t>ЮЛ РФ</t>
        </is>
      </c>
      <c r="F869" s="13" t="n"/>
      <c r="G869" s="14" t="n"/>
      <c r="H869" s="14" t="n"/>
      <c r="I869" s="14" t="n"/>
      <c r="J869" s="14" t="n"/>
      <c r="K869" s="53" t="inlineStr"/>
      <c r="L869" s="53" t="inlineStr">
        <is>
          <t>Не определено</t>
        </is>
      </c>
      <c r="M869" s="53" t="inlineStr"/>
      <c r="N869" s="54" t="inlineStr"/>
      <c r="O869" s="55" t="inlineStr"/>
      <c r="P869" s="16" t="inlineStr">
        <is>
          <t>Требует обогащения</t>
        </is>
      </c>
      <c r="Q869" s="16">
        <f>HYPERLINK("https://pb.nalog.ru/search.html?query=3803101097","ФНС: проверить")</f>
        <v/>
      </c>
      <c r="R869" s="16">
        <f>HYPERLINK("https://checko.ru/search?query=3801001629","Чекко: проверить")</f>
        <v/>
      </c>
      <c r="S869" t="n">
        <v>1</v>
      </c>
      <c r="T869" s="35" t="inlineStr">
        <is>
          <t>4 — Не обогащён</t>
        </is>
      </c>
      <c r="U869" s="35" t="inlineStr">
        <is>
          <t>Нет ОКВЭД/ССЧР</t>
        </is>
      </c>
      <c r="V869" s="35" t="inlineStr">
        <is>
          <t>Не определено</t>
        </is>
      </c>
      <c r="W869" s="35" t="inlineStr"/>
      <c r="X869" s="35" t="inlineStr"/>
    </row>
    <row r="870" ht="27.75" customHeight="1" s="24">
      <c r="A870" s="13" t="n">
        <v>5000001338</v>
      </c>
      <c r="B870" s="13" t="inlineStr">
        <is>
          <t>ОГБУЗ "Ангарская городская детская стоматологическая поликлиника"</t>
        </is>
      </c>
      <c r="C870" s="13" t="n">
        <v>3801015607</v>
      </c>
      <c r="D870" s="13" t="inlineStr">
        <is>
          <t>3801015607</t>
        </is>
      </c>
      <c r="E870" s="13" t="inlineStr">
        <is>
          <t>ЮЛ РФ</t>
        </is>
      </c>
      <c r="F870" s="13" t="n"/>
      <c r="G870" s="14" t="n"/>
      <c r="H870" s="14" t="n"/>
      <c r="I870" s="14" t="n"/>
      <c r="J870" s="14" t="n"/>
      <c r="K870" s="53" t="inlineStr"/>
      <c r="L870" s="53" t="inlineStr">
        <is>
          <t>Не определено</t>
        </is>
      </c>
      <c r="M870" s="53" t="inlineStr"/>
      <c r="N870" s="54" t="inlineStr"/>
      <c r="O870" s="55" t="inlineStr"/>
      <c r="P870" s="16" t="inlineStr">
        <is>
          <t>Требует обогащения</t>
        </is>
      </c>
      <c r="Q870" s="16">
        <f>HYPERLINK("https://pb.nalog.ru/search.html?query=3801015607","ФНС: проверить")</f>
        <v/>
      </c>
      <c r="R870" s="16">
        <f>HYPERLINK("https://checko.ru/search?query=3801001629","Чекко: проверить")</f>
        <v/>
      </c>
      <c r="S870" t="n">
        <v>1</v>
      </c>
      <c r="T870" s="35" t="inlineStr">
        <is>
          <t>4 — Не обогащён</t>
        </is>
      </c>
      <c r="U870" s="35" t="inlineStr">
        <is>
          <t>Нет ОКВЭД/ССЧР</t>
        </is>
      </c>
      <c r="V870" s="35" t="inlineStr">
        <is>
          <t>Не определено</t>
        </is>
      </c>
      <c r="W870" s="35" t="inlineStr"/>
      <c r="X870" s="35" t="inlineStr"/>
    </row>
    <row r="871" ht="27.75" customHeight="1" s="24">
      <c r="A871" s="13" t="n">
        <v>5000001607</v>
      </c>
      <c r="B871" s="13" t="inlineStr">
        <is>
          <t>МБУЗ "Детская городская поликлиника № 3" г.Иркутска</t>
        </is>
      </c>
      <c r="C871" s="13" t="n">
        <v>3808024061</v>
      </c>
      <c r="D871" s="13" t="inlineStr">
        <is>
          <t>3808024061</t>
        </is>
      </c>
      <c r="E871" s="13" t="inlineStr">
        <is>
          <t>ЮЛ РФ</t>
        </is>
      </c>
      <c r="F871" s="13" t="n"/>
      <c r="G871" s="14" t="n"/>
      <c r="H871" s="14" t="n"/>
      <c r="I871" s="14" t="n"/>
      <c r="J871" s="14" t="n"/>
      <c r="K871" s="53" t="inlineStr"/>
      <c r="L871" s="53" t="inlineStr">
        <is>
          <t>Не определено</t>
        </is>
      </c>
      <c r="M871" s="53" t="inlineStr"/>
      <c r="N871" s="54" t="inlineStr"/>
      <c r="O871" s="55" t="inlineStr"/>
      <c r="P871" s="16" t="inlineStr">
        <is>
          <t>Требует обогащения</t>
        </is>
      </c>
      <c r="Q871" s="16">
        <f>HYPERLINK("https://pb.nalog.ru/search.html?query=3808024061","ФНС: проверить")</f>
        <v/>
      </c>
      <c r="R871" s="16">
        <f>HYPERLINK("https://checko.ru/search?query=3801001629","Чекко: проверить")</f>
        <v/>
      </c>
      <c r="S871" t="n">
        <v>1</v>
      </c>
      <c r="T871" s="35" t="inlineStr">
        <is>
          <t>4 — Не обогащён</t>
        </is>
      </c>
      <c r="U871" s="35" t="inlineStr">
        <is>
          <t>Нет ОКВЭД/ССЧР</t>
        </is>
      </c>
      <c r="V871" s="35" t="inlineStr">
        <is>
          <t>Не определено</t>
        </is>
      </c>
      <c r="W871" s="35" t="inlineStr"/>
      <c r="X871" s="35" t="inlineStr"/>
    </row>
    <row r="872" ht="27.75" customHeight="1" s="24">
      <c r="A872" s="13" t="n">
        <v>5000001641</v>
      </c>
      <c r="B872" s="13" t="inlineStr">
        <is>
          <t>МБУЗ "Городская клиническая больница №3" г.Иркутска</t>
        </is>
      </c>
      <c r="C872" s="13" t="n">
        <v>3808024865</v>
      </c>
      <c r="D872" s="13" t="inlineStr">
        <is>
          <t>3808024865</t>
        </is>
      </c>
      <c r="E872" s="13" t="inlineStr">
        <is>
          <t>ЮЛ РФ</t>
        </is>
      </c>
      <c r="F872" s="13" t="n"/>
      <c r="G872" s="14" t="n"/>
      <c r="H872" s="14" t="n"/>
      <c r="I872" s="14" t="n"/>
      <c r="J872" s="14" t="n"/>
      <c r="K872" s="53" t="inlineStr"/>
      <c r="L872" s="53" t="inlineStr">
        <is>
          <t>Не определено</t>
        </is>
      </c>
      <c r="M872" s="53" t="inlineStr"/>
      <c r="N872" s="54" t="inlineStr"/>
      <c r="O872" s="55" t="inlineStr"/>
      <c r="P872" s="16" t="inlineStr">
        <is>
          <t>Требует обогащения</t>
        </is>
      </c>
      <c r="Q872" s="16">
        <f>HYPERLINK("https://pb.nalog.ru/search.html?query=3808024865","ФНС: проверить")</f>
        <v/>
      </c>
      <c r="R872" s="16">
        <f>HYPERLINK("https://checko.ru/search?query=3801001629","Чекко: проверить")</f>
        <v/>
      </c>
      <c r="S872" t="n">
        <v>1</v>
      </c>
      <c r="T872" s="35" t="inlineStr">
        <is>
          <t>4 — Не обогащён</t>
        </is>
      </c>
      <c r="U872" s="35" t="inlineStr">
        <is>
          <t>Нет ОКВЭД/ССЧР</t>
        </is>
      </c>
      <c r="V872" s="35" t="inlineStr">
        <is>
          <t>Не определено</t>
        </is>
      </c>
      <c r="W872" s="35" t="inlineStr"/>
      <c r="X872" s="35" t="inlineStr"/>
    </row>
    <row r="873" ht="27.75" customHeight="1" s="24">
      <c r="A873" s="13" t="n">
        <v>5000002022</v>
      </c>
      <c r="B873" s="13" t="inlineStr">
        <is>
          <t>МУЗ "Катангская центральная районная больница"</t>
        </is>
      </c>
      <c r="C873" s="13" t="n">
        <v>3829000897</v>
      </c>
      <c r="D873" s="13" t="inlineStr">
        <is>
          <t>3829000897</t>
        </is>
      </c>
      <c r="E873" s="13" t="inlineStr">
        <is>
          <t>ЮЛ РФ</t>
        </is>
      </c>
      <c r="F873" s="13" t="n"/>
      <c r="G873" s="14" t="n"/>
      <c r="H873" s="14" t="n"/>
      <c r="I873" s="14" t="n"/>
      <c r="J873" s="14" t="n"/>
      <c r="K873" s="53" t="inlineStr"/>
      <c r="L873" s="53" t="inlineStr">
        <is>
          <t>Не определено</t>
        </is>
      </c>
      <c r="M873" s="53" t="inlineStr"/>
      <c r="N873" s="54" t="inlineStr"/>
      <c r="O873" s="55" t="inlineStr"/>
      <c r="P873" s="16" t="inlineStr">
        <is>
          <t>Требует обогащения</t>
        </is>
      </c>
      <c r="Q873" s="16">
        <f>HYPERLINK("https://pb.nalog.ru/search.html?query=3829000897","ФНС: проверить")</f>
        <v/>
      </c>
      <c r="R873" s="16">
        <f>HYPERLINK("https://checko.ru/search?query=3801001629","Чекко: проверить")</f>
        <v/>
      </c>
      <c r="S873" t="n">
        <v>1</v>
      </c>
      <c r="T873" s="35" t="inlineStr">
        <is>
          <t>4 — Не обогащён</t>
        </is>
      </c>
      <c r="U873" s="35" t="inlineStr">
        <is>
          <t>Нет ОКВЭД/ССЧР</t>
        </is>
      </c>
      <c r="V873" s="35" t="inlineStr">
        <is>
          <t>Не определено</t>
        </is>
      </c>
      <c r="W873" s="35" t="inlineStr"/>
      <c r="X873" s="35" t="inlineStr"/>
    </row>
    <row r="874" ht="27.75" customHeight="1" s="24">
      <c r="A874" s="13" t="n">
        <v>5000001972</v>
      </c>
      <c r="B874" s="13" t="inlineStr">
        <is>
          <t>ОГБУЗ "Иркутская областная инфекционная клиническая больница"</t>
        </is>
      </c>
      <c r="C874" s="13" t="n">
        <v>3812014517</v>
      </c>
      <c r="D874" s="13" t="inlineStr">
        <is>
          <t>3812014517</t>
        </is>
      </c>
      <c r="E874" s="13" t="inlineStr">
        <is>
          <t>ЮЛ РФ</t>
        </is>
      </c>
      <c r="F874" s="13" t="n"/>
      <c r="G874" s="14" t="n"/>
      <c r="H874" s="14" t="n"/>
      <c r="I874" s="14" t="n"/>
      <c r="J874" s="14" t="n"/>
      <c r="K874" s="53" t="inlineStr"/>
      <c r="L874" s="53" t="inlineStr">
        <is>
          <t>Не определено</t>
        </is>
      </c>
      <c r="M874" s="53" t="inlineStr"/>
      <c r="N874" s="54" t="inlineStr"/>
      <c r="O874" s="55" t="inlineStr"/>
      <c r="P874" s="16" t="inlineStr">
        <is>
          <t>Требует обогащения</t>
        </is>
      </c>
      <c r="Q874" s="16">
        <f>HYPERLINK("https://pb.nalog.ru/search.html?query=3812014517","ФНС: проверить")</f>
        <v/>
      </c>
      <c r="R874" s="16">
        <f>HYPERLINK("https://checko.ru/search?query=3801001629","Чекко: проверить")</f>
        <v/>
      </c>
      <c r="S874" t="n">
        <v>1</v>
      </c>
      <c r="T874" s="35" t="inlineStr">
        <is>
          <t>4 — Не обогащён</t>
        </is>
      </c>
      <c r="U874" s="35" t="inlineStr">
        <is>
          <t>Нет ОКВЭД/ССЧР</t>
        </is>
      </c>
      <c r="V874" s="35" t="inlineStr">
        <is>
          <t>Не определено</t>
        </is>
      </c>
      <c r="W874" s="35" t="inlineStr"/>
      <c r="X874" s="35" t="inlineStr"/>
    </row>
    <row r="875" ht="27.75" customHeight="1" s="24">
      <c r="A875" s="13" t="n">
        <v>5000001568</v>
      </c>
      <c r="B875" s="13" t="inlineStr">
        <is>
          <t>МАУЗ г. Иркутска "Городская детская поликлиника №2"</t>
        </is>
      </c>
      <c r="C875" s="13" t="n">
        <v>3811031478</v>
      </c>
      <c r="D875" s="13" t="inlineStr">
        <is>
          <t>3811031478</t>
        </is>
      </c>
      <c r="E875" s="13" t="inlineStr">
        <is>
          <t>ЮЛ РФ</t>
        </is>
      </c>
      <c r="F875" s="13" t="n"/>
      <c r="G875" s="14" t="n"/>
      <c r="H875" s="14" t="n"/>
      <c r="I875" s="14" t="n"/>
      <c r="J875" s="14" t="n"/>
      <c r="K875" s="53" t="inlineStr"/>
      <c r="L875" s="53" t="inlineStr">
        <is>
          <t>Не определено</t>
        </is>
      </c>
      <c r="M875" s="53" t="inlineStr"/>
      <c r="N875" s="54" t="inlineStr"/>
      <c r="O875" s="55" t="inlineStr"/>
      <c r="P875" s="16" t="inlineStr">
        <is>
          <t>Требует обогащения</t>
        </is>
      </c>
      <c r="Q875" s="16">
        <f>HYPERLINK("https://pb.nalog.ru/search.html?query=3811031478","ФНС: проверить")</f>
        <v/>
      </c>
      <c r="R875" s="16">
        <f>HYPERLINK("https://checko.ru/search?query=3801001629","Чекко: проверить")</f>
        <v/>
      </c>
      <c r="S875" t="n">
        <v>1</v>
      </c>
      <c r="T875" s="35" t="inlineStr">
        <is>
          <t>4 — Не обогащён</t>
        </is>
      </c>
      <c r="U875" s="35" t="inlineStr">
        <is>
          <t>Нет ОКВЭД/ССЧР</t>
        </is>
      </c>
      <c r="V875" s="35" t="inlineStr">
        <is>
          <t>Не определено</t>
        </is>
      </c>
      <c r="W875" s="35" t="inlineStr"/>
      <c r="X875" s="35" t="inlineStr"/>
    </row>
    <row r="876" ht="15" customHeight="1" s="24">
      <c r="A876" s="13" t="n">
        <v>5000001569</v>
      </c>
      <c r="B876" s="13" t="inlineStr">
        <is>
          <t>МАУЗ "Клиническая больница №1 г. Иркутска"</t>
        </is>
      </c>
      <c r="C876" s="13" t="n">
        <v>3811031492</v>
      </c>
      <c r="D876" s="13" t="inlineStr">
        <is>
          <t>3811031492</t>
        </is>
      </c>
      <c r="E876" s="13" t="inlineStr">
        <is>
          <t>ЮЛ РФ</t>
        </is>
      </c>
      <c r="F876" s="13" t="n"/>
      <c r="G876" s="14" t="n"/>
      <c r="H876" s="14" t="n"/>
      <c r="I876" s="14" t="n"/>
      <c r="J876" s="14" t="n"/>
      <c r="K876" s="53" t="inlineStr"/>
      <c r="L876" s="53" t="inlineStr">
        <is>
          <t>Не определено</t>
        </is>
      </c>
      <c r="M876" s="53" t="inlineStr"/>
      <c r="N876" s="54" t="inlineStr"/>
      <c r="O876" s="55" t="inlineStr"/>
      <c r="P876" s="16" t="inlineStr">
        <is>
          <t>Требует обогащения</t>
        </is>
      </c>
      <c r="Q876" s="16">
        <f>HYPERLINK("https://pb.nalog.ru/search.html?query=3811031492","ФНС: проверить")</f>
        <v/>
      </c>
      <c r="R876" s="16">
        <f>HYPERLINK("https://checko.ru/search?query=3801001629","Чекко: проверить")</f>
        <v/>
      </c>
      <c r="S876" t="n">
        <v>1</v>
      </c>
      <c r="T876" s="35" t="inlineStr">
        <is>
          <t>4 — Не обогащён</t>
        </is>
      </c>
      <c r="U876" s="35" t="inlineStr">
        <is>
          <t>Нет ОКВЭД/ССЧР</t>
        </is>
      </c>
      <c r="V876" s="35" t="inlineStr">
        <is>
          <t>Не определено</t>
        </is>
      </c>
      <c r="W876" s="35" t="inlineStr"/>
      <c r="X876" s="35" t="inlineStr"/>
    </row>
    <row r="877" ht="27.75" customHeight="1" s="24">
      <c r="A877" s="13" t="n">
        <v>5000001383</v>
      </c>
      <c r="B877" s="13" t="inlineStr">
        <is>
          <t>ОГСКОУ "Специальная (коррекционная) школа-интернат №33"</t>
        </is>
      </c>
      <c r="C877" s="13" t="n">
        <v>3803203765</v>
      </c>
      <c r="D877" s="13" t="inlineStr">
        <is>
          <t>3803203765</t>
        </is>
      </c>
      <c r="E877" s="13" t="inlineStr">
        <is>
          <t>ЮЛ РФ</t>
        </is>
      </c>
      <c r="F877" s="13" t="n"/>
      <c r="G877" s="14" t="n"/>
      <c r="H877" s="14" t="n"/>
      <c r="I877" s="14" t="n"/>
      <c r="J877" s="14" t="n"/>
      <c r="K877" s="53" t="inlineStr"/>
      <c r="L877" s="53" t="inlineStr">
        <is>
          <t>Не определено</t>
        </is>
      </c>
      <c r="M877" s="53" t="inlineStr"/>
      <c r="N877" s="54" t="inlineStr"/>
      <c r="O877" s="55" t="inlineStr"/>
      <c r="P877" s="16" t="inlineStr">
        <is>
          <t>Требует обогащения</t>
        </is>
      </c>
      <c r="Q877" s="16">
        <f>HYPERLINK("https://pb.nalog.ru/search.html?query=3803203765","ФНС: проверить")</f>
        <v/>
      </c>
      <c r="R877" s="16">
        <f>HYPERLINK("https://checko.ru/search?query=3801001629","Чекко: проверить")</f>
        <v/>
      </c>
      <c r="S877" t="n">
        <v>1</v>
      </c>
      <c r="T877" s="35" t="inlineStr">
        <is>
          <t>4 — Не обогащён</t>
        </is>
      </c>
      <c r="U877" s="35" t="inlineStr">
        <is>
          <t>Нет ОКВЭД/ССЧР</t>
        </is>
      </c>
      <c r="V877" s="35" t="inlineStr">
        <is>
          <t>Не определено</t>
        </is>
      </c>
      <c r="W877" s="35" t="inlineStr"/>
      <c r="X877" s="35" t="inlineStr"/>
    </row>
    <row r="878" ht="27.75" customHeight="1" s="24">
      <c r="A878" s="13" t="n">
        <v>5000001643</v>
      </c>
      <c r="B878" s="13" t="inlineStr">
        <is>
          <t>ОбГАУЗ «Городская Ивано-Матренинская детская клиническая больница»</t>
        </is>
      </c>
      <c r="C878" s="13" t="n">
        <v>3809015944</v>
      </c>
      <c r="D878" s="13" t="inlineStr">
        <is>
          <t>3809015944</t>
        </is>
      </c>
      <c r="E878" s="13" t="inlineStr">
        <is>
          <t>ЮЛ РФ</t>
        </is>
      </c>
      <c r="F878" s="13" t="n"/>
      <c r="G878" s="14" t="n"/>
      <c r="H878" s="14" t="n"/>
      <c r="I878" s="14" t="n"/>
      <c r="J878" s="14" t="n"/>
      <c r="K878" s="53" t="inlineStr"/>
      <c r="L878" s="53" t="inlineStr">
        <is>
          <t>Не определено</t>
        </is>
      </c>
      <c r="M878" s="53" t="inlineStr"/>
      <c r="N878" s="54" t="inlineStr"/>
      <c r="O878" s="55" t="inlineStr"/>
      <c r="P878" s="16" t="inlineStr">
        <is>
          <t>Требует обогащения</t>
        </is>
      </c>
      <c r="Q878" s="16">
        <f>HYPERLINK("https://pb.nalog.ru/search.html?query=3809015944","ФНС: проверить")</f>
        <v/>
      </c>
      <c r="R878" s="16">
        <f>HYPERLINK("https://checko.ru/search?query=3801001629","Чекко: проверить")</f>
        <v/>
      </c>
      <c r="S878" t="n">
        <v>1</v>
      </c>
      <c r="T878" s="35" t="inlineStr">
        <is>
          <t>4 — Не обогащён</t>
        </is>
      </c>
      <c r="U878" s="35" t="inlineStr">
        <is>
          <t>Нет ОКВЭД/ССЧР</t>
        </is>
      </c>
      <c r="V878" s="35" t="inlineStr">
        <is>
          <t>Не определено</t>
        </is>
      </c>
      <c r="W878" s="35" t="inlineStr"/>
      <c r="X878" s="35" t="inlineStr"/>
    </row>
    <row r="879" ht="27.75" customHeight="1" s="24">
      <c r="A879" s="13" t="n">
        <v>5000001616</v>
      </c>
      <c r="B879" s="13" t="inlineStr">
        <is>
          <t>ГБУЗ Иркутская государственная областная детская клиническая больница</t>
        </is>
      </c>
      <c r="C879" s="13" t="n">
        <v>3811029091</v>
      </c>
      <c r="D879" s="13" t="inlineStr">
        <is>
          <t>3811029091</t>
        </is>
      </c>
      <c r="E879" s="13" t="inlineStr">
        <is>
          <t>ЮЛ РФ</t>
        </is>
      </c>
      <c r="F879" s="13" t="n"/>
      <c r="G879" s="14" t="n"/>
      <c r="H879" s="14" t="n"/>
      <c r="I879" s="14" t="n"/>
      <c r="J879" s="14" t="n"/>
      <c r="K879" s="53" t="inlineStr"/>
      <c r="L879" s="53" t="inlineStr">
        <is>
          <t>Не определено</t>
        </is>
      </c>
      <c r="M879" s="53" t="inlineStr"/>
      <c r="N879" s="54" t="inlineStr"/>
      <c r="O879" s="55" t="inlineStr"/>
      <c r="P879" s="16" t="inlineStr">
        <is>
          <t>Требует обогащения</t>
        </is>
      </c>
      <c r="Q879" s="16">
        <f>HYPERLINK("https://pb.nalog.ru/search.html?query=3811029091","ФНС: проверить")</f>
        <v/>
      </c>
      <c r="R879" s="16">
        <f>HYPERLINK("https://checko.ru/search?query=3801001629","Чекко: проверить")</f>
        <v/>
      </c>
      <c r="S879" t="n">
        <v>1</v>
      </c>
      <c r="T879" s="35" t="inlineStr">
        <is>
          <t>4 — Не обогащён</t>
        </is>
      </c>
      <c r="U879" s="35" t="inlineStr">
        <is>
          <t>Нет ОКВЭД/ССЧР</t>
        </is>
      </c>
      <c r="V879" s="35" t="inlineStr">
        <is>
          <t>Не определено</t>
        </is>
      </c>
      <c r="W879" s="35" t="inlineStr"/>
      <c r="X879" s="35" t="inlineStr"/>
    </row>
    <row r="880" ht="15" customHeight="1" s="24">
      <c r="A880" s="13" t="n">
        <v>5000001635</v>
      </c>
      <c r="B880" s="13" t="inlineStr">
        <is>
          <t>МАУЗ "Городская больница № 2" г. Братск</t>
        </is>
      </c>
      <c r="C880" s="13" t="n">
        <v>3805100162</v>
      </c>
      <c r="D880" s="13" t="inlineStr">
        <is>
          <t>3805100162</t>
        </is>
      </c>
      <c r="E880" s="13" t="inlineStr">
        <is>
          <t>ЮЛ РФ</t>
        </is>
      </c>
      <c r="F880" s="13" t="n"/>
      <c r="G880" s="14" t="n"/>
      <c r="H880" s="14" t="n"/>
      <c r="I880" s="14" t="n"/>
      <c r="J880" s="14" t="n"/>
      <c r="K880" s="53" t="inlineStr"/>
      <c r="L880" s="53" t="inlineStr">
        <is>
          <t>Не определено</t>
        </is>
      </c>
      <c r="M880" s="53" t="inlineStr"/>
      <c r="N880" s="54" t="inlineStr"/>
      <c r="O880" s="55" t="inlineStr"/>
      <c r="P880" s="16" t="inlineStr">
        <is>
          <t>Требует обогащения</t>
        </is>
      </c>
      <c r="Q880" s="16">
        <f>HYPERLINK("https://pb.nalog.ru/search.html?query=3805100162","ФНС: проверить")</f>
        <v/>
      </c>
      <c r="R880" s="16">
        <f>HYPERLINK("https://checko.ru/search?query=3801001629","Чекко: проверить")</f>
        <v/>
      </c>
      <c r="S880" t="n">
        <v>1</v>
      </c>
      <c r="T880" s="35" t="inlineStr">
        <is>
          <t>4 — Не обогащён</t>
        </is>
      </c>
      <c r="U880" s="35" t="inlineStr">
        <is>
          <t>Нет ОКВЭД/ССЧР</t>
        </is>
      </c>
      <c r="V880" s="35" t="inlineStr">
        <is>
          <t>Не определено</t>
        </is>
      </c>
      <c r="W880" s="35" t="inlineStr"/>
      <c r="X880" s="35" t="inlineStr"/>
    </row>
    <row r="881" ht="15" customHeight="1" s="24">
      <c r="A881" s="13" t="n">
        <v>5000001651</v>
      </c>
      <c r="B881" s="13" t="inlineStr">
        <is>
          <t>МБУЗ Качугская центральная районная больница</t>
        </is>
      </c>
      <c r="C881" s="13" t="n">
        <v>3830000130</v>
      </c>
      <c r="D881" s="13" t="inlineStr">
        <is>
          <t>3830000130</t>
        </is>
      </c>
      <c r="E881" s="13" t="inlineStr">
        <is>
          <t>ЮЛ РФ</t>
        </is>
      </c>
      <c r="F881" s="13" t="n"/>
      <c r="G881" s="14" t="n"/>
      <c r="H881" s="14" t="n"/>
      <c r="I881" s="14" t="n"/>
      <c r="J881" s="14" t="n"/>
      <c r="K881" s="53" t="inlineStr"/>
      <c r="L881" s="53" t="inlineStr">
        <is>
          <t>Не определено</t>
        </is>
      </c>
      <c r="M881" s="53" t="inlineStr"/>
      <c r="N881" s="54" t="inlineStr"/>
      <c r="O881" s="55" t="inlineStr"/>
      <c r="P881" s="16" t="inlineStr">
        <is>
          <t>Требует обогащения</t>
        </is>
      </c>
      <c r="Q881" s="16">
        <f>HYPERLINK("https://pb.nalog.ru/search.html?query=3830000130","ФНС: проверить")</f>
        <v/>
      </c>
      <c r="R881" s="16">
        <f>HYPERLINK("https://checko.ru/search?query=3801001629","Чекко: проверить")</f>
        <v/>
      </c>
      <c r="S881" t="n">
        <v>1</v>
      </c>
      <c r="T881" s="35" t="inlineStr">
        <is>
          <t>4 — Не обогащён</t>
        </is>
      </c>
      <c r="U881" s="35" t="inlineStr">
        <is>
          <t>Нет ОКВЭД/ССЧР</t>
        </is>
      </c>
      <c r="V881" s="35" t="inlineStr">
        <is>
          <t>Не определено</t>
        </is>
      </c>
      <c r="W881" s="35" t="inlineStr"/>
      <c r="X881" s="35" t="inlineStr"/>
    </row>
    <row r="882" ht="15" customHeight="1" s="24">
      <c r="A882" s="13" t="n">
        <v>5000001605</v>
      </c>
      <c r="B882" s="13" t="inlineStr">
        <is>
          <t>ОГБУЗ "Районная больница  Бодайбо"</t>
        </is>
      </c>
      <c r="C882" s="13" t="n">
        <v>3802002142</v>
      </c>
      <c r="D882" s="13" t="inlineStr">
        <is>
          <t>3802002142</t>
        </is>
      </c>
      <c r="E882" s="13" t="inlineStr">
        <is>
          <t>ЮЛ РФ</t>
        </is>
      </c>
      <c r="F882" s="13" t="n"/>
      <c r="G882" s="14" t="n"/>
      <c r="H882" s="14" t="n"/>
      <c r="I882" s="14" t="n"/>
      <c r="J882" s="14" t="n"/>
      <c r="K882" s="53" t="inlineStr"/>
      <c r="L882" s="53" t="inlineStr">
        <is>
          <t>Не определено</t>
        </is>
      </c>
      <c r="M882" s="53" t="inlineStr"/>
      <c r="N882" s="54" t="inlineStr"/>
      <c r="O882" s="55" t="inlineStr"/>
      <c r="P882" s="16" t="inlineStr">
        <is>
          <t>Требует обогащения</t>
        </is>
      </c>
      <c r="Q882" s="16">
        <f>HYPERLINK("https://pb.nalog.ru/search.html?query=3802002142","ФНС: проверить")</f>
        <v/>
      </c>
      <c r="R882" s="16">
        <f>HYPERLINK("https://checko.ru/search?query=3801001629","Чекко: проверить")</f>
        <v/>
      </c>
      <c r="S882" t="n">
        <v>1</v>
      </c>
      <c r="T882" s="35" t="inlineStr">
        <is>
          <t>4 — Не обогащён</t>
        </is>
      </c>
      <c r="U882" s="35" t="inlineStr">
        <is>
          <t>Нет ОКВЭД/ССЧР</t>
        </is>
      </c>
      <c r="V882" s="35" t="inlineStr">
        <is>
          <t>Не определено</t>
        </is>
      </c>
      <c r="W882" s="35" t="inlineStr"/>
      <c r="X882" s="35" t="inlineStr"/>
    </row>
    <row r="883" ht="27.75" customHeight="1" s="24">
      <c r="A883" s="13" t="n">
        <v>5000001622</v>
      </c>
      <c r="B883" s="13" t="inlineStr">
        <is>
          <t>МУЗ "Мамско-Чуйская центральная районная больница"</t>
        </is>
      </c>
      <c r="C883" s="13" t="n">
        <v>3833001251</v>
      </c>
      <c r="D883" s="13" t="inlineStr">
        <is>
          <t>3833001251</t>
        </is>
      </c>
      <c r="E883" s="13" t="inlineStr">
        <is>
          <t>ЮЛ РФ</t>
        </is>
      </c>
      <c r="F883" s="13" t="n"/>
      <c r="G883" s="14" t="n"/>
      <c r="H883" s="14" t="n"/>
      <c r="I883" s="14" t="n"/>
      <c r="J883" s="14" t="n"/>
      <c r="K883" s="53" t="inlineStr"/>
      <c r="L883" s="53" t="inlineStr">
        <is>
          <t>Не определено</t>
        </is>
      </c>
      <c r="M883" s="53" t="inlineStr"/>
      <c r="N883" s="54" t="inlineStr"/>
      <c r="O883" s="55" t="inlineStr"/>
      <c r="P883" s="16" t="inlineStr">
        <is>
          <t>Требует обогащения</t>
        </is>
      </c>
      <c r="Q883" s="16">
        <f>HYPERLINK("https://pb.nalog.ru/search.html?query=3833001251","ФНС: проверить")</f>
        <v/>
      </c>
      <c r="R883" s="16">
        <f>HYPERLINK("https://checko.ru/search?query=3801001629","Чекко: проверить")</f>
        <v/>
      </c>
      <c r="S883" t="n">
        <v>1</v>
      </c>
      <c r="T883" s="35" t="inlineStr">
        <is>
          <t>4 — Не обогащён</t>
        </is>
      </c>
      <c r="U883" s="35" t="inlineStr">
        <is>
          <t>Нет ОКВЭД/ССЧР</t>
        </is>
      </c>
      <c r="V883" s="35" t="inlineStr">
        <is>
          <t>Не определено</t>
        </is>
      </c>
      <c r="W883" s="35" t="inlineStr"/>
      <c r="X883" s="35" t="inlineStr"/>
    </row>
    <row r="884" ht="27.75" customHeight="1" s="24">
      <c r="A884" s="13" t="n">
        <v>5000001453</v>
      </c>
      <c r="B884" s="13" t="inlineStr">
        <is>
          <t>ГБУЗ «Областной кожно-венерологический диспансер»</t>
        </is>
      </c>
      <c r="C884" s="13" t="n">
        <v>3808027390</v>
      </c>
      <c r="D884" s="13" t="inlineStr">
        <is>
          <t>3808027390</t>
        </is>
      </c>
      <c r="E884" s="13" t="inlineStr">
        <is>
          <t>ЮЛ РФ</t>
        </is>
      </c>
      <c r="F884" s="13" t="n"/>
      <c r="G884" s="14" t="n"/>
      <c r="H884" s="14" t="n"/>
      <c r="I884" s="14" t="n"/>
      <c r="J884" s="14" t="n"/>
      <c r="K884" s="53" t="inlineStr"/>
      <c r="L884" s="53" t="inlineStr">
        <is>
          <t>Не определено</t>
        </is>
      </c>
      <c r="M884" s="53" t="inlineStr"/>
      <c r="N884" s="54" t="inlineStr"/>
      <c r="O884" s="55" t="inlineStr"/>
      <c r="P884" s="16" t="inlineStr">
        <is>
          <t>Требует обогащения</t>
        </is>
      </c>
      <c r="Q884" s="16">
        <f>HYPERLINK("https://pb.nalog.ru/search.html?query=3808027390","ФНС: проверить")</f>
        <v/>
      </c>
      <c r="R884" s="16">
        <f>HYPERLINK("https://checko.ru/search?query=3801001629","Чекко: проверить")</f>
        <v/>
      </c>
      <c r="S884" t="n">
        <v>1</v>
      </c>
      <c r="T884" s="35" t="inlineStr">
        <is>
          <t>4 — Не обогащён</t>
        </is>
      </c>
      <c r="U884" s="35" t="inlineStr">
        <is>
          <t>Нет ОКВЭД/ССЧР</t>
        </is>
      </c>
      <c r="V884" s="35" t="inlineStr">
        <is>
          <t>Не определено</t>
        </is>
      </c>
      <c r="W884" s="35" t="inlineStr"/>
      <c r="X884" s="35" t="inlineStr"/>
    </row>
    <row r="885" ht="15" customHeight="1" s="24">
      <c r="A885" s="13" t="n">
        <v>5000002005</v>
      </c>
      <c r="B885" s="13" t="inlineStr">
        <is>
          <t>ОГБУЗ «Шелеховская ЦРБ»</t>
        </is>
      </c>
      <c r="C885" s="13" t="n">
        <v>3821001539</v>
      </c>
      <c r="D885" s="13" t="inlineStr">
        <is>
          <t>3821001539</t>
        </is>
      </c>
      <c r="E885" s="13" t="inlineStr">
        <is>
          <t>ЮЛ РФ</t>
        </is>
      </c>
      <c r="F885" s="13" t="n"/>
      <c r="G885" s="14" t="n"/>
      <c r="H885" s="14" t="n"/>
      <c r="I885" s="14" t="n"/>
      <c r="J885" s="14" t="n"/>
      <c r="K885" s="53" t="inlineStr"/>
      <c r="L885" s="53" t="inlineStr">
        <is>
          <t>Не определено</t>
        </is>
      </c>
      <c r="M885" s="53" t="inlineStr"/>
      <c r="N885" s="54" t="inlineStr"/>
      <c r="O885" s="55" t="inlineStr"/>
      <c r="P885" s="16" t="inlineStr">
        <is>
          <t>Требует обогащения</t>
        </is>
      </c>
      <c r="Q885" s="16">
        <f>HYPERLINK("https://pb.nalog.ru/search.html?query=3821001539","ФНС: проверить")</f>
        <v/>
      </c>
      <c r="R885" s="16">
        <f>HYPERLINK("https://checko.ru/search?query=3801001629","Чекко: проверить")</f>
        <v/>
      </c>
      <c r="S885" t="n">
        <v>1</v>
      </c>
      <c r="T885" s="35" t="inlineStr">
        <is>
          <t>4 — Не обогащён</t>
        </is>
      </c>
      <c r="U885" s="35" t="inlineStr">
        <is>
          <t>Нет ОКВЭД/ССЧР</t>
        </is>
      </c>
      <c r="V885" s="35" t="inlineStr">
        <is>
          <t>Не определено</t>
        </is>
      </c>
      <c r="W885" s="35" t="inlineStr"/>
      <c r="X885" s="35" t="inlineStr"/>
    </row>
    <row r="886" ht="15" customHeight="1" s="24">
      <c r="A886" s="13" t="n">
        <v>5000001984</v>
      </c>
      <c r="B886" s="13" t="inlineStr">
        <is>
          <t>ОбГБУЗ "Саянская городская больница"</t>
        </is>
      </c>
      <c r="C886" s="13" t="n">
        <v>3814003670</v>
      </c>
      <c r="D886" s="13" t="inlineStr">
        <is>
          <t>3814003670</t>
        </is>
      </c>
      <c r="E886" s="13" t="inlineStr">
        <is>
          <t>ЮЛ РФ</t>
        </is>
      </c>
      <c r="F886" s="13" t="n"/>
      <c r="G886" s="14" t="n"/>
      <c r="H886" s="14" t="n"/>
      <c r="I886" s="14" t="n"/>
      <c r="J886" s="14" t="n"/>
      <c r="K886" s="53" t="inlineStr"/>
      <c r="L886" s="53" t="inlineStr">
        <is>
          <t>Не определено</t>
        </is>
      </c>
      <c r="M886" s="53" t="inlineStr"/>
      <c r="N886" s="54" t="inlineStr"/>
      <c r="O886" s="55" t="inlineStr"/>
      <c r="P886" s="16" t="inlineStr">
        <is>
          <t>Требует обогащения</t>
        </is>
      </c>
      <c r="Q886" s="16">
        <f>HYPERLINK("https://pb.nalog.ru/search.html?query=3814003670","ФНС: проверить")</f>
        <v/>
      </c>
      <c r="R886" s="16">
        <f>HYPERLINK("https://checko.ru/search?query=3801001629","Чекко: проверить")</f>
        <v/>
      </c>
      <c r="S886" t="n">
        <v>1</v>
      </c>
      <c r="T886" s="35" t="inlineStr">
        <is>
          <t>4 — Не обогащён</t>
        </is>
      </c>
      <c r="U886" s="35" t="inlineStr">
        <is>
          <t>Нет ОКВЭД/ССЧР</t>
        </is>
      </c>
      <c r="V886" s="35" t="inlineStr">
        <is>
          <t>Не определено</t>
        </is>
      </c>
      <c r="W886" s="35" t="inlineStr"/>
      <c r="X886" s="35" t="inlineStr"/>
    </row>
    <row r="887" ht="15" customHeight="1" s="24">
      <c r="A887" s="13" t="n">
        <v>5000036239</v>
      </c>
      <c r="B887" s="13" t="inlineStr">
        <is>
          <t>ОАУ РГ "Карсунский вестник"</t>
        </is>
      </c>
      <c r="C887" s="13" t="n">
        <v>7309904685</v>
      </c>
      <c r="D887" s="13" t="inlineStr">
        <is>
          <t>7309904685</t>
        </is>
      </c>
      <c r="E887" s="13" t="inlineStr">
        <is>
          <t>ЮЛ РФ</t>
        </is>
      </c>
      <c r="F887" s="13" t="n"/>
      <c r="G887" s="14" t="n"/>
      <c r="H887" s="14" t="n"/>
      <c r="I887" s="14" t="n"/>
      <c r="J887" s="14" t="n"/>
      <c r="K887" s="53" t="inlineStr"/>
      <c r="L887" s="53" t="inlineStr">
        <is>
          <t>Не определено</t>
        </is>
      </c>
      <c r="M887" s="53" t="inlineStr"/>
      <c r="N887" s="54" t="inlineStr"/>
      <c r="O887" s="55" t="inlineStr"/>
      <c r="P887" s="16" t="inlineStr">
        <is>
          <t>Требует обогащения</t>
        </is>
      </c>
      <c r="Q887" s="16">
        <f>HYPERLINK("https://pb.nalog.ru/search.html?query=7309904685","ФНС: проверить")</f>
        <v/>
      </c>
      <c r="R887" s="16">
        <f>HYPERLINK("https://checko.ru/search?query=3801001629","Чекко: проверить")</f>
        <v/>
      </c>
      <c r="S887" t="n">
        <v>1</v>
      </c>
      <c r="T887" s="35" t="inlineStr">
        <is>
          <t>4 — Не обогащён</t>
        </is>
      </c>
      <c r="U887" s="35" t="inlineStr">
        <is>
          <t>Нет ОКВЭД/ССЧР</t>
        </is>
      </c>
      <c r="V887" s="35" t="inlineStr">
        <is>
          <t>Не определено</t>
        </is>
      </c>
      <c r="W887" s="35" t="inlineStr"/>
      <c r="X887" s="35" t="inlineStr"/>
    </row>
    <row r="888" ht="15" customHeight="1" s="24">
      <c r="A888" s="13" t="n">
        <v>5000001640</v>
      </c>
      <c r="B888" s="13" t="inlineStr">
        <is>
          <t>МБУЗ "Городская поликлиника № 15" г. Иркутска</t>
        </is>
      </c>
      <c r="C888" s="13" t="n">
        <v>3809016017</v>
      </c>
      <c r="D888" s="13" t="inlineStr">
        <is>
          <t>3809016017</t>
        </is>
      </c>
      <c r="E888" s="13" t="inlineStr">
        <is>
          <t>ЮЛ РФ</t>
        </is>
      </c>
      <c r="F888" s="13" t="n"/>
      <c r="G888" s="14" t="n"/>
      <c r="H888" s="14" t="n"/>
      <c r="I888" s="14" t="n"/>
      <c r="J888" s="14" t="n"/>
      <c r="K888" s="53" t="inlineStr"/>
      <c r="L888" s="53" t="inlineStr">
        <is>
          <t>Не определено</t>
        </is>
      </c>
      <c r="M888" s="53" t="inlineStr"/>
      <c r="N888" s="54" t="inlineStr"/>
      <c r="O888" s="55" t="inlineStr"/>
      <c r="P888" s="16" t="inlineStr">
        <is>
          <t>Требует обогащения</t>
        </is>
      </c>
      <c r="Q888" s="16">
        <f>HYPERLINK("https://pb.nalog.ru/search.html?query=3809016017","ФНС: проверить")</f>
        <v/>
      </c>
      <c r="R888" s="16">
        <f>HYPERLINK("https://checko.ru/search?query=3801001629","Чекко: проверить")</f>
        <v/>
      </c>
      <c r="S888" t="n">
        <v>1</v>
      </c>
      <c r="T888" s="35" t="inlineStr">
        <is>
          <t>4 — Не обогащён</t>
        </is>
      </c>
      <c r="U888" s="35" t="inlineStr">
        <is>
          <t>Нет ОКВЭД/ССЧР</t>
        </is>
      </c>
      <c r="V888" s="35" t="inlineStr">
        <is>
          <t>Не определено</t>
        </is>
      </c>
      <c r="W888" s="35" t="inlineStr"/>
      <c r="X888" s="35" t="inlineStr"/>
    </row>
    <row r="889" ht="15" customHeight="1" s="24">
      <c r="A889" s="13" t="n">
        <v>5000001550</v>
      </c>
      <c r="B889" s="13" t="inlineStr">
        <is>
          <t>ОГСКОУ СКОШ №6 г. Иркутска</t>
        </is>
      </c>
      <c r="C889" s="13" t="n">
        <v>3810024414</v>
      </c>
      <c r="D889" s="13" t="inlineStr">
        <is>
          <t>3810024414</t>
        </is>
      </c>
      <c r="E889" s="13" t="inlineStr">
        <is>
          <t>ЮЛ РФ</t>
        </is>
      </c>
      <c r="F889" s="13" t="n"/>
      <c r="G889" s="14" t="n"/>
      <c r="H889" s="14" t="n"/>
      <c r="I889" s="14" t="n"/>
      <c r="J889" s="14" t="n"/>
      <c r="K889" s="53" t="inlineStr"/>
      <c r="L889" s="53" t="inlineStr">
        <is>
          <t>Не определено</t>
        </is>
      </c>
      <c r="M889" s="53" t="inlineStr"/>
      <c r="N889" s="54" t="inlineStr"/>
      <c r="O889" s="55" t="inlineStr"/>
      <c r="P889" s="16" t="inlineStr">
        <is>
          <t>Требует обогащения</t>
        </is>
      </c>
      <c r="Q889" s="16">
        <f>HYPERLINK("https://pb.nalog.ru/search.html?query=3810024414","ФНС: проверить")</f>
        <v/>
      </c>
      <c r="R889" s="16">
        <f>HYPERLINK("https://checko.ru/search?query=3801001629","Чекко: проверить")</f>
        <v/>
      </c>
      <c r="S889" t="n">
        <v>1</v>
      </c>
      <c r="T889" s="35" t="inlineStr">
        <is>
          <t>4 — Не обогащён</t>
        </is>
      </c>
      <c r="U889" s="35" t="inlineStr">
        <is>
          <t>Нет ОКВЭД/ССЧР</t>
        </is>
      </c>
      <c r="V889" s="35" t="inlineStr">
        <is>
          <t>Не определено</t>
        </is>
      </c>
      <c r="W889" s="35" t="inlineStr"/>
      <c r="X889" s="35" t="inlineStr"/>
    </row>
    <row r="890" ht="15" customHeight="1" s="24">
      <c r="A890" s="13" t="n">
        <v>5000001926</v>
      </c>
      <c r="B890" s="13" t="inlineStr">
        <is>
          <t>Черемховский горнотехнический колледж</t>
        </is>
      </c>
      <c r="C890" s="13" t="n">
        <v>3820001110</v>
      </c>
      <c r="D890" s="13" t="inlineStr">
        <is>
          <t>3820001110</t>
        </is>
      </c>
      <c r="E890" s="13" t="inlineStr">
        <is>
          <t>ЮЛ РФ</t>
        </is>
      </c>
      <c r="F890" s="13" t="n"/>
      <c r="G890" s="14" t="n"/>
      <c r="H890" s="14" t="n"/>
      <c r="I890" s="14" t="n"/>
      <c r="J890" s="14" t="n"/>
      <c r="K890" s="53" t="inlineStr"/>
      <c r="L890" s="53" t="inlineStr">
        <is>
          <t>Не определено</t>
        </is>
      </c>
      <c r="M890" s="53" t="inlineStr"/>
      <c r="N890" s="54" t="inlineStr"/>
      <c r="O890" s="55" t="inlineStr"/>
      <c r="P890" s="16" t="inlineStr">
        <is>
          <t>Требует обогащения</t>
        </is>
      </c>
      <c r="Q890" s="16">
        <f>HYPERLINK("https://pb.nalog.ru/search.html?query=3820001110","ФНС: проверить")</f>
        <v/>
      </c>
      <c r="R890" s="16">
        <f>HYPERLINK("https://checko.ru/search?query=3801001629","Чекко: проверить")</f>
        <v/>
      </c>
      <c r="S890" t="n">
        <v>1</v>
      </c>
      <c r="T890" s="35" t="inlineStr">
        <is>
          <t>4 — Не обогащён</t>
        </is>
      </c>
      <c r="U890" s="35" t="inlineStr">
        <is>
          <t>Нет ОКВЭД/ССЧР</t>
        </is>
      </c>
      <c r="V890" s="35" t="inlineStr">
        <is>
          <t>Не определено</t>
        </is>
      </c>
      <c r="W890" s="35" t="inlineStr"/>
      <c r="X890" s="35" t="inlineStr"/>
    </row>
    <row r="891" ht="27.75" customHeight="1" s="24">
      <c r="A891" s="13" t="n">
        <v>5000003708</v>
      </c>
      <c r="B891" s="13" t="inlineStr">
        <is>
          <t>УПОЛНОМОЧЕННЫЙ ПО ПРАВАМ ЧЕЛОВЕКА В ИРКУТСКОЙ ОБЛАСТИ</t>
        </is>
      </c>
      <c r="C891" s="13" t="n">
        <v>3808153194</v>
      </c>
      <c r="D891" s="13" t="inlineStr">
        <is>
          <t>3808153194</t>
        </is>
      </c>
      <c r="E891" s="13" t="inlineStr">
        <is>
          <t>ЮЛ РФ</t>
        </is>
      </c>
      <c r="F891" s="13" t="n"/>
      <c r="G891" s="14" t="n"/>
      <c r="H891" s="14" t="n"/>
      <c r="I891" s="14" t="n"/>
      <c r="J891" s="14" t="n"/>
      <c r="K891" s="53" t="inlineStr"/>
      <c r="L891" s="53" t="inlineStr">
        <is>
          <t>Не определено</t>
        </is>
      </c>
      <c r="M891" s="53" t="inlineStr"/>
      <c r="N891" s="54" t="inlineStr"/>
      <c r="O891" s="55" t="inlineStr"/>
      <c r="P891" s="16" t="inlineStr">
        <is>
          <t>Требует обогащения</t>
        </is>
      </c>
      <c r="Q891" s="16">
        <f>HYPERLINK("https://pb.nalog.ru/search.html?query=3808153194","ФНС: проверить")</f>
        <v/>
      </c>
      <c r="R891" s="16">
        <f>HYPERLINK("https://checko.ru/search?query=3801001629","Чекко: проверить")</f>
        <v/>
      </c>
      <c r="S891" t="n">
        <v>1</v>
      </c>
      <c r="T891" s="35" t="inlineStr">
        <is>
          <t>4 — Не обогащён</t>
        </is>
      </c>
      <c r="U891" s="35" t="inlineStr">
        <is>
          <t>Нет ОКВЭД/ССЧР</t>
        </is>
      </c>
      <c r="V891" s="35" t="inlineStr">
        <is>
          <t>Не определено</t>
        </is>
      </c>
      <c r="W891" s="35" t="inlineStr"/>
      <c r="X891" s="35" t="inlineStr"/>
    </row>
    <row r="892" ht="27.75" customHeight="1" s="24">
      <c r="A892" s="13" t="n">
        <v>5000003710</v>
      </c>
      <c r="B892" s="13" t="inlineStr">
        <is>
          <t>ОБГБУ "ОБЛАСТНАЯ СПЕЦИАЛИЗИРОВАННАЯ СПОРТИВНАЯ ШКОЛА ПО ХОККЕЮ С МЯЧОМ"</t>
        </is>
      </c>
      <c r="C892" s="13" t="n">
        <v>3808197307</v>
      </c>
      <c r="D892" s="13" t="inlineStr">
        <is>
          <t>3808197307</t>
        </is>
      </c>
      <c r="E892" s="13" t="inlineStr">
        <is>
          <t>ЮЛ РФ</t>
        </is>
      </c>
      <c r="F892" s="13" t="n"/>
      <c r="G892" s="14" t="n"/>
      <c r="H892" s="14" t="n"/>
      <c r="I892" s="14" t="n"/>
      <c r="J892" s="14" t="n"/>
      <c r="K892" s="53" t="inlineStr"/>
      <c r="L892" s="53" t="inlineStr">
        <is>
          <t>Не определено</t>
        </is>
      </c>
      <c r="M892" s="53" t="inlineStr"/>
      <c r="N892" s="54" t="inlineStr"/>
      <c r="O892" s="55" t="inlineStr"/>
      <c r="P892" s="16" t="inlineStr">
        <is>
          <t>Требует обогащения</t>
        </is>
      </c>
      <c r="Q892" s="16">
        <f>HYPERLINK("https://pb.nalog.ru/search.html?query=3808197307","ФНС: проверить")</f>
        <v/>
      </c>
      <c r="R892" s="16">
        <f>HYPERLINK("https://checko.ru/search?query=3801001629","Чекко: проверить")</f>
        <v/>
      </c>
      <c r="S892" t="n">
        <v>1</v>
      </c>
      <c r="T892" s="35" t="inlineStr">
        <is>
          <t>4 — Не обогащён</t>
        </is>
      </c>
      <c r="U892" s="35" t="inlineStr">
        <is>
          <t>Нет ОКВЭД/ССЧР</t>
        </is>
      </c>
      <c r="V892" s="35" t="inlineStr">
        <is>
          <t>Не определено</t>
        </is>
      </c>
      <c r="W892" s="35" t="inlineStr"/>
      <c r="X892" s="35" t="inlineStr"/>
    </row>
    <row r="893" ht="41.25" customHeight="1" s="24">
      <c r="A893" s="13" t="n">
        <v>5000062550</v>
      </c>
      <c r="B893" s="13" t="inlineStr">
        <is>
          <t>ОБЛАСТНОЕ ГОСУДАРСТВЕННОЕ КАЗЁННОЕ УЧРЕЖДЕНИЕ СОЦИАЛЬНОГО ОБСЛУЖИВАНИЯ "ДЕТСКИЙ ПСИХОНЕВРОЛОГИЧЕСКИЙ</t>
        </is>
      </c>
      <c r="C893" s="13" t="n">
        <v>7304002732</v>
      </c>
      <c r="D893" s="13" t="inlineStr">
        <is>
          <t>7304002732</t>
        </is>
      </c>
      <c r="E893" s="13" t="inlineStr">
        <is>
          <t>ЮЛ РФ</t>
        </is>
      </c>
      <c r="F893" s="13" t="n"/>
      <c r="G893" s="14" t="n"/>
      <c r="H893" s="14" t="n"/>
      <c r="I893" s="14" t="n"/>
      <c r="J893" s="14" t="n"/>
      <c r="K893" s="53" t="inlineStr"/>
      <c r="L893" s="53" t="inlineStr">
        <is>
          <t>Не определено</t>
        </is>
      </c>
      <c r="M893" s="53" t="inlineStr"/>
      <c r="N893" s="54" t="inlineStr"/>
      <c r="O893" s="55" t="inlineStr"/>
      <c r="P893" s="16" t="inlineStr">
        <is>
          <t>Требует обогащения</t>
        </is>
      </c>
      <c r="Q893" s="16">
        <f>HYPERLINK("https://pb.nalog.ru/search.html?query=7304002732","ФНС: проверить")</f>
        <v/>
      </c>
      <c r="R893" s="16">
        <f>HYPERLINK("https://checko.ru/search?query=3801001629","Чекко: проверить")</f>
        <v/>
      </c>
      <c r="S893" t="n">
        <v>1</v>
      </c>
      <c r="T893" s="35" t="inlineStr">
        <is>
          <t>4 — Не обогащён</t>
        </is>
      </c>
      <c r="U893" s="35" t="inlineStr">
        <is>
          <t>Нет ОКВЭД/ССЧР</t>
        </is>
      </c>
      <c r="V893" s="35" t="inlineStr">
        <is>
          <t>Не определено</t>
        </is>
      </c>
      <c r="W893" s="35" t="inlineStr"/>
      <c r="X893" s="35" t="inlineStr"/>
    </row>
    <row r="894" ht="27.75" customHeight="1" s="24">
      <c r="A894" s="13" t="n">
        <v>5000094578</v>
      </c>
      <c r="B894" s="13" t="inlineStr">
        <is>
          <t>МУНИЦИПАЛЬНОЕ КАЗЕННОЕ УЧРЕЖДЕНИЕ "СПОРТИВНАЯ ШКОЛА"</t>
        </is>
      </c>
      <c r="C894" s="13" t="n">
        <v>703004143</v>
      </c>
      <c r="D894" s="13" t="n"/>
      <c r="E894" s="13" t="inlineStr">
        <is>
          <t>Не определён</t>
        </is>
      </c>
      <c r="F894" s="13" t="inlineStr">
        <is>
          <t>703004143</t>
        </is>
      </c>
      <c r="G894" s="14" t="n"/>
      <c r="H894" s="14" t="n"/>
      <c r="I894" s="14" t="n"/>
      <c r="J894" s="14" t="n"/>
      <c r="K894" s="13">
        <f>IF(G894="","",IF(G894&gt;=22,"Да","Нет"))</f>
        <v/>
      </c>
      <c r="L894" s="13">
        <f>IF(OR(I894="",J894=""),"Не определено",IF(OR(COUNTIF(I894,"45*")&gt;0,COUNTIF(J894,"*45*")&gt;0,COUNTIF(I894,"46*")&gt;0,COUNTIF(J894,"*46*")&gt;0,COUNTIF(I894,"47*")&gt;0,COUNTIF(J894,"*47*")&gt;0,COUNTIF(I894,"10*")&gt;0,COUNTIF(J894,"*10*")&gt;0,COUNTIF(I894,"11*")&gt;0,COUNTIF(J894,"*11*")&gt;0,COUNTIF(I894,"12*")&gt;0,COUNTIF(J894,"*12*")&gt;0,COUNTIF(I894,"13*")&gt;0,COUNTIF(J894,"*13*")&gt;0,COUNTIF(I894,"14*")&gt;0,COUNTIF(J894,"*14*")&gt;0,COUNTIF(I894,"15*")&gt;0,COUNTIF(J894,"*15*")&gt;0,COUNTIF(I894,"16*")&gt;0,COUNTIF(J894,"*16*")&gt;0,COUNTIF(I894,"17*")&gt;0,COUNTIF(J894,"*17*")&gt;0,COUNTIF(I894,"18*")&gt;0,COUNTIF(J894,"*18*")&gt;0,COUNTIF(I894,"19*")&gt;0,COUNTIF(J894,"*19*")&gt;0,COUNTIF(I894,"20*")&gt;0,COUNTIF(J894,"*20*")&gt;0,COUNTIF(I894,"21*")&gt;0,COUNTIF(J894,"*21*")&gt;0,COUNTIF(I894,"22*")&gt;0,COUNTIF(J894,"*22*")&gt;0,COUNTIF(I894,"23*")&gt;0,COUNTIF(J894,"*23*")&gt;0,COUNTIF(I894,"24*")&gt;0,COUNTIF(J894,"*24*")&gt;0,COUNTIF(I894,"25*")&gt;0,COUNTIF(J894,"*25*")&gt;0,COUNTIF(I894,"26*")&gt;0,COUNTIF(J894,"*26*")&gt;0,COUNTIF(I894,"27*")&gt;0,COUNTIF(J894,"*27*")&gt;0,COUNTIF(I894,"28*")&gt;0,COUNTIF(J894,"*28*")&gt;0,COUNTIF(I894,"29*")&gt;0,COUNTIF(J894,"*29*")&gt;0,COUNTIF(I894,"30*")&gt;0,COUNTIF(J894,"*30*")&gt;0,COUNTIF(I894,"31*")&gt;0,COUNTIF(J894,"*31*")&gt;0,COUNTIF(I894,"32*")&gt;0,COUNTIF(J894,"*32*")&gt;0,COUNTIF(I894,"33*")&gt;0,COUNTIF(J894,"*33*")&gt;0,COUNTIF(I894,"41*")&gt;0,COUNTIF(J894,"*41*")&gt;0,COUNTIF(I894,"42*")&gt;0,COUNTIF(J894,"*42*")&gt;0,COUNTIF(I894,"43*")&gt;0,COUNTIF(J894,"*43*")&gt;0,COUNTIF(I894,"49*")&gt;0,COUNTIF(J894,"*49*")&gt;0,COUNTIF(I894,"52*")&gt;0,COUNTIF(J894,"*52*")&gt;0,COUNTIF(I894,"55*")&gt;0,COUNTIF(J894,"*55*")&gt;0,COUNTIF(I894,"56*")&gt;0,COUNTIF(J894,"*56*")&gt;0,COUNTIF(I894,"68*")&gt;0,COUNTIF(J894,"*68*")&gt;0,COUNTIF(I894,"78*")&gt;0,COUNTIF(J894,"*78*")&gt;0,COUNTIF(I894,"81*")&gt;0,COUNTIF(J894,"*81*")&gt;0,COUNTIF(I894,"82*")&gt;0,COUNTIF(J894,"*82*")&gt;0,COUNTIF(I894,"64*")&gt;0,COUNTIF(J894,"*64*")&gt;0,COUNTIF(I894,"65*")&gt;0,COUNTIF(J894,"*65*")&gt;0,COUNTIF(I894,"66*")&gt;0,COUNTIF(J894,"*66*")&gt;0,COUNTIF(I894,"61*")&gt;0,COUNTIF(J894,"*61*")&gt;0,COUNTIF(I894,"62*")&gt;0,COUNTIF(J894,"*62*")&gt;0,COUNTIF(I894,"63*")&gt;0,COUNTIF(J894,"*63*")&gt;0,COUNTIF(I894,"85*")&gt;0,COUNTIF(J894,"*85*")&gt;0,COUNTIF(I894,"86*")&gt;0,COUNTIF(J894,"*86*")&gt;0),"Да","Нет"))</f>
        <v/>
      </c>
      <c r="M894" s="13">
        <f>IF(OR(G894="",L894&lt;&gt;"Да"),"",IF(G894&lt;=100,"До 100",IF(G894&lt;=200,"До 200",IF(G894&lt;=500,"До 500","Отдельное КП"))))</f>
        <v/>
      </c>
      <c r="N894" s="15">
        <f>IF(OR(G894="",L894&lt;&gt;"Да"),"",IF(G894&lt;=100,33600,IF(G894&lt;=200,62400,IF(G894&lt;=500,144000,""))))</f>
        <v/>
      </c>
      <c r="O894" s="16">
        <f>IF(G894="","",IF(G894&lt;=15,"1–15",IF(G894&lt;=30,"16–30",IF(G894&lt;=50,"31–50",IF(G894&lt;=100,"51–100",IF(G894&lt;=150,"101–150",IF(G894&lt;=200,"151–200",IF(G894&lt;=500,"201–500","500+"))))))))</f>
        <v/>
      </c>
      <c r="P894" s="16" t="inlineStr">
        <is>
          <t>Нет совпадения в предоставленной выгрузке ССЧР</t>
        </is>
      </c>
      <c r="Q894" s="16" t="n"/>
      <c r="R894" s="16">
        <f>HYPERLINK("https://checko.ru/search?query=3801001629","Чекко: проверить")</f>
        <v/>
      </c>
      <c r="S894" t="n">
        <v>0</v>
      </c>
    </row>
    <row r="895" ht="15" customHeight="1" s="24">
      <c r="A895" s="13" t="n">
        <v>5000008537</v>
      </c>
      <c r="B895" s="13" t="inlineStr">
        <is>
          <t>УФССП России по Вологодской области</t>
        </is>
      </c>
      <c r="C895" s="13" t="n">
        <v>3525144985</v>
      </c>
      <c r="D895" s="13" t="inlineStr">
        <is>
          <t>3525144985</t>
        </is>
      </c>
      <c r="E895" s="13" t="inlineStr">
        <is>
          <t>ЮЛ РФ</t>
        </is>
      </c>
      <c r="F895" s="13" t="n"/>
      <c r="G895" s="14" t="n"/>
      <c r="H895" s="14" t="n"/>
      <c r="I895" s="14" t="n"/>
      <c r="J895" s="14" t="n"/>
      <c r="K895" s="53" t="inlineStr"/>
      <c r="L895" s="53" t="inlineStr">
        <is>
          <t>Не определено</t>
        </is>
      </c>
      <c r="M895" s="53" t="inlineStr"/>
      <c r="N895" s="54" t="inlineStr"/>
      <c r="O895" s="55" t="inlineStr"/>
      <c r="P895" s="16" t="inlineStr">
        <is>
          <t>Требует обогащения</t>
        </is>
      </c>
      <c r="Q895" s="16">
        <f>HYPERLINK("https://pb.nalog.ru/search.html?query=3525144985","ФНС: проверить")</f>
        <v/>
      </c>
      <c r="R895" s="16">
        <f>HYPERLINK("https://checko.ru/search?query=3801001629","Чекко: проверить")</f>
        <v/>
      </c>
      <c r="S895" t="n">
        <v>1</v>
      </c>
      <c r="T895" s="35" t="inlineStr">
        <is>
          <t>4 — Не обогащён</t>
        </is>
      </c>
      <c r="U895" s="35" t="inlineStr">
        <is>
          <t>Нет ОКВЭД/ССЧР</t>
        </is>
      </c>
      <c r="V895" s="35" t="inlineStr">
        <is>
          <t>Не определено</t>
        </is>
      </c>
      <c r="W895" s="35" t="inlineStr"/>
      <c r="X895" s="35" t="inlineStr"/>
    </row>
    <row r="896" ht="15" customHeight="1" s="24">
      <c r="A896" s="13" t="n">
        <v>5000001444</v>
      </c>
      <c r="B896" s="13" t="inlineStr">
        <is>
          <t>ОГКУ "Фонд имущества Иркутской области"</t>
        </is>
      </c>
      <c r="C896" s="13" t="n">
        <v>3808022890</v>
      </c>
      <c r="D896" s="13" t="inlineStr">
        <is>
          <t>3808022890</t>
        </is>
      </c>
      <c r="E896" s="13" t="inlineStr">
        <is>
          <t>ЮЛ РФ</t>
        </is>
      </c>
      <c r="F896" s="13" t="n"/>
      <c r="G896" s="14" t="n"/>
      <c r="H896" s="14" t="n"/>
      <c r="I896" s="14" t="n"/>
      <c r="J896" s="14" t="n"/>
      <c r="K896" s="53" t="inlineStr"/>
      <c r="L896" s="53" t="inlineStr">
        <is>
          <t>Не определено</t>
        </is>
      </c>
      <c r="M896" s="53" t="inlineStr"/>
      <c r="N896" s="54" t="inlineStr"/>
      <c r="O896" s="55" t="inlineStr"/>
      <c r="P896" s="16" t="inlineStr">
        <is>
          <t>Требует обогащения</t>
        </is>
      </c>
      <c r="Q896" s="16">
        <f>HYPERLINK("https://pb.nalog.ru/search.html?query=3808022890","ФНС: проверить")</f>
        <v/>
      </c>
      <c r="R896" s="16">
        <f>HYPERLINK("https://checko.ru/search?query=3801001629","Чекко: проверить")</f>
        <v/>
      </c>
      <c r="S896" t="n">
        <v>1</v>
      </c>
      <c r="T896" s="35" t="inlineStr">
        <is>
          <t>4 — Не обогащён</t>
        </is>
      </c>
      <c r="U896" s="35" t="inlineStr">
        <is>
          <t>Нет ОКВЭД/ССЧР</t>
        </is>
      </c>
      <c r="V896" s="35" t="inlineStr">
        <is>
          <t>Не определено</t>
        </is>
      </c>
      <c r="W896" s="35" t="inlineStr"/>
      <c r="X896" s="35" t="inlineStr"/>
    </row>
    <row r="897" ht="15" customHeight="1" s="24">
      <c r="A897" s="13" t="n">
        <v>5000003702</v>
      </c>
      <c r="B897" s="13" t="inlineStr">
        <is>
          <t>ОГУ Тайшетская СББЖ</t>
        </is>
      </c>
      <c r="C897" s="13" t="n">
        <v>3815000914</v>
      </c>
      <c r="D897" s="13" t="inlineStr">
        <is>
          <t>3815000914</t>
        </is>
      </c>
      <c r="E897" s="13" t="inlineStr">
        <is>
          <t>ЮЛ РФ</t>
        </is>
      </c>
      <c r="F897" s="13" t="n"/>
      <c r="G897" s="14" t="n"/>
      <c r="H897" s="14" t="n"/>
      <c r="I897" s="14" t="n"/>
      <c r="J897" s="14" t="n"/>
      <c r="K897" s="53" t="inlineStr"/>
      <c r="L897" s="53" t="inlineStr">
        <is>
          <t>Не определено</t>
        </is>
      </c>
      <c r="M897" s="53" t="inlineStr"/>
      <c r="N897" s="54" t="inlineStr"/>
      <c r="O897" s="55" t="inlineStr"/>
      <c r="P897" s="16" t="inlineStr">
        <is>
          <t>Требует обогащения</t>
        </is>
      </c>
      <c r="Q897" s="16">
        <f>HYPERLINK("https://pb.nalog.ru/search.html?query=3815000914","ФНС: проверить")</f>
        <v/>
      </c>
      <c r="R897" s="16">
        <f>HYPERLINK("https://checko.ru/search?query=3801001629","Чекко: проверить")</f>
        <v/>
      </c>
      <c r="S897" t="n">
        <v>1</v>
      </c>
      <c r="T897" s="35" t="inlineStr">
        <is>
          <t>4 — Не обогащён</t>
        </is>
      </c>
      <c r="U897" s="35" t="inlineStr">
        <is>
          <t>Нет ОКВЭД/ССЧР</t>
        </is>
      </c>
      <c r="V897" s="35" t="inlineStr">
        <is>
          <t>Не определено</t>
        </is>
      </c>
      <c r="W897" s="35" t="inlineStr"/>
      <c r="X897" s="35" t="inlineStr"/>
    </row>
    <row r="898" ht="27.75" customHeight="1" s="24">
      <c r="A898" s="13" t="n">
        <v>5000094760</v>
      </c>
      <c r="B898" s="13" t="inlineStr">
        <is>
          <t>МКУ "МЕСТНАЯ АДМИНИСТРАЦИЯ С.П. ТАШЛЫ-ТАЛА"</t>
        </is>
      </c>
      <c r="C898" s="13" t="n">
        <v>707006021</v>
      </c>
      <c r="D898" s="13" t="n"/>
      <c r="E898" s="13" t="inlineStr">
        <is>
          <t>Не определён</t>
        </is>
      </c>
      <c r="F898" s="13" t="inlineStr">
        <is>
          <t>707006021</t>
        </is>
      </c>
      <c r="G898" s="14" t="n"/>
      <c r="H898" s="14" t="n"/>
      <c r="I898" s="14" t="n"/>
      <c r="J898" s="14" t="n"/>
      <c r="K898" s="13">
        <f>IF(G898="","",IF(G898&gt;=22,"Да","Нет"))</f>
        <v/>
      </c>
      <c r="L898" s="13">
        <f>IF(OR(I898="",J898=""),"Не определено",IF(OR(COUNTIF(I898,"45*")&gt;0,COUNTIF(J898,"*45*")&gt;0,COUNTIF(I898,"46*")&gt;0,COUNTIF(J898,"*46*")&gt;0,COUNTIF(I898,"47*")&gt;0,COUNTIF(J898,"*47*")&gt;0,COUNTIF(I898,"10*")&gt;0,COUNTIF(J898,"*10*")&gt;0,COUNTIF(I898,"11*")&gt;0,COUNTIF(J898,"*11*")&gt;0,COUNTIF(I898,"12*")&gt;0,COUNTIF(J898,"*12*")&gt;0,COUNTIF(I898,"13*")&gt;0,COUNTIF(J898,"*13*")&gt;0,COUNTIF(I898,"14*")&gt;0,COUNTIF(J898,"*14*")&gt;0,COUNTIF(I898,"15*")&gt;0,COUNTIF(J898,"*15*")&gt;0,COUNTIF(I898,"16*")&gt;0,COUNTIF(J898,"*16*")&gt;0,COUNTIF(I898,"17*")&gt;0,COUNTIF(J898,"*17*")&gt;0,COUNTIF(I898,"18*")&gt;0,COUNTIF(J898,"*18*")&gt;0,COUNTIF(I898,"19*")&gt;0,COUNTIF(J898,"*19*")&gt;0,COUNTIF(I898,"20*")&gt;0,COUNTIF(J898,"*20*")&gt;0,COUNTIF(I898,"21*")&gt;0,COUNTIF(J898,"*21*")&gt;0,COUNTIF(I898,"22*")&gt;0,COUNTIF(J898,"*22*")&gt;0,COUNTIF(I898,"23*")&gt;0,COUNTIF(J898,"*23*")&gt;0,COUNTIF(I898,"24*")&gt;0,COUNTIF(J898,"*24*")&gt;0,COUNTIF(I898,"25*")&gt;0,COUNTIF(J898,"*25*")&gt;0,COUNTIF(I898,"26*")&gt;0,COUNTIF(J898,"*26*")&gt;0,COUNTIF(I898,"27*")&gt;0,COUNTIF(J898,"*27*")&gt;0,COUNTIF(I898,"28*")&gt;0,COUNTIF(J898,"*28*")&gt;0,COUNTIF(I898,"29*")&gt;0,COUNTIF(J898,"*29*")&gt;0,COUNTIF(I898,"30*")&gt;0,COUNTIF(J898,"*30*")&gt;0,COUNTIF(I898,"31*")&gt;0,COUNTIF(J898,"*31*")&gt;0,COUNTIF(I898,"32*")&gt;0,COUNTIF(J898,"*32*")&gt;0,COUNTIF(I898,"33*")&gt;0,COUNTIF(J898,"*33*")&gt;0,COUNTIF(I898,"41*")&gt;0,COUNTIF(J898,"*41*")&gt;0,COUNTIF(I898,"42*")&gt;0,COUNTIF(J898,"*42*")&gt;0,COUNTIF(I898,"43*")&gt;0,COUNTIF(J898,"*43*")&gt;0,COUNTIF(I898,"49*")&gt;0,COUNTIF(J898,"*49*")&gt;0,COUNTIF(I898,"52*")&gt;0,COUNTIF(J898,"*52*")&gt;0,COUNTIF(I898,"55*")&gt;0,COUNTIF(J898,"*55*")&gt;0,COUNTIF(I898,"56*")&gt;0,COUNTIF(J898,"*56*")&gt;0,COUNTIF(I898,"68*")&gt;0,COUNTIF(J898,"*68*")&gt;0,COUNTIF(I898,"78*")&gt;0,COUNTIF(J898,"*78*")&gt;0,COUNTIF(I898,"81*")&gt;0,COUNTIF(J898,"*81*")&gt;0,COUNTIF(I898,"82*")&gt;0,COUNTIF(J898,"*82*")&gt;0,COUNTIF(I898,"64*")&gt;0,COUNTIF(J898,"*64*")&gt;0,COUNTIF(I898,"65*")&gt;0,COUNTIF(J898,"*65*")&gt;0,COUNTIF(I898,"66*")&gt;0,COUNTIF(J898,"*66*")&gt;0,COUNTIF(I898,"61*")&gt;0,COUNTIF(J898,"*61*")&gt;0,COUNTIF(I898,"62*")&gt;0,COUNTIF(J898,"*62*")&gt;0,COUNTIF(I898,"63*")&gt;0,COUNTIF(J898,"*63*")&gt;0,COUNTIF(I898,"85*")&gt;0,COUNTIF(J898,"*85*")&gt;0,COUNTIF(I898,"86*")&gt;0,COUNTIF(J898,"*86*")&gt;0),"Да","Нет"))</f>
        <v/>
      </c>
      <c r="M898" s="13">
        <f>IF(OR(G898="",L898&lt;&gt;"Да"),"",IF(G898&lt;=100,"До 100",IF(G898&lt;=200,"До 200",IF(G898&lt;=500,"До 500","Отдельное КП"))))</f>
        <v/>
      </c>
      <c r="N898" s="15">
        <f>IF(OR(G898="",L898&lt;&gt;"Да"),"",IF(G898&lt;=100,33600,IF(G898&lt;=200,62400,IF(G898&lt;=500,144000,""))))</f>
        <v/>
      </c>
      <c r="O898" s="16">
        <f>IF(G898="","",IF(G898&lt;=15,"1–15",IF(G898&lt;=30,"16–30",IF(G898&lt;=50,"31–50",IF(G898&lt;=100,"51–100",IF(G898&lt;=150,"101–150",IF(G898&lt;=200,"151–200",IF(G898&lt;=500,"201–500","500+"))))))))</f>
        <v/>
      </c>
      <c r="P898" s="16" t="inlineStr">
        <is>
          <t>Нет совпадения в предоставленной выгрузке ССЧР</t>
        </is>
      </c>
      <c r="Q898" s="16" t="n"/>
      <c r="R898" s="16">
        <f>HYPERLINK("https://checko.ru/search?query=3801001629","Чекко: проверить")</f>
        <v/>
      </c>
      <c r="S898" t="n">
        <v>0</v>
      </c>
    </row>
    <row r="899" ht="15" customHeight="1" s="24">
      <c r="A899" s="13" t="n">
        <v>5000038504</v>
      </c>
      <c r="B899" s="13" t="inlineStr">
        <is>
          <t>ОГБУК ГАПИТ "ВОЛГА"</t>
        </is>
      </c>
      <c r="C899" s="13" t="n">
        <v>7325152062</v>
      </c>
      <c r="D899" s="13" t="inlineStr">
        <is>
          <t>7325152062</t>
        </is>
      </c>
      <c r="E899" s="13" t="inlineStr">
        <is>
          <t>ЮЛ РФ</t>
        </is>
      </c>
      <c r="F899" s="13" t="n"/>
      <c r="G899" s="14" t="n"/>
      <c r="H899" s="14" t="n"/>
      <c r="I899" s="14" t="n"/>
      <c r="J899" s="14" t="n"/>
      <c r="K899" s="53" t="inlineStr"/>
      <c r="L899" s="53" t="inlineStr">
        <is>
          <t>Не определено</t>
        </is>
      </c>
      <c r="M899" s="53" t="inlineStr"/>
      <c r="N899" s="54" t="inlineStr"/>
      <c r="O899" s="55" t="inlineStr"/>
      <c r="P899" s="16" t="inlineStr">
        <is>
          <t>Требует обогащения</t>
        </is>
      </c>
      <c r="Q899" s="16">
        <f>HYPERLINK("https://pb.nalog.ru/search.html?query=7325152062","ФНС: проверить")</f>
        <v/>
      </c>
      <c r="R899" s="16">
        <f>HYPERLINK("https://checko.ru/search?query=3801001629","Чекко: проверить")</f>
        <v/>
      </c>
      <c r="S899" t="n">
        <v>1</v>
      </c>
      <c r="T899" s="35" t="inlineStr">
        <is>
          <t>4 — Не обогащён</t>
        </is>
      </c>
      <c r="U899" s="35" t="inlineStr">
        <is>
          <t>Нет ОКВЭД/ССЧР</t>
        </is>
      </c>
      <c r="V899" s="35" t="inlineStr">
        <is>
          <t>Не определено</t>
        </is>
      </c>
      <c r="W899" s="35" t="inlineStr"/>
      <c r="X899" s="35" t="inlineStr"/>
    </row>
    <row r="900" ht="41.25" customHeight="1" s="24">
      <c r="A900" s="13" t="n">
        <v>5000060601</v>
      </c>
      <c r="B900" s="13" t="inlineStr">
        <is>
          <t>ОБЛАСТНОЕ ГОСУДАРСТВЕННОЕ КАЗЁННОЕ УЧРЕЖДЕНИЕ ДЛЯ ДЕТЕЙ-СИРОТ И ДЕТЕЙ, ОСТАВШИХСЯ БЕЗ ПОПЕЧЕНИЯ РОДИ</t>
        </is>
      </c>
      <c r="C900" s="13" t="n">
        <v>7302014066</v>
      </c>
      <c r="D900" s="13" t="inlineStr">
        <is>
          <t>7302014066</t>
        </is>
      </c>
      <c r="E900" s="13" t="inlineStr">
        <is>
          <t>ЮЛ РФ</t>
        </is>
      </c>
      <c r="F900" s="13" t="n"/>
      <c r="G900" s="14" t="n"/>
      <c r="H900" s="14" t="n"/>
      <c r="I900" s="14" t="n"/>
      <c r="J900" s="14" t="n"/>
      <c r="K900" s="53" t="inlineStr"/>
      <c r="L900" s="53" t="inlineStr">
        <is>
          <t>Не определено</t>
        </is>
      </c>
      <c r="M900" s="53" t="inlineStr"/>
      <c r="N900" s="54" t="inlineStr"/>
      <c r="O900" s="55" t="inlineStr"/>
      <c r="P900" s="16" t="inlineStr">
        <is>
          <t>Требует обогащения</t>
        </is>
      </c>
      <c r="Q900" s="16">
        <f>HYPERLINK("https://pb.nalog.ru/search.html?query=7302014066","ФНС: проверить")</f>
        <v/>
      </c>
      <c r="R900" s="16">
        <f>HYPERLINK("https://checko.ru/search?query=3801001629","Чекко: проверить")</f>
        <v/>
      </c>
      <c r="S900" t="n">
        <v>1</v>
      </c>
      <c r="T900" s="35" t="inlineStr">
        <is>
          <t>4 — Не обогащён</t>
        </is>
      </c>
      <c r="U900" s="35" t="inlineStr">
        <is>
          <t>Нет ОКВЭД/ССЧР</t>
        </is>
      </c>
      <c r="V900" s="35" t="inlineStr">
        <is>
          <t>Не определено</t>
        </is>
      </c>
      <c r="W900" s="35" t="inlineStr"/>
      <c r="X900" s="35" t="inlineStr"/>
    </row>
    <row r="901" ht="27.75" customHeight="1" s="24">
      <c r="A901" s="13" t="n">
        <v>5000062582</v>
      </c>
      <c r="B901" s="13" t="inlineStr">
        <is>
          <t>ГУЗ "Областной центр по профилактике и борьбу со СПИД и инфекционными заболеваниями"</t>
        </is>
      </c>
      <c r="C901" s="13" t="n">
        <v>7325006431</v>
      </c>
      <c r="D901" s="13" t="inlineStr">
        <is>
          <t>7325006431</t>
        </is>
      </c>
      <c r="E901" s="13" t="inlineStr">
        <is>
          <t>ЮЛ РФ</t>
        </is>
      </c>
      <c r="F901" s="13" t="n"/>
      <c r="G901" s="14" t="n"/>
      <c r="H901" s="14" t="n"/>
      <c r="I901" s="14" t="n"/>
      <c r="J901" s="14" t="n"/>
      <c r="K901" s="53" t="inlineStr"/>
      <c r="L901" s="53" t="inlineStr">
        <is>
          <t>Не определено</t>
        </is>
      </c>
      <c r="M901" s="53" t="inlineStr"/>
      <c r="N901" s="54" t="inlineStr"/>
      <c r="O901" s="55" t="inlineStr"/>
      <c r="P901" s="16" t="inlineStr">
        <is>
          <t>Требует обогащения</t>
        </is>
      </c>
      <c r="Q901" s="16">
        <f>HYPERLINK("https://pb.nalog.ru/search.html?query=7325006431","ФНС: проверить")</f>
        <v/>
      </c>
      <c r="R901" s="16">
        <f>HYPERLINK("https://checko.ru/search?query=3801001629","Чекко: проверить")</f>
        <v/>
      </c>
      <c r="S901" t="n">
        <v>1</v>
      </c>
      <c r="T901" s="35" t="inlineStr">
        <is>
          <t>4 — Не обогащён</t>
        </is>
      </c>
      <c r="U901" s="35" t="inlineStr">
        <is>
          <t>Нет ОКВЭД/ССЧР</t>
        </is>
      </c>
      <c r="V901" s="35" t="inlineStr">
        <is>
          <t>Не определено</t>
        </is>
      </c>
      <c r="W901" s="35" t="inlineStr"/>
      <c r="X901" s="35" t="inlineStr"/>
    </row>
    <row r="902" ht="27.75" customHeight="1" s="24">
      <c r="A902" s="13" t="n">
        <v>5000101672</v>
      </c>
      <c r="B902" s="13" t="inlineStr">
        <is>
          <t>Государственное казенное учреждение Иркутской области "Катангское лесничество"</t>
        </is>
      </c>
      <c r="C902" s="13" t="n">
        <v>3849096636</v>
      </c>
      <c r="D902" s="13" t="inlineStr">
        <is>
          <t>3849096636</t>
        </is>
      </c>
      <c r="E902" s="13" t="inlineStr">
        <is>
          <t>ЮЛ РФ</t>
        </is>
      </c>
      <c r="F902" s="13" t="n"/>
      <c r="G902" s="14" t="n"/>
      <c r="H902" s="14" t="n"/>
      <c r="I902" s="14" t="n"/>
      <c r="J902" s="14" t="n"/>
      <c r="K902" s="53" t="inlineStr"/>
      <c r="L902" s="53" t="inlineStr">
        <is>
          <t>Не определено</t>
        </is>
      </c>
      <c r="M902" s="53" t="inlineStr"/>
      <c r="N902" s="54" t="inlineStr"/>
      <c r="O902" s="55" t="inlineStr"/>
      <c r="P902" s="16" t="inlineStr">
        <is>
          <t>Требует обогащения</t>
        </is>
      </c>
      <c r="Q902" s="16">
        <f>HYPERLINK("https://pb.nalog.ru/search.html?query=3849096636","ФНС: проверить")</f>
        <v/>
      </c>
      <c r="R902" s="16">
        <f>HYPERLINK("https://checko.ru/search?query=3801001629","Чекко: проверить")</f>
        <v/>
      </c>
      <c r="S902" t="n">
        <v>1</v>
      </c>
      <c r="T902" s="35" t="inlineStr">
        <is>
          <t>4 — Не обогащён</t>
        </is>
      </c>
      <c r="U902" s="35" t="inlineStr">
        <is>
          <t>Нет ОКВЭД/ССЧР</t>
        </is>
      </c>
      <c r="V902" s="35" t="inlineStr">
        <is>
          <t>Не определено</t>
        </is>
      </c>
      <c r="W902" s="35" t="inlineStr"/>
      <c r="X902" s="35" t="inlineStr"/>
    </row>
    <row r="903" ht="15" customHeight="1" s="24">
      <c r="A903" s="13" t="n">
        <v>5000038531</v>
      </c>
      <c r="B903" s="13" t="inlineStr">
        <is>
          <t>ОГКУ "Служба ГЗ и ПБ Ульянов области"</t>
        </is>
      </c>
      <c r="C903" s="13" t="n">
        <v>7325050590</v>
      </c>
      <c r="D903" s="13" t="inlineStr">
        <is>
          <t>7325050590</t>
        </is>
      </c>
      <c r="E903" s="13" t="inlineStr">
        <is>
          <t>ЮЛ РФ</t>
        </is>
      </c>
      <c r="F903" s="13" t="n"/>
      <c r="G903" s="14" t="n"/>
      <c r="H903" s="14" t="n"/>
      <c r="I903" s="14" t="n"/>
      <c r="J903" s="14" t="n"/>
      <c r="K903" s="53" t="inlineStr"/>
      <c r="L903" s="53" t="inlineStr">
        <is>
          <t>Не определено</t>
        </is>
      </c>
      <c r="M903" s="53" t="inlineStr"/>
      <c r="N903" s="54" t="inlineStr"/>
      <c r="O903" s="55" t="inlineStr"/>
      <c r="P903" s="16" t="inlineStr">
        <is>
          <t>Требует обогащения</t>
        </is>
      </c>
      <c r="Q903" s="16">
        <f>HYPERLINK("https://pb.nalog.ru/search.html?query=7325050590","ФНС: проверить")</f>
        <v/>
      </c>
      <c r="R903" s="16">
        <f>HYPERLINK("https://checko.ru/search?query=3801001629","Чекко: проверить")</f>
        <v/>
      </c>
      <c r="S903" t="n">
        <v>1</v>
      </c>
      <c r="T903" s="35" t="inlineStr">
        <is>
          <t>4 — Не обогащён</t>
        </is>
      </c>
      <c r="U903" s="35" t="inlineStr">
        <is>
          <t>Нет ОКВЭД/ССЧР</t>
        </is>
      </c>
      <c r="V903" s="35" t="inlineStr">
        <is>
          <t>Не определено</t>
        </is>
      </c>
      <c r="W903" s="35" t="inlineStr"/>
      <c r="X903" s="35" t="inlineStr"/>
    </row>
    <row r="904" ht="15" customHeight="1" s="24">
      <c r="A904" s="13" t="n">
        <v>5000095203</v>
      </c>
      <c r="B904" s="13" t="inlineStr">
        <is>
          <t>ГКОУ "Центр образования "Успех"</t>
        </is>
      </c>
      <c r="C904" s="13" t="n">
        <v>725000791</v>
      </c>
      <c r="D904" s="13" t="n"/>
      <c r="E904" s="13" t="inlineStr">
        <is>
          <t>Не определён</t>
        </is>
      </c>
      <c r="F904" s="13" t="inlineStr">
        <is>
          <t>725000791</t>
        </is>
      </c>
      <c r="G904" s="14" t="n"/>
      <c r="H904" s="14" t="n"/>
      <c r="I904" s="14" t="n"/>
      <c r="J904" s="14" t="n"/>
      <c r="K904" s="13">
        <f>IF(G904="","",IF(G904&gt;=22,"Да","Нет"))</f>
        <v/>
      </c>
      <c r="L904" s="13">
        <f>IF(OR(I904="",J904=""),"Не определено",IF(OR(COUNTIF(I904,"45*")&gt;0,COUNTIF(J904,"*45*")&gt;0,COUNTIF(I904,"46*")&gt;0,COUNTIF(J904,"*46*")&gt;0,COUNTIF(I904,"47*")&gt;0,COUNTIF(J904,"*47*")&gt;0,COUNTIF(I904,"10*")&gt;0,COUNTIF(J904,"*10*")&gt;0,COUNTIF(I904,"11*")&gt;0,COUNTIF(J904,"*11*")&gt;0,COUNTIF(I904,"12*")&gt;0,COUNTIF(J904,"*12*")&gt;0,COUNTIF(I904,"13*")&gt;0,COUNTIF(J904,"*13*")&gt;0,COUNTIF(I904,"14*")&gt;0,COUNTIF(J904,"*14*")&gt;0,COUNTIF(I904,"15*")&gt;0,COUNTIF(J904,"*15*")&gt;0,COUNTIF(I904,"16*")&gt;0,COUNTIF(J904,"*16*")&gt;0,COUNTIF(I904,"17*")&gt;0,COUNTIF(J904,"*17*")&gt;0,COUNTIF(I904,"18*")&gt;0,COUNTIF(J904,"*18*")&gt;0,COUNTIF(I904,"19*")&gt;0,COUNTIF(J904,"*19*")&gt;0,COUNTIF(I904,"20*")&gt;0,COUNTIF(J904,"*20*")&gt;0,COUNTIF(I904,"21*")&gt;0,COUNTIF(J904,"*21*")&gt;0,COUNTIF(I904,"22*")&gt;0,COUNTIF(J904,"*22*")&gt;0,COUNTIF(I904,"23*")&gt;0,COUNTIF(J904,"*23*")&gt;0,COUNTIF(I904,"24*")&gt;0,COUNTIF(J904,"*24*")&gt;0,COUNTIF(I904,"25*")&gt;0,COUNTIF(J904,"*25*")&gt;0,COUNTIF(I904,"26*")&gt;0,COUNTIF(J904,"*26*")&gt;0,COUNTIF(I904,"27*")&gt;0,COUNTIF(J904,"*27*")&gt;0,COUNTIF(I904,"28*")&gt;0,COUNTIF(J904,"*28*")&gt;0,COUNTIF(I904,"29*")&gt;0,COUNTIF(J904,"*29*")&gt;0,COUNTIF(I904,"30*")&gt;0,COUNTIF(J904,"*30*")&gt;0,COUNTIF(I904,"31*")&gt;0,COUNTIF(J904,"*31*")&gt;0,COUNTIF(I904,"32*")&gt;0,COUNTIF(J904,"*32*")&gt;0,COUNTIF(I904,"33*")&gt;0,COUNTIF(J904,"*33*")&gt;0,COUNTIF(I904,"41*")&gt;0,COUNTIF(J904,"*41*")&gt;0,COUNTIF(I904,"42*")&gt;0,COUNTIF(J904,"*42*")&gt;0,COUNTIF(I904,"43*")&gt;0,COUNTIF(J904,"*43*")&gt;0,COUNTIF(I904,"49*")&gt;0,COUNTIF(J904,"*49*")&gt;0,COUNTIF(I904,"52*")&gt;0,COUNTIF(J904,"*52*")&gt;0,COUNTIF(I904,"55*")&gt;0,COUNTIF(J904,"*55*")&gt;0,COUNTIF(I904,"56*")&gt;0,COUNTIF(J904,"*56*")&gt;0,COUNTIF(I904,"68*")&gt;0,COUNTIF(J904,"*68*")&gt;0,COUNTIF(I904,"78*")&gt;0,COUNTIF(J904,"*78*")&gt;0,COUNTIF(I904,"81*")&gt;0,COUNTIF(J904,"*81*")&gt;0,COUNTIF(I904,"82*")&gt;0,COUNTIF(J904,"*82*")&gt;0,COUNTIF(I904,"64*")&gt;0,COUNTIF(J904,"*64*")&gt;0,COUNTIF(I904,"65*")&gt;0,COUNTIF(J904,"*65*")&gt;0,COUNTIF(I904,"66*")&gt;0,COUNTIF(J904,"*66*")&gt;0,COUNTIF(I904,"61*")&gt;0,COUNTIF(J904,"*61*")&gt;0,COUNTIF(I904,"62*")&gt;0,COUNTIF(J904,"*62*")&gt;0,COUNTIF(I904,"63*")&gt;0,COUNTIF(J904,"*63*")&gt;0,COUNTIF(I904,"85*")&gt;0,COUNTIF(J904,"*85*")&gt;0,COUNTIF(I904,"86*")&gt;0,COUNTIF(J904,"*86*")&gt;0),"Да","Нет"))</f>
        <v/>
      </c>
      <c r="M904" s="13">
        <f>IF(OR(G904="",L904&lt;&gt;"Да"),"",IF(G904&lt;=100,"До 100",IF(G904&lt;=200,"До 200",IF(G904&lt;=500,"До 500","Отдельное КП"))))</f>
        <v/>
      </c>
      <c r="N904" s="15">
        <f>IF(OR(G904="",L904&lt;&gt;"Да"),"",IF(G904&lt;=100,33600,IF(G904&lt;=200,62400,IF(G904&lt;=500,144000,""))))</f>
        <v/>
      </c>
      <c r="O904" s="16">
        <f>IF(G904="","",IF(G904&lt;=15,"1–15",IF(G904&lt;=30,"16–30",IF(G904&lt;=50,"31–50",IF(G904&lt;=100,"51–100",IF(G904&lt;=150,"101–150",IF(G904&lt;=200,"151–200",IF(G904&lt;=500,"201–500","500+"))))))))</f>
        <v/>
      </c>
      <c r="P904" s="16" t="inlineStr">
        <is>
          <t>Нет совпадения в предоставленной выгрузке ССЧР</t>
        </is>
      </c>
      <c r="Q904" s="16" t="n"/>
      <c r="R904" s="16">
        <f>HYPERLINK("https://checko.ru/search?query=3801001629","Чекко: проверить")</f>
        <v/>
      </c>
      <c r="S904" t="n">
        <v>0</v>
      </c>
    </row>
    <row r="905" ht="27.75" customHeight="1" s="24">
      <c r="A905" s="13" t="n">
        <v>5000030760</v>
      </c>
      <c r="B905" s="13" t="inlineStr">
        <is>
          <t>МБУ «Центр финансово-правового обслуживания муниципальных учреждений»</t>
        </is>
      </c>
      <c r="C905" s="13" t="n">
        <v>5648020687</v>
      </c>
      <c r="D905" s="13" t="inlineStr">
        <is>
          <t>5648020687</t>
        </is>
      </c>
      <c r="E905" s="13" t="inlineStr">
        <is>
          <t>ЮЛ РФ</t>
        </is>
      </c>
      <c r="F905" s="13" t="n"/>
      <c r="G905" s="14" t="n"/>
      <c r="H905" s="14" t="n"/>
      <c r="I905" s="14" t="n"/>
      <c r="J905" s="14" t="n"/>
      <c r="K905" s="53" t="inlineStr"/>
      <c r="L905" s="53" t="inlineStr">
        <is>
          <t>Не определено</t>
        </is>
      </c>
      <c r="M905" s="53" t="inlineStr"/>
      <c r="N905" s="54" t="inlineStr"/>
      <c r="O905" s="55" t="inlineStr"/>
      <c r="P905" s="16" t="inlineStr">
        <is>
          <t>Требует обогащения</t>
        </is>
      </c>
      <c r="Q905" s="16">
        <f>HYPERLINK("https://pb.nalog.ru/search.html?query=5648020687","ФНС: проверить")</f>
        <v/>
      </c>
      <c r="R905" s="16">
        <f>HYPERLINK("https://checko.ru/search?query=3801001629","Чекко: проверить")</f>
        <v/>
      </c>
      <c r="S905" t="n">
        <v>1</v>
      </c>
      <c r="T905" s="35" t="inlineStr">
        <is>
          <t>4 — Не обогащён</t>
        </is>
      </c>
      <c r="U905" s="35" t="inlineStr">
        <is>
          <t>Нет ОКВЭД/ССЧР</t>
        </is>
      </c>
      <c r="V905" s="35" t="inlineStr">
        <is>
          <t>Не определено</t>
        </is>
      </c>
      <c r="W905" s="35" t="inlineStr"/>
      <c r="X905" s="35" t="inlineStr"/>
    </row>
    <row r="906" ht="15" customHeight="1" s="24">
      <c r="A906" s="13" t="n">
        <v>5000008539</v>
      </c>
      <c r="B906" s="13" t="inlineStr">
        <is>
          <t>УФССП России по Свердловской области</t>
        </is>
      </c>
      <c r="C906" s="13" t="n">
        <v>6670073012</v>
      </c>
      <c r="D906" s="13" t="inlineStr">
        <is>
          <t>6670073012</t>
        </is>
      </c>
      <c r="E906" s="13" t="inlineStr">
        <is>
          <t>ЮЛ РФ</t>
        </is>
      </c>
      <c r="F906" s="13" t="n"/>
      <c r="G906" s="14" t="n"/>
      <c r="H906" s="14" t="n"/>
      <c r="I906" s="14" t="n"/>
      <c r="J906" s="14" t="n"/>
      <c r="K906" s="53" t="inlineStr"/>
      <c r="L906" s="53" t="inlineStr">
        <is>
          <t>Не определено</t>
        </is>
      </c>
      <c r="M906" s="53" t="inlineStr"/>
      <c r="N906" s="54" t="inlineStr"/>
      <c r="O906" s="55" t="inlineStr"/>
      <c r="P906" s="16" t="inlineStr">
        <is>
          <t>Требует обогащения</t>
        </is>
      </c>
      <c r="Q906" s="16">
        <f>HYPERLINK("https://pb.nalog.ru/search.html?query=6670073012","ФНС: проверить")</f>
        <v/>
      </c>
      <c r="R906" s="16">
        <f>HYPERLINK("https://checko.ru/search?query=3801001629","Чекко: проверить")</f>
        <v/>
      </c>
      <c r="S906" t="n">
        <v>1</v>
      </c>
      <c r="T906" s="35" t="inlineStr">
        <is>
          <t>4 — Не обогащён</t>
        </is>
      </c>
      <c r="U906" s="35" t="inlineStr">
        <is>
          <t>Нет ОКВЭД/ССЧР</t>
        </is>
      </c>
      <c r="V906" s="35" t="inlineStr">
        <is>
          <t>Не определено</t>
        </is>
      </c>
      <c r="W906" s="35" t="inlineStr"/>
      <c r="X906" s="35" t="inlineStr"/>
    </row>
    <row r="907" ht="27.75" customHeight="1" s="24">
      <c r="A907" s="13" t="n">
        <v>5000001516</v>
      </c>
      <c r="B907" s="13" t="inlineStr">
        <is>
          <t>Служба государственного финансового контроля Иркутской области</t>
        </is>
      </c>
      <c r="C907" s="13" t="n">
        <v>3808207080</v>
      </c>
      <c r="D907" s="13" t="inlineStr">
        <is>
          <t>3808207080</t>
        </is>
      </c>
      <c r="E907" s="13" t="inlineStr">
        <is>
          <t>ЮЛ РФ</t>
        </is>
      </c>
      <c r="F907" s="13" t="n"/>
      <c r="G907" s="14" t="n"/>
      <c r="H907" s="14" t="n"/>
      <c r="I907" s="14" t="n"/>
      <c r="J907" s="14" t="n"/>
      <c r="K907" s="53" t="inlineStr"/>
      <c r="L907" s="53" t="inlineStr">
        <is>
          <t>Не определено</t>
        </is>
      </c>
      <c r="M907" s="53" t="inlineStr"/>
      <c r="N907" s="54" t="inlineStr"/>
      <c r="O907" s="55" t="inlineStr"/>
      <c r="P907" s="16" t="inlineStr">
        <is>
          <t>Требует обогащения</t>
        </is>
      </c>
      <c r="Q907" s="16">
        <f>HYPERLINK("https://pb.nalog.ru/search.html?query=3808207080","ФНС: проверить")</f>
        <v/>
      </c>
      <c r="R907" s="16">
        <f>HYPERLINK("https://checko.ru/search?query=3801001629","Чекко: проверить")</f>
        <v/>
      </c>
      <c r="S907" t="n">
        <v>1</v>
      </c>
      <c r="T907" s="35" t="inlineStr">
        <is>
          <t>4 — Не обогащён</t>
        </is>
      </c>
      <c r="U907" s="35" t="inlineStr">
        <is>
          <t>Нет ОКВЭД/ССЧР</t>
        </is>
      </c>
      <c r="V907" s="35" t="inlineStr">
        <is>
          <t>Не определено</t>
        </is>
      </c>
      <c r="W907" s="35" t="inlineStr"/>
      <c r="X907" s="35" t="inlineStr"/>
    </row>
    <row r="908" ht="15" customHeight="1" s="24">
      <c r="A908" s="13" t="n">
        <v>5000001631</v>
      </c>
      <c r="B908" s="13" t="inlineStr">
        <is>
          <t>ОбГБУЗ «Иркутская городская больница № 5»</t>
        </is>
      </c>
      <c r="C908" s="13" t="n">
        <v>3812014450</v>
      </c>
      <c r="D908" s="13" t="inlineStr">
        <is>
          <t>3812014450</t>
        </is>
      </c>
      <c r="E908" s="13" t="inlineStr">
        <is>
          <t>ЮЛ РФ</t>
        </is>
      </c>
      <c r="F908" s="13" t="n"/>
      <c r="G908" s="14" t="n"/>
      <c r="H908" s="14" t="n"/>
      <c r="I908" s="14" t="n"/>
      <c r="J908" s="14" t="n"/>
      <c r="K908" s="53" t="inlineStr"/>
      <c r="L908" s="53" t="inlineStr">
        <is>
          <t>Не определено</t>
        </is>
      </c>
      <c r="M908" s="53" t="inlineStr"/>
      <c r="N908" s="54" t="inlineStr"/>
      <c r="O908" s="55" t="inlineStr"/>
      <c r="P908" s="16" t="inlineStr">
        <is>
          <t>Требует обогащения</t>
        </is>
      </c>
      <c r="Q908" s="16">
        <f>HYPERLINK("https://pb.nalog.ru/search.html?query=3812014450","ФНС: проверить")</f>
        <v/>
      </c>
      <c r="R908" s="16">
        <f>HYPERLINK("https://checko.ru/search?query=3801001629","Чекко: проверить")</f>
        <v/>
      </c>
      <c r="S908" t="n">
        <v>1</v>
      </c>
      <c r="T908" s="35" t="inlineStr">
        <is>
          <t>4 — Не обогащён</t>
        </is>
      </c>
      <c r="U908" s="35" t="inlineStr">
        <is>
          <t>Нет ОКВЭД/ССЧР</t>
        </is>
      </c>
      <c r="V908" s="35" t="inlineStr">
        <is>
          <t>Не определено</t>
        </is>
      </c>
      <c r="W908" s="35" t="inlineStr"/>
      <c r="X908" s="35" t="inlineStr"/>
    </row>
    <row r="909" ht="27.75" customHeight="1" s="24">
      <c r="A909" s="13" t="n">
        <v>5000038501</v>
      </c>
      <c r="B909" s="13" t="inlineStr">
        <is>
          <t>ОГБУ "Государственный архив Ульяновской области"</t>
        </is>
      </c>
      <c r="C909" s="13" t="n">
        <v>7325068903</v>
      </c>
      <c r="D909" s="13" t="inlineStr">
        <is>
          <t>7325068903</t>
        </is>
      </c>
      <c r="E909" s="13" t="inlineStr">
        <is>
          <t>ЮЛ РФ</t>
        </is>
      </c>
      <c r="F909" s="13" t="n"/>
      <c r="G909" s="14" t="n"/>
      <c r="H909" s="14" t="n"/>
      <c r="I909" s="14" t="n"/>
      <c r="J909" s="14" t="n"/>
      <c r="K909" s="53" t="inlineStr"/>
      <c r="L909" s="53" t="inlineStr">
        <is>
          <t>Не определено</t>
        </is>
      </c>
      <c r="M909" s="53" t="inlineStr"/>
      <c r="N909" s="54" t="inlineStr"/>
      <c r="O909" s="55" t="inlineStr"/>
      <c r="P909" s="16" t="inlineStr">
        <is>
          <t>Требует обогащения</t>
        </is>
      </c>
      <c r="Q909" s="16">
        <f>HYPERLINK("https://pb.nalog.ru/search.html?query=7325068903","ФНС: проверить")</f>
        <v/>
      </c>
      <c r="R909" s="16">
        <f>HYPERLINK("https://checko.ru/search?query=3801001629","Чекко: проверить")</f>
        <v/>
      </c>
      <c r="S909" t="n">
        <v>1</v>
      </c>
      <c r="T909" s="35" t="inlineStr">
        <is>
          <t>4 — Не обогащён</t>
        </is>
      </c>
      <c r="U909" s="35" t="inlineStr">
        <is>
          <t>Нет ОКВЭД/ССЧР</t>
        </is>
      </c>
      <c r="V909" s="35" t="inlineStr">
        <is>
          <t>Не определено</t>
        </is>
      </c>
      <c r="W909" s="35" t="inlineStr"/>
      <c r="X909" s="35" t="inlineStr"/>
    </row>
    <row r="910" ht="15" customHeight="1" s="24">
      <c r="A910" s="13" t="n">
        <v>5000038507</v>
      </c>
      <c r="B910" s="13" t="inlineStr">
        <is>
          <t>ГАУДО "Областная детская школа искусств"</t>
        </is>
      </c>
      <c r="C910" s="13" t="n">
        <v>7303002546</v>
      </c>
      <c r="D910" s="13" t="inlineStr">
        <is>
          <t>7303002546</t>
        </is>
      </c>
      <c r="E910" s="13" t="inlineStr">
        <is>
          <t>ЮЛ РФ</t>
        </is>
      </c>
      <c r="F910" s="13" t="n"/>
      <c r="G910" s="14" t="n"/>
      <c r="H910" s="14" t="n"/>
      <c r="I910" s="14" t="n"/>
      <c r="J910" s="14" t="n"/>
      <c r="K910" s="53" t="inlineStr"/>
      <c r="L910" s="53" t="inlineStr">
        <is>
          <t>Не определено</t>
        </is>
      </c>
      <c r="M910" s="53" t="inlineStr"/>
      <c r="N910" s="54" t="inlineStr"/>
      <c r="O910" s="55" t="inlineStr"/>
      <c r="P910" s="16" t="inlineStr">
        <is>
          <t>Требует обогащения</t>
        </is>
      </c>
      <c r="Q910" s="16">
        <f>HYPERLINK("https://pb.nalog.ru/search.html?query=7303002546","ФНС: проверить")</f>
        <v/>
      </c>
      <c r="R910" s="16">
        <f>HYPERLINK("https://checko.ru/search?query=3801001629","Чекко: проверить")</f>
        <v/>
      </c>
      <c r="S910" t="n">
        <v>1</v>
      </c>
      <c r="T910" s="35" t="inlineStr">
        <is>
          <t>4 — Не обогащён</t>
        </is>
      </c>
      <c r="U910" s="35" t="inlineStr">
        <is>
          <t>Нет ОКВЭД/ССЧР</t>
        </is>
      </c>
      <c r="V910" s="35" t="inlineStr">
        <is>
          <t>Не определено</t>
        </is>
      </c>
      <c r="W910" s="35" t="inlineStr"/>
      <c r="X910" s="35" t="inlineStr"/>
    </row>
    <row r="911" ht="27.75" customHeight="1" s="24">
      <c r="A911" s="13" t="n">
        <v>5000038513</v>
      </c>
      <c r="B911" s="13" t="inlineStr">
        <is>
          <t>ОГБУ "Спортивная школа олимпийского резерва по футболу "Волга" имени Н.П. Старостина"</t>
        </is>
      </c>
      <c r="C911" s="13" t="n">
        <v>7325099370</v>
      </c>
      <c r="D911" s="13" t="inlineStr">
        <is>
          <t>7325099370</t>
        </is>
      </c>
      <c r="E911" s="13" t="inlineStr">
        <is>
          <t>ЮЛ РФ</t>
        </is>
      </c>
      <c r="F911" s="13" t="n"/>
      <c r="G911" s="14" t="n"/>
      <c r="H911" s="14" t="n"/>
      <c r="I911" s="14" t="n"/>
      <c r="J911" s="14" t="n"/>
      <c r="K911" s="53" t="inlineStr"/>
      <c r="L911" s="53" t="inlineStr">
        <is>
          <t>Не определено</t>
        </is>
      </c>
      <c r="M911" s="53" t="inlineStr"/>
      <c r="N911" s="54" t="inlineStr"/>
      <c r="O911" s="55" t="inlineStr"/>
      <c r="P911" s="16" t="inlineStr">
        <is>
          <t>Требует обогащения</t>
        </is>
      </c>
      <c r="Q911" s="16">
        <f>HYPERLINK("https://pb.nalog.ru/search.html?query=7325099370","ФНС: проверить")</f>
        <v/>
      </c>
      <c r="R911" s="16">
        <f>HYPERLINK("https://checko.ru/search?query=3801001629","Чекко: проверить")</f>
        <v/>
      </c>
      <c r="S911" t="n">
        <v>1</v>
      </c>
      <c r="T911" s="35" t="inlineStr">
        <is>
          <t>4 — Не обогащён</t>
        </is>
      </c>
      <c r="U911" s="35" t="inlineStr">
        <is>
          <t>Нет ОКВЭД/ССЧР</t>
        </is>
      </c>
      <c r="V911" s="35" t="inlineStr">
        <is>
          <t>Не определено</t>
        </is>
      </c>
      <c r="W911" s="35" t="inlineStr"/>
      <c r="X911" s="35" t="inlineStr"/>
    </row>
    <row r="912" ht="41.25" customHeight="1" s="24">
      <c r="A912" s="13" t="n">
        <v>5000038518</v>
      </c>
      <c r="B912" s="13" t="inlineStr">
        <is>
          <t>ОГБ физкультурно-спортивное учреждение "Спортивная школа национальных и неолимпийских видов спорта"</t>
        </is>
      </c>
      <c r="C912" s="13" t="n">
        <v>7327062216</v>
      </c>
      <c r="D912" s="13" t="inlineStr">
        <is>
          <t>7327062216</t>
        </is>
      </c>
      <c r="E912" s="13" t="inlineStr">
        <is>
          <t>ЮЛ РФ</t>
        </is>
      </c>
      <c r="F912" s="13" t="n"/>
      <c r="G912" s="14" t="n"/>
      <c r="H912" s="14" t="n"/>
      <c r="I912" s="14" t="n"/>
      <c r="J912" s="14" t="n"/>
      <c r="K912" s="53" t="inlineStr"/>
      <c r="L912" s="53" t="inlineStr">
        <is>
          <t>Не определено</t>
        </is>
      </c>
      <c r="M912" s="53" t="inlineStr"/>
      <c r="N912" s="54" t="inlineStr"/>
      <c r="O912" s="55" t="inlineStr"/>
      <c r="P912" s="16" t="inlineStr">
        <is>
          <t>Требует обогащения</t>
        </is>
      </c>
      <c r="Q912" s="16">
        <f>HYPERLINK("https://pb.nalog.ru/search.html?query=7327062216","ФНС: проверить")</f>
        <v/>
      </c>
      <c r="R912" s="16">
        <f>HYPERLINK("https://checko.ru/search?query=3801001629","Чекко: проверить")</f>
        <v/>
      </c>
      <c r="S912" t="n">
        <v>1</v>
      </c>
      <c r="T912" s="35" t="inlineStr">
        <is>
          <t>4 — Не обогащён</t>
        </is>
      </c>
      <c r="U912" s="35" t="inlineStr">
        <is>
          <t>Нет ОКВЭД/ССЧР</t>
        </is>
      </c>
      <c r="V912" s="35" t="inlineStr">
        <is>
          <t>Не определено</t>
        </is>
      </c>
      <c r="W912" s="35" t="inlineStr"/>
      <c r="X912" s="35" t="inlineStr"/>
    </row>
    <row r="913" ht="27.75" customHeight="1" s="24">
      <c r="A913" s="13" t="n">
        <v>5000038527</v>
      </c>
      <c r="B913" s="13" t="inlineStr">
        <is>
          <t>ОГКУ "Государственное юридическое бюро Ульяновской области"</t>
        </is>
      </c>
      <c r="C913" s="13" t="n">
        <v>7328504700</v>
      </c>
      <c r="D913" s="13" t="inlineStr">
        <is>
          <t>7328504700</t>
        </is>
      </c>
      <c r="E913" s="13" t="inlineStr">
        <is>
          <t>ЮЛ РФ</t>
        </is>
      </c>
      <c r="F913" s="13" t="n"/>
      <c r="G913" s="14" t="n"/>
      <c r="H913" s="14" t="n"/>
      <c r="I913" s="14" t="n"/>
      <c r="J913" s="14" t="n"/>
      <c r="K913" s="53" t="inlineStr"/>
      <c r="L913" s="53" t="inlineStr">
        <is>
          <t>Не определено</t>
        </is>
      </c>
      <c r="M913" s="53" t="inlineStr"/>
      <c r="N913" s="54" t="inlineStr"/>
      <c r="O913" s="55" t="inlineStr"/>
      <c r="P913" s="16" t="inlineStr">
        <is>
          <t>Требует обогащения</t>
        </is>
      </c>
      <c r="Q913" s="16">
        <f>HYPERLINK("https://pb.nalog.ru/search.html?query=7328504700","ФНС: проверить")</f>
        <v/>
      </c>
      <c r="R913" s="16">
        <f>HYPERLINK("https://checko.ru/search?query=3801001629","Чекко: проверить")</f>
        <v/>
      </c>
      <c r="S913" t="n">
        <v>1</v>
      </c>
      <c r="T913" s="35" t="inlineStr">
        <is>
          <t>4 — Не обогащён</t>
        </is>
      </c>
      <c r="U913" s="35" t="inlineStr">
        <is>
          <t>Нет ОКВЭД/ССЧР</t>
        </is>
      </c>
      <c r="V913" s="35" t="inlineStr">
        <is>
          <t>Не определено</t>
        </is>
      </c>
      <c r="W913" s="35" t="inlineStr"/>
      <c r="X913" s="35" t="inlineStr"/>
    </row>
    <row r="914" ht="15" customHeight="1" s="24">
      <c r="A914" s="13" t="n">
        <v>5000038508</v>
      </c>
      <c r="B914" s="13" t="inlineStr">
        <is>
          <t>ОГАУК "Ленинский мемориал"</t>
        </is>
      </c>
      <c r="C914" s="13" t="n">
        <v>7325058856</v>
      </c>
      <c r="D914" s="13" t="inlineStr">
        <is>
          <t>7325058856</t>
        </is>
      </c>
      <c r="E914" s="13" t="inlineStr">
        <is>
          <t>ЮЛ РФ</t>
        </is>
      </c>
      <c r="F914" s="13" t="n"/>
      <c r="G914" s="14" t="n"/>
      <c r="H914" s="14" t="n"/>
      <c r="I914" s="14" t="n"/>
      <c r="J914" s="14" t="n"/>
      <c r="K914" s="53" t="inlineStr"/>
      <c r="L914" s="53" t="inlineStr">
        <is>
          <t>Не определено</t>
        </is>
      </c>
      <c r="M914" s="53" t="inlineStr"/>
      <c r="N914" s="54" t="inlineStr"/>
      <c r="O914" s="55" t="inlineStr"/>
      <c r="P914" s="16" t="inlineStr">
        <is>
          <t>Требует обогащения</t>
        </is>
      </c>
      <c r="Q914" s="16">
        <f>HYPERLINK("https://pb.nalog.ru/search.html?query=7325058856","ФНС: проверить")</f>
        <v/>
      </c>
      <c r="R914" s="16">
        <f>HYPERLINK("https://checko.ru/search?query=3801001629","Чекко: проверить")</f>
        <v/>
      </c>
      <c r="S914" t="n">
        <v>1</v>
      </c>
      <c r="T914" s="35" t="inlineStr">
        <is>
          <t>4 — Не обогащён</t>
        </is>
      </c>
      <c r="U914" s="35" t="inlineStr">
        <is>
          <t>Нет ОКВЭД/ССЧР</t>
        </is>
      </c>
      <c r="V914" s="35" t="inlineStr">
        <is>
          <t>Не определено</t>
        </is>
      </c>
      <c r="W914" s="35" t="inlineStr"/>
      <c r="X914" s="35" t="inlineStr"/>
    </row>
    <row r="915" ht="15" customHeight="1" s="24">
      <c r="A915" s="13" t="n">
        <v>5000094949</v>
      </c>
      <c r="B915" s="13" t="inlineStr">
        <is>
          <t>МУ СОК "Баксан"</t>
        </is>
      </c>
      <c r="C915" s="13" t="n">
        <v>710054924</v>
      </c>
      <c r="D915" s="13" t="n"/>
      <c r="E915" s="13" t="inlineStr">
        <is>
          <t>Не определён</t>
        </is>
      </c>
      <c r="F915" s="13" t="inlineStr">
        <is>
          <t>710054924</t>
        </is>
      </c>
      <c r="G915" s="14" t="n"/>
      <c r="H915" s="14" t="n"/>
      <c r="I915" s="14" t="n"/>
      <c r="J915" s="14" t="n"/>
      <c r="K915" s="13">
        <f>IF(G915="","",IF(G915&gt;=22,"Да","Нет"))</f>
        <v/>
      </c>
      <c r="L915" s="13">
        <f>IF(OR(I915="",J915=""),"Не определено",IF(OR(COUNTIF(I915,"45*")&gt;0,COUNTIF(J915,"*45*")&gt;0,COUNTIF(I915,"46*")&gt;0,COUNTIF(J915,"*46*")&gt;0,COUNTIF(I915,"47*")&gt;0,COUNTIF(J915,"*47*")&gt;0,COUNTIF(I915,"10*")&gt;0,COUNTIF(J915,"*10*")&gt;0,COUNTIF(I915,"11*")&gt;0,COUNTIF(J915,"*11*")&gt;0,COUNTIF(I915,"12*")&gt;0,COUNTIF(J915,"*12*")&gt;0,COUNTIF(I915,"13*")&gt;0,COUNTIF(J915,"*13*")&gt;0,COUNTIF(I915,"14*")&gt;0,COUNTIF(J915,"*14*")&gt;0,COUNTIF(I915,"15*")&gt;0,COUNTIF(J915,"*15*")&gt;0,COUNTIF(I915,"16*")&gt;0,COUNTIF(J915,"*16*")&gt;0,COUNTIF(I915,"17*")&gt;0,COUNTIF(J915,"*17*")&gt;0,COUNTIF(I915,"18*")&gt;0,COUNTIF(J915,"*18*")&gt;0,COUNTIF(I915,"19*")&gt;0,COUNTIF(J915,"*19*")&gt;0,COUNTIF(I915,"20*")&gt;0,COUNTIF(J915,"*20*")&gt;0,COUNTIF(I915,"21*")&gt;0,COUNTIF(J915,"*21*")&gt;0,COUNTIF(I915,"22*")&gt;0,COUNTIF(J915,"*22*")&gt;0,COUNTIF(I915,"23*")&gt;0,COUNTIF(J915,"*23*")&gt;0,COUNTIF(I915,"24*")&gt;0,COUNTIF(J915,"*24*")&gt;0,COUNTIF(I915,"25*")&gt;0,COUNTIF(J915,"*25*")&gt;0,COUNTIF(I915,"26*")&gt;0,COUNTIF(J915,"*26*")&gt;0,COUNTIF(I915,"27*")&gt;0,COUNTIF(J915,"*27*")&gt;0,COUNTIF(I915,"28*")&gt;0,COUNTIF(J915,"*28*")&gt;0,COUNTIF(I915,"29*")&gt;0,COUNTIF(J915,"*29*")&gt;0,COUNTIF(I915,"30*")&gt;0,COUNTIF(J915,"*30*")&gt;0,COUNTIF(I915,"31*")&gt;0,COUNTIF(J915,"*31*")&gt;0,COUNTIF(I915,"32*")&gt;0,COUNTIF(J915,"*32*")&gt;0,COUNTIF(I915,"33*")&gt;0,COUNTIF(J915,"*33*")&gt;0,COUNTIF(I915,"41*")&gt;0,COUNTIF(J915,"*41*")&gt;0,COUNTIF(I915,"42*")&gt;0,COUNTIF(J915,"*42*")&gt;0,COUNTIF(I915,"43*")&gt;0,COUNTIF(J915,"*43*")&gt;0,COUNTIF(I915,"49*")&gt;0,COUNTIF(J915,"*49*")&gt;0,COUNTIF(I915,"52*")&gt;0,COUNTIF(J915,"*52*")&gt;0,COUNTIF(I915,"55*")&gt;0,COUNTIF(J915,"*55*")&gt;0,COUNTIF(I915,"56*")&gt;0,COUNTIF(J915,"*56*")&gt;0,COUNTIF(I915,"68*")&gt;0,COUNTIF(J915,"*68*")&gt;0,COUNTIF(I915,"78*")&gt;0,COUNTIF(J915,"*78*")&gt;0,COUNTIF(I915,"81*")&gt;0,COUNTIF(J915,"*81*")&gt;0,COUNTIF(I915,"82*")&gt;0,COUNTIF(J915,"*82*")&gt;0,COUNTIF(I915,"64*")&gt;0,COUNTIF(J915,"*64*")&gt;0,COUNTIF(I915,"65*")&gt;0,COUNTIF(J915,"*65*")&gt;0,COUNTIF(I915,"66*")&gt;0,COUNTIF(J915,"*66*")&gt;0,COUNTIF(I915,"61*")&gt;0,COUNTIF(J915,"*61*")&gt;0,COUNTIF(I915,"62*")&gt;0,COUNTIF(J915,"*62*")&gt;0,COUNTIF(I915,"63*")&gt;0,COUNTIF(J915,"*63*")&gt;0,COUNTIF(I915,"85*")&gt;0,COUNTIF(J915,"*85*")&gt;0,COUNTIF(I915,"86*")&gt;0,COUNTIF(J915,"*86*")&gt;0),"Да","Нет"))</f>
        <v/>
      </c>
      <c r="M915" s="13">
        <f>IF(OR(G915="",L915&lt;&gt;"Да"),"",IF(G915&lt;=100,"До 100",IF(G915&lt;=200,"До 200",IF(G915&lt;=500,"До 500","Отдельное КП"))))</f>
        <v/>
      </c>
      <c r="N915" s="15">
        <f>IF(OR(G915="",L915&lt;&gt;"Да"),"",IF(G915&lt;=100,33600,IF(G915&lt;=200,62400,IF(G915&lt;=500,144000,""))))</f>
        <v/>
      </c>
      <c r="O915" s="16">
        <f>IF(G915="","",IF(G915&lt;=15,"1–15",IF(G915&lt;=30,"16–30",IF(G915&lt;=50,"31–50",IF(G915&lt;=100,"51–100",IF(G915&lt;=150,"101–150",IF(G915&lt;=200,"151–200",IF(G915&lt;=500,"201–500","500+"))))))))</f>
        <v/>
      </c>
      <c r="P915" s="16" t="inlineStr">
        <is>
          <t>Нет совпадения в предоставленной выгрузке ССЧР</t>
        </is>
      </c>
      <c r="Q915" s="16" t="n"/>
      <c r="R915" s="16">
        <f>HYPERLINK("https://checko.ru/search?query=3801001629","Чекко: проверить")</f>
        <v/>
      </c>
      <c r="S915" t="n">
        <v>0</v>
      </c>
    </row>
    <row r="916" ht="15" customHeight="1" s="24">
      <c r="A916" s="13" t="n">
        <v>5000062683</v>
      </c>
      <c r="B916" s="13" t="inlineStr">
        <is>
          <t>МБОУ Школы "КвантУм"</t>
        </is>
      </c>
      <c r="C916" s="13" t="n">
        <v>5032239577</v>
      </c>
      <c r="D916" s="13" t="inlineStr">
        <is>
          <t>5032239577</t>
        </is>
      </c>
      <c r="E916" s="13" t="inlineStr">
        <is>
          <t>ЮЛ РФ</t>
        </is>
      </c>
      <c r="F916" s="13" t="n"/>
      <c r="G916" s="14" t="n"/>
      <c r="H916" s="14" t="n"/>
      <c r="I916" s="14" t="n"/>
      <c r="J916" s="14" t="n"/>
      <c r="K916" s="53" t="inlineStr"/>
      <c r="L916" s="53" t="inlineStr">
        <is>
          <t>Не определено</t>
        </is>
      </c>
      <c r="M916" s="53" t="inlineStr"/>
      <c r="N916" s="54" t="inlineStr"/>
      <c r="O916" s="55" t="inlineStr"/>
      <c r="P916" s="16" t="inlineStr">
        <is>
          <t>Требует обогащения</t>
        </is>
      </c>
      <c r="Q916" s="16">
        <f>HYPERLINK("https://pb.nalog.ru/search.html?query=5032239577","ФНС: проверить")</f>
        <v/>
      </c>
      <c r="R916" s="16">
        <f>HYPERLINK("https://checko.ru/search?query=3801001629","Чекко: проверить")</f>
        <v/>
      </c>
      <c r="S916" t="n">
        <v>1</v>
      </c>
      <c r="T916" s="35" t="inlineStr">
        <is>
          <t>4 — Не обогащён</t>
        </is>
      </c>
      <c r="U916" s="35" t="inlineStr">
        <is>
          <t>Нет ОКВЭД/ССЧР</t>
        </is>
      </c>
      <c r="V916" s="35" t="inlineStr">
        <is>
          <t>Не определено</t>
        </is>
      </c>
      <c r="W916" s="35" t="inlineStr"/>
      <c r="X916" s="35" t="inlineStr"/>
    </row>
    <row r="917" ht="15" customHeight="1" s="24">
      <c r="A917" s="13" t="n">
        <v>5000058991</v>
      </c>
      <c r="B917" s="13" t="inlineStr">
        <is>
          <t>МБУ СШ города Звенигород</t>
        </is>
      </c>
      <c r="C917" s="13" t="n">
        <v>5015004215</v>
      </c>
      <c r="D917" s="13" t="inlineStr">
        <is>
          <t>5015004215</t>
        </is>
      </c>
      <c r="E917" s="13" t="inlineStr">
        <is>
          <t>ЮЛ РФ</t>
        </is>
      </c>
      <c r="F917" s="13" t="n"/>
      <c r="G917" s="14" t="n"/>
      <c r="H917" s="14" t="n"/>
      <c r="I917" s="14" t="n"/>
      <c r="J917" s="14" t="n"/>
      <c r="K917" s="53" t="inlineStr"/>
      <c r="L917" s="53" t="inlineStr">
        <is>
          <t>Не определено</t>
        </is>
      </c>
      <c r="M917" s="53" t="inlineStr"/>
      <c r="N917" s="54" t="inlineStr"/>
      <c r="O917" s="55" t="inlineStr"/>
      <c r="P917" s="16" t="inlineStr">
        <is>
          <t>Требует обогащения</t>
        </is>
      </c>
      <c r="Q917" s="16">
        <f>HYPERLINK("https://pb.nalog.ru/search.html?query=5015004215","ФНС: проверить")</f>
        <v/>
      </c>
      <c r="R917" s="16">
        <f>HYPERLINK("https://checko.ru/search?query=3801001629","Чекко: проверить")</f>
        <v/>
      </c>
      <c r="S917" t="n">
        <v>1</v>
      </c>
      <c r="T917" s="35" t="inlineStr">
        <is>
          <t>4 — Не обогащён</t>
        </is>
      </c>
      <c r="U917" s="35" t="inlineStr">
        <is>
          <t>Нет ОКВЭД/ССЧР</t>
        </is>
      </c>
      <c r="V917" s="35" t="inlineStr">
        <is>
          <t>Не определено</t>
        </is>
      </c>
      <c r="W917" s="35" t="inlineStr"/>
      <c r="X917" s="35" t="inlineStr"/>
    </row>
    <row r="918" ht="15" customHeight="1" s="24">
      <c r="A918" s="13" t="n">
        <v>5000040350</v>
      </c>
      <c r="B918" s="13" t="inlineStr">
        <is>
          <t>МАУДОДДТ города Звенигород</t>
        </is>
      </c>
      <c r="C918" s="13" t="n">
        <v>5015004208</v>
      </c>
      <c r="D918" s="13" t="inlineStr">
        <is>
          <t>5015004208</t>
        </is>
      </c>
      <c r="E918" s="13" t="inlineStr">
        <is>
          <t>ЮЛ РФ</t>
        </is>
      </c>
      <c r="F918" s="13" t="n"/>
      <c r="G918" s="14" t="n"/>
      <c r="H918" s="14" t="n"/>
      <c r="I918" s="14" t="n"/>
      <c r="J918" s="14" t="n"/>
      <c r="K918" s="53" t="inlineStr"/>
      <c r="L918" s="53" t="inlineStr">
        <is>
          <t>Не определено</t>
        </is>
      </c>
      <c r="M918" s="53" t="inlineStr"/>
      <c r="N918" s="54" t="inlineStr"/>
      <c r="O918" s="55" t="inlineStr"/>
      <c r="P918" s="16" t="inlineStr">
        <is>
          <t>Требует обогащения</t>
        </is>
      </c>
      <c r="Q918" s="16">
        <f>HYPERLINK("https://pb.nalog.ru/search.html?query=5015004208","ФНС: проверить")</f>
        <v/>
      </c>
      <c r="R918" s="16">
        <f>HYPERLINK("https://checko.ru/search?query=3801001629","Чекко: проверить")</f>
        <v/>
      </c>
      <c r="S918" t="n">
        <v>1</v>
      </c>
      <c r="T918" s="35" t="inlineStr">
        <is>
          <t>4 — Не обогащён</t>
        </is>
      </c>
      <c r="U918" s="35" t="inlineStr">
        <is>
          <t>Нет ОКВЭД/ССЧР</t>
        </is>
      </c>
      <c r="V918" s="35" t="inlineStr">
        <is>
          <t>Не определено</t>
        </is>
      </c>
      <c r="W918" s="35" t="inlineStr"/>
      <c r="X918" s="35" t="inlineStr"/>
    </row>
    <row r="919" ht="54.75" customHeight="1" s="24">
      <c r="A919" s="13" t="n">
        <v>5000101700</v>
      </c>
      <c r="B919" s="13" t="inlineStr">
        <is>
          <t>Областное государственное бюджетное учреждение «Управление социальной защиты и социального обслуживания населения по Эхирит-Булагатскому району»</t>
        </is>
      </c>
      <c r="C919" s="13" t="n">
        <v>3849098778</v>
      </c>
      <c r="D919" s="13" t="inlineStr">
        <is>
          <t>3849098778</t>
        </is>
      </c>
      <c r="E919" s="13" t="inlineStr">
        <is>
          <t>ЮЛ РФ</t>
        </is>
      </c>
      <c r="F919" s="13" t="n"/>
      <c r="G919" s="14" t="n"/>
      <c r="H919" s="14" t="n"/>
      <c r="I919" s="14" t="n"/>
      <c r="J919" s="14" t="n"/>
      <c r="K919" s="53" t="inlineStr"/>
      <c r="L919" s="53" t="inlineStr">
        <is>
          <t>Не определено</t>
        </is>
      </c>
      <c r="M919" s="53" t="inlineStr"/>
      <c r="N919" s="54" t="inlineStr"/>
      <c r="O919" s="55" t="inlineStr"/>
      <c r="P919" s="16" t="inlineStr">
        <is>
          <t>Требует обогащения</t>
        </is>
      </c>
      <c r="Q919" s="16">
        <f>HYPERLINK("https://pb.nalog.ru/search.html?query=3849098778","ФНС: проверить")</f>
        <v/>
      </c>
      <c r="R919" s="16">
        <f>HYPERLINK("https://checko.ru/search?query=3801001629","Чекко: проверить")</f>
        <v/>
      </c>
      <c r="S919" t="n">
        <v>1</v>
      </c>
      <c r="T919" s="35" t="inlineStr">
        <is>
          <t>4 — Не обогащён</t>
        </is>
      </c>
      <c r="U919" s="35" t="inlineStr">
        <is>
          <t>Нет ОКВЭД/ССЧР</t>
        </is>
      </c>
      <c r="V919" s="35" t="inlineStr">
        <is>
          <t>Не определено</t>
        </is>
      </c>
      <c r="W919" s="35" t="inlineStr"/>
      <c r="X919" s="35" t="inlineStr"/>
    </row>
    <row r="920" ht="27.75" customHeight="1" s="24">
      <c r="A920" s="13" t="n">
        <v>5000101663</v>
      </c>
      <c r="B920" s="13" t="inlineStr">
        <is>
          <t>Государственное казенное учреждение Иркутской области "Аларское лесничество"</t>
        </is>
      </c>
      <c r="C920" s="13" t="n">
        <v>3801159817</v>
      </c>
      <c r="D920" s="13" t="inlineStr">
        <is>
          <t>3801159817</t>
        </is>
      </c>
      <c r="E920" s="13" t="inlineStr">
        <is>
          <t>ЮЛ РФ</t>
        </is>
      </c>
      <c r="F920" s="13" t="n"/>
      <c r="G920" s="14" t="n"/>
      <c r="H920" s="14" t="n"/>
      <c r="I920" s="14" t="n"/>
      <c r="J920" s="14" t="n"/>
      <c r="K920" s="53" t="inlineStr"/>
      <c r="L920" s="53" t="inlineStr">
        <is>
          <t>Не определено</t>
        </is>
      </c>
      <c r="M920" s="53" t="inlineStr"/>
      <c r="N920" s="54" t="inlineStr"/>
      <c r="O920" s="55" t="inlineStr"/>
      <c r="P920" s="16" t="inlineStr">
        <is>
          <t>Требует обогащения</t>
        </is>
      </c>
      <c r="Q920" s="16">
        <f>HYPERLINK("https://pb.nalog.ru/search.html?query=3801159817","ФНС: проверить")</f>
        <v/>
      </c>
      <c r="R920" s="16">
        <f>HYPERLINK("https://checko.ru/search?query=3801001629","Чекко: проверить")</f>
        <v/>
      </c>
      <c r="S920" t="n">
        <v>1</v>
      </c>
      <c r="T920" s="35" t="inlineStr">
        <is>
          <t>4 — Не обогащён</t>
        </is>
      </c>
      <c r="U920" s="35" t="inlineStr">
        <is>
          <t>Нет ОКВЭД/ССЧР</t>
        </is>
      </c>
      <c r="V920" s="35" t="inlineStr">
        <is>
          <t>Не определено</t>
        </is>
      </c>
      <c r="W920" s="35" t="inlineStr"/>
      <c r="X920" s="35" t="inlineStr"/>
    </row>
    <row r="921" ht="41.25" customHeight="1" s="24">
      <c r="A921" s="13" t="n">
        <v>5000094745</v>
      </c>
      <c r="B921" s="13" t="inlineStr">
        <is>
          <t>МКУ "Местная администрация сельского поселения Псыкод" Урванского муниципального района КБР</t>
        </is>
      </c>
      <c r="C921" s="13" t="n">
        <v>707002965</v>
      </c>
      <c r="D921" s="13" t="n"/>
      <c r="E921" s="13" t="inlineStr">
        <is>
          <t>Не определён</t>
        </is>
      </c>
      <c r="F921" s="13" t="inlineStr">
        <is>
          <t>707002965</t>
        </is>
      </c>
      <c r="G921" s="14" t="n"/>
      <c r="H921" s="14" t="n"/>
      <c r="I921" s="14" t="n"/>
      <c r="J921" s="14" t="n"/>
      <c r="K921" s="13">
        <f>IF(G921="","",IF(G921&gt;=22,"Да","Нет"))</f>
        <v/>
      </c>
      <c r="L921" s="13">
        <f>IF(OR(I921="",J921=""),"Не определено",IF(OR(COUNTIF(I921,"45*")&gt;0,COUNTIF(J921,"*45*")&gt;0,COUNTIF(I921,"46*")&gt;0,COUNTIF(J921,"*46*")&gt;0,COUNTIF(I921,"47*")&gt;0,COUNTIF(J921,"*47*")&gt;0,COUNTIF(I921,"10*")&gt;0,COUNTIF(J921,"*10*")&gt;0,COUNTIF(I921,"11*")&gt;0,COUNTIF(J921,"*11*")&gt;0,COUNTIF(I921,"12*")&gt;0,COUNTIF(J921,"*12*")&gt;0,COUNTIF(I921,"13*")&gt;0,COUNTIF(J921,"*13*")&gt;0,COUNTIF(I921,"14*")&gt;0,COUNTIF(J921,"*14*")&gt;0,COUNTIF(I921,"15*")&gt;0,COUNTIF(J921,"*15*")&gt;0,COUNTIF(I921,"16*")&gt;0,COUNTIF(J921,"*16*")&gt;0,COUNTIF(I921,"17*")&gt;0,COUNTIF(J921,"*17*")&gt;0,COUNTIF(I921,"18*")&gt;0,COUNTIF(J921,"*18*")&gt;0,COUNTIF(I921,"19*")&gt;0,COUNTIF(J921,"*19*")&gt;0,COUNTIF(I921,"20*")&gt;0,COUNTIF(J921,"*20*")&gt;0,COUNTIF(I921,"21*")&gt;0,COUNTIF(J921,"*21*")&gt;0,COUNTIF(I921,"22*")&gt;0,COUNTIF(J921,"*22*")&gt;0,COUNTIF(I921,"23*")&gt;0,COUNTIF(J921,"*23*")&gt;0,COUNTIF(I921,"24*")&gt;0,COUNTIF(J921,"*24*")&gt;0,COUNTIF(I921,"25*")&gt;0,COUNTIF(J921,"*25*")&gt;0,COUNTIF(I921,"26*")&gt;0,COUNTIF(J921,"*26*")&gt;0,COUNTIF(I921,"27*")&gt;0,COUNTIF(J921,"*27*")&gt;0,COUNTIF(I921,"28*")&gt;0,COUNTIF(J921,"*28*")&gt;0,COUNTIF(I921,"29*")&gt;0,COUNTIF(J921,"*29*")&gt;0,COUNTIF(I921,"30*")&gt;0,COUNTIF(J921,"*30*")&gt;0,COUNTIF(I921,"31*")&gt;0,COUNTIF(J921,"*31*")&gt;0,COUNTIF(I921,"32*")&gt;0,COUNTIF(J921,"*32*")&gt;0,COUNTIF(I921,"33*")&gt;0,COUNTIF(J921,"*33*")&gt;0,COUNTIF(I921,"41*")&gt;0,COUNTIF(J921,"*41*")&gt;0,COUNTIF(I921,"42*")&gt;0,COUNTIF(J921,"*42*")&gt;0,COUNTIF(I921,"43*")&gt;0,COUNTIF(J921,"*43*")&gt;0,COUNTIF(I921,"49*")&gt;0,COUNTIF(J921,"*49*")&gt;0,COUNTIF(I921,"52*")&gt;0,COUNTIF(J921,"*52*")&gt;0,COUNTIF(I921,"55*")&gt;0,COUNTIF(J921,"*55*")&gt;0,COUNTIF(I921,"56*")&gt;0,COUNTIF(J921,"*56*")&gt;0,COUNTIF(I921,"68*")&gt;0,COUNTIF(J921,"*68*")&gt;0,COUNTIF(I921,"78*")&gt;0,COUNTIF(J921,"*78*")&gt;0,COUNTIF(I921,"81*")&gt;0,COUNTIF(J921,"*81*")&gt;0,COUNTIF(I921,"82*")&gt;0,COUNTIF(J921,"*82*")&gt;0,COUNTIF(I921,"64*")&gt;0,COUNTIF(J921,"*64*")&gt;0,COUNTIF(I921,"65*")&gt;0,COUNTIF(J921,"*65*")&gt;0,COUNTIF(I921,"66*")&gt;0,COUNTIF(J921,"*66*")&gt;0,COUNTIF(I921,"61*")&gt;0,COUNTIF(J921,"*61*")&gt;0,COUNTIF(I921,"62*")&gt;0,COUNTIF(J921,"*62*")&gt;0,COUNTIF(I921,"63*")&gt;0,COUNTIF(J921,"*63*")&gt;0,COUNTIF(I921,"85*")&gt;0,COUNTIF(J921,"*85*")&gt;0,COUNTIF(I921,"86*")&gt;0,COUNTIF(J921,"*86*")&gt;0),"Да","Нет"))</f>
        <v/>
      </c>
      <c r="M921" s="13">
        <f>IF(OR(G921="",L921&lt;&gt;"Да"),"",IF(G921&lt;=100,"До 100",IF(G921&lt;=200,"До 200",IF(G921&lt;=500,"До 500","Отдельное КП"))))</f>
        <v/>
      </c>
      <c r="N921" s="15">
        <f>IF(OR(G921="",L921&lt;&gt;"Да"),"",IF(G921&lt;=100,33600,IF(G921&lt;=200,62400,IF(G921&lt;=500,144000,""))))</f>
        <v/>
      </c>
      <c r="O921" s="16">
        <f>IF(G921="","",IF(G921&lt;=15,"1–15",IF(G921&lt;=30,"16–30",IF(G921&lt;=50,"31–50",IF(G921&lt;=100,"51–100",IF(G921&lt;=150,"101–150",IF(G921&lt;=200,"151–200",IF(G921&lt;=500,"201–500","500+"))))))))</f>
        <v/>
      </c>
      <c r="P921" s="16" t="inlineStr">
        <is>
          <t>Нет совпадения в предоставленной выгрузке ССЧР</t>
        </is>
      </c>
      <c r="Q921" s="16" t="n"/>
      <c r="R921" s="16">
        <f>HYPERLINK("https://checko.ru/search?query=3801001629","Чекко: проверить")</f>
        <v/>
      </c>
      <c r="S921" t="n">
        <v>0</v>
      </c>
    </row>
    <row r="922" ht="54.75" customHeight="1" s="24">
      <c r="A922" s="13" t="n">
        <v>5000001904</v>
      </c>
      <c r="B922" s="13" t="inlineStr">
        <is>
          <t>Государственное специальное учебно-воспитательное ОбщеОбразовательное учреждение Иркутской Области для Обучающихся с девиантным (Общественно опасным)</t>
        </is>
      </c>
      <c r="C922" s="13" t="n">
        <v>3812108042</v>
      </c>
      <c r="D922" s="13" t="inlineStr">
        <is>
          <t>3812108042</t>
        </is>
      </c>
      <c r="E922" s="13" t="inlineStr">
        <is>
          <t>ЮЛ РФ</t>
        </is>
      </c>
      <c r="F922" s="13" t="n"/>
      <c r="G922" s="14" t="n"/>
      <c r="H922" s="14" t="n"/>
      <c r="I922" s="14" t="n"/>
      <c r="J922" s="14" t="n"/>
      <c r="K922" s="53" t="inlineStr"/>
      <c r="L922" s="53" t="inlineStr">
        <is>
          <t>Не определено</t>
        </is>
      </c>
      <c r="M922" s="53" t="inlineStr"/>
      <c r="N922" s="54" t="inlineStr"/>
      <c r="O922" s="55" t="inlineStr"/>
      <c r="P922" s="16" t="inlineStr">
        <is>
          <t>Требует обогащения</t>
        </is>
      </c>
      <c r="Q922" s="16">
        <f>HYPERLINK("https://pb.nalog.ru/search.html?query=3812108042","ФНС: проверить")</f>
        <v/>
      </c>
      <c r="R922" s="16">
        <f>HYPERLINK("https://checko.ru/search?query=3801001629","Чекко: проверить")</f>
        <v/>
      </c>
      <c r="S922" t="n">
        <v>1</v>
      </c>
      <c r="T922" s="35" t="inlineStr">
        <is>
          <t>4 — Не обогащён</t>
        </is>
      </c>
      <c r="U922" s="35" t="inlineStr">
        <is>
          <t>Нет ОКВЭД/ССЧР</t>
        </is>
      </c>
      <c r="V922" s="35" t="inlineStr">
        <is>
          <t>Не определено</t>
        </is>
      </c>
      <c r="W922" s="35" t="inlineStr"/>
      <c r="X922" s="35" t="inlineStr"/>
    </row>
    <row r="923" ht="27.75" customHeight="1" s="24">
      <c r="A923" s="13" t="n">
        <v>5000001490</v>
      </c>
      <c r="B923" s="13" t="inlineStr">
        <is>
          <t>Служба по охране природы и озера Байкал Иркутской Области</t>
        </is>
      </c>
      <c r="C923" s="13" t="n">
        <v>3808161396</v>
      </c>
      <c r="D923" s="13" t="inlineStr">
        <is>
          <t>3808161396</t>
        </is>
      </c>
      <c r="E923" s="13" t="inlineStr">
        <is>
          <t>ЮЛ РФ</t>
        </is>
      </c>
      <c r="F923" s="13" t="n"/>
      <c r="G923" s="14" t="n"/>
      <c r="H923" s="14" t="n"/>
      <c r="I923" s="14" t="n"/>
      <c r="J923" s="14" t="n"/>
      <c r="K923" s="53" t="inlineStr"/>
      <c r="L923" s="53" t="inlineStr">
        <is>
          <t>Не определено</t>
        </is>
      </c>
      <c r="M923" s="53" t="inlineStr"/>
      <c r="N923" s="54" t="inlineStr"/>
      <c r="O923" s="55" t="inlineStr"/>
      <c r="P923" s="16" t="inlineStr">
        <is>
          <t>Требует обогащения</t>
        </is>
      </c>
      <c r="Q923" s="16">
        <f>HYPERLINK("https://pb.nalog.ru/search.html?query=3808161396","ФНС: проверить")</f>
        <v/>
      </c>
      <c r="R923" s="16">
        <f>HYPERLINK("https://checko.ru/search?query=3801001629","Чекко: проверить")</f>
        <v/>
      </c>
      <c r="S923" t="n">
        <v>1</v>
      </c>
      <c r="T923" s="35" t="inlineStr">
        <is>
          <t>4 — Не обогащён</t>
        </is>
      </c>
      <c r="U923" s="35" t="inlineStr">
        <is>
          <t>Нет ОКВЭД/ССЧР</t>
        </is>
      </c>
      <c r="V923" s="35" t="inlineStr">
        <is>
          <t>Не определено</t>
        </is>
      </c>
      <c r="W923" s="35" t="inlineStr"/>
      <c r="X923" s="35" t="inlineStr"/>
    </row>
    <row r="924" ht="41.25" customHeight="1" s="24">
      <c r="A924" s="13" t="n">
        <v>5000001502</v>
      </c>
      <c r="B924" s="13" t="inlineStr">
        <is>
          <t>Служба Государственного надзора за техническим состоянием самоходных машин и других видов техники Иркутской Области</t>
        </is>
      </c>
      <c r="C924" s="13" t="n">
        <v>3808171972</v>
      </c>
      <c r="D924" s="13" t="inlineStr">
        <is>
          <t>3808171972</t>
        </is>
      </c>
      <c r="E924" s="13" t="inlineStr">
        <is>
          <t>ЮЛ РФ</t>
        </is>
      </c>
      <c r="F924" s="13" t="n"/>
      <c r="G924" s="14" t="n"/>
      <c r="H924" s="14" t="n"/>
      <c r="I924" s="14" t="n"/>
      <c r="J924" s="14" t="n"/>
      <c r="K924" s="53" t="inlineStr"/>
      <c r="L924" s="53" t="inlineStr">
        <is>
          <t>Не определено</t>
        </is>
      </c>
      <c r="M924" s="53" t="inlineStr"/>
      <c r="N924" s="54" t="inlineStr"/>
      <c r="O924" s="55" t="inlineStr"/>
      <c r="P924" s="16" t="inlineStr">
        <is>
          <t>Требует обогащения</t>
        </is>
      </c>
      <c r="Q924" s="16">
        <f>HYPERLINK("https://pb.nalog.ru/search.html?query=3808171972","ФНС: проверить")</f>
        <v/>
      </c>
      <c r="R924" s="16">
        <f>HYPERLINK("https://checko.ru/search?query=3801001629","Чекко: проверить")</f>
        <v/>
      </c>
      <c r="S924" t="n">
        <v>1</v>
      </c>
      <c r="T924" s="35" t="inlineStr">
        <is>
          <t>4 — Не обогащён</t>
        </is>
      </c>
      <c r="U924" s="35" t="inlineStr">
        <is>
          <t>Нет ОКВЭД/ССЧР</t>
        </is>
      </c>
      <c r="V924" s="35" t="inlineStr">
        <is>
          <t>Не определено</t>
        </is>
      </c>
      <c r="W924" s="35" t="inlineStr"/>
      <c r="X924" s="35" t="inlineStr"/>
    </row>
    <row r="925" ht="15" customHeight="1" s="24">
      <c r="A925" s="13" t="n">
        <v>5000001498</v>
      </c>
      <c r="B925" s="13" t="inlineStr">
        <is>
          <t>Министерство финансов Иркутской Области</t>
        </is>
      </c>
      <c r="C925" s="13" t="n">
        <v>3808171299</v>
      </c>
      <c r="D925" s="13" t="inlineStr">
        <is>
          <t>3808171299</t>
        </is>
      </c>
      <c r="E925" s="13" t="inlineStr">
        <is>
          <t>ЮЛ РФ</t>
        </is>
      </c>
      <c r="F925" s="13" t="n"/>
      <c r="G925" s="14" t="n"/>
      <c r="H925" s="14" t="n"/>
      <c r="I925" s="14" t="n"/>
      <c r="J925" s="14" t="n"/>
      <c r="K925" s="53" t="inlineStr"/>
      <c r="L925" s="53" t="inlineStr">
        <is>
          <t>Не определено</t>
        </is>
      </c>
      <c r="M925" s="53" t="inlineStr"/>
      <c r="N925" s="54" t="inlineStr"/>
      <c r="O925" s="55" t="inlineStr"/>
      <c r="P925" s="16" t="inlineStr">
        <is>
          <t>Требует обогащения</t>
        </is>
      </c>
      <c r="Q925" s="16">
        <f>HYPERLINK("https://pb.nalog.ru/search.html?query=3808171299","ФНС: проверить")</f>
        <v/>
      </c>
      <c r="R925" s="16">
        <f>HYPERLINK("https://checko.ru/search?query=3801001629","Чекко: проверить")</f>
        <v/>
      </c>
      <c r="S925" t="n">
        <v>1</v>
      </c>
      <c r="T925" s="35" t="inlineStr">
        <is>
          <t>4 — Не обогащён</t>
        </is>
      </c>
      <c r="U925" s="35" t="inlineStr">
        <is>
          <t>Нет ОКВЭД/ССЧР</t>
        </is>
      </c>
      <c r="V925" s="35" t="inlineStr">
        <is>
          <t>Не определено</t>
        </is>
      </c>
      <c r="W925" s="35" t="inlineStr"/>
      <c r="X925" s="35" t="inlineStr"/>
    </row>
    <row r="926" ht="15" customHeight="1" s="24">
      <c r="A926" s="13" t="n">
        <v>5000038525</v>
      </c>
      <c r="B926" s="13" t="inlineStr">
        <is>
          <t>Правительство Ульяновской области</t>
        </is>
      </c>
      <c r="C926" s="13" t="n">
        <v>7325001144</v>
      </c>
      <c r="D926" s="13" t="inlineStr">
        <is>
          <t>7325001144</t>
        </is>
      </c>
      <c r="E926" s="13" t="inlineStr">
        <is>
          <t>ЮЛ РФ</t>
        </is>
      </c>
      <c r="F926" s="13" t="n"/>
      <c r="G926" s="14" t="n"/>
      <c r="H926" s="14" t="n"/>
      <c r="I926" s="14" t="n"/>
      <c r="J926" s="14" t="n"/>
      <c r="K926" s="53" t="inlineStr"/>
      <c r="L926" s="53" t="inlineStr">
        <is>
          <t>Не определено</t>
        </is>
      </c>
      <c r="M926" s="53" t="inlineStr"/>
      <c r="N926" s="54" t="inlineStr"/>
      <c r="O926" s="55" t="inlineStr"/>
      <c r="P926" s="16" t="inlineStr">
        <is>
          <t>Требует обогащения</t>
        </is>
      </c>
      <c r="Q926" s="16">
        <f>HYPERLINK("https://pb.nalog.ru/search.html?query=7325001144","ФНС: проверить")</f>
        <v/>
      </c>
      <c r="R926" s="16">
        <f>HYPERLINK("https://checko.ru/search?query=3801001629","Чекко: проверить")</f>
        <v/>
      </c>
      <c r="S926" t="n">
        <v>1</v>
      </c>
      <c r="T926" s="35" t="inlineStr">
        <is>
          <t>4 — Не обогащён</t>
        </is>
      </c>
      <c r="U926" s="35" t="inlineStr">
        <is>
          <t>Нет ОКВЭД/ССЧР</t>
        </is>
      </c>
      <c r="V926" s="35" t="inlineStr">
        <is>
          <t>Не определено</t>
        </is>
      </c>
      <c r="W926" s="35" t="inlineStr"/>
      <c r="X926" s="35" t="inlineStr"/>
    </row>
    <row r="927" ht="15" customHeight="1" s="24">
      <c r="A927" s="13" t="n">
        <v>5000038526</v>
      </c>
      <c r="B927" s="13" t="inlineStr">
        <is>
          <t>Управление делами Ульяновской области</t>
        </is>
      </c>
      <c r="C927" s="13" t="n">
        <v>7325056619</v>
      </c>
      <c r="D927" s="13" t="inlineStr">
        <is>
          <t>7325056619</t>
        </is>
      </c>
      <c r="E927" s="13" t="inlineStr">
        <is>
          <t>ЮЛ РФ</t>
        </is>
      </c>
      <c r="F927" s="13" t="n"/>
      <c r="G927" s="14" t="n"/>
      <c r="H927" s="14" t="n"/>
      <c r="I927" s="14" t="n"/>
      <c r="J927" s="14" t="n"/>
      <c r="K927" s="53" t="inlineStr"/>
      <c r="L927" s="53" t="inlineStr">
        <is>
          <t>Не определено</t>
        </is>
      </c>
      <c r="M927" s="53" t="inlineStr"/>
      <c r="N927" s="54" t="inlineStr"/>
      <c r="O927" s="55" t="inlineStr"/>
      <c r="P927" s="16" t="inlineStr">
        <is>
          <t>Требует обогащения</t>
        </is>
      </c>
      <c r="Q927" s="16">
        <f>HYPERLINK("https://pb.nalog.ru/search.html?query=7325056619","ФНС: проверить")</f>
        <v/>
      </c>
      <c r="R927" s="16">
        <f>HYPERLINK("https://checko.ru/search?query=3801001629","Чекко: проверить")</f>
        <v/>
      </c>
      <c r="S927" t="n">
        <v>1</v>
      </c>
      <c r="T927" s="35" t="inlineStr">
        <is>
          <t>4 — Не обогащён</t>
        </is>
      </c>
      <c r="U927" s="35" t="inlineStr">
        <is>
          <t>Нет ОКВЭД/ССЧР</t>
        </is>
      </c>
      <c r="V927" s="35" t="inlineStr">
        <is>
          <t>Не определено</t>
        </is>
      </c>
      <c r="W927" s="35" t="inlineStr"/>
      <c r="X927" s="35" t="inlineStr"/>
    </row>
    <row r="928" ht="27.75" customHeight="1" s="24">
      <c r="A928" s="13" t="n">
        <v>5000038493</v>
      </c>
      <c r="B928" s="13" t="inlineStr">
        <is>
          <t>ОГБУК "Ульяновская областная научная библиотека им.В.И. Ленина"</t>
        </is>
      </c>
      <c r="C928" s="13" t="n">
        <v>7303025776</v>
      </c>
      <c r="D928" s="13" t="inlineStr">
        <is>
          <t>7303025776</t>
        </is>
      </c>
      <c r="E928" s="13" t="inlineStr">
        <is>
          <t>ЮЛ РФ</t>
        </is>
      </c>
      <c r="F928" s="13" t="n"/>
      <c r="G928" s="14" t="n"/>
      <c r="H928" s="14" t="n"/>
      <c r="I928" s="14" t="n"/>
      <c r="J928" s="14" t="n"/>
      <c r="K928" s="53" t="inlineStr"/>
      <c r="L928" s="53" t="inlineStr">
        <is>
          <t>Не определено</t>
        </is>
      </c>
      <c r="M928" s="53" t="inlineStr"/>
      <c r="N928" s="54" t="inlineStr"/>
      <c r="O928" s="55" t="inlineStr"/>
      <c r="P928" s="16" t="inlineStr">
        <is>
          <t>Требует обогащения</t>
        </is>
      </c>
      <c r="Q928" s="16">
        <f>HYPERLINK("https://pb.nalog.ru/search.html?query=7303025776","ФНС: проверить")</f>
        <v/>
      </c>
      <c r="R928" s="16">
        <f>HYPERLINK("https://checko.ru/search?query=3801001629","Чекко: проверить")</f>
        <v/>
      </c>
      <c r="S928" t="n">
        <v>1</v>
      </c>
      <c r="T928" s="35" t="inlineStr">
        <is>
          <t>4 — Не обогащён</t>
        </is>
      </c>
      <c r="U928" s="35" t="inlineStr">
        <is>
          <t>Нет ОКВЭД/ССЧР</t>
        </is>
      </c>
      <c r="V928" s="35" t="inlineStr">
        <is>
          <t>Не определено</t>
        </is>
      </c>
      <c r="W928" s="35" t="inlineStr"/>
      <c r="X928" s="35" t="inlineStr"/>
    </row>
    <row r="929" ht="27.75" customHeight="1" s="24">
      <c r="A929" s="13" t="n">
        <v>5000001472</v>
      </c>
      <c r="B929" s="13" t="inlineStr">
        <is>
          <t>ГУК Иркутский областной историко-мемориальный музей декабристов</t>
        </is>
      </c>
      <c r="C929" s="13" t="n">
        <v>3808059843</v>
      </c>
      <c r="D929" s="13" t="inlineStr">
        <is>
          <t>3808059843</t>
        </is>
      </c>
      <c r="E929" s="13" t="inlineStr">
        <is>
          <t>ЮЛ РФ</t>
        </is>
      </c>
      <c r="F929" s="13" t="n"/>
      <c r="G929" s="14" t="n"/>
      <c r="H929" s="14" t="n"/>
      <c r="I929" s="14" t="n"/>
      <c r="J929" s="14" t="n"/>
      <c r="K929" s="53" t="inlineStr"/>
      <c r="L929" s="53" t="inlineStr">
        <is>
          <t>Не определено</t>
        </is>
      </c>
      <c r="M929" s="53" t="inlineStr"/>
      <c r="N929" s="54" t="inlineStr"/>
      <c r="O929" s="55" t="inlineStr"/>
      <c r="P929" s="16" t="inlineStr">
        <is>
          <t>Требует обогащения</t>
        </is>
      </c>
      <c r="Q929" s="16">
        <f>HYPERLINK("https://pb.nalog.ru/search.html?query=3808059843","ФНС: проверить")</f>
        <v/>
      </c>
      <c r="R929" s="16">
        <f>HYPERLINK("https://checko.ru/search?query=3801001629","Чекко: проверить")</f>
        <v/>
      </c>
      <c r="S929" t="n">
        <v>1</v>
      </c>
      <c r="T929" s="35" t="inlineStr">
        <is>
          <t>4 — Не обогащён</t>
        </is>
      </c>
      <c r="U929" s="35" t="inlineStr">
        <is>
          <t>Нет ОКВЭД/ССЧР</t>
        </is>
      </c>
      <c r="V929" s="35" t="inlineStr">
        <is>
          <t>Не определено</t>
        </is>
      </c>
      <c r="W929" s="35" t="inlineStr"/>
      <c r="X929" s="35" t="inlineStr"/>
    </row>
    <row r="930" ht="15" customHeight="1" s="24">
      <c r="A930" s="13" t="n">
        <v>5000038528</v>
      </c>
      <c r="B930" s="13" t="inlineStr">
        <is>
          <t>ОбГБУ "Электронный Ульяновск"</t>
        </is>
      </c>
      <c r="C930" s="13" t="n">
        <v>7325048537</v>
      </c>
      <c r="D930" s="13" t="inlineStr">
        <is>
          <t>7325048537</t>
        </is>
      </c>
      <c r="E930" s="13" t="inlineStr">
        <is>
          <t>ЮЛ РФ</t>
        </is>
      </c>
      <c r="F930" s="13" t="n"/>
      <c r="G930" s="14" t="n"/>
      <c r="H930" s="14" t="n"/>
      <c r="I930" s="14" t="n"/>
      <c r="J930" s="14" t="n"/>
      <c r="K930" s="53" t="inlineStr"/>
      <c r="L930" s="53" t="inlineStr">
        <is>
          <t>Не определено</t>
        </is>
      </c>
      <c r="M930" s="53" t="inlineStr"/>
      <c r="N930" s="54" t="inlineStr"/>
      <c r="O930" s="55" t="inlineStr"/>
      <c r="P930" s="16" t="inlineStr">
        <is>
          <t>Требует обогащения</t>
        </is>
      </c>
      <c r="Q930" s="16">
        <f>HYPERLINK("https://pb.nalog.ru/search.html?query=7325048537","ФНС: проверить")</f>
        <v/>
      </c>
      <c r="R930" s="16">
        <f>HYPERLINK("https://checko.ru/search?query=3801001629","Чекко: проверить")</f>
        <v/>
      </c>
      <c r="S930" t="n">
        <v>1</v>
      </c>
      <c r="T930" s="35" t="inlineStr">
        <is>
          <t>4 — Не обогащён</t>
        </is>
      </c>
      <c r="U930" s="35" t="inlineStr">
        <is>
          <t>Нет ОКВЭД/ССЧР</t>
        </is>
      </c>
      <c r="V930" s="35" t="inlineStr">
        <is>
          <t>Не определено</t>
        </is>
      </c>
      <c r="W930" s="35" t="inlineStr"/>
      <c r="X930" s="35" t="inlineStr"/>
    </row>
    <row r="931" ht="27.75" customHeight="1" s="24">
      <c r="A931" s="13" t="n">
        <v>5000001889</v>
      </c>
      <c r="B931" s="13" t="inlineStr">
        <is>
          <t>Областное ГБУ "Качугская станция по борьбе с болезнями животных"</t>
        </is>
      </c>
      <c r="C931" s="13" t="n">
        <v>3830905749</v>
      </c>
      <c r="D931" s="13" t="inlineStr">
        <is>
          <t>3830905749</t>
        </is>
      </c>
      <c r="E931" s="13" t="inlineStr">
        <is>
          <t>ЮЛ РФ</t>
        </is>
      </c>
      <c r="F931" s="13" t="n"/>
      <c r="G931" s="14" t="n"/>
      <c r="H931" s="14" t="n"/>
      <c r="I931" s="14" t="n"/>
      <c r="J931" s="14" t="n"/>
      <c r="K931" s="53" t="inlineStr"/>
      <c r="L931" s="53" t="inlineStr">
        <is>
          <t>Не определено</t>
        </is>
      </c>
      <c r="M931" s="53" t="inlineStr"/>
      <c r="N931" s="54" t="inlineStr"/>
      <c r="O931" s="55" t="inlineStr"/>
      <c r="P931" s="16" t="inlineStr">
        <is>
          <t>Требует обогащения</t>
        </is>
      </c>
      <c r="Q931" s="16">
        <f>HYPERLINK("https://pb.nalog.ru/search.html?query=3830905749","ФНС: проверить")</f>
        <v/>
      </c>
      <c r="R931" s="16">
        <f>HYPERLINK("https://checko.ru/search?query=3801001629","Чекко: проверить")</f>
        <v/>
      </c>
      <c r="S931" t="n">
        <v>1</v>
      </c>
      <c r="T931" s="35" t="inlineStr">
        <is>
          <t>4 — Не обогащён</t>
        </is>
      </c>
      <c r="U931" s="35" t="inlineStr">
        <is>
          <t>Нет ОКВЭД/ССЧР</t>
        </is>
      </c>
      <c r="V931" s="35" t="inlineStr">
        <is>
          <t>Не определено</t>
        </is>
      </c>
      <c r="W931" s="35" t="inlineStr"/>
      <c r="X931" s="35" t="inlineStr"/>
    </row>
    <row r="932" ht="15" customHeight="1" s="24">
      <c r="A932" s="13" t="n">
        <v>5000002271</v>
      </c>
      <c r="B932" s="13" t="inlineStr">
        <is>
          <t>ОГУ Нижнеудинская СББЖ</t>
        </is>
      </c>
      <c r="C932" s="13" t="n">
        <v>3813001334</v>
      </c>
      <c r="D932" s="13" t="inlineStr">
        <is>
          <t>3813001334</t>
        </is>
      </c>
      <c r="E932" s="13" t="inlineStr">
        <is>
          <t>ЮЛ РФ</t>
        </is>
      </c>
      <c r="F932" s="13" t="n"/>
      <c r="G932" s="14" t="n"/>
      <c r="H932" s="14" t="n"/>
      <c r="I932" s="14" t="n"/>
      <c r="J932" s="14" t="n"/>
      <c r="K932" s="53" t="inlineStr"/>
      <c r="L932" s="53" t="inlineStr">
        <is>
          <t>Не определено</t>
        </is>
      </c>
      <c r="M932" s="53" t="inlineStr"/>
      <c r="N932" s="54" t="inlineStr"/>
      <c r="O932" s="55" t="inlineStr"/>
      <c r="P932" s="16" t="inlineStr">
        <is>
          <t>Требует обогащения</t>
        </is>
      </c>
      <c r="Q932" s="16">
        <f>HYPERLINK("https://pb.nalog.ru/search.html?query=3813001334","ФНС: проверить")</f>
        <v/>
      </c>
      <c r="R932" s="16">
        <f>HYPERLINK("https://checko.ru/search?query=3801001629","Чекко: проверить")</f>
        <v/>
      </c>
      <c r="S932" t="n">
        <v>1</v>
      </c>
      <c r="T932" s="35" t="inlineStr">
        <is>
          <t>4 — Не обогащён</t>
        </is>
      </c>
      <c r="U932" s="35" t="inlineStr">
        <is>
          <t>Нет ОКВЭД/ССЧР</t>
        </is>
      </c>
      <c r="V932" s="35" t="inlineStr">
        <is>
          <t>Не определено</t>
        </is>
      </c>
      <c r="W932" s="35" t="inlineStr"/>
      <c r="X932" s="35" t="inlineStr"/>
    </row>
    <row r="933" ht="27.75" customHeight="1" s="24">
      <c r="A933" s="13" t="n">
        <v>5000094394</v>
      </c>
      <c r="B933" s="13" t="inlineStr">
        <is>
          <t>Местная администрация Баксанского муниципального района</t>
        </is>
      </c>
      <c r="C933" s="13" t="n">
        <v>701004162</v>
      </c>
      <c r="D933" s="13" t="n"/>
      <c r="E933" s="13" t="inlineStr">
        <is>
          <t>Не определён</t>
        </is>
      </c>
      <c r="F933" s="13" t="inlineStr">
        <is>
          <t>701004162</t>
        </is>
      </c>
      <c r="G933" s="14" t="n"/>
      <c r="H933" s="14" t="n"/>
      <c r="I933" s="14" t="n"/>
      <c r="J933" s="14" t="n"/>
      <c r="K933" s="13">
        <f>IF(G933="","",IF(G933&gt;=22,"Да","Нет"))</f>
        <v/>
      </c>
      <c r="L933" s="13">
        <f>IF(OR(I933="",J933=""),"Не определено",IF(OR(COUNTIF(I933,"45*")&gt;0,COUNTIF(J933,"*45*")&gt;0,COUNTIF(I933,"46*")&gt;0,COUNTIF(J933,"*46*")&gt;0,COUNTIF(I933,"47*")&gt;0,COUNTIF(J933,"*47*")&gt;0,COUNTIF(I933,"10*")&gt;0,COUNTIF(J933,"*10*")&gt;0,COUNTIF(I933,"11*")&gt;0,COUNTIF(J933,"*11*")&gt;0,COUNTIF(I933,"12*")&gt;0,COUNTIF(J933,"*12*")&gt;0,COUNTIF(I933,"13*")&gt;0,COUNTIF(J933,"*13*")&gt;0,COUNTIF(I933,"14*")&gt;0,COUNTIF(J933,"*14*")&gt;0,COUNTIF(I933,"15*")&gt;0,COUNTIF(J933,"*15*")&gt;0,COUNTIF(I933,"16*")&gt;0,COUNTIF(J933,"*16*")&gt;0,COUNTIF(I933,"17*")&gt;0,COUNTIF(J933,"*17*")&gt;0,COUNTIF(I933,"18*")&gt;0,COUNTIF(J933,"*18*")&gt;0,COUNTIF(I933,"19*")&gt;0,COUNTIF(J933,"*19*")&gt;0,COUNTIF(I933,"20*")&gt;0,COUNTIF(J933,"*20*")&gt;0,COUNTIF(I933,"21*")&gt;0,COUNTIF(J933,"*21*")&gt;0,COUNTIF(I933,"22*")&gt;0,COUNTIF(J933,"*22*")&gt;0,COUNTIF(I933,"23*")&gt;0,COUNTIF(J933,"*23*")&gt;0,COUNTIF(I933,"24*")&gt;0,COUNTIF(J933,"*24*")&gt;0,COUNTIF(I933,"25*")&gt;0,COUNTIF(J933,"*25*")&gt;0,COUNTIF(I933,"26*")&gt;0,COUNTIF(J933,"*26*")&gt;0,COUNTIF(I933,"27*")&gt;0,COUNTIF(J933,"*27*")&gt;0,COUNTIF(I933,"28*")&gt;0,COUNTIF(J933,"*28*")&gt;0,COUNTIF(I933,"29*")&gt;0,COUNTIF(J933,"*29*")&gt;0,COUNTIF(I933,"30*")&gt;0,COUNTIF(J933,"*30*")&gt;0,COUNTIF(I933,"31*")&gt;0,COUNTIF(J933,"*31*")&gt;0,COUNTIF(I933,"32*")&gt;0,COUNTIF(J933,"*32*")&gt;0,COUNTIF(I933,"33*")&gt;0,COUNTIF(J933,"*33*")&gt;0,COUNTIF(I933,"41*")&gt;0,COUNTIF(J933,"*41*")&gt;0,COUNTIF(I933,"42*")&gt;0,COUNTIF(J933,"*42*")&gt;0,COUNTIF(I933,"43*")&gt;0,COUNTIF(J933,"*43*")&gt;0,COUNTIF(I933,"49*")&gt;0,COUNTIF(J933,"*49*")&gt;0,COUNTIF(I933,"52*")&gt;0,COUNTIF(J933,"*52*")&gt;0,COUNTIF(I933,"55*")&gt;0,COUNTIF(J933,"*55*")&gt;0,COUNTIF(I933,"56*")&gt;0,COUNTIF(J933,"*56*")&gt;0,COUNTIF(I933,"68*")&gt;0,COUNTIF(J933,"*68*")&gt;0,COUNTIF(I933,"78*")&gt;0,COUNTIF(J933,"*78*")&gt;0,COUNTIF(I933,"81*")&gt;0,COUNTIF(J933,"*81*")&gt;0,COUNTIF(I933,"82*")&gt;0,COUNTIF(J933,"*82*")&gt;0,COUNTIF(I933,"64*")&gt;0,COUNTIF(J933,"*64*")&gt;0,COUNTIF(I933,"65*")&gt;0,COUNTIF(J933,"*65*")&gt;0,COUNTIF(I933,"66*")&gt;0,COUNTIF(J933,"*66*")&gt;0,COUNTIF(I933,"61*")&gt;0,COUNTIF(J933,"*61*")&gt;0,COUNTIF(I933,"62*")&gt;0,COUNTIF(J933,"*62*")&gt;0,COUNTIF(I933,"63*")&gt;0,COUNTIF(J933,"*63*")&gt;0,COUNTIF(I933,"85*")&gt;0,COUNTIF(J933,"*85*")&gt;0,COUNTIF(I933,"86*")&gt;0,COUNTIF(J933,"*86*")&gt;0),"Да","Нет"))</f>
        <v/>
      </c>
      <c r="M933" s="13">
        <f>IF(OR(G933="",L933&lt;&gt;"Да"),"",IF(G933&lt;=100,"До 100",IF(G933&lt;=200,"До 200",IF(G933&lt;=500,"До 500","Отдельное КП"))))</f>
        <v/>
      </c>
      <c r="N933" s="15">
        <f>IF(OR(G933="",L933&lt;&gt;"Да"),"",IF(G933&lt;=100,33600,IF(G933&lt;=200,62400,IF(G933&lt;=500,144000,""))))</f>
        <v/>
      </c>
      <c r="O933" s="16">
        <f>IF(G933="","",IF(G933&lt;=15,"1–15",IF(G933&lt;=30,"16–30",IF(G933&lt;=50,"31–50",IF(G933&lt;=100,"51–100",IF(G933&lt;=150,"101–150",IF(G933&lt;=200,"151–200",IF(G933&lt;=500,"201–500","500+"))))))))</f>
        <v/>
      </c>
      <c r="P933" s="16" t="inlineStr">
        <is>
          <t>Нет совпадения в предоставленной выгрузке ССЧР</t>
        </is>
      </c>
      <c r="Q933" s="16" t="n"/>
      <c r="R933" s="16">
        <f>HYPERLINK("https://checko.ru/search?query=3801001629","Чекко: проверить")</f>
        <v/>
      </c>
      <c r="S933" t="n">
        <v>0</v>
      </c>
    </row>
    <row r="934" ht="15" customHeight="1" s="24">
      <c r="A934" s="13" t="n">
        <v>5000094657</v>
      </c>
      <c r="B934" s="13" t="inlineStr">
        <is>
          <t>ГБУЗ "Стоматологическая поликлиника" г.Терек</t>
        </is>
      </c>
      <c r="C934" s="13" t="n">
        <v>705005150</v>
      </c>
      <c r="D934" s="13" t="n"/>
      <c r="E934" s="13" t="inlineStr">
        <is>
          <t>Не определён</t>
        </is>
      </c>
      <c r="F934" s="13" t="inlineStr">
        <is>
          <t>705005150</t>
        </is>
      </c>
      <c r="G934" s="14" t="n"/>
      <c r="H934" s="14" t="n"/>
      <c r="I934" s="14" t="n"/>
      <c r="J934" s="14" t="n"/>
      <c r="K934" s="13">
        <f>IF(G934="","",IF(G934&gt;=22,"Да","Нет"))</f>
        <v/>
      </c>
      <c r="L934" s="13">
        <f>IF(OR(I934="",J934=""),"Не определено",IF(OR(COUNTIF(I934,"45*")&gt;0,COUNTIF(J934,"*45*")&gt;0,COUNTIF(I934,"46*")&gt;0,COUNTIF(J934,"*46*")&gt;0,COUNTIF(I934,"47*")&gt;0,COUNTIF(J934,"*47*")&gt;0,COUNTIF(I934,"10*")&gt;0,COUNTIF(J934,"*10*")&gt;0,COUNTIF(I934,"11*")&gt;0,COUNTIF(J934,"*11*")&gt;0,COUNTIF(I934,"12*")&gt;0,COUNTIF(J934,"*12*")&gt;0,COUNTIF(I934,"13*")&gt;0,COUNTIF(J934,"*13*")&gt;0,COUNTIF(I934,"14*")&gt;0,COUNTIF(J934,"*14*")&gt;0,COUNTIF(I934,"15*")&gt;0,COUNTIF(J934,"*15*")&gt;0,COUNTIF(I934,"16*")&gt;0,COUNTIF(J934,"*16*")&gt;0,COUNTIF(I934,"17*")&gt;0,COUNTIF(J934,"*17*")&gt;0,COUNTIF(I934,"18*")&gt;0,COUNTIF(J934,"*18*")&gt;0,COUNTIF(I934,"19*")&gt;0,COUNTIF(J934,"*19*")&gt;0,COUNTIF(I934,"20*")&gt;0,COUNTIF(J934,"*20*")&gt;0,COUNTIF(I934,"21*")&gt;0,COUNTIF(J934,"*21*")&gt;0,COUNTIF(I934,"22*")&gt;0,COUNTIF(J934,"*22*")&gt;0,COUNTIF(I934,"23*")&gt;0,COUNTIF(J934,"*23*")&gt;0,COUNTIF(I934,"24*")&gt;0,COUNTIF(J934,"*24*")&gt;0,COUNTIF(I934,"25*")&gt;0,COUNTIF(J934,"*25*")&gt;0,COUNTIF(I934,"26*")&gt;0,COUNTIF(J934,"*26*")&gt;0,COUNTIF(I934,"27*")&gt;0,COUNTIF(J934,"*27*")&gt;0,COUNTIF(I934,"28*")&gt;0,COUNTIF(J934,"*28*")&gt;0,COUNTIF(I934,"29*")&gt;0,COUNTIF(J934,"*29*")&gt;0,COUNTIF(I934,"30*")&gt;0,COUNTIF(J934,"*30*")&gt;0,COUNTIF(I934,"31*")&gt;0,COUNTIF(J934,"*31*")&gt;0,COUNTIF(I934,"32*")&gt;0,COUNTIF(J934,"*32*")&gt;0,COUNTIF(I934,"33*")&gt;0,COUNTIF(J934,"*33*")&gt;0,COUNTIF(I934,"41*")&gt;0,COUNTIF(J934,"*41*")&gt;0,COUNTIF(I934,"42*")&gt;0,COUNTIF(J934,"*42*")&gt;0,COUNTIF(I934,"43*")&gt;0,COUNTIF(J934,"*43*")&gt;0,COUNTIF(I934,"49*")&gt;0,COUNTIF(J934,"*49*")&gt;0,COUNTIF(I934,"52*")&gt;0,COUNTIF(J934,"*52*")&gt;0,COUNTIF(I934,"55*")&gt;0,COUNTIF(J934,"*55*")&gt;0,COUNTIF(I934,"56*")&gt;0,COUNTIF(J934,"*56*")&gt;0,COUNTIF(I934,"68*")&gt;0,COUNTIF(J934,"*68*")&gt;0,COUNTIF(I934,"78*")&gt;0,COUNTIF(J934,"*78*")&gt;0,COUNTIF(I934,"81*")&gt;0,COUNTIF(J934,"*81*")&gt;0,COUNTIF(I934,"82*")&gt;0,COUNTIF(J934,"*82*")&gt;0,COUNTIF(I934,"64*")&gt;0,COUNTIF(J934,"*64*")&gt;0,COUNTIF(I934,"65*")&gt;0,COUNTIF(J934,"*65*")&gt;0,COUNTIF(I934,"66*")&gt;0,COUNTIF(J934,"*66*")&gt;0,COUNTIF(I934,"61*")&gt;0,COUNTIF(J934,"*61*")&gt;0,COUNTIF(I934,"62*")&gt;0,COUNTIF(J934,"*62*")&gt;0,COUNTIF(I934,"63*")&gt;0,COUNTIF(J934,"*63*")&gt;0,COUNTIF(I934,"85*")&gt;0,COUNTIF(J934,"*85*")&gt;0,COUNTIF(I934,"86*")&gt;0,COUNTIF(J934,"*86*")&gt;0),"Да","Нет"))</f>
        <v/>
      </c>
      <c r="M934" s="13">
        <f>IF(OR(G934="",L934&lt;&gt;"Да"),"",IF(G934&lt;=100,"До 100",IF(G934&lt;=200,"До 200",IF(G934&lt;=500,"До 500","Отдельное КП"))))</f>
        <v/>
      </c>
      <c r="N934" s="15">
        <f>IF(OR(G934="",L934&lt;&gt;"Да"),"",IF(G934&lt;=100,33600,IF(G934&lt;=200,62400,IF(G934&lt;=500,144000,""))))</f>
        <v/>
      </c>
      <c r="O934" s="16">
        <f>IF(G934="","",IF(G934&lt;=15,"1–15",IF(G934&lt;=30,"16–30",IF(G934&lt;=50,"31–50",IF(G934&lt;=100,"51–100",IF(G934&lt;=150,"101–150",IF(G934&lt;=200,"151–200",IF(G934&lt;=500,"201–500","500+"))))))))</f>
        <v/>
      </c>
      <c r="P934" s="16" t="inlineStr">
        <is>
          <t>Нет совпадения в предоставленной выгрузке ССЧР</t>
        </is>
      </c>
      <c r="Q934" s="16" t="n"/>
      <c r="R934" s="16">
        <f>HYPERLINK("https://checko.ru/search?query=3801001629","Чекко: проверить")</f>
        <v/>
      </c>
      <c r="S934" t="n">
        <v>0</v>
      </c>
    </row>
    <row r="935" ht="27.75" customHeight="1" s="24">
      <c r="A935" s="13" t="n">
        <v>5000001894</v>
      </c>
      <c r="B935" s="13" t="inlineStr">
        <is>
          <t>ОГБОУ школа-интернат  с углубленным изучением музыки</t>
        </is>
      </c>
      <c r="C935" s="13" t="n">
        <v>3811056024</v>
      </c>
      <c r="D935" s="13" t="inlineStr">
        <is>
          <t>3811056024</t>
        </is>
      </c>
      <c r="E935" s="13" t="inlineStr">
        <is>
          <t>ЮЛ РФ</t>
        </is>
      </c>
      <c r="F935" s="13" t="n"/>
      <c r="G935" s="14" t="n"/>
      <c r="H935" s="14" t="n"/>
      <c r="I935" s="14" t="n"/>
      <c r="J935" s="14" t="n"/>
      <c r="K935" s="53" t="inlineStr"/>
      <c r="L935" s="53" t="inlineStr">
        <is>
          <t>Не определено</t>
        </is>
      </c>
      <c r="M935" s="53" t="inlineStr"/>
      <c r="N935" s="54" t="inlineStr"/>
      <c r="O935" s="55" t="inlineStr"/>
      <c r="P935" s="16" t="inlineStr">
        <is>
          <t>Требует обогащения</t>
        </is>
      </c>
      <c r="Q935" s="16">
        <f>HYPERLINK("https://pb.nalog.ru/search.html?query=3811056024","ФНС: проверить")</f>
        <v/>
      </c>
      <c r="R935" s="16">
        <f>HYPERLINK("https://checko.ru/search?query=3801001629","Чекко: проверить")</f>
        <v/>
      </c>
      <c r="S935" t="n">
        <v>1</v>
      </c>
      <c r="T935" s="35" t="inlineStr">
        <is>
          <t>4 — Не обогащён</t>
        </is>
      </c>
      <c r="U935" s="35" t="inlineStr">
        <is>
          <t>Нет ОКВЭД/ССЧР</t>
        </is>
      </c>
      <c r="V935" s="35" t="inlineStr">
        <is>
          <t>Не определено</t>
        </is>
      </c>
      <c r="W935" s="35" t="inlineStr"/>
      <c r="X935" s="35" t="inlineStr"/>
    </row>
    <row r="936" ht="27.75" customHeight="1" s="24">
      <c r="A936" s="13" t="n">
        <v>5000025011</v>
      </c>
      <c r="B936" s="13" t="inlineStr">
        <is>
          <t>ОГКУ "Центр социальных выплат Иркутской области"</t>
        </is>
      </c>
      <c r="C936" s="13" t="n">
        <v>3808236980</v>
      </c>
      <c r="D936" s="13" t="inlineStr">
        <is>
          <t>3808236980</t>
        </is>
      </c>
      <c r="E936" s="13" t="inlineStr">
        <is>
          <t>ЮЛ РФ</t>
        </is>
      </c>
      <c r="F936" s="13" t="n"/>
      <c r="G936" s="14" t="n"/>
      <c r="H936" s="14" t="n"/>
      <c r="I936" s="14" t="n"/>
      <c r="J936" s="14" t="n"/>
      <c r="K936" s="53" t="inlineStr"/>
      <c r="L936" s="53" t="inlineStr">
        <is>
          <t>Не определено</t>
        </is>
      </c>
      <c r="M936" s="53" t="inlineStr"/>
      <c r="N936" s="54" t="inlineStr"/>
      <c r="O936" s="55" t="inlineStr"/>
      <c r="P936" s="16" t="inlineStr">
        <is>
          <t>Требует обогащения</t>
        </is>
      </c>
      <c r="Q936" s="16">
        <f>HYPERLINK("https://pb.nalog.ru/search.html?query=3808236980","ФНС: проверить")</f>
        <v/>
      </c>
      <c r="R936" s="16">
        <f>HYPERLINK("https://checko.ru/search?query=3801001629","Чекко: проверить")</f>
        <v/>
      </c>
      <c r="S936" t="n">
        <v>1</v>
      </c>
      <c r="T936" s="35" t="inlineStr">
        <is>
          <t>4 — Не обогащён</t>
        </is>
      </c>
      <c r="U936" s="35" t="inlineStr">
        <is>
          <t>Нет ОКВЭД/ССЧР</t>
        </is>
      </c>
      <c r="V936" s="35" t="inlineStr">
        <is>
          <t>Не определено</t>
        </is>
      </c>
      <c r="W936" s="35" t="inlineStr"/>
      <c r="X936" s="35" t="inlineStr"/>
    </row>
    <row r="937" ht="27.75" customHeight="1" s="24">
      <c r="A937" s="13" t="n">
        <v>5000001560</v>
      </c>
      <c r="B937" s="13" t="inlineStr">
        <is>
          <t>ОГБУ СО «Социально-оздоровительный центр «Олхинский»»</t>
        </is>
      </c>
      <c r="C937" s="13" t="n">
        <v>3810081187</v>
      </c>
      <c r="D937" s="13" t="inlineStr">
        <is>
          <t>3810081187</t>
        </is>
      </c>
      <c r="E937" s="13" t="inlineStr">
        <is>
          <t>ЮЛ РФ</t>
        </is>
      </c>
      <c r="F937" s="13" t="n"/>
      <c r="G937" s="14" t="n"/>
      <c r="H937" s="14" t="n"/>
      <c r="I937" s="14" t="n"/>
      <c r="J937" s="14" t="n"/>
      <c r="K937" s="53" t="inlineStr"/>
      <c r="L937" s="53" t="inlineStr">
        <is>
          <t>Не определено</t>
        </is>
      </c>
      <c r="M937" s="53" t="inlineStr"/>
      <c r="N937" s="54" t="inlineStr"/>
      <c r="O937" s="55" t="inlineStr"/>
      <c r="P937" s="16" t="inlineStr">
        <is>
          <t>Требует обогащения</t>
        </is>
      </c>
      <c r="Q937" s="16">
        <f>HYPERLINK("https://pb.nalog.ru/search.html?query=3810081187","ФНС: проверить")</f>
        <v/>
      </c>
      <c r="R937" s="16">
        <f>HYPERLINK("https://checko.ru/search?query=3801001629","Чекко: проверить")</f>
        <v/>
      </c>
      <c r="S937" t="n">
        <v>1</v>
      </c>
      <c r="T937" s="35" t="inlineStr">
        <is>
          <t>4 — Не обогащён</t>
        </is>
      </c>
      <c r="U937" s="35" t="inlineStr">
        <is>
          <t>Нет ОКВЭД/ССЧР</t>
        </is>
      </c>
      <c r="V937" s="35" t="inlineStr">
        <is>
          <t>Не определено</t>
        </is>
      </c>
      <c r="W937" s="35" t="inlineStr"/>
      <c r="X937" s="35" t="inlineStr"/>
    </row>
    <row r="938" ht="27.75" customHeight="1" s="24">
      <c r="A938" s="13" t="n">
        <v>5000003706</v>
      </c>
      <c r="B938" s="13" t="inlineStr">
        <is>
          <t>Уполномоченный по защите прав предпринимателей в Иркутской области</t>
        </is>
      </c>
      <c r="C938" s="13" t="n">
        <v>3812153253</v>
      </c>
      <c r="D938" s="13" t="inlineStr">
        <is>
          <t>3812153253</t>
        </is>
      </c>
      <c r="E938" s="13" t="inlineStr">
        <is>
          <t>ЮЛ РФ</t>
        </is>
      </c>
      <c r="F938" s="13" t="n"/>
      <c r="G938" s="14" t="n"/>
      <c r="H938" s="14" t="n"/>
      <c r="I938" s="14" t="n"/>
      <c r="J938" s="14" t="n"/>
      <c r="K938" s="53" t="inlineStr"/>
      <c r="L938" s="53" t="inlineStr">
        <is>
          <t>Не определено</t>
        </is>
      </c>
      <c r="M938" s="53" t="inlineStr"/>
      <c r="N938" s="54" t="inlineStr"/>
      <c r="O938" s="55" t="inlineStr"/>
      <c r="P938" s="16" t="inlineStr">
        <is>
          <t>Требует обогащения</t>
        </is>
      </c>
      <c r="Q938" s="16">
        <f>HYPERLINK("https://pb.nalog.ru/search.html?query=3812153253","ФНС: проверить")</f>
        <v/>
      </c>
      <c r="R938" s="16">
        <f>HYPERLINK("https://checko.ru/search?query=3801001629","Чекко: проверить")</f>
        <v/>
      </c>
      <c r="S938" t="n">
        <v>1</v>
      </c>
      <c r="T938" s="35" t="inlineStr">
        <is>
          <t>4 — Не обогащён</t>
        </is>
      </c>
      <c r="U938" s="35" t="inlineStr">
        <is>
          <t>Нет ОКВЭД/ССЧР</t>
        </is>
      </c>
      <c r="V938" s="35" t="inlineStr">
        <is>
          <t>Не определено</t>
        </is>
      </c>
      <c r="W938" s="35" t="inlineStr"/>
      <c r="X938" s="35" t="inlineStr"/>
    </row>
    <row r="939" ht="15" customHeight="1" s="24">
      <c r="A939" s="13" t="n">
        <v>5000001565</v>
      </c>
      <c r="B939" s="13" t="inlineStr">
        <is>
          <t>ОГБУСО «Реабилитационный центр «Саянский»</t>
        </is>
      </c>
      <c r="C939" s="13" t="n">
        <v>3814038873</v>
      </c>
      <c r="D939" s="13" t="inlineStr">
        <is>
          <t>3814038873</t>
        </is>
      </c>
      <c r="E939" s="13" t="inlineStr">
        <is>
          <t>ЮЛ РФ</t>
        </is>
      </c>
      <c r="F939" s="13" t="n"/>
      <c r="G939" s="14" t="n"/>
      <c r="H939" s="14" t="n"/>
      <c r="I939" s="14" t="n"/>
      <c r="J939" s="14" t="n"/>
      <c r="K939" s="53" t="inlineStr"/>
      <c r="L939" s="53" t="inlineStr">
        <is>
          <t>Не определено</t>
        </is>
      </c>
      <c r="M939" s="53" t="inlineStr"/>
      <c r="N939" s="54" t="inlineStr"/>
      <c r="O939" s="55" t="inlineStr"/>
      <c r="P939" s="16" t="inlineStr">
        <is>
          <t>Требует обогащения</t>
        </is>
      </c>
      <c r="Q939" s="16">
        <f>HYPERLINK("https://pb.nalog.ru/search.html?query=3814038873","ФНС: проверить")</f>
        <v/>
      </c>
      <c r="R939" s="16">
        <f>HYPERLINK("https://checko.ru/search?query=3801001629","Чекко: проверить")</f>
        <v/>
      </c>
      <c r="S939" t="n">
        <v>1</v>
      </c>
      <c r="T939" s="35" t="inlineStr">
        <is>
          <t>4 — Не обогащён</t>
        </is>
      </c>
      <c r="U939" s="35" t="inlineStr">
        <is>
          <t>Нет ОКВЭД/ССЧР</t>
        </is>
      </c>
      <c r="V939" s="35" t="inlineStr">
        <is>
          <t>Не определено</t>
        </is>
      </c>
      <c r="W939" s="35" t="inlineStr"/>
      <c r="X939" s="35" t="inlineStr"/>
    </row>
    <row r="940" ht="15" customHeight="1" s="24">
      <c r="A940" s="13" t="n">
        <v>5000001652</v>
      </c>
      <c r="B940" s="13" t="inlineStr">
        <is>
          <t>ОбГАУЗ "Братская городская больница № 5""</t>
        </is>
      </c>
      <c r="C940" s="13" t="n">
        <v>3804002194</v>
      </c>
      <c r="D940" s="13" t="inlineStr">
        <is>
          <t>3804002194</t>
        </is>
      </c>
      <c r="E940" s="13" t="inlineStr">
        <is>
          <t>ЮЛ РФ</t>
        </is>
      </c>
      <c r="F940" s="13" t="n"/>
      <c r="G940" s="14" t="n"/>
      <c r="H940" s="14" t="n"/>
      <c r="I940" s="14" t="n"/>
      <c r="J940" s="14" t="n"/>
      <c r="K940" s="53" t="inlineStr"/>
      <c r="L940" s="53" t="inlineStr">
        <is>
          <t>Не определено</t>
        </is>
      </c>
      <c r="M940" s="53" t="inlineStr"/>
      <c r="N940" s="54" t="inlineStr"/>
      <c r="O940" s="55" t="inlineStr"/>
      <c r="P940" s="16" t="inlineStr">
        <is>
          <t>Требует обогащения</t>
        </is>
      </c>
      <c r="Q940" s="16">
        <f>HYPERLINK("https://pb.nalog.ru/search.html?query=3804002194","ФНС: проверить")</f>
        <v/>
      </c>
      <c r="R940" s="16">
        <f>HYPERLINK("https://checko.ru/search?query=3801001629","Чекко: проверить")</f>
        <v/>
      </c>
      <c r="S940" t="n">
        <v>1</v>
      </c>
      <c r="T940" s="35" t="inlineStr">
        <is>
          <t>4 — Не обогащён</t>
        </is>
      </c>
      <c r="U940" s="35" t="inlineStr">
        <is>
          <t>Нет ОКВЭД/ССЧР</t>
        </is>
      </c>
      <c r="V940" s="35" t="inlineStr">
        <is>
          <t>Не определено</t>
        </is>
      </c>
      <c r="W940" s="35" t="inlineStr"/>
      <c r="X940" s="35" t="inlineStr"/>
    </row>
    <row r="941" ht="41.25" customHeight="1" s="24">
      <c r="A941" s="13" t="n">
        <v>5000051683</v>
      </c>
      <c r="B941" s="13" t="inlineStr">
        <is>
          <t>МКУ "Муниципальный центр управления регионом Одинцовского городского округа Московской области"</t>
        </is>
      </c>
      <c r="C941" s="13" t="n">
        <v>5032314538</v>
      </c>
      <c r="D941" s="13" t="inlineStr">
        <is>
          <t>5032314538</t>
        </is>
      </c>
      <c r="E941" s="13" t="inlineStr">
        <is>
          <t>ЮЛ РФ</t>
        </is>
      </c>
      <c r="F941" s="13" t="n"/>
      <c r="G941" s="14" t="n"/>
      <c r="H941" s="14" t="n"/>
      <c r="I941" s="14" t="n"/>
      <c r="J941" s="14" t="n"/>
      <c r="K941" s="53" t="inlineStr"/>
      <c r="L941" s="53" t="inlineStr">
        <is>
          <t>Не определено</t>
        </is>
      </c>
      <c r="M941" s="53" t="inlineStr"/>
      <c r="N941" s="54" t="inlineStr"/>
      <c r="O941" s="55" t="inlineStr"/>
      <c r="P941" s="16" t="inlineStr">
        <is>
          <t>Требует обогащения</t>
        </is>
      </c>
      <c r="Q941" s="16">
        <f>HYPERLINK("https://pb.nalog.ru/search.html?query=5032314538","ФНС: проверить")</f>
        <v/>
      </c>
      <c r="R941" s="16">
        <f>HYPERLINK("https://checko.ru/search?query=3801001629","Чекко: проверить")</f>
        <v/>
      </c>
      <c r="S941" t="n">
        <v>1</v>
      </c>
      <c r="T941" s="35" t="inlineStr">
        <is>
          <t>4 — Не обогащён</t>
        </is>
      </c>
      <c r="U941" s="35" t="inlineStr">
        <is>
          <t>Нет ОКВЭД/ССЧР</t>
        </is>
      </c>
      <c r="V941" s="35" t="inlineStr">
        <is>
          <t>Не определено</t>
        </is>
      </c>
      <c r="W941" s="35" t="inlineStr"/>
      <c r="X941" s="35" t="inlineStr"/>
    </row>
    <row r="942" ht="15" customHeight="1" s="24">
      <c r="A942" s="13" t="n">
        <v>5000076953</v>
      </c>
      <c r="B942" s="13" t="inlineStr">
        <is>
          <t>Минприрода Новочеремшанск</t>
        </is>
      </c>
      <c r="C942" s="13" t="n">
        <v>7310103947</v>
      </c>
      <c r="D942" s="13" t="inlineStr">
        <is>
          <t>7310103947</t>
        </is>
      </c>
      <c r="E942" s="13" t="inlineStr">
        <is>
          <t>ЮЛ РФ</t>
        </is>
      </c>
      <c r="F942" s="13" t="n"/>
      <c r="G942" s="14" t="n"/>
      <c r="H942" s="14" t="n"/>
      <c r="I942" s="14" t="n"/>
      <c r="J942" s="14" t="n"/>
      <c r="K942" s="53" t="inlineStr"/>
      <c r="L942" s="53" t="inlineStr">
        <is>
          <t>Не определено</t>
        </is>
      </c>
      <c r="M942" s="53" t="inlineStr"/>
      <c r="N942" s="54" t="inlineStr"/>
      <c r="O942" s="55" t="inlineStr"/>
      <c r="P942" s="16" t="inlineStr">
        <is>
          <t>Требует обогащения</t>
        </is>
      </c>
      <c r="Q942" s="16">
        <f>HYPERLINK("https://pb.nalog.ru/search.html?query=7310103947","ФНС: проверить")</f>
        <v/>
      </c>
      <c r="R942" s="16">
        <f>HYPERLINK("https://checko.ru/search?query=3801001629","Чекко: проверить")</f>
        <v/>
      </c>
      <c r="S942" t="n">
        <v>1</v>
      </c>
      <c r="T942" s="35" t="inlineStr">
        <is>
          <t>4 — Не обогащён</t>
        </is>
      </c>
      <c r="U942" s="35" t="inlineStr">
        <is>
          <t>Нет ОКВЭД/ССЧР</t>
        </is>
      </c>
      <c r="V942" s="35" t="inlineStr">
        <is>
          <t>Не определено</t>
        </is>
      </c>
      <c r="W942" s="35" t="inlineStr"/>
      <c r="X942" s="35" t="inlineStr"/>
    </row>
    <row r="943" ht="27.75" customHeight="1" s="24">
      <c r="A943" s="13" t="n">
        <v>5000002051</v>
      </c>
      <c r="B943" s="13" t="inlineStr">
        <is>
          <t>ОбГБУЗ «Усть-Ордынский областной противотуберкулезный диспансер»</t>
        </is>
      </c>
      <c r="C943" s="13" t="n">
        <v>8506003850</v>
      </c>
      <c r="D943" s="13" t="inlineStr">
        <is>
          <t>8506003850</t>
        </is>
      </c>
      <c r="E943" s="13" t="inlineStr">
        <is>
          <t>ЮЛ РФ</t>
        </is>
      </c>
      <c r="F943" s="13" t="n"/>
      <c r="G943" s="14" t="n"/>
      <c r="H943" s="14" t="n"/>
      <c r="I943" s="14" t="n"/>
      <c r="J943" s="14" t="n"/>
      <c r="K943" s="53" t="inlineStr"/>
      <c r="L943" s="53" t="inlineStr">
        <is>
          <t>Не определено</t>
        </is>
      </c>
      <c r="M943" s="53" t="inlineStr"/>
      <c r="N943" s="54" t="inlineStr"/>
      <c r="O943" s="55" t="inlineStr"/>
      <c r="P943" s="16" t="inlineStr">
        <is>
          <t>Требует обогащения</t>
        </is>
      </c>
      <c r="Q943" s="16">
        <f>HYPERLINK("https://pb.nalog.ru/search.html?query=8506003850","ФНС: проверить")</f>
        <v/>
      </c>
      <c r="R943" s="16">
        <f>HYPERLINK("https://checko.ru/search?query=3801001629","Чекко: проверить")</f>
        <v/>
      </c>
      <c r="S943" t="n">
        <v>1</v>
      </c>
      <c r="T943" s="35" t="inlineStr">
        <is>
          <t>4 — Не обогащён</t>
        </is>
      </c>
      <c r="U943" s="35" t="inlineStr">
        <is>
          <t>Нет ОКВЭД/ССЧР</t>
        </is>
      </c>
      <c r="V943" s="35" t="inlineStr">
        <is>
          <t>Не определено</t>
        </is>
      </c>
      <c r="W943" s="35" t="inlineStr"/>
      <c r="X943" s="35" t="inlineStr"/>
    </row>
    <row r="944" ht="15" customHeight="1" s="24">
      <c r="A944" s="13" t="n">
        <v>5000094988</v>
      </c>
      <c r="B944" s="13" t="inlineStr">
        <is>
          <t>ГБУЗ "Стоматологическая больница"</t>
        </is>
      </c>
      <c r="C944" s="13" t="n">
        <v>711035145</v>
      </c>
      <c r="D944" s="13" t="n"/>
      <c r="E944" s="13" t="inlineStr">
        <is>
          <t>Не определён</t>
        </is>
      </c>
      <c r="F944" s="13" t="inlineStr">
        <is>
          <t>711035145</t>
        </is>
      </c>
      <c r="G944" s="14" t="n"/>
      <c r="H944" s="14" t="n"/>
      <c r="I944" s="14" t="n"/>
      <c r="J944" s="14" t="n"/>
      <c r="K944" s="13">
        <f>IF(G944="","",IF(G944&gt;=22,"Да","Нет"))</f>
        <v/>
      </c>
      <c r="L944" s="13">
        <f>IF(OR(I944="",J944=""),"Не определено",IF(OR(COUNTIF(I944,"45*")&gt;0,COUNTIF(J944,"*45*")&gt;0,COUNTIF(I944,"46*")&gt;0,COUNTIF(J944,"*46*")&gt;0,COUNTIF(I944,"47*")&gt;0,COUNTIF(J944,"*47*")&gt;0,COUNTIF(I944,"10*")&gt;0,COUNTIF(J944,"*10*")&gt;0,COUNTIF(I944,"11*")&gt;0,COUNTIF(J944,"*11*")&gt;0,COUNTIF(I944,"12*")&gt;0,COUNTIF(J944,"*12*")&gt;0,COUNTIF(I944,"13*")&gt;0,COUNTIF(J944,"*13*")&gt;0,COUNTIF(I944,"14*")&gt;0,COUNTIF(J944,"*14*")&gt;0,COUNTIF(I944,"15*")&gt;0,COUNTIF(J944,"*15*")&gt;0,COUNTIF(I944,"16*")&gt;0,COUNTIF(J944,"*16*")&gt;0,COUNTIF(I944,"17*")&gt;0,COUNTIF(J944,"*17*")&gt;0,COUNTIF(I944,"18*")&gt;0,COUNTIF(J944,"*18*")&gt;0,COUNTIF(I944,"19*")&gt;0,COUNTIF(J944,"*19*")&gt;0,COUNTIF(I944,"20*")&gt;0,COUNTIF(J944,"*20*")&gt;0,COUNTIF(I944,"21*")&gt;0,COUNTIF(J944,"*21*")&gt;0,COUNTIF(I944,"22*")&gt;0,COUNTIF(J944,"*22*")&gt;0,COUNTIF(I944,"23*")&gt;0,COUNTIF(J944,"*23*")&gt;0,COUNTIF(I944,"24*")&gt;0,COUNTIF(J944,"*24*")&gt;0,COUNTIF(I944,"25*")&gt;0,COUNTIF(J944,"*25*")&gt;0,COUNTIF(I944,"26*")&gt;0,COUNTIF(J944,"*26*")&gt;0,COUNTIF(I944,"27*")&gt;0,COUNTIF(J944,"*27*")&gt;0,COUNTIF(I944,"28*")&gt;0,COUNTIF(J944,"*28*")&gt;0,COUNTIF(I944,"29*")&gt;0,COUNTIF(J944,"*29*")&gt;0,COUNTIF(I944,"30*")&gt;0,COUNTIF(J944,"*30*")&gt;0,COUNTIF(I944,"31*")&gt;0,COUNTIF(J944,"*31*")&gt;0,COUNTIF(I944,"32*")&gt;0,COUNTIF(J944,"*32*")&gt;0,COUNTIF(I944,"33*")&gt;0,COUNTIF(J944,"*33*")&gt;0,COUNTIF(I944,"41*")&gt;0,COUNTIF(J944,"*41*")&gt;0,COUNTIF(I944,"42*")&gt;0,COUNTIF(J944,"*42*")&gt;0,COUNTIF(I944,"43*")&gt;0,COUNTIF(J944,"*43*")&gt;0,COUNTIF(I944,"49*")&gt;0,COUNTIF(J944,"*49*")&gt;0,COUNTIF(I944,"52*")&gt;0,COUNTIF(J944,"*52*")&gt;0,COUNTIF(I944,"55*")&gt;0,COUNTIF(J944,"*55*")&gt;0,COUNTIF(I944,"56*")&gt;0,COUNTIF(J944,"*56*")&gt;0,COUNTIF(I944,"68*")&gt;0,COUNTIF(J944,"*68*")&gt;0,COUNTIF(I944,"78*")&gt;0,COUNTIF(J944,"*78*")&gt;0,COUNTIF(I944,"81*")&gt;0,COUNTIF(J944,"*81*")&gt;0,COUNTIF(I944,"82*")&gt;0,COUNTIF(J944,"*82*")&gt;0,COUNTIF(I944,"64*")&gt;0,COUNTIF(J944,"*64*")&gt;0,COUNTIF(I944,"65*")&gt;0,COUNTIF(J944,"*65*")&gt;0,COUNTIF(I944,"66*")&gt;0,COUNTIF(J944,"*66*")&gt;0,COUNTIF(I944,"61*")&gt;0,COUNTIF(J944,"*61*")&gt;0,COUNTIF(I944,"62*")&gt;0,COUNTIF(J944,"*62*")&gt;0,COUNTIF(I944,"63*")&gt;0,COUNTIF(J944,"*63*")&gt;0,COUNTIF(I944,"85*")&gt;0,COUNTIF(J944,"*85*")&gt;0,COUNTIF(I944,"86*")&gt;0,COUNTIF(J944,"*86*")&gt;0),"Да","Нет"))</f>
        <v/>
      </c>
      <c r="M944" s="13">
        <f>IF(OR(G944="",L944&lt;&gt;"Да"),"",IF(G944&lt;=100,"До 100",IF(G944&lt;=200,"До 200",IF(G944&lt;=500,"До 500","Отдельное КП"))))</f>
        <v/>
      </c>
      <c r="N944" s="15">
        <f>IF(OR(G944="",L944&lt;&gt;"Да"),"",IF(G944&lt;=100,33600,IF(G944&lt;=200,62400,IF(G944&lt;=500,144000,""))))</f>
        <v/>
      </c>
      <c r="O944" s="16">
        <f>IF(G944="","",IF(G944&lt;=15,"1–15",IF(G944&lt;=30,"16–30",IF(G944&lt;=50,"31–50",IF(G944&lt;=100,"51–100",IF(G944&lt;=150,"101–150",IF(G944&lt;=200,"151–200",IF(G944&lt;=500,"201–500","500+"))))))))</f>
        <v/>
      </c>
      <c r="P944" s="16" t="inlineStr">
        <is>
          <t>Нет совпадения в предоставленной выгрузке ССЧР</t>
        </is>
      </c>
      <c r="Q944" s="16" t="n"/>
      <c r="R944" s="16">
        <f>HYPERLINK("https://checko.ru/search?query=3801001629","Чекко: проверить")</f>
        <v/>
      </c>
      <c r="S944" t="n">
        <v>0</v>
      </c>
    </row>
    <row r="945" ht="27.75" customHeight="1" s="24">
      <c r="A945" s="13" t="n">
        <v>5000001513</v>
      </c>
      <c r="B945" s="13" t="inlineStr">
        <is>
          <t>Министерство имущественных отношений Иркутской области</t>
        </is>
      </c>
      <c r="C945" s="13" t="n">
        <v>3808174613</v>
      </c>
      <c r="D945" s="13" t="inlineStr">
        <is>
          <t>3808174613</t>
        </is>
      </c>
      <c r="E945" s="13" t="inlineStr">
        <is>
          <t>ЮЛ РФ</t>
        </is>
      </c>
      <c r="F945" s="13" t="n"/>
      <c r="G945" s="14" t="n"/>
      <c r="H945" s="14" t="n"/>
      <c r="I945" s="14" t="n"/>
      <c r="J945" s="14" t="n"/>
      <c r="K945" s="53" t="inlineStr"/>
      <c r="L945" s="53" t="inlineStr">
        <is>
          <t>Не определено</t>
        </is>
      </c>
      <c r="M945" s="53" t="inlineStr"/>
      <c r="N945" s="54" t="inlineStr"/>
      <c r="O945" s="55" t="inlineStr"/>
      <c r="P945" s="16" t="inlineStr">
        <is>
          <t>Требует обогащения</t>
        </is>
      </c>
      <c r="Q945" s="16">
        <f>HYPERLINK("https://pb.nalog.ru/search.html?query=3808174613","ФНС: проверить")</f>
        <v/>
      </c>
      <c r="R945" s="16">
        <f>HYPERLINK("https://checko.ru/search?query=3801001629","Чекко: проверить")</f>
        <v/>
      </c>
      <c r="S945" t="n">
        <v>1</v>
      </c>
      <c r="T945" s="35" t="inlineStr">
        <is>
          <t>4 — Не обогащён</t>
        </is>
      </c>
      <c r="U945" s="35" t="inlineStr">
        <is>
          <t>Нет ОКВЭД/ССЧР</t>
        </is>
      </c>
      <c r="V945" s="35" t="inlineStr">
        <is>
          <t>Не определено</t>
        </is>
      </c>
      <c r="W945" s="35" t="inlineStr"/>
      <c r="X945" s="35" t="inlineStr"/>
    </row>
    <row r="946" ht="15" customHeight="1" s="24">
      <c r="A946" s="13" t="n">
        <v>5000001417</v>
      </c>
      <c r="B946" s="13" t="inlineStr">
        <is>
          <t>Зиминский железнодорожный техникум</t>
        </is>
      </c>
      <c r="C946" s="13" t="n">
        <v>3806009212</v>
      </c>
      <c r="D946" s="13" t="inlineStr">
        <is>
          <t>3806009212</t>
        </is>
      </c>
      <c r="E946" s="13" t="inlineStr">
        <is>
          <t>ЮЛ РФ</t>
        </is>
      </c>
      <c r="F946" s="13" t="n"/>
      <c r="G946" s="14" t="n"/>
      <c r="H946" s="14" t="n"/>
      <c r="I946" s="14" t="n"/>
      <c r="J946" s="14" t="n"/>
      <c r="K946" s="53" t="inlineStr"/>
      <c r="L946" s="53" t="inlineStr">
        <is>
          <t>Не определено</t>
        </is>
      </c>
      <c r="M946" s="53" t="inlineStr"/>
      <c r="N946" s="54" t="inlineStr"/>
      <c r="O946" s="55" t="inlineStr"/>
      <c r="P946" s="16" t="inlineStr">
        <is>
          <t>Требует обогащения</t>
        </is>
      </c>
      <c r="Q946" s="16">
        <f>HYPERLINK("https://pb.nalog.ru/search.html?query=3806009212","ФНС: проверить")</f>
        <v/>
      </c>
      <c r="R946" s="16">
        <f>HYPERLINK("https://checko.ru/search?query=3801001629","Чекко: проверить")</f>
        <v/>
      </c>
      <c r="S946" t="n">
        <v>1</v>
      </c>
      <c r="T946" s="35" t="inlineStr">
        <is>
          <t>4 — Не обогащён</t>
        </is>
      </c>
      <c r="U946" s="35" t="inlineStr">
        <is>
          <t>Нет ОКВЭД/ССЧР</t>
        </is>
      </c>
      <c r="V946" s="35" t="inlineStr">
        <is>
          <t>Не определено</t>
        </is>
      </c>
      <c r="W946" s="35" t="inlineStr"/>
      <c r="X946" s="35" t="inlineStr"/>
    </row>
    <row r="947" ht="15" customHeight="1" s="24">
      <c r="A947" s="13" t="n">
        <v>5000001393</v>
      </c>
      <c r="B947" s="13" t="inlineStr">
        <is>
          <t>Братский профессиональный техникум</t>
        </is>
      </c>
      <c r="C947" s="13" t="n">
        <v>3804022507</v>
      </c>
      <c r="D947" s="13" t="inlineStr">
        <is>
          <t>3804022507</t>
        </is>
      </c>
      <c r="E947" s="13" t="inlineStr">
        <is>
          <t>ЮЛ РФ</t>
        </is>
      </c>
      <c r="F947" s="13" t="n"/>
      <c r="G947" s="14" t="n"/>
      <c r="H947" s="14" t="n"/>
      <c r="I947" s="14" t="n"/>
      <c r="J947" s="14" t="n"/>
      <c r="K947" s="53" t="inlineStr"/>
      <c r="L947" s="53" t="inlineStr">
        <is>
          <t>Не определено</t>
        </is>
      </c>
      <c r="M947" s="53" t="inlineStr"/>
      <c r="N947" s="54" t="inlineStr"/>
      <c r="O947" s="55" t="inlineStr"/>
      <c r="P947" s="16" t="inlineStr">
        <is>
          <t>Требует обогащения</t>
        </is>
      </c>
      <c r="Q947" s="16">
        <f>HYPERLINK("https://pb.nalog.ru/search.html?query=3804022507","ФНС: проверить")</f>
        <v/>
      </c>
      <c r="R947" s="16">
        <f>HYPERLINK("https://checko.ru/search?query=3801001629","Чекко: проверить")</f>
        <v/>
      </c>
      <c r="S947" t="n">
        <v>1</v>
      </c>
      <c r="T947" s="35" t="inlineStr">
        <is>
          <t>4 — Не обогащён</t>
        </is>
      </c>
      <c r="U947" s="35" t="inlineStr">
        <is>
          <t>Нет ОКВЭД/ССЧР</t>
        </is>
      </c>
      <c r="V947" s="35" t="inlineStr">
        <is>
          <t>Не определено</t>
        </is>
      </c>
      <c r="W947" s="35" t="inlineStr"/>
      <c r="X947" s="35" t="inlineStr"/>
    </row>
    <row r="948" ht="15" customHeight="1" s="24">
      <c r="A948" s="13" t="n">
        <v>5000001365</v>
      </c>
      <c r="B948" s="13" t="inlineStr">
        <is>
          <t>Бодайбинский горный техникум</t>
        </is>
      </c>
      <c r="C948" s="13" t="n">
        <v>3802005520</v>
      </c>
      <c r="D948" s="13" t="inlineStr">
        <is>
          <t>3802005520</t>
        </is>
      </c>
      <c r="E948" s="13" t="inlineStr">
        <is>
          <t>ЮЛ РФ</t>
        </is>
      </c>
      <c r="F948" s="13" t="n"/>
      <c r="G948" s="14" t="n"/>
      <c r="H948" s="14" t="n"/>
      <c r="I948" s="14" t="n"/>
      <c r="J948" s="14" t="n"/>
      <c r="K948" s="53" t="inlineStr"/>
      <c r="L948" s="53" t="inlineStr">
        <is>
          <t>Не определено</t>
        </is>
      </c>
      <c r="M948" s="53" t="inlineStr"/>
      <c r="N948" s="54" t="inlineStr"/>
      <c r="O948" s="55" t="inlineStr"/>
      <c r="P948" s="16" t="inlineStr">
        <is>
          <t>Требует обогащения</t>
        </is>
      </c>
      <c r="Q948" s="16">
        <f>HYPERLINK("https://pb.nalog.ru/search.html?query=3802005520","ФНС: проверить")</f>
        <v/>
      </c>
      <c r="R948" s="16">
        <f>HYPERLINK("https://checko.ru/search?query=3801001629","Чекко: проверить")</f>
        <v/>
      </c>
      <c r="S948" t="n">
        <v>1</v>
      </c>
      <c r="T948" s="35" t="inlineStr">
        <is>
          <t>4 — Не обогащён</t>
        </is>
      </c>
      <c r="U948" s="35" t="inlineStr">
        <is>
          <t>Нет ОКВЭД/ССЧР</t>
        </is>
      </c>
      <c r="V948" s="35" t="inlineStr">
        <is>
          <t>Не определено</t>
        </is>
      </c>
      <c r="W948" s="35" t="inlineStr"/>
      <c r="X948" s="35" t="inlineStr"/>
    </row>
    <row r="949" ht="15" customHeight="1" s="24">
      <c r="A949" s="13" t="n">
        <v>5000062570</v>
      </c>
      <c r="B949" s="13" t="inlineStr">
        <is>
          <t>Ульяновский электромеханический колледж</t>
        </is>
      </c>
      <c r="C949" s="13" t="n">
        <v>7328015353</v>
      </c>
      <c r="D949" s="13" t="inlineStr">
        <is>
          <t>7328015353</t>
        </is>
      </c>
      <c r="E949" s="13" t="inlineStr">
        <is>
          <t>ЮЛ РФ</t>
        </is>
      </c>
      <c r="F949" s="13" t="n"/>
      <c r="G949" s="14" t="n"/>
      <c r="H949" s="14" t="n"/>
      <c r="I949" s="14" t="n"/>
      <c r="J949" s="14" t="n"/>
      <c r="K949" s="53" t="inlineStr"/>
      <c r="L949" s="53" t="inlineStr">
        <is>
          <t>Не определено</t>
        </is>
      </c>
      <c r="M949" s="53" t="inlineStr"/>
      <c r="N949" s="54" t="inlineStr"/>
      <c r="O949" s="55" t="inlineStr"/>
      <c r="P949" s="16" t="inlineStr">
        <is>
          <t>Требует обогащения</t>
        </is>
      </c>
      <c r="Q949" s="16">
        <f>HYPERLINK("https://pb.nalog.ru/search.html?query=7328015353","ФНС: проверить")</f>
        <v/>
      </c>
      <c r="R949" s="16">
        <f>HYPERLINK("https://checko.ru/search?query=3801001629","Чекко: проверить")</f>
        <v/>
      </c>
      <c r="S949" t="n">
        <v>1</v>
      </c>
      <c r="T949" s="35" t="inlineStr">
        <is>
          <t>4 — Не обогащён</t>
        </is>
      </c>
      <c r="U949" s="35" t="inlineStr">
        <is>
          <t>Нет ОКВЭД/ССЧР</t>
        </is>
      </c>
      <c r="V949" s="35" t="inlineStr">
        <is>
          <t>Не определено</t>
        </is>
      </c>
      <c r="W949" s="35" t="inlineStr"/>
      <c r="X949" s="35" t="inlineStr"/>
    </row>
    <row r="950" ht="15" customHeight="1" s="24">
      <c r="A950" s="13" t="n">
        <v>5000062575</v>
      </c>
      <c r="B950" s="13" t="inlineStr">
        <is>
          <t>Димитровградский технический колледж</t>
        </is>
      </c>
      <c r="C950" s="13" t="n">
        <v>7302009820</v>
      </c>
      <c r="D950" s="13" t="inlineStr">
        <is>
          <t>7302009820</t>
        </is>
      </c>
      <c r="E950" s="13" t="inlineStr">
        <is>
          <t>ЮЛ РФ</t>
        </is>
      </c>
      <c r="F950" s="13" t="n"/>
      <c r="G950" s="14" t="n"/>
      <c r="H950" s="14" t="n"/>
      <c r="I950" s="14" t="n"/>
      <c r="J950" s="14" t="n"/>
      <c r="K950" s="53" t="inlineStr"/>
      <c r="L950" s="53" t="inlineStr">
        <is>
          <t>Не определено</t>
        </is>
      </c>
      <c r="M950" s="53" t="inlineStr"/>
      <c r="N950" s="54" t="inlineStr"/>
      <c r="O950" s="55" t="inlineStr"/>
      <c r="P950" s="16" t="inlineStr">
        <is>
          <t>Требует обогащения</t>
        </is>
      </c>
      <c r="Q950" s="16">
        <f>HYPERLINK("https://pb.nalog.ru/search.html?query=7302009820","ФНС: проверить")</f>
        <v/>
      </c>
      <c r="R950" s="16">
        <f>HYPERLINK("https://checko.ru/search?query=3801001629","Чекко: проверить")</f>
        <v/>
      </c>
      <c r="S950" t="n">
        <v>1</v>
      </c>
      <c r="T950" s="35" t="inlineStr">
        <is>
          <t>4 — Не обогащён</t>
        </is>
      </c>
      <c r="U950" s="35" t="inlineStr">
        <is>
          <t>Нет ОКВЭД/ССЧР</t>
        </is>
      </c>
      <c r="V950" s="35" t="inlineStr">
        <is>
          <t>Не определено</t>
        </is>
      </c>
      <c r="W950" s="35" t="inlineStr"/>
      <c r="X950" s="35" t="inlineStr"/>
    </row>
    <row r="951" ht="27.75" customHeight="1" s="24">
      <c r="A951" s="13" t="n">
        <v>5000001558</v>
      </c>
      <c r="B951" s="13" t="inlineStr">
        <is>
          <t>ИРКУТСКИЙ ТЕХНИКУМ ТРАНСПОРТА И СТРОИТЕЛЬСТВА</t>
        </is>
      </c>
      <c r="C951" s="13" t="n">
        <v>3810321488</v>
      </c>
      <c r="D951" s="13" t="inlineStr">
        <is>
          <t>3810321488</t>
        </is>
      </c>
      <c r="E951" s="13" t="inlineStr">
        <is>
          <t>ЮЛ РФ</t>
        </is>
      </c>
      <c r="F951" s="13" t="n"/>
      <c r="G951" s="14" t="n"/>
      <c r="H951" s="14" t="n"/>
      <c r="I951" s="14" t="n"/>
      <c r="J951" s="14" t="n"/>
      <c r="K951" s="53" t="inlineStr"/>
      <c r="L951" s="53" t="inlineStr">
        <is>
          <t>Не определено</t>
        </is>
      </c>
      <c r="M951" s="53" t="inlineStr"/>
      <c r="N951" s="54" t="inlineStr"/>
      <c r="O951" s="55" t="inlineStr"/>
      <c r="P951" s="16" t="inlineStr">
        <is>
          <t>Требует обогащения</t>
        </is>
      </c>
      <c r="Q951" s="16">
        <f>HYPERLINK("https://pb.nalog.ru/search.html?query=3810321488","ФНС: проверить")</f>
        <v/>
      </c>
      <c r="R951" s="16">
        <f>HYPERLINK("https://checko.ru/search?query=3801001629","Чекко: проверить")</f>
        <v/>
      </c>
      <c r="S951" t="n">
        <v>1</v>
      </c>
      <c r="T951" s="35" t="inlineStr">
        <is>
          <t>4 — Не обогащён</t>
        </is>
      </c>
      <c r="U951" s="35" t="inlineStr">
        <is>
          <t>Нет ОКВЭД/ССЧР</t>
        </is>
      </c>
      <c r="V951" s="35" t="inlineStr">
        <is>
          <t>Не определено</t>
        </is>
      </c>
      <c r="W951" s="35" t="inlineStr"/>
      <c r="X951" s="35" t="inlineStr"/>
    </row>
    <row r="952" ht="15" customHeight="1" s="24">
      <c r="A952" s="13" t="n">
        <v>5000001945</v>
      </c>
      <c r="B952" s="13" t="inlineStr">
        <is>
          <t>Профессиональное училище № 48 п. Подгорный</t>
        </is>
      </c>
      <c r="C952" s="13" t="n">
        <v>3835060206</v>
      </c>
      <c r="D952" s="13" t="inlineStr">
        <is>
          <t>3835060206</t>
        </is>
      </c>
      <c r="E952" s="13" t="inlineStr">
        <is>
          <t>ЮЛ РФ</t>
        </is>
      </c>
      <c r="F952" s="13" t="n"/>
      <c r="G952" s="14" t="n"/>
      <c r="H952" s="14" t="n"/>
      <c r="I952" s="14" t="n"/>
      <c r="J952" s="14" t="n"/>
      <c r="K952" s="53" t="inlineStr"/>
      <c r="L952" s="53" t="inlineStr">
        <is>
          <t>Не определено</t>
        </is>
      </c>
      <c r="M952" s="53" t="inlineStr"/>
      <c r="N952" s="54" t="inlineStr"/>
      <c r="O952" s="55" t="inlineStr"/>
      <c r="P952" s="16" t="inlineStr">
        <is>
          <t>Требует обогащения</t>
        </is>
      </c>
      <c r="Q952" s="16">
        <f>HYPERLINK("https://pb.nalog.ru/search.html?query=3835060206","ФНС: проверить")</f>
        <v/>
      </c>
      <c r="R952" s="16">
        <f>HYPERLINK("https://checko.ru/search?query=3801001629","Чекко: проверить")</f>
        <v/>
      </c>
      <c r="S952" t="n">
        <v>1</v>
      </c>
      <c r="T952" s="35" t="inlineStr">
        <is>
          <t>4 — Не обогащён</t>
        </is>
      </c>
      <c r="U952" s="35" t="inlineStr">
        <is>
          <t>Нет ОКВЭД/ССЧР</t>
        </is>
      </c>
      <c r="V952" s="35" t="inlineStr">
        <is>
          <t>Не определено</t>
        </is>
      </c>
      <c r="W952" s="35" t="inlineStr"/>
      <c r="X952" s="35" t="inlineStr"/>
    </row>
    <row r="953" ht="27.75" customHeight="1" s="24">
      <c r="A953" s="13" t="n">
        <v>5000060617</v>
      </c>
      <c r="B953" s="13" t="inlineStr">
        <is>
          <t>ДИМИТРОВГРАДСКИЙ ТЕХНИКО-ЭКОНОМИЧЕСКИЙ КОЛЛЕДЖ</t>
        </is>
      </c>
      <c r="C953" s="13" t="n">
        <v>7302009757</v>
      </c>
      <c r="D953" s="13" t="inlineStr">
        <is>
          <t>7302009757</t>
        </is>
      </c>
      <c r="E953" s="13" t="inlineStr">
        <is>
          <t>ЮЛ РФ</t>
        </is>
      </c>
      <c r="F953" s="13" t="n"/>
      <c r="G953" s="14" t="n"/>
      <c r="H953" s="14" t="n"/>
      <c r="I953" s="14" t="n"/>
      <c r="J953" s="14" t="n"/>
      <c r="K953" s="53" t="inlineStr"/>
      <c r="L953" s="53" t="inlineStr">
        <is>
          <t>Не определено</t>
        </is>
      </c>
      <c r="M953" s="53" t="inlineStr"/>
      <c r="N953" s="54" t="inlineStr"/>
      <c r="O953" s="55" t="inlineStr"/>
      <c r="P953" s="16" t="inlineStr">
        <is>
          <t>Требует обогащения</t>
        </is>
      </c>
      <c r="Q953" s="16">
        <f>HYPERLINK("https://pb.nalog.ru/search.html?query=7302009757","ФНС: проверить")</f>
        <v/>
      </c>
      <c r="R953" s="16">
        <f>HYPERLINK("https://checko.ru/search?query=3801001629","Чекко: проверить")</f>
        <v/>
      </c>
      <c r="S953" t="n">
        <v>1</v>
      </c>
      <c r="T953" s="35" t="inlineStr">
        <is>
          <t>4 — Не обогащён</t>
        </is>
      </c>
      <c r="U953" s="35" t="inlineStr">
        <is>
          <t>Нет ОКВЭД/ССЧР</t>
        </is>
      </c>
      <c r="V953" s="35" t="inlineStr">
        <is>
          <t>Не определено</t>
        </is>
      </c>
      <c r="W953" s="35" t="inlineStr"/>
      <c r="X953" s="35" t="inlineStr"/>
    </row>
    <row r="954" ht="15" customHeight="1" s="24">
      <c r="A954" s="13" t="n">
        <v>5000062564</v>
      </c>
      <c r="B954" s="13" t="inlineStr">
        <is>
          <t>Старомайнский технологический техникум</t>
        </is>
      </c>
      <c r="C954" s="13" t="n">
        <v>7318004610</v>
      </c>
      <c r="D954" s="13" t="inlineStr">
        <is>
          <t>7318004610</t>
        </is>
      </c>
      <c r="E954" s="13" t="inlineStr">
        <is>
          <t>ЮЛ РФ</t>
        </is>
      </c>
      <c r="F954" s="13" t="n"/>
      <c r="G954" s="14" t="n"/>
      <c r="H954" s="14" t="n"/>
      <c r="I954" s="14" t="n"/>
      <c r="J954" s="14" t="n"/>
      <c r="K954" s="53" t="inlineStr"/>
      <c r="L954" s="53" t="inlineStr">
        <is>
          <t>Не определено</t>
        </is>
      </c>
      <c r="M954" s="53" t="inlineStr"/>
      <c r="N954" s="54" t="inlineStr"/>
      <c r="O954" s="55" t="inlineStr"/>
      <c r="P954" s="16" t="inlineStr">
        <is>
          <t>Требует обогащения</t>
        </is>
      </c>
      <c r="Q954" s="16">
        <f>HYPERLINK("https://pb.nalog.ru/search.html?query=7318004610","ФНС: проверить")</f>
        <v/>
      </c>
      <c r="R954" s="16">
        <f>HYPERLINK("https://checko.ru/search?query=3801001629","Чекко: проверить")</f>
        <v/>
      </c>
      <c r="S954" t="n">
        <v>1</v>
      </c>
      <c r="T954" s="35" t="inlineStr">
        <is>
          <t>4 — Не обогащён</t>
        </is>
      </c>
      <c r="U954" s="35" t="inlineStr">
        <is>
          <t>Нет ОКВЭД/ССЧР</t>
        </is>
      </c>
      <c r="V954" s="35" t="inlineStr">
        <is>
          <t>Не определено</t>
        </is>
      </c>
      <c r="W954" s="35" t="inlineStr"/>
      <c r="X954" s="35" t="inlineStr"/>
    </row>
    <row r="955" ht="27.75" customHeight="1" s="24">
      <c r="A955" s="13" t="n">
        <v>5000001944</v>
      </c>
      <c r="B955" s="13" t="inlineStr">
        <is>
          <t>Профессиональный колледж г.Железногорска-Илимского</t>
        </is>
      </c>
      <c r="C955" s="13" t="n">
        <v>3834010629</v>
      </c>
      <c r="D955" s="13" t="inlineStr">
        <is>
          <t>3834010629</t>
        </is>
      </c>
      <c r="E955" s="13" t="inlineStr">
        <is>
          <t>ЮЛ РФ</t>
        </is>
      </c>
      <c r="F955" s="13" t="n"/>
      <c r="G955" s="14" t="n"/>
      <c r="H955" s="14" t="n"/>
      <c r="I955" s="14" t="n"/>
      <c r="J955" s="14" t="n"/>
      <c r="K955" s="53" t="inlineStr"/>
      <c r="L955" s="53" t="inlineStr">
        <is>
          <t>Не определено</t>
        </is>
      </c>
      <c r="M955" s="53" t="inlineStr"/>
      <c r="N955" s="54" t="inlineStr"/>
      <c r="O955" s="55" t="inlineStr"/>
      <c r="P955" s="16" t="inlineStr">
        <is>
          <t>Требует обогащения</t>
        </is>
      </c>
      <c r="Q955" s="16">
        <f>HYPERLINK("https://pb.nalog.ru/search.html?query=3834010629","ФНС: проверить")</f>
        <v/>
      </c>
      <c r="R955" s="16">
        <f>HYPERLINK("https://checko.ru/search?query=3801001629","Чекко: проверить")</f>
        <v/>
      </c>
      <c r="S955" t="n">
        <v>1</v>
      </c>
      <c r="T955" s="35" t="inlineStr">
        <is>
          <t>4 — Не обогащён</t>
        </is>
      </c>
      <c r="U955" s="35" t="inlineStr">
        <is>
          <t>Нет ОКВЭД/ССЧР</t>
        </is>
      </c>
      <c r="V955" s="35" t="inlineStr">
        <is>
          <t>Не определено</t>
        </is>
      </c>
      <c r="W955" s="35" t="inlineStr"/>
      <c r="X955" s="35" t="inlineStr"/>
    </row>
    <row r="956" ht="27.75" customHeight="1" s="24">
      <c r="A956" s="13" t="n">
        <v>5000002002</v>
      </c>
      <c r="B956" s="13" t="inlineStr">
        <is>
          <t>Иркутское ОбГБУК "Черемховский драматический театр имени В.П.Гуркина"</t>
        </is>
      </c>
      <c r="C956" s="13" t="n">
        <v>3820000606</v>
      </c>
      <c r="D956" s="13" t="inlineStr">
        <is>
          <t>3820000606</t>
        </is>
      </c>
      <c r="E956" s="13" t="inlineStr">
        <is>
          <t>ЮЛ РФ</t>
        </is>
      </c>
      <c r="F956" s="13" t="n"/>
      <c r="G956" s="14" t="n"/>
      <c r="H956" s="14" t="n"/>
      <c r="I956" s="14" t="n"/>
      <c r="J956" s="14" t="n"/>
      <c r="K956" s="53" t="inlineStr"/>
      <c r="L956" s="53" t="inlineStr">
        <is>
          <t>Не определено</t>
        </is>
      </c>
      <c r="M956" s="53" t="inlineStr"/>
      <c r="N956" s="54" t="inlineStr"/>
      <c r="O956" s="55" t="inlineStr"/>
      <c r="P956" s="16" t="inlineStr">
        <is>
          <t>Требует обогащения</t>
        </is>
      </c>
      <c r="Q956" s="16">
        <f>HYPERLINK("https://pb.nalog.ru/search.html?query=3820000606","ФНС: проверить")</f>
        <v/>
      </c>
      <c r="R956" s="16">
        <f>HYPERLINK("https://checko.ru/search?query=3801001629","Чекко: проверить")</f>
        <v/>
      </c>
      <c r="S956" t="n">
        <v>1</v>
      </c>
      <c r="T956" s="35" t="inlineStr">
        <is>
          <t>4 — Не обогащён</t>
        </is>
      </c>
      <c r="U956" s="35" t="inlineStr">
        <is>
          <t>Нет ОКВЭД/ССЧР</t>
        </is>
      </c>
      <c r="V956" s="35" t="inlineStr">
        <is>
          <t>Не определено</t>
        </is>
      </c>
      <c r="W956" s="35" t="inlineStr"/>
      <c r="X956" s="35" t="inlineStr"/>
    </row>
    <row r="957" ht="15" customHeight="1" s="24">
      <c r="A957" s="13" t="n">
        <v>5000001421</v>
      </c>
      <c r="B957" s="13" t="inlineStr">
        <is>
          <t>Областной центр врачебной косметологии</t>
        </is>
      </c>
      <c r="C957" s="13" t="n">
        <v>3808002910</v>
      </c>
      <c r="D957" s="13" t="inlineStr">
        <is>
          <t>3808002910</t>
        </is>
      </c>
      <c r="E957" s="13" t="inlineStr">
        <is>
          <t>ЮЛ РФ</t>
        </is>
      </c>
      <c r="F957" s="13" t="n"/>
      <c r="G957" s="14" t="n"/>
      <c r="H957" s="14" t="n"/>
      <c r="I957" s="14" t="n"/>
      <c r="J957" s="14" t="n"/>
      <c r="K957" s="53" t="inlineStr"/>
      <c r="L957" s="53" t="inlineStr">
        <is>
          <t>Не определено</t>
        </is>
      </c>
      <c r="M957" s="53" t="inlineStr"/>
      <c r="N957" s="54" t="inlineStr"/>
      <c r="O957" s="55" t="inlineStr"/>
      <c r="P957" s="16" t="inlineStr">
        <is>
          <t>Требует обогащения</t>
        </is>
      </c>
      <c r="Q957" s="16">
        <f>HYPERLINK("https://pb.nalog.ru/search.html?query=3808002910","ФНС: проверить")</f>
        <v/>
      </c>
      <c r="R957" s="16">
        <f>HYPERLINK("https://checko.ru/search?query=3801001629","Чекко: проверить")</f>
        <v/>
      </c>
      <c r="S957" t="n">
        <v>1</v>
      </c>
      <c r="T957" s="35" t="inlineStr">
        <is>
          <t>4 — Не обогащён</t>
        </is>
      </c>
      <c r="U957" s="35" t="inlineStr">
        <is>
          <t>Нет ОКВЭД/ССЧР</t>
        </is>
      </c>
      <c r="V957" s="35" t="inlineStr">
        <is>
          <t>Не определено</t>
        </is>
      </c>
      <c r="W957" s="35" t="inlineStr"/>
      <c r="X957" s="35" t="inlineStr"/>
    </row>
    <row r="958" ht="41.25" customHeight="1" s="24">
      <c r="A958" s="13" t="n">
        <v>5000001633</v>
      </c>
      <c r="B958" s="13" t="inlineStr">
        <is>
          <t>ОБЛАСТНОЕ ГОСУДАРСТВЕННОЕ БЮДЖЕТНОЕ УЧРЕЖДЕНИЕ ЗДРАВООХРАНЕНИЯ "ИРКУТСКАЯ ОБЛАСТНАЯ СТОМАТОЛОГИЧЕСКА</t>
        </is>
      </c>
      <c r="C958" s="13" t="n">
        <v>3808015596</v>
      </c>
      <c r="D958" s="13" t="inlineStr">
        <is>
          <t>3808015596</t>
        </is>
      </c>
      <c r="E958" s="13" t="inlineStr">
        <is>
          <t>ЮЛ РФ</t>
        </is>
      </c>
      <c r="F958" s="13" t="n"/>
      <c r="G958" s="14" t="n"/>
      <c r="H958" s="14" t="n"/>
      <c r="I958" s="14" t="n"/>
      <c r="J958" s="14" t="n"/>
      <c r="K958" s="53" t="inlineStr"/>
      <c r="L958" s="53" t="inlineStr">
        <is>
          <t>Не определено</t>
        </is>
      </c>
      <c r="M958" s="53" t="inlineStr"/>
      <c r="N958" s="54" t="inlineStr"/>
      <c r="O958" s="55" t="inlineStr"/>
      <c r="P958" s="16" t="inlineStr">
        <is>
          <t>Требует обогащения</t>
        </is>
      </c>
      <c r="Q958" s="16">
        <f>HYPERLINK("https://pb.nalog.ru/search.html?query=3808015596","ФНС: проверить")</f>
        <v/>
      </c>
      <c r="R958" s="16">
        <f>HYPERLINK("https://checko.ru/search?query=3801001629","Чекко: проверить")</f>
        <v/>
      </c>
      <c r="S958" t="n">
        <v>1</v>
      </c>
      <c r="T958" s="35" t="inlineStr">
        <is>
          <t>4 — Не обогащён</t>
        </is>
      </c>
      <c r="U958" s="35" t="inlineStr">
        <is>
          <t>Нет ОКВЭД/ССЧР</t>
        </is>
      </c>
      <c r="V958" s="35" t="inlineStr">
        <is>
          <t>Не определено</t>
        </is>
      </c>
      <c r="W958" s="35" t="inlineStr"/>
      <c r="X958" s="35" t="inlineStr"/>
    </row>
    <row r="959" ht="15" customHeight="1" s="24">
      <c r="A959" s="13" t="n">
        <v>5000094614</v>
      </c>
      <c r="B959" s="13" t="inlineStr">
        <is>
          <t>Редакция Газеты "Терек-1"</t>
        </is>
      </c>
      <c r="C959" s="13" t="n">
        <v>705001148</v>
      </c>
      <c r="D959" s="13" t="n"/>
      <c r="E959" s="13" t="inlineStr">
        <is>
          <t>Не определён</t>
        </is>
      </c>
      <c r="F959" s="13" t="inlineStr">
        <is>
          <t>705001148</t>
        </is>
      </c>
      <c r="G959" s="14" t="n"/>
      <c r="H959" s="14" t="n"/>
      <c r="I959" s="14" t="n"/>
      <c r="J959" s="14" t="n"/>
      <c r="K959" s="13">
        <f>IF(G959="","",IF(G959&gt;=22,"Да","Нет"))</f>
        <v/>
      </c>
      <c r="L959" s="13">
        <f>IF(OR(I959="",J959=""),"Не определено",IF(OR(COUNTIF(I959,"45*")&gt;0,COUNTIF(J959,"*45*")&gt;0,COUNTIF(I959,"46*")&gt;0,COUNTIF(J959,"*46*")&gt;0,COUNTIF(I959,"47*")&gt;0,COUNTIF(J959,"*47*")&gt;0,COUNTIF(I959,"10*")&gt;0,COUNTIF(J959,"*10*")&gt;0,COUNTIF(I959,"11*")&gt;0,COUNTIF(J959,"*11*")&gt;0,COUNTIF(I959,"12*")&gt;0,COUNTIF(J959,"*12*")&gt;0,COUNTIF(I959,"13*")&gt;0,COUNTIF(J959,"*13*")&gt;0,COUNTIF(I959,"14*")&gt;0,COUNTIF(J959,"*14*")&gt;0,COUNTIF(I959,"15*")&gt;0,COUNTIF(J959,"*15*")&gt;0,COUNTIF(I959,"16*")&gt;0,COUNTIF(J959,"*16*")&gt;0,COUNTIF(I959,"17*")&gt;0,COUNTIF(J959,"*17*")&gt;0,COUNTIF(I959,"18*")&gt;0,COUNTIF(J959,"*18*")&gt;0,COUNTIF(I959,"19*")&gt;0,COUNTIF(J959,"*19*")&gt;0,COUNTIF(I959,"20*")&gt;0,COUNTIF(J959,"*20*")&gt;0,COUNTIF(I959,"21*")&gt;0,COUNTIF(J959,"*21*")&gt;0,COUNTIF(I959,"22*")&gt;0,COUNTIF(J959,"*22*")&gt;0,COUNTIF(I959,"23*")&gt;0,COUNTIF(J959,"*23*")&gt;0,COUNTIF(I959,"24*")&gt;0,COUNTIF(J959,"*24*")&gt;0,COUNTIF(I959,"25*")&gt;0,COUNTIF(J959,"*25*")&gt;0,COUNTIF(I959,"26*")&gt;0,COUNTIF(J959,"*26*")&gt;0,COUNTIF(I959,"27*")&gt;0,COUNTIF(J959,"*27*")&gt;0,COUNTIF(I959,"28*")&gt;0,COUNTIF(J959,"*28*")&gt;0,COUNTIF(I959,"29*")&gt;0,COUNTIF(J959,"*29*")&gt;0,COUNTIF(I959,"30*")&gt;0,COUNTIF(J959,"*30*")&gt;0,COUNTIF(I959,"31*")&gt;0,COUNTIF(J959,"*31*")&gt;0,COUNTIF(I959,"32*")&gt;0,COUNTIF(J959,"*32*")&gt;0,COUNTIF(I959,"33*")&gt;0,COUNTIF(J959,"*33*")&gt;0,COUNTIF(I959,"41*")&gt;0,COUNTIF(J959,"*41*")&gt;0,COUNTIF(I959,"42*")&gt;0,COUNTIF(J959,"*42*")&gt;0,COUNTIF(I959,"43*")&gt;0,COUNTIF(J959,"*43*")&gt;0,COUNTIF(I959,"49*")&gt;0,COUNTIF(J959,"*49*")&gt;0,COUNTIF(I959,"52*")&gt;0,COUNTIF(J959,"*52*")&gt;0,COUNTIF(I959,"55*")&gt;0,COUNTIF(J959,"*55*")&gt;0,COUNTIF(I959,"56*")&gt;0,COUNTIF(J959,"*56*")&gt;0,COUNTIF(I959,"68*")&gt;0,COUNTIF(J959,"*68*")&gt;0,COUNTIF(I959,"78*")&gt;0,COUNTIF(J959,"*78*")&gt;0,COUNTIF(I959,"81*")&gt;0,COUNTIF(J959,"*81*")&gt;0,COUNTIF(I959,"82*")&gt;0,COUNTIF(J959,"*82*")&gt;0,COUNTIF(I959,"64*")&gt;0,COUNTIF(J959,"*64*")&gt;0,COUNTIF(I959,"65*")&gt;0,COUNTIF(J959,"*65*")&gt;0,COUNTIF(I959,"66*")&gt;0,COUNTIF(J959,"*66*")&gt;0,COUNTIF(I959,"61*")&gt;0,COUNTIF(J959,"*61*")&gt;0,COUNTIF(I959,"62*")&gt;0,COUNTIF(J959,"*62*")&gt;0,COUNTIF(I959,"63*")&gt;0,COUNTIF(J959,"*63*")&gt;0,COUNTIF(I959,"85*")&gt;0,COUNTIF(J959,"*85*")&gt;0,COUNTIF(I959,"86*")&gt;0,COUNTIF(J959,"*86*")&gt;0),"Да","Нет"))</f>
        <v/>
      </c>
      <c r="M959" s="13">
        <f>IF(OR(G959="",L959&lt;&gt;"Да"),"",IF(G959&lt;=100,"До 100",IF(G959&lt;=200,"До 200",IF(G959&lt;=500,"До 500","Отдельное КП"))))</f>
        <v/>
      </c>
      <c r="N959" s="15">
        <f>IF(OR(G959="",L959&lt;&gt;"Да"),"",IF(G959&lt;=100,33600,IF(G959&lt;=200,62400,IF(G959&lt;=500,144000,""))))</f>
        <v/>
      </c>
      <c r="O959" s="16">
        <f>IF(G959="","",IF(G959&lt;=15,"1–15",IF(G959&lt;=30,"16–30",IF(G959&lt;=50,"31–50",IF(G959&lt;=100,"51–100",IF(G959&lt;=150,"101–150",IF(G959&lt;=200,"151–200",IF(G959&lt;=500,"201–500","500+"))))))))</f>
        <v/>
      </c>
      <c r="P959" s="16" t="inlineStr">
        <is>
          <t>Нет совпадения в предоставленной выгрузке ССЧР</t>
        </is>
      </c>
      <c r="Q959" s="16" t="n"/>
      <c r="R959" s="16">
        <f>HYPERLINK("https://checko.ru/search?query=3801001629","Чекко: проверить")</f>
        <v/>
      </c>
      <c r="S959" t="n">
        <v>0</v>
      </c>
    </row>
    <row r="960" ht="27.75" customHeight="1" s="24">
      <c r="A960" s="13" t="n">
        <v>5000001546</v>
      </c>
      <c r="B960" s="13" t="inlineStr">
        <is>
          <t>Иркутский техникум речного и автомобильного транспорта</t>
        </is>
      </c>
      <c r="C960" s="13" t="n">
        <v>3810008540</v>
      </c>
      <c r="D960" s="13" t="inlineStr">
        <is>
          <t>3810008540</t>
        </is>
      </c>
      <c r="E960" s="13" t="inlineStr">
        <is>
          <t>ЮЛ РФ</t>
        </is>
      </c>
      <c r="F960" s="13" t="n"/>
      <c r="G960" s="14" t="n"/>
      <c r="H960" s="14" t="n"/>
      <c r="I960" s="14" t="n"/>
      <c r="J960" s="14" t="n"/>
      <c r="K960" s="53" t="inlineStr"/>
      <c r="L960" s="53" t="inlineStr">
        <is>
          <t>Не определено</t>
        </is>
      </c>
      <c r="M960" s="53" t="inlineStr"/>
      <c r="N960" s="54" t="inlineStr"/>
      <c r="O960" s="55" t="inlineStr"/>
      <c r="P960" s="16" t="inlineStr">
        <is>
          <t>Требует обогащения</t>
        </is>
      </c>
      <c r="Q960" s="16">
        <f>HYPERLINK("https://pb.nalog.ru/search.html?query=3810008540","ФНС: проверить")</f>
        <v/>
      </c>
      <c r="R960" s="16">
        <f>HYPERLINK("https://checko.ru/search?query=3801001629","Чекко: проверить")</f>
        <v/>
      </c>
      <c r="S960" t="n">
        <v>1</v>
      </c>
      <c r="T960" s="35" t="inlineStr">
        <is>
          <t>4 — Не обогащён</t>
        </is>
      </c>
      <c r="U960" s="35" t="inlineStr">
        <is>
          <t>Нет ОКВЭД/ССЧР</t>
        </is>
      </c>
      <c r="V960" s="35" t="inlineStr">
        <is>
          <t>Не определено</t>
        </is>
      </c>
      <c r="W960" s="35" t="inlineStr"/>
      <c r="X960" s="35" t="inlineStr"/>
    </row>
    <row r="961" ht="15" customHeight="1" s="24">
      <c r="A961" s="13" t="n">
        <v>5000001446</v>
      </c>
      <c r="B961" s="13" t="inlineStr">
        <is>
          <t>Центр обучения и содействия трудоустройству</t>
        </is>
      </c>
      <c r="C961" s="13" t="n">
        <v>3808023660</v>
      </c>
      <c r="D961" s="13" t="inlineStr">
        <is>
          <t>3808023660</t>
        </is>
      </c>
      <c r="E961" s="13" t="inlineStr">
        <is>
          <t>ЮЛ РФ</t>
        </is>
      </c>
      <c r="F961" s="13" t="n"/>
      <c r="G961" s="14" t="n"/>
      <c r="H961" s="14" t="n"/>
      <c r="I961" s="14" t="n"/>
      <c r="J961" s="14" t="n"/>
      <c r="K961" s="53" t="inlineStr"/>
      <c r="L961" s="53" t="inlineStr">
        <is>
          <t>Не определено</t>
        </is>
      </c>
      <c r="M961" s="53" t="inlineStr"/>
      <c r="N961" s="54" t="inlineStr"/>
      <c r="O961" s="55" t="inlineStr"/>
      <c r="P961" s="16" t="inlineStr">
        <is>
          <t>Требует обогащения</t>
        </is>
      </c>
      <c r="Q961" s="16">
        <f>HYPERLINK("https://pb.nalog.ru/search.html?query=3808023660","ФНС: проверить")</f>
        <v/>
      </c>
      <c r="R961" s="16">
        <f>HYPERLINK("https://checko.ru/search?query=3801001629","Чекко: проверить")</f>
        <v/>
      </c>
      <c r="S961" t="n">
        <v>1</v>
      </c>
      <c r="T961" s="35" t="inlineStr">
        <is>
          <t>4 — Не обогащён</t>
        </is>
      </c>
      <c r="U961" s="35" t="inlineStr">
        <is>
          <t>Нет ОКВЭД/ССЧР</t>
        </is>
      </c>
      <c r="V961" s="35" t="inlineStr">
        <is>
          <t>Не определено</t>
        </is>
      </c>
      <c r="W961" s="35" t="inlineStr"/>
      <c r="X961" s="35" t="inlineStr"/>
    </row>
    <row r="962" ht="27.75" customHeight="1" s="24">
      <c r="A962" s="13" t="n">
        <v>5000001943</v>
      </c>
      <c r="B962" s="13" t="inlineStr">
        <is>
          <t>Киренский профессионально-педагогический колледж</t>
        </is>
      </c>
      <c r="C962" s="13" t="n">
        <v>3831004627</v>
      </c>
      <c r="D962" s="13" t="inlineStr">
        <is>
          <t>3831004627</t>
        </is>
      </c>
      <c r="E962" s="13" t="inlineStr">
        <is>
          <t>ЮЛ РФ</t>
        </is>
      </c>
      <c r="F962" s="13" t="n"/>
      <c r="G962" s="14" t="n"/>
      <c r="H962" s="14" t="n"/>
      <c r="I962" s="14" t="n"/>
      <c r="J962" s="14" t="n"/>
      <c r="K962" s="53" t="inlineStr"/>
      <c r="L962" s="53" t="inlineStr">
        <is>
          <t>Не определено</t>
        </is>
      </c>
      <c r="M962" s="53" t="inlineStr"/>
      <c r="N962" s="54" t="inlineStr"/>
      <c r="O962" s="55" t="inlineStr"/>
      <c r="P962" s="16" t="inlineStr">
        <is>
          <t>Требует обогащения</t>
        </is>
      </c>
      <c r="Q962" s="16">
        <f>HYPERLINK("https://pb.nalog.ru/search.html?query=3831004627","ФНС: проверить")</f>
        <v/>
      </c>
      <c r="R962" s="16">
        <f>HYPERLINK("https://checko.ru/search?query=3801001629","Чекко: проверить")</f>
        <v/>
      </c>
      <c r="S962" t="n">
        <v>1</v>
      </c>
      <c r="T962" s="35" t="inlineStr">
        <is>
          <t>4 — Не обогащён</t>
        </is>
      </c>
      <c r="U962" s="35" t="inlineStr">
        <is>
          <t>Нет ОКВЭД/ССЧР</t>
        </is>
      </c>
      <c r="V962" s="35" t="inlineStr">
        <is>
          <t>Не определено</t>
        </is>
      </c>
      <c r="W962" s="35" t="inlineStr"/>
      <c r="X962" s="35" t="inlineStr"/>
    </row>
    <row r="963" ht="15" customHeight="1" s="24">
      <c r="A963" s="13" t="n">
        <v>5000001358</v>
      </c>
      <c r="B963" s="13" t="inlineStr">
        <is>
          <t>Ангарский индустриальный техникум</t>
        </is>
      </c>
      <c r="C963" s="13" t="n">
        <v>3801108749</v>
      </c>
      <c r="D963" s="13" t="inlineStr">
        <is>
          <t>3801108749</t>
        </is>
      </c>
      <c r="E963" s="13" t="inlineStr">
        <is>
          <t>ЮЛ РФ</t>
        </is>
      </c>
      <c r="F963" s="13" t="n"/>
      <c r="G963" s="14" t="n"/>
      <c r="H963" s="14" t="n"/>
      <c r="I963" s="14" t="n"/>
      <c r="J963" s="14" t="n"/>
      <c r="K963" s="53" t="inlineStr"/>
      <c r="L963" s="53" t="inlineStr">
        <is>
          <t>Не определено</t>
        </is>
      </c>
      <c r="M963" s="53" t="inlineStr"/>
      <c r="N963" s="54" t="inlineStr"/>
      <c r="O963" s="55" t="inlineStr"/>
      <c r="P963" s="16" t="inlineStr">
        <is>
          <t>Требует обогащения</t>
        </is>
      </c>
      <c r="Q963" s="16">
        <f>HYPERLINK("https://pb.nalog.ru/search.html?query=3801108749","ФНС: проверить")</f>
        <v/>
      </c>
      <c r="R963" s="16">
        <f>HYPERLINK("https://checko.ru/search?query=3801001629","Чекко: проверить")</f>
        <v/>
      </c>
      <c r="S963" t="n">
        <v>1</v>
      </c>
      <c r="T963" s="35" t="inlineStr">
        <is>
          <t>4 — Не обогащён</t>
        </is>
      </c>
      <c r="U963" s="35" t="inlineStr">
        <is>
          <t>Нет ОКВЭД/ССЧР</t>
        </is>
      </c>
      <c r="V963" s="35" t="inlineStr">
        <is>
          <t>Не определено</t>
        </is>
      </c>
      <c r="W963" s="35" t="inlineStr"/>
      <c r="X963" s="35" t="inlineStr"/>
    </row>
    <row r="964" ht="15" customHeight="1" s="24">
      <c r="A964" s="13" t="n">
        <v>5000050092</v>
      </c>
      <c r="B964" s="13" t="inlineStr">
        <is>
          <t>МБУК "ЛМБ ИМ.ПОЭТА И.И.МОРОЗОВА"</t>
        </is>
      </c>
      <c r="C964" s="13" t="n">
        <v>5072723618</v>
      </c>
      <c r="D964" s="13" t="inlineStr">
        <is>
          <t>5072723618</t>
        </is>
      </c>
      <c r="E964" s="13" t="inlineStr">
        <is>
          <t>ЮЛ РФ</t>
        </is>
      </c>
      <c r="F964" s="13" t="n"/>
      <c r="G964" s="14" t="n"/>
      <c r="H964" s="14" t="n"/>
      <c r="I964" s="14" t="n"/>
      <c r="J964" s="14" t="n"/>
      <c r="K964" s="53" t="inlineStr"/>
      <c r="L964" s="53" t="inlineStr">
        <is>
          <t>Не определено</t>
        </is>
      </c>
      <c r="M964" s="53" t="inlineStr"/>
      <c r="N964" s="54" t="inlineStr"/>
      <c r="O964" s="55" t="inlineStr"/>
      <c r="P964" s="16" t="inlineStr">
        <is>
          <t>Требует обогащения</t>
        </is>
      </c>
      <c r="Q964" s="16">
        <f>HYPERLINK("https://pb.nalog.ru/search.html?query=5072723618","ФНС: проверить")</f>
        <v/>
      </c>
      <c r="R964" s="16">
        <f>HYPERLINK("https://checko.ru/search?query=3801001629","Чекко: проверить")</f>
        <v/>
      </c>
      <c r="S964" t="n">
        <v>1</v>
      </c>
      <c r="T964" s="35" t="inlineStr">
        <is>
          <t>4 — Не обогащён</t>
        </is>
      </c>
      <c r="U964" s="35" t="inlineStr">
        <is>
          <t>Нет ОКВЭД/ССЧР</t>
        </is>
      </c>
      <c r="V964" s="35" t="inlineStr">
        <is>
          <t>Не определено</t>
        </is>
      </c>
      <c r="W964" s="35" t="inlineStr"/>
      <c r="X964" s="35" t="inlineStr"/>
    </row>
    <row r="965" ht="15" customHeight="1" s="24">
      <c r="A965" s="13" t="n">
        <v>5000050093</v>
      </c>
      <c r="B965" s="13" t="inlineStr">
        <is>
          <t>МБОУ "ГИМНАЗИЯ  № 10"</t>
        </is>
      </c>
      <c r="C965" s="13" t="n">
        <v>5072713200</v>
      </c>
      <c r="D965" s="13" t="inlineStr">
        <is>
          <t>5072713200</t>
        </is>
      </c>
      <c r="E965" s="13" t="inlineStr">
        <is>
          <t>ЮЛ РФ</t>
        </is>
      </c>
      <c r="F965" s="13" t="n"/>
      <c r="G965" s="14" t="n"/>
      <c r="H965" s="14" t="n"/>
      <c r="I965" s="14" t="n"/>
      <c r="J965" s="14" t="n"/>
      <c r="K965" s="53" t="inlineStr"/>
      <c r="L965" s="53" t="inlineStr">
        <is>
          <t>Не определено</t>
        </is>
      </c>
      <c r="M965" s="53" t="inlineStr"/>
      <c r="N965" s="54" t="inlineStr"/>
      <c r="O965" s="55" t="inlineStr"/>
      <c r="P965" s="16" t="inlineStr">
        <is>
          <t>Требует обогащения</t>
        </is>
      </c>
      <c r="Q965" s="16">
        <f>HYPERLINK("https://pb.nalog.ru/search.html?query=5072713200","ФНС: проверить")</f>
        <v/>
      </c>
      <c r="R965" s="16">
        <f>HYPERLINK("https://checko.ru/search?query=3801001629","Чекко: проверить")</f>
        <v/>
      </c>
      <c r="S965" t="n">
        <v>1</v>
      </c>
      <c r="T965" s="35" t="inlineStr">
        <is>
          <t>4 — Не обогащён</t>
        </is>
      </c>
      <c r="U965" s="35" t="inlineStr">
        <is>
          <t>Нет ОКВЭД/ССЧР</t>
        </is>
      </c>
      <c r="V965" s="35" t="inlineStr">
        <is>
          <t>Не определено</t>
        </is>
      </c>
      <c r="W965" s="35" t="inlineStr"/>
      <c r="X965" s="35" t="inlineStr"/>
    </row>
    <row r="966" ht="15" customHeight="1" s="24">
      <c r="A966" s="13" t="n">
        <v>5000050122</v>
      </c>
      <c r="B966" s="13" t="inlineStr">
        <is>
          <t>МАУК "РДК "СТАРТ"</t>
        </is>
      </c>
      <c r="C966" s="13" t="n">
        <v>5072722830</v>
      </c>
      <c r="D966" s="13" t="inlineStr">
        <is>
          <t>5072722830</t>
        </is>
      </c>
      <c r="E966" s="13" t="inlineStr">
        <is>
          <t>ЮЛ РФ</t>
        </is>
      </c>
      <c r="F966" s="13" t="n"/>
      <c r="G966" s="14" t="n"/>
      <c r="H966" s="14" t="n"/>
      <c r="I966" s="14" t="n"/>
      <c r="J966" s="14" t="n"/>
      <c r="K966" s="53" t="inlineStr"/>
      <c r="L966" s="53" t="inlineStr">
        <is>
          <t>Не определено</t>
        </is>
      </c>
      <c r="M966" s="53" t="inlineStr"/>
      <c r="N966" s="54" t="inlineStr"/>
      <c r="O966" s="55" t="inlineStr"/>
      <c r="P966" s="16" t="inlineStr">
        <is>
          <t>Требует обогащения</t>
        </is>
      </c>
      <c r="Q966" s="16">
        <f>HYPERLINK("https://pb.nalog.ru/search.html?query=5072722830","ФНС: проверить")</f>
        <v/>
      </c>
      <c r="R966" s="16">
        <f>HYPERLINK("https://checko.ru/search?query=3801001629","Чекко: проверить")</f>
        <v/>
      </c>
      <c r="S966" t="n">
        <v>1</v>
      </c>
      <c r="T966" s="35" t="inlineStr">
        <is>
          <t>4 — Не обогащён</t>
        </is>
      </c>
      <c r="U966" s="35" t="inlineStr">
        <is>
          <t>Нет ОКВЭД/ССЧР</t>
        </is>
      </c>
      <c r="V966" s="35" t="inlineStr">
        <is>
          <t>Не определено</t>
        </is>
      </c>
      <c r="W966" s="35" t="inlineStr"/>
      <c r="X966" s="35" t="inlineStr"/>
    </row>
    <row r="967" ht="15" customHeight="1" s="24">
      <c r="A967" s="13" t="n">
        <v>5000050123</v>
      </c>
      <c r="B967" s="13" t="inlineStr">
        <is>
          <t>МБУ "ФОК ИМ. Ю.М. БОРЗАКОВСКОГО"</t>
        </is>
      </c>
      <c r="C967" s="13" t="n">
        <v>5072003899</v>
      </c>
      <c r="D967" s="13" t="inlineStr">
        <is>
          <t>5072003899</t>
        </is>
      </c>
      <c r="E967" s="13" t="inlineStr">
        <is>
          <t>ЮЛ РФ</t>
        </is>
      </c>
      <c r="F967" s="13" t="n"/>
      <c r="G967" s="14" t="n"/>
      <c r="H967" s="14" t="n"/>
      <c r="I967" s="14" t="n"/>
      <c r="J967" s="14" t="n"/>
      <c r="K967" s="53" t="inlineStr"/>
      <c r="L967" s="53" t="inlineStr">
        <is>
          <t>Не определено</t>
        </is>
      </c>
      <c r="M967" s="53" t="inlineStr"/>
      <c r="N967" s="54" t="inlineStr"/>
      <c r="O967" s="55" t="inlineStr"/>
      <c r="P967" s="16" t="inlineStr">
        <is>
          <t>Требует обогащения</t>
        </is>
      </c>
      <c r="Q967" s="16">
        <f>HYPERLINK("https://pb.nalog.ru/search.html?query=5072003899","ФНС: проверить")</f>
        <v/>
      </c>
      <c r="R967" s="16">
        <f>HYPERLINK("https://checko.ru/search?query=3801001629","Чекко: проверить")</f>
        <v/>
      </c>
      <c r="S967" t="n">
        <v>1</v>
      </c>
      <c r="T967" s="35" t="inlineStr">
        <is>
          <t>4 — Не обогащён</t>
        </is>
      </c>
      <c r="U967" s="35" t="inlineStr">
        <is>
          <t>Нет ОКВЭД/ССЧР</t>
        </is>
      </c>
      <c r="V967" s="35" t="inlineStr">
        <is>
          <t>Не определено</t>
        </is>
      </c>
      <c r="W967" s="35" t="inlineStr"/>
      <c r="X967" s="35" t="inlineStr"/>
    </row>
    <row r="968" ht="27.75" customHeight="1" s="24">
      <c r="A968" s="13" t="n">
        <v>5000050125</v>
      </c>
      <c r="B968" s="13" t="inlineStr">
        <is>
          <t>МКУ "ЕДДС ГОРОДСКОГО ОКРУГА ЛУХОВИЦЫ МОСКОВСКОЙ ОБЛАСТИ"</t>
        </is>
      </c>
      <c r="C968" s="13" t="n">
        <v>5072003881</v>
      </c>
      <c r="D968" s="13" t="inlineStr">
        <is>
          <t>5072003881</t>
        </is>
      </c>
      <c r="E968" s="13" t="inlineStr">
        <is>
          <t>ЮЛ РФ</t>
        </is>
      </c>
      <c r="F968" s="13" t="n"/>
      <c r="G968" s="14" t="n"/>
      <c r="H968" s="14" t="n"/>
      <c r="I968" s="14" t="n"/>
      <c r="J968" s="14" t="n"/>
      <c r="K968" s="53" t="inlineStr"/>
      <c r="L968" s="53" t="inlineStr">
        <is>
          <t>Не определено</t>
        </is>
      </c>
      <c r="M968" s="53" t="inlineStr"/>
      <c r="N968" s="54" t="inlineStr"/>
      <c r="O968" s="55" t="inlineStr"/>
      <c r="P968" s="16" t="inlineStr">
        <is>
          <t>Требует обогащения</t>
        </is>
      </c>
      <c r="Q968" s="16">
        <f>HYPERLINK("https://pb.nalog.ru/search.html?query=5072003881","ФНС: проверить")</f>
        <v/>
      </c>
      <c r="R968" s="16">
        <f>HYPERLINK("https://checko.ru/search?query=3801001629","Чекко: проверить")</f>
        <v/>
      </c>
      <c r="S968" t="n">
        <v>1</v>
      </c>
      <c r="T968" s="35" t="inlineStr">
        <is>
          <t>4 — Не обогащён</t>
        </is>
      </c>
      <c r="U968" s="35" t="inlineStr">
        <is>
          <t>Нет ОКВЭД/ССЧР</t>
        </is>
      </c>
      <c r="V968" s="35" t="inlineStr">
        <is>
          <t>Не определено</t>
        </is>
      </c>
      <c r="W968" s="35" t="inlineStr"/>
      <c r="X968" s="35" t="inlineStr"/>
    </row>
    <row r="969" ht="15" customHeight="1" s="24">
      <c r="A969" s="13" t="n">
        <v>5000050126</v>
      </c>
      <c r="B969" s="13" t="inlineStr">
        <is>
          <t>МКУ "УПРАВЛЕНИЕ ПО ЗАКУПКАМ"</t>
        </is>
      </c>
      <c r="C969" s="13" t="n">
        <v>5072004677</v>
      </c>
      <c r="D969" s="13" t="inlineStr">
        <is>
          <t>5072004677</t>
        </is>
      </c>
      <c r="E969" s="13" t="inlineStr">
        <is>
          <t>ЮЛ РФ</t>
        </is>
      </c>
      <c r="F969" s="13" t="n"/>
      <c r="G969" s="14" t="n"/>
      <c r="H969" s="14" t="n"/>
      <c r="I969" s="14" t="n"/>
      <c r="J969" s="14" t="n"/>
      <c r="K969" s="53" t="inlineStr"/>
      <c r="L969" s="53" t="inlineStr">
        <is>
          <t>Не определено</t>
        </is>
      </c>
      <c r="M969" s="53" t="inlineStr"/>
      <c r="N969" s="54" t="inlineStr"/>
      <c r="O969" s="55" t="inlineStr"/>
      <c r="P969" s="16" t="inlineStr">
        <is>
          <t>Требует обогащения</t>
        </is>
      </c>
      <c r="Q969" s="16">
        <f>HYPERLINK("https://pb.nalog.ru/search.html?query=5072004677","ФНС: проверить")</f>
        <v/>
      </c>
      <c r="R969" s="16">
        <f>HYPERLINK("https://checko.ru/search?query=3801001629","Чекко: проверить")</f>
        <v/>
      </c>
      <c r="S969" t="n">
        <v>1</v>
      </c>
      <c r="T969" s="35" t="inlineStr">
        <is>
          <t>4 — Не обогащён</t>
        </is>
      </c>
      <c r="U969" s="35" t="inlineStr">
        <is>
          <t>Нет ОКВЭД/ССЧР</t>
        </is>
      </c>
      <c r="V969" s="35" t="inlineStr">
        <is>
          <t>Не определено</t>
        </is>
      </c>
      <c r="W969" s="35" t="inlineStr"/>
      <c r="X969" s="35" t="inlineStr"/>
    </row>
    <row r="970" ht="15" customHeight="1" s="24">
      <c r="A970" s="13" t="n">
        <v>5000050127</v>
      </c>
      <c r="B970" s="13" t="inlineStr">
        <is>
          <t>МКУ "ЦВД ГОРОДСКОГО ОКРУГА ЛУХОВИЦЫ"</t>
        </is>
      </c>
      <c r="C970" s="13" t="n">
        <v>5072005470</v>
      </c>
      <c r="D970" s="13" t="inlineStr">
        <is>
          <t>5072005470</t>
        </is>
      </c>
      <c r="E970" s="13" t="inlineStr">
        <is>
          <t>ЮЛ РФ</t>
        </is>
      </c>
      <c r="F970" s="13" t="n"/>
      <c r="G970" s="14" t="n"/>
      <c r="H970" s="14" t="n"/>
      <c r="I970" s="14" t="n"/>
      <c r="J970" s="14" t="n"/>
      <c r="K970" s="53" t="inlineStr"/>
      <c r="L970" s="53" t="inlineStr">
        <is>
          <t>Не определено</t>
        </is>
      </c>
      <c r="M970" s="53" t="inlineStr"/>
      <c r="N970" s="54" t="inlineStr"/>
      <c r="O970" s="55" t="inlineStr"/>
      <c r="P970" s="16" t="inlineStr">
        <is>
          <t>Требует обогащения</t>
        </is>
      </c>
      <c r="Q970" s="16">
        <f>HYPERLINK("https://pb.nalog.ru/search.html?query=5072005470","ФНС: проверить")</f>
        <v/>
      </c>
      <c r="R970" s="16">
        <f>HYPERLINK("https://checko.ru/search?query=3801001629","Чекко: проверить")</f>
        <v/>
      </c>
      <c r="S970" t="n">
        <v>1</v>
      </c>
      <c r="T970" s="35" t="inlineStr">
        <is>
          <t>4 — Не обогащён</t>
        </is>
      </c>
      <c r="U970" s="35" t="inlineStr">
        <is>
          <t>Нет ОКВЭД/ССЧР</t>
        </is>
      </c>
      <c r="V970" s="35" t="inlineStr">
        <is>
          <t>Не определено</t>
        </is>
      </c>
      <c r="W970" s="35" t="inlineStr"/>
      <c r="X970" s="35" t="inlineStr"/>
    </row>
    <row r="971" ht="15" customHeight="1" s="24">
      <c r="A971" s="13" t="n">
        <v>5000050128</v>
      </c>
      <c r="B971" s="13" t="inlineStr">
        <is>
          <t>МКОУ ИМЦ</t>
        </is>
      </c>
      <c r="C971" s="13" t="n">
        <v>5072725189</v>
      </c>
      <c r="D971" s="13" t="inlineStr">
        <is>
          <t>5072725189</t>
        </is>
      </c>
      <c r="E971" s="13" t="inlineStr">
        <is>
          <t>ЮЛ РФ</t>
        </is>
      </c>
      <c r="F971" s="13" t="n"/>
      <c r="G971" s="14" t="n"/>
      <c r="H971" s="14" t="n"/>
      <c r="I971" s="14" t="n"/>
      <c r="J971" s="14" t="n"/>
      <c r="K971" s="53" t="inlineStr"/>
      <c r="L971" s="53" t="inlineStr">
        <is>
          <t>Не определено</t>
        </is>
      </c>
      <c r="M971" s="53" t="inlineStr"/>
      <c r="N971" s="54" t="inlineStr"/>
      <c r="O971" s="55" t="inlineStr"/>
      <c r="P971" s="16" t="inlineStr">
        <is>
          <t>Требует обогащения</t>
        </is>
      </c>
      <c r="Q971" s="16">
        <f>HYPERLINK("https://pb.nalog.ru/search.html?query=5072725189","ФНС: проверить")</f>
        <v/>
      </c>
      <c r="R971" s="16">
        <f>HYPERLINK("https://checko.ru/search?query=3801001629","Чекко: проверить")</f>
        <v/>
      </c>
      <c r="S971" t="n">
        <v>1</v>
      </c>
      <c r="T971" s="35" t="inlineStr">
        <is>
          <t>4 — Не обогащён</t>
        </is>
      </c>
      <c r="U971" s="35" t="inlineStr">
        <is>
          <t>Нет ОКВЭД/ССЧР</t>
        </is>
      </c>
      <c r="V971" s="35" t="inlineStr">
        <is>
          <t>Не определено</t>
        </is>
      </c>
      <c r="W971" s="35" t="inlineStr"/>
      <c r="X971" s="35" t="inlineStr"/>
    </row>
    <row r="972" ht="15" customHeight="1" s="24">
      <c r="A972" s="13" t="n">
        <v>5000050130</v>
      </c>
      <c r="B972" s="13" t="inlineStr">
        <is>
          <t>МБУК "ГОЛОВАЧЕВСКИЙ ЦК "СОЗВЕЗДИЕ"</t>
        </is>
      </c>
      <c r="C972" s="13" t="n">
        <v>5072002574</v>
      </c>
      <c r="D972" s="13" t="inlineStr">
        <is>
          <t>5072002574</t>
        </is>
      </c>
      <c r="E972" s="13" t="inlineStr">
        <is>
          <t>ЮЛ РФ</t>
        </is>
      </c>
      <c r="F972" s="13" t="n"/>
      <c r="G972" s="14" t="n"/>
      <c r="H972" s="14" t="n"/>
      <c r="I972" s="14" t="n"/>
      <c r="J972" s="14" t="n"/>
      <c r="K972" s="53" t="inlineStr"/>
      <c r="L972" s="53" t="inlineStr">
        <is>
          <t>Не определено</t>
        </is>
      </c>
      <c r="M972" s="53" t="inlineStr"/>
      <c r="N972" s="54" t="inlineStr"/>
      <c r="O972" s="55" t="inlineStr"/>
      <c r="P972" s="16" t="inlineStr">
        <is>
          <t>Требует обогащения</t>
        </is>
      </c>
      <c r="Q972" s="16">
        <f>HYPERLINK("https://pb.nalog.ru/search.html?query=5072002574","ФНС: проверить")</f>
        <v/>
      </c>
      <c r="R972" s="16">
        <f>HYPERLINK("https://checko.ru/search?query=3801001629","Чекко: проверить")</f>
        <v/>
      </c>
      <c r="S972" t="n">
        <v>1</v>
      </c>
      <c r="T972" s="35" t="inlineStr">
        <is>
          <t>4 — Не обогащён</t>
        </is>
      </c>
      <c r="U972" s="35" t="inlineStr">
        <is>
          <t>Нет ОКВЭД/ССЧР</t>
        </is>
      </c>
      <c r="V972" s="35" t="inlineStr">
        <is>
          <t>Не определено</t>
        </is>
      </c>
      <c r="W972" s="35" t="inlineStr"/>
      <c r="X972" s="35" t="inlineStr"/>
    </row>
    <row r="973" ht="15" customHeight="1" s="24">
      <c r="A973" s="13" t="n">
        <v>5000050131</v>
      </c>
      <c r="B973" s="13" t="inlineStr">
        <is>
          <t>МБУ "ЦКД"ФРУКТОВАЯ"</t>
        </is>
      </c>
      <c r="C973" s="13" t="n">
        <v>5072724530</v>
      </c>
      <c r="D973" s="13" t="inlineStr">
        <is>
          <t>5072724530</t>
        </is>
      </c>
      <c r="E973" s="13" t="inlineStr">
        <is>
          <t>ЮЛ РФ</t>
        </is>
      </c>
      <c r="F973" s="13" t="n"/>
      <c r="G973" s="14" t="n"/>
      <c r="H973" s="14" t="n"/>
      <c r="I973" s="14" t="n"/>
      <c r="J973" s="14" t="n"/>
      <c r="K973" s="53" t="inlineStr"/>
      <c r="L973" s="53" t="inlineStr">
        <is>
          <t>Не определено</t>
        </is>
      </c>
      <c r="M973" s="53" t="inlineStr"/>
      <c r="N973" s="54" t="inlineStr"/>
      <c r="O973" s="55" t="inlineStr"/>
      <c r="P973" s="16" t="inlineStr">
        <is>
          <t>Требует обогащения</t>
        </is>
      </c>
      <c r="Q973" s="16">
        <f>HYPERLINK("https://pb.nalog.ru/search.html?query=5072724530","ФНС: проверить")</f>
        <v/>
      </c>
      <c r="R973" s="16">
        <f>HYPERLINK("https://checko.ru/search?query=3801001629","Чекко: проверить")</f>
        <v/>
      </c>
      <c r="S973" t="n">
        <v>1</v>
      </c>
      <c r="T973" s="35" t="inlineStr">
        <is>
          <t>4 — Не обогащён</t>
        </is>
      </c>
      <c r="U973" s="35" t="inlineStr">
        <is>
          <t>Нет ОКВЭД/ССЧР</t>
        </is>
      </c>
      <c r="V973" s="35" t="inlineStr">
        <is>
          <t>Не определено</t>
        </is>
      </c>
      <c r="W973" s="35" t="inlineStr"/>
      <c r="X973" s="35" t="inlineStr"/>
    </row>
    <row r="974" ht="15" customHeight="1" s="24">
      <c r="A974" s="13" t="n">
        <v>5000050132</v>
      </c>
      <c r="B974" s="13" t="inlineStr">
        <is>
          <t>МКУ ДО "ЦППМС"</t>
        </is>
      </c>
      <c r="C974" s="13" t="n">
        <v>5072001080</v>
      </c>
      <c r="D974" s="13" t="inlineStr">
        <is>
          <t>5072001080</t>
        </is>
      </c>
      <c r="E974" s="13" t="inlineStr">
        <is>
          <t>ЮЛ РФ</t>
        </is>
      </c>
      <c r="F974" s="13" t="n"/>
      <c r="G974" s="14" t="n"/>
      <c r="H974" s="14" t="n"/>
      <c r="I974" s="14" t="n"/>
      <c r="J974" s="14" t="n"/>
      <c r="K974" s="53" t="inlineStr"/>
      <c r="L974" s="53" t="inlineStr">
        <is>
          <t>Не определено</t>
        </is>
      </c>
      <c r="M974" s="53" t="inlineStr"/>
      <c r="N974" s="54" t="inlineStr"/>
      <c r="O974" s="55" t="inlineStr"/>
      <c r="P974" s="16" t="inlineStr">
        <is>
          <t>Требует обогащения</t>
        </is>
      </c>
      <c r="Q974" s="16">
        <f>HYPERLINK("https://pb.nalog.ru/search.html?query=5072001080","ФНС: проверить")</f>
        <v/>
      </c>
      <c r="R974" s="16">
        <f>HYPERLINK("https://checko.ru/search?query=3801001629","Чекко: проверить")</f>
        <v/>
      </c>
      <c r="S974" t="n">
        <v>1</v>
      </c>
      <c r="T974" s="35" t="inlineStr">
        <is>
          <t>4 — Не обогащён</t>
        </is>
      </c>
      <c r="U974" s="35" t="inlineStr">
        <is>
          <t>Нет ОКВЭД/ССЧР</t>
        </is>
      </c>
      <c r="V974" s="35" t="inlineStr">
        <is>
          <t>Не определено</t>
        </is>
      </c>
      <c r="W974" s="35" t="inlineStr"/>
      <c r="X974" s="35" t="inlineStr"/>
    </row>
    <row r="975" ht="15" customHeight="1" s="24">
      <c r="A975" s="13" t="n">
        <v>5000050133</v>
      </c>
      <c r="B975" s="13" t="inlineStr">
        <is>
          <t>МБУДО ЦРТД И Ю</t>
        </is>
      </c>
      <c r="C975" s="13" t="n">
        <v>5072713137</v>
      </c>
      <c r="D975" s="13" t="inlineStr">
        <is>
          <t>5072713137</t>
        </is>
      </c>
      <c r="E975" s="13" t="inlineStr">
        <is>
          <t>ЮЛ РФ</t>
        </is>
      </c>
      <c r="F975" s="13" t="n"/>
      <c r="G975" s="14" t="n"/>
      <c r="H975" s="14" t="n"/>
      <c r="I975" s="14" t="n"/>
      <c r="J975" s="14" t="n"/>
      <c r="K975" s="53" t="inlineStr"/>
      <c r="L975" s="53" t="inlineStr">
        <is>
          <t>Не определено</t>
        </is>
      </c>
      <c r="M975" s="53" t="inlineStr"/>
      <c r="N975" s="54" t="inlineStr"/>
      <c r="O975" s="55" t="inlineStr"/>
      <c r="P975" s="16" t="inlineStr">
        <is>
          <t>Требует обогащения</t>
        </is>
      </c>
      <c r="Q975" s="16">
        <f>HYPERLINK("https://pb.nalog.ru/search.html?query=5072713137","ФНС: проверить")</f>
        <v/>
      </c>
      <c r="R975" s="16">
        <f>HYPERLINK("https://checko.ru/search?query=3801001629","Чекко: проверить")</f>
        <v/>
      </c>
      <c r="S975" t="n">
        <v>1</v>
      </c>
      <c r="T975" s="35" t="inlineStr">
        <is>
          <t>4 — Не обогащён</t>
        </is>
      </c>
      <c r="U975" s="35" t="inlineStr">
        <is>
          <t>Нет ОКВЭД/ССЧР</t>
        </is>
      </c>
      <c r="V975" s="35" t="inlineStr">
        <is>
          <t>Не определено</t>
        </is>
      </c>
      <c r="W975" s="35" t="inlineStr"/>
      <c r="X975" s="35" t="inlineStr"/>
    </row>
    <row r="976" ht="27.75" customHeight="1" s="24">
      <c r="A976" s="13" t="n">
        <v>5000050134</v>
      </c>
      <c r="B976" s="13" t="inlineStr">
        <is>
          <t>МБОУ "БЕЛООМУТСКАЯ  СРЕДНЯЯ ОБЩЕОБРАЗОВАТЕЛЬНАЯ ШКОЛА  № 1"</t>
        </is>
      </c>
      <c r="C976" s="13" t="n">
        <v>5072713024</v>
      </c>
      <c r="D976" s="13" t="inlineStr">
        <is>
          <t>5072713024</t>
        </is>
      </c>
      <c r="E976" s="13" t="inlineStr">
        <is>
          <t>ЮЛ РФ</t>
        </is>
      </c>
      <c r="F976" s="13" t="n"/>
      <c r="G976" s="14" t="n"/>
      <c r="H976" s="14" t="n"/>
      <c r="I976" s="14" t="n"/>
      <c r="J976" s="14" t="n"/>
      <c r="K976" s="53" t="inlineStr"/>
      <c r="L976" s="53" t="inlineStr">
        <is>
          <t>Не определено</t>
        </is>
      </c>
      <c r="M976" s="53" t="inlineStr"/>
      <c r="N976" s="54" t="inlineStr"/>
      <c r="O976" s="55" t="inlineStr"/>
      <c r="P976" s="16" t="inlineStr">
        <is>
          <t>Требует обогащения</t>
        </is>
      </c>
      <c r="Q976" s="16">
        <f>HYPERLINK("https://pb.nalog.ru/search.html?query=5072713024","ФНС: проверить")</f>
        <v/>
      </c>
      <c r="R976" s="16">
        <f>HYPERLINK("https://checko.ru/search?query=3801001629","Чекко: проверить")</f>
        <v/>
      </c>
      <c r="S976" t="n">
        <v>1</v>
      </c>
      <c r="T976" s="35" t="inlineStr">
        <is>
          <t>4 — Не обогащён</t>
        </is>
      </c>
      <c r="U976" s="35" t="inlineStr">
        <is>
          <t>Нет ОКВЭД/ССЧР</t>
        </is>
      </c>
      <c r="V976" s="35" t="inlineStr">
        <is>
          <t>Не определено</t>
        </is>
      </c>
      <c r="W976" s="35" t="inlineStr"/>
      <c r="X976" s="35" t="inlineStr"/>
    </row>
    <row r="977" ht="27.75" customHeight="1" s="24">
      <c r="A977" s="13" t="n">
        <v>5000050135</v>
      </c>
      <c r="B977" s="13" t="inlineStr">
        <is>
          <t>МБОУ "ЛУХОВИЦКАЯ СРЕДНЯЯ ОБЩЕОБРАЗОВАТЕЛЬНАЯ ШКОЛА № 1"</t>
        </is>
      </c>
      <c r="C977" s="13" t="n">
        <v>5072713151</v>
      </c>
      <c r="D977" s="13" t="inlineStr">
        <is>
          <t>5072713151</t>
        </is>
      </c>
      <c r="E977" s="13" t="inlineStr">
        <is>
          <t>ЮЛ РФ</t>
        </is>
      </c>
      <c r="F977" s="13" t="n"/>
      <c r="G977" s="14" t="n"/>
      <c r="H977" s="14" t="n"/>
      <c r="I977" s="14" t="n"/>
      <c r="J977" s="14" t="n"/>
      <c r="K977" s="53" t="inlineStr"/>
      <c r="L977" s="53" t="inlineStr">
        <is>
          <t>Не определено</t>
        </is>
      </c>
      <c r="M977" s="53" t="inlineStr"/>
      <c r="N977" s="54" t="inlineStr"/>
      <c r="O977" s="55" t="inlineStr"/>
      <c r="P977" s="16" t="inlineStr">
        <is>
          <t>Требует обогащения</t>
        </is>
      </c>
      <c r="Q977" s="16">
        <f>HYPERLINK("https://pb.nalog.ru/search.html?query=5072713151","ФНС: проверить")</f>
        <v/>
      </c>
      <c r="R977" s="16">
        <f>HYPERLINK("https://checko.ru/search?query=3801001629","Чекко: проверить")</f>
        <v/>
      </c>
      <c r="S977" t="n">
        <v>1</v>
      </c>
      <c r="T977" s="35" t="inlineStr">
        <is>
          <t>4 — Не обогащён</t>
        </is>
      </c>
      <c r="U977" s="35" t="inlineStr">
        <is>
          <t>Нет ОКВЭД/ССЧР</t>
        </is>
      </c>
      <c r="V977" s="35" t="inlineStr">
        <is>
          <t>Не определено</t>
        </is>
      </c>
      <c r="W977" s="35" t="inlineStr"/>
      <c r="X977" s="35" t="inlineStr"/>
    </row>
    <row r="978" ht="27.75" customHeight="1" s="24">
      <c r="A978" s="13" t="n">
        <v>5000050138</v>
      </c>
      <c r="B978" s="13" t="inlineStr">
        <is>
          <t>МБОУ "ЛУХОВИЦКАЯ СРЕДНЯЯ ОБЩЕОБРАЗОВАТЕЛЬНАЯ ШКОЛА № 9"</t>
        </is>
      </c>
      <c r="C978" s="13" t="n">
        <v>5072713190</v>
      </c>
      <c r="D978" s="13" t="inlineStr">
        <is>
          <t>5072713190</t>
        </is>
      </c>
      <c r="E978" s="13" t="inlineStr">
        <is>
          <t>ЮЛ РФ</t>
        </is>
      </c>
      <c r="F978" s="13" t="n"/>
      <c r="G978" s="14" t="n"/>
      <c r="H978" s="14" t="n"/>
      <c r="I978" s="14" t="n"/>
      <c r="J978" s="14" t="n"/>
      <c r="K978" s="53" t="inlineStr"/>
      <c r="L978" s="53" t="inlineStr">
        <is>
          <t>Не определено</t>
        </is>
      </c>
      <c r="M978" s="53" t="inlineStr"/>
      <c r="N978" s="54" t="inlineStr"/>
      <c r="O978" s="55" t="inlineStr"/>
      <c r="P978" s="16" t="inlineStr">
        <is>
          <t>Требует обогащения</t>
        </is>
      </c>
      <c r="Q978" s="16">
        <f>HYPERLINK("https://pb.nalog.ru/search.html?query=5072713190","ФНС: проверить")</f>
        <v/>
      </c>
      <c r="R978" s="16">
        <f>HYPERLINK("https://checko.ru/search?query=3801001629","Чекко: проверить")</f>
        <v/>
      </c>
      <c r="S978" t="n">
        <v>1</v>
      </c>
      <c r="T978" s="35" t="inlineStr">
        <is>
          <t>4 — Не обогащён</t>
        </is>
      </c>
      <c r="U978" s="35" t="inlineStr">
        <is>
          <t>Нет ОКВЭД/ССЧР</t>
        </is>
      </c>
      <c r="V978" s="35" t="inlineStr">
        <is>
          <t>Не определено</t>
        </is>
      </c>
      <c r="W978" s="35" t="inlineStr"/>
      <c r="X978" s="35" t="inlineStr"/>
    </row>
    <row r="979" ht="41.25" customHeight="1" s="24">
      <c r="A979" s="13" t="n">
        <v>5000001686</v>
      </c>
      <c r="B979" s="13" t="inlineStr">
        <is>
          <t>ОБЛАСТНОЕ ГОСУДАРСТВЕННОЕ БЮДЖЕТНОЕ УЧРЕЖДЕНИЕ СОЦИАЛЬНОГО ОБСЛУЖИВАНИЯ "ПСИХОНЕВРОЛОГИЧЕСКИЙ ИНТЕРН</t>
        </is>
      </c>
      <c r="C979" s="13" t="n">
        <v>3835060679</v>
      </c>
      <c r="D979" s="13" t="inlineStr">
        <is>
          <t>3835060679</t>
        </is>
      </c>
      <c r="E979" s="13" t="inlineStr">
        <is>
          <t>ЮЛ РФ</t>
        </is>
      </c>
      <c r="F979" s="13" t="n"/>
      <c r="G979" s="14" t="n"/>
      <c r="H979" s="14" t="n"/>
      <c r="I979" s="14" t="n"/>
      <c r="J979" s="14" t="n"/>
      <c r="K979" s="53" t="inlineStr"/>
      <c r="L979" s="53" t="inlineStr">
        <is>
          <t>Не определено</t>
        </is>
      </c>
      <c r="M979" s="53" t="inlineStr"/>
      <c r="N979" s="54" t="inlineStr"/>
      <c r="O979" s="55" t="inlineStr"/>
      <c r="P979" s="16" t="inlineStr">
        <is>
          <t>Требует обогащения</t>
        </is>
      </c>
      <c r="Q979" s="16">
        <f>HYPERLINK("https://pb.nalog.ru/search.html?query=3835060679","ФНС: проверить")</f>
        <v/>
      </c>
      <c r="R979" s="16">
        <f>HYPERLINK("https://checko.ru/search?query=3801001629","Чекко: проверить")</f>
        <v/>
      </c>
      <c r="S979" t="n">
        <v>1</v>
      </c>
      <c r="T979" s="35" t="inlineStr">
        <is>
          <t>4 — Не обогащён</t>
        </is>
      </c>
      <c r="U979" s="35" t="inlineStr">
        <is>
          <t>Нет ОКВЭД/ССЧР</t>
        </is>
      </c>
      <c r="V979" s="35" t="inlineStr">
        <is>
          <t>Не определено</t>
        </is>
      </c>
      <c r="W979" s="35" t="inlineStr"/>
      <c r="X979" s="35" t="inlineStr"/>
    </row>
    <row r="980" ht="15" customHeight="1" s="24">
      <c r="A980" s="13" t="n">
        <v>5000050144</v>
      </c>
      <c r="B980" s="13" t="inlineStr">
        <is>
          <t>МБУДО "ДЕТСКАЯ ШКОЛА ИСКУССТВ"</t>
        </is>
      </c>
      <c r="C980" s="13" t="n">
        <v>5072724202</v>
      </c>
      <c r="D980" s="13" t="inlineStr">
        <is>
          <t>5072724202</t>
        </is>
      </c>
      <c r="E980" s="13" t="inlineStr">
        <is>
          <t>ЮЛ РФ</t>
        </is>
      </c>
      <c r="F980" s="13" t="n"/>
      <c r="G980" s="14" t="n"/>
      <c r="H980" s="14" t="n"/>
      <c r="I980" s="14" t="n"/>
      <c r="J980" s="14" t="n"/>
      <c r="K980" s="53" t="inlineStr"/>
      <c r="L980" s="53" t="inlineStr">
        <is>
          <t>Не определено</t>
        </is>
      </c>
      <c r="M980" s="53" t="inlineStr"/>
      <c r="N980" s="54" t="inlineStr"/>
      <c r="O980" s="55" t="inlineStr"/>
      <c r="P980" s="16" t="inlineStr">
        <is>
          <t>Требует обогащения</t>
        </is>
      </c>
      <c r="Q980" s="16">
        <f>HYPERLINK("https://pb.nalog.ru/search.html?query=5072724202","ФНС: проверить")</f>
        <v/>
      </c>
      <c r="R980" s="16">
        <f>HYPERLINK("https://checko.ru/search?query=3801001629","Чекко: проверить")</f>
        <v/>
      </c>
      <c r="S980" t="n">
        <v>1</v>
      </c>
      <c r="T980" s="35" t="inlineStr">
        <is>
          <t>4 — Не обогащён</t>
        </is>
      </c>
      <c r="U980" s="35" t="inlineStr">
        <is>
          <t>Нет ОКВЭД/ССЧР</t>
        </is>
      </c>
      <c r="V980" s="35" t="inlineStr">
        <is>
          <t>Не определено</t>
        </is>
      </c>
      <c r="W980" s="35" t="inlineStr"/>
      <c r="X980" s="35" t="inlineStr"/>
    </row>
    <row r="981" ht="27.75" customHeight="1" s="24">
      <c r="A981" s="13" t="n">
        <v>5000050145</v>
      </c>
      <c r="B981" s="13" t="inlineStr">
        <is>
          <t>МБОУ "КРАСНОПОЙМОВСКАЯ СРЕДНЯЯ ОБЩЕОБРАЗОВАТЕЛЬНАЯ ШКОЛА"</t>
        </is>
      </c>
      <c r="C981" s="13" t="n">
        <v>5072712951</v>
      </c>
      <c r="D981" s="13" t="inlineStr">
        <is>
          <t>5072712951</t>
        </is>
      </c>
      <c r="E981" s="13" t="inlineStr">
        <is>
          <t>ЮЛ РФ</t>
        </is>
      </c>
      <c r="F981" s="13" t="n"/>
      <c r="G981" s="14" t="n"/>
      <c r="H981" s="14" t="n"/>
      <c r="I981" s="14" t="n"/>
      <c r="J981" s="14" t="n"/>
      <c r="K981" s="53" t="inlineStr"/>
      <c r="L981" s="53" t="inlineStr">
        <is>
          <t>Не определено</t>
        </is>
      </c>
      <c r="M981" s="53" t="inlineStr"/>
      <c r="N981" s="54" t="inlineStr"/>
      <c r="O981" s="55" t="inlineStr"/>
      <c r="P981" s="16" t="inlineStr">
        <is>
          <t>Требует обогащения</t>
        </is>
      </c>
      <c r="Q981" s="16">
        <f>HYPERLINK("https://pb.nalog.ru/search.html?query=5072712951","ФНС: проверить")</f>
        <v/>
      </c>
      <c r="R981" s="16">
        <f>HYPERLINK("https://checko.ru/search?query=3801001629","Чекко: проверить")</f>
        <v/>
      </c>
      <c r="S981" t="n">
        <v>1</v>
      </c>
      <c r="T981" s="35" t="inlineStr">
        <is>
          <t>4 — Не обогащён</t>
        </is>
      </c>
      <c r="U981" s="35" t="inlineStr">
        <is>
          <t>Нет ОКВЭД/ССЧР</t>
        </is>
      </c>
      <c r="V981" s="35" t="inlineStr">
        <is>
          <t>Не определено</t>
        </is>
      </c>
      <c r="W981" s="35" t="inlineStr"/>
      <c r="X981" s="35" t="inlineStr"/>
    </row>
    <row r="982" ht="27.75" customHeight="1" s="24">
      <c r="A982" s="13" t="n">
        <v>5000050146</v>
      </c>
      <c r="B982" s="13" t="inlineStr">
        <is>
          <t>МКОУ "ЛОВЕЦКАЯ СРЕДНЯЯ ОБЩЕОБРАЗОВАТЕЛЬНАЯ ШКОЛА"</t>
        </is>
      </c>
      <c r="C982" s="13" t="n">
        <v>5072712990</v>
      </c>
      <c r="D982" s="13" t="inlineStr">
        <is>
          <t>5072712990</t>
        </is>
      </c>
      <c r="E982" s="13" t="inlineStr">
        <is>
          <t>ЮЛ РФ</t>
        </is>
      </c>
      <c r="F982" s="13" t="n"/>
      <c r="G982" s="14" t="n"/>
      <c r="H982" s="14" t="n"/>
      <c r="I982" s="14" t="n"/>
      <c r="J982" s="14" t="n"/>
      <c r="K982" s="53" t="inlineStr"/>
      <c r="L982" s="53" t="inlineStr">
        <is>
          <t>Не определено</t>
        </is>
      </c>
      <c r="M982" s="53" t="inlineStr"/>
      <c r="N982" s="54" t="inlineStr"/>
      <c r="O982" s="55" t="inlineStr"/>
      <c r="P982" s="16" t="inlineStr">
        <is>
          <t>Требует обогащения</t>
        </is>
      </c>
      <c r="Q982" s="16">
        <f>HYPERLINK("https://pb.nalog.ru/search.html?query=5072712990","ФНС: проверить")</f>
        <v/>
      </c>
      <c r="R982" s="16">
        <f>HYPERLINK("https://checko.ru/search?query=3801001629","Чекко: проверить")</f>
        <v/>
      </c>
      <c r="S982" t="n">
        <v>1</v>
      </c>
      <c r="T982" s="35" t="inlineStr">
        <is>
          <t>4 — Не обогащён</t>
        </is>
      </c>
      <c r="U982" s="35" t="inlineStr">
        <is>
          <t>Нет ОКВЭД/ССЧР</t>
        </is>
      </c>
      <c r="V982" s="35" t="inlineStr">
        <is>
          <t>Не определено</t>
        </is>
      </c>
      <c r="W982" s="35" t="inlineStr"/>
      <c r="X982" s="35" t="inlineStr"/>
    </row>
    <row r="983" ht="15" customHeight="1" s="24">
      <c r="A983" s="13" t="n">
        <v>5000050152</v>
      </c>
      <c r="B983" s="13" t="inlineStr">
        <is>
          <t>МБОУ "ФРУКТОВСКАЯ СОШ"</t>
        </is>
      </c>
      <c r="C983" s="13" t="n">
        <v>5072712937</v>
      </c>
      <c r="D983" s="13" t="inlineStr">
        <is>
          <t>5072712937</t>
        </is>
      </c>
      <c r="E983" s="13" t="inlineStr">
        <is>
          <t>ЮЛ РФ</t>
        </is>
      </c>
      <c r="F983" s="13" t="n"/>
      <c r="G983" s="14" t="n"/>
      <c r="H983" s="14" t="n"/>
      <c r="I983" s="14" t="n"/>
      <c r="J983" s="14" t="n"/>
      <c r="K983" s="53" t="inlineStr"/>
      <c r="L983" s="53" t="inlineStr">
        <is>
          <t>Не определено</t>
        </is>
      </c>
      <c r="M983" s="53" t="inlineStr"/>
      <c r="N983" s="54" t="inlineStr"/>
      <c r="O983" s="55" t="inlineStr"/>
      <c r="P983" s="16" t="inlineStr">
        <is>
          <t>Требует обогащения</t>
        </is>
      </c>
      <c r="Q983" s="16">
        <f>HYPERLINK("https://pb.nalog.ru/search.html?query=5072712937","ФНС: проверить")</f>
        <v/>
      </c>
      <c r="R983" s="16">
        <f>HYPERLINK("https://checko.ru/search?query=3801001629","Чекко: проверить")</f>
        <v/>
      </c>
      <c r="S983" t="n">
        <v>1</v>
      </c>
      <c r="T983" s="35" t="inlineStr">
        <is>
          <t>4 — Не обогащён</t>
        </is>
      </c>
      <c r="U983" s="35" t="inlineStr">
        <is>
          <t>Нет ОКВЭД/ССЧР</t>
        </is>
      </c>
      <c r="V983" s="35" t="inlineStr">
        <is>
          <t>Не определено</t>
        </is>
      </c>
      <c r="W983" s="35" t="inlineStr"/>
      <c r="X983" s="35" t="inlineStr"/>
    </row>
    <row r="984" ht="27.75" customHeight="1" s="24">
      <c r="A984" s="13" t="n">
        <v>5000050153</v>
      </c>
      <c r="B984" s="13" t="inlineStr">
        <is>
          <t>МБОУ "ДЕДИНОВСКАЯ ШКОЛА-ИНТЕРНАТ СРЕДНЕГО ОБЩЕГО ОБРАЗОВАНИЯ"</t>
        </is>
      </c>
      <c r="C984" s="13" t="n">
        <v>5072713105</v>
      </c>
      <c r="D984" s="13" t="inlineStr">
        <is>
          <t>5072713105</t>
        </is>
      </c>
      <c r="E984" s="13" t="inlineStr">
        <is>
          <t>ЮЛ РФ</t>
        </is>
      </c>
      <c r="F984" s="13" t="n"/>
      <c r="G984" s="14" t="n"/>
      <c r="H984" s="14" t="n"/>
      <c r="I984" s="14" t="n"/>
      <c r="J984" s="14" t="n"/>
      <c r="K984" s="53" t="inlineStr"/>
      <c r="L984" s="53" t="inlineStr">
        <is>
          <t>Не определено</t>
        </is>
      </c>
      <c r="M984" s="53" t="inlineStr"/>
      <c r="N984" s="54" t="inlineStr"/>
      <c r="O984" s="55" t="inlineStr"/>
      <c r="P984" s="16" t="inlineStr">
        <is>
          <t>Требует обогащения</t>
        </is>
      </c>
      <c r="Q984" s="16">
        <f>HYPERLINK("https://pb.nalog.ru/search.html?query=5072713105","ФНС: проверить")</f>
        <v/>
      </c>
      <c r="R984" s="16">
        <f>HYPERLINK("https://checko.ru/search?query=3801001629","Чекко: проверить")</f>
        <v/>
      </c>
      <c r="S984" t="n">
        <v>1</v>
      </c>
      <c r="T984" s="35" t="inlineStr">
        <is>
          <t>4 — Не обогащён</t>
        </is>
      </c>
      <c r="U984" s="35" t="inlineStr">
        <is>
          <t>Нет ОКВЭД/ССЧР</t>
        </is>
      </c>
      <c r="V984" s="35" t="inlineStr">
        <is>
          <t>Не определено</t>
        </is>
      </c>
      <c r="W984" s="35" t="inlineStr"/>
      <c r="X984" s="35" t="inlineStr"/>
    </row>
    <row r="985" ht="15" customHeight="1" s="24">
      <c r="A985" s="13" t="n">
        <v>5000067540</v>
      </c>
      <c r="B985" s="13" t="inlineStr">
        <is>
          <t>ОГАУ "СОЛ "СОКОЛ"</t>
        </is>
      </c>
      <c r="C985" s="13" t="n">
        <v>7309008304</v>
      </c>
      <c r="D985" s="13" t="inlineStr">
        <is>
          <t>7309008304</t>
        </is>
      </c>
      <c r="E985" s="13" t="inlineStr">
        <is>
          <t>ЮЛ РФ</t>
        </is>
      </c>
      <c r="F985" s="13" t="n"/>
      <c r="G985" s="14" t="n"/>
      <c r="H985" s="14" t="n"/>
      <c r="I985" s="14" t="n"/>
      <c r="J985" s="14" t="n"/>
      <c r="K985" s="53" t="inlineStr"/>
      <c r="L985" s="53" t="inlineStr">
        <is>
          <t>Не определено</t>
        </is>
      </c>
      <c r="M985" s="53" t="inlineStr"/>
      <c r="N985" s="54" t="inlineStr"/>
      <c r="O985" s="55" t="inlineStr"/>
      <c r="P985" s="16" t="inlineStr">
        <is>
          <t>Требует обогащения</t>
        </is>
      </c>
      <c r="Q985" s="16">
        <f>HYPERLINK("https://pb.nalog.ru/search.html?query=7309008304","ФНС: проверить")</f>
        <v/>
      </c>
      <c r="R985" s="16">
        <f>HYPERLINK("https://checko.ru/search?query=3801001629","Чекко: проверить")</f>
        <v/>
      </c>
      <c r="S985" t="n">
        <v>1</v>
      </c>
      <c r="T985" s="35" t="inlineStr">
        <is>
          <t>4 — Не обогащён</t>
        </is>
      </c>
      <c r="U985" s="35" t="inlineStr">
        <is>
          <t>Нет ОКВЭД/ССЧР</t>
        </is>
      </c>
      <c r="V985" s="35" t="inlineStr">
        <is>
          <t>Не определено</t>
        </is>
      </c>
      <c r="W985" s="35" t="inlineStr"/>
      <c r="X985" s="35" t="inlineStr"/>
    </row>
    <row r="986" ht="15" customHeight="1" s="24">
      <c r="A986" s="13" t="n">
        <v>5000094625</v>
      </c>
      <c r="B986" s="13" t="inlineStr">
        <is>
          <t>МДОУ "ДЕТСКИЙ САД № 2 "СОЛНЫШКО" ГП ТЕРЕК</t>
        </is>
      </c>
      <c r="C986" s="13" t="n">
        <v>705001620</v>
      </c>
      <c r="D986" s="13" t="n"/>
      <c r="E986" s="13" t="inlineStr">
        <is>
          <t>Не определён</t>
        </is>
      </c>
      <c r="F986" s="13" t="inlineStr">
        <is>
          <t>705001620</t>
        </is>
      </c>
      <c r="G986" s="14" t="n"/>
      <c r="H986" s="14" t="n"/>
      <c r="I986" s="14" t="n"/>
      <c r="J986" s="14" t="n"/>
      <c r="K986" s="13">
        <f>IF(G986="","",IF(G986&gt;=22,"Да","Нет"))</f>
        <v/>
      </c>
      <c r="L986" s="13">
        <f>IF(OR(I986="",J986=""),"Не определено",IF(OR(COUNTIF(I986,"45*")&gt;0,COUNTIF(J986,"*45*")&gt;0,COUNTIF(I986,"46*")&gt;0,COUNTIF(J986,"*46*")&gt;0,COUNTIF(I986,"47*")&gt;0,COUNTIF(J986,"*47*")&gt;0,COUNTIF(I986,"10*")&gt;0,COUNTIF(J986,"*10*")&gt;0,COUNTIF(I986,"11*")&gt;0,COUNTIF(J986,"*11*")&gt;0,COUNTIF(I986,"12*")&gt;0,COUNTIF(J986,"*12*")&gt;0,COUNTIF(I986,"13*")&gt;0,COUNTIF(J986,"*13*")&gt;0,COUNTIF(I986,"14*")&gt;0,COUNTIF(J986,"*14*")&gt;0,COUNTIF(I986,"15*")&gt;0,COUNTIF(J986,"*15*")&gt;0,COUNTIF(I986,"16*")&gt;0,COUNTIF(J986,"*16*")&gt;0,COUNTIF(I986,"17*")&gt;0,COUNTIF(J986,"*17*")&gt;0,COUNTIF(I986,"18*")&gt;0,COUNTIF(J986,"*18*")&gt;0,COUNTIF(I986,"19*")&gt;0,COUNTIF(J986,"*19*")&gt;0,COUNTIF(I986,"20*")&gt;0,COUNTIF(J986,"*20*")&gt;0,COUNTIF(I986,"21*")&gt;0,COUNTIF(J986,"*21*")&gt;0,COUNTIF(I986,"22*")&gt;0,COUNTIF(J986,"*22*")&gt;0,COUNTIF(I986,"23*")&gt;0,COUNTIF(J986,"*23*")&gt;0,COUNTIF(I986,"24*")&gt;0,COUNTIF(J986,"*24*")&gt;0,COUNTIF(I986,"25*")&gt;0,COUNTIF(J986,"*25*")&gt;0,COUNTIF(I986,"26*")&gt;0,COUNTIF(J986,"*26*")&gt;0,COUNTIF(I986,"27*")&gt;0,COUNTIF(J986,"*27*")&gt;0,COUNTIF(I986,"28*")&gt;0,COUNTIF(J986,"*28*")&gt;0,COUNTIF(I986,"29*")&gt;0,COUNTIF(J986,"*29*")&gt;0,COUNTIF(I986,"30*")&gt;0,COUNTIF(J986,"*30*")&gt;0,COUNTIF(I986,"31*")&gt;0,COUNTIF(J986,"*31*")&gt;0,COUNTIF(I986,"32*")&gt;0,COUNTIF(J986,"*32*")&gt;0,COUNTIF(I986,"33*")&gt;0,COUNTIF(J986,"*33*")&gt;0,COUNTIF(I986,"41*")&gt;0,COUNTIF(J986,"*41*")&gt;0,COUNTIF(I986,"42*")&gt;0,COUNTIF(J986,"*42*")&gt;0,COUNTIF(I986,"43*")&gt;0,COUNTIF(J986,"*43*")&gt;0,COUNTIF(I986,"49*")&gt;0,COUNTIF(J986,"*49*")&gt;0,COUNTIF(I986,"52*")&gt;0,COUNTIF(J986,"*52*")&gt;0,COUNTIF(I986,"55*")&gt;0,COUNTIF(J986,"*55*")&gt;0,COUNTIF(I986,"56*")&gt;0,COUNTIF(J986,"*56*")&gt;0,COUNTIF(I986,"68*")&gt;0,COUNTIF(J986,"*68*")&gt;0,COUNTIF(I986,"78*")&gt;0,COUNTIF(J986,"*78*")&gt;0,COUNTIF(I986,"81*")&gt;0,COUNTIF(J986,"*81*")&gt;0,COUNTIF(I986,"82*")&gt;0,COUNTIF(J986,"*82*")&gt;0,COUNTIF(I986,"64*")&gt;0,COUNTIF(J986,"*64*")&gt;0,COUNTIF(I986,"65*")&gt;0,COUNTIF(J986,"*65*")&gt;0,COUNTIF(I986,"66*")&gt;0,COUNTIF(J986,"*66*")&gt;0,COUNTIF(I986,"61*")&gt;0,COUNTIF(J986,"*61*")&gt;0,COUNTIF(I986,"62*")&gt;0,COUNTIF(J986,"*62*")&gt;0,COUNTIF(I986,"63*")&gt;0,COUNTIF(J986,"*63*")&gt;0,COUNTIF(I986,"85*")&gt;0,COUNTIF(J986,"*85*")&gt;0,COUNTIF(I986,"86*")&gt;0,COUNTIF(J986,"*86*")&gt;0),"Да","Нет"))</f>
        <v/>
      </c>
      <c r="M986" s="13">
        <f>IF(OR(G986="",L986&lt;&gt;"Да"),"",IF(G986&lt;=100,"До 100",IF(G986&lt;=200,"До 200",IF(G986&lt;=500,"До 500","Отдельное КП"))))</f>
        <v/>
      </c>
      <c r="N986" s="15">
        <f>IF(OR(G986="",L986&lt;&gt;"Да"),"",IF(G986&lt;=100,33600,IF(G986&lt;=200,62400,IF(G986&lt;=500,144000,""))))</f>
        <v/>
      </c>
      <c r="O986" s="16">
        <f>IF(G986="","",IF(G986&lt;=15,"1–15",IF(G986&lt;=30,"16–30",IF(G986&lt;=50,"31–50",IF(G986&lt;=100,"51–100",IF(G986&lt;=150,"101–150",IF(G986&lt;=200,"151–200",IF(G986&lt;=500,"201–500","500+"))))))))</f>
        <v/>
      </c>
      <c r="P986" s="16" t="inlineStr">
        <is>
          <t>Нет совпадения в предоставленной выгрузке ССЧР</t>
        </is>
      </c>
      <c r="Q986" s="16" t="n"/>
      <c r="R986" s="16">
        <f>HYPERLINK("https://checko.ru/search?query=3801001629","Чекко: проверить")</f>
        <v/>
      </c>
      <c r="S986" t="n">
        <v>0</v>
      </c>
    </row>
    <row r="987" ht="15" customHeight="1" s="24">
      <c r="A987" s="13" t="n">
        <v>5000001971</v>
      </c>
      <c r="B987" s="13" t="inlineStr">
        <is>
          <t>ОГБУЗ "ИГП № 11" Иркутск</t>
        </is>
      </c>
      <c r="C987" s="13" t="n">
        <v>3812014490</v>
      </c>
      <c r="D987" s="13" t="inlineStr">
        <is>
          <t>3812014490</t>
        </is>
      </c>
      <c r="E987" s="13" t="inlineStr">
        <is>
          <t>ЮЛ РФ</t>
        </is>
      </c>
      <c r="F987" s="13" t="n"/>
      <c r="G987" s="14" t="n"/>
      <c r="H987" s="14" t="n"/>
      <c r="I987" s="14" t="n"/>
      <c r="J987" s="14" t="n"/>
      <c r="K987" s="53" t="inlineStr"/>
      <c r="L987" s="53" t="inlineStr">
        <is>
          <t>Не определено</t>
        </is>
      </c>
      <c r="M987" s="53" t="inlineStr"/>
      <c r="N987" s="54" t="inlineStr"/>
      <c r="O987" s="55" t="inlineStr"/>
      <c r="P987" s="16" t="inlineStr">
        <is>
          <t>Требует обогащения</t>
        </is>
      </c>
      <c r="Q987" s="16">
        <f>HYPERLINK("https://pb.nalog.ru/search.html?query=3812014490","ФНС: проверить")</f>
        <v/>
      </c>
      <c r="R987" s="16">
        <f>HYPERLINK("https://checko.ru/search?query=3801001629","Чекко: проверить")</f>
        <v/>
      </c>
      <c r="S987" t="n">
        <v>1</v>
      </c>
      <c r="T987" s="35" t="inlineStr">
        <is>
          <t>4 — Не обогащён</t>
        </is>
      </c>
      <c r="U987" s="35" t="inlineStr">
        <is>
          <t>Нет ОКВЭД/ССЧР</t>
        </is>
      </c>
      <c r="V987" s="35" t="inlineStr">
        <is>
          <t>Не определено</t>
        </is>
      </c>
      <c r="W987" s="35" t="inlineStr"/>
      <c r="X987" s="35" t="inlineStr"/>
    </row>
    <row r="988" ht="15" customHeight="1" s="24">
      <c r="A988" s="13" t="n">
        <v>5000001936</v>
      </c>
      <c r="B988" s="13" t="inlineStr">
        <is>
          <t>Заларинский агропромышленный техникум</t>
        </is>
      </c>
      <c r="C988" s="13" t="n">
        <v>3825001508</v>
      </c>
      <c r="D988" s="13" t="inlineStr">
        <is>
          <t>3825001508</t>
        </is>
      </c>
      <c r="E988" s="13" t="inlineStr">
        <is>
          <t>ЮЛ РФ</t>
        </is>
      </c>
      <c r="F988" s="13" t="n"/>
      <c r="G988" s="14" t="n"/>
      <c r="H988" s="14" t="n"/>
      <c r="I988" s="14" t="n"/>
      <c r="J988" s="14" t="n"/>
      <c r="K988" s="53" t="inlineStr"/>
      <c r="L988" s="53" t="inlineStr">
        <is>
          <t>Не определено</t>
        </is>
      </c>
      <c r="M988" s="53" t="inlineStr"/>
      <c r="N988" s="54" t="inlineStr"/>
      <c r="O988" s="55" t="inlineStr"/>
      <c r="P988" s="16" t="inlineStr">
        <is>
          <t>Требует обогащения</t>
        </is>
      </c>
      <c r="Q988" s="16">
        <f>HYPERLINK("https://pb.nalog.ru/search.html?query=3825001508","ФНС: проверить")</f>
        <v/>
      </c>
      <c r="R988" s="16">
        <f>HYPERLINK("https://checko.ru/search?query=3801001629","Чекко: проверить")</f>
        <v/>
      </c>
      <c r="S988" t="n">
        <v>1</v>
      </c>
      <c r="T988" s="35" t="inlineStr">
        <is>
          <t>4 — Не обогащён</t>
        </is>
      </c>
      <c r="U988" s="35" t="inlineStr">
        <is>
          <t>Нет ОКВЭД/ССЧР</t>
        </is>
      </c>
      <c r="V988" s="35" t="inlineStr">
        <is>
          <t>Не определено</t>
        </is>
      </c>
      <c r="W988" s="35" t="inlineStr"/>
      <c r="X988" s="35" t="inlineStr"/>
    </row>
    <row r="989" ht="15" customHeight="1" s="24">
      <c r="A989" s="13" t="n">
        <v>5000038506</v>
      </c>
      <c r="B989" s="13" t="inlineStr">
        <is>
          <t>ОбГАУК «УльяновскКинофонд»</t>
        </is>
      </c>
      <c r="C989" s="13" t="n">
        <v>7303003860</v>
      </c>
      <c r="D989" s="13" t="inlineStr">
        <is>
          <t>7303003860</t>
        </is>
      </c>
      <c r="E989" s="13" t="inlineStr">
        <is>
          <t>ЮЛ РФ</t>
        </is>
      </c>
      <c r="F989" s="13" t="n"/>
      <c r="G989" s="14" t="n"/>
      <c r="H989" s="14" t="n"/>
      <c r="I989" s="14" t="n"/>
      <c r="J989" s="14" t="n"/>
      <c r="K989" s="53" t="inlineStr"/>
      <c r="L989" s="53" t="inlineStr">
        <is>
          <t>Не определено</t>
        </is>
      </c>
      <c r="M989" s="53" t="inlineStr"/>
      <c r="N989" s="54" t="inlineStr"/>
      <c r="O989" s="55" t="inlineStr"/>
      <c r="P989" s="16" t="inlineStr">
        <is>
          <t>Требует обогащения</t>
        </is>
      </c>
      <c r="Q989" s="16">
        <f>HYPERLINK("https://pb.nalog.ru/search.html?query=7303003860","ФНС: проверить")</f>
        <v/>
      </c>
      <c r="R989" s="16">
        <f>HYPERLINK("https://checko.ru/search?query=3801001629","Чекко: проверить")</f>
        <v/>
      </c>
      <c r="S989" t="n">
        <v>1</v>
      </c>
      <c r="T989" s="35" t="inlineStr">
        <is>
          <t>4 — Не обогащён</t>
        </is>
      </c>
      <c r="U989" s="35" t="inlineStr">
        <is>
          <t>Нет ОКВЭД/ССЧР</t>
        </is>
      </c>
      <c r="V989" s="35" t="inlineStr">
        <is>
          <t>Не определено</t>
        </is>
      </c>
      <c r="W989" s="35" t="inlineStr"/>
      <c r="X989" s="35" t="inlineStr"/>
    </row>
    <row r="990" ht="15" customHeight="1" s="24">
      <c r="A990" s="13" t="n">
        <v>5000038522</v>
      </c>
      <c r="B990" s="13" t="inlineStr">
        <is>
          <t>МОУ ДОД ДЮСШ №10</t>
        </is>
      </c>
      <c r="C990" s="13" t="n">
        <v>7325034750</v>
      </c>
      <c r="D990" s="13" t="inlineStr">
        <is>
          <t>7325034750</t>
        </is>
      </c>
      <c r="E990" s="13" t="inlineStr">
        <is>
          <t>ЮЛ РФ</t>
        </is>
      </c>
      <c r="F990" s="13" t="n"/>
      <c r="G990" s="14" t="n"/>
      <c r="H990" s="14" t="n"/>
      <c r="I990" s="14" t="n"/>
      <c r="J990" s="14" t="n"/>
      <c r="K990" s="53" t="inlineStr"/>
      <c r="L990" s="53" t="inlineStr">
        <is>
          <t>Не определено</t>
        </is>
      </c>
      <c r="M990" s="53" t="inlineStr"/>
      <c r="N990" s="54" t="inlineStr"/>
      <c r="O990" s="55" t="inlineStr"/>
      <c r="P990" s="16" t="inlineStr">
        <is>
          <t>Требует обогащения</t>
        </is>
      </c>
      <c r="Q990" s="16">
        <f>HYPERLINK("https://pb.nalog.ru/search.html?query=7325034750","ФНС: проверить")</f>
        <v/>
      </c>
      <c r="R990" s="16">
        <f>HYPERLINK("https://checko.ru/search?query=3801001629","Чекко: проверить")</f>
        <v/>
      </c>
      <c r="S990" t="n">
        <v>1</v>
      </c>
      <c r="T990" s="35" t="inlineStr">
        <is>
          <t>4 — Не обогащён</t>
        </is>
      </c>
      <c r="U990" s="35" t="inlineStr">
        <is>
          <t>Нет ОКВЭД/ССЧР</t>
        </is>
      </c>
      <c r="V990" s="35" t="inlineStr">
        <is>
          <t>Не определено</t>
        </is>
      </c>
      <c r="W990" s="35" t="inlineStr"/>
      <c r="X990" s="35" t="inlineStr"/>
    </row>
    <row r="991" ht="15" customHeight="1" s="24">
      <c r="A991" s="13" t="n">
        <v>5000106210</v>
      </c>
      <c r="B991" s="13" t="inlineStr">
        <is>
          <t>ГБУ "Северное лесничество"</t>
        </is>
      </c>
      <c r="C991" s="13" t="n">
        <v>5645000153</v>
      </c>
      <c r="D991" s="13" t="inlineStr">
        <is>
          <t>5645000153</t>
        </is>
      </c>
      <c r="E991" s="13" t="inlineStr">
        <is>
          <t>ЮЛ РФ</t>
        </is>
      </c>
      <c r="F991" s="13" t="n"/>
      <c r="G991" s="14" t="n"/>
      <c r="H991" s="14" t="n"/>
      <c r="I991" s="14" t="n"/>
      <c r="J991" s="14" t="n"/>
      <c r="K991" s="53" t="inlineStr"/>
      <c r="L991" s="53" t="inlineStr">
        <is>
          <t>Не определено</t>
        </is>
      </c>
      <c r="M991" s="53" t="inlineStr"/>
      <c r="N991" s="54" t="inlineStr"/>
      <c r="O991" s="55" t="inlineStr"/>
      <c r="P991" s="16" t="inlineStr">
        <is>
          <t>Требует обогащения</t>
        </is>
      </c>
      <c r="Q991" s="16">
        <f>HYPERLINK("https://pb.nalog.ru/search.html?query=5645000153","ФНС: проверить")</f>
        <v/>
      </c>
      <c r="R991" s="16">
        <f>HYPERLINK("https://checko.ru/search?query=3801001629","Чекко: проверить")</f>
        <v/>
      </c>
      <c r="S991" t="n">
        <v>1</v>
      </c>
      <c r="T991" s="35" t="inlineStr">
        <is>
          <t>4 — Не обогащён</t>
        </is>
      </c>
      <c r="U991" s="35" t="inlineStr">
        <is>
          <t>Нет ОКВЭД/ССЧР</t>
        </is>
      </c>
      <c r="V991" s="35" t="inlineStr">
        <is>
          <t>Не определено</t>
        </is>
      </c>
      <c r="W991" s="35" t="inlineStr"/>
      <c r="X991" s="35" t="inlineStr"/>
    </row>
    <row r="992" ht="27.75" customHeight="1" s="24">
      <c r="A992" s="13" t="n">
        <v>5000001348</v>
      </c>
      <c r="B992" s="13" t="inlineStr">
        <is>
          <t>Ангарский техникум рекламы и промышленных технологий</t>
        </is>
      </c>
      <c r="C992" s="13" t="n">
        <v>3801029600</v>
      </c>
      <c r="D992" s="13" t="inlineStr">
        <is>
          <t>3801029600</t>
        </is>
      </c>
      <c r="E992" s="13" t="inlineStr">
        <is>
          <t>ЮЛ РФ</t>
        </is>
      </c>
      <c r="F992" s="13" t="n"/>
      <c r="G992" s="14" t="n"/>
      <c r="H992" s="14" t="n"/>
      <c r="I992" s="14" t="n"/>
      <c r="J992" s="14" t="n"/>
      <c r="K992" s="53" t="inlineStr"/>
      <c r="L992" s="53" t="inlineStr">
        <is>
          <t>Не определено</t>
        </is>
      </c>
      <c r="M992" s="53" t="inlineStr"/>
      <c r="N992" s="54" t="inlineStr"/>
      <c r="O992" s="55" t="inlineStr"/>
      <c r="P992" s="16" t="inlineStr">
        <is>
          <t>Требует обогащения</t>
        </is>
      </c>
      <c r="Q992" s="16">
        <f>HYPERLINK("https://pb.nalog.ru/search.html?query=3801029600","ФНС: проверить")</f>
        <v/>
      </c>
      <c r="R992" s="16">
        <f>HYPERLINK("https://checko.ru/search?query=3801001629","Чекко: проверить")</f>
        <v/>
      </c>
      <c r="S992" t="n">
        <v>1</v>
      </c>
      <c r="T992" s="35" t="inlineStr">
        <is>
          <t>4 — Не обогащён</t>
        </is>
      </c>
      <c r="U992" s="35" t="inlineStr">
        <is>
          <t>Нет ОКВЭД/ССЧР</t>
        </is>
      </c>
      <c r="V992" s="35" t="inlineStr">
        <is>
          <t>Не определено</t>
        </is>
      </c>
      <c r="W992" s="35" t="inlineStr"/>
      <c r="X992" s="35" t="inlineStr"/>
    </row>
    <row r="993" ht="15" customHeight="1" s="24">
      <c r="A993" s="13" t="n">
        <v>5000119014</v>
      </c>
      <c r="B993" s="13" t="inlineStr">
        <is>
          <t>МКУ "РИТУАЛ"</t>
        </is>
      </c>
      <c r="C993" s="13" t="n">
        <v>5072004300</v>
      </c>
      <c r="D993" s="13" t="inlineStr">
        <is>
          <t>5072004300</t>
        </is>
      </c>
      <c r="E993" s="13" t="inlineStr">
        <is>
          <t>ЮЛ РФ</t>
        </is>
      </c>
      <c r="F993" s="13" t="n"/>
      <c r="G993" s="14" t="n"/>
      <c r="H993" s="14" t="n"/>
      <c r="I993" s="14" t="n"/>
      <c r="J993" s="14" t="n"/>
      <c r="K993" s="53" t="inlineStr"/>
      <c r="L993" s="53" t="inlineStr">
        <is>
          <t>Не определено</t>
        </is>
      </c>
      <c r="M993" s="53" t="inlineStr"/>
      <c r="N993" s="54" t="inlineStr"/>
      <c r="O993" s="55" t="inlineStr"/>
      <c r="P993" s="16" t="inlineStr">
        <is>
          <t>Требует обогащения</t>
        </is>
      </c>
      <c r="Q993" s="16">
        <f>HYPERLINK("https://pb.nalog.ru/search.html?query=5072004300","ФНС: проверить")</f>
        <v/>
      </c>
      <c r="R993" s="16">
        <f>HYPERLINK("https://checko.ru/search?query=3801001629","Чекко: проверить")</f>
        <v/>
      </c>
      <c r="S993" t="n">
        <v>1</v>
      </c>
      <c r="T993" s="35" t="inlineStr">
        <is>
          <t>4 — Не обогащён</t>
        </is>
      </c>
      <c r="U993" s="35" t="inlineStr">
        <is>
          <t>Нет ОКВЭД/ССЧР</t>
        </is>
      </c>
      <c r="V993" s="35" t="inlineStr">
        <is>
          <t>Не определено</t>
        </is>
      </c>
      <c r="W993" s="35" t="inlineStr"/>
      <c r="X993" s="35" t="inlineStr"/>
    </row>
    <row r="994" ht="27.75" customHeight="1" s="24">
      <c r="A994" s="13" t="n">
        <v>5000062557</v>
      </c>
      <c r="B994" s="13" t="inlineStr">
        <is>
          <t>Социально-оздоровительный центр г. Новоульяновск</t>
        </is>
      </c>
      <c r="C994" s="13" t="n">
        <v>7321318616</v>
      </c>
      <c r="D994" s="13" t="inlineStr">
        <is>
          <t>7321318616</t>
        </is>
      </c>
      <c r="E994" s="13" t="inlineStr">
        <is>
          <t>ЮЛ РФ</t>
        </is>
      </c>
      <c r="F994" s="13" t="n"/>
      <c r="G994" s="14" t="n"/>
      <c r="H994" s="14" t="n"/>
      <c r="I994" s="14" t="n"/>
      <c r="J994" s="14" t="n"/>
      <c r="K994" s="53" t="inlineStr"/>
      <c r="L994" s="53" t="inlineStr">
        <is>
          <t>Не определено</t>
        </is>
      </c>
      <c r="M994" s="53" t="inlineStr"/>
      <c r="N994" s="54" t="inlineStr"/>
      <c r="O994" s="55" t="inlineStr"/>
      <c r="P994" s="16" t="inlineStr">
        <is>
          <t>Требует обогащения</t>
        </is>
      </c>
      <c r="Q994" s="16">
        <f>HYPERLINK("https://pb.nalog.ru/search.html?query=7321318616","ФНС: проверить")</f>
        <v/>
      </c>
      <c r="R994" s="16">
        <f>HYPERLINK("https://checko.ru/search?query=3801001629","Чекко: проверить")</f>
        <v/>
      </c>
      <c r="S994" t="n">
        <v>1</v>
      </c>
      <c r="T994" s="35" t="inlineStr">
        <is>
          <t>4 — Не обогащён</t>
        </is>
      </c>
      <c r="U994" s="35" t="inlineStr">
        <is>
          <t>Нет ОКВЭД/ССЧР</t>
        </is>
      </c>
      <c r="V994" s="35" t="inlineStr">
        <is>
          <t>Не определено</t>
        </is>
      </c>
      <c r="W994" s="35" t="inlineStr"/>
      <c r="X994" s="35" t="inlineStr"/>
    </row>
    <row r="995" ht="54.75" customHeight="1" s="24">
      <c r="A995" s="13" t="n">
        <v>5000028265</v>
      </c>
      <c r="B995" s="13" t="inlineStr">
        <is>
          <t>Муниципальное казенное учреждение муниципального округа Луховицы Московской области "Централизованная бухгалтерия муниципальных учреждений"</t>
        </is>
      </c>
      <c r="C995" s="13" t="n">
        <v>5072724763</v>
      </c>
      <c r="D995" s="13" t="inlineStr">
        <is>
          <t>5072724763</t>
        </is>
      </c>
      <c r="E995" s="13" t="inlineStr">
        <is>
          <t>ЮЛ РФ</t>
        </is>
      </c>
      <c r="F995" s="13" t="n"/>
      <c r="G995" s="14" t="n"/>
      <c r="H995" s="14" t="n"/>
      <c r="I995" s="14" t="n"/>
      <c r="J995" s="14" t="n"/>
      <c r="K995" s="53" t="inlineStr"/>
      <c r="L995" s="53" t="inlineStr">
        <is>
          <t>Не определено</t>
        </is>
      </c>
      <c r="M995" s="53" t="inlineStr"/>
      <c r="N995" s="54" t="inlineStr"/>
      <c r="O995" s="55" t="inlineStr"/>
      <c r="P995" s="16" t="inlineStr">
        <is>
          <t>Требует обогащения</t>
        </is>
      </c>
      <c r="Q995" s="16">
        <f>HYPERLINK("https://pb.nalog.ru/search.html?query=5072724763","ФНС: проверить")</f>
        <v/>
      </c>
      <c r="R995" s="16">
        <f>HYPERLINK("https://checko.ru/search?query=3801001629","Чекко: проверить")</f>
        <v/>
      </c>
      <c r="S995" t="n">
        <v>1</v>
      </c>
      <c r="T995" s="35" t="inlineStr">
        <is>
          <t>4 — Не обогащён</t>
        </is>
      </c>
      <c r="U995" s="35" t="inlineStr">
        <is>
          <t>Нет ОКВЭД/ССЧР</t>
        </is>
      </c>
      <c r="V995" s="35" t="inlineStr">
        <is>
          <t>Не определено</t>
        </is>
      </c>
      <c r="W995" s="35" t="inlineStr"/>
      <c r="X995" s="35" t="inlineStr"/>
    </row>
    <row r="996" ht="27.75" customHeight="1" s="24">
      <c r="A996" s="13" t="n">
        <v>5000094977</v>
      </c>
      <c r="B996" s="13" t="inlineStr">
        <is>
          <t>ГОУ СПО КБ ТТК (КАБАРДИНО-БАЛКАРСКИЙ ТОРГОВО-ТЕХНОЛОГИЧЕСКИЙ КОЛЛЕДЖ" )</t>
        </is>
      </c>
      <c r="C996" s="13" t="n">
        <v>711033483</v>
      </c>
      <c r="D996" s="13" t="n"/>
      <c r="E996" s="13" t="inlineStr">
        <is>
          <t>Не определён</t>
        </is>
      </c>
      <c r="F996" s="13" t="inlineStr">
        <is>
          <t>711033483</t>
        </is>
      </c>
      <c r="G996" s="14" t="n"/>
      <c r="H996" s="14" t="n"/>
      <c r="I996" s="14" t="n"/>
      <c r="J996" s="14" t="n"/>
      <c r="K996" s="13">
        <f>IF(G996="","",IF(G996&gt;=22,"Да","Нет"))</f>
        <v/>
      </c>
      <c r="L996" s="13">
        <f>IF(OR(I996="",J996=""),"Не определено",IF(OR(COUNTIF(I996,"45*")&gt;0,COUNTIF(J996,"*45*")&gt;0,COUNTIF(I996,"46*")&gt;0,COUNTIF(J996,"*46*")&gt;0,COUNTIF(I996,"47*")&gt;0,COUNTIF(J996,"*47*")&gt;0,COUNTIF(I996,"10*")&gt;0,COUNTIF(J996,"*10*")&gt;0,COUNTIF(I996,"11*")&gt;0,COUNTIF(J996,"*11*")&gt;0,COUNTIF(I996,"12*")&gt;0,COUNTIF(J996,"*12*")&gt;0,COUNTIF(I996,"13*")&gt;0,COUNTIF(J996,"*13*")&gt;0,COUNTIF(I996,"14*")&gt;0,COUNTIF(J996,"*14*")&gt;0,COUNTIF(I996,"15*")&gt;0,COUNTIF(J996,"*15*")&gt;0,COUNTIF(I996,"16*")&gt;0,COUNTIF(J996,"*16*")&gt;0,COUNTIF(I996,"17*")&gt;0,COUNTIF(J996,"*17*")&gt;0,COUNTIF(I996,"18*")&gt;0,COUNTIF(J996,"*18*")&gt;0,COUNTIF(I996,"19*")&gt;0,COUNTIF(J996,"*19*")&gt;0,COUNTIF(I996,"20*")&gt;0,COUNTIF(J996,"*20*")&gt;0,COUNTIF(I996,"21*")&gt;0,COUNTIF(J996,"*21*")&gt;0,COUNTIF(I996,"22*")&gt;0,COUNTIF(J996,"*22*")&gt;0,COUNTIF(I996,"23*")&gt;0,COUNTIF(J996,"*23*")&gt;0,COUNTIF(I996,"24*")&gt;0,COUNTIF(J996,"*24*")&gt;0,COUNTIF(I996,"25*")&gt;0,COUNTIF(J996,"*25*")&gt;0,COUNTIF(I996,"26*")&gt;0,COUNTIF(J996,"*26*")&gt;0,COUNTIF(I996,"27*")&gt;0,COUNTIF(J996,"*27*")&gt;0,COUNTIF(I996,"28*")&gt;0,COUNTIF(J996,"*28*")&gt;0,COUNTIF(I996,"29*")&gt;0,COUNTIF(J996,"*29*")&gt;0,COUNTIF(I996,"30*")&gt;0,COUNTIF(J996,"*30*")&gt;0,COUNTIF(I996,"31*")&gt;0,COUNTIF(J996,"*31*")&gt;0,COUNTIF(I996,"32*")&gt;0,COUNTIF(J996,"*32*")&gt;0,COUNTIF(I996,"33*")&gt;0,COUNTIF(J996,"*33*")&gt;0,COUNTIF(I996,"41*")&gt;0,COUNTIF(J996,"*41*")&gt;0,COUNTIF(I996,"42*")&gt;0,COUNTIF(J996,"*42*")&gt;0,COUNTIF(I996,"43*")&gt;0,COUNTIF(J996,"*43*")&gt;0,COUNTIF(I996,"49*")&gt;0,COUNTIF(J996,"*49*")&gt;0,COUNTIF(I996,"52*")&gt;0,COUNTIF(J996,"*52*")&gt;0,COUNTIF(I996,"55*")&gt;0,COUNTIF(J996,"*55*")&gt;0,COUNTIF(I996,"56*")&gt;0,COUNTIF(J996,"*56*")&gt;0,COUNTIF(I996,"68*")&gt;0,COUNTIF(J996,"*68*")&gt;0,COUNTIF(I996,"78*")&gt;0,COUNTIF(J996,"*78*")&gt;0,COUNTIF(I996,"81*")&gt;0,COUNTIF(J996,"*81*")&gt;0,COUNTIF(I996,"82*")&gt;0,COUNTIF(J996,"*82*")&gt;0,COUNTIF(I996,"64*")&gt;0,COUNTIF(J996,"*64*")&gt;0,COUNTIF(I996,"65*")&gt;0,COUNTIF(J996,"*65*")&gt;0,COUNTIF(I996,"66*")&gt;0,COUNTIF(J996,"*66*")&gt;0,COUNTIF(I996,"61*")&gt;0,COUNTIF(J996,"*61*")&gt;0,COUNTIF(I996,"62*")&gt;0,COUNTIF(J996,"*62*")&gt;0,COUNTIF(I996,"63*")&gt;0,COUNTIF(J996,"*63*")&gt;0,COUNTIF(I996,"85*")&gt;0,COUNTIF(J996,"*85*")&gt;0,COUNTIF(I996,"86*")&gt;0,COUNTIF(J996,"*86*")&gt;0),"Да","Нет"))</f>
        <v/>
      </c>
      <c r="M996" s="13">
        <f>IF(OR(G996="",L996&lt;&gt;"Да"),"",IF(G996&lt;=100,"До 100",IF(G996&lt;=200,"До 200",IF(G996&lt;=500,"До 500","Отдельное КП"))))</f>
        <v/>
      </c>
      <c r="N996" s="15">
        <f>IF(OR(G996="",L996&lt;&gt;"Да"),"",IF(G996&lt;=100,33600,IF(G996&lt;=200,62400,IF(G996&lt;=500,144000,""))))</f>
        <v/>
      </c>
      <c r="O996" s="16">
        <f>IF(G996="","",IF(G996&lt;=15,"1–15",IF(G996&lt;=30,"16–30",IF(G996&lt;=50,"31–50",IF(G996&lt;=100,"51–100",IF(G996&lt;=150,"101–150",IF(G996&lt;=200,"151–200",IF(G996&lt;=500,"201–500","500+"))))))))</f>
        <v/>
      </c>
      <c r="P996" s="16" t="inlineStr">
        <is>
          <t>Нет совпадения в предоставленной выгрузке ССЧР</t>
        </is>
      </c>
      <c r="Q996" s="16" t="n"/>
      <c r="R996" s="16">
        <f>HYPERLINK("https://checko.ru/search?query=3801001629","Чекко: проверить")</f>
        <v/>
      </c>
      <c r="S996" t="n">
        <v>0</v>
      </c>
    </row>
    <row r="997" ht="15" customHeight="1" s="24">
      <c r="A997" s="13" t="n">
        <v>5000060627</v>
      </c>
      <c r="B997" s="13" t="inlineStr">
        <is>
          <t>ОГУ Центр развития образования</t>
        </is>
      </c>
      <c r="C997" s="13" t="n">
        <v>7325080474</v>
      </c>
      <c r="D997" s="13" t="inlineStr">
        <is>
          <t>7325080474</t>
        </is>
      </c>
      <c r="E997" s="13" t="inlineStr">
        <is>
          <t>ЮЛ РФ</t>
        </is>
      </c>
      <c r="F997" s="13" t="n"/>
      <c r="G997" s="14" t="n"/>
      <c r="H997" s="14" t="n"/>
      <c r="I997" s="14" t="n"/>
      <c r="J997" s="14" t="n"/>
      <c r="K997" s="53" t="inlineStr"/>
      <c r="L997" s="53" t="inlineStr">
        <is>
          <t>Не определено</t>
        </is>
      </c>
      <c r="M997" s="53" t="inlineStr"/>
      <c r="N997" s="54" t="inlineStr"/>
      <c r="O997" s="55" t="inlineStr"/>
      <c r="P997" s="16" t="inlineStr">
        <is>
          <t>Требует обогащения</t>
        </is>
      </c>
      <c r="Q997" s="16">
        <f>HYPERLINK("https://pb.nalog.ru/search.html?query=7325080474","ФНС: проверить")</f>
        <v/>
      </c>
      <c r="R997" s="16">
        <f>HYPERLINK("https://checko.ru/search?query=3801001629","Чекко: проверить")</f>
        <v/>
      </c>
      <c r="S997" t="n">
        <v>1</v>
      </c>
      <c r="T997" s="35" t="inlineStr">
        <is>
          <t>4 — Не обогащён</t>
        </is>
      </c>
      <c r="U997" s="35" t="inlineStr">
        <is>
          <t>Нет ОКВЭД/ССЧР</t>
        </is>
      </c>
      <c r="V997" s="35" t="inlineStr">
        <is>
          <t>Не определено</t>
        </is>
      </c>
      <c r="W997" s="35" t="inlineStr"/>
      <c r="X997" s="35" t="inlineStr"/>
    </row>
    <row r="998" ht="41.25" customHeight="1" s="24">
      <c r="A998" s="13" t="n">
        <v>5000106080</v>
      </c>
      <c r="B998" s="13" t="inlineStr">
        <is>
          <t>ГОСУДАРСТВЕННОЕ БЮДЖЕТНОЕ УЧРЕЖДЕНИЕ ЗДРАВООХРАНЕНИЯ "АБДУЛИНСКАЯ МЕЖРАЙОННАЯ БОЛЬНИЦА"</t>
        </is>
      </c>
      <c r="C998" s="13" t="n">
        <v>5601022311</v>
      </c>
      <c r="D998" s="13" t="inlineStr">
        <is>
          <t>5601022311</t>
        </is>
      </c>
      <c r="E998" s="13" t="inlineStr">
        <is>
          <t>ЮЛ РФ</t>
        </is>
      </c>
      <c r="F998" s="13" t="n"/>
      <c r="G998" s="14" t="n"/>
      <c r="H998" s="14" t="n"/>
      <c r="I998" s="14" t="n"/>
      <c r="J998" s="14" t="n"/>
      <c r="K998" s="53" t="inlineStr"/>
      <c r="L998" s="53" t="inlineStr">
        <is>
          <t>Не определено</t>
        </is>
      </c>
      <c r="M998" s="53" t="inlineStr"/>
      <c r="N998" s="54" t="inlineStr"/>
      <c r="O998" s="55" t="inlineStr"/>
      <c r="P998" s="16" t="inlineStr">
        <is>
          <t>Требует обогащения</t>
        </is>
      </c>
      <c r="Q998" s="16">
        <f>HYPERLINK("https://pb.nalog.ru/search.html?query=5601022311","ФНС: проверить")</f>
        <v/>
      </c>
      <c r="R998" s="16">
        <f>HYPERLINK("https://checko.ru/search?query=3801001629","Чекко: проверить")</f>
        <v/>
      </c>
      <c r="S998" t="n">
        <v>1</v>
      </c>
      <c r="T998" s="35" t="inlineStr">
        <is>
          <t>4 — Не обогащён</t>
        </is>
      </c>
      <c r="U998" s="35" t="inlineStr">
        <is>
          <t>Нет ОКВЭД/ССЧР</t>
        </is>
      </c>
      <c r="V998" s="35" t="inlineStr">
        <is>
          <t>Не определено</t>
        </is>
      </c>
      <c r="W998" s="35" t="inlineStr"/>
      <c r="X998" s="35" t="inlineStr"/>
    </row>
    <row r="999" ht="41.25" customHeight="1" s="24">
      <c r="A999" s="13" t="n">
        <v>5000001566</v>
      </c>
      <c r="B999" s="13" t="inlineStr">
        <is>
          <t>ГОСУДАРСТВЕННОЕ БЮДЖЕТНОЕ УЧРЕЖДЕНИЕ ЗДРАВООХРАНЕНИЯ "ИРКУТСКАЯ ОБЛАСТНАЯ СТАНЦИЯ ПЕРЕЛИВАНИЯ КРОВИ"</t>
        </is>
      </c>
      <c r="C999" s="13" t="n">
        <v>3811030650</v>
      </c>
      <c r="D999" s="13" t="inlineStr">
        <is>
          <t>3811030650</t>
        </is>
      </c>
      <c r="E999" s="13" t="inlineStr">
        <is>
          <t>ЮЛ РФ</t>
        </is>
      </c>
      <c r="F999" s="13" t="n"/>
      <c r="G999" s="14" t="n"/>
      <c r="H999" s="14" t="n"/>
      <c r="I999" s="14" t="n"/>
      <c r="J999" s="14" t="n"/>
      <c r="K999" s="53" t="inlineStr"/>
      <c r="L999" s="53" t="inlineStr">
        <is>
          <t>Не определено</t>
        </is>
      </c>
      <c r="M999" s="53" t="inlineStr"/>
      <c r="N999" s="54" t="inlineStr"/>
      <c r="O999" s="55" t="inlineStr"/>
      <c r="P999" s="16" t="inlineStr">
        <is>
          <t>Требует обогащения</t>
        </is>
      </c>
      <c r="Q999" s="16">
        <f>HYPERLINK("https://pb.nalog.ru/search.html?query=3811030650","ФНС: проверить")</f>
        <v/>
      </c>
      <c r="R999" s="16">
        <f>HYPERLINK("https://checko.ru/search?query=3801001629","Чекко: проверить")</f>
        <v/>
      </c>
      <c r="S999" t="n">
        <v>1</v>
      </c>
      <c r="T999" s="35" t="inlineStr">
        <is>
          <t>4 — Не обогащён</t>
        </is>
      </c>
      <c r="U999" s="35" t="inlineStr">
        <is>
          <t>Нет ОКВЭД/ССЧР</t>
        </is>
      </c>
      <c r="V999" s="35" t="inlineStr">
        <is>
          <t>Не определено</t>
        </is>
      </c>
      <c r="W999" s="35" t="inlineStr"/>
      <c r="X999" s="35" t="inlineStr"/>
    </row>
    <row r="1000" ht="27.75" customHeight="1" s="24">
      <c r="A1000" s="13" t="n">
        <v>5000062559</v>
      </c>
      <c r="B1000" s="13" t="inlineStr">
        <is>
          <t>ОбГАУ социального обслуживания "Геронтологический центр в г.Ульяновске"</t>
        </is>
      </c>
      <c r="C1000" s="13" t="n">
        <v>7328028659</v>
      </c>
      <c r="D1000" s="13" t="inlineStr">
        <is>
          <t>7328028659</t>
        </is>
      </c>
      <c r="E1000" s="13" t="inlineStr">
        <is>
          <t>ЮЛ РФ</t>
        </is>
      </c>
      <c r="F1000" s="13" t="n"/>
      <c r="G1000" s="14" t="n"/>
      <c r="H1000" s="14" t="n"/>
      <c r="I1000" s="14" t="n"/>
      <c r="J1000" s="14" t="n"/>
      <c r="K1000" s="53" t="inlineStr"/>
      <c r="L1000" s="53" t="inlineStr">
        <is>
          <t>Не определено</t>
        </is>
      </c>
      <c r="M1000" s="53" t="inlineStr"/>
      <c r="N1000" s="54" t="inlineStr"/>
      <c r="O1000" s="55" t="inlineStr"/>
      <c r="P1000" s="16" t="inlineStr">
        <is>
          <t>Требует обогащения</t>
        </is>
      </c>
      <c r="Q1000" s="16">
        <f>HYPERLINK("https://pb.nalog.ru/search.html?query=7328028659","ФНС: проверить")</f>
        <v/>
      </c>
      <c r="R1000" s="16">
        <f>HYPERLINK("https://checko.ru/search?query=3801001629","Чекко: проверить")</f>
        <v/>
      </c>
      <c r="S1000" t="n">
        <v>1</v>
      </c>
      <c r="T1000" s="35" t="inlineStr">
        <is>
          <t>4 — Не обогащён</t>
        </is>
      </c>
      <c r="U1000" s="35" t="inlineStr">
        <is>
          <t>Нет ОКВЭД/ССЧР</t>
        </is>
      </c>
      <c r="V1000" s="35" t="inlineStr">
        <is>
          <t>Не определено</t>
        </is>
      </c>
      <c r="W1000" s="35" t="inlineStr"/>
      <c r="X1000" s="35" t="inlineStr"/>
    </row>
    <row r="1001" ht="27.75" customHeight="1" s="24">
      <c r="A1001" s="13" t="n">
        <v>5000062591</v>
      </c>
      <c r="B1001" s="13" t="inlineStr">
        <is>
          <t>ГУЗ «Областной клинический кожно-венерологический диспансер»</t>
        </is>
      </c>
      <c r="C1001" s="13" t="n">
        <v>7303018962</v>
      </c>
      <c r="D1001" s="13" t="inlineStr">
        <is>
          <t>7303018962</t>
        </is>
      </c>
      <c r="E1001" s="13" t="inlineStr">
        <is>
          <t>ЮЛ РФ</t>
        </is>
      </c>
      <c r="F1001" s="13" t="n"/>
      <c r="G1001" s="14" t="n"/>
      <c r="H1001" s="14" t="n"/>
      <c r="I1001" s="14" t="n"/>
      <c r="J1001" s="14" t="n"/>
      <c r="K1001" s="53" t="inlineStr"/>
      <c r="L1001" s="53" t="inlineStr">
        <is>
          <t>Не определено</t>
        </is>
      </c>
      <c r="M1001" s="53" t="inlineStr"/>
      <c r="N1001" s="54" t="inlineStr"/>
      <c r="O1001" s="55" t="inlineStr"/>
      <c r="P1001" s="16" t="inlineStr">
        <is>
          <t>Требует обогащения</t>
        </is>
      </c>
      <c r="Q1001" s="16">
        <f>HYPERLINK("https://pb.nalog.ru/search.html?query=7303018962","ФНС: проверить")</f>
        <v/>
      </c>
      <c r="R1001" s="16">
        <f>HYPERLINK("https://checko.ru/search?query=3801001629","Чекко: проверить")</f>
        <v/>
      </c>
      <c r="S1001" t="n">
        <v>1</v>
      </c>
      <c r="T1001" s="35" t="inlineStr">
        <is>
          <t>4 — Не обогащён</t>
        </is>
      </c>
      <c r="U1001" s="35" t="inlineStr">
        <is>
          <t>Нет ОКВЭД/ССЧР</t>
        </is>
      </c>
      <c r="V1001" s="35" t="inlineStr">
        <is>
          <t>Не определено</t>
        </is>
      </c>
      <c r="W1001" s="35" t="inlineStr"/>
      <c r="X1001" s="35" t="inlineStr"/>
    </row>
    <row r="1002" ht="27.75" customHeight="1" s="24">
      <c r="A1002" s="13" t="n">
        <v>5000116686</v>
      </c>
      <c r="B1002" s="13" t="inlineStr">
        <is>
          <t>МБУ «Одинцовское городское хозяйство» городского поселения Одинцово</t>
        </is>
      </c>
      <c r="C1002" s="13" t="n">
        <v>5032229579</v>
      </c>
      <c r="D1002" s="13" t="inlineStr">
        <is>
          <t>5032229579</t>
        </is>
      </c>
      <c r="E1002" s="13" t="inlineStr">
        <is>
          <t>ЮЛ РФ</t>
        </is>
      </c>
      <c r="F1002" s="13" t="n"/>
      <c r="G1002" s="14" t="n"/>
      <c r="H1002" s="14" t="n"/>
      <c r="I1002" s="14" t="n"/>
      <c r="J1002" s="14" t="n"/>
      <c r="K1002" s="53" t="inlineStr"/>
      <c r="L1002" s="53" t="inlineStr">
        <is>
          <t>Не определено</t>
        </is>
      </c>
      <c r="M1002" s="53" t="inlineStr"/>
      <c r="N1002" s="54" t="inlineStr"/>
      <c r="O1002" s="55" t="inlineStr"/>
      <c r="P1002" s="16" t="inlineStr">
        <is>
          <t>Требует обогащения</t>
        </is>
      </c>
      <c r="Q1002" s="16">
        <f>HYPERLINK("https://pb.nalog.ru/search.html?query=5032229579","ФНС: проверить")</f>
        <v/>
      </c>
      <c r="R1002" s="16">
        <f>HYPERLINK("https://checko.ru/search?query=3801001629","Чекко: проверить")</f>
        <v/>
      </c>
      <c r="S1002" t="n">
        <v>1</v>
      </c>
      <c r="T1002" s="35" t="inlineStr">
        <is>
          <t>4 — Не обогащён</t>
        </is>
      </c>
      <c r="U1002" s="35" t="inlineStr">
        <is>
          <t>Нет ОКВЭД/ССЧР</t>
        </is>
      </c>
      <c r="V1002" s="35" t="inlineStr">
        <is>
          <t>Не определено</t>
        </is>
      </c>
      <c r="W1002" s="35" t="inlineStr"/>
      <c r="X1002" s="35" t="inlineStr"/>
    </row>
    <row r="1003" ht="15" customHeight="1" s="24">
      <c r="A1003" s="13" t="n">
        <v>5000001439</v>
      </c>
      <c r="B1003" s="13" t="inlineStr">
        <is>
          <t>ОГКОУ ДОД ИСДЮСШОР</t>
        </is>
      </c>
      <c r="C1003" s="13" t="n">
        <v>3808016600</v>
      </c>
      <c r="D1003" s="13" t="inlineStr">
        <is>
          <t>3808016600</t>
        </is>
      </c>
      <c r="E1003" s="13" t="inlineStr">
        <is>
          <t>ЮЛ РФ</t>
        </is>
      </c>
      <c r="F1003" s="13" t="n"/>
      <c r="G1003" s="14" t="n"/>
      <c r="H1003" s="14" t="n"/>
      <c r="I1003" s="14" t="n"/>
      <c r="J1003" s="14" t="n"/>
      <c r="K1003" s="53" t="inlineStr"/>
      <c r="L1003" s="53" t="inlineStr">
        <is>
          <t>Не определено</t>
        </is>
      </c>
      <c r="M1003" s="53" t="inlineStr"/>
      <c r="N1003" s="54" t="inlineStr"/>
      <c r="O1003" s="55" t="inlineStr"/>
      <c r="P1003" s="16" t="inlineStr">
        <is>
          <t>Требует обогащения</t>
        </is>
      </c>
      <c r="Q1003" s="16">
        <f>HYPERLINK("https://pb.nalog.ru/search.html?query=3808016600","ФНС: проверить")</f>
        <v/>
      </c>
      <c r="R1003" s="16">
        <f>HYPERLINK("https://checko.ru/search?query=3801001629","Чекко: проверить")</f>
        <v/>
      </c>
      <c r="S1003" t="n">
        <v>1</v>
      </c>
      <c r="T1003" s="35" t="inlineStr">
        <is>
          <t>4 — Не обогащён</t>
        </is>
      </c>
      <c r="U1003" s="35" t="inlineStr">
        <is>
          <t>Нет ОКВЭД/ССЧР</t>
        </is>
      </c>
      <c r="V1003" s="35" t="inlineStr">
        <is>
          <t>Не определено</t>
        </is>
      </c>
      <c r="W1003" s="35" t="inlineStr"/>
      <c r="X1003" s="35" t="inlineStr"/>
    </row>
    <row r="1004" ht="54.75" customHeight="1" s="24">
      <c r="A1004" s="13" t="n">
        <v>5000001484</v>
      </c>
      <c r="B1004" s="13" t="inlineStr">
        <is>
          <t>Иркутское областное государственное научно-исследовательское казенное учреждение "Институт законодательства и правовой информации имени М.М.Сперанског</t>
        </is>
      </c>
      <c r="C1004" s="13" t="n">
        <v>3808127116</v>
      </c>
      <c r="D1004" s="13" t="inlineStr">
        <is>
          <t>3808127116</t>
        </is>
      </c>
      <c r="E1004" s="13" t="inlineStr">
        <is>
          <t>ЮЛ РФ</t>
        </is>
      </c>
      <c r="F1004" s="13" t="n"/>
      <c r="G1004" s="14" t="n"/>
      <c r="H1004" s="14" t="n"/>
      <c r="I1004" s="14" t="n"/>
      <c r="J1004" s="14" t="n"/>
      <c r="K1004" s="53" t="inlineStr"/>
      <c r="L1004" s="53" t="inlineStr">
        <is>
          <t>Не определено</t>
        </is>
      </c>
      <c r="M1004" s="53" t="inlineStr"/>
      <c r="N1004" s="54" t="inlineStr"/>
      <c r="O1004" s="55" t="inlineStr"/>
      <c r="P1004" s="16" t="inlineStr">
        <is>
          <t>Требует обогащения</t>
        </is>
      </c>
      <c r="Q1004" s="16">
        <f>HYPERLINK("https://pb.nalog.ru/search.html?query=3808127116","ФНС: проверить")</f>
        <v/>
      </c>
      <c r="R1004" s="16">
        <f>HYPERLINK("https://checko.ru/search?query=3801001629","Чекко: проверить")</f>
        <v/>
      </c>
      <c r="S1004" t="n">
        <v>1</v>
      </c>
      <c r="T1004" s="35" t="inlineStr">
        <is>
          <t>4 — Не обогащён</t>
        </is>
      </c>
      <c r="U1004" s="35" t="inlineStr">
        <is>
          <t>Нет ОКВЭД/ССЧР</t>
        </is>
      </c>
      <c r="V1004" s="35" t="inlineStr">
        <is>
          <t>Не определено</t>
        </is>
      </c>
      <c r="W1004" s="35" t="inlineStr"/>
      <c r="X1004" s="35" t="inlineStr"/>
    </row>
    <row r="1005" ht="27.75" customHeight="1" s="24">
      <c r="A1005" s="13" t="n">
        <v>5000106090</v>
      </c>
      <c r="B1005" s="13" t="inlineStr">
        <is>
          <t>ГАОУ СПО "Новотроицкий строительный техникум"</t>
        </is>
      </c>
      <c r="C1005" s="13" t="n">
        <v>5607006877</v>
      </c>
      <c r="D1005" s="13" t="inlineStr">
        <is>
          <t>5607006877</t>
        </is>
      </c>
      <c r="E1005" s="13" t="inlineStr">
        <is>
          <t>ЮЛ РФ</t>
        </is>
      </c>
      <c r="F1005" s="13" t="n"/>
      <c r="G1005" s="14" t="n"/>
      <c r="H1005" s="14" t="n"/>
      <c r="I1005" s="14" t="n"/>
      <c r="J1005" s="14" t="n"/>
      <c r="K1005" s="53" t="inlineStr"/>
      <c r="L1005" s="53" t="inlineStr">
        <is>
          <t>Не определено</t>
        </is>
      </c>
      <c r="M1005" s="53" t="inlineStr"/>
      <c r="N1005" s="54" t="inlineStr"/>
      <c r="O1005" s="55" t="inlineStr"/>
      <c r="P1005" s="16" t="inlineStr">
        <is>
          <t>Требует обогащения</t>
        </is>
      </c>
      <c r="Q1005" s="16">
        <f>HYPERLINK("https://pb.nalog.ru/search.html?query=5607006877","ФНС: проверить")</f>
        <v/>
      </c>
      <c r="R1005" s="16">
        <f>HYPERLINK("https://checko.ru/search?query=3801001629","Чекко: проверить")</f>
        <v/>
      </c>
      <c r="S1005" t="n">
        <v>1</v>
      </c>
      <c r="T1005" s="35" t="inlineStr">
        <is>
          <t>4 — Не обогащён</t>
        </is>
      </c>
      <c r="U1005" s="35" t="inlineStr">
        <is>
          <t>Нет ОКВЭД/ССЧР</t>
        </is>
      </c>
      <c r="V1005" s="35" t="inlineStr">
        <is>
          <t>Не определено</t>
        </is>
      </c>
      <c r="W1005" s="35" t="inlineStr"/>
      <c r="X1005" s="35" t="inlineStr"/>
    </row>
    <row r="1006" ht="15" customHeight="1" s="24">
      <c r="A1006" s="13" t="n">
        <v>5000060600</v>
      </c>
      <c r="B1006" s="13" t="inlineStr">
        <is>
          <t>ОГБУСО "КЦСО в р.п. Павловка"</t>
        </is>
      </c>
      <c r="C1006" s="13" t="n">
        <v>7314000565</v>
      </c>
      <c r="D1006" s="13" t="inlineStr">
        <is>
          <t>7314000565</t>
        </is>
      </c>
      <c r="E1006" s="13" t="inlineStr">
        <is>
          <t>ЮЛ РФ</t>
        </is>
      </c>
      <c r="F1006" s="13" t="n"/>
      <c r="G1006" s="14" t="n"/>
      <c r="H1006" s="14" t="n"/>
      <c r="I1006" s="14" t="n"/>
      <c r="J1006" s="14" t="n"/>
      <c r="K1006" s="53" t="inlineStr"/>
      <c r="L1006" s="53" t="inlineStr">
        <is>
          <t>Не определено</t>
        </is>
      </c>
      <c r="M1006" s="53" t="inlineStr"/>
      <c r="N1006" s="54" t="inlineStr"/>
      <c r="O1006" s="55" t="inlineStr"/>
      <c r="P1006" s="16" t="inlineStr">
        <is>
          <t>Требует обогащения</t>
        </is>
      </c>
      <c r="Q1006" s="16">
        <f>HYPERLINK("https://pb.nalog.ru/search.html?query=7314000565","ФНС: проверить")</f>
        <v/>
      </c>
      <c r="R1006" s="16">
        <f>HYPERLINK("https://checko.ru/search?query=3801001629","Чекко: проверить")</f>
        <v/>
      </c>
      <c r="S1006" t="n">
        <v>1</v>
      </c>
      <c r="T1006" s="35" t="inlineStr">
        <is>
          <t>4 — Не обогащён</t>
        </is>
      </c>
      <c r="U1006" s="35" t="inlineStr">
        <is>
          <t>Нет ОКВЭД/ССЧР</t>
        </is>
      </c>
      <c r="V1006" s="35" t="inlineStr">
        <is>
          <t>Не определено</t>
        </is>
      </c>
      <c r="W1006" s="35" t="inlineStr"/>
      <c r="X1006" s="35" t="inlineStr"/>
    </row>
    <row r="1007" ht="27.75" customHeight="1" s="24">
      <c r="A1007" s="13" t="n">
        <v>5000106181</v>
      </c>
      <c r="B1007" s="13" t="inlineStr">
        <is>
          <t>ГБУ "Центр пожаротушения и охраны лесов Оренбургской области"</t>
        </is>
      </c>
      <c r="C1007" s="13" t="n">
        <v>5610140512</v>
      </c>
      <c r="D1007" s="13" t="inlineStr">
        <is>
          <t>5610140512</t>
        </is>
      </c>
      <c r="E1007" s="13" t="inlineStr">
        <is>
          <t>ЮЛ РФ</t>
        </is>
      </c>
      <c r="F1007" s="13" t="n"/>
      <c r="G1007" s="14" t="n"/>
      <c r="H1007" s="14" t="n"/>
      <c r="I1007" s="14" t="n"/>
      <c r="J1007" s="14" t="n"/>
      <c r="K1007" s="53" t="inlineStr"/>
      <c r="L1007" s="53" t="inlineStr">
        <is>
          <t>Не определено</t>
        </is>
      </c>
      <c r="M1007" s="53" t="inlineStr"/>
      <c r="N1007" s="54" t="inlineStr"/>
      <c r="O1007" s="55" t="inlineStr"/>
      <c r="P1007" s="16" t="inlineStr">
        <is>
          <t>Требует обогащения</t>
        </is>
      </c>
      <c r="Q1007" s="16">
        <f>HYPERLINK("https://pb.nalog.ru/search.html?query=5610140512","ФНС: проверить")</f>
        <v/>
      </c>
      <c r="R1007" s="16">
        <f>HYPERLINK("https://checko.ru/search?query=3801001629","Чекко: проверить")</f>
        <v/>
      </c>
      <c r="S1007" t="n">
        <v>1</v>
      </c>
      <c r="T1007" s="35" t="inlineStr">
        <is>
          <t>4 — Не обогащён</t>
        </is>
      </c>
      <c r="U1007" s="35" t="inlineStr">
        <is>
          <t>Нет ОКВЭД/ССЧР</t>
        </is>
      </c>
      <c r="V1007" s="35" t="inlineStr">
        <is>
          <t>Не определено</t>
        </is>
      </c>
      <c r="W1007" s="35" t="inlineStr"/>
      <c r="X1007" s="35" t="inlineStr"/>
    </row>
    <row r="1008" ht="41.25" customHeight="1" s="24">
      <c r="A1008" s="13" t="n">
        <v>5000001728</v>
      </c>
      <c r="B1008" s="13" t="inlineStr">
        <is>
          <t>ОГБУ СО "Реабилитационный центр для детей и подростков с ограниченными возможностями "Сосновая горка"</t>
        </is>
      </c>
      <c r="C1008" s="13" t="n">
        <v>3826000232</v>
      </c>
      <c r="D1008" s="13" t="inlineStr">
        <is>
          <t>3826000232</t>
        </is>
      </c>
      <c r="E1008" s="13" t="inlineStr">
        <is>
          <t>ЮЛ РФ</t>
        </is>
      </c>
      <c r="F1008" s="13" t="n"/>
      <c r="G1008" s="14" t="n"/>
      <c r="H1008" s="14" t="n"/>
      <c r="I1008" s="14" t="n"/>
      <c r="J1008" s="14" t="n"/>
      <c r="K1008" s="53" t="inlineStr"/>
      <c r="L1008" s="53" t="inlineStr">
        <is>
          <t>Не определено</t>
        </is>
      </c>
      <c r="M1008" s="53" t="inlineStr"/>
      <c r="N1008" s="54" t="inlineStr"/>
      <c r="O1008" s="55" t="inlineStr"/>
      <c r="P1008" s="16" t="inlineStr">
        <is>
          <t>Требует обогащения</t>
        </is>
      </c>
      <c r="Q1008" s="16">
        <f>HYPERLINK("https://pb.nalog.ru/search.html?query=3826000232","ФНС: проверить")</f>
        <v/>
      </c>
      <c r="R1008" s="16">
        <f>HYPERLINK("https://checko.ru/search?query=3801001629","Чекко: проверить")</f>
        <v/>
      </c>
      <c r="S1008" t="n">
        <v>1</v>
      </c>
      <c r="T1008" s="35" t="inlineStr">
        <is>
          <t>4 — Не обогащён</t>
        </is>
      </c>
      <c r="U1008" s="35" t="inlineStr">
        <is>
          <t>Нет ОКВЭД/ССЧР</t>
        </is>
      </c>
      <c r="V1008" s="35" t="inlineStr">
        <is>
          <t>Не определено</t>
        </is>
      </c>
      <c r="W1008" s="35" t="inlineStr"/>
      <c r="X1008" s="35" t="inlineStr"/>
    </row>
    <row r="1009" ht="15" customHeight="1" s="24">
      <c r="A1009" s="13" t="n">
        <v>5000094967</v>
      </c>
      <c r="B1009" s="13" t="inlineStr">
        <is>
          <t>ГУ КВУ МК КБР</t>
        </is>
      </c>
      <c r="C1009" s="13" t="n">
        <v>711001410</v>
      </c>
      <c r="D1009" s="13" t="n"/>
      <c r="E1009" s="13" t="inlineStr">
        <is>
          <t>Не определён</t>
        </is>
      </c>
      <c r="F1009" s="13" t="inlineStr">
        <is>
          <t>711001410</t>
        </is>
      </c>
      <c r="G1009" s="14" t="n"/>
      <c r="H1009" s="14" t="n"/>
      <c r="I1009" s="14" t="n"/>
      <c r="J1009" s="14" t="n"/>
      <c r="K1009" s="13">
        <f>IF(G1009="","",IF(G1009&gt;=22,"Да","Нет"))</f>
        <v/>
      </c>
      <c r="L1009" s="13">
        <f>IF(OR(I1009="",J1009=""),"Не определено",IF(OR(COUNTIF(I1009,"45*")&gt;0,COUNTIF(J1009,"*45*")&gt;0,COUNTIF(I1009,"46*")&gt;0,COUNTIF(J1009,"*46*")&gt;0,COUNTIF(I1009,"47*")&gt;0,COUNTIF(J1009,"*47*")&gt;0,COUNTIF(I1009,"10*")&gt;0,COUNTIF(J1009,"*10*")&gt;0,COUNTIF(I1009,"11*")&gt;0,COUNTIF(J1009,"*11*")&gt;0,COUNTIF(I1009,"12*")&gt;0,COUNTIF(J1009,"*12*")&gt;0,COUNTIF(I1009,"13*")&gt;0,COUNTIF(J1009,"*13*")&gt;0,COUNTIF(I1009,"14*")&gt;0,COUNTIF(J1009,"*14*")&gt;0,COUNTIF(I1009,"15*")&gt;0,COUNTIF(J1009,"*15*")&gt;0,COUNTIF(I1009,"16*")&gt;0,COUNTIF(J1009,"*16*")&gt;0,COUNTIF(I1009,"17*")&gt;0,COUNTIF(J1009,"*17*")&gt;0,COUNTIF(I1009,"18*")&gt;0,COUNTIF(J1009,"*18*")&gt;0,COUNTIF(I1009,"19*")&gt;0,COUNTIF(J1009,"*19*")&gt;0,COUNTIF(I1009,"20*")&gt;0,COUNTIF(J1009,"*20*")&gt;0,COUNTIF(I1009,"21*")&gt;0,COUNTIF(J1009,"*21*")&gt;0,COUNTIF(I1009,"22*")&gt;0,COUNTIF(J1009,"*22*")&gt;0,COUNTIF(I1009,"23*")&gt;0,COUNTIF(J1009,"*23*")&gt;0,COUNTIF(I1009,"24*")&gt;0,COUNTIF(J1009,"*24*")&gt;0,COUNTIF(I1009,"25*")&gt;0,COUNTIF(J1009,"*25*")&gt;0,COUNTIF(I1009,"26*")&gt;0,COUNTIF(J1009,"*26*")&gt;0,COUNTIF(I1009,"27*")&gt;0,COUNTIF(J1009,"*27*")&gt;0,COUNTIF(I1009,"28*")&gt;0,COUNTIF(J1009,"*28*")&gt;0,COUNTIF(I1009,"29*")&gt;0,COUNTIF(J1009,"*29*")&gt;0,COUNTIF(I1009,"30*")&gt;0,COUNTIF(J1009,"*30*")&gt;0,COUNTIF(I1009,"31*")&gt;0,COUNTIF(J1009,"*31*")&gt;0,COUNTIF(I1009,"32*")&gt;0,COUNTIF(J1009,"*32*")&gt;0,COUNTIF(I1009,"33*")&gt;0,COUNTIF(J1009,"*33*")&gt;0,COUNTIF(I1009,"41*")&gt;0,COUNTIF(J1009,"*41*")&gt;0,COUNTIF(I1009,"42*")&gt;0,COUNTIF(J1009,"*42*")&gt;0,COUNTIF(I1009,"43*")&gt;0,COUNTIF(J1009,"*43*")&gt;0,COUNTIF(I1009,"49*")&gt;0,COUNTIF(J1009,"*49*")&gt;0,COUNTIF(I1009,"52*")&gt;0,COUNTIF(J1009,"*52*")&gt;0,COUNTIF(I1009,"55*")&gt;0,COUNTIF(J1009,"*55*")&gt;0,COUNTIF(I1009,"56*")&gt;0,COUNTIF(J1009,"*56*")&gt;0,COUNTIF(I1009,"68*")&gt;0,COUNTIF(J1009,"*68*")&gt;0,COUNTIF(I1009,"78*")&gt;0,COUNTIF(J1009,"*78*")&gt;0,COUNTIF(I1009,"81*")&gt;0,COUNTIF(J1009,"*81*")&gt;0,COUNTIF(I1009,"82*")&gt;0,COUNTIF(J1009,"*82*")&gt;0,COUNTIF(I1009,"64*")&gt;0,COUNTIF(J1009,"*64*")&gt;0,COUNTIF(I1009,"65*")&gt;0,COUNTIF(J1009,"*65*")&gt;0,COUNTIF(I1009,"66*")&gt;0,COUNTIF(J1009,"*66*")&gt;0,COUNTIF(I1009,"61*")&gt;0,COUNTIF(J1009,"*61*")&gt;0,COUNTIF(I1009,"62*")&gt;0,COUNTIF(J1009,"*62*")&gt;0,COUNTIF(I1009,"63*")&gt;0,COUNTIF(J1009,"*63*")&gt;0,COUNTIF(I1009,"85*")&gt;0,COUNTIF(J1009,"*85*")&gt;0,COUNTIF(I1009,"86*")&gt;0,COUNTIF(J1009,"*86*")&gt;0),"Да","Нет"))</f>
        <v/>
      </c>
      <c r="M1009" s="13">
        <f>IF(OR(G1009="",L1009&lt;&gt;"Да"),"",IF(G1009&lt;=100,"До 100",IF(G1009&lt;=200,"До 200",IF(G1009&lt;=500,"До 500","Отдельное КП"))))</f>
        <v/>
      </c>
      <c r="N1009" s="15">
        <f>IF(OR(G1009="",L1009&lt;&gt;"Да"),"",IF(G1009&lt;=100,33600,IF(G1009&lt;=200,62400,IF(G1009&lt;=500,144000,""))))</f>
        <v/>
      </c>
      <c r="O1009" s="16">
        <f>IF(G1009="","",IF(G1009&lt;=15,"1–15",IF(G1009&lt;=30,"16–30",IF(G1009&lt;=50,"31–50",IF(G1009&lt;=100,"51–100",IF(G1009&lt;=150,"101–150",IF(G1009&lt;=200,"151–200",IF(G1009&lt;=500,"201–500","500+"))))))))</f>
        <v/>
      </c>
      <c r="P1009" s="16" t="inlineStr">
        <is>
          <t>Нет совпадения в предоставленной выгрузке ССЧР</t>
        </is>
      </c>
      <c r="Q1009" s="16" t="n"/>
      <c r="R1009" s="16">
        <f>HYPERLINK("https://checko.ru/search?query=3801001629","Чекко: проверить")</f>
        <v/>
      </c>
      <c r="S1009" t="n">
        <v>0</v>
      </c>
    </row>
    <row r="1010" ht="27.75" customHeight="1" s="24">
      <c r="A1010" s="13" t="n">
        <v>5000094863</v>
      </c>
      <c r="B1010" s="13" t="inlineStr">
        <is>
          <t>МКУ "Отдел культуры местной администрации Чегемского муниципального района"</t>
        </is>
      </c>
      <c r="C1010" s="13" t="n">
        <v>708004531</v>
      </c>
      <c r="D1010" s="13" t="n"/>
      <c r="E1010" s="13" t="inlineStr">
        <is>
          <t>Не определён</t>
        </is>
      </c>
      <c r="F1010" s="13" t="inlineStr">
        <is>
          <t>708004531</t>
        </is>
      </c>
      <c r="G1010" s="14" t="n"/>
      <c r="H1010" s="14" t="n"/>
      <c r="I1010" s="14" t="n"/>
      <c r="J1010" s="14" t="n"/>
      <c r="K1010" s="13">
        <f>IF(G1010="","",IF(G1010&gt;=22,"Да","Нет"))</f>
        <v/>
      </c>
      <c r="L1010" s="13">
        <f>IF(OR(I1010="",J1010=""),"Не определено",IF(OR(COUNTIF(I1010,"45*")&gt;0,COUNTIF(J1010,"*45*")&gt;0,COUNTIF(I1010,"46*")&gt;0,COUNTIF(J1010,"*46*")&gt;0,COUNTIF(I1010,"47*")&gt;0,COUNTIF(J1010,"*47*")&gt;0,COUNTIF(I1010,"10*")&gt;0,COUNTIF(J1010,"*10*")&gt;0,COUNTIF(I1010,"11*")&gt;0,COUNTIF(J1010,"*11*")&gt;0,COUNTIF(I1010,"12*")&gt;0,COUNTIF(J1010,"*12*")&gt;0,COUNTIF(I1010,"13*")&gt;0,COUNTIF(J1010,"*13*")&gt;0,COUNTIF(I1010,"14*")&gt;0,COUNTIF(J1010,"*14*")&gt;0,COUNTIF(I1010,"15*")&gt;0,COUNTIF(J1010,"*15*")&gt;0,COUNTIF(I1010,"16*")&gt;0,COUNTIF(J1010,"*16*")&gt;0,COUNTIF(I1010,"17*")&gt;0,COUNTIF(J1010,"*17*")&gt;0,COUNTIF(I1010,"18*")&gt;0,COUNTIF(J1010,"*18*")&gt;0,COUNTIF(I1010,"19*")&gt;0,COUNTIF(J1010,"*19*")&gt;0,COUNTIF(I1010,"20*")&gt;0,COUNTIF(J1010,"*20*")&gt;0,COUNTIF(I1010,"21*")&gt;0,COUNTIF(J1010,"*21*")&gt;0,COUNTIF(I1010,"22*")&gt;0,COUNTIF(J1010,"*22*")&gt;0,COUNTIF(I1010,"23*")&gt;0,COUNTIF(J1010,"*23*")&gt;0,COUNTIF(I1010,"24*")&gt;0,COUNTIF(J1010,"*24*")&gt;0,COUNTIF(I1010,"25*")&gt;0,COUNTIF(J1010,"*25*")&gt;0,COUNTIF(I1010,"26*")&gt;0,COUNTIF(J1010,"*26*")&gt;0,COUNTIF(I1010,"27*")&gt;0,COUNTIF(J1010,"*27*")&gt;0,COUNTIF(I1010,"28*")&gt;0,COUNTIF(J1010,"*28*")&gt;0,COUNTIF(I1010,"29*")&gt;0,COUNTIF(J1010,"*29*")&gt;0,COUNTIF(I1010,"30*")&gt;0,COUNTIF(J1010,"*30*")&gt;0,COUNTIF(I1010,"31*")&gt;0,COUNTIF(J1010,"*31*")&gt;0,COUNTIF(I1010,"32*")&gt;0,COUNTIF(J1010,"*32*")&gt;0,COUNTIF(I1010,"33*")&gt;0,COUNTIF(J1010,"*33*")&gt;0,COUNTIF(I1010,"41*")&gt;0,COUNTIF(J1010,"*41*")&gt;0,COUNTIF(I1010,"42*")&gt;0,COUNTIF(J1010,"*42*")&gt;0,COUNTIF(I1010,"43*")&gt;0,COUNTIF(J1010,"*43*")&gt;0,COUNTIF(I1010,"49*")&gt;0,COUNTIF(J1010,"*49*")&gt;0,COUNTIF(I1010,"52*")&gt;0,COUNTIF(J1010,"*52*")&gt;0,COUNTIF(I1010,"55*")&gt;0,COUNTIF(J1010,"*55*")&gt;0,COUNTIF(I1010,"56*")&gt;0,COUNTIF(J1010,"*56*")&gt;0,COUNTIF(I1010,"68*")&gt;0,COUNTIF(J1010,"*68*")&gt;0,COUNTIF(I1010,"78*")&gt;0,COUNTIF(J1010,"*78*")&gt;0,COUNTIF(I1010,"81*")&gt;0,COUNTIF(J1010,"*81*")&gt;0,COUNTIF(I1010,"82*")&gt;0,COUNTIF(J1010,"*82*")&gt;0,COUNTIF(I1010,"64*")&gt;0,COUNTIF(J1010,"*64*")&gt;0,COUNTIF(I1010,"65*")&gt;0,COUNTIF(J1010,"*65*")&gt;0,COUNTIF(I1010,"66*")&gt;0,COUNTIF(J1010,"*66*")&gt;0,COUNTIF(I1010,"61*")&gt;0,COUNTIF(J1010,"*61*")&gt;0,COUNTIF(I1010,"62*")&gt;0,COUNTIF(J1010,"*62*")&gt;0,COUNTIF(I1010,"63*")&gt;0,COUNTIF(J1010,"*63*")&gt;0,COUNTIF(I1010,"85*")&gt;0,COUNTIF(J1010,"*85*")&gt;0,COUNTIF(I1010,"86*")&gt;0,COUNTIF(J1010,"*86*")&gt;0),"Да","Нет"))</f>
        <v/>
      </c>
      <c r="M1010" s="13">
        <f>IF(OR(G1010="",L1010&lt;&gt;"Да"),"",IF(G1010&lt;=100,"До 100",IF(G1010&lt;=200,"До 200",IF(G1010&lt;=500,"До 500","Отдельное КП"))))</f>
        <v/>
      </c>
      <c r="N1010" s="15">
        <f>IF(OR(G1010="",L1010&lt;&gt;"Да"),"",IF(G1010&lt;=100,33600,IF(G1010&lt;=200,62400,IF(G1010&lt;=500,144000,""))))</f>
        <v/>
      </c>
      <c r="O1010" s="16">
        <f>IF(G1010="","",IF(G1010&lt;=15,"1–15",IF(G1010&lt;=30,"16–30",IF(G1010&lt;=50,"31–50",IF(G1010&lt;=100,"51–100",IF(G1010&lt;=150,"101–150",IF(G1010&lt;=200,"151–200",IF(G1010&lt;=500,"201–500","500+"))))))))</f>
        <v/>
      </c>
      <c r="P1010" s="16" t="inlineStr">
        <is>
          <t>Нет совпадения в предоставленной выгрузке ССЧР</t>
        </is>
      </c>
      <c r="Q1010" s="16" t="n"/>
      <c r="R1010" s="16">
        <f>HYPERLINK("https://checko.ru/search?query=3801001629","Чекко: проверить")</f>
        <v/>
      </c>
      <c r="S1010" t="n">
        <v>0</v>
      </c>
    </row>
    <row r="1011" ht="41.25" customHeight="1" s="24">
      <c r="A1011" s="13" t="n">
        <v>5000106154</v>
      </c>
      <c r="B1011" s="13" t="inlineStr">
        <is>
          <t>УПРАВЛЕНИЕ ОБРАЗОВАНИЯ АДМИНИСТРАЦИИ СОРОЧИНСКОГО ГОРОДСКОГО ОКРУГА ОРЕНБУРГСКОЙ ОБЛАСТИ</t>
        </is>
      </c>
      <c r="C1011" s="13" t="n">
        <v>5617003628</v>
      </c>
      <c r="D1011" s="13" t="inlineStr">
        <is>
          <t>5617003628</t>
        </is>
      </c>
      <c r="E1011" s="13" t="inlineStr">
        <is>
          <t>ЮЛ РФ</t>
        </is>
      </c>
      <c r="F1011" s="13" t="n"/>
      <c r="G1011" s="14" t="n"/>
      <c r="H1011" s="14" t="n"/>
      <c r="I1011" s="14" t="n"/>
      <c r="J1011" s="14" t="n"/>
      <c r="K1011" s="53" t="inlineStr"/>
      <c r="L1011" s="53" t="inlineStr">
        <is>
          <t>Не определено</t>
        </is>
      </c>
      <c r="M1011" s="53" t="inlineStr"/>
      <c r="N1011" s="54" t="inlineStr"/>
      <c r="O1011" s="55" t="inlineStr"/>
      <c r="P1011" s="16" t="inlineStr">
        <is>
          <t>Требует обогащения</t>
        </is>
      </c>
      <c r="Q1011" s="16">
        <f>HYPERLINK("https://pb.nalog.ru/search.html?query=5617003628","ФНС: проверить")</f>
        <v/>
      </c>
      <c r="R1011" s="16">
        <f>HYPERLINK("https://checko.ru/search?query=3801001629","Чекко: проверить")</f>
        <v/>
      </c>
      <c r="S1011" t="n">
        <v>1</v>
      </c>
      <c r="T1011" s="35" t="inlineStr">
        <is>
          <t>4 — Не обогащён</t>
        </is>
      </c>
      <c r="U1011" s="35" t="inlineStr">
        <is>
          <t>Нет ОКВЭД/ССЧР</t>
        </is>
      </c>
      <c r="V1011" s="35" t="inlineStr">
        <is>
          <t>Не определено</t>
        </is>
      </c>
      <c r="W1011" s="35" t="inlineStr"/>
      <c r="X1011" s="35" t="inlineStr"/>
    </row>
    <row r="1012" ht="27.75" customHeight="1" s="24">
      <c r="A1012" s="13" t="n">
        <v>5000001866</v>
      </c>
      <c r="B1012" s="13" t="inlineStr">
        <is>
          <t>ОбГБУ Тулунская станция по борьбе с болезнями животных</t>
        </is>
      </c>
      <c r="C1012" s="13" t="n">
        <v>3816006700</v>
      </c>
      <c r="D1012" s="13" t="inlineStr">
        <is>
          <t>3816006700</t>
        </is>
      </c>
      <c r="E1012" s="13" t="inlineStr">
        <is>
          <t>ЮЛ РФ</t>
        </is>
      </c>
      <c r="F1012" s="13" t="n"/>
      <c r="G1012" s="14" t="n"/>
      <c r="H1012" s="14" t="n"/>
      <c r="I1012" s="14" t="n"/>
      <c r="J1012" s="14" t="n"/>
      <c r="K1012" s="53" t="inlineStr"/>
      <c r="L1012" s="53" t="inlineStr">
        <is>
          <t>Не определено</t>
        </is>
      </c>
      <c r="M1012" s="53" t="inlineStr"/>
      <c r="N1012" s="54" t="inlineStr"/>
      <c r="O1012" s="55" t="inlineStr"/>
      <c r="P1012" s="16" t="inlineStr">
        <is>
          <t>Требует обогащения</t>
        </is>
      </c>
      <c r="Q1012" s="16">
        <f>HYPERLINK("https://pb.nalog.ru/search.html?query=3816006700","ФНС: проверить")</f>
        <v/>
      </c>
      <c r="R1012" s="16">
        <f>HYPERLINK("https://checko.ru/search?query=3801001629","Чекко: проверить")</f>
        <v/>
      </c>
      <c r="S1012" t="n">
        <v>1</v>
      </c>
      <c r="T1012" s="35" t="inlineStr">
        <is>
          <t>4 — Не обогащён</t>
        </is>
      </c>
      <c r="U1012" s="35" t="inlineStr">
        <is>
          <t>Нет ОКВЭД/ССЧР</t>
        </is>
      </c>
      <c r="V1012" s="35" t="inlineStr">
        <is>
          <t>Не определено</t>
        </is>
      </c>
      <c r="W1012" s="35" t="inlineStr"/>
      <c r="X1012" s="35" t="inlineStr"/>
    </row>
    <row r="1013" ht="15" customHeight="1" s="24">
      <c r="A1013" s="13" t="n">
        <v>5000002272</v>
      </c>
      <c r="B1013" s="13" t="inlineStr">
        <is>
          <t>ОГБУ "Киренская СББЖ"</t>
        </is>
      </c>
      <c r="C1013" s="13" t="n">
        <v>3831003655</v>
      </c>
      <c r="D1013" s="13" t="inlineStr">
        <is>
          <t>3831003655</t>
        </is>
      </c>
      <c r="E1013" s="13" t="inlineStr">
        <is>
          <t>ЮЛ РФ</t>
        </is>
      </c>
      <c r="F1013" s="13" t="n"/>
      <c r="G1013" s="14" t="n"/>
      <c r="H1013" s="14" t="n"/>
      <c r="I1013" s="14" t="n"/>
      <c r="J1013" s="14" t="n"/>
      <c r="K1013" s="53" t="inlineStr"/>
      <c r="L1013" s="53" t="inlineStr">
        <is>
          <t>Не определено</t>
        </is>
      </c>
      <c r="M1013" s="53" t="inlineStr"/>
      <c r="N1013" s="54" t="inlineStr"/>
      <c r="O1013" s="55" t="inlineStr"/>
      <c r="P1013" s="16" t="inlineStr">
        <is>
          <t>Требует обогащения</t>
        </is>
      </c>
      <c r="Q1013" s="16">
        <f>HYPERLINK("https://pb.nalog.ru/search.html?query=3831003655","ФНС: проверить")</f>
        <v/>
      </c>
      <c r="R1013" s="16">
        <f>HYPERLINK("https://checko.ru/search?query=3801001629","Чекко: проверить")</f>
        <v/>
      </c>
      <c r="S1013" t="n">
        <v>1</v>
      </c>
      <c r="T1013" s="35" t="inlineStr">
        <is>
          <t>4 — Не обогащён</t>
        </is>
      </c>
      <c r="U1013" s="35" t="inlineStr">
        <is>
          <t>Нет ОКВЭД/ССЧР</t>
        </is>
      </c>
      <c r="V1013" s="35" t="inlineStr">
        <is>
          <t>Не определено</t>
        </is>
      </c>
      <c r="W1013" s="35" t="inlineStr"/>
      <c r="X1013" s="35" t="inlineStr"/>
    </row>
    <row r="1014" ht="15" customHeight="1" s="24">
      <c r="A1014" s="13" t="n">
        <v>5000101245</v>
      </c>
      <c r="B1014" s="13" t="inlineStr">
        <is>
          <t>ЛЕСНИЧЕСТВО ОРСКОЕ ГКУ</t>
        </is>
      </c>
      <c r="C1014" s="13" t="n">
        <v>5616002861</v>
      </c>
      <c r="D1014" s="13" t="inlineStr">
        <is>
          <t>5616002861</t>
        </is>
      </c>
      <c r="E1014" s="13" t="inlineStr">
        <is>
          <t>ЮЛ РФ</t>
        </is>
      </c>
      <c r="F1014" s="13" t="n"/>
      <c r="G1014" s="14" t="n"/>
      <c r="H1014" s="14" t="n"/>
      <c r="I1014" s="14" t="n"/>
      <c r="J1014" s="14" t="n"/>
      <c r="K1014" s="53" t="inlineStr"/>
      <c r="L1014" s="53" t="inlineStr">
        <is>
          <t>Не определено</t>
        </is>
      </c>
      <c r="M1014" s="53" t="inlineStr"/>
      <c r="N1014" s="54" t="inlineStr"/>
      <c r="O1014" s="55" t="inlineStr"/>
      <c r="P1014" s="16" t="inlineStr">
        <is>
          <t>Требует обогащения</t>
        </is>
      </c>
      <c r="Q1014" s="16">
        <f>HYPERLINK("https://pb.nalog.ru/search.html?query=5616002861","ФНС: проверить")</f>
        <v/>
      </c>
      <c r="R1014" s="16">
        <f>HYPERLINK("https://checko.ru/search?query=3801001629","Чекко: проверить")</f>
        <v/>
      </c>
      <c r="S1014" t="n">
        <v>1</v>
      </c>
      <c r="T1014" s="35" t="inlineStr">
        <is>
          <t>4 — Не обогащён</t>
        </is>
      </c>
      <c r="U1014" s="35" t="inlineStr">
        <is>
          <t>Нет ОКВЭД/ССЧР</t>
        </is>
      </c>
      <c r="V1014" s="35" t="inlineStr">
        <is>
          <t>Не определено</t>
        </is>
      </c>
      <c r="W1014" s="35" t="inlineStr"/>
      <c r="X1014" s="35" t="inlineStr"/>
    </row>
    <row r="1015" ht="15" customHeight="1" s="24">
      <c r="A1015" s="13" t="n">
        <v>5000106087</v>
      </c>
      <c r="B1015" s="13" t="inlineStr">
        <is>
          <t>ОГДТ ГАУК (Драмтеатр)</t>
        </is>
      </c>
      <c r="C1015" s="13" t="n">
        <v>5615002202</v>
      </c>
      <c r="D1015" s="13" t="inlineStr">
        <is>
          <t>5615002202</t>
        </is>
      </c>
      <c r="E1015" s="13" t="inlineStr">
        <is>
          <t>ЮЛ РФ</t>
        </is>
      </c>
      <c r="F1015" s="13" t="n"/>
      <c r="G1015" s="14" t="n"/>
      <c r="H1015" s="14" t="n"/>
      <c r="I1015" s="14" t="n"/>
      <c r="J1015" s="14" t="n"/>
      <c r="K1015" s="53" t="inlineStr"/>
      <c r="L1015" s="53" t="inlineStr">
        <is>
          <t>Не определено</t>
        </is>
      </c>
      <c r="M1015" s="53" t="inlineStr"/>
      <c r="N1015" s="54" t="inlineStr"/>
      <c r="O1015" s="55" t="inlineStr"/>
      <c r="P1015" s="16" t="inlineStr">
        <is>
          <t>Требует обогащения</t>
        </is>
      </c>
      <c r="Q1015" s="16">
        <f>HYPERLINK("https://pb.nalog.ru/search.html?query=5615002202","ФНС: проверить")</f>
        <v/>
      </c>
      <c r="R1015" s="16">
        <f>HYPERLINK("https://checko.ru/search?query=3801001629","Чекко: проверить")</f>
        <v/>
      </c>
      <c r="S1015" t="n">
        <v>1</v>
      </c>
      <c r="T1015" s="35" t="inlineStr">
        <is>
          <t>4 — Не обогащён</t>
        </is>
      </c>
      <c r="U1015" s="35" t="inlineStr">
        <is>
          <t>Нет ОКВЭД/ССЧР</t>
        </is>
      </c>
      <c r="V1015" s="35" t="inlineStr">
        <is>
          <t>Не определено</t>
        </is>
      </c>
      <c r="W1015" s="35" t="inlineStr"/>
      <c r="X1015" s="35" t="inlineStr"/>
    </row>
    <row r="1016" ht="27.75" customHeight="1" s="24">
      <c r="A1016" s="13" t="n">
        <v>5000002211</v>
      </c>
      <c r="B1016" s="13" t="inlineStr">
        <is>
          <t>Усольская районная территориальная избирательная комиссия</t>
        </is>
      </c>
      <c r="C1016" s="13" t="n">
        <v>3819016489</v>
      </c>
      <c r="D1016" s="13" t="inlineStr">
        <is>
          <t>3819016489</t>
        </is>
      </c>
      <c r="E1016" s="13" t="inlineStr">
        <is>
          <t>ЮЛ РФ</t>
        </is>
      </c>
      <c r="F1016" s="13" t="n"/>
      <c r="G1016" s="14" t="n"/>
      <c r="H1016" s="14" t="n"/>
      <c r="I1016" s="14" t="n"/>
      <c r="J1016" s="14" t="n"/>
      <c r="K1016" s="53" t="inlineStr"/>
      <c r="L1016" s="53" t="inlineStr">
        <is>
          <t>Не определено</t>
        </is>
      </c>
      <c r="M1016" s="53" t="inlineStr"/>
      <c r="N1016" s="54" t="inlineStr"/>
      <c r="O1016" s="55" t="inlineStr"/>
      <c r="P1016" s="16" t="inlineStr">
        <is>
          <t>Требует обогащения</t>
        </is>
      </c>
      <c r="Q1016" s="16">
        <f>HYPERLINK("https://pb.nalog.ru/search.html?query=3819016489","ФНС: проверить")</f>
        <v/>
      </c>
      <c r="R1016" s="16">
        <f>HYPERLINK("https://checko.ru/search?query=3801001629","Чекко: проверить")</f>
        <v/>
      </c>
      <c r="S1016" t="n">
        <v>1</v>
      </c>
      <c r="T1016" s="35" t="inlineStr">
        <is>
          <t>4 — Не обогащён</t>
        </is>
      </c>
      <c r="U1016" s="35" t="inlineStr">
        <is>
          <t>Нет ОКВЭД/ССЧР</t>
        </is>
      </c>
      <c r="V1016" s="35" t="inlineStr">
        <is>
          <t>Не определено</t>
        </is>
      </c>
      <c r="W1016" s="35" t="inlineStr"/>
      <c r="X1016" s="35" t="inlineStr"/>
    </row>
    <row r="1017" ht="15" customHeight="1" s="24">
      <c r="A1017" s="13" t="n">
        <v>5000034589</v>
      </c>
      <c r="B1017" s="13" t="inlineStr">
        <is>
          <t>СОШ Одинцовского района</t>
        </is>
      </c>
      <c r="C1017" s="13" t="n">
        <v>5032036440</v>
      </c>
      <c r="D1017" s="13" t="inlineStr">
        <is>
          <t>5032036440</t>
        </is>
      </c>
      <c r="E1017" s="13" t="inlineStr">
        <is>
          <t>ЮЛ РФ</t>
        </is>
      </c>
      <c r="F1017" s="13" t="n"/>
      <c r="G1017" s="14" t="n"/>
      <c r="H1017" s="14" t="n"/>
      <c r="I1017" s="14" t="n"/>
      <c r="J1017" s="14" t="n"/>
      <c r="K1017" s="53" t="inlineStr"/>
      <c r="L1017" s="53" t="inlineStr">
        <is>
          <t>Не определено</t>
        </is>
      </c>
      <c r="M1017" s="53" t="inlineStr"/>
      <c r="N1017" s="54" t="inlineStr"/>
      <c r="O1017" s="55" t="inlineStr"/>
      <c r="P1017" s="16" t="inlineStr">
        <is>
          <t>Требует обогащения</t>
        </is>
      </c>
      <c r="Q1017" s="16">
        <f>HYPERLINK("https://pb.nalog.ru/search.html?query=5032036440","ФНС: проверить")</f>
        <v/>
      </c>
      <c r="R1017" s="16">
        <f>HYPERLINK("https://checko.ru/search?query=3801001629","Чекко: проверить")</f>
        <v/>
      </c>
      <c r="S1017" t="n">
        <v>1</v>
      </c>
      <c r="T1017" s="35" t="inlineStr">
        <is>
          <t>4 — Не обогащён</t>
        </is>
      </c>
      <c r="U1017" s="35" t="inlineStr">
        <is>
          <t>Нет ОКВЭД/ССЧР</t>
        </is>
      </c>
      <c r="V1017" s="35" t="inlineStr">
        <is>
          <t>Не определено</t>
        </is>
      </c>
      <c r="W1017" s="35" t="inlineStr"/>
      <c r="X1017" s="35" t="inlineStr"/>
    </row>
    <row r="1018" ht="27.75" customHeight="1" s="24">
      <c r="A1018" s="13" t="n">
        <v>5000002213</v>
      </c>
      <c r="B1018" s="13" t="inlineStr">
        <is>
          <t>МИНИСТЕРСТВО ПО МОЛОДЕЖНОЙ ПОЛИТИКЕ ИРКУТСКОЙ ОБЛАСТИ</t>
        </is>
      </c>
      <c r="C1018" s="13" t="n">
        <v>3808195282</v>
      </c>
      <c r="D1018" s="13" t="inlineStr">
        <is>
          <t>3808195282</t>
        </is>
      </c>
      <c r="E1018" s="13" t="inlineStr">
        <is>
          <t>ЮЛ РФ</t>
        </is>
      </c>
      <c r="F1018" s="13" t="n"/>
      <c r="G1018" s="14" t="n"/>
      <c r="H1018" s="14" t="n"/>
      <c r="I1018" s="14" t="n"/>
      <c r="J1018" s="14" t="n"/>
      <c r="K1018" s="53" t="inlineStr"/>
      <c r="L1018" s="53" t="inlineStr">
        <is>
          <t>Не определено</t>
        </is>
      </c>
      <c r="M1018" s="53" t="inlineStr"/>
      <c r="N1018" s="54" t="inlineStr"/>
      <c r="O1018" s="55" t="inlineStr"/>
      <c r="P1018" s="16" t="inlineStr">
        <is>
          <t>Требует обогащения</t>
        </is>
      </c>
      <c r="Q1018" s="16">
        <f>HYPERLINK("https://pb.nalog.ru/search.html?query=3808195282","ФНС: проверить")</f>
        <v/>
      </c>
      <c r="R1018" s="16">
        <f>HYPERLINK("https://checko.ru/search?query=3801001629","Чекко: проверить")</f>
        <v/>
      </c>
      <c r="S1018" t="n">
        <v>1</v>
      </c>
      <c r="T1018" s="35" t="inlineStr">
        <is>
          <t>4 — Не обогащён</t>
        </is>
      </c>
      <c r="U1018" s="35" t="inlineStr">
        <is>
          <t>Нет ОКВЭД/ССЧР</t>
        </is>
      </c>
      <c r="V1018" s="35" t="inlineStr">
        <is>
          <t>Не определено</t>
        </is>
      </c>
      <c r="W1018" s="35" t="inlineStr"/>
      <c r="X1018" s="35" t="inlineStr"/>
    </row>
    <row r="1019" ht="15" customHeight="1" s="24">
      <c r="A1019" s="13" t="n">
        <v>5000106093</v>
      </c>
      <c r="B1019" s="13" t="inlineStr">
        <is>
          <t>ДЕТСКИЙ ДОМ Г. ОРСКА  ГКОУ</t>
        </is>
      </c>
      <c r="C1019" s="13" t="n">
        <v>5614027596</v>
      </c>
      <c r="D1019" s="13" t="inlineStr">
        <is>
          <t>5614027596</t>
        </is>
      </c>
      <c r="E1019" s="13" t="inlineStr">
        <is>
          <t>ЮЛ РФ</t>
        </is>
      </c>
      <c r="F1019" s="13" t="n"/>
      <c r="G1019" s="14" t="n"/>
      <c r="H1019" s="14" t="n"/>
      <c r="I1019" s="14" t="n"/>
      <c r="J1019" s="14" t="n"/>
      <c r="K1019" s="53" t="inlineStr"/>
      <c r="L1019" s="53" t="inlineStr">
        <is>
          <t>Не определено</t>
        </is>
      </c>
      <c r="M1019" s="53" t="inlineStr"/>
      <c r="N1019" s="54" t="inlineStr"/>
      <c r="O1019" s="55" t="inlineStr"/>
      <c r="P1019" s="16" t="inlineStr">
        <is>
          <t>Требует обогащения</t>
        </is>
      </c>
      <c r="Q1019" s="16">
        <f>HYPERLINK("https://pb.nalog.ru/search.html?query=5614027596","ФНС: проверить")</f>
        <v/>
      </c>
      <c r="R1019" s="16">
        <f>HYPERLINK("https://checko.ru/search?query=3801001629","Чекко: проверить")</f>
        <v/>
      </c>
      <c r="S1019" t="n">
        <v>1</v>
      </c>
      <c r="T1019" s="35" t="inlineStr">
        <is>
          <t>4 — Не обогащён</t>
        </is>
      </c>
      <c r="U1019" s="35" t="inlineStr">
        <is>
          <t>Нет ОКВЭД/ССЧР</t>
        </is>
      </c>
      <c r="V1019" s="35" t="inlineStr">
        <is>
          <t>Не определено</t>
        </is>
      </c>
      <c r="W1019" s="35" t="inlineStr"/>
      <c r="X1019" s="35" t="inlineStr"/>
    </row>
    <row r="1020" ht="15" customHeight="1" s="24">
      <c r="A1020" s="13" t="n">
        <v>5000062622</v>
      </c>
      <c r="B1020" s="13" t="inlineStr">
        <is>
          <t>ГУЗ "Майнская ЦРБ"</t>
        </is>
      </c>
      <c r="C1020" s="13" t="n">
        <v>7309000175</v>
      </c>
      <c r="D1020" s="13" t="inlineStr">
        <is>
          <t>7309000175</t>
        </is>
      </c>
      <c r="E1020" s="13" t="inlineStr">
        <is>
          <t>ЮЛ РФ</t>
        </is>
      </c>
      <c r="F1020" s="13" t="n"/>
      <c r="G1020" s="14" t="n"/>
      <c r="H1020" s="14" t="n"/>
      <c r="I1020" s="14" t="n"/>
      <c r="J1020" s="14" t="n"/>
      <c r="K1020" s="53" t="inlineStr"/>
      <c r="L1020" s="53" t="inlineStr">
        <is>
          <t>Не определено</t>
        </is>
      </c>
      <c r="M1020" s="53" t="inlineStr"/>
      <c r="N1020" s="54" t="inlineStr"/>
      <c r="O1020" s="55" t="inlineStr"/>
      <c r="P1020" s="16" t="inlineStr">
        <is>
          <t>Требует обогащения</t>
        </is>
      </c>
      <c r="Q1020" s="16">
        <f>HYPERLINK("https://pb.nalog.ru/search.html?query=7309000175","ФНС: проверить")</f>
        <v/>
      </c>
      <c r="R1020" s="16">
        <f>HYPERLINK("https://checko.ru/search?query=3801001629","Чекко: проверить")</f>
        <v/>
      </c>
      <c r="S1020" t="n">
        <v>1</v>
      </c>
      <c r="T1020" s="35" t="inlineStr">
        <is>
          <t>4 — Не обогащён</t>
        </is>
      </c>
      <c r="U1020" s="35" t="inlineStr">
        <is>
          <t>Нет ОКВЭД/ССЧР</t>
        </is>
      </c>
      <c r="V1020" s="35" t="inlineStr">
        <is>
          <t>Не определено</t>
        </is>
      </c>
      <c r="W1020" s="35" t="inlineStr"/>
      <c r="X1020" s="35" t="inlineStr"/>
    </row>
    <row r="1021" ht="27.75" customHeight="1" s="24">
      <c r="A1021" s="13" t="n">
        <v>5000001862</v>
      </c>
      <c r="B1021" s="13" t="inlineStr">
        <is>
          <t>ГОУ СО Иркутский  детский дом интернат № 2 для умственно отсталых детей</t>
        </is>
      </c>
      <c r="C1021" s="13" t="n">
        <v>3812014676</v>
      </c>
      <c r="D1021" s="13" t="inlineStr">
        <is>
          <t>3812014676</t>
        </is>
      </c>
      <c r="E1021" s="13" t="inlineStr">
        <is>
          <t>ЮЛ РФ</t>
        </is>
      </c>
      <c r="F1021" s="13" t="n"/>
      <c r="G1021" s="14" t="n"/>
      <c r="H1021" s="14" t="n"/>
      <c r="I1021" s="14" t="n"/>
      <c r="J1021" s="14" t="n"/>
      <c r="K1021" s="53" t="inlineStr"/>
      <c r="L1021" s="53" t="inlineStr">
        <is>
          <t>Не определено</t>
        </is>
      </c>
      <c r="M1021" s="53" t="inlineStr"/>
      <c r="N1021" s="54" t="inlineStr"/>
      <c r="O1021" s="55" t="inlineStr"/>
      <c r="P1021" s="16" t="inlineStr">
        <is>
          <t>Требует обогащения</t>
        </is>
      </c>
      <c r="Q1021" s="16">
        <f>HYPERLINK("https://pb.nalog.ru/search.html?query=3812014676","ФНС: проверить")</f>
        <v/>
      </c>
      <c r="R1021" s="16">
        <f>HYPERLINK("https://checko.ru/search?query=3801001629","Чекко: проверить")</f>
        <v/>
      </c>
      <c r="S1021" t="n">
        <v>1</v>
      </c>
      <c r="T1021" s="35" t="inlineStr">
        <is>
          <t>4 — Не обогащён</t>
        </is>
      </c>
      <c r="U1021" s="35" t="inlineStr">
        <is>
          <t>Нет ОКВЭД/ССЧР</t>
        </is>
      </c>
      <c r="V1021" s="35" t="inlineStr">
        <is>
          <t>Не определено</t>
        </is>
      </c>
      <c r="W1021" s="35" t="inlineStr"/>
      <c r="X1021" s="35" t="inlineStr"/>
    </row>
    <row r="1022" ht="15" customHeight="1" s="24">
      <c r="A1022" s="13" t="n">
        <v>5000095047</v>
      </c>
      <c r="B1022" s="13" t="inlineStr">
        <is>
          <t>МБОУ "СОШ 20"</t>
        </is>
      </c>
      <c r="C1022" s="13" t="n">
        <v>711043139</v>
      </c>
      <c r="D1022" s="13" t="n"/>
      <c r="E1022" s="13" t="inlineStr">
        <is>
          <t>Не определён</t>
        </is>
      </c>
      <c r="F1022" s="13" t="inlineStr">
        <is>
          <t>711043139</t>
        </is>
      </c>
      <c r="G1022" s="14" t="n"/>
      <c r="H1022" s="14" t="n"/>
      <c r="I1022" s="14" t="n"/>
      <c r="J1022" s="14" t="n"/>
      <c r="K1022" s="13">
        <f>IF(G1022="","",IF(G1022&gt;=22,"Да","Нет"))</f>
        <v/>
      </c>
      <c r="L1022" s="13">
        <f>IF(OR(I1022="",J1022=""),"Не определено",IF(OR(COUNTIF(I1022,"45*")&gt;0,COUNTIF(J1022,"*45*")&gt;0,COUNTIF(I1022,"46*")&gt;0,COUNTIF(J1022,"*46*")&gt;0,COUNTIF(I1022,"47*")&gt;0,COUNTIF(J1022,"*47*")&gt;0,COUNTIF(I1022,"10*")&gt;0,COUNTIF(J1022,"*10*")&gt;0,COUNTIF(I1022,"11*")&gt;0,COUNTIF(J1022,"*11*")&gt;0,COUNTIF(I1022,"12*")&gt;0,COUNTIF(J1022,"*12*")&gt;0,COUNTIF(I1022,"13*")&gt;0,COUNTIF(J1022,"*13*")&gt;0,COUNTIF(I1022,"14*")&gt;0,COUNTIF(J1022,"*14*")&gt;0,COUNTIF(I1022,"15*")&gt;0,COUNTIF(J1022,"*15*")&gt;0,COUNTIF(I1022,"16*")&gt;0,COUNTIF(J1022,"*16*")&gt;0,COUNTIF(I1022,"17*")&gt;0,COUNTIF(J1022,"*17*")&gt;0,COUNTIF(I1022,"18*")&gt;0,COUNTIF(J1022,"*18*")&gt;0,COUNTIF(I1022,"19*")&gt;0,COUNTIF(J1022,"*19*")&gt;0,COUNTIF(I1022,"20*")&gt;0,COUNTIF(J1022,"*20*")&gt;0,COUNTIF(I1022,"21*")&gt;0,COUNTIF(J1022,"*21*")&gt;0,COUNTIF(I1022,"22*")&gt;0,COUNTIF(J1022,"*22*")&gt;0,COUNTIF(I1022,"23*")&gt;0,COUNTIF(J1022,"*23*")&gt;0,COUNTIF(I1022,"24*")&gt;0,COUNTIF(J1022,"*24*")&gt;0,COUNTIF(I1022,"25*")&gt;0,COUNTIF(J1022,"*25*")&gt;0,COUNTIF(I1022,"26*")&gt;0,COUNTIF(J1022,"*26*")&gt;0,COUNTIF(I1022,"27*")&gt;0,COUNTIF(J1022,"*27*")&gt;0,COUNTIF(I1022,"28*")&gt;0,COUNTIF(J1022,"*28*")&gt;0,COUNTIF(I1022,"29*")&gt;0,COUNTIF(J1022,"*29*")&gt;0,COUNTIF(I1022,"30*")&gt;0,COUNTIF(J1022,"*30*")&gt;0,COUNTIF(I1022,"31*")&gt;0,COUNTIF(J1022,"*31*")&gt;0,COUNTIF(I1022,"32*")&gt;0,COUNTIF(J1022,"*32*")&gt;0,COUNTIF(I1022,"33*")&gt;0,COUNTIF(J1022,"*33*")&gt;0,COUNTIF(I1022,"41*")&gt;0,COUNTIF(J1022,"*41*")&gt;0,COUNTIF(I1022,"42*")&gt;0,COUNTIF(J1022,"*42*")&gt;0,COUNTIF(I1022,"43*")&gt;0,COUNTIF(J1022,"*43*")&gt;0,COUNTIF(I1022,"49*")&gt;0,COUNTIF(J1022,"*49*")&gt;0,COUNTIF(I1022,"52*")&gt;0,COUNTIF(J1022,"*52*")&gt;0,COUNTIF(I1022,"55*")&gt;0,COUNTIF(J1022,"*55*")&gt;0,COUNTIF(I1022,"56*")&gt;0,COUNTIF(J1022,"*56*")&gt;0,COUNTIF(I1022,"68*")&gt;0,COUNTIF(J1022,"*68*")&gt;0,COUNTIF(I1022,"78*")&gt;0,COUNTIF(J1022,"*78*")&gt;0,COUNTIF(I1022,"81*")&gt;0,COUNTIF(J1022,"*81*")&gt;0,COUNTIF(I1022,"82*")&gt;0,COUNTIF(J1022,"*82*")&gt;0,COUNTIF(I1022,"64*")&gt;0,COUNTIF(J1022,"*64*")&gt;0,COUNTIF(I1022,"65*")&gt;0,COUNTIF(J1022,"*65*")&gt;0,COUNTIF(I1022,"66*")&gt;0,COUNTIF(J1022,"*66*")&gt;0,COUNTIF(I1022,"61*")&gt;0,COUNTIF(J1022,"*61*")&gt;0,COUNTIF(I1022,"62*")&gt;0,COUNTIF(J1022,"*62*")&gt;0,COUNTIF(I1022,"63*")&gt;0,COUNTIF(J1022,"*63*")&gt;0,COUNTIF(I1022,"85*")&gt;0,COUNTIF(J1022,"*85*")&gt;0,COUNTIF(I1022,"86*")&gt;0,COUNTIF(J1022,"*86*")&gt;0),"Да","Нет"))</f>
        <v/>
      </c>
      <c r="M1022" s="13">
        <f>IF(OR(G1022="",L1022&lt;&gt;"Да"),"",IF(G1022&lt;=100,"До 100",IF(G1022&lt;=200,"До 200",IF(G1022&lt;=500,"До 500","Отдельное КП"))))</f>
        <v/>
      </c>
      <c r="N1022" s="15">
        <f>IF(OR(G1022="",L1022&lt;&gt;"Да"),"",IF(G1022&lt;=100,33600,IF(G1022&lt;=200,62400,IF(G1022&lt;=500,144000,""))))</f>
        <v/>
      </c>
      <c r="O1022" s="16">
        <f>IF(G1022="","",IF(G1022&lt;=15,"1–15",IF(G1022&lt;=30,"16–30",IF(G1022&lt;=50,"31–50",IF(G1022&lt;=100,"51–100",IF(G1022&lt;=150,"101–150",IF(G1022&lt;=200,"151–200",IF(G1022&lt;=500,"201–500","500+"))))))))</f>
        <v/>
      </c>
      <c r="P1022" s="16" t="inlineStr">
        <is>
          <t>Нет совпадения в предоставленной выгрузке ССЧР</t>
        </is>
      </c>
      <c r="Q1022" s="16" t="n"/>
      <c r="R1022" s="16">
        <f>HYPERLINK("https://checko.ru/search?query=3801001629","Чекко: проверить")</f>
        <v/>
      </c>
      <c r="S1022" t="n">
        <v>0</v>
      </c>
    </row>
    <row r="1023" ht="27.75" customHeight="1" s="24">
      <c r="A1023" s="13" t="n">
        <v>5000060618</v>
      </c>
      <c r="B1023" s="13" t="inlineStr">
        <is>
          <t>ОГОУ НПО Мелекесский профессиональный Агролицей имени Героя Совет</t>
        </is>
      </c>
      <c r="C1023" s="13" t="n">
        <v>7310001342</v>
      </c>
      <c r="D1023" s="13" t="inlineStr">
        <is>
          <t>7310001342</t>
        </is>
      </c>
      <c r="E1023" s="13" t="inlineStr">
        <is>
          <t>ЮЛ РФ</t>
        </is>
      </c>
      <c r="F1023" s="13" t="n"/>
      <c r="G1023" s="14" t="n"/>
      <c r="H1023" s="14" t="n"/>
      <c r="I1023" s="14" t="n"/>
      <c r="J1023" s="14" t="n"/>
      <c r="K1023" s="53" t="inlineStr"/>
      <c r="L1023" s="53" t="inlineStr">
        <is>
          <t>Не определено</t>
        </is>
      </c>
      <c r="M1023" s="53" t="inlineStr"/>
      <c r="N1023" s="54" t="inlineStr"/>
      <c r="O1023" s="55" t="inlineStr"/>
      <c r="P1023" s="16" t="inlineStr">
        <is>
          <t>Требует обогащения</t>
        </is>
      </c>
      <c r="Q1023" s="16">
        <f>HYPERLINK("https://pb.nalog.ru/search.html?query=7310001342","ФНС: проверить")</f>
        <v/>
      </c>
      <c r="R1023" s="16">
        <f>HYPERLINK("https://checko.ru/search?query=3801001629","Чекко: проверить")</f>
        <v/>
      </c>
      <c r="S1023" t="n">
        <v>1</v>
      </c>
      <c r="T1023" s="35" t="inlineStr">
        <is>
          <t>4 — Не обогащён</t>
        </is>
      </c>
      <c r="U1023" s="35" t="inlineStr">
        <is>
          <t>Нет ОКВЭД/ССЧР</t>
        </is>
      </c>
      <c r="V1023" s="35" t="inlineStr">
        <is>
          <t>Не определено</t>
        </is>
      </c>
      <c r="W1023" s="35" t="inlineStr"/>
      <c r="X1023" s="35" t="inlineStr"/>
    </row>
    <row r="1024" ht="15" customHeight="1" s="24">
      <c r="A1024" s="13" t="n">
        <v>5000008568</v>
      </c>
      <c r="B1024" s="13" t="inlineStr">
        <is>
          <t>УФССП России по Республике Марий Эл</t>
        </is>
      </c>
      <c r="C1024" s="13" t="n">
        <v>1215099182</v>
      </c>
      <c r="D1024" s="13" t="inlineStr">
        <is>
          <t>1215099182</t>
        </is>
      </c>
      <c r="E1024" s="13" t="inlineStr">
        <is>
          <t>ЮЛ РФ</t>
        </is>
      </c>
      <c r="F1024" s="13" t="n"/>
      <c r="G1024" s="14" t="n"/>
      <c r="H1024" s="14" t="n"/>
      <c r="I1024" s="14" t="n"/>
      <c r="J1024" s="14" t="n"/>
      <c r="K1024" s="53" t="inlineStr"/>
      <c r="L1024" s="53" t="inlineStr">
        <is>
          <t>Не определено</t>
        </is>
      </c>
      <c r="M1024" s="53" t="inlineStr"/>
      <c r="N1024" s="54" t="inlineStr"/>
      <c r="O1024" s="55" t="inlineStr"/>
      <c r="P1024" s="16" t="inlineStr">
        <is>
          <t>Требует обогащения</t>
        </is>
      </c>
      <c r="Q1024" s="16">
        <f>HYPERLINK("https://pb.nalog.ru/search.html?query=1215099182","ФНС: проверить")</f>
        <v/>
      </c>
      <c r="R1024" s="16">
        <f>HYPERLINK("https://checko.ru/search?query=3801001629","Чекко: проверить")</f>
        <v/>
      </c>
      <c r="S1024" t="n">
        <v>1</v>
      </c>
      <c r="T1024" s="35" t="inlineStr">
        <is>
          <t>4 — Не обогащён</t>
        </is>
      </c>
      <c r="U1024" s="35" t="inlineStr">
        <is>
          <t>Нет ОКВЭД/ССЧР</t>
        </is>
      </c>
      <c r="V1024" s="35" t="inlineStr">
        <is>
          <t>Не определено</t>
        </is>
      </c>
      <c r="W1024" s="35" t="inlineStr"/>
      <c r="X1024" s="35" t="inlineStr"/>
    </row>
    <row r="1025" ht="27.75" customHeight="1" s="24">
      <c r="A1025" s="13" t="n">
        <v>5000001960</v>
      </c>
      <c r="B1025" s="13" t="inlineStr">
        <is>
          <t>ОГБОУ СПО «Боханский педагогический колледж им. Д.Банзарова»</t>
        </is>
      </c>
      <c r="C1025" s="13" t="n">
        <v>8503002023</v>
      </c>
      <c r="D1025" s="13" t="inlineStr">
        <is>
          <t>8503002023</t>
        </is>
      </c>
      <c r="E1025" s="13" t="inlineStr">
        <is>
          <t>ЮЛ РФ</t>
        </is>
      </c>
      <c r="F1025" s="13" t="n"/>
      <c r="G1025" s="14" t="n"/>
      <c r="H1025" s="14" t="n"/>
      <c r="I1025" s="14" t="n"/>
      <c r="J1025" s="14" t="n"/>
      <c r="K1025" s="53" t="inlineStr"/>
      <c r="L1025" s="53" t="inlineStr">
        <is>
          <t>Не определено</t>
        </is>
      </c>
      <c r="M1025" s="53" t="inlineStr"/>
      <c r="N1025" s="54" t="inlineStr"/>
      <c r="O1025" s="55" t="inlineStr"/>
      <c r="P1025" s="16" t="inlineStr">
        <is>
          <t>Требует обогащения</t>
        </is>
      </c>
      <c r="Q1025" s="16">
        <f>HYPERLINK("https://pb.nalog.ru/search.html?query=8503002023","ФНС: проверить")</f>
        <v/>
      </c>
      <c r="R1025" s="16">
        <f>HYPERLINK("https://checko.ru/search?query=3801001629","Чекко: проверить")</f>
        <v/>
      </c>
      <c r="S1025" t="n">
        <v>1</v>
      </c>
      <c r="T1025" s="35" t="inlineStr">
        <is>
          <t>4 — Не обогащён</t>
        </is>
      </c>
      <c r="U1025" s="35" t="inlineStr">
        <is>
          <t>Нет ОКВЭД/ССЧР</t>
        </is>
      </c>
      <c r="V1025" s="35" t="inlineStr">
        <is>
          <t>Не определено</t>
        </is>
      </c>
      <c r="W1025" s="35" t="inlineStr"/>
      <c r="X1025" s="35" t="inlineStr"/>
    </row>
    <row r="1026" ht="15" customHeight="1" s="24">
      <c r="A1026" s="13" t="n">
        <v>5000008582</v>
      </c>
      <c r="B1026" s="13" t="inlineStr">
        <is>
          <t>УФССП России по Республике Адыгея</t>
        </is>
      </c>
      <c r="C1026" s="13" t="n">
        <v>105043869</v>
      </c>
      <c r="D1026" s="13" t="n"/>
      <c r="E1026" s="13" t="inlineStr">
        <is>
          <t>Не определён</t>
        </is>
      </c>
      <c r="F1026" s="13" t="inlineStr">
        <is>
          <t>105043869</t>
        </is>
      </c>
      <c r="G1026" s="14" t="n"/>
      <c r="H1026" s="14" t="n"/>
      <c r="I1026" s="14" t="n"/>
      <c r="J1026" s="14" t="n"/>
      <c r="K1026" s="13">
        <f>IF(G1026="","",IF(G1026&gt;=22,"Да","Нет"))</f>
        <v/>
      </c>
      <c r="L1026" s="13">
        <f>IF(OR(I1026="",J1026=""),"Не определено",IF(OR(COUNTIF(I1026,"45*")&gt;0,COUNTIF(J1026,"*45*")&gt;0,COUNTIF(I1026,"46*")&gt;0,COUNTIF(J1026,"*46*")&gt;0,COUNTIF(I1026,"47*")&gt;0,COUNTIF(J1026,"*47*")&gt;0,COUNTIF(I1026,"10*")&gt;0,COUNTIF(J1026,"*10*")&gt;0,COUNTIF(I1026,"11*")&gt;0,COUNTIF(J1026,"*11*")&gt;0,COUNTIF(I1026,"12*")&gt;0,COUNTIF(J1026,"*12*")&gt;0,COUNTIF(I1026,"13*")&gt;0,COUNTIF(J1026,"*13*")&gt;0,COUNTIF(I1026,"14*")&gt;0,COUNTIF(J1026,"*14*")&gt;0,COUNTIF(I1026,"15*")&gt;0,COUNTIF(J1026,"*15*")&gt;0,COUNTIF(I1026,"16*")&gt;0,COUNTIF(J1026,"*16*")&gt;0,COUNTIF(I1026,"17*")&gt;0,COUNTIF(J1026,"*17*")&gt;0,COUNTIF(I1026,"18*")&gt;0,COUNTIF(J1026,"*18*")&gt;0,COUNTIF(I1026,"19*")&gt;0,COUNTIF(J1026,"*19*")&gt;0,COUNTIF(I1026,"20*")&gt;0,COUNTIF(J1026,"*20*")&gt;0,COUNTIF(I1026,"21*")&gt;0,COUNTIF(J1026,"*21*")&gt;0,COUNTIF(I1026,"22*")&gt;0,COUNTIF(J1026,"*22*")&gt;0,COUNTIF(I1026,"23*")&gt;0,COUNTIF(J1026,"*23*")&gt;0,COUNTIF(I1026,"24*")&gt;0,COUNTIF(J1026,"*24*")&gt;0,COUNTIF(I1026,"25*")&gt;0,COUNTIF(J1026,"*25*")&gt;0,COUNTIF(I1026,"26*")&gt;0,COUNTIF(J1026,"*26*")&gt;0,COUNTIF(I1026,"27*")&gt;0,COUNTIF(J1026,"*27*")&gt;0,COUNTIF(I1026,"28*")&gt;0,COUNTIF(J1026,"*28*")&gt;0,COUNTIF(I1026,"29*")&gt;0,COUNTIF(J1026,"*29*")&gt;0,COUNTIF(I1026,"30*")&gt;0,COUNTIF(J1026,"*30*")&gt;0,COUNTIF(I1026,"31*")&gt;0,COUNTIF(J1026,"*31*")&gt;0,COUNTIF(I1026,"32*")&gt;0,COUNTIF(J1026,"*32*")&gt;0,COUNTIF(I1026,"33*")&gt;0,COUNTIF(J1026,"*33*")&gt;0,COUNTIF(I1026,"41*")&gt;0,COUNTIF(J1026,"*41*")&gt;0,COUNTIF(I1026,"42*")&gt;0,COUNTIF(J1026,"*42*")&gt;0,COUNTIF(I1026,"43*")&gt;0,COUNTIF(J1026,"*43*")&gt;0,COUNTIF(I1026,"49*")&gt;0,COUNTIF(J1026,"*49*")&gt;0,COUNTIF(I1026,"52*")&gt;0,COUNTIF(J1026,"*52*")&gt;0,COUNTIF(I1026,"55*")&gt;0,COUNTIF(J1026,"*55*")&gt;0,COUNTIF(I1026,"56*")&gt;0,COUNTIF(J1026,"*56*")&gt;0,COUNTIF(I1026,"68*")&gt;0,COUNTIF(J1026,"*68*")&gt;0,COUNTIF(I1026,"78*")&gt;0,COUNTIF(J1026,"*78*")&gt;0,COUNTIF(I1026,"81*")&gt;0,COUNTIF(J1026,"*81*")&gt;0,COUNTIF(I1026,"82*")&gt;0,COUNTIF(J1026,"*82*")&gt;0,COUNTIF(I1026,"64*")&gt;0,COUNTIF(J1026,"*64*")&gt;0,COUNTIF(I1026,"65*")&gt;0,COUNTIF(J1026,"*65*")&gt;0,COUNTIF(I1026,"66*")&gt;0,COUNTIF(J1026,"*66*")&gt;0,COUNTIF(I1026,"61*")&gt;0,COUNTIF(J1026,"*61*")&gt;0,COUNTIF(I1026,"62*")&gt;0,COUNTIF(J1026,"*62*")&gt;0,COUNTIF(I1026,"63*")&gt;0,COUNTIF(J1026,"*63*")&gt;0,COUNTIF(I1026,"85*")&gt;0,COUNTIF(J1026,"*85*")&gt;0,COUNTIF(I1026,"86*")&gt;0,COUNTIF(J1026,"*86*")&gt;0),"Да","Нет"))</f>
        <v/>
      </c>
      <c r="M1026" s="13">
        <f>IF(OR(G1026="",L1026&lt;&gt;"Да"),"",IF(G1026&lt;=100,"До 100",IF(G1026&lt;=200,"До 200",IF(G1026&lt;=500,"До 500","Отдельное КП"))))</f>
        <v/>
      </c>
      <c r="N1026" s="15">
        <f>IF(OR(G1026="",L1026&lt;&gt;"Да"),"",IF(G1026&lt;=100,33600,IF(G1026&lt;=200,62400,IF(G1026&lt;=500,144000,""))))</f>
        <v/>
      </c>
      <c r="O1026" s="16">
        <f>IF(G1026="","",IF(G1026&lt;=15,"1–15",IF(G1026&lt;=30,"16–30",IF(G1026&lt;=50,"31–50",IF(G1026&lt;=100,"51–100",IF(G1026&lt;=150,"101–150",IF(G1026&lt;=200,"151–200",IF(G1026&lt;=500,"201–500","500+"))))))))</f>
        <v/>
      </c>
      <c r="P1026" s="16" t="inlineStr">
        <is>
          <t>Нет совпадения в предоставленной выгрузке ССЧР</t>
        </is>
      </c>
      <c r="Q1026" s="16" t="n"/>
      <c r="R1026" s="16">
        <f>HYPERLINK("https://checko.ru/search?query=3801001629","Чекко: проверить")</f>
        <v/>
      </c>
      <c r="S1026" t="n">
        <v>0</v>
      </c>
    </row>
    <row r="1027" ht="27.75" customHeight="1" s="24">
      <c r="A1027" s="13" t="n">
        <v>5000014010</v>
      </c>
      <c r="B1027" s="13" t="inlineStr">
        <is>
          <t>Администрация Витимского ГП Мамско-Чуйского района</t>
        </is>
      </c>
      <c r="C1027" s="13" t="n">
        <v>3802010440</v>
      </c>
      <c r="D1027" s="13" t="inlineStr">
        <is>
          <t>3802010440</t>
        </is>
      </c>
      <c r="E1027" s="13" t="inlineStr">
        <is>
          <t>ЮЛ РФ</t>
        </is>
      </c>
      <c r="F1027" s="13" t="n"/>
      <c r="G1027" s="14" t="n"/>
      <c r="H1027" s="14" t="n"/>
      <c r="I1027" s="14" t="n"/>
      <c r="J1027" s="14" t="n"/>
      <c r="K1027" s="53" t="inlineStr"/>
      <c r="L1027" s="53" t="inlineStr">
        <is>
          <t>Не определено</t>
        </is>
      </c>
      <c r="M1027" s="53" t="inlineStr"/>
      <c r="N1027" s="54" t="inlineStr"/>
      <c r="O1027" s="55" t="inlineStr"/>
      <c r="P1027" s="16" t="inlineStr">
        <is>
          <t>Требует обогащения</t>
        </is>
      </c>
      <c r="Q1027" s="16">
        <f>HYPERLINK("https://pb.nalog.ru/search.html?query=3802010440","ФНС: проверить")</f>
        <v/>
      </c>
      <c r="R1027" s="16">
        <f>HYPERLINK("https://checko.ru/search?query=3801001629","Чекко: проверить")</f>
        <v/>
      </c>
      <c r="S1027" t="n">
        <v>1</v>
      </c>
      <c r="T1027" s="35" t="inlineStr">
        <is>
          <t>4 — Не обогащён</t>
        </is>
      </c>
      <c r="U1027" s="35" t="inlineStr">
        <is>
          <t>Нет ОКВЭД/ССЧР</t>
        </is>
      </c>
      <c r="V1027" s="35" t="inlineStr">
        <is>
          <t>Не определено</t>
        </is>
      </c>
      <c r="W1027" s="35" t="inlineStr"/>
      <c r="X1027" s="35" t="inlineStr"/>
    </row>
    <row r="1028" ht="27.75" customHeight="1" s="24">
      <c r="A1028" s="13" t="n">
        <v>5000014012</v>
      </c>
      <c r="B1028" s="13" t="inlineStr">
        <is>
          <t>Администрация Луговского ГП Мамско-Чуйского района</t>
        </is>
      </c>
      <c r="C1028" s="13" t="n">
        <v>3802010425</v>
      </c>
      <c r="D1028" s="13" t="inlineStr">
        <is>
          <t>3802010425</t>
        </is>
      </c>
      <c r="E1028" s="13" t="inlineStr">
        <is>
          <t>ЮЛ РФ</t>
        </is>
      </c>
      <c r="F1028" s="13" t="n"/>
      <c r="G1028" s="14" t="n"/>
      <c r="H1028" s="14" t="n"/>
      <c r="I1028" s="14" t="n"/>
      <c r="J1028" s="14" t="n"/>
      <c r="K1028" s="53" t="inlineStr"/>
      <c r="L1028" s="53" t="inlineStr">
        <is>
          <t>Не определено</t>
        </is>
      </c>
      <c r="M1028" s="53" t="inlineStr"/>
      <c r="N1028" s="54" t="inlineStr"/>
      <c r="O1028" s="55" t="inlineStr"/>
      <c r="P1028" s="16" t="inlineStr">
        <is>
          <t>Требует обогащения</t>
        </is>
      </c>
      <c r="Q1028" s="16">
        <f>HYPERLINK("https://pb.nalog.ru/search.html?query=3802010425","ФНС: проверить")</f>
        <v/>
      </c>
      <c r="R1028" s="16">
        <f>HYPERLINK("https://checko.ru/search?query=3801001629","Чекко: проверить")</f>
        <v/>
      </c>
      <c r="S1028" t="n">
        <v>1</v>
      </c>
      <c r="T1028" s="35" t="inlineStr">
        <is>
          <t>4 — Не обогащён</t>
        </is>
      </c>
      <c r="U1028" s="35" t="inlineStr">
        <is>
          <t>Нет ОКВЭД/ССЧР</t>
        </is>
      </c>
      <c r="V1028" s="35" t="inlineStr">
        <is>
          <t>Не определено</t>
        </is>
      </c>
      <c r="W1028" s="35" t="inlineStr"/>
      <c r="X1028" s="35" t="inlineStr"/>
    </row>
    <row r="1029" ht="41.25" customHeight="1" s="24">
      <c r="A1029" s="13" t="n">
        <v>5000060603</v>
      </c>
      <c r="B1029" s="13" t="inlineStr">
        <is>
          <t>ОБЛАСТНОЕ ГОСУДАРСТВЕННОЕ КАЗЁННОЕ УЧРЕЖДЕНИЕ ДЛЯ ДЕТЕЙ-СИРОТ И ДЕТЕЙ, ОСТАВШИХСЯ БЕЗ ПОПЕЧЕНИЯ РОДИ</t>
        </is>
      </c>
      <c r="C1029" s="13" t="n">
        <v>7328027091</v>
      </c>
      <c r="D1029" s="13" t="inlineStr">
        <is>
          <t>7328027091</t>
        </is>
      </c>
      <c r="E1029" s="13" t="inlineStr">
        <is>
          <t>ЮЛ РФ</t>
        </is>
      </c>
      <c r="F1029" s="13" t="n"/>
      <c r="G1029" s="14" t="n"/>
      <c r="H1029" s="14" t="n"/>
      <c r="I1029" s="14" t="n"/>
      <c r="J1029" s="14" t="n"/>
      <c r="K1029" s="53" t="inlineStr"/>
      <c r="L1029" s="53" t="inlineStr">
        <is>
          <t>Не определено</t>
        </is>
      </c>
      <c r="M1029" s="53" t="inlineStr"/>
      <c r="N1029" s="54" t="inlineStr"/>
      <c r="O1029" s="55" t="inlineStr"/>
      <c r="P1029" s="16" t="inlineStr">
        <is>
          <t>Требует обогащения</t>
        </is>
      </c>
      <c r="Q1029" s="16">
        <f>HYPERLINK("https://pb.nalog.ru/search.html?query=7328027091","ФНС: проверить")</f>
        <v/>
      </c>
      <c r="R1029" s="16">
        <f>HYPERLINK("https://checko.ru/search?query=3801001629","Чекко: проверить")</f>
        <v/>
      </c>
      <c r="S1029" t="n">
        <v>1</v>
      </c>
      <c r="T1029" s="35" t="inlineStr">
        <is>
          <t>4 — Не обогащён</t>
        </is>
      </c>
      <c r="U1029" s="35" t="inlineStr">
        <is>
          <t>Нет ОКВЭД/ССЧР</t>
        </is>
      </c>
      <c r="V1029" s="35" t="inlineStr">
        <is>
          <t>Не определено</t>
        </is>
      </c>
      <c r="W1029" s="35" t="inlineStr"/>
      <c r="X1029" s="35" t="inlineStr"/>
    </row>
    <row r="1030" ht="41.25" customHeight="1" s="24">
      <c r="A1030" s="13" t="n">
        <v>5000060610</v>
      </c>
      <c r="B1030" s="13" t="inlineStr">
        <is>
          <t>ОБЛАСТНОЕ ГОСУДАРСТВЕННОЕ КАЗЁННОЕ УЧРЕЖДЕНИЕ СОЦИАЛЬНОГО ОБСЛУЖИВАНИЯ "СОЦИАЛЬНО - РЕАБИЛИТАЦИОННЫЙ</t>
        </is>
      </c>
      <c r="C1030" s="13" t="n">
        <v>7328027133</v>
      </c>
      <c r="D1030" s="13" t="inlineStr">
        <is>
          <t>7328027133</t>
        </is>
      </c>
      <c r="E1030" s="13" t="inlineStr">
        <is>
          <t>ЮЛ РФ</t>
        </is>
      </c>
      <c r="F1030" s="13" t="n"/>
      <c r="G1030" s="14" t="n"/>
      <c r="H1030" s="14" t="n"/>
      <c r="I1030" s="14" t="n"/>
      <c r="J1030" s="14" t="n"/>
      <c r="K1030" s="53" t="inlineStr"/>
      <c r="L1030" s="53" t="inlineStr">
        <is>
          <t>Не определено</t>
        </is>
      </c>
      <c r="M1030" s="53" t="inlineStr"/>
      <c r="N1030" s="54" t="inlineStr"/>
      <c r="O1030" s="55" t="inlineStr"/>
      <c r="P1030" s="16" t="inlineStr">
        <is>
          <t>Требует обогащения</t>
        </is>
      </c>
      <c r="Q1030" s="16">
        <f>HYPERLINK("https://pb.nalog.ru/search.html?query=7328027133","ФНС: проверить")</f>
        <v/>
      </c>
      <c r="R1030" s="16">
        <f>HYPERLINK("https://checko.ru/search?query=3801001629","Чекко: проверить")</f>
        <v/>
      </c>
      <c r="S1030" t="n">
        <v>1</v>
      </c>
      <c r="T1030" s="35" t="inlineStr">
        <is>
          <t>4 — Не обогащён</t>
        </is>
      </c>
      <c r="U1030" s="35" t="inlineStr">
        <is>
          <t>Нет ОКВЭД/ССЧР</t>
        </is>
      </c>
      <c r="V1030" s="35" t="inlineStr">
        <is>
          <t>Не определено</t>
        </is>
      </c>
      <c r="W1030" s="35" t="inlineStr"/>
      <c r="X1030" s="35" t="inlineStr"/>
    </row>
    <row r="1031" ht="54.75" customHeight="1" s="24">
      <c r="A1031" s="13" t="n">
        <v>5000062598</v>
      </c>
      <c r="B1031" s="13" t="inlineStr">
        <is>
          <t>ГОСУДАРСТВЕННОЕ УЧРЕЖДЕНИЕ ЗДРАВООХРАНЕНИЯ ДЕТСКИЙ ПРОТИВОТУБЕРКУЛЕЗНЫЙ САНАТОРИЙ "БЕЛОЕ ОЗЕРО"</t>
        </is>
      </c>
      <c r="C1031" s="13" t="n">
        <v>7311000359</v>
      </c>
      <c r="D1031" s="13" t="inlineStr">
        <is>
          <t>7311000359</t>
        </is>
      </c>
      <c r="E1031" s="13" t="inlineStr">
        <is>
          <t>ЮЛ РФ</t>
        </is>
      </c>
      <c r="F1031" s="13" t="n"/>
      <c r="G1031" s="14" t="n"/>
      <c r="H1031" s="14" t="n"/>
      <c r="I1031" s="14" t="n"/>
      <c r="J1031" s="14" t="n"/>
      <c r="K1031" s="53" t="inlineStr"/>
      <c r="L1031" s="53" t="inlineStr">
        <is>
          <t>Не определено</t>
        </is>
      </c>
      <c r="M1031" s="53" t="inlineStr"/>
      <c r="N1031" s="54" t="inlineStr"/>
      <c r="O1031" s="55" t="inlineStr"/>
      <c r="P1031" s="16" t="inlineStr">
        <is>
          <t>Требует обогащения</t>
        </is>
      </c>
      <c r="Q1031" s="16">
        <f>HYPERLINK("https://pb.nalog.ru/search.html?query=7311000359","ФНС: проверить")</f>
        <v/>
      </c>
      <c r="R1031" s="16">
        <f>HYPERLINK("https://checko.ru/search?query=3801001629","Чекко: проверить")</f>
        <v/>
      </c>
      <c r="S1031" t="n">
        <v>1</v>
      </c>
      <c r="T1031" s="35" t="inlineStr">
        <is>
          <t>4 — Не обогащён</t>
        </is>
      </c>
      <c r="U1031" s="35" t="inlineStr">
        <is>
          <t>Нет ОКВЭД/ССЧР</t>
        </is>
      </c>
      <c r="V1031" s="35" t="inlineStr">
        <is>
          <t>Не определено</t>
        </is>
      </c>
      <c r="W1031" s="35" t="inlineStr"/>
      <c r="X1031" s="35" t="inlineStr"/>
    </row>
    <row r="1032" ht="15" customHeight="1" s="24">
      <c r="A1032" s="13" t="n">
        <v>5000116683</v>
      </c>
      <c r="B1032" s="13" t="inlineStr">
        <is>
          <t>МБУ Одинцовский Молодежный центр</t>
        </is>
      </c>
      <c r="C1032" s="13" t="n">
        <v>5032266933</v>
      </c>
      <c r="D1032" s="13" t="inlineStr">
        <is>
          <t>5032266933</t>
        </is>
      </c>
      <c r="E1032" s="13" t="inlineStr">
        <is>
          <t>ЮЛ РФ</t>
        </is>
      </c>
      <c r="F1032" s="13" t="n"/>
      <c r="G1032" s="14" t="n"/>
      <c r="H1032" s="14" t="n"/>
      <c r="I1032" s="14" t="n"/>
      <c r="J1032" s="14" t="n"/>
      <c r="K1032" s="53" t="inlineStr"/>
      <c r="L1032" s="53" t="inlineStr">
        <is>
          <t>Не определено</t>
        </is>
      </c>
      <c r="M1032" s="53" t="inlineStr"/>
      <c r="N1032" s="54" t="inlineStr"/>
      <c r="O1032" s="55" t="inlineStr"/>
      <c r="P1032" s="16" t="inlineStr">
        <is>
          <t>Требует обогащения</t>
        </is>
      </c>
      <c r="Q1032" s="16">
        <f>HYPERLINK("https://pb.nalog.ru/search.html?query=5032266933","ФНС: проверить")</f>
        <v/>
      </c>
      <c r="R1032" s="16">
        <f>HYPERLINK("https://checko.ru/search?query=3801001629","Чекко: проверить")</f>
        <v/>
      </c>
      <c r="S1032" t="n">
        <v>1</v>
      </c>
      <c r="T1032" s="35" t="inlineStr">
        <is>
          <t>4 — Не обогащён</t>
        </is>
      </c>
      <c r="U1032" s="35" t="inlineStr">
        <is>
          <t>Нет ОКВЭД/ССЧР</t>
        </is>
      </c>
      <c r="V1032" s="35" t="inlineStr">
        <is>
          <t>Не определено</t>
        </is>
      </c>
      <c r="W1032" s="35" t="inlineStr"/>
      <c r="X1032" s="35" t="inlineStr"/>
    </row>
    <row r="1033" ht="41.25" customHeight="1" s="24">
      <c r="A1033" s="13" t="n">
        <v>5000001710</v>
      </c>
      <c r="B1033" s="13" t="inlineStr">
        <is>
          <t>Областное Государственное казенное учреждение социального Обслуживания "Центр социальной помощи семье и детям Нижнеилимского района"</t>
        </is>
      </c>
      <c r="C1033" s="13" t="n">
        <v>3834008563</v>
      </c>
      <c r="D1033" s="13" t="inlineStr">
        <is>
          <t>3834008563</t>
        </is>
      </c>
      <c r="E1033" s="13" t="inlineStr">
        <is>
          <t>ЮЛ РФ</t>
        </is>
      </c>
      <c r="F1033" s="13" t="n"/>
      <c r="G1033" s="14" t="n"/>
      <c r="H1033" s="14" t="n"/>
      <c r="I1033" s="14" t="n"/>
      <c r="J1033" s="14" t="n"/>
      <c r="K1033" s="53" t="inlineStr"/>
      <c r="L1033" s="53" t="inlineStr">
        <is>
          <t>Не определено</t>
        </is>
      </c>
      <c r="M1033" s="53" t="inlineStr"/>
      <c r="N1033" s="54" t="inlineStr"/>
      <c r="O1033" s="55" t="inlineStr"/>
      <c r="P1033" s="16" t="inlineStr">
        <is>
          <t>Требует обогащения</t>
        </is>
      </c>
      <c r="Q1033" s="16">
        <f>HYPERLINK("https://pb.nalog.ru/search.html?query=3834008563","ФНС: проверить")</f>
        <v/>
      </c>
      <c r="R1033" s="16">
        <f>HYPERLINK("https://checko.ru/search?query=3801001629","Чекко: проверить")</f>
        <v/>
      </c>
      <c r="S1033" t="n">
        <v>1</v>
      </c>
      <c r="T1033" s="35" t="inlineStr">
        <is>
          <t>4 — Не обогащён</t>
        </is>
      </c>
      <c r="U1033" s="35" t="inlineStr">
        <is>
          <t>Нет ОКВЭД/ССЧР</t>
        </is>
      </c>
      <c r="V1033" s="35" t="inlineStr">
        <is>
          <t>Не определено</t>
        </is>
      </c>
      <c r="W1033" s="35" t="inlineStr"/>
      <c r="X1033" s="35" t="inlineStr"/>
    </row>
    <row r="1034" ht="27.75" customHeight="1" s="24">
      <c r="A1034" s="13" t="n">
        <v>5000001730</v>
      </c>
      <c r="B1034" s="13" t="inlineStr">
        <is>
          <t>ГКУ Минсоцразвития, опеки и попечительства Иркутской области</t>
        </is>
      </c>
      <c r="C1034" s="13" t="n">
        <v>3808170986</v>
      </c>
      <c r="D1034" s="13" t="inlineStr">
        <is>
          <t>3808170986</t>
        </is>
      </c>
      <c r="E1034" s="13" t="inlineStr">
        <is>
          <t>ЮЛ РФ</t>
        </is>
      </c>
      <c r="F1034" s="13" t="n"/>
      <c r="G1034" s="14" t="n"/>
      <c r="H1034" s="14" t="n"/>
      <c r="I1034" s="14" t="n"/>
      <c r="J1034" s="14" t="n"/>
      <c r="K1034" s="53" t="inlineStr"/>
      <c r="L1034" s="53" t="inlineStr">
        <is>
          <t>Не определено</t>
        </is>
      </c>
      <c r="M1034" s="53" t="inlineStr"/>
      <c r="N1034" s="54" t="inlineStr"/>
      <c r="O1034" s="55" t="inlineStr"/>
      <c r="P1034" s="16" t="inlineStr">
        <is>
          <t>Требует обогащения</t>
        </is>
      </c>
      <c r="Q1034" s="16">
        <f>HYPERLINK("https://pb.nalog.ru/search.html?query=3808170986","ФНС: проверить")</f>
        <v/>
      </c>
      <c r="R1034" s="16">
        <f>HYPERLINK("https://checko.ru/search?query=3801001629","Чекко: проверить")</f>
        <v/>
      </c>
      <c r="S1034" t="n">
        <v>1</v>
      </c>
      <c r="T1034" s="35" t="inlineStr">
        <is>
          <t>4 — Не обогащён</t>
        </is>
      </c>
      <c r="U1034" s="35" t="inlineStr">
        <is>
          <t>Нет ОКВЭД/ССЧР</t>
        </is>
      </c>
      <c r="V1034" s="35" t="inlineStr">
        <is>
          <t>Не определено</t>
        </is>
      </c>
      <c r="W1034" s="35" t="inlineStr"/>
      <c r="X1034" s="35" t="inlineStr"/>
    </row>
    <row r="1035" ht="15" customHeight="1" s="24">
      <c r="A1035" s="13" t="n">
        <v>5000014483</v>
      </c>
      <c r="B1035" s="13" t="inlineStr">
        <is>
          <t>УФССП России по Тульской области</t>
        </is>
      </c>
      <c r="C1035" s="13" t="n">
        <v>7101006403</v>
      </c>
      <c r="D1035" s="13" t="inlineStr">
        <is>
          <t>7101006403</t>
        </is>
      </c>
      <c r="E1035" s="13" t="inlineStr">
        <is>
          <t>ЮЛ РФ</t>
        </is>
      </c>
      <c r="F1035" s="13" t="n"/>
      <c r="G1035" s="14" t="n"/>
      <c r="H1035" s="14" t="n"/>
      <c r="I1035" s="14" t="n"/>
      <c r="J1035" s="14" t="n"/>
      <c r="K1035" s="53" t="inlineStr"/>
      <c r="L1035" s="53" t="inlineStr">
        <is>
          <t>Не определено</t>
        </is>
      </c>
      <c r="M1035" s="53" t="inlineStr"/>
      <c r="N1035" s="54" t="inlineStr"/>
      <c r="O1035" s="55" t="inlineStr"/>
      <c r="P1035" s="16" t="inlineStr">
        <is>
          <t>Требует обогащения</t>
        </is>
      </c>
      <c r="Q1035" s="16">
        <f>HYPERLINK("https://pb.nalog.ru/search.html?query=7101006403","ФНС: проверить")</f>
        <v/>
      </c>
      <c r="R1035" s="16">
        <f>HYPERLINK("https://checko.ru/search?query=3801001629","Чекко: проверить")</f>
        <v/>
      </c>
      <c r="S1035" t="n">
        <v>1</v>
      </c>
      <c r="T1035" s="35" t="inlineStr">
        <is>
          <t>4 — Не обогащён</t>
        </is>
      </c>
      <c r="U1035" s="35" t="inlineStr">
        <is>
          <t>Нет ОКВЭД/ССЧР</t>
        </is>
      </c>
      <c r="V1035" s="35" t="inlineStr">
        <is>
          <t>Не определено</t>
        </is>
      </c>
      <c r="W1035" s="35" t="inlineStr"/>
      <c r="X1035" s="35" t="inlineStr"/>
    </row>
    <row r="1036" ht="15" customHeight="1" s="24">
      <c r="A1036" s="13" t="n">
        <v>5000014484</v>
      </c>
      <c r="B1036" s="13" t="inlineStr">
        <is>
          <t>УФССП России по Тюменской области</t>
        </is>
      </c>
      <c r="C1036" s="13" t="n">
        <v>7203155161</v>
      </c>
      <c r="D1036" s="13" t="inlineStr">
        <is>
          <t>7203155161</t>
        </is>
      </c>
      <c r="E1036" s="13" t="inlineStr">
        <is>
          <t>ЮЛ РФ</t>
        </is>
      </c>
      <c r="F1036" s="13" t="n"/>
      <c r="G1036" s="14" t="n"/>
      <c r="H1036" s="14" t="n"/>
      <c r="I1036" s="14" t="n"/>
      <c r="J1036" s="14" t="n"/>
      <c r="K1036" s="53" t="inlineStr"/>
      <c r="L1036" s="53" t="inlineStr">
        <is>
          <t>Не определено</t>
        </is>
      </c>
      <c r="M1036" s="53" t="inlineStr"/>
      <c r="N1036" s="54" t="inlineStr"/>
      <c r="O1036" s="55" t="inlineStr"/>
      <c r="P1036" s="16" t="inlineStr">
        <is>
          <t>Требует обогащения</t>
        </is>
      </c>
      <c r="Q1036" s="16">
        <f>HYPERLINK("https://pb.nalog.ru/search.html?query=7203155161","ФНС: проверить")</f>
        <v/>
      </c>
      <c r="R1036" s="16">
        <f>HYPERLINK("https://checko.ru/search?query=3801001629","Чекко: проверить")</f>
        <v/>
      </c>
      <c r="S1036" t="n">
        <v>1</v>
      </c>
      <c r="T1036" s="35" t="inlineStr">
        <is>
          <t>4 — Не обогащён</t>
        </is>
      </c>
      <c r="U1036" s="35" t="inlineStr">
        <is>
          <t>Нет ОКВЭД/ССЧР</t>
        </is>
      </c>
      <c r="V1036" s="35" t="inlineStr">
        <is>
          <t>Не определено</t>
        </is>
      </c>
      <c r="W1036" s="35" t="inlineStr"/>
      <c r="X1036" s="35" t="inlineStr"/>
    </row>
    <row r="1037" ht="15" customHeight="1" s="24">
      <c r="A1037" s="13" t="n">
        <v>5000014485</v>
      </c>
      <c r="B1037" s="13" t="inlineStr">
        <is>
          <t>УФССП России по Белгородской области</t>
        </is>
      </c>
      <c r="C1037" s="13" t="n">
        <v>3123113698</v>
      </c>
      <c r="D1037" s="13" t="inlineStr">
        <is>
          <t>3123113698</t>
        </is>
      </c>
      <c r="E1037" s="13" t="inlineStr">
        <is>
          <t>ЮЛ РФ</t>
        </is>
      </c>
      <c r="F1037" s="13" t="n"/>
      <c r="G1037" s="14" t="n"/>
      <c r="H1037" s="14" t="n"/>
      <c r="I1037" s="14" t="n"/>
      <c r="J1037" s="14" t="n"/>
      <c r="K1037" s="53" t="inlineStr"/>
      <c r="L1037" s="53" t="inlineStr">
        <is>
          <t>Не определено</t>
        </is>
      </c>
      <c r="M1037" s="53" t="inlineStr"/>
      <c r="N1037" s="54" t="inlineStr"/>
      <c r="O1037" s="55" t="inlineStr"/>
      <c r="P1037" s="16" t="inlineStr">
        <is>
          <t>Требует обогащения</t>
        </is>
      </c>
      <c r="Q1037" s="16">
        <f>HYPERLINK("https://pb.nalog.ru/search.html?query=3123113698","ФНС: проверить")</f>
        <v/>
      </c>
      <c r="R1037" s="16">
        <f>HYPERLINK("https://checko.ru/search?query=3801001629","Чекко: проверить")</f>
        <v/>
      </c>
      <c r="S1037" t="n">
        <v>1</v>
      </c>
      <c r="T1037" s="35" t="inlineStr">
        <is>
          <t>4 — Не обогащён</t>
        </is>
      </c>
      <c r="U1037" s="35" t="inlineStr">
        <is>
          <t>Нет ОКВЭД/ССЧР</t>
        </is>
      </c>
      <c r="V1037" s="35" t="inlineStr">
        <is>
          <t>Не определено</t>
        </is>
      </c>
      <c r="W1037" s="35" t="inlineStr"/>
      <c r="X1037" s="35" t="inlineStr"/>
    </row>
    <row r="1038" ht="15" customHeight="1" s="24">
      <c r="A1038" s="13" t="n">
        <v>5000014487</v>
      </c>
      <c r="B1038" s="13" t="inlineStr">
        <is>
          <t>УФССП России по Курской области</t>
        </is>
      </c>
      <c r="C1038" s="13" t="n">
        <v>4632048460</v>
      </c>
      <c r="D1038" s="13" t="inlineStr">
        <is>
          <t>4632048460</t>
        </is>
      </c>
      <c r="E1038" s="13" t="inlineStr">
        <is>
          <t>ЮЛ РФ</t>
        </is>
      </c>
      <c r="F1038" s="13" t="n"/>
      <c r="G1038" s="14" t="n"/>
      <c r="H1038" s="14" t="n"/>
      <c r="I1038" s="14" t="n"/>
      <c r="J1038" s="14" t="n"/>
      <c r="K1038" s="53" t="inlineStr"/>
      <c r="L1038" s="53" t="inlineStr">
        <is>
          <t>Не определено</t>
        </is>
      </c>
      <c r="M1038" s="53" t="inlineStr"/>
      <c r="N1038" s="54" t="inlineStr"/>
      <c r="O1038" s="55" t="inlineStr"/>
      <c r="P1038" s="16" t="inlineStr">
        <is>
          <t>Требует обогащения</t>
        </is>
      </c>
      <c r="Q1038" s="16">
        <f>HYPERLINK("https://pb.nalog.ru/search.html?query=4632048460","ФНС: проверить")</f>
        <v/>
      </c>
      <c r="R1038" s="16">
        <f>HYPERLINK("https://checko.ru/search?query=3801001629","Чекко: проверить")</f>
        <v/>
      </c>
      <c r="S1038" t="n">
        <v>1</v>
      </c>
      <c r="T1038" s="35" t="inlineStr">
        <is>
          <t>4 — Не обогащён</t>
        </is>
      </c>
      <c r="U1038" s="35" t="inlineStr">
        <is>
          <t>Нет ОКВЭД/ССЧР</t>
        </is>
      </c>
      <c r="V1038" s="35" t="inlineStr">
        <is>
          <t>Не определено</t>
        </is>
      </c>
      <c r="W1038" s="35" t="inlineStr"/>
      <c r="X1038" s="35" t="inlineStr"/>
    </row>
    <row r="1039" ht="15" customHeight="1" s="24">
      <c r="A1039" s="13" t="n">
        <v>5000014488</v>
      </c>
      <c r="B1039" s="13" t="inlineStr">
        <is>
          <t>УФССП России по Республике Коми</t>
        </is>
      </c>
      <c r="C1039" s="13" t="n">
        <v>1101486237</v>
      </c>
      <c r="D1039" s="13" t="inlineStr">
        <is>
          <t>1101486237</t>
        </is>
      </c>
      <c r="E1039" s="13" t="inlineStr">
        <is>
          <t>ЮЛ РФ</t>
        </is>
      </c>
      <c r="F1039" s="13" t="n"/>
      <c r="G1039" s="14" t="n"/>
      <c r="H1039" s="14" t="n"/>
      <c r="I1039" s="14" t="n"/>
      <c r="J1039" s="14" t="n"/>
      <c r="K1039" s="53" t="inlineStr"/>
      <c r="L1039" s="53" t="inlineStr">
        <is>
          <t>Не определено</t>
        </is>
      </c>
      <c r="M1039" s="53" t="inlineStr"/>
      <c r="N1039" s="54" t="inlineStr"/>
      <c r="O1039" s="55" t="inlineStr"/>
      <c r="P1039" s="16" t="inlineStr">
        <is>
          <t>Требует обогащения</t>
        </is>
      </c>
      <c r="Q1039" s="16">
        <f>HYPERLINK("https://pb.nalog.ru/search.html?query=1101486237","ФНС: проверить")</f>
        <v/>
      </c>
      <c r="R1039" s="16">
        <f>HYPERLINK("https://checko.ru/search?query=3801001629","Чекко: проверить")</f>
        <v/>
      </c>
      <c r="S1039" t="n">
        <v>1</v>
      </c>
      <c r="T1039" s="35" t="inlineStr">
        <is>
          <t>4 — Не обогащён</t>
        </is>
      </c>
      <c r="U1039" s="35" t="inlineStr">
        <is>
          <t>Нет ОКВЭД/ССЧР</t>
        </is>
      </c>
      <c r="V1039" s="35" t="inlineStr">
        <is>
          <t>Не определено</t>
        </is>
      </c>
      <c r="W1039" s="35" t="inlineStr"/>
      <c r="X1039" s="35" t="inlineStr"/>
    </row>
    <row r="1040" ht="15" customHeight="1" s="24">
      <c r="A1040" s="13" t="n">
        <v>5000014489</v>
      </c>
      <c r="B1040" s="13" t="inlineStr">
        <is>
          <t>УФССП России по Чеченской Республике</t>
        </is>
      </c>
      <c r="C1040" s="13" t="n">
        <v>2027000996</v>
      </c>
      <c r="D1040" s="13" t="inlineStr">
        <is>
          <t>2027000996</t>
        </is>
      </c>
      <c r="E1040" s="13" t="inlineStr">
        <is>
          <t>ЮЛ РФ</t>
        </is>
      </c>
      <c r="F1040" s="13" t="n"/>
      <c r="G1040" s="14" t="n"/>
      <c r="H1040" s="14" t="n"/>
      <c r="I1040" s="14" t="n"/>
      <c r="J1040" s="14" t="n"/>
      <c r="K1040" s="53" t="inlineStr"/>
      <c r="L1040" s="53" t="inlineStr">
        <is>
          <t>Не определено</t>
        </is>
      </c>
      <c r="M1040" s="53" t="inlineStr"/>
      <c r="N1040" s="54" t="inlineStr"/>
      <c r="O1040" s="55" t="inlineStr"/>
      <c r="P1040" s="16" t="inlineStr">
        <is>
          <t>Требует обогащения</t>
        </is>
      </c>
      <c r="Q1040" s="16">
        <f>HYPERLINK("https://pb.nalog.ru/search.html?query=2027000996","ФНС: проверить")</f>
        <v/>
      </c>
      <c r="R1040" s="16">
        <f>HYPERLINK("https://checko.ru/search?query=3801001629","Чекко: проверить")</f>
        <v/>
      </c>
      <c r="S1040" t="n">
        <v>1</v>
      </c>
      <c r="T1040" s="35" t="inlineStr">
        <is>
          <t>4 — Не обогащён</t>
        </is>
      </c>
      <c r="U1040" s="35" t="inlineStr">
        <is>
          <t>Нет ОКВЭД/ССЧР</t>
        </is>
      </c>
      <c r="V1040" s="35" t="inlineStr">
        <is>
          <t>Не определено</t>
        </is>
      </c>
      <c r="W1040" s="35" t="inlineStr"/>
      <c r="X1040" s="35" t="inlineStr"/>
    </row>
    <row r="1041" ht="27.75" customHeight="1" s="24">
      <c r="A1041" s="13" t="n">
        <v>5000014490</v>
      </c>
      <c r="B1041" s="13" t="inlineStr">
        <is>
          <t>УФССП России по Республике Северная Осетия-Алания</t>
        </is>
      </c>
      <c r="C1041" s="13" t="n">
        <v>1516607954</v>
      </c>
      <c r="D1041" s="13" t="inlineStr">
        <is>
          <t>1516607954</t>
        </is>
      </c>
      <c r="E1041" s="13" t="inlineStr">
        <is>
          <t>ЮЛ РФ</t>
        </is>
      </c>
      <c r="F1041" s="13" t="n"/>
      <c r="G1041" s="14" t="n"/>
      <c r="H1041" s="14" t="n"/>
      <c r="I1041" s="14" t="n"/>
      <c r="J1041" s="14" t="n"/>
      <c r="K1041" s="53" t="inlineStr"/>
      <c r="L1041" s="53" t="inlineStr">
        <is>
          <t>Не определено</t>
        </is>
      </c>
      <c r="M1041" s="53" t="inlineStr"/>
      <c r="N1041" s="54" t="inlineStr"/>
      <c r="O1041" s="55" t="inlineStr"/>
      <c r="P1041" s="16" t="inlineStr">
        <is>
          <t>Требует обогащения</t>
        </is>
      </c>
      <c r="Q1041" s="16">
        <f>HYPERLINK("https://pb.nalog.ru/search.html?query=1516607954","ФНС: проверить")</f>
        <v/>
      </c>
      <c r="R1041" s="16">
        <f>HYPERLINK("https://checko.ru/search?query=3801001629","Чекко: проверить")</f>
        <v/>
      </c>
      <c r="S1041" t="n">
        <v>1</v>
      </c>
      <c r="T1041" s="35" t="inlineStr">
        <is>
          <t>4 — Не обогащён</t>
        </is>
      </c>
      <c r="U1041" s="35" t="inlineStr">
        <is>
          <t>Нет ОКВЭД/ССЧР</t>
        </is>
      </c>
      <c r="V1041" s="35" t="inlineStr">
        <is>
          <t>Не определено</t>
        </is>
      </c>
      <c r="W1041" s="35" t="inlineStr"/>
      <c r="X1041" s="35" t="inlineStr"/>
    </row>
    <row r="1042" ht="15" customHeight="1" s="24">
      <c r="A1042" s="13" t="n">
        <v>5000014491</v>
      </c>
      <c r="B1042" s="13" t="inlineStr">
        <is>
          <t>УФССП России по Омской области</t>
        </is>
      </c>
      <c r="C1042" s="13" t="n">
        <v>5503085514</v>
      </c>
      <c r="D1042" s="13" t="inlineStr">
        <is>
          <t>5503085514</t>
        </is>
      </c>
      <c r="E1042" s="13" t="inlineStr">
        <is>
          <t>ЮЛ РФ</t>
        </is>
      </c>
      <c r="F1042" s="13" t="n"/>
      <c r="G1042" s="14" t="n"/>
      <c r="H1042" s="14" t="n"/>
      <c r="I1042" s="14" t="n"/>
      <c r="J1042" s="14" t="n"/>
      <c r="K1042" s="53" t="inlineStr"/>
      <c r="L1042" s="53" t="inlineStr">
        <is>
          <t>Не определено</t>
        </is>
      </c>
      <c r="M1042" s="53" t="inlineStr"/>
      <c r="N1042" s="54" t="inlineStr"/>
      <c r="O1042" s="55" t="inlineStr"/>
      <c r="P1042" s="16" t="inlineStr">
        <is>
          <t>Требует обогащения</t>
        </is>
      </c>
      <c r="Q1042" s="16">
        <f>HYPERLINK("https://pb.nalog.ru/search.html?query=5503085514","ФНС: проверить")</f>
        <v/>
      </c>
      <c r="R1042" s="16">
        <f>HYPERLINK("https://checko.ru/search?query=3801001629","Чекко: проверить")</f>
        <v/>
      </c>
      <c r="S1042" t="n">
        <v>1</v>
      </c>
      <c r="T1042" s="35" t="inlineStr">
        <is>
          <t>4 — Не обогащён</t>
        </is>
      </c>
      <c r="U1042" s="35" t="inlineStr">
        <is>
          <t>Нет ОКВЭД/ССЧР</t>
        </is>
      </c>
      <c r="V1042" s="35" t="inlineStr">
        <is>
          <t>Не определено</t>
        </is>
      </c>
      <c r="W1042" s="35" t="inlineStr"/>
      <c r="X1042" s="35" t="inlineStr"/>
    </row>
    <row r="1043" ht="27.75" customHeight="1" s="24">
      <c r="A1043" s="13" t="n">
        <v>5000014492</v>
      </c>
      <c r="B1043" s="13" t="inlineStr">
        <is>
          <t>УФССП России по Кабардино-Балкарской Республике</t>
        </is>
      </c>
      <c r="C1043" s="13" t="n">
        <v>721009673</v>
      </c>
      <c r="D1043" s="13" t="n"/>
      <c r="E1043" s="13" t="inlineStr">
        <is>
          <t>Не определён</t>
        </is>
      </c>
      <c r="F1043" s="13" t="inlineStr">
        <is>
          <t>721009673</t>
        </is>
      </c>
      <c r="G1043" s="14" t="n"/>
      <c r="H1043" s="14" t="n"/>
      <c r="I1043" s="14" t="n"/>
      <c r="J1043" s="14" t="n"/>
      <c r="K1043" s="13">
        <f>IF(G1043="","",IF(G1043&gt;=22,"Да","Нет"))</f>
        <v/>
      </c>
      <c r="L1043" s="13">
        <f>IF(OR(I1043="",J1043=""),"Не определено",IF(OR(COUNTIF(I1043,"45*")&gt;0,COUNTIF(J1043,"*45*")&gt;0,COUNTIF(I1043,"46*")&gt;0,COUNTIF(J1043,"*46*")&gt;0,COUNTIF(I1043,"47*")&gt;0,COUNTIF(J1043,"*47*")&gt;0,COUNTIF(I1043,"10*")&gt;0,COUNTIF(J1043,"*10*")&gt;0,COUNTIF(I1043,"11*")&gt;0,COUNTIF(J1043,"*11*")&gt;0,COUNTIF(I1043,"12*")&gt;0,COUNTIF(J1043,"*12*")&gt;0,COUNTIF(I1043,"13*")&gt;0,COUNTIF(J1043,"*13*")&gt;0,COUNTIF(I1043,"14*")&gt;0,COUNTIF(J1043,"*14*")&gt;0,COUNTIF(I1043,"15*")&gt;0,COUNTIF(J1043,"*15*")&gt;0,COUNTIF(I1043,"16*")&gt;0,COUNTIF(J1043,"*16*")&gt;0,COUNTIF(I1043,"17*")&gt;0,COUNTIF(J1043,"*17*")&gt;0,COUNTIF(I1043,"18*")&gt;0,COUNTIF(J1043,"*18*")&gt;0,COUNTIF(I1043,"19*")&gt;0,COUNTIF(J1043,"*19*")&gt;0,COUNTIF(I1043,"20*")&gt;0,COUNTIF(J1043,"*20*")&gt;0,COUNTIF(I1043,"21*")&gt;0,COUNTIF(J1043,"*21*")&gt;0,COUNTIF(I1043,"22*")&gt;0,COUNTIF(J1043,"*22*")&gt;0,COUNTIF(I1043,"23*")&gt;0,COUNTIF(J1043,"*23*")&gt;0,COUNTIF(I1043,"24*")&gt;0,COUNTIF(J1043,"*24*")&gt;0,COUNTIF(I1043,"25*")&gt;0,COUNTIF(J1043,"*25*")&gt;0,COUNTIF(I1043,"26*")&gt;0,COUNTIF(J1043,"*26*")&gt;0,COUNTIF(I1043,"27*")&gt;0,COUNTIF(J1043,"*27*")&gt;0,COUNTIF(I1043,"28*")&gt;0,COUNTIF(J1043,"*28*")&gt;0,COUNTIF(I1043,"29*")&gt;0,COUNTIF(J1043,"*29*")&gt;0,COUNTIF(I1043,"30*")&gt;0,COUNTIF(J1043,"*30*")&gt;0,COUNTIF(I1043,"31*")&gt;0,COUNTIF(J1043,"*31*")&gt;0,COUNTIF(I1043,"32*")&gt;0,COUNTIF(J1043,"*32*")&gt;0,COUNTIF(I1043,"33*")&gt;0,COUNTIF(J1043,"*33*")&gt;0,COUNTIF(I1043,"41*")&gt;0,COUNTIF(J1043,"*41*")&gt;0,COUNTIF(I1043,"42*")&gt;0,COUNTIF(J1043,"*42*")&gt;0,COUNTIF(I1043,"43*")&gt;0,COUNTIF(J1043,"*43*")&gt;0,COUNTIF(I1043,"49*")&gt;0,COUNTIF(J1043,"*49*")&gt;0,COUNTIF(I1043,"52*")&gt;0,COUNTIF(J1043,"*52*")&gt;0,COUNTIF(I1043,"55*")&gt;0,COUNTIF(J1043,"*55*")&gt;0,COUNTIF(I1043,"56*")&gt;0,COUNTIF(J1043,"*56*")&gt;0,COUNTIF(I1043,"68*")&gt;0,COUNTIF(J1043,"*68*")&gt;0,COUNTIF(I1043,"78*")&gt;0,COUNTIF(J1043,"*78*")&gt;0,COUNTIF(I1043,"81*")&gt;0,COUNTIF(J1043,"*81*")&gt;0,COUNTIF(I1043,"82*")&gt;0,COUNTIF(J1043,"*82*")&gt;0,COUNTIF(I1043,"64*")&gt;0,COUNTIF(J1043,"*64*")&gt;0,COUNTIF(I1043,"65*")&gt;0,COUNTIF(J1043,"*65*")&gt;0,COUNTIF(I1043,"66*")&gt;0,COUNTIF(J1043,"*66*")&gt;0,COUNTIF(I1043,"61*")&gt;0,COUNTIF(J1043,"*61*")&gt;0,COUNTIF(I1043,"62*")&gt;0,COUNTIF(J1043,"*62*")&gt;0,COUNTIF(I1043,"63*")&gt;0,COUNTIF(J1043,"*63*")&gt;0,COUNTIF(I1043,"85*")&gt;0,COUNTIF(J1043,"*85*")&gt;0,COUNTIF(I1043,"86*")&gt;0,COUNTIF(J1043,"*86*")&gt;0),"Да","Нет"))</f>
        <v/>
      </c>
      <c r="M1043" s="13">
        <f>IF(OR(G1043="",L1043&lt;&gt;"Да"),"",IF(G1043&lt;=100,"До 100",IF(G1043&lt;=200,"До 200",IF(G1043&lt;=500,"До 500","Отдельное КП"))))</f>
        <v/>
      </c>
      <c r="N1043" s="15">
        <f>IF(OR(G1043="",L1043&lt;&gt;"Да"),"",IF(G1043&lt;=100,33600,IF(G1043&lt;=200,62400,IF(G1043&lt;=500,144000,""))))</f>
        <v/>
      </c>
      <c r="O1043" s="16">
        <f>IF(G1043="","",IF(G1043&lt;=15,"1–15",IF(G1043&lt;=30,"16–30",IF(G1043&lt;=50,"31–50",IF(G1043&lt;=100,"51–100",IF(G1043&lt;=150,"101–150",IF(G1043&lt;=200,"151–200",IF(G1043&lt;=500,"201–500","500+"))))))))</f>
        <v/>
      </c>
      <c r="P1043" s="16" t="inlineStr">
        <is>
          <t>Нет совпадения в предоставленной выгрузке ССЧР</t>
        </is>
      </c>
      <c r="Q1043" s="16" t="n"/>
      <c r="R1043" s="16">
        <f>HYPERLINK("https://checko.ru/search?query=3801001629","Чекко: проверить")</f>
        <v/>
      </c>
      <c r="S1043" t="n">
        <v>0</v>
      </c>
    </row>
    <row r="1044" ht="15" customHeight="1" s="24">
      <c r="A1044" s="13" t="n">
        <v>5000014493</v>
      </c>
      <c r="B1044" s="13" t="inlineStr">
        <is>
          <t>УФССП России по Смоленской области</t>
        </is>
      </c>
      <c r="C1044" s="13" t="n">
        <v>6731048270</v>
      </c>
      <c r="D1044" s="13" t="inlineStr">
        <is>
          <t>6731048270</t>
        </is>
      </c>
      <c r="E1044" s="13" t="inlineStr">
        <is>
          <t>ЮЛ РФ</t>
        </is>
      </c>
      <c r="F1044" s="13" t="n"/>
      <c r="G1044" s="14" t="n"/>
      <c r="H1044" s="14" t="n"/>
      <c r="I1044" s="14" t="n"/>
      <c r="J1044" s="14" t="n"/>
      <c r="K1044" s="53" t="inlineStr"/>
      <c r="L1044" s="53" t="inlineStr">
        <is>
          <t>Не определено</t>
        </is>
      </c>
      <c r="M1044" s="53" t="inlineStr"/>
      <c r="N1044" s="54" t="inlineStr"/>
      <c r="O1044" s="55" t="inlineStr"/>
      <c r="P1044" s="16" t="inlineStr">
        <is>
          <t>Требует обогащения</t>
        </is>
      </c>
      <c r="Q1044" s="16">
        <f>HYPERLINK("https://pb.nalog.ru/search.html?query=6731048270","ФНС: проверить")</f>
        <v/>
      </c>
      <c r="R1044" s="16">
        <f>HYPERLINK("https://checko.ru/search?query=3801001629","Чекко: проверить")</f>
        <v/>
      </c>
      <c r="S1044" t="n">
        <v>1</v>
      </c>
      <c r="T1044" s="35" t="inlineStr">
        <is>
          <t>4 — Не обогащён</t>
        </is>
      </c>
      <c r="U1044" s="35" t="inlineStr">
        <is>
          <t>Нет ОКВЭД/ССЧР</t>
        </is>
      </c>
      <c r="V1044" s="35" t="inlineStr">
        <is>
          <t>Не определено</t>
        </is>
      </c>
      <c r="W1044" s="35" t="inlineStr"/>
      <c r="X1044" s="35" t="inlineStr"/>
    </row>
    <row r="1045" ht="41.25" customHeight="1" s="24">
      <c r="A1045" s="13" t="n">
        <v>5000062543</v>
      </c>
      <c r="B1045" s="13" t="inlineStr">
        <is>
          <t>ОБЛАСТНОЕ ГОСУДАРСТВЕННОЕ АВТОНОМНОЕ УЧРЕЖДЕНИЕ СОЦИАЛЬНОГО ОБСЛУЖИВАНИЯ "СПЕЦИАЛЬНЫЙ ДОМ-ИНТЕРНАТ Д</t>
        </is>
      </c>
      <c r="C1045" s="13" t="n">
        <v>7309001764</v>
      </c>
      <c r="D1045" s="13" t="inlineStr">
        <is>
          <t>7309001764</t>
        </is>
      </c>
      <c r="E1045" s="13" t="inlineStr">
        <is>
          <t>ЮЛ РФ</t>
        </is>
      </c>
      <c r="F1045" s="13" t="n"/>
      <c r="G1045" s="14" t="n"/>
      <c r="H1045" s="14" t="n"/>
      <c r="I1045" s="14" t="n"/>
      <c r="J1045" s="14" t="n"/>
      <c r="K1045" s="53" t="inlineStr"/>
      <c r="L1045" s="53" t="inlineStr">
        <is>
          <t>Не определено</t>
        </is>
      </c>
      <c r="M1045" s="53" t="inlineStr"/>
      <c r="N1045" s="54" t="inlineStr"/>
      <c r="O1045" s="55" t="inlineStr"/>
      <c r="P1045" s="16" t="inlineStr">
        <is>
          <t>Требует обогащения</t>
        </is>
      </c>
      <c r="Q1045" s="16">
        <f>HYPERLINK("https://pb.nalog.ru/search.html?query=7309001764","ФНС: проверить")</f>
        <v/>
      </c>
      <c r="R1045" s="16">
        <f>HYPERLINK("https://checko.ru/search?query=3801001629","Чекко: проверить")</f>
        <v/>
      </c>
      <c r="S1045" t="n">
        <v>1</v>
      </c>
      <c r="T1045" s="35" t="inlineStr">
        <is>
          <t>4 — Не обогащён</t>
        </is>
      </c>
      <c r="U1045" s="35" t="inlineStr">
        <is>
          <t>Нет ОКВЭД/ССЧР</t>
        </is>
      </c>
      <c r="V1045" s="35" t="inlineStr">
        <is>
          <t>Не определено</t>
        </is>
      </c>
      <c r="W1045" s="35" t="inlineStr"/>
      <c r="X1045" s="35" t="inlineStr"/>
    </row>
    <row r="1046" ht="41.25" customHeight="1" s="24">
      <c r="A1046" s="13" t="n">
        <v>5000062553</v>
      </c>
      <c r="B1046" s="13" t="inlineStr">
        <is>
          <t>ОбГКУ социального обслуживания "Социальный приют для детей и подростков "Росток" в д. Рокотушка"</t>
        </is>
      </c>
      <c r="C1046" s="13" t="n">
        <v>7313002087</v>
      </c>
      <c r="D1046" s="13" t="inlineStr">
        <is>
          <t>7313002087</t>
        </is>
      </c>
      <c r="E1046" s="13" t="inlineStr">
        <is>
          <t>ЮЛ РФ</t>
        </is>
      </c>
      <c r="F1046" s="13" t="n"/>
      <c r="G1046" s="14" t="n"/>
      <c r="H1046" s="14" t="n"/>
      <c r="I1046" s="14" t="n"/>
      <c r="J1046" s="14" t="n"/>
      <c r="K1046" s="53" t="inlineStr"/>
      <c r="L1046" s="53" t="inlineStr">
        <is>
          <t>Не определено</t>
        </is>
      </c>
      <c r="M1046" s="53" t="inlineStr"/>
      <c r="N1046" s="54" t="inlineStr"/>
      <c r="O1046" s="55" t="inlineStr"/>
      <c r="P1046" s="16" t="inlineStr">
        <is>
          <t>Требует обогащения</t>
        </is>
      </c>
      <c r="Q1046" s="16">
        <f>HYPERLINK("https://pb.nalog.ru/search.html?query=7313002087","ФНС: проверить")</f>
        <v/>
      </c>
      <c r="R1046" s="16">
        <f>HYPERLINK("https://checko.ru/search?query=3801001629","Чекко: проверить")</f>
        <v/>
      </c>
      <c r="S1046" t="n">
        <v>1</v>
      </c>
      <c r="T1046" s="35" t="inlineStr">
        <is>
          <t>4 — Не обогащён</t>
        </is>
      </c>
      <c r="U1046" s="35" t="inlineStr">
        <is>
          <t>Нет ОКВЭД/ССЧР</t>
        </is>
      </c>
      <c r="V1046" s="35" t="inlineStr">
        <is>
          <t>Не определено</t>
        </is>
      </c>
      <c r="W1046" s="35" t="inlineStr"/>
      <c r="X1046" s="35" t="inlineStr"/>
    </row>
    <row r="1047" ht="27.75" customHeight="1" s="24">
      <c r="A1047" s="13" t="n">
        <v>5000075695</v>
      </c>
      <c r="B1047" s="13" t="inlineStr">
        <is>
          <t>Комитет по обеспечению деятельности мировых судей Оренбургской области</t>
        </is>
      </c>
      <c r="C1047" s="13" t="n">
        <v>5610085540</v>
      </c>
      <c r="D1047" s="13" t="inlineStr">
        <is>
          <t>5610085540</t>
        </is>
      </c>
      <c r="E1047" s="13" t="inlineStr">
        <is>
          <t>ЮЛ РФ</t>
        </is>
      </c>
      <c r="F1047" s="13" t="n"/>
      <c r="G1047" s="14" t="n"/>
      <c r="H1047" s="14" t="n"/>
      <c r="I1047" s="14" t="n"/>
      <c r="J1047" s="14" t="n"/>
      <c r="K1047" s="53" t="inlineStr"/>
      <c r="L1047" s="53" t="inlineStr">
        <is>
          <t>Не определено</t>
        </is>
      </c>
      <c r="M1047" s="53" t="inlineStr"/>
      <c r="N1047" s="54" t="inlineStr"/>
      <c r="O1047" s="55" t="inlineStr"/>
      <c r="P1047" s="16" t="inlineStr">
        <is>
          <t>Требует обогащения</t>
        </is>
      </c>
      <c r="Q1047" s="16">
        <f>HYPERLINK("https://pb.nalog.ru/search.html?query=5610085540","ФНС: проверить")</f>
        <v/>
      </c>
      <c r="R1047" s="16">
        <f>HYPERLINK("https://checko.ru/search?query=3801001629","Чекко: проверить")</f>
        <v/>
      </c>
      <c r="S1047" t="n">
        <v>1</v>
      </c>
      <c r="T1047" s="35" t="inlineStr">
        <is>
          <t>4 — Не обогащён</t>
        </is>
      </c>
      <c r="U1047" s="35" t="inlineStr">
        <is>
          <t>Нет ОКВЭД/ССЧР</t>
        </is>
      </c>
      <c r="V1047" s="35" t="inlineStr">
        <is>
          <t>Не определено</t>
        </is>
      </c>
      <c r="W1047" s="35" t="inlineStr"/>
      <c r="X1047" s="35" t="inlineStr"/>
    </row>
    <row r="1048" ht="15" customHeight="1" s="24">
      <c r="A1048" s="13" t="n">
        <v>5000095090</v>
      </c>
      <c r="B1048" s="13" t="inlineStr">
        <is>
          <t>ГУ "ПДДИ" МТ и СР</t>
        </is>
      </c>
      <c r="C1048" s="13" t="n">
        <v>716000509</v>
      </c>
      <c r="D1048" s="13" t="n"/>
      <c r="E1048" s="13" t="inlineStr">
        <is>
          <t>Не определён</t>
        </is>
      </c>
      <c r="F1048" s="13" t="inlineStr">
        <is>
          <t>716000509</t>
        </is>
      </c>
      <c r="G1048" s="14" t="n"/>
      <c r="H1048" s="14" t="n"/>
      <c r="I1048" s="14" t="n"/>
      <c r="J1048" s="14" t="n"/>
      <c r="K1048" s="13">
        <f>IF(G1048="","",IF(G1048&gt;=22,"Да","Нет"))</f>
        <v/>
      </c>
      <c r="L1048" s="13">
        <f>IF(OR(I1048="",J1048=""),"Не определено",IF(OR(COUNTIF(I1048,"45*")&gt;0,COUNTIF(J1048,"*45*")&gt;0,COUNTIF(I1048,"46*")&gt;0,COUNTIF(J1048,"*46*")&gt;0,COUNTIF(I1048,"47*")&gt;0,COUNTIF(J1048,"*47*")&gt;0,COUNTIF(I1048,"10*")&gt;0,COUNTIF(J1048,"*10*")&gt;0,COUNTIF(I1048,"11*")&gt;0,COUNTIF(J1048,"*11*")&gt;0,COUNTIF(I1048,"12*")&gt;0,COUNTIF(J1048,"*12*")&gt;0,COUNTIF(I1048,"13*")&gt;0,COUNTIF(J1048,"*13*")&gt;0,COUNTIF(I1048,"14*")&gt;0,COUNTIF(J1048,"*14*")&gt;0,COUNTIF(I1048,"15*")&gt;0,COUNTIF(J1048,"*15*")&gt;0,COUNTIF(I1048,"16*")&gt;0,COUNTIF(J1048,"*16*")&gt;0,COUNTIF(I1048,"17*")&gt;0,COUNTIF(J1048,"*17*")&gt;0,COUNTIF(I1048,"18*")&gt;0,COUNTIF(J1048,"*18*")&gt;0,COUNTIF(I1048,"19*")&gt;0,COUNTIF(J1048,"*19*")&gt;0,COUNTIF(I1048,"20*")&gt;0,COUNTIF(J1048,"*20*")&gt;0,COUNTIF(I1048,"21*")&gt;0,COUNTIF(J1048,"*21*")&gt;0,COUNTIF(I1048,"22*")&gt;0,COUNTIF(J1048,"*22*")&gt;0,COUNTIF(I1048,"23*")&gt;0,COUNTIF(J1048,"*23*")&gt;0,COUNTIF(I1048,"24*")&gt;0,COUNTIF(J1048,"*24*")&gt;0,COUNTIF(I1048,"25*")&gt;0,COUNTIF(J1048,"*25*")&gt;0,COUNTIF(I1048,"26*")&gt;0,COUNTIF(J1048,"*26*")&gt;0,COUNTIF(I1048,"27*")&gt;0,COUNTIF(J1048,"*27*")&gt;0,COUNTIF(I1048,"28*")&gt;0,COUNTIF(J1048,"*28*")&gt;0,COUNTIF(I1048,"29*")&gt;0,COUNTIF(J1048,"*29*")&gt;0,COUNTIF(I1048,"30*")&gt;0,COUNTIF(J1048,"*30*")&gt;0,COUNTIF(I1048,"31*")&gt;0,COUNTIF(J1048,"*31*")&gt;0,COUNTIF(I1048,"32*")&gt;0,COUNTIF(J1048,"*32*")&gt;0,COUNTIF(I1048,"33*")&gt;0,COUNTIF(J1048,"*33*")&gt;0,COUNTIF(I1048,"41*")&gt;0,COUNTIF(J1048,"*41*")&gt;0,COUNTIF(I1048,"42*")&gt;0,COUNTIF(J1048,"*42*")&gt;0,COUNTIF(I1048,"43*")&gt;0,COUNTIF(J1048,"*43*")&gt;0,COUNTIF(I1048,"49*")&gt;0,COUNTIF(J1048,"*49*")&gt;0,COUNTIF(I1048,"52*")&gt;0,COUNTIF(J1048,"*52*")&gt;0,COUNTIF(I1048,"55*")&gt;0,COUNTIF(J1048,"*55*")&gt;0,COUNTIF(I1048,"56*")&gt;0,COUNTIF(J1048,"*56*")&gt;0,COUNTIF(I1048,"68*")&gt;0,COUNTIF(J1048,"*68*")&gt;0,COUNTIF(I1048,"78*")&gt;0,COUNTIF(J1048,"*78*")&gt;0,COUNTIF(I1048,"81*")&gt;0,COUNTIF(J1048,"*81*")&gt;0,COUNTIF(I1048,"82*")&gt;0,COUNTIF(J1048,"*82*")&gt;0,COUNTIF(I1048,"64*")&gt;0,COUNTIF(J1048,"*64*")&gt;0,COUNTIF(I1048,"65*")&gt;0,COUNTIF(J1048,"*65*")&gt;0,COUNTIF(I1048,"66*")&gt;0,COUNTIF(J1048,"*66*")&gt;0,COUNTIF(I1048,"61*")&gt;0,COUNTIF(J1048,"*61*")&gt;0,COUNTIF(I1048,"62*")&gt;0,COUNTIF(J1048,"*62*")&gt;0,COUNTIF(I1048,"63*")&gt;0,COUNTIF(J1048,"*63*")&gt;0,COUNTIF(I1048,"85*")&gt;0,COUNTIF(J1048,"*85*")&gt;0,COUNTIF(I1048,"86*")&gt;0,COUNTIF(J1048,"*86*")&gt;0),"Да","Нет"))</f>
        <v/>
      </c>
      <c r="M1048" s="13">
        <f>IF(OR(G1048="",L1048&lt;&gt;"Да"),"",IF(G1048&lt;=100,"До 100",IF(G1048&lt;=200,"До 200",IF(G1048&lt;=500,"До 500","Отдельное КП"))))</f>
        <v/>
      </c>
      <c r="N1048" s="15">
        <f>IF(OR(G1048="",L1048&lt;&gt;"Да"),"",IF(G1048&lt;=100,33600,IF(G1048&lt;=200,62400,IF(G1048&lt;=500,144000,""))))</f>
        <v/>
      </c>
      <c r="O1048" s="16">
        <f>IF(G1048="","",IF(G1048&lt;=15,"1–15",IF(G1048&lt;=30,"16–30",IF(G1048&lt;=50,"31–50",IF(G1048&lt;=100,"51–100",IF(G1048&lt;=150,"101–150",IF(G1048&lt;=200,"151–200",IF(G1048&lt;=500,"201–500","500+"))))))))</f>
        <v/>
      </c>
      <c r="P1048" s="16" t="inlineStr">
        <is>
          <t>Нет совпадения в предоставленной выгрузке ССЧР</t>
        </is>
      </c>
      <c r="Q1048" s="16" t="n"/>
      <c r="R1048" s="16">
        <f>HYPERLINK("https://checko.ru/search?query=3801001629","Чекко: проверить")</f>
        <v/>
      </c>
      <c r="S1048" t="n">
        <v>0</v>
      </c>
    </row>
    <row r="1049" ht="15" customHeight="1" s="24">
      <c r="A1049" s="13" t="n">
        <v>5000094982</v>
      </c>
      <c r="B1049" s="13" t="inlineStr">
        <is>
          <t>Департамент образования г.о. Нальчик</t>
        </is>
      </c>
      <c r="C1049" s="13" t="n">
        <v>711034631</v>
      </c>
      <c r="D1049" s="13" t="n"/>
      <c r="E1049" s="13" t="inlineStr">
        <is>
          <t>Не определён</t>
        </is>
      </c>
      <c r="F1049" s="13" t="inlineStr">
        <is>
          <t>711034631</t>
        </is>
      </c>
      <c r="G1049" s="14" t="n"/>
      <c r="H1049" s="14" t="n"/>
      <c r="I1049" s="14" t="n"/>
      <c r="J1049" s="14" t="n"/>
      <c r="K1049" s="13">
        <f>IF(G1049="","",IF(G1049&gt;=22,"Да","Нет"))</f>
        <v/>
      </c>
      <c r="L1049" s="13">
        <f>IF(OR(I1049="",J1049=""),"Не определено",IF(OR(COUNTIF(I1049,"45*")&gt;0,COUNTIF(J1049,"*45*")&gt;0,COUNTIF(I1049,"46*")&gt;0,COUNTIF(J1049,"*46*")&gt;0,COUNTIF(I1049,"47*")&gt;0,COUNTIF(J1049,"*47*")&gt;0,COUNTIF(I1049,"10*")&gt;0,COUNTIF(J1049,"*10*")&gt;0,COUNTIF(I1049,"11*")&gt;0,COUNTIF(J1049,"*11*")&gt;0,COUNTIF(I1049,"12*")&gt;0,COUNTIF(J1049,"*12*")&gt;0,COUNTIF(I1049,"13*")&gt;0,COUNTIF(J1049,"*13*")&gt;0,COUNTIF(I1049,"14*")&gt;0,COUNTIF(J1049,"*14*")&gt;0,COUNTIF(I1049,"15*")&gt;0,COUNTIF(J1049,"*15*")&gt;0,COUNTIF(I1049,"16*")&gt;0,COUNTIF(J1049,"*16*")&gt;0,COUNTIF(I1049,"17*")&gt;0,COUNTIF(J1049,"*17*")&gt;0,COUNTIF(I1049,"18*")&gt;0,COUNTIF(J1049,"*18*")&gt;0,COUNTIF(I1049,"19*")&gt;0,COUNTIF(J1049,"*19*")&gt;0,COUNTIF(I1049,"20*")&gt;0,COUNTIF(J1049,"*20*")&gt;0,COUNTIF(I1049,"21*")&gt;0,COUNTIF(J1049,"*21*")&gt;0,COUNTIF(I1049,"22*")&gt;0,COUNTIF(J1049,"*22*")&gt;0,COUNTIF(I1049,"23*")&gt;0,COUNTIF(J1049,"*23*")&gt;0,COUNTIF(I1049,"24*")&gt;0,COUNTIF(J1049,"*24*")&gt;0,COUNTIF(I1049,"25*")&gt;0,COUNTIF(J1049,"*25*")&gt;0,COUNTIF(I1049,"26*")&gt;0,COUNTIF(J1049,"*26*")&gt;0,COUNTIF(I1049,"27*")&gt;0,COUNTIF(J1049,"*27*")&gt;0,COUNTIF(I1049,"28*")&gt;0,COUNTIF(J1049,"*28*")&gt;0,COUNTIF(I1049,"29*")&gt;0,COUNTIF(J1049,"*29*")&gt;0,COUNTIF(I1049,"30*")&gt;0,COUNTIF(J1049,"*30*")&gt;0,COUNTIF(I1049,"31*")&gt;0,COUNTIF(J1049,"*31*")&gt;0,COUNTIF(I1049,"32*")&gt;0,COUNTIF(J1049,"*32*")&gt;0,COUNTIF(I1049,"33*")&gt;0,COUNTIF(J1049,"*33*")&gt;0,COUNTIF(I1049,"41*")&gt;0,COUNTIF(J1049,"*41*")&gt;0,COUNTIF(I1049,"42*")&gt;0,COUNTIF(J1049,"*42*")&gt;0,COUNTIF(I1049,"43*")&gt;0,COUNTIF(J1049,"*43*")&gt;0,COUNTIF(I1049,"49*")&gt;0,COUNTIF(J1049,"*49*")&gt;0,COUNTIF(I1049,"52*")&gt;0,COUNTIF(J1049,"*52*")&gt;0,COUNTIF(I1049,"55*")&gt;0,COUNTIF(J1049,"*55*")&gt;0,COUNTIF(I1049,"56*")&gt;0,COUNTIF(J1049,"*56*")&gt;0,COUNTIF(I1049,"68*")&gt;0,COUNTIF(J1049,"*68*")&gt;0,COUNTIF(I1049,"78*")&gt;0,COUNTIF(J1049,"*78*")&gt;0,COUNTIF(I1049,"81*")&gt;0,COUNTIF(J1049,"*81*")&gt;0,COUNTIF(I1049,"82*")&gt;0,COUNTIF(J1049,"*82*")&gt;0,COUNTIF(I1049,"64*")&gt;0,COUNTIF(J1049,"*64*")&gt;0,COUNTIF(I1049,"65*")&gt;0,COUNTIF(J1049,"*65*")&gt;0,COUNTIF(I1049,"66*")&gt;0,COUNTIF(J1049,"*66*")&gt;0,COUNTIF(I1049,"61*")&gt;0,COUNTIF(J1049,"*61*")&gt;0,COUNTIF(I1049,"62*")&gt;0,COUNTIF(J1049,"*62*")&gt;0,COUNTIF(I1049,"63*")&gt;0,COUNTIF(J1049,"*63*")&gt;0,COUNTIF(I1049,"85*")&gt;0,COUNTIF(J1049,"*85*")&gt;0,COUNTIF(I1049,"86*")&gt;0,COUNTIF(J1049,"*86*")&gt;0),"Да","Нет"))</f>
        <v/>
      </c>
      <c r="M1049" s="13">
        <f>IF(OR(G1049="",L1049&lt;&gt;"Да"),"",IF(G1049&lt;=100,"До 100",IF(G1049&lt;=200,"До 200",IF(G1049&lt;=500,"До 500","Отдельное КП"))))</f>
        <v/>
      </c>
      <c r="N1049" s="15">
        <f>IF(OR(G1049="",L1049&lt;&gt;"Да"),"",IF(G1049&lt;=100,33600,IF(G1049&lt;=200,62400,IF(G1049&lt;=500,144000,""))))</f>
        <v/>
      </c>
      <c r="O1049" s="16">
        <f>IF(G1049="","",IF(G1049&lt;=15,"1–15",IF(G1049&lt;=30,"16–30",IF(G1049&lt;=50,"31–50",IF(G1049&lt;=100,"51–100",IF(G1049&lt;=150,"101–150",IF(G1049&lt;=200,"151–200",IF(G1049&lt;=500,"201–500","500+"))))))))</f>
        <v/>
      </c>
      <c r="P1049" s="16" t="inlineStr">
        <is>
          <t>Нет совпадения в предоставленной выгрузке ССЧР</t>
        </is>
      </c>
      <c r="Q1049" s="16" t="n"/>
      <c r="R1049" s="16">
        <f>HYPERLINK("https://checko.ru/search?query=3801001629","Чекко: проверить")</f>
        <v/>
      </c>
      <c r="S1049" t="n">
        <v>0</v>
      </c>
    </row>
    <row r="1050" ht="27.75" customHeight="1" s="24">
      <c r="A1050" s="13" t="n">
        <v>5000001663</v>
      </c>
      <c r="B1050" s="13" t="inlineStr">
        <is>
          <t>Социально-реабилитационный центр для несовершеннолетних Усольского района</t>
        </is>
      </c>
      <c r="C1050" s="13" t="n">
        <v>3819017972</v>
      </c>
      <c r="D1050" s="13" t="inlineStr">
        <is>
          <t>3819017972</t>
        </is>
      </c>
      <c r="E1050" s="13" t="inlineStr">
        <is>
          <t>ЮЛ РФ</t>
        </is>
      </c>
      <c r="F1050" s="13" t="n"/>
      <c r="G1050" s="14" t="n"/>
      <c r="H1050" s="14" t="n"/>
      <c r="I1050" s="14" t="n"/>
      <c r="J1050" s="14" t="n"/>
      <c r="K1050" s="53" t="inlineStr"/>
      <c r="L1050" s="53" t="inlineStr">
        <is>
          <t>Не определено</t>
        </is>
      </c>
      <c r="M1050" s="53" t="inlineStr"/>
      <c r="N1050" s="54" t="inlineStr"/>
      <c r="O1050" s="55" t="inlineStr"/>
      <c r="P1050" s="16" t="inlineStr">
        <is>
          <t>Требует обогащения</t>
        </is>
      </c>
      <c r="Q1050" s="16">
        <f>HYPERLINK("https://pb.nalog.ru/search.html?query=3819017972","ФНС: проверить")</f>
        <v/>
      </c>
      <c r="R1050" s="16">
        <f>HYPERLINK("https://checko.ru/search?query=3801001629","Чекко: проверить")</f>
        <v/>
      </c>
      <c r="S1050" t="n">
        <v>1</v>
      </c>
      <c r="T1050" s="35" t="inlineStr">
        <is>
          <t>4 — Не обогащён</t>
        </is>
      </c>
      <c r="U1050" s="35" t="inlineStr">
        <is>
          <t>Нет ОКВЭД/ССЧР</t>
        </is>
      </c>
      <c r="V1050" s="35" t="inlineStr">
        <is>
          <t>Не определено</t>
        </is>
      </c>
      <c r="W1050" s="35" t="inlineStr"/>
      <c r="X1050" s="35" t="inlineStr"/>
    </row>
    <row r="1051" ht="27.75" customHeight="1" s="24">
      <c r="A1051" s="13" t="n">
        <v>5000094479</v>
      </c>
      <c r="B1051" s="13" t="inlineStr">
        <is>
          <t>МУ "Отдел ЗАГС Администрации Баксанского района КБР"</t>
        </is>
      </c>
      <c r="C1051" s="13" t="n">
        <v>701109302</v>
      </c>
      <c r="D1051" s="13" t="n"/>
      <c r="E1051" s="13" t="inlineStr">
        <is>
          <t>Не определён</t>
        </is>
      </c>
      <c r="F1051" s="13" t="inlineStr">
        <is>
          <t>701109302</t>
        </is>
      </c>
      <c r="G1051" s="14" t="n"/>
      <c r="H1051" s="14" t="n"/>
      <c r="I1051" s="14" t="n"/>
      <c r="J1051" s="14" t="n"/>
      <c r="K1051" s="13">
        <f>IF(G1051="","",IF(G1051&gt;=22,"Да","Нет"))</f>
        <v/>
      </c>
      <c r="L1051" s="13">
        <f>IF(OR(I1051="",J1051=""),"Не определено",IF(OR(COUNTIF(I1051,"45*")&gt;0,COUNTIF(J1051,"*45*")&gt;0,COUNTIF(I1051,"46*")&gt;0,COUNTIF(J1051,"*46*")&gt;0,COUNTIF(I1051,"47*")&gt;0,COUNTIF(J1051,"*47*")&gt;0,COUNTIF(I1051,"10*")&gt;0,COUNTIF(J1051,"*10*")&gt;0,COUNTIF(I1051,"11*")&gt;0,COUNTIF(J1051,"*11*")&gt;0,COUNTIF(I1051,"12*")&gt;0,COUNTIF(J1051,"*12*")&gt;0,COUNTIF(I1051,"13*")&gt;0,COUNTIF(J1051,"*13*")&gt;0,COUNTIF(I1051,"14*")&gt;0,COUNTIF(J1051,"*14*")&gt;0,COUNTIF(I1051,"15*")&gt;0,COUNTIF(J1051,"*15*")&gt;0,COUNTIF(I1051,"16*")&gt;0,COUNTIF(J1051,"*16*")&gt;0,COUNTIF(I1051,"17*")&gt;0,COUNTIF(J1051,"*17*")&gt;0,COUNTIF(I1051,"18*")&gt;0,COUNTIF(J1051,"*18*")&gt;0,COUNTIF(I1051,"19*")&gt;0,COUNTIF(J1051,"*19*")&gt;0,COUNTIF(I1051,"20*")&gt;0,COUNTIF(J1051,"*20*")&gt;0,COUNTIF(I1051,"21*")&gt;0,COUNTIF(J1051,"*21*")&gt;0,COUNTIF(I1051,"22*")&gt;0,COUNTIF(J1051,"*22*")&gt;0,COUNTIF(I1051,"23*")&gt;0,COUNTIF(J1051,"*23*")&gt;0,COUNTIF(I1051,"24*")&gt;0,COUNTIF(J1051,"*24*")&gt;0,COUNTIF(I1051,"25*")&gt;0,COUNTIF(J1051,"*25*")&gt;0,COUNTIF(I1051,"26*")&gt;0,COUNTIF(J1051,"*26*")&gt;0,COUNTIF(I1051,"27*")&gt;0,COUNTIF(J1051,"*27*")&gt;0,COUNTIF(I1051,"28*")&gt;0,COUNTIF(J1051,"*28*")&gt;0,COUNTIF(I1051,"29*")&gt;0,COUNTIF(J1051,"*29*")&gt;0,COUNTIF(I1051,"30*")&gt;0,COUNTIF(J1051,"*30*")&gt;0,COUNTIF(I1051,"31*")&gt;0,COUNTIF(J1051,"*31*")&gt;0,COUNTIF(I1051,"32*")&gt;0,COUNTIF(J1051,"*32*")&gt;0,COUNTIF(I1051,"33*")&gt;0,COUNTIF(J1051,"*33*")&gt;0,COUNTIF(I1051,"41*")&gt;0,COUNTIF(J1051,"*41*")&gt;0,COUNTIF(I1051,"42*")&gt;0,COUNTIF(J1051,"*42*")&gt;0,COUNTIF(I1051,"43*")&gt;0,COUNTIF(J1051,"*43*")&gt;0,COUNTIF(I1051,"49*")&gt;0,COUNTIF(J1051,"*49*")&gt;0,COUNTIF(I1051,"52*")&gt;0,COUNTIF(J1051,"*52*")&gt;0,COUNTIF(I1051,"55*")&gt;0,COUNTIF(J1051,"*55*")&gt;0,COUNTIF(I1051,"56*")&gt;0,COUNTIF(J1051,"*56*")&gt;0,COUNTIF(I1051,"68*")&gt;0,COUNTIF(J1051,"*68*")&gt;0,COUNTIF(I1051,"78*")&gt;0,COUNTIF(J1051,"*78*")&gt;0,COUNTIF(I1051,"81*")&gt;0,COUNTIF(J1051,"*81*")&gt;0,COUNTIF(I1051,"82*")&gt;0,COUNTIF(J1051,"*82*")&gt;0,COUNTIF(I1051,"64*")&gt;0,COUNTIF(J1051,"*64*")&gt;0,COUNTIF(I1051,"65*")&gt;0,COUNTIF(J1051,"*65*")&gt;0,COUNTIF(I1051,"66*")&gt;0,COUNTIF(J1051,"*66*")&gt;0,COUNTIF(I1051,"61*")&gt;0,COUNTIF(J1051,"*61*")&gt;0,COUNTIF(I1051,"62*")&gt;0,COUNTIF(J1051,"*62*")&gt;0,COUNTIF(I1051,"63*")&gt;0,COUNTIF(J1051,"*63*")&gt;0,COUNTIF(I1051,"85*")&gt;0,COUNTIF(J1051,"*85*")&gt;0,COUNTIF(I1051,"86*")&gt;0,COUNTIF(J1051,"*86*")&gt;0),"Да","Нет"))</f>
        <v/>
      </c>
      <c r="M1051" s="13">
        <f>IF(OR(G1051="",L1051&lt;&gt;"Да"),"",IF(G1051&lt;=100,"До 100",IF(G1051&lt;=200,"До 200",IF(G1051&lt;=500,"До 500","Отдельное КП"))))</f>
        <v/>
      </c>
      <c r="N1051" s="15">
        <f>IF(OR(G1051="",L1051&lt;&gt;"Да"),"",IF(G1051&lt;=100,33600,IF(G1051&lt;=200,62400,IF(G1051&lt;=500,144000,""))))</f>
        <v/>
      </c>
      <c r="O1051" s="16">
        <f>IF(G1051="","",IF(G1051&lt;=15,"1–15",IF(G1051&lt;=30,"16–30",IF(G1051&lt;=50,"31–50",IF(G1051&lt;=100,"51–100",IF(G1051&lt;=150,"101–150",IF(G1051&lt;=200,"151–200",IF(G1051&lt;=500,"201–500","500+"))))))))</f>
        <v/>
      </c>
      <c r="P1051" s="16" t="inlineStr">
        <is>
          <t>Нет совпадения в предоставленной выгрузке ССЧР</t>
        </is>
      </c>
      <c r="Q1051" s="16" t="n"/>
      <c r="R1051" s="16">
        <f>HYPERLINK("https://checko.ru/search?query=3801001629","Чекко: проверить")</f>
        <v/>
      </c>
      <c r="S1051" t="n">
        <v>0</v>
      </c>
    </row>
    <row r="1052" ht="27.75" customHeight="1" s="24">
      <c r="A1052" s="13" t="n">
        <v>5000094979</v>
      </c>
      <c r="B1052" s="13" t="inlineStr">
        <is>
          <t>Автономное учреждение "Объединение парка культуры и отдыха" г.о. Нальчик</t>
        </is>
      </c>
      <c r="C1052" s="13" t="n">
        <v>711034102</v>
      </c>
      <c r="D1052" s="13" t="n"/>
      <c r="E1052" s="13" t="inlineStr">
        <is>
          <t>Не определён</t>
        </is>
      </c>
      <c r="F1052" s="13" t="inlineStr">
        <is>
          <t>711034102</t>
        </is>
      </c>
      <c r="G1052" s="14" t="n"/>
      <c r="H1052" s="14" t="n"/>
      <c r="I1052" s="14" t="n"/>
      <c r="J1052" s="14" t="n"/>
      <c r="K1052" s="13">
        <f>IF(G1052="","",IF(G1052&gt;=22,"Да","Нет"))</f>
        <v/>
      </c>
      <c r="L1052" s="13">
        <f>IF(OR(I1052="",J1052=""),"Не определено",IF(OR(COUNTIF(I1052,"45*")&gt;0,COUNTIF(J1052,"*45*")&gt;0,COUNTIF(I1052,"46*")&gt;0,COUNTIF(J1052,"*46*")&gt;0,COUNTIF(I1052,"47*")&gt;0,COUNTIF(J1052,"*47*")&gt;0,COUNTIF(I1052,"10*")&gt;0,COUNTIF(J1052,"*10*")&gt;0,COUNTIF(I1052,"11*")&gt;0,COUNTIF(J1052,"*11*")&gt;0,COUNTIF(I1052,"12*")&gt;0,COUNTIF(J1052,"*12*")&gt;0,COUNTIF(I1052,"13*")&gt;0,COUNTIF(J1052,"*13*")&gt;0,COUNTIF(I1052,"14*")&gt;0,COUNTIF(J1052,"*14*")&gt;0,COUNTIF(I1052,"15*")&gt;0,COUNTIF(J1052,"*15*")&gt;0,COUNTIF(I1052,"16*")&gt;0,COUNTIF(J1052,"*16*")&gt;0,COUNTIF(I1052,"17*")&gt;0,COUNTIF(J1052,"*17*")&gt;0,COUNTIF(I1052,"18*")&gt;0,COUNTIF(J1052,"*18*")&gt;0,COUNTIF(I1052,"19*")&gt;0,COUNTIF(J1052,"*19*")&gt;0,COUNTIF(I1052,"20*")&gt;0,COUNTIF(J1052,"*20*")&gt;0,COUNTIF(I1052,"21*")&gt;0,COUNTIF(J1052,"*21*")&gt;0,COUNTIF(I1052,"22*")&gt;0,COUNTIF(J1052,"*22*")&gt;0,COUNTIF(I1052,"23*")&gt;0,COUNTIF(J1052,"*23*")&gt;0,COUNTIF(I1052,"24*")&gt;0,COUNTIF(J1052,"*24*")&gt;0,COUNTIF(I1052,"25*")&gt;0,COUNTIF(J1052,"*25*")&gt;0,COUNTIF(I1052,"26*")&gt;0,COUNTIF(J1052,"*26*")&gt;0,COUNTIF(I1052,"27*")&gt;0,COUNTIF(J1052,"*27*")&gt;0,COUNTIF(I1052,"28*")&gt;0,COUNTIF(J1052,"*28*")&gt;0,COUNTIF(I1052,"29*")&gt;0,COUNTIF(J1052,"*29*")&gt;0,COUNTIF(I1052,"30*")&gt;0,COUNTIF(J1052,"*30*")&gt;0,COUNTIF(I1052,"31*")&gt;0,COUNTIF(J1052,"*31*")&gt;0,COUNTIF(I1052,"32*")&gt;0,COUNTIF(J1052,"*32*")&gt;0,COUNTIF(I1052,"33*")&gt;0,COUNTIF(J1052,"*33*")&gt;0,COUNTIF(I1052,"41*")&gt;0,COUNTIF(J1052,"*41*")&gt;0,COUNTIF(I1052,"42*")&gt;0,COUNTIF(J1052,"*42*")&gt;0,COUNTIF(I1052,"43*")&gt;0,COUNTIF(J1052,"*43*")&gt;0,COUNTIF(I1052,"49*")&gt;0,COUNTIF(J1052,"*49*")&gt;0,COUNTIF(I1052,"52*")&gt;0,COUNTIF(J1052,"*52*")&gt;0,COUNTIF(I1052,"55*")&gt;0,COUNTIF(J1052,"*55*")&gt;0,COUNTIF(I1052,"56*")&gt;0,COUNTIF(J1052,"*56*")&gt;0,COUNTIF(I1052,"68*")&gt;0,COUNTIF(J1052,"*68*")&gt;0,COUNTIF(I1052,"78*")&gt;0,COUNTIF(J1052,"*78*")&gt;0,COUNTIF(I1052,"81*")&gt;0,COUNTIF(J1052,"*81*")&gt;0,COUNTIF(I1052,"82*")&gt;0,COUNTIF(J1052,"*82*")&gt;0,COUNTIF(I1052,"64*")&gt;0,COUNTIF(J1052,"*64*")&gt;0,COUNTIF(I1052,"65*")&gt;0,COUNTIF(J1052,"*65*")&gt;0,COUNTIF(I1052,"66*")&gt;0,COUNTIF(J1052,"*66*")&gt;0,COUNTIF(I1052,"61*")&gt;0,COUNTIF(J1052,"*61*")&gt;0,COUNTIF(I1052,"62*")&gt;0,COUNTIF(J1052,"*62*")&gt;0,COUNTIF(I1052,"63*")&gt;0,COUNTIF(J1052,"*63*")&gt;0,COUNTIF(I1052,"85*")&gt;0,COUNTIF(J1052,"*85*")&gt;0,COUNTIF(I1052,"86*")&gt;0,COUNTIF(J1052,"*86*")&gt;0),"Да","Нет"))</f>
        <v/>
      </c>
      <c r="M1052" s="13">
        <f>IF(OR(G1052="",L1052&lt;&gt;"Да"),"",IF(G1052&lt;=100,"До 100",IF(G1052&lt;=200,"До 200",IF(G1052&lt;=500,"До 500","Отдельное КП"))))</f>
        <v/>
      </c>
      <c r="N1052" s="15">
        <f>IF(OR(G1052="",L1052&lt;&gt;"Да"),"",IF(G1052&lt;=100,33600,IF(G1052&lt;=200,62400,IF(G1052&lt;=500,144000,""))))</f>
        <v/>
      </c>
      <c r="O1052" s="16">
        <f>IF(G1052="","",IF(G1052&lt;=15,"1–15",IF(G1052&lt;=30,"16–30",IF(G1052&lt;=50,"31–50",IF(G1052&lt;=100,"51–100",IF(G1052&lt;=150,"101–150",IF(G1052&lt;=200,"151–200",IF(G1052&lt;=500,"201–500","500+"))))))))</f>
        <v/>
      </c>
      <c r="P1052" s="16" t="inlineStr">
        <is>
          <t>Нет совпадения в предоставленной выгрузке ССЧР</t>
        </is>
      </c>
      <c r="Q1052" s="16" t="n"/>
      <c r="R1052" s="16">
        <f>HYPERLINK("https://checko.ru/search?query=3801001629","Чекко: проверить")</f>
        <v/>
      </c>
      <c r="S1052" t="n">
        <v>0</v>
      </c>
    </row>
    <row r="1053" ht="15" customHeight="1" s="24">
      <c r="A1053" s="13" t="n">
        <v>5000094770</v>
      </c>
      <c r="B1053" s="13" t="inlineStr">
        <is>
          <t>ГКУ "РЦСПСД"</t>
        </is>
      </c>
      <c r="C1053" s="13" t="n">
        <v>707007314</v>
      </c>
      <c r="D1053" s="13" t="n"/>
      <c r="E1053" s="13" t="inlineStr">
        <is>
          <t>Не определён</t>
        </is>
      </c>
      <c r="F1053" s="13" t="inlineStr">
        <is>
          <t>707007314</t>
        </is>
      </c>
      <c r="G1053" s="14" t="n"/>
      <c r="H1053" s="14" t="n"/>
      <c r="I1053" s="14" t="n"/>
      <c r="J1053" s="14" t="n"/>
      <c r="K1053" s="13">
        <f>IF(G1053="","",IF(G1053&gt;=22,"Да","Нет"))</f>
        <v/>
      </c>
      <c r="L1053" s="13">
        <f>IF(OR(I1053="",J1053=""),"Не определено",IF(OR(COUNTIF(I1053,"45*")&gt;0,COUNTIF(J1053,"*45*")&gt;0,COUNTIF(I1053,"46*")&gt;0,COUNTIF(J1053,"*46*")&gt;0,COUNTIF(I1053,"47*")&gt;0,COUNTIF(J1053,"*47*")&gt;0,COUNTIF(I1053,"10*")&gt;0,COUNTIF(J1053,"*10*")&gt;0,COUNTIF(I1053,"11*")&gt;0,COUNTIF(J1053,"*11*")&gt;0,COUNTIF(I1053,"12*")&gt;0,COUNTIF(J1053,"*12*")&gt;0,COUNTIF(I1053,"13*")&gt;0,COUNTIF(J1053,"*13*")&gt;0,COUNTIF(I1053,"14*")&gt;0,COUNTIF(J1053,"*14*")&gt;0,COUNTIF(I1053,"15*")&gt;0,COUNTIF(J1053,"*15*")&gt;0,COUNTIF(I1053,"16*")&gt;0,COUNTIF(J1053,"*16*")&gt;0,COUNTIF(I1053,"17*")&gt;0,COUNTIF(J1053,"*17*")&gt;0,COUNTIF(I1053,"18*")&gt;0,COUNTIF(J1053,"*18*")&gt;0,COUNTIF(I1053,"19*")&gt;0,COUNTIF(J1053,"*19*")&gt;0,COUNTIF(I1053,"20*")&gt;0,COUNTIF(J1053,"*20*")&gt;0,COUNTIF(I1053,"21*")&gt;0,COUNTIF(J1053,"*21*")&gt;0,COUNTIF(I1053,"22*")&gt;0,COUNTIF(J1053,"*22*")&gt;0,COUNTIF(I1053,"23*")&gt;0,COUNTIF(J1053,"*23*")&gt;0,COUNTIF(I1053,"24*")&gt;0,COUNTIF(J1053,"*24*")&gt;0,COUNTIF(I1053,"25*")&gt;0,COUNTIF(J1053,"*25*")&gt;0,COUNTIF(I1053,"26*")&gt;0,COUNTIF(J1053,"*26*")&gt;0,COUNTIF(I1053,"27*")&gt;0,COUNTIF(J1053,"*27*")&gt;0,COUNTIF(I1053,"28*")&gt;0,COUNTIF(J1053,"*28*")&gt;0,COUNTIF(I1053,"29*")&gt;0,COUNTIF(J1053,"*29*")&gt;0,COUNTIF(I1053,"30*")&gt;0,COUNTIF(J1053,"*30*")&gt;0,COUNTIF(I1053,"31*")&gt;0,COUNTIF(J1053,"*31*")&gt;0,COUNTIF(I1053,"32*")&gt;0,COUNTIF(J1053,"*32*")&gt;0,COUNTIF(I1053,"33*")&gt;0,COUNTIF(J1053,"*33*")&gt;0,COUNTIF(I1053,"41*")&gt;0,COUNTIF(J1053,"*41*")&gt;0,COUNTIF(I1053,"42*")&gt;0,COUNTIF(J1053,"*42*")&gt;0,COUNTIF(I1053,"43*")&gt;0,COUNTIF(J1053,"*43*")&gt;0,COUNTIF(I1053,"49*")&gt;0,COUNTIF(J1053,"*49*")&gt;0,COUNTIF(I1053,"52*")&gt;0,COUNTIF(J1053,"*52*")&gt;0,COUNTIF(I1053,"55*")&gt;0,COUNTIF(J1053,"*55*")&gt;0,COUNTIF(I1053,"56*")&gt;0,COUNTIF(J1053,"*56*")&gt;0,COUNTIF(I1053,"68*")&gt;0,COUNTIF(J1053,"*68*")&gt;0,COUNTIF(I1053,"78*")&gt;0,COUNTIF(J1053,"*78*")&gt;0,COUNTIF(I1053,"81*")&gt;0,COUNTIF(J1053,"*81*")&gt;0,COUNTIF(I1053,"82*")&gt;0,COUNTIF(J1053,"*82*")&gt;0,COUNTIF(I1053,"64*")&gt;0,COUNTIF(J1053,"*64*")&gt;0,COUNTIF(I1053,"65*")&gt;0,COUNTIF(J1053,"*65*")&gt;0,COUNTIF(I1053,"66*")&gt;0,COUNTIF(J1053,"*66*")&gt;0,COUNTIF(I1053,"61*")&gt;0,COUNTIF(J1053,"*61*")&gt;0,COUNTIF(I1053,"62*")&gt;0,COUNTIF(J1053,"*62*")&gt;0,COUNTIF(I1053,"63*")&gt;0,COUNTIF(J1053,"*63*")&gt;0,COUNTIF(I1053,"85*")&gt;0,COUNTIF(J1053,"*85*")&gt;0,COUNTIF(I1053,"86*")&gt;0,COUNTIF(J1053,"*86*")&gt;0),"Да","Нет"))</f>
        <v/>
      </c>
      <c r="M1053" s="13">
        <f>IF(OR(G1053="",L1053&lt;&gt;"Да"),"",IF(G1053&lt;=100,"До 100",IF(G1053&lt;=200,"До 200",IF(G1053&lt;=500,"До 500","Отдельное КП"))))</f>
        <v/>
      </c>
      <c r="N1053" s="15">
        <f>IF(OR(G1053="",L1053&lt;&gt;"Да"),"",IF(G1053&lt;=100,33600,IF(G1053&lt;=200,62400,IF(G1053&lt;=500,144000,""))))</f>
        <v/>
      </c>
      <c r="O1053" s="16">
        <f>IF(G1053="","",IF(G1053&lt;=15,"1–15",IF(G1053&lt;=30,"16–30",IF(G1053&lt;=50,"31–50",IF(G1053&lt;=100,"51–100",IF(G1053&lt;=150,"101–150",IF(G1053&lt;=200,"151–200",IF(G1053&lt;=500,"201–500","500+"))))))))</f>
        <v/>
      </c>
      <c r="P1053" s="16" t="inlineStr">
        <is>
          <t>Нет совпадения в предоставленной выгрузке ССЧР</t>
        </is>
      </c>
      <c r="Q1053" s="16" t="n"/>
      <c r="R1053" s="16">
        <f>HYPERLINK("https://checko.ru/search?query=3801001629","Чекко: проверить")</f>
        <v/>
      </c>
      <c r="S1053" t="n">
        <v>0</v>
      </c>
    </row>
    <row r="1054" ht="41.25" customHeight="1" s="24">
      <c r="A1054" s="13" t="n">
        <v>5000001610</v>
      </c>
      <c r="B1054" s="13" t="inlineStr">
        <is>
          <t>ОБЛАСТНОЕ ГОСУДАРСТВЕННОЕ АВТОНОМНОЕ УЧРЕЖДЕНИЕ ЗДРАВООХРАНЕНИЯ "САЯНСКАЯ ГОРОДСКАЯ СТОМАТОЛОГИЧЕСКА</t>
        </is>
      </c>
      <c r="C1054" s="13" t="n">
        <v>3814006590</v>
      </c>
      <c r="D1054" s="13" t="inlineStr">
        <is>
          <t>3814006590</t>
        </is>
      </c>
      <c r="E1054" s="13" t="inlineStr">
        <is>
          <t>ЮЛ РФ</t>
        </is>
      </c>
      <c r="F1054" s="13" t="n"/>
      <c r="G1054" s="14" t="n"/>
      <c r="H1054" s="14" t="n"/>
      <c r="I1054" s="14" t="n"/>
      <c r="J1054" s="14" t="n"/>
      <c r="K1054" s="53" t="inlineStr"/>
      <c r="L1054" s="53" t="inlineStr">
        <is>
          <t>Не определено</t>
        </is>
      </c>
      <c r="M1054" s="53" t="inlineStr"/>
      <c r="N1054" s="54" t="inlineStr"/>
      <c r="O1054" s="55" t="inlineStr"/>
      <c r="P1054" s="16" t="inlineStr">
        <is>
          <t>Требует обогащения</t>
        </is>
      </c>
      <c r="Q1054" s="16">
        <f>HYPERLINK("https://pb.nalog.ru/search.html?query=3814006590","ФНС: проверить")</f>
        <v/>
      </c>
      <c r="R1054" s="16">
        <f>HYPERLINK("https://checko.ru/search?query=3801001629","Чекко: проверить")</f>
        <v/>
      </c>
      <c r="S1054" t="n">
        <v>1</v>
      </c>
      <c r="T1054" s="35" t="inlineStr">
        <is>
          <t>4 — Не обогащён</t>
        </is>
      </c>
      <c r="U1054" s="35" t="inlineStr">
        <is>
          <t>Нет ОКВЭД/ССЧР</t>
        </is>
      </c>
      <c r="V1054" s="35" t="inlineStr">
        <is>
          <t>Не определено</t>
        </is>
      </c>
      <c r="W1054" s="35" t="inlineStr"/>
      <c r="X1054" s="35" t="inlineStr"/>
    </row>
    <row r="1055" ht="27.75" customHeight="1" s="24">
      <c r="A1055" s="13" t="n">
        <v>5000062603</v>
      </c>
      <c r="B1055" s="13" t="inlineStr">
        <is>
          <t>ГУЗ «Чердаклинская центральная районная больница»</t>
        </is>
      </c>
      <c r="C1055" s="13" t="n">
        <v>7323000466</v>
      </c>
      <c r="D1055" s="13" t="inlineStr">
        <is>
          <t>7323000466</t>
        </is>
      </c>
      <c r="E1055" s="13" t="inlineStr">
        <is>
          <t>ЮЛ РФ</t>
        </is>
      </c>
      <c r="F1055" s="13" t="n"/>
      <c r="G1055" s="14" t="n"/>
      <c r="H1055" s="14" t="n"/>
      <c r="I1055" s="14" t="n"/>
      <c r="J1055" s="14" t="n"/>
      <c r="K1055" s="53" t="inlineStr"/>
      <c r="L1055" s="53" t="inlineStr">
        <is>
          <t>Не определено</t>
        </is>
      </c>
      <c r="M1055" s="53" t="inlineStr"/>
      <c r="N1055" s="54" t="inlineStr"/>
      <c r="O1055" s="55" t="inlineStr"/>
      <c r="P1055" s="16" t="inlineStr">
        <is>
          <t>Требует обогащения</t>
        </is>
      </c>
      <c r="Q1055" s="16">
        <f>HYPERLINK("https://pb.nalog.ru/search.html?query=7323000466","ФНС: проверить")</f>
        <v/>
      </c>
      <c r="R1055" s="16">
        <f>HYPERLINK("https://checko.ru/search?query=3801001629","Чекко: проверить")</f>
        <v/>
      </c>
      <c r="S1055" t="n">
        <v>1</v>
      </c>
      <c r="T1055" s="35" t="inlineStr">
        <is>
          <t>4 — Не обогащён</t>
        </is>
      </c>
      <c r="U1055" s="35" t="inlineStr">
        <is>
          <t>Нет ОКВЭД/ССЧР</t>
        </is>
      </c>
      <c r="V1055" s="35" t="inlineStr">
        <is>
          <t>Не определено</t>
        </is>
      </c>
      <c r="W1055" s="35" t="inlineStr"/>
      <c r="X1055" s="35" t="inlineStr"/>
    </row>
    <row r="1056" ht="27.75" customHeight="1" s="24">
      <c r="A1056" s="13" t="n">
        <v>5000062635</v>
      </c>
      <c r="B1056" s="13" t="inlineStr">
        <is>
          <t>Большенагаткинская Центральная Районная Больница</t>
        </is>
      </c>
      <c r="C1056" s="13" t="n">
        <v>7322003263</v>
      </c>
      <c r="D1056" s="13" t="inlineStr">
        <is>
          <t>7322003263</t>
        </is>
      </c>
      <c r="E1056" s="13" t="inlineStr">
        <is>
          <t>ЮЛ РФ</t>
        </is>
      </c>
      <c r="F1056" s="13" t="n"/>
      <c r="G1056" s="14" t="n"/>
      <c r="H1056" s="14" t="n"/>
      <c r="I1056" s="14" t="n"/>
      <c r="J1056" s="14" t="n"/>
      <c r="K1056" s="53" t="inlineStr"/>
      <c r="L1056" s="53" t="inlineStr">
        <is>
          <t>Не определено</t>
        </is>
      </c>
      <c r="M1056" s="53" t="inlineStr"/>
      <c r="N1056" s="54" t="inlineStr"/>
      <c r="O1056" s="55" t="inlineStr"/>
      <c r="P1056" s="16" t="inlineStr">
        <is>
          <t>Требует обогащения</t>
        </is>
      </c>
      <c r="Q1056" s="16">
        <f>HYPERLINK("https://pb.nalog.ru/search.html?query=7322003263","ФНС: проверить")</f>
        <v/>
      </c>
      <c r="R1056" s="16">
        <f>HYPERLINK("https://checko.ru/search?query=3801001629","Чекко: проверить")</f>
        <v/>
      </c>
      <c r="S1056" t="n">
        <v>1</v>
      </c>
      <c r="T1056" s="35" t="inlineStr">
        <is>
          <t>4 — Не обогащён</t>
        </is>
      </c>
      <c r="U1056" s="35" t="inlineStr">
        <is>
          <t>Нет ОКВЭД/ССЧР</t>
        </is>
      </c>
      <c r="V1056" s="35" t="inlineStr">
        <is>
          <t>Не определено</t>
        </is>
      </c>
      <c r="W1056" s="35" t="inlineStr"/>
      <c r="X1056" s="35" t="inlineStr"/>
    </row>
    <row r="1057" ht="27.75" customHeight="1" s="24">
      <c r="A1057" s="13" t="n">
        <v>5000101675</v>
      </c>
      <c r="B1057" s="13" t="inlineStr">
        <is>
          <t>Государственное казенное учреждение Иркутской области "Кировское лесничество"</t>
        </is>
      </c>
      <c r="C1057" s="13" t="n">
        <v>3849096643</v>
      </c>
      <c r="D1057" s="13" t="inlineStr">
        <is>
          <t>3849096643</t>
        </is>
      </c>
      <c r="E1057" s="13" t="inlineStr">
        <is>
          <t>ЮЛ РФ</t>
        </is>
      </c>
      <c r="F1057" s="13" t="n"/>
      <c r="G1057" s="14" t="n"/>
      <c r="H1057" s="14" t="n"/>
      <c r="I1057" s="14" t="n"/>
      <c r="J1057" s="14" t="n"/>
      <c r="K1057" s="53" t="inlineStr"/>
      <c r="L1057" s="53" t="inlineStr">
        <is>
          <t>Не определено</t>
        </is>
      </c>
      <c r="M1057" s="53" t="inlineStr"/>
      <c r="N1057" s="54" t="inlineStr"/>
      <c r="O1057" s="55" t="inlineStr"/>
      <c r="P1057" s="16" t="inlineStr">
        <is>
          <t>Требует обогащения</t>
        </is>
      </c>
      <c r="Q1057" s="16">
        <f>HYPERLINK("https://pb.nalog.ru/search.html?query=3849096643","ФНС: проверить")</f>
        <v/>
      </c>
      <c r="R1057" s="16">
        <f>HYPERLINK("https://checko.ru/search?query=3801001629","Чекко: проверить")</f>
        <v/>
      </c>
      <c r="S1057" t="n">
        <v>1</v>
      </c>
      <c r="T1057" s="35" t="inlineStr">
        <is>
          <t>4 — Не обогащён</t>
        </is>
      </c>
      <c r="U1057" s="35" t="inlineStr">
        <is>
          <t>Нет ОКВЭД/ССЧР</t>
        </is>
      </c>
      <c r="V1057" s="35" t="inlineStr">
        <is>
          <t>Не определено</t>
        </is>
      </c>
      <c r="W1057" s="35" t="inlineStr"/>
      <c r="X1057" s="35" t="inlineStr"/>
    </row>
    <row r="1058" ht="15" customHeight="1" s="24">
      <c r="A1058" s="13" t="n">
        <v>5000062581</v>
      </c>
      <c r="B1058" s="13" t="inlineStr">
        <is>
          <t>ГУЗ Городская поликлиника №1 им С.М.Кирова</t>
        </is>
      </c>
      <c r="C1058" s="13" t="n">
        <v>7325001049</v>
      </c>
      <c r="D1058" s="13" t="inlineStr">
        <is>
          <t>7325001049</t>
        </is>
      </c>
      <c r="E1058" s="13" t="inlineStr">
        <is>
          <t>ЮЛ РФ</t>
        </is>
      </c>
      <c r="F1058" s="13" t="n"/>
      <c r="G1058" s="14" t="n"/>
      <c r="H1058" s="14" t="n"/>
      <c r="I1058" s="14" t="n"/>
      <c r="J1058" s="14" t="n"/>
      <c r="K1058" s="53" t="inlineStr"/>
      <c r="L1058" s="53" t="inlineStr">
        <is>
          <t>Не определено</t>
        </is>
      </c>
      <c r="M1058" s="53" t="inlineStr"/>
      <c r="N1058" s="54" t="inlineStr"/>
      <c r="O1058" s="55" t="inlineStr"/>
      <c r="P1058" s="16" t="inlineStr">
        <is>
          <t>Требует обогащения</t>
        </is>
      </c>
      <c r="Q1058" s="16">
        <f>HYPERLINK("https://pb.nalog.ru/search.html?query=7325001049","ФНС: проверить")</f>
        <v/>
      </c>
      <c r="R1058" s="16">
        <f>HYPERLINK("https://checko.ru/search?query=3801001629","Чекко: проверить")</f>
        <v/>
      </c>
      <c r="S1058" t="n">
        <v>1</v>
      </c>
      <c r="T1058" s="35" t="inlineStr">
        <is>
          <t>4 — Не обогащён</t>
        </is>
      </c>
      <c r="U1058" s="35" t="inlineStr">
        <is>
          <t>Нет ОКВЭД/ССЧР</t>
        </is>
      </c>
      <c r="V1058" s="35" t="inlineStr">
        <is>
          <t>Не определено</t>
        </is>
      </c>
      <c r="W1058" s="35" t="inlineStr"/>
      <c r="X1058" s="35" t="inlineStr"/>
    </row>
    <row r="1059" ht="15" customHeight="1" s="24">
      <c r="A1059" s="13" t="n">
        <v>5000062631</v>
      </c>
      <c r="B1059" s="13" t="inlineStr">
        <is>
          <t>ГУЗ Городская поликлиника №4</t>
        </is>
      </c>
      <c r="C1059" s="13" t="n">
        <v>7327016523</v>
      </c>
      <c r="D1059" s="13" t="inlineStr">
        <is>
          <t>7327016523</t>
        </is>
      </c>
      <c r="E1059" s="13" t="inlineStr">
        <is>
          <t>ЮЛ РФ</t>
        </is>
      </c>
      <c r="F1059" s="13" t="n"/>
      <c r="G1059" s="14" t="n"/>
      <c r="H1059" s="14" t="n"/>
      <c r="I1059" s="14" t="n"/>
      <c r="J1059" s="14" t="n"/>
      <c r="K1059" s="53" t="inlineStr"/>
      <c r="L1059" s="53" t="inlineStr">
        <is>
          <t>Не определено</t>
        </is>
      </c>
      <c r="M1059" s="53" t="inlineStr"/>
      <c r="N1059" s="54" t="inlineStr"/>
      <c r="O1059" s="55" t="inlineStr"/>
      <c r="P1059" s="16" t="inlineStr">
        <is>
          <t>Требует обогащения</t>
        </is>
      </c>
      <c r="Q1059" s="16">
        <f>HYPERLINK("https://pb.nalog.ru/search.html?query=7327016523","ФНС: проверить")</f>
        <v/>
      </c>
      <c r="R1059" s="16">
        <f>HYPERLINK("https://checko.ru/search?query=3801001629","Чекко: проверить")</f>
        <v/>
      </c>
      <c r="S1059" t="n">
        <v>1</v>
      </c>
      <c r="T1059" s="35" t="inlineStr">
        <is>
          <t>4 — Не обогащён</t>
        </is>
      </c>
      <c r="U1059" s="35" t="inlineStr">
        <is>
          <t>Нет ОКВЭД/ССЧР</t>
        </is>
      </c>
      <c r="V1059" s="35" t="inlineStr">
        <is>
          <t>Не определено</t>
        </is>
      </c>
      <c r="W1059" s="35" t="inlineStr"/>
      <c r="X1059" s="35" t="inlineStr"/>
    </row>
    <row r="1060" ht="27.75" customHeight="1" s="24">
      <c r="A1060" s="13" t="n">
        <v>5000062638</v>
      </c>
      <c r="B1060" s="13" t="inlineStr">
        <is>
          <t>ГУЗ УЛЬЯНОВСКАЯ ОБЛАСТНАЯ КЛИНИЧЕСКАЯ БОЛЬНИЦА</t>
        </is>
      </c>
      <c r="C1060" s="13" t="n">
        <v>7300000043</v>
      </c>
      <c r="D1060" s="13" t="inlineStr">
        <is>
          <t>7300000043</t>
        </is>
      </c>
      <c r="E1060" s="13" t="inlineStr">
        <is>
          <t>ЮЛ РФ</t>
        </is>
      </c>
      <c r="F1060" s="13" t="n"/>
      <c r="G1060" s="14" t="n"/>
      <c r="H1060" s="14" t="n"/>
      <c r="I1060" s="14" t="n"/>
      <c r="J1060" s="14" t="n"/>
      <c r="K1060" s="53" t="inlineStr"/>
      <c r="L1060" s="53" t="inlineStr">
        <is>
          <t>Не определено</t>
        </is>
      </c>
      <c r="M1060" s="53" t="inlineStr"/>
      <c r="N1060" s="54" t="inlineStr"/>
      <c r="O1060" s="55" t="inlineStr"/>
      <c r="P1060" s="16" t="inlineStr">
        <is>
          <t>Требует обогащения</t>
        </is>
      </c>
      <c r="Q1060" s="16">
        <f>HYPERLINK("https://pb.nalog.ru/search.html?query=7300000043","ФНС: проверить")</f>
        <v/>
      </c>
      <c r="R1060" s="16">
        <f>HYPERLINK("https://checko.ru/search?query=3801001629","Чекко: проверить")</f>
        <v/>
      </c>
      <c r="S1060" t="n">
        <v>1</v>
      </c>
      <c r="T1060" s="35" t="inlineStr">
        <is>
          <t>4 — Не обогащён</t>
        </is>
      </c>
      <c r="U1060" s="35" t="inlineStr">
        <is>
          <t>Нет ОКВЭД/ССЧР</t>
        </is>
      </c>
      <c r="V1060" s="35" t="inlineStr">
        <is>
          <t>Не определено</t>
        </is>
      </c>
      <c r="W1060" s="35" t="inlineStr"/>
      <c r="X1060" s="35" t="inlineStr"/>
    </row>
    <row r="1061" ht="54.75" customHeight="1" s="24">
      <c r="A1061" s="13" t="n">
        <v>5000094752</v>
      </c>
      <c r="B1061" s="13" t="inlineStr">
        <is>
          <t>Муниципальное казенное учреждение «Администрация сельского поселения Шитхала Урванского муниципального района Кабардино-Балкарской Республики»</t>
        </is>
      </c>
      <c r="C1061" s="13" t="n">
        <v>707005412</v>
      </c>
      <c r="D1061" s="13" t="n"/>
      <c r="E1061" s="13" t="inlineStr">
        <is>
          <t>Не определён</t>
        </is>
      </c>
      <c r="F1061" s="13" t="inlineStr">
        <is>
          <t>707005412</t>
        </is>
      </c>
      <c r="G1061" s="14" t="n"/>
      <c r="H1061" s="14" t="n"/>
      <c r="I1061" s="14" t="n"/>
      <c r="J1061" s="14" t="n"/>
      <c r="K1061" s="13">
        <f>IF(G1061="","",IF(G1061&gt;=22,"Да","Нет"))</f>
        <v/>
      </c>
      <c r="L1061" s="13">
        <f>IF(OR(I1061="",J1061=""),"Не определено",IF(OR(COUNTIF(I1061,"45*")&gt;0,COUNTIF(J1061,"*45*")&gt;0,COUNTIF(I1061,"46*")&gt;0,COUNTIF(J1061,"*46*")&gt;0,COUNTIF(I1061,"47*")&gt;0,COUNTIF(J1061,"*47*")&gt;0,COUNTIF(I1061,"10*")&gt;0,COUNTIF(J1061,"*10*")&gt;0,COUNTIF(I1061,"11*")&gt;0,COUNTIF(J1061,"*11*")&gt;0,COUNTIF(I1061,"12*")&gt;0,COUNTIF(J1061,"*12*")&gt;0,COUNTIF(I1061,"13*")&gt;0,COUNTIF(J1061,"*13*")&gt;0,COUNTIF(I1061,"14*")&gt;0,COUNTIF(J1061,"*14*")&gt;0,COUNTIF(I1061,"15*")&gt;0,COUNTIF(J1061,"*15*")&gt;0,COUNTIF(I1061,"16*")&gt;0,COUNTIF(J1061,"*16*")&gt;0,COUNTIF(I1061,"17*")&gt;0,COUNTIF(J1061,"*17*")&gt;0,COUNTIF(I1061,"18*")&gt;0,COUNTIF(J1061,"*18*")&gt;0,COUNTIF(I1061,"19*")&gt;0,COUNTIF(J1061,"*19*")&gt;0,COUNTIF(I1061,"20*")&gt;0,COUNTIF(J1061,"*20*")&gt;0,COUNTIF(I1061,"21*")&gt;0,COUNTIF(J1061,"*21*")&gt;0,COUNTIF(I1061,"22*")&gt;0,COUNTIF(J1061,"*22*")&gt;0,COUNTIF(I1061,"23*")&gt;0,COUNTIF(J1061,"*23*")&gt;0,COUNTIF(I1061,"24*")&gt;0,COUNTIF(J1061,"*24*")&gt;0,COUNTIF(I1061,"25*")&gt;0,COUNTIF(J1061,"*25*")&gt;0,COUNTIF(I1061,"26*")&gt;0,COUNTIF(J1061,"*26*")&gt;0,COUNTIF(I1061,"27*")&gt;0,COUNTIF(J1061,"*27*")&gt;0,COUNTIF(I1061,"28*")&gt;0,COUNTIF(J1061,"*28*")&gt;0,COUNTIF(I1061,"29*")&gt;0,COUNTIF(J1061,"*29*")&gt;0,COUNTIF(I1061,"30*")&gt;0,COUNTIF(J1061,"*30*")&gt;0,COUNTIF(I1061,"31*")&gt;0,COUNTIF(J1061,"*31*")&gt;0,COUNTIF(I1061,"32*")&gt;0,COUNTIF(J1061,"*32*")&gt;0,COUNTIF(I1061,"33*")&gt;0,COUNTIF(J1061,"*33*")&gt;0,COUNTIF(I1061,"41*")&gt;0,COUNTIF(J1061,"*41*")&gt;0,COUNTIF(I1061,"42*")&gt;0,COUNTIF(J1061,"*42*")&gt;0,COUNTIF(I1061,"43*")&gt;0,COUNTIF(J1061,"*43*")&gt;0,COUNTIF(I1061,"49*")&gt;0,COUNTIF(J1061,"*49*")&gt;0,COUNTIF(I1061,"52*")&gt;0,COUNTIF(J1061,"*52*")&gt;0,COUNTIF(I1061,"55*")&gt;0,COUNTIF(J1061,"*55*")&gt;0,COUNTIF(I1061,"56*")&gt;0,COUNTIF(J1061,"*56*")&gt;0,COUNTIF(I1061,"68*")&gt;0,COUNTIF(J1061,"*68*")&gt;0,COUNTIF(I1061,"78*")&gt;0,COUNTIF(J1061,"*78*")&gt;0,COUNTIF(I1061,"81*")&gt;0,COUNTIF(J1061,"*81*")&gt;0,COUNTIF(I1061,"82*")&gt;0,COUNTIF(J1061,"*82*")&gt;0,COUNTIF(I1061,"64*")&gt;0,COUNTIF(J1061,"*64*")&gt;0,COUNTIF(I1061,"65*")&gt;0,COUNTIF(J1061,"*65*")&gt;0,COUNTIF(I1061,"66*")&gt;0,COUNTIF(J1061,"*66*")&gt;0,COUNTIF(I1061,"61*")&gt;0,COUNTIF(J1061,"*61*")&gt;0,COUNTIF(I1061,"62*")&gt;0,COUNTIF(J1061,"*62*")&gt;0,COUNTIF(I1061,"63*")&gt;0,COUNTIF(J1061,"*63*")&gt;0,COUNTIF(I1061,"85*")&gt;0,COUNTIF(J1061,"*85*")&gt;0,COUNTIF(I1061,"86*")&gt;0,COUNTIF(J1061,"*86*")&gt;0),"Да","Нет"))</f>
        <v/>
      </c>
      <c r="M1061" s="13">
        <f>IF(OR(G1061="",L1061&lt;&gt;"Да"),"",IF(G1061&lt;=100,"До 100",IF(G1061&lt;=200,"До 200",IF(G1061&lt;=500,"До 500","Отдельное КП"))))</f>
        <v/>
      </c>
      <c r="N1061" s="15">
        <f>IF(OR(G1061="",L1061&lt;&gt;"Да"),"",IF(G1061&lt;=100,33600,IF(G1061&lt;=200,62400,IF(G1061&lt;=500,144000,""))))</f>
        <v/>
      </c>
      <c r="O1061" s="16">
        <f>IF(G1061="","",IF(G1061&lt;=15,"1–15",IF(G1061&lt;=30,"16–30",IF(G1061&lt;=50,"31–50",IF(G1061&lt;=100,"51–100",IF(G1061&lt;=150,"101–150",IF(G1061&lt;=200,"151–200",IF(G1061&lt;=500,"201–500","500+"))))))))</f>
        <v/>
      </c>
      <c r="P1061" s="16" t="inlineStr">
        <is>
          <t>Нет совпадения в предоставленной выгрузке ССЧР</t>
        </is>
      </c>
      <c r="Q1061" s="16" t="n"/>
      <c r="R1061" s="16">
        <f>HYPERLINK("https://checko.ru/search?query=3801001629","Чекко: проверить")</f>
        <v/>
      </c>
      <c r="S1061" t="n">
        <v>0</v>
      </c>
    </row>
    <row r="1062" ht="15" customHeight="1" s="24">
      <c r="A1062" s="13" t="n">
        <v>5000094672</v>
      </c>
      <c r="B1062" s="13" t="inlineStr">
        <is>
          <t>ГКУ "Терское лесничество"</t>
        </is>
      </c>
      <c r="C1062" s="13" t="n">
        <v>705007301</v>
      </c>
      <c r="D1062" s="13" t="n"/>
      <c r="E1062" s="13" t="inlineStr">
        <is>
          <t>Не определён</t>
        </is>
      </c>
      <c r="F1062" s="13" t="inlineStr">
        <is>
          <t>705007301</t>
        </is>
      </c>
      <c r="G1062" s="14" t="n"/>
      <c r="H1062" s="14" t="n"/>
      <c r="I1062" s="14" t="n"/>
      <c r="J1062" s="14" t="n"/>
      <c r="K1062" s="13">
        <f>IF(G1062="","",IF(G1062&gt;=22,"Да","Нет"))</f>
        <v/>
      </c>
      <c r="L1062" s="13">
        <f>IF(OR(I1062="",J1062=""),"Не определено",IF(OR(COUNTIF(I1062,"45*")&gt;0,COUNTIF(J1062,"*45*")&gt;0,COUNTIF(I1062,"46*")&gt;0,COUNTIF(J1062,"*46*")&gt;0,COUNTIF(I1062,"47*")&gt;0,COUNTIF(J1062,"*47*")&gt;0,COUNTIF(I1062,"10*")&gt;0,COUNTIF(J1062,"*10*")&gt;0,COUNTIF(I1062,"11*")&gt;0,COUNTIF(J1062,"*11*")&gt;0,COUNTIF(I1062,"12*")&gt;0,COUNTIF(J1062,"*12*")&gt;0,COUNTIF(I1062,"13*")&gt;0,COUNTIF(J1062,"*13*")&gt;0,COUNTIF(I1062,"14*")&gt;0,COUNTIF(J1062,"*14*")&gt;0,COUNTIF(I1062,"15*")&gt;0,COUNTIF(J1062,"*15*")&gt;0,COUNTIF(I1062,"16*")&gt;0,COUNTIF(J1062,"*16*")&gt;0,COUNTIF(I1062,"17*")&gt;0,COUNTIF(J1062,"*17*")&gt;0,COUNTIF(I1062,"18*")&gt;0,COUNTIF(J1062,"*18*")&gt;0,COUNTIF(I1062,"19*")&gt;0,COUNTIF(J1062,"*19*")&gt;0,COUNTIF(I1062,"20*")&gt;0,COUNTIF(J1062,"*20*")&gt;0,COUNTIF(I1062,"21*")&gt;0,COUNTIF(J1062,"*21*")&gt;0,COUNTIF(I1062,"22*")&gt;0,COUNTIF(J1062,"*22*")&gt;0,COUNTIF(I1062,"23*")&gt;0,COUNTIF(J1062,"*23*")&gt;0,COUNTIF(I1062,"24*")&gt;0,COUNTIF(J1062,"*24*")&gt;0,COUNTIF(I1062,"25*")&gt;0,COUNTIF(J1062,"*25*")&gt;0,COUNTIF(I1062,"26*")&gt;0,COUNTIF(J1062,"*26*")&gt;0,COUNTIF(I1062,"27*")&gt;0,COUNTIF(J1062,"*27*")&gt;0,COUNTIF(I1062,"28*")&gt;0,COUNTIF(J1062,"*28*")&gt;0,COUNTIF(I1062,"29*")&gt;0,COUNTIF(J1062,"*29*")&gt;0,COUNTIF(I1062,"30*")&gt;0,COUNTIF(J1062,"*30*")&gt;0,COUNTIF(I1062,"31*")&gt;0,COUNTIF(J1062,"*31*")&gt;0,COUNTIF(I1062,"32*")&gt;0,COUNTIF(J1062,"*32*")&gt;0,COUNTIF(I1062,"33*")&gt;0,COUNTIF(J1062,"*33*")&gt;0,COUNTIF(I1062,"41*")&gt;0,COUNTIF(J1062,"*41*")&gt;0,COUNTIF(I1062,"42*")&gt;0,COUNTIF(J1062,"*42*")&gt;0,COUNTIF(I1062,"43*")&gt;0,COUNTIF(J1062,"*43*")&gt;0,COUNTIF(I1062,"49*")&gt;0,COUNTIF(J1062,"*49*")&gt;0,COUNTIF(I1062,"52*")&gt;0,COUNTIF(J1062,"*52*")&gt;0,COUNTIF(I1062,"55*")&gt;0,COUNTIF(J1062,"*55*")&gt;0,COUNTIF(I1062,"56*")&gt;0,COUNTIF(J1062,"*56*")&gt;0,COUNTIF(I1062,"68*")&gt;0,COUNTIF(J1062,"*68*")&gt;0,COUNTIF(I1062,"78*")&gt;0,COUNTIF(J1062,"*78*")&gt;0,COUNTIF(I1062,"81*")&gt;0,COUNTIF(J1062,"*81*")&gt;0,COUNTIF(I1062,"82*")&gt;0,COUNTIF(J1062,"*82*")&gt;0,COUNTIF(I1062,"64*")&gt;0,COUNTIF(J1062,"*64*")&gt;0,COUNTIF(I1062,"65*")&gt;0,COUNTIF(J1062,"*65*")&gt;0,COUNTIF(I1062,"66*")&gt;0,COUNTIF(J1062,"*66*")&gt;0,COUNTIF(I1062,"61*")&gt;0,COUNTIF(J1062,"*61*")&gt;0,COUNTIF(I1062,"62*")&gt;0,COUNTIF(J1062,"*62*")&gt;0,COUNTIF(I1062,"63*")&gt;0,COUNTIF(J1062,"*63*")&gt;0,COUNTIF(I1062,"85*")&gt;0,COUNTIF(J1062,"*85*")&gt;0,COUNTIF(I1062,"86*")&gt;0,COUNTIF(J1062,"*86*")&gt;0),"Да","Нет"))</f>
        <v/>
      </c>
      <c r="M1062" s="13">
        <f>IF(OR(G1062="",L1062&lt;&gt;"Да"),"",IF(G1062&lt;=100,"До 100",IF(G1062&lt;=200,"До 200",IF(G1062&lt;=500,"До 500","Отдельное КП"))))</f>
        <v/>
      </c>
      <c r="N1062" s="15">
        <f>IF(OR(G1062="",L1062&lt;&gt;"Да"),"",IF(G1062&lt;=100,33600,IF(G1062&lt;=200,62400,IF(G1062&lt;=500,144000,""))))</f>
        <v/>
      </c>
      <c r="O1062" s="16">
        <f>IF(G1062="","",IF(G1062&lt;=15,"1–15",IF(G1062&lt;=30,"16–30",IF(G1062&lt;=50,"31–50",IF(G1062&lt;=100,"51–100",IF(G1062&lt;=150,"101–150",IF(G1062&lt;=200,"151–200",IF(G1062&lt;=500,"201–500","500+"))))))))</f>
        <v/>
      </c>
      <c r="P1062" s="16" t="inlineStr">
        <is>
          <t>Нет совпадения в предоставленной выгрузке ССЧР</t>
        </is>
      </c>
      <c r="Q1062" s="16" t="n"/>
      <c r="R1062" s="16">
        <f>HYPERLINK("https://checko.ru/search?query=3801001629","Чекко: проверить")</f>
        <v/>
      </c>
      <c r="S1062" t="n">
        <v>0</v>
      </c>
    </row>
    <row r="1063" ht="15" customHeight="1" s="24">
      <c r="A1063" s="13" t="n">
        <v>5000057413</v>
      </c>
      <c r="B1063" s="13" t="inlineStr">
        <is>
          <t>МАУ "ЦКТ И СЭР-КУБИНКА"</t>
        </is>
      </c>
      <c r="C1063" s="13" t="n">
        <v>5032243887</v>
      </c>
      <c r="D1063" s="13" t="inlineStr">
        <is>
          <t>5032243887</t>
        </is>
      </c>
      <c r="E1063" s="13" t="inlineStr">
        <is>
          <t>ЮЛ РФ</t>
        </is>
      </c>
      <c r="F1063" s="13" t="n"/>
      <c r="G1063" s="14" t="n"/>
      <c r="H1063" s="14" t="n"/>
      <c r="I1063" s="14" t="n"/>
      <c r="J1063" s="14" t="n"/>
      <c r="K1063" s="53" t="inlineStr"/>
      <c r="L1063" s="53" t="inlineStr">
        <is>
          <t>Не определено</t>
        </is>
      </c>
      <c r="M1063" s="53" t="inlineStr"/>
      <c r="N1063" s="54" t="inlineStr"/>
      <c r="O1063" s="55" t="inlineStr"/>
      <c r="P1063" s="16" t="inlineStr">
        <is>
          <t>Требует обогащения</t>
        </is>
      </c>
      <c r="Q1063" s="16">
        <f>HYPERLINK("https://pb.nalog.ru/search.html?query=5032243887","ФНС: проверить")</f>
        <v/>
      </c>
      <c r="R1063" s="16">
        <f>HYPERLINK("https://checko.ru/search?query=3801001629","Чекко: проверить")</f>
        <v/>
      </c>
      <c r="S1063" t="n">
        <v>1</v>
      </c>
      <c r="T1063" s="35" t="inlineStr">
        <is>
          <t>4 — Не обогащён</t>
        </is>
      </c>
      <c r="U1063" s="35" t="inlineStr">
        <is>
          <t>Нет ОКВЭД/ССЧР</t>
        </is>
      </c>
      <c r="V1063" s="35" t="inlineStr">
        <is>
          <t>Не определено</t>
        </is>
      </c>
      <c r="W1063" s="35" t="inlineStr"/>
      <c r="X1063" s="35" t="inlineStr"/>
    </row>
    <row r="1064" ht="27.75" customHeight="1" s="24">
      <c r="A1064" s="13" t="n">
        <v>5000001467</v>
      </c>
      <c r="B1064" s="13" t="inlineStr">
        <is>
          <t>ОбГОКУ ДОД Иркутская комплексная детско-юношесткая спортивная шко</t>
        </is>
      </c>
      <c r="C1064" s="13" t="n">
        <v>3808057645</v>
      </c>
      <c r="D1064" s="13" t="inlineStr">
        <is>
          <t>3808057645</t>
        </is>
      </c>
      <c r="E1064" s="13" t="inlineStr">
        <is>
          <t>ЮЛ РФ</t>
        </is>
      </c>
      <c r="F1064" s="13" t="n"/>
      <c r="G1064" s="14" t="n"/>
      <c r="H1064" s="14" t="n"/>
      <c r="I1064" s="14" t="n"/>
      <c r="J1064" s="14" t="n"/>
      <c r="K1064" s="53" t="inlineStr"/>
      <c r="L1064" s="53" t="inlineStr">
        <is>
          <t>Не определено</t>
        </is>
      </c>
      <c r="M1064" s="53" t="inlineStr"/>
      <c r="N1064" s="54" t="inlineStr"/>
      <c r="O1064" s="55" t="inlineStr"/>
      <c r="P1064" s="16" t="inlineStr">
        <is>
          <t>Требует обогащения</t>
        </is>
      </c>
      <c r="Q1064" s="16">
        <f>HYPERLINK("https://pb.nalog.ru/search.html?query=3808057645","ФНС: проверить")</f>
        <v/>
      </c>
      <c r="R1064" s="16">
        <f>HYPERLINK("https://checko.ru/search?query=3801001629","Чекко: проверить")</f>
        <v/>
      </c>
      <c r="S1064" t="n">
        <v>1</v>
      </c>
      <c r="T1064" s="35" t="inlineStr">
        <is>
          <t>4 — Не обогащён</t>
        </is>
      </c>
      <c r="U1064" s="35" t="inlineStr">
        <is>
          <t>Нет ОКВЭД/ССЧР</t>
        </is>
      </c>
      <c r="V1064" s="35" t="inlineStr">
        <is>
          <t>Не определено</t>
        </is>
      </c>
      <c r="W1064" s="35" t="inlineStr"/>
      <c r="X1064" s="35" t="inlineStr"/>
    </row>
    <row r="1065" ht="15" customHeight="1" s="24">
      <c r="A1065" s="13" t="n">
        <v>5000106185</v>
      </c>
      <c r="B1065" s="13" t="inlineStr">
        <is>
          <t>МЕДНОГОРСКОЕ ГОРВЕТУПРАВЛЕНИЕ ГБУ</t>
        </is>
      </c>
      <c r="C1065" s="13" t="n">
        <v>5606003030</v>
      </c>
      <c r="D1065" s="13" t="inlineStr">
        <is>
          <t>5606003030</t>
        </is>
      </c>
      <c r="E1065" s="13" t="inlineStr">
        <is>
          <t>ЮЛ РФ</t>
        </is>
      </c>
      <c r="F1065" s="13" t="n"/>
      <c r="G1065" s="14" t="n"/>
      <c r="H1065" s="14" t="n"/>
      <c r="I1065" s="14" t="n"/>
      <c r="J1065" s="14" t="n"/>
      <c r="K1065" s="53" t="inlineStr"/>
      <c r="L1065" s="53" t="inlineStr">
        <is>
          <t>Не определено</t>
        </is>
      </c>
      <c r="M1065" s="53" t="inlineStr"/>
      <c r="N1065" s="54" t="inlineStr"/>
      <c r="O1065" s="55" t="inlineStr"/>
      <c r="P1065" s="16" t="inlineStr">
        <is>
          <t>Требует обогащения</t>
        </is>
      </c>
      <c r="Q1065" s="16">
        <f>HYPERLINK("https://pb.nalog.ru/search.html?query=5606003030","ФНС: проверить")</f>
        <v/>
      </c>
      <c r="R1065" s="16">
        <f>HYPERLINK("https://checko.ru/search?query=3801001629","Чекко: проверить")</f>
        <v/>
      </c>
      <c r="S1065" t="n">
        <v>1</v>
      </c>
      <c r="T1065" s="35" t="inlineStr">
        <is>
          <t>4 — Не обогащён</t>
        </is>
      </c>
      <c r="U1065" s="35" t="inlineStr">
        <is>
          <t>Нет ОКВЭД/ССЧР</t>
        </is>
      </c>
      <c r="V1065" s="35" t="inlineStr">
        <is>
          <t>Не определено</t>
        </is>
      </c>
      <c r="W1065" s="35" t="inlineStr"/>
      <c r="X1065" s="35" t="inlineStr"/>
    </row>
    <row r="1066" ht="27.75" customHeight="1" s="24">
      <c r="A1066" s="13" t="n">
        <v>5000095050</v>
      </c>
      <c r="B1066" s="13" t="inlineStr">
        <is>
          <t>МБОУ Средняя Общеобразовательная Школа № 18</t>
        </is>
      </c>
      <c r="C1066" s="13" t="n">
        <v>711043570</v>
      </c>
      <c r="D1066" s="13" t="n"/>
      <c r="E1066" s="13" t="inlineStr">
        <is>
          <t>Не определён</t>
        </is>
      </c>
      <c r="F1066" s="13" t="inlineStr">
        <is>
          <t>711043570</t>
        </is>
      </c>
      <c r="G1066" s="14" t="n"/>
      <c r="H1066" s="14" t="n"/>
      <c r="I1066" s="14" t="n"/>
      <c r="J1066" s="14" t="n"/>
      <c r="K1066" s="13">
        <f>IF(G1066="","",IF(G1066&gt;=22,"Да","Нет"))</f>
        <v/>
      </c>
      <c r="L1066" s="13">
        <f>IF(OR(I1066="",J1066=""),"Не определено",IF(OR(COUNTIF(I1066,"45*")&gt;0,COUNTIF(J1066,"*45*")&gt;0,COUNTIF(I1066,"46*")&gt;0,COUNTIF(J1066,"*46*")&gt;0,COUNTIF(I1066,"47*")&gt;0,COUNTIF(J1066,"*47*")&gt;0,COUNTIF(I1066,"10*")&gt;0,COUNTIF(J1066,"*10*")&gt;0,COUNTIF(I1066,"11*")&gt;0,COUNTIF(J1066,"*11*")&gt;0,COUNTIF(I1066,"12*")&gt;0,COUNTIF(J1066,"*12*")&gt;0,COUNTIF(I1066,"13*")&gt;0,COUNTIF(J1066,"*13*")&gt;0,COUNTIF(I1066,"14*")&gt;0,COUNTIF(J1066,"*14*")&gt;0,COUNTIF(I1066,"15*")&gt;0,COUNTIF(J1066,"*15*")&gt;0,COUNTIF(I1066,"16*")&gt;0,COUNTIF(J1066,"*16*")&gt;0,COUNTIF(I1066,"17*")&gt;0,COUNTIF(J1066,"*17*")&gt;0,COUNTIF(I1066,"18*")&gt;0,COUNTIF(J1066,"*18*")&gt;0,COUNTIF(I1066,"19*")&gt;0,COUNTIF(J1066,"*19*")&gt;0,COUNTIF(I1066,"20*")&gt;0,COUNTIF(J1066,"*20*")&gt;0,COUNTIF(I1066,"21*")&gt;0,COUNTIF(J1066,"*21*")&gt;0,COUNTIF(I1066,"22*")&gt;0,COUNTIF(J1066,"*22*")&gt;0,COUNTIF(I1066,"23*")&gt;0,COUNTIF(J1066,"*23*")&gt;0,COUNTIF(I1066,"24*")&gt;0,COUNTIF(J1066,"*24*")&gt;0,COUNTIF(I1066,"25*")&gt;0,COUNTIF(J1066,"*25*")&gt;0,COUNTIF(I1066,"26*")&gt;0,COUNTIF(J1066,"*26*")&gt;0,COUNTIF(I1066,"27*")&gt;0,COUNTIF(J1066,"*27*")&gt;0,COUNTIF(I1066,"28*")&gt;0,COUNTIF(J1066,"*28*")&gt;0,COUNTIF(I1066,"29*")&gt;0,COUNTIF(J1066,"*29*")&gt;0,COUNTIF(I1066,"30*")&gt;0,COUNTIF(J1066,"*30*")&gt;0,COUNTIF(I1066,"31*")&gt;0,COUNTIF(J1066,"*31*")&gt;0,COUNTIF(I1066,"32*")&gt;0,COUNTIF(J1066,"*32*")&gt;0,COUNTIF(I1066,"33*")&gt;0,COUNTIF(J1066,"*33*")&gt;0,COUNTIF(I1066,"41*")&gt;0,COUNTIF(J1066,"*41*")&gt;0,COUNTIF(I1066,"42*")&gt;0,COUNTIF(J1066,"*42*")&gt;0,COUNTIF(I1066,"43*")&gt;0,COUNTIF(J1066,"*43*")&gt;0,COUNTIF(I1066,"49*")&gt;0,COUNTIF(J1066,"*49*")&gt;0,COUNTIF(I1066,"52*")&gt;0,COUNTIF(J1066,"*52*")&gt;0,COUNTIF(I1066,"55*")&gt;0,COUNTIF(J1066,"*55*")&gt;0,COUNTIF(I1066,"56*")&gt;0,COUNTIF(J1066,"*56*")&gt;0,COUNTIF(I1066,"68*")&gt;0,COUNTIF(J1066,"*68*")&gt;0,COUNTIF(I1066,"78*")&gt;0,COUNTIF(J1066,"*78*")&gt;0,COUNTIF(I1066,"81*")&gt;0,COUNTIF(J1066,"*81*")&gt;0,COUNTIF(I1066,"82*")&gt;0,COUNTIF(J1066,"*82*")&gt;0,COUNTIF(I1066,"64*")&gt;0,COUNTIF(J1066,"*64*")&gt;0,COUNTIF(I1066,"65*")&gt;0,COUNTIF(J1066,"*65*")&gt;0,COUNTIF(I1066,"66*")&gt;0,COUNTIF(J1066,"*66*")&gt;0,COUNTIF(I1066,"61*")&gt;0,COUNTIF(J1066,"*61*")&gt;0,COUNTIF(I1066,"62*")&gt;0,COUNTIF(J1066,"*62*")&gt;0,COUNTIF(I1066,"63*")&gt;0,COUNTIF(J1066,"*63*")&gt;0,COUNTIF(I1066,"85*")&gt;0,COUNTIF(J1066,"*85*")&gt;0,COUNTIF(I1066,"86*")&gt;0,COUNTIF(J1066,"*86*")&gt;0),"Да","Нет"))</f>
        <v/>
      </c>
      <c r="M1066" s="13">
        <f>IF(OR(G1066="",L1066&lt;&gt;"Да"),"",IF(G1066&lt;=100,"До 100",IF(G1066&lt;=200,"До 200",IF(G1066&lt;=500,"До 500","Отдельное КП"))))</f>
        <v/>
      </c>
      <c r="N1066" s="15">
        <f>IF(OR(G1066="",L1066&lt;&gt;"Да"),"",IF(G1066&lt;=100,33600,IF(G1066&lt;=200,62400,IF(G1066&lt;=500,144000,""))))</f>
        <v/>
      </c>
      <c r="O1066" s="16">
        <f>IF(G1066="","",IF(G1066&lt;=15,"1–15",IF(G1066&lt;=30,"16–30",IF(G1066&lt;=50,"31–50",IF(G1066&lt;=100,"51–100",IF(G1066&lt;=150,"101–150",IF(G1066&lt;=200,"151–200",IF(G1066&lt;=500,"201–500","500+"))))))))</f>
        <v/>
      </c>
      <c r="P1066" s="16" t="inlineStr">
        <is>
          <t>Нет совпадения в предоставленной выгрузке ССЧР</t>
        </is>
      </c>
      <c r="Q1066" s="16" t="n"/>
      <c r="R1066" s="16">
        <f>HYPERLINK("https://checko.ru/search?query=3801001629","Чекко: проверить")</f>
        <v/>
      </c>
      <c r="S1066" t="n">
        <v>0</v>
      </c>
    </row>
    <row r="1067" ht="15" customHeight="1" s="24">
      <c r="A1067" s="13" t="n">
        <v>5000001760</v>
      </c>
      <c r="B1067" s="13" t="inlineStr">
        <is>
          <t>ОГКУ "УСЗН по Чунскому району"</t>
        </is>
      </c>
      <c r="C1067" s="13" t="n">
        <v>3816997836</v>
      </c>
      <c r="D1067" s="13" t="inlineStr">
        <is>
          <t>3816997836</t>
        </is>
      </c>
      <c r="E1067" s="13" t="inlineStr">
        <is>
          <t>ЮЛ РФ</t>
        </is>
      </c>
      <c r="F1067" s="13" t="n"/>
      <c r="G1067" s="14" t="n"/>
      <c r="H1067" s="14" t="n"/>
      <c r="I1067" s="14" t="n"/>
      <c r="J1067" s="14" t="n"/>
      <c r="K1067" s="53" t="inlineStr"/>
      <c r="L1067" s="53" t="inlineStr">
        <is>
          <t>Не определено</t>
        </is>
      </c>
      <c r="M1067" s="53" t="inlineStr"/>
      <c r="N1067" s="54" t="inlineStr"/>
      <c r="O1067" s="55" t="inlineStr"/>
      <c r="P1067" s="16" t="inlineStr">
        <is>
          <t>Требует обогащения</t>
        </is>
      </c>
      <c r="Q1067" s="16">
        <f>HYPERLINK("https://pb.nalog.ru/search.html?query=3816997836","ФНС: проверить")</f>
        <v/>
      </c>
      <c r="R1067" s="16">
        <f>HYPERLINK("https://checko.ru/search?query=3801001629","Чекко: проверить")</f>
        <v/>
      </c>
      <c r="S1067" t="n">
        <v>1</v>
      </c>
      <c r="T1067" s="35" t="inlineStr">
        <is>
          <t>4 — Не обогащён</t>
        </is>
      </c>
      <c r="U1067" s="35" t="inlineStr">
        <is>
          <t>Нет ОКВЭД/ССЧР</t>
        </is>
      </c>
      <c r="V1067" s="35" t="inlineStr">
        <is>
          <t>Не определено</t>
        </is>
      </c>
      <c r="W1067" s="35" t="inlineStr"/>
      <c r="X1067" s="35" t="inlineStr"/>
    </row>
    <row r="1068" ht="27.75" customHeight="1" s="24">
      <c r="A1068" s="13" t="n">
        <v>5000003707</v>
      </c>
      <c r="B1068" s="13" t="inlineStr">
        <is>
          <t>Уполномоченный по правам ребенка в Иркутской области</t>
        </is>
      </c>
      <c r="C1068" s="13" t="n">
        <v>3808217673</v>
      </c>
      <c r="D1068" s="13" t="inlineStr">
        <is>
          <t>3808217673</t>
        </is>
      </c>
      <c r="E1068" s="13" t="inlineStr">
        <is>
          <t>ЮЛ РФ</t>
        </is>
      </c>
      <c r="F1068" s="13" t="n"/>
      <c r="G1068" s="14" t="n"/>
      <c r="H1068" s="14" t="n"/>
      <c r="I1068" s="14" t="n"/>
      <c r="J1068" s="14" t="n"/>
      <c r="K1068" s="53" t="inlineStr"/>
      <c r="L1068" s="53" t="inlineStr">
        <is>
          <t>Не определено</t>
        </is>
      </c>
      <c r="M1068" s="53" t="inlineStr"/>
      <c r="N1068" s="54" t="inlineStr"/>
      <c r="O1068" s="55" t="inlineStr"/>
      <c r="P1068" s="16" t="inlineStr">
        <is>
          <t>Требует обогащения</t>
        </is>
      </c>
      <c r="Q1068" s="16">
        <f>HYPERLINK("https://pb.nalog.ru/search.html?query=3808217673","ФНС: проверить")</f>
        <v/>
      </c>
      <c r="R1068" s="16">
        <f>HYPERLINK("https://checko.ru/search?query=3801001629","Чекко: проверить")</f>
        <v/>
      </c>
      <c r="S1068" t="n">
        <v>1</v>
      </c>
      <c r="T1068" s="35" t="inlineStr">
        <is>
          <t>4 — Не обогащён</t>
        </is>
      </c>
      <c r="U1068" s="35" t="inlineStr">
        <is>
          <t>Нет ОКВЭД/ССЧР</t>
        </is>
      </c>
      <c r="V1068" s="35" t="inlineStr">
        <is>
          <t>Не определено</t>
        </is>
      </c>
      <c r="W1068" s="35" t="inlineStr"/>
      <c r="X1068" s="35" t="inlineStr"/>
    </row>
    <row r="1069" ht="41.25" customHeight="1" s="24">
      <c r="A1069" s="13" t="n">
        <v>5000001895</v>
      </c>
      <c r="B1069" s="13" t="inlineStr">
        <is>
          <t>ОбГАОУ для детей, нуждающихся в психолого-педагогической и медико-социальной помощи, «Центр п</t>
        </is>
      </c>
      <c r="C1069" s="13" t="n">
        <v>3811062691</v>
      </c>
      <c r="D1069" s="13" t="inlineStr">
        <is>
          <t>3811062691</t>
        </is>
      </c>
      <c r="E1069" s="13" t="inlineStr">
        <is>
          <t>ЮЛ РФ</t>
        </is>
      </c>
      <c r="F1069" s="13" t="n"/>
      <c r="G1069" s="14" t="n"/>
      <c r="H1069" s="14" t="n"/>
      <c r="I1069" s="14" t="n"/>
      <c r="J1069" s="14" t="n"/>
      <c r="K1069" s="53" t="inlineStr"/>
      <c r="L1069" s="53" t="inlineStr">
        <is>
          <t>Не определено</t>
        </is>
      </c>
      <c r="M1069" s="53" t="inlineStr"/>
      <c r="N1069" s="54" t="inlineStr"/>
      <c r="O1069" s="55" t="inlineStr"/>
      <c r="P1069" s="16" t="inlineStr">
        <is>
          <t>Требует обогащения</t>
        </is>
      </c>
      <c r="Q1069" s="16">
        <f>HYPERLINK("https://pb.nalog.ru/search.html?query=3811062691","ФНС: проверить")</f>
        <v/>
      </c>
      <c r="R1069" s="16">
        <f>HYPERLINK("https://checko.ru/search?query=3801001629","Чекко: проверить")</f>
        <v/>
      </c>
      <c r="S1069" t="n">
        <v>1</v>
      </c>
      <c r="T1069" s="35" t="inlineStr">
        <is>
          <t>4 — Не обогащён</t>
        </is>
      </c>
      <c r="U1069" s="35" t="inlineStr">
        <is>
          <t>Нет ОКВЭД/ССЧР</t>
        </is>
      </c>
      <c r="V1069" s="35" t="inlineStr">
        <is>
          <t>Не определено</t>
        </is>
      </c>
      <c r="W1069" s="35" t="inlineStr"/>
      <c r="X1069" s="35" t="inlineStr"/>
    </row>
    <row r="1070" ht="27.75" customHeight="1" s="24">
      <c r="A1070" s="13" t="n">
        <v>5000001653</v>
      </c>
      <c r="B1070" s="13" t="inlineStr">
        <is>
          <t>ОГКУСО «ЦЕНТР ПОМОЩИ ДЕТЯМ, ОСТАВШИМСЯ БЕЗ ПОПЕЧЕНИЯ РОДИТЕЛЕЙ, Г.БРАТСКА»</t>
        </is>
      </c>
      <c r="C1070" s="13" t="n">
        <v>3803203652</v>
      </c>
      <c r="D1070" s="13" t="inlineStr">
        <is>
          <t>3803203652</t>
        </is>
      </c>
      <c r="E1070" s="13" t="inlineStr">
        <is>
          <t>ЮЛ РФ</t>
        </is>
      </c>
      <c r="F1070" s="13" t="n"/>
      <c r="G1070" s="14" t="n"/>
      <c r="H1070" s="14" t="n"/>
      <c r="I1070" s="14" t="n"/>
      <c r="J1070" s="14" t="n"/>
      <c r="K1070" s="53" t="inlineStr"/>
      <c r="L1070" s="53" t="inlineStr">
        <is>
          <t>Не определено</t>
        </is>
      </c>
      <c r="M1070" s="53" t="inlineStr"/>
      <c r="N1070" s="54" t="inlineStr"/>
      <c r="O1070" s="55" t="inlineStr"/>
      <c r="P1070" s="16" t="inlineStr">
        <is>
          <t>Требует обогащения</t>
        </is>
      </c>
      <c r="Q1070" s="16">
        <f>HYPERLINK("https://pb.nalog.ru/search.html?query=3803203652","ФНС: проверить")</f>
        <v/>
      </c>
      <c r="R1070" s="16">
        <f>HYPERLINK("https://checko.ru/search?query=3801001629","Чекко: проверить")</f>
        <v/>
      </c>
      <c r="S1070" t="n">
        <v>1</v>
      </c>
      <c r="T1070" s="35" t="inlineStr">
        <is>
          <t>4 — Не обогащён</t>
        </is>
      </c>
      <c r="U1070" s="35" t="inlineStr">
        <is>
          <t>Нет ОКВЭД/ССЧР</t>
        </is>
      </c>
      <c r="V1070" s="35" t="inlineStr">
        <is>
          <t>Не определено</t>
        </is>
      </c>
      <c r="W1070" s="35" t="inlineStr"/>
      <c r="X1070" s="35" t="inlineStr"/>
    </row>
    <row r="1071" ht="15" customHeight="1" s="24">
      <c r="A1071" s="13" t="n">
        <v>5000001435</v>
      </c>
      <c r="B1071" s="13" t="inlineStr">
        <is>
          <t>ОГБОУ СПО "Иркутский Авиационный Техникум"</t>
        </is>
      </c>
      <c r="C1071" s="13" t="n">
        <v>3808015469</v>
      </c>
      <c r="D1071" s="13" t="inlineStr">
        <is>
          <t>3808015469</t>
        </is>
      </c>
      <c r="E1071" s="13" t="inlineStr">
        <is>
          <t>ЮЛ РФ</t>
        </is>
      </c>
      <c r="F1071" s="13" t="n"/>
      <c r="G1071" s="14" t="n"/>
      <c r="H1071" s="14" t="n"/>
      <c r="I1071" s="14" t="n"/>
      <c r="J1071" s="14" t="n"/>
      <c r="K1071" s="53" t="inlineStr"/>
      <c r="L1071" s="53" t="inlineStr">
        <is>
          <t>Не определено</t>
        </is>
      </c>
      <c r="M1071" s="53" t="inlineStr"/>
      <c r="N1071" s="54" t="inlineStr"/>
      <c r="O1071" s="55" t="inlineStr"/>
      <c r="P1071" s="16" t="inlineStr">
        <is>
          <t>Требует обогащения</t>
        </is>
      </c>
      <c r="Q1071" s="16">
        <f>HYPERLINK("https://pb.nalog.ru/search.html?query=3808015469","ФНС: проверить")</f>
        <v/>
      </c>
      <c r="R1071" s="16">
        <f>HYPERLINK("https://checko.ru/search?query=3801001629","Чекко: проверить")</f>
        <v/>
      </c>
      <c r="S1071" t="n">
        <v>1</v>
      </c>
      <c r="T1071" s="35" t="inlineStr">
        <is>
          <t>4 — Не обогащён</t>
        </is>
      </c>
      <c r="U1071" s="35" t="inlineStr">
        <is>
          <t>Нет ОКВЭД/ССЧР</t>
        </is>
      </c>
      <c r="V1071" s="35" t="inlineStr">
        <is>
          <t>Не определено</t>
        </is>
      </c>
      <c r="W1071" s="35" t="inlineStr"/>
      <c r="X1071" s="35" t="inlineStr"/>
    </row>
    <row r="1072" ht="15" customHeight="1" s="24">
      <c r="A1072" s="13" t="n">
        <v>5000002037</v>
      </c>
      <c r="B1072" s="13" t="inlineStr">
        <is>
          <t>ОГАУ "Слюдянский лесхоз"</t>
        </is>
      </c>
      <c r="C1072" s="13" t="n">
        <v>3837041079</v>
      </c>
      <c r="D1072" s="13" t="inlineStr">
        <is>
          <t>3837041079</t>
        </is>
      </c>
      <c r="E1072" s="13" t="inlineStr">
        <is>
          <t>ЮЛ РФ</t>
        </is>
      </c>
      <c r="F1072" s="13" t="n"/>
      <c r="G1072" s="14" t="n"/>
      <c r="H1072" s="14" t="n"/>
      <c r="I1072" s="14" t="n"/>
      <c r="J1072" s="14" t="n"/>
      <c r="K1072" s="53" t="inlineStr"/>
      <c r="L1072" s="53" t="inlineStr">
        <is>
          <t>Не определено</t>
        </is>
      </c>
      <c r="M1072" s="53" t="inlineStr"/>
      <c r="N1072" s="54" t="inlineStr"/>
      <c r="O1072" s="55" t="inlineStr"/>
      <c r="P1072" s="16" t="inlineStr">
        <is>
          <t>Требует обогащения</t>
        </is>
      </c>
      <c r="Q1072" s="16">
        <f>HYPERLINK("https://pb.nalog.ru/search.html?query=3837041079","ФНС: проверить")</f>
        <v/>
      </c>
      <c r="R1072" s="16">
        <f>HYPERLINK("https://checko.ru/search?query=3801001629","Чекко: проверить")</f>
        <v/>
      </c>
      <c r="S1072" t="n">
        <v>1</v>
      </c>
      <c r="T1072" s="35" t="inlineStr">
        <is>
          <t>4 — Не обогащён</t>
        </is>
      </c>
      <c r="U1072" s="35" t="inlineStr">
        <is>
          <t>Нет ОКВЭД/ССЧР</t>
        </is>
      </c>
      <c r="V1072" s="35" t="inlineStr">
        <is>
          <t>Не определено</t>
        </is>
      </c>
      <c r="W1072" s="35" t="inlineStr"/>
      <c r="X1072" s="35" t="inlineStr"/>
    </row>
    <row r="1073" ht="15" customHeight="1" s="24">
      <c r="A1073" s="13" t="n">
        <v>5000008590</v>
      </c>
      <c r="B1073" s="13" t="inlineStr">
        <is>
          <t>УФССП России по Липецкой области</t>
        </is>
      </c>
      <c r="C1073" s="13" t="n">
        <v>4826044753</v>
      </c>
      <c r="D1073" s="13" t="inlineStr">
        <is>
          <t>4826044753</t>
        </is>
      </c>
      <c r="E1073" s="13" t="inlineStr">
        <is>
          <t>ЮЛ РФ</t>
        </is>
      </c>
      <c r="F1073" s="13" t="n"/>
      <c r="G1073" s="14" t="n"/>
      <c r="H1073" s="14" t="n"/>
      <c r="I1073" s="14" t="n"/>
      <c r="J1073" s="14" t="n"/>
      <c r="K1073" s="53" t="inlineStr"/>
      <c r="L1073" s="53" t="inlineStr">
        <is>
          <t>Не определено</t>
        </is>
      </c>
      <c r="M1073" s="53" t="inlineStr"/>
      <c r="N1073" s="54" t="inlineStr"/>
      <c r="O1073" s="55" t="inlineStr"/>
      <c r="P1073" s="16" t="inlineStr">
        <is>
          <t>Требует обогащения</t>
        </is>
      </c>
      <c r="Q1073" s="16">
        <f>HYPERLINK("https://pb.nalog.ru/search.html?query=4826044753","ФНС: проверить")</f>
        <v/>
      </c>
      <c r="R1073" s="16">
        <f>HYPERLINK("https://checko.ru/search?query=3801001629","Чекко: проверить")</f>
        <v/>
      </c>
      <c r="S1073" t="n">
        <v>1</v>
      </c>
      <c r="T1073" s="35" t="inlineStr">
        <is>
          <t>4 — Не обогащён</t>
        </is>
      </c>
      <c r="U1073" s="35" t="inlineStr">
        <is>
          <t>Нет ОКВЭД/ССЧР</t>
        </is>
      </c>
      <c r="V1073" s="35" t="inlineStr">
        <is>
          <t>Не определено</t>
        </is>
      </c>
      <c r="W1073" s="35" t="inlineStr"/>
      <c r="X1073" s="35" t="inlineStr"/>
    </row>
    <row r="1074" ht="27.75" customHeight="1" s="24">
      <c r="A1074" s="13" t="n">
        <v>5000001471</v>
      </c>
      <c r="B1074" s="13" t="inlineStr">
        <is>
          <t>ОГКУ "Дирекция по строительству и эксплуатации автомобильных дорог Иркутской области"</t>
        </is>
      </c>
      <c r="C1074" s="13" t="n">
        <v>3808059441</v>
      </c>
      <c r="D1074" s="13" t="inlineStr">
        <is>
          <t>3808059441</t>
        </is>
      </c>
      <c r="E1074" s="13" t="inlineStr">
        <is>
          <t>ЮЛ РФ</t>
        </is>
      </c>
      <c r="F1074" s="13" t="n"/>
      <c r="G1074" s="14" t="n"/>
      <c r="H1074" s="14" t="n"/>
      <c r="I1074" s="14" t="n"/>
      <c r="J1074" s="14" t="n"/>
      <c r="K1074" s="53" t="inlineStr"/>
      <c r="L1074" s="53" t="inlineStr">
        <is>
          <t>Не определено</t>
        </is>
      </c>
      <c r="M1074" s="53" t="inlineStr"/>
      <c r="N1074" s="54" t="inlineStr"/>
      <c r="O1074" s="55" t="inlineStr"/>
      <c r="P1074" s="16" t="inlineStr">
        <is>
          <t>Требует обогащения</t>
        </is>
      </c>
      <c r="Q1074" s="16">
        <f>HYPERLINK("https://pb.nalog.ru/search.html?query=3808059441","ФНС: проверить")</f>
        <v/>
      </c>
      <c r="R1074" s="16">
        <f>HYPERLINK("https://checko.ru/search?query=3801001629","Чекко: проверить")</f>
        <v/>
      </c>
      <c r="S1074" t="n">
        <v>1</v>
      </c>
      <c r="T1074" s="35" t="inlineStr">
        <is>
          <t>4 — Не обогащён</t>
        </is>
      </c>
      <c r="U1074" s="35" t="inlineStr">
        <is>
          <t>Нет ОКВЭД/ССЧР</t>
        </is>
      </c>
      <c r="V1074" s="35" t="inlineStr">
        <is>
          <t>Не определено</t>
        </is>
      </c>
      <c r="W1074" s="35" t="inlineStr"/>
      <c r="X1074" s="35" t="inlineStr"/>
    </row>
    <row r="1075" ht="27.75" customHeight="1" s="24">
      <c r="A1075" s="13" t="n">
        <v>5000001950</v>
      </c>
      <c r="B1075" s="13" t="inlineStr">
        <is>
          <t>ОГОУ "Специальная (коррекционная) школа-интернат п. Целинные Земли</t>
        </is>
      </c>
      <c r="C1075" s="13" t="n">
        <v>3839001667</v>
      </c>
      <c r="D1075" s="13" t="inlineStr">
        <is>
          <t>3839001667</t>
        </is>
      </c>
      <c r="E1075" s="13" t="inlineStr">
        <is>
          <t>ЮЛ РФ</t>
        </is>
      </c>
      <c r="F1075" s="13" t="n"/>
      <c r="G1075" s="14" t="n"/>
      <c r="H1075" s="14" t="n"/>
      <c r="I1075" s="14" t="n"/>
      <c r="J1075" s="14" t="n"/>
      <c r="K1075" s="53" t="inlineStr"/>
      <c r="L1075" s="53" t="inlineStr">
        <is>
          <t>Не определено</t>
        </is>
      </c>
      <c r="M1075" s="53" t="inlineStr"/>
      <c r="N1075" s="54" t="inlineStr"/>
      <c r="O1075" s="55" t="inlineStr"/>
      <c r="P1075" s="16" t="inlineStr">
        <is>
          <t>Требует обогащения</t>
        </is>
      </c>
      <c r="Q1075" s="16">
        <f>HYPERLINK("https://pb.nalog.ru/search.html?query=3839001667","ФНС: проверить")</f>
        <v/>
      </c>
      <c r="R1075" s="16">
        <f>HYPERLINK("https://checko.ru/search?query=3801001629","Чекко: проверить")</f>
        <v/>
      </c>
      <c r="S1075" t="n">
        <v>1</v>
      </c>
      <c r="T1075" s="35" t="inlineStr">
        <is>
          <t>4 — Не обогащён</t>
        </is>
      </c>
      <c r="U1075" s="35" t="inlineStr">
        <is>
          <t>Нет ОКВЭД/ССЧР</t>
        </is>
      </c>
      <c r="V1075" s="35" t="inlineStr">
        <is>
          <t>Не определено</t>
        </is>
      </c>
      <c r="W1075" s="35" t="inlineStr"/>
      <c r="X1075" s="35" t="inlineStr"/>
    </row>
    <row r="1076" ht="27.75" customHeight="1" s="24">
      <c r="A1076" s="13" t="n">
        <v>5000094619</v>
      </c>
      <c r="B1076" s="13" t="inlineStr">
        <is>
          <t>Отдел культуры администрации Терского муниципального района</t>
        </is>
      </c>
      <c r="C1076" s="13" t="n">
        <v>705001469</v>
      </c>
      <c r="D1076" s="13" t="n"/>
      <c r="E1076" s="13" t="inlineStr">
        <is>
          <t>Не определён</t>
        </is>
      </c>
      <c r="F1076" s="13" t="inlineStr">
        <is>
          <t>705001469</t>
        </is>
      </c>
      <c r="G1076" s="14" t="n"/>
      <c r="H1076" s="14" t="n"/>
      <c r="I1076" s="14" t="n"/>
      <c r="J1076" s="14" t="n"/>
      <c r="K1076" s="13">
        <f>IF(G1076="","",IF(G1076&gt;=22,"Да","Нет"))</f>
        <v/>
      </c>
      <c r="L1076" s="13">
        <f>IF(OR(I1076="",J1076=""),"Не определено",IF(OR(COUNTIF(I1076,"45*")&gt;0,COUNTIF(J1076,"*45*")&gt;0,COUNTIF(I1076,"46*")&gt;0,COUNTIF(J1076,"*46*")&gt;0,COUNTIF(I1076,"47*")&gt;0,COUNTIF(J1076,"*47*")&gt;0,COUNTIF(I1076,"10*")&gt;0,COUNTIF(J1076,"*10*")&gt;0,COUNTIF(I1076,"11*")&gt;0,COUNTIF(J1076,"*11*")&gt;0,COUNTIF(I1076,"12*")&gt;0,COUNTIF(J1076,"*12*")&gt;0,COUNTIF(I1076,"13*")&gt;0,COUNTIF(J1076,"*13*")&gt;0,COUNTIF(I1076,"14*")&gt;0,COUNTIF(J1076,"*14*")&gt;0,COUNTIF(I1076,"15*")&gt;0,COUNTIF(J1076,"*15*")&gt;0,COUNTIF(I1076,"16*")&gt;0,COUNTIF(J1076,"*16*")&gt;0,COUNTIF(I1076,"17*")&gt;0,COUNTIF(J1076,"*17*")&gt;0,COUNTIF(I1076,"18*")&gt;0,COUNTIF(J1076,"*18*")&gt;0,COUNTIF(I1076,"19*")&gt;0,COUNTIF(J1076,"*19*")&gt;0,COUNTIF(I1076,"20*")&gt;0,COUNTIF(J1076,"*20*")&gt;0,COUNTIF(I1076,"21*")&gt;0,COUNTIF(J1076,"*21*")&gt;0,COUNTIF(I1076,"22*")&gt;0,COUNTIF(J1076,"*22*")&gt;0,COUNTIF(I1076,"23*")&gt;0,COUNTIF(J1076,"*23*")&gt;0,COUNTIF(I1076,"24*")&gt;0,COUNTIF(J1076,"*24*")&gt;0,COUNTIF(I1076,"25*")&gt;0,COUNTIF(J1076,"*25*")&gt;0,COUNTIF(I1076,"26*")&gt;0,COUNTIF(J1076,"*26*")&gt;0,COUNTIF(I1076,"27*")&gt;0,COUNTIF(J1076,"*27*")&gt;0,COUNTIF(I1076,"28*")&gt;0,COUNTIF(J1076,"*28*")&gt;0,COUNTIF(I1076,"29*")&gt;0,COUNTIF(J1076,"*29*")&gt;0,COUNTIF(I1076,"30*")&gt;0,COUNTIF(J1076,"*30*")&gt;0,COUNTIF(I1076,"31*")&gt;0,COUNTIF(J1076,"*31*")&gt;0,COUNTIF(I1076,"32*")&gt;0,COUNTIF(J1076,"*32*")&gt;0,COUNTIF(I1076,"33*")&gt;0,COUNTIF(J1076,"*33*")&gt;0,COUNTIF(I1076,"41*")&gt;0,COUNTIF(J1076,"*41*")&gt;0,COUNTIF(I1076,"42*")&gt;0,COUNTIF(J1076,"*42*")&gt;0,COUNTIF(I1076,"43*")&gt;0,COUNTIF(J1076,"*43*")&gt;0,COUNTIF(I1076,"49*")&gt;0,COUNTIF(J1076,"*49*")&gt;0,COUNTIF(I1076,"52*")&gt;0,COUNTIF(J1076,"*52*")&gt;0,COUNTIF(I1076,"55*")&gt;0,COUNTIF(J1076,"*55*")&gt;0,COUNTIF(I1076,"56*")&gt;0,COUNTIF(J1076,"*56*")&gt;0,COUNTIF(I1076,"68*")&gt;0,COUNTIF(J1076,"*68*")&gt;0,COUNTIF(I1076,"78*")&gt;0,COUNTIF(J1076,"*78*")&gt;0,COUNTIF(I1076,"81*")&gt;0,COUNTIF(J1076,"*81*")&gt;0,COUNTIF(I1076,"82*")&gt;0,COUNTIF(J1076,"*82*")&gt;0,COUNTIF(I1076,"64*")&gt;0,COUNTIF(J1076,"*64*")&gt;0,COUNTIF(I1076,"65*")&gt;0,COUNTIF(J1076,"*65*")&gt;0,COUNTIF(I1076,"66*")&gt;0,COUNTIF(J1076,"*66*")&gt;0,COUNTIF(I1076,"61*")&gt;0,COUNTIF(J1076,"*61*")&gt;0,COUNTIF(I1076,"62*")&gt;0,COUNTIF(J1076,"*62*")&gt;0,COUNTIF(I1076,"63*")&gt;0,COUNTIF(J1076,"*63*")&gt;0,COUNTIF(I1076,"85*")&gt;0,COUNTIF(J1076,"*85*")&gt;0,COUNTIF(I1076,"86*")&gt;0,COUNTIF(J1076,"*86*")&gt;0),"Да","Нет"))</f>
        <v/>
      </c>
      <c r="M1076" s="13">
        <f>IF(OR(G1076="",L1076&lt;&gt;"Да"),"",IF(G1076&lt;=100,"До 100",IF(G1076&lt;=200,"До 200",IF(G1076&lt;=500,"До 500","Отдельное КП"))))</f>
        <v/>
      </c>
      <c r="N1076" s="15">
        <f>IF(OR(G1076="",L1076&lt;&gt;"Да"),"",IF(G1076&lt;=100,33600,IF(G1076&lt;=200,62400,IF(G1076&lt;=500,144000,""))))</f>
        <v/>
      </c>
      <c r="O1076" s="16">
        <f>IF(G1076="","",IF(G1076&lt;=15,"1–15",IF(G1076&lt;=30,"16–30",IF(G1076&lt;=50,"31–50",IF(G1076&lt;=100,"51–100",IF(G1076&lt;=150,"101–150",IF(G1076&lt;=200,"151–200",IF(G1076&lt;=500,"201–500","500+"))))))))</f>
        <v/>
      </c>
      <c r="P1076" s="16" t="inlineStr">
        <is>
          <t>Нет совпадения в предоставленной выгрузке ССЧР</t>
        </is>
      </c>
      <c r="Q1076" s="16" t="n"/>
      <c r="R1076" s="16">
        <f>HYPERLINK("https://checko.ru/search?query=3801001629","Чекко: проверить")</f>
        <v/>
      </c>
      <c r="S1076" t="n">
        <v>0</v>
      </c>
    </row>
    <row r="1077" ht="15" customHeight="1" s="24">
      <c r="A1077" s="13" t="n">
        <v>5000095032</v>
      </c>
      <c r="B1077" s="13" t="inlineStr">
        <is>
          <t>МОУ "Лицей №2"</t>
        </is>
      </c>
      <c r="C1077" s="13" t="n">
        <v>711041170</v>
      </c>
      <c r="D1077" s="13" t="n"/>
      <c r="E1077" s="13" t="inlineStr">
        <is>
          <t>Не определён</t>
        </is>
      </c>
      <c r="F1077" s="13" t="inlineStr">
        <is>
          <t>711041170</t>
        </is>
      </c>
      <c r="G1077" s="14" t="n"/>
      <c r="H1077" s="14" t="n"/>
      <c r="I1077" s="14" t="n"/>
      <c r="J1077" s="14" t="n"/>
      <c r="K1077" s="13">
        <f>IF(G1077="","",IF(G1077&gt;=22,"Да","Нет"))</f>
        <v/>
      </c>
      <c r="L1077" s="13">
        <f>IF(OR(I1077="",J1077=""),"Не определено",IF(OR(COUNTIF(I1077,"45*")&gt;0,COUNTIF(J1077,"*45*")&gt;0,COUNTIF(I1077,"46*")&gt;0,COUNTIF(J1077,"*46*")&gt;0,COUNTIF(I1077,"47*")&gt;0,COUNTIF(J1077,"*47*")&gt;0,COUNTIF(I1077,"10*")&gt;0,COUNTIF(J1077,"*10*")&gt;0,COUNTIF(I1077,"11*")&gt;0,COUNTIF(J1077,"*11*")&gt;0,COUNTIF(I1077,"12*")&gt;0,COUNTIF(J1077,"*12*")&gt;0,COUNTIF(I1077,"13*")&gt;0,COUNTIF(J1077,"*13*")&gt;0,COUNTIF(I1077,"14*")&gt;0,COUNTIF(J1077,"*14*")&gt;0,COUNTIF(I1077,"15*")&gt;0,COUNTIF(J1077,"*15*")&gt;0,COUNTIF(I1077,"16*")&gt;0,COUNTIF(J1077,"*16*")&gt;0,COUNTIF(I1077,"17*")&gt;0,COUNTIF(J1077,"*17*")&gt;0,COUNTIF(I1077,"18*")&gt;0,COUNTIF(J1077,"*18*")&gt;0,COUNTIF(I1077,"19*")&gt;0,COUNTIF(J1077,"*19*")&gt;0,COUNTIF(I1077,"20*")&gt;0,COUNTIF(J1077,"*20*")&gt;0,COUNTIF(I1077,"21*")&gt;0,COUNTIF(J1077,"*21*")&gt;0,COUNTIF(I1077,"22*")&gt;0,COUNTIF(J1077,"*22*")&gt;0,COUNTIF(I1077,"23*")&gt;0,COUNTIF(J1077,"*23*")&gt;0,COUNTIF(I1077,"24*")&gt;0,COUNTIF(J1077,"*24*")&gt;0,COUNTIF(I1077,"25*")&gt;0,COUNTIF(J1077,"*25*")&gt;0,COUNTIF(I1077,"26*")&gt;0,COUNTIF(J1077,"*26*")&gt;0,COUNTIF(I1077,"27*")&gt;0,COUNTIF(J1077,"*27*")&gt;0,COUNTIF(I1077,"28*")&gt;0,COUNTIF(J1077,"*28*")&gt;0,COUNTIF(I1077,"29*")&gt;0,COUNTIF(J1077,"*29*")&gt;0,COUNTIF(I1077,"30*")&gt;0,COUNTIF(J1077,"*30*")&gt;0,COUNTIF(I1077,"31*")&gt;0,COUNTIF(J1077,"*31*")&gt;0,COUNTIF(I1077,"32*")&gt;0,COUNTIF(J1077,"*32*")&gt;0,COUNTIF(I1077,"33*")&gt;0,COUNTIF(J1077,"*33*")&gt;0,COUNTIF(I1077,"41*")&gt;0,COUNTIF(J1077,"*41*")&gt;0,COUNTIF(I1077,"42*")&gt;0,COUNTIF(J1077,"*42*")&gt;0,COUNTIF(I1077,"43*")&gt;0,COUNTIF(J1077,"*43*")&gt;0,COUNTIF(I1077,"49*")&gt;0,COUNTIF(J1077,"*49*")&gt;0,COUNTIF(I1077,"52*")&gt;0,COUNTIF(J1077,"*52*")&gt;0,COUNTIF(I1077,"55*")&gt;0,COUNTIF(J1077,"*55*")&gt;0,COUNTIF(I1077,"56*")&gt;0,COUNTIF(J1077,"*56*")&gt;0,COUNTIF(I1077,"68*")&gt;0,COUNTIF(J1077,"*68*")&gt;0,COUNTIF(I1077,"78*")&gt;0,COUNTIF(J1077,"*78*")&gt;0,COUNTIF(I1077,"81*")&gt;0,COUNTIF(J1077,"*81*")&gt;0,COUNTIF(I1077,"82*")&gt;0,COUNTIF(J1077,"*82*")&gt;0,COUNTIF(I1077,"64*")&gt;0,COUNTIF(J1077,"*64*")&gt;0,COUNTIF(I1077,"65*")&gt;0,COUNTIF(J1077,"*65*")&gt;0,COUNTIF(I1077,"66*")&gt;0,COUNTIF(J1077,"*66*")&gt;0,COUNTIF(I1077,"61*")&gt;0,COUNTIF(J1077,"*61*")&gt;0,COUNTIF(I1077,"62*")&gt;0,COUNTIF(J1077,"*62*")&gt;0,COUNTIF(I1077,"63*")&gt;0,COUNTIF(J1077,"*63*")&gt;0,COUNTIF(I1077,"85*")&gt;0,COUNTIF(J1077,"*85*")&gt;0,COUNTIF(I1077,"86*")&gt;0,COUNTIF(J1077,"*86*")&gt;0),"Да","Нет"))</f>
        <v/>
      </c>
      <c r="M1077" s="13">
        <f>IF(OR(G1077="",L1077&lt;&gt;"Да"),"",IF(G1077&lt;=100,"До 100",IF(G1077&lt;=200,"До 200",IF(G1077&lt;=500,"До 500","Отдельное КП"))))</f>
        <v/>
      </c>
      <c r="N1077" s="15">
        <f>IF(OR(G1077="",L1077&lt;&gt;"Да"),"",IF(G1077&lt;=100,33600,IF(G1077&lt;=200,62400,IF(G1077&lt;=500,144000,""))))</f>
        <v/>
      </c>
      <c r="O1077" s="16">
        <f>IF(G1077="","",IF(G1077&lt;=15,"1–15",IF(G1077&lt;=30,"16–30",IF(G1077&lt;=50,"31–50",IF(G1077&lt;=100,"51–100",IF(G1077&lt;=150,"101–150",IF(G1077&lt;=200,"151–200",IF(G1077&lt;=500,"201–500","500+"))))))))</f>
        <v/>
      </c>
      <c r="P1077" s="16" t="inlineStr">
        <is>
          <t>Нет совпадения в предоставленной выгрузке ССЧР</t>
        </is>
      </c>
      <c r="Q1077" s="16" t="n"/>
      <c r="R1077" s="16">
        <f>HYPERLINK("https://checko.ru/search?query=3801001629","Чекко: проверить")</f>
        <v/>
      </c>
      <c r="S1077" t="n">
        <v>0</v>
      </c>
    </row>
    <row r="1078" ht="27.75" customHeight="1" s="24">
      <c r="A1078" s="13" t="n">
        <v>5000106116</v>
      </c>
      <c r="B1078" s="13" t="inlineStr">
        <is>
          <t>ГАУ "ГОСУДАРСТВЕННАЯ ЭКСПЕРТИЗА ОРЕНБУРГСКОЙ ОБЛАСТИ"</t>
        </is>
      </c>
      <c r="C1078" s="13" t="n">
        <v>5610114086</v>
      </c>
      <c r="D1078" s="13" t="inlineStr">
        <is>
          <t>5610114086</t>
        </is>
      </c>
      <c r="E1078" s="13" t="inlineStr">
        <is>
          <t>ЮЛ РФ</t>
        </is>
      </c>
      <c r="F1078" s="13" t="n"/>
      <c r="G1078" s="14" t="n"/>
      <c r="H1078" s="14" t="n"/>
      <c r="I1078" s="14" t="n"/>
      <c r="J1078" s="14" t="n"/>
      <c r="K1078" s="53" t="inlineStr"/>
      <c r="L1078" s="53" t="inlineStr">
        <is>
          <t>Не определено</t>
        </is>
      </c>
      <c r="M1078" s="53" t="inlineStr"/>
      <c r="N1078" s="54" t="inlineStr"/>
      <c r="O1078" s="55" t="inlineStr"/>
      <c r="P1078" s="16" t="inlineStr">
        <is>
          <t>Требует обогащения</t>
        </is>
      </c>
      <c r="Q1078" s="16">
        <f>HYPERLINK("https://pb.nalog.ru/search.html?query=5610114086","ФНС: проверить")</f>
        <v/>
      </c>
      <c r="R1078" s="16">
        <f>HYPERLINK("https://checko.ru/search?query=3801001629","Чекко: проверить")</f>
        <v/>
      </c>
      <c r="S1078" t="n">
        <v>1</v>
      </c>
      <c r="T1078" s="35" t="inlineStr">
        <is>
          <t>4 — Не обогащён</t>
        </is>
      </c>
      <c r="U1078" s="35" t="inlineStr">
        <is>
          <t>Нет ОКВЭД/ССЧР</t>
        </is>
      </c>
      <c r="V1078" s="35" t="inlineStr">
        <is>
          <t>Не определено</t>
        </is>
      </c>
      <c r="W1078" s="35" t="inlineStr"/>
      <c r="X1078" s="35" t="inlineStr"/>
    </row>
    <row r="1079" ht="27.75" customHeight="1" s="24">
      <c r="A1079" s="13" t="n">
        <v>5000001596</v>
      </c>
      <c r="B1079" s="13" t="inlineStr">
        <is>
          <t>ОГКУЗ «Братский областной специализированный дом ребенка»</t>
        </is>
      </c>
      <c r="C1079" s="13" t="n">
        <v>3803203282</v>
      </c>
      <c r="D1079" s="13" t="inlineStr">
        <is>
          <t>3803203282</t>
        </is>
      </c>
      <c r="E1079" s="13" t="inlineStr">
        <is>
          <t>ЮЛ РФ</t>
        </is>
      </c>
      <c r="F1079" s="13" t="n"/>
      <c r="G1079" s="14" t="n"/>
      <c r="H1079" s="14" t="n"/>
      <c r="I1079" s="14" t="n"/>
      <c r="J1079" s="14" t="n"/>
      <c r="K1079" s="53" t="inlineStr"/>
      <c r="L1079" s="53" t="inlineStr">
        <is>
          <t>Не определено</t>
        </is>
      </c>
      <c r="M1079" s="53" t="inlineStr"/>
      <c r="N1079" s="54" t="inlineStr"/>
      <c r="O1079" s="55" t="inlineStr"/>
      <c r="P1079" s="16" t="inlineStr">
        <is>
          <t>Требует обогащения</t>
        </is>
      </c>
      <c r="Q1079" s="16">
        <f>HYPERLINK("https://pb.nalog.ru/search.html?query=3803203282","ФНС: проверить")</f>
        <v/>
      </c>
      <c r="R1079" s="16">
        <f>HYPERLINK("https://checko.ru/search?query=3801001629","Чекко: проверить")</f>
        <v/>
      </c>
      <c r="S1079" t="n">
        <v>1</v>
      </c>
      <c r="T1079" s="35" t="inlineStr">
        <is>
          <t>4 — Не обогащён</t>
        </is>
      </c>
      <c r="U1079" s="35" t="inlineStr">
        <is>
          <t>Нет ОКВЭД/ССЧР</t>
        </is>
      </c>
      <c r="V1079" s="35" t="inlineStr">
        <is>
          <t>Не определено</t>
        </is>
      </c>
      <c r="W1079" s="35" t="inlineStr"/>
      <c r="X1079" s="35" t="inlineStr"/>
    </row>
    <row r="1080" ht="15" customHeight="1" s="24">
      <c r="A1080" s="13" t="n">
        <v>5000008578</v>
      </c>
      <c r="B1080" s="13" t="inlineStr">
        <is>
          <t>УФССП России по Иркутской области</t>
        </is>
      </c>
      <c r="C1080" s="13" t="n">
        <v>3811085917</v>
      </c>
      <c r="D1080" s="13" t="inlineStr">
        <is>
          <t>3811085917</t>
        </is>
      </c>
      <c r="E1080" s="13" t="inlineStr">
        <is>
          <t>ЮЛ РФ</t>
        </is>
      </c>
      <c r="F1080" s="13" t="n"/>
      <c r="G1080" s="14" t="n"/>
      <c r="H1080" s="14" t="n"/>
      <c r="I1080" s="14" t="n"/>
      <c r="J1080" s="14" t="n"/>
      <c r="K1080" s="53" t="inlineStr"/>
      <c r="L1080" s="53" t="inlineStr">
        <is>
          <t>Не определено</t>
        </is>
      </c>
      <c r="M1080" s="53" t="inlineStr"/>
      <c r="N1080" s="54" t="inlineStr"/>
      <c r="O1080" s="55" t="inlineStr"/>
      <c r="P1080" s="16" t="inlineStr">
        <is>
          <t>Требует обогащения</t>
        </is>
      </c>
      <c r="Q1080" s="16">
        <f>HYPERLINK("https://pb.nalog.ru/search.html?query=3811085917","ФНС: проверить")</f>
        <v/>
      </c>
      <c r="R1080" s="16">
        <f>HYPERLINK("https://checko.ru/search?query=3801001629","Чекко: проверить")</f>
        <v/>
      </c>
      <c r="S1080" t="n">
        <v>1</v>
      </c>
      <c r="T1080" s="35" t="inlineStr">
        <is>
          <t>4 — Не обогащён</t>
        </is>
      </c>
      <c r="U1080" s="35" t="inlineStr">
        <is>
          <t>Нет ОКВЭД/ССЧР</t>
        </is>
      </c>
      <c r="V1080" s="35" t="inlineStr">
        <is>
          <t>Не определено</t>
        </is>
      </c>
      <c r="W1080" s="35" t="inlineStr"/>
      <c r="X1080" s="35" t="inlineStr"/>
    </row>
    <row r="1081" ht="15" customHeight="1" s="24">
      <c r="A1081" s="13" t="n">
        <v>5000001478</v>
      </c>
      <c r="B1081" s="13" t="inlineStr">
        <is>
          <t>ОГКУ ДЮСК "Байкал"</t>
        </is>
      </c>
      <c r="C1081" s="13" t="n">
        <v>3808098909</v>
      </c>
      <c r="D1081" s="13" t="inlineStr">
        <is>
          <t>3808098909</t>
        </is>
      </c>
      <c r="E1081" s="13" t="inlineStr">
        <is>
          <t>ЮЛ РФ</t>
        </is>
      </c>
      <c r="F1081" s="13" t="n"/>
      <c r="G1081" s="14" t="n"/>
      <c r="H1081" s="14" t="n"/>
      <c r="I1081" s="14" t="n"/>
      <c r="J1081" s="14" t="n"/>
      <c r="K1081" s="53" t="inlineStr"/>
      <c r="L1081" s="53" t="inlineStr">
        <is>
          <t>Не определено</t>
        </is>
      </c>
      <c r="M1081" s="53" t="inlineStr"/>
      <c r="N1081" s="54" t="inlineStr"/>
      <c r="O1081" s="55" t="inlineStr"/>
      <c r="P1081" s="16" t="inlineStr">
        <is>
          <t>Требует обогащения</t>
        </is>
      </c>
      <c r="Q1081" s="16">
        <f>HYPERLINK("https://pb.nalog.ru/search.html?query=3808098909","ФНС: проверить")</f>
        <v/>
      </c>
      <c r="R1081" s="16">
        <f>HYPERLINK("https://checko.ru/search?query=3801001629","Чекко: проверить")</f>
        <v/>
      </c>
      <c r="S1081" t="n">
        <v>1</v>
      </c>
      <c r="T1081" s="35" t="inlineStr">
        <is>
          <t>4 — Не обогащён</t>
        </is>
      </c>
      <c r="U1081" s="35" t="inlineStr">
        <is>
          <t>Нет ОКВЭД/ССЧР</t>
        </is>
      </c>
      <c r="V1081" s="35" t="inlineStr">
        <is>
          <t>Не определено</t>
        </is>
      </c>
      <c r="W1081" s="35" t="inlineStr"/>
      <c r="X1081" s="35" t="inlineStr"/>
    </row>
    <row r="1082" ht="27.75" customHeight="1" s="24">
      <c r="A1082" s="13" t="n">
        <v>5000001927</v>
      </c>
      <c r="B1082" s="13" t="inlineStr">
        <is>
          <t>ГБОУ СПО Иркутской области "Свирский электромеханический техникум"</t>
        </is>
      </c>
      <c r="C1082" s="13" t="n">
        <v>3820001222</v>
      </c>
      <c r="D1082" s="13" t="inlineStr">
        <is>
          <t>3820001222</t>
        </is>
      </c>
      <c r="E1082" s="13" t="inlineStr">
        <is>
          <t>ЮЛ РФ</t>
        </is>
      </c>
      <c r="F1082" s="13" t="n"/>
      <c r="G1082" s="14" t="n"/>
      <c r="H1082" s="14" t="n"/>
      <c r="I1082" s="14" t="n"/>
      <c r="J1082" s="14" t="n"/>
      <c r="K1082" s="53" t="inlineStr"/>
      <c r="L1082" s="53" t="inlineStr">
        <is>
          <t>Не определено</t>
        </is>
      </c>
      <c r="M1082" s="53" t="inlineStr"/>
      <c r="N1082" s="54" t="inlineStr"/>
      <c r="O1082" s="55" t="inlineStr"/>
      <c r="P1082" s="16" t="inlineStr">
        <is>
          <t>Требует обогащения</t>
        </is>
      </c>
      <c r="Q1082" s="16">
        <f>HYPERLINK("https://pb.nalog.ru/search.html?query=3820001222","ФНС: проверить")</f>
        <v/>
      </c>
      <c r="R1082" s="16">
        <f>HYPERLINK("https://checko.ru/search?query=3801001629","Чекко: проверить")</f>
        <v/>
      </c>
      <c r="S1082" t="n">
        <v>1</v>
      </c>
      <c r="T1082" s="35" t="inlineStr">
        <is>
          <t>4 — Не обогащён</t>
        </is>
      </c>
      <c r="U1082" s="35" t="inlineStr">
        <is>
          <t>Нет ОКВЭД/ССЧР</t>
        </is>
      </c>
      <c r="V1082" s="35" t="inlineStr">
        <is>
          <t>Не определено</t>
        </is>
      </c>
      <c r="W1082" s="35" t="inlineStr"/>
      <c r="X1082" s="35" t="inlineStr"/>
    </row>
    <row r="1083" ht="15" customHeight="1" s="24">
      <c r="A1083" s="13" t="n">
        <v>5000118278</v>
      </c>
      <c r="B1083" s="13" t="inlineStr">
        <is>
          <t>ЖКХ сп Барвихинское МБУК</t>
        </is>
      </c>
      <c r="C1083" s="13" t="n">
        <v>5032210962</v>
      </c>
      <c r="D1083" s="13" t="inlineStr">
        <is>
          <t>5032210962</t>
        </is>
      </c>
      <c r="E1083" s="13" t="inlineStr">
        <is>
          <t>ЮЛ РФ</t>
        </is>
      </c>
      <c r="F1083" s="13" t="n"/>
      <c r="G1083" s="14" t="n"/>
      <c r="H1083" s="14" t="n"/>
      <c r="I1083" s="14" t="n"/>
      <c r="J1083" s="14" t="n"/>
      <c r="K1083" s="53" t="inlineStr"/>
      <c r="L1083" s="53" t="inlineStr">
        <is>
          <t>Не определено</t>
        </is>
      </c>
      <c r="M1083" s="53" t="inlineStr"/>
      <c r="N1083" s="54" t="inlineStr"/>
      <c r="O1083" s="55" t="inlineStr"/>
      <c r="P1083" s="16" t="inlineStr">
        <is>
          <t>Требует обогащения</t>
        </is>
      </c>
      <c r="Q1083" s="16">
        <f>HYPERLINK("https://pb.nalog.ru/search.html?query=5032210962","ФНС: проверить")</f>
        <v/>
      </c>
      <c r="R1083" s="16">
        <f>HYPERLINK("https://checko.ru/search?query=3801001629","Чекко: проверить")</f>
        <v/>
      </c>
      <c r="S1083" t="n">
        <v>1</v>
      </c>
      <c r="T1083" s="35" t="inlineStr">
        <is>
          <t>4 — Не обогащён</t>
        </is>
      </c>
      <c r="U1083" s="35" t="inlineStr">
        <is>
          <t>Нет ОКВЭД/ССЧР</t>
        </is>
      </c>
      <c r="V1083" s="35" t="inlineStr">
        <is>
          <t>Не определено</t>
        </is>
      </c>
      <c r="W1083" s="35" t="inlineStr"/>
      <c r="X1083" s="35" t="inlineStr"/>
    </row>
    <row r="1084" ht="27.75" customHeight="1" s="24">
      <c r="A1084" s="13" t="n">
        <v>5000102989</v>
      </c>
      <c r="B1084" s="13" t="inlineStr">
        <is>
          <t>Дума муниципального образования "город Черемхово"</t>
        </is>
      </c>
      <c r="C1084" s="13" t="n">
        <v>3820010530</v>
      </c>
      <c r="D1084" s="13" t="inlineStr">
        <is>
          <t>3820010530</t>
        </is>
      </c>
      <c r="E1084" s="13" t="inlineStr">
        <is>
          <t>ЮЛ РФ</t>
        </is>
      </c>
      <c r="F1084" s="13" t="n"/>
      <c r="G1084" s="14" t="n"/>
      <c r="H1084" s="14" t="n"/>
      <c r="I1084" s="14" t="n"/>
      <c r="J1084" s="14" t="n"/>
      <c r="K1084" s="53" t="inlineStr"/>
      <c r="L1084" s="53" t="inlineStr">
        <is>
          <t>Не определено</t>
        </is>
      </c>
      <c r="M1084" s="53" t="inlineStr"/>
      <c r="N1084" s="54" t="inlineStr"/>
      <c r="O1084" s="55" t="inlineStr"/>
      <c r="P1084" s="16" t="inlineStr">
        <is>
          <t>Требует обогащения</t>
        </is>
      </c>
      <c r="Q1084" s="16">
        <f>HYPERLINK("https://pb.nalog.ru/search.html?query=3820010530","ФНС: проверить")</f>
        <v/>
      </c>
      <c r="R1084" s="16">
        <f>HYPERLINK("https://checko.ru/search?query=3801001629","Чекко: проверить")</f>
        <v/>
      </c>
      <c r="S1084" t="n">
        <v>1</v>
      </c>
      <c r="T1084" s="35" t="inlineStr">
        <is>
          <t>4 — Не обогащён</t>
        </is>
      </c>
      <c r="U1084" s="35" t="inlineStr">
        <is>
          <t>Нет ОКВЭД/ССЧР</t>
        </is>
      </c>
      <c r="V1084" s="35" t="inlineStr">
        <is>
          <t>Не определено</t>
        </is>
      </c>
      <c r="W1084" s="35" t="inlineStr"/>
      <c r="X1084" s="35" t="inlineStr"/>
    </row>
    <row r="1085" ht="27.75" customHeight="1" s="24">
      <c r="A1085" s="13" t="n">
        <v>5000001893</v>
      </c>
      <c r="B1085" s="13" t="inlineStr">
        <is>
          <t>ГООКУ иркутской Области "Специальная (коррекционная) школа №5г. Иркутска"</t>
        </is>
      </c>
      <c r="C1085" s="13" t="n">
        <v>3811055888</v>
      </c>
      <c r="D1085" s="13" t="inlineStr">
        <is>
          <t>3811055888</t>
        </is>
      </c>
      <c r="E1085" s="13" t="inlineStr">
        <is>
          <t>ЮЛ РФ</t>
        </is>
      </c>
      <c r="F1085" s="13" t="n"/>
      <c r="G1085" s="14" t="n"/>
      <c r="H1085" s="14" t="n"/>
      <c r="I1085" s="14" t="n"/>
      <c r="J1085" s="14" t="n"/>
      <c r="K1085" s="53" t="inlineStr"/>
      <c r="L1085" s="53" t="inlineStr">
        <is>
          <t>Не определено</t>
        </is>
      </c>
      <c r="M1085" s="53" t="inlineStr"/>
      <c r="N1085" s="54" t="inlineStr"/>
      <c r="O1085" s="55" t="inlineStr"/>
      <c r="P1085" s="16" t="inlineStr">
        <is>
          <t>Требует обогащения</t>
        </is>
      </c>
      <c r="Q1085" s="16">
        <f>HYPERLINK("https://pb.nalog.ru/search.html?query=3811055888","ФНС: проверить")</f>
        <v/>
      </c>
      <c r="R1085" s="16">
        <f>HYPERLINK("https://checko.ru/search?query=3801001629","Чекко: проверить")</f>
        <v/>
      </c>
      <c r="S1085" t="n">
        <v>1</v>
      </c>
      <c r="T1085" s="35" t="inlineStr">
        <is>
          <t>4 — Не обогащён</t>
        </is>
      </c>
      <c r="U1085" s="35" t="inlineStr">
        <is>
          <t>Нет ОКВЭД/ССЧР</t>
        </is>
      </c>
      <c r="V1085" s="35" t="inlineStr">
        <is>
          <t>Не определено</t>
        </is>
      </c>
      <c r="W1085" s="35" t="inlineStr"/>
      <c r="X1085" s="35" t="inlineStr"/>
    </row>
    <row r="1086" ht="41.25" customHeight="1" s="24">
      <c r="A1086" s="13" t="n">
        <v>5000001892</v>
      </c>
      <c r="B1086" s="13" t="inlineStr">
        <is>
          <t>ГОКУ Иркутской области "Специальная (коррекционная) школа для обучающихся с нарушениями речи № 11 г</t>
        </is>
      </c>
      <c r="C1086" s="13" t="n">
        <v>3811054813</v>
      </c>
      <c r="D1086" s="13" t="inlineStr">
        <is>
          <t>3811054813</t>
        </is>
      </c>
      <c r="E1086" s="13" t="inlineStr">
        <is>
          <t>ЮЛ РФ</t>
        </is>
      </c>
      <c r="F1086" s="13" t="n"/>
      <c r="G1086" s="14" t="n"/>
      <c r="H1086" s="14" t="n"/>
      <c r="I1086" s="14" t="n"/>
      <c r="J1086" s="14" t="n"/>
      <c r="K1086" s="53" t="inlineStr"/>
      <c r="L1086" s="53" t="inlineStr">
        <is>
          <t>Не определено</t>
        </is>
      </c>
      <c r="M1086" s="53" t="inlineStr"/>
      <c r="N1086" s="54" t="inlineStr"/>
      <c r="O1086" s="55" t="inlineStr"/>
      <c r="P1086" s="16" t="inlineStr">
        <is>
          <t>Требует обогащения</t>
        </is>
      </c>
      <c r="Q1086" s="16">
        <f>HYPERLINK("https://pb.nalog.ru/search.html?query=3811054813","ФНС: проверить")</f>
        <v/>
      </c>
      <c r="R1086" s="16">
        <f>HYPERLINK("https://checko.ru/search?query=3801001629","Чекко: проверить")</f>
        <v/>
      </c>
      <c r="S1086" t="n">
        <v>1</v>
      </c>
      <c r="T1086" s="35" t="inlineStr">
        <is>
          <t>4 — Не обогащён</t>
        </is>
      </c>
      <c r="U1086" s="35" t="inlineStr">
        <is>
          <t>Нет ОКВЭД/ССЧР</t>
        </is>
      </c>
      <c r="V1086" s="35" t="inlineStr">
        <is>
          <t>Не определено</t>
        </is>
      </c>
      <c r="W1086" s="35" t="inlineStr"/>
      <c r="X1086" s="35" t="inlineStr"/>
    </row>
    <row r="1087" ht="27.75" customHeight="1" s="24">
      <c r="A1087" s="13" t="n">
        <v>5000001391</v>
      </c>
      <c r="B1087" s="13" t="inlineStr">
        <is>
          <t>ОГ АОУ СПО «Братский индустриально-металлургический техникум»</t>
        </is>
      </c>
      <c r="C1087" s="13" t="n">
        <v>3804004868</v>
      </c>
      <c r="D1087" s="13" t="inlineStr">
        <is>
          <t>3804004868</t>
        </is>
      </c>
      <c r="E1087" s="13" t="inlineStr">
        <is>
          <t>ЮЛ РФ</t>
        </is>
      </c>
      <c r="F1087" s="13" t="n"/>
      <c r="G1087" s="14" t="n"/>
      <c r="H1087" s="14" t="n"/>
      <c r="I1087" s="14" t="n"/>
      <c r="J1087" s="14" t="n"/>
      <c r="K1087" s="53" t="inlineStr"/>
      <c r="L1087" s="53" t="inlineStr">
        <is>
          <t>Не определено</t>
        </is>
      </c>
      <c r="M1087" s="53" t="inlineStr"/>
      <c r="N1087" s="54" t="inlineStr"/>
      <c r="O1087" s="55" t="inlineStr"/>
      <c r="P1087" s="16" t="inlineStr">
        <is>
          <t>Требует обогащения</t>
        </is>
      </c>
      <c r="Q1087" s="16">
        <f>HYPERLINK("https://pb.nalog.ru/search.html?query=3804004868","ФНС: проверить")</f>
        <v/>
      </c>
      <c r="R1087" s="16">
        <f>HYPERLINK("https://checko.ru/search?query=3801001629","Чекко: проверить")</f>
        <v/>
      </c>
      <c r="S1087" t="n">
        <v>1</v>
      </c>
      <c r="T1087" s="35" t="inlineStr">
        <is>
          <t>4 — Не обогащён</t>
        </is>
      </c>
      <c r="U1087" s="35" t="inlineStr">
        <is>
          <t>Нет ОКВЭД/ССЧР</t>
        </is>
      </c>
      <c r="V1087" s="35" t="inlineStr">
        <is>
          <t>Не определено</t>
        </is>
      </c>
      <c r="W1087" s="35" t="inlineStr"/>
      <c r="X1087" s="35" t="inlineStr"/>
    </row>
    <row r="1088" ht="27.75" customHeight="1" s="24">
      <c r="A1088" s="13" t="n">
        <v>5000094616</v>
      </c>
      <c r="B1088" s="13" t="inlineStr">
        <is>
          <t>МУ "Местная администрация Терского муниципального района КБР"</t>
        </is>
      </c>
      <c r="C1088" s="13" t="n">
        <v>705001317</v>
      </c>
      <c r="D1088" s="13" t="n"/>
      <c r="E1088" s="13" t="inlineStr">
        <is>
          <t>Не определён</t>
        </is>
      </c>
      <c r="F1088" s="13" t="inlineStr">
        <is>
          <t>705001317</t>
        </is>
      </c>
      <c r="G1088" s="14" t="n"/>
      <c r="H1088" s="14" t="n"/>
      <c r="I1088" s="14" t="n"/>
      <c r="J1088" s="14" t="n"/>
      <c r="K1088" s="13">
        <f>IF(G1088="","",IF(G1088&gt;=22,"Да","Нет"))</f>
        <v/>
      </c>
      <c r="L1088" s="13">
        <f>IF(OR(I1088="",J1088=""),"Не определено",IF(OR(COUNTIF(I1088,"45*")&gt;0,COUNTIF(J1088,"*45*")&gt;0,COUNTIF(I1088,"46*")&gt;0,COUNTIF(J1088,"*46*")&gt;0,COUNTIF(I1088,"47*")&gt;0,COUNTIF(J1088,"*47*")&gt;0,COUNTIF(I1088,"10*")&gt;0,COUNTIF(J1088,"*10*")&gt;0,COUNTIF(I1088,"11*")&gt;0,COUNTIF(J1088,"*11*")&gt;0,COUNTIF(I1088,"12*")&gt;0,COUNTIF(J1088,"*12*")&gt;0,COUNTIF(I1088,"13*")&gt;0,COUNTIF(J1088,"*13*")&gt;0,COUNTIF(I1088,"14*")&gt;0,COUNTIF(J1088,"*14*")&gt;0,COUNTIF(I1088,"15*")&gt;0,COUNTIF(J1088,"*15*")&gt;0,COUNTIF(I1088,"16*")&gt;0,COUNTIF(J1088,"*16*")&gt;0,COUNTIF(I1088,"17*")&gt;0,COUNTIF(J1088,"*17*")&gt;0,COUNTIF(I1088,"18*")&gt;0,COUNTIF(J1088,"*18*")&gt;0,COUNTIF(I1088,"19*")&gt;0,COUNTIF(J1088,"*19*")&gt;0,COUNTIF(I1088,"20*")&gt;0,COUNTIF(J1088,"*20*")&gt;0,COUNTIF(I1088,"21*")&gt;0,COUNTIF(J1088,"*21*")&gt;0,COUNTIF(I1088,"22*")&gt;0,COUNTIF(J1088,"*22*")&gt;0,COUNTIF(I1088,"23*")&gt;0,COUNTIF(J1088,"*23*")&gt;0,COUNTIF(I1088,"24*")&gt;0,COUNTIF(J1088,"*24*")&gt;0,COUNTIF(I1088,"25*")&gt;0,COUNTIF(J1088,"*25*")&gt;0,COUNTIF(I1088,"26*")&gt;0,COUNTIF(J1088,"*26*")&gt;0,COUNTIF(I1088,"27*")&gt;0,COUNTIF(J1088,"*27*")&gt;0,COUNTIF(I1088,"28*")&gt;0,COUNTIF(J1088,"*28*")&gt;0,COUNTIF(I1088,"29*")&gt;0,COUNTIF(J1088,"*29*")&gt;0,COUNTIF(I1088,"30*")&gt;0,COUNTIF(J1088,"*30*")&gt;0,COUNTIF(I1088,"31*")&gt;0,COUNTIF(J1088,"*31*")&gt;0,COUNTIF(I1088,"32*")&gt;0,COUNTIF(J1088,"*32*")&gt;0,COUNTIF(I1088,"33*")&gt;0,COUNTIF(J1088,"*33*")&gt;0,COUNTIF(I1088,"41*")&gt;0,COUNTIF(J1088,"*41*")&gt;0,COUNTIF(I1088,"42*")&gt;0,COUNTIF(J1088,"*42*")&gt;0,COUNTIF(I1088,"43*")&gt;0,COUNTIF(J1088,"*43*")&gt;0,COUNTIF(I1088,"49*")&gt;0,COUNTIF(J1088,"*49*")&gt;0,COUNTIF(I1088,"52*")&gt;0,COUNTIF(J1088,"*52*")&gt;0,COUNTIF(I1088,"55*")&gt;0,COUNTIF(J1088,"*55*")&gt;0,COUNTIF(I1088,"56*")&gt;0,COUNTIF(J1088,"*56*")&gt;0,COUNTIF(I1088,"68*")&gt;0,COUNTIF(J1088,"*68*")&gt;0,COUNTIF(I1088,"78*")&gt;0,COUNTIF(J1088,"*78*")&gt;0,COUNTIF(I1088,"81*")&gt;0,COUNTIF(J1088,"*81*")&gt;0,COUNTIF(I1088,"82*")&gt;0,COUNTIF(J1088,"*82*")&gt;0,COUNTIF(I1088,"64*")&gt;0,COUNTIF(J1088,"*64*")&gt;0,COUNTIF(I1088,"65*")&gt;0,COUNTIF(J1088,"*65*")&gt;0,COUNTIF(I1088,"66*")&gt;0,COUNTIF(J1088,"*66*")&gt;0,COUNTIF(I1088,"61*")&gt;0,COUNTIF(J1088,"*61*")&gt;0,COUNTIF(I1088,"62*")&gt;0,COUNTIF(J1088,"*62*")&gt;0,COUNTIF(I1088,"63*")&gt;0,COUNTIF(J1088,"*63*")&gt;0,COUNTIF(I1088,"85*")&gt;0,COUNTIF(J1088,"*85*")&gt;0,COUNTIF(I1088,"86*")&gt;0,COUNTIF(J1088,"*86*")&gt;0),"Да","Нет"))</f>
        <v/>
      </c>
      <c r="M1088" s="13">
        <f>IF(OR(G1088="",L1088&lt;&gt;"Да"),"",IF(G1088&lt;=100,"До 100",IF(G1088&lt;=200,"До 200",IF(G1088&lt;=500,"До 500","Отдельное КП"))))</f>
        <v/>
      </c>
      <c r="N1088" s="15">
        <f>IF(OR(G1088="",L1088&lt;&gt;"Да"),"",IF(G1088&lt;=100,33600,IF(G1088&lt;=200,62400,IF(G1088&lt;=500,144000,""))))</f>
        <v/>
      </c>
      <c r="O1088" s="16">
        <f>IF(G1088="","",IF(G1088&lt;=15,"1–15",IF(G1088&lt;=30,"16–30",IF(G1088&lt;=50,"31–50",IF(G1088&lt;=100,"51–100",IF(G1088&lt;=150,"101–150",IF(G1088&lt;=200,"151–200",IF(G1088&lt;=500,"201–500","500+"))))))))</f>
        <v/>
      </c>
      <c r="P1088" s="16" t="inlineStr">
        <is>
          <t>Нет совпадения в предоставленной выгрузке ССЧР</t>
        </is>
      </c>
      <c r="Q1088" s="16" t="n"/>
      <c r="R1088" s="16">
        <f>HYPERLINK("https://checko.ru/search?query=3801001629","Чекко: проверить")</f>
        <v/>
      </c>
      <c r="S1088" t="n">
        <v>0</v>
      </c>
    </row>
    <row r="1089" ht="81.75" customHeight="1" s="24">
      <c r="A1089" s="13" t="n">
        <v>5000106142</v>
      </c>
      <c r="B1089" s="13" t="inlineStr">
        <is>
          <t>МУНИЦИПАЛЬНОЕ БЮДЖЕТНОЕ ОБЩЕОБРАЗОВАТЕЛЬНОЕ УЧРЕЖДЕНИЕ "БУРДЫГИНСКАЯ СРЕДНЯЯ ОБЩЕОБРАЗОВАТЕЛЬНАЯ ШКОЛА" СОРОЧИНСКОГО ГОРОДСКОГО ОКРУГА ОРЕНБУРГСКОЙ ОБ</t>
        </is>
      </c>
      <c r="C1089" s="13" t="n">
        <v>5647005319</v>
      </c>
      <c r="D1089" s="13" t="inlineStr">
        <is>
          <t>5647005319</t>
        </is>
      </c>
      <c r="E1089" s="13" t="inlineStr">
        <is>
          <t>ЮЛ РФ</t>
        </is>
      </c>
      <c r="F1089" s="13" t="n"/>
      <c r="G1089" s="14" t="n"/>
      <c r="H1089" s="14" t="n"/>
      <c r="I1089" s="14" t="n"/>
      <c r="J1089" s="14" t="n"/>
      <c r="K1089" s="53" t="inlineStr"/>
      <c r="L1089" s="53" t="inlineStr">
        <is>
          <t>Не определено</t>
        </is>
      </c>
      <c r="M1089" s="53" t="inlineStr"/>
      <c r="N1089" s="54" t="inlineStr"/>
      <c r="O1089" s="55" t="inlineStr"/>
      <c r="P1089" s="16" t="inlineStr">
        <is>
          <t>Требует обогащения</t>
        </is>
      </c>
      <c r="Q1089" s="16">
        <f>HYPERLINK("https://pb.nalog.ru/search.html?query=5647005319","ФНС: проверить")</f>
        <v/>
      </c>
      <c r="R1089" s="16">
        <f>HYPERLINK("https://checko.ru/search?query=3801001629","Чекко: проверить")</f>
        <v/>
      </c>
      <c r="S1089" t="n">
        <v>1</v>
      </c>
      <c r="T1089" s="35" t="inlineStr">
        <is>
          <t>4 — Не обогащён</t>
        </is>
      </c>
      <c r="U1089" s="35" t="inlineStr">
        <is>
          <t>Нет ОКВЭД/ССЧР</t>
        </is>
      </c>
      <c r="V1089" s="35" t="inlineStr">
        <is>
          <t>Не определено</t>
        </is>
      </c>
      <c r="W1089" s="35" t="inlineStr"/>
      <c r="X1089" s="35" t="inlineStr"/>
    </row>
    <row r="1090" ht="15" customHeight="1" s="24">
      <c r="A1090" s="13" t="n">
        <v>5000062531</v>
      </c>
      <c r="B1090" s="13" t="inlineStr">
        <is>
          <t>ОГКОУ СКОШ № 11 VIII вида г. Димитровграда</t>
        </is>
      </c>
      <c r="C1090" s="13" t="n">
        <v>7302041574</v>
      </c>
      <c r="D1090" s="13" t="inlineStr">
        <is>
          <t>7302041574</t>
        </is>
      </c>
      <c r="E1090" s="13" t="inlineStr">
        <is>
          <t>ЮЛ РФ</t>
        </is>
      </c>
      <c r="F1090" s="13" t="n"/>
      <c r="G1090" s="14" t="n"/>
      <c r="H1090" s="14" t="n"/>
      <c r="I1090" s="14" t="n"/>
      <c r="J1090" s="14" t="n"/>
      <c r="K1090" s="53" t="inlineStr"/>
      <c r="L1090" s="53" t="inlineStr">
        <is>
          <t>Не определено</t>
        </is>
      </c>
      <c r="M1090" s="53" t="inlineStr"/>
      <c r="N1090" s="54" t="inlineStr"/>
      <c r="O1090" s="55" t="inlineStr"/>
      <c r="P1090" s="16" t="inlineStr">
        <is>
          <t>Требует обогащения</t>
        </is>
      </c>
      <c r="Q1090" s="16">
        <f>HYPERLINK("https://pb.nalog.ru/search.html?query=7302041574","ФНС: проверить")</f>
        <v/>
      </c>
      <c r="R1090" s="16">
        <f>HYPERLINK("https://checko.ru/search?query=3801001629","Чекко: проверить")</f>
        <v/>
      </c>
      <c r="S1090" t="n">
        <v>1</v>
      </c>
      <c r="T1090" s="35" t="inlineStr">
        <is>
          <t>4 — Не обогащён</t>
        </is>
      </c>
      <c r="U1090" s="35" t="inlineStr">
        <is>
          <t>Нет ОКВЭД/ССЧР</t>
        </is>
      </c>
      <c r="V1090" s="35" t="inlineStr">
        <is>
          <t>Не определено</t>
        </is>
      </c>
      <c r="W1090" s="35" t="inlineStr"/>
      <c r="X1090" s="35" t="inlineStr"/>
    </row>
    <row r="1091" ht="15" customHeight="1" s="24">
      <c r="A1091" s="13" t="n">
        <v>5000008560</v>
      </c>
      <c r="B1091" s="13" t="inlineStr">
        <is>
          <t>УФССП России по Саратовской области</t>
        </is>
      </c>
      <c r="C1091" s="13" t="n">
        <v>6455039443</v>
      </c>
      <c r="D1091" s="13" t="inlineStr">
        <is>
          <t>6455039443</t>
        </is>
      </c>
      <c r="E1091" s="13" t="inlineStr">
        <is>
          <t>ЮЛ РФ</t>
        </is>
      </c>
      <c r="F1091" s="13" t="n"/>
      <c r="G1091" s="14" t="n"/>
      <c r="H1091" s="14" t="n"/>
      <c r="I1091" s="14" t="n"/>
      <c r="J1091" s="14" t="n"/>
      <c r="K1091" s="53" t="inlineStr"/>
      <c r="L1091" s="53" t="inlineStr">
        <is>
          <t>Не определено</t>
        </is>
      </c>
      <c r="M1091" s="53" t="inlineStr"/>
      <c r="N1091" s="54" t="inlineStr"/>
      <c r="O1091" s="55" t="inlineStr"/>
      <c r="P1091" s="16" t="inlineStr">
        <is>
          <t>Требует обогащения</t>
        </is>
      </c>
      <c r="Q1091" s="16">
        <f>HYPERLINK("https://pb.nalog.ru/search.html?query=6455039443","ФНС: проверить")</f>
        <v/>
      </c>
      <c r="R1091" s="16">
        <f>HYPERLINK("https://checko.ru/search?query=3801001629","Чекко: проверить")</f>
        <v/>
      </c>
      <c r="S1091" t="n">
        <v>1</v>
      </c>
      <c r="T1091" s="35" t="inlineStr">
        <is>
          <t>4 — Не обогащён</t>
        </is>
      </c>
      <c r="U1091" s="35" t="inlineStr">
        <is>
          <t>Нет ОКВЭД/ССЧР</t>
        </is>
      </c>
      <c r="V1091" s="35" t="inlineStr">
        <is>
          <t>Не определено</t>
        </is>
      </c>
      <c r="W1091" s="35" t="inlineStr"/>
      <c r="X1091" s="35" t="inlineStr"/>
    </row>
    <row r="1092" ht="27.75" customHeight="1" s="24">
      <c r="A1092" s="13" t="n">
        <v>5000001573</v>
      </c>
      <c r="B1092" s="13" t="inlineStr">
        <is>
          <t>МУЗ Стоматологическая поликлиника №1 г. Иркутска</t>
        </is>
      </c>
      <c r="C1092" s="13" t="n">
        <v>3811031982</v>
      </c>
      <c r="D1092" s="13" t="inlineStr">
        <is>
          <t>3811031982</t>
        </is>
      </c>
      <c r="E1092" s="13" t="inlineStr">
        <is>
          <t>ЮЛ РФ</t>
        </is>
      </c>
      <c r="F1092" s="13" t="n"/>
      <c r="G1092" s="14" t="n"/>
      <c r="H1092" s="14" t="n"/>
      <c r="I1092" s="14" t="n"/>
      <c r="J1092" s="14" t="n"/>
      <c r="K1092" s="53" t="inlineStr"/>
      <c r="L1092" s="53" t="inlineStr">
        <is>
          <t>Не определено</t>
        </is>
      </c>
      <c r="M1092" s="53" t="inlineStr"/>
      <c r="N1092" s="54" t="inlineStr"/>
      <c r="O1092" s="55" t="inlineStr"/>
      <c r="P1092" s="16" t="inlineStr">
        <is>
          <t>Требует обогащения</t>
        </is>
      </c>
      <c r="Q1092" s="16">
        <f>HYPERLINK("https://pb.nalog.ru/search.html?query=3811031982","ФНС: проверить")</f>
        <v/>
      </c>
      <c r="R1092" s="16">
        <f>HYPERLINK("https://checko.ru/search?query=3801001629","Чекко: проверить")</f>
        <v/>
      </c>
      <c r="S1092" t="n">
        <v>1</v>
      </c>
      <c r="T1092" s="35" t="inlineStr">
        <is>
          <t>4 — Не обогащён</t>
        </is>
      </c>
      <c r="U1092" s="35" t="inlineStr">
        <is>
          <t>Нет ОКВЭД/ССЧР</t>
        </is>
      </c>
      <c r="V1092" s="35" t="inlineStr">
        <is>
          <t>Не определено</t>
        </is>
      </c>
      <c r="W1092" s="35" t="inlineStr"/>
      <c r="X1092" s="35" t="inlineStr"/>
    </row>
    <row r="1093" ht="15" customHeight="1" s="24">
      <c r="A1093" s="13" t="n">
        <v>5000002204</v>
      </c>
      <c r="B1093" s="13" t="inlineStr">
        <is>
          <t>ОГБУЗ "Баяндаевская ЦРБ"</t>
        </is>
      </c>
      <c r="C1093" s="13" t="n">
        <v>8502000263</v>
      </c>
      <c r="D1093" s="13" t="inlineStr">
        <is>
          <t>8502000263</t>
        </is>
      </c>
      <c r="E1093" s="13" t="inlineStr">
        <is>
          <t>ЮЛ РФ</t>
        </is>
      </c>
      <c r="F1093" s="13" t="n"/>
      <c r="G1093" s="14" t="n"/>
      <c r="H1093" s="14" t="n"/>
      <c r="I1093" s="14" t="n"/>
      <c r="J1093" s="14" t="n"/>
      <c r="K1093" s="53" t="inlineStr"/>
      <c r="L1093" s="53" t="inlineStr">
        <is>
          <t>Не определено</t>
        </is>
      </c>
      <c r="M1093" s="53" t="inlineStr"/>
      <c r="N1093" s="54" t="inlineStr"/>
      <c r="O1093" s="55" t="inlineStr"/>
      <c r="P1093" s="16" t="inlineStr">
        <is>
          <t>Требует обогащения</t>
        </is>
      </c>
      <c r="Q1093" s="16">
        <f>HYPERLINK("https://pb.nalog.ru/search.html?query=8502000263","ФНС: проверить")</f>
        <v/>
      </c>
      <c r="R1093" s="16">
        <f>HYPERLINK("https://checko.ru/search?query=3801001629","Чекко: проверить")</f>
        <v/>
      </c>
      <c r="S1093" t="n">
        <v>1</v>
      </c>
      <c r="T1093" s="35" t="inlineStr">
        <is>
          <t>4 — Не обогащён</t>
        </is>
      </c>
      <c r="U1093" s="35" t="inlineStr">
        <is>
          <t>Нет ОКВЭД/ССЧР</t>
        </is>
      </c>
      <c r="V1093" s="35" t="inlineStr">
        <is>
          <t>Не определено</t>
        </is>
      </c>
      <c r="W1093" s="35" t="inlineStr"/>
      <c r="X1093" s="35" t="inlineStr"/>
    </row>
    <row r="1094" ht="15" customHeight="1" s="24">
      <c r="A1094" s="13" t="n">
        <v>5000106178</v>
      </c>
      <c r="B1094" s="13" t="inlineStr">
        <is>
          <t>МКУ "ХОЗЯЙСТВЕННЫЙ ОТДЕЛ"</t>
        </is>
      </c>
      <c r="C1094" s="13" t="n">
        <v>5648020542</v>
      </c>
      <c r="D1094" s="13" t="inlineStr">
        <is>
          <t>5648020542</t>
        </is>
      </c>
      <c r="E1094" s="13" t="inlineStr">
        <is>
          <t>ЮЛ РФ</t>
        </is>
      </c>
      <c r="F1094" s="13" t="n"/>
      <c r="G1094" s="14" t="n"/>
      <c r="H1094" s="14" t="n"/>
      <c r="I1094" s="14" t="n"/>
      <c r="J1094" s="14" t="n"/>
      <c r="K1094" s="53" t="inlineStr"/>
      <c r="L1094" s="53" t="inlineStr">
        <is>
          <t>Не определено</t>
        </is>
      </c>
      <c r="M1094" s="53" t="inlineStr"/>
      <c r="N1094" s="54" t="inlineStr"/>
      <c r="O1094" s="55" t="inlineStr"/>
      <c r="P1094" s="16" t="inlineStr">
        <is>
          <t>Требует обогащения</t>
        </is>
      </c>
      <c r="Q1094" s="16">
        <f>HYPERLINK("https://pb.nalog.ru/search.html?query=5648020542","ФНС: проверить")</f>
        <v/>
      </c>
      <c r="R1094" s="16">
        <f>HYPERLINK("https://checko.ru/search?query=3801001629","Чекко: проверить")</f>
        <v/>
      </c>
      <c r="S1094" t="n">
        <v>1</v>
      </c>
      <c r="T1094" s="35" t="inlineStr">
        <is>
          <t>4 — Не обогащён</t>
        </is>
      </c>
      <c r="U1094" s="35" t="inlineStr">
        <is>
          <t>Нет ОКВЭД/ССЧР</t>
        </is>
      </c>
      <c r="V1094" s="35" t="inlineStr">
        <is>
          <t>Не определено</t>
        </is>
      </c>
      <c r="W1094" s="35" t="inlineStr"/>
      <c r="X1094" s="35" t="inlineStr"/>
    </row>
    <row r="1095" ht="15" customHeight="1" s="24">
      <c r="A1095" s="13" t="n">
        <v>5000094768</v>
      </c>
      <c r="B1095" s="13" t="inlineStr">
        <is>
          <t>КУ СПО КБАПК</t>
        </is>
      </c>
      <c r="C1095" s="13" t="n">
        <v>707007240</v>
      </c>
      <c r="D1095" s="13" t="n"/>
      <c r="E1095" s="13" t="inlineStr">
        <is>
          <t>Не определён</t>
        </is>
      </c>
      <c r="F1095" s="13" t="inlineStr">
        <is>
          <t>707007240</t>
        </is>
      </c>
      <c r="G1095" s="14" t="n"/>
      <c r="H1095" s="14" t="n"/>
      <c r="I1095" s="14" t="n"/>
      <c r="J1095" s="14" t="n"/>
      <c r="K1095" s="13">
        <f>IF(G1095="","",IF(G1095&gt;=22,"Да","Нет"))</f>
        <v/>
      </c>
      <c r="L1095" s="13">
        <f>IF(OR(I1095="",J1095=""),"Не определено",IF(OR(COUNTIF(I1095,"45*")&gt;0,COUNTIF(J1095,"*45*")&gt;0,COUNTIF(I1095,"46*")&gt;0,COUNTIF(J1095,"*46*")&gt;0,COUNTIF(I1095,"47*")&gt;0,COUNTIF(J1095,"*47*")&gt;0,COUNTIF(I1095,"10*")&gt;0,COUNTIF(J1095,"*10*")&gt;0,COUNTIF(I1095,"11*")&gt;0,COUNTIF(J1095,"*11*")&gt;0,COUNTIF(I1095,"12*")&gt;0,COUNTIF(J1095,"*12*")&gt;0,COUNTIF(I1095,"13*")&gt;0,COUNTIF(J1095,"*13*")&gt;0,COUNTIF(I1095,"14*")&gt;0,COUNTIF(J1095,"*14*")&gt;0,COUNTIF(I1095,"15*")&gt;0,COUNTIF(J1095,"*15*")&gt;0,COUNTIF(I1095,"16*")&gt;0,COUNTIF(J1095,"*16*")&gt;0,COUNTIF(I1095,"17*")&gt;0,COUNTIF(J1095,"*17*")&gt;0,COUNTIF(I1095,"18*")&gt;0,COUNTIF(J1095,"*18*")&gt;0,COUNTIF(I1095,"19*")&gt;0,COUNTIF(J1095,"*19*")&gt;0,COUNTIF(I1095,"20*")&gt;0,COUNTIF(J1095,"*20*")&gt;0,COUNTIF(I1095,"21*")&gt;0,COUNTIF(J1095,"*21*")&gt;0,COUNTIF(I1095,"22*")&gt;0,COUNTIF(J1095,"*22*")&gt;0,COUNTIF(I1095,"23*")&gt;0,COUNTIF(J1095,"*23*")&gt;0,COUNTIF(I1095,"24*")&gt;0,COUNTIF(J1095,"*24*")&gt;0,COUNTIF(I1095,"25*")&gt;0,COUNTIF(J1095,"*25*")&gt;0,COUNTIF(I1095,"26*")&gt;0,COUNTIF(J1095,"*26*")&gt;0,COUNTIF(I1095,"27*")&gt;0,COUNTIF(J1095,"*27*")&gt;0,COUNTIF(I1095,"28*")&gt;0,COUNTIF(J1095,"*28*")&gt;0,COUNTIF(I1095,"29*")&gt;0,COUNTIF(J1095,"*29*")&gt;0,COUNTIF(I1095,"30*")&gt;0,COUNTIF(J1095,"*30*")&gt;0,COUNTIF(I1095,"31*")&gt;0,COUNTIF(J1095,"*31*")&gt;0,COUNTIF(I1095,"32*")&gt;0,COUNTIF(J1095,"*32*")&gt;0,COUNTIF(I1095,"33*")&gt;0,COUNTIF(J1095,"*33*")&gt;0,COUNTIF(I1095,"41*")&gt;0,COUNTIF(J1095,"*41*")&gt;0,COUNTIF(I1095,"42*")&gt;0,COUNTIF(J1095,"*42*")&gt;0,COUNTIF(I1095,"43*")&gt;0,COUNTIF(J1095,"*43*")&gt;0,COUNTIF(I1095,"49*")&gt;0,COUNTIF(J1095,"*49*")&gt;0,COUNTIF(I1095,"52*")&gt;0,COUNTIF(J1095,"*52*")&gt;0,COUNTIF(I1095,"55*")&gt;0,COUNTIF(J1095,"*55*")&gt;0,COUNTIF(I1095,"56*")&gt;0,COUNTIF(J1095,"*56*")&gt;0,COUNTIF(I1095,"68*")&gt;0,COUNTIF(J1095,"*68*")&gt;0,COUNTIF(I1095,"78*")&gt;0,COUNTIF(J1095,"*78*")&gt;0,COUNTIF(I1095,"81*")&gt;0,COUNTIF(J1095,"*81*")&gt;0,COUNTIF(I1095,"82*")&gt;0,COUNTIF(J1095,"*82*")&gt;0,COUNTIF(I1095,"64*")&gt;0,COUNTIF(J1095,"*64*")&gt;0,COUNTIF(I1095,"65*")&gt;0,COUNTIF(J1095,"*65*")&gt;0,COUNTIF(I1095,"66*")&gt;0,COUNTIF(J1095,"*66*")&gt;0,COUNTIF(I1095,"61*")&gt;0,COUNTIF(J1095,"*61*")&gt;0,COUNTIF(I1095,"62*")&gt;0,COUNTIF(J1095,"*62*")&gt;0,COUNTIF(I1095,"63*")&gt;0,COUNTIF(J1095,"*63*")&gt;0,COUNTIF(I1095,"85*")&gt;0,COUNTIF(J1095,"*85*")&gt;0,COUNTIF(I1095,"86*")&gt;0,COUNTIF(J1095,"*86*")&gt;0),"Да","Нет"))</f>
        <v/>
      </c>
      <c r="M1095" s="13">
        <f>IF(OR(G1095="",L1095&lt;&gt;"Да"),"",IF(G1095&lt;=100,"До 100",IF(G1095&lt;=200,"До 200",IF(G1095&lt;=500,"До 500","Отдельное КП"))))</f>
        <v/>
      </c>
      <c r="N1095" s="15">
        <f>IF(OR(G1095="",L1095&lt;&gt;"Да"),"",IF(G1095&lt;=100,33600,IF(G1095&lt;=200,62400,IF(G1095&lt;=500,144000,""))))</f>
        <v/>
      </c>
      <c r="O1095" s="16">
        <f>IF(G1095="","",IF(G1095&lt;=15,"1–15",IF(G1095&lt;=30,"16–30",IF(G1095&lt;=50,"31–50",IF(G1095&lt;=100,"51–100",IF(G1095&lt;=150,"101–150",IF(G1095&lt;=200,"151–200",IF(G1095&lt;=500,"201–500","500+"))))))))</f>
        <v/>
      </c>
      <c r="P1095" s="16" t="inlineStr">
        <is>
          <t>Нет совпадения в предоставленной выгрузке ССЧР</t>
        </is>
      </c>
      <c r="Q1095" s="16" t="n"/>
      <c r="R1095" s="16">
        <f>HYPERLINK("https://checko.ru/search?query=3801001629","Чекко: проверить")</f>
        <v/>
      </c>
      <c r="S1095" t="n">
        <v>0</v>
      </c>
    </row>
    <row r="1096" ht="15" customHeight="1" s="24">
      <c r="A1096" s="13" t="n">
        <v>5000008603</v>
      </c>
      <c r="B1096" s="13" t="inlineStr">
        <is>
          <t>УФССП России по Приморскому краю</t>
        </is>
      </c>
      <c r="C1096" s="13" t="n">
        <v>2540108500</v>
      </c>
      <c r="D1096" s="13" t="inlineStr">
        <is>
          <t>2540108500</t>
        </is>
      </c>
      <c r="E1096" s="13" t="inlineStr">
        <is>
          <t>ЮЛ РФ</t>
        </is>
      </c>
      <c r="F1096" s="13" t="n"/>
      <c r="G1096" s="14" t="n"/>
      <c r="H1096" s="14" t="n"/>
      <c r="I1096" s="14" t="n"/>
      <c r="J1096" s="14" t="n"/>
      <c r="K1096" s="53" t="inlineStr"/>
      <c r="L1096" s="53" t="inlineStr">
        <is>
          <t>Не определено</t>
        </is>
      </c>
      <c r="M1096" s="53" t="inlineStr"/>
      <c r="N1096" s="54" t="inlineStr"/>
      <c r="O1096" s="55" t="inlineStr"/>
      <c r="P1096" s="16" t="inlineStr">
        <is>
          <t>Требует обогащения</t>
        </is>
      </c>
      <c r="Q1096" s="16">
        <f>HYPERLINK("https://pb.nalog.ru/search.html?query=2540108500","ФНС: проверить")</f>
        <v/>
      </c>
      <c r="R1096" s="16">
        <f>HYPERLINK("https://checko.ru/search?query=3801001629","Чекко: проверить")</f>
        <v/>
      </c>
      <c r="S1096" t="n">
        <v>1</v>
      </c>
      <c r="T1096" s="35" t="inlineStr">
        <is>
          <t>4 — Не обогащён</t>
        </is>
      </c>
      <c r="U1096" s="35" t="inlineStr">
        <is>
          <t>Нет ОКВЭД/ССЧР</t>
        </is>
      </c>
      <c r="V1096" s="35" t="inlineStr">
        <is>
          <t>Не определено</t>
        </is>
      </c>
      <c r="W1096" s="35" t="inlineStr"/>
      <c r="X1096" s="35" t="inlineStr"/>
    </row>
    <row r="1097" ht="15" customHeight="1" s="24">
      <c r="A1097" s="13" t="n">
        <v>5000034652</v>
      </c>
      <c r="B1097" s="13" t="inlineStr">
        <is>
          <t>ОГДК Солнечный, МБУК</t>
        </is>
      </c>
      <c r="C1097" s="13" t="n">
        <v>5032200058</v>
      </c>
      <c r="D1097" s="13" t="inlineStr">
        <is>
          <t>5032200058</t>
        </is>
      </c>
      <c r="E1097" s="13" t="inlineStr">
        <is>
          <t>ЮЛ РФ</t>
        </is>
      </c>
      <c r="F1097" s="13" t="n"/>
      <c r="G1097" s="14" t="n"/>
      <c r="H1097" s="14" t="n"/>
      <c r="I1097" s="14" t="n"/>
      <c r="J1097" s="14" t="n"/>
      <c r="K1097" s="53" t="inlineStr"/>
      <c r="L1097" s="53" t="inlineStr">
        <is>
          <t>Не определено</t>
        </is>
      </c>
      <c r="M1097" s="53" t="inlineStr"/>
      <c r="N1097" s="54" t="inlineStr"/>
      <c r="O1097" s="55" t="inlineStr"/>
      <c r="P1097" s="16" t="inlineStr">
        <is>
          <t>Требует обогащения</t>
        </is>
      </c>
      <c r="Q1097" s="16">
        <f>HYPERLINK("https://pb.nalog.ru/search.html?query=5032200058","ФНС: проверить")</f>
        <v/>
      </c>
      <c r="R1097" s="16">
        <f>HYPERLINK("https://checko.ru/search?query=3801001629","Чекко: проверить")</f>
        <v/>
      </c>
      <c r="S1097" t="n">
        <v>1</v>
      </c>
      <c r="T1097" s="35" t="inlineStr">
        <is>
          <t>4 — Не обогащён</t>
        </is>
      </c>
      <c r="U1097" s="35" t="inlineStr">
        <is>
          <t>Нет ОКВЭД/ССЧР</t>
        </is>
      </c>
      <c r="V1097" s="35" t="inlineStr">
        <is>
          <t>Не определено</t>
        </is>
      </c>
      <c r="W1097" s="35" t="inlineStr"/>
      <c r="X1097" s="35" t="inlineStr"/>
    </row>
    <row r="1098" ht="15" customHeight="1" s="24">
      <c r="A1098" s="13" t="n">
        <v>5000050154</v>
      </c>
      <c r="B1098" s="13" t="inlineStr">
        <is>
          <t>МСКОУ Белоомутская школа интернат</t>
        </is>
      </c>
      <c r="C1098" s="13" t="n">
        <v>5072000224</v>
      </c>
      <c r="D1098" s="13" t="inlineStr">
        <is>
          <t>5072000224</t>
        </is>
      </c>
      <c r="E1098" s="13" t="inlineStr">
        <is>
          <t>ЮЛ РФ</t>
        </is>
      </c>
      <c r="F1098" s="13" t="n"/>
      <c r="G1098" s="14" t="n"/>
      <c r="H1098" s="14" t="n"/>
      <c r="I1098" s="14" t="n"/>
      <c r="J1098" s="14" t="n"/>
      <c r="K1098" s="53" t="inlineStr"/>
      <c r="L1098" s="53" t="inlineStr">
        <is>
          <t>Не определено</t>
        </is>
      </c>
      <c r="M1098" s="53" t="inlineStr"/>
      <c r="N1098" s="54" t="inlineStr"/>
      <c r="O1098" s="55" t="inlineStr"/>
      <c r="P1098" s="16" t="inlineStr">
        <is>
          <t>Требует обогащения</t>
        </is>
      </c>
      <c r="Q1098" s="16">
        <f>HYPERLINK("https://pb.nalog.ru/search.html?query=5072000224","ФНС: проверить")</f>
        <v/>
      </c>
      <c r="R1098" s="16">
        <f>HYPERLINK("https://checko.ru/search?query=3801001629","Чекко: проверить")</f>
        <v/>
      </c>
      <c r="S1098" t="n">
        <v>1</v>
      </c>
      <c r="T1098" s="35" t="inlineStr">
        <is>
          <t>4 — Не обогащён</t>
        </is>
      </c>
      <c r="U1098" s="35" t="inlineStr">
        <is>
          <t>Нет ОКВЭД/ССЧР</t>
        </is>
      </c>
      <c r="V1098" s="35" t="inlineStr">
        <is>
          <t>Не определено</t>
        </is>
      </c>
      <c r="W1098" s="35" t="inlineStr"/>
      <c r="X1098" s="35" t="inlineStr"/>
    </row>
    <row r="1099" ht="27.75" customHeight="1" s="24">
      <c r="A1099" s="13" t="n">
        <v>5000001722</v>
      </c>
      <c r="B1099" s="13" t="inlineStr">
        <is>
          <t>ОГКУСО "Центр социальной помощи семье и детям Тайшетского района"</t>
        </is>
      </c>
      <c r="C1099" s="13" t="n">
        <v>3816015335</v>
      </c>
      <c r="D1099" s="13" t="inlineStr">
        <is>
          <t>3816015335</t>
        </is>
      </c>
      <c r="E1099" s="13" t="inlineStr">
        <is>
          <t>ЮЛ РФ</t>
        </is>
      </c>
      <c r="F1099" s="13" t="n"/>
      <c r="G1099" s="14" t="n"/>
      <c r="H1099" s="14" t="n"/>
      <c r="I1099" s="14" t="n"/>
      <c r="J1099" s="14" t="n"/>
      <c r="K1099" s="53" t="inlineStr"/>
      <c r="L1099" s="53" t="inlineStr">
        <is>
          <t>Не определено</t>
        </is>
      </c>
      <c r="M1099" s="53" t="inlineStr"/>
      <c r="N1099" s="54" t="inlineStr"/>
      <c r="O1099" s="55" t="inlineStr"/>
      <c r="P1099" s="16" t="inlineStr">
        <is>
          <t>Требует обогащения</t>
        </is>
      </c>
      <c r="Q1099" s="16">
        <f>HYPERLINK("https://pb.nalog.ru/search.html?query=3816015335","ФНС: проверить")</f>
        <v/>
      </c>
      <c r="R1099" s="16">
        <f>HYPERLINK("https://checko.ru/search?query=3801001629","Чекко: проверить")</f>
        <v/>
      </c>
      <c r="S1099" t="n">
        <v>1</v>
      </c>
      <c r="T1099" s="35" t="inlineStr">
        <is>
          <t>4 — Не обогащён</t>
        </is>
      </c>
      <c r="U1099" s="35" t="inlineStr">
        <is>
          <t>Нет ОКВЭД/ССЧР</t>
        </is>
      </c>
      <c r="V1099" s="35" t="inlineStr">
        <is>
          <t>Не определено</t>
        </is>
      </c>
      <c r="W1099" s="35" t="inlineStr"/>
      <c r="X1099" s="35" t="inlineStr"/>
    </row>
    <row r="1100" ht="15" customHeight="1" s="24">
      <c r="A1100" s="13" t="n">
        <v>5000034675</v>
      </c>
      <c r="B1100" s="13" t="inlineStr">
        <is>
          <t>МБУК "Никольский СКДЦ "Полет"</t>
        </is>
      </c>
      <c r="C1100" s="13" t="n">
        <v>5032246091</v>
      </c>
      <c r="D1100" s="13" t="inlineStr">
        <is>
          <t>5032246091</t>
        </is>
      </c>
      <c r="E1100" s="13" t="inlineStr">
        <is>
          <t>ЮЛ РФ</t>
        </is>
      </c>
      <c r="F1100" s="13" t="n"/>
      <c r="G1100" s="14" t="n"/>
      <c r="H1100" s="14" t="n"/>
      <c r="I1100" s="14" t="n"/>
      <c r="J1100" s="14" t="n"/>
      <c r="K1100" s="53" t="inlineStr"/>
      <c r="L1100" s="53" t="inlineStr">
        <is>
          <t>Не определено</t>
        </is>
      </c>
      <c r="M1100" s="53" t="inlineStr"/>
      <c r="N1100" s="54" t="inlineStr"/>
      <c r="O1100" s="55" t="inlineStr"/>
      <c r="P1100" s="16" t="inlineStr">
        <is>
          <t>Требует обогащения</t>
        </is>
      </c>
      <c r="Q1100" s="16">
        <f>HYPERLINK("https://pb.nalog.ru/search.html?query=5032246091","ФНС: проверить")</f>
        <v/>
      </c>
      <c r="R1100" s="16">
        <f>HYPERLINK("https://checko.ru/search?query=3801001629","Чекко: проверить")</f>
        <v/>
      </c>
      <c r="S1100" t="n">
        <v>1</v>
      </c>
      <c r="T1100" s="35" t="inlineStr">
        <is>
          <t>4 — Не обогащён</t>
        </is>
      </c>
      <c r="U1100" s="35" t="inlineStr">
        <is>
          <t>Нет ОКВЭД/ССЧР</t>
        </is>
      </c>
      <c r="V1100" s="35" t="inlineStr">
        <is>
          <t>Не определено</t>
        </is>
      </c>
      <c r="W1100" s="35" t="inlineStr"/>
      <c r="X1100" s="35" t="inlineStr"/>
    </row>
    <row r="1101" ht="27.75" customHeight="1" s="24">
      <c r="A1101" s="13" t="n">
        <v>5000034677</v>
      </c>
      <c r="B1101" s="13" t="inlineStr">
        <is>
          <t>МОУ Голицынская средняя общеобразовательная школа № 2</t>
        </is>
      </c>
      <c r="C1101" s="13" t="n">
        <v>5032036094</v>
      </c>
      <c r="D1101" s="13" t="inlineStr">
        <is>
          <t>5032036094</t>
        </is>
      </c>
      <c r="E1101" s="13" t="inlineStr">
        <is>
          <t>ЮЛ РФ</t>
        </is>
      </c>
      <c r="F1101" s="13" t="n"/>
      <c r="G1101" s="14" t="n"/>
      <c r="H1101" s="14" t="n"/>
      <c r="I1101" s="14" t="n"/>
      <c r="J1101" s="14" t="n"/>
      <c r="K1101" s="53" t="inlineStr"/>
      <c r="L1101" s="53" t="inlineStr">
        <is>
          <t>Не определено</t>
        </is>
      </c>
      <c r="M1101" s="53" t="inlineStr"/>
      <c r="N1101" s="54" t="inlineStr"/>
      <c r="O1101" s="55" t="inlineStr"/>
      <c r="P1101" s="16" t="inlineStr">
        <is>
          <t>Требует обогащения</t>
        </is>
      </c>
      <c r="Q1101" s="16">
        <f>HYPERLINK("https://pb.nalog.ru/search.html?query=5032036094","ФНС: проверить")</f>
        <v/>
      </c>
      <c r="R1101" s="16">
        <f>HYPERLINK("https://checko.ru/search?query=3801001629","Чекко: проверить")</f>
        <v/>
      </c>
      <c r="S1101" t="n">
        <v>1</v>
      </c>
      <c r="T1101" s="35" t="inlineStr">
        <is>
          <t>4 — Не обогащён</t>
        </is>
      </c>
      <c r="U1101" s="35" t="inlineStr">
        <is>
          <t>Нет ОКВЭД/ССЧР</t>
        </is>
      </c>
      <c r="V1101" s="35" t="inlineStr">
        <is>
          <t>Не определено</t>
        </is>
      </c>
      <c r="W1101" s="35" t="inlineStr"/>
      <c r="X1101" s="35" t="inlineStr"/>
    </row>
    <row r="1102" ht="27.75" customHeight="1" s="24">
      <c r="A1102" s="13" t="n">
        <v>5000034683</v>
      </c>
      <c r="B1102" s="13" t="inlineStr">
        <is>
          <t>МОУ Часцовская средняя общеобразовательная школа</t>
        </is>
      </c>
      <c r="C1102" s="13" t="n">
        <v>5032036552</v>
      </c>
      <c r="D1102" s="13" t="inlineStr">
        <is>
          <t>5032036552</t>
        </is>
      </c>
      <c r="E1102" s="13" t="inlineStr">
        <is>
          <t>ЮЛ РФ</t>
        </is>
      </c>
      <c r="F1102" s="13" t="n"/>
      <c r="G1102" s="14" t="n"/>
      <c r="H1102" s="14" t="n"/>
      <c r="I1102" s="14" t="n"/>
      <c r="J1102" s="14" t="n"/>
      <c r="K1102" s="53" t="inlineStr"/>
      <c r="L1102" s="53" t="inlineStr">
        <is>
          <t>Не определено</t>
        </is>
      </c>
      <c r="M1102" s="53" t="inlineStr"/>
      <c r="N1102" s="54" t="inlineStr"/>
      <c r="O1102" s="55" t="inlineStr"/>
      <c r="P1102" s="16" t="inlineStr">
        <is>
          <t>Требует обогащения</t>
        </is>
      </c>
      <c r="Q1102" s="16">
        <f>HYPERLINK("https://pb.nalog.ru/search.html?query=5032036552","ФНС: проверить")</f>
        <v/>
      </c>
      <c r="R1102" s="16">
        <f>HYPERLINK("https://checko.ru/search?query=3801001629","Чекко: проверить")</f>
        <v/>
      </c>
      <c r="S1102" t="n">
        <v>1</v>
      </c>
      <c r="T1102" s="35" t="inlineStr">
        <is>
          <t>4 — Не обогащён</t>
        </is>
      </c>
      <c r="U1102" s="35" t="inlineStr">
        <is>
          <t>Нет ОКВЭД/ССЧР</t>
        </is>
      </c>
      <c r="V1102" s="35" t="inlineStr">
        <is>
          <t>Не определено</t>
        </is>
      </c>
      <c r="W1102" s="35" t="inlineStr"/>
      <c r="X1102" s="35" t="inlineStr"/>
    </row>
    <row r="1103" ht="27.75" customHeight="1" s="24">
      <c r="A1103" s="13" t="n">
        <v>5000034684</v>
      </c>
      <c r="B1103" s="13" t="inlineStr">
        <is>
          <t>МОУ средняя общеобразовательная школа Горки-Х</t>
        </is>
      </c>
      <c r="C1103" s="13" t="n">
        <v>5032036104</v>
      </c>
      <c r="D1103" s="13" t="inlineStr">
        <is>
          <t>5032036104</t>
        </is>
      </c>
      <c r="E1103" s="13" t="inlineStr">
        <is>
          <t>ЮЛ РФ</t>
        </is>
      </c>
      <c r="F1103" s="13" t="n"/>
      <c r="G1103" s="14" t="n"/>
      <c r="H1103" s="14" t="n"/>
      <c r="I1103" s="14" t="n"/>
      <c r="J1103" s="14" t="n"/>
      <c r="K1103" s="53" t="inlineStr"/>
      <c r="L1103" s="53" t="inlineStr">
        <is>
          <t>Не определено</t>
        </is>
      </c>
      <c r="M1103" s="53" t="inlineStr"/>
      <c r="N1103" s="54" t="inlineStr"/>
      <c r="O1103" s="55" t="inlineStr"/>
      <c r="P1103" s="16" t="inlineStr">
        <is>
          <t>Требует обогащения</t>
        </is>
      </c>
      <c r="Q1103" s="16">
        <f>HYPERLINK("https://pb.nalog.ru/search.html?query=5032036104","ФНС: проверить")</f>
        <v/>
      </c>
      <c r="R1103" s="16">
        <f>HYPERLINK("https://checko.ru/search?query=3801001629","Чекко: проверить")</f>
        <v/>
      </c>
      <c r="S1103" t="n">
        <v>1</v>
      </c>
      <c r="T1103" s="35" t="inlineStr">
        <is>
          <t>4 — Не обогащён</t>
        </is>
      </c>
      <c r="U1103" s="35" t="inlineStr">
        <is>
          <t>Нет ОКВЭД/ССЧР</t>
        </is>
      </c>
      <c r="V1103" s="35" t="inlineStr">
        <is>
          <t>Не определено</t>
        </is>
      </c>
      <c r="W1103" s="35" t="inlineStr"/>
      <c r="X1103" s="35" t="inlineStr"/>
    </row>
    <row r="1104" ht="27.75" customHeight="1" s="24">
      <c r="A1104" s="13" t="n">
        <v>5000034685</v>
      </c>
      <c r="B1104" s="13" t="inlineStr">
        <is>
          <t>МОУ Успенская средняя общеобразовательная школа</t>
        </is>
      </c>
      <c r="C1104" s="13" t="n">
        <v>5032036175</v>
      </c>
      <c r="D1104" s="13" t="inlineStr">
        <is>
          <t>5032036175</t>
        </is>
      </c>
      <c r="E1104" s="13" t="inlineStr">
        <is>
          <t>ЮЛ РФ</t>
        </is>
      </c>
      <c r="F1104" s="13" t="n"/>
      <c r="G1104" s="14" t="n"/>
      <c r="H1104" s="14" t="n"/>
      <c r="I1104" s="14" t="n"/>
      <c r="J1104" s="14" t="n"/>
      <c r="K1104" s="53" t="inlineStr"/>
      <c r="L1104" s="53" t="inlineStr">
        <is>
          <t>Не определено</t>
        </is>
      </c>
      <c r="M1104" s="53" t="inlineStr"/>
      <c r="N1104" s="54" t="inlineStr"/>
      <c r="O1104" s="55" t="inlineStr"/>
      <c r="P1104" s="16" t="inlineStr">
        <is>
          <t>Требует обогащения</t>
        </is>
      </c>
      <c r="Q1104" s="16">
        <f>HYPERLINK("https://pb.nalog.ru/search.html?query=5032036175","ФНС: проверить")</f>
        <v/>
      </c>
      <c r="R1104" s="16">
        <f>HYPERLINK("https://checko.ru/search?query=3801001629","Чекко: проверить")</f>
        <v/>
      </c>
      <c r="S1104" t="n">
        <v>1</v>
      </c>
      <c r="T1104" s="35" t="inlineStr">
        <is>
          <t>4 — Не обогащён</t>
        </is>
      </c>
      <c r="U1104" s="35" t="inlineStr">
        <is>
          <t>Нет ОКВЭД/ССЧР</t>
        </is>
      </c>
      <c r="V1104" s="35" t="inlineStr">
        <is>
          <t>Не определено</t>
        </is>
      </c>
      <c r="W1104" s="35" t="inlineStr"/>
      <c r="X1104" s="35" t="inlineStr"/>
    </row>
    <row r="1105" ht="15" customHeight="1" s="24">
      <c r="A1105" s="13" t="n">
        <v>5000001908</v>
      </c>
      <c r="B1105" s="13" t="inlineStr">
        <is>
          <t>Химико-технологический техникум г.Саянска</t>
        </is>
      </c>
      <c r="C1105" s="13" t="n">
        <v>3814000291</v>
      </c>
      <c r="D1105" s="13" t="inlineStr">
        <is>
          <t>3814000291</t>
        </is>
      </c>
      <c r="E1105" s="13" t="inlineStr">
        <is>
          <t>ЮЛ РФ</t>
        </is>
      </c>
      <c r="F1105" s="13" t="n"/>
      <c r="G1105" s="14" t="n"/>
      <c r="H1105" s="14" t="n"/>
      <c r="I1105" s="14" t="n"/>
      <c r="J1105" s="14" t="n"/>
      <c r="K1105" s="53" t="inlineStr"/>
      <c r="L1105" s="53" t="inlineStr">
        <is>
          <t>Не определено</t>
        </is>
      </c>
      <c r="M1105" s="53" t="inlineStr"/>
      <c r="N1105" s="54" t="inlineStr"/>
      <c r="O1105" s="55" t="inlineStr"/>
      <c r="P1105" s="16" t="inlineStr">
        <is>
          <t>Требует обогащения</t>
        </is>
      </c>
      <c r="Q1105" s="16">
        <f>HYPERLINK("https://pb.nalog.ru/search.html?query=3814000291","ФНС: проверить")</f>
        <v/>
      </c>
      <c r="R1105" s="16">
        <f>HYPERLINK("https://checko.ru/search?query=3801001629","Чекко: проверить")</f>
        <v/>
      </c>
      <c r="S1105" t="n">
        <v>1</v>
      </c>
      <c r="T1105" s="35" t="inlineStr">
        <is>
          <t>4 — Не обогащён</t>
        </is>
      </c>
      <c r="U1105" s="35" t="inlineStr">
        <is>
          <t>Нет ОКВЭД/ССЧР</t>
        </is>
      </c>
      <c r="V1105" s="35" t="inlineStr">
        <is>
          <t>Не определено</t>
        </is>
      </c>
      <c r="W1105" s="35" t="inlineStr"/>
      <c r="X1105" s="35" t="inlineStr"/>
    </row>
    <row r="1106" ht="15" customHeight="1" s="24">
      <c r="A1106" s="13" t="n">
        <v>5000032500</v>
      </c>
      <c r="B1106" s="13" t="inlineStr">
        <is>
          <t>ОГБУ "Центр компетенций"</t>
        </is>
      </c>
      <c r="C1106" s="13" t="n">
        <v>3808268935</v>
      </c>
      <c r="D1106" s="13" t="inlineStr">
        <is>
          <t>3808268935</t>
        </is>
      </c>
      <c r="E1106" s="13" t="inlineStr">
        <is>
          <t>ЮЛ РФ</t>
        </is>
      </c>
      <c r="F1106" s="13" t="n"/>
      <c r="G1106" s="14" t="n"/>
      <c r="H1106" s="14" t="n"/>
      <c r="I1106" s="14" t="n"/>
      <c r="J1106" s="14" t="n"/>
      <c r="K1106" s="53" t="inlineStr"/>
      <c r="L1106" s="53" t="inlineStr">
        <is>
          <t>Не определено</t>
        </is>
      </c>
      <c r="M1106" s="53" t="inlineStr"/>
      <c r="N1106" s="54" t="inlineStr"/>
      <c r="O1106" s="55" t="inlineStr"/>
      <c r="P1106" s="16" t="inlineStr">
        <is>
          <t>Требует обогащения</t>
        </is>
      </c>
      <c r="Q1106" s="16">
        <f>HYPERLINK("https://pb.nalog.ru/search.html?query=3808268935","ФНС: проверить")</f>
        <v/>
      </c>
      <c r="R1106" s="16">
        <f>HYPERLINK("https://checko.ru/search?query=3801001629","Чекко: проверить")</f>
        <v/>
      </c>
      <c r="S1106" t="n">
        <v>1</v>
      </c>
      <c r="T1106" s="35" t="inlineStr">
        <is>
          <t>4 — Не обогащён</t>
        </is>
      </c>
      <c r="U1106" s="35" t="inlineStr">
        <is>
          <t>Нет ОКВЭД/ССЧР</t>
        </is>
      </c>
      <c r="V1106" s="35" t="inlineStr">
        <is>
          <t>Не определено</t>
        </is>
      </c>
      <c r="W1106" s="35" t="inlineStr"/>
      <c r="X1106" s="35" t="inlineStr"/>
    </row>
    <row r="1107" ht="27.75" customHeight="1" s="24">
      <c r="A1107" s="13" t="n">
        <v>5000034581</v>
      </c>
      <c r="B1107" s="13" t="inlineStr">
        <is>
          <t>МБОУ Одинцовская средняя общеобразовательная школа № 1</t>
        </is>
      </c>
      <c r="C1107" s="13" t="n">
        <v>5032036143</v>
      </c>
      <c r="D1107" s="13" t="inlineStr">
        <is>
          <t>5032036143</t>
        </is>
      </c>
      <c r="E1107" s="13" t="inlineStr">
        <is>
          <t>ЮЛ РФ</t>
        </is>
      </c>
      <c r="F1107" s="13" t="n"/>
      <c r="G1107" s="14" t="n"/>
      <c r="H1107" s="14" t="n"/>
      <c r="I1107" s="14" t="n"/>
      <c r="J1107" s="14" t="n"/>
      <c r="K1107" s="53" t="inlineStr"/>
      <c r="L1107" s="53" t="inlineStr">
        <is>
          <t>Не определено</t>
        </is>
      </c>
      <c r="M1107" s="53" t="inlineStr"/>
      <c r="N1107" s="54" t="inlineStr"/>
      <c r="O1107" s="55" t="inlineStr"/>
      <c r="P1107" s="16" t="inlineStr">
        <is>
          <t>Требует обогащения</t>
        </is>
      </c>
      <c r="Q1107" s="16">
        <f>HYPERLINK("https://pb.nalog.ru/search.html?query=5032036143","ФНС: проверить")</f>
        <v/>
      </c>
      <c r="R1107" s="16">
        <f>HYPERLINK("https://checko.ru/search?query=3801001629","Чекко: проверить")</f>
        <v/>
      </c>
      <c r="S1107" t="n">
        <v>1</v>
      </c>
      <c r="T1107" s="35" t="inlineStr">
        <is>
          <t>4 — Не обогащён</t>
        </is>
      </c>
      <c r="U1107" s="35" t="inlineStr">
        <is>
          <t>Нет ОКВЭД/ССЧР</t>
        </is>
      </c>
      <c r="V1107" s="35" t="inlineStr">
        <is>
          <t>Не определено</t>
        </is>
      </c>
      <c r="W1107" s="35" t="inlineStr"/>
      <c r="X1107" s="35" t="inlineStr"/>
    </row>
    <row r="1108" ht="27.75" customHeight="1" s="24">
      <c r="A1108" s="13" t="n">
        <v>5000034582</v>
      </c>
      <c r="B1108" s="13" t="inlineStr">
        <is>
          <t>МБОУ Одинцовская средняя общеобразовательная школа № 3</t>
        </is>
      </c>
      <c r="C1108" s="13" t="n">
        <v>5032036471</v>
      </c>
      <c r="D1108" s="13" t="inlineStr">
        <is>
          <t>5032036471</t>
        </is>
      </c>
      <c r="E1108" s="13" t="inlineStr">
        <is>
          <t>ЮЛ РФ</t>
        </is>
      </c>
      <c r="F1108" s="13" t="n"/>
      <c r="G1108" s="14" t="n"/>
      <c r="H1108" s="14" t="n"/>
      <c r="I1108" s="14" t="n"/>
      <c r="J1108" s="14" t="n"/>
      <c r="K1108" s="53" t="inlineStr"/>
      <c r="L1108" s="53" t="inlineStr">
        <is>
          <t>Не определено</t>
        </is>
      </c>
      <c r="M1108" s="53" t="inlineStr"/>
      <c r="N1108" s="54" t="inlineStr"/>
      <c r="O1108" s="55" t="inlineStr"/>
      <c r="P1108" s="16" t="inlineStr">
        <is>
          <t>Требует обогащения</t>
        </is>
      </c>
      <c r="Q1108" s="16">
        <f>HYPERLINK("https://pb.nalog.ru/search.html?query=5032036471","ФНС: проверить")</f>
        <v/>
      </c>
      <c r="R1108" s="16">
        <f>HYPERLINK("https://checko.ru/search?query=3801001629","Чекко: проверить")</f>
        <v/>
      </c>
      <c r="S1108" t="n">
        <v>1</v>
      </c>
      <c r="T1108" s="35" t="inlineStr">
        <is>
          <t>4 — Не обогащён</t>
        </is>
      </c>
      <c r="U1108" s="35" t="inlineStr">
        <is>
          <t>Нет ОКВЭД/ССЧР</t>
        </is>
      </c>
      <c r="V1108" s="35" t="inlineStr">
        <is>
          <t>Не определено</t>
        </is>
      </c>
      <c r="W1108" s="35" t="inlineStr"/>
      <c r="X1108" s="35" t="inlineStr"/>
    </row>
    <row r="1109" ht="41.25" customHeight="1" s="24">
      <c r="A1109" s="13" t="n">
        <v>5000060625</v>
      </c>
      <c r="B1109" s="13" t="inlineStr">
        <is>
          <t>ОБЛАСТНОЕ ГОСУДАРСТВЕННОЕ КАЗЁННОЕ ОБЩЕОБРАЗОВАТЕЛЬНОЕ УЧРЕЖДЕНИЕ "ШКОЛА-ИНТЕРНАТ ДЛЯ ОБУЧАЮЩИХСЯ С</t>
        </is>
      </c>
      <c r="C1109" s="13" t="n">
        <v>7303013594</v>
      </c>
      <c r="D1109" s="13" t="inlineStr">
        <is>
          <t>7303013594</t>
        </is>
      </c>
      <c r="E1109" s="13" t="inlineStr">
        <is>
          <t>ЮЛ РФ</t>
        </is>
      </c>
      <c r="F1109" s="13" t="n"/>
      <c r="G1109" s="14" t="n"/>
      <c r="H1109" s="14" t="n"/>
      <c r="I1109" s="14" t="n"/>
      <c r="J1109" s="14" t="n"/>
      <c r="K1109" s="53" t="inlineStr"/>
      <c r="L1109" s="53" t="inlineStr">
        <is>
          <t>Не определено</t>
        </is>
      </c>
      <c r="M1109" s="53" t="inlineStr"/>
      <c r="N1109" s="54" t="inlineStr"/>
      <c r="O1109" s="55" t="inlineStr"/>
      <c r="P1109" s="16" t="inlineStr">
        <is>
          <t>Требует обогащения</t>
        </is>
      </c>
      <c r="Q1109" s="16">
        <f>HYPERLINK("https://pb.nalog.ru/search.html?query=7303013594","ФНС: проверить")</f>
        <v/>
      </c>
      <c r="R1109" s="16">
        <f>HYPERLINK("https://checko.ru/search?query=3801001629","Чекко: проверить")</f>
        <v/>
      </c>
      <c r="S1109" t="n">
        <v>1</v>
      </c>
      <c r="T1109" s="35" t="inlineStr">
        <is>
          <t>4 — Не обогащён</t>
        </is>
      </c>
      <c r="U1109" s="35" t="inlineStr">
        <is>
          <t>Нет ОКВЭД/ССЧР</t>
        </is>
      </c>
      <c r="V1109" s="35" t="inlineStr">
        <is>
          <t>Не определено</t>
        </is>
      </c>
      <c r="W1109" s="35" t="inlineStr"/>
      <c r="X1109" s="35" t="inlineStr"/>
    </row>
    <row r="1110" ht="27.75" customHeight="1" s="24">
      <c r="A1110" s="13" t="n">
        <v>5000092243</v>
      </c>
      <c r="B1110" s="13" t="inlineStr">
        <is>
          <t>МБУК "РУССКО-ЯНГУТСКИЙ КУЛЬТУРНО-ДОСУГОВЫЙ ЦЕНТР"</t>
        </is>
      </c>
      <c r="C1110" s="13" t="n">
        <v>3849013069</v>
      </c>
      <c r="D1110" s="13" t="inlineStr">
        <is>
          <t>3849013069</t>
        </is>
      </c>
      <c r="E1110" s="13" t="inlineStr">
        <is>
          <t>ЮЛ РФ</t>
        </is>
      </c>
      <c r="F1110" s="13" t="n"/>
      <c r="G1110" s="14" t="n"/>
      <c r="H1110" s="14" t="n"/>
      <c r="I1110" s="14" t="n"/>
      <c r="J1110" s="14" t="n"/>
      <c r="K1110" s="53" t="inlineStr"/>
      <c r="L1110" s="53" t="inlineStr">
        <is>
          <t>Не определено</t>
        </is>
      </c>
      <c r="M1110" s="53" t="inlineStr"/>
      <c r="N1110" s="54" t="inlineStr"/>
      <c r="O1110" s="55" t="inlineStr"/>
      <c r="P1110" s="16" t="inlineStr">
        <is>
          <t>Требует обогащения</t>
        </is>
      </c>
      <c r="Q1110" s="16">
        <f>HYPERLINK("https://pb.nalog.ru/search.html?query=3849013069","ФНС: проверить")</f>
        <v/>
      </c>
      <c r="R1110" s="16">
        <f>HYPERLINK("https://checko.ru/search?query=3801001629","Чекко: проверить")</f>
        <v/>
      </c>
      <c r="S1110" t="n">
        <v>1</v>
      </c>
      <c r="T1110" s="35" t="inlineStr">
        <is>
          <t>4 — Не обогащён</t>
        </is>
      </c>
      <c r="U1110" s="35" t="inlineStr">
        <is>
          <t>Нет ОКВЭД/ССЧР</t>
        </is>
      </c>
      <c r="V1110" s="35" t="inlineStr">
        <is>
          <t>Не определено</t>
        </is>
      </c>
      <c r="W1110" s="35" t="inlineStr"/>
      <c r="X1110" s="35" t="inlineStr"/>
    </row>
    <row r="1111" ht="15" customHeight="1" s="24">
      <c r="A1111" s="13" t="n">
        <v>5000001386</v>
      </c>
      <c r="B1111" s="13" t="inlineStr">
        <is>
          <t>ОГБПОУ БМК</t>
        </is>
      </c>
      <c r="C1111" s="13" t="n">
        <v>3804000790</v>
      </c>
      <c r="D1111" s="13" t="inlineStr">
        <is>
          <t>3804000790</t>
        </is>
      </c>
      <c r="E1111" s="13" t="inlineStr">
        <is>
          <t>ЮЛ РФ</t>
        </is>
      </c>
      <c r="F1111" s="13" t="n"/>
      <c r="G1111" s="14" t="n"/>
      <c r="H1111" s="14" t="n"/>
      <c r="I1111" s="14" t="n"/>
      <c r="J1111" s="14" t="n"/>
      <c r="K1111" s="53" t="inlineStr"/>
      <c r="L1111" s="53" t="inlineStr">
        <is>
          <t>Не определено</t>
        </is>
      </c>
      <c r="M1111" s="53" t="inlineStr"/>
      <c r="N1111" s="54" t="inlineStr"/>
      <c r="O1111" s="55" t="inlineStr"/>
      <c r="P1111" s="16" t="inlineStr">
        <is>
          <t>Требует обогащения</t>
        </is>
      </c>
      <c r="Q1111" s="16">
        <f>HYPERLINK("https://pb.nalog.ru/search.html?query=3804000790","ФНС: проверить")</f>
        <v/>
      </c>
      <c r="R1111" s="16">
        <f>HYPERLINK("https://checko.ru/search?query=3801001629","Чекко: проверить")</f>
        <v/>
      </c>
      <c r="S1111" t="n">
        <v>1</v>
      </c>
      <c r="T1111" s="35" t="inlineStr">
        <is>
          <t>4 — Не обогащён</t>
        </is>
      </c>
      <c r="U1111" s="35" t="inlineStr">
        <is>
          <t>Нет ОКВЭД/ССЧР</t>
        </is>
      </c>
      <c r="V1111" s="35" t="inlineStr">
        <is>
          <t>Не определено</t>
        </is>
      </c>
      <c r="W1111" s="35" t="inlineStr"/>
      <c r="X1111" s="35" t="inlineStr"/>
    </row>
    <row r="1112" ht="27.75" customHeight="1" s="24">
      <c r="A1112" s="13" t="n">
        <v>5000001429</v>
      </c>
      <c r="B1112" s="13" t="inlineStr">
        <is>
          <t>Государственное учреждение культуры театр-студия "Театр Пилигримов"</t>
        </is>
      </c>
      <c r="C1112" s="13" t="n">
        <v>3808010830</v>
      </c>
      <c r="D1112" s="13" t="inlineStr">
        <is>
          <t>3808010830</t>
        </is>
      </c>
      <c r="E1112" s="13" t="inlineStr">
        <is>
          <t>ЮЛ РФ</t>
        </is>
      </c>
      <c r="F1112" s="13" t="n"/>
      <c r="G1112" s="14" t="n"/>
      <c r="H1112" s="14" t="n"/>
      <c r="I1112" s="14" t="n"/>
      <c r="J1112" s="14" t="n"/>
      <c r="K1112" s="53" t="inlineStr"/>
      <c r="L1112" s="53" t="inlineStr">
        <is>
          <t>Не определено</t>
        </is>
      </c>
      <c r="M1112" s="53" t="inlineStr"/>
      <c r="N1112" s="54" t="inlineStr"/>
      <c r="O1112" s="55" t="inlineStr"/>
      <c r="P1112" s="16" t="inlineStr">
        <is>
          <t>Требует обогащения</t>
        </is>
      </c>
      <c r="Q1112" s="16">
        <f>HYPERLINK("https://pb.nalog.ru/search.html?query=3808010830","ФНС: проверить")</f>
        <v/>
      </c>
      <c r="R1112" s="16">
        <f>HYPERLINK("https://checko.ru/search?query=3801001629","Чекко: проверить")</f>
        <v/>
      </c>
      <c r="S1112" t="n">
        <v>1</v>
      </c>
      <c r="T1112" s="35" t="inlineStr">
        <is>
          <t>4 — Не обогащён</t>
        </is>
      </c>
      <c r="U1112" s="35" t="inlineStr">
        <is>
          <t>Нет ОКВЭД/ССЧР</t>
        </is>
      </c>
      <c r="V1112" s="35" t="inlineStr">
        <is>
          <t>Не определено</t>
        </is>
      </c>
      <c r="W1112" s="35" t="inlineStr"/>
      <c r="X1112" s="35" t="inlineStr"/>
    </row>
    <row r="1113" ht="15" customHeight="1" s="24">
      <c r="A1113" s="13" t="n">
        <v>5000001527</v>
      </c>
      <c r="B1113" s="13" t="inlineStr">
        <is>
          <t>Министерство юстиции Иркутской области</t>
        </is>
      </c>
      <c r="C1113" s="13" t="n">
        <v>3808237415</v>
      </c>
      <c r="D1113" s="13" t="inlineStr">
        <is>
          <t>3808237415</t>
        </is>
      </c>
      <c r="E1113" s="13" t="inlineStr">
        <is>
          <t>ЮЛ РФ</t>
        </is>
      </c>
      <c r="F1113" s="13" t="n"/>
      <c r="G1113" s="14" t="n"/>
      <c r="H1113" s="14" t="n"/>
      <c r="I1113" s="14" t="n"/>
      <c r="J1113" s="14" t="n"/>
      <c r="K1113" s="53" t="inlineStr"/>
      <c r="L1113" s="53" t="inlineStr">
        <is>
          <t>Не определено</t>
        </is>
      </c>
      <c r="M1113" s="53" t="inlineStr"/>
      <c r="N1113" s="54" t="inlineStr"/>
      <c r="O1113" s="55" t="inlineStr"/>
      <c r="P1113" s="16" t="inlineStr">
        <is>
          <t>Требует обогащения</t>
        </is>
      </c>
      <c r="Q1113" s="16">
        <f>HYPERLINK("https://pb.nalog.ru/search.html?query=3808237415","ФНС: проверить")</f>
        <v/>
      </c>
      <c r="R1113" s="16">
        <f>HYPERLINK("https://checko.ru/search?query=3801001629","Чекко: проверить")</f>
        <v/>
      </c>
      <c r="S1113" t="n">
        <v>1</v>
      </c>
      <c r="T1113" s="35" t="inlineStr">
        <is>
          <t>4 — Не обогащён</t>
        </is>
      </c>
      <c r="U1113" s="35" t="inlineStr">
        <is>
          <t>Нет ОКВЭД/ССЧР</t>
        </is>
      </c>
      <c r="V1113" s="35" t="inlineStr">
        <is>
          <t>Не определено</t>
        </is>
      </c>
      <c r="W1113" s="35" t="inlineStr"/>
      <c r="X1113" s="35" t="inlineStr"/>
    </row>
    <row r="1114" ht="15" customHeight="1" s="24">
      <c r="A1114" s="13" t="n">
        <v>5000034732</v>
      </c>
      <c r="B1114" s="13" t="inlineStr">
        <is>
          <t>МБОУ ДОД Барвихинская ДШИ</t>
        </is>
      </c>
      <c r="C1114" s="13" t="n">
        <v>5032060555</v>
      </c>
      <c r="D1114" s="13" t="inlineStr">
        <is>
          <t>5032060555</t>
        </is>
      </c>
      <c r="E1114" s="13" t="inlineStr">
        <is>
          <t>ЮЛ РФ</t>
        </is>
      </c>
      <c r="F1114" s="13" t="n"/>
      <c r="G1114" s="14" t="n"/>
      <c r="H1114" s="14" t="n"/>
      <c r="I1114" s="14" t="n"/>
      <c r="J1114" s="14" t="n"/>
      <c r="K1114" s="53" t="inlineStr"/>
      <c r="L1114" s="53" t="inlineStr">
        <is>
          <t>Не определено</t>
        </is>
      </c>
      <c r="M1114" s="53" t="inlineStr"/>
      <c r="N1114" s="54" t="inlineStr"/>
      <c r="O1114" s="55" t="inlineStr"/>
      <c r="P1114" s="16" t="inlineStr">
        <is>
          <t>Требует обогащения</t>
        </is>
      </c>
      <c r="Q1114" s="16">
        <f>HYPERLINK("https://pb.nalog.ru/search.html?query=5032060555","ФНС: проверить")</f>
        <v/>
      </c>
      <c r="R1114" s="16">
        <f>HYPERLINK("https://checko.ru/search?query=3801001629","Чекко: проверить")</f>
        <v/>
      </c>
      <c r="S1114" t="n">
        <v>1</v>
      </c>
      <c r="T1114" s="35" t="inlineStr">
        <is>
          <t>4 — Не обогащён</t>
        </is>
      </c>
      <c r="U1114" s="35" t="inlineStr">
        <is>
          <t>Нет ОКВЭД/ССЧР</t>
        </is>
      </c>
      <c r="V1114" s="35" t="inlineStr">
        <is>
          <t>Не определено</t>
        </is>
      </c>
      <c r="W1114" s="35" t="inlineStr"/>
      <c r="X1114" s="35" t="inlineStr"/>
    </row>
    <row r="1115" ht="15" customHeight="1" s="24">
      <c r="A1115" s="13" t="n">
        <v>5000034733</v>
      </c>
      <c r="B1115" s="13" t="inlineStr">
        <is>
          <t>МБОУ ДОД Новогородковская ДШИ «Лира»</t>
        </is>
      </c>
      <c r="C1115" s="13" t="n">
        <v>5032060594</v>
      </c>
      <c r="D1115" s="13" t="inlineStr">
        <is>
          <t>5032060594</t>
        </is>
      </c>
      <c r="E1115" s="13" t="inlineStr">
        <is>
          <t>ЮЛ РФ</t>
        </is>
      </c>
      <c r="F1115" s="13" t="n"/>
      <c r="G1115" s="14" t="n"/>
      <c r="H1115" s="14" t="n"/>
      <c r="I1115" s="14" t="n"/>
      <c r="J1115" s="14" t="n"/>
      <c r="K1115" s="53" t="inlineStr"/>
      <c r="L1115" s="53" t="inlineStr">
        <is>
          <t>Не определено</t>
        </is>
      </c>
      <c r="M1115" s="53" t="inlineStr"/>
      <c r="N1115" s="54" t="inlineStr"/>
      <c r="O1115" s="55" t="inlineStr"/>
      <c r="P1115" s="16" t="inlineStr">
        <is>
          <t>Требует обогащения</t>
        </is>
      </c>
      <c r="Q1115" s="16">
        <f>HYPERLINK("https://pb.nalog.ru/search.html?query=5032060594","ФНС: проверить")</f>
        <v/>
      </c>
      <c r="R1115" s="16">
        <f>HYPERLINK("https://checko.ru/search?query=3801001629","Чекко: проверить")</f>
        <v/>
      </c>
      <c r="S1115" t="n">
        <v>1</v>
      </c>
      <c r="T1115" s="35" t="inlineStr">
        <is>
          <t>4 — Не обогащён</t>
        </is>
      </c>
      <c r="U1115" s="35" t="inlineStr">
        <is>
          <t>Нет ОКВЭД/ССЧР</t>
        </is>
      </c>
      <c r="V1115" s="35" t="inlineStr">
        <is>
          <t>Не определено</t>
        </is>
      </c>
      <c r="W1115" s="35" t="inlineStr"/>
      <c r="X1115" s="35" t="inlineStr"/>
    </row>
    <row r="1116" ht="15" customHeight="1" s="24">
      <c r="A1116" s="13" t="n">
        <v>5000034734</v>
      </c>
      <c r="B1116" s="13" t="inlineStr">
        <is>
          <t>МБОУ ДОД Лесногородская ДШИ</t>
        </is>
      </c>
      <c r="C1116" s="13" t="n">
        <v>5032060548</v>
      </c>
      <c r="D1116" s="13" t="inlineStr">
        <is>
          <t>5032060548</t>
        </is>
      </c>
      <c r="E1116" s="13" t="inlineStr">
        <is>
          <t>ЮЛ РФ</t>
        </is>
      </c>
      <c r="F1116" s="13" t="n"/>
      <c r="G1116" s="14" t="n"/>
      <c r="H1116" s="14" t="n"/>
      <c r="I1116" s="14" t="n"/>
      <c r="J1116" s="14" t="n"/>
      <c r="K1116" s="53" t="inlineStr"/>
      <c r="L1116" s="53" t="inlineStr">
        <is>
          <t>Не определено</t>
        </is>
      </c>
      <c r="M1116" s="53" t="inlineStr"/>
      <c r="N1116" s="54" t="inlineStr"/>
      <c r="O1116" s="55" t="inlineStr"/>
      <c r="P1116" s="16" t="inlineStr">
        <is>
          <t>Требует обогащения</t>
        </is>
      </c>
      <c r="Q1116" s="16">
        <f>HYPERLINK("https://pb.nalog.ru/search.html?query=5032060548","ФНС: проверить")</f>
        <v/>
      </c>
      <c r="R1116" s="16">
        <f>HYPERLINK("https://checko.ru/search?query=3801001629","Чекко: проверить")</f>
        <v/>
      </c>
      <c r="S1116" t="n">
        <v>1</v>
      </c>
      <c r="T1116" s="35" t="inlineStr">
        <is>
          <t>4 — Не обогащён</t>
        </is>
      </c>
      <c r="U1116" s="35" t="inlineStr">
        <is>
          <t>Нет ОКВЭД/ССЧР</t>
        </is>
      </c>
      <c r="V1116" s="35" t="inlineStr">
        <is>
          <t>Не определено</t>
        </is>
      </c>
      <c r="W1116" s="35" t="inlineStr"/>
      <c r="X1116" s="35" t="inlineStr"/>
    </row>
    <row r="1117" ht="15" customHeight="1" s="24">
      <c r="A1117" s="13" t="n">
        <v>5000034735</v>
      </c>
      <c r="B1117" s="13" t="inlineStr">
        <is>
          <t>МБУ КСЦ Одинцовского муниципального района</t>
        </is>
      </c>
      <c r="C1117" s="13" t="n">
        <v>5032199532</v>
      </c>
      <c r="D1117" s="13" t="inlineStr">
        <is>
          <t>5032199532</t>
        </is>
      </c>
      <c r="E1117" s="13" t="inlineStr">
        <is>
          <t>ЮЛ РФ</t>
        </is>
      </c>
      <c r="F1117" s="13" t="n"/>
      <c r="G1117" s="14" t="n"/>
      <c r="H1117" s="14" t="n"/>
      <c r="I1117" s="14" t="n"/>
      <c r="J1117" s="14" t="n"/>
      <c r="K1117" s="53" t="inlineStr"/>
      <c r="L1117" s="53" t="inlineStr">
        <is>
          <t>Не определено</t>
        </is>
      </c>
      <c r="M1117" s="53" t="inlineStr"/>
      <c r="N1117" s="54" t="inlineStr"/>
      <c r="O1117" s="55" t="inlineStr"/>
      <c r="P1117" s="16" t="inlineStr">
        <is>
          <t>Требует обогащения</t>
        </is>
      </c>
      <c r="Q1117" s="16">
        <f>HYPERLINK("https://pb.nalog.ru/search.html?query=5032199532","ФНС: проверить")</f>
        <v/>
      </c>
      <c r="R1117" s="16">
        <f>HYPERLINK("https://checko.ru/search?query=3801001629","Чекко: проверить")</f>
        <v/>
      </c>
      <c r="S1117" t="n">
        <v>1</v>
      </c>
      <c r="T1117" s="35" t="inlineStr">
        <is>
          <t>4 — Не обогащён</t>
        </is>
      </c>
      <c r="U1117" s="35" t="inlineStr">
        <is>
          <t>Нет ОКВЭД/ССЧР</t>
        </is>
      </c>
      <c r="V1117" s="35" t="inlineStr">
        <is>
          <t>Не определено</t>
        </is>
      </c>
      <c r="W1117" s="35" t="inlineStr"/>
      <c r="X1117" s="35" t="inlineStr"/>
    </row>
    <row r="1118" ht="15" customHeight="1" s="24">
      <c r="A1118" s="13" t="n">
        <v>5000034736</v>
      </c>
      <c r="B1118" s="13" t="inlineStr">
        <is>
          <t>МАОУ ДОД Большевяземская ДШИ</t>
        </is>
      </c>
      <c r="C1118" s="13" t="n">
        <v>5032060530</v>
      </c>
      <c r="D1118" s="13" t="inlineStr">
        <is>
          <t>5032060530</t>
        </is>
      </c>
      <c r="E1118" s="13" t="inlineStr">
        <is>
          <t>ЮЛ РФ</t>
        </is>
      </c>
      <c r="F1118" s="13" t="n"/>
      <c r="G1118" s="14" t="n"/>
      <c r="H1118" s="14" t="n"/>
      <c r="I1118" s="14" t="n"/>
      <c r="J1118" s="14" t="n"/>
      <c r="K1118" s="53" t="inlineStr"/>
      <c r="L1118" s="53" t="inlineStr">
        <is>
          <t>Не определено</t>
        </is>
      </c>
      <c r="M1118" s="53" t="inlineStr"/>
      <c r="N1118" s="54" t="inlineStr"/>
      <c r="O1118" s="55" t="inlineStr"/>
      <c r="P1118" s="16" t="inlineStr">
        <is>
          <t>Требует обогащения</t>
        </is>
      </c>
      <c r="Q1118" s="16">
        <f>HYPERLINK("https://pb.nalog.ru/search.html?query=5032060530","ФНС: проверить")</f>
        <v/>
      </c>
      <c r="R1118" s="16">
        <f>HYPERLINK("https://checko.ru/search?query=3801001629","Чекко: проверить")</f>
        <v/>
      </c>
      <c r="S1118" t="n">
        <v>1</v>
      </c>
      <c r="T1118" s="35" t="inlineStr">
        <is>
          <t>4 — Не обогащён</t>
        </is>
      </c>
      <c r="U1118" s="35" t="inlineStr">
        <is>
          <t>Нет ОКВЭД/ССЧР</t>
        </is>
      </c>
      <c r="V1118" s="35" t="inlineStr">
        <is>
          <t>Не определено</t>
        </is>
      </c>
      <c r="W1118" s="35" t="inlineStr"/>
      <c r="X1118" s="35" t="inlineStr"/>
    </row>
    <row r="1119" ht="15" customHeight="1" s="24">
      <c r="A1119" s="13" t="n">
        <v>5000034738</v>
      </c>
      <c r="B1119" s="13" t="inlineStr">
        <is>
          <t>МАОУ ДОД Одинцовская ДМШ</t>
        </is>
      </c>
      <c r="C1119" s="13" t="n">
        <v>5032060562</v>
      </c>
      <c r="D1119" s="13" t="inlineStr">
        <is>
          <t>5032060562</t>
        </is>
      </c>
      <c r="E1119" s="13" t="inlineStr">
        <is>
          <t>ЮЛ РФ</t>
        </is>
      </c>
      <c r="F1119" s="13" t="n"/>
      <c r="G1119" s="14" t="n"/>
      <c r="H1119" s="14" t="n"/>
      <c r="I1119" s="14" t="n"/>
      <c r="J1119" s="14" t="n"/>
      <c r="K1119" s="53" t="inlineStr"/>
      <c r="L1119" s="53" t="inlineStr">
        <is>
          <t>Не определено</t>
        </is>
      </c>
      <c r="M1119" s="53" t="inlineStr"/>
      <c r="N1119" s="54" t="inlineStr"/>
      <c r="O1119" s="55" t="inlineStr"/>
      <c r="P1119" s="16" t="inlineStr">
        <is>
          <t>Требует обогащения</t>
        </is>
      </c>
      <c r="Q1119" s="16">
        <f>HYPERLINK("https://pb.nalog.ru/search.html?query=5032060562","ФНС: проверить")</f>
        <v/>
      </c>
      <c r="R1119" s="16">
        <f>HYPERLINK("https://checko.ru/search?query=3801001629","Чекко: проверить")</f>
        <v/>
      </c>
      <c r="S1119" t="n">
        <v>1</v>
      </c>
      <c r="T1119" s="35" t="inlineStr">
        <is>
          <t>4 — Не обогащён</t>
        </is>
      </c>
      <c r="U1119" s="35" t="inlineStr">
        <is>
          <t>Нет ОКВЭД/ССЧР</t>
        </is>
      </c>
      <c r="V1119" s="35" t="inlineStr">
        <is>
          <t>Не определено</t>
        </is>
      </c>
      <c r="W1119" s="35" t="inlineStr"/>
      <c r="X1119" s="35" t="inlineStr"/>
    </row>
    <row r="1120" ht="15" customHeight="1" s="24">
      <c r="A1120" s="13" t="n">
        <v>5000034740</v>
      </c>
      <c r="B1120" s="13" t="inlineStr">
        <is>
          <t>МУС  ФОКСИ «Одинец»</t>
        </is>
      </c>
      <c r="C1120" s="13" t="n">
        <v>5032123710</v>
      </c>
      <c r="D1120" s="13" t="inlineStr">
        <is>
          <t>5032123710</t>
        </is>
      </c>
      <c r="E1120" s="13" t="inlineStr">
        <is>
          <t>ЮЛ РФ</t>
        </is>
      </c>
      <c r="F1120" s="13" t="n"/>
      <c r="G1120" s="14" t="n"/>
      <c r="H1120" s="14" t="n"/>
      <c r="I1120" s="14" t="n"/>
      <c r="J1120" s="14" t="n"/>
      <c r="K1120" s="53" t="inlineStr"/>
      <c r="L1120" s="53" t="inlineStr">
        <is>
          <t>Не определено</t>
        </is>
      </c>
      <c r="M1120" s="53" t="inlineStr"/>
      <c r="N1120" s="54" t="inlineStr"/>
      <c r="O1120" s="55" t="inlineStr"/>
      <c r="P1120" s="16" t="inlineStr">
        <is>
          <t>Требует обогащения</t>
        </is>
      </c>
      <c r="Q1120" s="16">
        <f>HYPERLINK("https://pb.nalog.ru/search.html?query=5032123710","ФНС: проверить")</f>
        <v/>
      </c>
      <c r="R1120" s="16">
        <f>HYPERLINK("https://checko.ru/search?query=3801001629","Чекко: проверить")</f>
        <v/>
      </c>
      <c r="S1120" t="n">
        <v>1</v>
      </c>
      <c r="T1120" s="35" t="inlineStr">
        <is>
          <t>4 — Не обогащён</t>
        </is>
      </c>
      <c r="U1120" s="35" t="inlineStr">
        <is>
          <t>Нет ОКВЭД/ССЧР</t>
        </is>
      </c>
      <c r="V1120" s="35" t="inlineStr">
        <is>
          <t>Не определено</t>
        </is>
      </c>
      <c r="W1120" s="35" t="inlineStr"/>
      <c r="X1120" s="35" t="inlineStr"/>
    </row>
    <row r="1121" ht="15" customHeight="1" s="24">
      <c r="A1121" s="13" t="n">
        <v>5000034743</v>
      </c>
      <c r="B1121" s="13" t="inlineStr">
        <is>
          <t>МБУК КЦ «Барвиха»</t>
        </is>
      </c>
      <c r="C1121" s="13" t="n">
        <v>5032201196</v>
      </c>
      <c r="D1121" s="13" t="inlineStr">
        <is>
          <t>5032201196</t>
        </is>
      </c>
      <c r="E1121" s="13" t="inlineStr">
        <is>
          <t>ЮЛ РФ</t>
        </is>
      </c>
      <c r="F1121" s="13" t="n"/>
      <c r="G1121" s="14" t="n"/>
      <c r="H1121" s="14" t="n"/>
      <c r="I1121" s="14" t="n"/>
      <c r="J1121" s="14" t="n"/>
      <c r="K1121" s="53" t="inlineStr"/>
      <c r="L1121" s="53" t="inlineStr">
        <is>
          <t>Не определено</t>
        </is>
      </c>
      <c r="M1121" s="53" t="inlineStr"/>
      <c r="N1121" s="54" t="inlineStr"/>
      <c r="O1121" s="55" t="inlineStr"/>
      <c r="P1121" s="16" t="inlineStr">
        <is>
          <t>Требует обогащения</t>
        </is>
      </c>
      <c r="Q1121" s="16">
        <f>HYPERLINK("https://pb.nalog.ru/search.html?query=5032201196","ФНС: проверить")</f>
        <v/>
      </c>
      <c r="R1121" s="16">
        <f>HYPERLINK("https://checko.ru/search?query=3801001629","Чекко: проверить")</f>
        <v/>
      </c>
      <c r="S1121" t="n">
        <v>1</v>
      </c>
      <c r="T1121" s="35" t="inlineStr">
        <is>
          <t>4 — Не обогащён</t>
        </is>
      </c>
      <c r="U1121" s="35" t="inlineStr">
        <is>
          <t>Нет ОКВЭД/ССЧР</t>
        </is>
      </c>
      <c r="V1121" s="35" t="inlineStr">
        <is>
          <t>Не определено</t>
        </is>
      </c>
      <c r="W1121" s="35" t="inlineStr"/>
      <c r="X1121" s="35" t="inlineStr"/>
    </row>
    <row r="1122" ht="15" customHeight="1" s="24">
      <c r="A1122" s="13" t="n">
        <v>5000034745</v>
      </c>
      <c r="B1122" s="13" t="inlineStr">
        <is>
          <t>МБОУ ДОД СДЮСШОР по фехтованию</t>
        </is>
      </c>
      <c r="C1122" s="13" t="n">
        <v>5032039747</v>
      </c>
      <c r="D1122" s="13" t="inlineStr">
        <is>
          <t>5032039747</t>
        </is>
      </c>
      <c r="E1122" s="13" t="inlineStr">
        <is>
          <t>ЮЛ РФ</t>
        </is>
      </c>
      <c r="F1122" s="13" t="n"/>
      <c r="G1122" s="14" t="n"/>
      <c r="H1122" s="14" t="n"/>
      <c r="I1122" s="14" t="n"/>
      <c r="J1122" s="14" t="n"/>
      <c r="K1122" s="53" t="inlineStr"/>
      <c r="L1122" s="53" t="inlineStr">
        <is>
          <t>Не определено</t>
        </is>
      </c>
      <c r="M1122" s="53" t="inlineStr"/>
      <c r="N1122" s="54" t="inlineStr"/>
      <c r="O1122" s="55" t="inlineStr"/>
      <c r="P1122" s="16" t="inlineStr">
        <is>
          <t>Требует обогащения</t>
        </is>
      </c>
      <c r="Q1122" s="16">
        <f>HYPERLINK("https://pb.nalog.ru/search.html?query=5032039747","ФНС: проверить")</f>
        <v/>
      </c>
      <c r="R1122" s="16">
        <f>HYPERLINK("https://checko.ru/search?query=3801001629","Чекко: проверить")</f>
        <v/>
      </c>
      <c r="S1122" t="n">
        <v>1</v>
      </c>
      <c r="T1122" s="35" t="inlineStr">
        <is>
          <t>4 — Не обогащён</t>
        </is>
      </c>
      <c r="U1122" s="35" t="inlineStr">
        <is>
          <t>Нет ОКВЭД/ССЧР</t>
        </is>
      </c>
      <c r="V1122" s="35" t="inlineStr">
        <is>
          <t>Не определено</t>
        </is>
      </c>
      <c r="W1122" s="35" t="inlineStr"/>
      <c r="X1122" s="35" t="inlineStr"/>
    </row>
    <row r="1123" ht="15" customHeight="1" s="24">
      <c r="A1123" s="13" t="n">
        <v>5000034746</v>
      </c>
      <c r="B1123" s="13" t="inlineStr">
        <is>
          <t>МБОУДОД ДЮСШ "Одинцово"</t>
        </is>
      </c>
      <c r="C1123" s="13" t="n">
        <v>5032164554</v>
      </c>
      <c r="D1123" s="13" t="inlineStr">
        <is>
          <t>5032164554</t>
        </is>
      </c>
      <c r="E1123" s="13" t="inlineStr">
        <is>
          <t>ЮЛ РФ</t>
        </is>
      </c>
      <c r="F1123" s="13" t="n"/>
      <c r="G1123" s="14" t="n"/>
      <c r="H1123" s="14" t="n"/>
      <c r="I1123" s="14" t="n"/>
      <c r="J1123" s="14" t="n"/>
      <c r="K1123" s="53" t="inlineStr"/>
      <c r="L1123" s="53" t="inlineStr">
        <is>
          <t>Не определено</t>
        </is>
      </c>
      <c r="M1123" s="53" t="inlineStr"/>
      <c r="N1123" s="54" t="inlineStr"/>
      <c r="O1123" s="55" t="inlineStr"/>
      <c r="P1123" s="16" t="inlineStr">
        <is>
          <t>Требует обогащения</t>
        </is>
      </c>
      <c r="Q1123" s="16">
        <f>HYPERLINK("https://pb.nalog.ru/search.html?query=5032164554","ФНС: проверить")</f>
        <v/>
      </c>
      <c r="R1123" s="16">
        <f>HYPERLINK("https://checko.ru/search?query=3801001629","Чекко: проверить")</f>
        <v/>
      </c>
      <c r="S1123" t="n">
        <v>1</v>
      </c>
      <c r="T1123" s="35" t="inlineStr">
        <is>
          <t>4 — Не обогащён</t>
        </is>
      </c>
      <c r="U1123" s="35" t="inlineStr">
        <is>
          <t>Нет ОКВЭД/ССЧР</t>
        </is>
      </c>
      <c r="V1123" s="35" t="inlineStr">
        <is>
          <t>Не определено</t>
        </is>
      </c>
      <c r="W1123" s="35" t="inlineStr"/>
      <c r="X1123" s="35" t="inlineStr"/>
    </row>
    <row r="1124" ht="15" customHeight="1" s="24">
      <c r="A1124" s="13" t="n">
        <v>5000034747</v>
      </c>
      <c r="B1124" s="13" t="inlineStr">
        <is>
          <t>МБОУДОД Одинцовская ДЮСШ по СЕ</t>
        </is>
      </c>
      <c r="C1124" s="13" t="n">
        <v>5032079348</v>
      </c>
      <c r="D1124" s="13" t="inlineStr">
        <is>
          <t>5032079348</t>
        </is>
      </c>
      <c r="E1124" s="13" t="inlineStr">
        <is>
          <t>ЮЛ РФ</t>
        </is>
      </c>
      <c r="F1124" s="13" t="n"/>
      <c r="G1124" s="14" t="n"/>
      <c r="H1124" s="14" t="n"/>
      <c r="I1124" s="14" t="n"/>
      <c r="J1124" s="14" t="n"/>
      <c r="K1124" s="53" t="inlineStr"/>
      <c r="L1124" s="53" t="inlineStr">
        <is>
          <t>Не определено</t>
        </is>
      </c>
      <c r="M1124" s="53" t="inlineStr"/>
      <c r="N1124" s="54" t="inlineStr"/>
      <c r="O1124" s="55" t="inlineStr"/>
      <c r="P1124" s="16" t="inlineStr">
        <is>
          <t>Требует обогащения</t>
        </is>
      </c>
      <c r="Q1124" s="16">
        <f>HYPERLINK("https://pb.nalog.ru/search.html?query=5032079348","ФНС: проверить")</f>
        <v/>
      </c>
      <c r="R1124" s="16">
        <f>HYPERLINK("https://checko.ru/search?query=3801001629","Чекко: проверить")</f>
        <v/>
      </c>
      <c r="S1124" t="n">
        <v>1</v>
      </c>
      <c r="T1124" s="35" t="inlineStr">
        <is>
          <t>4 — Не обогащён</t>
        </is>
      </c>
      <c r="U1124" s="35" t="inlineStr">
        <is>
          <t>Нет ОКВЭД/ССЧР</t>
        </is>
      </c>
      <c r="V1124" s="35" t="inlineStr">
        <is>
          <t>Не определено</t>
        </is>
      </c>
      <c r="W1124" s="35" t="inlineStr"/>
      <c r="X1124" s="35" t="inlineStr"/>
    </row>
    <row r="1125" ht="15" customHeight="1" s="24">
      <c r="A1125" s="13" t="n">
        <v>5000034750</v>
      </c>
      <c r="B1125" s="13" t="inlineStr">
        <is>
          <t>МБОУ ДОД ДЮСШ "Арион"</t>
        </is>
      </c>
      <c r="C1125" s="13" t="n">
        <v>5032148880</v>
      </c>
      <c r="D1125" s="13" t="inlineStr">
        <is>
          <t>5032148880</t>
        </is>
      </c>
      <c r="E1125" s="13" t="inlineStr">
        <is>
          <t>ЮЛ РФ</t>
        </is>
      </c>
      <c r="F1125" s="13" t="n"/>
      <c r="G1125" s="14" t="n"/>
      <c r="H1125" s="14" t="n"/>
      <c r="I1125" s="14" t="n"/>
      <c r="J1125" s="14" t="n"/>
      <c r="K1125" s="53" t="inlineStr"/>
      <c r="L1125" s="53" t="inlineStr">
        <is>
          <t>Не определено</t>
        </is>
      </c>
      <c r="M1125" s="53" t="inlineStr"/>
      <c r="N1125" s="54" t="inlineStr"/>
      <c r="O1125" s="55" t="inlineStr"/>
      <c r="P1125" s="16" t="inlineStr">
        <is>
          <t>Требует обогащения</t>
        </is>
      </c>
      <c r="Q1125" s="16">
        <f>HYPERLINK("https://pb.nalog.ru/search.html?query=5032148880","ФНС: проверить")</f>
        <v/>
      </c>
      <c r="R1125" s="16">
        <f>HYPERLINK("https://checko.ru/search?query=3801001629","Чекко: проверить")</f>
        <v/>
      </c>
      <c r="S1125" t="n">
        <v>1</v>
      </c>
      <c r="T1125" s="35" t="inlineStr">
        <is>
          <t>4 — Не обогащён</t>
        </is>
      </c>
      <c r="U1125" s="35" t="inlineStr">
        <is>
          <t>Нет ОКВЭД/ССЧР</t>
        </is>
      </c>
      <c r="V1125" s="35" t="inlineStr">
        <is>
          <t>Не определено</t>
        </is>
      </c>
      <c r="W1125" s="35" t="inlineStr"/>
      <c r="X1125" s="35" t="inlineStr"/>
    </row>
    <row r="1126" ht="15" customHeight="1" s="24">
      <c r="A1126" s="13" t="n">
        <v>5000034754</v>
      </c>
      <c r="B1126" s="13" t="inlineStr">
        <is>
          <t>Комитет физической культуры и спорта</t>
        </is>
      </c>
      <c r="C1126" s="13" t="n">
        <v>5032292757</v>
      </c>
      <c r="D1126" s="13" t="inlineStr">
        <is>
          <t>5032292757</t>
        </is>
      </c>
      <c r="E1126" s="13" t="inlineStr">
        <is>
          <t>ЮЛ РФ</t>
        </is>
      </c>
      <c r="F1126" s="13" t="n"/>
      <c r="G1126" s="14" t="n"/>
      <c r="H1126" s="14" t="n"/>
      <c r="I1126" s="14" t="n"/>
      <c r="J1126" s="14" t="n"/>
      <c r="K1126" s="53" t="inlineStr"/>
      <c r="L1126" s="53" t="inlineStr">
        <is>
          <t>Не определено</t>
        </is>
      </c>
      <c r="M1126" s="53" t="inlineStr"/>
      <c r="N1126" s="54" t="inlineStr"/>
      <c r="O1126" s="55" t="inlineStr"/>
      <c r="P1126" s="16" t="inlineStr">
        <is>
          <t>Требует обогащения</t>
        </is>
      </c>
      <c r="Q1126" s="16">
        <f>HYPERLINK("https://pb.nalog.ru/search.html?query=5032292757","ФНС: проверить")</f>
        <v/>
      </c>
      <c r="R1126" s="16">
        <f>HYPERLINK("https://checko.ru/search?query=3801001629","Чекко: проверить")</f>
        <v/>
      </c>
      <c r="S1126" t="n">
        <v>1</v>
      </c>
      <c r="T1126" s="35" t="inlineStr">
        <is>
          <t>4 — Не обогащён</t>
        </is>
      </c>
      <c r="U1126" s="35" t="inlineStr">
        <is>
          <t>Нет ОКВЭД/ССЧР</t>
        </is>
      </c>
      <c r="V1126" s="35" t="inlineStr">
        <is>
          <t>Не определено</t>
        </is>
      </c>
      <c r="W1126" s="35" t="inlineStr"/>
      <c r="X1126" s="35" t="inlineStr"/>
    </row>
    <row r="1127" ht="27.75" customHeight="1" s="24">
      <c r="A1127" s="13" t="n">
        <v>5000098022</v>
      </c>
      <c r="B1127" s="13" t="inlineStr">
        <is>
          <t>Государственное казенное учреждение Иркутской области "Казачинско-Ленское лесничество"</t>
        </is>
      </c>
      <c r="C1127" s="13" t="n">
        <v>3808283556</v>
      </c>
      <c r="D1127" s="13" t="inlineStr">
        <is>
          <t>3808283556</t>
        </is>
      </c>
      <c r="E1127" s="13" t="inlineStr">
        <is>
          <t>ЮЛ РФ</t>
        </is>
      </c>
      <c r="F1127" s="13" t="n"/>
      <c r="G1127" s="14" t="n"/>
      <c r="H1127" s="14" t="n"/>
      <c r="I1127" s="14" t="n"/>
      <c r="J1127" s="14" t="n"/>
      <c r="K1127" s="53" t="inlineStr"/>
      <c r="L1127" s="53" t="inlineStr">
        <is>
          <t>Не определено</t>
        </is>
      </c>
      <c r="M1127" s="53" t="inlineStr"/>
      <c r="N1127" s="54" t="inlineStr"/>
      <c r="O1127" s="55" t="inlineStr"/>
      <c r="P1127" s="16" t="inlineStr">
        <is>
          <t>Требует обогащения</t>
        </is>
      </c>
      <c r="Q1127" s="16">
        <f>HYPERLINK("https://pb.nalog.ru/search.html?query=3808283556","ФНС: проверить")</f>
        <v/>
      </c>
      <c r="R1127" s="16">
        <f>HYPERLINK("https://checko.ru/search?query=3801001629","Чекко: проверить")</f>
        <v/>
      </c>
      <c r="S1127" t="n">
        <v>1</v>
      </c>
      <c r="T1127" s="35" t="inlineStr">
        <is>
          <t>4 — Не обогащён</t>
        </is>
      </c>
      <c r="U1127" s="35" t="inlineStr">
        <is>
          <t>Нет ОКВЭД/ССЧР</t>
        </is>
      </c>
      <c r="V1127" s="35" t="inlineStr">
        <is>
          <t>Не определено</t>
        </is>
      </c>
      <c r="W1127" s="35" t="inlineStr"/>
      <c r="X1127" s="35" t="inlineStr"/>
    </row>
    <row r="1128" ht="15" customHeight="1" s="24">
      <c r="A1128" s="13" t="n">
        <v>5000034647</v>
      </c>
      <c r="B1128" s="13" t="inlineStr">
        <is>
          <t>МБОУ УМЦ "Развитие образования"</t>
        </is>
      </c>
      <c r="C1128" s="13" t="n">
        <v>5032098630</v>
      </c>
      <c r="D1128" s="13" t="inlineStr">
        <is>
          <t>5032098630</t>
        </is>
      </c>
      <c r="E1128" s="13" t="inlineStr">
        <is>
          <t>ЮЛ РФ</t>
        </is>
      </c>
      <c r="F1128" s="13" t="n"/>
      <c r="G1128" s="14" t="n"/>
      <c r="H1128" s="14" t="n"/>
      <c r="I1128" s="14" t="n"/>
      <c r="J1128" s="14" t="n"/>
      <c r="K1128" s="53" t="inlineStr"/>
      <c r="L1128" s="53" t="inlineStr">
        <is>
          <t>Не определено</t>
        </is>
      </c>
      <c r="M1128" s="53" t="inlineStr"/>
      <c r="N1128" s="54" t="inlineStr"/>
      <c r="O1128" s="55" t="inlineStr"/>
      <c r="P1128" s="16" t="inlineStr">
        <is>
          <t>Требует обогащения</t>
        </is>
      </c>
      <c r="Q1128" s="16">
        <f>HYPERLINK("https://pb.nalog.ru/search.html?query=5032098630","ФНС: проверить")</f>
        <v/>
      </c>
      <c r="R1128" s="16">
        <f>HYPERLINK("https://checko.ru/search?query=3801001629","Чекко: проверить")</f>
        <v/>
      </c>
      <c r="S1128" t="n">
        <v>1</v>
      </c>
      <c r="T1128" s="35" t="inlineStr">
        <is>
          <t>4 — Не обогащён</t>
        </is>
      </c>
      <c r="U1128" s="35" t="inlineStr">
        <is>
          <t>Нет ОКВЭД/ССЧР</t>
        </is>
      </c>
      <c r="V1128" s="35" t="inlineStr">
        <is>
          <t>Не определено</t>
        </is>
      </c>
      <c r="W1128" s="35" t="inlineStr"/>
      <c r="X1128" s="35" t="inlineStr"/>
    </row>
    <row r="1129" ht="15" customHeight="1" s="24">
      <c r="A1129" s="13" t="n">
        <v>5000034594</v>
      </c>
      <c r="B1129" s="13" t="inlineStr">
        <is>
          <t>МБОУ Одинцовская гимназия № 13</t>
        </is>
      </c>
      <c r="C1129" s="13" t="n">
        <v>5032057619</v>
      </c>
      <c r="D1129" s="13" t="inlineStr">
        <is>
          <t>5032057619</t>
        </is>
      </c>
      <c r="E1129" s="13" t="inlineStr">
        <is>
          <t>ЮЛ РФ</t>
        </is>
      </c>
      <c r="F1129" s="13" t="n"/>
      <c r="G1129" s="14" t="n"/>
      <c r="H1129" s="14" t="n"/>
      <c r="I1129" s="14" t="n"/>
      <c r="J1129" s="14" t="n"/>
      <c r="K1129" s="53" t="inlineStr"/>
      <c r="L1129" s="53" t="inlineStr">
        <is>
          <t>Не определено</t>
        </is>
      </c>
      <c r="M1129" s="53" t="inlineStr"/>
      <c r="N1129" s="54" t="inlineStr"/>
      <c r="O1129" s="55" t="inlineStr"/>
      <c r="P1129" s="16" t="inlineStr">
        <is>
          <t>Требует обогащения</t>
        </is>
      </c>
      <c r="Q1129" s="16">
        <f>HYPERLINK("https://pb.nalog.ru/search.html?query=5032057619","ФНС: проверить")</f>
        <v/>
      </c>
      <c r="R1129" s="16">
        <f>HYPERLINK("https://checko.ru/search?query=3801001629","Чекко: проверить")</f>
        <v/>
      </c>
      <c r="S1129" t="n">
        <v>1</v>
      </c>
      <c r="T1129" s="35" t="inlineStr">
        <is>
          <t>4 — Не обогащён</t>
        </is>
      </c>
      <c r="U1129" s="35" t="inlineStr">
        <is>
          <t>Нет ОКВЭД/ССЧР</t>
        </is>
      </c>
      <c r="V1129" s="35" t="inlineStr">
        <is>
          <t>Не определено</t>
        </is>
      </c>
      <c r="W1129" s="35" t="inlineStr"/>
      <c r="X1129" s="35" t="inlineStr"/>
    </row>
    <row r="1130" ht="54.75" customHeight="1" s="24">
      <c r="A1130" s="13" t="n">
        <v>5000106096</v>
      </c>
      <c r="B1130" s="13" t="inlineStr">
        <is>
          <t>ГОСУДАРСТВЕННОЕ БЮДЖЕТНОЕ УЧРЕЖДЕНИЕ "ЦЕНТРАЛЬНАЯ ПСИХОЛОГО-МЕДИКО-ПЕДАГОГИЧЕСКАЯ КОМИССИЯ ОРЕНБУРГСКОЙ ОБЛАСТИ"</t>
        </is>
      </c>
      <c r="C1130" s="13" t="n">
        <v>5610161167</v>
      </c>
      <c r="D1130" s="13" t="inlineStr">
        <is>
          <t>5610161167</t>
        </is>
      </c>
      <c r="E1130" s="13" t="inlineStr">
        <is>
          <t>ЮЛ РФ</t>
        </is>
      </c>
      <c r="F1130" s="13" t="n"/>
      <c r="G1130" s="14" t="n"/>
      <c r="H1130" s="14" t="n"/>
      <c r="I1130" s="14" t="n"/>
      <c r="J1130" s="14" t="n"/>
      <c r="K1130" s="53" t="inlineStr"/>
      <c r="L1130" s="53" t="inlineStr">
        <is>
          <t>Не определено</t>
        </is>
      </c>
      <c r="M1130" s="53" t="inlineStr"/>
      <c r="N1130" s="54" t="inlineStr"/>
      <c r="O1130" s="55" t="inlineStr"/>
      <c r="P1130" s="16" t="inlineStr">
        <is>
          <t>Требует обогащения</t>
        </is>
      </c>
      <c r="Q1130" s="16">
        <f>HYPERLINK("https://pb.nalog.ru/search.html?query=5610161167","ФНС: проверить")</f>
        <v/>
      </c>
      <c r="R1130" s="16">
        <f>HYPERLINK("https://checko.ru/search?query=3801001629","Чекко: проверить")</f>
        <v/>
      </c>
      <c r="S1130" t="n">
        <v>1</v>
      </c>
      <c r="T1130" s="35" t="inlineStr">
        <is>
          <t>4 — Не обогащён</t>
        </is>
      </c>
      <c r="U1130" s="35" t="inlineStr">
        <is>
          <t>Нет ОКВЭД/ССЧР</t>
        </is>
      </c>
      <c r="V1130" s="35" t="inlineStr">
        <is>
          <t>Не определено</t>
        </is>
      </c>
      <c r="W1130" s="35" t="inlineStr"/>
      <c r="X1130" s="35" t="inlineStr"/>
    </row>
    <row r="1131" ht="27.75" customHeight="1" s="24">
      <c r="A1131" s="13" t="n">
        <v>5000094606</v>
      </c>
      <c r="B1131" s="13" t="inlineStr">
        <is>
          <t>Местная администрация с.п.Черниговское Прохладненского муниципального района КБР</t>
        </is>
      </c>
      <c r="C1131" s="13" t="n">
        <v>704001794</v>
      </c>
      <c r="D1131" s="13" t="n"/>
      <c r="E1131" s="13" t="inlineStr">
        <is>
          <t>Не определён</t>
        </is>
      </c>
      <c r="F1131" s="13" t="inlineStr">
        <is>
          <t>704001794</t>
        </is>
      </c>
      <c r="G1131" s="14" t="n"/>
      <c r="H1131" s="14" t="n"/>
      <c r="I1131" s="14" t="n"/>
      <c r="J1131" s="14" t="n"/>
      <c r="K1131" s="13">
        <f>IF(G1131="","",IF(G1131&gt;=22,"Да","Нет"))</f>
        <v/>
      </c>
      <c r="L1131" s="13">
        <f>IF(OR(I1131="",J1131=""),"Не определено",IF(OR(COUNTIF(I1131,"45*")&gt;0,COUNTIF(J1131,"*45*")&gt;0,COUNTIF(I1131,"46*")&gt;0,COUNTIF(J1131,"*46*")&gt;0,COUNTIF(I1131,"47*")&gt;0,COUNTIF(J1131,"*47*")&gt;0,COUNTIF(I1131,"10*")&gt;0,COUNTIF(J1131,"*10*")&gt;0,COUNTIF(I1131,"11*")&gt;0,COUNTIF(J1131,"*11*")&gt;0,COUNTIF(I1131,"12*")&gt;0,COUNTIF(J1131,"*12*")&gt;0,COUNTIF(I1131,"13*")&gt;0,COUNTIF(J1131,"*13*")&gt;0,COUNTIF(I1131,"14*")&gt;0,COUNTIF(J1131,"*14*")&gt;0,COUNTIF(I1131,"15*")&gt;0,COUNTIF(J1131,"*15*")&gt;0,COUNTIF(I1131,"16*")&gt;0,COUNTIF(J1131,"*16*")&gt;0,COUNTIF(I1131,"17*")&gt;0,COUNTIF(J1131,"*17*")&gt;0,COUNTIF(I1131,"18*")&gt;0,COUNTIF(J1131,"*18*")&gt;0,COUNTIF(I1131,"19*")&gt;0,COUNTIF(J1131,"*19*")&gt;0,COUNTIF(I1131,"20*")&gt;0,COUNTIF(J1131,"*20*")&gt;0,COUNTIF(I1131,"21*")&gt;0,COUNTIF(J1131,"*21*")&gt;0,COUNTIF(I1131,"22*")&gt;0,COUNTIF(J1131,"*22*")&gt;0,COUNTIF(I1131,"23*")&gt;0,COUNTIF(J1131,"*23*")&gt;0,COUNTIF(I1131,"24*")&gt;0,COUNTIF(J1131,"*24*")&gt;0,COUNTIF(I1131,"25*")&gt;0,COUNTIF(J1131,"*25*")&gt;0,COUNTIF(I1131,"26*")&gt;0,COUNTIF(J1131,"*26*")&gt;0,COUNTIF(I1131,"27*")&gt;0,COUNTIF(J1131,"*27*")&gt;0,COUNTIF(I1131,"28*")&gt;0,COUNTIF(J1131,"*28*")&gt;0,COUNTIF(I1131,"29*")&gt;0,COUNTIF(J1131,"*29*")&gt;0,COUNTIF(I1131,"30*")&gt;0,COUNTIF(J1131,"*30*")&gt;0,COUNTIF(I1131,"31*")&gt;0,COUNTIF(J1131,"*31*")&gt;0,COUNTIF(I1131,"32*")&gt;0,COUNTIF(J1131,"*32*")&gt;0,COUNTIF(I1131,"33*")&gt;0,COUNTIF(J1131,"*33*")&gt;0,COUNTIF(I1131,"41*")&gt;0,COUNTIF(J1131,"*41*")&gt;0,COUNTIF(I1131,"42*")&gt;0,COUNTIF(J1131,"*42*")&gt;0,COUNTIF(I1131,"43*")&gt;0,COUNTIF(J1131,"*43*")&gt;0,COUNTIF(I1131,"49*")&gt;0,COUNTIF(J1131,"*49*")&gt;0,COUNTIF(I1131,"52*")&gt;0,COUNTIF(J1131,"*52*")&gt;0,COUNTIF(I1131,"55*")&gt;0,COUNTIF(J1131,"*55*")&gt;0,COUNTIF(I1131,"56*")&gt;0,COUNTIF(J1131,"*56*")&gt;0,COUNTIF(I1131,"68*")&gt;0,COUNTIF(J1131,"*68*")&gt;0,COUNTIF(I1131,"78*")&gt;0,COUNTIF(J1131,"*78*")&gt;0,COUNTIF(I1131,"81*")&gt;0,COUNTIF(J1131,"*81*")&gt;0,COUNTIF(I1131,"82*")&gt;0,COUNTIF(J1131,"*82*")&gt;0,COUNTIF(I1131,"64*")&gt;0,COUNTIF(J1131,"*64*")&gt;0,COUNTIF(I1131,"65*")&gt;0,COUNTIF(J1131,"*65*")&gt;0,COUNTIF(I1131,"66*")&gt;0,COUNTIF(J1131,"*66*")&gt;0,COUNTIF(I1131,"61*")&gt;0,COUNTIF(J1131,"*61*")&gt;0,COUNTIF(I1131,"62*")&gt;0,COUNTIF(J1131,"*62*")&gt;0,COUNTIF(I1131,"63*")&gt;0,COUNTIF(J1131,"*63*")&gt;0,COUNTIF(I1131,"85*")&gt;0,COUNTIF(J1131,"*85*")&gt;0,COUNTIF(I1131,"86*")&gt;0,COUNTIF(J1131,"*86*")&gt;0),"Да","Нет"))</f>
        <v/>
      </c>
      <c r="M1131" s="13">
        <f>IF(OR(G1131="",L1131&lt;&gt;"Да"),"",IF(G1131&lt;=100,"До 100",IF(G1131&lt;=200,"До 200",IF(G1131&lt;=500,"До 500","Отдельное КП"))))</f>
        <v/>
      </c>
      <c r="N1131" s="15">
        <f>IF(OR(G1131="",L1131&lt;&gt;"Да"),"",IF(G1131&lt;=100,33600,IF(G1131&lt;=200,62400,IF(G1131&lt;=500,144000,""))))</f>
        <v/>
      </c>
      <c r="O1131" s="16">
        <f>IF(G1131="","",IF(G1131&lt;=15,"1–15",IF(G1131&lt;=30,"16–30",IF(G1131&lt;=50,"31–50",IF(G1131&lt;=100,"51–100",IF(G1131&lt;=150,"101–150",IF(G1131&lt;=200,"151–200",IF(G1131&lt;=500,"201–500","500+"))))))))</f>
        <v/>
      </c>
      <c r="P1131" s="16" t="inlineStr">
        <is>
          <t>Нет совпадения в предоставленной выгрузке ССЧР</t>
        </is>
      </c>
      <c r="Q1131" s="16" t="n"/>
      <c r="R1131" s="16">
        <f>HYPERLINK("https://checko.ru/search?query=3801001629","Чекко: проверить")</f>
        <v/>
      </c>
      <c r="S1131" t="n">
        <v>0</v>
      </c>
    </row>
    <row r="1132" ht="27.75" customHeight="1" s="24">
      <c r="A1132" s="13" t="n">
        <v>5000095092</v>
      </c>
      <c r="B1132" s="13" t="inlineStr">
        <is>
          <t>Местная администрация с.п.Советское Прохладненского муниципального района КБР</t>
        </is>
      </c>
      <c r="C1132" s="13" t="n">
        <v>716000629</v>
      </c>
      <c r="D1132" s="13" t="n"/>
      <c r="E1132" s="13" t="inlineStr">
        <is>
          <t>Не определён</t>
        </is>
      </c>
      <c r="F1132" s="13" t="inlineStr">
        <is>
          <t>716000629</t>
        </is>
      </c>
      <c r="G1132" s="14" t="n"/>
      <c r="H1132" s="14" t="n"/>
      <c r="I1132" s="14" t="n"/>
      <c r="J1132" s="14" t="n"/>
      <c r="K1132" s="13">
        <f>IF(G1132="","",IF(G1132&gt;=22,"Да","Нет"))</f>
        <v/>
      </c>
      <c r="L1132" s="13">
        <f>IF(OR(I1132="",J1132=""),"Не определено",IF(OR(COUNTIF(I1132,"45*")&gt;0,COUNTIF(J1132,"*45*")&gt;0,COUNTIF(I1132,"46*")&gt;0,COUNTIF(J1132,"*46*")&gt;0,COUNTIF(I1132,"47*")&gt;0,COUNTIF(J1132,"*47*")&gt;0,COUNTIF(I1132,"10*")&gt;0,COUNTIF(J1132,"*10*")&gt;0,COUNTIF(I1132,"11*")&gt;0,COUNTIF(J1132,"*11*")&gt;0,COUNTIF(I1132,"12*")&gt;0,COUNTIF(J1132,"*12*")&gt;0,COUNTIF(I1132,"13*")&gt;0,COUNTIF(J1132,"*13*")&gt;0,COUNTIF(I1132,"14*")&gt;0,COUNTIF(J1132,"*14*")&gt;0,COUNTIF(I1132,"15*")&gt;0,COUNTIF(J1132,"*15*")&gt;0,COUNTIF(I1132,"16*")&gt;0,COUNTIF(J1132,"*16*")&gt;0,COUNTIF(I1132,"17*")&gt;0,COUNTIF(J1132,"*17*")&gt;0,COUNTIF(I1132,"18*")&gt;0,COUNTIF(J1132,"*18*")&gt;0,COUNTIF(I1132,"19*")&gt;0,COUNTIF(J1132,"*19*")&gt;0,COUNTIF(I1132,"20*")&gt;0,COUNTIF(J1132,"*20*")&gt;0,COUNTIF(I1132,"21*")&gt;0,COUNTIF(J1132,"*21*")&gt;0,COUNTIF(I1132,"22*")&gt;0,COUNTIF(J1132,"*22*")&gt;0,COUNTIF(I1132,"23*")&gt;0,COUNTIF(J1132,"*23*")&gt;0,COUNTIF(I1132,"24*")&gt;0,COUNTIF(J1132,"*24*")&gt;0,COUNTIF(I1132,"25*")&gt;0,COUNTIF(J1132,"*25*")&gt;0,COUNTIF(I1132,"26*")&gt;0,COUNTIF(J1132,"*26*")&gt;0,COUNTIF(I1132,"27*")&gt;0,COUNTIF(J1132,"*27*")&gt;0,COUNTIF(I1132,"28*")&gt;0,COUNTIF(J1132,"*28*")&gt;0,COUNTIF(I1132,"29*")&gt;0,COUNTIF(J1132,"*29*")&gt;0,COUNTIF(I1132,"30*")&gt;0,COUNTIF(J1132,"*30*")&gt;0,COUNTIF(I1132,"31*")&gt;0,COUNTIF(J1132,"*31*")&gt;0,COUNTIF(I1132,"32*")&gt;0,COUNTIF(J1132,"*32*")&gt;0,COUNTIF(I1132,"33*")&gt;0,COUNTIF(J1132,"*33*")&gt;0,COUNTIF(I1132,"41*")&gt;0,COUNTIF(J1132,"*41*")&gt;0,COUNTIF(I1132,"42*")&gt;0,COUNTIF(J1132,"*42*")&gt;0,COUNTIF(I1132,"43*")&gt;0,COUNTIF(J1132,"*43*")&gt;0,COUNTIF(I1132,"49*")&gt;0,COUNTIF(J1132,"*49*")&gt;0,COUNTIF(I1132,"52*")&gt;0,COUNTIF(J1132,"*52*")&gt;0,COUNTIF(I1132,"55*")&gt;0,COUNTIF(J1132,"*55*")&gt;0,COUNTIF(I1132,"56*")&gt;0,COUNTIF(J1132,"*56*")&gt;0,COUNTIF(I1132,"68*")&gt;0,COUNTIF(J1132,"*68*")&gt;0,COUNTIF(I1132,"78*")&gt;0,COUNTIF(J1132,"*78*")&gt;0,COUNTIF(I1132,"81*")&gt;0,COUNTIF(J1132,"*81*")&gt;0,COUNTIF(I1132,"82*")&gt;0,COUNTIF(J1132,"*82*")&gt;0,COUNTIF(I1132,"64*")&gt;0,COUNTIF(J1132,"*64*")&gt;0,COUNTIF(I1132,"65*")&gt;0,COUNTIF(J1132,"*65*")&gt;0,COUNTIF(I1132,"66*")&gt;0,COUNTIF(J1132,"*66*")&gt;0,COUNTIF(I1132,"61*")&gt;0,COUNTIF(J1132,"*61*")&gt;0,COUNTIF(I1132,"62*")&gt;0,COUNTIF(J1132,"*62*")&gt;0,COUNTIF(I1132,"63*")&gt;0,COUNTIF(J1132,"*63*")&gt;0,COUNTIF(I1132,"85*")&gt;0,COUNTIF(J1132,"*85*")&gt;0,COUNTIF(I1132,"86*")&gt;0,COUNTIF(J1132,"*86*")&gt;0),"Да","Нет"))</f>
        <v/>
      </c>
      <c r="M1132" s="13">
        <f>IF(OR(G1132="",L1132&lt;&gt;"Да"),"",IF(G1132&lt;=100,"До 100",IF(G1132&lt;=200,"До 200",IF(G1132&lt;=500,"До 500","Отдельное КП"))))</f>
        <v/>
      </c>
      <c r="N1132" s="15">
        <f>IF(OR(G1132="",L1132&lt;&gt;"Да"),"",IF(G1132&lt;=100,33600,IF(G1132&lt;=200,62400,IF(G1132&lt;=500,144000,""))))</f>
        <v/>
      </c>
      <c r="O1132" s="16">
        <f>IF(G1132="","",IF(G1132&lt;=15,"1–15",IF(G1132&lt;=30,"16–30",IF(G1132&lt;=50,"31–50",IF(G1132&lt;=100,"51–100",IF(G1132&lt;=150,"101–150",IF(G1132&lt;=200,"151–200",IF(G1132&lt;=500,"201–500","500+"))))))))</f>
        <v/>
      </c>
      <c r="P1132" s="16" t="inlineStr">
        <is>
          <t>Нет совпадения в предоставленной выгрузке ССЧР</t>
        </is>
      </c>
      <c r="Q1132" s="16" t="n"/>
      <c r="R1132" s="16">
        <f>HYPERLINK("https://checko.ru/search?query=3801001629","Чекко: проверить")</f>
        <v/>
      </c>
      <c r="S1132" t="n">
        <v>0</v>
      </c>
    </row>
    <row r="1133" ht="15" customHeight="1" s="24">
      <c r="A1133" s="13" t="n">
        <v>5000034649</v>
      </c>
      <c r="B1133" s="13" t="inlineStr">
        <is>
          <t>МБУ ХЭССО</t>
        </is>
      </c>
      <c r="C1133" s="13" t="n">
        <v>5032235283</v>
      </c>
      <c r="D1133" s="13" t="inlineStr">
        <is>
          <t>5032235283</t>
        </is>
      </c>
      <c r="E1133" s="13" t="inlineStr">
        <is>
          <t>ЮЛ РФ</t>
        </is>
      </c>
      <c r="F1133" s="13" t="n"/>
      <c r="G1133" s="14" t="n"/>
      <c r="H1133" s="14" t="n"/>
      <c r="I1133" s="14" t="n"/>
      <c r="J1133" s="14" t="n"/>
      <c r="K1133" s="53" t="inlineStr"/>
      <c r="L1133" s="53" t="inlineStr">
        <is>
          <t>Не определено</t>
        </is>
      </c>
      <c r="M1133" s="53" t="inlineStr"/>
      <c r="N1133" s="54" t="inlineStr"/>
      <c r="O1133" s="55" t="inlineStr"/>
      <c r="P1133" s="16" t="inlineStr">
        <is>
          <t>Требует обогащения</t>
        </is>
      </c>
      <c r="Q1133" s="16">
        <f>HYPERLINK("https://pb.nalog.ru/search.html?query=5032235283","ФНС: проверить")</f>
        <v/>
      </c>
      <c r="R1133" s="16">
        <f>HYPERLINK("https://checko.ru/search?query=3801001629","Чекко: проверить")</f>
        <v/>
      </c>
      <c r="S1133" t="n">
        <v>1</v>
      </c>
      <c r="T1133" s="35" t="inlineStr">
        <is>
          <t>4 — Не обогащён</t>
        </is>
      </c>
      <c r="U1133" s="35" t="inlineStr">
        <is>
          <t>Нет ОКВЭД/ССЧР</t>
        </is>
      </c>
      <c r="V1133" s="35" t="inlineStr">
        <is>
          <t>Не определено</t>
        </is>
      </c>
      <c r="W1133" s="35" t="inlineStr"/>
      <c r="X1133" s="35" t="inlineStr"/>
    </row>
    <row r="1134" ht="15" customHeight="1" s="24">
      <c r="A1134" s="13" t="n">
        <v>5000034650</v>
      </c>
      <c r="B1134" s="13" t="inlineStr">
        <is>
          <t>МАУК «Театр Натальи Бондаревой»</t>
        </is>
      </c>
      <c r="C1134" s="13" t="n">
        <v>5032075456</v>
      </c>
      <c r="D1134" s="13" t="inlineStr">
        <is>
          <t>5032075456</t>
        </is>
      </c>
      <c r="E1134" s="13" t="inlineStr">
        <is>
          <t>ЮЛ РФ</t>
        </is>
      </c>
      <c r="F1134" s="13" t="n"/>
      <c r="G1134" s="14" t="n"/>
      <c r="H1134" s="14" t="n"/>
      <c r="I1134" s="14" t="n"/>
      <c r="J1134" s="14" t="n"/>
      <c r="K1134" s="53" t="inlineStr"/>
      <c r="L1134" s="53" t="inlineStr">
        <is>
          <t>Не определено</t>
        </is>
      </c>
      <c r="M1134" s="53" t="inlineStr"/>
      <c r="N1134" s="54" t="inlineStr"/>
      <c r="O1134" s="55" t="inlineStr"/>
      <c r="P1134" s="16" t="inlineStr">
        <is>
          <t>Требует обогащения</t>
        </is>
      </c>
      <c r="Q1134" s="16">
        <f>HYPERLINK("https://pb.nalog.ru/search.html?query=5032075456","ФНС: проверить")</f>
        <v/>
      </c>
      <c r="R1134" s="16">
        <f>HYPERLINK("https://checko.ru/search?query=3801001629","Чекко: проверить")</f>
        <v/>
      </c>
      <c r="S1134" t="n">
        <v>1</v>
      </c>
      <c r="T1134" s="35" t="inlineStr">
        <is>
          <t>4 — Не обогащён</t>
        </is>
      </c>
      <c r="U1134" s="35" t="inlineStr">
        <is>
          <t>Нет ОКВЭД/ССЧР</t>
        </is>
      </c>
      <c r="V1134" s="35" t="inlineStr">
        <is>
          <t>Не определено</t>
        </is>
      </c>
      <c r="W1134" s="35" t="inlineStr"/>
      <c r="X1134" s="35" t="inlineStr"/>
    </row>
    <row r="1135" ht="15" customHeight="1" s="24">
      <c r="A1135" s="13" t="n">
        <v>5000034655</v>
      </c>
      <c r="B1135" s="13" t="inlineStr">
        <is>
          <t>МБОУ Кубинская СОШ № 1</t>
        </is>
      </c>
      <c r="C1135" s="13" t="n">
        <v>5032036577</v>
      </c>
      <c r="D1135" s="13" t="inlineStr">
        <is>
          <t>5032036577</t>
        </is>
      </c>
      <c r="E1135" s="13" t="inlineStr">
        <is>
          <t>ЮЛ РФ</t>
        </is>
      </c>
      <c r="F1135" s="13" t="n"/>
      <c r="G1135" s="14" t="n"/>
      <c r="H1135" s="14" t="n"/>
      <c r="I1135" s="14" t="n"/>
      <c r="J1135" s="14" t="n"/>
      <c r="K1135" s="53" t="inlineStr"/>
      <c r="L1135" s="53" t="inlineStr">
        <is>
          <t>Не определено</t>
        </is>
      </c>
      <c r="M1135" s="53" t="inlineStr"/>
      <c r="N1135" s="54" t="inlineStr"/>
      <c r="O1135" s="55" t="inlineStr"/>
      <c r="P1135" s="16" t="inlineStr">
        <is>
          <t>Требует обогащения</t>
        </is>
      </c>
      <c r="Q1135" s="16">
        <f>HYPERLINK("https://pb.nalog.ru/search.html?query=5032036577","ФНС: проверить")</f>
        <v/>
      </c>
      <c r="R1135" s="16">
        <f>HYPERLINK("https://checko.ru/search?query=3801001629","Чекко: проверить")</f>
        <v/>
      </c>
      <c r="S1135" t="n">
        <v>1</v>
      </c>
      <c r="T1135" s="35" t="inlineStr">
        <is>
          <t>4 — Не обогащён</t>
        </is>
      </c>
      <c r="U1135" s="35" t="inlineStr">
        <is>
          <t>Нет ОКВЭД/ССЧР</t>
        </is>
      </c>
      <c r="V1135" s="35" t="inlineStr">
        <is>
          <t>Не определено</t>
        </is>
      </c>
      <c r="W1135" s="35" t="inlineStr"/>
      <c r="X1135" s="35" t="inlineStr"/>
    </row>
    <row r="1136" ht="15" customHeight="1" s="24">
      <c r="A1136" s="13" t="n">
        <v>5000034656</v>
      </c>
      <c r="B1136" s="13" t="inlineStr">
        <is>
          <t>МБОУ Кубинская СОШ № 2</t>
        </is>
      </c>
      <c r="C1136" s="13" t="n">
        <v>5032036288</v>
      </c>
      <c r="D1136" s="13" t="inlineStr">
        <is>
          <t>5032036288</t>
        </is>
      </c>
      <c r="E1136" s="13" t="inlineStr">
        <is>
          <t>ЮЛ РФ</t>
        </is>
      </c>
      <c r="F1136" s="13" t="n"/>
      <c r="G1136" s="14" t="n"/>
      <c r="H1136" s="14" t="n"/>
      <c r="I1136" s="14" t="n"/>
      <c r="J1136" s="14" t="n"/>
      <c r="K1136" s="53" t="inlineStr"/>
      <c r="L1136" s="53" t="inlineStr">
        <is>
          <t>Не определено</t>
        </is>
      </c>
      <c r="M1136" s="53" t="inlineStr"/>
      <c r="N1136" s="54" t="inlineStr"/>
      <c r="O1136" s="55" t="inlineStr"/>
      <c r="P1136" s="16" t="inlineStr">
        <is>
          <t>Требует обогащения</t>
        </is>
      </c>
      <c r="Q1136" s="16">
        <f>HYPERLINK("https://pb.nalog.ru/search.html?query=5032036288","ФНС: проверить")</f>
        <v/>
      </c>
      <c r="R1136" s="16">
        <f>HYPERLINK("https://checko.ru/search?query=3801001629","Чекко: проверить")</f>
        <v/>
      </c>
      <c r="S1136" t="n">
        <v>1</v>
      </c>
      <c r="T1136" s="35" t="inlineStr">
        <is>
          <t>4 — Не обогащён</t>
        </is>
      </c>
      <c r="U1136" s="35" t="inlineStr">
        <is>
          <t>Нет ОКВЭД/ССЧР</t>
        </is>
      </c>
      <c r="V1136" s="35" t="inlineStr">
        <is>
          <t>Не определено</t>
        </is>
      </c>
      <c r="W1136" s="35" t="inlineStr"/>
      <c r="X1136" s="35" t="inlineStr"/>
    </row>
    <row r="1137" ht="54.75" customHeight="1" s="24">
      <c r="A1137" s="13" t="n">
        <v>5000034662</v>
      </c>
      <c r="B1137" s="13" t="inlineStr">
        <is>
          <t>МБС(К)ОУ для обучающихся, воспитанников с отклонениями в развитии, специальная (коррекционная) общеобразовательная школа "Гармония"</t>
        </is>
      </c>
      <c r="C1137" s="13" t="n">
        <v>5032083986</v>
      </c>
      <c r="D1137" s="13" t="inlineStr">
        <is>
          <t>5032083986</t>
        </is>
      </c>
      <c r="E1137" s="13" t="inlineStr">
        <is>
          <t>ЮЛ РФ</t>
        </is>
      </c>
      <c r="F1137" s="13" t="n"/>
      <c r="G1137" s="14" t="n"/>
      <c r="H1137" s="14" t="n"/>
      <c r="I1137" s="14" t="n"/>
      <c r="J1137" s="14" t="n"/>
      <c r="K1137" s="53" t="inlineStr"/>
      <c r="L1137" s="53" t="inlineStr">
        <is>
          <t>Не определено</t>
        </is>
      </c>
      <c r="M1137" s="53" t="inlineStr"/>
      <c r="N1137" s="54" t="inlineStr"/>
      <c r="O1137" s="55" t="inlineStr"/>
      <c r="P1137" s="16" t="inlineStr">
        <is>
          <t>Требует обогащения</t>
        </is>
      </c>
      <c r="Q1137" s="16">
        <f>HYPERLINK("https://pb.nalog.ru/search.html?query=5032083986","ФНС: проверить")</f>
        <v/>
      </c>
      <c r="R1137" s="16">
        <f>HYPERLINK("https://checko.ru/search?query=3801001629","Чекко: проверить")</f>
        <v/>
      </c>
      <c r="S1137" t="n">
        <v>1</v>
      </c>
      <c r="T1137" s="35" t="inlineStr">
        <is>
          <t>4 — Не обогащён</t>
        </is>
      </c>
      <c r="U1137" s="35" t="inlineStr">
        <is>
          <t>Нет ОКВЭД/ССЧР</t>
        </is>
      </c>
      <c r="V1137" s="35" t="inlineStr">
        <is>
          <t>Не определено</t>
        </is>
      </c>
      <c r="W1137" s="35" t="inlineStr"/>
      <c r="X1137" s="35" t="inlineStr"/>
    </row>
    <row r="1138" ht="27.75" customHeight="1" s="24">
      <c r="A1138" s="13" t="n">
        <v>5000094599</v>
      </c>
      <c r="B1138" s="13" t="inlineStr">
        <is>
          <t>Местная администрация с.п. Благовещенка Прохладненского муниципального района КБР</t>
        </is>
      </c>
      <c r="C1138" s="13" t="n">
        <v>704001667</v>
      </c>
      <c r="D1138" s="13" t="n"/>
      <c r="E1138" s="13" t="inlineStr">
        <is>
          <t>Не определён</t>
        </is>
      </c>
      <c r="F1138" s="13" t="inlineStr">
        <is>
          <t>704001667</t>
        </is>
      </c>
      <c r="G1138" s="14" t="n"/>
      <c r="H1138" s="14" t="n"/>
      <c r="I1138" s="14" t="n"/>
      <c r="J1138" s="14" t="n"/>
      <c r="K1138" s="13">
        <f>IF(G1138="","",IF(G1138&gt;=22,"Да","Нет"))</f>
        <v/>
      </c>
      <c r="L1138" s="13">
        <f>IF(OR(I1138="",J1138=""),"Не определено",IF(OR(COUNTIF(I1138,"45*")&gt;0,COUNTIF(J1138,"*45*")&gt;0,COUNTIF(I1138,"46*")&gt;0,COUNTIF(J1138,"*46*")&gt;0,COUNTIF(I1138,"47*")&gt;0,COUNTIF(J1138,"*47*")&gt;0,COUNTIF(I1138,"10*")&gt;0,COUNTIF(J1138,"*10*")&gt;0,COUNTIF(I1138,"11*")&gt;0,COUNTIF(J1138,"*11*")&gt;0,COUNTIF(I1138,"12*")&gt;0,COUNTIF(J1138,"*12*")&gt;0,COUNTIF(I1138,"13*")&gt;0,COUNTIF(J1138,"*13*")&gt;0,COUNTIF(I1138,"14*")&gt;0,COUNTIF(J1138,"*14*")&gt;0,COUNTIF(I1138,"15*")&gt;0,COUNTIF(J1138,"*15*")&gt;0,COUNTIF(I1138,"16*")&gt;0,COUNTIF(J1138,"*16*")&gt;0,COUNTIF(I1138,"17*")&gt;0,COUNTIF(J1138,"*17*")&gt;0,COUNTIF(I1138,"18*")&gt;0,COUNTIF(J1138,"*18*")&gt;0,COUNTIF(I1138,"19*")&gt;0,COUNTIF(J1138,"*19*")&gt;0,COUNTIF(I1138,"20*")&gt;0,COUNTIF(J1138,"*20*")&gt;0,COUNTIF(I1138,"21*")&gt;0,COUNTIF(J1138,"*21*")&gt;0,COUNTIF(I1138,"22*")&gt;0,COUNTIF(J1138,"*22*")&gt;0,COUNTIF(I1138,"23*")&gt;0,COUNTIF(J1138,"*23*")&gt;0,COUNTIF(I1138,"24*")&gt;0,COUNTIF(J1138,"*24*")&gt;0,COUNTIF(I1138,"25*")&gt;0,COUNTIF(J1138,"*25*")&gt;0,COUNTIF(I1138,"26*")&gt;0,COUNTIF(J1138,"*26*")&gt;0,COUNTIF(I1138,"27*")&gt;0,COUNTIF(J1138,"*27*")&gt;0,COUNTIF(I1138,"28*")&gt;0,COUNTIF(J1138,"*28*")&gt;0,COUNTIF(I1138,"29*")&gt;0,COUNTIF(J1138,"*29*")&gt;0,COUNTIF(I1138,"30*")&gt;0,COUNTIF(J1138,"*30*")&gt;0,COUNTIF(I1138,"31*")&gt;0,COUNTIF(J1138,"*31*")&gt;0,COUNTIF(I1138,"32*")&gt;0,COUNTIF(J1138,"*32*")&gt;0,COUNTIF(I1138,"33*")&gt;0,COUNTIF(J1138,"*33*")&gt;0,COUNTIF(I1138,"41*")&gt;0,COUNTIF(J1138,"*41*")&gt;0,COUNTIF(I1138,"42*")&gt;0,COUNTIF(J1138,"*42*")&gt;0,COUNTIF(I1138,"43*")&gt;0,COUNTIF(J1138,"*43*")&gt;0,COUNTIF(I1138,"49*")&gt;0,COUNTIF(J1138,"*49*")&gt;0,COUNTIF(I1138,"52*")&gt;0,COUNTIF(J1138,"*52*")&gt;0,COUNTIF(I1138,"55*")&gt;0,COUNTIF(J1138,"*55*")&gt;0,COUNTIF(I1138,"56*")&gt;0,COUNTIF(J1138,"*56*")&gt;0,COUNTIF(I1138,"68*")&gt;0,COUNTIF(J1138,"*68*")&gt;0,COUNTIF(I1138,"78*")&gt;0,COUNTIF(J1138,"*78*")&gt;0,COUNTIF(I1138,"81*")&gt;0,COUNTIF(J1138,"*81*")&gt;0,COUNTIF(I1138,"82*")&gt;0,COUNTIF(J1138,"*82*")&gt;0,COUNTIF(I1138,"64*")&gt;0,COUNTIF(J1138,"*64*")&gt;0,COUNTIF(I1138,"65*")&gt;0,COUNTIF(J1138,"*65*")&gt;0,COUNTIF(I1138,"66*")&gt;0,COUNTIF(J1138,"*66*")&gt;0,COUNTIF(I1138,"61*")&gt;0,COUNTIF(J1138,"*61*")&gt;0,COUNTIF(I1138,"62*")&gt;0,COUNTIF(J1138,"*62*")&gt;0,COUNTIF(I1138,"63*")&gt;0,COUNTIF(J1138,"*63*")&gt;0,COUNTIF(I1138,"85*")&gt;0,COUNTIF(J1138,"*85*")&gt;0,COUNTIF(I1138,"86*")&gt;0,COUNTIF(J1138,"*86*")&gt;0),"Да","Нет"))</f>
        <v/>
      </c>
      <c r="M1138" s="13">
        <f>IF(OR(G1138="",L1138&lt;&gt;"Да"),"",IF(G1138&lt;=100,"До 100",IF(G1138&lt;=200,"До 200",IF(G1138&lt;=500,"До 500","Отдельное КП"))))</f>
        <v/>
      </c>
      <c r="N1138" s="15">
        <f>IF(OR(G1138="",L1138&lt;&gt;"Да"),"",IF(G1138&lt;=100,33600,IF(G1138&lt;=200,62400,IF(G1138&lt;=500,144000,""))))</f>
        <v/>
      </c>
      <c r="O1138" s="16">
        <f>IF(G1138="","",IF(G1138&lt;=15,"1–15",IF(G1138&lt;=30,"16–30",IF(G1138&lt;=50,"31–50",IF(G1138&lt;=100,"51–100",IF(G1138&lt;=150,"101–150",IF(G1138&lt;=200,"151–200",IF(G1138&lt;=500,"201–500","500+"))))))))</f>
        <v/>
      </c>
      <c r="P1138" s="16" t="inlineStr">
        <is>
          <t>Нет совпадения в предоставленной выгрузке ССЧР</t>
        </is>
      </c>
      <c r="Q1138" s="16" t="n"/>
      <c r="R1138" s="16">
        <f>HYPERLINK("https://checko.ru/search?query=3801001629","Чекко: проверить")</f>
        <v/>
      </c>
      <c r="S1138" t="n">
        <v>0</v>
      </c>
    </row>
    <row r="1139" ht="15" customHeight="1" s="24">
      <c r="A1139" s="13" t="n">
        <v>5000034595</v>
      </c>
      <c r="B1139" s="13" t="inlineStr">
        <is>
          <t>МБОУ Одинцовская гимназия № 14</t>
        </is>
      </c>
      <c r="C1139" s="13" t="n">
        <v>5032057489</v>
      </c>
      <c r="D1139" s="13" t="inlineStr">
        <is>
          <t>5032057489</t>
        </is>
      </c>
      <c r="E1139" s="13" t="inlineStr">
        <is>
          <t>ЮЛ РФ</t>
        </is>
      </c>
      <c r="F1139" s="13" t="n"/>
      <c r="G1139" s="14" t="n"/>
      <c r="H1139" s="14" t="n"/>
      <c r="I1139" s="14" t="n"/>
      <c r="J1139" s="14" t="n"/>
      <c r="K1139" s="53" t="inlineStr"/>
      <c r="L1139" s="53" t="inlineStr">
        <is>
          <t>Не определено</t>
        </is>
      </c>
      <c r="M1139" s="53" t="inlineStr"/>
      <c r="N1139" s="54" t="inlineStr"/>
      <c r="O1139" s="55" t="inlineStr"/>
      <c r="P1139" s="16" t="inlineStr">
        <is>
          <t>Требует обогащения</t>
        </is>
      </c>
      <c r="Q1139" s="16">
        <f>HYPERLINK("https://pb.nalog.ru/search.html?query=5032057489","ФНС: проверить")</f>
        <v/>
      </c>
      <c r="R1139" s="16">
        <f>HYPERLINK("https://checko.ru/search?query=3801001629","Чекко: проверить")</f>
        <v/>
      </c>
      <c r="S1139" t="n">
        <v>1</v>
      </c>
      <c r="T1139" s="35" t="inlineStr">
        <is>
          <t>4 — Не обогащён</t>
        </is>
      </c>
      <c r="U1139" s="35" t="inlineStr">
        <is>
          <t>Нет ОКВЭД/ССЧР</t>
        </is>
      </c>
      <c r="V1139" s="35" t="inlineStr">
        <is>
          <t>Не определено</t>
        </is>
      </c>
      <c r="W1139" s="35" t="inlineStr"/>
      <c r="X1139" s="35" t="inlineStr"/>
    </row>
    <row r="1140" ht="27.75" customHeight="1" s="24">
      <c r="A1140" s="13" t="n">
        <v>5000034597</v>
      </c>
      <c r="B1140" s="13" t="inlineStr">
        <is>
          <t>МБОУ Одинцовская средняя общеобразовательная школа № 17</t>
        </is>
      </c>
      <c r="C1140" s="13" t="n">
        <v>5032268730</v>
      </c>
      <c r="D1140" s="13" t="inlineStr">
        <is>
          <t>5032268730</t>
        </is>
      </c>
      <c r="E1140" s="13" t="inlineStr">
        <is>
          <t>ЮЛ РФ</t>
        </is>
      </c>
      <c r="F1140" s="13" t="n"/>
      <c r="G1140" s="14" t="n"/>
      <c r="H1140" s="14" t="n"/>
      <c r="I1140" s="14" t="n"/>
      <c r="J1140" s="14" t="n"/>
      <c r="K1140" s="53" t="inlineStr"/>
      <c r="L1140" s="53" t="inlineStr">
        <is>
          <t>Не определено</t>
        </is>
      </c>
      <c r="M1140" s="53" t="inlineStr"/>
      <c r="N1140" s="54" t="inlineStr"/>
      <c r="O1140" s="55" t="inlineStr"/>
      <c r="P1140" s="16" t="inlineStr">
        <is>
          <t>Требует обогащения</t>
        </is>
      </c>
      <c r="Q1140" s="16">
        <f>HYPERLINK("https://pb.nalog.ru/search.html?query=5032268730","ФНС: проверить")</f>
        <v/>
      </c>
      <c r="R1140" s="16">
        <f>HYPERLINK("https://checko.ru/search?query=3801001629","Чекко: проверить")</f>
        <v/>
      </c>
      <c r="S1140" t="n">
        <v>1</v>
      </c>
      <c r="T1140" s="35" t="inlineStr">
        <is>
          <t>4 — Не обогащён</t>
        </is>
      </c>
      <c r="U1140" s="35" t="inlineStr">
        <is>
          <t>Нет ОКВЭД/ССЧР</t>
        </is>
      </c>
      <c r="V1140" s="35" t="inlineStr">
        <is>
          <t>Не определено</t>
        </is>
      </c>
      <c r="W1140" s="35" t="inlineStr"/>
      <c r="X1140" s="35" t="inlineStr"/>
    </row>
    <row r="1141" ht="27.75" customHeight="1" s="24">
      <c r="A1141" s="13" t="n">
        <v>5000034583</v>
      </c>
      <c r="B1141" s="13" t="inlineStr">
        <is>
          <t>МБОУ Одинцовская средняя общеобразовательная школа № 5</t>
        </is>
      </c>
      <c r="C1141" s="13" t="n">
        <v>5032036489</v>
      </c>
      <c r="D1141" s="13" t="inlineStr">
        <is>
          <t>5032036489</t>
        </is>
      </c>
      <c r="E1141" s="13" t="inlineStr">
        <is>
          <t>ЮЛ РФ</t>
        </is>
      </c>
      <c r="F1141" s="13" t="n"/>
      <c r="G1141" s="14" t="n"/>
      <c r="H1141" s="14" t="n"/>
      <c r="I1141" s="14" t="n"/>
      <c r="J1141" s="14" t="n"/>
      <c r="K1141" s="53" t="inlineStr"/>
      <c r="L1141" s="53" t="inlineStr">
        <is>
          <t>Не определено</t>
        </is>
      </c>
      <c r="M1141" s="53" t="inlineStr"/>
      <c r="N1141" s="54" t="inlineStr"/>
      <c r="O1141" s="55" t="inlineStr"/>
      <c r="P1141" s="16" t="inlineStr">
        <is>
          <t>Требует обогащения</t>
        </is>
      </c>
      <c r="Q1141" s="16">
        <f>HYPERLINK("https://pb.nalog.ru/search.html?query=5032036489","ФНС: проверить")</f>
        <v/>
      </c>
      <c r="R1141" s="16">
        <f>HYPERLINK("https://checko.ru/search?query=3801001629","Чекко: проверить")</f>
        <v/>
      </c>
      <c r="S1141" t="n">
        <v>1</v>
      </c>
      <c r="T1141" s="35" t="inlineStr">
        <is>
          <t>4 — Не обогащён</t>
        </is>
      </c>
      <c r="U1141" s="35" t="inlineStr">
        <is>
          <t>Нет ОКВЭД/ССЧР</t>
        </is>
      </c>
      <c r="V1141" s="35" t="inlineStr">
        <is>
          <t>Не определено</t>
        </is>
      </c>
      <c r="W1141" s="35" t="inlineStr"/>
      <c r="X1141" s="35" t="inlineStr"/>
    </row>
    <row r="1142" ht="27.75" customHeight="1" s="24">
      <c r="A1142" s="13" t="n">
        <v>5000034584</v>
      </c>
      <c r="B1142" s="13" t="inlineStr">
        <is>
          <t>МБОУ Одинцовская средняя общеобразовательная школа № 8</t>
        </is>
      </c>
      <c r="C1142" s="13" t="n">
        <v>5032036496</v>
      </c>
      <c r="D1142" s="13" t="inlineStr">
        <is>
          <t>5032036496</t>
        </is>
      </c>
      <c r="E1142" s="13" t="inlineStr">
        <is>
          <t>ЮЛ РФ</t>
        </is>
      </c>
      <c r="F1142" s="13" t="n"/>
      <c r="G1142" s="14" t="n"/>
      <c r="H1142" s="14" t="n"/>
      <c r="I1142" s="14" t="n"/>
      <c r="J1142" s="14" t="n"/>
      <c r="K1142" s="53" t="inlineStr"/>
      <c r="L1142" s="53" t="inlineStr">
        <is>
          <t>Не определено</t>
        </is>
      </c>
      <c r="M1142" s="53" t="inlineStr"/>
      <c r="N1142" s="54" t="inlineStr"/>
      <c r="O1142" s="55" t="inlineStr"/>
      <c r="P1142" s="16" t="inlineStr">
        <is>
          <t>Требует обогащения</t>
        </is>
      </c>
      <c r="Q1142" s="16">
        <f>HYPERLINK("https://pb.nalog.ru/search.html?query=5032036496","ФНС: проверить")</f>
        <v/>
      </c>
      <c r="R1142" s="16">
        <f>HYPERLINK("https://checko.ru/search?query=3801001629","Чекко: проверить")</f>
        <v/>
      </c>
      <c r="S1142" t="n">
        <v>1</v>
      </c>
      <c r="T1142" s="35" t="inlineStr">
        <is>
          <t>4 — Не обогащён</t>
        </is>
      </c>
      <c r="U1142" s="35" t="inlineStr">
        <is>
          <t>Нет ОКВЭД/ССЧР</t>
        </is>
      </c>
      <c r="V1142" s="35" t="inlineStr">
        <is>
          <t>Не определено</t>
        </is>
      </c>
      <c r="W1142" s="35" t="inlineStr"/>
      <c r="X1142" s="35" t="inlineStr"/>
    </row>
    <row r="1143" ht="27.75" customHeight="1" s="24">
      <c r="A1143" s="13" t="n">
        <v>5000034585</v>
      </c>
      <c r="B1143" s="13" t="inlineStr">
        <is>
          <t>МБОУ Одинцовская средняя общеобразовательная школа № 9</t>
        </is>
      </c>
      <c r="C1143" s="13" t="n">
        <v>5032036150</v>
      </c>
      <c r="D1143" s="13" t="inlineStr">
        <is>
          <t>5032036150</t>
        </is>
      </c>
      <c r="E1143" s="13" t="inlineStr">
        <is>
          <t>ЮЛ РФ</t>
        </is>
      </c>
      <c r="F1143" s="13" t="n"/>
      <c r="G1143" s="14" t="n"/>
      <c r="H1143" s="14" t="n"/>
      <c r="I1143" s="14" t="n"/>
      <c r="J1143" s="14" t="n"/>
      <c r="K1143" s="53" t="inlineStr"/>
      <c r="L1143" s="53" t="inlineStr">
        <is>
          <t>Не определено</t>
        </is>
      </c>
      <c r="M1143" s="53" t="inlineStr"/>
      <c r="N1143" s="54" t="inlineStr"/>
      <c r="O1143" s="55" t="inlineStr"/>
      <c r="P1143" s="16" t="inlineStr">
        <is>
          <t>Требует обогащения</t>
        </is>
      </c>
      <c r="Q1143" s="16">
        <f>HYPERLINK("https://pb.nalog.ru/search.html?query=5032036150","ФНС: проверить")</f>
        <v/>
      </c>
      <c r="R1143" s="16">
        <f>HYPERLINK("https://checko.ru/search?query=3801001629","Чекко: проверить")</f>
        <v/>
      </c>
      <c r="S1143" t="n">
        <v>1</v>
      </c>
      <c r="T1143" s="35" t="inlineStr">
        <is>
          <t>4 — Не обогащён</t>
        </is>
      </c>
      <c r="U1143" s="35" t="inlineStr">
        <is>
          <t>Нет ОКВЭД/ССЧР</t>
        </is>
      </c>
      <c r="V1143" s="35" t="inlineStr">
        <is>
          <t>Не определено</t>
        </is>
      </c>
      <c r="W1143" s="35" t="inlineStr"/>
      <c r="X1143" s="35" t="inlineStr"/>
    </row>
    <row r="1144" ht="15" customHeight="1" s="24">
      <c r="A1144" s="13" t="n">
        <v>5000034600</v>
      </c>
      <c r="B1144" s="13" t="inlineStr">
        <is>
          <t>МБОУ Немчиновский лицей</t>
        </is>
      </c>
      <c r="C1144" s="13" t="n">
        <v>5032036697</v>
      </c>
      <c r="D1144" s="13" t="inlineStr">
        <is>
          <t>5032036697</t>
        </is>
      </c>
      <c r="E1144" s="13" t="inlineStr">
        <is>
          <t>ЮЛ РФ</t>
        </is>
      </c>
      <c r="F1144" s="13" t="n"/>
      <c r="G1144" s="14" t="n"/>
      <c r="H1144" s="14" t="n"/>
      <c r="I1144" s="14" t="n"/>
      <c r="J1144" s="14" t="n"/>
      <c r="K1144" s="53" t="inlineStr"/>
      <c r="L1144" s="53" t="inlineStr">
        <is>
          <t>Не определено</t>
        </is>
      </c>
      <c r="M1144" s="53" t="inlineStr"/>
      <c r="N1144" s="54" t="inlineStr"/>
      <c r="O1144" s="55" t="inlineStr"/>
      <c r="P1144" s="16" t="inlineStr">
        <is>
          <t>Требует обогащения</t>
        </is>
      </c>
      <c r="Q1144" s="16">
        <f>HYPERLINK("https://pb.nalog.ru/search.html?query=5032036697","ФНС: проверить")</f>
        <v/>
      </c>
      <c r="R1144" s="16">
        <f>HYPERLINK("https://checko.ru/search?query=3801001629","Чекко: проверить")</f>
        <v/>
      </c>
      <c r="S1144" t="n">
        <v>1</v>
      </c>
      <c r="T1144" s="35" t="inlineStr">
        <is>
          <t>4 — Не обогащён</t>
        </is>
      </c>
      <c r="U1144" s="35" t="inlineStr">
        <is>
          <t>Нет ОКВЭД/ССЧР</t>
        </is>
      </c>
      <c r="V1144" s="35" t="inlineStr">
        <is>
          <t>Не определено</t>
        </is>
      </c>
      <c r="W1144" s="35" t="inlineStr"/>
      <c r="X1144" s="35" t="inlineStr"/>
    </row>
    <row r="1145" ht="27.75" customHeight="1" s="24">
      <c r="A1145" s="13" t="n">
        <v>5000034586</v>
      </c>
      <c r="B1145" s="13" t="inlineStr">
        <is>
          <t>МБОУ Одинцовская средняя общеобразовательная школа № 12</t>
        </is>
      </c>
      <c r="C1145" s="13" t="n">
        <v>5032036506</v>
      </c>
      <c r="D1145" s="13" t="inlineStr">
        <is>
          <t>5032036506</t>
        </is>
      </c>
      <c r="E1145" s="13" t="inlineStr">
        <is>
          <t>ЮЛ РФ</t>
        </is>
      </c>
      <c r="F1145" s="13" t="n"/>
      <c r="G1145" s="14" t="n"/>
      <c r="H1145" s="14" t="n"/>
      <c r="I1145" s="14" t="n"/>
      <c r="J1145" s="14" t="n"/>
      <c r="K1145" s="53" t="inlineStr"/>
      <c r="L1145" s="53" t="inlineStr">
        <is>
          <t>Не определено</t>
        </is>
      </c>
      <c r="M1145" s="53" t="inlineStr"/>
      <c r="N1145" s="54" t="inlineStr"/>
      <c r="O1145" s="55" t="inlineStr"/>
      <c r="P1145" s="16" t="inlineStr">
        <is>
          <t>Требует обогащения</t>
        </is>
      </c>
      <c r="Q1145" s="16">
        <f>HYPERLINK("https://pb.nalog.ru/search.html?query=5032036506","ФНС: проверить")</f>
        <v/>
      </c>
      <c r="R1145" s="16">
        <f>HYPERLINK("https://checko.ru/search?query=3801001629","Чекко: проверить")</f>
        <v/>
      </c>
      <c r="S1145" t="n">
        <v>1</v>
      </c>
      <c r="T1145" s="35" t="inlineStr">
        <is>
          <t>4 — Не обогащён</t>
        </is>
      </c>
      <c r="U1145" s="35" t="inlineStr">
        <is>
          <t>Нет ОКВЭД/ССЧР</t>
        </is>
      </c>
      <c r="V1145" s="35" t="inlineStr">
        <is>
          <t>Не определено</t>
        </is>
      </c>
      <c r="W1145" s="35" t="inlineStr"/>
      <c r="X1145" s="35" t="inlineStr"/>
    </row>
    <row r="1146" ht="27.75" customHeight="1" s="24">
      <c r="A1146" s="13" t="n">
        <v>5000034588</v>
      </c>
      <c r="B1146" s="13" t="inlineStr">
        <is>
          <t>МБОУ Барвихинская средняя общеобразовательная школа</t>
        </is>
      </c>
      <c r="C1146" s="13" t="n">
        <v>5032036231</v>
      </c>
      <c r="D1146" s="13" t="inlineStr">
        <is>
          <t>5032036231</t>
        </is>
      </c>
      <c r="E1146" s="13" t="inlineStr">
        <is>
          <t>ЮЛ РФ</t>
        </is>
      </c>
      <c r="F1146" s="13" t="n"/>
      <c r="G1146" s="14" t="n"/>
      <c r="H1146" s="14" t="n"/>
      <c r="I1146" s="14" t="n"/>
      <c r="J1146" s="14" t="n"/>
      <c r="K1146" s="53" t="inlineStr"/>
      <c r="L1146" s="53" t="inlineStr">
        <is>
          <t>Не определено</t>
        </is>
      </c>
      <c r="M1146" s="53" t="inlineStr"/>
      <c r="N1146" s="54" t="inlineStr"/>
      <c r="O1146" s="55" t="inlineStr"/>
      <c r="P1146" s="16" t="inlineStr">
        <is>
          <t>Требует обогащения</t>
        </is>
      </c>
      <c r="Q1146" s="16">
        <f>HYPERLINK("https://pb.nalog.ru/search.html?query=5032036231","ФНС: проверить")</f>
        <v/>
      </c>
      <c r="R1146" s="16">
        <f>HYPERLINK("https://checko.ru/search?query=3801001629","Чекко: проверить")</f>
        <v/>
      </c>
      <c r="S1146" t="n">
        <v>1</v>
      </c>
      <c r="T1146" s="35" t="inlineStr">
        <is>
          <t>4 — Не обогащён</t>
        </is>
      </c>
      <c r="U1146" s="35" t="inlineStr">
        <is>
          <t>Нет ОКВЭД/ССЧР</t>
        </is>
      </c>
      <c r="V1146" s="35" t="inlineStr">
        <is>
          <t>Не определено</t>
        </is>
      </c>
      <c r="W1146" s="35" t="inlineStr"/>
      <c r="X1146" s="35" t="inlineStr"/>
    </row>
    <row r="1147" ht="27.75" customHeight="1" s="24">
      <c r="A1147" s="13" t="n">
        <v>5000034602</v>
      </c>
      <c r="B1147" s="13" t="inlineStr">
        <is>
          <t>МБК(К)ОУ (коррекционная) общеобразовательная школа "Надежда"</t>
        </is>
      </c>
      <c r="C1147" s="13" t="n">
        <v>5032055241</v>
      </c>
      <c r="D1147" s="13" t="inlineStr">
        <is>
          <t>5032055241</t>
        </is>
      </c>
      <c r="E1147" s="13" t="inlineStr">
        <is>
          <t>ЮЛ РФ</t>
        </is>
      </c>
      <c r="F1147" s="13" t="n"/>
      <c r="G1147" s="14" t="n"/>
      <c r="H1147" s="14" t="n"/>
      <c r="I1147" s="14" t="n"/>
      <c r="J1147" s="14" t="n"/>
      <c r="K1147" s="53" t="inlineStr"/>
      <c r="L1147" s="53" t="inlineStr">
        <is>
          <t>Не определено</t>
        </is>
      </c>
      <c r="M1147" s="53" t="inlineStr"/>
      <c r="N1147" s="54" t="inlineStr"/>
      <c r="O1147" s="55" t="inlineStr"/>
      <c r="P1147" s="16" t="inlineStr">
        <is>
          <t>Требует обогащения</t>
        </is>
      </c>
      <c r="Q1147" s="16">
        <f>HYPERLINK("https://pb.nalog.ru/search.html?query=5032055241","ФНС: проверить")</f>
        <v/>
      </c>
      <c r="R1147" s="16">
        <f>HYPERLINK("https://checko.ru/search?query=3801001629","Чекко: проверить")</f>
        <v/>
      </c>
      <c r="S1147" t="n">
        <v>1</v>
      </c>
      <c r="T1147" s="35" t="inlineStr">
        <is>
          <t>4 — Не обогащён</t>
        </is>
      </c>
      <c r="U1147" s="35" t="inlineStr">
        <is>
          <t>Нет ОКВЭД/ССЧР</t>
        </is>
      </c>
      <c r="V1147" s="35" t="inlineStr">
        <is>
          <t>Не определено</t>
        </is>
      </c>
      <c r="W1147" s="35" t="inlineStr"/>
      <c r="X1147" s="35" t="inlineStr"/>
    </row>
    <row r="1148" ht="15" customHeight="1" s="24">
      <c r="A1148" s="13" t="n">
        <v>5000034603</v>
      </c>
      <c r="B1148" s="13" t="inlineStr">
        <is>
          <t>МБОУ Голцанская СОШ №1</t>
        </is>
      </c>
      <c r="C1148" s="13" t="n">
        <v>5032036087</v>
      </c>
      <c r="D1148" s="13" t="inlineStr">
        <is>
          <t>5032036087</t>
        </is>
      </c>
      <c r="E1148" s="13" t="inlineStr">
        <is>
          <t>ЮЛ РФ</t>
        </is>
      </c>
      <c r="F1148" s="13" t="n"/>
      <c r="G1148" s="14" t="n"/>
      <c r="H1148" s="14" t="n"/>
      <c r="I1148" s="14" t="n"/>
      <c r="J1148" s="14" t="n"/>
      <c r="K1148" s="53" t="inlineStr"/>
      <c r="L1148" s="53" t="inlineStr">
        <is>
          <t>Не определено</t>
        </is>
      </c>
      <c r="M1148" s="53" t="inlineStr"/>
      <c r="N1148" s="54" t="inlineStr"/>
      <c r="O1148" s="55" t="inlineStr"/>
      <c r="P1148" s="16" t="inlineStr">
        <is>
          <t>Требует обогащения</t>
        </is>
      </c>
      <c r="Q1148" s="16">
        <f>HYPERLINK("https://pb.nalog.ru/search.html?query=5032036087","ФНС: проверить")</f>
        <v/>
      </c>
      <c r="R1148" s="16">
        <f>HYPERLINK("https://checko.ru/search?query=3801001629","Чекко: проверить")</f>
        <v/>
      </c>
      <c r="S1148" t="n">
        <v>1</v>
      </c>
      <c r="T1148" s="35" t="inlineStr">
        <is>
          <t>4 — Не обогащён</t>
        </is>
      </c>
      <c r="U1148" s="35" t="inlineStr">
        <is>
          <t>Нет ОКВЭД/ССЧР</t>
        </is>
      </c>
      <c r="V1148" s="35" t="inlineStr">
        <is>
          <t>Не определено</t>
        </is>
      </c>
      <c r="W1148" s="35" t="inlineStr"/>
      <c r="X1148" s="35" t="inlineStr"/>
    </row>
    <row r="1149" ht="27.75" customHeight="1" s="24">
      <c r="A1149" s="13" t="n">
        <v>5000034590</v>
      </c>
      <c r="B1149" s="13" t="inlineStr">
        <is>
          <t>МБОУ Лесногородская средняя общеобразовательная школа</t>
        </is>
      </c>
      <c r="C1149" s="13" t="n">
        <v>5032036295</v>
      </c>
      <c r="D1149" s="13" t="inlineStr">
        <is>
          <t>5032036295</t>
        </is>
      </c>
      <c r="E1149" s="13" t="inlineStr">
        <is>
          <t>ЮЛ РФ</t>
        </is>
      </c>
      <c r="F1149" s="13" t="n"/>
      <c r="G1149" s="14" t="n"/>
      <c r="H1149" s="14" t="n"/>
      <c r="I1149" s="14" t="n"/>
      <c r="J1149" s="14" t="n"/>
      <c r="K1149" s="53" t="inlineStr"/>
      <c r="L1149" s="53" t="inlineStr">
        <is>
          <t>Не определено</t>
        </is>
      </c>
      <c r="M1149" s="53" t="inlineStr"/>
      <c r="N1149" s="54" t="inlineStr"/>
      <c r="O1149" s="55" t="inlineStr"/>
      <c r="P1149" s="16" t="inlineStr">
        <is>
          <t>Требует обогащения</t>
        </is>
      </c>
      <c r="Q1149" s="16">
        <f>HYPERLINK("https://pb.nalog.ru/search.html?query=5032036295","ФНС: проверить")</f>
        <v/>
      </c>
      <c r="R1149" s="16">
        <f>HYPERLINK("https://checko.ru/search?query=3801001629","Чекко: проверить")</f>
        <v/>
      </c>
      <c r="S1149" t="n">
        <v>1</v>
      </c>
      <c r="T1149" s="35" t="inlineStr">
        <is>
          <t>4 — Не обогащён</t>
        </is>
      </c>
      <c r="U1149" s="35" t="inlineStr">
        <is>
          <t>Нет ОКВЭД/ССЧР</t>
        </is>
      </c>
      <c r="V1149" s="35" t="inlineStr">
        <is>
          <t>Не определено</t>
        </is>
      </c>
      <c r="W1149" s="35" t="inlineStr"/>
      <c r="X1149" s="35" t="inlineStr"/>
    </row>
    <row r="1150" ht="41.25" customHeight="1" s="24">
      <c r="A1150" s="13" t="n">
        <v>5000034648</v>
      </c>
      <c r="B1150" s="13" t="inlineStr">
        <is>
          <t>МКОУ Одинцовский районный центр психолого-педагогической,медицинской и социальной помощи "Сопровождение"</t>
        </is>
      </c>
      <c r="C1150" s="13" t="n">
        <v>5032059969</v>
      </c>
      <c r="D1150" s="13" t="inlineStr">
        <is>
          <t>5032059969</t>
        </is>
      </c>
      <c r="E1150" s="13" t="inlineStr">
        <is>
          <t>ЮЛ РФ</t>
        </is>
      </c>
      <c r="F1150" s="13" t="n"/>
      <c r="G1150" s="14" t="n"/>
      <c r="H1150" s="14" t="n"/>
      <c r="I1150" s="14" t="n"/>
      <c r="J1150" s="14" t="n"/>
      <c r="K1150" s="53" t="inlineStr"/>
      <c r="L1150" s="53" t="inlineStr">
        <is>
          <t>Не определено</t>
        </is>
      </c>
      <c r="M1150" s="53" t="inlineStr"/>
      <c r="N1150" s="54" t="inlineStr"/>
      <c r="O1150" s="55" t="inlineStr"/>
      <c r="P1150" s="16" t="inlineStr">
        <is>
          <t>Требует обогащения</t>
        </is>
      </c>
      <c r="Q1150" s="16">
        <f>HYPERLINK("https://pb.nalog.ru/search.html?query=5032059969","ФНС: проверить")</f>
        <v/>
      </c>
      <c r="R1150" s="16">
        <f>HYPERLINK("https://checko.ru/search?query=3801001629","Чекко: проверить")</f>
        <v/>
      </c>
      <c r="S1150" t="n">
        <v>1</v>
      </c>
      <c r="T1150" s="35" t="inlineStr">
        <is>
          <t>4 — Не обогащён</t>
        </is>
      </c>
      <c r="U1150" s="35" t="inlineStr">
        <is>
          <t>Нет ОКВЭД/ССЧР</t>
        </is>
      </c>
      <c r="V1150" s="35" t="inlineStr">
        <is>
          <t>Не определено</t>
        </is>
      </c>
      <c r="W1150" s="35" t="inlineStr"/>
      <c r="X1150" s="35" t="inlineStr"/>
    </row>
    <row r="1151" ht="15" customHeight="1" s="24">
      <c r="A1151" s="13" t="n">
        <v>5000034592</v>
      </c>
      <c r="B1151" s="13" t="inlineStr">
        <is>
          <t>МБОУ Одинцовская гимназия № 7</t>
        </is>
      </c>
      <c r="C1151" s="13" t="n">
        <v>5032036714</v>
      </c>
      <c r="D1151" s="13" t="inlineStr">
        <is>
          <t>5032036714</t>
        </is>
      </c>
      <c r="E1151" s="13" t="inlineStr">
        <is>
          <t>ЮЛ РФ</t>
        </is>
      </c>
      <c r="F1151" s="13" t="n"/>
      <c r="G1151" s="14" t="n"/>
      <c r="H1151" s="14" t="n"/>
      <c r="I1151" s="14" t="n"/>
      <c r="J1151" s="14" t="n"/>
      <c r="K1151" s="53" t="inlineStr"/>
      <c r="L1151" s="53" t="inlineStr">
        <is>
          <t>Не определено</t>
        </is>
      </c>
      <c r="M1151" s="53" t="inlineStr"/>
      <c r="N1151" s="54" t="inlineStr"/>
      <c r="O1151" s="55" t="inlineStr"/>
      <c r="P1151" s="16" t="inlineStr">
        <is>
          <t>Требует обогащения</t>
        </is>
      </c>
      <c r="Q1151" s="16">
        <f>HYPERLINK("https://pb.nalog.ru/search.html?query=5032036714","ФНС: проверить")</f>
        <v/>
      </c>
      <c r="R1151" s="16">
        <f>HYPERLINK("https://checko.ru/search?query=3801001629","Чекко: проверить")</f>
        <v/>
      </c>
      <c r="S1151" t="n">
        <v>1</v>
      </c>
      <c r="T1151" s="35" t="inlineStr">
        <is>
          <t>4 — Не обогащён</t>
        </is>
      </c>
      <c r="U1151" s="35" t="inlineStr">
        <is>
          <t>Нет ОКВЭД/ССЧР</t>
        </is>
      </c>
      <c r="V1151" s="35" t="inlineStr">
        <is>
          <t>Не определено</t>
        </is>
      </c>
      <c r="W1151" s="35" t="inlineStr"/>
      <c r="X1151" s="35" t="inlineStr"/>
    </row>
    <row r="1152" ht="15" customHeight="1" s="24">
      <c r="A1152" s="13" t="n">
        <v>5000034606</v>
      </c>
      <c r="B1152" s="13" t="inlineStr">
        <is>
          <t>МБДОУ  ДСКВ №40</t>
        </is>
      </c>
      <c r="C1152" s="13" t="n">
        <v>5032099520</v>
      </c>
      <c r="D1152" s="13" t="inlineStr">
        <is>
          <t>5032099520</t>
        </is>
      </c>
      <c r="E1152" s="13" t="inlineStr">
        <is>
          <t>ЮЛ РФ</t>
        </is>
      </c>
      <c r="F1152" s="13" t="n"/>
      <c r="G1152" s="14" t="n"/>
      <c r="H1152" s="14" t="n"/>
      <c r="I1152" s="14" t="n"/>
      <c r="J1152" s="14" t="n"/>
      <c r="K1152" s="53" t="inlineStr"/>
      <c r="L1152" s="53" t="inlineStr">
        <is>
          <t>Не определено</t>
        </is>
      </c>
      <c r="M1152" s="53" t="inlineStr"/>
      <c r="N1152" s="54" t="inlineStr"/>
      <c r="O1152" s="55" t="inlineStr"/>
      <c r="P1152" s="16" t="inlineStr">
        <is>
          <t>Требует обогащения</t>
        </is>
      </c>
      <c r="Q1152" s="16">
        <f>HYPERLINK("https://pb.nalog.ru/search.html?query=5032099520","ФНС: проверить")</f>
        <v/>
      </c>
      <c r="R1152" s="16">
        <f>HYPERLINK("https://checko.ru/search?query=3801001629","Чекко: проверить")</f>
        <v/>
      </c>
      <c r="S1152" t="n">
        <v>1</v>
      </c>
      <c r="T1152" s="35" t="inlineStr">
        <is>
          <t>4 — Не обогащён</t>
        </is>
      </c>
      <c r="U1152" s="35" t="inlineStr">
        <is>
          <t>Нет ОКВЭД/ССЧР</t>
        </is>
      </c>
      <c r="V1152" s="35" t="inlineStr">
        <is>
          <t>Не определено</t>
        </is>
      </c>
      <c r="W1152" s="35" t="inlineStr"/>
      <c r="X1152" s="35" t="inlineStr"/>
    </row>
    <row r="1153" ht="15" customHeight="1" s="24">
      <c r="A1153" s="13" t="n">
        <v>5000034593</v>
      </c>
      <c r="B1153" s="13" t="inlineStr">
        <is>
          <t>МБОУ Одинцовская гимназия № 11</t>
        </is>
      </c>
      <c r="C1153" s="13" t="n">
        <v>5032036739</v>
      </c>
      <c r="D1153" s="13" t="inlineStr">
        <is>
          <t>5032036739</t>
        </is>
      </c>
      <c r="E1153" s="13" t="inlineStr">
        <is>
          <t>ЮЛ РФ</t>
        </is>
      </c>
      <c r="F1153" s="13" t="n"/>
      <c r="G1153" s="14" t="n"/>
      <c r="H1153" s="14" t="n"/>
      <c r="I1153" s="14" t="n"/>
      <c r="J1153" s="14" t="n"/>
      <c r="K1153" s="53" t="inlineStr"/>
      <c r="L1153" s="53" t="inlineStr">
        <is>
          <t>Не определено</t>
        </is>
      </c>
      <c r="M1153" s="53" t="inlineStr"/>
      <c r="N1153" s="54" t="inlineStr"/>
      <c r="O1153" s="55" t="inlineStr"/>
      <c r="P1153" s="16" t="inlineStr">
        <is>
          <t>Требует обогащения</t>
        </is>
      </c>
      <c r="Q1153" s="16">
        <f>HYPERLINK("https://pb.nalog.ru/search.html?query=5032036739","ФНС: проверить")</f>
        <v/>
      </c>
      <c r="R1153" s="16">
        <f>HYPERLINK("https://checko.ru/search?query=3801001629","Чекко: проверить")</f>
        <v/>
      </c>
      <c r="S1153" t="n">
        <v>1</v>
      </c>
      <c r="T1153" s="35" t="inlineStr">
        <is>
          <t>4 — Не обогащён</t>
        </is>
      </c>
      <c r="U1153" s="35" t="inlineStr">
        <is>
          <t>Нет ОКВЭД/ССЧР</t>
        </is>
      </c>
      <c r="V1153" s="35" t="inlineStr">
        <is>
          <t>Не определено</t>
        </is>
      </c>
      <c r="W1153" s="35" t="inlineStr"/>
      <c r="X1153" s="35" t="inlineStr"/>
    </row>
    <row r="1154" ht="27.75" customHeight="1" s="24">
      <c r="A1154" s="13" t="n">
        <v>5000034645</v>
      </c>
      <c r="B1154" s="13" t="inlineStr">
        <is>
          <t>МАУ ДО ОДИНЦОВСКИЙ ЦЕНТР ЭСТЕТИЧЕСКОГО ВОСПИТАНИЯ</t>
        </is>
      </c>
      <c r="C1154" s="13" t="n">
        <v>5032039779</v>
      </c>
      <c r="D1154" s="13" t="inlineStr">
        <is>
          <t>5032039779</t>
        </is>
      </c>
      <c r="E1154" s="13" t="inlineStr">
        <is>
          <t>ЮЛ РФ</t>
        </is>
      </c>
      <c r="F1154" s="13" t="n"/>
      <c r="G1154" s="14" t="n"/>
      <c r="H1154" s="14" t="n"/>
      <c r="I1154" s="14" t="n"/>
      <c r="J1154" s="14" t="n"/>
      <c r="K1154" s="53" t="inlineStr"/>
      <c r="L1154" s="53" t="inlineStr">
        <is>
          <t>Не определено</t>
        </is>
      </c>
      <c r="M1154" s="53" t="inlineStr"/>
      <c r="N1154" s="54" t="inlineStr"/>
      <c r="O1154" s="55" t="inlineStr"/>
      <c r="P1154" s="16" t="inlineStr">
        <is>
          <t>Требует обогащения</t>
        </is>
      </c>
      <c r="Q1154" s="16">
        <f>HYPERLINK("https://pb.nalog.ru/search.html?query=5032039779","ФНС: проверить")</f>
        <v/>
      </c>
      <c r="R1154" s="16">
        <f>HYPERLINK("https://checko.ru/search?query=3801001629","Чекко: проверить")</f>
        <v/>
      </c>
      <c r="S1154" t="n">
        <v>1</v>
      </c>
      <c r="T1154" s="35" t="inlineStr">
        <is>
          <t>4 — Не обогащён</t>
        </is>
      </c>
      <c r="U1154" s="35" t="inlineStr">
        <is>
          <t>Нет ОКВЭД/ССЧР</t>
        </is>
      </c>
      <c r="V1154" s="35" t="inlineStr">
        <is>
          <t>Не определено</t>
        </is>
      </c>
      <c r="W1154" s="35" t="inlineStr"/>
      <c r="X1154" s="35" t="inlineStr"/>
    </row>
    <row r="1155" ht="15" customHeight="1" s="24">
      <c r="A1155" s="13" t="n">
        <v>5000094810</v>
      </c>
      <c r="B1155" s="13" t="inlineStr">
        <is>
          <t>МОУ СОШ с. Урвань</t>
        </is>
      </c>
      <c r="C1155" s="13" t="n">
        <v>707011695</v>
      </c>
      <c r="D1155" s="13" t="n"/>
      <c r="E1155" s="13" t="inlineStr">
        <is>
          <t>Не определён</t>
        </is>
      </c>
      <c r="F1155" s="13" t="inlineStr">
        <is>
          <t>707011695</t>
        </is>
      </c>
      <c r="G1155" s="14" t="n"/>
      <c r="H1155" s="14" t="n"/>
      <c r="I1155" s="14" t="n"/>
      <c r="J1155" s="14" t="n"/>
      <c r="K1155" s="13">
        <f>IF(G1155="","",IF(G1155&gt;=22,"Да","Нет"))</f>
        <v/>
      </c>
      <c r="L1155" s="13">
        <f>IF(OR(I1155="",J1155=""),"Не определено",IF(OR(COUNTIF(I1155,"45*")&gt;0,COUNTIF(J1155,"*45*")&gt;0,COUNTIF(I1155,"46*")&gt;0,COUNTIF(J1155,"*46*")&gt;0,COUNTIF(I1155,"47*")&gt;0,COUNTIF(J1155,"*47*")&gt;0,COUNTIF(I1155,"10*")&gt;0,COUNTIF(J1155,"*10*")&gt;0,COUNTIF(I1155,"11*")&gt;0,COUNTIF(J1155,"*11*")&gt;0,COUNTIF(I1155,"12*")&gt;0,COUNTIF(J1155,"*12*")&gt;0,COUNTIF(I1155,"13*")&gt;0,COUNTIF(J1155,"*13*")&gt;0,COUNTIF(I1155,"14*")&gt;0,COUNTIF(J1155,"*14*")&gt;0,COUNTIF(I1155,"15*")&gt;0,COUNTIF(J1155,"*15*")&gt;0,COUNTIF(I1155,"16*")&gt;0,COUNTIF(J1155,"*16*")&gt;0,COUNTIF(I1155,"17*")&gt;0,COUNTIF(J1155,"*17*")&gt;0,COUNTIF(I1155,"18*")&gt;0,COUNTIF(J1155,"*18*")&gt;0,COUNTIF(I1155,"19*")&gt;0,COUNTIF(J1155,"*19*")&gt;0,COUNTIF(I1155,"20*")&gt;0,COUNTIF(J1155,"*20*")&gt;0,COUNTIF(I1155,"21*")&gt;0,COUNTIF(J1155,"*21*")&gt;0,COUNTIF(I1155,"22*")&gt;0,COUNTIF(J1155,"*22*")&gt;0,COUNTIF(I1155,"23*")&gt;0,COUNTIF(J1155,"*23*")&gt;0,COUNTIF(I1155,"24*")&gt;0,COUNTIF(J1155,"*24*")&gt;0,COUNTIF(I1155,"25*")&gt;0,COUNTIF(J1155,"*25*")&gt;0,COUNTIF(I1155,"26*")&gt;0,COUNTIF(J1155,"*26*")&gt;0,COUNTIF(I1155,"27*")&gt;0,COUNTIF(J1155,"*27*")&gt;0,COUNTIF(I1155,"28*")&gt;0,COUNTIF(J1155,"*28*")&gt;0,COUNTIF(I1155,"29*")&gt;0,COUNTIF(J1155,"*29*")&gt;0,COUNTIF(I1155,"30*")&gt;0,COUNTIF(J1155,"*30*")&gt;0,COUNTIF(I1155,"31*")&gt;0,COUNTIF(J1155,"*31*")&gt;0,COUNTIF(I1155,"32*")&gt;0,COUNTIF(J1155,"*32*")&gt;0,COUNTIF(I1155,"33*")&gt;0,COUNTIF(J1155,"*33*")&gt;0,COUNTIF(I1155,"41*")&gt;0,COUNTIF(J1155,"*41*")&gt;0,COUNTIF(I1155,"42*")&gt;0,COUNTIF(J1155,"*42*")&gt;0,COUNTIF(I1155,"43*")&gt;0,COUNTIF(J1155,"*43*")&gt;0,COUNTIF(I1155,"49*")&gt;0,COUNTIF(J1155,"*49*")&gt;0,COUNTIF(I1155,"52*")&gt;0,COUNTIF(J1155,"*52*")&gt;0,COUNTIF(I1155,"55*")&gt;0,COUNTIF(J1155,"*55*")&gt;0,COUNTIF(I1155,"56*")&gt;0,COUNTIF(J1155,"*56*")&gt;0,COUNTIF(I1155,"68*")&gt;0,COUNTIF(J1155,"*68*")&gt;0,COUNTIF(I1155,"78*")&gt;0,COUNTIF(J1155,"*78*")&gt;0,COUNTIF(I1155,"81*")&gt;0,COUNTIF(J1155,"*81*")&gt;0,COUNTIF(I1155,"82*")&gt;0,COUNTIF(J1155,"*82*")&gt;0,COUNTIF(I1155,"64*")&gt;0,COUNTIF(J1155,"*64*")&gt;0,COUNTIF(I1155,"65*")&gt;0,COUNTIF(J1155,"*65*")&gt;0,COUNTIF(I1155,"66*")&gt;0,COUNTIF(J1155,"*66*")&gt;0,COUNTIF(I1155,"61*")&gt;0,COUNTIF(J1155,"*61*")&gt;0,COUNTIF(I1155,"62*")&gt;0,COUNTIF(J1155,"*62*")&gt;0,COUNTIF(I1155,"63*")&gt;0,COUNTIF(J1155,"*63*")&gt;0,COUNTIF(I1155,"85*")&gt;0,COUNTIF(J1155,"*85*")&gt;0,COUNTIF(I1155,"86*")&gt;0,COUNTIF(J1155,"*86*")&gt;0),"Да","Нет"))</f>
        <v/>
      </c>
      <c r="M1155" s="13">
        <f>IF(OR(G1155="",L1155&lt;&gt;"Да"),"",IF(G1155&lt;=100,"До 100",IF(G1155&lt;=200,"До 200",IF(G1155&lt;=500,"До 500","Отдельное КП"))))</f>
        <v/>
      </c>
      <c r="N1155" s="15">
        <f>IF(OR(G1155="",L1155&lt;&gt;"Да"),"",IF(G1155&lt;=100,33600,IF(G1155&lt;=200,62400,IF(G1155&lt;=500,144000,""))))</f>
        <v/>
      </c>
      <c r="O1155" s="16">
        <f>IF(G1155="","",IF(G1155&lt;=15,"1–15",IF(G1155&lt;=30,"16–30",IF(G1155&lt;=50,"31–50",IF(G1155&lt;=100,"51–100",IF(G1155&lt;=150,"101–150",IF(G1155&lt;=200,"151–200",IF(G1155&lt;=500,"201–500","500+"))))))))</f>
        <v/>
      </c>
      <c r="P1155" s="16" t="inlineStr">
        <is>
          <t>Нет совпадения в предоставленной выгрузке ССЧР</t>
        </is>
      </c>
      <c r="Q1155" s="16" t="n"/>
      <c r="R1155" s="16">
        <f>HYPERLINK("https://checko.ru/search?query=3801001629","Чекко: проверить")</f>
        <v/>
      </c>
      <c r="S1155" t="n">
        <v>0</v>
      </c>
    </row>
    <row r="1156" ht="27.75" customHeight="1" s="24">
      <c r="A1156" s="13" t="n">
        <v>5000001877</v>
      </c>
      <c r="B1156" s="13" t="inlineStr">
        <is>
          <t>Шелеховская территориальная избирательная комиссия</t>
        </is>
      </c>
      <c r="C1156" s="13" t="n">
        <v>3821013527</v>
      </c>
      <c r="D1156" s="13" t="inlineStr">
        <is>
          <t>3821013527</t>
        </is>
      </c>
      <c r="E1156" s="13" t="inlineStr">
        <is>
          <t>ЮЛ РФ</t>
        </is>
      </c>
      <c r="F1156" s="13" t="n"/>
      <c r="G1156" s="14" t="n"/>
      <c r="H1156" s="14" t="n"/>
      <c r="I1156" s="14" t="n"/>
      <c r="J1156" s="14" t="n"/>
      <c r="K1156" s="53" t="inlineStr"/>
      <c r="L1156" s="53" t="inlineStr">
        <is>
          <t>Не определено</t>
        </is>
      </c>
      <c r="M1156" s="53" t="inlineStr"/>
      <c r="N1156" s="54" t="inlineStr"/>
      <c r="O1156" s="55" t="inlineStr"/>
      <c r="P1156" s="16" t="inlineStr">
        <is>
          <t>Требует обогащения</t>
        </is>
      </c>
      <c r="Q1156" s="16">
        <f>HYPERLINK("https://pb.nalog.ru/search.html?query=3821013527","ФНС: проверить")</f>
        <v/>
      </c>
      <c r="R1156" s="16">
        <f>HYPERLINK("https://checko.ru/search?query=3801001629","Чекко: проверить")</f>
        <v/>
      </c>
      <c r="S1156" t="n">
        <v>1</v>
      </c>
      <c r="T1156" s="35" t="inlineStr">
        <is>
          <t>4 — Не обогащён</t>
        </is>
      </c>
      <c r="U1156" s="35" t="inlineStr">
        <is>
          <t>Нет ОКВЭД/ССЧР</t>
        </is>
      </c>
      <c r="V1156" s="35" t="inlineStr">
        <is>
          <t>Не определено</t>
        </is>
      </c>
      <c r="W1156" s="35" t="inlineStr"/>
      <c r="X1156" s="35" t="inlineStr"/>
    </row>
    <row r="1157" ht="15" customHeight="1" s="24">
      <c r="A1157" s="13" t="n">
        <v>5000008598</v>
      </c>
      <c r="B1157" s="13" t="inlineStr">
        <is>
          <t>УФССП России по Алтайскому краю</t>
        </is>
      </c>
      <c r="C1157" s="13" t="n">
        <v>2225066621</v>
      </c>
      <c r="D1157" s="13" t="inlineStr">
        <is>
          <t>2225066621</t>
        </is>
      </c>
      <c r="E1157" s="13" t="inlineStr">
        <is>
          <t>ЮЛ РФ</t>
        </is>
      </c>
      <c r="F1157" s="13" t="n"/>
      <c r="G1157" s="14" t="n"/>
      <c r="H1157" s="14" t="n"/>
      <c r="I1157" s="14" t="n"/>
      <c r="J1157" s="14" t="n"/>
      <c r="K1157" s="53" t="inlineStr"/>
      <c r="L1157" s="53" t="inlineStr">
        <is>
          <t>Не определено</t>
        </is>
      </c>
      <c r="M1157" s="53" t="inlineStr"/>
      <c r="N1157" s="54" t="inlineStr"/>
      <c r="O1157" s="55" t="inlineStr"/>
      <c r="P1157" s="16" t="inlineStr">
        <is>
          <t>Требует обогащения</t>
        </is>
      </c>
      <c r="Q1157" s="16">
        <f>HYPERLINK("https://pb.nalog.ru/search.html?query=2225066621","ФНС: проверить")</f>
        <v/>
      </c>
      <c r="R1157" s="16">
        <f>HYPERLINK("https://checko.ru/search?query=3801001629","Чекко: проверить")</f>
        <v/>
      </c>
      <c r="S1157" t="n">
        <v>1</v>
      </c>
      <c r="T1157" s="35" t="inlineStr">
        <is>
          <t>4 — Не обогащён</t>
        </is>
      </c>
      <c r="U1157" s="35" t="inlineStr">
        <is>
          <t>Нет ОКВЭД/ССЧР</t>
        </is>
      </c>
      <c r="V1157" s="35" t="inlineStr">
        <is>
          <t>Не определено</t>
        </is>
      </c>
      <c r="W1157" s="35" t="inlineStr"/>
      <c r="X1157" s="35" t="inlineStr"/>
    </row>
    <row r="1158" ht="27.75" customHeight="1" s="24">
      <c r="A1158" s="13" t="n">
        <v>5000094912</v>
      </c>
      <c r="B1158" s="13" t="inlineStr">
        <is>
          <t>ГБУЗ "Районная стоматологическая поликлиника" г. Тырныауза</t>
        </is>
      </c>
      <c r="C1158" s="13" t="n">
        <v>710003038</v>
      </c>
      <c r="D1158" s="13" t="n"/>
      <c r="E1158" s="13" t="inlineStr">
        <is>
          <t>Не определён</t>
        </is>
      </c>
      <c r="F1158" s="13" t="inlineStr">
        <is>
          <t>710003038</t>
        </is>
      </c>
      <c r="G1158" s="14" t="n"/>
      <c r="H1158" s="14" t="n"/>
      <c r="I1158" s="14" t="n"/>
      <c r="J1158" s="14" t="n"/>
      <c r="K1158" s="13">
        <f>IF(G1158="","",IF(G1158&gt;=22,"Да","Нет"))</f>
        <v/>
      </c>
      <c r="L1158" s="13">
        <f>IF(OR(I1158="",J1158=""),"Не определено",IF(OR(COUNTIF(I1158,"45*")&gt;0,COUNTIF(J1158,"*45*")&gt;0,COUNTIF(I1158,"46*")&gt;0,COUNTIF(J1158,"*46*")&gt;0,COUNTIF(I1158,"47*")&gt;0,COUNTIF(J1158,"*47*")&gt;0,COUNTIF(I1158,"10*")&gt;0,COUNTIF(J1158,"*10*")&gt;0,COUNTIF(I1158,"11*")&gt;0,COUNTIF(J1158,"*11*")&gt;0,COUNTIF(I1158,"12*")&gt;0,COUNTIF(J1158,"*12*")&gt;0,COUNTIF(I1158,"13*")&gt;0,COUNTIF(J1158,"*13*")&gt;0,COUNTIF(I1158,"14*")&gt;0,COUNTIF(J1158,"*14*")&gt;0,COUNTIF(I1158,"15*")&gt;0,COUNTIF(J1158,"*15*")&gt;0,COUNTIF(I1158,"16*")&gt;0,COUNTIF(J1158,"*16*")&gt;0,COUNTIF(I1158,"17*")&gt;0,COUNTIF(J1158,"*17*")&gt;0,COUNTIF(I1158,"18*")&gt;0,COUNTIF(J1158,"*18*")&gt;0,COUNTIF(I1158,"19*")&gt;0,COUNTIF(J1158,"*19*")&gt;0,COUNTIF(I1158,"20*")&gt;0,COUNTIF(J1158,"*20*")&gt;0,COUNTIF(I1158,"21*")&gt;0,COUNTIF(J1158,"*21*")&gt;0,COUNTIF(I1158,"22*")&gt;0,COUNTIF(J1158,"*22*")&gt;0,COUNTIF(I1158,"23*")&gt;0,COUNTIF(J1158,"*23*")&gt;0,COUNTIF(I1158,"24*")&gt;0,COUNTIF(J1158,"*24*")&gt;0,COUNTIF(I1158,"25*")&gt;0,COUNTIF(J1158,"*25*")&gt;0,COUNTIF(I1158,"26*")&gt;0,COUNTIF(J1158,"*26*")&gt;0,COUNTIF(I1158,"27*")&gt;0,COUNTIF(J1158,"*27*")&gt;0,COUNTIF(I1158,"28*")&gt;0,COUNTIF(J1158,"*28*")&gt;0,COUNTIF(I1158,"29*")&gt;0,COUNTIF(J1158,"*29*")&gt;0,COUNTIF(I1158,"30*")&gt;0,COUNTIF(J1158,"*30*")&gt;0,COUNTIF(I1158,"31*")&gt;0,COUNTIF(J1158,"*31*")&gt;0,COUNTIF(I1158,"32*")&gt;0,COUNTIF(J1158,"*32*")&gt;0,COUNTIF(I1158,"33*")&gt;0,COUNTIF(J1158,"*33*")&gt;0,COUNTIF(I1158,"41*")&gt;0,COUNTIF(J1158,"*41*")&gt;0,COUNTIF(I1158,"42*")&gt;0,COUNTIF(J1158,"*42*")&gt;0,COUNTIF(I1158,"43*")&gt;0,COUNTIF(J1158,"*43*")&gt;0,COUNTIF(I1158,"49*")&gt;0,COUNTIF(J1158,"*49*")&gt;0,COUNTIF(I1158,"52*")&gt;0,COUNTIF(J1158,"*52*")&gt;0,COUNTIF(I1158,"55*")&gt;0,COUNTIF(J1158,"*55*")&gt;0,COUNTIF(I1158,"56*")&gt;0,COUNTIF(J1158,"*56*")&gt;0,COUNTIF(I1158,"68*")&gt;0,COUNTIF(J1158,"*68*")&gt;0,COUNTIF(I1158,"78*")&gt;0,COUNTIF(J1158,"*78*")&gt;0,COUNTIF(I1158,"81*")&gt;0,COUNTIF(J1158,"*81*")&gt;0,COUNTIF(I1158,"82*")&gt;0,COUNTIF(J1158,"*82*")&gt;0,COUNTIF(I1158,"64*")&gt;0,COUNTIF(J1158,"*64*")&gt;0,COUNTIF(I1158,"65*")&gt;0,COUNTIF(J1158,"*65*")&gt;0,COUNTIF(I1158,"66*")&gt;0,COUNTIF(J1158,"*66*")&gt;0,COUNTIF(I1158,"61*")&gt;0,COUNTIF(J1158,"*61*")&gt;0,COUNTIF(I1158,"62*")&gt;0,COUNTIF(J1158,"*62*")&gt;0,COUNTIF(I1158,"63*")&gt;0,COUNTIF(J1158,"*63*")&gt;0,COUNTIF(I1158,"85*")&gt;0,COUNTIF(J1158,"*85*")&gt;0,COUNTIF(I1158,"86*")&gt;0,COUNTIF(J1158,"*86*")&gt;0),"Да","Нет"))</f>
        <v/>
      </c>
      <c r="M1158" s="13">
        <f>IF(OR(G1158="",L1158&lt;&gt;"Да"),"",IF(G1158&lt;=100,"До 100",IF(G1158&lt;=200,"До 200",IF(G1158&lt;=500,"До 500","Отдельное КП"))))</f>
        <v/>
      </c>
      <c r="N1158" s="15">
        <f>IF(OR(G1158="",L1158&lt;&gt;"Да"),"",IF(G1158&lt;=100,33600,IF(G1158&lt;=200,62400,IF(G1158&lt;=500,144000,""))))</f>
        <v/>
      </c>
      <c r="O1158" s="16">
        <f>IF(G1158="","",IF(G1158&lt;=15,"1–15",IF(G1158&lt;=30,"16–30",IF(G1158&lt;=50,"31–50",IF(G1158&lt;=100,"51–100",IF(G1158&lt;=150,"101–150",IF(G1158&lt;=200,"151–200",IF(G1158&lt;=500,"201–500","500+"))))))))</f>
        <v/>
      </c>
      <c r="P1158" s="16" t="inlineStr">
        <is>
          <t>Нет совпадения в предоставленной выгрузке ССЧР</t>
        </is>
      </c>
      <c r="Q1158" s="16" t="n"/>
      <c r="R1158" s="16">
        <f>HYPERLINK("https://checko.ru/search?query=3801001629","Чекко: проверить")</f>
        <v/>
      </c>
      <c r="S1158" t="n">
        <v>0</v>
      </c>
    </row>
    <row r="1159" ht="15" customHeight="1" s="24">
      <c r="A1159" s="13" t="n">
        <v>5000001916</v>
      </c>
      <c r="B1159" s="13" t="inlineStr">
        <is>
          <t>ОГБОУ НПО Профессиональное училище №66</t>
        </is>
      </c>
      <c r="C1159" s="13" t="n">
        <v>3817008965</v>
      </c>
      <c r="D1159" s="13" t="inlineStr">
        <is>
          <t>3817008965</t>
        </is>
      </c>
      <c r="E1159" s="13" t="inlineStr">
        <is>
          <t>ЮЛ РФ</t>
        </is>
      </c>
      <c r="F1159" s="13" t="n"/>
      <c r="G1159" s="14" t="n"/>
      <c r="H1159" s="14" t="n"/>
      <c r="I1159" s="14" t="n"/>
      <c r="J1159" s="14" t="n"/>
      <c r="K1159" s="53" t="inlineStr"/>
      <c r="L1159" s="53" t="inlineStr">
        <is>
          <t>Не определено</t>
        </is>
      </c>
      <c r="M1159" s="53" t="inlineStr"/>
      <c r="N1159" s="54" t="inlineStr"/>
      <c r="O1159" s="55" t="inlineStr"/>
      <c r="P1159" s="16" t="inlineStr">
        <is>
          <t>Требует обогащения</t>
        </is>
      </c>
      <c r="Q1159" s="16">
        <f>HYPERLINK("https://pb.nalog.ru/search.html?query=3817008965","ФНС: проверить")</f>
        <v/>
      </c>
      <c r="R1159" s="16">
        <f>HYPERLINK("https://checko.ru/search?query=3801001629","Чекко: проверить")</f>
        <v/>
      </c>
      <c r="S1159" t="n">
        <v>1</v>
      </c>
      <c r="T1159" s="35" t="inlineStr">
        <is>
          <t>4 — Не обогащён</t>
        </is>
      </c>
      <c r="U1159" s="35" t="inlineStr">
        <is>
          <t>Нет ОКВЭД/ССЧР</t>
        </is>
      </c>
      <c r="V1159" s="35" t="inlineStr">
        <is>
          <t>Не определено</t>
        </is>
      </c>
      <c r="W1159" s="35" t="inlineStr"/>
      <c r="X1159" s="35" t="inlineStr"/>
    </row>
    <row r="1160" ht="15" customHeight="1" s="24">
      <c r="A1160" s="13" t="n">
        <v>5000008592</v>
      </c>
      <c r="B1160" s="13" t="inlineStr">
        <is>
          <t>УФССП России по Курганской области</t>
        </is>
      </c>
      <c r="C1160" s="13" t="n">
        <v>4501111767</v>
      </c>
      <c r="D1160" s="13" t="inlineStr">
        <is>
          <t>4501111767</t>
        </is>
      </c>
      <c r="E1160" s="13" t="inlineStr">
        <is>
          <t>ЮЛ РФ</t>
        </is>
      </c>
      <c r="F1160" s="13" t="n"/>
      <c r="G1160" s="14" t="n"/>
      <c r="H1160" s="14" t="n"/>
      <c r="I1160" s="14" t="n"/>
      <c r="J1160" s="14" t="n"/>
      <c r="K1160" s="53" t="inlineStr"/>
      <c r="L1160" s="53" t="inlineStr">
        <is>
          <t>Не определено</t>
        </is>
      </c>
      <c r="M1160" s="53" t="inlineStr"/>
      <c r="N1160" s="54" t="inlineStr"/>
      <c r="O1160" s="55" t="inlineStr"/>
      <c r="P1160" s="16" t="inlineStr">
        <is>
          <t>Требует обогащения</t>
        </is>
      </c>
      <c r="Q1160" s="16">
        <f>HYPERLINK("https://pb.nalog.ru/search.html?query=4501111767","ФНС: проверить")</f>
        <v/>
      </c>
      <c r="R1160" s="16">
        <f>HYPERLINK("https://checko.ru/search?query=3801001629","Чекко: проверить")</f>
        <v/>
      </c>
      <c r="S1160" t="n">
        <v>1</v>
      </c>
      <c r="T1160" s="35" t="inlineStr">
        <is>
          <t>4 — Не обогащён</t>
        </is>
      </c>
      <c r="U1160" s="35" t="inlineStr">
        <is>
          <t>Нет ОКВЭД/ССЧР</t>
        </is>
      </c>
      <c r="V1160" s="35" t="inlineStr">
        <is>
          <t>Не определено</t>
        </is>
      </c>
      <c r="W1160" s="35" t="inlineStr"/>
      <c r="X1160" s="35" t="inlineStr"/>
    </row>
    <row r="1161" ht="15" customHeight="1" s="24">
      <c r="A1161" s="13" t="n">
        <v>5000008551</v>
      </c>
      <c r="B1161" s="13" t="inlineStr">
        <is>
          <t>УФССП России по Тамбовской области</t>
        </is>
      </c>
      <c r="C1161" s="13" t="n">
        <v>6829010040</v>
      </c>
      <c r="D1161" s="13" t="inlineStr">
        <is>
          <t>6829010040</t>
        </is>
      </c>
      <c r="E1161" s="13" t="inlineStr">
        <is>
          <t>ЮЛ РФ</t>
        </is>
      </c>
      <c r="F1161" s="13" t="n"/>
      <c r="G1161" s="14" t="n"/>
      <c r="H1161" s="14" t="n"/>
      <c r="I1161" s="14" t="n"/>
      <c r="J1161" s="14" t="n"/>
      <c r="K1161" s="53" t="inlineStr"/>
      <c r="L1161" s="53" t="inlineStr">
        <is>
          <t>Не определено</t>
        </is>
      </c>
      <c r="M1161" s="53" t="inlineStr"/>
      <c r="N1161" s="54" t="inlineStr"/>
      <c r="O1161" s="55" t="inlineStr"/>
      <c r="P1161" s="16" t="inlineStr">
        <is>
          <t>Требует обогащения</t>
        </is>
      </c>
      <c r="Q1161" s="16">
        <f>HYPERLINK("https://pb.nalog.ru/search.html?query=6829010040","ФНС: проверить")</f>
        <v/>
      </c>
      <c r="R1161" s="16">
        <f>HYPERLINK("https://checko.ru/search?query=3801001629","Чекко: проверить")</f>
        <v/>
      </c>
      <c r="S1161" t="n">
        <v>1</v>
      </c>
      <c r="T1161" s="35" t="inlineStr">
        <is>
          <t>4 — Не обогащён</t>
        </is>
      </c>
      <c r="U1161" s="35" t="inlineStr">
        <is>
          <t>Нет ОКВЭД/ССЧР</t>
        </is>
      </c>
      <c r="V1161" s="35" t="inlineStr">
        <is>
          <t>Не определено</t>
        </is>
      </c>
      <c r="W1161" s="35" t="inlineStr"/>
      <c r="X1161" s="35" t="inlineStr"/>
    </row>
    <row r="1162" ht="27.75" customHeight="1" s="24">
      <c r="A1162" s="13" t="n">
        <v>5000062516</v>
      </c>
      <c r="B1162" s="13" t="inlineStr">
        <is>
          <t>ОбГБУ СПО техникум технологии и сервиса в селе Большое Н</t>
        </is>
      </c>
      <c r="C1162" s="13" t="n">
        <v>7322004475</v>
      </c>
      <c r="D1162" s="13" t="inlineStr">
        <is>
          <t>7322004475</t>
        </is>
      </c>
      <c r="E1162" s="13" t="inlineStr">
        <is>
          <t>ЮЛ РФ</t>
        </is>
      </c>
      <c r="F1162" s="13" t="n"/>
      <c r="G1162" s="14" t="n"/>
      <c r="H1162" s="14" t="n"/>
      <c r="I1162" s="14" t="n"/>
      <c r="J1162" s="14" t="n"/>
      <c r="K1162" s="53" t="inlineStr"/>
      <c r="L1162" s="53" t="inlineStr">
        <is>
          <t>Не определено</t>
        </is>
      </c>
      <c r="M1162" s="53" t="inlineStr"/>
      <c r="N1162" s="54" t="inlineStr"/>
      <c r="O1162" s="55" t="inlineStr"/>
      <c r="P1162" s="16" t="inlineStr">
        <is>
          <t>Требует обогащения</t>
        </is>
      </c>
      <c r="Q1162" s="16">
        <f>HYPERLINK("https://pb.nalog.ru/search.html?query=7322004475","ФНС: проверить")</f>
        <v/>
      </c>
      <c r="R1162" s="16">
        <f>HYPERLINK("https://checko.ru/search?query=3801001629","Чекко: проверить")</f>
        <v/>
      </c>
      <c r="S1162" t="n">
        <v>1</v>
      </c>
      <c r="T1162" s="35" t="inlineStr">
        <is>
          <t>4 — Не обогащён</t>
        </is>
      </c>
      <c r="U1162" s="35" t="inlineStr">
        <is>
          <t>Нет ОКВЭД/ССЧР</t>
        </is>
      </c>
      <c r="V1162" s="35" t="inlineStr">
        <is>
          <t>Не определено</t>
        </is>
      </c>
      <c r="W1162" s="35" t="inlineStr"/>
      <c r="X1162" s="35" t="inlineStr"/>
    </row>
    <row r="1163" ht="27.75" customHeight="1" s="24">
      <c r="A1163" s="13" t="n">
        <v>5000076960</v>
      </c>
      <c r="B1163" s="13" t="inlineStr">
        <is>
          <t>ГКУ Ульяновской области "Инзенское лесничество"</t>
        </is>
      </c>
      <c r="C1163" s="13" t="n">
        <v>7306039738</v>
      </c>
      <c r="D1163" s="13" t="inlineStr">
        <is>
          <t>7306039738</t>
        </is>
      </c>
      <c r="E1163" s="13" t="inlineStr">
        <is>
          <t>ЮЛ РФ</t>
        </is>
      </c>
      <c r="F1163" s="13" t="n"/>
      <c r="G1163" s="14" t="n"/>
      <c r="H1163" s="14" t="n"/>
      <c r="I1163" s="14" t="n"/>
      <c r="J1163" s="14" t="n"/>
      <c r="K1163" s="53" t="inlineStr"/>
      <c r="L1163" s="53" t="inlineStr">
        <is>
          <t>Не определено</t>
        </is>
      </c>
      <c r="M1163" s="53" t="inlineStr"/>
      <c r="N1163" s="54" t="inlineStr"/>
      <c r="O1163" s="55" t="inlineStr"/>
      <c r="P1163" s="16" t="inlineStr">
        <is>
          <t>Требует обогащения</t>
        </is>
      </c>
      <c r="Q1163" s="16">
        <f>HYPERLINK("https://pb.nalog.ru/search.html?query=7306039738","ФНС: проверить")</f>
        <v/>
      </c>
      <c r="R1163" s="16">
        <f>HYPERLINK("https://checko.ru/search?query=3801001629","Чекко: проверить")</f>
        <v/>
      </c>
      <c r="S1163" t="n">
        <v>1</v>
      </c>
      <c r="T1163" s="35" t="inlineStr">
        <is>
          <t>4 — Не обогащён</t>
        </is>
      </c>
      <c r="U1163" s="35" t="inlineStr">
        <is>
          <t>Нет ОКВЭД/ССЧР</t>
        </is>
      </c>
      <c r="V1163" s="35" t="inlineStr">
        <is>
          <t>Не определено</t>
        </is>
      </c>
      <c r="W1163" s="35" t="inlineStr"/>
      <c r="X1163" s="35" t="inlineStr"/>
    </row>
    <row r="1164" ht="15" customHeight="1" s="24">
      <c r="A1164" s="13" t="n">
        <v>5000001481</v>
      </c>
      <c r="B1164" s="13" t="inlineStr">
        <is>
          <t>ОГКУ "Центр ГО и ЧС"</t>
        </is>
      </c>
      <c r="C1164" s="13" t="n">
        <v>3808122566</v>
      </c>
      <c r="D1164" s="13" t="inlineStr">
        <is>
          <t>3808122566</t>
        </is>
      </c>
      <c r="E1164" s="13" t="inlineStr">
        <is>
          <t>ЮЛ РФ</t>
        </is>
      </c>
      <c r="F1164" s="13" t="n"/>
      <c r="G1164" s="14" t="n"/>
      <c r="H1164" s="14" t="n"/>
      <c r="I1164" s="14" t="n"/>
      <c r="J1164" s="14" t="n"/>
      <c r="K1164" s="53" t="inlineStr"/>
      <c r="L1164" s="53" t="inlineStr">
        <is>
          <t>Не определено</t>
        </is>
      </c>
      <c r="M1164" s="53" t="inlineStr"/>
      <c r="N1164" s="54" t="inlineStr"/>
      <c r="O1164" s="55" t="inlineStr"/>
      <c r="P1164" s="16" t="inlineStr">
        <is>
          <t>Требует обогащения</t>
        </is>
      </c>
      <c r="Q1164" s="16">
        <f>HYPERLINK("https://pb.nalog.ru/search.html?query=3808122566","ФНС: проверить")</f>
        <v/>
      </c>
      <c r="R1164" s="16">
        <f>HYPERLINK("https://checko.ru/search?query=3801001629","Чекко: проверить")</f>
        <v/>
      </c>
      <c r="S1164" t="n">
        <v>1</v>
      </c>
      <c r="T1164" s="35" t="inlineStr">
        <is>
          <t>4 — Не обогащён</t>
        </is>
      </c>
      <c r="U1164" s="35" t="inlineStr">
        <is>
          <t>Нет ОКВЭД/ССЧР</t>
        </is>
      </c>
      <c r="V1164" s="35" t="inlineStr">
        <is>
          <t>Не определено</t>
        </is>
      </c>
      <c r="W1164" s="35" t="inlineStr"/>
      <c r="X1164" s="35" t="inlineStr"/>
    </row>
    <row r="1165" ht="68.25" customHeight="1" s="24">
      <c r="A1165" s="13" t="n">
        <v>5000106143</v>
      </c>
      <c r="B1165" s="13" t="inlineStr">
        <is>
          <t>МУНИЦИПАЛЬНОЕ БЮДЖЕТНОЕ ОБЩЕОБРАЗОВАТЕЛЬНОЕ УЧРЕЖДЕНИЕ "ВОЙКОВСКАЯ СРЕДНЯЯ ОБЩЕОБРАЗОВАТЕЛЬНАЯ ШКОЛА ИМЕНИ ОЛЕГА СТУКОЛОВА" СОРОЧИНСКОГО ГОРОДСКОГО ОК</t>
        </is>
      </c>
      <c r="C1165" s="13" t="n">
        <v>5647005421</v>
      </c>
      <c r="D1165" s="13" t="inlineStr">
        <is>
          <t>5647005421</t>
        </is>
      </c>
      <c r="E1165" s="13" t="inlineStr">
        <is>
          <t>ЮЛ РФ</t>
        </is>
      </c>
      <c r="F1165" s="13" t="n"/>
      <c r="G1165" s="14" t="n"/>
      <c r="H1165" s="14" t="n"/>
      <c r="I1165" s="14" t="n"/>
      <c r="J1165" s="14" t="n"/>
      <c r="K1165" s="53" t="inlineStr"/>
      <c r="L1165" s="53" t="inlineStr">
        <is>
          <t>Не определено</t>
        </is>
      </c>
      <c r="M1165" s="53" t="inlineStr"/>
      <c r="N1165" s="54" t="inlineStr"/>
      <c r="O1165" s="55" t="inlineStr"/>
      <c r="P1165" s="16" t="inlineStr">
        <is>
          <t>Требует обогащения</t>
        </is>
      </c>
      <c r="Q1165" s="16">
        <f>HYPERLINK("https://pb.nalog.ru/search.html?query=5647005421","ФНС: проверить")</f>
        <v/>
      </c>
      <c r="R1165" s="16">
        <f>HYPERLINK("https://checko.ru/search?query=3801001629","Чекко: проверить")</f>
        <v/>
      </c>
      <c r="S1165" t="n">
        <v>1</v>
      </c>
      <c r="T1165" s="35" t="inlineStr">
        <is>
          <t>4 — Не обогащён</t>
        </is>
      </c>
      <c r="U1165" s="35" t="inlineStr">
        <is>
          <t>Нет ОКВЭД/ССЧР</t>
        </is>
      </c>
      <c r="V1165" s="35" t="inlineStr">
        <is>
          <t>Не определено</t>
        </is>
      </c>
      <c r="W1165" s="35" t="inlineStr"/>
      <c r="X1165" s="35" t="inlineStr"/>
    </row>
    <row r="1166" ht="15" customHeight="1" s="24">
      <c r="A1166" s="13" t="n">
        <v>5000106086</v>
      </c>
      <c r="B1166" s="13" t="inlineStr">
        <is>
          <t>ГАУЗ "БСМП" г. Новотроицка</t>
        </is>
      </c>
      <c r="C1166" s="13" t="n">
        <v>5607140720</v>
      </c>
      <c r="D1166" s="13" t="inlineStr">
        <is>
          <t>5607140720</t>
        </is>
      </c>
      <c r="E1166" s="13" t="inlineStr">
        <is>
          <t>ЮЛ РФ</t>
        </is>
      </c>
      <c r="F1166" s="13" t="n"/>
      <c r="G1166" s="14" t="n"/>
      <c r="H1166" s="14" t="n"/>
      <c r="I1166" s="14" t="n"/>
      <c r="J1166" s="14" t="n"/>
      <c r="K1166" s="53" t="inlineStr"/>
      <c r="L1166" s="53" t="inlineStr">
        <is>
          <t>Не определено</t>
        </is>
      </c>
      <c r="M1166" s="53" t="inlineStr"/>
      <c r="N1166" s="54" t="inlineStr"/>
      <c r="O1166" s="55" t="inlineStr"/>
      <c r="P1166" s="16" t="inlineStr">
        <is>
          <t>Требует обогащения</t>
        </is>
      </c>
      <c r="Q1166" s="16">
        <f>HYPERLINK("https://pb.nalog.ru/search.html?query=5607140720","ФНС: проверить")</f>
        <v/>
      </c>
      <c r="R1166" s="16">
        <f>HYPERLINK("https://checko.ru/search?query=3801001629","Чекко: проверить")</f>
        <v/>
      </c>
      <c r="S1166" t="n">
        <v>1</v>
      </c>
      <c r="T1166" s="35" t="inlineStr">
        <is>
          <t>4 — Не обогащён</t>
        </is>
      </c>
      <c r="U1166" s="35" t="inlineStr">
        <is>
          <t>Нет ОКВЭД/ССЧР</t>
        </is>
      </c>
      <c r="V1166" s="35" t="inlineStr">
        <is>
          <t>Не определено</t>
        </is>
      </c>
      <c r="W1166" s="35" t="inlineStr"/>
      <c r="X1166" s="35" t="inlineStr"/>
    </row>
    <row r="1167" ht="41.25" customHeight="1" s="24">
      <c r="A1167" s="13" t="n">
        <v>5000095241</v>
      </c>
      <c r="B1167" s="13" t="inlineStr">
        <is>
          <t>Управление по государственной охране объектов культурного наследия Кабардино-Балкарской Республики</t>
        </is>
      </c>
      <c r="C1167" s="13" t="n">
        <v>725018735</v>
      </c>
      <c r="D1167" s="13" t="n"/>
      <c r="E1167" s="13" t="inlineStr">
        <is>
          <t>Не определён</t>
        </is>
      </c>
      <c r="F1167" s="13" t="inlineStr">
        <is>
          <t>725018735</t>
        </is>
      </c>
      <c r="G1167" s="14" t="n"/>
      <c r="H1167" s="14" t="n"/>
      <c r="I1167" s="14" t="n"/>
      <c r="J1167" s="14" t="n"/>
      <c r="K1167" s="13">
        <f>IF(G1167="","",IF(G1167&gt;=22,"Да","Нет"))</f>
        <v/>
      </c>
      <c r="L1167" s="13">
        <f>IF(OR(I1167="",J1167=""),"Не определено",IF(OR(COUNTIF(I1167,"45*")&gt;0,COUNTIF(J1167,"*45*")&gt;0,COUNTIF(I1167,"46*")&gt;0,COUNTIF(J1167,"*46*")&gt;0,COUNTIF(I1167,"47*")&gt;0,COUNTIF(J1167,"*47*")&gt;0,COUNTIF(I1167,"10*")&gt;0,COUNTIF(J1167,"*10*")&gt;0,COUNTIF(I1167,"11*")&gt;0,COUNTIF(J1167,"*11*")&gt;0,COUNTIF(I1167,"12*")&gt;0,COUNTIF(J1167,"*12*")&gt;0,COUNTIF(I1167,"13*")&gt;0,COUNTIF(J1167,"*13*")&gt;0,COUNTIF(I1167,"14*")&gt;0,COUNTIF(J1167,"*14*")&gt;0,COUNTIF(I1167,"15*")&gt;0,COUNTIF(J1167,"*15*")&gt;0,COUNTIF(I1167,"16*")&gt;0,COUNTIF(J1167,"*16*")&gt;0,COUNTIF(I1167,"17*")&gt;0,COUNTIF(J1167,"*17*")&gt;0,COUNTIF(I1167,"18*")&gt;0,COUNTIF(J1167,"*18*")&gt;0,COUNTIF(I1167,"19*")&gt;0,COUNTIF(J1167,"*19*")&gt;0,COUNTIF(I1167,"20*")&gt;0,COUNTIF(J1167,"*20*")&gt;0,COUNTIF(I1167,"21*")&gt;0,COUNTIF(J1167,"*21*")&gt;0,COUNTIF(I1167,"22*")&gt;0,COUNTIF(J1167,"*22*")&gt;0,COUNTIF(I1167,"23*")&gt;0,COUNTIF(J1167,"*23*")&gt;0,COUNTIF(I1167,"24*")&gt;0,COUNTIF(J1167,"*24*")&gt;0,COUNTIF(I1167,"25*")&gt;0,COUNTIF(J1167,"*25*")&gt;0,COUNTIF(I1167,"26*")&gt;0,COUNTIF(J1167,"*26*")&gt;0,COUNTIF(I1167,"27*")&gt;0,COUNTIF(J1167,"*27*")&gt;0,COUNTIF(I1167,"28*")&gt;0,COUNTIF(J1167,"*28*")&gt;0,COUNTIF(I1167,"29*")&gt;0,COUNTIF(J1167,"*29*")&gt;0,COUNTIF(I1167,"30*")&gt;0,COUNTIF(J1167,"*30*")&gt;0,COUNTIF(I1167,"31*")&gt;0,COUNTIF(J1167,"*31*")&gt;0,COUNTIF(I1167,"32*")&gt;0,COUNTIF(J1167,"*32*")&gt;0,COUNTIF(I1167,"33*")&gt;0,COUNTIF(J1167,"*33*")&gt;0,COUNTIF(I1167,"41*")&gt;0,COUNTIF(J1167,"*41*")&gt;0,COUNTIF(I1167,"42*")&gt;0,COUNTIF(J1167,"*42*")&gt;0,COUNTIF(I1167,"43*")&gt;0,COUNTIF(J1167,"*43*")&gt;0,COUNTIF(I1167,"49*")&gt;0,COUNTIF(J1167,"*49*")&gt;0,COUNTIF(I1167,"52*")&gt;0,COUNTIF(J1167,"*52*")&gt;0,COUNTIF(I1167,"55*")&gt;0,COUNTIF(J1167,"*55*")&gt;0,COUNTIF(I1167,"56*")&gt;0,COUNTIF(J1167,"*56*")&gt;0,COUNTIF(I1167,"68*")&gt;0,COUNTIF(J1167,"*68*")&gt;0,COUNTIF(I1167,"78*")&gt;0,COUNTIF(J1167,"*78*")&gt;0,COUNTIF(I1167,"81*")&gt;0,COUNTIF(J1167,"*81*")&gt;0,COUNTIF(I1167,"82*")&gt;0,COUNTIF(J1167,"*82*")&gt;0,COUNTIF(I1167,"64*")&gt;0,COUNTIF(J1167,"*64*")&gt;0,COUNTIF(I1167,"65*")&gt;0,COUNTIF(J1167,"*65*")&gt;0,COUNTIF(I1167,"66*")&gt;0,COUNTIF(J1167,"*66*")&gt;0,COUNTIF(I1167,"61*")&gt;0,COUNTIF(J1167,"*61*")&gt;0,COUNTIF(I1167,"62*")&gt;0,COUNTIF(J1167,"*62*")&gt;0,COUNTIF(I1167,"63*")&gt;0,COUNTIF(J1167,"*63*")&gt;0,COUNTIF(I1167,"85*")&gt;0,COUNTIF(J1167,"*85*")&gt;0,COUNTIF(I1167,"86*")&gt;0,COUNTIF(J1167,"*86*")&gt;0),"Да","Нет"))</f>
        <v/>
      </c>
      <c r="M1167" s="13">
        <f>IF(OR(G1167="",L1167&lt;&gt;"Да"),"",IF(G1167&lt;=100,"До 100",IF(G1167&lt;=200,"До 200",IF(G1167&lt;=500,"До 500","Отдельное КП"))))</f>
        <v/>
      </c>
      <c r="N1167" s="15">
        <f>IF(OR(G1167="",L1167&lt;&gt;"Да"),"",IF(G1167&lt;=100,33600,IF(G1167&lt;=200,62400,IF(G1167&lt;=500,144000,""))))</f>
        <v/>
      </c>
      <c r="O1167" s="16">
        <f>IF(G1167="","",IF(G1167&lt;=15,"1–15",IF(G1167&lt;=30,"16–30",IF(G1167&lt;=50,"31–50",IF(G1167&lt;=100,"51–100",IF(G1167&lt;=150,"101–150",IF(G1167&lt;=200,"151–200",IF(G1167&lt;=500,"201–500","500+"))))))))</f>
        <v/>
      </c>
      <c r="P1167" s="16" t="inlineStr">
        <is>
          <t>Нет совпадения в предоставленной выгрузке ССЧР</t>
        </is>
      </c>
      <c r="Q1167" s="16" t="n"/>
      <c r="R1167" s="16">
        <f>HYPERLINK("https://checko.ru/search?query=3801001629","Чекко: проверить")</f>
        <v/>
      </c>
      <c r="S1167" t="n">
        <v>0</v>
      </c>
    </row>
    <row r="1168" ht="15" customHeight="1" s="24">
      <c r="A1168" s="13" t="n">
        <v>5000121122</v>
      </c>
      <c r="B1168" s="13" t="inlineStr">
        <is>
          <t>МКУ "ЦХО ОМС"</t>
        </is>
      </c>
      <c r="C1168" s="13" t="n">
        <v>5032223150</v>
      </c>
      <c r="D1168" s="13" t="inlineStr">
        <is>
          <t>5032223150</t>
        </is>
      </c>
      <c r="E1168" s="13" t="inlineStr">
        <is>
          <t>ЮЛ РФ</t>
        </is>
      </c>
      <c r="F1168" s="13" t="n"/>
      <c r="G1168" s="14" t="n"/>
      <c r="H1168" s="14" t="n"/>
      <c r="I1168" s="14" t="n"/>
      <c r="J1168" s="14" t="n"/>
      <c r="K1168" s="53" t="inlineStr"/>
      <c r="L1168" s="53" t="inlineStr">
        <is>
          <t>Не определено</t>
        </is>
      </c>
      <c r="M1168" s="53" t="inlineStr"/>
      <c r="N1168" s="54" t="inlineStr"/>
      <c r="O1168" s="55" t="inlineStr"/>
      <c r="P1168" s="16" t="inlineStr">
        <is>
          <t>Требует обогащения</t>
        </is>
      </c>
      <c r="Q1168" s="16">
        <f>HYPERLINK("https://pb.nalog.ru/search.html?query=5032223150","ФНС: проверить")</f>
        <v/>
      </c>
      <c r="R1168" s="16">
        <f>HYPERLINK("https://checko.ru/search?query=3801001629","Чекко: проверить")</f>
        <v/>
      </c>
      <c r="S1168" t="n">
        <v>1</v>
      </c>
      <c r="T1168" s="35" t="inlineStr">
        <is>
          <t>4 — Не обогащён</t>
        </is>
      </c>
      <c r="U1168" s="35" t="inlineStr">
        <is>
          <t>Нет ОКВЭД/ССЧР</t>
        </is>
      </c>
      <c r="V1168" s="35" t="inlineStr">
        <is>
          <t>Не определено</t>
        </is>
      </c>
      <c r="W1168" s="35" t="inlineStr"/>
      <c r="X1168" s="35" t="inlineStr"/>
    </row>
    <row r="1169" ht="15" customHeight="1" s="24">
      <c r="A1169" s="13" t="n">
        <v>5000095111</v>
      </c>
      <c r="B1169" s="13" t="inlineStr">
        <is>
          <t>МОУ "СОШ им П.П. Грецая ст. Солдатской"</t>
        </is>
      </c>
      <c r="C1169" s="13" t="n">
        <v>716001238</v>
      </c>
      <c r="D1169" s="13" t="n"/>
      <c r="E1169" s="13" t="inlineStr">
        <is>
          <t>Не определён</t>
        </is>
      </c>
      <c r="F1169" s="13" t="inlineStr">
        <is>
          <t>716001238</t>
        </is>
      </c>
      <c r="G1169" s="14" t="n"/>
      <c r="H1169" s="14" t="n"/>
      <c r="I1169" s="14" t="n"/>
      <c r="J1169" s="14" t="n"/>
      <c r="K1169" s="13">
        <f>IF(G1169="","",IF(G1169&gt;=22,"Да","Нет"))</f>
        <v/>
      </c>
      <c r="L1169" s="13">
        <f>IF(OR(I1169="",J1169=""),"Не определено",IF(OR(COUNTIF(I1169,"45*")&gt;0,COUNTIF(J1169,"*45*")&gt;0,COUNTIF(I1169,"46*")&gt;0,COUNTIF(J1169,"*46*")&gt;0,COUNTIF(I1169,"47*")&gt;0,COUNTIF(J1169,"*47*")&gt;0,COUNTIF(I1169,"10*")&gt;0,COUNTIF(J1169,"*10*")&gt;0,COUNTIF(I1169,"11*")&gt;0,COUNTIF(J1169,"*11*")&gt;0,COUNTIF(I1169,"12*")&gt;0,COUNTIF(J1169,"*12*")&gt;0,COUNTIF(I1169,"13*")&gt;0,COUNTIF(J1169,"*13*")&gt;0,COUNTIF(I1169,"14*")&gt;0,COUNTIF(J1169,"*14*")&gt;0,COUNTIF(I1169,"15*")&gt;0,COUNTIF(J1169,"*15*")&gt;0,COUNTIF(I1169,"16*")&gt;0,COUNTIF(J1169,"*16*")&gt;0,COUNTIF(I1169,"17*")&gt;0,COUNTIF(J1169,"*17*")&gt;0,COUNTIF(I1169,"18*")&gt;0,COUNTIF(J1169,"*18*")&gt;0,COUNTIF(I1169,"19*")&gt;0,COUNTIF(J1169,"*19*")&gt;0,COUNTIF(I1169,"20*")&gt;0,COUNTIF(J1169,"*20*")&gt;0,COUNTIF(I1169,"21*")&gt;0,COUNTIF(J1169,"*21*")&gt;0,COUNTIF(I1169,"22*")&gt;0,COUNTIF(J1169,"*22*")&gt;0,COUNTIF(I1169,"23*")&gt;0,COUNTIF(J1169,"*23*")&gt;0,COUNTIF(I1169,"24*")&gt;0,COUNTIF(J1169,"*24*")&gt;0,COUNTIF(I1169,"25*")&gt;0,COUNTIF(J1169,"*25*")&gt;0,COUNTIF(I1169,"26*")&gt;0,COUNTIF(J1169,"*26*")&gt;0,COUNTIF(I1169,"27*")&gt;0,COUNTIF(J1169,"*27*")&gt;0,COUNTIF(I1169,"28*")&gt;0,COUNTIF(J1169,"*28*")&gt;0,COUNTIF(I1169,"29*")&gt;0,COUNTIF(J1169,"*29*")&gt;0,COUNTIF(I1169,"30*")&gt;0,COUNTIF(J1169,"*30*")&gt;0,COUNTIF(I1169,"31*")&gt;0,COUNTIF(J1169,"*31*")&gt;0,COUNTIF(I1169,"32*")&gt;0,COUNTIF(J1169,"*32*")&gt;0,COUNTIF(I1169,"33*")&gt;0,COUNTIF(J1169,"*33*")&gt;0,COUNTIF(I1169,"41*")&gt;0,COUNTIF(J1169,"*41*")&gt;0,COUNTIF(I1169,"42*")&gt;0,COUNTIF(J1169,"*42*")&gt;0,COUNTIF(I1169,"43*")&gt;0,COUNTIF(J1169,"*43*")&gt;0,COUNTIF(I1169,"49*")&gt;0,COUNTIF(J1169,"*49*")&gt;0,COUNTIF(I1169,"52*")&gt;0,COUNTIF(J1169,"*52*")&gt;0,COUNTIF(I1169,"55*")&gt;0,COUNTIF(J1169,"*55*")&gt;0,COUNTIF(I1169,"56*")&gt;0,COUNTIF(J1169,"*56*")&gt;0,COUNTIF(I1169,"68*")&gt;0,COUNTIF(J1169,"*68*")&gt;0,COUNTIF(I1169,"78*")&gt;0,COUNTIF(J1169,"*78*")&gt;0,COUNTIF(I1169,"81*")&gt;0,COUNTIF(J1169,"*81*")&gt;0,COUNTIF(I1169,"82*")&gt;0,COUNTIF(J1169,"*82*")&gt;0,COUNTIF(I1169,"64*")&gt;0,COUNTIF(J1169,"*64*")&gt;0,COUNTIF(I1169,"65*")&gt;0,COUNTIF(J1169,"*65*")&gt;0,COUNTIF(I1169,"66*")&gt;0,COUNTIF(J1169,"*66*")&gt;0,COUNTIF(I1169,"61*")&gt;0,COUNTIF(J1169,"*61*")&gt;0,COUNTIF(I1169,"62*")&gt;0,COUNTIF(J1169,"*62*")&gt;0,COUNTIF(I1169,"63*")&gt;0,COUNTIF(J1169,"*63*")&gt;0,COUNTIF(I1169,"85*")&gt;0,COUNTIF(J1169,"*85*")&gt;0,COUNTIF(I1169,"86*")&gt;0,COUNTIF(J1169,"*86*")&gt;0),"Да","Нет"))</f>
        <v/>
      </c>
      <c r="M1169" s="13">
        <f>IF(OR(G1169="",L1169&lt;&gt;"Да"),"",IF(G1169&lt;=100,"До 100",IF(G1169&lt;=200,"До 200",IF(G1169&lt;=500,"До 500","Отдельное КП"))))</f>
        <v/>
      </c>
      <c r="N1169" s="15">
        <f>IF(OR(G1169="",L1169&lt;&gt;"Да"),"",IF(G1169&lt;=100,33600,IF(G1169&lt;=200,62400,IF(G1169&lt;=500,144000,""))))</f>
        <v/>
      </c>
      <c r="O1169" s="16">
        <f>IF(G1169="","",IF(G1169&lt;=15,"1–15",IF(G1169&lt;=30,"16–30",IF(G1169&lt;=50,"31–50",IF(G1169&lt;=100,"51–100",IF(G1169&lt;=150,"101–150",IF(G1169&lt;=200,"151–200",IF(G1169&lt;=500,"201–500","500+"))))))))</f>
        <v/>
      </c>
      <c r="P1169" s="16" t="inlineStr">
        <is>
          <t>Нет совпадения в предоставленной выгрузке ССЧР</t>
        </is>
      </c>
      <c r="Q1169" s="16" t="n"/>
      <c r="R1169" s="16">
        <f>HYPERLINK("https://checko.ru/search?query=3801001629","Чекко: проверить")</f>
        <v/>
      </c>
      <c r="S1169" t="n">
        <v>0</v>
      </c>
    </row>
    <row r="1170" ht="27.75" customHeight="1" s="24">
      <c r="A1170" s="13" t="n">
        <v>5000008545</v>
      </c>
      <c r="B1170" s="13" t="inlineStr">
        <is>
          <t>УФССП России по Хабаровскому краю и Еврейской автономной области</t>
        </is>
      </c>
      <c r="C1170" s="13" t="n">
        <v>2721121647</v>
      </c>
      <c r="D1170" s="13" t="inlineStr">
        <is>
          <t>2721121647</t>
        </is>
      </c>
      <c r="E1170" s="13" t="inlineStr">
        <is>
          <t>ЮЛ РФ</t>
        </is>
      </c>
      <c r="F1170" s="13" t="n"/>
      <c r="G1170" s="14" t="n"/>
      <c r="H1170" s="14" t="n"/>
      <c r="I1170" s="14" t="n"/>
      <c r="J1170" s="14" t="n"/>
      <c r="K1170" s="53" t="inlineStr"/>
      <c r="L1170" s="53" t="inlineStr">
        <is>
          <t>Не определено</t>
        </is>
      </c>
      <c r="M1170" s="53" t="inlineStr"/>
      <c r="N1170" s="54" t="inlineStr"/>
      <c r="O1170" s="55" t="inlineStr"/>
      <c r="P1170" s="16" t="inlineStr">
        <is>
          <t>Требует обогащения</t>
        </is>
      </c>
      <c r="Q1170" s="16">
        <f>HYPERLINK("https://pb.nalog.ru/search.html?query=2721121647","ФНС: проверить")</f>
        <v/>
      </c>
      <c r="R1170" s="16">
        <f>HYPERLINK("https://checko.ru/search?query=3801001629","Чекко: проверить")</f>
        <v/>
      </c>
      <c r="S1170" t="n">
        <v>1</v>
      </c>
      <c r="T1170" s="35" t="inlineStr">
        <is>
          <t>4 — Не обогащён</t>
        </is>
      </c>
      <c r="U1170" s="35" t="inlineStr">
        <is>
          <t>Нет ОКВЭД/ССЧР</t>
        </is>
      </c>
      <c r="V1170" s="35" t="inlineStr">
        <is>
          <t>Не определено</t>
        </is>
      </c>
      <c r="W1170" s="35" t="inlineStr"/>
      <c r="X1170" s="35" t="inlineStr"/>
    </row>
    <row r="1171" ht="27.75" customHeight="1" s="24">
      <c r="A1171" s="13" t="n">
        <v>5000038499</v>
      </c>
      <c r="B1171" s="13" t="inlineStr">
        <is>
          <t>ГОО УСПО "Ульяновское училище культуры" (техникум)</t>
        </is>
      </c>
      <c r="C1171" s="13" t="n">
        <v>7325025177</v>
      </c>
      <c r="D1171" s="13" t="inlineStr">
        <is>
          <t>7325025177</t>
        </is>
      </c>
      <c r="E1171" s="13" t="inlineStr">
        <is>
          <t>ЮЛ РФ</t>
        </is>
      </c>
      <c r="F1171" s="13" t="n"/>
      <c r="G1171" s="14" t="n"/>
      <c r="H1171" s="14" t="n"/>
      <c r="I1171" s="14" t="n"/>
      <c r="J1171" s="14" t="n"/>
      <c r="K1171" s="53" t="inlineStr"/>
      <c r="L1171" s="53" t="inlineStr">
        <is>
          <t>Не определено</t>
        </is>
      </c>
      <c r="M1171" s="53" t="inlineStr"/>
      <c r="N1171" s="54" t="inlineStr"/>
      <c r="O1171" s="55" t="inlineStr"/>
      <c r="P1171" s="16" t="inlineStr">
        <is>
          <t>Требует обогащения</t>
        </is>
      </c>
      <c r="Q1171" s="16">
        <f>HYPERLINK("https://pb.nalog.ru/search.html?query=7325025177","ФНС: проверить")</f>
        <v/>
      </c>
      <c r="R1171" s="16">
        <f>HYPERLINK("https://checko.ru/search?query=3801001629","Чекко: проверить")</f>
        <v/>
      </c>
      <c r="S1171" t="n">
        <v>1</v>
      </c>
      <c r="T1171" s="35" t="inlineStr">
        <is>
          <t>4 — Не обогащён</t>
        </is>
      </c>
      <c r="U1171" s="35" t="inlineStr">
        <is>
          <t>Нет ОКВЭД/ССЧР</t>
        </is>
      </c>
      <c r="V1171" s="35" t="inlineStr">
        <is>
          <t>Не определено</t>
        </is>
      </c>
      <c r="W1171" s="35" t="inlineStr"/>
      <c r="X1171" s="35" t="inlineStr"/>
    </row>
    <row r="1172" ht="27.75" customHeight="1" s="24">
      <c r="A1172" s="13" t="n">
        <v>5000094393</v>
      </c>
      <c r="B1172" s="13" t="inlineStr">
        <is>
          <t>МУ "Местная администрация городского округа Баксан"</t>
        </is>
      </c>
      <c r="C1172" s="13" t="n">
        <v>701004155</v>
      </c>
      <c r="D1172" s="13" t="n"/>
      <c r="E1172" s="13" t="inlineStr">
        <is>
          <t>Не определён</t>
        </is>
      </c>
      <c r="F1172" s="13" t="inlineStr">
        <is>
          <t>701004155</t>
        </is>
      </c>
      <c r="G1172" s="14" t="n"/>
      <c r="H1172" s="14" t="n"/>
      <c r="I1172" s="14" t="n"/>
      <c r="J1172" s="14" t="n"/>
      <c r="K1172" s="13">
        <f>IF(G1172="","",IF(G1172&gt;=22,"Да","Нет"))</f>
        <v/>
      </c>
      <c r="L1172" s="13">
        <f>IF(OR(I1172="",J1172=""),"Не определено",IF(OR(COUNTIF(I1172,"45*")&gt;0,COUNTIF(J1172,"*45*")&gt;0,COUNTIF(I1172,"46*")&gt;0,COUNTIF(J1172,"*46*")&gt;0,COUNTIF(I1172,"47*")&gt;0,COUNTIF(J1172,"*47*")&gt;0,COUNTIF(I1172,"10*")&gt;0,COUNTIF(J1172,"*10*")&gt;0,COUNTIF(I1172,"11*")&gt;0,COUNTIF(J1172,"*11*")&gt;0,COUNTIF(I1172,"12*")&gt;0,COUNTIF(J1172,"*12*")&gt;0,COUNTIF(I1172,"13*")&gt;0,COUNTIF(J1172,"*13*")&gt;0,COUNTIF(I1172,"14*")&gt;0,COUNTIF(J1172,"*14*")&gt;0,COUNTIF(I1172,"15*")&gt;0,COUNTIF(J1172,"*15*")&gt;0,COUNTIF(I1172,"16*")&gt;0,COUNTIF(J1172,"*16*")&gt;0,COUNTIF(I1172,"17*")&gt;0,COUNTIF(J1172,"*17*")&gt;0,COUNTIF(I1172,"18*")&gt;0,COUNTIF(J1172,"*18*")&gt;0,COUNTIF(I1172,"19*")&gt;0,COUNTIF(J1172,"*19*")&gt;0,COUNTIF(I1172,"20*")&gt;0,COUNTIF(J1172,"*20*")&gt;0,COUNTIF(I1172,"21*")&gt;0,COUNTIF(J1172,"*21*")&gt;0,COUNTIF(I1172,"22*")&gt;0,COUNTIF(J1172,"*22*")&gt;0,COUNTIF(I1172,"23*")&gt;0,COUNTIF(J1172,"*23*")&gt;0,COUNTIF(I1172,"24*")&gt;0,COUNTIF(J1172,"*24*")&gt;0,COUNTIF(I1172,"25*")&gt;0,COUNTIF(J1172,"*25*")&gt;0,COUNTIF(I1172,"26*")&gt;0,COUNTIF(J1172,"*26*")&gt;0,COUNTIF(I1172,"27*")&gt;0,COUNTIF(J1172,"*27*")&gt;0,COUNTIF(I1172,"28*")&gt;0,COUNTIF(J1172,"*28*")&gt;0,COUNTIF(I1172,"29*")&gt;0,COUNTIF(J1172,"*29*")&gt;0,COUNTIF(I1172,"30*")&gt;0,COUNTIF(J1172,"*30*")&gt;0,COUNTIF(I1172,"31*")&gt;0,COUNTIF(J1172,"*31*")&gt;0,COUNTIF(I1172,"32*")&gt;0,COUNTIF(J1172,"*32*")&gt;0,COUNTIF(I1172,"33*")&gt;0,COUNTIF(J1172,"*33*")&gt;0,COUNTIF(I1172,"41*")&gt;0,COUNTIF(J1172,"*41*")&gt;0,COUNTIF(I1172,"42*")&gt;0,COUNTIF(J1172,"*42*")&gt;0,COUNTIF(I1172,"43*")&gt;0,COUNTIF(J1172,"*43*")&gt;0,COUNTIF(I1172,"49*")&gt;0,COUNTIF(J1172,"*49*")&gt;0,COUNTIF(I1172,"52*")&gt;0,COUNTIF(J1172,"*52*")&gt;0,COUNTIF(I1172,"55*")&gt;0,COUNTIF(J1172,"*55*")&gt;0,COUNTIF(I1172,"56*")&gt;0,COUNTIF(J1172,"*56*")&gt;0,COUNTIF(I1172,"68*")&gt;0,COUNTIF(J1172,"*68*")&gt;0,COUNTIF(I1172,"78*")&gt;0,COUNTIF(J1172,"*78*")&gt;0,COUNTIF(I1172,"81*")&gt;0,COUNTIF(J1172,"*81*")&gt;0,COUNTIF(I1172,"82*")&gt;0,COUNTIF(J1172,"*82*")&gt;0,COUNTIF(I1172,"64*")&gt;0,COUNTIF(J1172,"*64*")&gt;0,COUNTIF(I1172,"65*")&gt;0,COUNTIF(J1172,"*65*")&gt;0,COUNTIF(I1172,"66*")&gt;0,COUNTIF(J1172,"*66*")&gt;0,COUNTIF(I1172,"61*")&gt;0,COUNTIF(J1172,"*61*")&gt;0,COUNTIF(I1172,"62*")&gt;0,COUNTIF(J1172,"*62*")&gt;0,COUNTIF(I1172,"63*")&gt;0,COUNTIF(J1172,"*63*")&gt;0,COUNTIF(I1172,"85*")&gt;0,COUNTIF(J1172,"*85*")&gt;0,COUNTIF(I1172,"86*")&gt;0,COUNTIF(J1172,"*86*")&gt;0),"Да","Нет"))</f>
        <v/>
      </c>
      <c r="M1172" s="13">
        <f>IF(OR(G1172="",L1172&lt;&gt;"Да"),"",IF(G1172&lt;=100,"До 100",IF(G1172&lt;=200,"До 200",IF(G1172&lt;=500,"До 500","Отдельное КП"))))</f>
        <v/>
      </c>
      <c r="N1172" s="15">
        <f>IF(OR(G1172="",L1172&lt;&gt;"Да"),"",IF(G1172&lt;=100,33600,IF(G1172&lt;=200,62400,IF(G1172&lt;=500,144000,""))))</f>
        <v/>
      </c>
      <c r="O1172" s="16">
        <f>IF(G1172="","",IF(G1172&lt;=15,"1–15",IF(G1172&lt;=30,"16–30",IF(G1172&lt;=50,"31–50",IF(G1172&lt;=100,"51–100",IF(G1172&lt;=150,"101–150",IF(G1172&lt;=200,"151–200",IF(G1172&lt;=500,"201–500","500+"))))))))</f>
        <v/>
      </c>
      <c r="P1172" s="16" t="inlineStr">
        <is>
          <t>Нет совпадения в предоставленной выгрузке ССЧР</t>
        </is>
      </c>
      <c r="Q1172" s="16" t="n"/>
      <c r="R1172" s="16">
        <f>HYPERLINK("https://checko.ru/search?query=3801001629","Чекко: проверить")</f>
        <v/>
      </c>
      <c r="S1172" t="n">
        <v>0</v>
      </c>
    </row>
    <row r="1173" ht="15" customHeight="1" s="24">
      <c r="A1173" s="13" t="n">
        <v>5000034714</v>
      </c>
      <c r="B1173" s="13" t="inlineStr">
        <is>
          <t>ДК Горковский"</t>
        </is>
      </c>
      <c r="C1173" s="13" t="n">
        <v>5032200964</v>
      </c>
      <c r="D1173" s="13" t="inlineStr">
        <is>
          <t>5032200964</t>
        </is>
      </c>
      <c r="E1173" s="13" t="inlineStr">
        <is>
          <t>ЮЛ РФ</t>
        </is>
      </c>
      <c r="F1173" s="13" t="n"/>
      <c r="G1173" s="14" t="n"/>
      <c r="H1173" s="14" t="n"/>
      <c r="I1173" s="14" t="n"/>
      <c r="J1173" s="14" t="n"/>
      <c r="K1173" s="53" t="inlineStr"/>
      <c r="L1173" s="53" t="inlineStr">
        <is>
          <t>Не определено</t>
        </is>
      </c>
      <c r="M1173" s="53" t="inlineStr"/>
      <c r="N1173" s="54" t="inlineStr"/>
      <c r="O1173" s="55" t="inlineStr"/>
      <c r="P1173" s="16" t="inlineStr">
        <is>
          <t>Требует обогащения</t>
        </is>
      </c>
      <c r="Q1173" s="16">
        <f>HYPERLINK("https://pb.nalog.ru/search.html?query=5032200964","ФНС: проверить")</f>
        <v/>
      </c>
      <c r="R1173" s="16">
        <f>HYPERLINK("https://checko.ru/search?query=3801001629","Чекко: проверить")</f>
        <v/>
      </c>
      <c r="S1173" t="n">
        <v>1</v>
      </c>
      <c r="T1173" s="35" t="inlineStr">
        <is>
          <t>4 — Не обогащён</t>
        </is>
      </c>
      <c r="U1173" s="35" t="inlineStr">
        <is>
          <t>Нет ОКВЭД/ССЧР</t>
        </is>
      </c>
      <c r="V1173" s="35" t="inlineStr">
        <is>
          <t>Не определено</t>
        </is>
      </c>
      <c r="W1173" s="35" t="inlineStr"/>
      <c r="X1173" s="35" t="inlineStr"/>
    </row>
    <row r="1174" ht="15" customHeight="1" s="24">
      <c r="A1174" s="13" t="n">
        <v>5000034715</v>
      </c>
      <c r="B1174" s="13" t="inlineStr">
        <is>
          <t>ДК "Успенский"</t>
        </is>
      </c>
      <c r="C1174" s="13" t="n">
        <v>5032200989</v>
      </c>
      <c r="D1174" s="13" t="inlineStr">
        <is>
          <t>5032200989</t>
        </is>
      </c>
      <c r="E1174" s="13" t="inlineStr">
        <is>
          <t>ЮЛ РФ</t>
        </is>
      </c>
      <c r="F1174" s="13" t="n"/>
      <c r="G1174" s="14" t="n"/>
      <c r="H1174" s="14" t="n"/>
      <c r="I1174" s="14" t="n"/>
      <c r="J1174" s="14" t="n"/>
      <c r="K1174" s="53" t="inlineStr"/>
      <c r="L1174" s="53" t="inlineStr">
        <is>
          <t>Не определено</t>
        </is>
      </c>
      <c r="M1174" s="53" t="inlineStr"/>
      <c r="N1174" s="54" t="inlineStr"/>
      <c r="O1174" s="55" t="inlineStr"/>
      <c r="P1174" s="16" t="inlineStr">
        <is>
          <t>Требует обогащения</t>
        </is>
      </c>
      <c r="Q1174" s="16">
        <f>HYPERLINK("https://pb.nalog.ru/search.html?query=5032200989","ФНС: проверить")</f>
        <v/>
      </c>
      <c r="R1174" s="16">
        <f>HYPERLINK("https://checko.ru/search?query=3801001629","Чекко: проверить")</f>
        <v/>
      </c>
      <c r="S1174" t="n">
        <v>1</v>
      </c>
      <c r="T1174" s="35" t="inlineStr">
        <is>
          <t>4 — Не обогащён</t>
        </is>
      </c>
      <c r="U1174" s="35" t="inlineStr">
        <is>
          <t>Нет ОКВЭД/ССЧР</t>
        </is>
      </c>
      <c r="V1174" s="35" t="inlineStr">
        <is>
          <t>Не определено</t>
        </is>
      </c>
      <c r="W1174" s="35" t="inlineStr"/>
      <c r="X1174" s="35" t="inlineStr"/>
    </row>
    <row r="1175" ht="15" customHeight="1" s="24">
      <c r="A1175" s="13" t="n">
        <v>5000034716</v>
      </c>
      <c r="B1175" s="13" t="inlineStr">
        <is>
          <t>МБУК Парк Захарово</t>
        </is>
      </c>
      <c r="C1175" s="13" t="n">
        <v>5032197038</v>
      </c>
      <c r="D1175" s="13" t="inlineStr">
        <is>
          <t>5032197038</t>
        </is>
      </c>
      <c r="E1175" s="13" t="inlineStr">
        <is>
          <t>ЮЛ РФ</t>
        </is>
      </c>
      <c r="F1175" s="13" t="n"/>
      <c r="G1175" s="14" t="n"/>
      <c r="H1175" s="14" t="n"/>
      <c r="I1175" s="14" t="n"/>
      <c r="J1175" s="14" t="n"/>
      <c r="K1175" s="53" t="inlineStr"/>
      <c r="L1175" s="53" t="inlineStr">
        <is>
          <t>Не определено</t>
        </is>
      </c>
      <c r="M1175" s="53" t="inlineStr"/>
      <c r="N1175" s="54" t="inlineStr"/>
      <c r="O1175" s="55" t="inlineStr"/>
      <c r="P1175" s="16" t="inlineStr">
        <is>
          <t>Требует обогащения</t>
        </is>
      </c>
      <c r="Q1175" s="16">
        <f>HYPERLINK("https://pb.nalog.ru/search.html?query=5032197038","ФНС: проверить")</f>
        <v/>
      </c>
      <c r="R1175" s="16">
        <f>HYPERLINK("https://checko.ru/search?query=3801001629","Чекко: проверить")</f>
        <v/>
      </c>
      <c r="S1175" t="n">
        <v>1</v>
      </c>
      <c r="T1175" s="35" t="inlineStr">
        <is>
          <t>4 — Не обогащён</t>
        </is>
      </c>
      <c r="U1175" s="35" t="inlineStr">
        <is>
          <t>Нет ОКВЭД/ССЧР</t>
        </is>
      </c>
      <c r="V1175" s="35" t="inlineStr">
        <is>
          <t>Не определено</t>
        </is>
      </c>
      <c r="W1175" s="35" t="inlineStr"/>
      <c r="X1175" s="35" t="inlineStr"/>
    </row>
    <row r="1176" ht="15" customHeight="1" s="24">
      <c r="A1176" s="13" t="n">
        <v>5000034718</v>
      </c>
      <c r="B1176" s="13" t="inlineStr">
        <is>
          <t>МБУ КДЦ "Заречье"</t>
        </is>
      </c>
      <c r="C1176" s="13" t="n">
        <v>5032204694</v>
      </c>
      <c r="D1176" s="13" t="inlineStr">
        <is>
          <t>5032204694</t>
        </is>
      </c>
      <c r="E1176" s="13" t="inlineStr">
        <is>
          <t>ЮЛ РФ</t>
        </is>
      </c>
      <c r="F1176" s="13" t="n"/>
      <c r="G1176" s="14" t="n"/>
      <c r="H1176" s="14" t="n"/>
      <c r="I1176" s="14" t="n"/>
      <c r="J1176" s="14" t="n"/>
      <c r="K1176" s="53" t="inlineStr"/>
      <c r="L1176" s="53" t="inlineStr">
        <is>
          <t>Не определено</t>
        </is>
      </c>
      <c r="M1176" s="53" t="inlineStr"/>
      <c r="N1176" s="54" t="inlineStr"/>
      <c r="O1176" s="55" t="inlineStr"/>
      <c r="P1176" s="16" t="inlineStr">
        <is>
          <t>Требует обогащения</t>
        </is>
      </c>
      <c r="Q1176" s="16">
        <f>HYPERLINK("https://pb.nalog.ru/search.html?query=5032204694","ФНС: проверить")</f>
        <v/>
      </c>
      <c r="R1176" s="16">
        <f>HYPERLINK("https://checko.ru/search?query=3801001629","Чекко: проверить")</f>
        <v/>
      </c>
      <c r="S1176" t="n">
        <v>1</v>
      </c>
      <c r="T1176" s="35" t="inlineStr">
        <is>
          <t>4 — Не обогащён</t>
        </is>
      </c>
      <c r="U1176" s="35" t="inlineStr">
        <is>
          <t>Нет ОКВЭД/ССЧР</t>
        </is>
      </c>
      <c r="V1176" s="35" t="inlineStr">
        <is>
          <t>Не определено</t>
        </is>
      </c>
      <c r="W1176" s="35" t="inlineStr"/>
      <c r="X1176" s="35" t="inlineStr"/>
    </row>
    <row r="1177" ht="15" customHeight="1" s="24">
      <c r="A1177" s="13" t="n">
        <v>5000034719</v>
      </c>
      <c r="B1177" s="13" t="inlineStr">
        <is>
          <t>МОУДОД ЦДТ "Пушкинская школа"</t>
        </is>
      </c>
      <c r="C1177" s="13" t="n">
        <v>5032055210</v>
      </c>
      <c r="D1177" s="13" t="inlineStr">
        <is>
          <t>5032055210</t>
        </is>
      </c>
      <c r="E1177" s="13" t="inlineStr">
        <is>
          <t>ЮЛ РФ</t>
        </is>
      </c>
      <c r="F1177" s="13" t="n"/>
      <c r="G1177" s="14" t="n"/>
      <c r="H1177" s="14" t="n"/>
      <c r="I1177" s="14" t="n"/>
      <c r="J1177" s="14" t="n"/>
      <c r="K1177" s="53" t="inlineStr"/>
      <c r="L1177" s="53" t="inlineStr">
        <is>
          <t>Не определено</t>
        </is>
      </c>
      <c r="M1177" s="53" t="inlineStr"/>
      <c r="N1177" s="54" t="inlineStr"/>
      <c r="O1177" s="55" t="inlineStr"/>
      <c r="P1177" s="16" t="inlineStr">
        <is>
          <t>Требует обогащения</t>
        </is>
      </c>
      <c r="Q1177" s="16">
        <f>HYPERLINK("https://pb.nalog.ru/search.html?query=5032055210","ФНС: проверить")</f>
        <v/>
      </c>
      <c r="R1177" s="16">
        <f>HYPERLINK("https://checko.ru/search?query=3801001629","Чекко: проверить")</f>
        <v/>
      </c>
      <c r="S1177" t="n">
        <v>1</v>
      </c>
      <c r="T1177" s="35" t="inlineStr">
        <is>
          <t>4 — Не обогащён</t>
        </is>
      </c>
      <c r="U1177" s="35" t="inlineStr">
        <is>
          <t>Нет ОКВЭД/ССЧР</t>
        </is>
      </c>
      <c r="V1177" s="35" t="inlineStr">
        <is>
          <t>Не определено</t>
        </is>
      </c>
      <c r="W1177" s="35" t="inlineStr"/>
      <c r="X1177" s="35" t="inlineStr"/>
    </row>
    <row r="1178" ht="15" customHeight="1" s="24">
      <c r="A1178" s="13" t="n">
        <v>5000034727</v>
      </c>
      <c r="B1178" s="13" t="inlineStr">
        <is>
          <t>КСЦ "Ершово"</t>
        </is>
      </c>
      <c r="C1178" s="13" t="n">
        <v>5032232645</v>
      </c>
      <c r="D1178" s="13" t="inlineStr">
        <is>
          <t>5032232645</t>
        </is>
      </c>
      <c r="E1178" s="13" t="inlineStr">
        <is>
          <t>ЮЛ РФ</t>
        </is>
      </c>
      <c r="F1178" s="13" t="n"/>
      <c r="G1178" s="14" t="n"/>
      <c r="H1178" s="14" t="n"/>
      <c r="I1178" s="14" t="n"/>
      <c r="J1178" s="14" t="n"/>
      <c r="K1178" s="53" t="inlineStr"/>
      <c r="L1178" s="53" t="inlineStr">
        <is>
          <t>Не определено</t>
        </is>
      </c>
      <c r="M1178" s="53" t="inlineStr"/>
      <c r="N1178" s="54" t="inlineStr"/>
      <c r="O1178" s="55" t="inlineStr"/>
      <c r="P1178" s="16" t="inlineStr">
        <is>
          <t>Требует обогащения</t>
        </is>
      </c>
      <c r="Q1178" s="16">
        <f>HYPERLINK("https://pb.nalog.ru/search.html?query=5032232645","ФНС: проверить")</f>
        <v/>
      </c>
      <c r="R1178" s="16">
        <f>HYPERLINK("https://checko.ru/search?query=3801001629","Чекко: проверить")</f>
        <v/>
      </c>
      <c r="S1178" t="n">
        <v>1</v>
      </c>
      <c r="T1178" s="35" t="inlineStr">
        <is>
          <t>4 — Не обогащён</t>
        </is>
      </c>
      <c r="U1178" s="35" t="inlineStr">
        <is>
          <t>Нет ОКВЭД/ССЧР</t>
        </is>
      </c>
      <c r="V1178" s="35" t="inlineStr">
        <is>
          <t>Не определено</t>
        </is>
      </c>
      <c r="W1178" s="35" t="inlineStr"/>
      <c r="X1178" s="35" t="inlineStr"/>
    </row>
    <row r="1179" ht="15" customHeight="1" s="24">
      <c r="A1179" s="13" t="n">
        <v>5000034731</v>
      </c>
      <c r="B1179" s="13" t="inlineStr">
        <is>
          <t>МБОУ ДОД Петеленская ДШИ</t>
        </is>
      </c>
      <c r="C1179" s="13" t="n">
        <v>5032060587</v>
      </c>
      <c r="D1179" s="13" t="inlineStr">
        <is>
          <t>5032060587</t>
        </is>
      </c>
      <c r="E1179" s="13" t="inlineStr">
        <is>
          <t>ЮЛ РФ</t>
        </is>
      </c>
      <c r="F1179" s="13" t="n"/>
      <c r="G1179" s="14" t="n"/>
      <c r="H1179" s="14" t="n"/>
      <c r="I1179" s="14" t="n"/>
      <c r="J1179" s="14" t="n"/>
      <c r="K1179" s="53" t="inlineStr"/>
      <c r="L1179" s="53" t="inlineStr">
        <is>
          <t>Не определено</t>
        </is>
      </c>
      <c r="M1179" s="53" t="inlineStr"/>
      <c r="N1179" s="54" t="inlineStr"/>
      <c r="O1179" s="55" t="inlineStr"/>
      <c r="P1179" s="16" t="inlineStr">
        <is>
          <t>Требует обогащения</t>
        </is>
      </c>
      <c r="Q1179" s="16">
        <f>HYPERLINK("https://pb.nalog.ru/search.html?query=5032060587","ФНС: проверить")</f>
        <v/>
      </c>
      <c r="R1179" s="16">
        <f>HYPERLINK("https://checko.ru/search?query=3801001629","Чекко: проверить")</f>
        <v/>
      </c>
      <c r="S1179" t="n">
        <v>1</v>
      </c>
      <c r="T1179" s="35" t="inlineStr">
        <is>
          <t>4 — Не обогащён</t>
        </is>
      </c>
      <c r="U1179" s="35" t="inlineStr">
        <is>
          <t>Нет ОКВЭД/ССЧР</t>
        </is>
      </c>
      <c r="V1179" s="35" t="inlineStr">
        <is>
          <t>Не определено</t>
        </is>
      </c>
      <c r="W1179" s="35" t="inlineStr"/>
      <c r="X1179" s="35" t="inlineStr"/>
    </row>
    <row r="1180" ht="15" customHeight="1" s="24">
      <c r="A1180" s="13" t="n">
        <v>5000106104</v>
      </c>
      <c r="B1180" s="13" t="inlineStr">
        <is>
          <t>ГУ "Чернореченское лесничество"</t>
        </is>
      </c>
      <c r="C1180" s="13" t="n">
        <v>5638002664</v>
      </c>
      <c r="D1180" s="13" t="inlineStr">
        <is>
          <t>5638002664</t>
        </is>
      </c>
      <c r="E1180" s="13" t="inlineStr">
        <is>
          <t>ЮЛ РФ</t>
        </is>
      </c>
      <c r="F1180" s="13" t="n"/>
      <c r="G1180" s="14" t="n"/>
      <c r="H1180" s="14" t="n"/>
      <c r="I1180" s="14" t="n"/>
      <c r="J1180" s="14" t="n"/>
      <c r="K1180" s="53" t="inlineStr"/>
      <c r="L1180" s="53" t="inlineStr">
        <is>
          <t>Не определено</t>
        </is>
      </c>
      <c r="M1180" s="53" t="inlineStr"/>
      <c r="N1180" s="54" t="inlineStr"/>
      <c r="O1180" s="55" t="inlineStr"/>
      <c r="P1180" s="16" t="inlineStr">
        <is>
          <t>Требует обогащения</t>
        </is>
      </c>
      <c r="Q1180" s="16">
        <f>HYPERLINK("https://pb.nalog.ru/search.html?query=5638002664","ФНС: проверить")</f>
        <v/>
      </c>
      <c r="R1180" s="16">
        <f>HYPERLINK("https://checko.ru/search?query=3801001629","Чекко: проверить")</f>
        <v/>
      </c>
      <c r="S1180" t="n">
        <v>1</v>
      </c>
      <c r="T1180" s="35" t="inlineStr">
        <is>
          <t>4 — Не обогащён</t>
        </is>
      </c>
      <c r="U1180" s="35" t="inlineStr">
        <is>
          <t>Нет ОКВЭД/ССЧР</t>
        </is>
      </c>
      <c r="V1180" s="35" t="inlineStr">
        <is>
          <t>Не определено</t>
        </is>
      </c>
      <c r="W1180" s="35" t="inlineStr"/>
      <c r="X1180" s="35" t="inlineStr"/>
    </row>
    <row r="1181" ht="15" customHeight="1" s="24">
      <c r="A1181" s="13" t="n">
        <v>5000034708</v>
      </c>
      <c r="B1181" s="13" t="inlineStr">
        <is>
          <t>СДК "Захаровский"</t>
        </is>
      </c>
      <c r="C1181" s="13" t="n">
        <v>5032200481</v>
      </c>
      <c r="D1181" s="13" t="inlineStr">
        <is>
          <t>5032200481</t>
        </is>
      </c>
      <c r="E1181" s="13" t="inlineStr">
        <is>
          <t>ЮЛ РФ</t>
        </is>
      </c>
      <c r="F1181" s="13" t="n"/>
      <c r="G1181" s="14" t="n"/>
      <c r="H1181" s="14" t="n"/>
      <c r="I1181" s="14" t="n"/>
      <c r="J1181" s="14" t="n"/>
      <c r="K1181" s="53" t="inlineStr"/>
      <c r="L1181" s="53" t="inlineStr">
        <is>
          <t>Не определено</t>
        </is>
      </c>
      <c r="M1181" s="53" t="inlineStr"/>
      <c r="N1181" s="54" t="inlineStr"/>
      <c r="O1181" s="55" t="inlineStr"/>
      <c r="P1181" s="16" t="inlineStr">
        <is>
          <t>Требует обогащения</t>
        </is>
      </c>
      <c r="Q1181" s="16">
        <f>HYPERLINK("https://pb.nalog.ru/search.html?query=5032200481","ФНС: проверить")</f>
        <v/>
      </c>
      <c r="R1181" s="16">
        <f>HYPERLINK("https://checko.ru/search?query=3801001629","Чекко: проверить")</f>
        <v/>
      </c>
      <c r="S1181" t="n">
        <v>1</v>
      </c>
      <c r="T1181" s="35" t="inlineStr">
        <is>
          <t>4 — Не обогащён</t>
        </is>
      </c>
      <c r="U1181" s="35" t="inlineStr">
        <is>
          <t>Нет ОКВЭД/ССЧР</t>
        </is>
      </c>
      <c r="V1181" s="35" t="inlineStr">
        <is>
          <t>Не определено</t>
        </is>
      </c>
      <c r="W1181" s="35" t="inlineStr"/>
      <c r="X1181" s="35" t="inlineStr"/>
    </row>
    <row r="1182" ht="15" customHeight="1" s="24">
      <c r="A1182" s="13" t="n">
        <v>5000034709</v>
      </c>
      <c r="B1182" s="13" t="inlineStr">
        <is>
          <t>СДК "Огонек"</t>
        </is>
      </c>
      <c r="C1182" s="13" t="n">
        <v>5032199758</v>
      </c>
      <c r="D1182" s="13" t="inlineStr">
        <is>
          <t>5032199758</t>
        </is>
      </c>
      <c r="E1182" s="13" t="inlineStr">
        <is>
          <t>ЮЛ РФ</t>
        </is>
      </c>
      <c r="F1182" s="13" t="n"/>
      <c r="G1182" s="14" t="n"/>
      <c r="H1182" s="14" t="n"/>
      <c r="I1182" s="14" t="n"/>
      <c r="J1182" s="14" t="n"/>
      <c r="K1182" s="53" t="inlineStr"/>
      <c r="L1182" s="53" t="inlineStr">
        <is>
          <t>Не определено</t>
        </is>
      </c>
      <c r="M1182" s="53" t="inlineStr"/>
      <c r="N1182" s="54" t="inlineStr"/>
      <c r="O1182" s="55" t="inlineStr"/>
      <c r="P1182" s="16" t="inlineStr">
        <is>
          <t>Требует обогащения</t>
        </is>
      </c>
      <c r="Q1182" s="16">
        <f>HYPERLINK("https://pb.nalog.ru/search.html?query=5032199758","ФНС: проверить")</f>
        <v/>
      </c>
      <c r="R1182" s="16">
        <f>HYPERLINK("https://checko.ru/search?query=3801001629","Чекко: проверить")</f>
        <v/>
      </c>
      <c r="S1182" t="n">
        <v>1</v>
      </c>
      <c r="T1182" s="35" t="inlineStr">
        <is>
          <t>4 — Не обогащён</t>
        </is>
      </c>
      <c r="U1182" s="35" t="inlineStr">
        <is>
          <t>Нет ОКВЭД/ССЧР</t>
        </is>
      </c>
      <c r="V1182" s="35" t="inlineStr">
        <is>
          <t>Не определено</t>
        </is>
      </c>
      <c r="W1182" s="35" t="inlineStr"/>
      <c r="X1182" s="35" t="inlineStr"/>
    </row>
    <row r="1183" ht="27.75" customHeight="1" s="24">
      <c r="A1183" s="13" t="n">
        <v>5000101255</v>
      </c>
      <c r="B1183" s="13" t="inlineStr">
        <is>
          <t>ГУ "Региональное агентство молодежных программ и проектов"</t>
        </is>
      </c>
      <c r="C1183" s="13" t="n">
        <v>5610128794</v>
      </c>
      <c r="D1183" s="13" t="inlineStr">
        <is>
          <t>5610128794</t>
        </is>
      </c>
      <c r="E1183" s="13" t="inlineStr">
        <is>
          <t>ЮЛ РФ</t>
        </is>
      </c>
      <c r="F1183" s="13" t="n"/>
      <c r="G1183" s="14" t="n"/>
      <c r="H1183" s="14" t="n"/>
      <c r="I1183" s="14" t="n"/>
      <c r="J1183" s="14" t="n"/>
      <c r="K1183" s="53" t="inlineStr"/>
      <c r="L1183" s="53" t="inlineStr">
        <is>
          <t>Не определено</t>
        </is>
      </c>
      <c r="M1183" s="53" t="inlineStr"/>
      <c r="N1183" s="54" t="inlineStr"/>
      <c r="O1183" s="55" t="inlineStr"/>
      <c r="P1183" s="16" t="inlineStr">
        <is>
          <t>Требует обогащения</t>
        </is>
      </c>
      <c r="Q1183" s="16">
        <f>HYPERLINK("https://pb.nalog.ru/search.html?query=5610128794","ФНС: проверить")</f>
        <v/>
      </c>
      <c r="R1183" s="16">
        <f>HYPERLINK("https://checko.ru/search?query=3801001629","Чекко: проверить")</f>
        <v/>
      </c>
      <c r="S1183" t="n">
        <v>1</v>
      </c>
      <c r="T1183" s="35" t="inlineStr">
        <is>
          <t>4 — Не обогащён</t>
        </is>
      </c>
      <c r="U1183" s="35" t="inlineStr">
        <is>
          <t>Нет ОКВЭД/ССЧР</t>
        </is>
      </c>
      <c r="V1183" s="35" t="inlineStr">
        <is>
          <t>Не определено</t>
        </is>
      </c>
      <c r="W1183" s="35" t="inlineStr"/>
      <c r="X1183" s="35" t="inlineStr"/>
    </row>
    <row r="1184" ht="15" customHeight="1" s="24">
      <c r="A1184" s="13" t="n">
        <v>5000106107</v>
      </c>
      <c r="B1184" s="13" t="inlineStr">
        <is>
          <t>ГУ "Абдулинское лесничество"</t>
        </is>
      </c>
      <c r="C1184" s="13" t="n">
        <v>5601000685</v>
      </c>
      <c r="D1184" s="13" t="inlineStr">
        <is>
          <t>5601000685</t>
        </is>
      </c>
      <c r="E1184" s="13" t="inlineStr">
        <is>
          <t>ЮЛ РФ</t>
        </is>
      </c>
      <c r="F1184" s="13" t="n"/>
      <c r="G1184" s="14" t="n"/>
      <c r="H1184" s="14" t="n"/>
      <c r="I1184" s="14" t="n"/>
      <c r="J1184" s="14" t="n"/>
      <c r="K1184" s="53" t="inlineStr"/>
      <c r="L1184" s="53" t="inlineStr">
        <is>
          <t>Не определено</t>
        </is>
      </c>
      <c r="M1184" s="53" t="inlineStr"/>
      <c r="N1184" s="54" t="inlineStr"/>
      <c r="O1184" s="55" t="inlineStr"/>
      <c r="P1184" s="16" t="inlineStr">
        <is>
          <t>Требует обогащения</t>
        </is>
      </c>
      <c r="Q1184" s="16">
        <f>HYPERLINK("https://pb.nalog.ru/search.html?query=5601000685","ФНС: проверить")</f>
        <v/>
      </c>
      <c r="R1184" s="16">
        <f>HYPERLINK("https://checko.ru/search?query=3801001629","Чекко: проверить")</f>
        <v/>
      </c>
      <c r="S1184" t="n">
        <v>1</v>
      </c>
      <c r="T1184" s="35" t="inlineStr">
        <is>
          <t>4 — Не обогащён</t>
        </is>
      </c>
      <c r="U1184" s="35" t="inlineStr">
        <is>
          <t>Нет ОКВЭД/ССЧР</t>
        </is>
      </c>
      <c r="V1184" s="35" t="inlineStr">
        <is>
          <t>Не определено</t>
        </is>
      </c>
      <c r="W1184" s="35" t="inlineStr"/>
      <c r="X1184" s="35" t="inlineStr"/>
    </row>
    <row r="1185" ht="27.75" customHeight="1" s="24">
      <c r="A1185" s="13" t="n">
        <v>5000106191</v>
      </c>
      <c r="B1185" s="13" t="inlineStr">
        <is>
          <t>Аппарат Уполномоченного по правам человека в Оренбургской области</t>
        </is>
      </c>
      <c r="C1185" s="13" t="n">
        <v>5610140488</v>
      </c>
      <c r="D1185" s="13" t="inlineStr">
        <is>
          <t>5610140488</t>
        </is>
      </c>
      <c r="E1185" s="13" t="inlineStr">
        <is>
          <t>ЮЛ РФ</t>
        </is>
      </c>
      <c r="F1185" s="13" t="n"/>
      <c r="G1185" s="14" t="n"/>
      <c r="H1185" s="14" t="n"/>
      <c r="I1185" s="14" t="n"/>
      <c r="J1185" s="14" t="n"/>
      <c r="K1185" s="53" t="inlineStr"/>
      <c r="L1185" s="53" t="inlineStr">
        <is>
          <t>Не определено</t>
        </is>
      </c>
      <c r="M1185" s="53" t="inlineStr"/>
      <c r="N1185" s="54" t="inlineStr"/>
      <c r="O1185" s="55" t="inlineStr"/>
      <c r="P1185" s="16" t="inlineStr">
        <is>
          <t>Требует обогащения</t>
        </is>
      </c>
      <c r="Q1185" s="16">
        <f>HYPERLINK("https://pb.nalog.ru/search.html?query=5610140488","ФНС: проверить")</f>
        <v/>
      </c>
      <c r="R1185" s="16">
        <f>HYPERLINK("https://checko.ru/search?query=3801001629","Чекко: проверить")</f>
        <v/>
      </c>
      <c r="S1185" t="n">
        <v>1</v>
      </c>
      <c r="T1185" s="35" t="inlineStr">
        <is>
          <t>4 — Не обогащён</t>
        </is>
      </c>
      <c r="U1185" s="35" t="inlineStr">
        <is>
          <t>Нет ОКВЭД/ССЧР</t>
        </is>
      </c>
      <c r="V1185" s="35" t="inlineStr">
        <is>
          <t>Не определено</t>
        </is>
      </c>
      <c r="W1185" s="35" t="inlineStr"/>
      <c r="X1185" s="35" t="inlineStr"/>
    </row>
    <row r="1186" ht="41.25" customHeight="1" s="24">
      <c r="A1186" s="13" t="n">
        <v>5000075686</v>
      </c>
      <c r="B1186" s="13" t="inlineStr">
        <is>
          <t>Министерство сельского хозяйства, пищевой и перерабатывающей промышленности Оренбургской области</t>
        </is>
      </c>
      <c r="C1186" s="13" t="n">
        <v>5610128441</v>
      </c>
      <c r="D1186" s="13" t="inlineStr">
        <is>
          <t>5610128441</t>
        </is>
      </c>
      <c r="E1186" s="13" t="inlineStr">
        <is>
          <t>ЮЛ РФ</t>
        </is>
      </c>
      <c r="F1186" s="13" t="n"/>
      <c r="G1186" s="14" t="n"/>
      <c r="H1186" s="14" t="n"/>
      <c r="I1186" s="14" t="n"/>
      <c r="J1186" s="14" t="n"/>
      <c r="K1186" s="53" t="inlineStr"/>
      <c r="L1186" s="53" t="inlineStr">
        <is>
          <t>Не определено</t>
        </is>
      </c>
      <c r="M1186" s="53" t="inlineStr"/>
      <c r="N1186" s="54" t="inlineStr"/>
      <c r="O1186" s="55" t="inlineStr"/>
      <c r="P1186" s="16" t="inlineStr">
        <is>
          <t>Требует обогащения</t>
        </is>
      </c>
      <c r="Q1186" s="16">
        <f>HYPERLINK("https://pb.nalog.ru/search.html?query=5610128441","ФНС: проверить")</f>
        <v/>
      </c>
      <c r="R1186" s="16">
        <f>HYPERLINK("https://checko.ru/search?query=3801001629","Чекко: проверить")</f>
        <v/>
      </c>
      <c r="S1186" t="n">
        <v>1</v>
      </c>
      <c r="T1186" s="35" t="inlineStr">
        <is>
          <t>4 — Не обогащён</t>
        </is>
      </c>
      <c r="U1186" s="35" t="inlineStr">
        <is>
          <t>Нет ОКВЭД/ССЧР</t>
        </is>
      </c>
      <c r="V1186" s="35" t="inlineStr">
        <is>
          <t>Не определено</t>
        </is>
      </c>
      <c r="W1186" s="35" t="inlineStr"/>
      <c r="X1186" s="35" t="inlineStr"/>
    </row>
    <row r="1187" ht="27.75" customHeight="1" s="24">
      <c r="A1187" s="13" t="n">
        <v>5000001556</v>
      </c>
      <c r="B1187" s="13" t="inlineStr">
        <is>
          <t>ОГУЗ "Центр контроля качества и сертификации лекарственных средств Иркутской области"</t>
        </is>
      </c>
      <c r="C1187" s="13" t="n">
        <v>3810044940</v>
      </c>
      <c r="D1187" s="13" t="inlineStr">
        <is>
          <t>3810044940</t>
        </is>
      </c>
      <c r="E1187" s="13" t="inlineStr">
        <is>
          <t>ЮЛ РФ</t>
        </is>
      </c>
      <c r="F1187" s="13" t="n"/>
      <c r="G1187" s="14" t="n"/>
      <c r="H1187" s="14" t="n"/>
      <c r="I1187" s="14" t="n"/>
      <c r="J1187" s="14" t="n"/>
      <c r="K1187" s="53" t="inlineStr"/>
      <c r="L1187" s="53" t="inlineStr">
        <is>
          <t>Не определено</t>
        </is>
      </c>
      <c r="M1187" s="53" t="inlineStr"/>
      <c r="N1187" s="54" t="inlineStr"/>
      <c r="O1187" s="55" t="inlineStr"/>
      <c r="P1187" s="16" t="inlineStr">
        <is>
          <t>Требует обогащения</t>
        </is>
      </c>
      <c r="Q1187" s="16">
        <f>HYPERLINK("https://pb.nalog.ru/search.html?query=3810044940","ФНС: проверить")</f>
        <v/>
      </c>
      <c r="R1187" s="16">
        <f>HYPERLINK("https://checko.ru/search?query=3801001629","Чекко: проверить")</f>
        <v/>
      </c>
      <c r="S1187" t="n">
        <v>1</v>
      </c>
      <c r="T1187" s="35" t="inlineStr">
        <is>
          <t>4 — Не обогащён</t>
        </is>
      </c>
      <c r="U1187" s="35" t="inlineStr">
        <is>
          <t>Нет ОКВЭД/ССЧР</t>
        </is>
      </c>
      <c r="V1187" s="35" t="inlineStr">
        <is>
          <t>Не определено</t>
        </is>
      </c>
      <c r="W1187" s="35" t="inlineStr"/>
      <c r="X1187" s="35" t="inlineStr"/>
    </row>
    <row r="1188" ht="27.75" customHeight="1" s="24">
      <c r="A1188" s="13" t="n">
        <v>5000076951</v>
      </c>
      <c r="B1188" s="13" t="inlineStr">
        <is>
          <t>ГКУ УЛЬЯНОВСКОЙ ОБЛАСТИ "РАДИЩЕВСКОЕ ЛЕСНИЧЕСТВО"</t>
        </is>
      </c>
      <c r="C1188" s="13" t="n">
        <v>7315905528</v>
      </c>
      <c r="D1188" s="13" t="inlineStr">
        <is>
          <t>7315905528</t>
        </is>
      </c>
      <c r="E1188" s="13" t="inlineStr">
        <is>
          <t>ЮЛ РФ</t>
        </is>
      </c>
      <c r="F1188" s="13" t="n"/>
      <c r="G1188" s="14" t="n"/>
      <c r="H1188" s="14" t="n"/>
      <c r="I1188" s="14" t="n"/>
      <c r="J1188" s="14" t="n"/>
      <c r="K1188" s="53" t="inlineStr"/>
      <c r="L1188" s="53" t="inlineStr">
        <is>
          <t>Не определено</t>
        </is>
      </c>
      <c r="M1188" s="53" t="inlineStr"/>
      <c r="N1188" s="54" t="inlineStr"/>
      <c r="O1188" s="55" t="inlineStr"/>
      <c r="P1188" s="16" t="inlineStr">
        <is>
          <t>Требует обогащения</t>
        </is>
      </c>
      <c r="Q1188" s="16">
        <f>HYPERLINK("https://pb.nalog.ru/search.html?query=7315905528","ФНС: проверить")</f>
        <v/>
      </c>
      <c r="R1188" s="16">
        <f>HYPERLINK("https://checko.ru/search?query=3801001629","Чекко: проверить")</f>
        <v/>
      </c>
      <c r="S1188" t="n">
        <v>1</v>
      </c>
      <c r="T1188" s="35" t="inlineStr">
        <is>
          <t>4 — Не обогащён</t>
        </is>
      </c>
      <c r="U1188" s="35" t="inlineStr">
        <is>
          <t>Нет ОКВЭД/ССЧР</t>
        </is>
      </c>
      <c r="V1188" s="35" t="inlineStr">
        <is>
          <t>Не определено</t>
        </is>
      </c>
      <c r="W1188" s="35" t="inlineStr"/>
      <c r="X1188" s="35" t="inlineStr"/>
    </row>
    <row r="1189" ht="15" customHeight="1" s="24">
      <c r="A1189" s="13" t="n">
        <v>5000036226</v>
      </c>
      <c r="B1189" s="13" t="inlineStr">
        <is>
          <t>ОГКУ УСАШ</t>
        </is>
      </c>
      <c r="C1189" s="13" t="n">
        <v>7327080350</v>
      </c>
      <c r="D1189" s="13" t="inlineStr">
        <is>
          <t>7327080350</t>
        </is>
      </c>
      <c r="E1189" s="13" t="inlineStr">
        <is>
          <t>ЮЛ РФ</t>
        </is>
      </c>
      <c r="F1189" s="13" t="n"/>
      <c r="G1189" s="14" t="n"/>
      <c r="H1189" s="14" t="n"/>
      <c r="I1189" s="14" t="n"/>
      <c r="J1189" s="14" t="n"/>
      <c r="K1189" s="53" t="inlineStr"/>
      <c r="L1189" s="53" t="inlineStr">
        <is>
          <t>Не определено</t>
        </is>
      </c>
      <c r="M1189" s="53" t="inlineStr"/>
      <c r="N1189" s="54" t="inlineStr"/>
      <c r="O1189" s="55" t="inlineStr"/>
      <c r="P1189" s="16" t="inlineStr">
        <is>
          <t>Требует обогащения</t>
        </is>
      </c>
      <c r="Q1189" s="16">
        <f>HYPERLINK("https://pb.nalog.ru/search.html?query=7327080350","ФНС: проверить")</f>
        <v/>
      </c>
      <c r="R1189" s="16">
        <f>HYPERLINK("https://checko.ru/search?query=3801001629","Чекко: проверить")</f>
        <v/>
      </c>
      <c r="S1189" t="n">
        <v>1</v>
      </c>
      <c r="T1189" s="35" t="inlineStr">
        <is>
          <t>4 — Не обогащён</t>
        </is>
      </c>
      <c r="U1189" s="35" t="inlineStr">
        <is>
          <t>Нет ОКВЭД/ССЧР</t>
        </is>
      </c>
      <c r="V1189" s="35" t="inlineStr">
        <is>
          <t>Не определено</t>
        </is>
      </c>
      <c r="W1189" s="35" t="inlineStr"/>
      <c r="X1189" s="35" t="inlineStr"/>
    </row>
    <row r="1190" ht="27.75" customHeight="1" s="24">
      <c r="A1190" s="13" t="n">
        <v>5000119959</v>
      </c>
      <c r="B1190" s="13" t="inlineStr">
        <is>
          <t>МАУ города Луховицы "Комбинат по благоустройству и бытовому хозяйству"</t>
        </is>
      </c>
      <c r="C1190" s="13" t="n">
        <v>5072726200</v>
      </c>
      <c r="D1190" s="13" t="inlineStr">
        <is>
          <t>5072726200</t>
        </is>
      </c>
      <c r="E1190" s="13" t="inlineStr">
        <is>
          <t>ЮЛ РФ</t>
        </is>
      </c>
      <c r="F1190" s="13" t="n"/>
      <c r="G1190" s="14" t="n"/>
      <c r="H1190" s="14" t="n"/>
      <c r="I1190" s="14" t="n"/>
      <c r="J1190" s="14" t="n"/>
      <c r="K1190" s="53" t="inlineStr"/>
      <c r="L1190" s="53" t="inlineStr">
        <is>
          <t>Не определено</t>
        </is>
      </c>
      <c r="M1190" s="53" t="inlineStr"/>
      <c r="N1190" s="54" t="inlineStr"/>
      <c r="O1190" s="55" t="inlineStr"/>
      <c r="P1190" s="16" t="inlineStr">
        <is>
          <t>Требует обогащения</t>
        </is>
      </c>
      <c r="Q1190" s="16">
        <f>HYPERLINK("https://pb.nalog.ru/search.html?query=5072726200","ФНС: проверить")</f>
        <v/>
      </c>
      <c r="R1190" s="16">
        <f>HYPERLINK("https://checko.ru/search?query=3801001629","Чекко: проверить")</f>
        <v/>
      </c>
      <c r="S1190" t="n">
        <v>1</v>
      </c>
      <c r="T1190" s="35" t="inlineStr">
        <is>
          <t>4 — Не обогащён</t>
        </is>
      </c>
      <c r="U1190" s="35" t="inlineStr">
        <is>
          <t>Нет ОКВЭД/ССЧР</t>
        </is>
      </c>
      <c r="V1190" s="35" t="inlineStr">
        <is>
          <t>Не определено</t>
        </is>
      </c>
      <c r="W1190" s="35" t="inlineStr"/>
      <c r="X1190" s="35" t="inlineStr"/>
    </row>
    <row r="1191" ht="27.75" customHeight="1" s="24">
      <c r="A1191" s="13" t="n">
        <v>5000028267</v>
      </c>
      <c r="B1191" s="13" t="inlineStr">
        <is>
          <t>МАУ "МФЦ ГОРОДСКОГО ОКРУГА ЛУХОВИЦЫ МОСКОВСКОЙ ОБЛАСТИ"</t>
        </is>
      </c>
      <c r="C1191" s="13" t="n">
        <v>5072003183</v>
      </c>
      <c r="D1191" s="13" t="inlineStr">
        <is>
          <t>5072003183</t>
        </is>
      </c>
      <c r="E1191" s="13" t="inlineStr">
        <is>
          <t>ЮЛ РФ</t>
        </is>
      </c>
      <c r="F1191" s="13" t="n"/>
      <c r="G1191" s="14" t="n"/>
      <c r="H1191" s="14" t="n"/>
      <c r="I1191" s="14" t="n"/>
      <c r="J1191" s="14" t="n"/>
      <c r="K1191" s="53" t="inlineStr"/>
      <c r="L1191" s="53" t="inlineStr">
        <is>
          <t>Не определено</t>
        </is>
      </c>
      <c r="M1191" s="53" t="inlineStr"/>
      <c r="N1191" s="54" t="inlineStr"/>
      <c r="O1191" s="55" t="inlineStr"/>
      <c r="P1191" s="16" t="inlineStr">
        <is>
          <t>Требует обогащения</t>
        </is>
      </c>
      <c r="Q1191" s="16">
        <f>HYPERLINK("https://pb.nalog.ru/search.html?query=5072003183","ФНС: проверить")</f>
        <v/>
      </c>
      <c r="R1191" s="16">
        <f>HYPERLINK("https://checko.ru/search?query=3801001629","Чекко: проверить")</f>
        <v/>
      </c>
      <c r="S1191" t="n">
        <v>1</v>
      </c>
      <c r="T1191" s="35" t="inlineStr">
        <is>
          <t>4 — Не обогащён</t>
        </is>
      </c>
      <c r="U1191" s="35" t="inlineStr">
        <is>
          <t>Нет ОКВЭД/ССЧР</t>
        </is>
      </c>
      <c r="V1191" s="35" t="inlineStr">
        <is>
          <t>Не определено</t>
        </is>
      </c>
      <c r="W1191" s="35" t="inlineStr"/>
      <c r="X1191" s="35" t="inlineStr"/>
    </row>
    <row r="1192" ht="41.25" customHeight="1" s="24">
      <c r="A1192" s="13" t="n">
        <v>5000028268</v>
      </c>
      <c r="B1192" s="13" t="inlineStr">
        <is>
          <t>УПРАВЛЕНИЕ СИСТЕМОЙ ОБРАЗОВАНИЯ АДМИНИСТРАЦИИ ГОРОДСКОГО ОКРУГА ЛУХОВИЦЫ МОСКОВСКОЙ ОБЛАСТИ</t>
        </is>
      </c>
      <c r="C1192" s="13" t="n">
        <v>5072726714</v>
      </c>
      <c r="D1192" s="13" t="inlineStr">
        <is>
          <t>5072726714</t>
        </is>
      </c>
      <c r="E1192" s="13" t="inlineStr">
        <is>
          <t>ЮЛ РФ</t>
        </is>
      </c>
      <c r="F1192" s="13" t="n"/>
      <c r="G1192" s="14" t="n"/>
      <c r="H1192" s="14" t="n"/>
      <c r="I1192" s="14" t="n"/>
      <c r="J1192" s="14" t="n"/>
      <c r="K1192" s="53" t="inlineStr"/>
      <c r="L1192" s="53" t="inlineStr">
        <is>
          <t>Не определено</t>
        </is>
      </c>
      <c r="M1192" s="53" t="inlineStr"/>
      <c r="N1192" s="54" t="inlineStr"/>
      <c r="O1192" s="55" t="inlineStr"/>
      <c r="P1192" s="16" t="inlineStr">
        <is>
          <t>Требует обогащения</t>
        </is>
      </c>
      <c r="Q1192" s="16">
        <f>HYPERLINK("https://pb.nalog.ru/search.html?query=5072726714","ФНС: проверить")</f>
        <v/>
      </c>
      <c r="R1192" s="16">
        <f>HYPERLINK("https://checko.ru/search?query=3801001629","Чекко: проверить")</f>
        <v/>
      </c>
      <c r="S1192" t="n">
        <v>1</v>
      </c>
      <c r="T1192" s="35" t="inlineStr">
        <is>
          <t>4 — Не обогащён</t>
        </is>
      </c>
      <c r="U1192" s="35" t="inlineStr">
        <is>
          <t>Нет ОКВЭД/ССЧР</t>
        </is>
      </c>
      <c r="V1192" s="35" t="inlineStr">
        <is>
          <t>Не определено</t>
        </is>
      </c>
      <c r="W1192" s="35" t="inlineStr"/>
      <c r="X1192" s="35" t="inlineStr"/>
    </row>
    <row r="1193" ht="15" customHeight="1" s="24">
      <c r="A1193" s="13" t="n">
        <v>5000028274</v>
      </c>
      <c r="B1193" s="13" t="inlineStr">
        <is>
          <t>МБУК "ГАЗОПРОВОДСКАЯ ЦСК "СЕМИЦВЕТ"</t>
        </is>
      </c>
      <c r="C1193" s="13" t="n">
        <v>5072724837</v>
      </c>
      <c r="D1193" s="13" t="inlineStr">
        <is>
          <t>5072724837</t>
        </is>
      </c>
      <c r="E1193" s="13" t="inlineStr">
        <is>
          <t>ЮЛ РФ</t>
        </is>
      </c>
      <c r="F1193" s="13" t="n"/>
      <c r="G1193" s="14" t="n"/>
      <c r="H1193" s="14" t="n"/>
      <c r="I1193" s="14" t="n"/>
      <c r="J1193" s="14" t="n"/>
      <c r="K1193" s="53" t="inlineStr"/>
      <c r="L1193" s="53" t="inlineStr">
        <is>
          <t>Не определено</t>
        </is>
      </c>
      <c r="M1193" s="53" t="inlineStr"/>
      <c r="N1193" s="54" t="inlineStr"/>
      <c r="O1193" s="55" t="inlineStr"/>
      <c r="P1193" s="16" t="inlineStr">
        <is>
          <t>Требует обогащения</t>
        </is>
      </c>
      <c r="Q1193" s="16">
        <f>HYPERLINK("https://pb.nalog.ru/search.html?query=5072724837","ФНС: проверить")</f>
        <v/>
      </c>
      <c r="R1193" s="16">
        <f>HYPERLINK("https://checko.ru/search?query=3801001629","Чекко: проверить")</f>
        <v/>
      </c>
      <c r="S1193" t="n">
        <v>1</v>
      </c>
      <c r="T1193" s="35" t="inlineStr">
        <is>
          <t>4 — Не обогащён</t>
        </is>
      </c>
      <c r="U1193" s="35" t="inlineStr">
        <is>
          <t>Нет ОКВЭД/ССЧР</t>
        </is>
      </c>
      <c r="V1193" s="35" t="inlineStr">
        <is>
          <t>Не определено</t>
        </is>
      </c>
      <c r="W1193" s="35" t="inlineStr"/>
      <c r="X1193" s="35" t="inlineStr"/>
    </row>
    <row r="1194" ht="15" customHeight="1" s="24">
      <c r="A1194" s="13" t="n">
        <v>5000057420</v>
      </c>
      <c r="B1194" s="13" t="inlineStr">
        <is>
          <t>МАУ КМЦ "Дом молодежи"</t>
        </is>
      </c>
      <c r="C1194" s="13" t="n">
        <v>5032270577</v>
      </c>
      <c r="D1194" s="13" t="inlineStr">
        <is>
          <t>5032270577</t>
        </is>
      </c>
      <c r="E1194" s="13" t="inlineStr">
        <is>
          <t>ЮЛ РФ</t>
        </is>
      </c>
      <c r="F1194" s="13" t="n"/>
      <c r="G1194" s="14" t="n"/>
      <c r="H1194" s="14" t="n"/>
      <c r="I1194" s="14" t="n"/>
      <c r="J1194" s="14" t="n"/>
      <c r="K1194" s="53" t="inlineStr"/>
      <c r="L1194" s="53" t="inlineStr">
        <is>
          <t>Не определено</t>
        </is>
      </c>
      <c r="M1194" s="53" t="inlineStr"/>
      <c r="N1194" s="54" t="inlineStr"/>
      <c r="O1194" s="55" t="inlineStr"/>
      <c r="P1194" s="16" t="inlineStr">
        <is>
          <t>Требует обогащения</t>
        </is>
      </c>
      <c r="Q1194" s="16">
        <f>HYPERLINK("https://pb.nalog.ru/search.html?query=5032270577","ФНС: проверить")</f>
        <v/>
      </c>
      <c r="R1194" s="16">
        <f>HYPERLINK("https://checko.ru/search?query=3801001629","Чекко: проверить")</f>
        <v/>
      </c>
      <c r="S1194" t="n">
        <v>1</v>
      </c>
      <c r="T1194" s="35" t="inlineStr">
        <is>
          <t>4 — Не обогащён</t>
        </is>
      </c>
      <c r="U1194" s="35" t="inlineStr">
        <is>
          <t>Нет ОКВЭД/ССЧР</t>
        </is>
      </c>
      <c r="V1194" s="35" t="inlineStr">
        <is>
          <t>Не определено</t>
        </is>
      </c>
      <c r="W1194" s="35" t="inlineStr"/>
      <c r="X1194" s="35" t="inlineStr"/>
    </row>
    <row r="1195" ht="15" customHeight="1" s="24">
      <c r="A1195" s="13" t="n">
        <v>5000050124</v>
      </c>
      <c r="B1195" s="13" t="inlineStr">
        <is>
          <t>МБУ "АСТАПОВСКАЯ ЦСК "ГАРМОНИЯ"</t>
        </is>
      </c>
      <c r="C1195" s="13" t="n">
        <v>5072724805</v>
      </c>
      <c r="D1195" s="13" t="inlineStr">
        <is>
          <t>5072724805</t>
        </is>
      </c>
      <c r="E1195" s="13" t="inlineStr">
        <is>
          <t>ЮЛ РФ</t>
        </is>
      </c>
      <c r="F1195" s="13" t="n"/>
      <c r="G1195" s="14" t="n"/>
      <c r="H1195" s="14" t="n"/>
      <c r="I1195" s="14" t="n"/>
      <c r="J1195" s="14" t="n"/>
      <c r="K1195" s="53" t="inlineStr"/>
      <c r="L1195" s="53" t="inlineStr">
        <is>
          <t>Не определено</t>
        </is>
      </c>
      <c r="M1195" s="53" t="inlineStr"/>
      <c r="N1195" s="54" t="inlineStr"/>
      <c r="O1195" s="55" t="inlineStr"/>
      <c r="P1195" s="16" t="inlineStr">
        <is>
          <t>Требует обогащения</t>
        </is>
      </c>
      <c r="Q1195" s="16">
        <f>HYPERLINK("https://pb.nalog.ru/search.html?query=5072724805","ФНС: проверить")</f>
        <v/>
      </c>
      <c r="R1195" s="16">
        <f>HYPERLINK("https://checko.ru/search?query=3801001629","Чекко: проверить")</f>
        <v/>
      </c>
      <c r="S1195" t="n">
        <v>1</v>
      </c>
      <c r="T1195" s="35" t="inlineStr">
        <is>
          <t>4 — Не обогащён</t>
        </is>
      </c>
      <c r="U1195" s="35" t="inlineStr">
        <is>
          <t>Нет ОКВЭД/ССЧР</t>
        </is>
      </c>
      <c r="V1195" s="35" t="inlineStr">
        <is>
          <t>Не определено</t>
        </is>
      </c>
      <c r="W1195" s="35" t="inlineStr"/>
      <c r="X1195" s="35" t="inlineStr"/>
    </row>
    <row r="1196" ht="27.75" customHeight="1" s="24">
      <c r="A1196" s="13" t="n">
        <v>5000050137</v>
      </c>
      <c r="B1196" s="13" t="inlineStr">
        <is>
          <t>МБОУ "ЛУХОВИЦКАЯ СРЕДНЯЯ ОБЩЕОБРАЗОВАТЕЛЬНАЯ ШКОЛА № 2"</t>
        </is>
      </c>
      <c r="C1196" s="13" t="n">
        <v>5072713169</v>
      </c>
      <c r="D1196" s="13" t="inlineStr">
        <is>
          <t>5072713169</t>
        </is>
      </c>
      <c r="E1196" s="13" t="inlineStr">
        <is>
          <t>ЮЛ РФ</t>
        </is>
      </c>
      <c r="F1196" s="13" t="n"/>
      <c r="G1196" s="14" t="n"/>
      <c r="H1196" s="14" t="n"/>
      <c r="I1196" s="14" t="n"/>
      <c r="J1196" s="14" t="n"/>
      <c r="K1196" s="53" t="inlineStr"/>
      <c r="L1196" s="53" t="inlineStr">
        <is>
          <t>Не определено</t>
        </is>
      </c>
      <c r="M1196" s="53" t="inlineStr"/>
      <c r="N1196" s="54" t="inlineStr"/>
      <c r="O1196" s="55" t="inlineStr"/>
      <c r="P1196" s="16" t="inlineStr">
        <is>
          <t>Требует обогащения</t>
        </is>
      </c>
      <c r="Q1196" s="16">
        <f>HYPERLINK("https://pb.nalog.ru/search.html?query=5072713169","ФНС: проверить")</f>
        <v/>
      </c>
      <c r="R1196" s="16">
        <f>HYPERLINK("https://checko.ru/search?query=3801001629","Чекко: проверить")</f>
        <v/>
      </c>
      <c r="S1196" t="n">
        <v>1</v>
      </c>
      <c r="T1196" s="35" t="inlineStr">
        <is>
          <t>4 — Не обогащён</t>
        </is>
      </c>
      <c r="U1196" s="35" t="inlineStr">
        <is>
          <t>Нет ОКВЭД/ССЧР</t>
        </is>
      </c>
      <c r="V1196" s="35" t="inlineStr">
        <is>
          <t>Не определено</t>
        </is>
      </c>
      <c r="W1196" s="35" t="inlineStr"/>
      <c r="X1196" s="35" t="inlineStr"/>
    </row>
    <row r="1197" ht="27.75" customHeight="1" s="24">
      <c r="A1197" s="13" t="n">
        <v>5000050142</v>
      </c>
      <c r="B1197" s="13" t="inlineStr">
        <is>
          <t>МБОУ "ГАЗОПРОВОДСКАЯ СРЕДНЯЯ ОБЩЕОБРАЗОВАТЕЛЬНАЯ ШКОЛА"</t>
        </is>
      </c>
      <c r="C1197" s="13" t="n">
        <v>5072713088</v>
      </c>
      <c r="D1197" s="13" t="inlineStr">
        <is>
          <t>5072713088</t>
        </is>
      </c>
      <c r="E1197" s="13" t="inlineStr">
        <is>
          <t>ЮЛ РФ</t>
        </is>
      </c>
      <c r="F1197" s="13" t="n"/>
      <c r="G1197" s="14" t="n"/>
      <c r="H1197" s="14" t="n"/>
      <c r="I1197" s="14" t="n"/>
      <c r="J1197" s="14" t="n"/>
      <c r="K1197" s="53" t="inlineStr"/>
      <c r="L1197" s="53" t="inlineStr">
        <is>
          <t>Не определено</t>
        </is>
      </c>
      <c r="M1197" s="53" t="inlineStr"/>
      <c r="N1197" s="54" t="inlineStr"/>
      <c r="O1197" s="55" t="inlineStr"/>
      <c r="P1197" s="16" t="inlineStr">
        <is>
          <t>Требует обогащения</t>
        </is>
      </c>
      <c r="Q1197" s="16">
        <f>HYPERLINK("https://pb.nalog.ru/search.html?query=5072713088","ФНС: проверить")</f>
        <v/>
      </c>
      <c r="R1197" s="16">
        <f>HYPERLINK("https://checko.ru/search?query=3801001629","Чекко: проверить")</f>
        <v/>
      </c>
      <c r="S1197" t="n">
        <v>1</v>
      </c>
      <c r="T1197" s="35" t="inlineStr">
        <is>
          <t>4 — Не обогащён</t>
        </is>
      </c>
      <c r="U1197" s="35" t="inlineStr">
        <is>
          <t>Нет ОКВЭД/ССЧР</t>
        </is>
      </c>
      <c r="V1197" s="35" t="inlineStr">
        <is>
          <t>Не определено</t>
        </is>
      </c>
      <c r="W1197" s="35" t="inlineStr"/>
      <c r="X1197" s="35" t="inlineStr"/>
    </row>
    <row r="1198" ht="15" customHeight="1" s="24">
      <c r="A1198" s="13" t="n">
        <v>5000038503</v>
      </c>
      <c r="B1198" s="13" t="inlineStr">
        <is>
          <t>ОбГБУК Ундоровский палеонтологический музей</t>
        </is>
      </c>
      <c r="C1198" s="13" t="n">
        <v>7321318790</v>
      </c>
      <c r="D1198" s="13" t="inlineStr">
        <is>
          <t>7321318790</t>
        </is>
      </c>
      <c r="E1198" s="13" t="inlineStr">
        <is>
          <t>ЮЛ РФ</t>
        </is>
      </c>
      <c r="F1198" s="13" t="n"/>
      <c r="G1198" s="14" t="n"/>
      <c r="H1198" s="14" t="n"/>
      <c r="I1198" s="14" t="n"/>
      <c r="J1198" s="14" t="n"/>
      <c r="K1198" s="53" t="inlineStr"/>
      <c r="L1198" s="53" t="inlineStr">
        <is>
          <t>Не определено</t>
        </is>
      </c>
      <c r="M1198" s="53" t="inlineStr"/>
      <c r="N1198" s="54" t="inlineStr"/>
      <c r="O1198" s="55" t="inlineStr"/>
      <c r="P1198" s="16" t="inlineStr">
        <is>
          <t>Требует обогащения</t>
        </is>
      </c>
      <c r="Q1198" s="16">
        <f>HYPERLINK("https://pb.nalog.ru/search.html?query=7321318790","ФНС: проверить")</f>
        <v/>
      </c>
      <c r="R1198" s="16">
        <f>HYPERLINK("https://checko.ru/search?query=3801001629","Чекко: проверить")</f>
        <v/>
      </c>
      <c r="S1198" t="n">
        <v>1</v>
      </c>
      <c r="T1198" s="35" t="inlineStr">
        <is>
          <t>4 — Не обогащён</t>
        </is>
      </c>
      <c r="U1198" s="35" t="inlineStr">
        <is>
          <t>Нет ОКВЭД/ССЧР</t>
        </is>
      </c>
      <c r="V1198" s="35" t="inlineStr">
        <is>
          <t>Не определено</t>
        </is>
      </c>
      <c r="W1198" s="35" t="inlineStr"/>
      <c r="X1198" s="35" t="inlineStr"/>
    </row>
    <row r="1199" ht="15" customHeight="1" s="24">
      <c r="A1199" s="13" t="n">
        <v>5000034591</v>
      </c>
      <c r="B1199" s="13" t="inlineStr">
        <is>
          <t>МБОУ Одинцовская гимназия № 4</t>
        </is>
      </c>
      <c r="C1199" s="13" t="n">
        <v>5032036954</v>
      </c>
      <c r="D1199" s="13" t="inlineStr">
        <is>
          <t>5032036954</t>
        </is>
      </c>
      <c r="E1199" s="13" t="inlineStr">
        <is>
          <t>ЮЛ РФ</t>
        </is>
      </c>
      <c r="F1199" s="13" t="n"/>
      <c r="G1199" s="14" t="n"/>
      <c r="H1199" s="14" t="n"/>
      <c r="I1199" s="14" t="n"/>
      <c r="J1199" s="14" t="n"/>
      <c r="K1199" s="53" t="inlineStr"/>
      <c r="L1199" s="53" t="inlineStr">
        <is>
          <t>Не определено</t>
        </is>
      </c>
      <c r="M1199" s="53" t="inlineStr"/>
      <c r="N1199" s="54" t="inlineStr"/>
      <c r="O1199" s="55" t="inlineStr"/>
      <c r="P1199" s="16" t="inlineStr">
        <is>
          <t>Требует обогащения</t>
        </is>
      </c>
      <c r="Q1199" s="16">
        <f>HYPERLINK("https://pb.nalog.ru/search.html?query=5032036954","ФНС: проверить")</f>
        <v/>
      </c>
      <c r="R1199" s="16">
        <f>HYPERLINK("https://checko.ru/search?query=3801001629","Чекко: проверить")</f>
        <v/>
      </c>
      <c r="S1199" t="n">
        <v>1</v>
      </c>
      <c r="T1199" s="35" t="inlineStr">
        <is>
          <t>4 — Не обогащён</t>
        </is>
      </c>
      <c r="U1199" s="35" t="inlineStr">
        <is>
          <t>Нет ОКВЭД/ССЧР</t>
        </is>
      </c>
      <c r="V1199" s="35" t="inlineStr">
        <is>
          <t>Не определено</t>
        </is>
      </c>
      <c r="W1199" s="35" t="inlineStr"/>
      <c r="X1199" s="35" t="inlineStr"/>
    </row>
    <row r="1200" ht="15" customHeight="1" s="24">
      <c r="A1200" s="13" t="n">
        <v>5000034596</v>
      </c>
      <c r="B1200" s="13" t="inlineStr">
        <is>
          <t>МБОУ Одинцовский лицей № 2</t>
        </is>
      </c>
      <c r="C1200" s="13" t="n">
        <v>5032057640</v>
      </c>
      <c r="D1200" s="13" t="inlineStr">
        <is>
          <t>5032057640</t>
        </is>
      </c>
      <c r="E1200" s="13" t="inlineStr">
        <is>
          <t>ЮЛ РФ</t>
        </is>
      </c>
      <c r="F1200" s="13" t="n"/>
      <c r="G1200" s="14" t="n"/>
      <c r="H1200" s="14" t="n"/>
      <c r="I1200" s="14" t="n"/>
      <c r="J1200" s="14" t="n"/>
      <c r="K1200" s="53" t="inlineStr"/>
      <c r="L1200" s="53" t="inlineStr">
        <is>
          <t>Не определено</t>
        </is>
      </c>
      <c r="M1200" s="53" t="inlineStr"/>
      <c r="N1200" s="54" t="inlineStr"/>
      <c r="O1200" s="55" t="inlineStr"/>
      <c r="P1200" s="16" t="inlineStr">
        <is>
          <t>Требует обогащения</t>
        </is>
      </c>
      <c r="Q1200" s="16">
        <f>HYPERLINK("https://pb.nalog.ru/search.html?query=5032057640","ФНС: проверить")</f>
        <v/>
      </c>
      <c r="R1200" s="16">
        <f>HYPERLINK("https://checko.ru/search?query=3801001629","Чекко: проверить")</f>
        <v/>
      </c>
      <c r="S1200" t="n">
        <v>1</v>
      </c>
      <c r="T1200" s="35" t="inlineStr">
        <is>
          <t>4 — Не обогащён</t>
        </is>
      </c>
      <c r="U1200" s="35" t="inlineStr">
        <is>
          <t>Нет ОКВЭД/ССЧР</t>
        </is>
      </c>
      <c r="V1200" s="35" t="inlineStr">
        <is>
          <t>Не определено</t>
        </is>
      </c>
      <c r="W1200" s="35" t="inlineStr"/>
      <c r="X1200" s="35" t="inlineStr"/>
    </row>
    <row r="1201" ht="15" customHeight="1" s="24">
      <c r="A1201" s="13" t="n">
        <v>5000034604</v>
      </c>
      <c r="B1201" s="13" t="inlineStr">
        <is>
          <t>МБОУ Одинцовская лингвистическая гимназия</t>
        </is>
      </c>
      <c r="C1201" s="13" t="n">
        <v>5032208970</v>
      </c>
      <c r="D1201" s="13" t="inlineStr">
        <is>
          <t>5032208970</t>
        </is>
      </c>
      <c r="E1201" s="13" t="inlineStr">
        <is>
          <t>ЮЛ РФ</t>
        </is>
      </c>
      <c r="F1201" s="13" t="n"/>
      <c r="G1201" s="14" t="n"/>
      <c r="H1201" s="14" t="n"/>
      <c r="I1201" s="14" t="n"/>
      <c r="J1201" s="14" t="n"/>
      <c r="K1201" s="53" t="inlineStr"/>
      <c r="L1201" s="53" t="inlineStr">
        <is>
          <t>Не определено</t>
        </is>
      </c>
      <c r="M1201" s="53" t="inlineStr"/>
      <c r="N1201" s="54" t="inlineStr"/>
      <c r="O1201" s="55" t="inlineStr"/>
      <c r="P1201" s="16" t="inlineStr">
        <is>
          <t>Требует обогащения</t>
        </is>
      </c>
      <c r="Q1201" s="16">
        <f>HYPERLINK("https://pb.nalog.ru/search.html?query=5032208970","ФНС: проверить")</f>
        <v/>
      </c>
      <c r="R1201" s="16">
        <f>HYPERLINK("https://checko.ru/search?query=3801001629","Чекко: проверить")</f>
        <v/>
      </c>
      <c r="S1201" t="n">
        <v>1</v>
      </c>
      <c r="T1201" s="35" t="inlineStr">
        <is>
          <t>4 — Не обогащён</t>
        </is>
      </c>
      <c r="U1201" s="35" t="inlineStr">
        <is>
          <t>Нет ОКВЭД/ССЧР</t>
        </is>
      </c>
      <c r="V1201" s="35" t="inlineStr">
        <is>
          <t>Не определено</t>
        </is>
      </c>
      <c r="W1201" s="35" t="inlineStr"/>
      <c r="X1201" s="35" t="inlineStr"/>
    </row>
    <row r="1202" ht="15" customHeight="1" s="24">
      <c r="A1202" s="13" t="n">
        <v>5000034646</v>
      </c>
      <c r="B1202" s="13" t="inlineStr">
        <is>
          <t>МБОУДОД ОСЮТ</t>
        </is>
      </c>
      <c r="C1202" s="13" t="n">
        <v>5032039761</v>
      </c>
      <c r="D1202" s="13" t="inlineStr">
        <is>
          <t>5032039761</t>
        </is>
      </c>
      <c r="E1202" s="13" t="inlineStr">
        <is>
          <t>ЮЛ РФ</t>
        </is>
      </c>
      <c r="F1202" s="13" t="n"/>
      <c r="G1202" s="14" t="n"/>
      <c r="H1202" s="14" t="n"/>
      <c r="I1202" s="14" t="n"/>
      <c r="J1202" s="14" t="n"/>
      <c r="K1202" s="53" t="inlineStr"/>
      <c r="L1202" s="53" t="inlineStr">
        <is>
          <t>Не определено</t>
        </is>
      </c>
      <c r="M1202" s="53" t="inlineStr"/>
      <c r="N1202" s="54" t="inlineStr"/>
      <c r="O1202" s="55" t="inlineStr"/>
      <c r="P1202" s="16" t="inlineStr">
        <is>
          <t>Требует обогащения</t>
        </is>
      </c>
      <c r="Q1202" s="16">
        <f>HYPERLINK("https://pb.nalog.ru/search.html?query=5032039761","ФНС: проверить")</f>
        <v/>
      </c>
      <c r="R1202" s="16">
        <f>HYPERLINK("https://checko.ru/search?query=3801001629","Чекко: проверить")</f>
        <v/>
      </c>
      <c r="S1202" t="n">
        <v>1</v>
      </c>
      <c r="T1202" s="35" t="inlineStr">
        <is>
          <t>4 — Не обогащён</t>
        </is>
      </c>
      <c r="U1202" s="35" t="inlineStr">
        <is>
          <t>Нет ОКВЭД/ССЧР</t>
        </is>
      </c>
      <c r="V1202" s="35" t="inlineStr">
        <is>
          <t>Не определено</t>
        </is>
      </c>
      <c r="W1202" s="35" t="inlineStr"/>
      <c r="X1202" s="35" t="inlineStr"/>
    </row>
    <row r="1203" ht="15" customHeight="1" s="24">
      <c r="A1203" s="13" t="n">
        <v>5000034660</v>
      </c>
      <c r="B1203" s="13" t="inlineStr">
        <is>
          <t>МБОУ Старогородковская СОШ</t>
        </is>
      </c>
      <c r="C1203" s="13" t="n">
        <v>5032036168</v>
      </c>
      <c r="D1203" s="13" t="inlineStr">
        <is>
          <t>5032036168</t>
        </is>
      </c>
      <c r="E1203" s="13" t="inlineStr">
        <is>
          <t>ЮЛ РФ</t>
        </is>
      </c>
      <c r="F1203" s="13" t="n"/>
      <c r="G1203" s="14" t="n"/>
      <c r="H1203" s="14" t="n"/>
      <c r="I1203" s="14" t="n"/>
      <c r="J1203" s="14" t="n"/>
      <c r="K1203" s="53" t="inlineStr"/>
      <c r="L1203" s="53" t="inlineStr">
        <is>
          <t>Не определено</t>
        </is>
      </c>
      <c r="M1203" s="53" t="inlineStr"/>
      <c r="N1203" s="54" t="inlineStr"/>
      <c r="O1203" s="55" t="inlineStr"/>
      <c r="P1203" s="16" t="inlineStr">
        <is>
          <t>Требует обогащения</t>
        </is>
      </c>
      <c r="Q1203" s="16">
        <f>HYPERLINK("https://pb.nalog.ru/search.html?query=5032036168","ФНС: проверить")</f>
        <v/>
      </c>
      <c r="R1203" s="16">
        <f>HYPERLINK("https://checko.ru/search?query=3801001629","Чекко: проверить")</f>
        <v/>
      </c>
      <c r="S1203" t="n">
        <v>1</v>
      </c>
      <c r="T1203" s="35" t="inlineStr">
        <is>
          <t>4 — Не обогащён</t>
        </is>
      </c>
      <c r="U1203" s="35" t="inlineStr">
        <is>
          <t>Нет ОКВЭД/ССЧР</t>
        </is>
      </c>
      <c r="V1203" s="35" t="inlineStr">
        <is>
          <t>Не определено</t>
        </is>
      </c>
      <c r="W1203" s="35" t="inlineStr"/>
      <c r="X1203" s="35" t="inlineStr"/>
    </row>
    <row r="1204" ht="41.25" customHeight="1" s="24">
      <c r="A1204" s="13" t="n">
        <v>5000034674</v>
      </c>
      <c r="B1204" s="13" t="inlineStr">
        <is>
          <t>МКОУ РАООП "Старогородковская Специальная (Коррекционная) Школа-Интернат им. Заслуженного Учителя РФ Фурагиной А.В.</t>
        </is>
      </c>
      <c r="C1204" s="13" t="n">
        <v>5032201615</v>
      </c>
      <c r="D1204" s="13" t="inlineStr">
        <is>
          <t>5032201615</t>
        </is>
      </c>
      <c r="E1204" s="13" t="inlineStr">
        <is>
          <t>ЮЛ РФ</t>
        </is>
      </c>
      <c r="F1204" s="13" t="n"/>
      <c r="G1204" s="14" t="n"/>
      <c r="H1204" s="14" t="n"/>
      <c r="I1204" s="14" t="n"/>
      <c r="J1204" s="14" t="n"/>
      <c r="K1204" s="53" t="inlineStr"/>
      <c r="L1204" s="53" t="inlineStr">
        <is>
          <t>Не определено</t>
        </is>
      </c>
      <c r="M1204" s="53" t="inlineStr"/>
      <c r="N1204" s="54" t="inlineStr"/>
      <c r="O1204" s="55" t="inlineStr"/>
      <c r="P1204" s="16" t="inlineStr">
        <is>
          <t>Требует обогащения</t>
        </is>
      </c>
      <c r="Q1204" s="16">
        <f>HYPERLINK("https://pb.nalog.ru/search.html?query=5032201615","ФНС: проверить")</f>
        <v/>
      </c>
      <c r="R1204" s="16">
        <f>HYPERLINK("https://checko.ru/search?query=3801001629","Чекко: проверить")</f>
        <v/>
      </c>
      <c r="S1204" t="n">
        <v>1</v>
      </c>
      <c r="T1204" s="35" t="inlineStr">
        <is>
          <t>4 — Не обогащён</t>
        </is>
      </c>
      <c r="U1204" s="35" t="inlineStr">
        <is>
          <t>Нет ОКВЭД/ССЧР</t>
        </is>
      </c>
      <c r="V1204" s="35" t="inlineStr">
        <is>
          <t>Не определено</t>
        </is>
      </c>
      <c r="W1204" s="35" t="inlineStr"/>
      <c r="X1204" s="35" t="inlineStr"/>
    </row>
    <row r="1205" ht="27.75" customHeight="1" s="24">
      <c r="A1205" s="13" t="n">
        <v>5000034678</v>
      </c>
      <c r="B1205" s="13" t="inlineStr">
        <is>
          <t>МОУ Жаворонковская средняя общеобразовательная школа</t>
        </is>
      </c>
      <c r="C1205" s="13" t="n">
        <v>5032036111</v>
      </c>
      <c r="D1205" s="13" t="inlineStr">
        <is>
          <t>5032036111</t>
        </is>
      </c>
      <c r="E1205" s="13" t="inlineStr">
        <is>
          <t>ЮЛ РФ</t>
        </is>
      </c>
      <c r="F1205" s="13" t="n"/>
      <c r="G1205" s="14" t="n"/>
      <c r="H1205" s="14" t="n"/>
      <c r="I1205" s="14" t="n"/>
      <c r="J1205" s="14" t="n"/>
      <c r="K1205" s="53" t="inlineStr"/>
      <c r="L1205" s="53" t="inlineStr">
        <is>
          <t>Не определено</t>
        </is>
      </c>
      <c r="M1205" s="53" t="inlineStr"/>
      <c r="N1205" s="54" t="inlineStr"/>
      <c r="O1205" s="55" t="inlineStr"/>
      <c r="P1205" s="16" t="inlineStr">
        <is>
          <t>Требует обогащения</t>
        </is>
      </c>
      <c r="Q1205" s="16">
        <f>HYPERLINK("https://pb.nalog.ru/search.html?query=5032036111","ФНС: проверить")</f>
        <v/>
      </c>
      <c r="R1205" s="16">
        <f>HYPERLINK("https://checko.ru/search?query=3801001629","Чекко: проверить")</f>
        <v/>
      </c>
      <c r="S1205" t="n">
        <v>1</v>
      </c>
      <c r="T1205" s="35" t="inlineStr">
        <is>
          <t>4 — Не обогащён</t>
        </is>
      </c>
      <c r="U1205" s="35" t="inlineStr">
        <is>
          <t>Нет ОКВЭД/ССЧР</t>
        </is>
      </c>
      <c r="V1205" s="35" t="inlineStr">
        <is>
          <t>Не определено</t>
        </is>
      </c>
      <c r="W1205" s="35" t="inlineStr"/>
      <c r="X1205" s="35" t="inlineStr"/>
    </row>
    <row r="1206" ht="27.75" customHeight="1" s="24">
      <c r="A1206" s="13" t="n">
        <v>5000034680</v>
      </c>
      <c r="B1206" s="13" t="inlineStr">
        <is>
          <t>МОУ Мало-Вязёмская средняя общеобразовательная школа</t>
        </is>
      </c>
      <c r="C1206" s="13" t="n">
        <v>5032036312</v>
      </c>
      <c r="D1206" s="13" t="inlineStr">
        <is>
          <t>5032036312</t>
        </is>
      </c>
      <c r="E1206" s="13" t="inlineStr">
        <is>
          <t>ЮЛ РФ</t>
        </is>
      </c>
      <c r="F1206" s="13" t="n"/>
      <c r="G1206" s="14" t="n"/>
      <c r="H1206" s="14" t="n"/>
      <c r="I1206" s="14" t="n"/>
      <c r="J1206" s="14" t="n"/>
      <c r="K1206" s="53" t="inlineStr"/>
      <c r="L1206" s="53" t="inlineStr">
        <is>
          <t>Не определено</t>
        </is>
      </c>
      <c r="M1206" s="53" t="inlineStr"/>
      <c r="N1206" s="54" t="inlineStr"/>
      <c r="O1206" s="55" t="inlineStr"/>
      <c r="P1206" s="16" t="inlineStr">
        <is>
          <t>Требует обогащения</t>
        </is>
      </c>
      <c r="Q1206" s="16">
        <f>HYPERLINK("https://pb.nalog.ru/search.html?query=5032036312","ФНС: проверить")</f>
        <v/>
      </c>
      <c r="R1206" s="16">
        <f>HYPERLINK("https://checko.ru/search?query=3801001629","Чекко: проверить")</f>
        <v/>
      </c>
      <c r="S1206" t="n">
        <v>1</v>
      </c>
      <c r="T1206" s="35" t="inlineStr">
        <is>
          <t>4 — Не обогащён</t>
        </is>
      </c>
      <c r="U1206" s="35" t="inlineStr">
        <is>
          <t>Нет ОКВЭД/ССЧР</t>
        </is>
      </c>
      <c r="V1206" s="35" t="inlineStr">
        <is>
          <t>Не определено</t>
        </is>
      </c>
      <c r="W1206" s="35" t="inlineStr"/>
      <c r="X1206" s="35" t="inlineStr"/>
    </row>
    <row r="1207" ht="15" customHeight="1" s="24">
      <c r="A1207" s="13" t="n">
        <v>5000034713</v>
      </c>
      <c r="B1207" s="13" t="inlineStr">
        <is>
          <t>МБУК "Театральный центр "Жаворонки"</t>
        </is>
      </c>
      <c r="C1207" s="13" t="n">
        <v>5032268465</v>
      </c>
      <c r="D1207" s="13" t="inlineStr">
        <is>
          <t>5032268465</t>
        </is>
      </c>
      <c r="E1207" s="13" t="inlineStr">
        <is>
          <t>ЮЛ РФ</t>
        </is>
      </c>
      <c r="F1207" s="13" t="n"/>
      <c r="G1207" s="14" t="n"/>
      <c r="H1207" s="14" t="n"/>
      <c r="I1207" s="14" t="n"/>
      <c r="J1207" s="14" t="n"/>
      <c r="K1207" s="53" t="inlineStr"/>
      <c r="L1207" s="53" t="inlineStr">
        <is>
          <t>Не определено</t>
        </is>
      </c>
      <c r="M1207" s="53" t="inlineStr"/>
      <c r="N1207" s="54" t="inlineStr"/>
      <c r="O1207" s="55" t="inlineStr"/>
      <c r="P1207" s="16" t="inlineStr">
        <is>
          <t>Требует обогащения</t>
        </is>
      </c>
      <c r="Q1207" s="16">
        <f>HYPERLINK("https://pb.nalog.ru/search.html?query=5032268465","ФНС: проверить")</f>
        <v/>
      </c>
      <c r="R1207" s="16">
        <f>HYPERLINK("https://checko.ru/search?query=3801001629","Чекко: проверить")</f>
        <v/>
      </c>
      <c r="S1207" t="n">
        <v>1</v>
      </c>
      <c r="T1207" s="35" t="inlineStr">
        <is>
          <t>4 — Не обогащён</t>
        </is>
      </c>
      <c r="U1207" s="35" t="inlineStr">
        <is>
          <t>Нет ОКВЭД/ССЧР</t>
        </is>
      </c>
      <c r="V1207" s="35" t="inlineStr">
        <is>
          <t>Не определено</t>
        </is>
      </c>
      <c r="W1207" s="35" t="inlineStr"/>
      <c r="X1207" s="35" t="inlineStr"/>
    </row>
    <row r="1208" ht="15" customHeight="1" s="24">
      <c r="A1208" s="13" t="n">
        <v>5000034721</v>
      </c>
      <c r="B1208" s="13" t="inlineStr">
        <is>
          <t>МБОУ Каринская СОШ</t>
        </is>
      </c>
      <c r="C1208" s="13" t="n">
        <v>5032036270</v>
      </c>
      <c r="D1208" s="13" t="inlineStr">
        <is>
          <t>5032036270</t>
        </is>
      </c>
      <c r="E1208" s="13" t="inlineStr">
        <is>
          <t>ЮЛ РФ</t>
        </is>
      </c>
      <c r="F1208" s="13" t="n"/>
      <c r="G1208" s="14" t="n"/>
      <c r="H1208" s="14" t="n"/>
      <c r="I1208" s="14" t="n"/>
      <c r="J1208" s="14" t="n"/>
      <c r="K1208" s="53" t="inlineStr"/>
      <c r="L1208" s="53" t="inlineStr">
        <is>
          <t>Не определено</t>
        </is>
      </c>
      <c r="M1208" s="53" t="inlineStr"/>
      <c r="N1208" s="54" t="inlineStr"/>
      <c r="O1208" s="55" t="inlineStr"/>
      <c r="P1208" s="16" t="inlineStr">
        <is>
          <t>Требует обогащения</t>
        </is>
      </c>
      <c r="Q1208" s="16">
        <f>HYPERLINK("https://pb.nalog.ru/search.html?query=5032036270","ФНС: проверить")</f>
        <v/>
      </c>
      <c r="R1208" s="16">
        <f>HYPERLINK("https://checko.ru/search?query=3801001629","Чекко: проверить")</f>
        <v/>
      </c>
      <c r="S1208" t="n">
        <v>1</v>
      </c>
      <c r="T1208" s="35" t="inlineStr">
        <is>
          <t>4 — Не обогащён</t>
        </is>
      </c>
      <c r="U1208" s="35" t="inlineStr">
        <is>
          <t>Нет ОКВЭД/ССЧР</t>
        </is>
      </c>
      <c r="V1208" s="35" t="inlineStr">
        <is>
          <t>Не определено</t>
        </is>
      </c>
      <c r="W1208" s="35" t="inlineStr"/>
      <c r="X1208" s="35" t="inlineStr"/>
    </row>
    <row r="1209" ht="15" customHeight="1" s="24">
      <c r="A1209" s="13" t="n">
        <v>5000034737</v>
      </c>
      <c r="B1209" s="13" t="inlineStr">
        <is>
          <t>МАОУ ДОД Одинцовская ДШИ «Классика»</t>
        </is>
      </c>
      <c r="C1209" s="13" t="n">
        <v>5032060516</v>
      </c>
      <c r="D1209" s="13" t="inlineStr">
        <is>
          <t>5032060516</t>
        </is>
      </c>
      <c r="E1209" s="13" t="inlineStr">
        <is>
          <t>ЮЛ РФ</t>
        </is>
      </c>
      <c r="F1209" s="13" t="n"/>
      <c r="G1209" s="14" t="n"/>
      <c r="H1209" s="14" t="n"/>
      <c r="I1209" s="14" t="n"/>
      <c r="J1209" s="14" t="n"/>
      <c r="K1209" s="53" t="inlineStr"/>
      <c r="L1209" s="53" t="inlineStr">
        <is>
          <t>Не определено</t>
        </is>
      </c>
      <c r="M1209" s="53" t="inlineStr"/>
      <c r="N1209" s="54" t="inlineStr"/>
      <c r="O1209" s="55" t="inlineStr"/>
      <c r="P1209" s="16" t="inlineStr">
        <is>
          <t>Требует обогащения</t>
        </is>
      </c>
      <c r="Q1209" s="16">
        <f>HYPERLINK("https://pb.nalog.ru/search.html?query=5032060516","ФНС: проверить")</f>
        <v/>
      </c>
      <c r="R1209" s="16">
        <f>HYPERLINK("https://checko.ru/search?query=3801001629","Чекко: проверить")</f>
        <v/>
      </c>
      <c r="S1209" t="n">
        <v>1</v>
      </c>
      <c r="T1209" s="35" t="inlineStr">
        <is>
          <t>4 — Не обогащён</t>
        </is>
      </c>
      <c r="U1209" s="35" t="inlineStr">
        <is>
          <t>Нет ОКВЭД/ССЧР</t>
        </is>
      </c>
      <c r="V1209" s="35" t="inlineStr">
        <is>
          <t>Не определено</t>
        </is>
      </c>
      <c r="W1209" s="35" t="inlineStr"/>
      <c r="X1209" s="35" t="inlineStr"/>
    </row>
    <row r="1210" ht="15" customHeight="1" s="24">
      <c r="A1210" s="13" t="n">
        <v>5000034739</v>
      </c>
      <c r="B1210" s="13" t="inlineStr">
        <is>
          <t>МАОУ ДОД Зареченская ДШИ</t>
        </is>
      </c>
      <c r="C1210" s="13" t="n">
        <v>5032060523</v>
      </c>
      <c r="D1210" s="13" t="inlineStr">
        <is>
          <t>5032060523</t>
        </is>
      </c>
      <c r="E1210" s="13" t="inlineStr">
        <is>
          <t>ЮЛ РФ</t>
        </is>
      </c>
      <c r="F1210" s="13" t="n"/>
      <c r="G1210" s="14" t="n"/>
      <c r="H1210" s="14" t="n"/>
      <c r="I1210" s="14" t="n"/>
      <c r="J1210" s="14" t="n"/>
      <c r="K1210" s="53" t="inlineStr"/>
      <c r="L1210" s="53" t="inlineStr">
        <is>
          <t>Не определено</t>
        </is>
      </c>
      <c r="M1210" s="53" t="inlineStr"/>
      <c r="N1210" s="54" t="inlineStr"/>
      <c r="O1210" s="55" t="inlineStr"/>
      <c r="P1210" s="16" t="inlineStr">
        <is>
          <t>Требует обогащения</t>
        </is>
      </c>
      <c r="Q1210" s="16">
        <f>HYPERLINK("https://pb.nalog.ru/search.html?query=5032060523","ФНС: проверить")</f>
        <v/>
      </c>
      <c r="R1210" s="16">
        <f>HYPERLINK("https://checko.ru/search?query=3801001629","Чекко: проверить")</f>
        <v/>
      </c>
      <c r="S1210" t="n">
        <v>1</v>
      </c>
      <c r="T1210" s="35" t="inlineStr">
        <is>
          <t>4 — Не обогащён</t>
        </is>
      </c>
      <c r="U1210" s="35" t="inlineStr">
        <is>
          <t>Нет ОКВЭД/ССЧР</t>
        </is>
      </c>
      <c r="V1210" s="35" t="inlineStr">
        <is>
          <t>Не определено</t>
        </is>
      </c>
      <c r="W1210" s="35" t="inlineStr"/>
      <c r="X1210" s="35" t="inlineStr"/>
    </row>
    <row r="1211" ht="15" customHeight="1" s="24">
      <c r="A1211" s="13" t="n">
        <v>5000034744</v>
      </c>
      <c r="B1211" s="13" t="inlineStr">
        <is>
          <t>МБОУ ДОД КСДЮСШОР</t>
        </is>
      </c>
      <c r="C1211" s="13" t="n">
        <v>5032039754</v>
      </c>
      <c r="D1211" s="13" t="inlineStr">
        <is>
          <t>5032039754</t>
        </is>
      </c>
      <c r="E1211" s="13" t="inlineStr">
        <is>
          <t>ЮЛ РФ</t>
        </is>
      </c>
      <c r="F1211" s="13" t="n"/>
      <c r="G1211" s="14" t="n"/>
      <c r="H1211" s="14" t="n"/>
      <c r="I1211" s="14" t="n"/>
      <c r="J1211" s="14" t="n"/>
      <c r="K1211" s="53" t="inlineStr"/>
      <c r="L1211" s="53" t="inlineStr">
        <is>
          <t>Не определено</t>
        </is>
      </c>
      <c r="M1211" s="53" t="inlineStr"/>
      <c r="N1211" s="54" t="inlineStr"/>
      <c r="O1211" s="55" t="inlineStr"/>
      <c r="P1211" s="16" t="inlineStr">
        <is>
          <t>Требует обогащения</t>
        </is>
      </c>
      <c r="Q1211" s="16">
        <f>HYPERLINK("https://pb.nalog.ru/search.html?query=5032039754","ФНС: проверить")</f>
        <v/>
      </c>
      <c r="R1211" s="16">
        <f>HYPERLINK("https://checko.ru/search?query=3801001629","Чекко: проверить")</f>
        <v/>
      </c>
      <c r="S1211" t="n">
        <v>1</v>
      </c>
      <c r="T1211" s="35" t="inlineStr">
        <is>
          <t>4 — Не обогащён</t>
        </is>
      </c>
      <c r="U1211" s="35" t="inlineStr">
        <is>
          <t>Нет ОКВЭД/ССЧР</t>
        </is>
      </c>
      <c r="V1211" s="35" t="inlineStr">
        <is>
          <t>Не определено</t>
        </is>
      </c>
      <c r="W1211" s="35" t="inlineStr"/>
      <c r="X1211" s="35" t="inlineStr"/>
    </row>
    <row r="1212" ht="15" customHeight="1" s="24">
      <c r="A1212" s="13" t="n">
        <v>5000034749</v>
      </c>
      <c r="B1212" s="13" t="inlineStr">
        <is>
          <t>МБОУ ДОД ДЮСШ "Старый городок"</t>
        </is>
      </c>
      <c r="C1212" s="13" t="n">
        <v>5032048822</v>
      </c>
      <c r="D1212" s="13" t="inlineStr">
        <is>
          <t>5032048822</t>
        </is>
      </c>
      <c r="E1212" s="13" t="inlineStr">
        <is>
          <t>ЮЛ РФ</t>
        </is>
      </c>
      <c r="F1212" s="13" t="n"/>
      <c r="G1212" s="14" t="n"/>
      <c r="H1212" s="14" t="n"/>
      <c r="I1212" s="14" t="n"/>
      <c r="J1212" s="14" t="n"/>
      <c r="K1212" s="53" t="inlineStr"/>
      <c r="L1212" s="53" t="inlineStr">
        <is>
          <t>Не определено</t>
        </is>
      </c>
      <c r="M1212" s="53" t="inlineStr"/>
      <c r="N1212" s="54" t="inlineStr"/>
      <c r="O1212" s="55" t="inlineStr"/>
      <c r="P1212" s="16" t="inlineStr">
        <is>
          <t>Требует обогащения</t>
        </is>
      </c>
      <c r="Q1212" s="16">
        <f>HYPERLINK("https://pb.nalog.ru/search.html?query=5032048822","ФНС: проверить")</f>
        <v/>
      </c>
      <c r="R1212" s="16">
        <f>HYPERLINK("https://checko.ru/search?query=3801001629","Чекко: проверить")</f>
        <v/>
      </c>
      <c r="S1212" t="n">
        <v>1</v>
      </c>
      <c r="T1212" s="35" t="inlineStr">
        <is>
          <t>4 — Не обогащён</t>
        </is>
      </c>
      <c r="U1212" s="35" t="inlineStr">
        <is>
          <t>Нет ОКВЭД/ССЧР</t>
        </is>
      </c>
      <c r="V1212" s="35" t="inlineStr">
        <is>
          <t>Не определено</t>
        </is>
      </c>
      <c r="W1212" s="35" t="inlineStr"/>
      <c r="X1212" s="35" t="inlineStr"/>
    </row>
    <row r="1213" ht="27.75" customHeight="1" s="24">
      <c r="A1213" s="13" t="n">
        <v>5000036217</v>
      </c>
      <c r="B1213" s="13" t="inlineStr">
        <is>
          <t>ОГКУ "Региональный земельно-имущественный информационный центр"</t>
        </is>
      </c>
      <c r="C1213" s="13" t="n">
        <v>7325130661</v>
      </c>
      <c r="D1213" s="13" t="inlineStr">
        <is>
          <t>7325130661</t>
        </is>
      </c>
      <c r="E1213" s="13" t="inlineStr">
        <is>
          <t>ЮЛ РФ</t>
        </is>
      </c>
      <c r="F1213" s="13" t="n"/>
      <c r="G1213" s="14" t="n"/>
      <c r="H1213" s="14" t="n"/>
      <c r="I1213" s="14" t="n"/>
      <c r="J1213" s="14" t="n"/>
      <c r="K1213" s="53" t="inlineStr"/>
      <c r="L1213" s="53" t="inlineStr">
        <is>
          <t>Не определено</t>
        </is>
      </c>
      <c r="M1213" s="53" t="inlineStr"/>
      <c r="N1213" s="54" t="inlineStr"/>
      <c r="O1213" s="55" t="inlineStr"/>
      <c r="P1213" s="16" t="inlineStr">
        <is>
          <t>Требует обогащения</t>
        </is>
      </c>
      <c r="Q1213" s="16">
        <f>HYPERLINK("https://pb.nalog.ru/search.html?query=7325130661","ФНС: проверить")</f>
        <v/>
      </c>
      <c r="R1213" s="16">
        <f>HYPERLINK("https://checko.ru/search?query=3801001629","Чекко: проверить")</f>
        <v/>
      </c>
      <c r="S1213" t="n">
        <v>1</v>
      </c>
      <c r="T1213" s="35" t="inlineStr">
        <is>
          <t>4 — Не обогащён</t>
        </is>
      </c>
      <c r="U1213" s="35" t="inlineStr">
        <is>
          <t>Нет ОКВЭД/ССЧР</t>
        </is>
      </c>
      <c r="V1213" s="35" t="inlineStr">
        <is>
          <t>Не определено</t>
        </is>
      </c>
      <c r="W1213" s="35" t="inlineStr"/>
      <c r="X1213" s="35" t="inlineStr"/>
    </row>
    <row r="1214" ht="27.75" customHeight="1" s="24">
      <c r="A1214" s="13" t="n">
        <v>5000036219</v>
      </c>
      <c r="B1214" s="13" t="inlineStr">
        <is>
          <t>Министерство промышленности Ульяновской области</t>
        </is>
      </c>
      <c r="C1214" s="13" t="n">
        <v>7325018444</v>
      </c>
      <c r="D1214" s="13" t="inlineStr">
        <is>
          <t>7325018444</t>
        </is>
      </c>
      <c r="E1214" s="13" t="inlineStr">
        <is>
          <t>ЮЛ РФ</t>
        </is>
      </c>
      <c r="F1214" s="13" t="n"/>
      <c r="G1214" s="14" t="n"/>
      <c r="H1214" s="14" t="n"/>
      <c r="I1214" s="14" t="n"/>
      <c r="J1214" s="14" t="n"/>
      <c r="K1214" s="53" t="inlineStr"/>
      <c r="L1214" s="53" t="inlineStr">
        <is>
          <t>Не определено</t>
        </is>
      </c>
      <c r="M1214" s="53" t="inlineStr"/>
      <c r="N1214" s="54" t="inlineStr"/>
      <c r="O1214" s="55" t="inlineStr"/>
      <c r="P1214" s="16" t="inlineStr">
        <is>
          <t>Требует обогащения</t>
        </is>
      </c>
      <c r="Q1214" s="16">
        <f>HYPERLINK("https://pb.nalog.ru/search.html?query=7325018444","ФНС: проверить")</f>
        <v/>
      </c>
      <c r="R1214" s="16">
        <f>HYPERLINK("https://checko.ru/search?query=3801001629","Чекко: проверить")</f>
        <v/>
      </c>
      <c r="S1214" t="n">
        <v>1</v>
      </c>
      <c r="T1214" s="35" t="inlineStr">
        <is>
          <t>4 — Не обогащён</t>
        </is>
      </c>
      <c r="U1214" s="35" t="inlineStr">
        <is>
          <t>Нет ОКВЭД/ССЧР</t>
        </is>
      </c>
      <c r="V1214" s="35" t="inlineStr">
        <is>
          <t>Не определено</t>
        </is>
      </c>
      <c r="W1214" s="35" t="inlineStr"/>
      <c r="X1214" s="35" t="inlineStr"/>
    </row>
    <row r="1215" ht="27.75" customHeight="1" s="24">
      <c r="A1215" s="13" t="n">
        <v>5000003373</v>
      </c>
      <c r="B1215" s="13" t="inlineStr">
        <is>
          <t>ОбГБУ "Пожарно-спасательная служба Иркутской области"</t>
        </is>
      </c>
      <c r="C1215" s="13" t="n">
        <v>3808197402</v>
      </c>
      <c r="D1215" s="13" t="inlineStr">
        <is>
          <t>3808197402</t>
        </is>
      </c>
      <c r="E1215" s="13" t="inlineStr">
        <is>
          <t>ЮЛ РФ</t>
        </is>
      </c>
      <c r="F1215" s="13" t="n"/>
      <c r="G1215" s="14" t="n"/>
      <c r="H1215" s="14" t="n"/>
      <c r="I1215" s="14" t="n"/>
      <c r="J1215" s="14" t="n"/>
      <c r="K1215" s="53" t="inlineStr"/>
      <c r="L1215" s="53" t="inlineStr">
        <is>
          <t>Не определено</t>
        </is>
      </c>
      <c r="M1215" s="53" t="inlineStr"/>
      <c r="N1215" s="54" t="inlineStr"/>
      <c r="O1215" s="55" t="inlineStr"/>
      <c r="P1215" s="16" t="inlineStr">
        <is>
          <t>Требует обогащения</t>
        </is>
      </c>
      <c r="Q1215" s="16">
        <f>HYPERLINK("https://pb.nalog.ru/search.html?query=3808197402","ФНС: проверить")</f>
        <v/>
      </c>
      <c r="R1215" s="16">
        <f>HYPERLINK("https://checko.ru/search?query=3801001629","Чекко: проверить")</f>
        <v/>
      </c>
      <c r="S1215" t="n">
        <v>1</v>
      </c>
      <c r="T1215" s="35" t="inlineStr">
        <is>
          <t>4 — Не обогащён</t>
        </is>
      </c>
      <c r="U1215" s="35" t="inlineStr">
        <is>
          <t>Нет ОКВЭД/ССЧР</t>
        </is>
      </c>
      <c r="V1215" s="35" t="inlineStr">
        <is>
          <t>Не определено</t>
        </is>
      </c>
      <c r="W1215" s="35" t="inlineStr"/>
      <c r="X1215" s="35" t="inlineStr"/>
    </row>
    <row r="1216" ht="15" customHeight="1" s="24">
      <c r="A1216" s="13" t="n">
        <v>5000008586</v>
      </c>
      <c r="B1216" s="13" t="inlineStr">
        <is>
          <t>УФССП России по Ханты-Мансийскому АО - Югре</t>
        </is>
      </c>
      <c r="C1216" s="13" t="n">
        <v>8601024346</v>
      </c>
      <c r="D1216" s="13" t="inlineStr">
        <is>
          <t>8601024346</t>
        </is>
      </c>
      <c r="E1216" s="13" t="inlineStr">
        <is>
          <t>ЮЛ РФ</t>
        </is>
      </c>
      <c r="F1216" s="13" t="n"/>
      <c r="G1216" s="14" t="n"/>
      <c r="H1216" s="14" t="n"/>
      <c r="I1216" s="14" t="n"/>
      <c r="J1216" s="14" t="n"/>
      <c r="K1216" s="53" t="inlineStr"/>
      <c r="L1216" s="53" t="inlineStr">
        <is>
          <t>Не определено</t>
        </is>
      </c>
      <c r="M1216" s="53" t="inlineStr"/>
      <c r="N1216" s="54" t="inlineStr"/>
      <c r="O1216" s="55" t="inlineStr"/>
      <c r="P1216" s="16" t="inlineStr">
        <is>
          <t>Требует обогащения</t>
        </is>
      </c>
      <c r="Q1216" s="16">
        <f>HYPERLINK("https://pb.nalog.ru/search.html?query=8601024346","ФНС: проверить")</f>
        <v/>
      </c>
      <c r="R1216" s="16">
        <f>HYPERLINK("https://checko.ru/search?query=3801001629","Чекко: проверить")</f>
        <v/>
      </c>
      <c r="S1216" t="n">
        <v>1</v>
      </c>
      <c r="T1216" s="35" t="inlineStr">
        <is>
          <t>4 — Не обогащён</t>
        </is>
      </c>
      <c r="U1216" s="35" t="inlineStr">
        <is>
          <t>Нет ОКВЭД/ССЧР</t>
        </is>
      </c>
      <c r="V1216" s="35" t="inlineStr">
        <is>
          <t>Не определено</t>
        </is>
      </c>
      <c r="W1216" s="35" t="inlineStr"/>
      <c r="X1216" s="35" t="inlineStr"/>
    </row>
    <row r="1217" ht="15" customHeight="1" s="24">
      <c r="A1217" s="13" t="n">
        <v>5000062612</v>
      </c>
      <c r="B1217" s="13" t="inlineStr">
        <is>
          <t>СтароМайнская Районная Больница</t>
        </is>
      </c>
      <c r="C1217" s="13" t="n">
        <v>7318001376</v>
      </c>
      <c r="D1217" s="13" t="inlineStr">
        <is>
          <t>7318001376</t>
        </is>
      </c>
      <c r="E1217" s="13" t="inlineStr">
        <is>
          <t>ЮЛ РФ</t>
        </is>
      </c>
      <c r="F1217" s="13" t="n"/>
      <c r="G1217" s="14" t="n"/>
      <c r="H1217" s="14" t="n"/>
      <c r="I1217" s="14" t="n"/>
      <c r="J1217" s="14" t="n"/>
      <c r="K1217" s="53" t="inlineStr"/>
      <c r="L1217" s="53" t="inlineStr">
        <is>
          <t>Не определено</t>
        </is>
      </c>
      <c r="M1217" s="53" t="inlineStr"/>
      <c r="N1217" s="54" t="inlineStr"/>
      <c r="O1217" s="55" t="inlineStr"/>
      <c r="P1217" s="16" t="inlineStr">
        <is>
          <t>Требует обогащения</t>
        </is>
      </c>
      <c r="Q1217" s="16">
        <f>HYPERLINK("https://pb.nalog.ru/search.html?query=7318001376","ФНС: проверить")</f>
        <v/>
      </c>
      <c r="R1217" s="16">
        <f>HYPERLINK("https://checko.ru/search?query=3801001629","Чекко: проверить")</f>
        <v/>
      </c>
      <c r="S1217" t="n">
        <v>1</v>
      </c>
      <c r="T1217" s="35" t="inlineStr">
        <is>
          <t>4 — Не обогащён</t>
        </is>
      </c>
      <c r="U1217" s="35" t="inlineStr">
        <is>
          <t>Нет ОКВЭД/ССЧР</t>
        </is>
      </c>
      <c r="V1217" s="35" t="inlineStr">
        <is>
          <t>Не определено</t>
        </is>
      </c>
      <c r="W1217" s="35" t="inlineStr"/>
      <c r="X1217" s="35" t="inlineStr"/>
    </row>
    <row r="1218" ht="27.75" customHeight="1" s="24">
      <c r="A1218" s="13" t="n">
        <v>5000006321</v>
      </c>
      <c r="B1218" s="13" t="inlineStr">
        <is>
          <t>Министерство сельского хозяйства Ульяновской области</t>
        </is>
      </c>
      <c r="C1218" s="13" t="n">
        <v>7325067064</v>
      </c>
      <c r="D1218" s="13" t="inlineStr">
        <is>
          <t>7325067064</t>
        </is>
      </c>
      <c r="E1218" s="13" t="inlineStr">
        <is>
          <t>ЮЛ РФ</t>
        </is>
      </c>
      <c r="F1218" s="13" t="n"/>
      <c r="G1218" s="14" t="n"/>
      <c r="H1218" s="14" t="n"/>
      <c r="I1218" s="14" t="n"/>
      <c r="J1218" s="14" t="n"/>
      <c r="K1218" s="53" t="inlineStr"/>
      <c r="L1218" s="53" t="inlineStr">
        <is>
          <t>Не определено</t>
        </is>
      </c>
      <c r="M1218" s="53" t="inlineStr"/>
      <c r="N1218" s="54" t="inlineStr"/>
      <c r="O1218" s="55" t="inlineStr"/>
      <c r="P1218" s="16" t="inlineStr">
        <is>
          <t>Требует обогащения</t>
        </is>
      </c>
      <c r="Q1218" s="16">
        <f>HYPERLINK("https://pb.nalog.ru/search.html?query=7325067064","ФНС: проверить")</f>
        <v/>
      </c>
      <c r="R1218" s="16">
        <f>HYPERLINK("https://checko.ru/search?query=3801001629","Чекко: проверить")</f>
        <v/>
      </c>
      <c r="S1218" t="n">
        <v>1</v>
      </c>
      <c r="T1218" s="35" t="inlineStr">
        <is>
          <t>4 — Не обогащён</t>
        </is>
      </c>
      <c r="U1218" s="35" t="inlineStr">
        <is>
          <t>Нет ОКВЭД/ССЧР</t>
        </is>
      </c>
      <c r="V1218" s="35" t="inlineStr">
        <is>
          <t>Не определено</t>
        </is>
      </c>
      <c r="W1218" s="35" t="inlineStr"/>
      <c r="X1218" s="35" t="inlineStr"/>
    </row>
    <row r="1219" ht="27.75" customHeight="1" s="24">
      <c r="A1219" s="13" t="n">
        <v>5000001612</v>
      </c>
      <c r="B1219" s="13" t="inlineStr">
        <is>
          <t>ОГБУЗ «Чунская муниципальная центральная районная больница»</t>
        </is>
      </c>
      <c r="C1219" s="13" t="n">
        <v>3844003170</v>
      </c>
      <c r="D1219" s="13" t="inlineStr">
        <is>
          <t>3844003170</t>
        </is>
      </c>
      <c r="E1219" s="13" t="inlineStr">
        <is>
          <t>ЮЛ РФ</t>
        </is>
      </c>
      <c r="F1219" s="13" t="n"/>
      <c r="G1219" s="14" t="n"/>
      <c r="H1219" s="14" t="n"/>
      <c r="I1219" s="14" t="n"/>
      <c r="J1219" s="14" t="n"/>
      <c r="K1219" s="53" t="inlineStr"/>
      <c r="L1219" s="53" t="inlineStr">
        <is>
          <t>Не определено</t>
        </is>
      </c>
      <c r="M1219" s="53" t="inlineStr"/>
      <c r="N1219" s="54" t="inlineStr"/>
      <c r="O1219" s="55" t="inlineStr"/>
      <c r="P1219" s="16" t="inlineStr">
        <is>
          <t>Требует обогащения</t>
        </is>
      </c>
      <c r="Q1219" s="16">
        <f>HYPERLINK("https://pb.nalog.ru/search.html?query=3844003170","ФНС: проверить")</f>
        <v/>
      </c>
      <c r="R1219" s="16">
        <f>HYPERLINK("https://checko.ru/search?query=3801001629","Чекко: проверить")</f>
        <v/>
      </c>
      <c r="S1219" t="n">
        <v>1</v>
      </c>
      <c r="T1219" s="35" t="inlineStr">
        <is>
          <t>4 — Не обогащён</t>
        </is>
      </c>
      <c r="U1219" s="35" t="inlineStr">
        <is>
          <t>Нет ОКВЭД/ССЧР</t>
        </is>
      </c>
      <c r="V1219" s="35" t="inlineStr">
        <is>
          <t>Не определено</t>
        </is>
      </c>
      <c r="W1219" s="35" t="inlineStr"/>
      <c r="X1219" s="35" t="inlineStr"/>
    </row>
    <row r="1220" ht="27.75" customHeight="1" s="24">
      <c r="A1220" s="13" t="n">
        <v>5000062619</v>
      </c>
      <c r="B1220" s="13" t="inlineStr">
        <is>
          <t>Новомалыклинская Центральная Районная Больница</t>
        </is>
      </c>
      <c r="C1220" s="13" t="n">
        <v>7312001683</v>
      </c>
      <c r="D1220" s="13" t="inlineStr">
        <is>
          <t>7312001683</t>
        </is>
      </c>
      <c r="E1220" s="13" t="inlineStr">
        <is>
          <t>ЮЛ РФ</t>
        </is>
      </c>
      <c r="F1220" s="13" t="n"/>
      <c r="G1220" s="14" t="n"/>
      <c r="H1220" s="14" t="n"/>
      <c r="I1220" s="14" t="n"/>
      <c r="J1220" s="14" t="n"/>
      <c r="K1220" s="53" t="inlineStr"/>
      <c r="L1220" s="53" t="inlineStr">
        <is>
          <t>Не определено</t>
        </is>
      </c>
      <c r="M1220" s="53" t="inlineStr"/>
      <c r="N1220" s="54" t="inlineStr"/>
      <c r="O1220" s="55" t="inlineStr"/>
      <c r="P1220" s="16" t="inlineStr">
        <is>
          <t>Требует обогащения</t>
        </is>
      </c>
      <c r="Q1220" s="16">
        <f>HYPERLINK("https://pb.nalog.ru/search.html?query=7312001683","ФНС: проверить")</f>
        <v/>
      </c>
      <c r="R1220" s="16">
        <f>HYPERLINK("https://checko.ru/search?query=3801001629","Чекко: проверить")</f>
        <v/>
      </c>
      <c r="S1220" t="n">
        <v>1</v>
      </c>
      <c r="T1220" s="35" t="inlineStr">
        <is>
          <t>4 — Не обогащён</t>
        </is>
      </c>
      <c r="U1220" s="35" t="inlineStr">
        <is>
          <t>Нет ОКВЭД/ССЧР</t>
        </is>
      </c>
      <c r="V1220" s="35" t="inlineStr">
        <is>
          <t>Не определено</t>
        </is>
      </c>
      <c r="W1220" s="35" t="inlineStr"/>
      <c r="X1220" s="35" t="inlineStr"/>
    </row>
    <row r="1221" ht="27.75" customHeight="1" s="24">
      <c r="A1221" s="13" t="n">
        <v>5000094759</v>
      </c>
      <c r="B1221" s="13" t="inlineStr">
        <is>
          <t>МКУ "Местная администрация с.п. Псынабо" Урванского муниципального района КБР</t>
        </is>
      </c>
      <c r="C1221" s="13" t="n">
        <v>707006014</v>
      </c>
      <c r="D1221" s="13" t="n"/>
      <c r="E1221" s="13" t="inlineStr">
        <is>
          <t>Не определён</t>
        </is>
      </c>
      <c r="F1221" s="13" t="inlineStr">
        <is>
          <t>707006014</t>
        </is>
      </c>
      <c r="G1221" s="14" t="n"/>
      <c r="H1221" s="14" t="n"/>
      <c r="I1221" s="14" t="n"/>
      <c r="J1221" s="14" t="n"/>
      <c r="K1221" s="13">
        <f>IF(G1221="","",IF(G1221&gt;=22,"Да","Нет"))</f>
        <v/>
      </c>
      <c r="L1221" s="13">
        <f>IF(OR(I1221="",J1221=""),"Не определено",IF(OR(COUNTIF(I1221,"45*")&gt;0,COUNTIF(J1221,"*45*")&gt;0,COUNTIF(I1221,"46*")&gt;0,COUNTIF(J1221,"*46*")&gt;0,COUNTIF(I1221,"47*")&gt;0,COUNTIF(J1221,"*47*")&gt;0,COUNTIF(I1221,"10*")&gt;0,COUNTIF(J1221,"*10*")&gt;0,COUNTIF(I1221,"11*")&gt;0,COUNTIF(J1221,"*11*")&gt;0,COUNTIF(I1221,"12*")&gt;0,COUNTIF(J1221,"*12*")&gt;0,COUNTIF(I1221,"13*")&gt;0,COUNTIF(J1221,"*13*")&gt;0,COUNTIF(I1221,"14*")&gt;0,COUNTIF(J1221,"*14*")&gt;0,COUNTIF(I1221,"15*")&gt;0,COUNTIF(J1221,"*15*")&gt;0,COUNTIF(I1221,"16*")&gt;0,COUNTIF(J1221,"*16*")&gt;0,COUNTIF(I1221,"17*")&gt;0,COUNTIF(J1221,"*17*")&gt;0,COUNTIF(I1221,"18*")&gt;0,COUNTIF(J1221,"*18*")&gt;0,COUNTIF(I1221,"19*")&gt;0,COUNTIF(J1221,"*19*")&gt;0,COUNTIF(I1221,"20*")&gt;0,COUNTIF(J1221,"*20*")&gt;0,COUNTIF(I1221,"21*")&gt;0,COUNTIF(J1221,"*21*")&gt;0,COUNTIF(I1221,"22*")&gt;0,COUNTIF(J1221,"*22*")&gt;0,COUNTIF(I1221,"23*")&gt;0,COUNTIF(J1221,"*23*")&gt;0,COUNTIF(I1221,"24*")&gt;0,COUNTIF(J1221,"*24*")&gt;0,COUNTIF(I1221,"25*")&gt;0,COUNTIF(J1221,"*25*")&gt;0,COUNTIF(I1221,"26*")&gt;0,COUNTIF(J1221,"*26*")&gt;0,COUNTIF(I1221,"27*")&gt;0,COUNTIF(J1221,"*27*")&gt;0,COUNTIF(I1221,"28*")&gt;0,COUNTIF(J1221,"*28*")&gt;0,COUNTIF(I1221,"29*")&gt;0,COUNTIF(J1221,"*29*")&gt;0,COUNTIF(I1221,"30*")&gt;0,COUNTIF(J1221,"*30*")&gt;0,COUNTIF(I1221,"31*")&gt;0,COUNTIF(J1221,"*31*")&gt;0,COUNTIF(I1221,"32*")&gt;0,COUNTIF(J1221,"*32*")&gt;0,COUNTIF(I1221,"33*")&gt;0,COUNTIF(J1221,"*33*")&gt;0,COUNTIF(I1221,"41*")&gt;0,COUNTIF(J1221,"*41*")&gt;0,COUNTIF(I1221,"42*")&gt;0,COUNTIF(J1221,"*42*")&gt;0,COUNTIF(I1221,"43*")&gt;0,COUNTIF(J1221,"*43*")&gt;0,COUNTIF(I1221,"49*")&gt;0,COUNTIF(J1221,"*49*")&gt;0,COUNTIF(I1221,"52*")&gt;0,COUNTIF(J1221,"*52*")&gt;0,COUNTIF(I1221,"55*")&gt;0,COUNTIF(J1221,"*55*")&gt;0,COUNTIF(I1221,"56*")&gt;0,COUNTIF(J1221,"*56*")&gt;0,COUNTIF(I1221,"68*")&gt;0,COUNTIF(J1221,"*68*")&gt;0,COUNTIF(I1221,"78*")&gt;0,COUNTIF(J1221,"*78*")&gt;0,COUNTIF(I1221,"81*")&gt;0,COUNTIF(J1221,"*81*")&gt;0,COUNTIF(I1221,"82*")&gt;0,COUNTIF(J1221,"*82*")&gt;0,COUNTIF(I1221,"64*")&gt;0,COUNTIF(J1221,"*64*")&gt;0,COUNTIF(I1221,"65*")&gt;0,COUNTIF(J1221,"*65*")&gt;0,COUNTIF(I1221,"66*")&gt;0,COUNTIF(J1221,"*66*")&gt;0,COUNTIF(I1221,"61*")&gt;0,COUNTIF(J1221,"*61*")&gt;0,COUNTIF(I1221,"62*")&gt;0,COUNTIF(J1221,"*62*")&gt;0,COUNTIF(I1221,"63*")&gt;0,COUNTIF(J1221,"*63*")&gt;0,COUNTIF(I1221,"85*")&gt;0,COUNTIF(J1221,"*85*")&gt;0,COUNTIF(I1221,"86*")&gt;0,COUNTIF(J1221,"*86*")&gt;0),"Да","Нет"))</f>
        <v/>
      </c>
      <c r="M1221" s="13">
        <f>IF(OR(G1221="",L1221&lt;&gt;"Да"),"",IF(G1221&lt;=100,"До 100",IF(G1221&lt;=200,"До 200",IF(G1221&lt;=500,"До 500","Отдельное КП"))))</f>
        <v/>
      </c>
      <c r="N1221" s="15">
        <f>IF(OR(G1221="",L1221&lt;&gt;"Да"),"",IF(G1221&lt;=100,33600,IF(G1221&lt;=200,62400,IF(G1221&lt;=500,144000,""))))</f>
        <v/>
      </c>
      <c r="O1221" s="16">
        <f>IF(G1221="","",IF(G1221&lt;=15,"1–15",IF(G1221&lt;=30,"16–30",IF(G1221&lt;=50,"31–50",IF(G1221&lt;=100,"51–100",IF(G1221&lt;=150,"101–150",IF(G1221&lt;=200,"151–200",IF(G1221&lt;=500,"201–500","500+"))))))))</f>
        <v/>
      </c>
      <c r="P1221" s="16" t="inlineStr">
        <is>
          <t>Нет совпадения в предоставленной выгрузке ССЧР</t>
        </is>
      </c>
      <c r="Q1221" s="16" t="n"/>
      <c r="R1221" s="16">
        <f>HYPERLINK("https://checko.ru/search?query=3801001629","Чекко: проверить")</f>
        <v/>
      </c>
      <c r="S1221" t="n">
        <v>0</v>
      </c>
    </row>
    <row r="1222" ht="15" customHeight="1" s="24">
      <c r="A1222" s="13" t="n">
        <v>5000094726</v>
      </c>
      <c r="B1222" s="13" t="inlineStr">
        <is>
          <t>ГКУ "Черекское лесничество"</t>
        </is>
      </c>
      <c r="C1222" s="13" t="n">
        <v>706004208</v>
      </c>
      <c r="D1222" s="13" t="n"/>
      <c r="E1222" s="13" t="inlineStr">
        <is>
          <t>Не определён</t>
        </is>
      </c>
      <c r="F1222" s="13" t="inlineStr">
        <is>
          <t>706004208</t>
        </is>
      </c>
      <c r="G1222" s="14" t="n"/>
      <c r="H1222" s="14" t="n"/>
      <c r="I1222" s="14" t="n"/>
      <c r="J1222" s="14" t="n"/>
      <c r="K1222" s="13">
        <f>IF(G1222="","",IF(G1222&gt;=22,"Да","Нет"))</f>
        <v/>
      </c>
      <c r="L1222" s="13">
        <f>IF(OR(I1222="",J1222=""),"Не определено",IF(OR(COUNTIF(I1222,"45*")&gt;0,COUNTIF(J1222,"*45*")&gt;0,COUNTIF(I1222,"46*")&gt;0,COUNTIF(J1222,"*46*")&gt;0,COUNTIF(I1222,"47*")&gt;0,COUNTIF(J1222,"*47*")&gt;0,COUNTIF(I1222,"10*")&gt;0,COUNTIF(J1222,"*10*")&gt;0,COUNTIF(I1222,"11*")&gt;0,COUNTIF(J1222,"*11*")&gt;0,COUNTIF(I1222,"12*")&gt;0,COUNTIF(J1222,"*12*")&gt;0,COUNTIF(I1222,"13*")&gt;0,COUNTIF(J1222,"*13*")&gt;0,COUNTIF(I1222,"14*")&gt;0,COUNTIF(J1222,"*14*")&gt;0,COUNTIF(I1222,"15*")&gt;0,COUNTIF(J1222,"*15*")&gt;0,COUNTIF(I1222,"16*")&gt;0,COUNTIF(J1222,"*16*")&gt;0,COUNTIF(I1222,"17*")&gt;0,COUNTIF(J1222,"*17*")&gt;0,COUNTIF(I1222,"18*")&gt;0,COUNTIF(J1222,"*18*")&gt;0,COUNTIF(I1222,"19*")&gt;0,COUNTIF(J1222,"*19*")&gt;0,COUNTIF(I1222,"20*")&gt;0,COUNTIF(J1222,"*20*")&gt;0,COUNTIF(I1222,"21*")&gt;0,COUNTIF(J1222,"*21*")&gt;0,COUNTIF(I1222,"22*")&gt;0,COUNTIF(J1222,"*22*")&gt;0,COUNTIF(I1222,"23*")&gt;0,COUNTIF(J1222,"*23*")&gt;0,COUNTIF(I1222,"24*")&gt;0,COUNTIF(J1222,"*24*")&gt;0,COUNTIF(I1222,"25*")&gt;0,COUNTIF(J1222,"*25*")&gt;0,COUNTIF(I1222,"26*")&gt;0,COUNTIF(J1222,"*26*")&gt;0,COUNTIF(I1222,"27*")&gt;0,COUNTIF(J1222,"*27*")&gt;0,COUNTIF(I1222,"28*")&gt;0,COUNTIF(J1222,"*28*")&gt;0,COUNTIF(I1222,"29*")&gt;0,COUNTIF(J1222,"*29*")&gt;0,COUNTIF(I1222,"30*")&gt;0,COUNTIF(J1222,"*30*")&gt;0,COUNTIF(I1222,"31*")&gt;0,COUNTIF(J1222,"*31*")&gt;0,COUNTIF(I1222,"32*")&gt;0,COUNTIF(J1222,"*32*")&gt;0,COUNTIF(I1222,"33*")&gt;0,COUNTIF(J1222,"*33*")&gt;0,COUNTIF(I1222,"41*")&gt;0,COUNTIF(J1222,"*41*")&gt;0,COUNTIF(I1222,"42*")&gt;0,COUNTIF(J1222,"*42*")&gt;0,COUNTIF(I1222,"43*")&gt;0,COUNTIF(J1222,"*43*")&gt;0,COUNTIF(I1222,"49*")&gt;0,COUNTIF(J1222,"*49*")&gt;0,COUNTIF(I1222,"52*")&gt;0,COUNTIF(J1222,"*52*")&gt;0,COUNTIF(I1222,"55*")&gt;0,COUNTIF(J1222,"*55*")&gt;0,COUNTIF(I1222,"56*")&gt;0,COUNTIF(J1222,"*56*")&gt;0,COUNTIF(I1222,"68*")&gt;0,COUNTIF(J1222,"*68*")&gt;0,COUNTIF(I1222,"78*")&gt;0,COUNTIF(J1222,"*78*")&gt;0,COUNTIF(I1222,"81*")&gt;0,COUNTIF(J1222,"*81*")&gt;0,COUNTIF(I1222,"82*")&gt;0,COUNTIF(J1222,"*82*")&gt;0,COUNTIF(I1222,"64*")&gt;0,COUNTIF(J1222,"*64*")&gt;0,COUNTIF(I1222,"65*")&gt;0,COUNTIF(J1222,"*65*")&gt;0,COUNTIF(I1222,"66*")&gt;0,COUNTIF(J1222,"*66*")&gt;0,COUNTIF(I1222,"61*")&gt;0,COUNTIF(J1222,"*61*")&gt;0,COUNTIF(I1222,"62*")&gt;0,COUNTIF(J1222,"*62*")&gt;0,COUNTIF(I1222,"63*")&gt;0,COUNTIF(J1222,"*63*")&gt;0,COUNTIF(I1222,"85*")&gt;0,COUNTIF(J1222,"*85*")&gt;0,COUNTIF(I1222,"86*")&gt;0,COUNTIF(J1222,"*86*")&gt;0),"Да","Нет"))</f>
        <v/>
      </c>
      <c r="M1222" s="13">
        <f>IF(OR(G1222="",L1222&lt;&gt;"Да"),"",IF(G1222&lt;=100,"До 100",IF(G1222&lt;=200,"До 200",IF(G1222&lt;=500,"До 500","Отдельное КП"))))</f>
        <v/>
      </c>
      <c r="N1222" s="15">
        <f>IF(OR(G1222="",L1222&lt;&gt;"Да"),"",IF(G1222&lt;=100,33600,IF(G1222&lt;=200,62400,IF(G1222&lt;=500,144000,""))))</f>
        <v/>
      </c>
      <c r="O1222" s="16">
        <f>IF(G1222="","",IF(G1222&lt;=15,"1–15",IF(G1222&lt;=30,"16–30",IF(G1222&lt;=50,"31–50",IF(G1222&lt;=100,"51–100",IF(G1222&lt;=150,"101–150",IF(G1222&lt;=200,"151–200",IF(G1222&lt;=500,"201–500","500+"))))))))</f>
        <v/>
      </c>
      <c r="P1222" s="16" t="inlineStr">
        <is>
          <t>Нет совпадения в предоставленной выгрузке ССЧР</t>
        </is>
      </c>
      <c r="Q1222" s="16" t="n"/>
      <c r="R1222" s="16">
        <f>HYPERLINK("https://checko.ru/search?query=3801001629","Чекко: проверить")</f>
        <v/>
      </c>
      <c r="S1222" t="n">
        <v>0</v>
      </c>
    </row>
    <row r="1223" ht="15" customHeight="1" s="24">
      <c r="A1223" s="13" t="n">
        <v>5000067537</v>
      </c>
      <c r="B1223" s="13" t="inlineStr">
        <is>
          <t>Лингвистическая гимназия</t>
        </is>
      </c>
      <c r="C1223" s="13" t="n">
        <v>7325006424</v>
      </c>
      <c r="D1223" s="13" t="inlineStr">
        <is>
          <t>7325006424</t>
        </is>
      </c>
      <c r="E1223" s="13" t="inlineStr">
        <is>
          <t>ЮЛ РФ</t>
        </is>
      </c>
      <c r="F1223" s="13" t="n"/>
      <c r="G1223" s="14" t="n"/>
      <c r="H1223" s="14" t="n"/>
      <c r="I1223" s="14" t="n"/>
      <c r="J1223" s="14" t="n"/>
      <c r="K1223" s="53" t="inlineStr"/>
      <c r="L1223" s="53" t="inlineStr">
        <is>
          <t>Не определено</t>
        </is>
      </c>
      <c r="M1223" s="53" t="inlineStr"/>
      <c r="N1223" s="54" t="inlineStr"/>
      <c r="O1223" s="55" t="inlineStr"/>
      <c r="P1223" s="16" t="inlineStr">
        <is>
          <t>Требует обогащения</t>
        </is>
      </c>
      <c r="Q1223" s="16">
        <f>HYPERLINK("https://pb.nalog.ru/search.html?query=7325006424","ФНС: проверить")</f>
        <v/>
      </c>
      <c r="R1223" s="16">
        <f>HYPERLINK("https://checko.ru/search?query=3801001629","Чекко: проверить")</f>
        <v/>
      </c>
      <c r="S1223" t="n">
        <v>1</v>
      </c>
      <c r="T1223" s="35" t="inlineStr">
        <is>
          <t>4 — Не обогащён</t>
        </is>
      </c>
      <c r="U1223" s="35" t="inlineStr">
        <is>
          <t>Нет ОКВЭД/ССЧР</t>
        </is>
      </c>
      <c r="V1223" s="35" t="inlineStr">
        <is>
          <t>Не определено</t>
        </is>
      </c>
      <c r="W1223" s="35" t="inlineStr"/>
      <c r="X1223" s="35" t="inlineStr"/>
    </row>
    <row r="1224" ht="15" customHeight="1" s="24">
      <c r="A1224" s="13" t="n">
        <v>5000062626</v>
      </c>
      <c r="B1224" s="13" t="inlineStr">
        <is>
          <t>ГУЗ Карсунская ЦРБ</t>
        </is>
      </c>
      <c r="C1224" s="13" t="n">
        <v>7307002057</v>
      </c>
      <c r="D1224" s="13" t="inlineStr">
        <is>
          <t>7307002057</t>
        </is>
      </c>
      <c r="E1224" s="13" t="inlineStr">
        <is>
          <t>ЮЛ РФ</t>
        </is>
      </c>
      <c r="F1224" s="13" t="n"/>
      <c r="G1224" s="14" t="n"/>
      <c r="H1224" s="14" t="n"/>
      <c r="I1224" s="14" t="n"/>
      <c r="J1224" s="14" t="n"/>
      <c r="K1224" s="53" t="inlineStr"/>
      <c r="L1224" s="53" t="inlineStr">
        <is>
          <t>Не определено</t>
        </is>
      </c>
      <c r="M1224" s="53" t="inlineStr"/>
      <c r="N1224" s="54" t="inlineStr"/>
      <c r="O1224" s="55" t="inlineStr"/>
      <c r="P1224" s="16" t="inlineStr">
        <is>
          <t>Требует обогащения</t>
        </is>
      </c>
      <c r="Q1224" s="16">
        <f>HYPERLINK("https://pb.nalog.ru/search.html?query=7307002057","ФНС: проверить")</f>
        <v/>
      </c>
      <c r="R1224" s="16">
        <f>HYPERLINK("https://checko.ru/search?query=3801001629","Чекко: проверить")</f>
        <v/>
      </c>
      <c r="S1224" t="n">
        <v>1</v>
      </c>
      <c r="T1224" s="35" t="inlineStr">
        <is>
          <t>4 — Не обогащён</t>
        </is>
      </c>
      <c r="U1224" s="35" t="inlineStr">
        <is>
          <t>Нет ОКВЭД/ССЧР</t>
        </is>
      </c>
      <c r="V1224" s="35" t="inlineStr">
        <is>
          <t>Не определено</t>
        </is>
      </c>
      <c r="W1224" s="35" t="inlineStr"/>
      <c r="X1224" s="35" t="inlineStr"/>
    </row>
    <row r="1225" ht="15" customHeight="1" s="24">
      <c r="A1225" s="13" t="n">
        <v>5000008600</v>
      </c>
      <c r="B1225" s="13" t="inlineStr">
        <is>
          <t>УФССП России по Санкт-Петербургу</t>
        </is>
      </c>
      <c r="C1225" s="13" t="n">
        <v>7838027691</v>
      </c>
      <c r="D1225" s="13" t="inlineStr">
        <is>
          <t>7838027691</t>
        </is>
      </c>
      <c r="E1225" s="13" t="inlineStr">
        <is>
          <t>ЮЛ РФ</t>
        </is>
      </c>
      <c r="F1225" s="13" t="n"/>
      <c r="G1225" s="14" t="n"/>
      <c r="H1225" s="14" t="n"/>
      <c r="I1225" s="14" t="n"/>
      <c r="J1225" s="14" t="n"/>
      <c r="K1225" s="53" t="inlineStr"/>
      <c r="L1225" s="53" t="inlineStr">
        <is>
          <t>Не определено</t>
        </is>
      </c>
      <c r="M1225" s="53" t="inlineStr"/>
      <c r="N1225" s="54" t="inlineStr"/>
      <c r="O1225" s="55" t="inlineStr"/>
      <c r="P1225" s="16" t="inlineStr">
        <is>
          <t>Требует обогащения</t>
        </is>
      </c>
      <c r="Q1225" s="16">
        <f>HYPERLINK("https://pb.nalog.ru/search.html?query=7838027691","ФНС: проверить")</f>
        <v/>
      </c>
      <c r="R1225" s="16">
        <f>HYPERLINK("https://checko.ru/search?query=3801001629","Чекко: проверить")</f>
        <v/>
      </c>
      <c r="S1225" t="n">
        <v>1</v>
      </c>
      <c r="T1225" s="35" t="inlineStr">
        <is>
          <t>4 — Не обогащён</t>
        </is>
      </c>
      <c r="U1225" s="35" t="inlineStr">
        <is>
          <t>Нет ОКВЭД/ССЧР</t>
        </is>
      </c>
      <c r="V1225" s="35" t="inlineStr">
        <is>
          <t>Не определено</t>
        </is>
      </c>
      <c r="W1225" s="35" t="inlineStr"/>
      <c r="X1225" s="35" t="inlineStr"/>
    </row>
    <row r="1226" ht="27.75" customHeight="1" s="24">
      <c r="A1226" s="13" t="n">
        <v>5000002217</v>
      </c>
      <c r="B1226" s="13" t="inlineStr">
        <is>
          <t>УИ ТИК Усть-Илимская городская территориальная избирательная комиссия</t>
        </is>
      </c>
      <c r="C1226" s="13" t="n">
        <v>3817025093</v>
      </c>
      <c r="D1226" s="13" t="inlineStr">
        <is>
          <t>3817025093</t>
        </is>
      </c>
      <c r="E1226" s="13" t="inlineStr">
        <is>
          <t>ЮЛ РФ</t>
        </is>
      </c>
      <c r="F1226" s="13" t="n"/>
      <c r="G1226" s="14" t="n"/>
      <c r="H1226" s="14" t="n"/>
      <c r="I1226" s="14" t="n"/>
      <c r="J1226" s="14" t="n"/>
      <c r="K1226" s="53" t="inlineStr"/>
      <c r="L1226" s="53" t="inlineStr">
        <is>
          <t>Не определено</t>
        </is>
      </c>
      <c r="M1226" s="53" t="inlineStr"/>
      <c r="N1226" s="54" t="inlineStr"/>
      <c r="O1226" s="55" t="inlineStr"/>
      <c r="P1226" s="16" t="inlineStr">
        <is>
          <t>Требует обогащения</t>
        </is>
      </c>
      <c r="Q1226" s="16">
        <f>HYPERLINK("https://pb.nalog.ru/search.html?query=3817025093","ФНС: проверить")</f>
        <v/>
      </c>
      <c r="R1226" s="16">
        <f>HYPERLINK("https://checko.ru/search?query=3801001629","Чекко: проверить")</f>
        <v/>
      </c>
      <c r="S1226" t="n">
        <v>1</v>
      </c>
      <c r="T1226" s="35" t="inlineStr">
        <is>
          <t>4 — Не обогащён</t>
        </is>
      </c>
      <c r="U1226" s="35" t="inlineStr">
        <is>
          <t>Нет ОКВЭД/ССЧР</t>
        </is>
      </c>
      <c r="V1226" s="35" t="inlineStr">
        <is>
          <t>Не определено</t>
        </is>
      </c>
      <c r="W1226" s="35" t="inlineStr"/>
      <c r="X1226" s="35" t="inlineStr"/>
    </row>
    <row r="1227" ht="15" customHeight="1" s="24">
      <c r="A1227" s="13" t="n">
        <v>5000095082</v>
      </c>
      <c r="B1227" s="13" t="inlineStr">
        <is>
          <t>МБОУ ДОД "ДШИ им.Казаноко Жаба</t>
        </is>
      </c>
      <c r="C1227" s="13" t="n">
        <v>714006417</v>
      </c>
      <c r="D1227" s="13" t="n"/>
      <c r="E1227" s="13" t="inlineStr">
        <is>
          <t>Не определён</t>
        </is>
      </c>
      <c r="F1227" s="13" t="inlineStr">
        <is>
          <t>714006417</t>
        </is>
      </c>
      <c r="G1227" s="14" t="n"/>
      <c r="H1227" s="14" t="n"/>
      <c r="I1227" s="14" t="n"/>
      <c r="J1227" s="14" t="n"/>
      <c r="K1227" s="13">
        <f>IF(G1227="","",IF(G1227&gt;=22,"Да","Нет"))</f>
        <v/>
      </c>
      <c r="L1227" s="13">
        <f>IF(OR(I1227="",J1227=""),"Не определено",IF(OR(COUNTIF(I1227,"45*")&gt;0,COUNTIF(J1227,"*45*")&gt;0,COUNTIF(I1227,"46*")&gt;0,COUNTIF(J1227,"*46*")&gt;0,COUNTIF(I1227,"47*")&gt;0,COUNTIF(J1227,"*47*")&gt;0,COUNTIF(I1227,"10*")&gt;0,COUNTIF(J1227,"*10*")&gt;0,COUNTIF(I1227,"11*")&gt;0,COUNTIF(J1227,"*11*")&gt;0,COUNTIF(I1227,"12*")&gt;0,COUNTIF(J1227,"*12*")&gt;0,COUNTIF(I1227,"13*")&gt;0,COUNTIF(J1227,"*13*")&gt;0,COUNTIF(I1227,"14*")&gt;0,COUNTIF(J1227,"*14*")&gt;0,COUNTIF(I1227,"15*")&gt;0,COUNTIF(J1227,"*15*")&gt;0,COUNTIF(I1227,"16*")&gt;0,COUNTIF(J1227,"*16*")&gt;0,COUNTIF(I1227,"17*")&gt;0,COUNTIF(J1227,"*17*")&gt;0,COUNTIF(I1227,"18*")&gt;0,COUNTIF(J1227,"*18*")&gt;0,COUNTIF(I1227,"19*")&gt;0,COUNTIF(J1227,"*19*")&gt;0,COUNTIF(I1227,"20*")&gt;0,COUNTIF(J1227,"*20*")&gt;0,COUNTIF(I1227,"21*")&gt;0,COUNTIF(J1227,"*21*")&gt;0,COUNTIF(I1227,"22*")&gt;0,COUNTIF(J1227,"*22*")&gt;0,COUNTIF(I1227,"23*")&gt;0,COUNTIF(J1227,"*23*")&gt;0,COUNTIF(I1227,"24*")&gt;0,COUNTIF(J1227,"*24*")&gt;0,COUNTIF(I1227,"25*")&gt;0,COUNTIF(J1227,"*25*")&gt;0,COUNTIF(I1227,"26*")&gt;0,COUNTIF(J1227,"*26*")&gt;0,COUNTIF(I1227,"27*")&gt;0,COUNTIF(J1227,"*27*")&gt;0,COUNTIF(I1227,"28*")&gt;0,COUNTIF(J1227,"*28*")&gt;0,COUNTIF(I1227,"29*")&gt;0,COUNTIF(J1227,"*29*")&gt;0,COUNTIF(I1227,"30*")&gt;0,COUNTIF(J1227,"*30*")&gt;0,COUNTIF(I1227,"31*")&gt;0,COUNTIF(J1227,"*31*")&gt;0,COUNTIF(I1227,"32*")&gt;0,COUNTIF(J1227,"*32*")&gt;0,COUNTIF(I1227,"33*")&gt;0,COUNTIF(J1227,"*33*")&gt;0,COUNTIF(I1227,"41*")&gt;0,COUNTIF(J1227,"*41*")&gt;0,COUNTIF(I1227,"42*")&gt;0,COUNTIF(J1227,"*42*")&gt;0,COUNTIF(I1227,"43*")&gt;0,COUNTIF(J1227,"*43*")&gt;0,COUNTIF(I1227,"49*")&gt;0,COUNTIF(J1227,"*49*")&gt;0,COUNTIF(I1227,"52*")&gt;0,COUNTIF(J1227,"*52*")&gt;0,COUNTIF(I1227,"55*")&gt;0,COUNTIF(J1227,"*55*")&gt;0,COUNTIF(I1227,"56*")&gt;0,COUNTIF(J1227,"*56*")&gt;0,COUNTIF(I1227,"68*")&gt;0,COUNTIF(J1227,"*68*")&gt;0,COUNTIF(I1227,"78*")&gt;0,COUNTIF(J1227,"*78*")&gt;0,COUNTIF(I1227,"81*")&gt;0,COUNTIF(J1227,"*81*")&gt;0,COUNTIF(I1227,"82*")&gt;0,COUNTIF(J1227,"*82*")&gt;0,COUNTIF(I1227,"64*")&gt;0,COUNTIF(J1227,"*64*")&gt;0,COUNTIF(I1227,"65*")&gt;0,COUNTIF(J1227,"*65*")&gt;0,COUNTIF(I1227,"66*")&gt;0,COUNTIF(J1227,"*66*")&gt;0,COUNTIF(I1227,"61*")&gt;0,COUNTIF(J1227,"*61*")&gt;0,COUNTIF(I1227,"62*")&gt;0,COUNTIF(J1227,"*62*")&gt;0,COUNTIF(I1227,"63*")&gt;0,COUNTIF(J1227,"*63*")&gt;0,COUNTIF(I1227,"85*")&gt;0,COUNTIF(J1227,"*85*")&gt;0,COUNTIF(I1227,"86*")&gt;0,COUNTIF(J1227,"*86*")&gt;0),"Да","Нет"))</f>
        <v/>
      </c>
      <c r="M1227" s="13">
        <f>IF(OR(G1227="",L1227&lt;&gt;"Да"),"",IF(G1227&lt;=100,"До 100",IF(G1227&lt;=200,"До 200",IF(G1227&lt;=500,"До 500","Отдельное КП"))))</f>
        <v/>
      </c>
      <c r="N1227" s="15">
        <f>IF(OR(G1227="",L1227&lt;&gt;"Да"),"",IF(G1227&lt;=100,33600,IF(G1227&lt;=200,62400,IF(G1227&lt;=500,144000,""))))</f>
        <v/>
      </c>
      <c r="O1227" s="16">
        <f>IF(G1227="","",IF(G1227&lt;=15,"1–15",IF(G1227&lt;=30,"16–30",IF(G1227&lt;=50,"31–50",IF(G1227&lt;=100,"51–100",IF(G1227&lt;=150,"101–150",IF(G1227&lt;=200,"151–200",IF(G1227&lt;=500,"201–500","500+"))))))))</f>
        <v/>
      </c>
      <c r="P1227" s="16" t="inlineStr">
        <is>
          <t>Нет совпадения в предоставленной выгрузке ССЧР</t>
        </is>
      </c>
      <c r="Q1227" s="16" t="n"/>
      <c r="R1227" s="16">
        <f>HYPERLINK("https://checko.ru/search?query=3801001629","Чекко: проверить")</f>
        <v/>
      </c>
      <c r="S1227" t="n">
        <v>0</v>
      </c>
    </row>
    <row r="1228" ht="15" customHeight="1" s="24">
      <c r="A1228" s="13" t="n">
        <v>5000002056</v>
      </c>
      <c r="B1228" s="13" t="inlineStr">
        <is>
          <t>ОГУК ансабль "Степные напевы"</t>
        </is>
      </c>
      <c r="C1228" s="13" t="n">
        <v>8506007622</v>
      </c>
      <c r="D1228" s="13" t="inlineStr">
        <is>
          <t>8506007622</t>
        </is>
      </c>
      <c r="E1228" s="13" t="inlineStr">
        <is>
          <t>ЮЛ РФ</t>
        </is>
      </c>
      <c r="F1228" s="13" t="n"/>
      <c r="G1228" s="14" t="n"/>
      <c r="H1228" s="14" t="n"/>
      <c r="I1228" s="14" t="n"/>
      <c r="J1228" s="14" t="n"/>
      <c r="K1228" s="53" t="inlineStr"/>
      <c r="L1228" s="53" t="inlineStr">
        <is>
          <t>Не определено</t>
        </is>
      </c>
      <c r="M1228" s="53" t="inlineStr"/>
      <c r="N1228" s="54" t="inlineStr"/>
      <c r="O1228" s="55" t="inlineStr"/>
      <c r="P1228" s="16" t="inlineStr">
        <is>
          <t>Требует обогащения</t>
        </is>
      </c>
      <c r="Q1228" s="16">
        <f>HYPERLINK("https://pb.nalog.ru/search.html?query=8506007622","ФНС: проверить")</f>
        <v/>
      </c>
      <c r="R1228" s="16">
        <f>HYPERLINK("https://checko.ru/search?query=3801001629","Чекко: проверить")</f>
        <v/>
      </c>
      <c r="S1228" t="n">
        <v>1</v>
      </c>
      <c r="T1228" s="35" t="inlineStr">
        <is>
          <t>4 — Не обогащён</t>
        </is>
      </c>
      <c r="U1228" s="35" t="inlineStr">
        <is>
          <t>Нет ОКВЭД/ССЧР</t>
        </is>
      </c>
      <c r="V1228" s="35" t="inlineStr">
        <is>
          <t>Не определено</t>
        </is>
      </c>
      <c r="W1228" s="35" t="inlineStr"/>
      <c r="X1228" s="35" t="inlineStr"/>
    </row>
    <row r="1229" ht="27.75" customHeight="1" s="24">
      <c r="A1229" s="13" t="n">
        <v>5000094764</v>
      </c>
      <c r="B1229" s="13" t="inlineStr">
        <is>
          <t>МКУ "Местная администрация с.п.Нижний Черек" УМР КБР</t>
        </is>
      </c>
      <c r="C1229" s="13" t="n">
        <v>707006335</v>
      </c>
      <c r="D1229" s="13" t="n"/>
      <c r="E1229" s="13" t="inlineStr">
        <is>
          <t>Не определён</t>
        </is>
      </c>
      <c r="F1229" s="13" t="inlineStr">
        <is>
          <t>707006335</t>
        </is>
      </c>
      <c r="G1229" s="14" t="n"/>
      <c r="H1229" s="14" t="n"/>
      <c r="I1229" s="14" t="n"/>
      <c r="J1229" s="14" t="n"/>
      <c r="K1229" s="13">
        <f>IF(G1229="","",IF(G1229&gt;=22,"Да","Нет"))</f>
        <v/>
      </c>
      <c r="L1229" s="13">
        <f>IF(OR(I1229="",J1229=""),"Не определено",IF(OR(COUNTIF(I1229,"45*")&gt;0,COUNTIF(J1229,"*45*")&gt;0,COUNTIF(I1229,"46*")&gt;0,COUNTIF(J1229,"*46*")&gt;0,COUNTIF(I1229,"47*")&gt;0,COUNTIF(J1229,"*47*")&gt;0,COUNTIF(I1229,"10*")&gt;0,COUNTIF(J1229,"*10*")&gt;0,COUNTIF(I1229,"11*")&gt;0,COUNTIF(J1229,"*11*")&gt;0,COUNTIF(I1229,"12*")&gt;0,COUNTIF(J1229,"*12*")&gt;0,COUNTIF(I1229,"13*")&gt;0,COUNTIF(J1229,"*13*")&gt;0,COUNTIF(I1229,"14*")&gt;0,COUNTIF(J1229,"*14*")&gt;0,COUNTIF(I1229,"15*")&gt;0,COUNTIF(J1229,"*15*")&gt;0,COUNTIF(I1229,"16*")&gt;0,COUNTIF(J1229,"*16*")&gt;0,COUNTIF(I1229,"17*")&gt;0,COUNTIF(J1229,"*17*")&gt;0,COUNTIF(I1229,"18*")&gt;0,COUNTIF(J1229,"*18*")&gt;0,COUNTIF(I1229,"19*")&gt;0,COUNTIF(J1229,"*19*")&gt;0,COUNTIF(I1229,"20*")&gt;0,COUNTIF(J1229,"*20*")&gt;0,COUNTIF(I1229,"21*")&gt;0,COUNTIF(J1229,"*21*")&gt;0,COUNTIF(I1229,"22*")&gt;0,COUNTIF(J1229,"*22*")&gt;0,COUNTIF(I1229,"23*")&gt;0,COUNTIF(J1229,"*23*")&gt;0,COUNTIF(I1229,"24*")&gt;0,COUNTIF(J1229,"*24*")&gt;0,COUNTIF(I1229,"25*")&gt;0,COUNTIF(J1229,"*25*")&gt;0,COUNTIF(I1229,"26*")&gt;0,COUNTIF(J1229,"*26*")&gt;0,COUNTIF(I1229,"27*")&gt;0,COUNTIF(J1229,"*27*")&gt;0,COUNTIF(I1229,"28*")&gt;0,COUNTIF(J1229,"*28*")&gt;0,COUNTIF(I1229,"29*")&gt;0,COUNTIF(J1229,"*29*")&gt;0,COUNTIF(I1229,"30*")&gt;0,COUNTIF(J1229,"*30*")&gt;0,COUNTIF(I1229,"31*")&gt;0,COUNTIF(J1229,"*31*")&gt;0,COUNTIF(I1229,"32*")&gt;0,COUNTIF(J1229,"*32*")&gt;0,COUNTIF(I1229,"33*")&gt;0,COUNTIF(J1229,"*33*")&gt;0,COUNTIF(I1229,"41*")&gt;0,COUNTIF(J1229,"*41*")&gt;0,COUNTIF(I1229,"42*")&gt;0,COUNTIF(J1229,"*42*")&gt;0,COUNTIF(I1229,"43*")&gt;0,COUNTIF(J1229,"*43*")&gt;0,COUNTIF(I1229,"49*")&gt;0,COUNTIF(J1229,"*49*")&gt;0,COUNTIF(I1229,"52*")&gt;0,COUNTIF(J1229,"*52*")&gt;0,COUNTIF(I1229,"55*")&gt;0,COUNTIF(J1229,"*55*")&gt;0,COUNTIF(I1229,"56*")&gt;0,COUNTIF(J1229,"*56*")&gt;0,COUNTIF(I1229,"68*")&gt;0,COUNTIF(J1229,"*68*")&gt;0,COUNTIF(I1229,"78*")&gt;0,COUNTIF(J1229,"*78*")&gt;0,COUNTIF(I1229,"81*")&gt;0,COUNTIF(J1229,"*81*")&gt;0,COUNTIF(I1229,"82*")&gt;0,COUNTIF(J1229,"*82*")&gt;0,COUNTIF(I1229,"64*")&gt;0,COUNTIF(J1229,"*64*")&gt;0,COUNTIF(I1229,"65*")&gt;0,COUNTIF(J1229,"*65*")&gt;0,COUNTIF(I1229,"66*")&gt;0,COUNTIF(J1229,"*66*")&gt;0,COUNTIF(I1229,"61*")&gt;0,COUNTIF(J1229,"*61*")&gt;0,COUNTIF(I1229,"62*")&gt;0,COUNTIF(J1229,"*62*")&gt;0,COUNTIF(I1229,"63*")&gt;0,COUNTIF(J1229,"*63*")&gt;0,COUNTIF(I1229,"85*")&gt;0,COUNTIF(J1229,"*85*")&gt;0,COUNTIF(I1229,"86*")&gt;0,COUNTIF(J1229,"*86*")&gt;0),"Да","Нет"))</f>
        <v/>
      </c>
      <c r="M1229" s="13">
        <f>IF(OR(G1229="",L1229&lt;&gt;"Да"),"",IF(G1229&lt;=100,"До 100",IF(G1229&lt;=200,"До 200",IF(G1229&lt;=500,"До 500","Отдельное КП"))))</f>
        <v/>
      </c>
      <c r="N1229" s="15">
        <f>IF(OR(G1229="",L1229&lt;&gt;"Да"),"",IF(G1229&lt;=100,33600,IF(G1229&lt;=200,62400,IF(G1229&lt;=500,144000,""))))</f>
        <v/>
      </c>
      <c r="O1229" s="16">
        <f>IF(G1229="","",IF(G1229&lt;=15,"1–15",IF(G1229&lt;=30,"16–30",IF(G1229&lt;=50,"31–50",IF(G1229&lt;=100,"51–100",IF(G1229&lt;=150,"101–150",IF(G1229&lt;=200,"151–200",IF(G1229&lt;=500,"201–500","500+"))))))))</f>
        <v/>
      </c>
      <c r="P1229" s="16" t="inlineStr">
        <is>
          <t>Нет совпадения в предоставленной выгрузке ССЧР</t>
        </is>
      </c>
      <c r="Q1229" s="16" t="n"/>
      <c r="R1229" s="16">
        <f>HYPERLINK("https://checko.ru/search?query=3801001629","Чекко: проверить")</f>
        <v/>
      </c>
      <c r="S1229" t="n">
        <v>0</v>
      </c>
    </row>
    <row r="1230" ht="15" customHeight="1" s="24">
      <c r="A1230" s="13" t="n">
        <v>5000001376</v>
      </c>
      <c r="B1230" s="13" t="inlineStr">
        <is>
          <t>Областное ГАУ "ИркутскЛеспроект"</t>
        </is>
      </c>
      <c r="C1230" s="13" t="n">
        <v>8506002215</v>
      </c>
      <c r="D1230" s="13" t="inlineStr">
        <is>
          <t>8506002215</t>
        </is>
      </c>
      <c r="E1230" s="13" t="inlineStr">
        <is>
          <t>ЮЛ РФ</t>
        </is>
      </c>
      <c r="F1230" s="13" t="n"/>
      <c r="G1230" s="14" t="n"/>
      <c r="H1230" s="14" t="n"/>
      <c r="I1230" s="14" t="n"/>
      <c r="J1230" s="14" t="n"/>
      <c r="K1230" s="53" t="inlineStr"/>
      <c r="L1230" s="53" t="inlineStr">
        <is>
          <t>Не определено</t>
        </is>
      </c>
      <c r="M1230" s="53" t="inlineStr"/>
      <c r="N1230" s="54" t="inlineStr"/>
      <c r="O1230" s="55" t="inlineStr"/>
      <c r="P1230" s="16" t="inlineStr">
        <is>
          <t>Требует обогащения</t>
        </is>
      </c>
      <c r="Q1230" s="16">
        <f>HYPERLINK("https://pb.nalog.ru/search.html?query=8506002215","ФНС: проверить")</f>
        <v/>
      </c>
      <c r="R1230" s="16">
        <f>HYPERLINK("https://checko.ru/search?query=3801001629","Чекко: проверить")</f>
        <v/>
      </c>
      <c r="S1230" t="n">
        <v>1</v>
      </c>
      <c r="T1230" s="35" t="inlineStr">
        <is>
          <t>4 — Не обогащён</t>
        </is>
      </c>
      <c r="U1230" s="35" t="inlineStr">
        <is>
          <t>Нет ОКВЭД/ССЧР</t>
        </is>
      </c>
      <c r="V1230" s="35" t="inlineStr">
        <is>
          <t>Не определено</t>
        </is>
      </c>
      <c r="W1230" s="35" t="inlineStr"/>
      <c r="X1230" s="35" t="inlineStr"/>
    </row>
    <row r="1231" ht="27.75" customHeight="1" s="24">
      <c r="A1231" s="13" t="n">
        <v>5000101670</v>
      </c>
      <c r="B1231" s="13" t="inlineStr">
        <is>
          <t>ГОСУДАРСТВЕННОЕ КАЗЕННОЕ УЧРЕЖДЕНИЕ ИРКУТСКОЙ ОБЛАСТИ "БРАТСКОЕ ЛЕСНИЧЕСТВО"</t>
        </is>
      </c>
      <c r="C1231" s="13" t="n">
        <v>3804119146</v>
      </c>
      <c r="D1231" s="13" t="inlineStr">
        <is>
          <t>3804119146</t>
        </is>
      </c>
      <c r="E1231" s="13" t="inlineStr">
        <is>
          <t>ЮЛ РФ</t>
        </is>
      </c>
      <c r="F1231" s="13" t="n"/>
      <c r="G1231" s="14" t="n"/>
      <c r="H1231" s="14" t="n"/>
      <c r="I1231" s="14" t="n"/>
      <c r="J1231" s="14" t="n"/>
      <c r="K1231" s="53" t="inlineStr"/>
      <c r="L1231" s="53" t="inlineStr">
        <is>
          <t>Не определено</t>
        </is>
      </c>
      <c r="M1231" s="53" t="inlineStr"/>
      <c r="N1231" s="54" t="inlineStr"/>
      <c r="O1231" s="55" t="inlineStr"/>
      <c r="P1231" s="16" t="inlineStr">
        <is>
          <t>Требует обогащения</t>
        </is>
      </c>
      <c r="Q1231" s="16">
        <f>HYPERLINK("https://pb.nalog.ru/search.html?query=3804119146","ФНС: проверить")</f>
        <v/>
      </c>
      <c r="R1231" s="16">
        <f>HYPERLINK("https://checko.ru/search?query=3801001629","Чекко: проверить")</f>
        <v/>
      </c>
      <c r="S1231" t="n">
        <v>1</v>
      </c>
      <c r="T1231" s="35" t="inlineStr">
        <is>
          <t>4 — Не обогащён</t>
        </is>
      </c>
      <c r="U1231" s="35" t="inlineStr">
        <is>
          <t>Нет ОКВЭД/ССЧР</t>
        </is>
      </c>
      <c r="V1231" s="35" t="inlineStr">
        <is>
          <t>Не определено</t>
        </is>
      </c>
      <c r="W1231" s="35" t="inlineStr"/>
      <c r="X1231" s="35" t="inlineStr"/>
    </row>
    <row r="1232" ht="15" customHeight="1" s="24">
      <c r="A1232" s="13" t="n">
        <v>5000008547</v>
      </c>
      <c r="B1232" s="13" t="inlineStr">
        <is>
          <t>УФССП России по Магаданской области</t>
        </is>
      </c>
      <c r="C1232" s="13" t="n">
        <v>4909008999</v>
      </c>
      <c r="D1232" s="13" t="inlineStr">
        <is>
          <t>4909008999</t>
        </is>
      </c>
      <c r="E1232" s="13" t="inlineStr">
        <is>
          <t>ЮЛ РФ</t>
        </is>
      </c>
      <c r="F1232" s="13" t="n"/>
      <c r="G1232" s="14" t="n"/>
      <c r="H1232" s="14" t="n"/>
      <c r="I1232" s="14" t="n"/>
      <c r="J1232" s="14" t="n"/>
      <c r="K1232" s="53" t="inlineStr"/>
      <c r="L1232" s="53" t="inlineStr">
        <is>
          <t>Не определено</t>
        </is>
      </c>
      <c r="M1232" s="53" t="inlineStr"/>
      <c r="N1232" s="54" t="inlineStr"/>
      <c r="O1232" s="55" t="inlineStr"/>
      <c r="P1232" s="16" t="inlineStr">
        <is>
          <t>Требует обогащения</t>
        </is>
      </c>
      <c r="Q1232" s="16">
        <f>HYPERLINK("https://pb.nalog.ru/search.html?query=4909008999","ФНС: проверить")</f>
        <v/>
      </c>
      <c r="R1232" s="16">
        <f>HYPERLINK("https://checko.ru/search?query=3801001629","Чекко: проверить")</f>
        <v/>
      </c>
      <c r="S1232" t="n">
        <v>1</v>
      </c>
      <c r="T1232" s="35" t="inlineStr">
        <is>
          <t>4 — Не обогащён</t>
        </is>
      </c>
      <c r="U1232" s="35" t="inlineStr">
        <is>
          <t>Нет ОКВЭД/ССЧР</t>
        </is>
      </c>
      <c r="V1232" s="35" t="inlineStr">
        <is>
          <t>Не определено</t>
        </is>
      </c>
      <c r="W1232" s="35" t="inlineStr"/>
      <c r="X1232" s="35" t="inlineStr"/>
    </row>
    <row r="1233" ht="41.25" customHeight="1" s="24">
      <c r="A1233" s="13" t="n">
        <v>5000001375</v>
      </c>
      <c r="B1233" s="13" t="inlineStr">
        <is>
          <t>Областное ГАУЗ "Иркутский областной клинический консультативно-диагностический центр"</t>
        </is>
      </c>
      <c r="C1233" s="13" t="n">
        <v>3811056264</v>
      </c>
      <c r="D1233" s="13" t="inlineStr">
        <is>
          <t>3811056264</t>
        </is>
      </c>
      <c r="E1233" s="13" t="inlineStr">
        <is>
          <t>ЮЛ РФ</t>
        </is>
      </c>
      <c r="F1233" s="13" t="n"/>
      <c r="G1233" s="14" t="n"/>
      <c r="H1233" s="14" t="n"/>
      <c r="I1233" s="14" t="n"/>
      <c r="J1233" s="14" t="n"/>
      <c r="K1233" s="53" t="inlineStr"/>
      <c r="L1233" s="53" t="inlineStr">
        <is>
          <t>Не определено</t>
        </is>
      </c>
      <c r="M1233" s="53" t="inlineStr"/>
      <c r="N1233" s="54" t="inlineStr"/>
      <c r="O1233" s="55" t="inlineStr"/>
      <c r="P1233" s="16" t="inlineStr">
        <is>
          <t>Требует обогащения</t>
        </is>
      </c>
      <c r="Q1233" s="16">
        <f>HYPERLINK("https://pb.nalog.ru/search.html?query=3811056264","ФНС: проверить")</f>
        <v/>
      </c>
      <c r="R1233" s="16">
        <f>HYPERLINK("https://checko.ru/search?query=3801001629","Чекко: проверить")</f>
        <v/>
      </c>
      <c r="S1233" t="n">
        <v>1</v>
      </c>
      <c r="T1233" s="35" t="inlineStr">
        <is>
          <t>4 — Не обогащён</t>
        </is>
      </c>
      <c r="U1233" s="35" t="inlineStr">
        <is>
          <t>Нет ОКВЭД/ССЧР</t>
        </is>
      </c>
      <c r="V1233" s="35" t="inlineStr">
        <is>
          <t>Не определено</t>
        </is>
      </c>
      <c r="W1233" s="35" t="inlineStr"/>
      <c r="X1233" s="35" t="inlineStr"/>
    </row>
    <row r="1234" ht="15" customHeight="1" s="24">
      <c r="A1234" s="13" t="n">
        <v>5000095154</v>
      </c>
      <c r="B1234" s="13" t="inlineStr">
        <is>
          <t>Администрация с.Хасанья</t>
        </is>
      </c>
      <c r="C1234" s="13" t="n">
        <v>721014169</v>
      </c>
      <c r="D1234" s="13" t="n"/>
      <c r="E1234" s="13" t="inlineStr">
        <is>
          <t>Не определён</t>
        </is>
      </c>
      <c r="F1234" s="13" t="inlineStr">
        <is>
          <t>721014169</t>
        </is>
      </c>
      <c r="G1234" s="14" t="n"/>
      <c r="H1234" s="14" t="n"/>
      <c r="I1234" s="14" t="n"/>
      <c r="J1234" s="14" t="n"/>
      <c r="K1234" s="13">
        <f>IF(G1234="","",IF(G1234&gt;=22,"Да","Нет"))</f>
        <v/>
      </c>
      <c r="L1234" s="13">
        <f>IF(OR(I1234="",J1234=""),"Не определено",IF(OR(COUNTIF(I1234,"45*")&gt;0,COUNTIF(J1234,"*45*")&gt;0,COUNTIF(I1234,"46*")&gt;0,COUNTIF(J1234,"*46*")&gt;0,COUNTIF(I1234,"47*")&gt;0,COUNTIF(J1234,"*47*")&gt;0,COUNTIF(I1234,"10*")&gt;0,COUNTIF(J1234,"*10*")&gt;0,COUNTIF(I1234,"11*")&gt;0,COUNTIF(J1234,"*11*")&gt;0,COUNTIF(I1234,"12*")&gt;0,COUNTIF(J1234,"*12*")&gt;0,COUNTIF(I1234,"13*")&gt;0,COUNTIF(J1234,"*13*")&gt;0,COUNTIF(I1234,"14*")&gt;0,COUNTIF(J1234,"*14*")&gt;0,COUNTIF(I1234,"15*")&gt;0,COUNTIF(J1234,"*15*")&gt;0,COUNTIF(I1234,"16*")&gt;0,COUNTIF(J1234,"*16*")&gt;0,COUNTIF(I1234,"17*")&gt;0,COUNTIF(J1234,"*17*")&gt;0,COUNTIF(I1234,"18*")&gt;0,COUNTIF(J1234,"*18*")&gt;0,COUNTIF(I1234,"19*")&gt;0,COUNTIF(J1234,"*19*")&gt;0,COUNTIF(I1234,"20*")&gt;0,COUNTIF(J1234,"*20*")&gt;0,COUNTIF(I1234,"21*")&gt;0,COUNTIF(J1234,"*21*")&gt;0,COUNTIF(I1234,"22*")&gt;0,COUNTIF(J1234,"*22*")&gt;0,COUNTIF(I1234,"23*")&gt;0,COUNTIF(J1234,"*23*")&gt;0,COUNTIF(I1234,"24*")&gt;0,COUNTIF(J1234,"*24*")&gt;0,COUNTIF(I1234,"25*")&gt;0,COUNTIF(J1234,"*25*")&gt;0,COUNTIF(I1234,"26*")&gt;0,COUNTIF(J1234,"*26*")&gt;0,COUNTIF(I1234,"27*")&gt;0,COUNTIF(J1234,"*27*")&gt;0,COUNTIF(I1234,"28*")&gt;0,COUNTIF(J1234,"*28*")&gt;0,COUNTIF(I1234,"29*")&gt;0,COUNTIF(J1234,"*29*")&gt;0,COUNTIF(I1234,"30*")&gt;0,COUNTIF(J1234,"*30*")&gt;0,COUNTIF(I1234,"31*")&gt;0,COUNTIF(J1234,"*31*")&gt;0,COUNTIF(I1234,"32*")&gt;0,COUNTIF(J1234,"*32*")&gt;0,COUNTIF(I1234,"33*")&gt;0,COUNTIF(J1234,"*33*")&gt;0,COUNTIF(I1234,"41*")&gt;0,COUNTIF(J1234,"*41*")&gt;0,COUNTIF(I1234,"42*")&gt;0,COUNTIF(J1234,"*42*")&gt;0,COUNTIF(I1234,"43*")&gt;0,COUNTIF(J1234,"*43*")&gt;0,COUNTIF(I1234,"49*")&gt;0,COUNTIF(J1234,"*49*")&gt;0,COUNTIF(I1234,"52*")&gt;0,COUNTIF(J1234,"*52*")&gt;0,COUNTIF(I1234,"55*")&gt;0,COUNTIF(J1234,"*55*")&gt;0,COUNTIF(I1234,"56*")&gt;0,COUNTIF(J1234,"*56*")&gt;0,COUNTIF(I1234,"68*")&gt;0,COUNTIF(J1234,"*68*")&gt;0,COUNTIF(I1234,"78*")&gt;0,COUNTIF(J1234,"*78*")&gt;0,COUNTIF(I1234,"81*")&gt;0,COUNTIF(J1234,"*81*")&gt;0,COUNTIF(I1234,"82*")&gt;0,COUNTIF(J1234,"*82*")&gt;0,COUNTIF(I1234,"64*")&gt;0,COUNTIF(J1234,"*64*")&gt;0,COUNTIF(I1234,"65*")&gt;0,COUNTIF(J1234,"*65*")&gt;0,COUNTIF(I1234,"66*")&gt;0,COUNTIF(J1234,"*66*")&gt;0,COUNTIF(I1234,"61*")&gt;0,COUNTIF(J1234,"*61*")&gt;0,COUNTIF(I1234,"62*")&gt;0,COUNTIF(J1234,"*62*")&gt;0,COUNTIF(I1234,"63*")&gt;0,COUNTIF(J1234,"*63*")&gt;0,COUNTIF(I1234,"85*")&gt;0,COUNTIF(J1234,"*85*")&gt;0,COUNTIF(I1234,"86*")&gt;0,COUNTIF(J1234,"*86*")&gt;0),"Да","Нет"))</f>
        <v/>
      </c>
      <c r="M1234" s="13">
        <f>IF(OR(G1234="",L1234&lt;&gt;"Да"),"",IF(G1234&lt;=100,"До 100",IF(G1234&lt;=200,"До 200",IF(G1234&lt;=500,"До 500","Отдельное КП"))))</f>
        <v/>
      </c>
      <c r="N1234" s="15">
        <f>IF(OR(G1234="",L1234&lt;&gt;"Да"),"",IF(G1234&lt;=100,33600,IF(G1234&lt;=200,62400,IF(G1234&lt;=500,144000,""))))</f>
        <v/>
      </c>
      <c r="O1234" s="16">
        <f>IF(G1234="","",IF(G1234&lt;=15,"1–15",IF(G1234&lt;=30,"16–30",IF(G1234&lt;=50,"31–50",IF(G1234&lt;=100,"51–100",IF(G1234&lt;=150,"101–150",IF(G1234&lt;=200,"151–200",IF(G1234&lt;=500,"201–500","500+"))))))))</f>
        <v/>
      </c>
      <c r="P1234" s="16" t="inlineStr">
        <is>
          <t>Нет совпадения в предоставленной выгрузке ССЧР</t>
        </is>
      </c>
      <c r="Q1234" s="16" t="n"/>
      <c r="R1234" s="16">
        <f>HYPERLINK("https://checko.ru/search?query=3801001629","Чекко: проверить")</f>
        <v/>
      </c>
      <c r="S1234" t="n">
        <v>0</v>
      </c>
    </row>
    <row r="1235" ht="15" customHeight="1" s="24">
      <c r="A1235" s="13" t="n">
        <v>5000095156</v>
      </c>
      <c r="B1235" s="13" t="inlineStr">
        <is>
          <t>Администрация с.Белая речка</t>
        </is>
      </c>
      <c r="C1235" s="13" t="n">
        <v>721014218</v>
      </c>
      <c r="D1235" s="13" t="n"/>
      <c r="E1235" s="13" t="inlineStr">
        <is>
          <t>Не определён</t>
        </is>
      </c>
      <c r="F1235" s="13" t="inlineStr">
        <is>
          <t>721014218</t>
        </is>
      </c>
      <c r="G1235" s="14" t="n"/>
      <c r="H1235" s="14" t="n"/>
      <c r="I1235" s="14" t="n"/>
      <c r="J1235" s="14" t="n"/>
      <c r="K1235" s="13">
        <f>IF(G1235="","",IF(G1235&gt;=22,"Да","Нет"))</f>
        <v/>
      </c>
      <c r="L1235" s="13">
        <f>IF(OR(I1235="",J1235=""),"Не определено",IF(OR(COUNTIF(I1235,"45*")&gt;0,COUNTIF(J1235,"*45*")&gt;0,COUNTIF(I1235,"46*")&gt;0,COUNTIF(J1235,"*46*")&gt;0,COUNTIF(I1235,"47*")&gt;0,COUNTIF(J1235,"*47*")&gt;0,COUNTIF(I1235,"10*")&gt;0,COUNTIF(J1235,"*10*")&gt;0,COUNTIF(I1235,"11*")&gt;0,COUNTIF(J1235,"*11*")&gt;0,COUNTIF(I1235,"12*")&gt;0,COUNTIF(J1235,"*12*")&gt;0,COUNTIF(I1235,"13*")&gt;0,COUNTIF(J1235,"*13*")&gt;0,COUNTIF(I1235,"14*")&gt;0,COUNTIF(J1235,"*14*")&gt;0,COUNTIF(I1235,"15*")&gt;0,COUNTIF(J1235,"*15*")&gt;0,COUNTIF(I1235,"16*")&gt;0,COUNTIF(J1235,"*16*")&gt;0,COUNTIF(I1235,"17*")&gt;0,COUNTIF(J1235,"*17*")&gt;0,COUNTIF(I1235,"18*")&gt;0,COUNTIF(J1235,"*18*")&gt;0,COUNTIF(I1235,"19*")&gt;0,COUNTIF(J1235,"*19*")&gt;0,COUNTIF(I1235,"20*")&gt;0,COUNTIF(J1235,"*20*")&gt;0,COUNTIF(I1235,"21*")&gt;0,COUNTIF(J1235,"*21*")&gt;0,COUNTIF(I1235,"22*")&gt;0,COUNTIF(J1235,"*22*")&gt;0,COUNTIF(I1235,"23*")&gt;0,COUNTIF(J1235,"*23*")&gt;0,COUNTIF(I1235,"24*")&gt;0,COUNTIF(J1235,"*24*")&gt;0,COUNTIF(I1235,"25*")&gt;0,COUNTIF(J1235,"*25*")&gt;0,COUNTIF(I1235,"26*")&gt;0,COUNTIF(J1235,"*26*")&gt;0,COUNTIF(I1235,"27*")&gt;0,COUNTIF(J1235,"*27*")&gt;0,COUNTIF(I1235,"28*")&gt;0,COUNTIF(J1235,"*28*")&gt;0,COUNTIF(I1235,"29*")&gt;0,COUNTIF(J1235,"*29*")&gt;0,COUNTIF(I1235,"30*")&gt;0,COUNTIF(J1235,"*30*")&gt;0,COUNTIF(I1235,"31*")&gt;0,COUNTIF(J1235,"*31*")&gt;0,COUNTIF(I1235,"32*")&gt;0,COUNTIF(J1235,"*32*")&gt;0,COUNTIF(I1235,"33*")&gt;0,COUNTIF(J1235,"*33*")&gt;0,COUNTIF(I1235,"41*")&gt;0,COUNTIF(J1235,"*41*")&gt;0,COUNTIF(I1235,"42*")&gt;0,COUNTIF(J1235,"*42*")&gt;0,COUNTIF(I1235,"43*")&gt;0,COUNTIF(J1235,"*43*")&gt;0,COUNTIF(I1235,"49*")&gt;0,COUNTIF(J1235,"*49*")&gt;0,COUNTIF(I1235,"52*")&gt;0,COUNTIF(J1235,"*52*")&gt;0,COUNTIF(I1235,"55*")&gt;0,COUNTIF(J1235,"*55*")&gt;0,COUNTIF(I1235,"56*")&gt;0,COUNTIF(J1235,"*56*")&gt;0,COUNTIF(I1235,"68*")&gt;0,COUNTIF(J1235,"*68*")&gt;0,COUNTIF(I1235,"78*")&gt;0,COUNTIF(J1235,"*78*")&gt;0,COUNTIF(I1235,"81*")&gt;0,COUNTIF(J1235,"*81*")&gt;0,COUNTIF(I1235,"82*")&gt;0,COUNTIF(J1235,"*82*")&gt;0,COUNTIF(I1235,"64*")&gt;0,COUNTIF(J1235,"*64*")&gt;0,COUNTIF(I1235,"65*")&gt;0,COUNTIF(J1235,"*65*")&gt;0,COUNTIF(I1235,"66*")&gt;0,COUNTIF(J1235,"*66*")&gt;0,COUNTIF(I1235,"61*")&gt;0,COUNTIF(J1235,"*61*")&gt;0,COUNTIF(I1235,"62*")&gt;0,COUNTIF(J1235,"*62*")&gt;0,COUNTIF(I1235,"63*")&gt;0,COUNTIF(J1235,"*63*")&gt;0,COUNTIF(I1235,"85*")&gt;0,COUNTIF(J1235,"*85*")&gt;0,COUNTIF(I1235,"86*")&gt;0,COUNTIF(J1235,"*86*")&gt;0),"Да","Нет"))</f>
        <v/>
      </c>
      <c r="M1235" s="13">
        <f>IF(OR(G1235="",L1235&lt;&gt;"Да"),"",IF(G1235&lt;=100,"До 100",IF(G1235&lt;=200,"До 200",IF(G1235&lt;=500,"До 500","Отдельное КП"))))</f>
        <v/>
      </c>
      <c r="N1235" s="15">
        <f>IF(OR(G1235="",L1235&lt;&gt;"Да"),"",IF(G1235&lt;=100,33600,IF(G1235&lt;=200,62400,IF(G1235&lt;=500,144000,""))))</f>
        <v/>
      </c>
      <c r="O1235" s="16">
        <f>IF(G1235="","",IF(G1235&lt;=15,"1–15",IF(G1235&lt;=30,"16–30",IF(G1235&lt;=50,"31–50",IF(G1235&lt;=100,"51–100",IF(G1235&lt;=150,"101–150",IF(G1235&lt;=200,"151–200",IF(G1235&lt;=500,"201–500","500+"))))))))</f>
        <v/>
      </c>
      <c r="P1235" s="16" t="inlineStr">
        <is>
          <t>Нет совпадения в предоставленной выгрузке ССЧР</t>
        </is>
      </c>
      <c r="Q1235" s="16" t="n"/>
      <c r="R1235" s="16">
        <f>HYPERLINK("https://checko.ru/search?query=3801001629","Чекко: проверить")</f>
        <v/>
      </c>
      <c r="S1235" t="n">
        <v>0</v>
      </c>
    </row>
    <row r="1236" ht="15" customHeight="1" s="24">
      <c r="A1236" s="13" t="n">
        <v>5000095223</v>
      </c>
      <c r="B1236" s="13" t="inlineStr">
        <is>
          <t>Министерство спорта КБР</t>
        </is>
      </c>
      <c r="C1236" s="13" t="n">
        <v>725011200</v>
      </c>
      <c r="D1236" s="13" t="n"/>
      <c r="E1236" s="13" t="inlineStr">
        <is>
          <t>Не определён</t>
        </is>
      </c>
      <c r="F1236" s="13" t="inlineStr">
        <is>
          <t>725011200</t>
        </is>
      </c>
      <c r="G1236" s="14" t="n"/>
      <c r="H1236" s="14" t="n"/>
      <c r="I1236" s="14" t="n"/>
      <c r="J1236" s="14" t="n"/>
      <c r="K1236" s="13">
        <f>IF(G1236="","",IF(G1236&gt;=22,"Да","Нет"))</f>
        <v/>
      </c>
      <c r="L1236" s="13">
        <f>IF(OR(I1236="",J1236=""),"Не определено",IF(OR(COUNTIF(I1236,"45*")&gt;0,COUNTIF(J1236,"*45*")&gt;0,COUNTIF(I1236,"46*")&gt;0,COUNTIF(J1236,"*46*")&gt;0,COUNTIF(I1236,"47*")&gt;0,COUNTIF(J1236,"*47*")&gt;0,COUNTIF(I1236,"10*")&gt;0,COUNTIF(J1236,"*10*")&gt;0,COUNTIF(I1236,"11*")&gt;0,COUNTIF(J1236,"*11*")&gt;0,COUNTIF(I1236,"12*")&gt;0,COUNTIF(J1236,"*12*")&gt;0,COUNTIF(I1236,"13*")&gt;0,COUNTIF(J1236,"*13*")&gt;0,COUNTIF(I1236,"14*")&gt;0,COUNTIF(J1236,"*14*")&gt;0,COUNTIF(I1236,"15*")&gt;0,COUNTIF(J1236,"*15*")&gt;0,COUNTIF(I1236,"16*")&gt;0,COUNTIF(J1236,"*16*")&gt;0,COUNTIF(I1236,"17*")&gt;0,COUNTIF(J1236,"*17*")&gt;0,COUNTIF(I1236,"18*")&gt;0,COUNTIF(J1236,"*18*")&gt;0,COUNTIF(I1236,"19*")&gt;0,COUNTIF(J1236,"*19*")&gt;0,COUNTIF(I1236,"20*")&gt;0,COUNTIF(J1236,"*20*")&gt;0,COUNTIF(I1236,"21*")&gt;0,COUNTIF(J1236,"*21*")&gt;0,COUNTIF(I1236,"22*")&gt;0,COUNTIF(J1236,"*22*")&gt;0,COUNTIF(I1236,"23*")&gt;0,COUNTIF(J1236,"*23*")&gt;0,COUNTIF(I1236,"24*")&gt;0,COUNTIF(J1236,"*24*")&gt;0,COUNTIF(I1236,"25*")&gt;0,COUNTIF(J1236,"*25*")&gt;0,COUNTIF(I1236,"26*")&gt;0,COUNTIF(J1236,"*26*")&gt;0,COUNTIF(I1236,"27*")&gt;0,COUNTIF(J1236,"*27*")&gt;0,COUNTIF(I1236,"28*")&gt;0,COUNTIF(J1236,"*28*")&gt;0,COUNTIF(I1236,"29*")&gt;0,COUNTIF(J1236,"*29*")&gt;0,COUNTIF(I1236,"30*")&gt;0,COUNTIF(J1236,"*30*")&gt;0,COUNTIF(I1236,"31*")&gt;0,COUNTIF(J1236,"*31*")&gt;0,COUNTIF(I1236,"32*")&gt;0,COUNTIF(J1236,"*32*")&gt;0,COUNTIF(I1236,"33*")&gt;0,COUNTIF(J1236,"*33*")&gt;0,COUNTIF(I1236,"41*")&gt;0,COUNTIF(J1236,"*41*")&gt;0,COUNTIF(I1236,"42*")&gt;0,COUNTIF(J1236,"*42*")&gt;0,COUNTIF(I1236,"43*")&gt;0,COUNTIF(J1236,"*43*")&gt;0,COUNTIF(I1236,"49*")&gt;0,COUNTIF(J1236,"*49*")&gt;0,COUNTIF(I1236,"52*")&gt;0,COUNTIF(J1236,"*52*")&gt;0,COUNTIF(I1236,"55*")&gt;0,COUNTIF(J1236,"*55*")&gt;0,COUNTIF(I1236,"56*")&gt;0,COUNTIF(J1236,"*56*")&gt;0,COUNTIF(I1236,"68*")&gt;0,COUNTIF(J1236,"*68*")&gt;0,COUNTIF(I1236,"78*")&gt;0,COUNTIF(J1236,"*78*")&gt;0,COUNTIF(I1236,"81*")&gt;0,COUNTIF(J1236,"*81*")&gt;0,COUNTIF(I1236,"82*")&gt;0,COUNTIF(J1236,"*82*")&gt;0,COUNTIF(I1236,"64*")&gt;0,COUNTIF(J1236,"*64*")&gt;0,COUNTIF(I1236,"65*")&gt;0,COUNTIF(J1236,"*65*")&gt;0,COUNTIF(I1236,"66*")&gt;0,COUNTIF(J1236,"*66*")&gt;0,COUNTIF(I1236,"61*")&gt;0,COUNTIF(J1236,"*61*")&gt;0,COUNTIF(I1236,"62*")&gt;0,COUNTIF(J1236,"*62*")&gt;0,COUNTIF(I1236,"63*")&gt;0,COUNTIF(J1236,"*63*")&gt;0,COUNTIF(I1236,"85*")&gt;0,COUNTIF(J1236,"*85*")&gt;0,COUNTIF(I1236,"86*")&gt;0,COUNTIF(J1236,"*86*")&gt;0),"Да","Нет"))</f>
        <v/>
      </c>
      <c r="M1236" s="13">
        <f>IF(OR(G1236="",L1236&lt;&gt;"Да"),"",IF(G1236&lt;=100,"До 100",IF(G1236&lt;=200,"До 200",IF(G1236&lt;=500,"До 500","Отдельное КП"))))</f>
        <v/>
      </c>
      <c r="N1236" s="15">
        <f>IF(OR(G1236="",L1236&lt;&gt;"Да"),"",IF(G1236&lt;=100,33600,IF(G1236&lt;=200,62400,IF(G1236&lt;=500,144000,""))))</f>
        <v/>
      </c>
      <c r="O1236" s="16">
        <f>IF(G1236="","",IF(G1236&lt;=15,"1–15",IF(G1236&lt;=30,"16–30",IF(G1236&lt;=50,"31–50",IF(G1236&lt;=100,"51–100",IF(G1236&lt;=150,"101–150",IF(G1236&lt;=200,"151–200",IF(G1236&lt;=500,"201–500","500+"))))))))</f>
        <v/>
      </c>
      <c r="P1236" s="16" t="inlineStr">
        <is>
          <t>Нет совпадения в предоставленной выгрузке ССЧР</t>
        </is>
      </c>
      <c r="Q1236" s="16" t="n"/>
      <c r="R1236" s="16">
        <f>HYPERLINK("https://checko.ru/search?query=3801001629","Чекко: проверить")</f>
        <v/>
      </c>
      <c r="S1236" t="n">
        <v>0</v>
      </c>
    </row>
    <row r="1237" ht="15" customHeight="1" s="24">
      <c r="A1237" s="13" t="n">
        <v>5000094641</v>
      </c>
      <c r="B1237" s="13" t="inlineStr">
        <is>
          <t>МКОУ СОШ им.Канкошева с.п.Дейское</t>
        </is>
      </c>
      <c r="C1237" s="13" t="n">
        <v>705002342</v>
      </c>
      <c r="D1237" s="13" t="n"/>
      <c r="E1237" s="13" t="inlineStr">
        <is>
          <t>Не определён</t>
        </is>
      </c>
      <c r="F1237" s="13" t="inlineStr">
        <is>
          <t>705002342</t>
        </is>
      </c>
      <c r="G1237" s="14" t="n"/>
      <c r="H1237" s="14" t="n"/>
      <c r="I1237" s="14" t="n"/>
      <c r="J1237" s="14" t="n"/>
      <c r="K1237" s="13">
        <f>IF(G1237="","",IF(G1237&gt;=22,"Да","Нет"))</f>
        <v/>
      </c>
      <c r="L1237" s="13">
        <f>IF(OR(I1237="",J1237=""),"Не определено",IF(OR(COUNTIF(I1237,"45*")&gt;0,COUNTIF(J1237,"*45*")&gt;0,COUNTIF(I1237,"46*")&gt;0,COUNTIF(J1237,"*46*")&gt;0,COUNTIF(I1237,"47*")&gt;0,COUNTIF(J1237,"*47*")&gt;0,COUNTIF(I1237,"10*")&gt;0,COUNTIF(J1237,"*10*")&gt;0,COUNTIF(I1237,"11*")&gt;0,COUNTIF(J1237,"*11*")&gt;0,COUNTIF(I1237,"12*")&gt;0,COUNTIF(J1237,"*12*")&gt;0,COUNTIF(I1237,"13*")&gt;0,COUNTIF(J1237,"*13*")&gt;0,COUNTIF(I1237,"14*")&gt;0,COUNTIF(J1237,"*14*")&gt;0,COUNTIF(I1237,"15*")&gt;0,COUNTIF(J1237,"*15*")&gt;0,COUNTIF(I1237,"16*")&gt;0,COUNTIF(J1237,"*16*")&gt;0,COUNTIF(I1237,"17*")&gt;0,COUNTIF(J1237,"*17*")&gt;0,COUNTIF(I1237,"18*")&gt;0,COUNTIF(J1237,"*18*")&gt;0,COUNTIF(I1237,"19*")&gt;0,COUNTIF(J1237,"*19*")&gt;0,COUNTIF(I1237,"20*")&gt;0,COUNTIF(J1237,"*20*")&gt;0,COUNTIF(I1237,"21*")&gt;0,COUNTIF(J1237,"*21*")&gt;0,COUNTIF(I1237,"22*")&gt;0,COUNTIF(J1237,"*22*")&gt;0,COUNTIF(I1237,"23*")&gt;0,COUNTIF(J1237,"*23*")&gt;0,COUNTIF(I1237,"24*")&gt;0,COUNTIF(J1237,"*24*")&gt;0,COUNTIF(I1237,"25*")&gt;0,COUNTIF(J1237,"*25*")&gt;0,COUNTIF(I1237,"26*")&gt;0,COUNTIF(J1237,"*26*")&gt;0,COUNTIF(I1237,"27*")&gt;0,COUNTIF(J1237,"*27*")&gt;0,COUNTIF(I1237,"28*")&gt;0,COUNTIF(J1237,"*28*")&gt;0,COUNTIF(I1237,"29*")&gt;0,COUNTIF(J1237,"*29*")&gt;0,COUNTIF(I1237,"30*")&gt;0,COUNTIF(J1237,"*30*")&gt;0,COUNTIF(I1237,"31*")&gt;0,COUNTIF(J1237,"*31*")&gt;0,COUNTIF(I1237,"32*")&gt;0,COUNTIF(J1237,"*32*")&gt;0,COUNTIF(I1237,"33*")&gt;0,COUNTIF(J1237,"*33*")&gt;0,COUNTIF(I1237,"41*")&gt;0,COUNTIF(J1237,"*41*")&gt;0,COUNTIF(I1237,"42*")&gt;0,COUNTIF(J1237,"*42*")&gt;0,COUNTIF(I1237,"43*")&gt;0,COUNTIF(J1237,"*43*")&gt;0,COUNTIF(I1237,"49*")&gt;0,COUNTIF(J1237,"*49*")&gt;0,COUNTIF(I1237,"52*")&gt;0,COUNTIF(J1237,"*52*")&gt;0,COUNTIF(I1237,"55*")&gt;0,COUNTIF(J1237,"*55*")&gt;0,COUNTIF(I1237,"56*")&gt;0,COUNTIF(J1237,"*56*")&gt;0,COUNTIF(I1237,"68*")&gt;0,COUNTIF(J1237,"*68*")&gt;0,COUNTIF(I1237,"78*")&gt;0,COUNTIF(J1237,"*78*")&gt;0,COUNTIF(I1237,"81*")&gt;0,COUNTIF(J1237,"*81*")&gt;0,COUNTIF(I1237,"82*")&gt;0,COUNTIF(J1237,"*82*")&gt;0,COUNTIF(I1237,"64*")&gt;0,COUNTIF(J1237,"*64*")&gt;0,COUNTIF(I1237,"65*")&gt;0,COUNTIF(J1237,"*65*")&gt;0,COUNTIF(I1237,"66*")&gt;0,COUNTIF(J1237,"*66*")&gt;0,COUNTIF(I1237,"61*")&gt;0,COUNTIF(J1237,"*61*")&gt;0,COUNTIF(I1237,"62*")&gt;0,COUNTIF(J1237,"*62*")&gt;0,COUNTIF(I1237,"63*")&gt;0,COUNTIF(J1237,"*63*")&gt;0,COUNTIF(I1237,"85*")&gt;0,COUNTIF(J1237,"*85*")&gt;0,COUNTIF(I1237,"86*")&gt;0,COUNTIF(J1237,"*86*")&gt;0),"Да","Нет"))</f>
        <v/>
      </c>
      <c r="M1237" s="13">
        <f>IF(OR(G1237="",L1237&lt;&gt;"Да"),"",IF(G1237&lt;=100,"До 100",IF(G1237&lt;=200,"До 200",IF(G1237&lt;=500,"До 500","Отдельное КП"))))</f>
        <v/>
      </c>
      <c r="N1237" s="15">
        <f>IF(OR(G1237="",L1237&lt;&gt;"Да"),"",IF(G1237&lt;=100,33600,IF(G1237&lt;=200,62400,IF(G1237&lt;=500,144000,""))))</f>
        <v/>
      </c>
      <c r="O1237" s="16">
        <f>IF(G1237="","",IF(G1237&lt;=15,"1–15",IF(G1237&lt;=30,"16–30",IF(G1237&lt;=50,"31–50",IF(G1237&lt;=100,"51–100",IF(G1237&lt;=150,"101–150",IF(G1237&lt;=200,"151–200",IF(G1237&lt;=500,"201–500","500+"))))))))</f>
        <v/>
      </c>
      <c r="P1237" s="16" t="inlineStr">
        <is>
          <t>Нет совпадения в предоставленной выгрузке ССЧР</t>
        </is>
      </c>
      <c r="Q1237" s="16" t="n"/>
      <c r="R1237" s="16">
        <f>HYPERLINK("https://checko.ru/search?query=3801001629","Чекко: проверить")</f>
        <v/>
      </c>
      <c r="S1237" t="n">
        <v>0</v>
      </c>
    </row>
    <row r="1238" ht="27.75" customHeight="1" s="24">
      <c r="A1238" s="13" t="n">
        <v>5000020489</v>
      </c>
      <c r="B1238" s="13" t="inlineStr">
        <is>
          <t>Министерство энергетики, жилищно-коммунального комплекса и город</t>
        </is>
      </c>
      <c r="C1238" s="13" t="n">
        <v>7325163755</v>
      </c>
      <c r="D1238" s="13" t="inlineStr">
        <is>
          <t>7325163755</t>
        </is>
      </c>
      <c r="E1238" s="13" t="inlineStr">
        <is>
          <t>ЮЛ РФ</t>
        </is>
      </c>
      <c r="F1238" s="13" t="n"/>
      <c r="G1238" s="14" t="n"/>
      <c r="H1238" s="14" t="n"/>
      <c r="I1238" s="14" t="n"/>
      <c r="J1238" s="14" t="n"/>
      <c r="K1238" s="53" t="inlineStr"/>
      <c r="L1238" s="53" t="inlineStr">
        <is>
          <t>Не определено</t>
        </is>
      </c>
      <c r="M1238" s="53" t="inlineStr"/>
      <c r="N1238" s="54" t="inlineStr"/>
      <c r="O1238" s="55" t="inlineStr"/>
      <c r="P1238" s="16" t="inlineStr">
        <is>
          <t>Требует обогащения</t>
        </is>
      </c>
      <c r="Q1238" s="16">
        <f>HYPERLINK("https://pb.nalog.ru/search.html?query=7325163755","ФНС: проверить")</f>
        <v/>
      </c>
      <c r="R1238" s="16">
        <f>HYPERLINK("https://checko.ru/search?query=3801001629","Чекко: проверить")</f>
        <v/>
      </c>
      <c r="S1238" t="n">
        <v>1</v>
      </c>
      <c r="T1238" s="35" t="inlineStr">
        <is>
          <t>4 — Не обогащён</t>
        </is>
      </c>
      <c r="U1238" s="35" t="inlineStr">
        <is>
          <t>Нет ОКВЭД/ССЧР</t>
        </is>
      </c>
      <c r="V1238" s="35" t="inlineStr">
        <is>
          <t>Не определено</t>
        </is>
      </c>
      <c r="W1238" s="35" t="inlineStr"/>
      <c r="X1238" s="35" t="inlineStr"/>
    </row>
    <row r="1239" ht="27.75" customHeight="1" s="24">
      <c r="A1239" s="13" t="n">
        <v>5000106184</v>
      </c>
      <c r="B1239" s="13" t="inlineStr">
        <is>
          <t>ГБУ "Первомайское районное управление ветеринарии"</t>
        </is>
      </c>
      <c r="C1239" s="13" t="n">
        <v>5639000518</v>
      </c>
      <c r="D1239" s="13" t="inlineStr">
        <is>
          <t>5639000518</t>
        </is>
      </c>
      <c r="E1239" s="13" t="inlineStr">
        <is>
          <t>ЮЛ РФ</t>
        </is>
      </c>
      <c r="F1239" s="13" t="n"/>
      <c r="G1239" s="14" t="n"/>
      <c r="H1239" s="14" t="n"/>
      <c r="I1239" s="14" t="n"/>
      <c r="J1239" s="14" t="n"/>
      <c r="K1239" s="53" t="inlineStr"/>
      <c r="L1239" s="53" t="inlineStr">
        <is>
          <t>Не определено</t>
        </is>
      </c>
      <c r="M1239" s="53" t="inlineStr"/>
      <c r="N1239" s="54" t="inlineStr"/>
      <c r="O1239" s="55" t="inlineStr"/>
      <c r="P1239" s="16" t="inlineStr">
        <is>
          <t>Требует обогащения</t>
        </is>
      </c>
      <c r="Q1239" s="16">
        <f>HYPERLINK("https://pb.nalog.ru/search.html?query=5639000518","ФНС: проверить")</f>
        <v/>
      </c>
      <c r="R1239" s="16">
        <f>HYPERLINK("https://checko.ru/search?query=3801001629","Чекко: проверить")</f>
        <v/>
      </c>
      <c r="S1239" t="n">
        <v>1</v>
      </c>
      <c r="T1239" s="35" t="inlineStr">
        <is>
          <t>4 — Не обогащён</t>
        </is>
      </c>
      <c r="U1239" s="35" t="inlineStr">
        <is>
          <t>Нет ОКВЭД/ССЧР</t>
        </is>
      </c>
      <c r="V1239" s="35" t="inlineStr">
        <is>
          <t>Не определено</t>
        </is>
      </c>
      <c r="W1239" s="35" t="inlineStr"/>
      <c r="X1239" s="35" t="inlineStr"/>
    </row>
    <row r="1240" ht="15" customHeight="1" s="24">
      <c r="A1240" s="13" t="n">
        <v>5000062627</v>
      </c>
      <c r="B1240" s="13" t="inlineStr">
        <is>
          <t>ГУЗ Инзенская ЦРБ</t>
        </is>
      </c>
      <c r="C1240" s="13" t="n">
        <v>7306004083</v>
      </c>
      <c r="D1240" s="13" t="inlineStr">
        <is>
          <t>7306004083</t>
        </is>
      </c>
      <c r="E1240" s="13" t="inlineStr">
        <is>
          <t>ЮЛ РФ</t>
        </is>
      </c>
      <c r="F1240" s="13" t="n"/>
      <c r="G1240" s="14" t="n"/>
      <c r="H1240" s="14" t="n"/>
      <c r="I1240" s="14" t="n"/>
      <c r="J1240" s="14" t="n"/>
      <c r="K1240" s="53" t="inlineStr"/>
      <c r="L1240" s="53" t="inlineStr">
        <is>
          <t>Не определено</t>
        </is>
      </c>
      <c r="M1240" s="53" t="inlineStr"/>
      <c r="N1240" s="54" t="inlineStr"/>
      <c r="O1240" s="55" t="inlineStr"/>
      <c r="P1240" s="16" t="inlineStr">
        <is>
          <t>Требует обогащения</t>
        </is>
      </c>
      <c r="Q1240" s="16">
        <f>HYPERLINK("https://pb.nalog.ru/search.html?query=7306004083","ФНС: проверить")</f>
        <v/>
      </c>
      <c r="R1240" s="16">
        <f>HYPERLINK("https://checko.ru/search?query=3801001629","Чекко: проверить")</f>
        <v/>
      </c>
      <c r="S1240" t="n">
        <v>1</v>
      </c>
      <c r="T1240" s="35" t="inlineStr">
        <is>
          <t>4 — Не обогащён</t>
        </is>
      </c>
      <c r="U1240" s="35" t="inlineStr">
        <is>
          <t>Нет ОКВЭД/ССЧР</t>
        </is>
      </c>
      <c r="V1240" s="35" t="inlineStr">
        <is>
          <t>Не определено</t>
        </is>
      </c>
      <c r="W1240" s="35" t="inlineStr"/>
      <c r="X1240" s="35" t="inlineStr"/>
    </row>
    <row r="1241" ht="15" customHeight="1" s="24">
      <c r="A1241" s="13" t="n">
        <v>5000094554</v>
      </c>
      <c r="B1241" s="13" t="inlineStr">
        <is>
          <t>МКОУ "СОШ" с.п. Совхозное</t>
        </is>
      </c>
      <c r="C1241" s="13" t="n">
        <v>702722776</v>
      </c>
      <c r="D1241" s="13" t="n"/>
      <c r="E1241" s="13" t="inlineStr">
        <is>
          <t>Не определён</t>
        </is>
      </c>
      <c r="F1241" s="13" t="inlineStr">
        <is>
          <t>702722776</t>
        </is>
      </c>
      <c r="G1241" s="14" t="n"/>
      <c r="H1241" s="14" t="n"/>
      <c r="I1241" s="14" t="n"/>
      <c r="J1241" s="14" t="n"/>
      <c r="K1241" s="13">
        <f>IF(G1241="","",IF(G1241&gt;=22,"Да","Нет"))</f>
        <v/>
      </c>
      <c r="L1241" s="13">
        <f>IF(OR(I1241="",J1241=""),"Не определено",IF(OR(COUNTIF(I1241,"45*")&gt;0,COUNTIF(J1241,"*45*")&gt;0,COUNTIF(I1241,"46*")&gt;0,COUNTIF(J1241,"*46*")&gt;0,COUNTIF(I1241,"47*")&gt;0,COUNTIF(J1241,"*47*")&gt;0,COUNTIF(I1241,"10*")&gt;0,COUNTIF(J1241,"*10*")&gt;0,COUNTIF(I1241,"11*")&gt;0,COUNTIF(J1241,"*11*")&gt;0,COUNTIF(I1241,"12*")&gt;0,COUNTIF(J1241,"*12*")&gt;0,COUNTIF(I1241,"13*")&gt;0,COUNTIF(J1241,"*13*")&gt;0,COUNTIF(I1241,"14*")&gt;0,COUNTIF(J1241,"*14*")&gt;0,COUNTIF(I1241,"15*")&gt;0,COUNTIF(J1241,"*15*")&gt;0,COUNTIF(I1241,"16*")&gt;0,COUNTIF(J1241,"*16*")&gt;0,COUNTIF(I1241,"17*")&gt;0,COUNTIF(J1241,"*17*")&gt;0,COUNTIF(I1241,"18*")&gt;0,COUNTIF(J1241,"*18*")&gt;0,COUNTIF(I1241,"19*")&gt;0,COUNTIF(J1241,"*19*")&gt;0,COUNTIF(I1241,"20*")&gt;0,COUNTIF(J1241,"*20*")&gt;0,COUNTIF(I1241,"21*")&gt;0,COUNTIF(J1241,"*21*")&gt;0,COUNTIF(I1241,"22*")&gt;0,COUNTIF(J1241,"*22*")&gt;0,COUNTIF(I1241,"23*")&gt;0,COUNTIF(J1241,"*23*")&gt;0,COUNTIF(I1241,"24*")&gt;0,COUNTIF(J1241,"*24*")&gt;0,COUNTIF(I1241,"25*")&gt;0,COUNTIF(J1241,"*25*")&gt;0,COUNTIF(I1241,"26*")&gt;0,COUNTIF(J1241,"*26*")&gt;0,COUNTIF(I1241,"27*")&gt;0,COUNTIF(J1241,"*27*")&gt;0,COUNTIF(I1241,"28*")&gt;0,COUNTIF(J1241,"*28*")&gt;0,COUNTIF(I1241,"29*")&gt;0,COUNTIF(J1241,"*29*")&gt;0,COUNTIF(I1241,"30*")&gt;0,COUNTIF(J1241,"*30*")&gt;0,COUNTIF(I1241,"31*")&gt;0,COUNTIF(J1241,"*31*")&gt;0,COUNTIF(I1241,"32*")&gt;0,COUNTIF(J1241,"*32*")&gt;0,COUNTIF(I1241,"33*")&gt;0,COUNTIF(J1241,"*33*")&gt;0,COUNTIF(I1241,"41*")&gt;0,COUNTIF(J1241,"*41*")&gt;0,COUNTIF(I1241,"42*")&gt;0,COUNTIF(J1241,"*42*")&gt;0,COUNTIF(I1241,"43*")&gt;0,COUNTIF(J1241,"*43*")&gt;0,COUNTIF(I1241,"49*")&gt;0,COUNTIF(J1241,"*49*")&gt;0,COUNTIF(I1241,"52*")&gt;0,COUNTIF(J1241,"*52*")&gt;0,COUNTIF(I1241,"55*")&gt;0,COUNTIF(J1241,"*55*")&gt;0,COUNTIF(I1241,"56*")&gt;0,COUNTIF(J1241,"*56*")&gt;0,COUNTIF(I1241,"68*")&gt;0,COUNTIF(J1241,"*68*")&gt;0,COUNTIF(I1241,"78*")&gt;0,COUNTIF(J1241,"*78*")&gt;0,COUNTIF(I1241,"81*")&gt;0,COUNTIF(J1241,"*81*")&gt;0,COUNTIF(I1241,"82*")&gt;0,COUNTIF(J1241,"*82*")&gt;0,COUNTIF(I1241,"64*")&gt;0,COUNTIF(J1241,"*64*")&gt;0,COUNTIF(I1241,"65*")&gt;0,COUNTIF(J1241,"*65*")&gt;0,COUNTIF(I1241,"66*")&gt;0,COUNTIF(J1241,"*66*")&gt;0,COUNTIF(I1241,"61*")&gt;0,COUNTIF(J1241,"*61*")&gt;0,COUNTIF(I1241,"62*")&gt;0,COUNTIF(J1241,"*62*")&gt;0,COUNTIF(I1241,"63*")&gt;0,COUNTIF(J1241,"*63*")&gt;0,COUNTIF(I1241,"85*")&gt;0,COUNTIF(J1241,"*85*")&gt;0,COUNTIF(I1241,"86*")&gt;0,COUNTIF(J1241,"*86*")&gt;0),"Да","Нет"))</f>
        <v/>
      </c>
      <c r="M1241" s="13">
        <f>IF(OR(G1241="",L1241&lt;&gt;"Да"),"",IF(G1241&lt;=100,"До 100",IF(G1241&lt;=200,"До 200",IF(G1241&lt;=500,"До 500","Отдельное КП"))))</f>
        <v/>
      </c>
      <c r="N1241" s="15">
        <f>IF(OR(G1241="",L1241&lt;&gt;"Да"),"",IF(G1241&lt;=100,33600,IF(G1241&lt;=200,62400,IF(G1241&lt;=500,144000,""))))</f>
        <v/>
      </c>
      <c r="O1241" s="16">
        <f>IF(G1241="","",IF(G1241&lt;=15,"1–15",IF(G1241&lt;=30,"16–30",IF(G1241&lt;=50,"31–50",IF(G1241&lt;=100,"51–100",IF(G1241&lt;=150,"101–150",IF(G1241&lt;=200,"151–200",IF(G1241&lt;=500,"201–500","500+"))))))))</f>
        <v/>
      </c>
      <c r="P1241" s="16" t="inlineStr">
        <is>
          <t>Нет совпадения в предоставленной выгрузке ССЧР</t>
        </is>
      </c>
      <c r="Q1241" s="16" t="n"/>
      <c r="R1241" s="16">
        <f>HYPERLINK("https://checko.ru/search?query=3801001629","Чекко: проверить")</f>
        <v/>
      </c>
      <c r="S1241" t="n">
        <v>0</v>
      </c>
    </row>
    <row r="1242" ht="15" customHeight="1" s="24">
      <c r="A1242" s="13" t="n">
        <v>5000094516</v>
      </c>
      <c r="B1242" s="13" t="inlineStr">
        <is>
          <t>МКОУ "СОШ 3" с.п. Каменномостское</t>
        </is>
      </c>
      <c r="C1242" s="13" t="n">
        <v>702006998</v>
      </c>
      <c r="D1242" s="13" t="n"/>
      <c r="E1242" s="13" t="inlineStr">
        <is>
          <t>Не определён</t>
        </is>
      </c>
      <c r="F1242" s="13" t="inlineStr">
        <is>
          <t>702006998</t>
        </is>
      </c>
      <c r="G1242" s="14" t="n"/>
      <c r="H1242" s="14" t="n"/>
      <c r="I1242" s="14" t="n"/>
      <c r="J1242" s="14" t="n"/>
      <c r="K1242" s="13">
        <f>IF(G1242="","",IF(G1242&gt;=22,"Да","Нет"))</f>
        <v/>
      </c>
      <c r="L1242" s="13">
        <f>IF(OR(I1242="",J1242=""),"Не определено",IF(OR(COUNTIF(I1242,"45*")&gt;0,COUNTIF(J1242,"*45*")&gt;0,COUNTIF(I1242,"46*")&gt;0,COUNTIF(J1242,"*46*")&gt;0,COUNTIF(I1242,"47*")&gt;0,COUNTIF(J1242,"*47*")&gt;0,COUNTIF(I1242,"10*")&gt;0,COUNTIF(J1242,"*10*")&gt;0,COUNTIF(I1242,"11*")&gt;0,COUNTIF(J1242,"*11*")&gt;0,COUNTIF(I1242,"12*")&gt;0,COUNTIF(J1242,"*12*")&gt;0,COUNTIF(I1242,"13*")&gt;0,COUNTIF(J1242,"*13*")&gt;0,COUNTIF(I1242,"14*")&gt;0,COUNTIF(J1242,"*14*")&gt;0,COUNTIF(I1242,"15*")&gt;0,COUNTIF(J1242,"*15*")&gt;0,COUNTIF(I1242,"16*")&gt;0,COUNTIF(J1242,"*16*")&gt;0,COUNTIF(I1242,"17*")&gt;0,COUNTIF(J1242,"*17*")&gt;0,COUNTIF(I1242,"18*")&gt;0,COUNTIF(J1242,"*18*")&gt;0,COUNTIF(I1242,"19*")&gt;0,COUNTIF(J1242,"*19*")&gt;0,COUNTIF(I1242,"20*")&gt;0,COUNTIF(J1242,"*20*")&gt;0,COUNTIF(I1242,"21*")&gt;0,COUNTIF(J1242,"*21*")&gt;0,COUNTIF(I1242,"22*")&gt;0,COUNTIF(J1242,"*22*")&gt;0,COUNTIF(I1242,"23*")&gt;0,COUNTIF(J1242,"*23*")&gt;0,COUNTIF(I1242,"24*")&gt;0,COUNTIF(J1242,"*24*")&gt;0,COUNTIF(I1242,"25*")&gt;0,COUNTIF(J1242,"*25*")&gt;0,COUNTIF(I1242,"26*")&gt;0,COUNTIF(J1242,"*26*")&gt;0,COUNTIF(I1242,"27*")&gt;0,COUNTIF(J1242,"*27*")&gt;0,COUNTIF(I1242,"28*")&gt;0,COUNTIF(J1242,"*28*")&gt;0,COUNTIF(I1242,"29*")&gt;0,COUNTIF(J1242,"*29*")&gt;0,COUNTIF(I1242,"30*")&gt;0,COUNTIF(J1242,"*30*")&gt;0,COUNTIF(I1242,"31*")&gt;0,COUNTIF(J1242,"*31*")&gt;0,COUNTIF(I1242,"32*")&gt;0,COUNTIF(J1242,"*32*")&gt;0,COUNTIF(I1242,"33*")&gt;0,COUNTIF(J1242,"*33*")&gt;0,COUNTIF(I1242,"41*")&gt;0,COUNTIF(J1242,"*41*")&gt;0,COUNTIF(I1242,"42*")&gt;0,COUNTIF(J1242,"*42*")&gt;0,COUNTIF(I1242,"43*")&gt;0,COUNTIF(J1242,"*43*")&gt;0,COUNTIF(I1242,"49*")&gt;0,COUNTIF(J1242,"*49*")&gt;0,COUNTIF(I1242,"52*")&gt;0,COUNTIF(J1242,"*52*")&gt;0,COUNTIF(I1242,"55*")&gt;0,COUNTIF(J1242,"*55*")&gt;0,COUNTIF(I1242,"56*")&gt;0,COUNTIF(J1242,"*56*")&gt;0,COUNTIF(I1242,"68*")&gt;0,COUNTIF(J1242,"*68*")&gt;0,COUNTIF(I1242,"78*")&gt;0,COUNTIF(J1242,"*78*")&gt;0,COUNTIF(I1242,"81*")&gt;0,COUNTIF(J1242,"*81*")&gt;0,COUNTIF(I1242,"82*")&gt;0,COUNTIF(J1242,"*82*")&gt;0,COUNTIF(I1242,"64*")&gt;0,COUNTIF(J1242,"*64*")&gt;0,COUNTIF(I1242,"65*")&gt;0,COUNTIF(J1242,"*65*")&gt;0,COUNTIF(I1242,"66*")&gt;0,COUNTIF(J1242,"*66*")&gt;0,COUNTIF(I1242,"61*")&gt;0,COUNTIF(J1242,"*61*")&gt;0,COUNTIF(I1242,"62*")&gt;0,COUNTIF(J1242,"*62*")&gt;0,COUNTIF(I1242,"63*")&gt;0,COUNTIF(J1242,"*63*")&gt;0,COUNTIF(I1242,"85*")&gt;0,COUNTIF(J1242,"*85*")&gt;0,COUNTIF(I1242,"86*")&gt;0,COUNTIF(J1242,"*86*")&gt;0),"Да","Нет"))</f>
        <v/>
      </c>
      <c r="M1242" s="13">
        <f>IF(OR(G1242="",L1242&lt;&gt;"Да"),"",IF(G1242&lt;=100,"До 100",IF(G1242&lt;=200,"До 200",IF(G1242&lt;=500,"До 500","Отдельное КП"))))</f>
        <v/>
      </c>
      <c r="N1242" s="15">
        <f>IF(OR(G1242="",L1242&lt;&gt;"Да"),"",IF(G1242&lt;=100,33600,IF(G1242&lt;=200,62400,IF(G1242&lt;=500,144000,""))))</f>
        <v/>
      </c>
      <c r="O1242" s="16">
        <f>IF(G1242="","",IF(G1242&lt;=15,"1–15",IF(G1242&lt;=30,"16–30",IF(G1242&lt;=50,"31–50",IF(G1242&lt;=100,"51–100",IF(G1242&lt;=150,"101–150",IF(G1242&lt;=200,"151–200",IF(G1242&lt;=500,"201–500","500+"))))))))</f>
        <v/>
      </c>
      <c r="P1242" s="16" t="inlineStr">
        <is>
          <t>Нет совпадения в предоставленной выгрузке ССЧР</t>
        </is>
      </c>
      <c r="Q1242" s="16" t="n"/>
      <c r="R1242" s="16">
        <f>HYPERLINK("https://checko.ru/search?query=3801001629","Чекко: проверить")</f>
        <v/>
      </c>
      <c r="S1242" t="n">
        <v>0</v>
      </c>
    </row>
    <row r="1243" ht="15" customHeight="1" s="24">
      <c r="A1243" s="13" t="n">
        <v>5000094513</v>
      </c>
      <c r="B1243" s="13" t="inlineStr">
        <is>
          <t>МКОУ СОШ с.п. Хабаз</t>
        </is>
      </c>
      <c r="C1243" s="13" t="n">
        <v>702006966</v>
      </c>
      <c r="D1243" s="13" t="n"/>
      <c r="E1243" s="13" t="inlineStr">
        <is>
          <t>Не определён</t>
        </is>
      </c>
      <c r="F1243" s="13" t="inlineStr">
        <is>
          <t>702006966</t>
        </is>
      </c>
      <c r="G1243" s="14" t="n"/>
      <c r="H1243" s="14" t="n"/>
      <c r="I1243" s="14" t="n"/>
      <c r="J1243" s="14" t="n"/>
      <c r="K1243" s="13">
        <f>IF(G1243="","",IF(G1243&gt;=22,"Да","Нет"))</f>
        <v/>
      </c>
      <c r="L1243" s="13">
        <f>IF(OR(I1243="",J1243=""),"Не определено",IF(OR(COUNTIF(I1243,"45*")&gt;0,COUNTIF(J1243,"*45*")&gt;0,COUNTIF(I1243,"46*")&gt;0,COUNTIF(J1243,"*46*")&gt;0,COUNTIF(I1243,"47*")&gt;0,COUNTIF(J1243,"*47*")&gt;0,COUNTIF(I1243,"10*")&gt;0,COUNTIF(J1243,"*10*")&gt;0,COUNTIF(I1243,"11*")&gt;0,COUNTIF(J1243,"*11*")&gt;0,COUNTIF(I1243,"12*")&gt;0,COUNTIF(J1243,"*12*")&gt;0,COUNTIF(I1243,"13*")&gt;0,COUNTIF(J1243,"*13*")&gt;0,COUNTIF(I1243,"14*")&gt;0,COUNTIF(J1243,"*14*")&gt;0,COUNTIF(I1243,"15*")&gt;0,COUNTIF(J1243,"*15*")&gt;0,COUNTIF(I1243,"16*")&gt;0,COUNTIF(J1243,"*16*")&gt;0,COUNTIF(I1243,"17*")&gt;0,COUNTIF(J1243,"*17*")&gt;0,COUNTIF(I1243,"18*")&gt;0,COUNTIF(J1243,"*18*")&gt;0,COUNTIF(I1243,"19*")&gt;0,COUNTIF(J1243,"*19*")&gt;0,COUNTIF(I1243,"20*")&gt;0,COUNTIF(J1243,"*20*")&gt;0,COUNTIF(I1243,"21*")&gt;0,COUNTIF(J1243,"*21*")&gt;0,COUNTIF(I1243,"22*")&gt;0,COUNTIF(J1243,"*22*")&gt;0,COUNTIF(I1243,"23*")&gt;0,COUNTIF(J1243,"*23*")&gt;0,COUNTIF(I1243,"24*")&gt;0,COUNTIF(J1243,"*24*")&gt;0,COUNTIF(I1243,"25*")&gt;0,COUNTIF(J1243,"*25*")&gt;0,COUNTIF(I1243,"26*")&gt;0,COUNTIF(J1243,"*26*")&gt;0,COUNTIF(I1243,"27*")&gt;0,COUNTIF(J1243,"*27*")&gt;0,COUNTIF(I1243,"28*")&gt;0,COUNTIF(J1243,"*28*")&gt;0,COUNTIF(I1243,"29*")&gt;0,COUNTIF(J1243,"*29*")&gt;0,COUNTIF(I1243,"30*")&gt;0,COUNTIF(J1243,"*30*")&gt;0,COUNTIF(I1243,"31*")&gt;0,COUNTIF(J1243,"*31*")&gt;0,COUNTIF(I1243,"32*")&gt;0,COUNTIF(J1243,"*32*")&gt;0,COUNTIF(I1243,"33*")&gt;0,COUNTIF(J1243,"*33*")&gt;0,COUNTIF(I1243,"41*")&gt;0,COUNTIF(J1243,"*41*")&gt;0,COUNTIF(I1243,"42*")&gt;0,COUNTIF(J1243,"*42*")&gt;0,COUNTIF(I1243,"43*")&gt;0,COUNTIF(J1243,"*43*")&gt;0,COUNTIF(I1243,"49*")&gt;0,COUNTIF(J1243,"*49*")&gt;0,COUNTIF(I1243,"52*")&gt;0,COUNTIF(J1243,"*52*")&gt;0,COUNTIF(I1243,"55*")&gt;0,COUNTIF(J1243,"*55*")&gt;0,COUNTIF(I1243,"56*")&gt;0,COUNTIF(J1243,"*56*")&gt;0,COUNTIF(I1243,"68*")&gt;0,COUNTIF(J1243,"*68*")&gt;0,COUNTIF(I1243,"78*")&gt;0,COUNTIF(J1243,"*78*")&gt;0,COUNTIF(I1243,"81*")&gt;0,COUNTIF(J1243,"*81*")&gt;0,COUNTIF(I1243,"82*")&gt;0,COUNTIF(J1243,"*82*")&gt;0,COUNTIF(I1243,"64*")&gt;0,COUNTIF(J1243,"*64*")&gt;0,COUNTIF(I1243,"65*")&gt;0,COUNTIF(J1243,"*65*")&gt;0,COUNTIF(I1243,"66*")&gt;0,COUNTIF(J1243,"*66*")&gt;0,COUNTIF(I1243,"61*")&gt;0,COUNTIF(J1243,"*61*")&gt;0,COUNTIF(I1243,"62*")&gt;0,COUNTIF(J1243,"*62*")&gt;0,COUNTIF(I1243,"63*")&gt;0,COUNTIF(J1243,"*63*")&gt;0,COUNTIF(I1243,"85*")&gt;0,COUNTIF(J1243,"*85*")&gt;0,COUNTIF(I1243,"86*")&gt;0,COUNTIF(J1243,"*86*")&gt;0),"Да","Нет"))</f>
        <v/>
      </c>
      <c r="M1243" s="13">
        <f>IF(OR(G1243="",L1243&lt;&gt;"Да"),"",IF(G1243&lt;=100,"До 100",IF(G1243&lt;=200,"До 200",IF(G1243&lt;=500,"До 500","Отдельное КП"))))</f>
        <v/>
      </c>
      <c r="N1243" s="15">
        <f>IF(OR(G1243="",L1243&lt;&gt;"Да"),"",IF(G1243&lt;=100,33600,IF(G1243&lt;=200,62400,IF(G1243&lt;=500,144000,""))))</f>
        <v/>
      </c>
      <c r="O1243" s="16">
        <f>IF(G1243="","",IF(G1243&lt;=15,"1–15",IF(G1243&lt;=30,"16–30",IF(G1243&lt;=50,"31–50",IF(G1243&lt;=100,"51–100",IF(G1243&lt;=150,"101–150",IF(G1243&lt;=200,"151–200",IF(G1243&lt;=500,"201–500","500+"))))))))</f>
        <v/>
      </c>
      <c r="P1243" s="16" t="inlineStr">
        <is>
          <t>Нет совпадения в предоставленной выгрузке ССЧР</t>
        </is>
      </c>
      <c r="Q1243" s="16" t="n"/>
      <c r="R1243" s="16">
        <f>HYPERLINK("https://checko.ru/search?query=3801001629","Чекко: проверить")</f>
        <v/>
      </c>
      <c r="S1243" t="n">
        <v>0</v>
      </c>
    </row>
    <row r="1244" ht="27.75" customHeight="1" s="24">
      <c r="A1244" s="13" t="n">
        <v>5000001346</v>
      </c>
      <c r="B1244" s="13" t="inlineStr">
        <is>
          <t>Ангарский техникум общественного питания и торговли</t>
        </is>
      </c>
      <c r="C1244" s="13" t="n">
        <v>3801029582</v>
      </c>
      <c r="D1244" s="13" t="inlineStr">
        <is>
          <t>3801029582</t>
        </is>
      </c>
      <c r="E1244" s="13" t="inlineStr">
        <is>
          <t>ЮЛ РФ</t>
        </is>
      </c>
      <c r="F1244" s="13" t="n"/>
      <c r="G1244" s="14" t="n"/>
      <c r="H1244" s="14" t="n"/>
      <c r="I1244" s="14" t="n"/>
      <c r="J1244" s="14" t="n"/>
      <c r="K1244" s="53" t="inlineStr"/>
      <c r="L1244" s="53" t="inlineStr">
        <is>
          <t>Не определено</t>
        </is>
      </c>
      <c r="M1244" s="53" t="inlineStr"/>
      <c r="N1244" s="54" t="inlineStr"/>
      <c r="O1244" s="55" t="inlineStr"/>
      <c r="P1244" s="16" t="inlineStr">
        <is>
          <t>Требует обогащения</t>
        </is>
      </c>
      <c r="Q1244" s="16">
        <f>HYPERLINK("https://pb.nalog.ru/search.html?query=3801029582","ФНС: проверить")</f>
        <v/>
      </c>
      <c r="R1244" s="16">
        <f>HYPERLINK("https://checko.ru/search?query=3801001629","Чекко: проверить")</f>
        <v/>
      </c>
      <c r="S1244" t="n">
        <v>1</v>
      </c>
      <c r="T1244" s="35" t="inlineStr">
        <is>
          <t>4 — Не обогащён</t>
        </is>
      </c>
      <c r="U1244" s="35" t="inlineStr">
        <is>
          <t>Нет ОКВЭД/ССЧР</t>
        </is>
      </c>
      <c r="V1244" s="35" t="inlineStr">
        <is>
          <t>Не определено</t>
        </is>
      </c>
      <c r="W1244" s="35" t="inlineStr"/>
      <c r="X1244" s="35" t="inlineStr"/>
    </row>
    <row r="1245" ht="15" customHeight="1" s="24">
      <c r="A1245" s="13" t="n">
        <v>5000095040</v>
      </c>
      <c r="B1245" s="13" t="inlineStr">
        <is>
          <t>МКОУ "СОШ № 7" г.о. Нальчик</t>
        </is>
      </c>
      <c r="C1245" s="13" t="n">
        <v>711042174</v>
      </c>
      <c r="D1245" s="13" t="n"/>
      <c r="E1245" s="13" t="inlineStr">
        <is>
          <t>Не определён</t>
        </is>
      </c>
      <c r="F1245" s="13" t="inlineStr">
        <is>
          <t>711042174</t>
        </is>
      </c>
      <c r="G1245" s="14" t="n"/>
      <c r="H1245" s="14" t="n"/>
      <c r="I1245" s="14" t="n"/>
      <c r="J1245" s="14" t="n"/>
      <c r="K1245" s="13">
        <f>IF(G1245="","",IF(G1245&gt;=22,"Да","Нет"))</f>
        <v/>
      </c>
      <c r="L1245" s="13">
        <f>IF(OR(I1245="",J1245=""),"Не определено",IF(OR(COUNTIF(I1245,"45*")&gt;0,COUNTIF(J1245,"*45*")&gt;0,COUNTIF(I1245,"46*")&gt;0,COUNTIF(J1245,"*46*")&gt;0,COUNTIF(I1245,"47*")&gt;0,COUNTIF(J1245,"*47*")&gt;0,COUNTIF(I1245,"10*")&gt;0,COUNTIF(J1245,"*10*")&gt;0,COUNTIF(I1245,"11*")&gt;0,COUNTIF(J1245,"*11*")&gt;0,COUNTIF(I1245,"12*")&gt;0,COUNTIF(J1245,"*12*")&gt;0,COUNTIF(I1245,"13*")&gt;0,COUNTIF(J1245,"*13*")&gt;0,COUNTIF(I1245,"14*")&gt;0,COUNTIF(J1245,"*14*")&gt;0,COUNTIF(I1245,"15*")&gt;0,COUNTIF(J1245,"*15*")&gt;0,COUNTIF(I1245,"16*")&gt;0,COUNTIF(J1245,"*16*")&gt;0,COUNTIF(I1245,"17*")&gt;0,COUNTIF(J1245,"*17*")&gt;0,COUNTIF(I1245,"18*")&gt;0,COUNTIF(J1245,"*18*")&gt;0,COUNTIF(I1245,"19*")&gt;0,COUNTIF(J1245,"*19*")&gt;0,COUNTIF(I1245,"20*")&gt;0,COUNTIF(J1245,"*20*")&gt;0,COUNTIF(I1245,"21*")&gt;0,COUNTIF(J1245,"*21*")&gt;0,COUNTIF(I1245,"22*")&gt;0,COUNTIF(J1245,"*22*")&gt;0,COUNTIF(I1245,"23*")&gt;0,COUNTIF(J1245,"*23*")&gt;0,COUNTIF(I1245,"24*")&gt;0,COUNTIF(J1245,"*24*")&gt;0,COUNTIF(I1245,"25*")&gt;0,COUNTIF(J1245,"*25*")&gt;0,COUNTIF(I1245,"26*")&gt;0,COUNTIF(J1245,"*26*")&gt;0,COUNTIF(I1245,"27*")&gt;0,COUNTIF(J1245,"*27*")&gt;0,COUNTIF(I1245,"28*")&gt;0,COUNTIF(J1245,"*28*")&gt;0,COUNTIF(I1245,"29*")&gt;0,COUNTIF(J1245,"*29*")&gt;0,COUNTIF(I1245,"30*")&gt;0,COUNTIF(J1245,"*30*")&gt;0,COUNTIF(I1245,"31*")&gt;0,COUNTIF(J1245,"*31*")&gt;0,COUNTIF(I1245,"32*")&gt;0,COUNTIF(J1245,"*32*")&gt;0,COUNTIF(I1245,"33*")&gt;0,COUNTIF(J1245,"*33*")&gt;0,COUNTIF(I1245,"41*")&gt;0,COUNTIF(J1245,"*41*")&gt;0,COUNTIF(I1245,"42*")&gt;0,COUNTIF(J1245,"*42*")&gt;0,COUNTIF(I1245,"43*")&gt;0,COUNTIF(J1245,"*43*")&gt;0,COUNTIF(I1245,"49*")&gt;0,COUNTIF(J1245,"*49*")&gt;0,COUNTIF(I1245,"52*")&gt;0,COUNTIF(J1245,"*52*")&gt;0,COUNTIF(I1245,"55*")&gt;0,COUNTIF(J1245,"*55*")&gt;0,COUNTIF(I1245,"56*")&gt;0,COUNTIF(J1245,"*56*")&gt;0,COUNTIF(I1245,"68*")&gt;0,COUNTIF(J1245,"*68*")&gt;0,COUNTIF(I1245,"78*")&gt;0,COUNTIF(J1245,"*78*")&gt;0,COUNTIF(I1245,"81*")&gt;0,COUNTIF(J1245,"*81*")&gt;0,COUNTIF(I1245,"82*")&gt;0,COUNTIF(J1245,"*82*")&gt;0,COUNTIF(I1245,"64*")&gt;0,COUNTIF(J1245,"*64*")&gt;0,COUNTIF(I1245,"65*")&gt;0,COUNTIF(J1245,"*65*")&gt;0,COUNTIF(I1245,"66*")&gt;0,COUNTIF(J1245,"*66*")&gt;0,COUNTIF(I1245,"61*")&gt;0,COUNTIF(J1245,"*61*")&gt;0,COUNTIF(I1245,"62*")&gt;0,COUNTIF(J1245,"*62*")&gt;0,COUNTIF(I1245,"63*")&gt;0,COUNTIF(J1245,"*63*")&gt;0,COUNTIF(I1245,"85*")&gt;0,COUNTIF(J1245,"*85*")&gt;0,COUNTIF(I1245,"86*")&gt;0,COUNTIF(J1245,"*86*")&gt;0),"Да","Нет"))</f>
        <v/>
      </c>
      <c r="M1245" s="13">
        <f>IF(OR(G1245="",L1245&lt;&gt;"Да"),"",IF(G1245&lt;=100,"До 100",IF(G1245&lt;=200,"До 200",IF(G1245&lt;=500,"До 500","Отдельное КП"))))</f>
        <v/>
      </c>
      <c r="N1245" s="15">
        <f>IF(OR(G1245="",L1245&lt;&gt;"Да"),"",IF(G1245&lt;=100,33600,IF(G1245&lt;=200,62400,IF(G1245&lt;=500,144000,""))))</f>
        <v/>
      </c>
      <c r="O1245" s="16">
        <f>IF(G1245="","",IF(G1245&lt;=15,"1–15",IF(G1245&lt;=30,"16–30",IF(G1245&lt;=50,"31–50",IF(G1245&lt;=100,"51–100",IF(G1245&lt;=150,"101–150",IF(G1245&lt;=200,"151–200",IF(G1245&lt;=500,"201–500","500+"))))))))</f>
        <v/>
      </c>
      <c r="P1245" s="16" t="inlineStr">
        <is>
          <t>Нет совпадения в предоставленной выгрузке ССЧР</t>
        </is>
      </c>
      <c r="Q1245" s="16" t="n"/>
      <c r="R1245" s="16">
        <f>HYPERLINK("https://checko.ru/search?query=3801001629","Чекко: проверить")</f>
        <v/>
      </c>
      <c r="S1245" t="n">
        <v>0</v>
      </c>
    </row>
    <row r="1246" ht="15" customHeight="1" s="24">
      <c r="A1246" s="13" t="n">
        <v>5000001347</v>
      </c>
      <c r="B1246" s="13" t="inlineStr">
        <is>
          <t>Ангарский техникум строительных технологий</t>
        </is>
      </c>
      <c r="C1246" s="13" t="n">
        <v>3801029590</v>
      </c>
      <c r="D1246" s="13" t="inlineStr">
        <is>
          <t>3801029590</t>
        </is>
      </c>
      <c r="E1246" s="13" t="inlineStr">
        <is>
          <t>ЮЛ РФ</t>
        </is>
      </c>
      <c r="F1246" s="13" t="n"/>
      <c r="G1246" s="14" t="n"/>
      <c r="H1246" s="14" t="n"/>
      <c r="I1246" s="14" t="n"/>
      <c r="J1246" s="14" t="n"/>
      <c r="K1246" s="53" t="inlineStr"/>
      <c r="L1246" s="53" t="inlineStr">
        <is>
          <t>Не определено</t>
        </is>
      </c>
      <c r="M1246" s="53" t="inlineStr"/>
      <c r="N1246" s="54" t="inlineStr"/>
      <c r="O1246" s="55" t="inlineStr"/>
      <c r="P1246" s="16" t="inlineStr">
        <is>
          <t>Требует обогащения</t>
        </is>
      </c>
      <c r="Q1246" s="16">
        <f>HYPERLINK("https://pb.nalog.ru/search.html?query=3801029590","ФНС: проверить")</f>
        <v/>
      </c>
      <c r="R1246" s="16">
        <f>HYPERLINK("https://checko.ru/search?query=3801001629","Чекко: проверить")</f>
        <v/>
      </c>
      <c r="S1246" t="n">
        <v>1</v>
      </c>
      <c r="T1246" s="35" t="inlineStr">
        <is>
          <t>4 — Не обогащён</t>
        </is>
      </c>
      <c r="U1246" s="35" t="inlineStr">
        <is>
          <t>Нет ОКВЭД/ССЧР</t>
        </is>
      </c>
      <c r="V1246" s="35" t="inlineStr">
        <is>
          <t>Не определено</t>
        </is>
      </c>
      <c r="W1246" s="35" t="inlineStr"/>
      <c r="X1246" s="35" t="inlineStr"/>
    </row>
    <row r="1247" ht="41.25" customHeight="1" s="24">
      <c r="A1247" s="13" t="n">
        <v>5000094824</v>
      </c>
      <c r="B1247" s="13" t="inlineStr">
        <is>
          <t>Муниципальное учреждение "Администрация Лескенского муниципального района кабардино-Балкаоской Республики"</t>
        </is>
      </c>
      <c r="C1247" s="13" t="n">
        <v>707012829</v>
      </c>
      <c r="D1247" s="13" t="n"/>
      <c r="E1247" s="13" t="inlineStr">
        <is>
          <t>Не определён</t>
        </is>
      </c>
      <c r="F1247" s="13" t="inlineStr">
        <is>
          <t>707012829</t>
        </is>
      </c>
      <c r="G1247" s="14" t="n"/>
      <c r="H1247" s="14" t="n"/>
      <c r="I1247" s="14" t="n"/>
      <c r="J1247" s="14" t="n"/>
      <c r="K1247" s="13">
        <f>IF(G1247="","",IF(G1247&gt;=22,"Да","Нет"))</f>
        <v/>
      </c>
      <c r="L1247" s="13">
        <f>IF(OR(I1247="",J1247=""),"Не определено",IF(OR(COUNTIF(I1247,"45*")&gt;0,COUNTIF(J1247,"*45*")&gt;0,COUNTIF(I1247,"46*")&gt;0,COUNTIF(J1247,"*46*")&gt;0,COUNTIF(I1247,"47*")&gt;0,COUNTIF(J1247,"*47*")&gt;0,COUNTIF(I1247,"10*")&gt;0,COUNTIF(J1247,"*10*")&gt;0,COUNTIF(I1247,"11*")&gt;0,COUNTIF(J1247,"*11*")&gt;0,COUNTIF(I1247,"12*")&gt;0,COUNTIF(J1247,"*12*")&gt;0,COUNTIF(I1247,"13*")&gt;0,COUNTIF(J1247,"*13*")&gt;0,COUNTIF(I1247,"14*")&gt;0,COUNTIF(J1247,"*14*")&gt;0,COUNTIF(I1247,"15*")&gt;0,COUNTIF(J1247,"*15*")&gt;0,COUNTIF(I1247,"16*")&gt;0,COUNTIF(J1247,"*16*")&gt;0,COUNTIF(I1247,"17*")&gt;0,COUNTIF(J1247,"*17*")&gt;0,COUNTIF(I1247,"18*")&gt;0,COUNTIF(J1247,"*18*")&gt;0,COUNTIF(I1247,"19*")&gt;0,COUNTIF(J1247,"*19*")&gt;0,COUNTIF(I1247,"20*")&gt;0,COUNTIF(J1247,"*20*")&gt;0,COUNTIF(I1247,"21*")&gt;0,COUNTIF(J1247,"*21*")&gt;0,COUNTIF(I1247,"22*")&gt;0,COUNTIF(J1247,"*22*")&gt;0,COUNTIF(I1247,"23*")&gt;0,COUNTIF(J1247,"*23*")&gt;0,COUNTIF(I1247,"24*")&gt;0,COUNTIF(J1247,"*24*")&gt;0,COUNTIF(I1247,"25*")&gt;0,COUNTIF(J1247,"*25*")&gt;0,COUNTIF(I1247,"26*")&gt;0,COUNTIF(J1247,"*26*")&gt;0,COUNTIF(I1247,"27*")&gt;0,COUNTIF(J1247,"*27*")&gt;0,COUNTIF(I1247,"28*")&gt;0,COUNTIF(J1247,"*28*")&gt;0,COUNTIF(I1247,"29*")&gt;0,COUNTIF(J1247,"*29*")&gt;0,COUNTIF(I1247,"30*")&gt;0,COUNTIF(J1247,"*30*")&gt;0,COUNTIF(I1247,"31*")&gt;0,COUNTIF(J1247,"*31*")&gt;0,COUNTIF(I1247,"32*")&gt;0,COUNTIF(J1247,"*32*")&gt;0,COUNTIF(I1247,"33*")&gt;0,COUNTIF(J1247,"*33*")&gt;0,COUNTIF(I1247,"41*")&gt;0,COUNTIF(J1247,"*41*")&gt;0,COUNTIF(I1247,"42*")&gt;0,COUNTIF(J1247,"*42*")&gt;0,COUNTIF(I1247,"43*")&gt;0,COUNTIF(J1247,"*43*")&gt;0,COUNTIF(I1247,"49*")&gt;0,COUNTIF(J1247,"*49*")&gt;0,COUNTIF(I1247,"52*")&gt;0,COUNTIF(J1247,"*52*")&gt;0,COUNTIF(I1247,"55*")&gt;0,COUNTIF(J1247,"*55*")&gt;0,COUNTIF(I1247,"56*")&gt;0,COUNTIF(J1247,"*56*")&gt;0,COUNTIF(I1247,"68*")&gt;0,COUNTIF(J1247,"*68*")&gt;0,COUNTIF(I1247,"78*")&gt;0,COUNTIF(J1247,"*78*")&gt;0,COUNTIF(I1247,"81*")&gt;0,COUNTIF(J1247,"*81*")&gt;0,COUNTIF(I1247,"82*")&gt;0,COUNTIF(J1247,"*82*")&gt;0,COUNTIF(I1247,"64*")&gt;0,COUNTIF(J1247,"*64*")&gt;0,COUNTIF(I1247,"65*")&gt;0,COUNTIF(J1247,"*65*")&gt;0,COUNTIF(I1247,"66*")&gt;0,COUNTIF(J1247,"*66*")&gt;0,COUNTIF(I1247,"61*")&gt;0,COUNTIF(J1247,"*61*")&gt;0,COUNTIF(I1247,"62*")&gt;0,COUNTIF(J1247,"*62*")&gt;0,COUNTIF(I1247,"63*")&gt;0,COUNTIF(J1247,"*63*")&gt;0,COUNTIF(I1247,"85*")&gt;0,COUNTIF(J1247,"*85*")&gt;0,COUNTIF(I1247,"86*")&gt;0,COUNTIF(J1247,"*86*")&gt;0),"Да","Нет"))</f>
        <v/>
      </c>
      <c r="M1247" s="13">
        <f>IF(OR(G1247="",L1247&lt;&gt;"Да"),"",IF(G1247&lt;=100,"До 100",IF(G1247&lt;=200,"До 200",IF(G1247&lt;=500,"До 500","Отдельное КП"))))</f>
        <v/>
      </c>
      <c r="N1247" s="15">
        <f>IF(OR(G1247="",L1247&lt;&gt;"Да"),"",IF(G1247&lt;=100,33600,IF(G1247&lt;=200,62400,IF(G1247&lt;=500,144000,""))))</f>
        <v/>
      </c>
      <c r="O1247" s="16">
        <f>IF(G1247="","",IF(G1247&lt;=15,"1–15",IF(G1247&lt;=30,"16–30",IF(G1247&lt;=50,"31–50",IF(G1247&lt;=100,"51–100",IF(G1247&lt;=150,"101–150",IF(G1247&lt;=200,"151–200",IF(G1247&lt;=500,"201–500","500+"))))))))</f>
        <v/>
      </c>
      <c r="P1247" s="16" t="inlineStr">
        <is>
          <t>Нет совпадения в предоставленной выгрузке ССЧР</t>
        </is>
      </c>
      <c r="Q1247" s="16" t="n"/>
      <c r="R1247" s="16">
        <f>HYPERLINK("https://checko.ru/search?query=3801001629","Чекко: проверить")</f>
        <v/>
      </c>
      <c r="S1247" t="n">
        <v>0</v>
      </c>
    </row>
    <row r="1248" ht="15" customHeight="1" s="24">
      <c r="A1248" s="13" t="n">
        <v>5000001905</v>
      </c>
      <c r="B1248" s="13" t="inlineStr">
        <is>
          <t>Иркутский колледж экономики сервиса и туризма</t>
        </is>
      </c>
      <c r="C1248" s="13" t="n">
        <v>3812120875</v>
      </c>
      <c r="D1248" s="13" t="inlineStr">
        <is>
          <t>3812120875</t>
        </is>
      </c>
      <c r="E1248" s="13" t="inlineStr">
        <is>
          <t>ЮЛ РФ</t>
        </is>
      </c>
      <c r="F1248" s="13" t="n"/>
      <c r="G1248" s="14" t="n"/>
      <c r="H1248" s="14" t="n"/>
      <c r="I1248" s="14" t="n"/>
      <c r="J1248" s="14" t="n"/>
      <c r="K1248" s="53" t="inlineStr"/>
      <c r="L1248" s="53" t="inlineStr">
        <is>
          <t>Не определено</t>
        </is>
      </c>
      <c r="M1248" s="53" t="inlineStr"/>
      <c r="N1248" s="54" t="inlineStr"/>
      <c r="O1248" s="55" t="inlineStr"/>
      <c r="P1248" s="16" t="inlineStr">
        <is>
          <t>Требует обогащения</t>
        </is>
      </c>
      <c r="Q1248" s="16">
        <f>HYPERLINK("https://pb.nalog.ru/search.html?query=3812120875","ФНС: проверить")</f>
        <v/>
      </c>
      <c r="R1248" s="16">
        <f>HYPERLINK("https://checko.ru/search?query=3801001629","Чекко: проверить")</f>
        <v/>
      </c>
      <c r="S1248" t="n">
        <v>1</v>
      </c>
      <c r="T1248" s="35" t="inlineStr">
        <is>
          <t>4 — Не обогащён</t>
        </is>
      </c>
      <c r="U1248" s="35" t="inlineStr">
        <is>
          <t>Нет ОКВЭД/ССЧР</t>
        </is>
      </c>
      <c r="V1248" s="35" t="inlineStr">
        <is>
          <t>Не определено</t>
        </is>
      </c>
      <c r="W1248" s="35" t="inlineStr"/>
      <c r="X1248" s="35" t="inlineStr"/>
    </row>
    <row r="1249" ht="27.75" customHeight="1" s="24">
      <c r="A1249" s="13" t="n">
        <v>5000101676</v>
      </c>
      <c r="B1249" s="13" t="inlineStr">
        <is>
          <t>ГОСУДАРСТВЕННОЕ КАЗЕННОЕ УЧРЕЖДЕНИЕ ИРКУТСКОЙ ОБЛАСТИ "НУКУТСКОЕ ЛЕСНИЧЕСТВО"</t>
        </is>
      </c>
      <c r="C1249" s="13" t="n">
        <v>3801159775</v>
      </c>
      <c r="D1249" s="13" t="inlineStr">
        <is>
          <t>3801159775</t>
        </is>
      </c>
      <c r="E1249" s="13" t="inlineStr">
        <is>
          <t>ЮЛ РФ</t>
        </is>
      </c>
      <c r="F1249" s="13" t="n"/>
      <c r="G1249" s="14" t="n"/>
      <c r="H1249" s="14" t="n"/>
      <c r="I1249" s="14" t="n"/>
      <c r="J1249" s="14" t="n"/>
      <c r="K1249" s="53" t="inlineStr"/>
      <c r="L1249" s="53" t="inlineStr">
        <is>
          <t>Не определено</t>
        </is>
      </c>
      <c r="M1249" s="53" t="inlineStr"/>
      <c r="N1249" s="54" t="inlineStr"/>
      <c r="O1249" s="55" t="inlineStr"/>
      <c r="P1249" s="16" t="inlineStr">
        <is>
          <t>Требует обогащения</t>
        </is>
      </c>
      <c r="Q1249" s="16">
        <f>HYPERLINK("https://pb.nalog.ru/search.html?query=3801159775","ФНС: проверить")</f>
        <v/>
      </c>
      <c r="R1249" s="16">
        <f>HYPERLINK("https://checko.ru/search?query=3801001629","Чекко: проверить")</f>
        <v/>
      </c>
      <c r="S1249" t="n">
        <v>1</v>
      </c>
      <c r="T1249" s="35" t="inlineStr">
        <is>
          <t>4 — Не обогащён</t>
        </is>
      </c>
      <c r="U1249" s="35" t="inlineStr">
        <is>
          <t>Нет ОКВЭД/ССЧР</t>
        </is>
      </c>
      <c r="V1249" s="35" t="inlineStr">
        <is>
          <t>Не определено</t>
        </is>
      </c>
      <c r="W1249" s="35" t="inlineStr"/>
      <c r="X1249" s="35" t="inlineStr"/>
    </row>
    <row r="1250" ht="68.25" customHeight="1" s="24">
      <c r="A1250" s="13" t="n">
        <v>5000106151</v>
      </c>
      <c r="B1250" s="13" t="inlineStr">
        <is>
          <t>МУНИЦИПАЛЬНОЕ БЮДЖЕТНОЕ ОБЩЕОБРАЗОВАТЕЛЬНОЕ УЧРЕЖДЕНИЕ "ТРОИЦКАЯ СРЕДНЯЯ ОБЩЕОБРАЗОВАТЕЛЬНАЯ ШКОЛА" СОРОЧИНСКОГО ГОРОДСКОГО ОКРУГА ОРЕНБУРГСКОЙ ОБЛАСТ</t>
        </is>
      </c>
      <c r="C1250" s="13" t="n">
        <v>5647005291</v>
      </c>
      <c r="D1250" s="13" t="inlineStr">
        <is>
          <t>5647005291</t>
        </is>
      </c>
      <c r="E1250" s="13" t="inlineStr">
        <is>
          <t>ЮЛ РФ</t>
        </is>
      </c>
      <c r="F1250" s="13" t="n"/>
      <c r="G1250" s="14" t="n"/>
      <c r="H1250" s="14" t="n"/>
      <c r="I1250" s="14" t="n"/>
      <c r="J1250" s="14" t="n"/>
      <c r="K1250" s="53" t="inlineStr"/>
      <c r="L1250" s="53" t="inlineStr">
        <is>
          <t>Не определено</t>
        </is>
      </c>
      <c r="M1250" s="53" t="inlineStr"/>
      <c r="N1250" s="54" t="inlineStr"/>
      <c r="O1250" s="55" t="inlineStr"/>
      <c r="P1250" s="16" t="inlineStr">
        <is>
          <t>Требует обогащения</t>
        </is>
      </c>
      <c r="Q1250" s="16">
        <f>HYPERLINK("https://pb.nalog.ru/search.html?query=5647005291","ФНС: проверить")</f>
        <v/>
      </c>
      <c r="R1250" s="16">
        <f>HYPERLINK("https://checko.ru/search?query=3801001629","Чекко: проверить")</f>
        <v/>
      </c>
      <c r="S1250" t="n">
        <v>1</v>
      </c>
      <c r="T1250" s="35" t="inlineStr">
        <is>
          <t>4 — Не обогащён</t>
        </is>
      </c>
      <c r="U1250" s="35" t="inlineStr">
        <is>
          <t>Нет ОКВЭД/ССЧР</t>
        </is>
      </c>
      <c r="V1250" s="35" t="inlineStr">
        <is>
          <t>Не определено</t>
        </is>
      </c>
      <c r="W1250" s="35" t="inlineStr"/>
      <c r="X1250" s="35" t="inlineStr"/>
    </row>
    <row r="1251" ht="27.75" customHeight="1" s="24">
      <c r="A1251" s="13" t="n">
        <v>5000036220</v>
      </c>
      <c r="B1251" s="13" t="inlineStr">
        <is>
          <t>ОГКУ "Департамент автомобильных дорог Ульяновской области"</t>
        </is>
      </c>
      <c r="C1251" s="13" t="n">
        <v>7303026530</v>
      </c>
      <c r="D1251" s="13" t="inlineStr">
        <is>
          <t>7303026530</t>
        </is>
      </c>
      <c r="E1251" s="13" t="inlineStr">
        <is>
          <t>ЮЛ РФ</t>
        </is>
      </c>
      <c r="F1251" s="13" t="n"/>
      <c r="G1251" s="14" t="n"/>
      <c r="H1251" s="14" t="n"/>
      <c r="I1251" s="14" t="n"/>
      <c r="J1251" s="14" t="n"/>
      <c r="K1251" s="53" t="inlineStr"/>
      <c r="L1251" s="53" t="inlineStr">
        <is>
          <t>Не определено</t>
        </is>
      </c>
      <c r="M1251" s="53" t="inlineStr"/>
      <c r="N1251" s="54" t="inlineStr"/>
      <c r="O1251" s="55" t="inlineStr"/>
      <c r="P1251" s="16" t="inlineStr">
        <is>
          <t>Требует обогащения</t>
        </is>
      </c>
      <c r="Q1251" s="16">
        <f>HYPERLINK("https://pb.nalog.ru/search.html?query=7303026530","ФНС: проверить")</f>
        <v/>
      </c>
      <c r="R1251" s="16">
        <f>HYPERLINK("https://checko.ru/search?query=3801001629","Чекко: проверить")</f>
        <v/>
      </c>
      <c r="S1251" t="n">
        <v>1</v>
      </c>
      <c r="T1251" s="35" t="inlineStr">
        <is>
          <t>4 — Не обогащён</t>
        </is>
      </c>
      <c r="U1251" s="35" t="inlineStr">
        <is>
          <t>Нет ОКВЭД/ССЧР</t>
        </is>
      </c>
      <c r="V1251" s="35" t="inlineStr">
        <is>
          <t>Не определено</t>
        </is>
      </c>
      <c r="W1251" s="35" t="inlineStr"/>
      <c r="X1251" s="35" t="inlineStr"/>
    </row>
    <row r="1252" ht="41.25" customHeight="1" s="24">
      <c r="A1252" s="13" t="n">
        <v>5000036224</v>
      </c>
      <c r="B1252" s="13" t="inlineStr">
        <is>
          <t>ОГКУ спортивной подготовки "Спортивная школа олимпийского резерва по спортивной борьбе им. А.И. Винника"</t>
        </is>
      </c>
      <c r="C1252" s="13" t="n">
        <v>7325088924</v>
      </c>
      <c r="D1252" s="13" t="inlineStr">
        <is>
          <t>7325088924</t>
        </is>
      </c>
      <c r="E1252" s="13" t="inlineStr">
        <is>
          <t>ЮЛ РФ</t>
        </is>
      </c>
      <c r="F1252" s="13" t="n"/>
      <c r="G1252" s="14" t="n"/>
      <c r="H1252" s="14" t="n"/>
      <c r="I1252" s="14" t="n"/>
      <c r="J1252" s="14" t="n"/>
      <c r="K1252" s="53" t="inlineStr"/>
      <c r="L1252" s="53" t="inlineStr">
        <is>
          <t>Не определено</t>
        </is>
      </c>
      <c r="M1252" s="53" t="inlineStr"/>
      <c r="N1252" s="54" t="inlineStr"/>
      <c r="O1252" s="55" t="inlineStr"/>
      <c r="P1252" s="16" t="inlineStr">
        <is>
          <t>Требует обогащения</t>
        </is>
      </c>
      <c r="Q1252" s="16">
        <f>HYPERLINK("https://pb.nalog.ru/search.html?query=7325088924","ФНС: проверить")</f>
        <v/>
      </c>
      <c r="R1252" s="16">
        <f>HYPERLINK("https://checko.ru/search?query=3801001629","Чекко: проверить")</f>
        <v/>
      </c>
      <c r="S1252" t="n">
        <v>1</v>
      </c>
      <c r="T1252" s="35" t="inlineStr">
        <is>
          <t>4 — Не обогащён</t>
        </is>
      </c>
      <c r="U1252" s="35" t="inlineStr">
        <is>
          <t>Нет ОКВЭД/ССЧР</t>
        </is>
      </c>
      <c r="V1252" s="35" t="inlineStr">
        <is>
          <t>Не определено</t>
        </is>
      </c>
      <c r="W1252" s="35" t="inlineStr"/>
      <c r="X1252" s="35" t="inlineStr"/>
    </row>
    <row r="1253" ht="15" customHeight="1" s="24">
      <c r="A1253" s="13" t="n">
        <v>5000036227</v>
      </c>
      <c r="B1253" s="13" t="inlineStr">
        <is>
          <t>ОГКУ "Кадровый центр Ульяновской области</t>
        </is>
      </c>
      <c r="C1253" s="13" t="n">
        <v>7325028650</v>
      </c>
      <c r="D1253" s="13" t="inlineStr">
        <is>
          <t>7325028650</t>
        </is>
      </c>
      <c r="E1253" s="13" t="inlineStr">
        <is>
          <t>ЮЛ РФ</t>
        </is>
      </c>
      <c r="F1253" s="13" t="n"/>
      <c r="G1253" s="14" t="n"/>
      <c r="H1253" s="14" t="n"/>
      <c r="I1253" s="14" t="n"/>
      <c r="J1253" s="14" t="n"/>
      <c r="K1253" s="53" t="inlineStr"/>
      <c r="L1253" s="53" t="inlineStr">
        <is>
          <t>Не определено</t>
        </is>
      </c>
      <c r="M1253" s="53" t="inlineStr"/>
      <c r="N1253" s="54" t="inlineStr"/>
      <c r="O1253" s="55" t="inlineStr"/>
      <c r="P1253" s="16" t="inlineStr">
        <is>
          <t>Требует обогащения</t>
        </is>
      </c>
      <c r="Q1253" s="16">
        <f>HYPERLINK("https://pb.nalog.ru/search.html?query=7325028650","ФНС: проверить")</f>
        <v/>
      </c>
      <c r="R1253" s="16">
        <f>HYPERLINK("https://checko.ru/search?query=3801001629","Чекко: проверить")</f>
        <v/>
      </c>
      <c r="S1253" t="n">
        <v>1</v>
      </c>
      <c r="T1253" s="35" t="inlineStr">
        <is>
          <t>4 — Не обогащён</t>
        </is>
      </c>
      <c r="U1253" s="35" t="inlineStr">
        <is>
          <t>Нет ОКВЭД/ССЧР</t>
        </is>
      </c>
      <c r="V1253" s="35" t="inlineStr">
        <is>
          <t>Не определено</t>
        </is>
      </c>
      <c r="W1253" s="35" t="inlineStr"/>
      <c r="X1253" s="35" t="inlineStr"/>
    </row>
    <row r="1254" ht="15" customHeight="1" s="24">
      <c r="A1254" s="13" t="n">
        <v>5000036236</v>
      </c>
      <c r="B1254" s="13" t="inlineStr">
        <is>
          <t>ОАУ "Редакция газеты "Барышские вести"</t>
        </is>
      </c>
      <c r="C1254" s="13" t="n">
        <v>7306039872</v>
      </c>
      <c r="D1254" s="13" t="inlineStr">
        <is>
          <t>7306039872</t>
        </is>
      </c>
      <c r="E1254" s="13" t="inlineStr">
        <is>
          <t>ЮЛ РФ</t>
        </is>
      </c>
      <c r="F1254" s="13" t="n"/>
      <c r="G1254" s="14" t="n"/>
      <c r="H1254" s="14" t="n"/>
      <c r="I1254" s="14" t="n"/>
      <c r="J1254" s="14" t="n"/>
      <c r="K1254" s="53" t="inlineStr"/>
      <c r="L1254" s="53" t="inlineStr">
        <is>
          <t>Не определено</t>
        </is>
      </c>
      <c r="M1254" s="53" t="inlineStr"/>
      <c r="N1254" s="54" t="inlineStr"/>
      <c r="O1254" s="55" t="inlineStr"/>
      <c r="P1254" s="16" t="inlineStr">
        <is>
          <t>Требует обогащения</t>
        </is>
      </c>
      <c r="Q1254" s="16">
        <f>HYPERLINK("https://pb.nalog.ru/search.html?query=7306039872","ФНС: проверить")</f>
        <v/>
      </c>
      <c r="R1254" s="16">
        <f>HYPERLINK("https://checko.ru/search?query=3801001629","Чекко: проверить")</f>
        <v/>
      </c>
      <c r="S1254" t="n">
        <v>1</v>
      </c>
      <c r="T1254" s="35" t="inlineStr">
        <is>
          <t>4 — Не обогащён</t>
        </is>
      </c>
      <c r="U1254" s="35" t="inlineStr">
        <is>
          <t>Нет ОКВЭД/ССЧР</t>
        </is>
      </c>
      <c r="V1254" s="35" t="inlineStr">
        <is>
          <t>Не определено</t>
        </is>
      </c>
      <c r="W1254" s="35" t="inlineStr"/>
      <c r="X1254" s="35" t="inlineStr"/>
    </row>
    <row r="1255" ht="15" customHeight="1" s="24">
      <c r="A1255" s="13" t="n">
        <v>5000036238</v>
      </c>
      <c r="B1255" s="13" t="inlineStr">
        <is>
          <t>ОАУ "Информационное агентство "Запад-Медиа""</t>
        </is>
      </c>
      <c r="C1255" s="13" t="n">
        <v>7306039819</v>
      </c>
      <c r="D1255" s="13" t="inlineStr">
        <is>
          <t>7306039819</t>
        </is>
      </c>
      <c r="E1255" s="13" t="inlineStr">
        <is>
          <t>ЮЛ РФ</t>
        </is>
      </c>
      <c r="F1255" s="13" t="n"/>
      <c r="G1255" s="14" t="n"/>
      <c r="H1255" s="14" t="n"/>
      <c r="I1255" s="14" t="n"/>
      <c r="J1255" s="14" t="n"/>
      <c r="K1255" s="53" t="inlineStr"/>
      <c r="L1255" s="53" t="inlineStr">
        <is>
          <t>Не определено</t>
        </is>
      </c>
      <c r="M1255" s="53" t="inlineStr"/>
      <c r="N1255" s="54" t="inlineStr"/>
      <c r="O1255" s="55" t="inlineStr"/>
      <c r="P1255" s="16" t="inlineStr">
        <is>
          <t>Требует обогащения</t>
        </is>
      </c>
      <c r="Q1255" s="16">
        <f>HYPERLINK("https://pb.nalog.ru/search.html?query=7306039819","ФНС: проверить")</f>
        <v/>
      </c>
      <c r="R1255" s="16">
        <f>HYPERLINK("https://checko.ru/search?query=3801001629","Чекко: проверить")</f>
        <v/>
      </c>
      <c r="S1255" t="n">
        <v>1</v>
      </c>
      <c r="T1255" s="35" t="inlineStr">
        <is>
          <t>4 — Не обогащён</t>
        </is>
      </c>
      <c r="U1255" s="35" t="inlineStr">
        <is>
          <t>Нет ОКВЭД/ССЧР</t>
        </is>
      </c>
      <c r="V1255" s="35" t="inlineStr">
        <is>
          <t>Не определено</t>
        </is>
      </c>
      <c r="W1255" s="35" t="inlineStr"/>
      <c r="X1255" s="35" t="inlineStr"/>
    </row>
    <row r="1256" ht="15" customHeight="1" s="24">
      <c r="A1256" s="13" t="n">
        <v>5000036242</v>
      </c>
      <c r="B1256" s="13" t="inlineStr">
        <is>
          <t>ОАУ "Информационное агентство Восток - медиа"</t>
        </is>
      </c>
      <c r="C1256" s="13" t="n">
        <v>7302038780</v>
      </c>
      <c r="D1256" s="13" t="inlineStr">
        <is>
          <t>7302038780</t>
        </is>
      </c>
      <c r="E1256" s="13" t="inlineStr">
        <is>
          <t>ЮЛ РФ</t>
        </is>
      </c>
      <c r="F1256" s="13" t="n"/>
      <c r="G1256" s="14" t="n"/>
      <c r="H1256" s="14" t="n"/>
      <c r="I1256" s="14" t="n"/>
      <c r="J1256" s="14" t="n"/>
      <c r="K1256" s="53" t="inlineStr"/>
      <c r="L1256" s="53" t="inlineStr">
        <is>
          <t>Не определено</t>
        </is>
      </c>
      <c r="M1256" s="53" t="inlineStr"/>
      <c r="N1256" s="54" t="inlineStr"/>
      <c r="O1256" s="55" t="inlineStr"/>
      <c r="P1256" s="16" t="inlineStr">
        <is>
          <t>Требует обогащения</t>
        </is>
      </c>
      <c r="Q1256" s="16">
        <f>HYPERLINK("https://pb.nalog.ru/search.html?query=7302038780","ФНС: проверить")</f>
        <v/>
      </c>
      <c r="R1256" s="16">
        <f>HYPERLINK("https://checko.ru/search?query=3801001629","Чекко: проверить")</f>
        <v/>
      </c>
      <c r="S1256" t="n">
        <v>1</v>
      </c>
      <c r="T1256" s="35" t="inlineStr">
        <is>
          <t>4 — Не обогащён</t>
        </is>
      </c>
      <c r="U1256" s="35" t="inlineStr">
        <is>
          <t>Нет ОКВЭД/ССЧР</t>
        </is>
      </c>
      <c r="V1256" s="35" t="inlineStr">
        <is>
          <t>Не определено</t>
        </is>
      </c>
      <c r="W1256" s="35" t="inlineStr"/>
      <c r="X1256" s="35" t="inlineStr"/>
    </row>
    <row r="1257" ht="15" customHeight="1" s="24">
      <c r="A1257" s="13" t="n">
        <v>5000036244</v>
      </c>
      <c r="B1257" s="13" t="inlineStr">
        <is>
          <t>ОАУ "Информационное агентство Юг- Медиа"</t>
        </is>
      </c>
      <c r="C1257" s="13" t="n">
        <v>7313005553</v>
      </c>
      <c r="D1257" s="13" t="inlineStr">
        <is>
          <t>7313005553</t>
        </is>
      </c>
      <c r="E1257" s="13" t="inlineStr">
        <is>
          <t>ЮЛ РФ</t>
        </is>
      </c>
      <c r="F1257" s="13" t="n"/>
      <c r="G1257" s="14" t="n"/>
      <c r="H1257" s="14" t="n"/>
      <c r="I1257" s="14" t="n"/>
      <c r="J1257" s="14" t="n"/>
      <c r="K1257" s="53" t="inlineStr"/>
      <c r="L1257" s="53" t="inlineStr">
        <is>
          <t>Не определено</t>
        </is>
      </c>
      <c r="M1257" s="53" t="inlineStr"/>
      <c r="N1257" s="54" t="inlineStr"/>
      <c r="O1257" s="55" t="inlineStr"/>
      <c r="P1257" s="16" t="inlineStr">
        <is>
          <t>Требует обогащения</t>
        </is>
      </c>
      <c r="Q1257" s="16">
        <f>HYPERLINK("https://pb.nalog.ru/search.html?query=7313005553","ФНС: проверить")</f>
        <v/>
      </c>
      <c r="R1257" s="16">
        <f>HYPERLINK("https://checko.ru/search?query=3801001629","Чекко: проверить")</f>
        <v/>
      </c>
      <c r="S1257" t="n">
        <v>1</v>
      </c>
      <c r="T1257" s="35" t="inlineStr">
        <is>
          <t>4 — Не обогащён</t>
        </is>
      </c>
      <c r="U1257" s="35" t="inlineStr">
        <is>
          <t>Нет ОКВЭД/ССЧР</t>
        </is>
      </c>
      <c r="V1257" s="35" t="inlineStr">
        <is>
          <t>Не определено</t>
        </is>
      </c>
      <c r="W1257" s="35" t="inlineStr"/>
      <c r="X1257" s="35" t="inlineStr"/>
    </row>
    <row r="1258" ht="15" customHeight="1" s="24">
      <c r="A1258" s="13" t="n">
        <v>5000005886</v>
      </c>
      <c r="B1258" s="13" t="inlineStr">
        <is>
          <t>ОбГАУ «Редакция газеты «Областная»</t>
        </is>
      </c>
      <c r="C1258" s="13" t="n">
        <v>3808203575</v>
      </c>
      <c r="D1258" s="13" t="inlineStr">
        <is>
          <t>3808203575</t>
        </is>
      </c>
      <c r="E1258" s="13" t="inlineStr">
        <is>
          <t>ЮЛ РФ</t>
        </is>
      </c>
      <c r="F1258" s="13" t="n"/>
      <c r="G1258" s="14" t="n"/>
      <c r="H1258" s="14" t="n"/>
      <c r="I1258" s="14" t="n"/>
      <c r="J1258" s="14" t="n"/>
      <c r="K1258" s="53" t="inlineStr"/>
      <c r="L1258" s="53" t="inlineStr">
        <is>
          <t>Не определено</t>
        </is>
      </c>
      <c r="M1258" s="53" t="inlineStr"/>
      <c r="N1258" s="54" t="inlineStr"/>
      <c r="O1258" s="55" t="inlineStr"/>
      <c r="P1258" s="16" t="inlineStr">
        <is>
          <t>Требует обогащения</t>
        </is>
      </c>
      <c r="Q1258" s="16">
        <f>HYPERLINK("https://pb.nalog.ru/search.html?query=3808203575","ФНС: проверить")</f>
        <v/>
      </c>
      <c r="R1258" s="16">
        <f>HYPERLINK("https://checko.ru/search?query=3801001629","Чекко: проверить")</f>
        <v/>
      </c>
      <c r="S1258" t="n">
        <v>1</v>
      </c>
      <c r="T1258" s="35" t="inlineStr">
        <is>
          <t>4 — Не обогащён</t>
        </is>
      </c>
      <c r="U1258" s="35" t="inlineStr">
        <is>
          <t>Нет ОКВЭД/ССЧР</t>
        </is>
      </c>
      <c r="V1258" s="35" t="inlineStr">
        <is>
          <t>Не определено</t>
        </is>
      </c>
      <c r="W1258" s="35" t="inlineStr"/>
      <c r="X1258" s="35" t="inlineStr"/>
    </row>
    <row r="1259" ht="41.25" customHeight="1" s="24">
      <c r="A1259" s="13" t="n">
        <v>5000005887</v>
      </c>
      <c r="B1259" s="13" t="inlineStr">
        <is>
          <t>ОбГКУ «Дирекция по эксплуатации гидротехнических сооружений и ликвидации экологического ущерба»</t>
        </is>
      </c>
      <c r="C1259" s="13" t="n">
        <v>3808203134</v>
      </c>
      <c r="D1259" s="13" t="inlineStr">
        <is>
          <t>3808203134</t>
        </is>
      </c>
      <c r="E1259" s="13" t="inlineStr">
        <is>
          <t>ЮЛ РФ</t>
        </is>
      </c>
      <c r="F1259" s="13" t="n"/>
      <c r="G1259" s="14" t="n"/>
      <c r="H1259" s="14" t="n"/>
      <c r="I1259" s="14" t="n"/>
      <c r="J1259" s="14" t="n"/>
      <c r="K1259" s="53" t="inlineStr"/>
      <c r="L1259" s="53" t="inlineStr">
        <is>
          <t>Не определено</t>
        </is>
      </c>
      <c r="M1259" s="53" t="inlineStr"/>
      <c r="N1259" s="54" t="inlineStr"/>
      <c r="O1259" s="55" t="inlineStr"/>
      <c r="P1259" s="16" t="inlineStr">
        <is>
          <t>Требует обогащения</t>
        </is>
      </c>
      <c r="Q1259" s="16">
        <f>HYPERLINK("https://pb.nalog.ru/search.html?query=3808203134","ФНС: проверить")</f>
        <v/>
      </c>
      <c r="R1259" s="16">
        <f>HYPERLINK("https://checko.ru/search?query=3801001629","Чекко: проверить")</f>
        <v/>
      </c>
      <c r="S1259" t="n">
        <v>1</v>
      </c>
      <c r="T1259" s="35" t="inlineStr">
        <is>
          <t>4 — Не обогащён</t>
        </is>
      </c>
      <c r="U1259" s="35" t="inlineStr">
        <is>
          <t>Нет ОКВЭД/ССЧР</t>
        </is>
      </c>
      <c r="V1259" s="35" t="inlineStr">
        <is>
          <t>Не определено</t>
        </is>
      </c>
      <c r="W1259" s="35" t="inlineStr"/>
      <c r="X1259" s="35" t="inlineStr"/>
    </row>
    <row r="1260" ht="15" customHeight="1" s="24">
      <c r="A1260" s="13" t="n">
        <v>5000001387</v>
      </c>
      <c r="B1260" s="13" t="inlineStr">
        <is>
          <t>Иркутский техникум архитектуры и строительства</t>
        </is>
      </c>
      <c r="C1260" s="13" t="n">
        <v>3812014193</v>
      </c>
      <c r="D1260" s="13" t="inlineStr">
        <is>
          <t>3812014193</t>
        </is>
      </c>
      <c r="E1260" s="13" t="inlineStr">
        <is>
          <t>ЮЛ РФ</t>
        </is>
      </c>
      <c r="F1260" s="13" t="n"/>
      <c r="G1260" s="14" t="n"/>
      <c r="H1260" s="14" t="n"/>
      <c r="I1260" s="14" t="n"/>
      <c r="J1260" s="14" t="n"/>
      <c r="K1260" s="53" t="inlineStr"/>
      <c r="L1260" s="53" t="inlineStr">
        <is>
          <t>Не определено</t>
        </is>
      </c>
      <c r="M1260" s="53" t="inlineStr"/>
      <c r="N1260" s="54" t="inlineStr"/>
      <c r="O1260" s="55" t="inlineStr"/>
      <c r="P1260" s="16" t="inlineStr">
        <is>
          <t>Требует обогащения</t>
        </is>
      </c>
      <c r="Q1260" s="16">
        <f>HYPERLINK("https://pb.nalog.ru/search.html?query=3812014193","ФНС: проверить")</f>
        <v/>
      </c>
      <c r="R1260" s="16">
        <f>HYPERLINK("https://checko.ru/search?query=3801001629","Чекко: проверить")</f>
        <v/>
      </c>
      <c r="S1260" t="n">
        <v>1</v>
      </c>
      <c r="T1260" s="35" t="inlineStr">
        <is>
          <t>4 — Не обогащён</t>
        </is>
      </c>
      <c r="U1260" s="35" t="inlineStr">
        <is>
          <t>Нет ОКВЭД/ССЧР</t>
        </is>
      </c>
      <c r="V1260" s="35" t="inlineStr">
        <is>
          <t>Не определено</t>
        </is>
      </c>
      <c r="W1260" s="35" t="inlineStr"/>
      <c r="X1260" s="35" t="inlineStr"/>
    </row>
    <row r="1261" ht="27.75" customHeight="1" s="24">
      <c r="A1261" s="13" t="n">
        <v>5000043592</v>
      </c>
      <c r="B1261" s="13" t="inlineStr">
        <is>
          <t>Министерство молодёжного развития Ульяновской области</t>
        </is>
      </c>
      <c r="C1261" s="13" t="n">
        <v>7325155553</v>
      </c>
      <c r="D1261" s="13" t="inlineStr">
        <is>
          <t>7325155553</t>
        </is>
      </c>
      <c r="E1261" s="13" t="inlineStr">
        <is>
          <t>ЮЛ РФ</t>
        </is>
      </c>
      <c r="F1261" s="13" t="n"/>
      <c r="G1261" s="14" t="n"/>
      <c r="H1261" s="14" t="n"/>
      <c r="I1261" s="14" t="n"/>
      <c r="J1261" s="14" t="n"/>
      <c r="K1261" s="53" t="inlineStr"/>
      <c r="L1261" s="53" t="inlineStr">
        <is>
          <t>Не определено</t>
        </is>
      </c>
      <c r="M1261" s="53" t="inlineStr"/>
      <c r="N1261" s="54" t="inlineStr"/>
      <c r="O1261" s="55" t="inlineStr"/>
      <c r="P1261" s="16" t="inlineStr">
        <is>
          <t>Требует обогащения</t>
        </is>
      </c>
      <c r="Q1261" s="16">
        <f>HYPERLINK("https://pb.nalog.ru/search.html?query=7325155553","ФНС: проверить")</f>
        <v/>
      </c>
      <c r="R1261" s="16">
        <f>HYPERLINK("https://checko.ru/search?query=3801001629","Чекко: проверить")</f>
        <v/>
      </c>
      <c r="S1261" t="n">
        <v>1</v>
      </c>
      <c r="T1261" s="35" t="inlineStr">
        <is>
          <t>4 — Не обогащён</t>
        </is>
      </c>
      <c r="U1261" s="35" t="inlineStr">
        <is>
          <t>Нет ОКВЭД/ССЧР</t>
        </is>
      </c>
      <c r="V1261" s="35" t="inlineStr">
        <is>
          <t>Не определено</t>
        </is>
      </c>
      <c r="W1261" s="35" t="inlineStr"/>
      <c r="X1261" s="35" t="inlineStr"/>
    </row>
    <row r="1262" ht="27.75" customHeight="1" s="24">
      <c r="A1262" s="13" t="n">
        <v>5000095239</v>
      </c>
      <c r="B1262" s="13" t="inlineStr">
        <is>
          <t>МКУ "Управление земельных отношений Местной администрации г. о. Нальчик"</t>
        </is>
      </c>
      <c r="C1262" s="13" t="n">
        <v>725017442</v>
      </c>
      <c r="D1262" s="13" t="n"/>
      <c r="E1262" s="13" t="inlineStr">
        <is>
          <t>Не определён</t>
        </is>
      </c>
      <c r="F1262" s="13" t="inlineStr">
        <is>
          <t>725017442</t>
        </is>
      </c>
      <c r="G1262" s="14" t="n"/>
      <c r="H1262" s="14" t="n"/>
      <c r="I1262" s="14" t="n"/>
      <c r="J1262" s="14" t="n"/>
      <c r="K1262" s="13">
        <f>IF(G1262="","",IF(G1262&gt;=22,"Да","Нет"))</f>
        <v/>
      </c>
      <c r="L1262" s="13">
        <f>IF(OR(I1262="",J1262=""),"Не определено",IF(OR(COUNTIF(I1262,"45*")&gt;0,COUNTIF(J1262,"*45*")&gt;0,COUNTIF(I1262,"46*")&gt;0,COUNTIF(J1262,"*46*")&gt;0,COUNTIF(I1262,"47*")&gt;0,COUNTIF(J1262,"*47*")&gt;0,COUNTIF(I1262,"10*")&gt;0,COUNTIF(J1262,"*10*")&gt;0,COUNTIF(I1262,"11*")&gt;0,COUNTIF(J1262,"*11*")&gt;0,COUNTIF(I1262,"12*")&gt;0,COUNTIF(J1262,"*12*")&gt;0,COUNTIF(I1262,"13*")&gt;0,COUNTIF(J1262,"*13*")&gt;0,COUNTIF(I1262,"14*")&gt;0,COUNTIF(J1262,"*14*")&gt;0,COUNTIF(I1262,"15*")&gt;0,COUNTIF(J1262,"*15*")&gt;0,COUNTIF(I1262,"16*")&gt;0,COUNTIF(J1262,"*16*")&gt;0,COUNTIF(I1262,"17*")&gt;0,COUNTIF(J1262,"*17*")&gt;0,COUNTIF(I1262,"18*")&gt;0,COUNTIF(J1262,"*18*")&gt;0,COUNTIF(I1262,"19*")&gt;0,COUNTIF(J1262,"*19*")&gt;0,COUNTIF(I1262,"20*")&gt;0,COUNTIF(J1262,"*20*")&gt;0,COUNTIF(I1262,"21*")&gt;0,COUNTIF(J1262,"*21*")&gt;0,COUNTIF(I1262,"22*")&gt;0,COUNTIF(J1262,"*22*")&gt;0,COUNTIF(I1262,"23*")&gt;0,COUNTIF(J1262,"*23*")&gt;0,COUNTIF(I1262,"24*")&gt;0,COUNTIF(J1262,"*24*")&gt;0,COUNTIF(I1262,"25*")&gt;0,COUNTIF(J1262,"*25*")&gt;0,COUNTIF(I1262,"26*")&gt;0,COUNTIF(J1262,"*26*")&gt;0,COUNTIF(I1262,"27*")&gt;0,COUNTIF(J1262,"*27*")&gt;0,COUNTIF(I1262,"28*")&gt;0,COUNTIF(J1262,"*28*")&gt;0,COUNTIF(I1262,"29*")&gt;0,COUNTIF(J1262,"*29*")&gt;0,COUNTIF(I1262,"30*")&gt;0,COUNTIF(J1262,"*30*")&gt;0,COUNTIF(I1262,"31*")&gt;0,COUNTIF(J1262,"*31*")&gt;0,COUNTIF(I1262,"32*")&gt;0,COUNTIF(J1262,"*32*")&gt;0,COUNTIF(I1262,"33*")&gt;0,COUNTIF(J1262,"*33*")&gt;0,COUNTIF(I1262,"41*")&gt;0,COUNTIF(J1262,"*41*")&gt;0,COUNTIF(I1262,"42*")&gt;0,COUNTIF(J1262,"*42*")&gt;0,COUNTIF(I1262,"43*")&gt;0,COUNTIF(J1262,"*43*")&gt;0,COUNTIF(I1262,"49*")&gt;0,COUNTIF(J1262,"*49*")&gt;0,COUNTIF(I1262,"52*")&gt;0,COUNTIF(J1262,"*52*")&gt;0,COUNTIF(I1262,"55*")&gt;0,COUNTIF(J1262,"*55*")&gt;0,COUNTIF(I1262,"56*")&gt;0,COUNTIF(J1262,"*56*")&gt;0,COUNTIF(I1262,"68*")&gt;0,COUNTIF(J1262,"*68*")&gt;0,COUNTIF(I1262,"78*")&gt;0,COUNTIF(J1262,"*78*")&gt;0,COUNTIF(I1262,"81*")&gt;0,COUNTIF(J1262,"*81*")&gt;0,COUNTIF(I1262,"82*")&gt;0,COUNTIF(J1262,"*82*")&gt;0,COUNTIF(I1262,"64*")&gt;0,COUNTIF(J1262,"*64*")&gt;0,COUNTIF(I1262,"65*")&gt;0,COUNTIF(J1262,"*65*")&gt;0,COUNTIF(I1262,"66*")&gt;0,COUNTIF(J1262,"*66*")&gt;0,COUNTIF(I1262,"61*")&gt;0,COUNTIF(J1262,"*61*")&gt;0,COUNTIF(I1262,"62*")&gt;0,COUNTIF(J1262,"*62*")&gt;0,COUNTIF(I1262,"63*")&gt;0,COUNTIF(J1262,"*63*")&gt;0,COUNTIF(I1262,"85*")&gt;0,COUNTIF(J1262,"*85*")&gt;0,COUNTIF(I1262,"86*")&gt;0,COUNTIF(J1262,"*86*")&gt;0),"Да","Нет"))</f>
        <v/>
      </c>
      <c r="M1262" s="13">
        <f>IF(OR(G1262="",L1262&lt;&gt;"Да"),"",IF(G1262&lt;=100,"До 100",IF(G1262&lt;=200,"До 200",IF(G1262&lt;=500,"До 500","Отдельное КП"))))</f>
        <v/>
      </c>
      <c r="N1262" s="15">
        <f>IF(OR(G1262="",L1262&lt;&gt;"Да"),"",IF(G1262&lt;=100,33600,IF(G1262&lt;=200,62400,IF(G1262&lt;=500,144000,""))))</f>
        <v/>
      </c>
      <c r="O1262" s="16">
        <f>IF(G1262="","",IF(G1262&lt;=15,"1–15",IF(G1262&lt;=30,"16–30",IF(G1262&lt;=50,"31–50",IF(G1262&lt;=100,"51–100",IF(G1262&lt;=150,"101–150",IF(G1262&lt;=200,"151–200",IF(G1262&lt;=500,"201–500","500+"))))))))</f>
        <v/>
      </c>
      <c r="P1262" s="16" t="inlineStr">
        <is>
          <t>Нет совпадения в предоставленной выгрузке ССЧР</t>
        </is>
      </c>
      <c r="Q1262" s="16" t="n"/>
      <c r="R1262" s="16">
        <f>HYPERLINK("https://checko.ru/search?query=3801001629","Чекко: проверить")</f>
        <v/>
      </c>
      <c r="S1262" t="n">
        <v>0</v>
      </c>
    </row>
    <row r="1263" ht="15" customHeight="1" s="24">
      <c r="A1263" s="13" t="n">
        <v>5000095076</v>
      </c>
      <c r="B1263" s="13" t="inlineStr">
        <is>
          <t>ГКУЗ ДТС "Звездочка"</t>
        </is>
      </c>
      <c r="C1263" s="13" t="n">
        <v>713002272</v>
      </c>
      <c r="D1263" s="13" t="n"/>
      <c r="E1263" s="13" t="inlineStr">
        <is>
          <t>Не определён</t>
        </is>
      </c>
      <c r="F1263" s="13" t="inlineStr">
        <is>
          <t>713002272</t>
        </is>
      </c>
      <c r="G1263" s="14" t="n"/>
      <c r="H1263" s="14" t="n"/>
      <c r="I1263" s="14" t="n"/>
      <c r="J1263" s="14" t="n"/>
      <c r="K1263" s="13">
        <f>IF(G1263="","",IF(G1263&gt;=22,"Да","Нет"))</f>
        <v/>
      </c>
      <c r="L1263" s="13">
        <f>IF(OR(I1263="",J1263=""),"Не определено",IF(OR(COUNTIF(I1263,"45*")&gt;0,COUNTIF(J1263,"*45*")&gt;0,COUNTIF(I1263,"46*")&gt;0,COUNTIF(J1263,"*46*")&gt;0,COUNTIF(I1263,"47*")&gt;0,COUNTIF(J1263,"*47*")&gt;0,COUNTIF(I1263,"10*")&gt;0,COUNTIF(J1263,"*10*")&gt;0,COUNTIF(I1263,"11*")&gt;0,COUNTIF(J1263,"*11*")&gt;0,COUNTIF(I1263,"12*")&gt;0,COUNTIF(J1263,"*12*")&gt;0,COUNTIF(I1263,"13*")&gt;0,COUNTIF(J1263,"*13*")&gt;0,COUNTIF(I1263,"14*")&gt;0,COUNTIF(J1263,"*14*")&gt;0,COUNTIF(I1263,"15*")&gt;0,COUNTIF(J1263,"*15*")&gt;0,COUNTIF(I1263,"16*")&gt;0,COUNTIF(J1263,"*16*")&gt;0,COUNTIF(I1263,"17*")&gt;0,COUNTIF(J1263,"*17*")&gt;0,COUNTIF(I1263,"18*")&gt;0,COUNTIF(J1263,"*18*")&gt;0,COUNTIF(I1263,"19*")&gt;0,COUNTIF(J1263,"*19*")&gt;0,COUNTIF(I1263,"20*")&gt;0,COUNTIF(J1263,"*20*")&gt;0,COUNTIF(I1263,"21*")&gt;0,COUNTIF(J1263,"*21*")&gt;0,COUNTIF(I1263,"22*")&gt;0,COUNTIF(J1263,"*22*")&gt;0,COUNTIF(I1263,"23*")&gt;0,COUNTIF(J1263,"*23*")&gt;0,COUNTIF(I1263,"24*")&gt;0,COUNTIF(J1263,"*24*")&gt;0,COUNTIF(I1263,"25*")&gt;0,COUNTIF(J1263,"*25*")&gt;0,COUNTIF(I1263,"26*")&gt;0,COUNTIF(J1263,"*26*")&gt;0,COUNTIF(I1263,"27*")&gt;0,COUNTIF(J1263,"*27*")&gt;0,COUNTIF(I1263,"28*")&gt;0,COUNTIF(J1263,"*28*")&gt;0,COUNTIF(I1263,"29*")&gt;0,COUNTIF(J1263,"*29*")&gt;0,COUNTIF(I1263,"30*")&gt;0,COUNTIF(J1263,"*30*")&gt;0,COUNTIF(I1263,"31*")&gt;0,COUNTIF(J1263,"*31*")&gt;0,COUNTIF(I1263,"32*")&gt;0,COUNTIF(J1263,"*32*")&gt;0,COUNTIF(I1263,"33*")&gt;0,COUNTIF(J1263,"*33*")&gt;0,COUNTIF(I1263,"41*")&gt;0,COUNTIF(J1263,"*41*")&gt;0,COUNTIF(I1263,"42*")&gt;0,COUNTIF(J1263,"*42*")&gt;0,COUNTIF(I1263,"43*")&gt;0,COUNTIF(J1263,"*43*")&gt;0,COUNTIF(I1263,"49*")&gt;0,COUNTIF(J1263,"*49*")&gt;0,COUNTIF(I1263,"52*")&gt;0,COUNTIF(J1263,"*52*")&gt;0,COUNTIF(I1263,"55*")&gt;0,COUNTIF(J1263,"*55*")&gt;0,COUNTIF(I1263,"56*")&gt;0,COUNTIF(J1263,"*56*")&gt;0,COUNTIF(I1263,"68*")&gt;0,COUNTIF(J1263,"*68*")&gt;0,COUNTIF(I1263,"78*")&gt;0,COUNTIF(J1263,"*78*")&gt;0,COUNTIF(I1263,"81*")&gt;0,COUNTIF(J1263,"*81*")&gt;0,COUNTIF(I1263,"82*")&gt;0,COUNTIF(J1263,"*82*")&gt;0,COUNTIF(I1263,"64*")&gt;0,COUNTIF(J1263,"*64*")&gt;0,COUNTIF(I1263,"65*")&gt;0,COUNTIF(J1263,"*65*")&gt;0,COUNTIF(I1263,"66*")&gt;0,COUNTIF(J1263,"*66*")&gt;0,COUNTIF(I1263,"61*")&gt;0,COUNTIF(J1263,"*61*")&gt;0,COUNTIF(I1263,"62*")&gt;0,COUNTIF(J1263,"*62*")&gt;0,COUNTIF(I1263,"63*")&gt;0,COUNTIF(J1263,"*63*")&gt;0,COUNTIF(I1263,"85*")&gt;0,COUNTIF(J1263,"*85*")&gt;0,COUNTIF(I1263,"86*")&gt;0,COUNTIF(J1263,"*86*")&gt;0),"Да","Нет"))</f>
        <v/>
      </c>
      <c r="M1263" s="13">
        <f>IF(OR(G1263="",L1263&lt;&gt;"Да"),"",IF(G1263&lt;=100,"До 100",IF(G1263&lt;=200,"До 200",IF(G1263&lt;=500,"До 500","Отдельное КП"))))</f>
        <v/>
      </c>
      <c r="N1263" s="15">
        <f>IF(OR(G1263="",L1263&lt;&gt;"Да"),"",IF(G1263&lt;=100,33600,IF(G1263&lt;=200,62400,IF(G1263&lt;=500,144000,""))))</f>
        <v/>
      </c>
      <c r="O1263" s="16">
        <f>IF(G1263="","",IF(G1263&lt;=15,"1–15",IF(G1263&lt;=30,"16–30",IF(G1263&lt;=50,"31–50",IF(G1263&lt;=100,"51–100",IF(G1263&lt;=150,"101–150",IF(G1263&lt;=200,"151–200",IF(G1263&lt;=500,"201–500","500+"))))))))</f>
        <v/>
      </c>
      <c r="P1263" s="16" t="inlineStr">
        <is>
          <t>Нет совпадения в предоставленной выгрузке ССЧР</t>
        </is>
      </c>
      <c r="Q1263" s="16" t="n"/>
      <c r="R1263" s="16">
        <f>HYPERLINK("https://checko.ru/search?query=3801001629","Чекко: проверить")</f>
        <v/>
      </c>
      <c r="S1263" t="n">
        <v>0</v>
      </c>
    </row>
    <row r="1264" ht="27.75" customHeight="1" s="24">
      <c r="A1264" s="13" t="n">
        <v>5000094771</v>
      </c>
      <c r="B1264" s="13" t="inlineStr">
        <is>
          <t>МУ "Местная администрация с. п. Анзорей Лескенского муниципального р-на КБР"</t>
        </is>
      </c>
      <c r="C1264" s="13" t="n">
        <v>707007466</v>
      </c>
      <c r="D1264" s="13" t="n"/>
      <c r="E1264" s="13" t="inlineStr">
        <is>
          <t>Не определён</t>
        </is>
      </c>
      <c r="F1264" s="13" t="inlineStr">
        <is>
          <t>707007466</t>
        </is>
      </c>
      <c r="G1264" s="14" t="n"/>
      <c r="H1264" s="14" t="n"/>
      <c r="I1264" s="14" t="n"/>
      <c r="J1264" s="14" t="n"/>
      <c r="K1264" s="13">
        <f>IF(G1264="","",IF(G1264&gt;=22,"Да","Нет"))</f>
        <v/>
      </c>
      <c r="L1264" s="13">
        <f>IF(OR(I1264="",J1264=""),"Не определено",IF(OR(COUNTIF(I1264,"45*")&gt;0,COUNTIF(J1264,"*45*")&gt;0,COUNTIF(I1264,"46*")&gt;0,COUNTIF(J1264,"*46*")&gt;0,COUNTIF(I1264,"47*")&gt;0,COUNTIF(J1264,"*47*")&gt;0,COUNTIF(I1264,"10*")&gt;0,COUNTIF(J1264,"*10*")&gt;0,COUNTIF(I1264,"11*")&gt;0,COUNTIF(J1264,"*11*")&gt;0,COUNTIF(I1264,"12*")&gt;0,COUNTIF(J1264,"*12*")&gt;0,COUNTIF(I1264,"13*")&gt;0,COUNTIF(J1264,"*13*")&gt;0,COUNTIF(I1264,"14*")&gt;0,COUNTIF(J1264,"*14*")&gt;0,COUNTIF(I1264,"15*")&gt;0,COUNTIF(J1264,"*15*")&gt;0,COUNTIF(I1264,"16*")&gt;0,COUNTIF(J1264,"*16*")&gt;0,COUNTIF(I1264,"17*")&gt;0,COUNTIF(J1264,"*17*")&gt;0,COUNTIF(I1264,"18*")&gt;0,COUNTIF(J1264,"*18*")&gt;0,COUNTIF(I1264,"19*")&gt;0,COUNTIF(J1264,"*19*")&gt;0,COUNTIF(I1264,"20*")&gt;0,COUNTIF(J1264,"*20*")&gt;0,COUNTIF(I1264,"21*")&gt;0,COUNTIF(J1264,"*21*")&gt;0,COUNTIF(I1264,"22*")&gt;0,COUNTIF(J1264,"*22*")&gt;0,COUNTIF(I1264,"23*")&gt;0,COUNTIF(J1264,"*23*")&gt;0,COUNTIF(I1264,"24*")&gt;0,COUNTIF(J1264,"*24*")&gt;0,COUNTIF(I1264,"25*")&gt;0,COUNTIF(J1264,"*25*")&gt;0,COUNTIF(I1264,"26*")&gt;0,COUNTIF(J1264,"*26*")&gt;0,COUNTIF(I1264,"27*")&gt;0,COUNTIF(J1264,"*27*")&gt;0,COUNTIF(I1264,"28*")&gt;0,COUNTIF(J1264,"*28*")&gt;0,COUNTIF(I1264,"29*")&gt;0,COUNTIF(J1264,"*29*")&gt;0,COUNTIF(I1264,"30*")&gt;0,COUNTIF(J1264,"*30*")&gt;0,COUNTIF(I1264,"31*")&gt;0,COUNTIF(J1264,"*31*")&gt;0,COUNTIF(I1264,"32*")&gt;0,COUNTIF(J1264,"*32*")&gt;0,COUNTIF(I1264,"33*")&gt;0,COUNTIF(J1264,"*33*")&gt;0,COUNTIF(I1264,"41*")&gt;0,COUNTIF(J1264,"*41*")&gt;0,COUNTIF(I1264,"42*")&gt;0,COUNTIF(J1264,"*42*")&gt;0,COUNTIF(I1264,"43*")&gt;0,COUNTIF(J1264,"*43*")&gt;0,COUNTIF(I1264,"49*")&gt;0,COUNTIF(J1264,"*49*")&gt;0,COUNTIF(I1264,"52*")&gt;0,COUNTIF(J1264,"*52*")&gt;0,COUNTIF(I1264,"55*")&gt;0,COUNTIF(J1264,"*55*")&gt;0,COUNTIF(I1264,"56*")&gt;0,COUNTIF(J1264,"*56*")&gt;0,COUNTIF(I1264,"68*")&gt;0,COUNTIF(J1264,"*68*")&gt;0,COUNTIF(I1264,"78*")&gt;0,COUNTIF(J1264,"*78*")&gt;0,COUNTIF(I1264,"81*")&gt;0,COUNTIF(J1264,"*81*")&gt;0,COUNTIF(I1264,"82*")&gt;0,COUNTIF(J1264,"*82*")&gt;0,COUNTIF(I1264,"64*")&gt;0,COUNTIF(J1264,"*64*")&gt;0,COUNTIF(I1264,"65*")&gt;0,COUNTIF(J1264,"*65*")&gt;0,COUNTIF(I1264,"66*")&gt;0,COUNTIF(J1264,"*66*")&gt;0,COUNTIF(I1264,"61*")&gt;0,COUNTIF(J1264,"*61*")&gt;0,COUNTIF(I1264,"62*")&gt;0,COUNTIF(J1264,"*62*")&gt;0,COUNTIF(I1264,"63*")&gt;0,COUNTIF(J1264,"*63*")&gt;0,COUNTIF(I1264,"85*")&gt;0,COUNTIF(J1264,"*85*")&gt;0,COUNTIF(I1264,"86*")&gt;0,COUNTIF(J1264,"*86*")&gt;0),"Да","Нет"))</f>
        <v/>
      </c>
      <c r="M1264" s="13">
        <f>IF(OR(G1264="",L1264&lt;&gt;"Да"),"",IF(G1264&lt;=100,"До 100",IF(G1264&lt;=200,"До 200",IF(G1264&lt;=500,"До 500","Отдельное КП"))))</f>
        <v/>
      </c>
      <c r="N1264" s="15">
        <f>IF(OR(G1264="",L1264&lt;&gt;"Да"),"",IF(G1264&lt;=100,33600,IF(G1264&lt;=200,62400,IF(G1264&lt;=500,144000,""))))</f>
        <v/>
      </c>
      <c r="O1264" s="16">
        <f>IF(G1264="","",IF(G1264&lt;=15,"1–15",IF(G1264&lt;=30,"16–30",IF(G1264&lt;=50,"31–50",IF(G1264&lt;=100,"51–100",IF(G1264&lt;=150,"101–150",IF(G1264&lt;=200,"151–200",IF(G1264&lt;=500,"201–500","500+"))))))))</f>
        <v/>
      </c>
      <c r="P1264" s="16" t="inlineStr">
        <is>
          <t>Нет совпадения в предоставленной выгрузке ССЧР</t>
        </is>
      </c>
      <c r="Q1264" s="16" t="n"/>
      <c r="R1264" s="16">
        <f>HYPERLINK("https://checko.ru/search?query=3801001629","Чекко: проверить")</f>
        <v/>
      </c>
      <c r="S1264" t="n">
        <v>0</v>
      </c>
    </row>
    <row r="1265" ht="15" customHeight="1" s="24">
      <c r="A1265" s="13" t="n">
        <v>5000095276</v>
      </c>
      <c r="B1265" s="13" t="inlineStr">
        <is>
          <t>ГБУ "Кабардино-Балкарский лесхоз"</t>
        </is>
      </c>
      <c r="C1265" s="13" t="n">
        <v>726011940</v>
      </c>
      <c r="D1265" s="13" t="n"/>
      <c r="E1265" s="13" t="inlineStr">
        <is>
          <t>Не определён</t>
        </is>
      </c>
      <c r="F1265" s="13" t="inlineStr">
        <is>
          <t>726011940</t>
        </is>
      </c>
      <c r="G1265" s="14" t="n"/>
      <c r="H1265" s="14" t="n"/>
      <c r="I1265" s="14" t="n"/>
      <c r="J1265" s="14" t="n"/>
      <c r="K1265" s="13">
        <f>IF(G1265="","",IF(G1265&gt;=22,"Да","Нет"))</f>
        <v/>
      </c>
      <c r="L1265" s="13">
        <f>IF(OR(I1265="",J1265=""),"Не определено",IF(OR(COUNTIF(I1265,"45*")&gt;0,COUNTIF(J1265,"*45*")&gt;0,COUNTIF(I1265,"46*")&gt;0,COUNTIF(J1265,"*46*")&gt;0,COUNTIF(I1265,"47*")&gt;0,COUNTIF(J1265,"*47*")&gt;0,COUNTIF(I1265,"10*")&gt;0,COUNTIF(J1265,"*10*")&gt;0,COUNTIF(I1265,"11*")&gt;0,COUNTIF(J1265,"*11*")&gt;0,COUNTIF(I1265,"12*")&gt;0,COUNTIF(J1265,"*12*")&gt;0,COUNTIF(I1265,"13*")&gt;0,COUNTIF(J1265,"*13*")&gt;0,COUNTIF(I1265,"14*")&gt;0,COUNTIF(J1265,"*14*")&gt;0,COUNTIF(I1265,"15*")&gt;0,COUNTIF(J1265,"*15*")&gt;0,COUNTIF(I1265,"16*")&gt;0,COUNTIF(J1265,"*16*")&gt;0,COUNTIF(I1265,"17*")&gt;0,COUNTIF(J1265,"*17*")&gt;0,COUNTIF(I1265,"18*")&gt;0,COUNTIF(J1265,"*18*")&gt;0,COUNTIF(I1265,"19*")&gt;0,COUNTIF(J1265,"*19*")&gt;0,COUNTIF(I1265,"20*")&gt;0,COUNTIF(J1265,"*20*")&gt;0,COUNTIF(I1265,"21*")&gt;0,COUNTIF(J1265,"*21*")&gt;0,COUNTIF(I1265,"22*")&gt;0,COUNTIF(J1265,"*22*")&gt;0,COUNTIF(I1265,"23*")&gt;0,COUNTIF(J1265,"*23*")&gt;0,COUNTIF(I1265,"24*")&gt;0,COUNTIF(J1265,"*24*")&gt;0,COUNTIF(I1265,"25*")&gt;0,COUNTIF(J1265,"*25*")&gt;0,COUNTIF(I1265,"26*")&gt;0,COUNTIF(J1265,"*26*")&gt;0,COUNTIF(I1265,"27*")&gt;0,COUNTIF(J1265,"*27*")&gt;0,COUNTIF(I1265,"28*")&gt;0,COUNTIF(J1265,"*28*")&gt;0,COUNTIF(I1265,"29*")&gt;0,COUNTIF(J1265,"*29*")&gt;0,COUNTIF(I1265,"30*")&gt;0,COUNTIF(J1265,"*30*")&gt;0,COUNTIF(I1265,"31*")&gt;0,COUNTIF(J1265,"*31*")&gt;0,COUNTIF(I1265,"32*")&gt;0,COUNTIF(J1265,"*32*")&gt;0,COUNTIF(I1265,"33*")&gt;0,COUNTIF(J1265,"*33*")&gt;0,COUNTIF(I1265,"41*")&gt;0,COUNTIF(J1265,"*41*")&gt;0,COUNTIF(I1265,"42*")&gt;0,COUNTIF(J1265,"*42*")&gt;0,COUNTIF(I1265,"43*")&gt;0,COUNTIF(J1265,"*43*")&gt;0,COUNTIF(I1265,"49*")&gt;0,COUNTIF(J1265,"*49*")&gt;0,COUNTIF(I1265,"52*")&gt;0,COUNTIF(J1265,"*52*")&gt;0,COUNTIF(I1265,"55*")&gt;0,COUNTIF(J1265,"*55*")&gt;0,COUNTIF(I1265,"56*")&gt;0,COUNTIF(J1265,"*56*")&gt;0,COUNTIF(I1265,"68*")&gt;0,COUNTIF(J1265,"*68*")&gt;0,COUNTIF(I1265,"78*")&gt;0,COUNTIF(J1265,"*78*")&gt;0,COUNTIF(I1265,"81*")&gt;0,COUNTIF(J1265,"*81*")&gt;0,COUNTIF(I1265,"82*")&gt;0,COUNTIF(J1265,"*82*")&gt;0,COUNTIF(I1265,"64*")&gt;0,COUNTIF(J1265,"*64*")&gt;0,COUNTIF(I1265,"65*")&gt;0,COUNTIF(J1265,"*65*")&gt;0,COUNTIF(I1265,"66*")&gt;0,COUNTIF(J1265,"*66*")&gt;0,COUNTIF(I1265,"61*")&gt;0,COUNTIF(J1265,"*61*")&gt;0,COUNTIF(I1265,"62*")&gt;0,COUNTIF(J1265,"*62*")&gt;0,COUNTIF(I1265,"63*")&gt;0,COUNTIF(J1265,"*63*")&gt;0,COUNTIF(I1265,"85*")&gt;0,COUNTIF(J1265,"*85*")&gt;0,COUNTIF(I1265,"86*")&gt;0,COUNTIF(J1265,"*86*")&gt;0),"Да","Нет"))</f>
        <v/>
      </c>
      <c r="M1265" s="13">
        <f>IF(OR(G1265="",L1265&lt;&gt;"Да"),"",IF(G1265&lt;=100,"До 100",IF(G1265&lt;=200,"До 200",IF(G1265&lt;=500,"До 500","Отдельное КП"))))</f>
        <v/>
      </c>
      <c r="N1265" s="15">
        <f>IF(OR(G1265="",L1265&lt;&gt;"Да"),"",IF(G1265&lt;=100,33600,IF(G1265&lt;=200,62400,IF(G1265&lt;=500,144000,""))))</f>
        <v/>
      </c>
      <c r="O1265" s="16">
        <f>IF(G1265="","",IF(G1265&lt;=15,"1–15",IF(G1265&lt;=30,"16–30",IF(G1265&lt;=50,"31–50",IF(G1265&lt;=100,"51–100",IF(G1265&lt;=150,"101–150",IF(G1265&lt;=200,"151–200",IF(G1265&lt;=500,"201–500","500+"))))))))</f>
        <v/>
      </c>
      <c r="P1265" s="16" t="inlineStr">
        <is>
          <t>Нет совпадения в предоставленной выгрузке ССЧР</t>
        </is>
      </c>
      <c r="Q1265" s="16" t="n"/>
      <c r="R1265" s="16">
        <f>HYPERLINK("https://checko.ru/search?query=3801001629","Чекко: проверить")</f>
        <v/>
      </c>
      <c r="S1265" t="n">
        <v>0</v>
      </c>
    </row>
    <row r="1266" ht="27.75" customHeight="1" s="24">
      <c r="A1266" s="13" t="n">
        <v>5000121125</v>
      </c>
      <c r="B1266" s="13" t="inlineStr">
        <is>
          <t>Упрдоркапстрой Одинцовского муниципального района</t>
        </is>
      </c>
      <c r="C1266" s="13" t="n">
        <v>5032219299</v>
      </c>
      <c r="D1266" s="13" t="inlineStr">
        <is>
          <t>5032219299</t>
        </is>
      </c>
      <c r="E1266" s="13" t="inlineStr">
        <is>
          <t>ЮЛ РФ</t>
        </is>
      </c>
      <c r="F1266" s="13" t="n"/>
      <c r="G1266" s="14" t="n"/>
      <c r="H1266" s="14" t="n"/>
      <c r="I1266" s="14" t="n"/>
      <c r="J1266" s="14" t="n"/>
      <c r="K1266" s="53" t="inlineStr"/>
      <c r="L1266" s="53" t="inlineStr">
        <is>
          <t>Не определено</t>
        </is>
      </c>
      <c r="M1266" s="53" t="inlineStr"/>
      <c r="N1266" s="54" t="inlineStr"/>
      <c r="O1266" s="55" t="inlineStr"/>
      <c r="P1266" s="16" t="inlineStr">
        <is>
          <t>Требует обогащения</t>
        </is>
      </c>
      <c r="Q1266" s="16">
        <f>HYPERLINK("https://pb.nalog.ru/search.html?query=5032219299","ФНС: проверить")</f>
        <v/>
      </c>
      <c r="R1266" s="16">
        <f>HYPERLINK("https://checko.ru/search?query=3801001629","Чекко: проверить")</f>
        <v/>
      </c>
      <c r="S1266" t="n">
        <v>1</v>
      </c>
      <c r="T1266" s="35" t="inlineStr">
        <is>
          <t>4 — Не обогащён</t>
        </is>
      </c>
      <c r="U1266" s="35" t="inlineStr">
        <is>
          <t>Нет ОКВЭД/ССЧР</t>
        </is>
      </c>
      <c r="V1266" s="35" t="inlineStr">
        <is>
          <t>Не определено</t>
        </is>
      </c>
      <c r="W1266" s="35" t="inlineStr"/>
      <c r="X1266" s="35" t="inlineStr"/>
    </row>
    <row r="1267" ht="15" customHeight="1" s="24">
      <c r="A1267" s="13" t="n">
        <v>5000094399</v>
      </c>
      <c r="B1267" s="13" t="inlineStr">
        <is>
          <t>ГБУЗ "Стоматологическая поликлиника" г. Баксан</t>
        </is>
      </c>
      <c r="C1267" s="13" t="n">
        <v>701004236</v>
      </c>
      <c r="D1267" s="13" t="n"/>
      <c r="E1267" s="13" t="inlineStr">
        <is>
          <t>Не определён</t>
        </is>
      </c>
      <c r="F1267" s="13" t="inlineStr">
        <is>
          <t>701004236</t>
        </is>
      </c>
      <c r="G1267" s="14" t="n"/>
      <c r="H1267" s="14" t="n"/>
      <c r="I1267" s="14" t="n"/>
      <c r="J1267" s="14" t="n"/>
      <c r="K1267" s="13">
        <f>IF(G1267="","",IF(G1267&gt;=22,"Да","Нет"))</f>
        <v/>
      </c>
      <c r="L1267" s="13">
        <f>IF(OR(I1267="",J1267=""),"Не определено",IF(OR(COUNTIF(I1267,"45*")&gt;0,COUNTIF(J1267,"*45*")&gt;0,COUNTIF(I1267,"46*")&gt;0,COUNTIF(J1267,"*46*")&gt;0,COUNTIF(I1267,"47*")&gt;0,COUNTIF(J1267,"*47*")&gt;0,COUNTIF(I1267,"10*")&gt;0,COUNTIF(J1267,"*10*")&gt;0,COUNTIF(I1267,"11*")&gt;0,COUNTIF(J1267,"*11*")&gt;0,COUNTIF(I1267,"12*")&gt;0,COUNTIF(J1267,"*12*")&gt;0,COUNTIF(I1267,"13*")&gt;0,COUNTIF(J1267,"*13*")&gt;0,COUNTIF(I1267,"14*")&gt;0,COUNTIF(J1267,"*14*")&gt;0,COUNTIF(I1267,"15*")&gt;0,COUNTIF(J1267,"*15*")&gt;0,COUNTIF(I1267,"16*")&gt;0,COUNTIF(J1267,"*16*")&gt;0,COUNTIF(I1267,"17*")&gt;0,COUNTIF(J1267,"*17*")&gt;0,COUNTIF(I1267,"18*")&gt;0,COUNTIF(J1267,"*18*")&gt;0,COUNTIF(I1267,"19*")&gt;0,COUNTIF(J1267,"*19*")&gt;0,COUNTIF(I1267,"20*")&gt;0,COUNTIF(J1267,"*20*")&gt;0,COUNTIF(I1267,"21*")&gt;0,COUNTIF(J1267,"*21*")&gt;0,COUNTIF(I1267,"22*")&gt;0,COUNTIF(J1267,"*22*")&gt;0,COUNTIF(I1267,"23*")&gt;0,COUNTIF(J1267,"*23*")&gt;0,COUNTIF(I1267,"24*")&gt;0,COUNTIF(J1267,"*24*")&gt;0,COUNTIF(I1267,"25*")&gt;0,COUNTIF(J1267,"*25*")&gt;0,COUNTIF(I1267,"26*")&gt;0,COUNTIF(J1267,"*26*")&gt;0,COUNTIF(I1267,"27*")&gt;0,COUNTIF(J1267,"*27*")&gt;0,COUNTIF(I1267,"28*")&gt;0,COUNTIF(J1267,"*28*")&gt;0,COUNTIF(I1267,"29*")&gt;0,COUNTIF(J1267,"*29*")&gt;0,COUNTIF(I1267,"30*")&gt;0,COUNTIF(J1267,"*30*")&gt;0,COUNTIF(I1267,"31*")&gt;0,COUNTIF(J1267,"*31*")&gt;0,COUNTIF(I1267,"32*")&gt;0,COUNTIF(J1267,"*32*")&gt;0,COUNTIF(I1267,"33*")&gt;0,COUNTIF(J1267,"*33*")&gt;0,COUNTIF(I1267,"41*")&gt;0,COUNTIF(J1267,"*41*")&gt;0,COUNTIF(I1267,"42*")&gt;0,COUNTIF(J1267,"*42*")&gt;0,COUNTIF(I1267,"43*")&gt;0,COUNTIF(J1267,"*43*")&gt;0,COUNTIF(I1267,"49*")&gt;0,COUNTIF(J1267,"*49*")&gt;0,COUNTIF(I1267,"52*")&gt;0,COUNTIF(J1267,"*52*")&gt;0,COUNTIF(I1267,"55*")&gt;0,COUNTIF(J1267,"*55*")&gt;0,COUNTIF(I1267,"56*")&gt;0,COUNTIF(J1267,"*56*")&gt;0,COUNTIF(I1267,"68*")&gt;0,COUNTIF(J1267,"*68*")&gt;0,COUNTIF(I1267,"78*")&gt;0,COUNTIF(J1267,"*78*")&gt;0,COUNTIF(I1267,"81*")&gt;0,COUNTIF(J1267,"*81*")&gt;0,COUNTIF(I1267,"82*")&gt;0,COUNTIF(J1267,"*82*")&gt;0,COUNTIF(I1267,"64*")&gt;0,COUNTIF(J1267,"*64*")&gt;0,COUNTIF(I1267,"65*")&gt;0,COUNTIF(J1267,"*65*")&gt;0,COUNTIF(I1267,"66*")&gt;0,COUNTIF(J1267,"*66*")&gt;0,COUNTIF(I1267,"61*")&gt;0,COUNTIF(J1267,"*61*")&gt;0,COUNTIF(I1267,"62*")&gt;0,COUNTIF(J1267,"*62*")&gt;0,COUNTIF(I1267,"63*")&gt;0,COUNTIF(J1267,"*63*")&gt;0,COUNTIF(I1267,"85*")&gt;0,COUNTIF(J1267,"*85*")&gt;0,COUNTIF(I1267,"86*")&gt;0,COUNTIF(J1267,"*86*")&gt;0),"Да","Нет"))</f>
        <v/>
      </c>
      <c r="M1267" s="13">
        <f>IF(OR(G1267="",L1267&lt;&gt;"Да"),"",IF(G1267&lt;=100,"До 100",IF(G1267&lt;=200,"До 200",IF(G1267&lt;=500,"До 500","Отдельное КП"))))</f>
        <v/>
      </c>
      <c r="N1267" s="15">
        <f>IF(OR(G1267="",L1267&lt;&gt;"Да"),"",IF(G1267&lt;=100,33600,IF(G1267&lt;=200,62400,IF(G1267&lt;=500,144000,""))))</f>
        <v/>
      </c>
      <c r="O1267" s="16">
        <f>IF(G1267="","",IF(G1267&lt;=15,"1–15",IF(G1267&lt;=30,"16–30",IF(G1267&lt;=50,"31–50",IF(G1267&lt;=100,"51–100",IF(G1267&lt;=150,"101–150",IF(G1267&lt;=200,"151–200",IF(G1267&lt;=500,"201–500","500+"))))))))</f>
        <v/>
      </c>
      <c r="P1267" s="16" t="inlineStr">
        <is>
          <t>Нет совпадения в предоставленной выгрузке ССЧР</t>
        </is>
      </c>
      <c r="Q1267" s="16" t="n"/>
      <c r="R1267" s="16">
        <f>HYPERLINK("https://checko.ru/search?query=3801001629","Чекко: проверить")</f>
        <v/>
      </c>
      <c r="S1267" t="n">
        <v>0</v>
      </c>
    </row>
    <row r="1268" ht="27.75" customHeight="1" s="24">
      <c r="A1268" s="13" t="n">
        <v>5000106234</v>
      </c>
      <c r="B1268" s="13" t="inlineStr">
        <is>
          <t>МИНИСТЕРСТВО КУЛЬТУРЫ И ВНЕШНИХ СВЯЗЕЙ ОРЕНБУРГСКОЙ ОБЛАСТИ</t>
        </is>
      </c>
      <c r="C1268" s="13" t="n">
        <v>5610128762</v>
      </c>
      <c r="D1268" s="13" t="inlineStr">
        <is>
          <t>5610128762</t>
        </is>
      </c>
      <c r="E1268" s="13" t="inlineStr">
        <is>
          <t>ЮЛ РФ</t>
        </is>
      </c>
      <c r="F1268" s="13" t="n"/>
      <c r="G1268" s="14" t="n"/>
      <c r="H1268" s="14" t="n"/>
      <c r="I1268" s="14" t="n"/>
      <c r="J1268" s="14" t="n"/>
      <c r="K1268" s="53" t="inlineStr"/>
      <c r="L1268" s="53" t="inlineStr">
        <is>
          <t>Не определено</t>
        </is>
      </c>
      <c r="M1268" s="53" t="inlineStr"/>
      <c r="N1268" s="54" t="inlineStr"/>
      <c r="O1268" s="55" t="inlineStr"/>
      <c r="P1268" s="16" t="inlineStr">
        <is>
          <t>Требует обогащения</t>
        </is>
      </c>
      <c r="Q1268" s="16">
        <f>HYPERLINK("https://pb.nalog.ru/search.html?query=5610128762","ФНС: проверить")</f>
        <v/>
      </c>
      <c r="R1268" s="16">
        <f>HYPERLINK("https://checko.ru/search?query=3801001629","Чекко: проверить")</f>
        <v/>
      </c>
      <c r="S1268" t="n">
        <v>1</v>
      </c>
      <c r="T1268" s="35" t="inlineStr">
        <is>
          <t>4 — Не обогащён</t>
        </is>
      </c>
      <c r="U1268" s="35" t="inlineStr">
        <is>
          <t>Нет ОКВЭД/ССЧР</t>
        </is>
      </c>
      <c r="V1268" s="35" t="inlineStr">
        <is>
          <t>Не определено</t>
        </is>
      </c>
      <c r="W1268" s="35" t="inlineStr"/>
      <c r="X1268" s="35" t="inlineStr"/>
    </row>
    <row r="1269" ht="41.25" customHeight="1" s="24">
      <c r="A1269" s="13" t="n">
        <v>5000075692</v>
      </c>
      <c r="B1269" s="13" t="inlineStr">
        <is>
          <t>ГКУ "Центр по материально-техническому и хозяйственному обеспечению деятельности мировых судей Оренбургской области"</t>
        </is>
      </c>
      <c r="C1269" s="13" t="n">
        <v>5610214323</v>
      </c>
      <c r="D1269" s="13" t="inlineStr">
        <is>
          <t>5610214323</t>
        </is>
      </c>
      <c r="E1269" s="13" t="inlineStr">
        <is>
          <t>ЮЛ РФ</t>
        </is>
      </c>
      <c r="F1269" s="13" t="n"/>
      <c r="G1269" s="14" t="n"/>
      <c r="H1269" s="14" t="n"/>
      <c r="I1269" s="14" t="n"/>
      <c r="J1269" s="14" t="n"/>
      <c r="K1269" s="53" t="inlineStr"/>
      <c r="L1269" s="53" t="inlineStr">
        <is>
          <t>Не определено</t>
        </is>
      </c>
      <c r="M1269" s="53" t="inlineStr"/>
      <c r="N1269" s="54" t="inlineStr"/>
      <c r="O1269" s="55" t="inlineStr"/>
      <c r="P1269" s="16" t="inlineStr">
        <is>
          <t>Требует обогащения</t>
        </is>
      </c>
      <c r="Q1269" s="16">
        <f>HYPERLINK("https://pb.nalog.ru/search.html?query=5610214323","ФНС: проверить")</f>
        <v/>
      </c>
      <c r="R1269" s="16">
        <f>HYPERLINK("https://checko.ru/search?query=3801001629","Чекко: проверить")</f>
        <v/>
      </c>
      <c r="S1269" t="n">
        <v>1</v>
      </c>
      <c r="T1269" s="35" t="inlineStr">
        <is>
          <t>4 — Не обогащён</t>
        </is>
      </c>
      <c r="U1269" s="35" t="inlineStr">
        <is>
          <t>Нет ОКВЭД/ССЧР</t>
        </is>
      </c>
      <c r="V1269" s="35" t="inlineStr">
        <is>
          <t>Не определено</t>
        </is>
      </c>
      <c r="W1269" s="35" t="inlineStr"/>
      <c r="X1269" s="35" t="inlineStr"/>
    </row>
    <row r="1270" ht="15" customHeight="1" s="24">
      <c r="A1270" s="13" t="n">
        <v>5000094776</v>
      </c>
      <c r="B1270" s="13" t="inlineStr">
        <is>
          <t>Администрация с.п. Морзох</t>
        </is>
      </c>
      <c r="C1270" s="13" t="n">
        <v>707007650</v>
      </c>
      <c r="D1270" s="13" t="n"/>
      <c r="E1270" s="13" t="inlineStr">
        <is>
          <t>Не определён</t>
        </is>
      </c>
      <c r="F1270" s="13" t="inlineStr">
        <is>
          <t>707007650</t>
        </is>
      </c>
      <c r="G1270" s="14" t="n"/>
      <c r="H1270" s="14" t="n"/>
      <c r="I1270" s="14" t="n"/>
      <c r="J1270" s="14" t="n"/>
      <c r="K1270" s="13">
        <f>IF(G1270="","",IF(G1270&gt;=22,"Да","Нет"))</f>
        <v/>
      </c>
      <c r="L1270" s="13">
        <f>IF(OR(I1270="",J1270=""),"Не определено",IF(OR(COUNTIF(I1270,"45*")&gt;0,COUNTIF(J1270,"*45*")&gt;0,COUNTIF(I1270,"46*")&gt;0,COUNTIF(J1270,"*46*")&gt;0,COUNTIF(I1270,"47*")&gt;0,COUNTIF(J1270,"*47*")&gt;0,COUNTIF(I1270,"10*")&gt;0,COUNTIF(J1270,"*10*")&gt;0,COUNTIF(I1270,"11*")&gt;0,COUNTIF(J1270,"*11*")&gt;0,COUNTIF(I1270,"12*")&gt;0,COUNTIF(J1270,"*12*")&gt;0,COUNTIF(I1270,"13*")&gt;0,COUNTIF(J1270,"*13*")&gt;0,COUNTIF(I1270,"14*")&gt;0,COUNTIF(J1270,"*14*")&gt;0,COUNTIF(I1270,"15*")&gt;0,COUNTIF(J1270,"*15*")&gt;0,COUNTIF(I1270,"16*")&gt;0,COUNTIF(J1270,"*16*")&gt;0,COUNTIF(I1270,"17*")&gt;0,COUNTIF(J1270,"*17*")&gt;0,COUNTIF(I1270,"18*")&gt;0,COUNTIF(J1270,"*18*")&gt;0,COUNTIF(I1270,"19*")&gt;0,COUNTIF(J1270,"*19*")&gt;0,COUNTIF(I1270,"20*")&gt;0,COUNTIF(J1270,"*20*")&gt;0,COUNTIF(I1270,"21*")&gt;0,COUNTIF(J1270,"*21*")&gt;0,COUNTIF(I1270,"22*")&gt;0,COUNTIF(J1270,"*22*")&gt;0,COUNTIF(I1270,"23*")&gt;0,COUNTIF(J1270,"*23*")&gt;0,COUNTIF(I1270,"24*")&gt;0,COUNTIF(J1270,"*24*")&gt;0,COUNTIF(I1270,"25*")&gt;0,COUNTIF(J1270,"*25*")&gt;0,COUNTIF(I1270,"26*")&gt;0,COUNTIF(J1270,"*26*")&gt;0,COUNTIF(I1270,"27*")&gt;0,COUNTIF(J1270,"*27*")&gt;0,COUNTIF(I1270,"28*")&gt;0,COUNTIF(J1270,"*28*")&gt;0,COUNTIF(I1270,"29*")&gt;0,COUNTIF(J1270,"*29*")&gt;0,COUNTIF(I1270,"30*")&gt;0,COUNTIF(J1270,"*30*")&gt;0,COUNTIF(I1270,"31*")&gt;0,COUNTIF(J1270,"*31*")&gt;0,COUNTIF(I1270,"32*")&gt;0,COUNTIF(J1270,"*32*")&gt;0,COUNTIF(I1270,"33*")&gt;0,COUNTIF(J1270,"*33*")&gt;0,COUNTIF(I1270,"41*")&gt;0,COUNTIF(J1270,"*41*")&gt;0,COUNTIF(I1270,"42*")&gt;0,COUNTIF(J1270,"*42*")&gt;0,COUNTIF(I1270,"43*")&gt;0,COUNTIF(J1270,"*43*")&gt;0,COUNTIF(I1270,"49*")&gt;0,COUNTIF(J1270,"*49*")&gt;0,COUNTIF(I1270,"52*")&gt;0,COUNTIF(J1270,"*52*")&gt;0,COUNTIF(I1270,"55*")&gt;0,COUNTIF(J1270,"*55*")&gt;0,COUNTIF(I1270,"56*")&gt;0,COUNTIF(J1270,"*56*")&gt;0,COUNTIF(I1270,"68*")&gt;0,COUNTIF(J1270,"*68*")&gt;0,COUNTIF(I1270,"78*")&gt;0,COUNTIF(J1270,"*78*")&gt;0,COUNTIF(I1270,"81*")&gt;0,COUNTIF(J1270,"*81*")&gt;0,COUNTIF(I1270,"82*")&gt;0,COUNTIF(J1270,"*82*")&gt;0,COUNTIF(I1270,"64*")&gt;0,COUNTIF(J1270,"*64*")&gt;0,COUNTIF(I1270,"65*")&gt;0,COUNTIF(J1270,"*65*")&gt;0,COUNTIF(I1270,"66*")&gt;0,COUNTIF(J1270,"*66*")&gt;0,COUNTIF(I1270,"61*")&gt;0,COUNTIF(J1270,"*61*")&gt;0,COUNTIF(I1270,"62*")&gt;0,COUNTIF(J1270,"*62*")&gt;0,COUNTIF(I1270,"63*")&gt;0,COUNTIF(J1270,"*63*")&gt;0,COUNTIF(I1270,"85*")&gt;0,COUNTIF(J1270,"*85*")&gt;0,COUNTIF(I1270,"86*")&gt;0,COUNTIF(J1270,"*86*")&gt;0),"Да","Нет"))</f>
        <v/>
      </c>
      <c r="M1270" s="13">
        <f>IF(OR(G1270="",L1270&lt;&gt;"Да"),"",IF(G1270&lt;=100,"До 100",IF(G1270&lt;=200,"До 200",IF(G1270&lt;=500,"До 500","Отдельное КП"))))</f>
        <v/>
      </c>
      <c r="N1270" s="15">
        <f>IF(OR(G1270="",L1270&lt;&gt;"Да"),"",IF(G1270&lt;=100,33600,IF(G1270&lt;=200,62400,IF(G1270&lt;=500,144000,""))))</f>
        <v/>
      </c>
      <c r="O1270" s="16">
        <f>IF(G1270="","",IF(G1270&lt;=15,"1–15",IF(G1270&lt;=30,"16–30",IF(G1270&lt;=50,"31–50",IF(G1270&lt;=100,"51–100",IF(G1270&lt;=150,"101–150",IF(G1270&lt;=200,"151–200",IF(G1270&lt;=500,"201–500","500+"))))))))</f>
        <v/>
      </c>
      <c r="P1270" s="16" t="inlineStr">
        <is>
          <t>Нет совпадения в предоставленной выгрузке ССЧР</t>
        </is>
      </c>
      <c r="Q1270" s="16" t="n"/>
      <c r="R1270" s="16">
        <f>HYPERLINK("https://checko.ru/search?query=3801001629","Чекко: проверить")</f>
        <v/>
      </c>
      <c r="S1270" t="n">
        <v>0</v>
      </c>
    </row>
    <row r="1271" ht="27.75" customHeight="1" s="24">
      <c r="A1271" s="13" t="n">
        <v>5000038521</v>
      </c>
      <c r="B1271" s="13" t="inlineStr">
        <is>
          <t>ОГКУ ДО Детско-юношеская спортивная школа по хоккею</t>
        </is>
      </c>
      <c r="C1271" s="13" t="n">
        <v>7328084357</v>
      </c>
      <c r="D1271" s="13" t="inlineStr">
        <is>
          <t>7328084357</t>
        </is>
      </c>
      <c r="E1271" s="13" t="inlineStr">
        <is>
          <t>ЮЛ РФ</t>
        </is>
      </c>
      <c r="F1271" s="13" t="n"/>
      <c r="G1271" s="14" t="n"/>
      <c r="H1271" s="14" t="n"/>
      <c r="I1271" s="14" t="n"/>
      <c r="J1271" s="14" t="n"/>
      <c r="K1271" s="53" t="inlineStr"/>
      <c r="L1271" s="53" t="inlineStr">
        <is>
          <t>Не определено</t>
        </is>
      </c>
      <c r="M1271" s="53" t="inlineStr"/>
      <c r="N1271" s="54" t="inlineStr"/>
      <c r="O1271" s="55" t="inlineStr"/>
      <c r="P1271" s="16" t="inlineStr">
        <is>
          <t>Требует обогащения</t>
        </is>
      </c>
      <c r="Q1271" s="16">
        <f>HYPERLINK("https://pb.nalog.ru/search.html?query=7328084357","ФНС: проверить")</f>
        <v/>
      </c>
      <c r="R1271" s="16">
        <f>HYPERLINK("https://checko.ru/search?query=3801001629","Чекко: проверить")</f>
        <v/>
      </c>
      <c r="S1271" t="n">
        <v>1</v>
      </c>
      <c r="T1271" s="35" t="inlineStr">
        <is>
          <t>4 — Не обогащён</t>
        </is>
      </c>
      <c r="U1271" s="35" t="inlineStr">
        <is>
          <t>Нет ОКВЭД/ССЧР</t>
        </is>
      </c>
      <c r="V1271" s="35" t="inlineStr">
        <is>
          <t>Не определено</t>
        </is>
      </c>
      <c r="W1271" s="35" t="inlineStr"/>
      <c r="X1271" s="35" t="inlineStr"/>
    </row>
    <row r="1272" ht="27.75" customHeight="1" s="24">
      <c r="A1272" s="13" t="n">
        <v>5000105044</v>
      </c>
      <c r="B1272" s="13" t="inlineStr">
        <is>
          <t>МКДОУ "Детский Сад" С.П. Куба Баксанского района</t>
        </is>
      </c>
      <c r="C1272" s="13" t="n">
        <v>700011456</v>
      </c>
      <c r="D1272" s="13" t="n"/>
      <c r="E1272" s="13" t="inlineStr">
        <is>
          <t>Не определён</t>
        </is>
      </c>
      <c r="F1272" s="13" t="inlineStr">
        <is>
          <t>700011456</t>
        </is>
      </c>
      <c r="G1272" s="14" t="n"/>
      <c r="H1272" s="14" t="n"/>
      <c r="I1272" s="14" t="n"/>
      <c r="J1272" s="14" t="n"/>
      <c r="K1272" s="13">
        <f>IF(G1272="","",IF(G1272&gt;=22,"Да","Нет"))</f>
        <v/>
      </c>
      <c r="L1272" s="13">
        <f>IF(OR(I1272="",J1272=""),"Не определено",IF(OR(COUNTIF(I1272,"45*")&gt;0,COUNTIF(J1272,"*45*")&gt;0,COUNTIF(I1272,"46*")&gt;0,COUNTIF(J1272,"*46*")&gt;0,COUNTIF(I1272,"47*")&gt;0,COUNTIF(J1272,"*47*")&gt;0,COUNTIF(I1272,"10*")&gt;0,COUNTIF(J1272,"*10*")&gt;0,COUNTIF(I1272,"11*")&gt;0,COUNTIF(J1272,"*11*")&gt;0,COUNTIF(I1272,"12*")&gt;0,COUNTIF(J1272,"*12*")&gt;0,COUNTIF(I1272,"13*")&gt;0,COUNTIF(J1272,"*13*")&gt;0,COUNTIF(I1272,"14*")&gt;0,COUNTIF(J1272,"*14*")&gt;0,COUNTIF(I1272,"15*")&gt;0,COUNTIF(J1272,"*15*")&gt;0,COUNTIF(I1272,"16*")&gt;0,COUNTIF(J1272,"*16*")&gt;0,COUNTIF(I1272,"17*")&gt;0,COUNTIF(J1272,"*17*")&gt;0,COUNTIF(I1272,"18*")&gt;0,COUNTIF(J1272,"*18*")&gt;0,COUNTIF(I1272,"19*")&gt;0,COUNTIF(J1272,"*19*")&gt;0,COUNTIF(I1272,"20*")&gt;0,COUNTIF(J1272,"*20*")&gt;0,COUNTIF(I1272,"21*")&gt;0,COUNTIF(J1272,"*21*")&gt;0,COUNTIF(I1272,"22*")&gt;0,COUNTIF(J1272,"*22*")&gt;0,COUNTIF(I1272,"23*")&gt;0,COUNTIF(J1272,"*23*")&gt;0,COUNTIF(I1272,"24*")&gt;0,COUNTIF(J1272,"*24*")&gt;0,COUNTIF(I1272,"25*")&gt;0,COUNTIF(J1272,"*25*")&gt;0,COUNTIF(I1272,"26*")&gt;0,COUNTIF(J1272,"*26*")&gt;0,COUNTIF(I1272,"27*")&gt;0,COUNTIF(J1272,"*27*")&gt;0,COUNTIF(I1272,"28*")&gt;0,COUNTIF(J1272,"*28*")&gt;0,COUNTIF(I1272,"29*")&gt;0,COUNTIF(J1272,"*29*")&gt;0,COUNTIF(I1272,"30*")&gt;0,COUNTIF(J1272,"*30*")&gt;0,COUNTIF(I1272,"31*")&gt;0,COUNTIF(J1272,"*31*")&gt;0,COUNTIF(I1272,"32*")&gt;0,COUNTIF(J1272,"*32*")&gt;0,COUNTIF(I1272,"33*")&gt;0,COUNTIF(J1272,"*33*")&gt;0,COUNTIF(I1272,"41*")&gt;0,COUNTIF(J1272,"*41*")&gt;0,COUNTIF(I1272,"42*")&gt;0,COUNTIF(J1272,"*42*")&gt;0,COUNTIF(I1272,"43*")&gt;0,COUNTIF(J1272,"*43*")&gt;0,COUNTIF(I1272,"49*")&gt;0,COUNTIF(J1272,"*49*")&gt;0,COUNTIF(I1272,"52*")&gt;0,COUNTIF(J1272,"*52*")&gt;0,COUNTIF(I1272,"55*")&gt;0,COUNTIF(J1272,"*55*")&gt;0,COUNTIF(I1272,"56*")&gt;0,COUNTIF(J1272,"*56*")&gt;0,COUNTIF(I1272,"68*")&gt;0,COUNTIF(J1272,"*68*")&gt;0,COUNTIF(I1272,"78*")&gt;0,COUNTIF(J1272,"*78*")&gt;0,COUNTIF(I1272,"81*")&gt;0,COUNTIF(J1272,"*81*")&gt;0,COUNTIF(I1272,"82*")&gt;0,COUNTIF(J1272,"*82*")&gt;0,COUNTIF(I1272,"64*")&gt;0,COUNTIF(J1272,"*64*")&gt;0,COUNTIF(I1272,"65*")&gt;0,COUNTIF(J1272,"*65*")&gt;0,COUNTIF(I1272,"66*")&gt;0,COUNTIF(J1272,"*66*")&gt;0,COUNTIF(I1272,"61*")&gt;0,COUNTIF(J1272,"*61*")&gt;0,COUNTIF(I1272,"62*")&gt;0,COUNTIF(J1272,"*62*")&gt;0,COUNTIF(I1272,"63*")&gt;0,COUNTIF(J1272,"*63*")&gt;0,COUNTIF(I1272,"85*")&gt;0,COUNTIF(J1272,"*85*")&gt;0,COUNTIF(I1272,"86*")&gt;0,COUNTIF(J1272,"*86*")&gt;0),"Да","Нет"))</f>
        <v/>
      </c>
      <c r="M1272" s="13">
        <f>IF(OR(G1272="",L1272&lt;&gt;"Да"),"",IF(G1272&lt;=100,"До 100",IF(G1272&lt;=200,"До 200",IF(G1272&lt;=500,"До 500","Отдельное КП"))))</f>
        <v/>
      </c>
      <c r="N1272" s="15">
        <f>IF(OR(G1272="",L1272&lt;&gt;"Да"),"",IF(G1272&lt;=100,33600,IF(G1272&lt;=200,62400,IF(G1272&lt;=500,144000,""))))</f>
        <v/>
      </c>
      <c r="O1272" s="16">
        <f>IF(G1272="","",IF(G1272&lt;=15,"1–15",IF(G1272&lt;=30,"16–30",IF(G1272&lt;=50,"31–50",IF(G1272&lt;=100,"51–100",IF(G1272&lt;=150,"101–150",IF(G1272&lt;=200,"151–200",IF(G1272&lt;=500,"201–500","500+"))))))))</f>
        <v/>
      </c>
      <c r="P1272" s="16" t="inlineStr">
        <is>
          <t>Нет совпадения в предоставленной выгрузке ССЧР</t>
        </is>
      </c>
      <c r="Q1272" s="16" t="n"/>
      <c r="R1272" s="16">
        <f>HYPERLINK("https://checko.ru/search?query=3801001629","Чекко: проверить")</f>
        <v/>
      </c>
      <c r="S1272" t="n">
        <v>0</v>
      </c>
    </row>
    <row r="1273" ht="27.75" customHeight="1" s="24">
      <c r="A1273" s="13" t="n">
        <v>5000036243</v>
      </c>
      <c r="B1273" s="13" t="inlineStr">
        <is>
          <t>Областное автономное учреждение "Информационное агентство"Ник-медиа"</t>
        </is>
      </c>
      <c r="C1273" s="13" t="n">
        <v>7311007097</v>
      </c>
      <c r="D1273" s="13" t="inlineStr">
        <is>
          <t>7311007097</t>
        </is>
      </c>
      <c r="E1273" s="13" t="inlineStr">
        <is>
          <t>ЮЛ РФ</t>
        </is>
      </c>
      <c r="F1273" s="13" t="n"/>
      <c r="G1273" s="14" t="n"/>
      <c r="H1273" s="14" t="n"/>
      <c r="I1273" s="14" t="n"/>
      <c r="J1273" s="14" t="n"/>
      <c r="K1273" s="53" t="inlineStr"/>
      <c r="L1273" s="53" t="inlineStr">
        <is>
          <t>Не определено</t>
        </is>
      </c>
      <c r="M1273" s="53" t="inlineStr"/>
      <c r="N1273" s="54" t="inlineStr"/>
      <c r="O1273" s="55" t="inlineStr"/>
      <c r="P1273" s="16" t="inlineStr">
        <is>
          <t>Требует обогащения</t>
        </is>
      </c>
      <c r="Q1273" s="16">
        <f>HYPERLINK("https://pb.nalog.ru/search.html?query=7311007097","ФНС: проверить")</f>
        <v/>
      </c>
      <c r="R1273" s="16">
        <f>HYPERLINK("https://checko.ru/search?query=3801001629","Чекко: проверить")</f>
        <v/>
      </c>
      <c r="S1273" t="n">
        <v>1</v>
      </c>
      <c r="T1273" s="35" t="inlineStr">
        <is>
          <t>4 — Не обогащён</t>
        </is>
      </c>
      <c r="U1273" s="35" t="inlineStr">
        <is>
          <t>Нет ОКВЭД/ССЧР</t>
        </is>
      </c>
      <c r="V1273" s="35" t="inlineStr">
        <is>
          <t>Не определено</t>
        </is>
      </c>
      <c r="W1273" s="35" t="inlineStr"/>
      <c r="X1273" s="35" t="inlineStr"/>
    </row>
    <row r="1274" ht="27.75" customHeight="1" s="24">
      <c r="A1274" s="13" t="n">
        <v>5000001479</v>
      </c>
      <c r="B1274" s="13" t="inlineStr">
        <is>
          <t>Иркутская городская № 3 территориальная избирательная комиссия (Правобережный округ)</t>
        </is>
      </c>
      <c r="C1274" s="13" t="n">
        <v>3808100883</v>
      </c>
      <c r="D1274" s="13" t="inlineStr">
        <is>
          <t>3808100883</t>
        </is>
      </c>
      <c r="E1274" s="13" t="inlineStr">
        <is>
          <t>ЮЛ РФ</t>
        </is>
      </c>
      <c r="F1274" s="13" t="n"/>
      <c r="G1274" s="14" t="n"/>
      <c r="H1274" s="14" t="n"/>
      <c r="I1274" s="14" t="n"/>
      <c r="J1274" s="14" t="n"/>
      <c r="K1274" s="53" t="inlineStr"/>
      <c r="L1274" s="53" t="inlineStr">
        <is>
          <t>Не определено</t>
        </is>
      </c>
      <c r="M1274" s="53" t="inlineStr"/>
      <c r="N1274" s="54" t="inlineStr"/>
      <c r="O1274" s="55" t="inlineStr"/>
      <c r="P1274" s="16" t="inlineStr">
        <is>
          <t>Требует обогащения</t>
        </is>
      </c>
      <c r="Q1274" s="16">
        <f>HYPERLINK("https://pb.nalog.ru/search.html?query=3808100883","ФНС: проверить")</f>
        <v/>
      </c>
      <c r="R1274" s="16">
        <f>HYPERLINK("https://checko.ru/search?query=3801001629","Чекко: проверить")</f>
        <v/>
      </c>
      <c r="S1274" t="n">
        <v>1</v>
      </c>
      <c r="T1274" s="35" t="inlineStr">
        <is>
          <t>4 — Не обогащён</t>
        </is>
      </c>
      <c r="U1274" s="35" t="inlineStr">
        <is>
          <t>Нет ОКВЭД/ССЧР</t>
        </is>
      </c>
      <c r="V1274" s="35" t="inlineStr">
        <is>
          <t>Не определено</t>
        </is>
      </c>
      <c r="W1274" s="35" t="inlineStr"/>
      <c r="X1274" s="35" t="inlineStr"/>
    </row>
    <row r="1275" ht="27.75" customHeight="1" s="24">
      <c r="A1275" s="13" t="n">
        <v>5000001942</v>
      </c>
      <c r="B1275" s="13" t="inlineStr">
        <is>
          <t>ОГОКУ для детей-сирот и детей, оставшихся без попечения родителей</t>
        </is>
      </c>
      <c r="C1275" s="13" t="n">
        <v>3831002549</v>
      </c>
      <c r="D1275" s="13" t="inlineStr">
        <is>
          <t>3831002549</t>
        </is>
      </c>
      <c r="E1275" s="13" t="inlineStr">
        <is>
          <t>ЮЛ РФ</t>
        </is>
      </c>
      <c r="F1275" s="13" t="n"/>
      <c r="G1275" s="14" t="n"/>
      <c r="H1275" s="14" t="n"/>
      <c r="I1275" s="14" t="n"/>
      <c r="J1275" s="14" t="n"/>
      <c r="K1275" s="53" t="inlineStr"/>
      <c r="L1275" s="53" t="inlineStr">
        <is>
          <t>Не определено</t>
        </is>
      </c>
      <c r="M1275" s="53" t="inlineStr"/>
      <c r="N1275" s="54" t="inlineStr"/>
      <c r="O1275" s="55" t="inlineStr"/>
      <c r="P1275" s="16" t="inlineStr">
        <is>
          <t>Требует обогащения</t>
        </is>
      </c>
      <c r="Q1275" s="16">
        <f>HYPERLINK("https://pb.nalog.ru/search.html?query=3831002549","ФНС: проверить")</f>
        <v/>
      </c>
      <c r="R1275" s="16">
        <f>HYPERLINK("https://checko.ru/search?query=3801001629","Чекко: проверить")</f>
        <v/>
      </c>
      <c r="S1275" t="n">
        <v>1</v>
      </c>
      <c r="T1275" s="35" t="inlineStr">
        <is>
          <t>4 — Не обогащён</t>
        </is>
      </c>
      <c r="U1275" s="35" t="inlineStr">
        <is>
          <t>Нет ОКВЭД/ССЧР</t>
        </is>
      </c>
      <c r="V1275" s="35" t="inlineStr">
        <is>
          <t>Не определено</t>
        </is>
      </c>
      <c r="W1275" s="35" t="inlineStr"/>
      <c r="X1275" s="35" t="inlineStr"/>
    </row>
    <row r="1276" ht="27.75" customHeight="1" s="24">
      <c r="A1276" s="13" t="n">
        <v>5000001719</v>
      </c>
      <c r="B1276" s="13" t="inlineStr">
        <is>
          <t>ОбГУ СО "Саянский дом-интернат для престарелых и инвалидов"</t>
        </is>
      </c>
      <c r="C1276" s="13" t="n">
        <v>3814006328</v>
      </c>
      <c r="D1276" s="13" t="inlineStr">
        <is>
          <t>3814006328</t>
        </is>
      </c>
      <c r="E1276" s="13" t="inlineStr">
        <is>
          <t>ЮЛ РФ</t>
        </is>
      </c>
      <c r="F1276" s="13" t="n"/>
      <c r="G1276" s="14" t="n"/>
      <c r="H1276" s="14" t="n"/>
      <c r="I1276" s="14" t="n"/>
      <c r="J1276" s="14" t="n"/>
      <c r="K1276" s="53" t="inlineStr"/>
      <c r="L1276" s="53" t="inlineStr">
        <is>
          <t>Не определено</t>
        </is>
      </c>
      <c r="M1276" s="53" t="inlineStr"/>
      <c r="N1276" s="54" t="inlineStr"/>
      <c r="O1276" s="55" t="inlineStr"/>
      <c r="P1276" s="16" t="inlineStr">
        <is>
          <t>Требует обогащения</t>
        </is>
      </c>
      <c r="Q1276" s="16">
        <f>HYPERLINK("https://pb.nalog.ru/search.html?query=3814006328","ФНС: проверить")</f>
        <v/>
      </c>
      <c r="R1276" s="16">
        <f>HYPERLINK("https://checko.ru/search?query=3801001629","Чекко: проверить")</f>
        <v/>
      </c>
      <c r="S1276" t="n">
        <v>1</v>
      </c>
      <c r="T1276" s="35" t="inlineStr">
        <is>
          <t>4 — Не обогащён</t>
        </is>
      </c>
      <c r="U1276" s="35" t="inlineStr">
        <is>
          <t>Нет ОКВЭД/ССЧР</t>
        </is>
      </c>
      <c r="V1276" s="35" t="inlineStr">
        <is>
          <t>Не определено</t>
        </is>
      </c>
      <c r="W1276" s="35" t="inlineStr"/>
      <c r="X1276" s="35" t="inlineStr"/>
    </row>
    <row r="1277" ht="27.75" customHeight="1" s="24">
      <c r="A1277" s="13" t="n">
        <v>5000001491</v>
      </c>
      <c r="B1277" s="13" t="inlineStr">
        <is>
          <t>Министерство природных ресурсов и экологии Иркутской области</t>
        </is>
      </c>
      <c r="C1277" s="13" t="n">
        <v>3808161406</v>
      </c>
      <c r="D1277" s="13" t="inlineStr">
        <is>
          <t>3808161406</t>
        </is>
      </c>
      <c r="E1277" s="13" t="inlineStr">
        <is>
          <t>ЮЛ РФ</t>
        </is>
      </c>
      <c r="F1277" s="13" t="n"/>
      <c r="G1277" s="14" t="n"/>
      <c r="H1277" s="14" t="n"/>
      <c r="I1277" s="14" t="n"/>
      <c r="J1277" s="14" t="n"/>
      <c r="K1277" s="53" t="inlineStr"/>
      <c r="L1277" s="53" t="inlineStr">
        <is>
          <t>Не определено</t>
        </is>
      </c>
      <c r="M1277" s="53" t="inlineStr"/>
      <c r="N1277" s="54" t="inlineStr"/>
      <c r="O1277" s="55" t="inlineStr"/>
      <c r="P1277" s="16" t="inlineStr">
        <is>
          <t>Требует обогащения</t>
        </is>
      </c>
      <c r="Q1277" s="16">
        <f>HYPERLINK("https://pb.nalog.ru/search.html?query=3808161406","ФНС: проверить")</f>
        <v/>
      </c>
      <c r="R1277" s="16">
        <f>HYPERLINK("https://checko.ru/search?query=3801001629","Чекко: проверить")</f>
        <v/>
      </c>
      <c r="S1277" t="n">
        <v>1</v>
      </c>
      <c r="T1277" s="35" t="inlineStr">
        <is>
          <t>4 — Не обогащён</t>
        </is>
      </c>
      <c r="U1277" s="35" t="inlineStr">
        <is>
          <t>Нет ОКВЭД/ССЧР</t>
        </is>
      </c>
      <c r="V1277" s="35" t="inlineStr">
        <is>
          <t>Не определено</t>
        </is>
      </c>
      <c r="W1277" s="35" t="inlineStr"/>
      <c r="X1277" s="35" t="inlineStr"/>
    </row>
    <row r="1278" ht="27.75" customHeight="1" s="24">
      <c r="A1278" s="13" t="n">
        <v>5000030173</v>
      </c>
      <c r="B1278" s="13" t="inlineStr">
        <is>
          <t>МБУ Редакция Газеты "Заря" Мо "Баяндаевский Район"</t>
        </is>
      </c>
      <c r="C1278" s="13" t="n">
        <v>8502000538</v>
      </c>
      <c r="D1278" s="13" t="inlineStr">
        <is>
          <t>8502000538</t>
        </is>
      </c>
      <c r="E1278" s="13" t="inlineStr">
        <is>
          <t>ЮЛ РФ</t>
        </is>
      </c>
      <c r="F1278" s="13" t="n"/>
      <c r="G1278" s="14" t="n"/>
      <c r="H1278" s="14" t="n"/>
      <c r="I1278" s="14" t="n"/>
      <c r="J1278" s="14" t="n"/>
      <c r="K1278" s="53" t="inlineStr"/>
      <c r="L1278" s="53" t="inlineStr">
        <is>
          <t>Не определено</t>
        </is>
      </c>
      <c r="M1278" s="53" t="inlineStr"/>
      <c r="N1278" s="54" t="inlineStr"/>
      <c r="O1278" s="55" t="inlineStr"/>
      <c r="P1278" s="16" t="inlineStr">
        <is>
          <t>Требует обогащения</t>
        </is>
      </c>
      <c r="Q1278" s="16">
        <f>HYPERLINK("https://pb.nalog.ru/search.html?query=8502000538","ФНС: проверить")</f>
        <v/>
      </c>
      <c r="R1278" s="16">
        <f>HYPERLINK("https://checko.ru/search?query=3801001629","Чекко: проверить")</f>
        <v/>
      </c>
      <c r="S1278" t="n">
        <v>1</v>
      </c>
      <c r="T1278" s="35" t="inlineStr">
        <is>
          <t>4 — Не обогащён</t>
        </is>
      </c>
      <c r="U1278" s="35" t="inlineStr">
        <is>
          <t>Нет ОКВЭД/ССЧР</t>
        </is>
      </c>
      <c r="V1278" s="35" t="inlineStr">
        <is>
          <t>Не определено</t>
        </is>
      </c>
      <c r="W1278" s="35" t="inlineStr"/>
      <c r="X1278" s="35" t="inlineStr"/>
    </row>
    <row r="1279" ht="15" customHeight="1" s="24">
      <c r="A1279" s="13" t="n">
        <v>5000062569</v>
      </c>
      <c r="B1279" s="13" t="inlineStr">
        <is>
          <t>Ульяновский техникум питания и торговли</t>
        </is>
      </c>
      <c r="C1279" s="13" t="n">
        <v>7325000398</v>
      </c>
      <c r="D1279" s="13" t="inlineStr">
        <is>
          <t>7325000398</t>
        </is>
      </c>
      <c r="E1279" s="13" t="inlineStr">
        <is>
          <t>ЮЛ РФ</t>
        </is>
      </c>
      <c r="F1279" s="13" t="n"/>
      <c r="G1279" s="14" t="n"/>
      <c r="H1279" s="14" t="n"/>
      <c r="I1279" s="14" t="n"/>
      <c r="J1279" s="14" t="n"/>
      <c r="K1279" s="53" t="inlineStr"/>
      <c r="L1279" s="53" t="inlineStr">
        <is>
          <t>Не определено</t>
        </is>
      </c>
      <c r="M1279" s="53" t="inlineStr"/>
      <c r="N1279" s="54" t="inlineStr"/>
      <c r="O1279" s="55" t="inlineStr"/>
      <c r="P1279" s="16" t="inlineStr">
        <is>
          <t>Требует обогащения</t>
        </is>
      </c>
      <c r="Q1279" s="16">
        <f>HYPERLINK("https://pb.nalog.ru/search.html?query=7325000398","ФНС: проверить")</f>
        <v/>
      </c>
      <c r="R1279" s="16">
        <f>HYPERLINK("https://checko.ru/search?query=3801001629","Чекко: проверить")</f>
        <v/>
      </c>
      <c r="S1279" t="n">
        <v>1</v>
      </c>
      <c r="T1279" s="35" t="inlineStr">
        <is>
          <t>4 — Не обогащён</t>
        </is>
      </c>
      <c r="U1279" s="35" t="inlineStr">
        <is>
          <t>Нет ОКВЭД/ССЧР</t>
        </is>
      </c>
      <c r="V1279" s="35" t="inlineStr">
        <is>
          <t>Не определено</t>
        </is>
      </c>
      <c r="W1279" s="35" t="inlineStr"/>
      <c r="X1279" s="35" t="inlineStr"/>
    </row>
    <row r="1280" ht="15" customHeight="1" s="24">
      <c r="A1280" s="13" t="n">
        <v>5000038500</v>
      </c>
      <c r="B1280" s="13" t="inlineStr">
        <is>
          <t>Центр народной кул-ры Ул обл</t>
        </is>
      </c>
      <c r="C1280" s="13" t="n">
        <v>7325085930</v>
      </c>
      <c r="D1280" s="13" t="inlineStr">
        <is>
          <t>7325085930</t>
        </is>
      </c>
      <c r="E1280" s="13" t="inlineStr">
        <is>
          <t>ЮЛ РФ</t>
        </is>
      </c>
      <c r="F1280" s="13" t="n"/>
      <c r="G1280" s="14" t="n"/>
      <c r="H1280" s="14" t="n"/>
      <c r="I1280" s="14" t="n"/>
      <c r="J1280" s="14" t="n"/>
      <c r="K1280" s="53" t="inlineStr"/>
      <c r="L1280" s="53" t="inlineStr">
        <is>
          <t>Не определено</t>
        </is>
      </c>
      <c r="M1280" s="53" t="inlineStr"/>
      <c r="N1280" s="54" t="inlineStr"/>
      <c r="O1280" s="55" t="inlineStr"/>
      <c r="P1280" s="16" t="inlineStr">
        <is>
          <t>Требует обогащения</t>
        </is>
      </c>
      <c r="Q1280" s="16">
        <f>HYPERLINK("https://pb.nalog.ru/search.html?query=7325085930","ФНС: проверить")</f>
        <v/>
      </c>
      <c r="R1280" s="16">
        <f>HYPERLINK("https://checko.ru/search?query=3801001629","Чекко: проверить")</f>
        <v/>
      </c>
      <c r="S1280" t="n">
        <v>1</v>
      </c>
      <c r="T1280" s="35" t="inlineStr">
        <is>
          <t>4 — Не обогащён</t>
        </is>
      </c>
      <c r="U1280" s="35" t="inlineStr">
        <is>
          <t>Нет ОКВЭД/ССЧР</t>
        </is>
      </c>
      <c r="V1280" s="35" t="inlineStr">
        <is>
          <t>Не определено</t>
        </is>
      </c>
      <c r="W1280" s="35" t="inlineStr"/>
      <c r="X1280" s="35" t="inlineStr"/>
    </row>
    <row r="1281" ht="15" customHeight="1" s="24">
      <c r="A1281" s="13" t="n">
        <v>5000095172</v>
      </c>
      <c r="B1281" s="13" t="inlineStr">
        <is>
          <t>ГКУ "Нальчикское лесничество"</t>
        </is>
      </c>
      <c r="C1281" s="13" t="n">
        <v>721055454</v>
      </c>
      <c r="D1281" s="13" t="n"/>
      <c r="E1281" s="13" t="inlineStr">
        <is>
          <t>Не определён</t>
        </is>
      </c>
      <c r="F1281" s="13" t="inlineStr">
        <is>
          <t>721055454</t>
        </is>
      </c>
      <c r="G1281" s="14" t="n"/>
      <c r="H1281" s="14" t="n"/>
      <c r="I1281" s="14" t="n"/>
      <c r="J1281" s="14" t="n"/>
      <c r="K1281" s="13">
        <f>IF(G1281="","",IF(G1281&gt;=22,"Да","Нет"))</f>
        <v/>
      </c>
      <c r="L1281" s="13">
        <f>IF(OR(I1281="",J1281=""),"Не определено",IF(OR(COUNTIF(I1281,"45*")&gt;0,COUNTIF(J1281,"*45*")&gt;0,COUNTIF(I1281,"46*")&gt;0,COUNTIF(J1281,"*46*")&gt;0,COUNTIF(I1281,"47*")&gt;0,COUNTIF(J1281,"*47*")&gt;0,COUNTIF(I1281,"10*")&gt;0,COUNTIF(J1281,"*10*")&gt;0,COUNTIF(I1281,"11*")&gt;0,COUNTIF(J1281,"*11*")&gt;0,COUNTIF(I1281,"12*")&gt;0,COUNTIF(J1281,"*12*")&gt;0,COUNTIF(I1281,"13*")&gt;0,COUNTIF(J1281,"*13*")&gt;0,COUNTIF(I1281,"14*")&gt;0,COUNTIF(J1281,"*14*")&gt;0,COUNTIF(I1281,"15*")&gt;0,COUNTIF(J1281,"*15*")&gt;0,COUNTIF(I1281,"16*")&gt;0,COUNTIF(J1281,"*16*")&gt;0,COUNTIF(I1281,"17*")&gt;0,COUNTIF(J1281,"*17*")&gt;0,COUNTIF(I1281,"18*")&gt;0,COUNTIF(J1281,"*18*")&gt;0,COUNTIF(I1281,"19*")&gt;0,COUNTIF(J1281,"*19*")&gt;0,COUNTIF(I1281,"20*")&gt;0,COUNTIF(J1281,"*20*")&gt;0,COUNTIF(I1281,"21*")&gt;0,COUNTIF(J1281,"*21*")&gt;0,COUNTIF(I1281,"22*")&gt;0,COUNTIF(J1281,"*22*")&gt;0,COUNTIF(I1281,"23*")&gt;0,COUNTIF(J1281,"*23*")&gt;0,COUNTIF(I1281,"24*")&gt;0,COUNTIF(J1281,"*24*")&gt;0,COUNTIF(I1281,"25*")&gt;0,COUNTIF(J1281,"*25*")&gt;0,COUNTIF(I1281,"26*")&gt;0,COUNTIF(J1281,"*26*")&gt;0,COUNTIF(I1281,"27*")&gt;0,COUNTIF(J1281,"*27*")&gt;0,COUNTIF(I1281,"28*")&gt;0,COUNTIF(J1281,"*28*")&gt;0,COUNTIF(I1281,"29*")&gt;0,COUNTIF(J1281,"*29*")&gt;0,COUNTIF(I1281,"30*")&gt;0,COUNTIF(J1281,"*30*")&gt;0,COUNTIF(I1281,"31*")&gt;0,COUNTIF(J1281,"*31*")&gt;0,COUNTIF(I1281,"32*")&gt;0,COUNTIF(J1281,"*32*")&gt;0,COUNTIF(I1281,"33*")&gt;0,COUNTIF(J1281,"*33*")&gt;0,COUNTIF(I1281,"41*")&gt;0,COUNTIF(J1281,"*41*")&gt;0,COUNTIF(I1281,"42*")&gt;0,COUNTIF(J1281,"*42*")&gt;0,COUNTIF(I1281,"43*")&gt;0,COUNTIF(J1281,"*43*")&gt;0,COUNTIF(I1281,"49*")&gt;0,COUNTIF(J1281,"*49*")&gt;0,COUNTIF(I1281,"52*")&gt;0,COUNTIF(J1281,"*52*")&gt;0,COUNTIF(I1281,"55*")&gt;0,COUNTIF(J1281,"*55*")&gt;0,COUNTIF(I1281,"56*")&gt;0,COUNTIF(J1281,"*56*")&gt;0,COUNTIF(I1281,"68*")&gt;0,COUNTIF(J1281,"*68*")&gt;0,COUNTIF(I1281,"78*")&gt;0,COUNTIF(J1281,"*78*")&gt;0,COUNTIF(I1281,"81*")&gt;0,COUNTIF(J1281,"*81*")&gt;0,COUNTIF(I1281,"82*")&gt;0,COUNTIF(J1281,"*82*")&gt;0,COUNTIF(I1281,"64*")&gt;0,COUNTIF(J1281,"*64*")&gt;0,COUNTIF(I1281,"65*")&gt;0,COUNTIF(J1281,"*65*")&gt;0,COUNTIF(I1281,"66*")&gt;0,COUNTIF(J1281,"*66*")&gt;0,COUNTIF(I1281,"61*")&gt;0,COUNTIF(J1281,"*61*")&gt;0,COUNTIF(I1281,"62*")&gt;0,COUNTIF(J1281,"*62*")&gt;0,COUNTIF(I1281,"63*")&gt;0,COUNTIF(J1281,"*63*")&gt;0,COUNTIF(I1281,"85*")&gt;0,COUNTIF(J1281,"*85*")&gt;0,COUNTIF(I1281,"86*")&gt;0,COUNTIF(J1281,"*86*")&gt;0),"Да","Нет"))</f>
        <v/>
      </c>
      <c r="M1281" s="13">
        <f>IF(OR(G1281="",L1281&lt;&gt;"Да"),"",IF(G1281&lt;=100,"До 100",IF(G1281&lt;=200,"До 200",IF(G1281&lt;=500,"До 500","Отдельное КП"))))</f>
        <v/>
      </c>
      <c r="N1281" s="15">
        <f>IF(OR(G1281="",L1281&lt;&gt;"Да"),"",IF(G1281&lt;=100,33600,IF(G1281&lt;=200,62400,IF(G1281&lt;=500,144000,""))))</f>
        <v/>
      </c>
      <c r="O1281" s="16">
        <f>IF(G1281="","",IF(G1281&lt;=15,"1–15",IF(G1281&lt;=30,"16–30",IF(G1281&lt;=50,"31–50",IF(G1281&lt;=100,"51–100",IF(G1281&lt;=150,"101–150",IF(G1281&lt;=200,"151–200",IF(G1281&lt;=500,"201–500","500+"))))))))</f>
        <v/>
      </c>
      <c r="P1281" s="16" t="inlineStr">
        <is>
          <t>Нет совпадения в предоставленной выгрузке ССЧР</t>
        </is>
      </c>
      <c r="Q1281" s="16" t="n"/>
      <c r="R1281" s="16">
        <f>HYPERLINK("https://checko.ru/search?query=3801001629","Чекко: проверить")</f>
        <v/>
      </c>
      <c r="S1281" t="n">
        <v>0</v>
      </c>
    </row>
    <row r="1282" ht="15" customHeight="1" s="24">
      <c r="A1282" s="13" t="n">
        <v>5000038532</v>
      </c>
      <c r="B1282" s="13" t="inlineStr">
        <is>
          <t>ОбАУ "Ульяновскгосэкспертиза"</t>
        </is>
      </c>
      <c r="C1282" s="13" t="n">
        <v>7325068526</v>
      </c>
      <c r="D1282" s="13" t="inlineStr">
        <is>
          <t>7325068526</t>
        </is>
      </c>
      <c r="E1282" s="13" t="inlineStr">
        <is>
          <t>ЮЛ РФ</t>
        </is>
      </c>
      <c r="F1282" s="13" t="n"/>
      <c r="G1282" s="14" t="n"/>
      <c r="H1282" s="14" t="n"/>
      <c r="I1282" s="14" t="n"/>
      <c r="J1282" s="14" t="n"/>
      <c r="K1282" s="53" t="inlineStr"/>
      <c r="L1282" s="53" t="inlineStr">
        <is>
          <t>Не определено</t>
        </is>
      </c>
      <c r="M1282" s="53" t="inlineStr"/>
      <c r="N1282" s="54" t="inlineStr"/>
      <c r="O1282" s="55" t="inlineStr"/>
      <c r="P1282" s="16" t="inlineStr">
        <is>
          <t>Требует обогащения</t>
        </is>
      </c>
      <c r="Q1282" s="16">
        <f>HYPERLINK("https://pb.nalog.ru/search.html?query=7325068526","ФНС: проверить")</f>
        <v/>
      </c>
      <c r="R1282" s="16">
        <f>HYPERLINK("https://checko.ru/search?query=3801001629","Чекко: проверить")</f>
        <v/>
      </c>
      <c r="S1282" t="n">
        <v>1</v>
      </c>
      <c r="T1282" s="35" t="inlineStr">
        <is>
          <t>4 — Не обогащён</t>
        </is>
      </c>
      <c r="U1282" s="35" t="inlineStr">
        <is>
          <t>Нет ОКВЭД/ССЧР</t>
        </is>
      </c>
      <c r="V1282" s="35" t="inlineStr">
        <is>
          <t>Не определено</t>
        </is>
      </c>
      <c r="W1282" s="35" t="inlineStr"/>
      <c r="X1282" s="35" t="inlineStr"/>
    </row>
    <row r="1283" ht="54.75" customHeight="1" s="24">
      <c r="A1283" s="13" t="n">
        <v>5000101695</v>
      </c>
      <c r="B1283" s="13" t="inlineStr">
        <is>
          <t>Областное государственное бюджетное учреждение «Управление социальной защиты и социального обслуживания населения по Нижнеилимскому району»</t>
        </is>
      </c>
      <c r="C1283" s="13" t="n">
        <v>3804119795</v>
      </c>
      <c r="D1283" s="13" t="inlineStr">
        <is>
          <t>3804119795</t>
        </is>
      </c>
      <c r="E1283" s="13" t="inlineStr">
        <is>
          <t>ЮЛ РФ</t>
        </is>
      </c>
      <c r="F1283" s="13" t="n"/>
      <c r="G1283" s="14" t="n"/>
      <c r="H1283" s="14" t="n"/>
      <c r="I1283" s="14" t="n"/>
      <c r="J1283" s="14" t="n"/>
      <c r="K1283" s="53" t="inlineStr"/>
      <c r="L1283" s="53" t="inlineStr">
        <is>
          <t>Не определено</t>
        </is>
      </c>
      <c r="M1283" s="53" t="inlineStr"/>
      <c r="N1283" s="54" t="inlineStr"/>
      <c r="O1283" s="55" t="inlineStr"/>
      <c r="P1283" s="16" t="inlineStr">
        <is>
          <t>Требует обогащения</t>
        </is>
      </c>
      <c r="Q1283" s="16">
        <f>HYPERLINK("https://pb.nalog.ru/search.html?query=3804119795","ФНС: проверить")</f>
        <v/>
      </c>
      <c r="R1283" s="16">
        <f>HYPERLINK("https://checko.ru/search?query=3801001629","Чекко: проверить")</f>
        <v/>
      </c>
      <c r="S1283" t="n">
        <v>1</v>
      </c>
      <c r="T1283" s="35" t="inlineStr">
        <is>
          <t>4 — Не обогащён</t>
        </is>
      </c>
      <c r="U1283" s="35" t="inlineStr">
        <is>
          <t>Нет ОКВЭД/ССЧР</t>
        </is>
      </c>
      <c r="V1283" s="35" t="inlineStr">
        <is>
          <t>Не определено</t>
        </is>
      </c>
      <c r="W1283" s="35" t="inlineStr"/>
      <c r="X1283" s="35" t="inlineStr"/>
    </row>
    <row r="1284" ht="27.75" customHeight="1" s="24">
      <c r="A1284" s="13" t="n">
        <v>5000106190</v>
      </c>
      <c r="B1284" s="13" t="inlineStr">
        <is>
          <t>ДЕПАРТАМЕНТ ПОЖАРНОЙ БЕЗОПАСНОСТИ И ГРАЖДАНСКОЙ ЗАЩИТЫ ОРЕНБУРГСКОЙ ОБЛАСТИ</t>
        </is>
      </c>
      <c r="C1284" s="13" t="n">
        <v>5610026055</v>
      </c>
      <c r="D1284" s="13" t="inlineStr">
        <is>
          <t>5610026055</t>
        </is>
      </c>
      <c r="E1284" s="13" t="inlineStr">
        <is>
          <t>ЮЛ РФ</t>
        </is>
      </c>
      <c r="F1284" s="13" t="n"/>
      <c r="G1284" s="14" t="n"/>
      <c r="H1284" s="14" t="n"/>
      <c r="I1284" s="14" t="n"/>
      <c r="J1284" s="14" t="n"/>
      <c r="K1284" s="53" t="inlineStr"/>
      <c r="L1284" s="53" t="inlineStr">
        <is>
          <t>Не определено</t>
        </is>
      </c>
      <c r="M1284" s="53" t="inlineStr"/>
      <c r="N1284" s="54" t="inlineStr"/>
      <c r="O1284" s="55" t="inlineStr"/>
      <c r="P1284" s="16" t="inlineStr">
        <is>
          <t>Требует обогащения</t>
        </is>
      </c>
      <c r="Q1284" s="16">
        <f>HYPERLINK("https://pb.nalog.ru/search.html?query=5610026055","ФНС: проверить")</f>
        <v/>
      </c>
      <c r="R1284" s="16">
        <f>HYPERLINK("https://checko.ru/search?query=3801001629","Чекко: проверить")</f>
        <v/>
      </c>
      <c r="S1284" t="n">
        <v>1</v>
      </c>
      <c r="T1284" s="35" t="inlineStr">
        <is>
          <t>4 — Не обогащён</t>
        </is>
      </c>
      <c r="U1284" s="35" t="inlineStr">
        <is>
          <t>Нет ОКВЭД/ССЧР</t>
        </is>
      </c>
      <c r="V1284" s="35" t="inlineStr">
        <is>
          <t>Не определено</t>
        </is>
      </c>
      <c r="W1284" s="35" t="inlineStr"/>
      <c r="X1284" s="35" t="inlineStr"/>
    </row>
    <row r="1285" ht="27.75" customHeight="1" s="24">
      <c r="A1285" s="13" t="n">
        <v>5000101661</v>
      </c>
      <c r="B1285" s="13" t="inlineStr">
        <is>
          <t>Государственное казенное учреждение Иркутской области "Заларинское лесничество"</t>
        </is>
      </c>
      <c r="C1285" s="13" t="n">
        <v>3816035437</v>
      </c>
      <c r="D1285" s="13" t="inlineStr">
        <is>
          <t>3816035437</t>
        </is>
      </c>
      <c r="E1285" s="13" t="inlineStr">
        <is>
          <t>ЮЛ РФ</t>
        </is>
      </c>
      <c r="F1285" s="13" t="n"/>
      <c r="G1285" s="14" t="n"/>
      <c r="H1285" s="14" t="n"/>
      <c r="I1285" s="14" t="n"/>
      <c r="J1285" s="14" t="n"/>
      <c r="K1285" s="53" t="inlineStr"/>
      <c r="L1285" s="53" t="inlineStr">
        <is>
          <t>Не определено</t>
        </is>
      </c>
      <c r="M1285" s="53" t="inlineStr"/>
      <c r="N1285" s="54" t="inlineStr"/>
      <c r="O1285" s="55" t="inlineStr"/>
      <c r="P1285" s="16" t="inlineStr">
        <is>
          <t>Требует обогащения</t>
        </is>
      </c>
      <c r="Q1285" s="16">
        <f>HYPERLINK("https://pb.nalog.ru/search.html?query=3816035437","ФНС: проверить")</f>
        <v/>
      </c>
      <c r="R1285" s="16">
        <f>HYPERLINK("https://checko.ru/search?query=3801001629","Чекко: проверить")</f>
        <v/>
      </c>
      <c r="S1285" t="n">
        <v>1</v>
      </c>
      <c r="T1285" s="35" t="inlineStr">
        <is>
          <t>4 — Не обогащён</t>
        </is>
      </c>
      <c r="U1285" s="35" t="inlineStr">
        <is>
          <t>Нет ОКВЭД/ССЧР</t>
        </is>
      </c>
      <c r="V1285" s="35" t="inlineStr">
        <is>
          <t>Не определено</t>
        </is>
      </c>
      <c r="W1285" s="35" t="inlineStr"/>
      <c r="X1285" s="35" t="inlineStr"/>
    </row>
    <row r="1286" ht="27.75" customHeight="1" s="24">
      <c r="A1286" s="13" t="n">
        <v>5000001920</v>
      </c>
      <c r="B1286" s="13" t="inlineStr">
        <is>
          <t>ГАПОУ ИО "УИТ" (УСОЛЬСКИЙ ИНДУСТРИАЛЬНЫЙ ТЕХНИКУМ"</t>
        </is>
      </c>
      <c r="C1286" s="13" t="n">
        <v>3819003000</v>
      </c>
      <c r="D1286" s="13" t="inlineStr">
        <is>
          <t>3819003000</t>
        </is>
      </c>
      <c r="E1286" s="13" t="inlineStr">
        <is>
          <t>ЮЛ РФ</t>
        </is>
      </c>
      <c r="F1286" s="13" t="n"/>
      <c r="G1286" s="14" t="n"/>
      <c r="H1286" s="14" t="n"/>
      <c r="I1286" s="14" t="n"/>
      <c r="J1286" s="14" t="n"/>
      <c r="K1286" s="53" t="inlineStr"/>
      <c r="L1286" s="53" t="inlineStr">
        <is>
          <t>Не определено</t>
        </is>
      </c>
      <c r="M1286" s="53" t="inlineStr"/>
      <c r="N1286" s="54" t="inlineStr"/>
      <c r="O1286" s="55" t="inlineStr"/>
      <c r="P1286" s="16" t="inlineStr">
        <is>
          <t>Требует обогащения</t>
        </is>
      </c>
      <c r="Q1286" s="16">
        <f>HYPERLINK("https://pb.nalog.ru/search.html?query=3819003000","ФНС: проверить")</f>
        <v/>
      </c>
      <c r="R1286" s="16">
        <f>HYPERLINK("https://checko.ru/search?query=3801001629","Чекко: проверить")</f>
        <v/>
      </c>
      <c r="S1286" t="n">
        <v>1</v>
      </c>
      <c r="T1286" s="35" t="inlineStr">
        <is>
          <t>4 — Не обогащён</t>
        </is>
      </c>
      <c r="U1286" s="35" t="inlineStr">
        <is>
          <t>Нет ОКВЭД/ССЧР</t>
        </is>
      </c>
      <c r="V1286" s="35" t="inlineStr">
        <is>
          <t>Не определено</t>
        </is>
      </c>
      <c r="W1286" s="35" t="inlineStr"/>
      <c r="X1286" s="35" t="inlineStr"/>
    </row>
    <row r="1287" ht="27.75" customHeight="1" s="24">
      <c r="A1287" s="13" t="n">
        <v>5000076963</v>
      </c>
      <c r="B1287" s="13" t="inlineStr">
        <is>
          <t>ГКУ Ульяновской области "Базарносызганское лесничество"</t>
        </is>
      </c>
      <c r="C1287" s="13" t="n">
        <v>7306039720</v>
      </c>
      <c r="D1287" s="13" t="inlineStr">
        <is>
          <t>7306039720</t>
        </is>
      </c>
      <c r="E1287" s="13" t="inlineStr">
        <is>
          <t>ЮЛ РФ</t>
        </is>
      </c>
      <c r="F1287" s="13" t="n"/>
      <c r="G1287" s="14" t="n"/>
      <c r="H1287" s="14" t="n"/>
      <c r="I1287" s="14" t="n"/>
      <c r="J1287" s="14" t="n"/>
      <c r="K1287" s="53" t="inlineStr"/>
      <c r="L1287" s="53" t="inlineStr">
        <is>
          <t>Не определено</t>
        </is>
      </c>
      <c r="M1287" s="53" t="inlineStr"/>
      <c r="N1287" s="54" t="inlineStr"/>
      <c r="O1287" s="55" t="inlineStr"/>
      <c r="P1287" s="16" t="inlineStr">
        <is>
          <t>Требует обогащения</t>
        </is>
      </c>
      <c r="Q1287" s="16">
        <f>HYPERLINK("https://pb.nalog.ru/search.html?query=7306039720","ФНС: проверить")</f>
        <v/>
      </c>
      <c r="R1287" s="16">
        <f>HYPERLINK("https://checko.ru/search?query=3801001629","Чекко: проверить")</f>
        <v/>
      </c>
      <c r="S1287" t="n">
        <v>1</v>
      </c>
      <c r="T1287" s="35" t="inlineStr">
        <is>
          <t>4 — Не обогащён</t>
        </is>
      </c>
      <c r="U1287" s="35" t="inlineStr">
        <is>
          <t>Нет ОКВЭД/ССЧР</t>
        </is>
      </c>
      <c r="V1287" s="35" t="inlineStr">
        <is>
          <t>Не определено</t>
        </is>
      </c>
      <c r="W1287" s="35" t="inlineStr"/>
      <c r="X1287" s="35" t="inlineStr"/>
    </row>
    <row r="1288" ht="27.75" customHeight="1" s="24">
      <c r="A1288" s="13" t="n">
        <v>5000076950</v>
      </c>
      <c r="B1288" s="13" t="inlineStr">
        <is>
          <t>ГКУ Ульяновской области "Сенгилеевское лесничество"</t>
        </is>
      </c>
      <c r="C1288" s="13" t="n">
        <v>7321313840</v>
      </c>
      <c r="D1288" s="13" t="inlineStr">
        <is>
          <t>7321313840</t>
        </is>
      </c>
      <c r="E1288" s="13" t="inlineStr">
        <is>
          <t>ЮЛ РФ</t>
        </is>
      </c>
      <c r="F1288" s="13" t="n"/>
      <c r="G1288" s="14" t="n"/>
      <c r="H1288" s="14" t="n"/>
      <c r="I1288" s="14" t="n"/>
      <c r="J1288" s="14" t="n"/>
      <c r="K1288" s="53" t="inlineStr"/>
      <c r="L1288" s="53" t="inlineStr">
        <is>
          <t>Не определено</t>
        </is>
      </c>
      <c r="M1288" s="53" t="inlineStr"/>
      <c r="N1288" s="54" t="inlineStr"/>
      <c r="O1288" s="55" t="inlineStr"/>
      <c r="P1288" s="16" t="inlineStr">
        <is>
          <t>Требует обогащения</t>
        </is>
      </c>
      <c r="Q1288" s="16">
        <f>HYPERLINK("https://pb.nalog.ru/search.html?query=7321313840","ФНС: проверить")</f>
        <v/>
      </c>
      <c r="R1288" s="16">
        <f>HYPERLINK("https://checko.ru/search?query=3801001629","Чекко: проверить")</f>
        <v/>
      </c>
      <c r="S1288" t="n">
        <v>1</v>
      </c>
      <c r="T1288" s="35" t="inlineStr">
        <is>
          <t>4 — Не обогащён</t>
        </is>
      </c>
      <c r="U1288" s="35" t="inlineStr">
        <is>
          <t>Нет ОКВЭД/ССЧР</t>
        </is>
      </c>
      <c r="V1288" s="35" t="inlineStr">
        <is>
          <t>Не определено</t>
        </is>
      </c>
      <c r="W1288" s="35" t="inlineStr"/>
      <c r="X1288" s="35" t="inlineStr"/>
    </row>
    <row r="1289" ht="27.75" customHeight="1" s="24">
      <c r="A1289" s="13" t="n">
        <v>5000076949</v>
      </c>
      <c r="B1289" s="13" t="inlineStr">
        <is>
          <t>ГКУ Ульяновской области "Старокулаткинское лесничество"</t>
        </is>
      </c>
      <c r="C1289" s="13" t="n">
        <v>7311007001</v>
      </c>
      <c r="D1289" s="13" t="inlineStr">
        <is>
          <t>7311007001</t>
        </is>
      </c>
      <c r="E1289" s="13" t="inlineStr">
        <is>
          <t>ЮЛ РФ</t>
        </is>
      </c>
      <c r="F1289" s="13" t="n"/>
      <c r="G1289" s="14" t="n"/>
      <c r="H1289" s="14" t="n"/>
      <c r="I1289" s="14" t="n"/>
      <c r="J1289" s="14" t="n"/>
      <c r="K1289" s="53" t="inlineStr"/>
      <c r="L1289" s="53" t="inlineStr">
        <is>
          <t>Не определено</t>
        </is>
      </c>
      <c r="M1289" s="53" t="inlineStr"/>
      <c r="N1289" s="54" t="inlineStr"/>
      <c r="O1289" s="55" t="inlineStr"/>
      <c r="P1289" s="16" t="inlineStr">
        <is>
          <t>Требует обогащения</t>
        </is>
      </c>
      <c r="Q1289" s="16">
        <f>HYPERLINK("https://pb.nalog.ru/search.html?query=7311007001","ФНС: проверить")</f>
        <v/>
      </c>
      <c r="R1289" s="16">
        <f>HYPERLINK("https://checko.ru/search?query=3801001629","Чекко: проверить")</f>
        <v/>
      </c>
      <c r="S1289" t="n">
        <v>1</v>
      </c>
      <c r="T1289" s="35" t="inlineStr">
        <is>
          <t>4 — Не обогащён</t>
        </is>
      </c>
      <c r="U1289" s="35" t="inlineStr">
        <is>
          <t>Нет ОКВЭД/ССЧР</t>
        </is>
      </c>
      <c r="V1289" s="35" t="inlineStr">
        <is>
          <t>Не определено</t>
        </is>
      </c>
      <c r="W1289" s="35" t="inlineStr"/>
      <c r="X1289" s="35" t="inlineStr"/>
    </row>
    <row r="1290" ht="15" customHeight="1" s="24">
      <c r="A1290" s="13" t="n">
        <v>5000062514</v>
      </c>
      <c r="B1290" s="13" t="inlineStr">
        <is>
          <t>ОГОУ СПО Ульяновский медицинский колледж</t>
        </is>
      </c>
      <c r="C1290" s="13" t="n">
        <v>7328024894</v>
      </c>
      <c r="D1290" s="13" t="inlineStr">
        <is>
          <t>7328024894</t>
        </is>
      </c>
      <c r="E1290" s="13" t="inlineStr">
        <is>
          <t>ЮЛ РФ</t>
        </is>
      </c>
      <c r="F1290" s="13" t="n"/>
      <c r="G1290" s="14" t="n"/>
      <c r="H1290" s="14" t="n"/>
      <c r="I1290" s="14" t="n"/>
      <c r="J1290" s="14" t="n"/>
      <c r="K1290" s="53" t="inlineStr"/>
      <c r="L1290" s="53" t="inlineStr">
        <is>
          <t>Не определено</t>
        </is>
      </c>
      <c r="M1290" s="53" t="inlineStr"/>
      <c r="N1290" s="54" t="inlineStr"/>
      <c r="O1290" s="55" t="inlineStr"/>
      <c r="P1290" s="16" t="inlineStr">
        <is>
          <t>Требует обогащения</t>
        </is>
      </c>
      <c r="Q1290" s="16">
        <f>HYPERLINK("https://pb.nalog.ru/search.html?query=7328024894","ФНС: проверить")</f>
        <v/>
      </c>
      <c r="R1290" s="16">
        <f>HYPERLINK("https://checko.ru/search?query=3801001629","Чекко: проверить")</f>
        <v/>
      </c>
      <c r="S1290" t="n">
        <v>1</v>
      </c>
      <c r="T1290" s="35" t="inlineStr">
        <is>
          <t>4 — Не обогащён</t>
        </is>
      </c>
      <c r="U1290" s="35" t="inlineStr">
        <is>
          <t>Нет ОКВЭД/ССЧР</t>
        </is>
      </c>
      <c r="V1290" s="35" t="inlineStr">
        <is>
          <t>Не определено</t>
        </is>
      </c>
      <c r="W1290" s="35" t="inlineStr"/>
      <c r="X1290" s="35" t="inlineStr"/>
    </row>
    <row r="1291" ht="41.25" customHeight="1" s="24">
      <c r="A1291" s="13" t="n">
        <v>5000062574</v>
      </c>
      <c r="B1291" s="13" t="inlineStr">
        <is>
          <t>ОБЛАСТНОЕ ГОСУДАРСТВЕННОЕ БЮДЖЕТНОЕ УЧРЕЖДЕНИЕ "ЦЕНТР ГОСУДАРСТВЕННОЙ КАДАСТРОВОЙ ОЦЕНКИ"</t>
        </is>
      </c>
      <c r="C1291" s="13" t="n">
        <v>7325165745</v>
      </c>
      <c r="D1291" s="13" t="inlineStr">
        <is>
          <t>7325165745</t>
        </is>
      </c>
      <c r="E1291" s="13" t="inlineStr">
        <is>
          <t>ЮЛ РФ</t>
        </is>
      </c>
      <c r="F1291" s="13" t="n"/>
      <c r="G1291" s="14" t="n"/>
      <c r="H1291" s="14" t="n"/>
      <c r="I1291" s="14" t="n"/>
      <c r="J1291" s="14" t="n"/>
      <c r="K1291" s="53" t="inlineStr"/>
      <c r="L1291" s="53" t="inlineStr">
        <is>
          <t>Не определено</t>
        </is>
      </c>
      <c r="M1291" s="53" t="inlineStr"/>
      <c r="N1291" s="54" t="inlineStr"/>
      <c r="O1291" s="55" t="inlineStr"/>
      <c r="P1291" s="16" t="inlineStr">
        <is>
          <t>Требует обогащения</t>
        </is>
      </c>
      <c r="Q1291" s="16">
        <f>HYPERLINK("https://pb.nalog.ru/search.html?query=7325165745","ФНС: проверить")</f>
        <v/>
      </c>
      <c r="R1291" s="16">
        <f>HYPERLINK("https://checko.ru/search?query=3801001629","Чекко: проверить")</f>
        <v/>
      </c>
      <c r="S1291" t="n">
        <v>1</v>
      </c>
      <c r="T1291" s="35" t="inlineStr">
        <is>
          <t>4 — Не обогащён</t>
        </is>
      </c>
      <c r="U1291" s="35" t="inlineStr">
        <is>
          <t>Нет ОКВЭД/ССЧР</t>
        </is>
      </c>
      <c r="V1291" s="35" t="inlineStr">
        <is>
          <t>Не определено</t>
        </is>
      </c>
      <c r="W1291" s="35" t="inlineStr"/>
      <c r="X1291" s="35" t="inlineStr"/>
    </row>
    <row r="1292" ht="27.75" customHeight="1" s="24">
      <c r="A1292" s="13" t="n">
        <v>5000116681</v>
      </c>
      <c r="B1292" s="13" t="inlineStr">
        <is>
          <t>Центр муниципальных закупок Одинцовского муниципального района МО</t>
        </is>
      </c>
      <c r="C1292" s="13" t="n">
        <v>5032203563</v>
      </c>
      <c r="D1292" s="13" t="inlineStr">
        <is>
          <t>5032203563</t>
        </is>
      </c>
      <c r="E1292" s="13" t="inlineStr">
        <is>
          <t>ЮЛ РФ</t>
        </is>
      </c>
      <c r="F1292" s="13" t="n"/>
      <c r="G1292" s="14" t="n"/>
      <c r="H1292" s="14" t="n"/>
      <c r="I1292" s="14" t="n"/>
      <c r="J1292" s="14" t="n"/>
      <c r="K1292" s="53" t="inlineStr"/>
      <c r="L1292" s="53" t="inlineStr">
        <is>
          <t>Не определено</t>
        </is>
      </c>
      <c r="M1292" s="53" t="inlineStr"/>
      <c r="N1292" s="54" t="inlineStr"/>
      <c r="O1292" s="55" t="inlineStr"/>
      <c r="P1292" s="16" t="inlineStr">
        <is>
          <t>Требует обогащения</t>
        </is>
      </c>
      <c r="Q1292" s="16">
        <f>HYPERLINK("https://pb.nalog.ru/search.html?query=5032203563","ФНС: проверить")</f>
        <v/>
      </c>
      <c r="R1292" s="16">
        <f>HYPERLINK("https://checko.ru/search?query=3801001629","Чекко: проверить")</f>
        <v/>
      </c>
      <c r="S1292" t="n">
        <v>1</v>
      </c>
      <c r="T1292" s="35" t="inlineStr">
        <is>
          <t>4 — Не обогащён</t>
        </is>
      </c>
      <c r="U1292" s="35" t="inlineStr">
        <is>
          <t>Нет ОКВЭД/ССЧР</t>
        </is>
      </c>
      <c r="V1292" s="35" t="inlineStr">
        <is>
          <t>Не определено</t>
        </is>
      </c>
      <c r="W1292" s="35" t="inlineStr"/>
      <c r="X1292" s="35" t="inlineStr"/>
    </row>
    <row r="1293" ht="54.75" customHeight="1" s="24">
      <c r="A1293" s="13" t="n">
        <v>5000101698</v>
      </c>
      <c r="B1293" s="13" t="inlineStr">
        <is>
          <t>Областное государственное бюджетное учреждение «Управление социальной защиты и социального обслуживания населения по Заларинскому району»</t>
        </is>
      </c>
      <c r="C1293" s="13" t="n">
        <v>3816035853</v>
      </c>
      <c r="D1293" s="13" t="inlineStr">
        <is>
          <t>3816035853</t>
        </is>
      </c>
      <c r="E1293" s="13" t="inlineStr">
        <is>
          <t>ЮЛ РФ</t>
        </is>
      </c>
      <c r="F1293" s="13" t="n"/>
      <c r="G1293" s="14" t="n"/>
      <c r="H1293" s="14" t="n"/>
      <c r="I1293" s="14" t="n"/>
      <c r="J1293" s="14" t="n"/>
      <c r="K1293" s="53" t="inlineStr"/>
      <c r="L1293" s="53" t="inlineStr">
        <is>
          <t>Не определено</t>
        </is>
      </c>
      <c r="M1293" s="53" t="inlineStr"/>
      <c r="N1293" s="54" t="inlineStr"/>
      <c r="O1293" s="55" t="inlineStr"/>
      <c r="P1293" s="16" t="inlineStr">
        <is>
          <t>Требует обогащения</t>
        </is>
      </c>
      <c r="Q1293" s="16">
        <f>HYPERLINK("https://pb.nalog.ru/search.html?query=3816035853","ФНС: проверить")</f>
        <v/>
      </c>
      <c r="R1293" s="16">
        <f>HYPERLINK("https://checko.ru/search?query=3801001629","Чекко: проверить")</f>
        <v/>
      </c>
      <c r="S1293" t="n">
        <v>1</v>
      </c>
      <c r="T1293" s="35" t="inlineStr">
        <is>
          <t>4 — Не обогащён</t>
        </is>
      </c>
      <c r="U1293" s="35" t="inlineStr">
        <is>
          <t>Нет ОКВЭД/ССЧР</t>
        </is>
      </c>
      <c r="V1293" s="35" t="inlineStr">
        <is>
          <t>Не определено</t>
        </is>
      </c>
      <c r="W1293" s="35" t="inlineStr"/>
      <c r="X1293" s="35" t="inlineStr"/>
    </row>
    <row r="1294" ht="15" customHeight="1" s="24">
      <c r="A1294" s="13" t="n">
        <v>5000001636</v>
      </c>
      <c r="B1294" s="13" t="inlineStr">
        <is>
          <t>ОГБУЗ "Детская поликлиника" г. Усть-Илимск</t>
        </is>
      </c>
      <c r="C1294" s="13" t="n">
        <v>3817037885</v>
      </c>
      <c r="D1294" s="13" t="inlineStr">
        <is>
          <t>3817037885</t>
        </is>
      </c>
      <c r="E1294" s="13" t="inlineStr">
        <is>
          <t>ЮЛ РФ</t>
        </is>
      </c>
      <c r="F1294" s="13" t="n"/>
      <c r="G1294" s="14" t="n"/>
      <c r="H1294" s="14" t="n"/>
      <c r="I1294" s="14" t="n"/>
      <c r="J1294" s="14" t="n"/>
      <c r="K1294" s="53" t="inlineStr"/>
      <c r="L1294" s="53" t="inlineStr">
        <is>
          <t>Не определено</t>
        </is>
      </c>
      <c r="M1294" s="53" t="inlineStr"/>
      <c r="N1294" s="54" t="inlineStr"/>
      <c r="O1294" s="55" t="inlineStr"/>
      <c r="P1294" s="16" t="inlineStr">
        <is>
          <t>Требует обогащения</t>
        </is>
      </c>
      <c r="Q1294" s="16">
        <f>HYPERLINK("https://pb.nalog.ru/search.html?query=3817037885","ФНС: проверить")</f>
        <v/>
      </c>
      <c r="R1294" s="16">
        <f>HYPERLINK("https://checko.ru/search?query=3801001629","Чекко: проверить")</f>
        <v/>
      </c>
      <c r="S1294" t="n">
        <v>1</v>
      </c>
      <c r="T1294" s="35" t="inlineStr">
        <is>
          <t>4 — Не обогащён</t>
        </is>
      </c>
      <c r="U1294" s="35" t="inlineStr">
        <is>
          <t>Нет ОКВЭД/ССЧР</t>
        </is>
      </c>
      <c r="V1294" s="35" t="inlineStr">
        <is>
          <t>Не определено</t>
        </is>
      </c>
      <c r="W1294" s="35" t="inlineStr"/>
      <c r="X1294" s="35" t="inlineStr"/>
    </row>
    <row r="1295" ht="15" customHeight="1" s="24">
      <c r="A1295" s="13" t="n">
        <v>5000060607</v>
      </c>
      <c r="B1295" s="13" t="inlineStr">
        <is>
          <t>ГУ соц. реабилитационный центр  "Подсолнух"</t>
        </is>
      </c>
      <c r="C1295" s="13" t="n">
        <v>7327025479</v>
      </c>
      <c r="D1295" s="13" t="inlineStr">
        <is>
          <t>7327025479</t>
        </is>
      </c>
      <c r="E1295" s="13" t="inlineStr">
        <is>
          <t>ЮЛ РФ</t>
        </is>
      </c>
      <c r="F1295" s="13" t="n"/>
      <c r="G1295" s="14" t="n"/>
      <c r="H1295" s="14" t="n"/>
      <c r="I1295" s="14" t="n"/>
      <c r="J1295" s="14" t="n"/>
      <c r="K1295" s="53" t="inlineStr"/>
      <c r="L1295" s="53" t="inlineStr">
        <is>
          <t>Не определено</t>
        </is>
      </c>
      <c r="M1295" s="53" t="inlineStr"/>
      <c r="N1295" s="54" t="inlineStr"/>
      <c r="O1295" s="55" t="inlineStr"/>
      <c r="P1295" s="16" t="inlineStr">
        <is>
          <t>Требует обогащения</t>
        </is>
      </c>
      <c r="Q1295" s="16">
        <f>HYPERLINK("https://pb.nalog.ru/search.html?query=7327025479","ФНС: проверить")</f>
        <v/>
      </c>
      <c r="R1295" s="16">
        <f>HYPERLINK("https://checko.ru/search?query=3801001629","Чекко: проверить")</f>
        <v/>
      </c>
      <c r="S1295" t="n">
        <v>1</v>
      </c>
      <c r="T1295" s="35" t="inlineStr">
        <is>
          <t>4 — Не обогащён</t>
        </is>
      </c>
      <c r="U1295" s="35" t="inlineStr">
        <is>
          <t>Нет ОКВЭД/ССЧР</t>
        </is>
      </c>
      <c r="V1295" s="35" t="inlineStr">
        <is>
          <t>Не определено</t>
        </is>
      </c>
      <c r="W1295" s="35" t="inlineStr"/>
      <c r="X1295" s="35" t="inlineStr"/>
    </row>
    <row r="1296" ht="27.75" customHeight="1" s="24">
      <c r="A1296" s="13" t="n">
        <v>5000001742</v>
      </c>
      <c r="B1296" s="13" t="inlineStr">
        <is>
          <t>Управление социальной защиты населения администрации АМО</t>
        </is>
      </c>
      <c r="C1296" s="13" t="n">
        <v>3801992708</v>
      </c>
      <c r="D1296" s="13" t="inlineStr">
        <is>
          <t>3801992708</t>
        </is>
      </c>
      <c r="E1296" s="13" t="inlineStr">
        <is>
          <t>ЮЛ РФ</t>
        </is>
      </c>
      <c r="F1296" s="13" t="n"/>
      <c r="G1296" s="14" t="n"/>
      <c r="H1296" s="14" t="n"/>
      <c r="I1296" s="14" t="n"/>
      <c r="J1296" s="14" t="n"/>
      <c r="K1296" s="53" t="inlineStr"/>
      <c r="L1296" s="53" t="inlineStr">
        <is>
          <t>Не определено</t>
        </is>
      </c>
      <c r="M1296" s="53" t="inlineStr"/>
      <c r="N1296" s="54" t="inlineStr"/>
      <c r="O1296" s="55" t="inlineStr"/>
      <c r="P1296" s="16" t="inlineStr">
        <is>
          <t>Требует обогащения</t>
        </is>
      </c>
      <c r="Q1296" s="16">
        <f>HYPERLINK("https://pb.nalog.ru/search.html?query=3801992708","ФНС: проверить")</f>
        <v/>
      </c>
      <c r="R1296" s="16">
        <f>HYPERLINK("https://checko.ru/search?query=3801001629","Чекко: проверить")</f>
        <v/>
      </c>
      <c r="S1296" t="n">
        <v>1</v>
      </c>
      <c r="T1296" s="35" t="inlineStr">
        <is>
          <t>4 — Не обогащён</t>
        </is>
      </c>
      <c r="U1296" s="35" t="inlineStr">
        <is>
          <t>Нет ОКВЭД/ССЧР</t>
        </is>
      </c>
      <c r="V1296" s="35" t="inlineStr">
        <is>
          <t>Не определено</t>
        </is>
      </c>
      <c r="W1296" s="35" t="inlineStr"/>
      <c r="X1296" s="35" t="inlineStr"/>
    </row>
    <row r="1297" ht="27.75" customHeight="1" s="24">
      <c r="A1297" s="13" t="n">
        <v>5000094828</v>
      </c>
      <c r="B1297" s="13" t="inlineStr">
        <is>
          <t>УСХПИТ ЛЕСКЕНСКОГО МУНИЦИПАЛЬНОГО РАЙОНА</t>
        </is>
      </c>
      <c r="C1297" s="13" t="n">
        <v>707013011</v>
      </c>
      <c r="D1297" s="13" t="n"/>
      <c r="E1297" s="13" t="inlineStr">
        <is>
          <t>Не определён</t>
        </is>
      </c>
      <c r="F1297" s="13" t="inlineStr">
        <is>
          <t>707013011</t>
        </is>
      </c>
      <c r="G1297" s="14" t="n"/>
      <c r="H1297" s="14" t="n"/>
      <c r="I1297" s="14" t="n"/>
      <c r="J1297" s="14" t="n"/>
      <c r="K1297" s="13">
        <f>IF(G1297="","",IF(G1297&gt;=22,"Да","Нет"))</f>
        <v/>
      </c>
      <c r="L1297" s="13">
        <f>IF(OR(I1297="",J1297=""),"Не определено",IF(OR(COUNTIF(I1297,"45*")&gt;0,COUNTIF(J1297,"*45*")&gt;0,COUNTIF(I1297,"46*")&gt;0,COUNTIF(J1297,"*46*")&gt;0,COUNTIF(I1297,"47*")&gt;0,COUNTIF(J1297,"*47*")&gt;0,COUNTIF(I1297,"10*")&gt;0,COUNTIF(J1297,"*10*")&gt;0,COUNTIF(I1297,"11*")&gt;0,COUNTIF(J1297,"*11*")&gt;0,COUNTIF(I1297,"12*")&gt;0,COUNTIF(J1297,"*12*")&gt;0,COUNTIF(I1297,"13*")&gt;0,COUNTIF(J1297,"*13*")&gt;0,COUNTIF(I1297,"14*")&gt;0,COUNTIF(J1297,"*14*")&gt;0,COUNTIF(I1297,"15*")&gt;0,COUNTIF(J1297,"*15*")&gt;0,COUNTIF(I1297,"16*")&gt;0,COUNTIF(J1297,"*16*")&gt;0,COUNTIF(I1297,"17*")&gt;0,COUNTIF(J1297,"*17*")&gt;0,COUNTIF(I1297,"18*")&gt;0,COUNTIF(J1297,"*18*")&gt;0,COUNTIF(I1297,"19*")&gt;0,COUNTIF(J1297,"*19*")&gt;0,COUNTIF(I1297,"20*")&gt;0,COUNTIF(J1297,"*20*")&gt;0,COUNTIF(I1297,"21*")&gt;0,COUNTIF(J1297,"*21*")&gt;0,COUNTIF(I1297,"22*")&gt;0,COUNTIF(J1297,"*22*")&gt;0,COUNTIF(I1297,"23*")&gt;0,COUNTIF(J1297,"*23*")&gt;0,COUNTIF(I1297,"24*")&gt;0,COUNTIF(J1297,"*24*")&gt;0,COUNTIF(I1297,"25*")&gt;0,COUNTIF(J1297,"*25*")&gt;0,COUNTIF(I1297,"26*")&gt;0,COUNTIF(J1297,"*26*")&gt;0,COUNTIF(I1297,"27*")&gt;0,COUNTIF(J1297,"*27*")&gt;0,COUNTIF(I1297,"28*")&gt;0,COUNTIF(J1297,"*28*")&gt;0,COUNTIF(I1297,"29*")&gt;0,COUNTIF(J1297,"*29*")&gt;0,COUNTIF(I1297,"30*")&gt;0,COUNTIF(J1297,"*30*")&gt;0,COUNTIF(I1297,"31*")&gt;0,COUNTIF(J1297,"*31*")&gt;0,COUNTIF(I1297,"32*")&gt;0,COUNTIF(J1297,"*32*")&gt;0,COUNTIF(I1297,"33*")&gt;0,COUNTIF(J1297,"*33*")&gt;0,COUNTIF(I1297,"41*")&gt;0,COUNTIF(J1297,"*41*")&gt;0,COUNTIF(I1297,"42*")&gt;0,COUNTIF(J1297,"*42*")&gt;0,COUNTIF(I1297,"43*")&gt;0,COUNTIF(J1297,"*43*")&gt;0,COUNTIF(I1297,"49*")&gt;0,COUNTIF(J1297,"*49*")&gt;0,COUNTIF(I1297,"52*")&gt;0,COUNTIF(J1297,"*52*")&gt;0,COUNTIF(I1297,"55*")&gt;0,COUNTIF(J1297,"*55*")&gt;0,COUNTIF(I1297,"56*")&gt;0,COUNTIF(J1297,"*56*")&gt;0,COUNTIF(I1297,"68*")&gt;0,COUNTIF(J1297,"*68*")&gt;0,COUNTIF(I1297,"78*")&gt;0,COUNTIF(J1297,"*78*")&gt;0,COUNTIF(I1297,"81*")&gt;0,COUNTIF(J1297,"*81*")&gt;0,COUNTIF(I1297,"82*")&gt;0,COUNTIF(J1297,"*82*")&gt;0,COUNTIF(I1297,"64*")&gt;0,COUNTIF(J1297,"*64*")&gt;0,COUNTIF(I1297,"65*")&gt;0,COUNTIF(J1297,"*65*")&gt;0,COUNTIF(I1297,"66*")&gt;0,COUNTIF(J1297,"*66*")&gt;0,COUNTIF(I1297,"61*")&gt;0,COUNTIF(J1297,"*61*")&gt;0,COUNTIF(I1297,"62*")&gt;0,COUNTIF(J1297,"*62*")&gt;0,COUNTIF(I1297,"63*")&gt;0,COUNTIF(J1297,"*63*")&gt;0,COUNTIF(I1297,"85*")&gt;0,COUNTIF(J1297,"*85*")&gt;0,COUNTIF(I1297,"86*")&gt;0,COUNTIF(J1297,"*86*")&gt;0),"Да","Нет"))</f>
        <v/>
      </c>
      <c r="M1297" s="13">
        <f>IF(OR(G1297="",L1297&lt;&gt;"Да"),"",IF(G1297&lt;=100,"До 100",IF(G1297&lt;=200,"До 200",IF(G1297&lt;=500,"До 500","Отдельное КП"))))</f>
        <v/>
      </c>
      <c r="N1297" s="15">
        <f>IF(OR(G1297="",L1297&lt;&gt;"Да"),"",IF(G1297&lt;=100,33600,IF(G1297&lt;=200,62400,IF(G1297&lt;=500,144000,""))))</f>
        <v/>
      </c>
      <c r="O1297" s="16">
        <f>IF(G1297="","",IF(G1297&lt;=15,"1–15",IF(G1297&lt;=30,"16–30",IF(G1297&lt;=50,"31–50",IF(G1297&lt;=100,"51–100",IF(G1297&lt;=150,"101–150",IF(G1297&lt;=200,"151–200",IF(G1297&lt;=500,"201–500","500+"))))))))</f>
        <v/>
      </c>
      <c r="P1297" s="16" t="inlineStr">
        <is>
          <t>Нет совпадения в предоставленной выгрузке ССЧР</t>
        </is>
      </c>
      <c r="Q1297" s="16" t="n"/>
      <c r="R1297" s="16">
        <f>HYPERLINK("https://checko.ru/search?query=3801001629","Чекко: проверить")</f>
        <v/>
      </c>
      <c r="S1297" t="n">
        <v>0</v>
      </c>
    </row>
    <row r="1298" ht="27.75" customHeight="1" s="24">
      <c r="A1298" s="13" t="n">
        <v>5000062620</v>
      </c>
      <c r="B1298" s="13" t="inlineStr">
        <is>
          <t>ГУЗ "Николаевская центральная районная больница"</t>
        </is>
      </c>
      <c r="C1298" s="13" t="n">
        <v>7311001095</v>
      </c>
      <c r="D1298" s="13" t="inlineStr">
        <is>
          <t>7311001095</t>
        </is>
      </c>
      <c r="E1298" s="13" t="inlineStr">
        <is>
          <t>ЮЛ РФ</t>
        </is>
      </c>
      <c r="F1298" s="13" t="n"/>
      <c r="G1298" s="14" t="n"/>
      <c r="H1298" s="14" t="n"/>
      <c r="I1298" s="14" t="n"/>
      <c r="J1298" s="14" t="n"/>
      <c r="K1298" s="53" t="inlineStr"/>
      <c r="L1298" s="53" t="inlineStr">
        <is>
          <t>Не определено</t>
        </is>
      </c>
      <c r="M1298" s="53" t="inlineStr"/>
      <c r="N1298" s="54" t="inlineStr"/>
      <c r="O1298" s="55" t="inlineStr"/>
      <c r="P1298" s="16" t="inlineStr">
        <is>
          <t>Требует обогащения</t>
        </is>
      </c>
      <c r="Q1298" s="16">
        <f>HYPERLINK("https://pb.nalog.ru/search.html?query=7311001095","ФНС: проверить")</f>
        <v/>
      </c>
      <c r="R1298" s="16">
        <f>HYPERLINK("https://checko.ru/search?query=3801001629","Чекко: проверить")</f>
        <v/>
      </c>
      <c r="S1298" t="n">
        <v>1</v>
      </c>
      <c r="T1298" s="35" t="inlineStr">
        <is>
          <t>4 — Не обогащён</t>
        </is>
      </c>
      <c r="U1298" s="35" t="inlineStr">
        <is>
          <t>Нет ОКВЭД/ССЧР</t>
        </is>
      </c>
      <c r="V1298" s="35" t="inlineStr">
        <is>
          <t>Не определено</t>
        </is>
      </c>
      <c r="W1298" s="35" t="inlineStr"/>
      <c r="X1298" s="35" t="inlineStr"/>
    </row>
    <row r="1299" ht="27.75" customHeight="1" s="24">
      <c r="A1299" s="13" t="n">
        <v>5000001551</v>
      </c>
      <c r="B1299" s="13" t="inlineStr">
        <is>
          <t>ОГОКУ "Специальная (коррекционная) школа-интернат №4 г. Иркутска"</t>
        </is>
      </c>
      <c r="C1299" s="13" t="n">
        <v>3810024686</v>
      </c>
      <c r="D1299" s="13" t="inlineStr">
        <is>
          <t>3810024686</t>
        </is>
      </c>
      <c r="E1299" s="13" t="inlineStr">
        <is>
          <t>ЮЛ РФ</t>
        </is>
      </c>
      <c r="F1299" s="13" t="n"/>
      <c r="G1299" s="14" t="n"/>
      <c r="H1299" s="14" t="n"/>
      <c r="I1299" s="14" t="n"/>
      <c r="J1299" s="14" t="n"/>
      <c r="K1299" s="53" t="inlineStr"/>
      <c r="L1299" s="53" t="inlineStr">
        <is>
          <t>Не определено</t>
        </is>
      </c>
      <c r="M1299" s="53" t="inlineStr"/>
      <c r="N1299" s="54" t="inlineStr"/>
      <c r="O1299" s="55" t="inlineStr"/>
      <c r="P1299" s="16" t="inlineStr">
        <is>
          <t>Требует обогащения</t>
        </is>
      </c>
      <c r="Q1299" s="16">
        <f>HYPERLINK("https://pb.nalog.ru/search.html?query=3810024686","ФНС: проверить")</f>
        <v/>
      </c>
      <c r="R1299" s="16">
        <f>HYPERLINK("https://checko.ru/search?query=3801001629","Чекко: проверить")</f>
        <v/>
      </c>
      <c r="S1299" t="n">
        <v>1</v>
      </c>
      <c r="T1299" s="35" t="inlineStr">
        <is>
          <t>4 — Не обогащён</t>
        </is>
      </c>
      <c r="U1299" s="35" t="inlineStr">
        <is>
          <t>Нет ОКВЭД/ССЧР</t>
        </is>
      </c>
      <c r="V1299" s="35" t="inlineStr">
        <is>
          <t>Не определено</t>
        </is>
      </c>
      <c r="W1299" s="35" t="inlineStr"/>
      <c r="X1299" s="35" t="inlineStr"/>
    </row>
    <row r="1300" ht="27.75" customHeight="1" s="24">
      <c r="A1300" s="13" t="n">
        <v>5000001571</v>
      </c>
      <c r="B1300" s="13" t="inlineStr">
        <is>
          <t>ОГБОУ СПО Иркутский Базовый Медицинский Колледж</t>
        </is>
      </c>
      <c r="C1300" s="13" t="n">
        <v>3811031742</v>
      </c>
      <c r="D1300" s="13" t="inlineStr">
        <is>
          <t>3811031742</t>
        </is>
      </c>
      <c r="E1300" s="13" t="inlineStr">
        <is>
          <t>ЮЛ РФ</t>
        </is>
      </c>
      <c r="F1300" s="13" t="n"/>
      <c r="G1300" s="14" t="n"/>
      <c r="H1300" s="14" t="n"/>
      <c r="I1300" s="14" t="n"/>
      <c r="J1300" s="14" t="n"/>
      <c r="K1300" s="53" t="inlineStr"/>
      <c r="L1300" s="53" t="inlineStr">
        <is>
          <t>Не определено</t>
        </is>
      </c>
      <c r="M1300" s="53" t="inlineStr"/>
      <c r="N1300" s="54" t="inlineStr"/>
      <c r="O1300" s="55" t="inlineStr"/>
      <c r="P1300" s="16" t="inlineStr">
        <is>
          <t>Требует обогащения</t>
        </is>
      </c>
      <c r="Q1300" s="16">
        <f>HYPERLINK("https://pb.nalog.ru/search.html?query=3811031742","ФНС: проверить")</f>
        <v/>
      </c>
      <c r="R1300" s="16">
        <f>HYPERLINK("https://checko.ru/search?query=3801001629","Чекко: проверить")</f>
        <v/>
      </c>
      <c r="S1300" t="n">
        <v>1</v>
      </c>
      <c r="T1300" s="35" t="inlineStr">
        <is>
          <t>4 — Не обогащён</t>
        </is>
      </c>
      <c r="U1300" s="35" t="inlineStr">
        <is>
          <t>Нет ОКВЭД/ССЧР</t>
        </is>
      </c>
      <c r="V1300" s="35" t="inlineStr">
        <is>
          <t>Не определено</t>
        </is>
      </c>
      <c r="W1300" s="35" t="inlineStr"/>
      <c r="X1300" s="35" t="inlineStr"/>
    </row>
    <row r="1301" ht="15" customHeight="1" s="24">
      <c r="A1301" s="13" t="n">
        <v>5000062609</v>
      </c>
      <c r="B1301" s="13" t="inlineStr">
        <is>
          <t>ГУЗ "Тереньгульская ЦРБ"</t>
        </is>
      </c>
      <c r="C1301" s="13" t="n">
        <v>7320002088</v>
      </c>
      <c r="D1301" s="13" t="inlineStr">
        <is>
          <t>7320002088</t>
        </is>
      </c>
      <c r="E1301" s="13" t="inlineStr">
        <is>
          <t>ЮЛ РФ</t>
        </is>
      </c>
      <c r="F1301" s="13" t="n"/>
      <c r="G1301" s="14" t="n"/>
      <c r="H1301" s="14" t="n"/>
      <c r="I1301" s="14" t="n"/>
      <c r="J1301" s="14" t="n"/>
      <c r="K1301" s="53" t="inlineStr"/>
      <c r="L1301" s="53" t="inlineStr">
        <is>
          <t>Не определено</t>
        </is>
      </c>
      <c r="M1301" s="53" t="inlineStr"/>
      <c r="N1301" s="54" t="inlineStr"/>
      <c r="O1301" s="55" t="inlineStr"/>
      <c r="P1301" s="16" t="inlineStr">
        <is>
          <t>Требует обогащения</t>
        </is>
      </c>
      <c r="Q1301" s="16">
        <f>HYPERLINK("https://pb.nalog.ru/search.html?query=7320002088","ФНС: проверить")</f>
        <v/>
      </c>
      <c r="R1301" s="16">
        <f>HYPERLINK("https://checko.ru/search?query=3801001629","Чекко: проверить")</f>
        <v/>
      </c>
      <c r="S1301" t="n">
        <v>1</v>
      </c>
      <c r="T1301" s="35" t="inlineStr">
        <is>
          <t>4 — Не обогащён</t>
        </is>
      </c>
      <c r="U1301" s="35" t="inlineStr">
        <is>
          <t>Нет ОКВЭД/ССЧР</t>
        </is>
      </c>
      <c r="V1301" s="35" t="inlineStr">
        <is>
          <t>Не определено</t>
        </is>
      </c>
      <c r="W1301" s="35" t="inlineStr"/>
      <c r="X1301" s="35" t="inlineStr"/>
    </row>
    <row r="1302" ht="15" customHeight="1" s="24">
      <c r="A1302" s="13" t="n">
        <v>5000094454</v>
      </c>
      <c r="B1302" s="13" t="inlineStr">
        <is>
          <t>МКУ "Редакция газеты "Баксан"</t>
        </is>
      </c>
      <c r="C1302" s="13" t="n">
        <v>701010783</v>
      </c>
      <c r="D1302" s="13" t="n"/>
      <c r="E1302" s="13" t="inlineStr">
        <is>
          <t>Не определён</t>
        </is>
      </c>
      <c r="F1302" s="13" t="inlineStr">
        <is>
          <t>701010783</t>
        </is>
      </c>
      <c r="G1302" s="14" t="n"/>
      <c r="H1302" s="14" t="n"/>
      <c r="I1302" s="14" t="n"/>
      <c r="J1302" s="14" t="n"/>
      <c r="K1302" s="13">
        <f>IF(G1302="","",IF(G1302&gt;=22,"Да","Нет"))</f>
        <v/>
      </c>
      <c r="L1302" s="13">
        <f>IF(OR(I1302="",J1302=""),"Не определено",IF(OR(COUNTIF(I1302,"45*")&gt;0,COUNTIF(J1302,"*45*")&gt;0,COUNTIF(I1302,"46*")&gt;0,COUNTIF(J1302,"*46*")&gt;0,COUNTIF(I1302,"47*")&gt;0,COUNTIF(J1302,"*47*")&gt;0,COUNTIF(I1302,"10*")&gt;0,COUNTIF(J1302,"*10*")&gt;0,COUNTIF(I1302,"11*")&gt;0,COUNTIF(J1302,"*11*")&gt;0,COUNTIF(I1302,"12*")&gt;0,COUNTIF(J1302,"*12*")&gt;0,COUNTIF(I1302,"13*")&gt;0,COUNTIF(J1302,"*13*")&gt;0,COUNTIF(I1302,"14*")&gt;0,COUNTIF(J1302,"*14*")&gt;0,COUNTIF(I1302,"15*")&gt;0,COUNTIF(J1302,"*15*")&gt;0,COUNTIF(I1302,"16*")&gt;0,COUNTIF(J1302,"*16*")&gt;0,COUNTIF(I1302,"17*")&gt;0,COUNTIF(J1302,"*17*")&gt;0,COUNTIF(I1302,"18*")&gt;0,COUNTIF(J1302,"*18*")&gt;0,COUNTIF(I1302,"19*")&gt;0,COUNTIF(J1302,"*19*")&gt;0,COUNTIF(I1302,"20*")&gt;0,COUNTIF(J1302,"*20*")&gt;0,COUNTIF(I1302,"21*")&gt;0,COUNTIF(J1302,"*21*")&gt;0,COUNTIF(I1302,"22*")&gt;0,COUNTIF(J1302,"*22*")&gt;0,COUNTIF(I1302,"23*")&gt;0,COUNTIF(J1302,"*23*")&gt;0,COUNTIF(I1302,"24*")&gt;0,COUNTIF(J1302,"*24*")&gt;0,COUNTIF(I1302,"25*")&gt;0,COUNTIF(J1302,"*25*")&gt;0,COUNTIF(I1302,"26*")&gt;0,COUNTIF(J1302,"*26*")&gt;0,COUNTIF(I1302,"27*")&gt;0,COUNTIF(J1302,"*27*")&gt;0,COUNTIF(I1302,"28*")&gt;0,COUNTIF(J1302,"*28*")&gt;0,COUNTIF(I1302,"29*")&gt;0,COUNTIF(J1302,"*29*")&gt;0,COUNTIF(I1302,"30*")&gt;0,COUNTIF(J1302,"*30*")&gt;0,COUNTIF(I1302,"31*")&gt;0,COUNTIF(J1302,"*31*")&gt;0,COUNTIF(I1302,"32*")&gt;0,COUNTIF(J1302,"*32*")&gt;0,COUNTIF(I1302,"33*")&gt;0,COUNTIF(J1302,"*33*")&gt;0,COUNTIF(I1302,"41*")&gt;0,COUNTIF(J1302,"*41*")&gt;0,COUNTIF(I1302,"42*")&gt;0,COUNTIF(J1302,"*42*")&gt;0,COUNTIF(I1302,"43*")&gt;0,COUNTIF(J1302,"*43*")&gt;0,COUNTIF(I1302,"49*")&gt;0,COUNTIF(J1302,"*49*")&gt;0,COUNTIF(I1302,"52*")&gt;0,COUNTIF(J1302,"*52*")&gt;0,COUNTIF(I1302,"55*")&gt;0,COUNTIF(J1302,"*55*")&gt;0,COUNTIF(I1302,"56*")&gt;0,COUNTIF(J1302,"*56*")&gt;0,COUNTIF(I1302,"68*")&gt;0,COUNTIF(J1302,"*68*")&gt;0,COUNTIF(I1302,"78*")&gt;0,COUNTIF(J1302,"*78*")&gt;0,COUNTIF(I1302,"81*")&gt;0,COUNTIF(J1302,"*81*")&gt;0,COUNTIF(I1302,"82*")&gt;0,COUNTIF(J1302,"*82*")&gt;0,COUNTIF(I1302,"64*")&gt;0,COUNTIF(J1302,"*64*")&gt;0,COUNTIF(I1302,"65*")&gt;0,COUNTIF(J1302,"*65*")&gt;0,COUNTIF(I1302,"66*")&gt;0,COUNTIF(J1302,"*66*")&gt;0,COUNTIF(I1302,"61*")&gt;0,COUNTIF(J1302,"*61*")&gt;0,COUNTIF(I1302,"62*")&gt;0,COUNTIF(J1302,"*62*")&gt;0,COUNTIF(I1302,"63*")&gt;0,COUNTIF(J1302,"*63*")&gt;0,COUNTIF(I1302,"85*")&gt;0,COUNTIF(J1302,"*85*")&gt;0,COUNTIF(I1302,"86*")&gt;0,COUNTIF(J1302,"*86*")&gt;0),"Да","Нет"))</f>
        <v/>
      </c>
      <c r="M1302" s="13">
        <f>IF(OR(G1302="",L1302&lt;&gt;"Да"),"",IF(G1302&lt;=100,"До 100",IF(G1302&lt;=200,"До 200",IF(G1302&lt;=500,"До 500","Отдельное КП"))))</f>
        <v/>
      </c>
      <c r="N1302" s="15">
        <f>IF(OR(G1302="",L1302&lt;&gt;"Да"),"",IF(G1302&lt;=100,33600,IF(G1302&lt;=200,62400,IF(G1302&lt;=500,144000,""))))</f>
        <v/>
      </c>
      <c r="O1302" s="16">
        <f>IF(G1302="","",IF(G1302&lt;=15,"1–15",IF(G1302&lt;=30,"16–30",IF(G1302&lt;=50,"31–50",IF(G1302&lt;=100,"51–100",IF(G1302&lt;=150,"101–150",IF(G1302&lt;=200,"151–200",IF(G1302&lt;=500,"201–500","500+"))))))))</f>
        <v/>
      </c>
      <c r="P1302" s="16" t="inlineStr">
        <is>
          <t>Нет совпадения в предоставленной выгрузке ССЧР</t>
        </is>
      </c>
      <c r="Q1302" s="16" t="n"/>
      <c r="R1302" s="16">
        <f>HYPERLINK("https://checko.ru/search?query=3801001629","Чекко: проверить")</f>
        <v/>
      </c>
      <c r="S1302" t="n">
        <v>0</v>
      </c>
    </row>
    <row r="1303" ht="15" customHeight="1" s="24">
      <c r="A1303" s="13" t="n">
        <v>5000094451</v>
      </c>
      <c r="B1303" s="13" t="inlineStr">
        <is>
          <t>МКУ "Городской дворец культуры г.Баксан "</t>
        </is>
      </c>
      <c r="C1303" s="13" t="n">
        <v>701010712</v>
      </c>
      <c r="D1303" s="13" t="n"/>
      <c r="E1303" s="13" t="inlineStr">
        <is>
          <t>Не определён</t>
        </is>
      </c>
      <c r="F1303" s="13" t="inlineStr">
        <is>
          <t>701010712</t>
        </is>
      </c>
      <c r="G1303" s="14" t="n"/>
      <c r="H1303" s="14" t="n"/>
      <c r="I1303" s="14" t="n"/>
      <c r="J1303" s="14" t="n"/>
      <c r="K1303" s="13">
        <f>IF(G1303="","",IF(G1303&gt;=22,"Да","Нет"))</f>
        <v/>
      </c>
      <c r="L1303" s="13">
        <f>IF(OR(I1303="",J1303=""),"Не определено",IF(OR(COUNTIF(I1303,"45*")&gt;0,COUNTIF(J1303,"*45*")&gt;0,COUNTIF(I1303,"46*")&gt;0,COUNTIF(J1303,"*46*")&gt;0,COUNTIF(I1303,"47*")&gt;0,COUNTIF(J1303,"*47*")&gt;0,COUNTIF(I1303,"10*")&gt;0,COUNTIF(J1303,"*10*")&gt;0,COUNTIF(I1303,"11*")&gt;0,COUNTIF(J1303,"*11*")&gt;0,COUNTIF(I1303,"12*")&gt;0,COUNTIF(J1303,"*12*")&gt;0,COUNTIF(I1303,"13*")&gt;0,COUNTIF(J1303,"*13*")&gt;0,COUNTIF(I1303,"14*")&gt;0,COUNTIF(J1303,"*14*")&gt;0,COUNTIF(I1303,"15*")&gt;0,COUNTIF(J1303,"*15*")&gt;0,COUNTIF(I1303,"16*")&gt;0,COUNTIF(J1303,"*16*")&gt;0,COUNTIF(I1303,"17*")&gt;0,COUNTIF(J1303,"*17*")&gt;0,COUNTIF(I1303,"18*")&gt;0,COUNTIF(J1303,"*18*")&gt;0,COUNTIF(I1303,"19*")&gt;0,COUNTIF(J1303,"*19*")&gt;0,COUNTIF(I1303,"20*")&gt;0,COUNTIF(J1303,"*20*")&gt;0,COUNTIF(I1303,"21*")&gt;0,COUNTIF(J1303,"*21*")&gt;0,COUNTIF(I1303,"22*")&gt;0,COUNTIF(J1303,"*22*")&gt;0,COUNTIF(I1303,"23*")&gt;0,COUNTIF(J1303,"*23*")&gt;0,COUNTIF(I1303,"24*")&gt;0,COUNTIF(J1303,"*24*")&gt;0,COUNTIF(I1303,"25*")&gt;0,COUNTIF(J1303,"*25*")&gt;0,COUNTIF(I1303,"26*")&gt;0,COUNTIF(J1303,"*26*")&gt;0,COUNTIF(I1303,"27*")&gt;0,COUNTIF(J1303,"*27*")&gt;0,COUNTIF(I1303,"28*")&gt;0,COUNTIF(J1303,"*28*")&gt;0,COUNTIF(I1303,"29*")&gt;0,COUNTIF(J1303,"*29*")&gt;0,COUNTIF(I1303,"30*")&gt;0,COUNTIF(J1303,"*30*")&gt;0,COUNTIF(I1303,"31*")&gt;0,COUNTIF(J1303,"*31*")&gt;0,COUNTIF(I1303,"32*")&gt;0,COUNTIF(J1303,"*32*")&gt;0,COUNTIF(I1303,"33*")&gt;0,COUNTIF(J1303,"*33*")&gt;0,COUNTIF(I1303,"41*")&gt;0,COUNTIF(J1303,"*41*")&gt;0,COUNTIF(I1303,"42*")&gt;0,COUNTIF(J1303,"*42*")&gt;0,COUNTIF(I1303,"43*")&gt;0,COUNTIF(J1303,"*43*")&gt;0,COUNTIF(I1303,"49*")&gt;0,COUNTIF(J1303,"*49*")&gt;0,COUNTIF(I1303,"52*")&gt;0,COUNTIF(J1303,"*52*")&gt;0,COUNTIF(I1303,"55*")&gt;0,COUNTIF(J1303,"*55*")&gt;0,COUNTIF(I1303,"56*")&gt;0,COUNTIF(J1303,"*56*")&gt;0,COUNTIF(I1303,"68*")&gt;0,COUNTIF(J1303,"*68*")&gt;0,COUNTIF(I1303,"78*")&gt;0,COUNTIF(J1303,"*78*")&gt;0,COUNTIF(I1303,"81*")&gt;0,COUNTIF(J1303,"*81*")&gt;0,COUNTIF(I1303,"82*")&gt;0,COUNTIF(J1303,"*82*")&gt;0,COUNTIF(I1303,"64*")&gt;0,COUNTIF(J1303,"*64*")&gt;0,COUNTIF(I1303,"65*")&gt;0,COUNTIF(J1303,"*65*")&gt;0,COUNTIF(I1303,"66*")&gt;0,COUNTIF(J1303,"*66*")&gt;0,COUNTIF(I1303,"61*")&gt;0,COUNTIF(J1303,"*61*")&gt;0,COUNTIF(I1303,"62*")&gt;0,COUNTIF(J1303,"*62*")&gt;0,COUNTIF(I1303,"63*")&gt;0,COUNTIF(J1303,"*63*")&gt;0,COUNTIF(I1303,"85*")&gt;0,COUNTIF(J1303,"*85*")&gt;0,COUNTIF(I1303,"86*")&gt;0,COUNTIF(J1303,"*86*")&gt;0),"Да","Нет"))</f>
        <v/>
      </c>
      <c r="M1303" s="13">
        <f>IF(OR(G1303="",L1303&lt;&gt;"Да"),"",IF(G1303&lt;=100,"До 100",IF(G1303&lt;=200,"До 200",IF(G1303&lt;=500,"До 500","Отдельное КП"))))</f>
        <v/>
      </c>
      <c r="N1303" s="15">
        <f>IF(OR(G1303="",L1303&lt;&gt;"Да"),"",IF(G1303&lt;=100,33600,IF(G1303&lt;=200,62400,IF(G1303&lt;=500,144000,""))))</f>
        <v/>
      </c>
      <c r="O1303" s="16">
        <f>IF(G1303="","",IF(G1303&lt;=15,"1–15",IF(G1303&lt;=30,"16–30",IF(G1303&lt;=50,"31–50",IF(G1303&lt;=100,"51–100",IF(G1303&lt;=150,"101–150",IF(G1303&lt;=200,"151–200",IF(G1303&lt;=500,"201–500","500+"))))))))</f>
        <v/>
      </c>
      <c r="P1303" s="16" t="inlineStr">
        <is>
          <t>Нет совпадения в предоставленной выгрузке ССЧР</t>
        </is>
      </c>
      <c r="Q1303" s="16" t="n"/>
      <c r="R1303" s="16">
        <f>HYPERLINK("https://checko.ru/search?query=3801001629","Чекко: проверить")</f>
        <v/>
      </c>
      <c r="S1303" t="n">
        <v>0</v>
      </c>
    </row>
    <row r="1304" ht="15" customHeight="1" s="24">
      <c r="A1304" s="13" t="n">
        <v>5000095018</v>
      </c>
      <c r="B1304" s="13" t="inlineStr">
        <is>
          <t>Минсельхоз КБР</t>
        </is>
      </c>
      <c r="C1304" s="13" t="n">
        <v>711038428</v>
      </c>
      <c r="D1304" s="13" t="n"/>
      <c r="E1304" s="13" t="inlineStr">
        <is>
          <t>Не определён</t>
        </is>
      </c>
      <c r="F1304" s="13" t="inlineStr">
        <is>
          <t>711038428</t>
        </is>
      </c>
      <c r="G1304" s="14" t="n"/>
      <c r="H1304" s="14" t="n"/>
      <c r="I1304" s="14" t="n"/>
      <c r="J1304" s="14" t="n"/>
      <c r="K1304" s="13">
        <f>IF(G1304="","",IF(G1304&gt;=22,"Да","Нет"))</f>
        <v/>
      </c>
      <c r="L1304" s="13">
        <f>IF(OR(I1304="",J1304=""),"Не определено",IF(OR(COUNTIF(I1304,"45*")&gt;0,COUNTIF(J1304,"*45*")&gt;0,COUNTIF(I1304,"46*")&gt;0,COUNTIF(J1304,"*46*")&gt;0,COUNTIF(I1304,"47*")&gt;0,COUNTIF(J1304,"*47*")&gt;0,COUNTIF(I1304,"10*")&gt;0,COUNTIF(J1304,"*10*")&gt;0,COUNTIF(I1304,"11*")&gt;0,COUNTIF(J1304,"*11*")&gt;0,COUNTIF(I1304,"12*")&gt;0,COUNTIF(J1304,"*12*")&gt;0,COUNTIF(I1304,"13*")&gt;0,COUNTIF(J1304,"*13*")&gt;0,COUNTIF(I1304,"14*")&gt;0,COUNTIF(J1304,"*14*")&gt;0,COUNTIF(I1304,"15*")&gt;0,COUNTIF(J1304,"*15*")&gt;0,COUNTIF(I1304,"16*")&gt;0,COUNTIF(J1304,"*16*")&gt;0,COUNTIF(I1304,"17*")&gt;0,COUNTIF(J1304,"*17*")&gt;0,COUNTIF(I1304,"18*")&gt;0,COUNTIF(J1304,"*18*")&gt;0,COUNTIF(I1304,"19*")&gt;0,COUNTIF(J1304,"*19*")&gt;0,COUNTIF(I1304,"20*")&gt;0,COUNTIF(J1304,"*20*")&gt;0,COUNTIF(I1304,"21*")&gt;0,COUNTIF(J1304,"*21*")&gt;0,COUNTIF(I1304,"22*")&gt;0,COUNTIF(J1304,"*22*")&gt;0,COUNTIF(I1304,"23*")&gt;0,COUNTIF(J1304,"*23*")&gt;0,COUNTIF(I1304,"24*")&gt;0,COUNTIF(J1304,"*24*")&gt;0,COUNTIF(I1304,"25*")&gt;0,COUNTIF(J1304,"*25*")&gt;0,COUNTIF(I1304,"26*")&gt;0,COUNTIF(J1304,"*26*")&gt;0,COUNTIF(I1304,"27*")&gt;0,COUNTIF(J1304,"*27*")&gt;0,COUNTIF(I1304,"28*")&gt;0,COUNTIF(J1304,"*28*")&gt;0,COUNTIF(I1304,"29*")&gt;0,COUNTIF(J1304,"*29*")&gt;0,COUNTIF(I1304,"30*")&gt;0,COUNTIF(J1304,"*30*")&gt;0,COUNTIF(I1304,"31*")&gt;0,COUNTIF(J1304,"*31*")&gt;0,COUNTIF(I1304,"32*")&gt;0,COUNTIF(J1304,"*32*")&gt;0,COUNTIF(I1304,"33*")&gt;0,COUNTIF(J1304,"*33*")&gt;0,COUNTIF(I1304,"41*")&gt;0,COUNTIF(J1304,"*41*")&gt;0,COUNTIF(I1304,"42*")&gt;0,COUNTIF(J1304,"*42*")&gt;0,COUNTIF(I1304,"43*")&gt;0,COUNTIF(J1304,"*43*")&gt;0,COUNTIF(I1304,"49*")&gt;0,COUNTIF(J1304,"*49*")&gt;0,COUNTIF(I1304,"52*")&gt;0,COUNTIF(J1304,"*52*")&gt;0,COUNTIF(I1304,"55*")&gt;0,COUNTIF(J1304,"*55*")&gt;0,COUNTIF(I1304,"56*")&gt;0,COUNTIF(J1304,"*56*")&gt;0,COUNTIF(I1304,"68*")&gt;0,COUNTIF(J1304,"*68*")&gt;0,COUNTIF(I1304,"78*")&gt;0,COUNTIF(J1304,"*78*")&gt;0,COUNTIF(I1304,"81*")&gt;0,COUNTIF(J1304,"*81*")&gt;0,COUNTIF(I1304,"82*")&gt;0,COUNTIF(J1304,"*82*")&gt;0,COUNTIF(I1304,"64*")&gt;0,COUNTIF(J1304,"*64*")&gt;0,COUNTIF(I1304,"65*")&gt;0,COUNTIF(J1304,"*65*")&gt;0,COUNTIF(I1304,"66*")&gt;0,COUNTIF(J1304,"*66*")&gt;0,COUNTIF(I1304,"61*")&gt;0,COUNTIF(J1304,"*61*")&gt;0,COUNTIF(I1304,"62*")&gt;0,COUNTIF(J1304,"*62*")&gt;0,COUNTIF(I1304,"63*")&gt;0,COUNTIF(J1304,"*63*")&gt;0,COUNTIF(I1304,"85*")&gt;0,COUNTIF(J1304,"*85*")&gt;0,COUNTIF(I1304,"86*")&gt;0,COUNTIF(J1304,"*86*")&gt;0),"Да","Нет"))</f>
        <v/>
      </c>
      <c r="M1304" s="13">
        <f>IF(OR(G1304="",L1304&lt;&gt;"Да"),"",IF(G1304&lt;=100,"До 100",IF(G1304&lt;=200,"До 200",IF(G1304&lt;=500,"До 500","Отдельное КП"))))</f>
        <v/>
      </c>
      <c r="N1304" s="15">
        <f>IF(OR(G1304="",L1304&lt;&gt;"Да"),"",IF(G1304&lt;=100,33600,IF(G1304&lt;=200,62400,IF(G1304&lt;=500,144000,""))))</f>
        <v/>
      </c>
      <c r="O1304" s="16">
        <f>IF(G1304="","",IF(G1304&lt;=15,"1–15",IF(G1304&lt;=30,"16–30",IF(G1304&lt;=50,"31–50",IF(G1304&lt;=100,"51–100",IF(G1304&lt;=150,"101–150",IF(G1304&lt;=200,"151–200",IF(G1304&lt;=500,"201–500","500+"))))))))</f>
        <v/>
      </c>
      <c r="P1304" s="16" t="inlineStr">
        <is>
          <t>Нет совпадения в предоставленной выгрузке ССЧР</t>
        </is>
      </c>
      <c r="Q1304" s="16" t="n"/>
      <c r="R1304" s="16">
        <f>HYPERLINK("https://checko.ru/search?query=3801001629","Чекко: проверить")</f>
        <v/>
      </c>
      <c r="S1304" t="n">
        <v>0</v>
      </c>
    </row>
    <row r="1305" ht="41.25" customHeight="1" s="24">
      <c r="A1305" s="13" t="n">
        <v>5000001689</v>
      </c>
      <c r="B1305" s="13" t="inlineStr">
        <is>
          <t>ОГКУ социального обслуживания "Центр социальной помощи семье и детям "Радуга" Братского района"</t>
        </is>
      </c>
      <c r="C1305" s="13" t="n">
        <v>3823017118</v>
      </c>
      <c r="D1305" s="13" t="inlineStr">
        <is>
          <t>3823017118</t>
        </is>
      </c>
      <c r="E1305" s="13" t="inlineStr">
        <is>
          <t>ЮЛ РФ</t>
        </is>
      </c>
      <c r="F1305" s="13" t="n"/>
      <c r="G1305" s="14" t="n"/>
      <c r="H1305" s="14" t="n"/>
      <c r="I1305" s="14" t="n"/>
      <c r="J1305" s="14" t="n"/>
      <c r="K1305" s="53" t="inlineStr"/>
      <c r="L1305" s="53" t="inlineStr">
        <is>
          <t>Не определено</t>
        </is>
      </c>
      <c r="M1305" s="53" t="inlineStr"/>
      <c r="N1305" s="54" t="inlineStr"/>
      <c r="O1305" s="55" t="inlineStr"/>
      <c r="P1305" s="16" t="inlineStr">
        <is>
          <t>Требует обогащения</t>
        </is>
      </c>
      <c r="Q1305" s="16">
        <f>HYPERLINK("https://pb.nalog.ru/search.html?query=3823017118","ФНС: проверить")</f>
        <v/>
      </c>
      <c r="R1305" s="16">
        <f>HYPERLINK("https://checko.ru/search?query=3801001629","Чекко: проверить")</f>
        <v/>
      </c>
      <c r="S1305" t="n">
        <v>1</v>
      </c>
      <c r="T1305" s="35" t="inlineStr">
        <is>
          <t>4 — Не обогащён</t>
        </is>
      </c>
      <c r="U1305" s="35" t="inlineStr">
        <is>
          <t>Нет ОКВЭД/ССЧР</t>
        </is>
      </c>
      <c r="V1305" s="35" t="inlineStr">
        <is>
          <t>Не определено</t>
        </is>
      </c>
      <c r="W1305" s="35" t="inlineStr"/>
      <c r="X1305" s="35" t="inlineStr"/>
    </row>
    <row r="1306" ht="15" customHeight="1" s="24">
      <c r="A1306" s="13" t="n">
        <v>5000062567</v>
      </c>
      <c r="B1306" s="13" t="inlineStr">
        <is>
          <t>Ульяновский строительный колледж</t>
        </is>
      </c>
      <c r="C1306" s="13" t="n">
        <v>7325001930</v>
      </c>
      <c r="D1306" s="13" t="inlineStr">
        <is>
          <t>7325001930</t>
        </is>
      </c>
      <c r="E1306" s="13" t="inlineStr">
        <is>
          <t>ЮЛ РФ</t>
        </is>
      </c>
      <c r="F1306" s="13" t="n"/>
      <c r="G1306" s="14" t="n"/>
      <c r="H1306" s="14" t="n"/>
      <c r="I1306" s="14" t="n"/>
      <c r="J1306" s="14" t="n"/>
      <c r="K1306" s="53" t="inlineStr"/>
      <c r="L1306" s="53" t="inlineStr">
        <is>
          <t>Не определено</t>
        </is>
      </c>
      <c r="M1306" s="53" t="inlineStr"/>
      <c r="N1306" s="54" t="inlineStr"/>
      <c r="O1306" s="55" t="inlineStr"/>
      <c r="P1306" s="16" t="inlineStr">
        <is>
          <t>Требует обогащения</t>
        </is>
      </c>
      <c r="Q1306" s="16">
        <f>HYPERLINK("https://pb.nalog.ru/search.html?query=7325001930","ФНС: проверить")</f>
        <v/>
      </c>
      <c r="R1306" s="16">
        <f>HYPERLINK("https://checko.ru/search?query=3801001629","Чекко: проверить")</f>
        <v/>
      </c>
      <c r="S1306" t="n">
        <v>1</v>
      </c>
      <c r="T1306" s="35" t="inlineStr">
        <is>
          <t>4 — Не обогащён</t>
        </is>
      </c>
      <c r="U1306" s="35" t="inlineStr">
        <is>
          <t>Нет ОКВЭД/ССЧР</t>
        </is>
      </c>
      <c r="V1306" s="35" t="inlineStr">
        <is>
          <t>Не определено</t>
        </is>
      </c>
      <c r="W1306" s="35" t="inlineStr"/>
      <c r="X1306" s="35" t="inlineStr"/>
    </row>
    <row r="1307" ht="54.75" customHeight="1" s="24">
      <c r="A1307" s="13" t="n">
        <v>5000106137</v>
      </c>
      <c r="B1307" s="13" t="inlineStr">
        <is>
          <t>МУНИЦИПАЛЬНОЕ БЮДЖЕТНОЕ ДОШКОЛЬНОЕ ОБРАЗОВАТЕЛЬНОЕ УЧРЕЖДЕНИЕ "ДЕТСКИЙ САД КОМБИНИРОВАННОГО ВИДА № 12" ГОРОДА СОРОЧИНСКА ОРЕНБУРГСКОЙ ОБЛАСТИ</t>
        </is>
      </c>
      <c r="C1307" s="13" t="n">
        <v>5647020420</v>
      </c>
      <c r="D1307" s="13" t="inlineStr">
        <is>
          <t>5647020420</t>
        </is>
      </c>
      <c r="E1307" s="13" t="inlineStr">
        <is>
          <t>ЮЛ РФ</t>
        </is>
      </c>
      <c r="F1307" s="13" t="n"/>
      <c r="G1307" s="14" t="n"/>
      <c r="H1307" s="14" t="n"/>
      <c r="I1307" s="14" t="n"/>
      <c r="J1307" s="14" t="n"/>
      <c r="K1307" s="53" t="inlineStr"/>
      <c r="L1307" s="53" t="inlineStr">
        <is>
          <t>Не определено</t>
        </is>
      </c>
      <c r="M1307" s="53" t="inlineStr"/>
      <c r="N1307" s="54" t="inlineStr"/>
      <c r="O1307" s="55" t="inlineStr"/>
      <c r="P1307" s="16" t="inlineStr">
        <is>
          <t>Требует обогащения</t>
        </is>
      </c>
      <c r="Q1307" s="16">
        <f>HYPERLINK("https://pb.nalog.ru/search.html?query=5647020420","ФНС: проверить")</f>
        <v/>
      </c>
      <c r="R1307" s="16">
        <f>HYPERLINK("https://checko.ru/search?query=3801001629","Чекко: проверить")</f>
        <v/>
      </c>
      <c r="S1307" t="n">
        <v>1</v>
      </c>
      <c r="T1307" s="35" t="inlineStr">
        <is>
          <t>4 — Не обогащён</t>
        </is>
      </c>
      <c r="U1307" s="35" t="inlineStr">
        <is>
          <t>Нет ОКВЭД/ССЧР</t>
        </is>
      </c>
      <c r="V1307" s="35" t="inlineStr">
        <is>
          <t>Не определено</t>
        </is>
      </c>
      <c r="W1307" s="35" t="inlineStr"/>
      <c r="X1307" s="35" t="inlineStr"/>
    </row>
    <row r="1308" ht="41.25" customHeight="1" s="24">
      <c r="A1308" s="13" t="n">
        <v>5000101677</v>
      </c>
      <c r="B1308" s="13" t="inlineStr">
        <is>
          <t>ГОСУДАРСТВЕННОЕ КАЗЕНОЕ УЧРЕЖДЕНИЕ ИРКУТСКОЙ ОБЛАСТИ "ПАДУНСКОЕ ЛЕСНИЧЕСТВО"</t>
        </is>
      </c>
      <c r="C1308" s="13" t="n">
        <v>3804119178</v>
      </c>
      <c r="D1308" s="13" t="inlineStr">
        <is>
          <t>3804119178</t>
        </is>
      </c>
      <c r="E1308" s="13" t="inlineStr">
        <is>
          <t>ЮЛ РФ</t>
        </is>
      </c>
      <c r="F1308" s="13" t="n"/>
      <c r="G1308" s="14" t="n"/>
      <c r="H1308" s="14" t="n"/>
      <c r="I1308" s="14" t="n"/>
      <c r="J1308" s="14" t="n"/>
      <c r="K1308" s="53" t="inlineStr"/>
      <c r="L1308" s="53" t="inlineStr">
        <is>
          <t>Не определено</t>
        </is>
      </c>
      <c r="M1308" s="53" t="inlineStr"/>
      <c r="N1308" s="54" t="inlineStr"/>
      <c r="O1308" s="55" t="inlineStr"/>
      <c r="P1308" s="16" t="inlineStr">
        <is>
          <t>Требует обогащения</t>
        </is>
      </c>
      <c r="Q1308" s="16">
        <f>HYPERLINK("https://pb.nalog.ru/search.html?query=3804119178","ФНС: проверить")</f>
        <v/>
      </c>
      <c r="R1308" s="16">
        <f>HYPERLINK("https://checko.ru/search?query=3801001629","Чекко: проверить")</f>
        <v/>
      </c>
      <c r="S1308" t="n">
        <v>1</v>
      </c>
      <c r="T1308" s="35" t="inlineStr">
        <is>
          <t>4 — Не обогащён</t>
        </is>
      </c>
      <c r="U1308" s="35" t="inlineStr">
        <is>
          <t>Нет ОКВЭД/ССЧР</t>
        </is>
      </c>
      <c r="V1308" s="35" t="inlineStr">
        <is>
          <t>Не определено</t>
        </is>
      </c>
      <c r="W1308" s="35" t="inlineStr"/>
      <c r="X1308" s="35" t="inlineStr"/>
    </row>
    <row r="1309" ht="41.25" customHeight="1" s="24">
      <c r="A1309" s="13" t="n">
        <v>5000101678</v>
      </c>
      <c r="B1309" s="13" t="inlineStr">
        <is>
          <t>ГОСУДАРСТВЕННОЕ КАЗЕННОЕ УЧРЕЖДЕНИЕ ИРКУТСКОЙ ОБЛАСТИ "ОЛЬХОНСКОЕ ЛЕСНИЧЕСТВО"</t>
        </is>
      </c>
      <c r="C1309" s="13" t="n">
        <v>3808283595</v>
      </c>
      <c r="D1309" s="13" t="inlineStr">
        <is>
          <t>3808283595</t>
        </is>
      </c>
      <c r="E1309" s="13" t="inlineStr">
        <is>
          <t>ЮЛ РФ</t>
        </is>
      </c>
      <c r="F1309" s="13" t="n"/>
      <c r="G1309" s="14" t="n"/>
      <c r="H1309" s="14" t="n"/>
      <c r="I1309" s="14" t="n"/>
      <c r="J1309" s="14" t="n"/>
      <c r="K1309" s="53" t="inlineStr"/>
      <c r="L1309" s="53" t="inlineStr">
        <is>
          <t>Не определено</t>
        </is>
      </c>
      <c r="M1309" s="53" t="inlineStr"/>
      <c r="N1309" s="54" t="inlineStr"/>
      <c r="O1309" s="55" t="inlineStr"/>
      <c r="P1309" s="16" t="inlineStr">
        <is>
          <t>Требует обогащения</t>
        </is>
      </c>
      <c r="Q1309" s="16">
        <f>HYPERLINK("https://pb.nalog.ru/search.html?query=3808283595","ФНС: проверить")</f>
        <v/>
      </c>
      <c r="R1309" s="16">
        <f>HYPERLINK("https://checko.ru/search?query=3801001629","Чекко: проверить")</f>
        <v/>
      </c>
      <c r="S1309" t="n">
        <v>1</v>
      </c>
      <c r="T1309" s="35" t="inlineStr">
        <is>
          <t>4 — Не обогащён</t>
        </is>
      </c>
      <c r="U1309" s="35" t="inlineStr">
        <is>
          <t>Нет ОКВЭД/ССЧР</t>
        </is>
      </c>
      <c r="V1309" s="35" t="inlineStr">
        <is>
          <t>Не определено</t>
        </is>
      </c>
      <c r="W1309" s="35" t="inlineStr"/>
      <c r="X1309" s="35" t="inlineStr"/>
    </row>
    <row r="1310" ht="54.75" customHeight="1" s="24">
      <c r="A1310" s="13" t="n">
        <v>5000001952</v>
      </c>
      <c r="B1310" s="13" t="inlineStr">
        <is>
          <t>Специальная (коррекционная) школа-интернат для детей-сирот и детей, оставшихся без попечения родителей, с ограниченными возможностями здоровья п. Усть</t>
        </is>
      </c>
      <c r="C1310" s="13" t="n">
        <v>3842000840</v>
      </c>
      <c r="D1310" s="13" t="inlineStr">
        <is>
          <t>3842000840</t>
        </is>
      </c>
      <c r="E1310" s="13" t="inlineStr">
        <is>
          <t>ЮЛ РФ</t>
        </is>
      </c>
      <c r="F1310" s="13" t="n"/>
      <c r="G1310" s="14" t="n"/>
      <c r="H1310" s="14" t="n"/>
      <c r="I1310" s="14" t="n"/>
      <c r="J1310" s="14" t="n"/>
      <c r="K1310" s="53" t="inlineStr"/>
      <c r="L1310" s="53" t="inlineStr">
        <is>
          <t>Не определено</t>
        </is>
      </c>
      <c r="M1310" s="53" t="inlineStr"/>
      <c r="N1310" s="54" t="inlineStr"/>
      <c r="O1310" s="55" t="inlineStr"/>
      <c r="P1310" s="16" t="inlineStr">
        <is>
          <t>Требует обогащения</t>
        </is>
      </c>
      <c r="Q1310" s="16">
        <f>HYPERLINK("https://pb.nalog.ru/search.html?query=3842000840","ФНС: проверить")</f>
        <v/>
      </c>
      <c r="R1310" s="16">
        <f>HYPERLINK("https://checko.ru/search?query=3801001629","Чекко: проверить")</f>
        <v/>
      </c>
      <c r="S1310" t="n">
        <v>1</v>
      </c>
      <c r="T1310" s="35" t="inlineStr">
        <is>
          <t>4 — Не обогащён</t>
        </is>
      </c>
      <c r="U1310" s="35" t="inlineStr">
        <is>
          <t>Нет ОКВЭД/ССЧР</t>
        </is>
      </c>
      <c r="V1310" s="35" t="inlineStr">
        <is>
          <t>Не определено</t>
        </is>
      </c>
      <c r="W1310" s="35" t="inlineStr"/>
      <c r="X1310" s="35" t="inlineStr"/>
    </row>
    <row r="1311" ht="27.75" customHeight="1" s="24">
      <c r="A1311" s="13" t="n">
        <v>5000001897</v>
      </c>
      <c r="B1311" s="13" t="inlineStr">
        <is>
          <t>ОГОУ ДПО "Институт развития образования Иркутской области"</t>
        </is>
      </c>
      <c r="C1311" s="13" t="n">
        <v>3811107416</v>
      </c>
      <c r="D1311" s="13" t="inlineStr">
        <is>
          <t>3811107416</t>
        </is>
      </c>
      <c r="E1311" s="13" t="inlineStr">
        <is>
          <t>ЮЛ РФ</t>
        </is>
      </c>
      <c r="F1311" s="13" t="n"/>
      <c r="G1311" s="14" t="n"/>
      <c r="H1311" s="14" t="n"/>
      <c r="I1311" s="14" t="n"/>
      <c r="J1311" s="14" t="n"/>
      <c r="K1311" s="53" t="inlineStr"/>
      <c r="L1311" s="53" t="inlineStr">
        <is>
          <t>Не определено</t>
        </is>
      </c>
      <c r="M1311" s="53" t="inlineStr"/>
      <c r="N1311" s="54" t="inlineStr"/>
      <c r="O1311" s="55" t="inlineStr"/>
      <c r="P1311" s="16" t="inlineStr">
        <is>
          <t>Требует обогащения</t>
        </is>
      </c>
      <c r="Q1311" s="16">
        <f>HYPERLINK("https://pb.nalog.ru/search.html?query=3811107416","ФНС: проверить")</f>
        <v/>
      </c>
      <c r="R1311" s="16">
        <f>HYPERLINK("https://checko.ru/search?query=3801001629","Чекко: проверить")</f>
        <v/>
      </c>
      <c r="S1311" t="n">
        <v>1</v>
      </c>
      <c r="T1311" s="35" t="inlineStr">
        <is>
          <t>4 — Не обогащён</t>
        </is>
      </c>
      <c r="U1311" s="35" t="inlineStr">
        <is>
          <t>Нет ОКВЭД/ССЧР</t>
        </is>
      </c>
      <c r="V1311" s="35" t="inlineStr">
        <is>
          <t>Не определено</t>
        </is>
      </c>
      <c r="W1311" s="35" t="inlineStr"/>
      <c r="X1311" s="35" t="inlineStr"/>
    </row>
    <row r="1312" ht="41.25" customHeight="1" s="24">
      <c r="A1312" s="13" t="n">
        <v>5000106173</v>
      </c>
      <c r="B1312" s="13" t="inlineStr">
        <is>
          <t>АДМИНИСТРАЦИЯ МУНИЦИПАЛЬНОГО ОБРАЗОВАНИЯ АЛЕКСЕЕВСКИЙ СЕЛЬСОВЕТ ТАШЛИНСКОГО РАЙОНА ОРЕНБУРГСКОЙ ОБЛАСТИ</t>
        </is>
      </c>
      <c r="C1312" s="13" t="n">
        <v>5648004163</v>
      </c>
      <c r="D1312" s="13" t="inlineStr">
        <is>
          <t>5648004163</t>
        </is>
      </c>
      <c r="E1312" s="13" t="inlineStr">
        <is>
          <t>ЮЛ РФ</t>
        </is>
      </c>
      <c r="F1312" s="13" t="n"/>
      <c r="G1312" s="14" t="n"/>
      <c r="H1312" s="14" t="n"/>
      <c r="I1312" s="14" t="n"/>
      <c r="J1312" s="14" t="n"/>
      <c r="K1312" s="53" t="inlineStr"/>
      <c r="L1312" s="53" t="inlineStr">
        <is>
          <t>Не определено</t>
        </is>
      </c>
      <c r="M1312" s="53" t="inlineStr"/>
      <c r="N1312" s="54" t="inlineStr"/>
      <c r="O1312" s="55" t="inlineStr"/>
      <c r="P1312" s="16" t="inlineStr">
        <is>
          <t>Требует обогащения</t>
        </is>
      </c>
      <c r="Q1312" s="16">
        <f>HYPERLINK("https://pb.nalog.ru/search.html?query=5648004163","ФНС: проверить")</f>
        <v/>
      </c>
      <c r="R1312" s="16">
        <f>HYPERLINK("https://checko.ru/search?query=3801001629","Чекко: проверить")</f>
        <v/>
      </c>
      <c r="S1312" t="n">
        <v>1</v>
      </c>
      <c r="T1312" s="35" t="inlineStr">
        <is>
          <t>4 — Не обогащён</t>
        </is>
      </c>
      <c r="U1312" s="35" t="inlineStr">
        <is>
          <t>Нет ОКВЭД/ССЧР</t>
        </is>
      </c>
      <c r="V1312" s="35" t="inlineStr">
        <is>
          <t>Не определено</t>
        </is>
      </c>
      <c r="W1312" s="35" t="inlineStr"/>
      <c r="X1312" s="35" t="inlineStr"/>
    </row>
    <row r="1313" ht="41.25" customHeight="1" s="24">
      <c r="A1313" s="13" t="n">
        <v>5000106188</v>
      </c>
      <c r="B1313" s="13" t="inlineStr">
        <is>
          <t>ГОСУДАРСТВЕННОЕ КАЗЕННОЕ УЧРЕЖДЕНИЕ "ГОСУДАРСТВЕННОЕ ЮРИДИЧЕСКОЕ БЮРО ОРЕНБУРГСКОЙ ОБЛАСТИ"</t>
        </is>
      </c>
      <c r="C1313" s="13" t="n">
        <v>5612080594</v>
      </c>
      <c r="D1313" s="13" t="inlineStr">
        <is>
          <t>5612080594</t>
        </is>
      </c>
      <c r="E1313" s="13" t="inlineStr">
        <is>
          <t>ЮЛ РФ</t>
        </is>
      </c>
      <c r="F1313" s="13" t="n"/>
      <c r="G1313" s="14" t="n"/>
      <c r="H1313" s="14" t="n"/>
      <c r="I1313" s="14" t="n"/>
      <c r="J1313" s="14" t="n"/>
      <c r="K1313" s="53" t="inlineStr"/>
      <c r="L1313" s="53" t="inlineStr">
        <is>
          <t>Не определено</t>
        </is>
      </c>
      <c r="M1313" s="53" t="inlineStr"/>
      <c r="N1313" s="54" t="inlineStr"/>
      <c r="O1313" s="55" t="inlineStr"/>
      <c r="P1313" s="16" t="inlineStr">
        <is>
          <t>Требует обогащения</t>
        </is>
      </c>
      <c r="Q1313" s="16">
        <f>HYPERLINK("https://pb.nalog.ru/search.html?query=5612080594","ФНС: проверить")</f>
        <v/>
      </c>
      <c r="R1313" s="16">
        <f>HYPERLINK("https://checko.ru/search?query=3801001629","Чекко: проверить")</f>
        <v/>
      </c>
      <c r="S1313" t="n">
        <v>1</v>
      </c>
      <c r="T1313" s="35" t="inlineStr">
        <is>
          <t>4 — Не обогащён</t>
        </is>
      </c>
      <c r="U1313" s="35" t="inlineStr">
        <is>
          <t>Нет ОКВЭД/ССЧР</t>
        </is>
      </c>
      <c r="V1313" s="35" t="inlineStr">
        <is>
          <t>Не определено</t>
        </is>
      </c>
      <c r="W1313" s="35" t="inlineStr"/>
      <c r="X1313" s="35" t="inlineStr"/>
    </row>
    <row r="1314" ht="15" customHeight="1" s="24">
      <c r="A1314" s="13" t="n">
        <v>5000036232</v>
      </c>
      <c r="B1314" s="13" t="inlineStr">
        <is>
          <t>ОГБУ "Аппарат Общественной платы Ул. Обл."</t>
        </is>
      </c>
      <c r="C1314" s="13" t="n">
        <v>7325096403</v>
      </c>
      <c r="D1314" s="13" t="inlineStr">
        <is>
          <t>7325096403</t>
        </is>
      </c>
      <c r="E1314" s="13" t="inlineStr">
        <is>
          <t>ЮЛ РФ</t>
        </is>
      </c>
      <c r="F1314" s="13" t="n"/>
      <c r="G1314" s="14" t="n"/>
      <c r="H1314" s="14" t="n"/>
      <c r="I1314" s="14" t="n"/>
      <c r="J1314" s="14" t="n"/>
      <c r="K1314" s="53" t="inlineStr"/>
      <c r="L1314" s="53" t="inlineStr">
        <is>
          <t>Не определено</t>
        </is>
      </c>
      <c r="M1314" s="53" t="inlineStr"/>
      <c r="N1314" s="54" t="inlineStr"/>
      <c r="O1314" s="55" t="inlineStr"/>
      <c r="P1314" s="16" t="inlineStr">
        <is>
          <t>Требует обогащения</t>
        </is>
      </c>
      <c r="Q1314" s="16">
        <f>HYPERLINK("https://pb.nalog.ru/search.html?query=7325096403","ФНС: проверить")</f>
        <v/>
      </c>
      <c r="R1314" s="16">
        <f>HYPERLINK("https://checko.ru/search?query=3801001629","Чекко: проверить")</f>
        <v/>
      </c>
      <c r="S1314" t="n">
        <v>1</v>
      </c>
      <c r="T1314" s="35" t="inlineStr">
        <is>
          <t>4 — Не обогащён</t>
        </is>
      </c>
      <c r="U1314" s="35" t="inlineStr">
        <is>
          <t>Нет ОКВЭД/ССЧР</t>
        </is>
      </c>
      <c r="V1314" s="35" t="inlineStr">
        <is>
          <t>Не определено</t>
        </is>
      </c>
      <c r="W1314" s="35" t="inlineStr"/>
      <c r="X1314" s="35" t="inlineStr"/>
    </row>
    <row r="1315" ht="27.75" customHeight="1" s="24">
      <c r="A1315" s="13" t="n">
        <v>5000001359</v>
      </c>
      <c r="B1315" s="13" t="inlineStr">
        <is>
          <t>ГБОУ СПО Иркутской области "Ангарский  автотранспортный техникум" Г</t>
        </is>
      </c>
      <c r="C1315" s="13" t="n">
        <v>3801110628</v>
      </c>
      <c r="D1315" s="13" t="inlineStr">
        <is>
          <t>3801110628</t>
        </is>
      </c>
      <c r="E1315" s="13" t="inlineStr">
        <is>
          <t>ЮЛ РФ</t>
        </is>
      </c>
      <c r="F1315" s="13" t="n"/>
      <c r="G1315" s="14" t="n"/>
      <c r="H1315" s="14" t="n"/>
      <c r="I1315" s="14" t="n"/>
      <c r="J1315" s="14" t="n"/>
      <c r="K1315" s="53" t="inlineStr"/>
      <c r="L1315" s="53" t="inlineStr">
        <is>
          <t>Не определено</t>
        </is>
      </c>
      <c r="M1315" s="53" t="inlineStr"/>
      <c r="N1315" s="54" t="inlineStr"/>
      <c r="O1315" s="55" t="inlineStr"/>
      <c r="P1315" s="16" t="inlineStr">
        <is>
          <t>Требует обогащения</t>
        </is>
      </c>
      <c r="Q1315" s="16">
        <f>HYPERLINK("https://pb.nalog.ru/search.html?query=3801110628","ФНС: проверить")</f>
        <v/>
      </c>
      <c r="R1315" s="16">
        <f>HYPERLINK("https://checko.ru/search?query=3801001629","Чекко: проверить")</f>
        <v/>
      </c>
      <c r="S1315" t="n">
        <v>1</v>
      </c>
      <c r="T1315" s="35" t="inlineStr">
        <is>
          <t>4 — Не обогащён</t>
        </is>
      </c>
      <c r="U1315" s="35" t="inlineStr">
        <is>
          <t>Нет ОКВЭД/ССЧР</t>
        </is>
      </c>
      <c r="V1315" s="35" t="inlineStr">
        <is>
          <t>Не определено</t>
        </is>
      </c>
      <c r="W1315" s="35" t="inlineStr"/>
      <c r="X1315" s="35" t="inlineStr"/>
    </row>
    <row r="1316" ht="15" customHeight="1" s="24">
      <c r="A1316" s="13" t="n">
        <v>5000038505</v>
      </c>
      <c r="B1316" s="13" t="inlineStr">
        <is>
          <t>ОГБУК "ЭСТРАДНЫЙ БАЛЕТ "ЭКСИТОН"</t>
        </is>
      </c>
      <c r="C1316" s="13" t="n">
        <v>7328093753</v>
      </c>
      <c r="D1316" s="13" t="inlineStr">
        <is>
          <t>7328093753</t>
        </is>
      </c>
      <c r="E1316" s="13" t="inlineStr">
        <is>
          <t>ЮЛ РФ</t>
        </is>
      </c>
      <c r="F1316" s="13" t="n"/>
      <c r="G1316" s="14" t="n"/>
      <c r="H1316" s="14" t="n"/>
      <c r="I1316" s="14" t="n"/>
      <c r="J1316" s="14" t="n"/>
      <c r="K1316" s="53" t="inlineStr"/>
      <c r="L1316" s="53" t="inlineStr">
        <is>
          <t>Не определено</t>
        </is>
      </c>
      <c r="M1316" s="53" t="inlineStr"/>
      <c r="N1316" s="54" t="inlineStr"/>
      <c r="O1316" s="55" t="inlineStr"/>
      <c r="P1316" s="16" t="inlineStr">
        <is>
          <t>Требует обогащения</t>
        </is>
      </c>
      <c r="Q1316" s="16">
        <f>HYPERLINK("https://pb.nalog.ru/search.html?query=7328093753","ФНС: проверить")</f>
        <v/>
      </c>
      <c r="R1316" s="16">
        <f>HYPERLINK("https://checko.ru/search?query=3801001629","Чекко: проверить")</f>
        <v/>
      </c>
      <c r="S1316" t="n">
        <v>1</v>
      </c>
      <c r="T1316" s="35" t="inlineStr">
        <is>
          <t>4 — Не обогащён</t>
        </is>
      </c>
      <c r="U1316" s="35" t="inlineStr">
        <is>
          <t>Нет ОКВЭД/ССЧР</t>
        </is>
      </c>
      <c r="V1316" s="35" t="inlineStr">
        <is>
          <t>Не определено</t>
        </is>
      </c>
      <c r="W1316" s="35" t="inlineStr"/>
      <c r="X1316" s="35" t="inlineStr"/>
    </row>
    <row r="1317" ht="54.75" customHeight="1" s="24">
      <c r="A1317" s="13" t="n">
        <v>5000101693</v>
      </c>
      <c r="B1317" s="13" t="inlineStr">
        <is>
          <t>Областное государственное бюджетное учреждение «Управление социальной защиты и социального обслуживания населения по городу Усть-Илимску и Усть-Илимск</t>
        </is>
      </c>
      <c r="C1317" s="13" t="n">
        <v>3804119763</v>
      </c>
      <c r="D1317" s="13" t="inlineStr">
        <is>
          <t>3804119763</t>
        </is>
      </c>
      <c r="E1317" s="13" t="inlineStr">
        <is>
          <t>ЮЛ РФ</t>
        </is>
      </c>
      <c r="F1317" s="13" t="n"/>
      <c r="G1317" s="14" t="n"/>
      <c r="H1317" s="14" t="n"/>
      <c r="I1317" s="14" t="n"/>
      <c r="J1317" s="14" t="n"/>
      <c r="K1317" s="53" t="inlineStr"/>
      <c r="L1317" s="53" t="inlineStr">
        <is>
          <t>Не определено</t>
        </is>
      </c>
      <c r="M1317" s="53" t="inlineStr"/>
      <c r="N1317" s="54" t="inlineStr"/>
      <c r="O1317" s="55" t="inlineStr"/>
      <c r="P1317" s="16" t="inlineStr">
        <is>
          <t>Требует обогащения</t>
        </is>
      </c>
      <c r="Q1317" s="16">
        <f>HYPERLINK("https://pb.nalog.ru/search.html?query=3804119763","ФНС: проверить")</f>
        <v/>
      </c>
      <c r="R1317" s="16">
        <f>HYPERLINK("https://checko.ru/search?query=3801001629","Чекко: проверить")</f>
        <v/>
      </c>
      <c r="S1317" t="n">
        <v>1</v>
      </c>
      <c r="T1317" s="35" t="inlineStr">
        <is>
          <t>4 — Не обогащён</t>
        </is>
      </c>
      <c r="U1317" s="35" t="inlineStr">
        <is>
          <t>Нет ОКВЭД/ССЧР</t>
        </is>
      </c>
      <c r="V1317" s="35" t="inlineStr">
        <is>
          <t>Не определено</t>
        </is>
      </c>
      <c r="W1317" s="35" t="inlineStr"/>
      <c r="X1317" s="35" t="inlineStr"/>
    </row>
    <row r="1318" ht="15" customHeight="1" s="24">
      <c r="A1318" s="13" t="n">
        <v>5000094802</v>
      </c>
      <c r="B1318" s="13" t="inlineStr">
        <is>
          <t>МКОУ СОШ  с.п.Герменчик</t>
        </is>
      </c>
      <c r="C1318" s="13" t="n">
        <v>707011582</v>
      </c>
      <c r="D1318" s="13" t="n"/>
      <c r="E1318" s="13" t="inlineStr">
        <is>
          <t>Не определён</t>
        </is>
      </c>
      <c r="F1318" s="13" t="inlineStr">
        <is>
          <t>707011582</t>
        </is>
      </c>
      <c r="G1318" s="14" t="n"/>
      <c r="H1318" s="14" t="n"/>
      <c r="I1318" s="14" t="n"/>
      <c r="J1318" s="14" t="n"/>
      <c r="K1318" s="13">
        <f>IF(G1318="","",IF(G1318&gt;=22,"Да","Нет"))</f>
        <v/>
      </c>
      <c r="L1318" s="13">
        <f>IF(OR(I1318="",J1318=""),"Не определено",IF(OR(COUNTIF(I1318,"45*")&gt;0,COUNTIF(J1318,"*45*")&gt;0,COUNTIF(I1318,"46*")&gt;0,COUNTIF(J1318,"*46*")&gt;0,COUNTIF(I1318,"47*")&gt;0,COUNTIF(J1318,"*47*")&gt;0,COUNTIF(I1318,"10*")&gt;0,COUNTIF(J1318,"*10*")&gt;0,COUNTIF(I1318,"11*")&gt;0,COUNTIF(J1318,"*11*")&gt;0,COUNTIF(I1318,"12*")&gt;0,COUNTIF(J1318,"*12*")&gt;0,COUNTIF(I1318,"13*")&gt;0,COUNTIF(J1318,"*13*")&gt;0,COUNTIF(I1318,"14*")&gt;0,COUNTIF(J1318,"*14*")&gt;0,COUNTIF(I1318,"15*")&gt;0,COUNTIF(J1318,"*15*")&gt;0,COUNTIF(I1318,"16*")&gt;0,COUNTIF(J1318,"*16*")&gt;0,COUNTIF(I1318,"17*")&gt;0,COUNTIF(J1318,"*17*")&gt;0,COUNTIF(I1318,"18*")&gt;0,COUNTIF(J1318,"*18*")&gt;0,COUNTIF(I1318,"19*")&gt;0,COUNTIF(J1318,"*19*")&gt;0,COUNTIF(I1318,"20*")&gt;0,COUNTIF(J1318,"*20*")&gt;0,COUNTIF(I1318,"21*")&gt;0,COUNTIF(J1318,"*21*")&gt;0,COUNTIF(I1318,"22*")&gt;0,COUNTIF(J1318,"*22*")&gt;0,COUNTIF(I1318,"23*")&gt;0,COUNTIF(J1318,"*23*")&gt;0,COUNTIF(I1318,"24*")&gt;0,COUNTIF(J1318,"*24*")&gt;0,COUNTIF(I1318,"25*")&gt;0,COUNTIF(J1318,"*25*")&gt;0,COUNTIF(I1318,"26*")&gt;0,COUNTIF(J1318,"*26*")&gt;0,COUNTIF(I1318,"27*")&gt;0,COUNTIF(J1318,"*27*")&gt;0,COUNTIF(I1318,"28*")&gt;0,COUNTIF(J1318,"*28*")&gt;0,COUNTIF(I1318,"29*")&gt;0,COUNTIF(J1318,"*29*")&gt;0,COUNTIF(I1318,"30*")&gt;0,COUNTIF(J1318,"*30*")&gt;0,COUNTIF(I1318,"31*")&gt;0,COUNTIF(J1318,"*31*")&gt;0,COUNTIF(I1318,"32*")&gt;0,COUNTIF(J1318,"*32*")&gt;0,COUNTIF(I1318,"33*")&gt;0,COUNTIF(J1318,"*33*")&gt;0,COUNTIF(I1318,"41*")&gt;0,COUNTIF(J1318,"*41*")&gt;0,COUNTIF(I1318,"42*")&gt;0,COUNTIF(J1318,"*42*")&gt;0,COUNTIF(I1318,"43*")&gt;0,COUNTIF(J1318,"*43*")&gt;0,COUNTIF(I1318,"49*")&gt;0,COUNTIF(J1318,"*49*")&gt;0,COUNTIF(I1318,"52*")&gt;0,COUNTIF(J1318,"*52*")&gt;0,COUNTIF(I1318,"55*")&gt;0,COUNTIF(J1318,"*55*")&gt;0,COUNTIF(I1318,"56*")&gt;0,COUNTIF(J1318,"*56*")&gt;0,COUNTIF(I1318,"68*")&gt;0,COUNTIF(J1318,"*68*")&gt;0,COUNTIF(I1318,"78*")&gt;0,COUNTIF(J1318,"*78*")&gt;0,COUNTIF(I1318,"81*")&gt;0,COUNTIF(J1318,"*81*")&gt;0,COUNTIF(I1318,"82*")&gt;0,COUNTIF(J1318,"*82*")&gt;0,COUNTIF(I1318,"64*")&gt;0,COUNTIF(J1318,"*64*")&gt;0,COUNTIF(I1318,"65*")&gt;0,COUNTIF(J1318,"*65*")&gt;0,COUNTIF(I1318,"66*")&gt;0,COUNTIF(J1318,"*66*")&gt;0,COUNTIF(I1318,"61*")&gt;0,COUNTIF(J1318,"*61*")&gt;0,COUNTIF(I1318,"62*")&gt;0,COUNTIF(J1318,"*62*")&gt;0,COUNTIF(I1318,"63*")&gt;0,COUNTIF(J1318,"*63*")&gt;0,COUNTIF(I1318,"85*")&gt;0,COUNTIF(J1318,"*85*")&gt;0,COUNTIF(I1318,"86*")&gt;0,COUNTIF(J1318,"*86*")&gt;0),"Да","Нет"))</f>
        <v/>
      </c>
      <c r="M1318" s="13">
        <f>IF(OR(G1318="",L1318&lt;&gt;"Да"),"",IF(G1318&lt;=100,"До 100",IF(G1318&lt;=200,"До 200",IF(G1318&lt;=500,"До 500","Отдельное КП"))))</f>
        <v/>
      </c>
      <c r="N1318" s="15">
        <f>IF(OR(G1318="",L1318&lt;&gt;"Да"),"",IF(G1318&lt;=100,33600,IF(G1318&lt;=200,62400,IF(G1318&lt;=500,144000,""))))</f>
        <v/>
      </c>
      <c r="O1318" s="16">
        <f>IF(G1318="","",IF(G1318&lt;=15,"1–15",IF(G1318&lt;=30,"16–30",IF(G1318&lt;=50,"31–50",IF(G1318&lt;=100,"51–100",IF(G1318&lt;=150,"101–150",IF(G1318&lt;=200,"151–200",IF(G1318&lt;=500,"201–500","500+"))))))))</f>
        <v/>
      </c>
      <c r="P1318" s="16" t="inlineStr">
        <is>
          <t>Нет совпадения в предоставленной выгрузке ССЧР</t>
        </is>
      </c>
      <c r="Q1318" s="16" t="n"/>
      <c r="R1318" s="16">
        <f>HYPERLINK("https://checko.ru/search?query=3801001629","Чекко: проверить")</f>
        <v/>
      </c>
      <c r="S1318" t="n">
        <v>0</v>
      </c>
    </row>
    <row r="1319" ht="15" customHeight="1" s="24">
      <c r="A1319" s="13" t="n">
        <v>5000094814</v>
      </c>
      <c r="B1319" s="13" t="inlineStr">
        <is>
          <t>МКОУ СОШ  с.п.Нижний Черек</t>
        </is>
      </c>
      <c r="C1319" s="13" t="n">
        <v>707011744</v>
      </c>
      <c r="D1319" s="13" t="n"/>
      <c r="E1319" s="13" t="inlineStr">
        <is>
          <t>Не определён</t>
        </is>
      </c>
      <c r="F1319" s="13" t="inlineStr">
        <is>
          <t>707011744</t>
        </is>
      </c>
      <c r="G1319" s="14" t="n"/>
      <c r="H1319" s="14" t="n"/>
      <c r="I1319" s="14" t="n"/>
      <c r="J1319" s="14" t="n"/>
      <c r="K1319" s="13">
        <f>IF(G1319="","",IF(G1319&gt;=22,"Да","Нет"))</f>
        <v/>
      </c>
      <c r="L1319" s="13">
        <f>IF(OR(I1319="",J1319=""),"Не определено",IF(OR(COUNTIF(I1319,"45*")&gt;0,COUNTIF(J1319,"*45*")&gt;0,COUNTIF(I1319,"46*")&gt;0,COUNTIF(J1319,"*46*")&gt;0,COUNTIF(I1319,"47*")&gt;0,COUNTIF(J1319,"*47*")&gt;0,COUNTIF(I1319,"10*")&gt;0,COUNTIF(J1319,"*10*")&gt;0,COUNTIF(I1319,"11*")&gt;0,COUNTIF(J1319,"*11*")&gt;0,COUNTIF(I1319,"12*")&gt;0,COUNTIF(J1319,"*12*")&gt;0,COUNTIF(I1319,"13*")&gt;0,COUNTIF(J1319,"*13*")&gt;0,COUNTIF(I1319,"14*")&gt;0,COUNTIF(J1319,"*14*")&gt;0,COUNTIF(I1319,"15*")&gt;0,COUNTIF(J1319,"*15*")&gt;0,COUNTIF(I1319,"16*")&gt;0,COUNTIF(J1319,"*16*")&gt;0,COUNTIF(I1319,"17*")&gt;0,COUNTIF(J1319,"*17*")&gt;0,COUNTIF(I1319,"18*")&gt;0,COUNTIF(J1319,"*18*")&gt;0,COUNTIF(I1319,"19*")&gt;0,COUNTIF(J1319,"*19*")&gt;0,COUNTIF(I1319,"20*")&gt;0,COUNTIF(J1319,"*20*")&gt;0,COUNTIF(I1319,"21*")&gt;0,COUNTIF(J1319,"*21*")&gt;0,COUNTIF(I1319,"22*")&gt;0,COUNTIF(J1319,"*22*")&gt;0,COUNTIF(I1319,"23*")&gt;0,COUNTIF(J1319,"*23*")&gt;0,COUNTIF(I1319,"24*")&gt;0,COUNTIF(J1319,"*24*")&gt;0,COUNTIF(I1319,"25*")&gt;0,COUNTIF(J1319,"*25*")&gt;0,COUNTIF(I1319,"26*")&gt;0,COUNTIF(J1319,"*26*")&gt;0,COUNTIF(I1319,"27*")&gt;0,COUNTIF(J1319,"*27*")&gt;0,COUNTIF(I1319,"28*")&gt;0,COUNTIF(J1319,"*28*")&gt;0,COUNTIF(I1319,"29*")&gt;0,COUNTIF(J1319,"*29*")&gt;0,COUNTIF(I1319,"30*")&gt;0,COUNTIF(J1319,"*30*")&gt;0,COUNTIF(I1319,"31*")&gt;0,COUNTIF(J1319,"*31*")&gt;0,COUNTIF(I1319,"32*")&gt;0,COUNTIF(J1319,"*32*")&gt;0,COUNTIF(I1319,"33*")&gt;0,COUNTIF(J1319,"*33*")&gt;0,COUNTIF(I1319,"41*")&gt;0,COUNTIF(J1319,"*41*")&gt;0,COUNTIF(I1319,"42*")&gt;0,COUNTIF(J1319,"*42*")&gt;0,COUNTIF(I1319,"43*")&gt;0,COUNTIF(J1319,"*43*")&gt;0,COUNTIF(I1319,"49*")&gt;0,COUNTIF(J1319,"*49*")&gt;0,COUNTIF(I1319,"52*")&gt;0,COUNTIF(J1319,"*52*")&gt;0,COUNTIF(I1319,"55*")&gt;0,COUNTIF(J1319,"*55*")&gt;0,COUNTIF(I1319,"56*")&gt;0,COUNTIF(J1319,"*56*")&gt;0,COUNTIF(I1319,"68*")&gt;0,COUNTIF(J1319,"*68*")&gt;0,COUNTIF(I1319,"78*")&gt;0,COUNTIF(J1319,"*78*")&gt;0,COUNTIF(I1319,"81*")&gt;0,COUNTIF(J1319,"*81*")&gt;0,COUNTIF(I1319,"82*")&gt;0,COUNTIF(J1319,"*82*")&gt;0,COUNTIF(I1319,"64*")&gt;0,COUNTIF(J1319,"*64*")&gt;0,COUNTIF(I1319,"65*")&gt;0,COUNTIF(J1319,"*65*")&gt;0,COUNTIF(I1319,"66*")&gt;0,COUNTIF(J1319,"*66*")&gt;0,COUNTIF(I1319,"61*")&gt;0,COUNTIF(J1319,"*61*")&gt;0,COUNTIF(I1319,"62*")&gt;0,COUNTIF(J1319,"*62*")&gt;0,COUNTIF(I1319,"63*")&gt;0,COUNTIF(J1319,"*63*")&gt;0,COUNTIF(I1319,"85*")&gt;0,COUNTIF(J1319,"*85*")&gt;0,COUNTIF(I1319,"86*")&gt;0,COUNTIF(J1319,"*86*")&gt;0),"Да","Нет"))</f>
        <v/>
      </c>
      <c r="M1319" s="13">
        <f>IF(OR(G1319="",L1319&lt;&gt;"Да"),"",IF(G1319&lt;=100,"До 100",IF(G1319&lt;=200,"До 200",IF(G1319&lt;=500,"До 500","Отдельное КП"))))</f>
        <v/>
      </c>
      <c r="N1319" s="15">
        <f>IF(OR(G1319="",L1319&lt;&gt;"Да"),"",IF(G1319&lt;=100,33600,IF(G1319&lt;=200,62400,IF(G1319&lt;=500,144000,""))))</f>
        <v/>
      </c>
      <c r="O1319" s="16">
        <f>IF(G1319="","",IF(G1319&lt;=15,"1–15",IF(G1319&lt;=30,"16–30",IF(G1319&lt;=50,"31–50",IF(G1319&lt;=100,"51–100",IF(G1319&lt;=150,"101–150",IF(G1319&lt;=200,"151–200",IF(G1319&lt;=500,"201–500","500+"))))))))</f>
        <v/>
      </c>
      <c r="P1319" s="16" t="inlineStr">
        <is>
          <t>Нет совпадения в предоставленной выгрузке ССЧР</t>
        </is>
      </c>
      <c r="Q1319" s="16" t="n"/>
      <c r="R1319" s="16">
        <f>HYPERLINK("https://checko.ru/search?query=3801001629","Чекко: проверить")</f>
        <v/>
      </c>
      <c r="S1319" t="n">
        <v>0</v>
      </c>
    </row>
    <row r="1320" ht="15" customHeight="1" s="24">
      <c r="A1320" s="13" t="n">
        <v>5000001496</v>
      </c>
      <c r="B1320" s="13" t="inlineStr">
        <is>
          <t>Служба занятости населения Иркутской области</t>
        </is>
      </c>
      <c r="C1320" s="13" t="n">
        <v>3808170979</v>
      </c>
      <c r="D1320" s="13" t="inlineStr">
        <is>
          <t>3808170979</t>
        </is>
      </c>
      <c r="E1320" s="13" t="inlineStr">
        <is>
          <t>ЮЛ РФ</t>
        </is>
      </c>
      <c r="F1320" s="13" t="n"/>
      <c r="G1320" s="14" t="n"/>
      <c r="H1320" s="14" t="n"/>
      <c r="I1320" s="14" t="n"/>
      <c r="J1320" s="14" t="n"/>
      <c r="K1320" s="53" t="inlineStr"/>
      <c r="L1320" s="53" t="inlineStr">
        <is>
          <t>Не определено</t>
        </is>
      </c>
      <c r="M1320" s="53" t="inlineStr"/>
      <c r="N1320" s="54" t="inlineStr"/>
      <c r="O1320" s="55" t="inlineStr"/>
      <c r="P1320" s="16" t="inlineStr">
        <is>
          <t>Требует обогащения</t>
        </is>
      </c>
      <c r="Q1320" s="16">
        <f>HYPERLINK("https://pb.nalog.ru/search.html?query=3808170979","ФНС: проверить")</f>
        <v/>
      </c>
      <c r="R1320" s="16">
        <f>HYPERLINK("https://checko.ru/search?query=3801001629","Чекко: проверить")</f>
        <v/>
      </c>
      <c r="S1320" t="n">
        <v>1</v>
      </c>
      <c r="T1320" s="35" t="inlineStr">
        <is>
          <t>4 — Не обогащён</t>
        </is>
      </c>
      <c r="U1320" s="35" t="inlineStr">
        <is>
          <t>Нет ОКВЭД/ССЧР</t>
        </is>
      </c>
      <c r="V1320" s="35" t="inlineStr">
        <is>
          <t>Не определено</t>
        </is>
      </c>
      <c r="W1320" s="35" t="inlineStr"/>
      <c r="X1320" s="35" t="inlineStr"/>
    </row>
    <row r="1321" ht="27.75" customHeight="1" s="24">
      <c r="A1321" s="13" t="n">
        <v>5000034686</v>
      </c>
      <c r="B1321" s="13" t="inlineStr">
        <is>
          <t>МОУ Захаровская средняя общеобразовательная школа</t>
        </is>
      </c>
      <c r="C1321" s="13" t="n">
        <v>5032036263</v>
      </c>
      <c r="D1321" s="13" t="inlineStr">
        <is>
          <t>5032036263</t>
        </is>
      </c>
      <c r="E1321" s="13" t="inlineStr">
        <is>
          <t>ЮЛ РФ</t>
        </is>
      </c>
      <c r="F1321" s="13" t="n"/>
      <c r="G1321" s="14" t="n"/>
      <c r="H1321" s="14" t="n"/>
      <c r="I1321" s="14" t="n"/>
      <c r="J1321" s="14" t="n"/>
      <c r="K1321" s="53" t="inlineStr"/>
      <c r="L1321" s="53" t="inlineStr">
        <is>
          <t>Не определено</t>
        </is>
      </c>
      <c r="M1321" s="53" t="inlineStr"/>
      <c r="N1321" s="54" t="inlineStr"/>
      <c r="O1321" s="55" t="inlineStr"/>
      <c r="P1321" s="16" t="inlineStr">
        <is>
          <t>Требует обогащения</t>
        </is>
      </c>
      <c r="Q1321" s="16">
        <f>HYPERLINK("https://pb.nalog.ru/search.html?query=5032036263","ФНС: проверить")</f>
        <v/>
      </c>
      <c r="R1321" s="16">
        <f>HYPERLINK("https://checko.ru/search?query=3801001629","Чекко: проверить")</f>
        <v/>
      </c>
      <c r="S1321" t="n">
        <v>1</v>
      </c>
      <c r="T1321" s="35" t="inlineStr">
        <is>
          <t>4 — Не обогащён</t>
        </is>
      </c>
      <c r="U1321" s="35" t="inlineStr">
        <is>
          <t>Нет ОКВЭД/ССЧР</t>
        </is>
      </c>
      <c r="V1321" s="35" t="inlineStr">
        <is>
          <t>Не определено</t>
        </is>
      </c>
      <c r="W1321" s="35" t="inlineStr"/>
      <c r="X1321" s="35" t="inlineStr"/>
    </row>
    <row r="1322" ht="15" customHeight="1" s="24">
      <c r="A1322" s="13" t="n">
        <v>5000094775</v>
      </c>
      <c r="B1322" s="13" t="inlineStr">
        <is>
          <t>МКОУ "Лицей №1" г.п.Нарткала</t>
        </is>
      </c>
      <c r="C1322" s="13" t="n">
        <v>707007522</v>
      </c>
      <c r="D1322" s="13" t="n"/>
      <c r="E1322" s="13" t="inlineStr">
        <is>
          <t>Не определён</t>
        </is>
      </c>
      <c r="F1322" s="13" t="inlineStr">
        <is>
          <t>707007522</t>
        </is>
      </c>
      <c r="G1322" s="14" t="n"/>
      <c r="H1322" s="14" t="n"/>
      <c r="I1322" s="14" t="n"/>
      <c r="J1322" s="14" t="n"/>
      <c r="K1322" s="13">
        <f>IF(G1322="","",IF(G1322&gt;=22,"Да","Нет"))</f>
        <v/>
      </c>
      <c r="L1322" s="13">
        <f>IF(OR(I1322="",J1322=""),"Не определено",IF(OR(COUNTIF(I1322,"45*")&gt;0,COUNTIF(J1322,"*45*")&gt;0,COUNTIF(I1322,"46*")&gt;0,COUNTIF(J1322,"*46*")&gt;0,COUNTIF(I1322,"47*")&gt;0,COUNTIF(J1322,"*47*")&gt;0,COUNTIF(I1322,"10*")&gt;0,COUNTIF(J1322,"*10*")&gt;0,COUNTIF(I1322,"11*")&gt;0,COUNTIF(J1322,"*11*")&gt;0,COUNTIF(I1322,"12*")&gt;0,COUNTIF(J1322,"*12*")&gt;0,COUNTIF(I1322,"13*")&gt;0,COUNTIF(J1322,"*13*")&gt;0,COUNTIF(I1322,"14*")&gt;0,COUNTIF(J1322,"*14*")&gt;0,COUNTIF(I1322,"15*")&gt;0,COUNTIF(J1322,"*15*")&gt;0,COUNTIF(I1322,"16*")&gt;0,COUNTIF(J1322,"*16*")&gt;0,COUNTIF(I1322,"17*")&gt;0,COUNTIF(J1322,"*17*")&gt;0,COUNTIF(I1322,"18*")&gt;0,COUNTIF(J1322,"*18*")&gt;0,COUNTIF(I1322,"19*")&gt;0,COUNTIF(J1322,"*19*")&gt;0,COUNTIF(I1322,"20*")&gt;0,COUNTIF(J1322,"*20*")&gt;0,COUNTIF(I1322,"21*")&gt;0,COUNTIF(J1322,"*21*")&gt;0,COUNTIF(I1322,"22*")&gt;0,COUNTIF(J1322,"*22*")&gt;0,COUNTIF(I1322,"23*")&gt;0,COUNTIF(J1322,"*23*")&gt;0,COUNTIF(I1322,"24*")&gt;0,COUNTIF(J1322,"*24*")&gt;0,COUNTIF(I1322,"25*")&gt;0,COUNTIF(J1322,"*25*")&gt;0,COUNTIF(I1322,"26*")&gt;0,COUNTIF(J1322,"*26*")&gt;0,COUNTIF(I1322,"27*")&gt;0,COUNTIF(J1322,"*27*")&gt;0,COUNTIF(I1322,"28*")&gt;0,COUNTIF(J1322,"*28*")&gt;0,COUNTIF(I1322,"29*")&gt;0,COUNTIF(J1322,"*29*")&gt;0,COUNTIF(I1322,"30*")&gt;0,COUNTIF(J1322,"*30*")&gt;0,COUNTIF(I1322,"31*")&gt;0,COUNTIF(J1322,"*31*")&gt;0,COUNTIF(I1322,"32*")&gt;0,COUNTIF(J1322,"*32*")&gt;0,COUNTIF(I1322,"33*")&gt;0,COUNTIF(J1322,"*33*")&gt;0,COUNTIF(I1322,"41*")&gt;0,COUNTIF(J1322,"*41*")&gt;0,COUNTIF(I1322,"42*")&gt;0,COUNTIF(J1322,"*42*")&gt;0,COUNTIF(I1322,"43*")&gt;0,COUNTIF(J1322,"*43*")&gt;0,COUNTIF(I1322,"49*")&gt;0,COUNTIF(J1322,"*49*")&gt;0,COUNTIF(I1322,"52*")&gt;0,COUNTIF(J1322,"*52*")&gt;0,COUNTIF(I1322,"55*")&gt;0,COUNTIF(J1322,"*55*")&gt;0,COUNTIF(I1322,"56*")&gt;0,COUNTIF(J1322,"*56*")&gt;0,COUNTIF(I1322,"68*")&gt;0,COUNTIF(J1322,"*68*")&gt;0,COUNTIF(I1322,"78*")&gt;0,COUNTIF(J1322,"*78*")&gt;0,COUNTIF(I1322,"81*")&gt;0,COUNTIF(J1322,"*81*")&gt;0,COUNTIF(I1322,"82*")&gt;0,COUNTIF(J1322,"*82*")&gt;0,COUNTIF(I1322,"64*")&gt;0,COUNTIF(J1322,"*64*")&gt;0,COUNTIF(I1322,"65*")&gt;0,COUNTIF(J1322,"*65*")&gt;0,COUNTIF(I1322,"66*")&gt;0,COUNTIF(J1322,"*66*")&gt;0,COUNTIF(I1322,"61*")&gt;0,COUNTIF(J1322,"*61*")&gt;0,COUNTIF(I1322,"62*")&gt;0,COUNTIF(J1322,"*62*")&gt;0,COUNTIF(I1322,"63*")&gt;0,COUNTIF(J1322,"*63*")&gt;0,COUNTIF(I1322,"85*")&gt;0,COUNTIF(J1322,"*85*")&gt;0,COUNTIF(I1322,"86*")&gt;0,COUNTIF(J1322,"*86*")&gt;0),"Да","Нет"))</f>
        <v/>
      </c>
      <c r="M1322" s="13">
        <f>IF(OR(G1322="",L1322&lt;&gt;"Да"),"",IF(G1322&lt;=100,"До 100",IF(G1322&lt;=200,"До 200",IF(G1322&lt;=500,"До 500","Отдельное КП"))))</f>
        <v/>
      </c>
      <c r="N1322" s="15">
        <f>IF(OR(G1322="",L1322&lt;&gt;"Да"),"",IF(G1322&lt;=100,33600,IF(G1322&lt;=200,62400,IF(G1322&lt;=500,144000,""))))</f>
        <v/>
      </c>
      <c r="O1322" s="16">
        <f>IF(G1322="","",IF(G1322&lt;=15,"1–15",IF(G1322&lt;=30,"16–30",IF(G1322&lt;=50,"31–50",IF(G1322&lt;=100,"51–100",IF(G1322&lt;=150,"101–150",IF(G1322&lt;=200,"151–200",IF(G1322&lt;=500,"201–500","500+"))))))))</f>
        <v/>
      </c>
      <c r="P1322" s="16" t="inlineStr">
        <is>
          <t>Нет совпадения в предоставленной выгрузке ССЧР</t>
        </is>
      </c>
      <c r="Q1322" s="16" t="n"/>
      <c r="R1322" s="16">
        <f>HYPERLINK("https://checko.ru/search?query=3801001629","Чекко: проверить")</f>
        <v/>
      </c>
      <c r="S1322" t="n">
        <v>0</v>
      </c>
    </row>
    <row r="1323" ht="15" customHeight="1" s="24">
      <c r="A1323" s="13" t="n">
        <v>5000094795</v>
      </c>
      <c r="B1323" s="13" t="inlineStr">
        <is>
          <t>МКОУ СОШ №1 с.п.Кахун</t>
        </is>
      </c>
      <c r="C1323" s="13" t="n">
        <v>707011448</v>
      </c>
      <c r="D1323" s="13" t="n"/>
      <c r="E1323" s="13" t="inlineStr">
        <is>
          <t>Не определён</t>
        </is>
      </c>
      <c r="F1323" s="13" t="inlineStr">
        <is>
          <t>707011448</t>
        </is>
      </c>
      <c r="G1323" s="14" t="n"/>
      <c r="H1323" s="14" t="n"/>
      <c r="I1323" s="14" t="n"/>
      <c r="J1323" s="14" t="n"/>
      <c r="K1323" s="13">
        <f>IF(G1323="","",IF(G1323&gt;=22,"Да","Нет"))</f>
        <v/>
      </c>
      <c r="L1323" s="13">
        <f>IF(OR(I1323="",J1323=""),"Не определено",IF(OR(COUNTIF(I1323,"45*")&gt;0,COUNTIF(J1323,"*45*")&gt;0,COUNTIF(I1323,"46*")&gt;0,COUNTIF(J1323,"*46*")&gt;0,COUNTIF(I1323,"47*")&gt;0,COUNTIF(J1323,"*47*")&gt;0,COUNTIF(I1323,"10*")&gt;0,COUNTIF(J1323,"*10*")&gt;0,COUNTIF(I1323,"11*")&gt;0,COUNTIF(J1323,"*11*")&gt;0,COUNTIF(I1323,"12*")&gt;0,COUNTIF(J1323,"*12*")&gt;0,COUNTIF(I1323,"13*")&gt;0,COUNTIF(J1323,"*13*")&gt;0,COUNTIF(I1323,"14*")&gt;0,COUNTIF(J1323,"*14*")&gt;0,COUNTIF(I1323,"15*")&gt;0,COUNTIF(J1323,"*15*")&gt;0,COUNTIF(I1323,"16*")&gt;0,COUNTIF(J1323,"*16*")&gt;0,COUNTIF(I1323,"17*")&gt;0,COUNTIF(J1323,"*17*")&gt;0,COUNTIF(I1323,"18*")&gt;0,COUNTIF(J1323,"*18*")&gt;0,COUNTIF(I1323,"19*")&gt;0,COUNTIF(J1323,"*19*")&gt;0,COUNTIF(I1323,"20*")&gt;0,COUNTIF(J1323,"*20*")&gt;0,COUNTIF(I1323,"21*")&gt;0,COUNTIF(J1323,"*21*")&gt;0,COUNTIF(I1323,"22*")&gt;0,COUNTIF(J1323,"*22*")&gt;0,COUNTIF(I1323,"23*")&gt;0,COUNTIF(J1323,"*23*")&gt;0,COUNTIF(I1323,"24*")&gt;0,COUNTIF(J1323,"*24*")&gt;0,COUNTIF(I1323,"25*")&gt;0,COUNTIF(J1323,"*25*")&gt;0,COUNTIF(I1323,"26*")&gt;0,COUNTIF(J1323,"*26*")&gt;0,COUNTIF(I1323,"27*")&gt;0,COUNTIF(J1323,"*27*")&gt;0,COUNTIF(I1323,"28*")&gt;0,COUNTIF(J1323,"*28*")&gt;0,COUNTIF(I1323,"29*")&gt;0,COUNTIF(J1323,"*29*")&gt;0,COUNTIF(I1323,"30*")&gt;0,COUNTIF(J1323,"*30*")&gt;0,COUNTIF(I1323,"31*")&gt;0,COUNTIF(J1323,"*31*")&gt;0,COUNTIF(I1323,"32*")&gt;0,COUNTIF(J1323,"*32*")&gt;0,COUNTIF(I1323,"33*")&gt;0,COUNTIF(J1323,"*33*")&gt;0,COUNTIF(I1323,"41*")&gt;0,COUNTIF(J1323,"*41*")&gt;0,COUNTIF(I1323,"42*")&gt;0,COUNTIF(J1323,"*42*")&gt;0,COUNTIF(I1323,"43*")&gt;0,COUNTIF(J1323,"*43*")&gt;0,COUNTIF(I1323,"49*")&gt;0,COUNTIF(J1323,"*49*")&gt;0,COUNTIF(I1323,"52*")&gt;0,COUNTIF(J1323,"*52*")&gt;0,COUNTIF(I1323,"55*")&gt;0,COUNTIF(J1323,"*55*")&gt;0,COUNTIF(I1323,"56*")&gt;0,COUNTIF(J1323,"*56*")&gt;0,COUNTIF(I1323,"68*")&gt;0,COUNTIF(J1323,"*68*")&gt;0,COUNTIF(I1323,"78*")&gt;0,COUNTIF(J1323,"*78*")&gt;0,COUNTIF(I1323,"81*")&gt;0,COUNTIF(J1323,"*81*")&gt;0,COUNTIF(I1323,"82*")&gt;0,COUNTIF(J1323,"*82*")&gt;0,COUNTIF(I1323,"64*")&gt;0,COUNTIF(J1323,"*64*")&gt;0,COUNTIF(I1323,"65*")&gt;0,COUNTIF(J1323,"*65*")&gt;0,COUNTIF(I1323,"66*")&gt;0,COUNTIF(J1323,"*66*")&gt;0,COUNTIF(I1323,"61*")&gt;0,COUNTIF(J1323,"*61*")&gt;0,COUNTIF(I1323,"62*")&gt;0,COUNTIF(J1323,"*62*")&gt;0,COUNTIF(I1323,"63*")&gt;0,COUNTIF(J1323,"*63*")&gt;0,COUNTIF(I1323,"85*")&gt;0,COUNTIF(J1323,"*85*")&gt;0,COUNTIF(I1323,"86*")&gt;0,COUNTIF(J1323,"*86*")&gt;0),"Да","Нет"))</f>
        <v/>
      </c>
      <c r="M1323" s="13">
        <f>IF(OR(G1323="",L1323&lt;&gt;"Да"),"",IF(G1323&lt;=100,"До 100",IF(G1323&lt;=200,"До 200",IF(G1323&lt;=500,"До 500","Отдельное КП"))))</f>
        <v/>
      </c>
      <c r="N1323" s="15">
        <f>IF(OR(G1323="",L1323&lt;&gt;"Да"),"",IF(G1323&lt;=100,33600,IF(G1323&lt;=200,62400,IF(G1323&lt;=500,144000,""))))</f>
        <v/>
      </c>
      <c r="O1323" s="16">
        <f>IF(G1323="","",IF(G1323&lt;=15,"1–15",IF(G1323&lt;=30,"16–30",IF(G1323&lt;=50,"31–50",IF(G1323&lt;=100,"51–100",IF(G1323&lt;=150,"101–150",IF(G1323&lt;=200,"151–200",IF(G1323&lt;=500,"201–500","500+"))))))))</f>
        <v/>
      </c>
      <c r="P1323" s="16" t="inlineStr">
        <is>
          <t>Нет совпадения в предоставленной выгрузке ССЧР</t>
        </is>
      </c>
      <c r="Q1323" s="16" t="n"/>
      <c r="R1323" s="16">
        <f>HYPERLINK("https://checko.ru/search?query=3801001629","Чекко: проверить")</f>
        <v/>
      </c>
      <c r="S1323" t="n">
        <v>0</v>
      </c>
    </row>
    <row r="1324" ht="15" customHeight="1" s="24">
      <c r="A1324" s="13" t="n">
        <v>5000094794</v>
      </c>
      <c r="B1324" s="13" t="inlineStr">
        <is>
          <t>МКОУ СОШ №1 с.п.Старый Черек</t>
        </is>
      </c>
      <c r="C1324" s="13" t="n">
        <v>707011430</v>
      </c>
      <c r="D1324" s="13" t="n"/>
      <c r="E1324" s="13" t="inlineStr">
        <is>
          <t>Не определён</t>
        </is>
      </c>
      <c r="F1324" s="13" t="inlineStr">
        <is>
          <t>707011430</t>
        </is>
      </c>
      <c r="G1324" s="14" t="n"/>
      <c r="H1324" s="14" t="n"/>
      <c r="I1324" s="14" t="n"/>
      <c r="J1324" s="14" t="n"/>
      <c r="K1324" s="13">
        <f>IF(G1324="","",IF(G1324&gt;=22,"Да","Нет"))</f>
        <v/>
      </c>
      <c r="L1324" s="13">
        <f>IF(OR(I1324="",J1324=""),"Не определено",IF(OR(COUNTIF(I1324,"45*")&gt;0,COUNTIF(J1324,"*45*")&gt;0,COUNTIF(I1324,"46*")&gt;0,COUNTIF(J1324,"*46*")&gt;0,COUNTIF(I1324,"47*")&gt;0,COUNTIF(J1324,"*47*")&gt;0,COUNTIF(I1324,"10*")&gt;0,COUNTIF(J1324,"*10*")&gt;0,COUNTIF(I1324,"11*")&gt;0,COUNTIF(J1324,"*11*")&gt;0,COUNTIF(I1324,"12*")&gt;0,COUNTIF(J1324,"*12*")&gt;0,COUNTIF(I1324,"13*")&gt;0,COUNTIF(J1324,"*13*")&gt;0,COUNTIF(I1324,"14*")&gt;0,COUNTIF(J1324,"*14*")&gt;0,COUNTIF(I1324,"15*")&gt;0,COUNTIF(J1324,"*15*")&gt;0,COUNTIF(I1324,"16*")&gt;0,COUNTIF(J1324,"*16*")&gt;0,COUNTIF(I1324,"17*")&gt;0,COUNTIF(J1324,"*17*")&gt;0,COUNTIF(I1324,"18*")&gt;0,COUNTIF(J1324,"*18*")&gt;0,COUNTIF(I1324,"19*")&gt;0,COUNTIF(J1324,"*19*")&gt;0,COUNTIF(I1324,"20*")&gt;0,COUNTIF(J1324,"*20*")&gt;0,COUNTIF(I1324,"21*")&gt;0,COUNTIF(J1324,"*21*")&gt;0,COUNTIF(I1324,"22*")&gt;0,COUNTIF(J1324,"*22*")&gt;0,COUNTIF(I1324,"23*")&gt;0,COUNTIF(J1324,"*23*")&gt;0,COUNTIF(I1324,"24*")&gt;0,COUNTIF(J1324,"*24*")&gt;0,COUNTIF(I1324,"25*")&gt;0,COUNTIF(J1324,"*25*")&gt;0,COUNTIF(I1324,"26*")&gt;0,COUNTIF(J1324,"*26*")&gt;0,COUNTIF(I1324,"27*")&gt;0,COUNTIF(J1324,"*27*")&gt;0,COUNTIF(I1324,"28*")&gt;0,COUNTIF(J1324,"*28*")&gt;0,COUNTIF(I1324,"29*")&gt;0,COUNTIF(J1324,"*29*")&gt;0,COUNTIF(I1324,"30*")&gt;0,COUNTIF(J1324,"*30*")&gt;0,COUNTIF(I1324,"31*")&gt;0,COUNTIF(J1324,"*31*")&gt;0,COUNTIF(I1324,"32*")&gt;0,COUNTIF(J1324,"*32*")&gt;0,COUNTIF(I1324,"33*")&gt;0,COUNTIF(J1324,"*33*")&gt;0,COUNTIF(I1324,"41*")&gt;0,COUNTIF(J1324,"*41*")&gt;0,COUNTIF(I1324,"42*")&gt;0,COUNTIF(J1324,"*42*")&gt;0,COUNTIF(I1324,"43*")&gt;0,COUNTIF(J1324,"*43*")&gt;0,COUNTIF(I1324,"49*")&gt;0,COUNTIF(J1324,"*49*")&gt;0,COUNTIF(I1324,"52*")&gt;0,COUNTIF(J1324,"*52*")&gt;0,COUNTIF(I1324,"55*")&gt;0,COUNTIF(J1324,"*55*")&gt;0,COUNTIF(I1324,"56*")&gt;0,COUNTIF(J1324,"*56*")&gt;0,COUNTIF(I1324,"68*")&gt;0,COUNTIF(J1324,"*68*")&gt;0,COUNTIF(I1324,"78*")&gt;0,COUNTIF(J1324,"*78*")&gt;0,COUNTIF(I1324,"81*")&gt;0,COUNTIF(J1324,"*81*")&gt;0,COUNTIF(I1324,"82*")&gt;0,COUNTIF(J1324,"*82*")&gt;0,COUNTIF(I1324,"64*")&gt;0,COUNTIF(J1324,"*64*")&gt;0,COUNTIF(I1324,"65*")&gt;0,COUNTIF(J1324,"*65*")&gt;0,COUNTIF(I1324,"66*")&gt;0,COUNTIF(J1324,"*66*")&gt;0,COUNTIF(I1324,"61*")&gt;0,COUNTIF(J1324,"*61*")&gt;0,COUNTIF(I1324,"62*")&gt;0,COUNTIF(J1324,"*62*")&gt;0,COUNTIF(I1324,"63*")&gt;0,COUNTIF(J1324,"*63*")&gt;0,COUNTIF(I1324,"85*")&gt;0,COUNTIF(J1324,"*85*")&gt;0,COUNTIF(I1324,"86*")&gt;0,COUNTIF(J1324,"*86*")&gt;0),"Да","Нет"))</f>
        <v/>
      </c>
      <c r="M1324" s="13">
        <f>IF(OR(G1324="",L1324&lt;&gt;"Да"),"",IF(G1324&lt;=100,"До 100",IF(G1324&lt;=200,"До 200",IF(G1324&lt;=500,"До 500","Отдельное КП"))))</f>
        <v/>
      </c>
      <c r="N1324" s="15">
        <f>IF(OR(G1324="",L1324&lt;&gt;"Да"),"",IF(G1324&lt;=100,33600,IF(G1324&lt;=200,62400,IF(G1324&lt;=500,144000,""))))</f>
        <v/>
      </c>
      <c r="O1324" s="16">
        <f>IF(G1324="","",IF(G1324&lt;=15,"1–15",IF(G1324&lt;=30,"16–30",IF(G1324&lt;=50,"31–50",IF(G1324&lt;=100,"51–100",IF(G1324&lt;=150,"101–150",IF(G1324&lt;=200,"151–200",IF(G1324&lt;=500,"201–500","500+"))))))))</f>
        <v/>
      </c>
      <c r="P1324" s="16" t="inlineStr">
        <is>
          <t>Нет совпадения в предоставленной выгрузке ССЧР</t>
        </is>
      </c>
      <c r="Q1324" s="16" t="n"/>
      <c r="R1324" s="16">
        <f>HYPERLINK("https://checko.ru/search?query=3801001629","Чекко: проверить")</f>
        <v/>
      </c>
      <c r="S1324" t="n">
        <v>0</v>
      </c>
    </row>
    <row r="1325" ht="15" customHeight="1" s="24">
      <c r="A1325" s="13" t="n">
        <v>5000094757</v>
      </c>
      <c r="B1325" s="13" t="inlineStr">
        <is>
          <t>МКОУ СОШ №2 г.п.Нарткала</t>
        </is>
      </c>
      <c r="C1325" s="13" t="n">
        <v>707005719</v>
      </c>
      <c r="D1325" s="13" t="n"/>
      <c r="E1325" s="13" t="inlineStr">
        <is>
          <t>Не определён</t>
        </is>
      </c>
      <c r="F1325" s="13" t="inlineStr">
        <is>
          <t>707005719</t>
        </is>
      </c>
      <c r="G1325" s="14" t="n"/>
      <c r="H1325" s="14" t="n"/>
      <c r="I1325" s="14" t="n"/>
      <c r="J1325" s="14" t="n"/>
      <c r="K1325" s="13">
        <f>IF(G1325="","",IF(G1325&gt;=22,"Да","Нет"))</f>
        <v/>
      </c>
      <c r="L1325" s="13">
        <f>IF(OR(I1325="",J1325=""),"Не определено",IF(OR(COUNTIF(I1325,"45*")&gt;0,COUNTIF(J1325,"*45*")&gt;0,COUNTIF(I1325,"46*")&gt;0,COUNTIF(J1325,"*46*")&gt;0,COUNTIF(I1325,"47*")&gt;0,COUNTIF(J1325,"*47*")&gt;0,COUNTIF(I1325,"10*")&gt;0,COUNTIF(J1325,"*10*")&gt;0,COUNTIF(I1325,"11*")&gt;0,COUNTIF(J1325,"*11*")&gt;0,COUNTIF(I1325,"12*")&gt;0,COUNTIF(J1325,"*12*")&gt;0,COUNTIF(I1325,"13*")&gt;0,COUNTIF(J1325,"*13*")&gt;0,COUNTIF(I1325,"14*")&gt;0,COUNTIF(J1325,"*14*")&gt;0,COUNTIF(I1325,"15*")&gt;0,COUNTIF(J1325,"*15*")&gt;0,COUNTIF(I1325,"16*")&gt;0,COUNTIF(J1325,"*16*")&gt;0,COUNTIF(I1325,"17*")&gt;0,COUNTIF(J1325,"*17*")&gt;0,COUNTIF(I1325,"18*")&gt;0,COUNTIF(J1325,"*18*")&gt;0,COUNTIF(I1325,"19*")&gt;0,COUNTIF(J1325,"*19*")&gt;0,COUNTIF(I1325,"20*")&gt;0,COUNTIF(J1325,"*20*")&gt;0,COUNTIF(I1325,"21*")&gt;0,COUNTIF(J1325,"*21*")&gt;0,COUNTIF(I1325,"22*")&gt;0,COUNTIF(J1325,"*22*")&gt;0,COUNTIF(I1325,"23*")&gt;0,COUNTIF(J1325,"*23*")&gt;0,COUNTIF(I1325,"24*")&gt;0,COUNTIF(J1325,"*24*")&gt;0,COUNTIF(I1325,"25*")&gt;0,COUNTIF(J1325,"*25*")&gt;0,COUNTIF(I1325,"26*")&gt;0,COUNTIF(J1325,"*26*")&gt;0,COUNTIF(I1325,"27*")&gt;0,COUNTIF(J1325,"*27*")&gt;0,COUNTIF(I1325,"28*")&gt;0,COUNTIF(J1325,"*28*")&gt;0,COUNTIF(I1325,"29*")&gt;0,COUNTIF(J1325,"*29*")&gt;0,COUNTIF(I1325,"30*")&gt;0,COUNTIF(J1325,"*30*")&gt;0,COUNTIF(I1325,"31*")&gt;0,COUNTIF(J1325,"*31*")&gt;0,COUNTIF(I1325,"32*")&gt;0,COUNTIF(J1325,"*32*")&gt;0,COUNTIF(I1325,"33*")&gt;0,COUNTIF(J1325,"*33*")&gt;0,COUNTIF(I1325,"41*")&gt;0,COUNTIF(J1325,"*41*")&gt;0,COUNTIF(I1325,"42*")&gt;0,COUNTIF(J1325,"*42*")&gt;0,COUNTIF(I1325,"43*")&gt;0,COUNTIF(J1325,"*43*")&gt;0,COUNTIF(I1325,"49*")&gt;0,COUNTIF(J1325,"*49*")&gt;0,COUNTIF(I1325,"52*")&gt;0,COUNTIF(J1325,"*52*")&gt;0,COUNTIF(I1325,"55*")&gt;0,COUNTIF(J1325,"*55*")&gt;0,COUNTIF(I1325,"56*")&gt;0,COUNTIF(J1325,"*56*")&gt;0,COUNTIF(I1325,"68*")&gt;0,COUNTIF(J1325,"*68*")&gt;0,COUNTIF(I1325,"78*")&gt;0,COUNTIF(J1325,"*78*")&gt;0,COUNTIF(I1325,"81*")&gt;0,COUNTIF(J1325,"*81*")&gt;0,COUNTIF(I1325,"82*")&gt;0,COUNTIF(J1325,"*82*")&gt;0,COUNTIF(I1325,"64*")&gt;0,COUNTIF(J1325,"*64*")&gt;0,COUNTIF(I1325,"65*")&gt;0,COUNTIF(J1325,"*65*")&gt;0,COUNTIF(I1325,"66*")&gt;0,COUNTIF(J1325,"*66*")&gt;0,COUNTIF(I1325,"61*")&gt;0,COUNTIF(J1325,"*61*")&gt;0,COUNTIF(I1325,"62*")&gt;0,COUNTIF(J1325,"*62*")&gt;0,COUNTIF(I1325,"63*")&gt;0,COUNTIF(J1325,"*63*")&gt;0,COUNTIF(I1325,"85*")&gt;0,COUNTIF(J1325,"*85*")&gt;0,COUNTIF(I1325,"86*")&gt;0,COUNTIF(J1325,"*86*")&gt;0),"Да","Нет"))</f>
        <v/>
      </c>
      <c r="M1325" s="13">
        <f>IF(OR(G1325="",L1325&lt;&gt;"Да"),"",IF(G1325&lt;=100,"До 100",IF(G1325&lt;=200,"До 200",IF(G1325&lt;=500,"До 500","Отдельное КП"))))</f>
        <v/>
      </c>
      <c r="N1325" s="15">
        <f>IF(OR(G1325="",L1325&lt;&gt;"Да"),"",IF(G1325&lt;=100,33600,IF(G1325&lt;=200,62400,IF(G1325&lt;=500,144000,""))))</f>
        <v/>
      </c>
      <c r="O1325" s="16">
        <f>IF(G1325="","",IF(G1325&lt;=15,"1–15",IF(G1325&lt;=30,"16–30",IF(G1325&lt;=50,"31–50",IF(G1325&lt;=100,"51–100",IF(G1325&lt;=150,"101–150",IF(G1325&lt;=200,"151–200",IF(G1325&lt;=500,"201–500","500+"))))))))</f>
        <v/>
      </c>
      <c r="P1325" s="16" t="inlineStr">
        <is>
          <t>Нет совпадения в предоставленной выгрузке ССЧР</t>
        </is>
      </c>
      <c r="Q1325" s="16" t="n"/>
      <c r="R1325" s="16">
        <f>HYPERLINK("https://checko.ru/search?query=3801001629","Чекко: проверить")</f>
        <v/>
      </c>
      <c r="S1325" t="n">
        <v>0</v>
      </c>
    </row>
    <row r="1326" ht="15" customHeight="1" s="24">
      <c r="A1326" s="13" t="n">
        <v>5000094774</v>
      </c>
      <c r="B1326" s="13" t="inlineStr">
        <is>
          <t>МКОУ СОШ №3 г.п.Нарткала</t>
        </is>
      </c>
      <c r="C1326" s="13" t="n">
        <v>707007515</v>
      </c>
      <c r="D1326" s="13" t="n"/>
      <c r="E1326" s="13" t="inlineStr">
        <is>
          <t>Не определён</t>
        </is>
      </c>
      <c r="F1326" s="13" t="inlineStr">
        <is>
          <t>707007515</t>
        </is>
      </c>
      <c r="G1326" s="14" t="n"/>
      <c r="H1326" s="14" t="n"/>
      <c r="I1326" s="14" t="n"/>
      <c r="J1326" s="14" t="n"/>
      <c r="K1326" s="13">
        <f>IF(G1326="","",IF(G1326&gt;=22,"Да","Нет"))</f>
        <v/>
      </c>
      <c r="L1326" s="13">
        <f>IF(OR(I1326="",J1326=""),"Не определено",IF(OR(COUNTIF(I1326,"45*")&gt;0,COUNTIF(J1326,"*45*")&gt;0,COUNTIF(I1326,"46*")&gt;0,COUNTIF(J1326,"*46*")&gt;0,COUNTIF(I1326,"47*")&gt;0,COUNTIF(J1326,"*47*")&gt;0,COUNTIF(I1326,"10*")&gt;0,COUNTIF(J1326,"*10*")&gt;0,COUNTIF(I1326,"11*")&gt;0,COUNTIF(J1326,"*11*")&gt;0,COUNTIF(I1326,"12*")&gt;0,COUNTIF(J1326,"*12*")&gt;0,COUNTIF(I1326,"13*")&gt;0,COUNTIF(J1326,"*13*")&gt;0,COUNTIF(I1326,"14*")&gt;0,COUNTIF(J1326,"*14*")&gt;0,COUNTIF(I1326,"15*")&gt;0,COUNTIF(J1326,"*15*")&gt;0,COUNTIF(I1326,"16*")&gt;0,COUNTIF(J1326,"*16*")&gt;0,COUNTIF(I1326,"17*")&gt;0,COUNTIF(J1326,"*17*")&gt;0,COUNTIF(I1326,"18*")&gt;0,COUNTIF(J1326,"*18*")&gt;0,COUNTIF(I1326,"19*")&gt;0,COUNTIF(J1326,"*19*")&gt;0,COUNTIF(I1326,"20*")&gt;0,COUNTIF(J1326,"*20*")&gt;0,COUNTIF(I1326,"21*")&gt;0,COUNTIF(J1326,"*21*")&gt;0,COUNTIF(I1326,"22*")&gt;0,COUNTIF(J1326,"*22*")&gt;0,COUNTIF(I1326,"23*")&gt;0,COUNTIF(J1326,"*23*")&gt;0,COUNTIF(I1326,"24*")&gt;0,COUNTIF(J1326,"*24*")&gt;0,COUNTIF(I1326,"25*")&gt;0,COUNTIF(J1326,"*25*")&gt;0,COUNTIF(I1326,"26*")&gt;0,COUNTIF(J1326,"*26*")&gt;0,COUNTIF(I1326,"27*")&gt;0,COUNTIF(J1326,"*27*")&gt;0,COUNTIF(I1326,"28*")&gt;0,COUNTIF(J1326,"*28*")&gt;0,COUNTIF(I1326,"29*")&gt;0,COUNTIF(J1326,"*29*")&gt;0,COUNTIF(I1326,"30*")&gt;0,COUNTIF(J1326,"*30*")&gt;0,COUNTIF(I1326,"31*")&gt;0,COUNTIF(J1326,"*31*")&gt;0,COUNTIF(I1326,"32*")&gt;0,COUNTIF(J1326,"*32*")&gt;0,COUNTIF(I1326,"33*")&gt;0,COUNTIF(J1326,"*33*")&gt;0,COUNTIF(I1326,"41*")&gt;0,COUNTIF(J1326,"*41*")&gt;0,COUNTIF(I1326,"42*")&gt;0,COUNTIF(J1326,"*42*")&gt;0,COUNTIF(I1326,"43*")&gt;0,COUNTIF(J1326,"*43*")&gt;0,COUNTIF(I1326,"49*")&gt;0,COUNTIF(J1326,"*49*")&gt;0,COUNTIF(I1326,"52*")&gt;0,COUNTIF(J1326,"*52*")&gt;0,COUNTIF(I1326,"55*")&gt;0,COUNTIF(J1326,"*55*")&gt;0,COUNTIF(I1326,"56*")&gt;0,COUNTIF(J1326,"*56*")&gt;0,COUNTIF(I1326,"68*")&gt;0,COUNTIF(J1326,"*68*")&gt;0,COUNTIF(I1326,"78*")&gt;0,COUNTIF(J1326,"*78*")&gt;0,COUNTIF(I1326,"81*")&gt;0,COUNTIF(J1326,"*81*")&gt;0,COUNTIF(I1326,"82*")&gt;0,COUNTIF(J1326,"*82*")&gt;0,COUNTIF(I1326,"64*")&gt;0,COUNTIF(J1326,"*64*")&gt;0,COUNTIF(I1326,"65*")&gt;0,COUNTIF(J1326,"*65*")&gt;0,COUNTIF(I1326,"66*")&gt;0,COUNTIF(J1326,"*66*")&gt;0,COUNTIF(I1326,"61*")&gt;0,COUNTIF(J1326,"*61*")&gt;0,COUNTIF(I1326,"62*")&gt;0,COUNTIF(J1326,"*62*")&gt;0,COUNTIF(I1326,"63*")&gt;0,COUNTIF(J1326,"*63*")&gt;0,COUNTIF(I1326,"85*")&gt;0,COUNTIF(J1326,"*85*")&gt;0,COUNTIF(I1326,"86*")&gt;0,COUNTIF(J1326,"*86*")&gt;0),"Да","Нет"))</f>
        <v/>
      </c>
      <c r="M1326" s="13">
        <f>IF(OR(G1326="",L1326&lt;&gt;"Да"),"",IF(G1326&lt;=100,"До 100",IF(G1326&lt;=200,"До 200",IF(G1326&lt;=500,"До 500","Отдельное КП"))))</f>
        <v/>
      </c>
      <c r="N1326" s="15">
        <f>IF(OR(G1326="",L1326&lt;&gt;"Да"),"",IF(G1326&lt;=100,33600,IF(G1326&lt;=200,62400,IF(G1326&lt;=500,144000,""))))</f>
        <v/>
      </c>
      <c r="O1326" s="16">
        <f>IF(G1326="","",IF(G1326&lt;=15,"1–15",IF(G1326&lt;=30,"16–30",IF(G1326&lt;=50,"31–50",IF(G1326&lt;=100,"51–100",IF(G1326&lt;=150,"101–150",IF(G1326&lt;=200,"151–200",IF(G1326&lt;=500,"201–500","500+"))))))))</f>
        <v/>
      </c>
      <c r="P1326" s="16" t="inlineStr">
        <is>
          <t>Нет совпадения в предоставленной выгрузке ССЧР</t>
        </is>
      </c>
      <c r="Q1326" s="16" t="n"/>
      <c r="R1326" s="16">
        <f>HYPERLINK("https://checko.ru/search?query=3801001629","Чекко: проверить")</f>
        <v/>
      </c>
      <c r="S1326" t="n">
        <v>0</v>
      </c>
    </row>
    <row r="1327" ht="15" customHeight="1" s="24">
      <c r="A1327" s="13" t="n">
        <v>5000094748</v>
      </c>
      <c r="B1327" s="13" t="inlineStr">
        <is>
          <t>МКОУ СОШ №4 г.п.Нарткала</t>
        </is>
      </c>
      <c r="C1327" s="13" t="n">
        <v>707004970</v>
      </c>
      <c r="D1327" s="13" t="n"/>
      <c r="E1327" s="13" t="inlineStr">
        <is>
          <t>Не определён</t>
        </is>
      </c>
      <c r="F1327" s="13" t="inlineStr">
        <is>
          <t>707004970</t>
        </is>
      </c>
      <c r="G1327" s="14" t="n"/>
      <c r="H1327" s="14" t="n"/>
      <c r="I1327" s="14" t="n"/>
      <c r="J1327" s="14" t="n"/>
      <c r="K1327" s="13">
        <f>IF(G1327="","",IF(G1327&gt;=22,"Да","Нет"))</f>
        <v/>
      </c>
      <c r="L1327" s="13">
        <f>IF(OR(I1327="",J1327=""),"Не определено",IF(OR(COUNTIF(I1327,"45*")&gt;0,COUNTIF(J1327,"*45*")&gt;0,COUNTIF(I1327,"46*")&gt;0,COUNTIF(J1327,"*46*")&gt;0,COUNTIF(I1327,"47*")&gt;0,COUNTIF(J1327,"*47*")&gt;0,COUNTIF(I1327,"10*")&gt;0,COUNTIF(J1327,"*10*")&gt;0,COUNTIF(I1327,"11*")&gt;0,COUNTIF(J1327,"*11*")&gt;0,COUNTIF(I1327,"12*")&gt;0,COUNTIF(J1327,"*12*")&gt;0,COUNTIF(I1327,"13*")&gt;0,COUNTIF(J1327,"*13*")&gt;0,COUNTIF(I1327,"14*")&gt;0,COUNTIF(J1327,"*14*")&gt;0,COUNTIF(I1327,"15*")&gt;0,COUNTIF(J1327,"*15*")&gt;0,COUNTIF(I1327,"16*")&gt;0,COUNTIF(J1327,"*16*")&gt;0,COUNTIF(I1327,"17*")&gt;0,COUNTIF(J1327,"*17*")&gt;0,COUNTIF(I1327,"18*")&gt;0,COUNTIF(J1327,"*18*")&gt;0,COUNTIF(I1327,"19*")&gt;0,COUNTIF(J1327,"*19*")&gt;0,COUNTIF(I1327,"20*")&gt;0,COUNTIF(J1327,"*20*")&gt;0,COUNTIF(I1327,"21*")&gt;0,COUNTIF(J1327,"*21*")&gt;0,COUNTIF(I1327,"22*")&gt;0,COUNTIF(J1327,"*22*")&gt;0,COUNTIF(I1327,"23*")&gt;0,COUNTIF(J1327,"*23*")&gt;0,COUNTIF(I1327,"24*")&gt;0,COUNTIF(J1327,"*24*")&gt;0,COUNTIF(I1327,"25*")&gt;0,COUNTIF(J1327,"*25*")&gt;0,COUNTIF(I1327,"26*")&gt;0,COUNTIF(J1327,"*26*")&gt;0,COUNTIF(I1327,"27*")&gt;0,COUNTIF(J1327,"*27*")&gt;0,COUNTIF(I1327,"28*")&gt;0,COUNTIF(J1327,"*28*")&gt;0,COUNTIF(I1327,"29*")&gt;0,COUNTIF(J1327,"*29*")&gt;0,COUNTIF(I1327,"30*")&gt;0,COUNTIF(J1327,"*30*")&gt;0,COUNTIF(I1327,"31*")&gt;0,COUNTIF(J1327,"*31*")&gt;0,COUNTIF(I1327,"32*")&gt;0,COUNTIF(J1327,"*32*")&gt;0,COUNTIF(I1327,"33*")&gt;0,COUNTIF(J1327,"*33*")&gt;0,COUNTIF(I1327,"41*")&gt;0,COUNTIF(J1327,"*41*")&gt;0,COUNTIF(I1327,"42*")&gt;0,COUNTIF(J1327,"*42*")&gt;0,COUNTIF(I1327,"43*")&gt;0,COUNTIF(J1327,"*43*")&gt;0,COUNTIF(I1327,"49*")&gt;0,COUNTIF(J1327,"*49*")&gt;0,COUNTIF(I1327,"52*")&gt;0,COUNTIF(J1327,"*52*")&gt;0,COUNTIF(I1327,"55*")&gt;0,COUNTIF(J1327,"*55*")&gt;0,COUNTIF(I1327,"56*")&gt;0,COUNTIF(J1327,"*56*")&gt;0,COUNTIF(I1327,"68*")&gt;0,COUNTIF(J1327,"*68*")&gt;0,COUNTIF(I1327,"78*")&gt;0,COUNTIF(J1327,"*78*")&gt;0,COUNTIF(I1327,"81*")&gt;0,COUNTIF(J1327,"*81*")&gt;0,COUNTIF(I1327,"82*")&gt;0,COUNTIF(J1327,"*82*")&gt;0,COUNTIF(I1327,"64*")&gt;0,COUNTIF(J1327,"*64*")&gt;0,COUNTIF(I1327,"65*")&gt;0,COUNTIF(J1327,"*65*")&gt;0,COUNTIF(I1327,"66*")&gt;0,COUNTIF(J1327,"*66*")&gt;0,COUNTIF(I1327,"61*")&gt;0,COUNTIF(J1327,"*61*")&gt;0,COUNTIF(I1327,"62*")&gt;0,COUNTIF(J1327,"*62*")&gt;0,COUNTIF(I1327,"63*")&gt;0,COUNTIF(J1327,"*63*")&gt;0,COUNTIF(I1327,"85*")&gt;0,COUNTIF(J1327,"*85*")&gt;0,COUNTIF(I1327,"86*")&gt;0,COUNTIF(J1327,"*86*")&gt;0),"Да","Нет"))</f>
        <v/>
      </c>
      <c r="M1327" s="13">
        <f>IF(OR(G1327="",L1327&lt;&gt;"Да"),"",IF(G1327&lt;=100,"До 100",IF(G1327&lt;=200,"До 200",IF(G1327&lt;=500,"До 500","Отдельное КП"))))</f>
        <v/>
      </c>
      <c r="N1327" s="15">
        <f>IF(OR(G1327="",L1327&lt;&gt;"Да"),"",IF(G1327&lt;=100,33600,IF(G1327&lt;=200,62400,IF(G1327&lt;=500,144000,""))))</f>
        <v/>
      </c>
      <c r="O1327" s="16">
        <f>IF(G1327="","",IF(G1327&lt;=15,"1–15",IF(G1327&lt;=30,"16–30",IF(G1327&lt;=50,"31–50",IF(G1327&lt;=100,"51–100",IF(G1327&lt;=150,"101–150",IF(G1327&lt;=200,"151–200",IF(G1327&lt;=500,"201–500","500+"))))))))</f>
        <v/>
      </c>
      <c r="P1327" s="16" t="inlineStr">
        <is>
          <t>Нет совпадения в предоставленной выгрузке ССЧР</t>
        </is>
      </c>
      <c r="Q1327" s="16" t="n"/>
      <c r="R1327" s="16">
        <f>HYPERLINK("https://checko.ru/search?query=3801001629","Чекко: проверить")</f>
        <v/>
      </c>
      <c r="S1327" t="n">
        <v>0</v>
      </c>
    </row>
    <row r="1328" ht="15" customHeight="1" s="24">
      <c r="A1328" s="13" t="n">
        <v>5000094773</v>
      </c>
      <c r="B1328" s="13" t="inlineStr">
        <is>
          <t>МКОУ СОШ №5 г.п.Нарткала</t>
        </is>
      </c>
      <c r="C1328" s="13" t="n">
        <v>707007508</v>
      </c>
      <c r="D1328" s="13" t="n"/>
      <c r="E1328" s="13" t="inlineStr">
        <is>
          <t>Не определён</t>
        </is>
      </c>
      <c r="F1328" s="13" t="inlineStr">
        <is>
          <t>707007508</t>
        </is>
      </c>
      <c r="G1328" s="14" t="n"/>
      <c r="H1328" s="14" t="n"/>
      <c r="I1328" s="14" t="n"/>
      <c r="J1328" s="14" t="n"/>
      <c r="K1328" s="13">
        <f>IF(G1328="","",IF(G1328&gt;=22,"Да","Нет"))</f>
        <v/>
      </c>
      <c r="L1328" s="13">
        <f>IF(OR(I1328="",J1328=""),"Не определено",IF(OR(COUNTIF(I1328,"45*")&gt;0,COUNTIF(J1328,"*45*")&gt;0,COUNTIF(I1328,"46*")&gt;0,COUNTIF(J1328,"*46*")&gt;0,COUNTIF(I1328,"47*")&gt;0,COUNTIF(J1328,"*47*")&gt;0,COUNTIF(I1328,"10*")&gt;0,COUNTIF(J1328,"*10*")&gt;0,COUNTIF(I1328,"11*")&gt;0,COUNTIF(J1328,"*11*")&gt;0,COUNTIF(I1328,"12*")&gt;0,COUNTIF(J1328,"*12*")&gt;0,COUNTIF(I1328,"13*")&gt;0,COUNTIF(J1328,"*13*")&gt;0,COUNTIF(I1328,"14*")&gt;0,COUNTIF(J1328,"*14*")&gt;0,COUNTIF(I1328,"15*")&gt;0,COUNTIF(J1328,"*15*")&gt;0,COUNTIF(I1328,"16*")&gt;0,COUNTIF(J1328,"*16*")&gt;0,COUNTIF(I1328,"17*")&gt;0,COUNTIF(J1328,"*17*")&gt;0,COUNTIF(I1328,"18*")&gt;0,COUNTIF(J1328,"*18*")&gt;0,COUNTIF(I1328,"19*")&gt;0,COUNTIF(J1328,"*19*")&gt;0,COUNTIF(I1328,"20*")&gt;0,COUNTIF(J1328,"*20*")&gt;0,COUNTIF(I1328,"21*")&gt;0,COUNTIF(J1328,"*21*")&gt;0,COUNTIF(I1328,"22*")&gt;0,COUNTIF(J1328,"*22*")&gt;0,COUNTIF(I1328,"23*")&gt;0,COUNTIF(J1328,"*23*")&gt;0,COUNTIF(I1328,"24*")&gt;0,COUNTIF(J1328,"*24*")&gt;0,COUNTIF(I1328,"25*")&gt;0,COUNTIF(J1328,"*25*")&gt;0,COUNTIF(I1328,"26*")&gt;0,COUNTIF(J1328,"*26*")&gt;0,COUNTIF(I1328,"27*")&gt;0,COUNTIF(J1328,"*27*")&gt;0,COUNTIF(I1328,"28*")&gt;0,COUNTIF(J1328,"*28*")&gt;0,COUNTIF(I1328,"29*")&gt;0,COUNTIF(J1328,"*29*")&gt;0,COUNTIF(I1328,"30*")&gt;0,COUNTIF(J1328,"*30*")&gt;0,COUNTIF(I1328,"31*")&gt;0,COUNTIF(J1328,"*31*")&gt;0,COUNTIF(I1328,"32*")&gt;0,COUNTIF(J1328,"*32*")&gt;0,COUNTIF(I1328,"33*")&gt;0,COUNTIF(J1328,"*33*")&gt;0,COUNTIF(I1328,"41*")&gt;0,COUNTIF(J1328,"*41*")&gt;0,COUNTIF(I1328,"42*")&gt;0,COUNTIF(J1328,"*42*")&gt;0,COUNTIF(I1328,"43*")&gt;0,COUNTIF(J1328,"*43*")&gt;0,COUNTIF(I1328,"49*")&gt;0,COUNTIF(J1328,"*49*")&gt;0,COUNTIF(I1328,"52*")&gt;0,COUNTIF(J1328,"*52*")&gt;0,COUNTIF(I1328,"55*")&gt;0,COUNTIF(J1328,"*55*")&gt;0,COUNTIF(I1328,"56*")&gt;0,COUNTIF(J1328,"*56*")&gt;0,COUNTIF(I1328,"68*")&gt;0,COUNTIF(J1328,"*68*")&gt;0,COUNTIF(I1328,"78*")&gt;0,COUNTIF(J1328,"*78*")&gt;0,COUNTIF(I1328,"81*")&gt;0,COUNTIF(J1328,"*81*")&gt;0,COUNTIF(I1328,"82*")&gt;0,COUNTIF(J1328,"*82*")&gt;0,COUNTIF(I1328,"64*")&gt;0,COUNTIF(J1328,"*64*")&gt;0,COUNTIF(I1328,"65*")&gt;0,COUNTIF(J1328,"*65*")&gt;0,COUNTIF(I1328,"66*")&gt;0,COUNTIF(J1328,"*66*")&gt;0,COUNTIF(I1328,"61*")&gt;0,COUNTIF(J1328,"*61*")&gt;0,COUNTIF(I1328,"62*")&gt;0,COUNTIF(J1328,"*62*")&gt;0,COUNTIF(I1328,"63*")&gt;0,COUNTIF(J1328,"*63*")&gt;0,COUNTIF(I1328,"85*")&gt;0,COUNTIF(J1328,"*85*")&gt;0,COUNTIF(I1328,"86*")&gt;0,COUNTIF(J1328,"*86*")&gt;0),"Да","Нет"))</f>
        <v/>
      </c>
      <c r="M1328" s="13">
        <f>IF(OR(G1328="",L1328&lt;&gt;"Да"),"",IF(G1328&lt;=100,"До 100",IF(G1328&lt;=200,"До 200",IF(G1328&lt;=500,"До 500","Отдельное КП"))))</f>
        <v/>
      </c>
      <c r="N1328" s="15">
        <f>IF(OR(G1328="",L1328&lt;&gt;"Да"),"",IF(G1328&lt;=100,33600,IF(G1328&lt;=200,62400,IF(G1328&lt;=500,144000,""))))</f>
        <v/>
      </c>
      <c r="O1328" s="16">
        <f>IF(G1328="","",IF(G1328&lt;=15,"1–15",IF(G1328&lt;=30,"16–30",IF(G1328&lt;=50,"31–50",IF(G1328&lt;=100,"51–100",IF(G1328&lt;=150,"101–150",IF(G1328&lt;=200,"151–200",IF(G1328&lt;=500,"201–500","500+"))))))))</f>
        <v/>
      </c>
      <c r="P1328" s="16" t="inlineStr">
        <is>
          <t>Нет совпадения в предоставленной выгрузке ССЧР</t>
        </is>
      </c>
      <c r="Q1328" s="16" t="n"/>
      <c r="R1328" s="16">
        <f>HYPERLINK("https://checko.ru/search?query=3801001629","Чекко: проверить")</f>
        <v/>
      </c>
      <c r="S1328" t="n">
        <v>0</v>
      </c>
    </row>
    <row r="1329" ht="15" customHeight="1" s="24">
      <c r="A1329" s="13" t="n">
        <v>5000094772</v>
      </c>
      <c r="B1329" s="13" t="inlineStr">
        <is>
          <t>МКОУ СОШ №5 г.п.Нарткала</t>
        </is>
      </c>
      <c r="C1329" s="13" t="n">
        <v>707007498</v>
      </c>
      <c r="D1329" s="13" t="n"/>
      <c r="E1329" s="13" t="inlineStr">
        <is>
          <t>Не определён</t>
        </is>
      </c>
      <c r="F1329" s="13" t="inlineStr">
        <is>
          <t>707007498</t>
        </is>
      </c>
      <c r="G1329" s="14" t="n"/>
      <c r="H1329" s="14" t="n"/>
      <c r="I1329" s="14" t="n"/>
      <c r="J1329" s="14" t="n"/>
      <c r="K1329" s="13">
        <f>IF(G1329="","",IF(G1329&gt;=22,"Да","Нет"))</f>
        <v/>
      </c>
      <c r="L1329" s="13">
        <f>IF(OR(I1329="",J1329=""),"Не определено",IF(OR(COUNTIF(I1329,"45*")&gt;0,COUNTIF(J1329,"*45*")&gt;0,COUNTIF(I1329,"46*")&gt;0,COUNTIF(J1329,"*46*")&gt;0,COUNTIF(I1329,"47*")&gt;0,COUNTIF(J1329,"*47*")&gt;0,COUNTIF(I1329,"10*")&gt;0,COUNTIF(J1329,"*10*")&gt;0,COUNTIF(I1329,"11*")&gt;0,COUNTIF(J1329,"*11*")&gt;0,COUNTIF(I1329,"12*")&gt;0,COUNTIF(J1329,"*12*")&gt;0,COUNTIF(I1329,"13*")&gt;0,COUNTIF(J1329,"*13*")&gt;0,COUNTIF(I1329,"14*")&gt;0,COUNTIF(J1329,"*14*")&gt;0,COUNTIF(I1329,"15*")&gt;0,COUNTIF(J1329,"*15*")&gt;0,COUNTIF(I1329,"16*")&gt;0,COUNTIF(J1329,"*16*")&gt;0,COUNTIF(I1329,"17*")&gt;0,COUNTIF(J1329,"*17*")&gt;0,COUNTIF(I1329,"18*")&gt;0,COUNTIF(J1329,"*18*")&gt;0,COUNTIF(I1329,"19*")&gt;0,COUNTIF(J1329,"*19*")&gt;0,COUNTIF(I1329,"20*")&gt;0,COUNTIF(J1329,"*20*")&gt;0,COUNTIF(I1329,"21*")&gt;0,COUNTIF(J1329,"*21*")&gt;0,COUNTIF(I1329,"22*")&gt;0,COUNTIF(J1329,"*22*")&gt;0,COUNTIF(I1329,"23*")&gt;0,COUNTIF(J1329,"*23*")&gt;0,COUNTIF(I1329,"24*")&gt;0,COUNTIF(J1329,"*24*")&gt;0,COUNTIF(I1329,"25*")&gt;0,COUNTIF(J1329,"*25*")&gt;0,COUNTIF(I1329,"26*")&gt;0,COUNTIF(J1329,"*26*")&gt;0,COUNTIF(I1329,"27*")&gt;0,COUNTIF(J1329,"*27*")&gt;0,COUNTIF(I1329,"28*")&gt;0,COUNTIF(J1329,"*28*")&gt;0,COUNTIF(I1329,"29*")&gt;0,COUNTIF(J1329,"*29*")&gt;0,COUNTIF(I1329,"30*")&gt;0,COUNTIF(J1329,"*30*")&gt;0,COUNTIF(I1329,"31*")&gt;0,COUNTIF(J1329,"*31*")&gt;0,COUNTIF(I1329,"32*")&gt;0,COUNTIF(J1329,"*32*")&gt;0,COUNTIF(I1329,"33*")&gt;0,COUNTIF(J1329,"*33*")&gt;0,COUNTIF(I1329,"41*")&gt;0,COUNTIF(J1329,"*41*")&gt;0,COUNTIF(I1329,"42*")&gt;0,COUNTIF(J1329,"*42*")&gt;0,COUNTIF(I1329,"43*")&gt;0,COUNTIF(J1329,"*43*")&gt;0,COUNTIF(I1329,"49*")&gt;0,COUNTIF(J1329,"*49*")&gt;0,COUNTIF(I1329,"52*")&gt;0,COUNTIF(J1329,"*52*")&gt;0,COUNTIF(I1329,"55*")&gt;0,COUNTIF(J1329,"*55*")&gt;0,COUNTIF(I1329,"56*")&gt;0,COUNTIF(J1329,"*56*")&gt;0,COUNTIF(I1329,"68*")&gt;0,COUNTIF(J1329,"*68*")&gt;0,COUNTIF(I1329,"78*")&gt;0,COUNTIF(J1329,"*78*")&gt;0,COUNTIF(I1329,"81*")&gt;0,COUNTIF(J1329,"*81*")&gt;0,COUNTIF(I1329,"82*")&gt;0,COUNTIF(J1329,"*82*")&gt;0,COUNTIF(I1329,"64*")&gt;0,COUNTIF(J1329,"*64*")&gt;0,COUNTIF(I1329,"65*")&gt;0,COUNTIF(J1329,"*65*")&gt;0,COUNTIF(I1329,"66*")&gt;0,COUNTIF(J1329,"*66*")&gt;0,COUNTIF(I1329,"61*")&gt;0,COUNTIF(J1329,"*61*")&gt;0,COUNTIF(I1329,"62*")&gt;0,COUNTIF(J1329,"*62*")&gt;0,COUNTIF(I1329,"63*")&gt;0,COUNTIF(J1329,"*63*")&gt;0,COUNTIF(I1329,"85*")&gt;0,COUNTIF(J1329,"*85*")&gt;0,COUNTIF(I1329,"86*")&gt;0,COUNTIF(J1329,"*86*")&gt;0),"Да","Нет"))</f>
        <v/>
      </c>
      <c r="M1329" s="13">
        <f>IF(OR(G1329="",L1329&lt;&gt;"Да"),"",IF(G1329&lt;=100,"До 100",IF(G1329&lt;=200,"До 200",IF(G1329&lt;=500,"До 500","Отдельное КП"))))</f>
        <v/>
      </c>
      <c r="N1329" s="15">
        <f>IF(OR(G1329="",L1329&lt;&gt;"Да"),"",IF(G1329&lt;=100,33600,IF(G1329&lt;=200,62400,IF(G1329&lt;=500,144000,""))))</f>
        <v/>
      </c>
      <c r="O1329" s="16">
        <f>IF(G1329="","",IF(G1329&lt;=15,"1–15",IF(G1329&lt;=30,"16–30",IF(G1329&lt;=50,"31–50",IF(G1329&lt;=100,"51–100",IF(G1329&lt;=150,"101–150",IF(G1329&lt;=200,"151–200",IF(G1329&lt;=500,"201–500","500+"))))))))</f>
        <v/>
      </c>
      <c r="P1329" s="16" t="inlineStr">
        <is>
          <t>Нет совпадения в предоставленной выгрузке ССЧР</t>
        </is>
      </c>
      <c r="Q1329" s="16" t="n"/>
      <c r="R1329" s="16">
        <f>HYPERLINK("https://checko.ru/search?query=3801001629","Чекко: проверить")</f>
        <v/>
      </c>
      <c r="S1329" t="n">
        <v>0</v>
      </c>
    </row>
    <row r="1330" ht="15" customHeight="1" s="24">
      <c r="A1330" s="13" t="n">
        <v>5000092232</v>
      </c>
      <c r="B1330" s="13" t="inlineStr">
        <is>
          <t>АДМИНИСТРАЦИЯ МО "ОБУСА"</t>
        </is>
      </c>
      <c r="C1330" s="13" t="n">
        <v>8505005950</v>
      </c>
      <c r="D1330" s="13" t="inlineStr">
        <is>
          <t>8505005950</t>
        </is>
      </c>
      <c r="E1330" s="13" t="inlineStr">
        <is>
          <t>ЮЛ РФ</t>
        </is>
      </c>
      <c r="F1330" s="13" t="n"/>
      <c r="G1330" s="14" t="n"/>
      <c r="H1330" s="14" t="n"/>
      <c r="I1330" s="14" t="n"/>
      <c r="J1330" s="14" t="n"/>
      <c r="K1330" s="53" t="inlineStr"/>
      <c r="L1330" s="53" t="inlineStr">
        <is>
          <t>Не определено</t>
        </is>
      </c>
      <c r="M1330" s="53" t="inlineStr"/>
      <c r="N1330" s="54" t="inlineStr"/>
      <c r="O1330" s="55" t="inlineStr"/>
      <c r="P1330" s="16" t="inlineStr">
        <is>
          <t>Требует обогащения</t>
        </is>
      </c>
      <c r="Q1330" s="16">
        <f>HYPERLINK("https://pb.nalog.ru/search.html?query=8505005950","ФНС: проверить")</f>
        <v/>
      </c>
      <c r="R1330" s="16">
        <f>HYPERLINK("https://checko.ru/search?query=3801001629","Чекко: проверить")</f>
        <v/>
      </c>
      <c r="S1330" t="n">
        <v>1</v>
      </c>
      <c r="T1330" s="35" t="inlineStr">
        <is>
          <t>4 — Не обогащён</t>
        </is>
      </c>
      <c r="U1330" s="35" t="inlineStr">
        <is>
          <t>Нет ОКВЭД/ССЧР</t>
        </is>
      </c>
      <c r="V1330" s="35" t="inlineStr">
        <is>
          <t>Не определено</t>
        </is>
      </c>
      <c r="W1330" s="35" t="inlineStr"/>
      <c r="X1330" s="35" t="inlineStr"/>
    </row>
    <row r="1331" ht="15" customHeight="1" s="24">
      <c r="A1331" s="13" t="n">
        <v>5000050151</v>
      </c>
      <c r="B1331" s="13" t="inlineStr">
        <is>
          <t>МОУ ДОД ДЮСШ</t>
        </is>
      </c>
      <c r="C1331" s="13" t="n">
        <v>5072723760</v>
      </c>
      <c r="D1331" s="13" t="inlineStr">
        <is>
          <t>5072723760</t>
        </is>
      </c>
      <c r="E1331" s="13" t="inlineStr">
        <is>
          <t>ЮЛ РФ</t>
        </is>
      </c>
      <c r="F1331" s="13" t="n"/>
      <c r="G1331" s="14" t="n"/>
      <c r="H1331" s="14" t="n"/>
      <c r="I1331" s="14" t="n"/>
      <c r="J1331" s="14" t="n"/>
      <c r="K1331" s="53" t="inlineStr"/>
      <c r="L1331" s="53" t="inlineStr">
        <is>
          <t>Не определено</t>
        </is>
      </c>
      <c r="M1331" s="53" t="inlineStr"/>
      <c r="N1331" s="54" t="inlineStr"/>
      <c r="O1331" s="55" t="inlineStr"/>
      <c r="P1331" s="16" t="inlineStr">
        <is>
          <t>Требует обогащения</t>
        </is>
      </c>
      <c r="Q1331" s="16">
        <f>HYPERLINK("https://pb.nalog.ru/search.html?query=5072723760","ФНС: проверить")</f>
        <v/>
      </c>
      <c r="R1331" s="16">
        <f>HYPERLINK("https://checko.ru/search?query=3801001629","Чекко: проверить")</f>
        <v/>
      </c>
      <c r="S1331" t="n">
        <v>1</v>
      </c>
      <c r="T1331" s="35" t="inlineStr">
        <is>
          <t>4 — Не обогащён</t>
        </is>
      </c>
      <c r="U1331" s="35" t="inlineStr">
        <is>
          <t>Нет ОКВЭД/ССЧР</t>
        </is>
      </c>
      <c r="V1331" s="35" t="inlineStr">
        <is>
          <t>Не определено</t>
        </is>
      </c>
      <c r="W1331" s="35" t="inlineStr"/>
      <c r="X1331" s="35" t="inlineStr"/>
    </row>
    <row r="1332" ht="27.75" customHeight="1" s="24">
      <c r="A1332" s="13" t="n">
        <v>5000106099</v>
      </c>
      <c r="B1332" s="13" t="inlineStr">
        <is>
          <t>Государственное учреждение "Ташлинское лесничество"</t>
        </is>
      </c>
      <c r="C1332" s="13" t="n">
        <v>5648000225</v>
      </c>
      <c r="D1332" s="13" t="inlineStr">
        <is>
          <t>5648000225</t>
        </is>
      </c>
      <c r="E1332" s="13" t="inlineStr">
        <is>
          <t>ЮЛ РФ</t>
        </is>
      </c>
      <c r="F1332" s="13" t="n"/>
      <c r="G1332" s="14" t="n"/>
      <c r="H1332" s="14" t="n"/>
      <c r="I1332" s="14" t="n"/>
      <c r="J1332" s="14" t="n"/>
      <c r="K1332" s="53" t="inlineStr"/>
      <c r="L1332" s="53" t="inlineStr">
        <is>
          <t>Не определено</t>
        </is>
      </c>
      <c r="M1332" s="53" t="inlineStr"/>
      <c r="N1332" s="54" t="inlineStr"/>
      <c r="O1332" s="55" t="inlineStr"/>
      <c r="P1332" s="16" t="inlineStr">
        <is>
          <t>Требует обогащения</t>
        </is>
      </c>
      <c r="Q1332" s="16">
        <f>HYPERLINK("https://pb.nalog.ru/search.html?query=5648000225","ФНС: проверить")</f>
        <v/>
      </c>
      <c r="R1332" s="16">
        <f>HYPERLINK("https://checko.ru/search?query=3801001629","Чекко: проверить")</f>
        <v/>
      </c>
      <c r="S1332" t="n">
        <v>1</v>
      </c>
      <c r="T1332" s="35" t="inlineStr">
        <is>
          <t>4 — Не обогащён</t>
        </is>
      </c>
      <c r="U1332" s="35" t="inlineStr">
        <is>
          <t>Нет ОКВЭД/ССЧР</t>
        </is>
      </c>
      <c r="V1332" s="35" t="inlineStr">
        <is>
          <t>Не определено</t>
        </is>
      </c>
      <c r="W1332" s="35" t="inlineStr"/>
      <c r="X1332" s="35" t="inlineStr"/>
    </row>
    <row r="1333" ht="27.75" customHeight="1" s="24">
      <c r="A1333" s="13" t="n">
        <v>5000062571</v>
      </c>
      <c r="B1333" s="13" t="inlineStr">
        <is>
          <t>ОГОУ ДОД детский оздоровительно-образовательный центр «Юность»</t>
        </is>
      </c>
      <c r="C1333" s="13" t="n">
        <v>7310005259</v>
      </c>
      <c r="D1333" s="13" t="inlineStr">
        <is>
          <t>7310005259</t>
        </is>
      </c>
      <c r="E1333" s="13" t="inlineStr">
        <is>
          <t>ЮЛ РФ</t>
        </is>
      </c>
      <c r="F1333" s="13" t="n"/>
      <c r="G1333" s="14" t="n"/>
      <c r="H1333" s="14" t="n"/>
      <c r="I1333" s="14" t="n"/>
      <c r="J1333" s="14" t="n"/>
      <c r="K1333" s="53" t="inlineStr"/>
      <c r="L1333" s="53" t="inlineStr">
        <is>
          <t>Не определено</t>
        </is>
      </c>
      <c r="M1333" s="53" t="inlineStr"/>
      <c r="N1333" s="54" t="inlineStr"/>
      <c r="O1333" s="55" t="inlineStr"/>
      <c r="P1333" s="16" t="inlineStr">
        <is>
          <t>Требует обогащения</t>
        </is>
      </c>
      <c r="Q1333" s="16">
        <f>HYPERLINK("https://pb.nalog.ru/search.html?query=7310005259","ФНС: проверить")</f>
        <v/>
      </c>
      <c r="R1333" s="16">
        <f>HYPERLINK("https://checko.ru/search?query=3801001629","Чекко: проверить")</f>
        <v/>
      </c>
      <c r="S1333" t="n">
        <v>1</v>
      </c>
      <c r="T1333" s="35" t="inlineStr">
        <is>
          <t>4 — Не обогащён</t>
        </is>
      </c>
      <c r="U1333" s="35" t="inlineStr">
        <is>
          <t>Нет ОКВЭД/ССЧР</t>
        </is>
      </c>
      <c r="V1333" s="35" t="inlineStr">
        <is>
          <t>Не определено</t>
        </is>
      </c>
      <c r="W1333" s="35" t="inlineStr"/>
      <c r="X1333" s="35" t="inlineStr"/>
    </row>
    <row r="1334" ht="27.75" customHeight="1" s="24">
      <c r="A1334" s="13" t="n">
        <v>5000062541</v>
      </c>
      <c r="B1334" s="13" t="inlineStr">
        <is>
          <t>ОГАУСО "Психоневрологический интернат в с. Акшуат"</t>
        </is>
      </c>
      <c r="C1334" s="13" t="n">
        <v>7304004031</v>
      </c>
      <c r="D1334" s="13" t="inlineStr">
        <is>
          <t>7304004031</t>
        </is>
      </c>
      <c r="E1334" s="13" t="inlineStr">
        <is>
          <t>ЮЛ РФ</t>
        </is>
      </c>
      <c r="F1334" s="13" t="n"/>
      <c r="G1334" s="14" t="n"/>
      <c r="H1334" s="14" t="n"/>
      <c r="I1334" s="14" t="n"/>
      <c r="J1334" s="14" t="n"/>
      <c r="K1334" s="53" t="inlineStr"/>
      <c r="L1334" s="53" t="inlineStr">
        <is>
          <t>Не определено</t>
        </is>
      </c>
      <c r="M1334" s="53" t="inlineStr"/>
      <c r="N1334" s="54" t="inlineStr"/>
      <c r="O1334" s="55" t="inlineStr"/>
      <c r="P1334" s="16" t="inlineStr">
        <is>
          <t>Требует обогащения</t>
        </is>
      </c>
      <c r="Q1334" s="16">
        <f>HYPERLINK("https://pb.nalog.ru/search.html?query=7304004031","ФНС: проверить")</f>
        <v/>
      </c>
      <c r="R1334" s="16">
        <f>HYPERLINK("https://checko.ru/search?query=3801001629","Чекко: проверить")</f>
        <v/>
      </c>
      <c r="S1334" t="n">
        <v>1</v>
      </c>
      <c r="T1334" s="35" t="inlineStr">
        <is>
          <t>4 — Не обогащён</t>
        </is>
      </c>
      <c r="U1334" s="35" t="inlineStr">
        <is>
          <t>Нет ОКВЭД/ССЧР</t>
        </is>
      </c>
      <c r="V1334" s="35" t="inlineStr">
        <is>
          <t>Не определено</t>
        </is>
      </c>
      <c r="W1334" s="35" t="inlineStr"/>
      <c r="X1334" s="35" t="inlineStr"/>
    </row>
    <row r="1335" ht="27.75" customHeight="1" s="24">
      <c r="A1335" s="13" t="n">
        <v>5000038510</v>
      </c>
      <c r="B1335" s="13" t="inlineStr">
        <is>
          <t>ОГАУК "Ульяновский драматический театр  имени И. А. Гончарова"</t>
        </is>
      </c>
      <c r="C1335" s="13" t="n">
        <v>7325000493</v>
      </c>
      <c r="D1335" s="13" t="inlineStr">
        <is>
          <t>7325000493</t>
        </is>
      </c>
      <c r="E1335" s="13" t="inlineStr">
        <is>
          <t>ЮЛ РФ</t>
        </is>
      </c>
      <c r="F1335" s="13" t="n"/>
      <c r="G1335" s="14" t="n"/>
      <c r="H1335" s="14" t="n"/>
      <c r="I1335" s="14" t="n"/>
      <c r="J1335" s="14" t="n"/>
      <c r="K1335" s="53" t="inlineStr"/>
      <c r="L1335" s="53" t="inlineStr">
        <is>
          <t>Не определено</t>
        </is>
      </c>
      <c r="M1335" s="53" t="inlineStr"/>
      <c r="N1335" s="54" t="inlineStr"/>
      <c r="O1335" s="55" t="inlineStr"/>
      <c r="P1335" s="16" t="inlineStr">
        <is>
          <t>Требует обогащения</t>
        </is>
      </c>
      <c r="Q1335" s="16">
        <f>HYPERLINK("https://pb.nalog.ru/search.html?query=7325000493","ФНС: проверить")</f>
        <v/>
      </c>
      <c r="R1335" s="16">
        <f>HYPERLINK("https://checko.ru/search?query=3801001629","Чекко: проверить")</f>
        <v/>
      </c>
      <c r="S1335" t="n">
        <v>1</v>
      </c>
      <c r="T1335" s="35" t="inlineStr">
        <is>
          <t>4 — Не обогащён</t>
        </is>
      </c>
      <c r="U1335" s="35" t="inlineStr">
        <is>
          <t>Нет ОКВЭД/ССЧР</t>
        </is>
      </c>
      <c r="V1335" s="35" t="inlineStr">
        <is>
          <t>Не определено</t>
        </is>
      </c>
      <c r="W1335" s="35" t="inlineStr"/>
      <c r="X1335" s="35" t="inlineStr"/>
    </row>
    <row r="1336" ht="15" customHeight="1" s="24">
      <c r="A1336" s="13" t="n">
        <v>5000001372</v>
      </c>
      <c r="B1336" s="13" t="inlineStr">
        <is>
          <t>ОГБОУ ДО "СДЮСШОР "Олимп"</t>
        </is>
      </c>
      <c r="C1336" s="13" t="n">
        <v>3803000050</v>
      </c>
      <c r="D1336" s="13" t="inlineStr">
        <is>
          <t>3803000050</t>
        </is>
      </c>
      <c r="E1336" s="13" t="inlineStr">
        <is>
          <t>ЮЛ РФ</t>
        </is>
      </c>
      <c r="F1336" s="13" t="n"/>
      <c r="G1336" s="14" t="n"/>
      <c r="H1336" s="14" t="n"/>
      <c r="I1336" s="14" t="n"/>
      <c r="J1336" s="14" t="n"/>
      <c r="K1336" s="53" t="inlineStr"/>
      <c r="L1336" s="53" t="inlineStr">
        <is>
          <t>Не определено</t>
        </is>
      </c>
      <c r="M1336" s="53" t="inlineStr"/>
      <c r="N1336" s="54" t="inlineStr"/>
      <c r="O1336" s="55" t="inlineStr"/>
      <c r="P1336" s="16" t="inlineStr">
        <is>
          <t>Требует обогащения</t>
        </is>
      </c>
      <c r="Q1336" s="16">
        <f>HYPERLINK("https://pb.nalog.ru/search.html?query=3803000050","ФНС: проверить")</f>
        <v/>
      </c>
      <c r="R1336" s="16">
        <f>HYPERLINK("https://checko.ru/search?query=3801001629","Чекко: проверить")</f>
        <v/>
      </c>
      <c r="S1336" t="n">
        <v>1</v>
      </c>
      <c r="T1336" s="35" t="inlineStr">
        <is>
          <t>4 — Не обогащён</t>
        </is>
      </c>
      <c r="U1336" s="35" t="inlineStr">
        <is>
          <t>Нет ОКВЭД/ССЧР</t>
        </is>
      </c>
      <c r="V1336" s="35" t="inlineStr">
        <is>
          <t>Не определено</t>
        </is>
      </c>
      <c r="W1336" s="35" t="inlineStr"/>
      <c r="X1336" s="35" t="inlineStr"/>
    </row>
    <row r="1337" ht="27.75" customHeight="1" s="24">
      <c r="A1337" s="13" t="n">
        <v>5000101660</v>
      </c>
      <c r="B1337" s="13" t="inlineStr">
        <is>
          <t>Государственное казенное учреждение Иркутской области "Илимское лесничество"</t>
        </is>
      </c>
      <c r="C1337" s="13" t="n">
        <v>3804119153</v>
      </c>
      <c r="D1337" s="13" t="inlineStr">
        <is>
          <t>3804119153</t>
        </is>
      </c>
      <c r="E1337" s="13" t="inlineStr">
        <is>
          <t>ЮЛ РФ</t>
        </is>
      </c>
      <c r="F1337" s="13" t="n"/>
      <c r="G1337" s="14" t="n"/>
      <c r="H1337" s="14" t="n"/>
      <c r="I1337" s="14" t="n"/>
      <c r="J1337" s="14" t="n"/>
      <c r="K1337" s="53" t="inlineStr"/>
      <c r="L1337" s="53" t="inlineStr">
        <is>
          <t>Не определено</t>
        </is>
      </c>
      <c r="M1337" s="53" t="inlineStr"/>
      <c r="N1337" s="54" t="inlineStr"/>
      <c r="O1337" s="55" t="inlineStr"/>
      <c r="P1337" s="16" t="inlineStr">
        <is>
          <t>Требует обогащения</t>
        </is>
      </c>
      <c r="Q1337" s="16">
        <f>HYPERLINK("https://pb.nalog.ru/search.html?query=3804119153","ФНС: проверить")</f>
        <v/>
      </c>
      <c r="R1337" s="16">
        <f>HYPERLINK("https://checko.ru/search?query=3801001629","Чекко: проверить")</f>
        <v/>
      </c>
      <c r="S1337" t="n">
        <v>1</v>
      </c>
      <c r="T1337" s="35" t="inlineStr">
        <is>
          <t>4 — Не обогащён</t>
        </is>
      </c>
      <c r="U1337" s="35" t="inlineStr">
        <is>
          <t>Нет ОКВЭД/ССЧР</t>
        </is>
      </c>
      <c r="V1337" s="35" t="inlineStr">
        <is>
          <t>Не определено</t>
        </is>
      </c>
      <c r="W1337" s="35" t="inlineStr"/>
      <c r="X1337" s="35" t="inlineStr"/>
    </row>
    <row r="1338" ht="15" customHeight="1" s="24">
      <c r="A1338" s="13" t="n">
        <v>5000038520</v>
      </c>
      <c r="B1338" s="13" t="inlineStr">
        <is>
          <t>ОГБУ «УСШ по биатлону»</t>
        </is>
      </c>
      <c r="C1338" s="13" t="n">
        <v>7326054886</v>
      </c>
      <c r="D1338" s="13" t="inlineStr">
        <is>
          <t>7326054886</t>
        </is>
      </c>
      <c r="E1338" s="13" t="inlineStr">
        <is>
          <t>ЮЛ РФ</t>
        </is>
      </c>
      <c r="F1338" s="13" t="n"/>
      <c r="G1338" s="14" t="n"/>
      <c r="H1338" s="14" t="n"/>
      <c r="I1338" s="14" t="n"/>
      <c r="J1338" s="14" t="n"/>
      <c r="K1338" s="53" t="inlineStr"/>
      <c r="L1338" s="53" t="inlineStr">
        <is>
          <t>Не определено</t>
        </is>
      </c>
      <c r="M1338" s="53" t="inlineStr"/>
      <c r="N1338" s="54" t="inlineStr"/>
      <c r="O1338" s="55" t="inlineStr"/>
      <c r="P1338" s="16" t="inlineStr">
        <is>
          <t>Требует обогащения</t>
        </is>
      </c>
      <c r="Q1338" s="16">
        <f>HYPERLINK("https://pb.nalog.ru/search.html?query=7326054886","ФНС: проверить")</f>
        <v/>
      </c>
      <c r="R1338" s="16">
        <f>HYPERLINK("https://checko.ru/search?query=3801001629","Чекко: проверить")</f>
        <v/>
      </c>
      <c r="S1338" t="n">
        <v>1</v>
      </c>
      <c r="T1338" s="35" t="inlineStr">
        <is>
          <t>4 — Не обогащён</t>
        </is>
      </c>
      <c r="U1338" s="35" t="inlineStr">
        <is>
          <t>Нет ОКВЭД/ССЧР</t>
        </is>
      </c>
      <c r="V1338" s="35" t="inlineStr">
        <is>
          <t>Не определено</t>
        </is>
      </c>
      <c r="W1338" s="35" t="inlineStr"/>
      <c r="X1338" s="35" t="inlineStr"/>
    </row>
    <row r="1339" ht="27.75" customHeight="1" s="24">
      <c r="A1339" s="13" t="n">
        <v>5000001901</v>
      </c>
      <c r="B1339" s="13" t="inlineStr">
        <is>
          <t>ГОУ "Иркутский гидрометеорологический техникум"</t>
        </is>
      </c>
      <c r="C1339" s="13" t="n">
        <v>3812014080</v>
      </c>
      <c r="D1339" s="13" t="inlineStr">
        <is>
          <t>3812014080</t>
        </is>
      </c>
      <c r="E1339" s="13" t="inlineStr">
        <is>
          <t>ЮЛ РФ</t>
        </is>
      </c>
      <c r="F1339" s="13" t="n"/>
      <c r="G1339" s="14" t="n"/>
      <c r="H1339" s="14" t="n"/>
      <c r="I1339" s="14" t="n"/>
      <c r="J1339" s="14" t="n"/>
      <c r="K1339" s="53" t="inlineStr"/>
      <c r="L1339" s="53" t="inlineStr">
        <is>
          <t>Не определено</t>
        </is>
      </c>
      <c r="M1339" s="53" t="inlineStr"/>
      <c r="N1339" s="54" t="inlineStr"/>
      <c r="O1339" s="55" t="inlineStr"/>
      <c r="P1339" s="16" t="inlineStr">
        <is>
          <t>Требует обогащения</t>
        </is>
      </c>
      <c r="Q1339" s="16">
        <f>HYPERLINK("https://pb.nalog.ru/search.html?query=3812014080","ФНС: проверить")</f>
        <v/>
      </c>
      <c r="R1339" s="16">
        <f>HYPERLINK("https://checko.ru/search?query=3801001629","Чекко: проверить")</f>
        <v/>
      </c>
      <c r="S1339" t="n">
        <v>1</v>
      </c>
      <c r="T1339" s="35" t="inlineStr">
        <is>
          <t>4 — Не обогащён</t>
        </is>
      </c>
      <c r="U1339" s="35" t="inlineStr">
        <is>
          <t>Нет ОКВЭД/ССЧР</t>
        </is>
      </c>
      <c r="V1339" s="35" t="inlineStr">
        <is>
          <t>Не определено</t>
        </is>
      </c>
      <c r="W1339" s="35" t="inlineStr"/>
      <c r="X1339" s="35" t="inlineStr"/>
    </row>
    <row r="1340" ht="41.25" customHeight="1" s="24">
      <c r="A1340" s="13" t="n">
        <v>5000106112</v>
      </c>
      <c r="B1340" s="13" t="inlineStr">
        <is>
          <t>ГОСУДАРСТВЕННОЕ БЮДЖЕТНОЕ УЧРЕЖДЕНИЕ "КВАРКЕНСКОЕ РАЙОННОЕ УПРАВЛЕНИЕ ВЕТЕРИНАРИИ"</t>
        </is>
      </c>
      <c r="C1340" s="13" t="n">
        <v>5630001595</v>
      </c>
      <c r="D1340" s="13" t="inlineStr">
        <is>
          <t>5630001595</t>
        </is>
      </c>
      <c r="E1340" s="13" t="inlineStr">
        <is>
          <t>ЮЛ РФ</t>
        </is>
      </c>
      <c r="F1340" s="13" t="n"/>
      <c r="G1340" s="14" t="n"/>
      <c r="H1340" s="14" t="n"/>
      <c r="I1340" s="14" t="n"/>
      <c r="J1340" s="14" t="n"/>
      <c r="K1340" s="53" t="inlineStr"/>
      <c r="L1340" s="53" t="inlineStr">
        <is>
          <t>Не определено</t>
        </is>
      </c>
      <c r="M1340" s="53" t="inlineStr"/>
      <c r="N1340" s="54" t="inlineStr"/>
      <c r="O1340" s="55" t="inlineStr"/>
      <c r="P1340" s="16" t="inlineStr">
        <is>
          <t>Требует обогащения</t>
        </is>
      </c>
      <c r="Q1340" s="16">
        <f>HYPERLINK("https://pb.nalog.ru/search.html?query=5630001595","ФНС: проверить")</f>
        <v/>
      </c>
      <c r="R1340" s="16">
        <f>HYPERLINK("https://checko.ru/search?query=3801001629","Чекко: проверить")</f>
        <v/>
      </c>
      <c r="S1340" t="n">
        <v>1</v>
      </c>
      <c r="T1340" s="35" t="inlineStr">
        <is>
          <t>4 — Не обогащён</t>
        </is>
      </c>
      <c r="U1340" s="35" t="inlineStr">
        <is>
          <t>Нет ОКВЭД/ССЧР</t>
        </is>
      </c>
      <c r="V1340" s="35" t="inlineStr">
        <is>
          <t>Не определено</t>
        </is>
      </c>
      <c r="W1340" s="35" t="inlineStr"/>
      <c r="X1340" s="35" t="inlineStr"/>
    </row>
    <row r="1341" ht="27.75" customHeight="1" s="24">
      <c r="A1341" s="13" t="n">
        <v>5000101680</v>
      </c>
      <c r="B1341" s="13" t="inlineStr">
        <is>
          <t>Государственное казенное учреждение Иркутской области "Северное лесничество"</t>
        </is>
      </c>
      <c r="C1341" s="13" t="n">
        <v>3804119185</v>
      </c>
      <c r="D1341" s="13" t="inlineStr">
        <is>
          <t>3804119185</t>
        </is>
      </c>
      <c r="E1341" s="13" t="inlineStr">
        <is>
          <t>ЮЛ РФ</t>
        </is>
      </c>
      <c r="F1341" s="13" t="n"/>
      <c r="G1341" s="14" t="n"/>
      <c r="H1341" s="14" t="n"/>
      <c r="I1341" s="14" t="n"/>
      <c r="J1341" s="14" t="n"/>
      <c r="K1341" s="53" t="inlineStr"/>
      <c r="L1341" s="53" t="inlineStr">
        <is>
          <t>Не определено</t>
        </is>
      </c>
      <c r="M1341" s="53" t="inlineStr"/>
      <c r="N1341" s="54" t="inlineStr"/>
      <c r="O1341" s="55" t="inlineStr"/>
      <c r="P1341" s="16" t="inlineStr">
        <is>
          <t>Требует обогащения</t>
        </is>
      </c>
      <c r="Q1341" s="16">
        <f>HYPERLINK("https://pb.nalog.ru/search.html?query=3804119185","ФНС: проверить")</f>
        <v/>
      </c>
      <c r="R1341" s="16">
        <f>HYPERLINK("https://checko.ru/search?query=3801001629","Чекко: проверить")</f>
        <v/>
      </c>
      <c r="S1341" t="n">
        <v>1</v>
      </c>
      <c r="T1341" s="35" t="inlineStr">
        <is>
          <t>4 — Не обогащён</t>
        </is>
      </c>
      <c r="U1341" s="35" t="inlineStr">
        <is>
          <t>Нет ОКВЭД/ССЧР</t>
        </is>
      </c>
      <c r="V1341" s="35" t="inlineStr">
        <is>
          <t>Не определено</t>
        </is>
      </c>
      <c r="W1341" s="35" t="inlineStr"/>
      <c r="X1341" s="35" t="inlineStr"/>
    </row>
    <row r="1342" ht="54.75" customHeight="1" s="24">
      <c r="A1342" s="13" t="n">
        <v>5000101699</v>
      </c>
      <c r="B1342" s="13" t="inlineStr">
        <is>
          <t>Областное государственное бюджетное учреждение «Управление социальной защиты и социального обслуживания населения по г. Зиме и Зиминскому району»</t>
        </is>
      </c>
      <c r="C1342" s="13" t="n">
        <v>3816035878</v>
      </c>
      <c r="D1342" s="13" t="inlineStr">
        <is>
          <t>3816035878</t>
        </is>
      </c>
      <c r="E1342" s="13" t="inlineStr">
        <is>
          <t>ЮЛ РФ</t>
        </is>
      </c>
      <c r="F1342" s="13" t="n"/>
      <c r="G1342" s="14" t="n"/>
      <c r="H1342" s="14" t="n"/>
      <c r="I1342" s="14" t="n"/>
      <c r="J1342" s="14" t="n"/>
      <c r="K1342" s="53" t="inlineStr"/>
      <c r="L1342" s="53" t="inlineStr">
        <is>
          <t>Не определено</t>
        </is>
      </c>
      <c r="M1342" s="53" t="inlineStr"/>
      <c r="N1342" s="54" t="inlineStr"/>
      <c r="O1342" s="55" t="inlineStr"/>
      <c r="P1342" s="16" t="inlineStr">
        <is>
          <t>Требует обогащения</t>
        </is>
      </c>
      <c r="Q1342" s="16">
        <f>HYPERLINK("https://pb.nalog.ru/search.html?query=3816035878","ФНС: проверить")</f>
        <v/>
      </c>
      <c r="R1342" s="16">
        <f>HYPERLINK("https://checko.ru/search?query=3801001629","Чекко: проверить")</f>
        <v/>
      </c>
      <c r="S1342" t="n">
        <v>1</v>
      </c>
      <c r="T1342" s="35" t="inlineStr">
        <is>
          <t>4 — Не обогащён</t>
        </is>
      </c>
      <c r="U1342" s="35" t="inlineStr">
        <is>
          <t>Нет ОКВЭД/ССЧР</t>
        </is>
      </c>
      <c r="V1342" s="35" t="inlineStr">
        <is>
          <t>Не определено</t>
        </is>
      </c>
      <c r="W1342" s="35" t="inlineStr"/>
      <c r="X1342" s="35" t="inlineStr"/>
    </row>
    <row r="1343" ht="27.75" customHeight="1" s="24">
      <c r="A1343" s="13" t="n">
        <v>5000101679</v>
      </c>
      <c r="B1343" s="13" t="inlineStr">
        <is>
          <t>Государственное казенное учреждение Иркутской области "Осинское лесничество"</t>
        </is>
      </c>
      <c r="C1343" s="13" t="n">
        <v>3849096650</v>
      </c>
      <c r="D1343" s="13" t="inlineStr">
        <is>
          <t>3849096650</t>
        </is>
      </c>
      <c r="E1343" s="13" t="inlineStr">
        <is>
          <t>ЮЛ РФ</t>
        </is>
      </c>
      <c r="F1343" s="13" t="n"/>
      <c r="G1343" s="14" t="n"/>
      <c r="H1343" s="14" t="n"/>
      <c r="I1343" s="14" t="n"/>
      <c r="J1343" s="14" t="n"/>
      <c r="K1343" s="53" t="inlineStr"/>
      <c r="L1343" s="53" t="inlineStr">
        <is>
          <t>Не определено</t>
        </is>
      </c>
      <c r="M1343" s="53" t="inlineStr"/>
      <c r="N1343" s="54" t="inlineStr"/>
      <c r="O1343" s="55" t="inlineStr"/>
      <c r="P1343" s="16" t="inlineStr">
        <is>
          <t>Требует обогащения</t>
        </is>
      </c>
      <c r="Q1343" s="16">
        <f>HYPERLINK("https://pb.nalog.ru/search.html?query=3849096650","ФНС: проверить")</f>
        <v/>
      </c>
      <c r="R1343" s="16">
        <f>HYPERLINK("https://checko.ru/search?query=3801001629","Чекко: проверить")</f>
        <v/>
      </c>
      <c r="S1343" t="n">
        <v>1</v>
      </c>
      <c r="T1343" s="35" t="inlineStr">
        <is>
          <t>4 — Не обогащён</t>
        </is>
      </c>
      <c r="U1343" s="35" t="inlineStr">
        <is>
          <t>Нет ОКВЭД/ССЧР</t>
        </is>
      </c>
      <c r="V1343" s="35" t="inlineStr">
        <is>
          <t>Не определено</t>
        </is>
      </c>
      <c r="W1343" s="35" t="inlineStr"/>
      <c r="X1343" s="35" t="inlineStr"/>
    </row>
    <row r="1344" ht="27.75" customHeight="1" s="24">
      <c r="A1344" s="13" t="n">
        <v>5000001469</v>
      </c>
      <c r="B1344" s="13" t="inlineStr">
        <is>
          <t>ОГОКУ ДО Иркутская областная Школа высшего спортивного мастерства</t>
        </is>
      </c>
      <c r="C1344" s="13" t="n">
        <v>3808057980</v>
      </c>
      <c r="D1344" s="13" t="inlineStr">
        <is>
          <t>3808057980</t>
        </is>
      </c>
      <c r="E1344" s="13" t="inlineStr">
        <is>
          <t>ЮЛ РФ</t>
        </is>
      </c>
      <c r="F1344" s="13" t="n"/>
      <c r="G1344" s="14" t="n"/>
      <c r="H1344" s="14" t="n"/>
      <c r="I1344" s="14" t="n"/>
      <c r="J1344" s="14" t="n"/>
      <c r="K1344" s="53" t="inlineStr"/>
      <c r="L1344" s="53" t="inlineStr">
        <is>
          <t>Не определено</t>
        </is>
      </c>
      <c r="M1344" s="53" t="inlineStr"/>
      <c r="N1344" s="54" t="inlineStr"/>
      <c r="O1344" s="55" t="inlineStr"/>
      <c r="P1344" s="16" t="inlineStr">
        <is>
          <t>Требует обогащения</t>
        </is>
      </c>
      <c r="Q1344" s="16">
        <f>HYPERLINK("https://pb.nalog.ru/search.html?query=3808057980","ФНС: проверить")</f>
        <v/>
      </c>
      <c r="R1344" s="16">
        <f>HYPERLINK("https://checko.ru/search?query=3801001629","Чекко: проверить")</f>
        <v/>
      </c>
      <c r="S1344" t="n">
        <v>1</v>
      </c>
      <c r="T1344" s="35" t="inlineStr">
        <is>
          <t>4 — Не обогащён</t>
        </is>
      </c>
      <c r="U1344" s="35" t="inlineStr">
        <is>
          <t>Нет ОКВЭД/ССЧР</t>
        </is>
      </c>
      <c r="V1344" s="35" t="inlineStr">
        <is>
          <t>Не определено</t>
        </is>
      </c>
      <c r="W1344" s="35" t="inlineStr"/>
      <c r="X1344" s="35" t="inlineStr"/>
    </row>
    <row r="1345" ht="27.75" customHeight="1" s="24">
      <c r="A1345" s="13" t="n">
        <v>5000001548</v>
      </c>
      <c r="B1345" s="13" t="inlineStr">
        <is>
          <t>ОГКУСО "Ново-Ленинский дом - интернат для престарелых и инвалидов"</t>
        </is>
      </c>
      <c r="C1345" s="13" t="n">
        <v>3810016741</v>
      </c>
      <c r="D1345" s="13" t="inlineStr">
        <is>
          <t>3810016741</t>
        </is>
      </c>
      <c r="E1345" s="13" t="inlineStr">
        <is>
          <t>ЮЛ РФ</t>
        </is>
      </c>
      <c r="F1345" s="13" t="n"/>
      <c r="G1345" s="14" t="n"/>
      <c r="H1345" s="14" t="n"/>
      <c r="I1345" s="14" t="n"/>
      <c r="J1345" s="14" t="n"/>
      <c r="K1345" s="53" t="inlineStr"/>
      <c r="L1345" s="53" t="inlineStr">
        <is>
          <t>Не определено</t>
        </is>
      </c>
      <c r="M1345" s="53" t="inlineStr"/>
      <c r="N1345" s="54" t="inlineStr"/>
      <c r="O1345" s="55" t="inlineStr"/>
      <c r="P1345" s="16" t="inlineStr">
        <is>
          <t>Требует обогащения</t>
        </is>
      </c>
      <c r="Q1345" s="16">
        <f>HYPERLINK("https://pb.nalog.ru/search.html?query=3810016741","ФНС: проверить")</f>
        <v/>
      </c>
      <c r="R1345" s="16">
        <f>HYPERLINK("https://checko.ru/search?query=3801001629","Чекко: проверить")</f>
        <v/>
      </c>
      <c r="S1345" t="n">
        <v>1</v>
      </c>
      <c r="T1345" s="35" t="inlineStr">
        <is>
          <t>4 — Не обогащён</t>
        </is>
      </c>
      <c r="U1345" s="35" t="inlineStr">
        <is>
          <t>Нет ОКВЭД/ССЧР</t>
        </is>
      </c>
      <c r="V1345" s="35" t="inlineStr">
        <is>
          <t>Не определено</t>
        </is>
      </c>
      <c r="W1345" s="35" t="inlineStr"/>
      <c r="X1345" s="35" t="inlineStr"/>
    </row>
    <row r="1346" ht="15" customHeight="1" s="24">
      <c r="A1346" s="13" t="n">
        <v>5000094662</v>
      </c>
      <c r="B1346" s="13" t="inlineStr">
        <is>
          <t>МКОУ «СОШ с.п. Инаркой»</t>
        </is>
      </c>
      <c r="C1346" s="13" t="n">
        <v>705006107</v>
      </c>
      <c r="D1346" s="13" t="n"/>
      <c r="E1346" s="13" t="inlineStr">
        <is>
          <t>Не определён</t>
        </is>
      </c>
      <c r="F1346" s="13" t="inlineStr">
        <is>
          <t>705006107</t>
        </is>
      </c>
      <c r="G1346" s="14" t="n"/>
      <c r="H1346" s="14" t="n"/>
      <c r="I1346" s="14" t="n"/>
      <c r="J1346" s="14" t="n"/>
      <c r="K1346" s="13">
        <f>IF(G1346="","",IF(G1346&gt;=22,"Да","Нет"))</f>
        <v/>
      </c>
      <c r="L1346" s="13">
        <f>IF(OR(I1346="",J1346=""),"Не определено",IF(OR(COUNTIF(I1346,"45*")&gt;0,COUNTIF(J1346,"*45*")&gt;0,COUNTIF(I1346,"46*")&gt;0,COUNTIF(J1346,"*46*")&gt;0,COUNTIF(I1346,"47*")&gt;0,COUNTIF(J1346,"*47*")&gt;0,COUNTIF(I1346,"10*")&gt;0,COUNTIF(J1346,"*10*")&gt;0,COUNTIF(I1346,"11*")&gt;0,COUNTIF(J1346,"*11*")&gt;0,COUNTIF(I1346,"12*")&gt;0,COUNTIF(J1346,"*12*")&gt;0,COUNTIF(I1346,"13*")&gt;0,COUNTIF(J1346,"*13*")&gt;0,COUNTIF(I1346,"14*")&gt;0,COUNTIF(J1346,"*14*")&gt;0,COUNTIF(I1346,"15*")&gt;0,COUNTIF(J1346,"*15*")&gt;0,COUNTIF(I1346,"16*")&gt;0,COUNTIF(J1346,"*16*")&gt;0,COUNTIF(I1346,"17*")&gt;0,COUNTIF(J1346,"*17*")&gt;0,COUNTIF(I1346,"18*")&gt;0,COUNTIF(J1346,"*18*")&gt;0,COUNTIF(I1346,"19*")&gt;0,COUNTIF(J1346,"*19*")&gt;0,COUNTIF(I1346,"20*")&gt;0,COUNTIF(J1346,"*20*")&gt;0,COUNTIF(I1346,"21*")&gt;0,COUNTIF(J1346,"*21*")&gt;0,COUNTIF(I1346,"22*")&gt;0,COUNTIF(J1346,"*22*")&gt;0,COUNTIF(I1346,"23*")&gt;0,COUNTIF(J1346,"*23*")&gt;0,COUNTIF(I1346,"24*")&gt;0,COUNTIF(J1346,"*24*")&gt;0,COUNTIF(I1346,"25*")&gt;0,COUNTIF(J1346,"*25*")&gt;0,COUNTIF(I1346,"26*")&gt;0,COUNTIF(J1346,"*26*")&gt;0,COUNTIF(I1346,"27*")&gt;0,COUNTIF(J1346,"*27*")&gt;0,COUNTIF(I1346,"28*")&gt;0,COUNTIF(J1346,"*28*")&gt;0,COUNTIF(I1346,"29*")&gt;0,COUNTIF(J1346,"*29*")&gt;0,COUNTIF(I1346,"30*")&gt;0,COUNTIF(J1346,"*30*")&gt;0,COUNTIF(I1346,"31*")&gt;0,COUNTIF(J1346,"*31*")&gt;0,COUNTIF(I1346,"32*")&gt;0,COUNTIF(J1346,"*32*")&gt;0,COUNTIF(I1346,"33*")&gt;0,COUNTIF(J1346,"*33*")&gt;0,COUNTIF(I1346,"41*")&gt;0,COUNTIF(J1346,"*41*")&gt;0,COUNTIF(I1346,"42*")&gt;0,COUNTIF(J1346,"*42*")&gt;0,COUNTIF(I1346,"43*")&gt;0,COUNTIF(J1346,"*43*")&gt;0,COUNTIF(I1346,"49*")&gt;0,COUNTIF(J1346,"*49*")&gt;0,COUNTIF(I1346,"52*")&gt;0,COUNTIF(J1346,"*52*")&gt;0,COUNTIF(I1346,"55*")&gt;0,COUNTIF(J1346,"*55*")&gt;0,COUNTIF(I1346,"56*")&gt;0,COUNTIF(J1346,"*56*")&gt;0,COUNTIF(I1346,"68*")&gt;0,COUNTIF(J1346,"*68*")&gt;0,COUNTIF(I1346,"78*")&gt;0,COUNTIF(J1346,"*78*")&gt;0,COUNTIF(I1346,"81*")&gt;0,COUNTIF(J1346,"*81*")&gt;0,COUNTIF(I1346,"82*")&gt;0,COUNTIF(J1346,"*82*")&gt;0,COUNTIF(I1346,"64*")&gt;0,COUNTIF(J1346,"*64*")&gt;0,COUNTIF(I1346,"65*")&gt;0,COUNTIF(J1346,"*65*")&gt;0,COUNTIF(I1346,"66*")&gt;0,COUNTIF(J1346,"*66*")&gt;0,COUNTIF(I1346,"61*")&gt;0,COUNTIF(J1346,"*61*")&gt;0,COUNTIF(I1346,"62*")&gt;0,COUNTIF(J1346,"*62*")&gt;0,COUNTIF(I1346,"63*")&gt;0,COUNTIF(J1346,"*63*")&gt;0,COUNTIF(I1346,"85*")&gt;0,COUNTIF(J1346,"*85*")&gt;0,COUNTIF(I1346,"86*")&gt;0,COUNTIF(J1346,"*86*")&gt;0),"Да","Нет"))</f>
        <v/>
      </c>
      <c r="M1346" s="13">
        <f>IF(OR(G1346="",L1346&lt;&gt;"Да"),"",IF(G1346&lt;=100,"До 100",IF(G1346&lt;=200,"До 200",IF(G1346&lt;=500,"До 500","Отдельное КП"))))</f>
        <v/>
      </c>
      <c r="N1346" s="15">
        <f>IF(OR(G1346="",L1346&lt;&gt;"Да"),"",IF(G1346&lt;=100,33600,IF(G1346&lt;=200,62400,IF(G1346&lt;=500,144000,""))))</f>
        <v/>
      </c>
      <c r="O1346" s="16">
        <f>IF(G1346="","",IF(G1346&lt;=15,"1–15",IF(G1346&lt;=30,"16–30",IF(G1346&lt;=50,"31–50",IF(G1346&lt;=100,"51–100",IF(G1346&lt;=150,"101–150",IF(G1346&lt;=200,"151–200",IF(G1346&lt;=500,"201–500","500+"))))))))</f>
        <v/>
      </c>
      <c r="P1346" s="16" t="inlineStr">
        <is>
          <t>Нет совпадения в предоставленной выгрузке ССЧР</t>
        </is>
      </c>
      <c r="Q1346" s="16" t="n"/>
      <c r="R1346" s="16">
        <f>HYPERLINK("https://checko.ru/search?query=3801001629","Чекко: проверить")</f>
        <v/>
      </c>
      <c r="S1346" t="n">
        <v>0</v>
      </c>
    </row>
    <row r="1347" ht="27.75" customHeight="1" s="24">
      <c r="A1347" s="13" t="n">
        <v>5000095102</v>
      </c>
      <c r="B1347" s="13" t="inlineStr">
        <is>
          <t>МКОУ «Средняя общеобразовательная школа с..Красносельского»</t>
        </is>
      </c>
      <c r="C1347" s="13" t="n">
        <v>716001140</v>
      </c>
      <c r="D1347" s="13" t="n"/>
      <c r="E1347" s="13" t="inlineStr">
        <is>
          <t>Не определён</t>
        </is>
      </c>
      <c r="F1347" s="13" t="inlineStr">
        <is>
          <t>716001140</t>
        </is>
      </c>
      <c r="G1347" s="14" t="n"/>
      <c r="H1347" s="14" t="n"/>
      <c r="I1347" s="14" t="n"/>
      <c r="J1347" s="14" t="n"/>
      <c r="K1347" s="13">
        <f>IF(G1347="","",IF(G1347&gt;=22,"Да","Нет"))</f>
        <v/>
      </c>
      <c r="L1347" s="13">
        <f>IF(OR(I1347="",J1347=""),"Не определено",IF(OR(COUNTIF(I1347,"45*")&gt;0,COUNTIF(J1347,"*45*")&gt;0,COUNTIF(I1347,"46*")&gt;0,COUNTIF(J1347,"*46*")&gt;0,COUNTIF(I1347,"47*")&gt;0,COUNTIF(J1347,"*47*")&gt;0,COUNTIF(I1347,"10*")&gt;0,COUNTIF(J1347,"*10*")&gt;0,COUNTIF(I1347,"11*")&gt;0,COUNTIF(J1347,"*11*")&gt;0,COUNTIF(I1347,"12*")&gt;0,COUNTIF(J1347,"*12*")&gt;0,COUNTIF(I1347,"13*")&gt;0,COUNTIF(J1347,"*13*")&gt;0,COUNTIF(I1347,"14*")&gt;0,COUNTIF(J1347,"*14*")&gt;0,COUNTIF(I1347,"15*")&gt;0,COUNTIF(J1347,"*15*")&gt;0,COUNTIF(I1347,"16*")&gt;0,COUNTIF(J1347,"*16*")&gt;0,COUNTIF(I1347,"17*")&gt;0,COUNTIF(J1347,"*17*")&gt;0,COUNTIF(I1347,"18*")&gt;0,COUNTIF(J1347,"*18*")&gt;0,COUNTIF(I1347,"19*")&gt;0,COUNTIF(J1347,"*19*")&gt;0,COUNTIF(I1347,"20*")&gt;0,COUNTIF(J1347,"*20*")&gt;0,COUNTIF(I1347,"21*")&gt;0,COUNTIF(J1347,"*21*")&gt;0,COUNTIF(I1347,"22*")&gt;0,COUNTIF(J1347,"*22*")&gt;0,COUNTIF(I1347,"23*")&gt;0,COUNTIF(J1347,"*23*")&gt;0,COUNTIF(I1347,"24*")&gt;0,COUNTIF(J1347,"*24*")&gt;0,COUNTIF(I1347,"25*")&gt;0,COUNTIF(J1347,"*25*")&gt;0,COUNTIF(I1347,"26*")&gt;0,COUNTIF(J1347,"*26*")&gt;0,COUNTIF(I1347,"27*")&gt;0,COUNTIF(J1347,"*27*")&gt;0,COUNTIF(I1347,"28*")&gt;0,COUNTIF(J1347,"*28*")&gt;0,COUNTIF(I1347,"29*")&gt;0,COUNTIF(J1347,"*29*")&gt;0,COUNTIF(I1347,"30*")&gt;0,COUNTIF(J1347,"*30*")&gt;0,COUNTIF(I1347,"31*")&gt;0,COUNTIF(J1347,"*31*")&gt;0,COUNTIF(I1347,"32*")&gt;0,COUNTIF(J1347,"*32*")&gt;0,COUNTIF(I1347,"33*")&gt;0,COUNTIF(J1347,"*33*")&gt;0,COUNTIF(I1347,"41*")&gt;0,COUNTIF(J1347,"*41*")&gt;0,COUNTIF(I1347,"42*")&gt;0,COUNTIF(J1347,"*42*")&gt;0,COUNTIF(I1347,"43*")&gt;0,COUNTIF(J1347,"*43*")&gt;0,COUNTIF(I1347,"49*")&gt;0,COUNTIF(J1347,"*49*")&gt;0,COUNTIF(I1347,"52*")&gt;0,COUNTIF(J1347,"*52*")&gt;0,COUNTIF(I1347,"55*")&gt;0,COUNTIF(J1347,"*55*")&gt;0,COUNTIF(I1347,"56*")&gt;0,COUNTIF(J1347,"*56*")&gt;0,COUNTIF(I1347,"68*")&gt;0,COUNTIF(J1347,"*68*")&gt;0,COUNTIF(I1347,"78*")&gt;0,COUNTIF(J1347,"*78*")&gt;0,COUNTIF(I1347,"81*")&gt;0,COUNTIF(J1347,"*81*")&gt;0,COUNTIF(I1347,"82*")&gt;0,COUNTIF(J1347,"*82*")&gt;0,COUNTIF(I1347,"64*")&gt;0,COUNTIF(J1347,"*64*")&gt;0,COUNTIF(I1347,"65*")&gt;0,COUNTIF(J1347,"*65*")&gt;0,COUNTIF(I1347,"66*")&gt;0,COUNTIF(J1347,"*66*")&gt;0,COUNTIF(I1347,"61*")&gt;0,COUNTIF(J1347,"*61*")&gt;0,COUNTIF(I1347,"62*")&gt;0,COUNTIF(J1347,"*62*")&gt;0,COUNTIF(I1347,"63*")&gt;0,COUNTIF(J1347,"*63*")&gt;0,COUNTIF(I1347,"85*")&gt;0,COUNTIF(J1347,"*85*")&gt;0,COUNTIF(I1347,"86*")&gt;0,COUNTIF(J1347,"*86*")&gt;0),"Да","Нет"))</f>
        <v/>
      </c>
      <c r="M1347" s="13">
        <f>IF(OR(G1347="",L1347&lt;&gt;"Да"),"",IF(G1347&lt;=100,"До 100",IF(G1347&lt;=200,"До 200",IF(G1347&lt;=500,"До 500","Отдельное КП"))))</f>
        <v/>
      </c>
      <c r="N1347" s="15">
        <f>IF(OR(G1347="",L1347&lt;&gt;"Да"),"",IF(G1347&lt;=100,33600,IF(G1347&lt;=200,62400,IF(G1347&lt;=500,144000,""))))</f>
        <v/>
      </c>
      <c r="O1347" s="16">
        <f>IF(G1347="","",IF(G1347&lt;=15,"1–15",IF(G1347&lt;=30,"16–30",IF(G1347&lt;=50,"31–50",IF(G1347&lt;=100,"51–100",IF(G1347&lt;=150,"101–150",IF(G1347&lt;=200,"151–200",IF(G1347&lt;=500,"201–500","500+"))))))))</f>
        <v/>
      </c>
      <c r="P1347" s="16" t="inlineStr">
        <is>
          <t>Нет совпадения в предоставленной выгрузке ССЧР</t>
        </is>
      </c>
      <c r="Q1347" s="16" t="n"/>
      <c r="R1347" s="16">
        <f>HYPERLINK("https://checko.ru/search?query=3801001629","Чекко: проверить")</f>
        <v/>
      </c>
      <c r="S1347" t="n">
        <v>0</v>
      </c>
    </row>
    <row r="1348" ht="27.75" customHeight="1" s="24">
      <c r="A1348" s="13" t="n">
        <v>5000095100</v>
      </c>
      <c r="B1348" s="13" t="inlineStr">
        <is>
          <t>МКОУ «Средняя общеобразовательная школа с.Прималкинского"</t>
        </is>
      </c>
      <c r="C1348" s="13" t="n">
        <v>716001125</v>
      </c>
      <c r="D1348" s="13" t="n"/>
      <c r="E1348" s="13" t="inlineStr">
        <is>
          <t>Не определён</t>
        </is>
      </c>
      <c r="F1348" s="13" t="inlineStr">
        <is>
          <t>716001125</t>
        </is>
      </c>
      <c r="G1348" s="14" t="n"/>
      <c r="H1348" s="14" t="n"/>
      <c r="I1348" s="14" t="n"/>
      <c r="J1348" s="14" t="n"/>
      <c r="K1348" s="13">
        <f>IF(G1348="","",IF(G1348&gt;=22,"Да","Нет"))</f>
        <v/>
      </c>
      <c r="L1348" s="13">
        <f>IF(OR(I1348="",J1348=""),"Не определено",IF(OR(COUNTIF(I1348,"45*")&gt;0,COUNTIF(J1348,"*45*")&gt;0,COUNTIF(I1348,"46*")&gt;0,COUNTIF(J1348,"*46*")&gt;0,COUNTIF(I1348,"47*")&gt;0,COUNTIF(J1348,"*47*")&gt;0,COUNTIF(I1348,"10*")&gt;0,COUNTIF(J1348,"*10*")&gt;0,COUNTIF(I1348,"11*")&gt;0,COUNTIF(J1348,"*11*")&gt;0,COUNTIF(I1348,"12*")&gt;0,COUNTIF(J1348,"*12*")&gt;0,COUNTIF(I1348,"13*")&gt;0,COUNTIF(J1348,"*13*")&gt;0,COUNTIF(I1348,"14*")&gt;0,COUNTIF(J1348,"*14*")&gt;0,COUNTIF(I1348,"15*")&gt;0,COUNTIF(J1348,"*15*")&gt;0,COUNTIF(I1348,"16*")&gt;0,COUNTIF(J1348,"*16*")&gt;0,COUNTIF(I1348,"17*")&gt;0,COUNTIF(J1348,"*17*")&gt;0,COUNTIF(I1348,"18*")&gt;0,COUNTIF(J1348,"*18*")&gt;0,COUNTIF(I1348,"19*")&gt;0,COUNTIF(J1348,"*19*")&gt;0,COUNTIF(I1348,"20*")&gt;0,COUNTIF(J1348,"*20*")&gt;0,COUNTIF(I1348,"21*")&gt;0,COUNTIF(J1348,"*21*")&gt;0,COUNTIF(I1348,"22*")&gt;0,COUNTIF(J1348,"*22*")&gt;0,COUNTIF(I1348,"23*")&gt;0,COUNTIF(J1348,"*23*")&gt;0,COUNTIF(I1348,"24*")&gt;0,COUNTIF(J1348,"*24*")&gt;0,COUNTIF(I1348,"25*")&gt;0,COUNTIF(J1348,"*25*")&gt;0,COUNTIF(I1348,"26*")&gt;0,COUNTIF(J1348,"*26*")&gt;0,COUNTIF(I1348,"27*")&gt;0,COUNTIF(J1348,"*27*")&gt;0,COUNTIF(I1348,"28*")&gt;0,COUNTIF(J1348,"*28*")&gt;0,COUNTIF(I1348,"29*")&gt;0,COUNTIF(J1348,"*29*")&gt;0,COUNTIF(I1348,"30*")&gt;0,COUNTIF(J1348,"*30*")&gt;0,COUNTIF(I1348,"31*")&gt;0,COUNTIF(J1348,"*31*")&gt;0,COUNTIF(I1348,"32*")&gt;0,COUNTIF(J1348,"*32*")&gt;0,COUNTIF(I1348,"33*")&gt;0,COUNTIF(J1348,"*33*")&gt;0,COUNTIF(I1348,"41*")&gt;0,COUNTIF(J1348,"*41*")&gt;0,COUNTIF(I1348,"42*")&gt;0,COUNTIF(J1348,"*42*")&gt;0,COUNTIF(I1348,"43*")&gt;0,COUNTIF(J1348,"*43*")&gt;0,COUNTIF(I1348,"49*")&gt;0,COUNTIF(J1348,"*49*")&gt;0,COUNTIF(I1348,"52*")&gt;0,COUNTIF(J1348,"*52*")&gt;0,COUNTIF(I1348,"55*")&gt;0,COUNTIF(J1348,"*55*")&gt;0,COUNTIF(I1348,"56*")&gt;0,COUNTIF(J1348,"*56*")&gt;0,COUNTIF(I1348,"68*")&gt;0,COUNTIF(J1348,"*68*")&gt;0,COUNTIF(I1348,"78*")&gt;0,COUNTIF(J1348,"*78*")&gt;0,COUNTIF(I1348,"81*")&gt;0,COUNTIF(J1348,"*81*")&gt;0,COUNTIF(I1348,"82*")&gt;0,COUNTIF(J1348,"*82*")&gt;0,COUNTIF(I1348,"64*")&gt;0,COUNTIF(J1348,"*64*")&gt;0,COUNTIF(I1348,"65*")&gt;0,COUNTIF(J1348,"*65*")&gt;0,COUNTIF(I1348,"66*")&gt;0,COUNTIF(J1348,"*66*")&gt;0,COUNTIF(I1348,"61*")&gt;0,COUNTIF(J1348,"*61*")&gt;0,COUNTIF(I1348,"62*")&gt;0,COUNTIF(J1348,"*62*")&gt;0,COUNTIF(I1348,"63*")&gt;0,COUNTIF(J1348,"*63*")&gt;0,COUNTIF(I1348,"85*")&gt;0,COUNTIF(J1348,"*85*")&gt;0,COUNTIF(I1348,"86*")&gt;0,COUNTIF(J1348,"*86*")&gt;0),"Да","Нет"))</f>
        <v/>
      </c>
      <c r="M1348" s="13">
        <f>IF(OR(G1348="",L1348&lt;&gt;"Да"),"",IF(G1348&lt;=100,"До 100",IF(G1348&lt;=200,"До 200",IF(G1348&lt;=500,"До 500","Отдельное КП"))))</f>
        <v/>
      </c>
      <c r="N1348" s="15">
        <f>IF(OR(G1348="",L1348&lt;&gt;"Да"),"",IF(G1348&lt;=100,33600,IF(G1348&lt;=200,62400,IF(G1348&lt;=500,144000,""))))</f>
        <v/>
      </c>
      <c r="O1348" s="16">
        <f>IF(G1348="","",IF(G1348&lt;=15,"1–15",IF(G1348&lt;=30,"16–30",IF(G1348&lt;=50,"31–50",IF(G1348&lt;=100,"51–100",IF(G1348&lt;=150,"101–150",IF(G1348&lt;=200,"151–200",IF(G1348&lt;=500,"201–500","500+"))))))))</f>
        <v/>
      </c>
      <c r="P1348" s="16" t="inlineStr">
        <is>
          <t>Нет совпадения в предоставленной выгрузке ССЧР</t>
        </is>
      </c>
      <c r="Q1348" s="16" t="n"/>
      <c r="R1348" s="16">
        <f>HYPERLINK("https://checko.ru/search?query=3801001629","Чекко: проверить")</f>
        <v/>
      </c>
      <c r="S1348" t="n">
        <v>0</v>
      </c>
    </row>
    <row r="1349" ht="27.75" customHeight="1" s="24">
      <c r="A1349" s="13" t="n">
        <v>5000095110</v>
      </c>
      <c r="B1349" s="13" t="inlineStr">
        <is>
          <t>МКОУ «Средняя  общеобразовательная школа ст. Екатериноградской"</t>
        </is>
      </c>
      <c r="C1349" s="13" t="n">
        <v>716001220</v>
      </c>
      <c r="D1349" s="13" t="n"/>
      <c r="E1349" s="13" t="inlineStr">
        <is>
          <t>Не определён</t>
        </is>
      </c>
      <c r="F1349" s="13" t="inlineStr">
        <is>
          <t>716001220</t>
        </is>
      </c>
      <c r="G1349" s="14" t="n"/>
      <c r="H1349" s="14" t="n"/>
      <c r="I1349" s="14" t="n"/>
      <c r="J1349" s="14" t="n"/>
      <c r="K1349" s="13">
        <f>IF(G1349="","",IF(G1349&gt;=22,"Да","Нет"))</f>
        <v/>
      </c>
      <c r="L1349" s="13">
        <f>IF(OR(I1349="",J1349=""),"Не определено",IF(OR(COUNTIF(I1349,"45*")&gt;0,COUNTIF(J1349,"*45*")&gt;0,COUNTIF(I1349,"46*")&gt;0,COUNTIF(J1349,"*46*")&gt;0,COUNTIF(I1349,"47*")&gt;0,COUNTIF(J1349,"*47*")&gt;0,COUNTIF(I1349,"10*")&gt;0,COUNTIF(J1349,"*10*")&gt;0,COUNTIF(I1349,"11*")&gt;0,COUNTIF(J1349,"*11*")&gt;0,COUNTIF(I1349,"12*")&gt;0,COUNTIF(J1349,"*12*")&gt;0,COUNTIF(I1349,"13*")&gt;0,COUNTIF(J1349,"*13*")&gt;0,COUNTIF(I1349,"14*")&gt;0,COUNTIF(J1349,"*14*")&gt;0,COUNTIF(I1349,"15*")&gt;0,COUNTIF(J1349,"*15*")&gt;0,COUNTIF(I1349,"16*")&gt;0,COUNTIF(J1349,"*16*")&gt;0,COUNTIF(I1349,"17*")&gt;0,COUNTIF(J1349,"*17*")&gt;0,COUNTIF(I1349,"18*")&gt;0,COUNTIF(J1349,"*18*")&gt;0,COUNTIF(I1349,"19*")&gt;0,COUNTIF(J1349,"*19*")&gt;0,COUNTIF(I1349,"20*")&gt;0,COUNTIF(J1349,"*20*")&gt;0,COUNTIF(I1349,"21*")&gt;0,COUNTIF(J1349,"*21*")&gt;0,COUNTIF(I1349,"22*")&gt;0,COUNTIF(J1349,"*22*")&gt;0,COUNTIF(I1349,"23*")&gt;0,COUNTIF(J1349,"*23*")&gt;0,COUNTIF(I1349,"24*")&gt;0,COUNTIF(J1349,"*24*")&gt;0,COUNTIF(I1349,"25*")&gt;0,COUNTIF(J1349,"*25*")&gt;0,COUNTIF(I1349,"26*")&gt;0,COUNTIF(J1349,"*26*")&gt;0,COUNTIF(I1349,"27*")&gt;0,COUNTIF(J1349,"*27*")&gt;0,COUNTIF(I1349,"28*")&gt;0,COUNTIF(J1349,"*28*")&gt;0,COUNTIF(I1349,"29*")&gt;0,COUNTIF(J1349,"*29*")&gt;0,COUNTIF(I1349,"30*")&gt;0,COUNTIF(J1349,"*30*")&gt;0,COUNTIF(I1349,"31*")&gt;0,COUNTIF(J1349,"*31*")&gt;0,COUNTIF(I1349,"32*")&gt;0,COUNTIF(J1349,"*32*")&gt;0,COUNTIF(I1349,"33*")&gt;0,COUNTIF(J1349,"*33*")&gt;0,COUNTIF(I1349,"41*")&gt;0,COUNTIF(J1349,"*41*")&gt;0,COUNTIF(I1349,"42*")&gt;0,COUNTIF(J1349,"*42*")&gt;0,COUNTIF(I1349,"43*")&gt;0,COUNTIF(J1349,"*43*")&gt;0,COUNTIF(I1349,"49*")&gt;0,COUNTIF(J1349,"*49*")&gt;0,COUNTIF(I1349,"52*")&gt;0,COUNTIF(J1349,"*52*")&gt;0,COUNTIF(I1349,"55*")&gt;0,COUNTIF(J1349,"*55*")&gt;0,COUNTIF(I1349,"56*")&gt;0,COUNTIF(J1349,"*56*")&gt;0,COUNTIF(I1349,"68*")&gt;0,COUNTIF(J1349,"*68*")&gt;0,COUNTIF(I1349,"78*")&gt;0,COUNTIF(J1349,"*78*")&gt;0,COUNTIF(I1349,"81*")&gt;0,COUNTIF(J1349,"*81*")&gt;0,COUNTIF(I1349,"82*")&gt;0,COUNTIF(J1349,"*82*")&gt;0,COUNTIF(I1349,"64*")&gt;0,COUNTIF(J1349,"*64*")&gt;0,COUNTIF(I1349,"65*")&gt;0,COUNTIF(J1349,"*65*")&gt;0,COUNTIF(I1349,"66*")&gt;0,COUNTIF(J1349,"*66*")&gt;0,COUNTIF(I1349,"61*")&gt;0,COUNTIF(J1349,"*61*")&gt;0,COUNTIF(I1349,"62*")&gt;0,COUNTIF(J1349,"*62*")&gt;0,COUNTIF(I1349,"63*")&gt;0,COUNTIF(J1349,"*63*")&gt;0,COUNTIF(I1349,"85*")&gt;0,COUNTIF(J1349,"*85*")&gt;0,COUNTIF(I1349,"86*")&gt;0,COUNTIF(J1349,"*86*")&gt;0),"Да","Нет"))</f>
        <v/>
      </c>
      <c r="M1349" s="13">
        <f>IF(OR(G1349="",L1349&lt;&gt;"Да"),"",IF(G1349&lt;=100,"До 100",IF(G1349&lt;=200,"До 200",IF(G1349&lt;=500,"До 500","Отдельное КП"))))</f>
        <v/>
      </c>
      <c r="N1349" s="15">
        <f>IF(OR(G1349="",L1349&lt;&gt;"Да"),"",IF(G1349&lt;=100,33600,IF(G1349&lt;=200,62400,IF(G1349&lt;=500,144000,""))))</f>
        <v/>
      </c>
      <c r="O1349" s="16">
        <f>IF(G1349="","",IF(G1349&lt;=15,"1–15",IF(G1349&lt;=30,"16–30",IF(G1349&lt;=50,"31–50",IF(G1349&lt;=100,"51–100",IF(G1349&lt;=150,"101–150",IF(G1349&lt;=200,"151–200",IF(G1349&lt;=500,"201–500","500+"))))))))</f>
        <v/>
      </c>
      <c r="P1349" s="16" t="inlineStr">
        <is>
          <t>Нет совпадения в предоставленной выгрузке ССЧР</t>
        </is>
      </c>
      <c r="Q1349" s="16" t="n"/>
      <c r="R1349" s="16">
        <f>HYPERLINK("https://checko.ru/search?query=3801001629","Чекко: проверить")</f>
        <v/>
      </c>
      <c r="S1349" t="n">
        <v>0</v>
      </c>
    </row>
    <row r="1350" ht="41.25" customHeight="1" s="24">
      <c r="A1350" s="13" t="n">
        <v>5000106109</v>
      </c>
      <c r="B1350" s="13" t="inlineStr">
        <is>
          <t>ГОСУДАРСТВЕННОЕ БЮДЖЕТНОЕ УЧРЕЖДЕНИЕ "СОЛЬ-ИЛЕЦКОЕ ГОРОДСКОЕ УПРАВЛЕНИЕ ВЕТЕРИНАРИИ"</t>
        </is>
      </c>
      <c r="C1350" s="13" t="n">
        <v>5646001054</v>
      </c>
      <c r="D1350" s="13" t="inlineStr">
        <is>
          <t>5646001054</t>
        </is>
      </c>
      <c r="E1350" s="13" t="inlineStr">
        <is>
          <t>ЮЛ РФ</t>
        </is>
      </c>
      <c r="F1350" s="13" t="n"/>
      <c r="G1350" s="14" t="n"/>
      <c r="H1350" s="14" t="n"/>
      <c r="I1350" s="14" t="n"/>
      <c r="J1350" s="14" t="n"/>
      <c r="K1350" s="53" t="inlineStr"/>
      <c r="L1350" s="53" t="inlineStr">
        <is>
          <t>Не определено</t>
        </is>
      </c>
      <c r="M1350" s="53" t="inlineStr"/>
      <c r="N1350" s="54" t="inlineStr"/>
      <c r="O1350" s="55" t="inlineStr"/>
      <c r="P1350" s="16" t="inlineStr">
        <is>
          <t>Требует обогащения</t>
        </is>
      </c>
      <c r="Q1350" s="16">
        <f>HYPERLINK("https://pb.nalog.ru/search.html?query=5646001054","ФНС: проверить")</f>
        <v/>
      </c>
      <c r="R1350" s="16">
        <f>HYPERLINK("https://checko.ru/search?query=3801001629","Чекко: проверить")</f>
        <v/>
      </c>
      <c r="S1350" t="n">
        <v>1</v>
      </c>
      <c r="T1350" s="35" t="inlineStr">
        <is>
          <t>4 — Не обогащён</t>
        </is>
      </c>
      <c r="U1350" s="35" t="inlineStr">
        <is>
          <t>Нет ОКВЭД/ССЧР</t>
        </is>
      </c>
      <c r="V1350" s="35" t="inlineStr">
        <is>
          <t>Не определено</t>
        </is>
      </c>
      <c r="W1350" s="35" t="inlineStr"/>
      <c r="X1350" s="35" t="inlineStr"/>
    </row>
    <row r="1351" ht="27.75" customHeight="1" s="24">
      <c r="A1351" s="13" t="n">
        <v>5000001488</v>
      </c>
      <c r="B1351" s="13" t="inlineStr">
        <is>
          <t>ИОГБУ "Центр культуры коренных  народов Прибайкалья"</t>
        </is>
      </c>
      <c r="C1351" s="13" t="n">
        <v>3808139746</v>
      </c>
      <c r="D1351" s="13" t="inlineStr">
        <is>
          <t>3808139746</t>
        </is>
      </c>
      <c r="E1351" s="13" t="inlineStr">
        <is>
          <t>ЮЛ РФ</t>
        </is>
      </c>
      <c r="F1351" s="13" t="n"/>
      <c r="G1351" s="14" t="n"/>
      <c r="H1351" s="14" t="n"/>
      <c r="I1351" s="14" t="n"/>
      <c r="J1351" s="14" t="n"/>
      <c r="K1351" s="53" t="inlineStr"/>
      <c r="L1351" s="53" t="inlineStr">
        <is>
          <t>Не определено</t>
        </is>
      </c>
      <c r="M1351" s="53" t="inlineStr"/>
      <c r="N1351" s="54" t="inlineStr"/>
      <c r="O1351" s="55" t="inlineStr"/>
      <c r="P1351" s="16" t="inlineStr">
        <is>
          <t>Требует обогащения</t>
        </is>
      </c>
      <c r="Q1351" s="16">
        <f>HYPERLINK("https://pb.nalog.ru/search.html?query=3808139746","ФНС: проверить")</f>
        <v/>
      </c>
      <c r="R1351" s="16">
        <f>HYPERLINK("https://checko.ru/search?query=3801001629","Чекко: проверить")</f>
        <v/>
      </c>
      <c r="S1351" t="n">
        <v>1</v>
      </c>
      <c r="T1351" s="35" t="inlineStr">
        <is>
          <t>4 — Не обогащён</t>
        </is>
      </c>
      <c r="U1351" s="35" t="inlineStr">
        <is>
          <t>Нет ОКВЭД/ССЧР</t>
        </is>
      </c>
      <c r="V1351" s="35" t="inlineStr">
        <is>
          <t>Не определено</t>
        </is>
      </c>
      <c r="W1351" s="35" t="inlineStr"/>
      <c r="X1351" s="35" t="inlineStr"/>
    </row>
    <row r="1352" ht="41.25" customHeight="1" s="24">
      <c r="A1352" s="13" t="n">
        <v>5000116678</v>
      </c>
      <c r="B1352" s="13" t="inlineStr">
        <is>
          <t>Комитет по управлению муниципальным имуществом Администрации Одинцовского района</t>
        </is>
      </c>
      <c r="C1352" s="13" t="n">
        <v>5032004166</v>
      </c>
      <c r="D1352" s="13" t="inlineStr">
        <is>
          <t>5032004166</t>
        </is>
      </c>
      <c r="E1352" s="13" t="inlineStr">
        <is>
          <t>ЮЛ РФ</t>
        </is>
      </c>
      <c r="F1352" s="13" t="n"/>
      <c r="G1352" s="14" t="n"/>
      <c r="H1352" s="14" t="n"/>
      <c r="I1352" s="14" t="n"/>
      <c r="J1352" s="14" t="n"/>
      <c r="K1352" s="53" t="inlineStr"/>
      <c r="L1352" s="53" t="inlineStr">
        <is>
          <t>Не определено</t>
        </is>
      </c>
      <c r="M1352" s="53" t="inlineStr"/>
      <c r="N1352" s="54" t="inlineStr"/>
      <c r="O1352" s="55" t="inlineStr"/>
      <c r="P1352" s="16" t="inlineStr">
        <is>
          <t>Требует обогащения</t>
        </is>
      </c>
      <c r="Q1352" s="16">
        <f>HYPERLINK("https://pb.nalog.ru/search.html?query=5032004166","ФНС: проверить")</f>
        <v/>
      </c>
      <c r="R1352" s="16">
        <f>HYPERLINK("https://checko.ru/search?query=3801001629","Чекко: проверить")</f>
        <v/>
      </c>
      <c r="S1352" t="n">
        <v>1</v>
      </c>
      <c r="T1352" s="35" t="inlineStr">
        <is>
          <t>4 — Не обогащён</t>
        </is>
      </c>
      <c r="U1352" s="35" t="inlineStr">
        <is>
          <t>Нет ОКВЭД/ССЧР</t>
        </is>
      </c>
      <c r="V1352" s="35" t="inlineStr">
        <is>
          <t>Не определено</t>
        </is>
      </c>
      <c r="W1352" s="35" t="inlineStr"/>
      <c r="X1352" s="35" t="inlineStr"/>
    </row>
    <row r="1353" ht="27.75" customHeight="1" s="24">
      <c r="A1353" s="13" t="n">
        <v>5000075698</v>
      </c>
      <c r="B1353" s="13" t="inlineStr">
        <is>
          <t>Аппарат Губернатора и Правительства Оренбургской области</t>
        </is>
      </c>
      <c r="C1353" s="13" t="n">
        <v>5610091505</v>
      </c>
      <c r="D1353" s="13" t="inlineStr">
        <is>
          <t>5610091505</t>
        </is>
      </c>
      <c r="E1353" s="13" t="inlineStr">
        <is>
          <t>ЮЛ РФ</t>
        </is>
      </c>
      <c r="F1353" s="13" t="n"/>
      <c r="G1353" s="14" t="n"/>
      <c r="H1353" s="14" t="n"/>
      <c r="I1353" s="14" t="n"/>
      <c r="J1353" s="14" t="n"/>
      <c r="K1353" s="53" t="inlineStr"/>
      <c r="L1353" s="53" t="inlineStr">
        <is>
          <t>Не определено</t>
        </is>
      </c>
      <c r="M1353" s="53" t="inlineStr"/>
      <c r="N1353" s="54" t="inlineStr"/>
      <c r="O1353" s="55" t="inlineStr"/>
      <c r="P1353" s="16" t="inlineStr">
        <is>
          <t>Требует обогащения</t>
        </is>
      </c>
      <c r="Q1353" s="16">
        <f>HYPERLINK("https://pb.nalog.ru/search.html?query=5610091505","ФНС: проверить")</f>
        <v/>
      </c>
      <c r="R1353" s="16">
        <f>HYPERLINK("https://checko.ru/search?query=3801001629","Чекко: проверить")</f>
        <v/>
      </c>
      <c r="S1353" t="n">
        <v>1</v>
      </c>
      <c r="T1353" s="35" t="inlineStr">
        <is>
          <t>4 — Не обогащён</t>
        </is>
      </c>
      <c r="U1353" s="35" t="inlineStr">
        <is>
          <t>Нет ОКВЭД/ССЧР</t>
        </is>
      </c>
      <c r="V1353" s="35" t="inlineStr">
        <is>
          <t>Не определено</t>
        </is>
      </c>
      <c r="W1353" s="35" t="inlineStr"/>
      <c r="X1353" s="35" t="inlineStr"/>
    </row>
    <row r="1354" ht="41.25" customHeight="1" s="24">
      <c r="A1354" s="13" t="n">
        <v>5000001705</v>
      </c>
      <c r="B1354" s="13" t="inlineStr">
        <is>
          <t>ОГКУСО "Центр помощи детям, оставшимся без попечения родителей, Ленинского района г. Иркутска</t>
        </is>
      </c>
      <c r="C1354" s="13" t="n">
        <v>3810025866</v>
      </c>
      <c r="D1354" s="13" t="inlineStr">
        <is>
          <t>3810025866</t>
        </is>
      </c>
      <c r="E1354" s="13" t="inlineStr">
        <is>
          <t>ЮЛ РФ</t>
        </is>
      </c>
      <c r="F1354" s="13" t="n"/>
      <c r="G1354" s="14" t="n"/>
      <c r="H1354" s="14" t="n"/>
      <c r="I1354" s="14" t="n"/>
      <c r="J1354" s="14" t="n"/>
      <c r="K1354" s="53" t="inlineStr"/>
      <c r="L1354" s="53" t="inlineStr">
        <is>
          <t>Не определено</t>
        </is>
      </c>
      <c r="M1354" s="53" t="inlineStr"/>
      <c r="N1354" s="54" t="inlineStr"/>
      <c r="O1354" s="55" t="inlineStr"/>
      <c r="P1354" s="16" t="inlineStr">
        <is>
          <t>Требует обогащения</t>
        </is>
      </c>
      <c r="Q1354" s="16">
        <f>HYPERLINK("https://pb.nalog.ru/search.html?query=3810025866","ФНС: проверить")</f>
        <v/>
      </c>
      <c r="R1354" s="16">
        <f>HYPERLINK("https://checko.ru/search?query=3801001629","Чекко: проверить")</f>
        <v/>
      </c>
      <c r="S1354" t="n">
        <v>1</v>
      </c>
      <c r="T1354" s="35" t="inlineStr">
        <is>
          <t>4 — Не обогащён</t>
        </is>
      </c>
      <c r="U1354" s="35" t="inlineStr">
        <is>
          <t>Нет ОКВЭД/ССЧР</t>
        </is>
      </c>
      <c r="V1354" s="35" t="inlineStr">
        <is>
          <t>Не определено</t>
        </is>
      </c>
      <c r="W1354" s="35" t="inlineStr"/>
      <c r="X1354" s="35" t="inlineStr"/>
    </row>
    <row r="1355" ht="15" customHeight="1" s="24">
      <c r="A1355" s="13" t="n">
        <v>5000001404</v>
      </c>
      <c r="B1355" s="13" t="inlineStr">
        <is>
          <t>ОГУЗ "Братский ОКВД"</t>
        </is>
      </c>
      <c r="C1355" s="13" t="n">
        <v>3805100204</v>
      </c>
      <c r="D1355" s="13" t="inlineStr">
        <is>
          <t>3805100204</t>
        </is>
      </c>
      <c r="E1355" s="13" t="inlineStr">
        <is>
          <t>ЮЛ РФ</t>
        </is>
      </c>
      <c r="F1355" s="13" t="n"/>
      <c r="G1355" s="14" t="n"/>
      <c r="H1355" s="14" t="n"/>
      <c r="I1355" s="14" t="n"/>
      <c r="J1355" s="14" t="n"/>
      <c r="K1355" s="53" t="inlineStr"/>
      <c r="L1355" s="53" t="inlineStr">
        <is>
          <t>Не определено</t>
        </is>
      </c>
      <c r="M1355" s="53" t="inlineStr"/>
      <c r="N1355" s="54" t="inlineStr"/>
      <c r="O1355" s="55" t="inlineStr"/>
      <c r="P1355" s="16" t="inlineStr">
        <is>
          <t>Требует обогащения</t>
        </is>
      </c>
      <c r="Q1355" s="16">
        <f>HYPERLINK("https://pb.nalog.ru/search.html?query=3805100204","ФНС: проверить")</f>
        <v/>
      </c>
      <c r="R1355" s="16">
        <f>HYPERLINK("https://checko.ru/search?query=3801001629","Чекко: проверить")</f>
        <v/>
      </c>
      <c r="S1355" t="n">
        <v>1</v>
      </c>
      <c r="T1355" s="35" t="inlineStr">
        <is>
          <t>4 — Не обогащён</t>
        </is>
      </c>
      <c r="U1355" s="35" t="inlineStr">
        <is>
          <t>Нет ОКВЭД/ССЧР</t>
        </is>
      </c>
      <c r="V1355" s="35" t="inlineStr">
        <is>
          <t>Не определено</t>
        </is>
      </c>
      <c r="W1355" s="35" t="inlineStr"/>
      <c r="X1355" s="35" t="inlineStr"/>
    </row>
    <row r="1356" ht="27.75" customHeight="1" s="24">
      <c r="A1356" s="13" t="n">
        <v>5000001442</v>
      </c>
      <c r="B1356" s="13" t="inlineStr">
        <is>
          <t>Министерство по физической культуре , спорту и молодёжной политике Иркутской области</t>
        </is>
      </c>
      <c r="C1356" s="13" t="n">
        <v>3808021568</v>
      </c>
      <c r="D1356" s="13" t="inlineStr">
        <is>
          <t>3808021568</t>
        </is>
      </c>
      <c r="E1356" s="13" t="inlineStr">
        <is>
          <t>ЮЛ РФ</t>
        </is>
      </c>
      <c r="F1356" s="13" t="n"/>
      <c r="G1356" s="14" t="n"/>
      <c r="H1356" s="14" t="n"/>
      <c r="I1356" s="14" t="n"/>
      <c r="J1356" s="14" t="n"/>
      <c r="K1356" s="53" t="inlineStr"/>
      <c r="L1356" s="53" t="inlineStr">
        <is>
          <t>Не определено</t>
        </is>
      </c>
      <c r="M1356" s="53" t="inlineStr"/>
      <c r="N1356" s="54" t="inlineStr"/>
      <c r="O1356" s="55" t="inlineStr"/>
      <c r="P1356" s="16" t="inlineStr">
        <is>
          <t>Требует обогащения</t>
        </is>
      </c>
      <c r="Q1356" s="16">
        <f>HYPERLINK("https://pb.nalog.ru/search.html?query=3808021568","ФНС: проверить")</f>
        <v/>
      </c>
      <c r="R1356" s="16">
        <f>HYPERLINK("https://checko.ru/search?query=3801001629","Чекко: проверить")</f>
        <v/>
      </c>
      <c r="S1356" t="n">
        <v>1</v>
      </c>
      <c r="T1356" s="35" t="inlineStr">
        <is>
          <t>4 — Не обогащён</t>
        </is>
      </c>
      <c r="U1356" s="35" t="inlineStr">
        <is>
          <t>Нет ОКВЭД/ССЧР</t>
        </is>
      </c>
      <c r="V1356" s="35" t="inlineStr">
        <is>
          <t>Не определено</t>
        </is>
      </c>
      <c r="W1356" s="35" t="inlineStr"/>
      <c r="X1356" s="35" t="inlineStr"/>
    </row>
    <row r="1357" ht="41.25" customHeight="1" s="24">
      <c r="A1357" s="13" t="n">
        <v>5000094742</v>
      </c>
      <c r="B1357" s="13" t="inlineStr">
        <is>
          <t>МКУ «Местная администрация сельского поселения Псыгансу Урванского муниципального района Кабардино-Балкарской Республики»</t>
        </is>
      </c>
      <c r="C1357" s="13" t="n">
        <v>707002651</v>
      </c>
      <c r="D1357" s="13" t="n"/>
      <c r="E1357" s="13" t="inlineStr">
        <is>
          <t>Не определён</t>
        </is>
      </c>
      <c r="F1357" s="13" t="inlineStr">
        <is>
          <t>707002651</t>
        </is>
      </c>
      <c r="G1357" s="14" t="n"/>
      <c r="H1357" s="14" t="n"/>
      <c r="I1357" s="14" t="n"/>
      <c r="J1357" s="14" t="n"/>
      <c r="K1357" s="13">
        <f>IF(G1357="","",IF(G1357&gt;=22,"Да","Нет"))</f>
        <v/>
      </c>
      <c r="L1357" s="13">
        <f>IF(OR(I1357="",J1357=""),"Не определено",IF(OR(COUNTIF(I1357,"45*")&gt;0,COUNTIF(J1357,"*45*")&gt;0,COUNTIF(I1357,"46*")&gt;0,COUNTIF(J1357,"*46*")&gt;0,COUNTIF(I1357,"47*")&gt;0,COUNTIF(J1357,"*47*")&gt;0,COUNTIF(I1357,"10*")&gt;0,COUNTIF(J1357,"*10*")&gt;0,COUNTIF(I1357,"11*")&gt;0,COUNTIF(J1357,"*11*")&gt;0,COUNTIF(I1357,"12*")&gt;0,COUNTIF(J1357,"*12*")&gt;0,COUNTIF(I1357,"13*")&gt;0,COUNTIF(J1357,"*13*")&gt;0,COUNTIF(I1357,"14*")&gt;0,COUNTIF(J1357,"*14*")&gt;0,COUNTIF(I1357,"15*")&gt;0,COUNTIF(J1357,"*15*")&gt;0,COUNTIF(I1357,"16*")&gt;0,COUNTIF(J1357,"*16*")&gt;0,COUNTIF(I1357,"17*")&gt;0,COUNTIF(J1357,"*17*")&gt;0,COUNTIF(I1357,"18*")&gt;0,COUNTIF(J1357,"*18*")&gt;0,COUNTIF(I1357,"19*")&gt;0,COUNTIF(J1357,"*19*")&gt;0,COUNTIF(I1357,"20*")&gt;0,COUNTIF(J1357,"*20*")&gt;0,COUNTIF(I1357,"21*")&gt;0,COUNTIF(J1357,"*21*")&gt;0,COUNTIF(I1357,"22*")&gt;0,COUNTIF(J1357,"*22*")&gt;0,COUNTIF(I1357,"23*")&gt;0,COUNTIF(J1357,"*23*")&gt;0,COUNTIF(I1357,"24*")&gt;0,COUNTIF(J1357,"*24*")&gt;0,COUNTIF(I1357,"25*")&gt;0,COUNTIF(J1357,"*25*")&gt;0,COUNTIF(I1357,"26*")&gt;0,COUNTIF(J1357,"*26*")&gt;0,COUNTIF(I1357,"27*")&gt;0,COUNTIF(J1357,"*27*")&gt;0,COUNTIF(I1357,"28*")&gt;0,COUNTIF(J1357,"*28*")&gt;0,COUNTIF(I1357,"29*")&gt;0,COUNTIF(J1357,"*29*")&gt;0,COUNTIF(I1357,"30*")&gt;0,COUNTIF(J1357,"*30*")&gt;0,COUNTIF(I1357,"31*")&gt;0,COUNTIF(J1357,"*31*")&gt;0,COUNTIF(I1357,"32*")&gt;0,COUNTIF(J1357,"*32*")&gt;0,COUNTIF(I1357,"33*")&gt;0,COUNTIF(J1357,"*33*")&gt;0,COUNTIF(I1357,"41*")&gt;0,COUNTIF(J1357,"*41*")&gt;0,COUNTIF(I1357,"42*")&gt;0,COUNTIF(J1357,"*42*")&gt;0,COUNTIF(I1357,"43*")&gt;0,COUNTIF(J1357,"*43*")&gt;0,COUNTIF(I1357,"49*")&gt;0,COUNTIF(J1357,"*49*")&gt;0,COUNTIF(I1357,"52*")&gt;0,COUNTIF(J1357,"*52*")&gt;0,COUNTIF(I1357,"55*")&gt;0,COUNTIF(J1357,"*55*")&gt;0,COUNTIF(I1357,"56*")&gt;0,COUNTIF(J1357,"*56*")&gt;0,COUNTIF(I1357,"68*")&gt;0,COUNTIF(J1357,"*68*")&gt;0,COUNTIF(I1357,"78*")&gt;0,COUNTIF(J1357,"*78*")&gt;0,COUNTIF(I1357,"81*")&gt;0,COUNTIF(J1357,"*81*")&gt;0,COUNTIF(I1357,"82*")&gt;0,COUNTIF(J1357,"*82*")&gt;0,COUNTIF(I1357,"64*")&gt;0,COUNTIF(J1357,"*64*")&gt;0,COUNTIF(I1357,"65*")&gt;0,COUNTIF(J1357,"*65*")&gt;0,COUNTIF(I1357,"66*")&gt;0,COUNTIF(J1357,"*66*")&gt;0,COUNTIF(I1357,"61*")&gt;0,COUNTIF(J1357,"*61*")&gt;0,COUNTIF(I1357,"62*")&gt;0,COUNTIF(J1357,"*62*")&gt;0,COUNTIF(I1357,"63*")&gt;0,COUNTIF(J1357,"*63*")&gt;0,COUNTIF(I1357,"85*")&gt;0,COUNTIF(J1357,"*85*")&gt;0,COUNTIF(I1357,"86*")&gt;0,COUNTIF(J1357,"*86*")&gt;0),"Да","Нет"))</f>
        <v/>
      </c>
      <c r="M1357" s="13">
        <f>IF(OR(G1357="",L1357&lt;&gt;"Да"),"",IF(G1357&lt;=100,"До 100",IF(G1357&lt;=200,"До 200",IF(G1357&lt;=500,"До 500","Отдельное КП"))))</f>
        <v/>
      </c>
      <c r="N1357" s="15">
        <f>IF(OR(G1357="",L1357&lt;&gt;"Да"),"",IF(G1357&lt;=100,33600,IF(G1357&lt;=200,62400,IF(G1357&lt;=500,144000,""))))</f>
        <v/>
      </c>
      <c r="O1357" s="16">
        <f>IF(G1357="","",IF(G1357&lt;=15,"1–15",IF(G1357&lt;=30,"16–30",IF(G1357&lt;=50,"31–50",IF(G1357&lt;=100,"51–100",IF(G1357&lt;=150,"101–150",IF(G1357&lt;=200,"151–200",IF(G1357&lt;=500,"201–500","500+"))))))))</f>
        <v/>
      </c>
      <c r="P1357" s="16" t="inlineStr">
        <is>
          <t>Нет совпадения в предоставленной выгрузке ССЧР</t>
        </is>
      </c>
      <c r="Q1357" s="16" t="n"/>
      <c r="R1357" s="16">
        <f>HYPERLINK("https://checko.ru/search?query=3801001629","Чекко: проверить")</f>
        <v/>
      </c>
      <c r="S1357" t="n">
        <v>0</v>
      </c>
    </row>
    <row r="1358" ht="15" customHeight="1" s="24">
      <c r="A1358" s="13" t="n">
        <v>5000094884</v>
      </c>
      <c r="B1358" s="13" t="inlineStr">
        <is>
          <t>МКУ "Редакция газеты Чегема"</t>
        </is>
      </c>
      <c r="C1358" s="13" t="n">
        <v>708009723</v>
      </c>
      <c r="D1358" s="13" t="n"/>
      <c r="E1358" s="13" t="inlineStr">
        <is>
          <t>Не определён</t>
        </is>
      </c>
      <c r="F1358" s="13" t="inlineStr">
        <is>
          <t>708009723</t>
        </is>
      </c>
      <c r="G1358" s="14" t="n"/>
      <c r="H1358" s="14" t="n"/>
      <c r="I1358" s="14" t="n"/>
      <c r="J1358" s="14" t="n"/>
      <c r="K1358" s="13">
        <f>IF(G1358="","",IF(G1358&gt;=22,"Да","Нет"))</f>
        <v/>
      </c>
      <c r="L1358" s="13">
        <f>IF(OR(I1358="",J1358=""),"Не определено",IF(OR(COUNTIF(I1358,"45*")&gt;0,COUNTIF(J1358,"*45*")&gt;0,COUNTIF(I1358,"46*")&gt;0,COUNTIF(J1358,"*46*")&gt;0,COUNTIF(I1358,"47*")&gt;0,COUNTIF(J1358,"*47*")&gt;0,COUNTIF(I1358,"10*")&gt;0,COUNTIF(J1358,"*10*")&gt;0,COUNTIF(I1358,"11*")&gt;0,COUNTIF(J1358,"*11*")&gt;0,COUNTIF(I1358,"12*")&gt;0,COUNTIF(J1358,"*12*")&gt;0,COUNTIF(I1358,"13*")&gt;0,COUNTIF(J1358,"*13*")&gt;0,COUNTIF(I1358,"14*")&gt;0,COUNTIF(J1358,"*14*")&gt;0,COUNTIF(I1358,"15*")&gt;0,COUNTIF(J1358,"*15*")&gt;0,COUNTIF(I1358,"16*")&gt;0,COUNTIF(J1358,"*16*")&gt;0,COUNTIF(I1358,"17*")&gt;0,COUNTIF(J1358,"*17*")&gt;0,COUNTIF(I1358,"18*")&gt;0,COUNTIF(J1358,"*18*")&gt;0,COUNTIF(I1358,"19*")&gt;0,COUNTIF(J1358,"*19*")&gt;0,COUNTIF(I1358,"20*")&gt;0,COUNTIF(J1358,"*20*")&gt;0,COUNTIF(I1358,"21*")&gt;0,COUNTIF(J1358,"*21*")&gt;0,COUNTIF(I1358,"22*")&gt;0,COUNTIF(J1358,"*22*")&gt;0,COUNTIF(I1358,"23*")&gt;0,COUNTIF(J1358,"*23*")&gt;0,COUNTIF(I1358,"24*")&gt;0,COUNTIF(J1358,"*24*")&gt;0,COUNTIF(I1358,"25*")&gt;0,COUNTIF(J1358,"*25*")&gt;0,COUNTIF(I1358,"26*")&gt;0,COUNTIF(J1358,"*26*")&gt;0,COUNTIF(I1358,"27*")&gt;0,COUNTIF(J1358,"*27*")&gt;0,COUNTIF(I1358,"28*")&gt;0,COUNTIF(J1358,"*28*")&gt;0,COUNTIF(I1358,"29*")&gt;0,COUNTIF(J1358,"*29*")&gt;0,COUNTIF(I1358,"30*")&gt;0,COUNTIF(J1358,"*30*")&gt;0,COUNTIF(I1358,"31*")&gt;0,COUNTIF(J1358,"*31*")&gt;0,COUNTIF(I1358,"32*")&gt;0,COUNTIF(J1358,"*32*")&gt;0,COUNTIF(I1358,"33*")&gt;0,COUNTIF(J1358,"*33*")&gt;0,COUNTIF(I1358,"41*")&gt;0,COUNTIF(J1358,"*41*")&gt;0,COUNTIF(I1358,"42*")&gt;0,COUNTIF(J1358,"*42*")&gt;0,COUNTIF(I1358,"43*")&gt;0,COUNTIF(J1358,"*43*")&gt;0,COUNTIF(I1358,"49*")&gt;0,COUNTIF(J1358,"*49*")&gt;0,COUNTIF(I1358,"52*")&gt;0,COUNTIF(J1358,"*52*")&gt;0,COUNTIF(I1358,"55*")&gt;0,COUNTIF(J1358,"*55*")&gt;0,COUNTIF(I1358,"56*")&gt;0,COUNTIF(J1358,"*56*")&gt;0,COUNTIF(I1358,"68*")&gt;0,COUNTIF(J1358,"*68*")&gt;0,COUNTIF(I1358,"78*")&gt;0,COUNTIF(J1358,"*78*")&gt;0,COUNTIF(I1358,"81*")&gt;0,COUNTIF(J1358,"*81*")&gt;0,COUNTIF(I1358,"82*")&gt;0,COUNTIF(J1358,"*82*")&gt;0,COUNTIF(I1358,"64*")&gt;0,COUNTIF(J1358,"*64*")&gt;0,COUNTIF(I1358,"65*")&gt;0,COUNTIF(J1358,"*65*")&gt;0,COUNTIF(I1358,"66*")&gt;0,COUNTIF(J1358,"*66*")&gt;0,COUNTIF(I1358,"61*")&gt;0,COUNTIF(J1358,"*61*")&gt;0,COUNTIF(I1358,"62*")&gt;0,COUNTIF(J1358,"*62*")&gt;0,COUNTIF(I1358,"63*")&gt;0,COUNTIF(J1358,"*63*")&gt;0,COUNTIF(I1358,"85*")&gt;0,COUNTIF(J1358,"*85*")&gt;0,COUNTIF(I1358,"86*")&gt;0,COUNTIF(J1358,"*86*")&gt;0),"Да","Нет"))</f>
        <v/>
      </c>
      <c r="M1358" s="13">
        <f>IF(OR(G1358="",L1358&lt;&gt;"Да"),"",IF(G1358&lt;=100,"До 100",IF(G1358&lt;=200,"До 200",IF(G1358&lt;=500,"До 500","Отдельное КП"))))</f>
        <v/>
      </c>
      <c r="N1358" s="15">
        <f>IF(OR(G1358="",L1358&lt;&gt;"Да"),"",IF(G1358&lt;=100,33600,IF(G1358&lt;=200,62400,IF(G1358&lt;=500,144000,""))))</f>
        <v/>
      </c>
      <c r="O1358" s="16">
        <f>IF(G1358="","",IF(G1358&lt;=15,"1–15",IF(G1358&lt;=30,"16–30",IF(G1358&lt;=50,"31–50",IF(G1358&lt;=100,"51–100",IF(G1358&lt;=150,"101–150",IF(G1358&lt;=200,"151–200",IF(G1358&lt;=500,"201–500","500+"))))))))</f>
        <v/>
      </c>
      <c r="P1358" s="16" t="inlineStr">
        <is>
          <t>Нет совпадения в предоставленной выгрузке ССЧР</t>
        </is>
      </c>
      <c r="Q1358" s="16" t="n"/>
      <c r="R1358" s="16">
        <f>HYPERLINK("https://checko.ru/search?query=3801001629","Чекко: проверить")</f>
        <v/>
      </c>
      <c r="S1358" t="n">
        <v>0</v>
      </c>
    </row>
    <row r="1359" ht="15" customHeight="1" s="24">
      <c r="A1359" s="13" t="n">
        <v>5000101671</v>
      </c>
      <c r="B1359" s="13" t="inlineStr">
        <is>
          <t>ГКУ ИО Голоустненское лесничество</t>
        </is>
      </c>
      <c r="C1359" s="13" t="n">
        <v>3808283531</v>
      </c>
      <c r="D1359" s="13" t="inlineStr">
        <is>
          <t>3808283531</t>
        </is>
      </c>
      <c r="E1359" s="13" t="inlineStr">
        <is>
          <t>ЮЛ РФ</t>
        </is>
      </c>
      <c r="F1359" s="13" t="n"/>
      <c r="G1359" s="14" t="n"/>
      <c r="H1359" s="14" t="n"/>
      <c r="I1359" s="14" t="n"/>
      <c r="J1359" s="14" t="n"/>
      <c r="K1359" s="53" t="inlineStr"/>
      <c r="L1359" s="53" t="inlineStr">
        <is>
          <t>Не определено</t>
        </is>
      </c>
      <c r="M1359" s="53" t="inlineStr"/>
      <c r="N1359" s="54" t="inlineStr"/>
      <c r="O1359" s="55" t="inlineStr"/>
      <c r="P1359" s="16" t="inlineStr">
        <is>
          <t>Требует обогащения</t>
        </is>
      </c>
      <c r="Q1359" s="16">
        <f>HYPERLINK("https://pb.nalog.ru/search.html?query=3808283531","ФНС: проверить")</f>
        <v/>
      </c>
      <c r="R1359" s="16">
        <f>HYPERLINK("https://checko.ru/search?query=3801001629","Чекко: проверить")</f>
        <v/>
      </c>
      <c r="S1359" t="n">
        <v>1</v>
      </c>
      <c r="T1359" s="35" t="inlineStr">
        <is>
          <t>4 — Не обогащён</t>
        </is>
      </c>
      <c r="U1359" s="35" t="inlineStr">
        <is>
          <t>Нет ОКВЭД/ССЧР</t>
        </is>
      </c>
      <c r="V1359" s="35" t="inlineStr">
        <is>
          <t>Не определено</t>
        </is>
      </c>
      <c r="W1359" s="35" t="inlineStr"/>
      <c r="X1359" s="35" t="inlineStr"/>
    </row>
    <row r="1360" ht="27.75" customHeight="1" s="24">
      <c r="A1360" s="13" t="n">
        <v>5000095020</v>
      </c>
      <c r="B1360" s="13" t="inlineStr">
        <is>
          <t>МКУ «Департамент финансов Местной администрации городского округа Нальчик»</t>
        </is>
      </c>
      <c r="C1360" s="13" t="n">
        <v>711038481</v>
      </c>
      <c r="D1360" s="13" t="n"/>
      <c r="E1360" s="13" t="inlineStr">
        <is>
          <t>Не определён</t>
        </is>
      </c>
      <c r="F1360" s="13" t="inlineStr">
        <is>
          <t>711038481</t>
        </is>
      </c>
      <c r="G1360" s="14" t="n"/>
      <c r="H1360" s="14" t="n"/>
      <c r="I1360" s="14" t="n"/>
      <c r="J1360" s="14" t="n"/>
      <c r="K1360" s="13">
        <f>IF(G1360="","",IF(G1360&gt;=22,"Да","Нет"))</f>
        <v/>
      </c>
      <c r="L1360" s="13">
        <f>IF(OR(I1360="",J1360=""),"Не определено",IF(OR(COUNTIF(I1360,"45*")&gt;0,COUNTIF(J1360,"*45*")&gt;0,COUNTIF(I1360,"46*")&gt;0,COUNTIF(J1360,"*46*")&gt;0,COUNTIF(I1360,"47*")&gt;0,COUNTIF(J1360,"*47*")&gt;0,COUNTIF(I1360,"10*")&gt;0,COUNTIF(J1360,"*10*")&gt;0,COUNTIF(I1360,"11*")&gt;0,COUNTIF(J1360,"*11*")&gt;0,COUNTIF(I1360,"12*")&gt;0,COUNTIF(J1360,"*12*")&gt;0,COUNTIF(I1360,"13*")&gt;0,COUNTIF(J1360,"*13*")&gt;0,COUNTIF(I1360,"14*")&gt;0,COUNTIF(J1360,"*14*")&gt;0,COUNTIF(I1360,"15*")&gt;0,COUNTIF(J1360,"*15*")&gt;0,COUNTIF(I1360,"16*")&gt;0,COUNTIF(J1360,"*16*")&gt;0,COUNTIF(I1360,"17*")&gt;0,COUNTIF(J1360,"*17*")&gt;0,COUNTIF(I1360,"18*")&gt;0,COUNTIF(J1360,"*18*")&gt;0,COUNTIF(I1360,"19*")&gt;0,COUNTIF(J1360,"*19*")&gt;0,COUNTIF(I1360,"20*")&gt;0,COUNTIF(J1360,"*20*")&gt;0,COUNTIF(I1360,"21*")&gt;0,COUNTIF(J1360,"*21*")&gt;0,COUNTIF(I1360,"22*")&gt;0,COUNTIF(J1360,"*22*")&gt;0,COUNTIF(I1360,"23*")&gt;0,COUNTIF(J1360,"*23*")&gt;0,COUNTIF(I1360,"24*")&gt;0,COUNTIF(J1360,"*24*")&gt;0,COUNTIF(I1360,"25*")&gt;0,COUNTIF(J1360,"*25*")&gt;0,COUNTIF(I1360,"26*")&gt;0,COUNTIF(J1360,"*26*")&gt;0,COUNTIF(I1360,"27*")&gt;0,COUNTIF(J1360,"*27*")&gt;0,COUNTIF(I1360,"28*")&gt;0,COUNTIF(J1360,"*28*")&gt;0,COUNTIF(I1360,"29*")&gt;0,COUNTIF(J1360,"*29*")&gt;0,COUNTIF(I1360,"30*")&gt;0,COUNTIF(J1360,"*30*")&gt;0,COUNTIF(I1360,"31*")&gt;0,COUNTIF(J1360,"*31*")&gt;0,COUNTIF(I1360,"32*")&gt;0,COUNTIF(J1360,"*32*")&gt;0,COUNTIF(I1360,"33*")&gt;0,COUNTIF(J1360,"*33*")&gt;0,COUNTIF(I1360,"41*")&gt;0,COUNTIF(J1360,"*41*")&gt;0,COUNTIF(I1360,"42*")&gt;0,COUNTIF(J1360,"*42*")&gt;0,COUNTIF(I1360,"43*")&gt;0,COUNTIF(J1360,"*43*")&gt;0,COUNTIF(I1360,"49*")&gt;0,COUNTIF(J1360,"*49*")&gt;0,COUNTIF(I1360,"52*")&gt;0,COUNTIF(J1360,"*52*")&gt;0,COUNTIF(I1360,"55*")&gt;0,COUNTIF(J1360,"*55*")&gt;0,COUNTIF(I1360,"56*")&gt;0,COUNTIF(J1360,"*56*")&gt;0,COUNTIF(I1360,"68*")&gt;0,COUNTIF(J1360,"*68*")&gt;0,COUNTIF(I1360,"78*")&gt;0,COUNTIF(J1360,"*78*")&gt;0,COUNTIF(I1360,"81*")&gt;0,COUNTIF(J1360,"*81*")&gt;0,COUNTIF(I1360,"82*")&gt;0,COUNTIF(J1360,"*82*")&gt;0,COUNTIF(I1360,"64*")&gt;0,COUNTIF(J1360,"*64*")&gt;0,COUNTIF(I1360,"65*")&gt;0,COUNTIF(J1360,"*65*")&gt;0,COUNTIF(I1360,"66*")&gt;0,COUNTIF(J1360,"*66*")&gt;0,COUNTIF(I1360,"61*")&gt;0,COUNTIF(J1360,"*61*")&gt;0,COUNTIF(I1360,"62*")&gt;0,COUNTIF(J1360,"*62*")&gt;0,COUNTIF(I1360,"63*")&gt;0,COUNTIF(J1360,"*63*")&gt;0,COUNTIF(I1360,"85*")&gt;0,COUNTIF(J1360,"*85*")&gt;0,COUNTIF(I1360,"86*")&gt;0,COUNTIF(J1360,"*86*")&gt;0),"Да","Нет"))</f>
        <v/>
      </c>
      <c r="M1360" s="13">
        <f>IF(OR(G1360="",L1360&lt;&gt;"Да"),"",IF(G1360&lt;=100,"До 100",IF(G1360&lt;=200,"До 200",IF(G1360&lt;=500,"До 500","Отдельное КП"))))</f>
        <v/>
      </c>
      <c r="N1360" s="15">
        <f>IF(OR(G1360="",L1360&lt;&gt;"Да"),"",IF(G1360&lt;=100,33600,IF(G1360&lt;=200,62400,IF(G1360&lt;=500,144000,""))))</f>
        <v/>
      </c>
      <c r="O1360" s="16">
        <f>IF(G1360="","",IF(G1360&lt;=15,"1–15",IF(G1360&lt;=30,"16–30",IF(G1360&lt;=50,"31–50",IF(G1360&lt;=100,"51–100",IF(G1360&lt;=150,"101–150",IF(G1360&lt;=200,"151–200",IF(G1360&lt;=500,"201–500","500+"))))))))</f>
        <v/>
      </c>
      <c r="P1360" s="16" t="inlineStr">
        <is>
          <t>Нет совпадения в предоставленной выгрузке ССЧР</t>
        </is>
      </c>
      <c r="Q1360" s="16" t="n"/>
      <c r="R1360" s="16">
        <f>HYPERLINK("https://checko.ru/search?query=3801001629","Чекко: проверить")</f>
        <v/>
      </c>
      <c r="S1360" t="n">
        <v>0</v>
      </c>
    </row>
    <row r="1361" ht="27.75" customHeight="1" s="24">
      <c r="A1361" s="13" t="n">
        <v>5000034753</v>
      </c>
      <c r="B1361" s="13" t="inlineStr">
        <is>
          <t>Комитет по делам молодёжи, культуре и спорту Администрации Одинцо</t>
        </is>
      </c>
      <c r="C1361" s="13" t="n">
        <v>5032067840</v>
      </c>
      <c r="D1361" s="13" t="inlineStr">
        <is>
          <t>5032067840</t>
        </is>
      </c>
      <c r="E1361" s="13" t="inlineStr">
        <is>
          <t>ЮЛ РФ</t>
        </is>
      </c>
      <c r="F1361" s="13" t="n"/>
      <c r="G1361" s="14" t="n"/>
      <c r="H1361" s="14" t="n"/>
      <c r="I1361" s="14" t="n"/>
      <c r="J1361" s="14" t="n"/>
      <c r="K1361" s="53" t="inlineStr"/>
      <c r="L1361" s="53" t="inlineStr">
        <is>
          <t>Не определено</t>
        </is>
      </c>
      <c r="M1361" s="53" t="inlineStr"/>
      <c r="N1361" s="54" t="inlineStr"/>
      <c r="O1361" s="55" t="inlineStr"/>
      <c r="P1361" s="16" t="inlineStr">
        <is>
          <t>Требует обогащения</t>
        </is>
      </c>
      <c r="Q1361" s="16">
        <f>HYPERLINK("https://pb.nalog.ru/search.html?query=5032067840","ФНС: проверить")</f>
        <v/>
      </c>
      <c r="R1361" s="16">
        <f>HYPERLINK("https://checko.ru/search?query=3801001629","Чекко: проверить")</f>
        <v/>
      </c>
      <c r="S1361" t="n">
        <v>1</v>
      </c>
      <c r="T1361" s="35" t="inlineStr">
        <is>
          <t>4 — Не обогащён</t>
        </is>
      </c>
      <c r="U1361" s="35" t="inlineStr">
        <is>
          <t>Нет ОКВЭД/ССЧР</t>
        </is>
      </c>
      <c r="V1361" s="35" t="inlineStr">
        <is>
          <t>Не определено</t>
        </is>
      </c>
      <c r="W1361" s="35" t="inlineStr"/>
      <c r="X1361" s="35" t="inlineStr"/>
    </row>
    <row r="1362" ht="27.75" customHeight="1" s="24">
      <c r="A1362" s="13" t="n">
        <v>5000001456</v>
      </c>
      <c r="B1362" s="13" t="inlineStr">
        <is>
          <t>ГУК Областная юношеская библиотека им. И.П. Уткина</t>
        </is>
      </c>
      <c r="C1362" s="13" t="n">
        <v>3808038106</v>
      </c>
      <c r="D1362" s="13" t="inlineStr">
        <is>
          <t>3808038106</t>
        </is>
      </c>
      <c r="E1362" s="13" t="inlineStr">
        <is>
          <t>ЮЛ РФ</t>
        </is>
      </c>
      <c r="F1362" s="13" t="n"/>
      <c r="G1362" s="14" t="n"/>
      <c r="H1362" s="14" t="n"/>
      <c r="I1362" s="14" t="n"/>
      <c r="J1362" s="14" t="n"/>
      <c r="K1362" s="53" t="inlineStr"/>
      <c r="L1362" s="53" t="inlineStr">
        <is>
          <t>Не определено</t>
        </is>
      </c>
      <c r="M1362" s="53" t="inlineStr"/>
      <c r="N1362" s="54" t="inlineStr"/>
      <c r="O1362" s="55" t="inlineStr"/>
      <c r="P1362" s="16" t="inlineStr">
        <is>
          <t>Требует обогащения</t>
        </is>
      </c>
      <c r="Q1362" s="16">
        <f>HYPERLINK("https://pb.nalog.ru/search.html?query=3808038106","ФНС: проверить")</f>
        <v/>
      </c>
      <c r="R1362" s="16">
        <f>HYPERLINK("https://checko.ru/search?query=3801001629","Чекко: проверить")</f>
        <v/>
      </c>
      <c r="S1362" t="n">
        <v>1</v>
      </c>
      <c r="T1362" s="35" t="inlineStr">
        <is>
          <t>4 — Не обогащён</t>
        </is>
      </c>
      <c r="U1362" s="35" t="inlineStr">
        <is>
          <t>Нет ОКВЭД/ССЧР</t>
        </is>
      </c>
      <c r="V1362" s="35" t="inlineStr">
        <is>
          <t>Не определено</t>
        </is>
      </c>
      <c r="W1362" s="35" t="inlineStr"/>
      <c r="X1362" s="35" t="inlineStr"/>
    </row>
    <row r="1363" ht="15" customHeight="1" s="24">
      <c r="A1363" s="13" t="n">
        <v>5000008565</v>
      </c>
      <c r="B1363" s="13" t="inlineStr">
        <is>
          <t>УФССП России по Кировской области</t>
        </is>
      </c>
      <c r="C1363" s="13" t="n">
        <v>4345093331</v>
      </c>
      <c r="D1363" s="13" t="inlineStr">
        <is>
          <t>4345093331</t>
        </is>
      </c>
      <c r="E1363" s="13" t="inlineStr">
        <is>
          <t>ЮЛ РФ</t>
        </is>
      </c>
      <c r="F1363" s="13" t="n"/>
      <c r="G1363" s="14" t="n"/>
      <c r="H1363" s="14" t="n"/>
      <c r="I1363" s="14" t="n"/>
      <c r="J1363" s="14" t="n"/>
      <c r="K1363" s="53" t="inlineStr"/>
      <c r="L1363" s="53" t="inlineStr">
        <is>
          <t>Не определено</t>
        </is>
      </c>
      <c r="M1363" s="53" t="inlineStr"/>
      <c r="N1363" s="54" t="inlineStr"/>
      <c r="O1363" s="55" t="inlineStr"/>
      <c r="P1363" s="16" t="inlineStr">
        <is>
          <t>Требует обогащения</t>
        </is>
      </c>
      <c r="Q1363" s="16">
        <f>HYPERLINK("https://pb.nalog.ru/search.html?query=4345093331","ФНС: проверить")</f>
        <v/>
      </c>
      <c r="R1363" s="16">
        <f>HYPERLINK("https://checko.ru/search?query=3801001629","Чекко: проверить")</f>
        <v/>
      </c>
      <c r="S1363" t="n">
        <v>1</v>
      </c>
      <c r="T1363" s="35" t="inlineStr">
        <is>
          <t>4 — Не обогащён</t>
        </is>
      </c>
      <c r="U1363" s="35" t="inlineStr">
        <is>
          <t>Нет ОКВЭД/ССЧР</t>
        </is>
      </c>
      <c r="V1363" s="35" t="inlineStr">
        <is>
          <t>Не определено</t>
        </is>
      </c>
      <c r="W1363" s="35" t="inlineStr"/>
      <c r="X1363" s="35" t="inlineStr"/>
    </row>
    <row r="1364" ht="27.75" customHeight="1" s="24">
      <c r="A1364" s="13" t="n">
        <v>5000094758</v>
      </c>
      <c r="B1364" s="13" t="inlineStr">
        <is>
          <t>ГБУЗ "Стоматологическая поликлиника" г. Нарткала</t>
        </is>
      </c>
      <c r="C1364" s="13" t="n">
        <v>707005733</v>
      </c>
      <c r="D1364" s="13" t="n"/>
      <c r="E1364" s="13" t="inlineStr">
        <is>
          <t>Не определён</t>
        </is>
      </c>
      <c r="F1364" s="13" t="inlineStr">
        <is>
          <t>707005733</t>
        </is>
      </c>
      <c r="G1364" s="14" t="n"/>
      <c r="H1364" s="14" t="n"/>
      <c r="I1364" s="14" t="n"/>
      <c r="J1364" s="14" t="n"/>
      <c r="K1364" s="13">
        <f>IF(G1364="","",IF(G1364&gt;=22,"Да","Нет"))</f>
        <v/>
      </c>
      <c r="L1364" s="13">
        <f>IF(OR(I1364="",J1364=""),"Не определено",IF(OR(COUNTIF(I1364,"45*")&gt;0,COUNTIF(J1364,"*45*")&gt;0,COUNTIF(I1364,"46*")&gt;0,COUNTIF(J1364,"*46*")&gt;0,COUNTIF(I1364,"47*")&gt;0,COUNTIF(J1364,"*47*")&gt;0,COUNTIF(I1364,"10*")&gt;0,COUNTIF(J1364,"*10*")&gt;0,COUNTIF(I1364,"11*")&gt;0,COUNTIF(J1364,"*11*")&gt;0,COUNTIF(I1364,"12*")&gt;0,COUNTIF(J1364,"*12*")&gt;0,COUNTIF(I1364,"13*")&gt;0,COUNTIF(J1364,"*13*")&gt;0,COUNTIF(I1364,"14*")&gt;0,COUNTIF(J1364,"*14*")&gt;0,COUNTIF(I1364,"15*")&gt;0,COUNTIF(J1364,"*15*")&gt;0,COUNTIF(I1364,"16*")&gt;0,COUNTIF(J1364,"*16*")&gt;0,COUNTIF(I1364,"17*")&gt;0,COUNTIF(J1364,"*17*")&gt;0,COUNTIF(I1364,"18*")&gt;0,COUNTIF(J1364,"*18*")&gt;0,COUNTIF(I1364,"19*")&gt;0,COUNTIF(J1364,"*19*")&gt;0,COUNTIF(I1364,"20*")&gt;0,COUNTIF(J1364,"*20*")&gt;0,COUNTIF(I1364,"21*")&gt;0,COUNTIF(J1364,"*21*")&gt;0,COUNTIF(I1364,"22*")&gt;0,COUNTIF(J1364,"*22*")&gt;0,COUNTIF(I1364,"23*")&gt;0,COUNTIF(J1364,"*23*")&gt;0,COUNTIF(I1364,"24*")&gt;0,COUNTIF(J1364,"*24*")&gt;0,COUNTIF(I1364,"25*")&gt;0,COUNTIF(J1364,"*25*")&gt;0,COUNTIF(I1364,"26*")&gt;0,COUNTIF(J1364,"*26*")&gt;0,COUNTIF(I1364,"27*")&gt;0,COUNTIF(J1364,"*27*")&gt;0,COUNTIF(I1364,"28*")&gt;0,COUNTIF(J1364,"*28*")&gt;0,COUNTIF(I1364,"29*")&gt;0,COUNTIF(J1364,"*29*")&gt;0,COUNTIF(I1364,"30*")&gt;0,COUNTIF(J1364,"*30*")&gt;0,COUNTIF(I1364,"31*")&gt;0,COUNTIF(J1364,"*31*")&gt;0,COUNTIF(I1364,"32*")&gt;0,COUNTIF(J1364,"*32*")&gt;0,COUNTIF(I1364,"33*")&gt;0,COUNTIF(J1364,"*33*")&gt;0,COUNTIF(I1364,"41*")&gt;0,COUNTIF(J1364,"*41*")&gt;0,COUNTIF(I1364,"42*")&gt;0,COUNTIF(J1364,"*42*")&gt;0,COUNTIF(I1364,"43*")&gt;0,COUNTIF(J1364,"*43*")&gt;0,COUNTIF(I1364,"49*")&gt;0,COUNTIF(J1364,"*49*")&gt;0,COUNTIF(I1364,"52*")&gt;0,COUNTIF(J1364,"*52*")&gt;0,COUNTIF(I1364,"55*")&gt;0,COUNTIF(J1364,"*55*")&gt;0,COUNTIF(I1364,"56*")&gt;0,COUNTIF(J1364,"*56*")&gt;0,COUNTIF(I1364,"68*")&gt;0,COUNTIF(J1364,"*68*")&gt;0,COUNTIF(I1364,"78*")&gt;0,COUNTIF(J1364,"*78*")&gt;0,COUNTIF(I1364,"81*")&gt;0,COUNTIF(J1364,"*81*")&gt;0,COUNTIF(I1364,"82*")&gt;0,COUNTIF(J1364,"*82*")&gt;0,COUNTIF(I1364,"64*")&gt;0,COUNTIF(J1364,"*64*")&gt;0,COUNTIF(I1364,"65*")&gt;0,COUNTIF(J1364,"*65*")&gt;0,COUNTIF(I1364,"66*")&gt;0,COUNTIF(J1364,"*66*")&gt;0,COUNTIF(I1364,"61*")&gt;0,COUNTIF(J1364,"*61*")&gt;0,COUNTIF(I1364,"62*")&gt;0,COUNTIF(J1364,"*62*")&gt;0,COUNTIF(I1364,"63*")&gt;0,COUNTIF(J1364,"*63*")&gt;0,COUNTIF(I1364,"85*")&gt;0,COUNTIF(J1364,"*85*")&gt;0,COUNTIF(I1364,"86*")&gt;0,COUNTIF(J1364,"*86*")&gt;0),"Да","Нет"))</f>
        <v/>
      </c>
      <c r="M1364" s="13">
        <f>IF(OR(G1364="",L1364&lt;&gt;"Да"),"",IF(G1364&lt;=100,"До 100",IF(G1364&lt;=200,"До 200",IF(G1364&lt;=500,"До 500","Отдельное КП"))))</f>
        <v/>
      </c>
      <c r="N1364" s="15">
        <f>IF(OR(G1364="",L1364&lt;&gt;"Да"),"",IF(G1364&lt;=100,33600,IF(G1364&lt;=200,62400,IF(G1364&lt;=500,144000,""))))</f>
        <v/>
      </c>
      <c r="O1364" s="16">
        <f>IF(G1364="","",IF(G1364&lt;=15,"1–15",IF(G1364&lt;=30,"16–30",IF(G1364&lt;=50,"31–50",IF(G1364&lt;=100,"51–100",IF(G1364&lt;=150,"101–150",IF(G1364&lt;=200,"151–200",IF(G1364&lt;=500,"201–500","500+"))))))))</f>
        <v/>
      </c>
      <c r="P1364" s="16" t="inlineStr">
        <is>
          <t>Нет совпадения в предоставленной выгрузке ССЧР</t>
        </is>
      </c>
      <c r="Q1364" s="16" t="n"/>
      <c r="R1364" s="16">
        <f>HYPERLINK("https://checko.ru/search?query=3801001629","Чекко: проверить")</f>
        <v/>
      </c>
      <c r="S1364" t="n">
        <v>0</v>
      </c>
    </row>
    <row r="1365" ht="41.25" customHeight="1" s="24">
      <c r="A1365" s="13" t="n">
        <v>5000106073</v>
      </c>
      <c r="B1365" s="13" t="inlineStr">
        <is>
          <t>ГОСУДАРСТВЕННОЕ АВТОНОМНОЕ УЧРЕЖДЕНИЕ ЗДРАВООХРАНЕНИЯ «ДЕТСКАЯ ГОРОДСКАЯ БОЛЬНИЦА» ГОРОДА ОРСКА</t>
        </is>
      </c>
      <c r="C1365" s="13" t="n">
        <v>5614003122</v>
      </c>
      <c r="D1365" s="13" t="inlineStr">
        <is>
          <t>5614003122</t>
        </is>
      </c>
      <c r="E1365" s="13" t="inlineStr">
        <is>
          <t>ЮЛ РФ</t>
        </is>
      </c>
      <c r="F1365" s="13" t="n"/>
      <c r="G1365" s="14" t="n"/>
      <c r="H1365" s="14" t="n"/>
      <c r="I1365" s="14" t="n"/>
      <c r="J1365" s="14" t="n"/>
      <c r="K1365" s="53" t="inlineStr"/>
      <c r="L1365" s="53" t="inlineStr">
        <is>
          <t>Не определено</t>
        </is>
      </c>
      <c r="M1365" s="53" t="inlineStr"/>
      <c r="N1365" s="54" t="inlineStr"/>
      <c r="O1365" s="55" t="inlineStr"/>
      <c r="P1365" s="16" t="inlineStr">
        <is>
          <t>Требует обогащения</t>
        </is>
      </c>
      <c r="Q1365" s="16">
        <f>HYPERLINK("https://pb.nalog.ru/search.html?query=5614003122","ФНС: проверить")</f>
        <v/>
      </c>
      <c r="R1365" s="16">
        <f>HYPERLINK("https://checko.ru/search?query=3801001629","Чекко: проверить")</f>
        <v/>
      </c>
      <c r="S1365" t="n">
        <v>1</v>
      </c>
      <c r="T1365" s="35" t="inlineStr">
        <is>
          <t>4 — Не обогащён</t>
        </is>
      </c>
      <c r="U1365" s="35" t="inlineStr">
        <is>
          <t>Нет ОКВЭД/ССЧР</t>
        </is>
      </c>
      <c r="V1365" s="35" t="inlineStr">
        <is>
          <t>Не определено</t>
        </is>
      </c>
      <c r="W1365" s="35" t="inlineStr"/>
      <c r="X1365" s="35" t="inlineStr"/>
    </row>
    <row r="1366" ht="15" customHeight="1" s="24">
      <c r="A1366" s="13" t="n">
        <v>5000101702</v>
      </c>
      <c r="B1366" s="13" t="inlineStr">
        <is>
          <t>ГОКУ ИО "СОШ При УУИС"</t>
        </is>
      </c>
      <c r="C1366" s="13" t="n">
        <v>3812999198</v>
      </c>
      <c r="D1366" s="13" t="inlineStr">
        <is>
          <t>3812999198</t>
        </is>
      </c>
      <c r="E1366" s="13" t="inlineStr">
        <is>
          <t>ЮЛ РФ</t>
        </is>
      </c>
      <c r="F1366" s="13" t="n"/>
      <c r="G1366" s="14" t="n"/>
      <c r="H1366" s="14" t="n"/>
      <c r="I1366" s="14" t="n"/>
      <c r="J1366" s="14" t="n"/>
      <c r="K1366" s="53" t="inlineStr"/>
      <c r="L1366" s="53" t="inlineStr">
        <is>
          <t>Не определено</t>
        </is>
      </c>
      <c r="M1366" s="53" t="inlineStr"/>
      <c r="N1366" s="54" t="inlineStr"/>
      <c r="O1366" s="55" t="inlineStr"/>
      <c r="P1366" s="16" t="inlineStr">
        <is>
          <t>Требует обогащения</t>
        </is>
      </c>
      <c r="Q1366" s="16">
        <f>HYPERLINK("https://pb.nalog.ru/search.html?query=3812999198","ФНС: проверить")</f>
        <v/>
      </c>
      <c r="R1366" s="16">
        <f>HYPERLINK("https://checko.ru/search?query=3801001629","Чекко: проверить")</f>
        <v/>
      </c>
      <c r="S1366" t="n">
        <v>1</v>
      </c>
      <c r="T1366" s="35" t="inlineStr">
        <is>
          <t>4 — Не обогащён</t>
        </is>
      </c>
      <c r="U1366" s="35" t="inlineStr">
        <is>
          <t>Нет ОКВЭД/ССЧР</t>
        </is>
      </c>
      <c r="V1366" s="35" t="inlineStr">
        <is>
          <t>Не определено</t>
        </is>
      </c>
      <c r="W1366" s="35" t="inlineStr"/>
      <c r="X1366" s="35" t="inlineStr"/>
    </row>
    <row r="1367" ht="41.25" customHeight="1" s="24">
      <c r="A1367" s="13" t="n">
        <v>5000001909</v>
      </c>
      <c r="B1367" s="13" t="inlineStr">
        <is>
          <t>ГОКУ Иркутской области для детей-сирот и детей, оставшихся без попечения родителей «Специальная (ко</t>
        </is>
      </c>
      <c r="C1367" s="13" t="n">
        <v>3814008237</v>
      </c>
      <c r="D1367" s="13" t="inlineStr">
        <is>
          <t>3814008237</t>
        </is>
      </c>
      <c r="E1367" s="13" t="inlineStr">
        <is>
          <t>ЮЛ РФ</t>
        </is>
      </c>
      <c r="F1367" s="13" t="n"/>
      <c r="G1367" s="14" t="n"/>
      <c r="H1367" s="14" t="n"/>
      <c r="I1367" s="14" t="n"/>
      <c r="J1367" s="14" t="n"/>
      <c r="K1367" s="53" t="inlineStr"/>
      <c r="L1367" s="53" t="inlineStr">
        <is>
          <t>Не определено</t>
        </is>
      </c>
      <c r="M1367" s="53" t="inlineStr"/>
      <c r="N1367" s="54" t="inlineStr"/>
      <c r="O1367" s="55" t="inlineStr"/>
      <c r="P1367" s="16" t="inlineStr">
        <is>
          <t>Требует обогащения</t>
        </is>
      </c>
      <c r="Q1367" s="16">
        <f>HYPERLINK("https://pb.nalog.ru/search.html?query=3814008237","ФНС: проверить")</f>
        <v/>
      </c>
      <c r="R1367" s="16">
        <f>HYPERLINK("https://checko.ru/search?query=3801001629","Чекко: проверить")</f>
        <v/>
      </c>
      <c r="S1367" t="n">
        <v>1</v>
      </c>
      <c r="T1367" s="35" t="inlineStr">
        <is>
          <t>4 — Не обогащён</t>
        </is>
      </c>
      <c r="U1367" s="35" t="inlineStr">
        <is>
          <t>Нет ОКВЭД/ССЧР</t>
        </is>
      </c>
      <c r="V1367" s="35" t="inlineStr">
        <is>
          <t>Не определено</t>
        </is>
      </c>
      <c r="W1367" s="35" t="inlineStr"/>
      <c r="X1367" s="35" t="inlineStr"/>
    </row>
    <row r="1368" ht="15" customHeight="1" s="24">
      <c r="A1368" s="13" t="n">
        <v>5000062510</v>
      </c>
      <c r="B1368" s="13" t="inlineStr">
        <is>
          <t>ОГАПОУ "УАвиаК-МЦК"</t>
        </is>
      </c>
      <c r="C1368" s="13" t="n">
        <v>7328014430</v>
      </c>
      <c r="D1368" s="13" t="inlineStr">
        <is>
          <t>7328014430</t>
        </is>
      </c>
      <c r="E1368" s="13" t="inlineStr">
        <is>
          <t>ЮЛ РФ</t>
        </is>
      </c>
      <c r="F1368" s="13" t="n"/>
      <c r="G1368" s="14" t="n"/>
      <c r="H1368" s="14" t="n"/>
      <c r="I1368" s="14" t="n"/>
      <c r="J1368" s="14" t="n"/>
      <c r="K1368" s="53" t="inlineStr"/>
      <c r="L1368" s="53" t="inlineStr">
        <is>
          <t>Не определено</t>
        </is>
      </c>
      <c r="M1368" s="53" t="inlineStr"/>
      <c r="N1368" s="54" t="inlineStr"/>
      <c r="O1368" s="55" t="inlineStr"/>
      <c r="P1368" s="16" t="inlineStr">
        <is>
          <t>Требует обогащения</t>
        </is>
      </c>
      <c r="Q1368" s="16">
        <f>HYPERLINK("https://pb.nalog.ru/search.html?query=7328014430","ФНС: проверить")</f>
        <v/>
      </c>
      <c r="R1368" s="16">
        <f>HYPERLINK("https://checko.ru/search?query=3801001629","Чекко: проверить")</f>
        <v/>
      </c>
      <c r="S1368" t="n">
        <v>1</v>
      </c>
      <c r="T1368" s="35" t="inlineStr">
        <is>
          <t>4 — Не обогащён</t>
        </is>
      </c>
      <c r="U1368" s="35" t="inlineStr">
        <is>
          <t>Нет ОКВЭД/ССЧР</t>
        </is>
      </c>
      <c r="V1368" s="35" t="inlineStr">
        <is>
          <t>Не определено</t>
        </is>
      </c>
      <c r="W1368" s="35" t="inlineStr"/>
      <c r="X1368" s="35" t="inlineStr"/>
    </row>
    <row r="1369" ht="27.75" customHeight="1" s="24">
      <c r="A1369" s="13" t="n">
        <v>5000001407</v>
      </c>
      <c r="B1369" s="13" t="inlineStr">
        <is>
          <t>ОГАУЗ "Братская стоматологическая поликлиника №3"</t>
        </is>
      </c>
      <c r="C1369" s="13" t="n">
        <v>3805101543</v>
      </c>
      <c r="D1369" s="13" t="inlineStr">
        <is>
          <t>3805101543</t>
        </is>
      </c>
      <c r="E1369" s="13" t="inlineStr">
        <is>
          <t>ЮЛ РФ</t>
        </is>
      </c>
      <c r="F1369" s="13" t="n"/>
      <c r="G1369" s="14" t="n"/>
      <c r="H1369" s="14" t="n"/>
      <c r="I1369" s="14" t="n"/>
      <c r="J1369" s="14" t="n"/>
      <c r="K1369" s="53" t="inlineStr"/>
      <c r="L1369" s="53" t="inlineStr">
        <is>
          <t>Не определено</t>
        </is>
      </c>
      <c r="M1369" s="53" t="inlineStr"/>
      <c r="N1369" s="54" t="inlineStr"/>
      <c r="O1369" s="55" t="inlineStr"/>
      <c r="P1369" s="16" t="inlineStr">
        <is>
          <t>Требует обогащения</t>
        </is>
      </c>
      <c r="Q1369" s="16">
        <f>HYPERLINK("https://pb.nalog.ru/search.html?query=3805101543","ФНС: проверить")</f>
        <v/>
      </c>
      <c r="R1369" s="16">
        <f>HYPERLINK("https://checko.ru/search?query=3801001629","Чекко: проверить")</f>
        <v/>
      </c>
      <c r="S1369" t="n">
        <v>1</v>
      </c>
      <c r="T1369" s="35" t="inlineStr">
        <is>
          <t>4 — Не обогащён</t>
        </is>
      </c>
      <c r="U1369" s="35" t="inlineStr">
        <is>
          <t>Нет ОКВЭД/ССЧР</t>
        </is>
      </c>
      <c r="V1369" s="35" t="inlineStr">
        <is>
          <t>Не определено</t>
        </is>
      </c>
      <c r="W1369" s="35" t="inlineStr"/>
      <c r="X1369" s="35" t="inlineStr"/>
    </row>
    <row r="1370" ht="27.75" customHeight="1" s="24">
      <c r="A1370" s="13" t="n">
        <v>5000001669</v>
      </c>
      <c r="B1370" s="13" t="inlineStr">
        <is>
          <t>ОГУ СО "Тулунский дом-интернат для престарелых и инвалидов"</t>
        </is>
      </c>
      <c r="C1370" s="13" t="n">
        <v>3816006468</v>
      </c>
      <c r="D1370" s="13" t="inlineStr">
        <is>
          <t>3816006468</t>
        </is>
      </c>
      <c r="E1370" s="13" t="inlineStr">
        <is>
          <t>ЮЛ РФ</t>
        </is>
      </c>
      <c r="F1370" s="13" t="n"/>
      <c r="G1370" s="14" t="n"/>
      <c r="H1370" s="14" t="n"/>
      <c r="I1370" s="14" t="n"/>
      <c r="J1370" s="14" t="n"/>
      <c r="K1370" s="53" t="inlineStr"/>
      <c r="L1370" s="53" t="inlineStr">
        <is>
          <t>Не определено</t>
        </is>
      </c>
      <c r="M1370" s="53" t="inlineStr"/>
      <c r="N1370" s="54" t="inlineStr"/>
      <c r="O1370" s="55" t="inlineStr"/>
      <c r="P1370" s="16" t="inlineStr">
        <is>
          <t>Требует обогащения</t>
        </is>
      </c>
      <c r="Q1370" s="16">
        <f>HYPERLINK("https://pb.nalog.ru/search.html?query=3816006468","ФНС: проверить")</f>
        <v/>
      </c>
      <c r="R1370" s="16">
        <f>HYPERLINK("https://checko.ru/search?query=3801001629","Чекко: проверить")</f>
        <v/>
      </c>
      <c r="S1370" t="n">
        <v>1</v>
      </c>
      <c r="T1370" s="35" t="inlineStr">
        <is>
          <t>4 — Не обогащён</t>
        </is>
      </c>
      <c r="U1370" s="35" t="inlineStr">
        <is>
          <t>Нет ОКВЭД/ССЧР</t>
        </is>
      </c>
      <c r="V1370" s="35" t="inlineStr">
        <is>
          <t>Не определено</t>
        </is>
      </c>
      <c r="W1370" s="35" t="inlineStr"/>
      <c r="X1370" s="35" t="inlineStr"/>
    </row>
    <row r="1371" ht="27.75" customHeight="1" s="24">
      <c r="A1371" s="13" t="n">
        <v>5000001694</v>
      </c>
      <c r="B1371" s="13" t="inlineStr">
        <is>
          <t>ОГКУСО "Братский детский дом - интернат для умственно отсталых детей"</t>
        </is>
      </c>
      <c r="C1371" s="13" t="n">
        <v>3805700949</v>
      </c>
      <c r="D1371" s="13" t="inlineStr">
        <is>
          <t>3805700949</t>
        </is>
      </c>
      <c r="E1371" s="13" t="inlineStr">
        <is>
          <t>ЮЛ РФ</t>
        </is>
      </c>
      <c r="F1371" s="13" t="n"/>
      <c r="G1371" s="14" t="n"/>
      <c r="H1371" s="14" t="n"/>
      <c r="I1371" s="14" t="n"/>
      <c r="J1371" s="14" t="n"/>
      <c r="K1371" s="53" t="inlineStr"/>
      <c r="L1371" s="53" t="inlineStr">
        <is>
          <t>Не определено</t>
        </is>
      </c>
      <c r="M1371" s="53" t="inlineStr"/>
      <c r="N1371" s="54" t="inlineStr"/>
      <c r="O1371" s="55" t="inlineStr"/>
      <c r="P1371" s="16" t="inlineStr">
        <is>
          <t>Требует обогащения</t>
        </is>
      </c>
      <c r="Q1371" s="16">
        <f>HYPERLINK("https://pb.nalog.ru/search.html?query=3805700949","ФНС: проверить")</f>
        <v/>
      </c>
      <c r="R1371" s="16">
        <f>HYPERLINK("https://checko.ru/search?query=3801001629","Чекко: проверить")</f>
        <v/>
      </c>
      <c r="S1371" t="n">
        <v>1</v>
      </c>
      <c r="T1371" s="35" t="inlineStr">
        <is>
          <t>4 — Не обогащён</t>
        </is>
      </c>
      <c r="U1371" s="35" t="inlineStr">
        <is>
          <t>Нет ОКВЭД/ССЧР</t>
        </is>
      </c>
      <c r="V1371" s="35" t="inlineStr">
        <is>
          <t>Не определено</t>
        </is>
      </c>
      <c r="W1371" s="35" t="inlineStr"/>
      <c r="X1371" s="35" t="inlineStr"/>
    </row>
    <row r="1372" ht="27.75" customHeight="1" s="24">
      <c r="A1372" s="13" t="n">
        <v>5000036241</v>
      </c>
      <c r="B1372" s="13" t="inlineStr">
        <is>
          <t>Областное автономное учреждение "Редакция газеты "Ленинец"</t>
        </is>
      </c>
      <c r="C1372" s="13" t="n">
        <v>7309904614</v>
      </c>
      <c r="D1372" s="13" t="inlineStr">
        <is>
          <t>7309904614</t>
        </is>
      </c>
      <c r="E1372" s="13" t="inlineStr">
        <is>
          <t>ЮЛ РФ</t>
        </is>
      </c>
      <c r="F1372" s="13" t="n"/>
      <c r="G1372" s="14" t="n"/>
      <c r="H1372" s="14" t="n"/>
      <c r="I1372" s="14" t="n"/>
      <c r="J1372" s="14" t="n"/>
      <c r="K1372" s="53" t="inlineStr"/>
      <c r="L1372" s="53" t="inlineStr">
        <is>
          <t>Не определено</t>
        </is>
      </c>
      <c r="M1372" s="53" t="inlineStr"/>
      <c r="N1372" s="54" t="inlineStr"/>
      <c r="O1372" s="55" t="inlineStr"/>
      <c r="P1372" s="16" t="inlineStr">
        <is>
          <t>Требует обогащения</t>
        </is>
      </c>
      <c r="Q1372" s="16">
        <f>HYPERLINK("https://pb.nalog.ru/search.html?query=7309904614","ФНС: проверить")</f>
        <v/>
      </c>
      <c r="R1372" s="16">
        <f>HYPERLINK("https://checko.ru/search?query=3801001629","Чекко: проверить")</f>
        <v/>
      </c>
      <c r="S1372" t="n">
        <v>1</v>
      </c>
      <c r="T1372" s="35" t="inlineStr">
        <is>
          <t>4 — Не обогащён</t>
        </is>
      </c>
      <c r="U1372" s="35" t="inlineStr">
        <is>
          <t>Нет ОКВЭД/ССЧР</t>
        </is>
      </c>
      <c r="V1372" s="35" t="inlineStr">
        <is>
          <t>Не определено</t>
        </is>
      </c>
      <c r="W1372" s="35" t="inlineStr"/>
      <c r="X1372" s="35" t="inlineStr"/>
    </row>
    <row r="1373" ht="15" customHeight="1" s="24">
      <c r="A1373" s="13" t="n">
        <v>5000008599</v>
      </c>
      <c r="B1373" s="13" t="inlineStr">
        <is>
          <t>УФССП России по Ставропольскому краю</t>
        </is>
      </c>
      <c r="C1373" s="13" t="n">
        <v>2634063910</v>
      </c>
      <c r="D1373" s="13" t="inlineStr">
        <is>
          <t>2634063910</t>
        </is>
      </c>
      <c r="E1373" s="13" t="inlineStr">
        <is>
          <t>ЮЛ РФ</t>
        </is>
      </c>
      <c r="F1373" s="13" t="n"/>
      <c r="G1373" s="14" t="n"/>
      <c r="H1373" s="14" t="n"/>
      <c r="I1373" s="14" t="n"/>
      <c r="J1373" s="14" t="n"/>
      <c r="K1373" s="53" t="inlineStr"/>
      <c r="L1373" s="53" t="inlineStr">
        <is>
          <t>Не определено</t>
        </is>
      </c>
      <c r="M1373" s="53" t="inlineStr"/>
      <c r="N1373" s="54" t="inlineStr"/>
      <c r="O1373" s="55" t="inlineStr"/>
      <c r="P1373" s="16" t="inlineStr">
        <is>
          <t>Требует обогащения</t>
        </is>
      </c>
      <c r="Q1373" s="16">
        <f>HYPERLINK("https://pb.nalog.ru/search.html?query=2634063910","ФНС: проверить")</f>
        <v/>
      </c>
      <c r="R1373" s="16">
        <f>HYPERLINK("https://checko.ru/search?query=3801001629","Чекко: проверить")</f>
        <v/>
      </c>
      <c r="S1373" t="n">
        <v>1</v>
      </c>
      <c r="T1373" s="35" t="inlineStr">
        <is>
          <t>4 — Не обогащён</t>
        </is>
      </c>
      <c r="U1373" s="35" t="inlineStr">
        <is>
          <t>Нет ОКВЭД/ССЧР</t>
        </is>
      </c>
      <c r="V1373" s="35" t="inlineStr">
        <is>
          <t>Не определено</t>
        </is>
      </c>
      <c r="W1373" s="35" t="inlineStr"/>
      <c r="X1373" s="35" t="inlineStr"/>
    </row>
    <row r="1374" ht="15" customHeight="1" s="24">
      <c r="A1374" s="13" t="n">
        <v>5000001377</v>
      </c>
      <c r="B1374" s="13" t="inlineStr">
        <is>
          <t>ОГОУ СПО Братский педагогический колледж</t>
        </is>
      </c>
      <c r="C1374" s="13" t="n">
        <v>3803200517</v>
      </c>
      <c r="D1374" s="13" t="inlineStr">
        <is>
          <t>3803200517</t>
        </is>
      </c>
      <c r="E1374" s="13" t="inlineStr">
        <is>
          <t>ЮЛ РФ</t>
        </is>
      </c>
      <c r="F1374" s="13" t="n"/>
      <c r="G1374" s="14" t="n"/>
      <c r="H1374" s="14" t="n"/>
      <c r="I1374" s="14" t="n"/>
      <c r="J1374" s="14" t="n"/>
      <c r="K1374" s="53" t="inlineStr"/>
      <c r="L1374" s="53" t="inlineStr">
        <is>
          <t>Не определено</t>
        </is>
      </c>
      <c r="M1374" s="53" t="inlineStr"/>
      <c r="N1374" s="54" t="inlineStr"/>
      <c r="O1374" s="55" t="inlineStr"/>
      <c r="P1374" s="16" t="inlineStr">
        <is>
          <t>Требует обогащения</t>
        </is>
      </c>
      <c r="Q1374" s="16">
        <f>HYPERLINK("https://pb.nalog.ru/search.html?query=3803200517","ФНС: проверить")</f>
        <v/>
      </c>
      <c r="R1374" s="16">
        <f>HYPERLINK("https://checko.ru/search?query=3801001629","Чекко: проверить")</f>
        <v/>
      </c>
      <c r="S1374" t="n">
        <v>1</v>
      </c>
      <c r="T1374" s="35" t="inlineStr">
        <is>
          <t>4 — Не обогащён</t>
        </is>
      </c>
      <c r="U1374" s="35" t="inlineStr">
        <is>
          <t>Нет ОКВЭД/ССЧР</t>
        </is>
      </c>
      <c r="V1374" s="35" t="inlineStr">
        <is>
          <t>Не определено</t>
        </is>
      </c>
      <c r="W1374" s="35" t="inlineStr"/>
      <c r="X1374" s="35" t="inlineStr"/>
    </row>
    <row r="1375" ht="54.75" customHeight="1" s="24">
      <c r="A1375" s="13" t="n">
        <v>5000001915</v>
      </c>
      <c r="B1375" s="13" t="inlineStr">
        <is>
          <t>Областное государственное специальное (коррекционное) образовательное казенное учреждение для обучающихся, воспитанников с ограниченными возможностями</t>
        </is>
      </c>
      <c r="C1375" s="13" t="n">
        <v>3817000324</v>
      </c>
      <c r="D1375" s="13" t="inlineStr">
        <is>
          <t>3817000324</t>
        </is>
      </c>
      <c r="E1375" s="13" t="inlineStr">
        <is>
          <t>ЮЛ РФ</t>
        </is>
      </c>
      <c r="F1375" s="13" t="n"/>
      <c r="G1375" s="14" t="n"/>
      <c r="H1375" s="14" t="n"/>
      <c r="I1375" s="14" t="n"/>
      <c r="J1375" s="14" t="n"/>
      <c r="K1375" s="53" t="inlineStr"/>
      <c r="L1375" s="53" t="inlineStr">
        <is>
          <t>Не определено</t>
        </is>
      </c>
      <c r="M1375" s="53" t="inlineStr"/>
      <c r="N1375" s="54" t="inlineStr"/>
      <c r="O1375" s="55" t="inlineStr"/>
      <c r="P1375" s="16" t="inlineStr">
        <is>
          <t>Требует обогащения</t>
        </is>
      </c>
      <c r="Q1375" s="16">
        <f>HYPERLINK("https://pb.nalog.ru/search.html?query=3817000324","ФНС: проверить")</f>
        <v/>
      </c>
      <c r="R1375" s="16">
        <f>HYPERLINK("https://checko.ru/search?query=3801001629","Чекко: проверить")</f>
        <v/>
      </c>
      <c r="S1375" t="n">
        <v>1</v>
      </c>
      <c r="T1375" s="35" t="inlineStr">
        <is>
          <t>4 — Не обогащён</t>
        </is>
      </c>
      <c r="U1375" s="35" t="inlineStr">
        <is>
          <t>Нет ОКВЭД/ССЧР</t>
        </is>
      </c>
      <c r="V1375" s="35" t="inlineStr">
        <is>
          <t>Не определено</t>
        </is>
      </c>
      <c r="W1375" s="35" t="inlineStr"/>
      <c r="X1375" s="35" t="inlineStr"/>
    </row>
    <row r="1376" ht="27.75" customHeight="1" s="24">
      <c r="A1376" s="13" t="n">
        <v>5000001673</v>
      </c>
      <c r="B1376" s="13" t="inlineStr">
        <is>
          <t>ОбГУ СО "Тулюшкинский психоневрологический интернат"</t>
        </is>
      </c>
      <c r="C1376" s="13" t="n">
        <v>3832000368</v>
      </c>
      <c r="D1376" s="13" t="inlineStr">
        <is>
          <t>3832000368</t>
        </is>
      </c>
      <c r="E1376" s="13" t="inlineStr">
        <is>
          <t>ЮЛ РФ</t>
        </is>
      </c>
      <c r="F1376" s="13" t="n"/>
      <c r="G1376" s="14" t="n"/>
      <c r="H1376" s="14" t="n"/>
      <c r="I1376" s="14" t="n"/>
      <c r="J1376" s="14" t="n"/>
      <c r="K1376" s="53" t="inlineStr"/>
      <c r="L1376" s="53" t="inlineStr">
        <is>
          <t>Не определено</t>
        </is>
      </c>
      <c r="M1376" s="53" t="inlineStr"/>
      <c r="N1376" s="54" t="inlineStr"/>
      <c r="O1376" s="55" t="inlineStr"/>
      <c r="P1376" s="16" t="inlineStr">
        <is>
          <t>Требует обогащения</t>
        </is>
      </c>
      <c r="Q1376" s="16">
        <f>HYPERLINK("https://pb.nalog.ru/search.html?query=3832000368","ФНС: проверить")</f>
        <v/>
      </c>
      <c r="R1376" s="16">
        <f>HYPERLINK("https://checko.ru/search?query=3801001629","Чекко: проверить")</f>
        <v/>
      </c>
      <c r="S1376" t="n">
        <v>1</v>
      </c>
      <c r="T1376" s="35" t="inlineStr">
        <is>
          <t>4 — Не обогащён</t>
        </is>
      </c>
      <c r="U1376" s="35" t="inlineStr">
        <is>
          <t>Нет ОКВЭД/ССЧР</t>
        </is>
      </c>
      <c r="V1376" s="35" t="inlineStr">
        <is>
          <t>Не определено</t>
        </is>
      </c>
      <c r="W1376" s="35" t="inlineStr"/>
      <c r="X1376" s="35" t="inlineStr"/>
    </row>
    <row r="1377" ht="54.75" customHeight="1" s="24">
      <c r="A1377" s="13" t="n">
        <v>5000094763</v>
      </c>
      <c r="B1377" s="13" t="inlineStr">
        <is>
          <t>МКУ «Местная администрация сельского поселение Герменчик Урванского муниципального района Кабардино-Балкарской Республики»</t>
        </is>
      </c>
      <c r="C1377" s="13" t="n">
        <v>707006261</v>
      </c>
      <c r="D1377" s="13" t="n"/>
      <c r="E1377" s="13" t="inlineStr">
        <is>
          <t>Не определён</t>
        </is>
      </c>
      <c r="F1377" s="13" t="inlineStr">
        <is>
          <t>707006261</t>
        </is>
      </c>
      <c r="G1377" s="14" t="n"/>
      <c r="H1377" s="14" t="n"/>
      <c r="I1377" s="14" t="n"/>
      <c r="J1377" s="14" t="n"/>
      <c r="K1377" s="13">
        <f>IF(G1377="","",IF(G1377&gt;=22,"Да","Нет"))</f>
        <v/>
      </c>
      <c r="L1377" s="13">
        <f>IF(OR(I1377="",J1377=""),"Не определено",IF(OR(COUNTIF(I1377,"45*")&gt;0,COUNTIF(J1377,"*45*")&gt;0,COUNTIF(I1377,"46*")&gt;0,COUNTIF(J1377,"*46*")&gt;0,COUNTIF(I1377,"47*")&gt;0,COUNTIF(J1377,"*47*")&gt;0,COUNTIF(I1377,"10*")&gt;0,COUNTIF(J1377,"*10*")&gt;0,COUNTIF(I1377,"11*")&gt;0,COUNTIF(J1377,"*11*")&gt;0,COUNTIF(I1377,"12*")&gt;0,COUNTIF(J1377,"*12*")&gt;0,COUNTIF(I1377,"13*")&gt;0,COUNTIF(J1377,"*13*")&gt;0,COUNTIF(I1377,"14*")&gt;0,COUNTIF(J1377,"*14*")&gt;0,COUNTIF(I1377,"15*")&gt;0,COUNTIF(J1377,"*15*")&gt;0,COUNTIF(I1377,"16*")&gt;0,COUNTIF(J1377,"*16*")&gt;0,COUNTIF(I1377,"17*")&gt;0,COUNTIF(J1377,"*17*")&gt;0,COUNTIF(I1377,"18*")&gt;0,COUNTIF(J1377,"*18*")&gt;0,COUNTIF(I1377,"19*")&gt;0,COUNTIF(J1377,"*19*")&gt;0,COUNTIF(I1377,"20*")&gt;0,COUNTIF(J1377,"*20*")&gt;0,COUNTIF(I1377,"21*")&gt;0,COUNTIF(J1377,"*21*")&gt;0,COUNTIF(I1377,"22*")&gt;0,COUNTIF(J1377,"*22*")&gt;0,COUNTIF(I1377,"23*")&gt;0,COUNTIF(J1377,"*23*")&gt;0,COUNTIF(I1377,"24*")&gt;0,COUNTIF(J1377,"*24*")&gt;0,COUNTIF(I1377,"25*")&gt;0,COUNTIF(J1377,"*25*")&gt;0,COUNTIF(I1377,"26*")&gt;0,COUNTIF(J1377,"*26*")&gt;0,COUNTIF(I1377,"27*")&gt;0,COUNTIF(J1377,"*27*")&gt;0,COUNTIF(I1377,"28*")&gt;0,COUNTIF(J1377,"*28*")&gt;0,COUNTIF(I1377,"29*")&gt;0,COUNTIF(J1377,"*29*")&gt;0,COUNTIF(I1377,"30*")&gt;0,COUNTIF(J1377,"*30*")&gt;0,COUNTIF(I1377,"31*")&gt;0,COUNTIF(J1377,"*31*")&gt;0,COUNTIF(I1377,"32*")&gt;0,COUNTIF(J1377,"*32*")&gt;0,COUNTIF(I1377,"33*")&gt;0,COUNTIF(J1377,"*33*")&gt;0,COUNTIF(I1377,"41*")&gt;0,COUNTIF(J1377,"*41*")&gt;0,COUNTIF(I1377,"42*")&gt;0,COUNTIF(J1377,"*42*")&gt;0,COUNTIF(I1377,"43*")&gt;0,COUNTIF(J1377,"*43*")&gt;0,COUNTIF(I1377,"49*")&gt;0,COUNTIF(J1377,"*49*")&gt;0,COUNTIF(I1377,"52*")&gt;0,COUNTIF(J1377,"*52*")&gt;0,COUNTIF(I1377,"55*")&gt;0,COUNTIF(J1377,"*55*")&gt;0,COUNTIF(I1377,"56*")&gt;0,COUNTIF(J1377,"*56*")&gt;0,COUNTIF(I1377,"68*")&gt;0,COUNTIF(J1377,"*68*")&gt;0,COUNTIF(I1377,"78*")&gt;0,COUNTIF(J1377,"*78*")&gt;0,COUNTIF(I1377,"81*")&gt;0,COUNTIF(J1377,"*81*")&gt;0,COUNTIF(I1377,"82*")&gt;0,COUNTIF(J1377,"*82*")&gt;0,COUNTIF(I1377,"64*")&gt;0,COUNTIF(J1377,"*64*")&gt;0,COUNTIF(I1377,"65*")&gt;0,COUNTIF(J1377,"*65*")&gt;0,COUNTIF(I1377,"66*")&gt;0,COUNTIF(J1377,"*66*")&gt;0,COUNTIF(I1377,"61*")&gt;0,COUNTIF(J1377,"*61*")&gt;0,COUNTIF(I1377,"62*")&gt;0,COUNTIF(J1377,"*62*")&gt;0,COUNTIF(I1377,"63*")&gt;0,COUNTIF(J1377,"*63*")&gt;0,COUNTIF(I1377,"85*")&gt;0,COUNTIF(J1377,"*85*")&gt;0,COUNTIF(I1377,"86*")&gt;0,COUNTIF(J1377,"*86*")&gt;0),"Да","Нет"))</f>
        <v/>
      </c>
      <c r="M1377" s="13">
        <f>IF(OR(G1377="",L1377&lt;&gt;"Да"),"",IF(G1377&lt;=100,"До 100",IF(G1377&lt;=200,"До 200",IF(G1377&lt;=500,"До 500","Отдельное КП"))))</f>
        <v/>
      </c>
      <c r="N1377" s="15">
        <f>IF(OR(G1377="",L1377&lt;&gt;"Да"),"",IF(G1377&lt;=100,33600,IF(G1377&lt;=200,62400,IF(G1377&lt;=500,144000,""))))</f>
        <v/>
      </c>
      <c r="O1377" s="16">
        <f>IF(G1377="","",IF(G1377&lt;=15,"1–15",IF(G1377&lt;=30,"16–30",IF(G1377&lt;=50,"31–50",IF(G1377&lt;=100,"51–100",IF(G1377&lt;=150,"101–150",IF(G1377&lt;=200,"151–200",IF(G1377&lt;=500,"201–500","500+"))))))))</f>
        <v/>
      </c>
      <c r="P1377" s="16" t="inlineStr">
        <is>
          <t>Нет совпадения в предоставленной выгрузке ССЧР</t>
        </is>
      </c>
      <c r="Q1377" s="16" t="n"/>
      <c r="R1377" s="16">
        <f>HYPERLINK("https://checko.ru/search?query=3801001629","Чекко: проверить")</f>
        <v/>
      </c>
      <c r="S1377" t="n">
        <v>0</v>
      </c>
    </row>
    <row r="1378" ht="15" customHeight="1" s="24">
      <c r="A1378" s="13" t="n">
        <v>5000062532</v>
      </c>
      <c r="B1378" s="13" t="inlineStr">
        <is>
          <t>ОГКОУ ИЗМАЙЛОВСКАЯ ШИ</t>
        </is>
      </c>
      <c r="C1378" s="13" t="n">
        <v>7304003380</v>
      </c>
      <c r="D1378" s="13" t="inlineStr">
        <is>
          <t>7304003380</t>
        </is>
      </c>
      <c r="E1378" s="13" t="inlineStr">
        <is>
          <t>ЮЛ РФ</t>
        </is>
      </c>
      <c r="F1378" s="13" t="n"/>
      <c r="G1378" s="14" t="n"/>
      <c r="H1378" s="14" t="n"/>
      <c r="I1378" s="14" t="n"/>
      <c r="J1378" s="14" t="n"/>
      <c r="K1378" s="53" t="inlineStr"/>
      <c r="L1378" s="53" t="inlineStr">
        <is>
          <t>Не определено</t>
        </is>
      </c>
      <c r="M1378" s="53" t="inlineStr"/>
      <c r="N1378" s="54" t="inlineStr"/>
      <c r="O1378" s="55" t="inlineStr"/>
      <c r="P1378" s="16" t="inlineStr">
        <is>
          <t>Требует обогащения</t>
        </is>
      </c>
      <c r="Q1378" s="16">
        <f>HYPERLINK("https://pb.nalog.ru/search.html?query=7304003380","ФНС: проверить")</f>
        <v/>
      </c>
      <c r="R1378" s="16">
        <f>HYPERLINK("https://checko.ru/search?query=3801001629","Чекко: проверить")</f>
        <v/>
      </c>
      <c r="S1378" t="n">
        <v>1</v>
      </c>
      <c r="T1378" s="35" t="inlineStr">
        <is>
          <t>4 — Не обогащён</t>
        </is>
      </c>
      <c r="U1378" s="35" t="inlineStr">
        <is>
          <t>Нет ОКВЭД/ССЧР</t>
        </is>
      </c>
      <c r="V1378" s="35" t="inlineStr">
        <is>
          <t>Не определено</t>
        </is>
      </c>
      <c r="W1378" s="35" t="inlineStr"/>
      <c r="X1378" s="35" t="inlineStr"/>
    </row>
    <row r="1379" ht="27.75" customHeight="1" s="24">
      <c r="A1379" s="13" t="n">
        <v>5000001576</v>
      </c>
      <c r="B1379" s="13" t="inlineStr">
        <is>
          <t>МБУЗ города Иркутска "Станция скорой медицинской помощи"</t>
        </is>
      </c>
      <c r="C1379" s="13" t="n">
        <v>3811037769</v>
      </c>
      <c r="D1379" s="13" t="inlineStr">
        <is>
          <t>3811037769</t>
        </is>
      </c>
      <c r="E1379" s="13" t="inlineStr">
        <is>
          <t>ЮЛ РФ</t>
        </is>
      </c>
      <c r="F1379" s="13" t="n"/>
      <c r="G1379" s="14" t="n"/>
      <c r="H1379" s="14" t="n"/>
      <c r="I1379" s="14" t="n"/>
      <c r="J1379" s="14" t="n"/>
      <c r="K1379" s="53" t="inlineStr"/>
      <c r="L1379" s="53" t="inlineStr">
        <is>
          <t>Не определено</t>
        </is>
      </c>
      <c r="M1379" s="53" t="inlineStr"/>
      <c r="N1379" s="54" t="inlineStr"/>
      <c r="O1379" s="55" t="inlineStr"/>
      <c r="P1379" s="16" t="inlineStr">
        <is>
          <t>Требует обогащения</t>
        </is>
      </c>
      <c r="Q1379" s="16">
        <f>HYPERLINK("https://pb.nalog.ru/search.html?query=3811037769","ФНС: проверить")</f>
        <v/>
      </c>
      <c r="R1379" s="16">
        <f>HYPERLINK("https://checko.ru/search?query=3801001629","Чекко: проверить")</f>
        <v/>
      </c>
      <c r="S1379" t="n">
        <v>1</v>
      </c>
      <c r="T1379" s="35" t="inlineStr">
        <is>
          <t>4 — Не обогащён</t>
        </is>
      </c>
      <c r="U1379" s="35" t="inlineStr">
        <is>
          <t>Нет ОКВЭД/ССЧР</t>
        </is>
      </c>
      <c r="V1379" s="35" t="inlineStr">
        <is>
          <t>Не определено</t>
        </is>
      </c>
      <c r="W1379" s="35" t="inlineStr"/>
      <c r="X1379" s="35" t="inlineStr"/>
    </row>
    <row r="1380" ht="15" customHeight="1" s="24">
      <c r="A1380" s="13" t="n">
        <v>5000002205</v>
      </c>
      <c r="B1380" s="13" t="inlineStr">
        <is>
          <t>ОбГБОУ СПО "Усольский медицинский техникум"</t>
        </is>
      </c>
      <c r="C1380" s="13" t="n">
        <v>3819005494</v>
      </c>
      <c r="D1380" s="13" t="inlineStr">
        <is>
          <t>3819005494</t>
        </is>
      </c>
      <c r="E1380" s="13" t="inlineStr">
        <is>
          <t>ЮЛ РФ</t>
        </is>
      </c>
      <c r="F1380" s="13" t="n"/>
      <c r="G1380" s="14" t="n"/>
      <c r="H1380" s="14" t="n"/>
      <c r="I1380" s="14" t="n"/>
      <c r="J1380" s="14" t="n"/>
      <c r="K1380" s="53" t="inlineStr"/>
      <c r="L1380" s="53" t="inlineStr">
        <is>
          <t>Не определено</t>
        </is>
      </c>
      <c r="M1380" s="53" t="inlineStr"/>
      <c r="N1380" s="54" t="inlineStr"/>
      <c r="O1380" s="55" t="inlineStr"/>
      <c r="P1380" s="16" t="inlineStr">
        <is>
          <t>Требует обогащения</t>
        </is>
      </c>
      <c r="Q1380" s="16">
        <f>HYPERLINK("https://pb.nalog.ru/search.html?query=3819005494","ФНС: проверить")</f>
        <v/>
      </c>
      <c r="R1380" s="16">
        <f>HYPERLINK("https://checko.ru/search?query=3801001629","Чекко: проверить")</f>
        <v/>
      </c>
      <c r="S1380" t="n">
        <v>1</v>
      </c>
      <c r="T1380" s="35" t="inlineStr">
        <is>
          <t>4 — Не обогащён</t>
        </is>
      </c>
      <c r="U1380" s="35" t="inlineStr">
        <is>
          <t>Нет ОКВЭД/ССЧР</t>
        </is>
      </c>
      <c r="V1380" s="35" t="inlineStr">
        <is>
          <t>Не определено</t>
        </is>
      </c>
      <c r="W1380" s="35" t="inlineStr"/>
      <c r="X1380" s="35" t="inlineStr"/>
    </row>
    <row r="1381" ht="27.75" customHeight="1" s="24">
      <c r="A1381" s="13" t="n">
        <v>5000001611</v>
      </c>
      <c r="B1381" s="13" t="inlineStr">
        <is>
          <t>ОГУЗ "Иркутский областной специализированный дом ребенка №1"</t>
        </is>
      </c>
      <c r="C1381" s="13" t="n">
        <v>3809019530</v>
      </c>
      <c r="D1381" s="13" t="inlineStr">
        <is>
          <t>3809019530</t>
        </is>
      </c>
      <c r="E1381" s="13" t="inlineStr">
        <is>
          <t>ЮЛ РФ</t>
        </is>
      </c>
      <c r="F1381" s="13" t="n"/>
      <c r="G1381" s="14" t="n"/>
      <c r="H1381" s="14" t="n"/>
      <c r="I1381" s="14" t="n"/>
      <c r="J1381" s="14" t="n"/>
      <c r="K1381" s="53" t="inlineStr"/>
      <c r="L1381" s="53" t="inlineStr">
        <is>
          <t>Не определено</t>
        </is>
      </c>
      <c r="M1381" s="53" t="inlineStr"/>
      <c r="N1381" s="54" t="inlineStr"/>
      <c r="O1381" s="55" t="inlineStr"/>
      <c r="P1381" s="16" t="inlineStr">
        <is>
          <t>Требует обогащения</t>
        </is>
      </c>
      <c r="Q1381" s="16">
        <f>HYPERLINK("https://pb.nalog.ru/search.html?query=3809019530","ФНС: проверить")</f>
        <v/>
      </c>
      <c r="R1381" s="16">
        <f>HYPERLINK("https://checko.ru/search?query=3801001629","Чекко: проверить")</f>
        <v/>
      </c>
      <c r="S1381" t="n">
        <v>1</v>
      </c>
      <c r="T1381" s="35" t="inlineStr">
        <is>
          <t>4 — Не обогащён</t>
        </is>
      </c>
      <c r="U1381" s="35" t="inlineStr">
        <is>
          <t>Нет ОКВЭД/ССЧР</t>
        </is>
      </c>
      <c r="V1381" s="35" t="inlineStr">
        <is>
          <t>Не определено</t>
        </is>
      </c>
      <c r="W1381" s="35" t="inlineStr"/>
      <c r="X1381" s="35" t="inlineStr"/>
    </row>
    <row r="1382" ht="27.75" customHeight="1" s="24">
      <c r="A1382" s="13" t="n">
        <v>5000107021</v>
      </c>
      <c r="B1382" s="13" t="inlineStr">
        <is>
          <t>МИНИСТЕРСТВО ПРОМЫШЛЕННОСТИ, ИНВЕСТИЦИЙ И НАУКИ УЛЬЯНОВСКОЙ ОБЛАСТИ</t>
        </is>
      </c>
      <c r="C1382" s="13" t="n">
        <v>7300032180</v>
      </c>
      <c r="D1382" s="13" t="inlineStr">
        <is>
          <t>7300032180</t>
        </is>
      </c>
      <c r="E1382" s="13" t="inlineStr">
        <is>
          <t>ЮЛ РФ</t>
        </is>
      </c>
      <c r="F1382" s="13" t="n"/>
      <c r="G1382" s="14" t="n"/>
      <c r="H1382" s="14" t="n"/>
      <c r="I1382" s="14" t="n"/>
      <c r="J1382" s="14" t="n"/>
      <c r="K1382" s="53" t="inlineStr"/>
      <c r="L1382" s="53" t="inlineStr">
        <is>
          <t>Не определено</t>
        </is>
      </c>
      <c r="M1382" s="53" t="inlineStr"/>
      <c r="N1382" s="54" t="inlineStr"/>
      <c r="O1382" s="55" t="inlineStr"/>
      <c r="P1382" s="16" t="inlineStr">
        <is>
          <t>Требует обогащения</t>
        </is>
      </c>
      <c r="Q1382" s="16">
        <f>HYPERLINK("https://pb.nalog.ru/search.html?query=7300032180","ФНС: проверить")</f>
        <v/>
      </c>
      <c r="R1382" s="16">
        <f>HYPERLINK("https://checko.ru/search?query=3801001629","Чекко: проверить")</f>
        <v/>
      </c>
      <c r="S1382" t="n">
        <v>1</v>
      </c>
      <c r="T1382" s="35" t="inlineStr">
        <is>
          <t>4 — Не обогащён</t>
        </is>
      </c>
      <c r="U1382" s="35" t="inlineStr">
        <is>
          <t>Нет ОКВЭД/ССЧР</t>
        </is>
      </c>
      <c r="V1382" s="35" t="inlineStr">
        <is>
          <t>Не определено</t>
        </is>
      </c>
      <c r="W1382" s="35" t="inlineStr"/>
      <c r="X1382" s="35" t="inlineStr"/>
    </row>
    <row r="1383" ht="15" customHeight="1" s="24">
      <c r="A1383" s="13" t="n">
        <v>5000095234</v>
      </c>
      <c r="B1383" s="13" t="inlineStr">
        <is>
          <t>ГКУ КБР «УКС»</t>
        </is>
      </c>
      <c r="C1383" s="13" t="n">
        <v>725014811</v>
      </c>
      <c r="D1383" s="13" t="n"/>
      <c r="E1383" s="13" t="inlineStr">
        <is>
          <t>Не определён</t>
        </is>
      </c>
      <c r="F1383" s="13" t="inlineStr">
        <is>
          <t>725014811</t>
        </is>
      </c>
      <c r="G1383" s="14" t="n"/>
      <c r="H1383" s="14" t="n"/>
      <c r="I1383" s="14" t="n"/>
      <c r="J1383" s="14" t="n"/>
      <c r="K1383" s="13">
        <f>IF(G1383="","",IF(G1383&gt;=22,"Да","Нет"))</f>
        <v/>
      </c>
      <c r="L1383" s="13">
        <f>IF(OR(I1383="",J1383=""),"Не определено",IF(OR(COUNTIF(I1383,"45*")&gt;0,COUNTIF(J1383,"*45*")&gt;0,COUNTIF(I1383,"46*")&gt;0,COUNTIF(J1383,"*46*")&gt;0,COUNTIF(I1383,"47*")&gt;0,COUNTIF(J1383,"*47*")&gt;0,COUNTIF(I1383,"10*")&gt;0,COUNTIF(J1383,"*10*")&gt;0,COUNTIF(I1383,"11*")&gt;0,COUNTIF(J1383,"*11*")&gt;0,COUNTIF(I1383,"12*")&gt;0,COUNTIF(J1383,"*12*")&gt;0,COUNTIF(I1383,"13*")&gt;0,COUNTIF(J1383,"*13*")&gt;0,COUNTIF(I1383,"14*")&gt;0,COUNTIF(J1383,"*14*")&gt;0,COUNTIF(I1383,"15*")&gt;0,COUNTIF(J1383,"*15*")&gt;0,COUNTIF(I1383,"16*")&gt;0,COUNTIF(J1383,"*16*")&gt;0,COUNTIF(I1383,"17*")&gt;0,COUNTIF(J1383,"*17*")&gt;0,COUNTIF(I1383,"18*")&gt;0,COUNTIF(J1383,"*18*")&gt;0,COUNTIF(I1383,"19*")&gt;0,COUNTIF(J1383,"*19*")&gt;0,COUNTIF(I1383,"20*")&gt;0,COUNTIF(J1383,"*20*")&gt;0,COUNTIF(I1383,"21*")&gt;0,COUNTIF(J1383,"*21*")&gt;0,COUNTIF(I1383,"22*")&gt;0,COUNTIF(J1383,"*22*")&gt;0,COUNTIF(I1383,"23*")&gt;0,COUNTIF(J1383,"*23*")&gt;0,COUNTIF(I1383,"24*")&gt;0,COUNTIF(J1383,"*24*")&gt;0,COUNTIF(I1383,"25*")&gt;0,COUNTIF(J1383,"*25*")&gt;0,COUNTIF(I1383,"26*")&gt;0,COUNTIF(J1383,"*26*")&gt;0,COUNTIF(I1383,"27*")&gt;0,COUNTIF(J1383,"*27*")&gt;0,COUNTIF(I1383,"28*")&gt;0,COUNTIF(J1383,"*28*")&gt;0,COUNTIF(I1383,"29*")&gt;0,COUNTIF(J1383,"*29*")&gt;0,COUNTIF(I1383,"30*")&gt;0,COUNTIF(J1383,"*30*")&gt;0,COUNTIF(I1383,"31*")&gt;0,COUNTIF(J1383,"*31*")&gt;0,COUNTIF(I1383,"32*")&gt;0,COUNTIF(J1383,"*32*")&gt;0,COUNTIF(I1383,"33*")&gt;0,COUNTIF(J1383,"*33*")&gt;0,COUNTIF(I1383,"41*")&gt;0,COUNTIF(J1383,"*41*")&gt;0,COUNTIF(I1383,"42*")&gt;0,COUNTIF(J1383,"*42*")&gt;0,COUNTIF(I1383,"43*")&gt;0,COUNTIF(J1383,"*43*")&gt;0,COUNTIF(I1383,"49*")&gt;0,COUNTIF(J1383,"*49*")&gt;0,COUNTIF(I1383,"52*")&gt;0,COUNTIF(J1383,"*52*")&gt;0,COUNTIF(I1383,"55*")&gt;0,COUNTIF(J1383,"*55*")&gt;0,COUNTIF(I1383,"56*")&gt;0,COUNTIF(J1383,"*56*")&gt;0,COUNTIF(I1383,"68*")&gt;0,COUNTIF(J1383,"*68*")&gt;0,COUNTIF(I1383,"78*")&gt;0,COUNTIF(J1383,"*78*")&gt;0,COUNTIF(I1383,"81*")&gt;0,COUNTIF(J1383,"*81*")&gt;0,COUNTIF(I1383,"82*")&gt;0,COUNTIF(J1383,"*82*")&gt;0,COUNTIF(I1383,"64*")&gt;0,COUNTIF(J1383,"*64*")&gt;0,COUNTIF(I1383,"65*")&gt;0,COUNTIF(J1383,"*65*")&gt;0,COUNTIF(I1383,"66*")&gt;0,COUNTIF(J1383,"*66*")&gt;0,COUNTIF(I1383,"61*")&gt;0,COUNTIF(J1383,"*61*")&gt;0,COUNTIF(I1383,"62*")&gt;0,COUNTIF(J1383,"*62*")&gt;0,COUNTIF(I1383,"63*")&gt;0,COUNTIF(J1383,"*63*")&gt;0,COUNTIF(I1383,"85*")&gt;0,COUNTIF(J1383,"*85*")&gt;0,COUNTIF(I1383,"86*")&gt;0,COUNTIF(J1383,"*86*")&gt;0),"Да","Нет"))</f>
        <v/>
      </c>
      <c r="M1383" s="13">
        <f>IF(OR(G1383="",L1383&lt;&gt;"Да"),"",IF(G1383&lt;=100,"До 100",IF(G1383&lt;=200,"До 200",IF(G1383&lt;=500,"До 500","Отдельное КП"))))</f>
        <v/>
      </c>
      <c r="N1383" s="15">
        <f>IF(OR(G1383="",L1383&lt;&gt;"Да"),"",IF(G1383&lt;=100,33600,IF(G1383&lt;=200,62400,IF(G1383&lt;=500,144000,""))))</f>
        <v/>
      </c>
      <c r="O1383" s="16">
        <f>IF(G1383="","",IF(G1383&lt;=15,"1–15",IF(G1383&lt;=30,"16–30",IF(G1383&lt;=50,"31–50",IF(G1383&lt;=100,"51–100",IF(G1383&lt;=150,"101–150",IF(G1383&lt;=200,"151–200",IF(G1383&lt;=500,"201–500","500+"))))))))</f>
        <v/>
      </c>
      <c r="P1383" s="16" t="inlineStr">
        <is>
          <t>Нет совпадения в предоставленной выгрузке ССЧР</t>
        </is>
      </c>
      <c r="Q1383" s="16" t="n"/>
      <c r="R1383" s="16">
        <f>HYPERLINK("https://checko.ru/search?query=3801001629","Чекко: проверить")</f>
        <v/>
      </c>
      <c r="S1383" t="n">
        <v>0</v>
      </c>
    </row>
    <row r="1384" ht="41.25" customHeight="1" s="24">
      <c r="A1384" s="13" t="n">
        <v>5000105981</v>
      </c>
      <c r="B1384" s="13" t="inlineStr">
        <is>
          <t>Муниципальное казенное учреждение "Единая Дежурно - Диспетчерская Служба - 112 Муниципального Образования Киренский Район"</t>
        </is>
      </c>
      <c r="C1384" s="13" t="n">
        <v>3818049001</v>
      </c>
      <c r="D1384" s="13" t="inlineStr">
        <is>
          <t>3818049001</t>
        </is>
      </c>
      <c r="E1384" s="13" t="inlineStr">
        <is>
          <t>ЮЛ РФ</t>
        </is>
      </c>
      <c r="F1384" s="13" t="n"/>
      <c r="G1384" s="14" t="n"/>
      <c r="H1384" s="14" t="n"/>
      <c r="I1384" s="14" t="n"/>
      <c r="J1384" s="14" t="n"/>
      <c r="K1384" s="53" t="inlineStr"/>
      <c r="L1384" s="53" t="inlineStr">
        <is>
          <t>Не определено</t>
        </is>
      </c>
      <c r="M1384" s="53" t="inlineStr"/>
      <c r="N1384" s="54" t="inlineStr"/>
      <c r="O1384" s="55" t="inlineStr"/>
      <c r="P1384" s="16" t="inlineStr">
        <is>
          <t>Требует обогащения</t>
        </is>
      </c>
      <c r="Q1384" s="16">
        <f>HYPERLINK("https://pb.nalog.ru/search.html?query=3818049001","ФНС: проверить")</f>
        <v/>
      </c>
      <c r="R1384" s="16">
        <f>HYPERLINK("https://checko.ru/search?query=3801001629","Чекко: проверить")</f>
        <v/>
      </c>
      <c r="S1384" t="n">
        <v>1</v>
      </c>
      <c r="T1384" s="35" t="inlineStr">
        <is>
          <t>4 — Не обогащён</t>
        </is>
      </c>
      <c r="U1384" s="35" t="inlineStr">
        <is>
          <t>Нет ОКВЭД/ССЧР</t>
        </is>
      </c>
      <c r="V1384" s="35" t="inlineStr">
        <is>
          <t>Не определено</t>
        </is>
      </c>
      <c r="W1384" s="35" t="inlineStr"/>
      <c r="X1384" s="35" t="inlineStr"/>
    </row>
    <row r="1385" ht="27.75" customHeight="1" s="24">
      <c r="A1385" s="13" t="n">
        <v>5000098020</v>
      </c>
      <c r="B1385" s="13" t="inlineStr">
        <is>
          <t>ГОСУДАРСТВЕННОЕ КАЗЕННОЕ УЧРЕЖДЕНИЕ ИРКУТСКОЙ ОБЛАСТИ "ИРКУТСКОЕ ЛЕСНИЧЕСТВО"</t>
        </is>
      </c>
      <c r="C1385" s="13" t="n">
        <v>3849096629</v>
      </c>
      <c r="D1385" s="13" t="inlineStr">
        <is>
          <t>3849096629</t>
        </is>
      </c>
      <c r="E1385" s="13" t="inlineStr">
        <is>
          <t>ЮЛ РФ</t>
        </is>
      </c>
      <c r="F1385" s="13" t="n"/>
      <c r="G1385" s="14" t="n"/>
      <c r="H1385" s="14" t="n"/>
      <c r="I1385" s="14" t="n"/>
      <c r="J1385" s="14" t="n"/>
      <c r="K1385" s="53" t="inlineStr"/>
      <c r="L1385" s="53" t="inlineStr">
        <is>
          <t>Не определено</t>
        </is>
      </c>
      <c r="M1385" s="53" t="inlineStr"/>
      <c r="N1385" s="54" t="inlineStr"/>
      <c r="O1385" s="55" t="inlineStr"/>
      <c r="P1385" s="16" t="inlineStr">
        <is>
          <t>Требует обогащения</t>
        </is>
      </c>
      <c r="Q1385" s="16">
        <f>HYPERLINK("https://pb.nalog.ru/search.html?query=3849096629","ФНС: проверить")</f>
        <v/>
      </c>
      <c r="R1385" s="16">
        <f>HYPERLINK("https://checko.ru/search?query=3801001629","Чекко: проверить")</f>
        <v/>
      </c>
      <c r="S1385" t="n">
        <v>1</v>
      </c>
      <c r="T1385" s="35" t="inlineStr">
        <is>
          <t>4 — Не обогащён</t>
        </is>
      </c>
      <c r="U1385" s="35" t="inlineStr">
        <is>
          <t>Нет ОКВЭД/ССЧР</t>
        </is>
      </c>
      <c r="V1385" s="35" t="inlineStr">
        <is>
          <t>Не определено</t>
        </is>
      </c>
      <c r="W1385" s="35" t="inlineStr"/>
      <c r="X1385" s="35" t="inlineStr"/>
    </row>
    <row r="1386" ht="15" customHeight="1" s="24">
      <c r="A1386" s="13" t="n">
        <v>5000094908</v>
      </c>
      <c r="B1386" s="13" t="inlineStr">
        <is>
          <t>РГОУ СКОШИ №4 VIII вида</t>
        </is>
      </c>
      <c r="C1386" s="13" t="n">
        <v>709004848</v>
      </c>
      <c r="D1386" s="13" t="n"/>
      <c r="E1386" s="13" t="inlineStr">
        <is>
          <t>Не определён</t>
        </is>
      </c>
      <c r="F1386" s="13" t="inlineStr">
        <is>
          <t>709004848</t>
        </is>
      </c>
      <c r="G1386" s="14" t="n"/>
      <c r="H1386" s="14" t="n"/>
      <c r="I1386" s="14" t="n"/>
      <c r="J1386" s="14" t="n"/>
      <c r="K1386" s="13">
        <f>IF(G1386="","",IF(G1386&gt;=22,"Да","Нет"))</f>
        <v/>
      </c>
      <c r="L1386" s="13">
        <f>IF(OR(I1386="",J1386=""),"Не определено",IF(OR(COUNTIF(I1386,"45*")&gt;0,COUNTIF(J1386,"*45*")&gt;0,COUNTIF(I1386,"46*")&gt;0,COUNTIF(J1386,"*46*")&gt;0,COUNTIF(I1386,"47*")&gt;0,COUNTIF(J1386,"*47*")&gt;0,COUNTIF(I1386,"10*")&gt;0,COUNTIF(J1386,"*10*")&gt;0,COUNTIF(I1386,"11*")&gt;0,COUNTIF(J1386,"*11*")&gt;0,COUNTIF(I1386,"12*")&gt;0,COUNTIF(J1386,"*12*")&gt;0,COUNTIF(I1386,"13*")&gt;0,COUNTIF(J1386,"*13*")&gt;0,COUNTIF(I1386,"14*")&gt;0,COUNTIF(J1386,"*14*")&gt;0,COUNTIF(I1386,"15*")&gt;0,COUNTIF(J1386,"*15*")&gt;0,COUNTIF(I1386,"16*")&gt;0,COUNTIF(J1386,"*16*")&gt;0,COUNTIF(I1386,"17*")&gt;0,COUNTIF(J1386,"*17*")&gt;0,COUNTIF(I1386,"18*")&gt;0,COUNTIF(J1386,"*18*")&gt;0,COUNTIF(I1386,"19*")&gt;0,COUNTIF(J1386,"*19*")&gt;0,COUNTIF(I1386,"20*")&gt;0,COUNTIF(J1386,"*20*")&gt;0,COUNTIF(I1386,"21*")&gt;0,COUNTIF(J1386,"*21*")&gt;0,COUNTIF(I1386,"22*")&gt;0,COUNTIF(J1386,"*22*")&gt;0,COUNTIF(I1386,"23*")&gt;0,COUNTIF(J1386,"*23*")&gt;0,COUNTIF(I1386,"24*")&gt;0,COUNTIF(J1386,"*24*")&gt;0,COUNTIF(I1386,"25*")&gt;0,COUNTIF(J1386,"*25*")&gt;0,COUNTIF(I1386,"26*")&gt;0,COUNTIF(J1386,"*26*")&gt;0,COUNTIF(I1386,"27*")&gt;0,COUNTIF(J1386,"*27*")&gt;0,COUNTIF(I1386,"28*")&gt;0,COUNTIF(J1386,"*28*")&gt;0,COUNTIF(I1386,"29*")&gt;0,COUNTIF(J1386,"*29*")&gt;0,COUNTIF(I1386,"30*")&gt;0,COUNTIF(J1386,"*30*")&gt;0,COUNTIF(I1386,"31*")&gt;0,COUNTIF(J1386,"*31*")&gt;0,COUNTIF(I1386,"32*")&gt;0,COUNTIF(J1386,"*32*")&gt;0,COUNTIF(I1386,"33*")&gt;0,COUNTIF(J1386,"*33*")&gt;0,COUNTIF(I1386,"41*")&gt;0,COUNTIF(J1386,"*41*")&gt;0,COUNTIF(I1386,"42*")&gt;0,COUNTIF(J1386,"*42*")&gt;0,COUNTIF(I1386,"43*")&gt;0,COUNTIF(J1386,"*43*")&gt;0,COUNTIF(I1386,"49*")&gt;0,COUNTIF(J1386,"*49*")&gt;0,COUNTIF(I1386,"52*")&gt;0,COUNTIF(J1386,"*52*")&gt;0,COUNTIF(I1386,"55*")&gt;0,COUNTIF(J1386,"*55*")&gt;0,COUNTIF(I1386,"56*")&gt;0,COUNTIF(J1386,"*56*")&gt;0,COUNTIF(I1386,"68*")&gt;0,COUNTIF(J1386,"*68*")&gt;0,COUNTIF(I1386,"78*")&gt;0,COUNTIF(J1386,"*78*")&gt;0,COUNTIF(I1386,"81*")&gt;0,COUNTIF(J1386,"*81*")&gt;0,COUNTIF(I1386,"82*")&gt;0,COUNTIF(J1386,"*82*")&gt;0,COUNTIF(I1386,"64*")&gt;0,COUNTIF(J1386,"*64*")&gt;0,COUNTIF(I1386,"65*")&gt;0,COUNTIF(J1386,"*65*")&gt;0,COUNTIF(I1386,"66*")&gt;0,COUNTIF(J1386,"*66*")&gt;0,COUNTIF(I1386,"61*")&gt;0,COUNTIF(J1386,"*61*")&gt;0,COUNTIF(I1386,"62*")&gt;0,COUNTIF(J1386,"*62*")&gt;0,COUNTIF(I1386,"63*")&gt;0,COUNTIF(J1386,"*63*")&gt;0,COUNTIF(I1386,"85*")&gt;0,COUNTIF(J1386,"*85*")&gt;0,COUNTIF(I1386,"86*")&gt;0,COUNTIF(J1386,"*86*")&gt;0),"Да","Нет"))</f>
        <v/>
      </c>
      <c r="M1386" s="13">
        <f>IF(OR(G1386="",L1386&lt;&gt;"Да"),"",IF(G1386&lt;=100,"До 100",IF(G1386&lt;=200,"До 200",IF(G1386&lt;=500,"До 500","Отдельное КП"))))</f>
        <v/>
      </c>
      <c r="N1386" s="15">
        <f>IF(OR(G1386="",L1386&lt;&gt;"Да"),"",IF(G1386&lt;=100,33600,IF(G1386&lt;=200,62400,IF(G1386&lt;=500,144000,""))))</f>
        <v/>
      </c>
      <c r="O1386" s="16">
        <f>IF(G1386="","",IF(G1386&lt;=15,"1–15",IF(G1386&lt;=30,"16–30",IF(G1386&lt;=50,"31–50",IF(G1386&lt;=100,"51–100",IF(G1386&lt;=150,"101–150",IF(G1386&lt;=200,"151–200",IF(G1386&lt;=500,"201–500","500+"))))))))</f>
        <v/>
      </c>
      <c r="P1386" s="16" t="inlineStr">
        <is>
          <t>Нет совпадения в предоставленной выгрузке ССЧР</t>
        </is>
      </c>
      <c r="Q1386" s="16" t="n"/>
      <c r="R1386" s="16">
        <f>HYPERLINK("https://checko.ru/search?query=3801001629","Чекко: проверить")</f>
        <v/>
      </c>
      <c r="S1386" t="n">
        <v>0</v>
      </c>
    </row>
    <row r="1387" ht="15" customHeight="1" s="24">
      <c r="A1387" s="13" t="n">
        <v>5000094972</v>
      </c>
      <c r="B1387" s="13" t="inlineStr">
        <is>
          <t>ГОУ КБ Лицей "Строитель"</t>
        </is>
      </c>
      <c r="C1387" s="13" t="n">
        <v>711030683</v>
      </c>
      <c r="D1387" s="13" t="n"/>
      <c r="E1387" s="13" t="inlineStr">
        <is>
          <t>Не определён</t>
        </is>
      </c>
      <c r="F1387" s="13" t="inlineStr">
        <is>
          <t>711030683</t>
        </is>
      </c>
      <c r="G1387" s="14" t="n"/>
      <c r="H1387" s="14" t="n"/>
      <c r="I1387" s="14" t="n"/>
      <c r="J1387" s="14" t="n"/>
      <c r="K1387" s="13">
        <f>IF(G1387="","",IF(G1387&gt;=22,"Да","Нет"))</f>
        <v/>
      </c>
      <c r="L1387" s="13">
        <f>IF(OR(I1387="",J1387=""),"Не определено",IF(OR(COUNTIF(I1387,"45*")&gt;0,COUNTIF(J1387,"*45*")&gt;0,COUNTIF(I1387,"46*")&gt;0,COUNTIF(J1387,"*46*")&gt;0,COUNTIF(I1387,"47*")&gt;0,COUNTIF(J1387,"*47*")&gt;0,COUNTIF(I1387,"10*")&gt;0,COUNTIF(J1387,"*10*")&gt;0,COUNTIF(I1387,"11*")&gt;0,COUNTIF(J1387,"*11*")&gt;0,COUNTIF(I1387,"12*")&gt;0,COUNTIF(J1387,"*12*")&gt;0,COUNTIF(I1387,"13*")&gt;0,COUNTIF(J1387,"*13*")&gt;0,COUNTIF(I1387,"14*")&gt;0,COUNTIF(J1387,"*14*")&gt;0,COUNTIF(I1387,"15*")&gt;0,COUNTIF(J1387,"*15*")&gt;0,COUNTIF(I1387,"16*")&gt;0,COUNTIF(J1387,"*16*")&gt;0,COUNTIF(I1387,"17*")&gt;0,COUNTIF(J1387,"*17*")&gt;0,COUNTIF(I1387,"18*")&gt;0,COUNTIF(J1387,"*18*")&gt;0,COUNTIF(I1387,"19*")&gt;0,COUNTIF(J1387,"*19*")&gt;0,COUNTIF(I1387,"20*")&gt;0,COUNTIF(J1387,"*20*")&gt;0,COUNTIF(I1387,"21*")&gt;0,COUNTIF(J1387,"*21*")&gt;0,COUNTIF(I1387,"22*")&gt;0,COUNTIF(J1387,"*22*")&gt;0,COUNTIF(I1387,"23*")&gt;0,COUNTIF(J1387,"*23*")&gt;0,COUNTIF(I1387,"24*")&gt;0,COUNTIF(J1387,"*24*")&gt;0,COUNTIF(I1387,"25*")&gt;0,COUNTIF(J1387,"*25*")&gt;0,COUNTIF(I1387,"26*")&gt;0,COUNTIF(J1387,"*26*")&gt;0,COUNTIF(I1387,"27*")&gt;0,COUNTIF(J1387,"*27*")&gt;0,COUNTIF(I1387,"28*")&gt;0,COUNTIF(J1387,"*28*")&gt;0,COUNTIF(I1387,"29*")&gt;0,COUNTIF(J1387,"*29*")&gt;0,COUNTIF(I1387,"30*")&gt;0,COUNTIF(J1387,"*30*")&gt;0,COUNTIF(I1387,"31*")&gt;0,COUNTIF(J1387,"*31*")&gt;0,COUNTIF(I1387,"32*")&gt;0,COUNTIF(J1387,"*32*")&gt;0,COUNTIF(I1387,"33*")&gt;0,COUNTIF(J1387,"*33*")&gt;0,COUNTIF(I1387,"41*")&gt;0,COUNTIF(J1387,"*41*")&gt;0,COUNTIF(I1387,"42*")&gt;0,COUNTIF(J1387,"*42*")&gt;0,COUNTIF(I1387,"43*")&gt;0,COUNTIF(J1387,"*43*")&gt;0,COUNTIF(I1387,"49*")&gt;0,COUNTIF(J1387,"*49*")&gt;0,COUNTIF(I1387,"52*")&gt;0,COUNTIF(J1387,"*52*")&gt;0,COUNTIF(I1387,"55*")&gt;0,COUNTIF(J1387,"*55*")&gt;0,COUNTIF(I1387,"56*")&gt;0,COUNTIF(J1387,"*56*")&gt;0,COUNTIF(I1387,"68*")&gt;0,COUNTIF(J1387,"*68*")&gt;0,COUNTIF(I1387,"78*")&gt;0,COUNTIF(J1387,"*78*")&gt;0,COUNTIF(I1387,"81*")&gt;0,COUNTIF(J1387,"*81*")&gt;0,COUNTIF(I1387,"82*")&gt;0,COUNTIF(J1387,"*82*")&gt;0,COUNTIF(I1387,"64*")&gt;0,COUNTIF(J1387,"*64*")&gt;0,COUNTIF(I1387,"65*")&gt;0,COUNTIF(J1387,"*65*")&gt;0,COUNTIF(I1387,"66*")&gt;0,COUNTIF(J1387,"*66*")&gt;0,COUNTIF(I1387,"61*")&gt;0,COUNTIF(J1387,"*61*")&gt;0,COUNTIF(I1387,"62*")&gt;0,COUNTIF(J1387,"*62*")&gt;0,COUNTIF(I1387,"63*")&gt;0,COUNTIF(J1387,"*63*")&gt;0,COUNTIF(I1387,"85*")&gt;0,COUNTIF(J1387,"*85*")&gt;0,COUNTIF(I1387,"86*")&gt;0,COUNTIF(J1387,"*86*")&gt;0),"Да","Нет"))</f>
        <v/>
      </c>
      <c r="M1387" s="13">
        <f>IF(OR(G1387="",L1387&lt;&gt;"Да"),"",IF(G1387&lt;=100,"До 100",IF(G1387&lt;=200,"До 200",IF(G1387&lt;=500,"До 500","Отдельное КП"))))</f>
        <v/>
      </c>
      <c r="N1387" s="15">
        <f>IF(OR(G1387="",L1387&lt;&gt;"Да"),"",IF(G1387&lt;=100,33600,IF(G1387&lt;=200,62400,IF(G1387&lt;=500,144000,""))))</f>
        <v/>
      </c>
      <c r="O1387" s="16">
        <f>IF(G1387="","",IF(G1387&lt;=15,"1–15",IF(G1387&lt;=30,"16–30",IF(G1387&lt;=50,"31–50",IF(G1387&lt;=100,"51–100",IF(G1387&lt;=150,"101–150",IF(G1387&lt;=200,"151–200",IF(G1387&lt;=500,"201–500","500+"))))))))</f>
        <v/>
      </c>
      <c r="P1387" s="16" t="inlineStr">
        <is>
          <t>Нет совпадения в предоставленной выгрузке ССЧР</t>
        </is>
      </c>
      <c r="Q1387" s="16" t="n"/>
      <c r="R1387" s="16">
        <f>HYPERLINK("https://checko.ru/search?query=3801001629","Чекко: проверить")</f>
        <v/>
      </c>
      <c r="S1387" t="n">
        <v>0</v>
      </c>
    </row>
    <row r="1388" ht="27.75" customHeight="1" s="24">
      <c r="A1388" s="13" t="n">
        <v>5000001423</v>
      </c>
      <c r="B1388" s="13" t="inlineStr">
        <is>
          <t>ГУК "Областной центр народного творчества и досуга"</t>
        </is>
      </c>
      <c r="C1388" s="13" t="n">
        <v>3808003505</v>
      </c>
      <c r="D1388" s="13" t="inlineStr">
        <is>
          <t>3808003505</t>
        </is>
      </c>
      <c r="E1388" s="13" t="inlineStr">
        <is>
          <t>ЮЛ РФ</t>
        </is>
      </c>
      <c r="F1388" s="13" t="n"/>
      <c r="G1388" s="14" t="n"/>
      <c r="H1388" s="14" t="n"/>
      <c r="I1388" s="14" t="n"/>
      <c r="J1388" s="14" t="n"/>
      <c r="K1388" s="53" t="inlineStr"/>
      <c r="L1388" s="53" t="inlineStr">
        <is>
          <t>Не определено</t>
        </is>
      </c>
      <c r="M1388" s="53" t="inlineStr"/>
      <c r="N1388" s="54" t="inlineStr"/>
      <c r="O1388" s="55" t="inlineStr"/>
      <c r="P1388" s="16" t="inlineStr">
        <is>
          <t>Требует обогащения</t>
        </is>
      </c>
      <c r="Q1388" s="16">
        <f>HYPERLINK("https://pb.nalog.ru/search.html?query=3808003505","ФНС: проверить")</f>
        <v/>
      </c>
      <c r="R1388" s="16">
        <f>HYPERLINK("https://checko.ru/search?query=3801001629","Чекко: проверить")</f>
        <v/>
      </c>
      <c r="S1388" t="n">
        <v>1</v>
      </c>
      <c r="T1388" s="35" t="inlineStr">
        <is>
          <t>4 — Не обогащён</t>
        </is>
      </c>
      <c r="U1388" s="35" t="inlineStr">
        <is>
          <t>Нет ОКВЭД/ССЧР</t>
        </is>
      </c>
      <c r="V1388" s="35" t="inlineStr">
        <is>
          <t>Не определено</t>
        </is>
      </c>
      <c r="W1388" s="35" t="inlineStr"/>
      <c r="X1388" s="35" t="inlineStr"/>
    </row>
    <row r="1389" ht="15" customHeight="1" s="24">
      <c r="A1389" s="13" t="n">
        <v>5000075694</v>
      </c>
      <c r="B1389" s="13" t="inlineStr">
        <is>
          <t>Комитет по делам архивов Оренбургской области</t>
        </is>
      </c>
      <c r="C1389" s="13" t="n">
        <v>5610085685</v>
      </c>
      <c r="D1389" s="13" t="inlineStr">
        <is>
          <t>5610085685</t>
        </is>
      </c>
      <c r="E1389" s="13" t="inlineStr">
        <is>
          <t>ЮЛ РФ</t>
        </is>
      </c>
      <c r="F1389" s="13" t="n"/>
      <c r="G1389" s="14" t="n"/>
      <c r="H1389" s="14" t="n"/>
      <c r="I1389" s="14" t="n"/>
      <c r="J1389" s="14" t="n"/>
      <c r="K1389" s="53" t="inlineStr"/>
      <c r="L1389" s="53" t="inlineStr">
        <is>
          <t>Не определено</t>
        </is>
      </c>
      <c r="M1389" s="53" t="inlineStr"/>
      <c r="N1389" s="54" t="inlineStr"/>
      <c r="O1389" s="55" t="inlineStr"/>
      <c r="P1389" s="16" t="inlineStr">
        <is>
          <t>Требует обогащения</t>
        </is>
      </c>
      <c r="Q1389" s="16">
        <f>HYPERLINK("https://pb.nalog.ru/search.html?query=5610085685","ФНС: проверить")</f>
        <v/>
      </c>
      <c r="R1389" s="16">
        <f>HYPERLINK("https://checko.ru/search?query=3801001629","Чекко: проверить")</f>
        <v/>
      </c>
      <c r="S1389" t="n">
        <v>1</v>
      </c>
      <c r="T1389" s="35" t="inlineStr">
        <is>
          <t>4 — Не обогащён</t>
        </is>
      </c>
      <c r="U1389" s="35" t="inlineStr">
        <is>
          <t>Нет ОКВЭД/ССЧР</t>
        </is>
      </c>
      <c r="V1389" s="35" t="inlineStr">
        <is>
          <t>Не определено</t>
        </is>
      </c>
      <c r="W1389" s="35" t="inlineStr"/>
      <c r="X1389" s="35" t="inlineStr"/>
    </row>
    <row r="1390" ht="27.75" customHeight="1" s="24">
      <c r="A1390" s="13" t="n">
        <v>5000001440</v>
      </c>
      <c r="B1390" s="13" t="inlineStr">
        <is>
          <t>ГОБУДО Иркутская областная детская школа искусств</t>
        </is>
      </c>
      <c r="C1390" s="13" t="n">
        <v>3808017931</v>
      </c>
      <c r="D1390" s="13" t="inlineStr">
        <is>
          <t>3808017931</t>
        </is>
      </c>
      <c r="E1390" s="13" t="inlineStr">
        <is>
          <t>ЮЛ РФ</t>
        </is>
      </c>
      <c r="F1390" s="13" t="n"/>
      <c r="G1390" s="14" t="n"/>
      <c r="H1390" s="14" t="n"/>
      <c r="I1390" s="14" t="n"/>
      <c r="J1390" s="14" t="n"/>
      <c r="K1390" s="53" t="inlineStr"/>
      <c r="L1390" s="53" t="inlineStr">
        <is>
          <t>Не определено</t>
        </is>
      </c>
      <c r="M1390" s="53" t="inlineStr"/>
      <c r="N1390" s="54" t="inlineStr"/>
      <c r="O1390" s="55" t="inlineStr"/>
      <c r="P1390" s="16" t="inlineStr">
        <is>
          <t>Требует обогащения</t>
        </is>
      </c>
      <c r="Q1390" s="16">
        <f>HYPERLINK("https://pb.nalog.ru/search.html?query=3808017931","ФНС: проверить")</f>
        <v/>
      </c>
      <c r="R1390" s="16">
        <f>HYPERLINK("https://checko.ru/search?query=3801001629","Чекко: проверить")</f>
        <v/>
      </c>
      <c r="S1390" t="n">
        <v>1</v>
      </c>
      <c r="T1390" s="35" t="inlineStr">
        <is>
          <t>4 — Не обогащён</t>
        </is>
      </c>
      <c r="U1390" s="35" t="inlineStr">
        <is>
          <t>Нет ОКВЭД/ССЧР</t>
        </is>
      </c>
      <c r="V1390" s="35" t="inlineStr">
        <is>
          <t>Не определено</t>
        </is>
      </c>
      <c r="W1390" s="35" t="inlineStr"/>
      <c r="X1390" s="35" t="inlineStr"/>
    </row>
    <row r="1391" ht="15" customHeight="1" s="24">
      <c r="A1391" s="13" t="n">
        <v>5000001714</v>
      </c>
      <c r="B1391" s="13" t="inlineStr">
        <is>
          <t>ОГАУСО Марковский геронтологический центр</t>
        </is>
      </c>
      <c r="C1391" s="13" t="n">
        <v>3827000771</v>
      </c>
      <c r="D1391" s="13" t="inlineStr">
        <is>
          <t>3827000771</t>
        </is>
      </c>
      <c r="E1391" s="13" t="inlineStr">
        <is>
          <t>ЮЛ РФ</t>
        </is>
      </c>
      <c r="F1391" s="13" t="n"/>
      <c r="G1391" s="14" t="n"/>
      <c r="H1391" s="14" t="n"/>
      <c r="I1391" s="14" t="n"/>
      <c r="J1391" s="14" t="n"/>
      <c r="K1391" s="53" t="inlineStr"/>
      <c r="L1391" s="53" t="inlineStr">
        <is>
          <t>Не определено</t>
        </is>
      </c>
      <c r="M1391" s="53" t="inlineStr"/>
      <c r="N1391" s="54" t="inlineStr"/>
      <c r="O1391" s="55" t="inlineStr"/>
      <c r="P1391" s="16" t="inlineStr">
        <is>
          <t>Требует обогащения</t>
        </is>
      </c>
      <c r="Q1391" s="16">
        <f>HYPERLINK("https://pb.nalog.ru/search.html?query=3827000771","ФНС: проверить")</f>
        <v/>
      </c>
      <c r="R1391" s="16">
        <f>HYPERLINK("https://checko.ru/search?query=3801001629","Чекко: проверить")</f>
        <v/>
      </c>
      <c r="S1391" t="n">
        <v>1</v>
      </c>
      <c r="T1391" s="35" t="inlineStr">
        <is>
          <t>4 — Не обогащён</t>
        </is>
      </c>
      <c r="U1391" s="35" t="inlineStr">
        <is>
          <t>Нет ОКВЭД/ССЧР</t>
        </is>
      </c>
      <c r="V1391" s="35" t="inlineStr">
        <is>
          <t>Не определено</t>
        </is>
      </c>
      <c r="W1391" s="35" t="inlineStr"/>
      <c r="X1391" s="35" t="inlineStr"/>
    </row>
    <row r="1392" ht="15" customHeight="1" s="24">
      <c r="A1392" s="13" t="n">
        <v>5000038515</v>
      </c>
      <c r="B1392" s="13" t="inlineStr">
        <is>
          <t>ОГКОУ ДОД СДЮСШОР по тхеквондо</t>
        </is>
      </c>
      <c r="C1392" s="13" t="n">
        <v>7326011699</v>
      </c>
      <c r="D1392" s="13" t="inlineStr">
        <is>
          <t>7326011699</t>
        </is>
      </c>
      <c r="E1392" s="13" t="inlineStr">
        <is>
          <t>ЮЛ РФ</t>
        </is>
      </c>
      <c r="F1392" s="13" t="n"/>
      <c r="G1392" s="14" t="n"/>
      <c r="H1392" s="14" t="n"/>
      <c r="I1392" s="14" t="n"/>
      <c r="J1392" s="14" t="n"/>
      <c r="K1392" s="53" t="inlineStr"/>
      <c r="L1392" s="53" t="inlineStr">
        <is>
          <t>Не определено</t>
        </is>
      </c>
      <c r="M1392" s="53" t="inlineStr"/>
      <c r="N1392" s="54" t="inlineStr"/>
      <c r="O1392" s="55" t="inlineStr"/>
      <c r="P1392" s="16" t="inlineStr">
        <is>
          <t>Требует обогащения</t>
        </is>
      </c>
      <c r="Q1392" s="16">
        <f>HYPERLINK("https://pb.nalog.ru/search.html?query=7326011699","ФНС: проверить")</f>
        <v/>
      </c>
      <c r="R1392" s="16">
        <f>HYPERLINK("https://checko.ru/search?query=3801001629","Чекко: проверить")</f>
        <v/>
      </c>
      <c r="S1392" t="n">
        <v>1</v>
      </c>
      <c r="T1392" s="35" t="inlineStr">
        <is>
          <t>4 — Не обогащён</t>
        </is>
      </c>
      <c r="U1392" s="35" t="inlineStr">
        <is>
          <t>Нет ОКВЭД/ССЧР</t>
        </is>
      </c>
      <c r="V1392" s="35" t="inlineStr">
        <is>
          <t>Не определено</t>
        </is>
      </c>
      <c r="W1392" s="35" t="inlineStr"/>
      <c r="X1392" s="35" t="inlineStr"/>
    </row>
    <row r="1393" ht="27.75" customHeight="1" s="24">
      <c r="A1393" s="13" t="n">
        <v>5000001666</v>
      </c>
      <c r="B1393" s="13" t="inlineStr">
        <is>
          <t>ОГКУ СО "Центр помощи детям, оставшихся без попечения родителей"</t>
        </is>
      </c>
      <c r="C1393" s="13" t="n">
        <v>3810028433</v>
      </c>
      <c r="D1393" s="13" t="inlineStr">
        <is>
          <t>3810028433</t>
        </is>
      </c>
      <c r="E1393" s="13" t="inlineStr">
        <is>
          <t>ЮЛ РФ</t>
        </is>
      </c>
      <c r="F1393" s="13" t="n"/>
      <c r="G1393" s="14" t="n"/>
      <c r="H1393" s="14" t="n"/>
      <c r="I1393" s="14" t="n"/>
      <c r="J1393" s="14" t="n"/>
      <c r="K1393" s="53" t="inlineStr"/>
      <c r="L1393" s="53" t="inlineStr">
        <is>
          <t>Не определено</t>
        </is>
      </c>
      <c r="M1393" s="53" t="inlineStr"/>
      <c r="N1393" s="54" t="inlineStr"/>
      <c r="O1393" s="55" t="inlineStr"/>
      <c r="P1393" s="16" t="inlineStr">
        <is>
          <t>Требует обогащения</t>
        </is>
      </c>
      <c r="Q1393" s="16">
        <f>HYPERLINK("https://pb.nalog.ru/search.html?query=3810028433","ФНС: проверить")</f>
        <v/>
      </c>
      <c r="R1393" s="16">
        <f>HYPERLINK("https://checko.ru/search?query=3801001629","Чекко: проверить")</f>
        <v/>
      </c>
      <c r="S1393" t="n">
        <v>1</v>
      </c>
      <c r="T1393" s="35" t="inlineStr">
        <is>
          <t>4 — Не обогащён</t>
        </is>
      </c>
      <c r="U1393" s="35" t="inlineStr">
        <is>
          <t>Нет ОКВЭД/ССЧР</t>
        </is>
      </c>
      <c r="V1393" s="35" t="inlineStr">
        <is>
          <t>Не определено</t>
        </is>
      </c>
      <c r="W1393" s="35" t="inlineStr"/>
      <c r="X1393" s="35" t="inlineStr"/>
    </row>
    <row r="1394" ht="15" customHeight="1" s="24">
      <c r="A1394" s="13" t="n">
        <v>5000001861</v>
      </c>
      <c r="B1394" s="13" t="inlineStr">
        <is>
          <t>МБУЗ г.Иркутска "Поликлиника № 17"</t>
        </is>
      </c>
      <c r="C1394" s="13" t="n">
        <v>3812014651</v>
      </c>
      <c r="D1394" s="13" t="inlineStr">
        <is>
          <t>3812014651</t>
        </is>
      </c>
      <c r="E1394" s="13" t="inlineStr">
        <is>
          <t>ЮЛ РФ</t>
        </is>
      </c>
      <c r="F1394" s="13" t="n"/>
      <c r="G1394" s="14" t="n"/>
      <c r="H1394" s="14" t="n"/>
      <c r="I1394" s="14" t="n"/>
      <c r="J1394" s="14" t="n"/>
      <c r="K1394" s="53" t="inlineStr"/>
      <c r="L1394" s="53" t="inlineStr">
        <is>
          <t>Не определено</t>
        </is>
      </c>
      <c r="M1394" s="53" t="inlineStr"/>
      <c r="N1394" s="54" t="inlineStr"/>
      <c r="O1394" s="55" t="inlineStr"/>
      <c r="P1394" s="16" t="inlineStr">
        <is>
          <t>Требует обогащения</t>
        </is>
      </c>
      <c r="Q1394" s="16">
        <f>HYPERLINK("https://pb.nalog.ru/search.html?query=3812014651","ФНС: проверить")</f>
        <v/>
      </c>
      <c r="R1394" s="16">
        <f>HYPERLINK("https://checko.ru/search?query=3801001629","Чекко: проверить")</f>
        <v/>
      </c>
      <c r="S1394" t="n">
        <v>1</v>
      </c>
      <c r="T1394" s="35" t="inlineStr">
        <is>
          <t>4 — Не обогащён</t>
        </is>
      </c>
      <c r="U1394" s="35" t="inlineStr">
        <is>
          <t>Нет ОКВЭД/ССЧР</t>
        </is>
      </c>
      <c r="V1394" s="35" t="inlineStr">
        <is>
          <t>Не определено</t>
        </is>
      </c>
      <c r="W1394" s="35" t="inlineStr"/>
      <c r="X1394" s="35" t="inlineStr"/>
    </row>
    <row r="1395" ht="15" customHeight="1" s="24">
      <c r="A1395" s="13" t="n">
        <v>5000008602</v>
      </c>
      <c r="B1395" s="13" t="inlineStr">
        <is>
          <t>УФССП России по Костромской области</t>
        </is>
      </c>
      <c r="C1395" s="13" t="n">
        <v>4401050486</v>
      </c>
      <c r="D1395" s="13" t="inlineStr">
        <is>
          <t>4401050486</t>
        </is>
      </c>
      <c r="E1395" s="13" t="inlineStr">
        <is>
          <t>ЮЛ РФ</t>
        </is>
      </c>
      <c r="F1395" s="13" t="n"/>
      <c r="G1395" s="14" t="n"/>
      <c r="H1395" s="14" t="n"/>
      <c r="I1395" s="14" t="n"/>
      <c r="J1395" s="14" t="n"/>
      <c r="K1395" s="53" t="inlineStr"/>
      <c r="L1395" s="53" t="inlineStr">
        <is>
          <t>Не определено</t>
        </is>
      </c>
      <c r="M1395" s="53" t="inlineStr"/>
      <c r="N1395" s="54" t="inlineStr"/>
      <c r="O1395" s="55" t="inlineStr"/>
      <c r="P1395" s="16" t="inlineStr">
        <is>
          <t>Требует обогащения</t>
        </is>
      </c>
      <c r="Q1395" s="16">
        <f>HYPERLINK("https://pb.nalog.ru/search.html?query=4401050486","ФНС: проверить")</f>
        <v/>
      </c>
      <c r="R1395" s="16">
        <f>HYPERLINK("https://checko.ru/search?query=3801001629","Чекко: проверить")</f>
        <v/>
      </c>
      <c r="S1395" t="n">
        <v>1</v>
      </c>
      <c r="T1395" s="35" t="inlineStr">
        <is>
          <t>4 — Не обогащён</t>
        </is>
      </c>
      <c r="U1395" s="35" t="inlineStr">
        <is>
          <t>Нет ОКВЭД/ССЧР</t>
        </is>
      </c>
      <c r="V1395" s="35" t="inlineStr">
        <is>
          <t>Не определено</t>
        </is>
      </c>
      <c r="W1395" s="35" t="inlineStr"/>
      <c r="X1395" s="35" t="inlineStr"/>
    </row>
    <row r="1396" ht="15" customHeight="1" s="24">
      <c r="A1396" s="13" t="n">
        <v>5000106071</v>
      </c>
      <c r="B1396" s="13" t="inlineStr">
        <is>
          <t>ОКИ ГБПОУ</t>
        </is>
      </c>
      <c r="C1396" s="13" t="n">
        <v>5616008207</v>
      </c>
      <c r="D1396" s="13" t="inlineStr">
        <is>
          <t>5616008207</t>
        </is>
      </c>
      <c r="E1396" s="13" t="inlineStr">
        <is>
          <t>ЮЛ РФ</t>
        </is>
      </c>
      <c r="F1396" s="13" t="n"/>
      <c r="G1396" s="14" t="n"/>
      <c r="H1396" s="14" t="n"/>
      <c r="I1396" s="14" t="n"/>
      <c r="J1396" s="14" t="n"/>
      <c r="K1396" s="53" t="inlineStr"/>
      <c r="L1396" s="53" t="inlineStr">
        <is>
          <t>Не определено</t>
        </is>
      </c>
      <c r="M1396" s="53" t="inlineStr"/>
      <c r="N1396" s="54" t="inlineStr"/>
      <c r="O1396" s="55" t="inlineStr"/>
      <c r="P1396" s="16" t="inlineStr">
        <is>
          <t>Требует обогащения</t>
        </is>
      </c>
      <c r="Q1396" s="16">
        <f>HYPERLINK("https://pb.nalog.ru/search.html?query=5616008207","ФНС: проверить")</f>
        <v/>
      </c>
      <c r="R1396" s="16">
        <f>HYPERLINK("https://checko.ru/search?query=3801001629","Чекко: проверить")</f>
        <v/>
      </c>
      <c r="S1396" t="n">
        <v>1</v>
      </c>
      <c r="T1396" s="35" t="inlineStr">
        <is>
          <t>4 — Не обогащён</t>
        </is>
      </c>
      <c r="U1396" s="35" t="inlineStr">
        <is>
          <t>Нет ОКВЭД/ССЧР</t>
        </is>
      </c>
      <c r="V1396" s="35" t="inlineStr">
        <is>
          <t>Не определено</t>
        </is>
      </c>
      <c r="W1396" s="35" t="inlineStr"/>
      <c r="X1396" s="35" t="inlineStr"/>
    </row>
    <row r="1397" ht="27.75" customHeight="1" s="24">
      <c r="A1397" s="13" t="n">
        <v>5000106097</v>
      </c>
      <c r="B1397" s="13" t="inlineStr">
        <is>
          <t>ОРСКИЙ МАШИНОСТРОИТЕЛЬНЫЙ КОЛЛЕДЖ ГАПОУ</t>
        </is>
      </c>
      <c r="C1397" s="13" t="n">
        <v>5614004239</v>
      </c>
      <c r="D1397" s="13" t="inlineStr">
        <is>
          <t>5614004239</t>
        </is>
      </c>
      <c r="E1397" s="13" t="inlineStr">
        <is>
          <t>ЮЛ РФ</t>
        </is>
      </c>
      <c r="F1397" s="13" t="n"/>
      <c r="G1397" s="14" t="n"/>
      <c r="H1397" s="14" t="n"/>
      <c r="I1397" s="14" t="n"/>
      <c r="J1397" s="14" t="n"/>
      <c r="K1397" s="53" t="inlineStr"/>
      <c r="L1397" s="53" t="inlineStr">
        <is>
          <t>Не определено</t>
        </is>
      </c>
      <c r="M1397" s="53" t="inlineStr"/>
      <c r="N1397" s="54" t="inlineStr"/>
      <c r="O1397" s="55" t="inlineStr"/>
      <c r="P1397" s="16" t="inlineStr">
        <is>
          <t>Требует обогащения</t>
        </is>
      </c>
      <c r="Q1397" s="16">
        <f>HYPERLINK("https://pb.nalog.ru/search.html?query=5614004239","ФНС: проверить")</f>
        <v/>
      </c>
      <c r="R1397" s="16">
        <f>HYPERLINK("https://checko.ru/search?query=3801001629","Чекко: проверить")</f>
        <v/>
      </c>
      <c r="S1397" t="n">
        <v>1</v>
      </c>
      <c r="T1397" s="35" t="inlineStr">
        <is>
          <t>4 — Не обогащён</t>
        </is>
      </c>
      <c r="U1397" s="35" t="inlineStr">
        <is>
          <t>Нет ОКВЭД/ССЧР</t>
        </is>
      </c>
      <c r="V1397" s="35" t="inlineStr">
        <is>
          <t>Не определено</t>
        </is>
      </c>
      <c r="W1397" s="35" t="inlineStr"/>
      <c r="X1397" s="35" t="inlineStr"/>
    </row>
    <row r="1398" ht="15" customHeight="1" s="24">
      <c r="A1398" s="13" t="n">
        <v>5000008557</v>
      </c>
      <c r="B1398" s="13" t="inlineStr">
        <is>
          <t>УФССП России по Тверской области</t>
        </is>
      </c>
      <c r="C1398" s="13" t="n">
        <v>6901067146</v>
      </c>
      <c r="D1398" s="13" t="inlineStr">
        <is>
          <t>6901067146</t>
        </is>
      </c>
      <c r="E1398" s="13" t="inlineStr">
        <is>
          <t>ЮЛ РФ</t>
        </is>
      </c>
      <c r="F1398" s="13" t="n"/>
      <c r="G1398" s="14" t="n"/>
      <c r="H1398" s="14" t="n"/>
      <c r="I1398" s="14" t="n"/>
      <c r="J1398" s="14" t="n"/>
      <c r="K1398" s="53" t="inlineStr"/>
      <c r="L1398" s="53" t="inlineStr">
        <is>
          <t>Не определено</t>
        </is>
      </c>
      <c r="M1398" s="53" t="inlineStr"/>
      <c r="N1398" s="54" t="inlineStr"/>
      <c r="O1398" s="55" t="inlineStr"/>
      <c r="P1398" s="16" t="inlineStr">
        <is>
          <t>Требует обогащения</t>
        </is>
      </c>
      <c r="Q1398" s="16">
        <f>HYPERLINK("https://pb.nalog.ru/search.html?query=6901067146","ФНС: проверить")</f>
        <v/>
      </c>
      <c r="R1398" s="16">
        <f>HYPERLINK("https://checko.ru/search?query=3801001629","Чекко: проверить")</f>
        <v/>
      </c>
      <c r="S1398" t="n">
        <v>1</v>
      </c>
      <c r="T1398" s="35" t="inlineStr">
        <is>
          <t>4 — Не обогащён</t>
        </is>
      </c>
      <c r="U1398" s="35" t="inlineStr">
        <is>
          <t>Нет ОКВЭД/ССЧР</t>
        </is>
      </c>
      <c r="V1398" s="35" t="inlineStr">
        <is>
          <t>Не определено</t>
        </is>
      </c>
      <c r="W1398" s="35" t="inlineStr"/>
      <c r="X1398" s="35" t="inlineStr"/>
    </row>
    <row r="1399" ht="27.75" customHeight="1" s="24">
      <c r="A1399" s="13" t="n">
        <v>5000001886</v>
      </c>
      <c r="B1399" s="13" t="inlineStr">
        <is>
          <t>Территориальная избирательная комиссия №4 г.Иркутск (Свердловский округ)</t>
        </is>
      </c>
      <c r="C1399" s="13" t="n">
        <v>3812077362</v>
      </c>
      <c r="D1399" s="13" t="inlineStr">
        <is>
          <t>3812077362</t>
        </is>
      </c>
      <c r="E1399" s="13" t="inlineStr">
        <is>
          <t>ЮЛ РФ</t>
        </is>
      </c>
      <c r="F1399" s="13" t="n"/>
      <c r="G1399" s="14" t="n"/>
      <c r="H1399" s="14" t="n"/>
      <c r="I1399" s="14" t="n"/>
      <c r="J1399" s="14" t="n"/>
      <c r="K1399" s="53" t="inlineStr"/>
      <c r="L1399" s="53" t="inlineStr">
        <is>
          <t>Не определено</t>
        </is>
      </c>
      <c r="M1399" s="53" t="inlineStr"/>
      <c r="N1399" s="54" t="inlineStr"/>
      <c r="O1399" s="55" t="inlineStr"/>
      <c r="P1399" s="16" t="inlineStr">
        <is>
          <t>Требует обогащения</t>
        </is>
      </c>
      <c r="Q1399" s="16">
        <f>HYPERLINK("https://pb.nalog.ru/search.html?query=3812077362","ФНС: проверить")</f>
        <v/>
      </c>
      <c r="R1399" s="16">
        <f>HYPERLINK("https://checko.ru/search?query=3801001629","Чекко: проверить")</f>
        <v/>
      </c>
      <c r="S1399" t="n">
        <v>1</v>
      </c>
      <c r="T1399" s="35" t="inlineStr">
        <is>
          <t>4 — Не обогащён</t>
        </is>
      </c>
      <c r="U1399" s="35" t="inlineStr">
        <is>
          <t>Нет ОКВЭД/ССЧР</t>
        </is>
      </c>
      <c r="V1399" s="35" t="inlineStr">
        <is>
          <t>Не определено</t>
        </is>
      </c>
      <c r="W1399" s="35" t="inlineStr"/>
      <c r="X1399" s="35" t="inlineStr"/>
    </row>
    <row r="1400" ht="27.75" customHeight="1" s="24">
      <c r="A1400" s="13" t="n">
        <v>5000076956</v>
      </c>
      <c r="B1400" s="13" t="inlineStr">
        <is>
          <t>Отдел Минприроды Ульяновской области в Мелекесском лесничестве</t>
        </is>
      </c>
      <c r="C1400" s="13" t="n">
        <v>7302038557</v>
      </c>
      <c r="D1400" s="13" t="inlineStr">
        <is>
          <t>7302038557</t>
        </is>
      </c>
      <c r="E1400" s="13" t="inlineStr">
        <is>
          <t>ЮЛ РФ</t>
        </is>
      </c>
      <c r="F1400" s="13" t="n"/>
      <c r="G1400" s="14" t="n"/>
      <c r="H1400" s="14" t="n"/>
      <c r="I1400" s="14" t="n"/>
      <c r="J1400" s="14" t="n"/>
      <c r="K1400" s="53" t="inlineStr"/>
      <c r="L1400" s="53" t="inlineStr">
        <is>
          <t>Не определено</t>
        </is>
      </c>
      <c r="M1400" s="53" t="inlineStr"/>
      <c r="N1400" s="54" t="inlineStr"/>
      <c r="O1400" s="55" t="inlineStr"/>
      <c r="P1400" s="16" t="inlineStr">
        <is>
          <t>Требует обогащения</t>
        </is>
      </c>
      <c r="Q1400" s="16">
        <f>HYPERLINK("https://pb.nalog.ru/search.html?query=7302038557","ФНС: проверить")</f>
        <v/>
      </c>
      <c r="R1400" s="16">
        <f>HYPERLINK("https://checko.ru/search?query=3801001629","Чекко: проверить")</f>
        <v/>
      </c>
      <c r="S1400" t="n">
        <v>1</v>
      </c>
      <c r="T1400" s="35" t="inlineStr">
        <is>
          <t>4 — Не обогащён</t>
        </is>
      </c>
      <c r="U1400" s="35" t="inlineStr">
        <is>
          <t>Нет ОКВЭД/ССЧР</t>
        </is>
      </c>
      <c r="V1400" s="35" t="inlineStr">
        <is>
          <t>Не определено</t>
        </is>
      </c>
      <c r="W1400" s="35" t="inlineStr"/>
      <c r="X1400" s="35" t="inlineStr"/>
    </row>
    <row r="1401" ht="27.75" customHeight="1" s="24">
      <c r="A1401" s="13" t="n">
        <v>5000036251</v>
      </c>
      <c r="B1401" s="13" t="inlineStr">
        <is>
          <t>Областное автномное учреждение "Редакция газеты "Православный Сим</t>
        </is>
      </c>
      <c r="C1401" s="13" t="n">
        <v>7325077104</v>
      </c>
      <c r="D1401" s="13" t="inlineStr">
        <is>
          <t>7325077104</t>
        </is>
      </c>
      <c r="E1401" s="13" t="inlineStr">
        <is>
          <t>ЮЛ РФ</t>
        </is>
      </c>
      <c r="F1401" s="13" t="n"/>
      <c r="G1401" s="14" t="n"/>
      <c r="H1401" s="14" t="n"/>
      <c r="I1401" s="14" t="n"/>
      <c r="J1401" s="14" t="n"/>
      <c r="K1401" s="53" t="inlineStr"/>
      <c r="L1401" s="53" t="inlineStr">
        <is>
          <t>Не определено</t>
        </is>
      </c>
      <c r="M1401" s="53" t="inlineStr"/>
      <c r="N1401" s="54" t="inlineStr"/>
      <c r="O1401" s="55" t="inlineStr"/>
      <c r="P1401" s="16" t="inlineStr">
        <is>
          <t>Требует обогащения</t>
        </is>
      </c>
      <c r="Q1401" s="16">
        <f>HYPERLINK("https://pb.nalog.ru/search.html?query=7325077104","ФНС: проверить")</f>
        <v/>
      </c>
      <c r="R1401" s="16">
        <f>HYPERLINK("https://checko.ru/search?query=3801001629","Чекко: проверить")</f>
        <v/>
      </c>
      <c r="S1401" t="n">
        <v>1</v>
      </c>
      <c r="T1401" s="35" t="inlineStr">
        <is>
          <t>4 — Не обогащён</t>
        </is>
      </c>
      <c r="U1401" s="35" t="inlineStr">
        <is>
          <t>Нет ОКВЭД/ССЧР</t>
        </is>
      </c>
      <c r="V1401" s="35" t="inlineStr">
        <is>
          <t>Не определено</t>
        </is>
      </c>
      <c r="W1401" s="35" t="inlineStr"/>
      <c r="X1401" s="35" t="inlineStr"/>
    </row>
    <row r="1402" ht="27.75" customHeight="1" s="24">
      <c r="A1402" s="13" t="n">
        <v>5000062538</v>
      </c>
      <c r="B1402" s="13" t="inlineStr">
        <is>
          <t>ОГАУСО "Психоневрологический интернат в п. Дальнее Поле"</t>
        </is>
      </c>
      <c r="C1402" s="13" t="n">
        <v>7324000211</v>
      </c>
      <c r="D1402" s="13" t="inlineStr">
        <is>
          <t>7324000211</t>
        </is>
      </c>
      <c r="E1402" s="13" t="inlineStr">
        <is>
          <t>ЮЛ РФ</t>
        </is>
      </c>
      <c r="F1402" s="13" t="n"/>
      <c r="G1402" s="14" t="n"/>
      <c r="H1402" s="14" t="n"/>
      <c r="I1402" s="14" t="n"/>
      <c r="J1402" s="14" t="n"/>
      <c r="K1402" s="53" t="inlineStr"/>
      <c r="L1402" s="53" t="inlineStr">
        <is>
          <t>Не определено</t>
        </is>
      </c>
      <c r="M1402" s="53" t="inlineStr"/>
      <c r="N1402" s="54" t="inlineStr"/>
      <c r="O1402" s="55" t="inlineStr"/>
      <c r="P1402" s="16" t="inlineStr">
        <is>
          <t>Требует обогащения</t>
        </is>
      </c>
      <c r="Q1402" s="16">
        <f>HYPERLINK("https://pb.nalog.ru/search.html?query=7324000211","ФНС: проверить")</f>
        <v/>
      </c>
      <c r="R1402" s="16">
        <f>HYPERLINK("https://checko.ru/search?query=3801001629","Чекко: проверить")</f>
        <v/>
      </c>
      <c r="S1402" t="n">
        <v>1</v>
      </c>
      <c r="T1402" s="35" t="inlineStr">
        <is>
          <t>4 — Не обогащён</t>
        </is>
      </c>
      <c r="U1402" s="35" t="inlineStr">
        <is>
          <t>Нет ОКВЭД/ССЧР</t>
        </is>
      </c>
      <c r="V1402" s="35" t="inlineStr">
        <is>
          <t>Не определено</t>
        </is>
      </c>
      <c r="W1402" s="35" t="inlineStr"/>
      <c r="X1402" s="35" t="inlineStr"/>
    </row>
    <row r="1403" ht="15" customHeight="1" s="24">
      <c r="A1403" s="13" t="n">
        <v>5000036250</v>
      </c>
      <c r="B1403" s="13" t="inlineStr">
        <is>
          <t>ОАУ "Редакция газеты "Эмет"</t>
        </is>
      </c>
      <c r="C1403" s="13" t="n">
        <v>7325077714</v>
      </c>
      <c r="D1403" s="13" t="inlineStr">
        <is>
          <t>7325077714</t>
        </is>
      </c>
      <c r="E1403" s="13" t="inlineStr">
        <is>
          <t>ЮЛ РФ</t>
        </is>
      </c>
      <c r="F1403" s="13" t="n"/>
      <c r="G1403" s="14" t="n"/>
      <c r="H1403" s="14" t="n"/>
      <c r="I1403" s="14" t="n"/>
      <c r="J1403" s="14" t="n"/>
      <c r="K1403" s="53" t="inlineStr"/>
      <c r="L1403" s="53" t="inlineStr">
        <is>
          <t>Не определено</t>
        </is>
      </c>
      <c r="M1403" s="53" t="inlineStr"/>
      <c r="N1403" s="54" t="inlineStr"/>
      <c r="O1403" s="55" t="inlineStr"/>
      <c r="P1403" s="16" t="inlineStr">
        <is>
          <t>Требует обогащения</t>
        </is>
      </c>
      <c r="Q1403" s="16">
        <f>HYPERLINK("https://pb.nalog.ru/search.html?query=7325077714","ФНС: проверить")</f>
        <v/>
      </c>
      <c r="R1403" s="16">
        <f>HYPERLINK("https://checko.ru/search?query=3801001629","Чекко: проверить")</f>
        <v/>
      </c>
      <c r="S1403" t="n">
        <v>1</v>
      </c>
      <c r="T1403" s="35" t="inlineStr">
        <is>
          <t>4 — Не обогащён</t>
        </is>
      </c>
      <c r="U1403" s="35" t="inlineStr">
        <is>
          <t>Нет ОКВЭД/ССЧР</t>
        </is>
      </c>
      <c r="V1403" s="35" t="inlineStr">
        <is>
          <t>Не определено</t>
        </is>
      </c>
      <c r="W1403" s="35" t="inlineStr"/>
      <c r="X1403" s="35" t="inlineStr"/>
    </row>
    <row r="1404" ht="27.75" customHeight="1" s="24">
      <c r="A1404" s="13" t="n">
        <v>5000002062</v>
      </c>
      <c r="B1404" s="13" t="inlineStr">
        <is>
          <t>Избирательная комиссия  № 2 (Октябрьский округ)</t>
        </is>
      </c>
      <c r="C1404" s="13" t="n">
        <v>3811078973</v>
      </c>
      <c r="D1404" s="13" t="inlineStr">
        <is>
          <t>3811078973</t>
        </is>
      </c>
      <c r="E1404" s="13" t="inlineStr">
        <is>
          <t>ЮЛ РФ</t>
        </is>
      </c>
      <c r="F1404" s="13" t="n"/>
      <c r="G1404" s="14" t="n"/>
      <c r="H1404" s="14" t="n"/>
      <c r="I1404" s="14" t="n"/>
      <c r="J1404" s="14" t="n"/>
      <c r="K1404" s="53" t="inlineStr"/>
      <c r="L1404" s="53" t="inlineStr">
        <is>
          <t>Не определено</t>
        </is>
      </c>
      <c r="M1404" s="53" t="inlineStr"/>
      <c r="N1404" s="54" t="inlineStr"/>
      <c r="O1404" s="55" t="inlineStr"/>
      <c r="P1404" s="16" t="inlineStr">
        <is>
          <t>Требует обогащения</t>
        </is>
      </c>
      <c r="Q1404" s="16">
        <f>HYPERLINK("https://pb.nalog.ru/search.html?query=3811078973","ФНС: проверить")</f>
        <v/>
      </c>
      <c r="R1404" s="16">
        <f>HYPERLINK("https://checko.ru/search?query=3801001629","Чекко: проверить")</f>
        <v/>
      </c>
      <c r="S1404" t="n">
        <v>1</v>
      </c>
      <c r="T1404" s="35" t="inlineStr">
        <is>
          <t>4 — Не обогащён</t>
        </is>
      </c>
      <c r="U1404" s="35" t="inlineStr">
        <is>
          <t>Нет ОКВЭД/ССЧР</t>
        </is>
      </c>
      <c r="V1404" s="35" t="inlineStr">
        <is>
          <t>Не определено</t>
        </is>
      </c>
      <c r="W1404" s="35" t="inlineStr"/>
      <c r="X1404" s="35" t="inlineStr"/>
    </row>
    <row r="1405" ht="15" customHeight="1" s="24">
      <c r="A1405" s="13" t="n">
        <v>5000036248</v>
      </c>
      <c r="B1405" s="13" t="inlineStr">
        <is>
          <t>ОАУ "Редакция газеты "Сурская правда"</t>
        </is>
      </c>
      <c r="C1405" s="13" t="n">
        <v>7309904678</v>
      </c>
      <c r="D1405" s="13" t="inlineStr">
        <is>
          <t>7309904678</t>
        </is>
      </c>
      <c r="E1405" s="13" t="inlineStr">
        <is>
          <t>ЮЛ РФ</t>
        </is>
      </c>
      <c r="F1405" s="13" t="n"/>
      <c r="G1405" s="14" t="n"/>
      <c r="H1405" s="14" t="n"/>
      <c r="I1405" s="14" t="n"/>
      <c r="J1405" s="14" t="n"/>
      <c r="K1405" s="53" t="inlineStr"/>
      <c r="L1405" s="53" t="inlineStr">
        <is>
          <t>Не определено</t>
        </is>
      </c>
      <c r="M1405" s="53" t="inlineStr"/>
      <c r="N1405" s="54" t="inlineStr"/>
      <c r="O1405" s="55" t="inlineStr"/>
      <c r="P1405" s="16" t="inlineStr">
        <is>
          <t>Требует обогащения</t>
        </is>
      </c>
      <c r="Q1405" s="16">
        <f>HYPERLINK("https://pb.nalog.ru/search.html?query=7309904678","ФНС: проверить")</f>
        <v/>
      </c>
      <c r="R1405" s="16">
        <f>HYPERLINK("https://checko.ru/search?query=3801001629","Чекко: проверить")</f>
        <v/>
      </c>
      <c r="S1405" t="n">
        <v>1</v>
      </c>
      <c r="T1405" s="35" t="inlineStr">
        <is>
          <t>4 — Не обогащён</t>
        </is>
      </c>
      <c r="U1405" s="35" t="inlineStr">
        <is>
          <t>Нет ОКВЭД/ССЧР</t>
        </is>
      </c>
      <c r="V1405" s="35" t="inlineStr">
        <is>
          <t>Не определено</t>
        </is>
      </c>
      <c r="W1405" s="35" t="inlineStr"/>
      <c r="X1405" s="35" t="inlineStr"/>
    </row>
    <row r="1406" ht="15" customHeight="1" s="24">
      <c r="A1406" s="13" t="n">
        <v>5000001461</v>
      </c>
      <c r="B1406" s="13" t="inlineStr">
        <is>
          <t>ДЮСШ "Россия" Иркутск</t>
        </is>
      </c>
      <c r="C1406" s="13" t="n">
        <v>3808049281</v>
      </c>
      <c r="D1406" s="13" t="inlineStr">
        <is>
          <t>3808049281</t>
        </is>
      </c>
      <c r="E1406" s="13" t="inlineStr">
        <is>
          <t>ЮЛ РФ</t>
        </is>
      </c>
      <c r="F1406" s="13" t="n"/>
      <c r="G1406" s="14" t="n"/>
      <c r="H1406" s="14" t="n"/>
      <c r="I1406" s="14" t="n"/>
      <c r="J1406" s="14" t="n"/>
      <c r="K1406" s="53" t="inlineStr"/>
      <c r="L1406" s="53" t="inlineStr">
        <is>
          <t>Не определено</t>
        </is>
      </c>
      <c r="M1406" s="53" t="inlineStr"/>
      <c r="N1406" s="54" t="inlineStr"/>
      <c r="O1406" s="55" t="inlineStr"/>
      <c r="P1406" s="16" t="inlineStr">
        <is>
          <t>Требует обогащения</t>
        </is>
      </c>
      <c r="Q1406" s="16">
        <f>HYPERLINK("https://pb.nalog.ru/search.html?query=3808049281","ФНС: проверить")</f>
        <v/>
      </c>
      <c r="R1406" s="16">
        <f>HYPERLINK("https://checko.ru/search?query=3801001629","Чекко: проверить")</f>
        <v/>
      </c>
      <c r="S1406" t="n">
        <v>1</v>
      </c>
      <c r="T1406" s="35" t="inlineStr">
        <is>
          <t>4 — Не обогащён</t>
        </is>
      </c>
      <c r="U1406" s="35" t="inlineStr">
        <is>
          <t>Нет ОКВЭД/ССЧР</t>
        </is>
      </c>
      <c r="V1406" s="35" t="inlineStr">
        <is>
          <t>Не определено</t>
        </is>
      </c>
      <c r="W1406" s="35" t="inlineStr"/>
      <c r="X1406" s="35" t="inlineStr"/>
    </row>
    <row r="1407" ht="27.75" customHeight="1" s="24">
      <c r="A1407" s="13" t="n">
        <v>5000001542</v>
      </c>
      <c r="B1407" s="13" t="inlineStr">
        <is>
          <t>ОГСКОУ "Специальная (коррекционная) школа № 10 г. Иркутска"</t>
        </is>
      </c>
      <c r="C1407" s="13" t="n">
        <v>3809023871</v>
      </c>
      <c r="D1407" s="13" t="inlineStr">
        <is>
          <t>3809023871</t>
        </is>
      </c>
      <c r="E1407" s="13" t="inlineStr">
        <is>
          <t>ЮЛ РФ</t>
        </is>
      </c>
      <c r="F1407" s="13" t="n"/>
      <c r="G1407" s="14" t="n"/>
      <c r="H1407" s="14" t="n"/>
      <c r="I1407" s="14" t="n"/>
      <c r="J1407" s="14" t="n"/>
      <c r="K1407" s="53" t="inlineStr"/>
      <c r="L1407" s="53" t="inlineStr">
        <is>
          <t>Не определено</t>
        </is>
      </c>
      <c r="M1407" s="53" t="inlineStr"/>
      <c r="N1407" s="54" t="inlineStr"/>
      <c r="O1407" s="55" t="inlineStr"/>
      <c r="P1407" s="16" t="inlineStr">
        <is>
          <t>Требует обогащения</t>
        </is>
      </c>
      <c r="Q1407" s="16">
        <f>HYPERLINK("https://pb.nalog.ru/search.html?query=3809023871","ФНС: проверить")</f>
        <v/>
      </c>
      <c r="R1407" s="16">
        <f>HYPERLINK("https://checko.ru/search?query=3801001629","Чекко: проверить")</f>
        <v/>
      </c>
      <c r="S1407" t="n">
        <v>1</v>
      </c>
      <c r="T1407" s="35" t="inlineStr">
        <is>
          <t>4 — Не обогащён</t>
        </is>
      </c>
      <c r="U1407" s="35" t="inlineStr">
        <is>
          <t>Нет ОКВЭД/ССЧР</t>
        </is>
      </c>
      <c r="V1407" s="35" t="inlineStr">
        <is>
          <t>Не определено</t>
        </is>
      </c>
      <c r="W1407" s="35" t="inlineStr"/>
      <c r="X1407" s="35" t="inlineStr"/>
    </row>
    <row r="1408" ht="27.75" customHeight="1" s="24">
      <c r="A1408" s="13" t="n">
        <v>5000062521</v>
      </c>
      <c r="B1408" s="13" t="inlineStr">
        <is>
          <t>ОГБУ СПО "Рязановский сельскохозяйственный техникум"</t>
        </is>
      </c>
      <c r="C1408" s="13" t="n">
        <v>7310000490</v>
      </c>
      <c r="D1408" s="13" t="inlineStr">
        <is>
          <t>7310000490</t>
        </is>
      </c>
      <c r="E1408" s="13" t="inlineStr">
        <is>
          <t>ЮЛ РФ</t>
        </is>
      </c>
      <c r="F1408" s="13" t="n"/>
      <c r="G1408" s="14" t="n"/>
      <c r="H1408" s="14" t="n"/>
      <c r="I1408" s="14" t="n"/>
      <c r="J1408" s="14" t="n"/>
      <c r="K1408" s="53" t="inlineStr"/>
      <c r="L1408" s="53" t="inlineStr">
        <is>
          <t>Не определено</t>
        </is>
      </c>
      <c r="M1408" s="53" t="inlineStr"/>
      <c r="N1408" s="54" t="inlineStr"/>
      <c r="O1408" s="55" t="inlineStr"/>
      <c r="P1408" s="16" t="inlineStr">
        <is>
          <t>Требует обогащения</t>
        </is>
      </c>
      <c r="Q1408" s="16">
        <f>HYPERLINK("https://pb.nalog.ru/search.html?query=7310000490","ФНС: проверить")</f>
        <v/>
      </c>
      <c r="R1408" s="16">
        <f>HYPERLINK("https://checko.ru/search?query=3801001629","Чекко: проверить")</f>
        <v/>
      </c>
      <c r="S1408" t="n">
        <v>1</v>
      </c>
      <c r="T1408" s="35" t="inlineStr">
        <is>
          <t>4 — Не обогащён</t>
        </is>
      </c>
      <c r="U1408" s="35" t="inlineStr">
        <is>
          <t>Нет ОКВЭД/ССЧР</t>
        </is>
      </c>
      <c r="V1408" s="35" t="inlineStr">
        <is>
          <t>Не определено</t>
        </is>
      </c>
      <c r="W1408" s="35" t="inlineStr"/>
      <c r="X1408" s="35" t="inlineStr"/>
    </row>
    <row r="1409" ht="15" customHeight="1" s="24">
      <c r="A1409" s="13" t="n">
        <v>5000094592</v>
      </c>
      <c r="B1409" s="13" t="inlineStr">
        <is>
          <t>ГБУЗ "ЦРБ" Майского муниципального района</t>
        </is>
      </c>
      <c r="C1409" s="13" t="n">
        <v>703007793</v>
      </c>
      <c r="D1409" s="13" t="n"/>
      <c r="E1409" s="13" t="inlineStr">
        <is>
          <t>Не определён</t>
        </is>
      </c>
      <c r="F1409" s="13" t="inlineStr">
        <is>
          <t>703007793</t>
        </is>
      </c>
      <c r="G1409" s="14" t="n"/>
      <c r="H1409" s="14" t="n"/>
      <c r="I1409" s="14" t="n"/>
      <c r="J1409" s="14" t="n"/>
      <c r="K1409" s="13">
        <f>IF(G1409="","",IF(G1409&gt;=22,"Да","Нет"))</f>
        <v/>
      </c>
      <c r="L1409" s="13">
        <f>IF(OR(I1409="",J1409=""),"Не определено",IF(OR(COUNTIF(I1409,"45*")&gt;0,COUNTIF(J1409,"*45*")&gt;0,COUNTIF(I1409,"46*")&gt;0,COUNTIF(J1409,"*46*")&gt;0,COUNTIF(I1409,"47*")&gt;0,COUNTIF(J1409,"*47*")&gt;0,COUNTIF(I1409,"10*")&gt;0,COUNTIF(J1409,"*10*")&gt;0,COUNTIF(I1409,"11*")&gt;0,COUNTIF(J1409,"*11*")&gt;0,COUNTIF(I1409,"12*")&gt;0,COUNTIF(J1409,"*12*")&gt;0,COUNTIF(I1409,"13*")&gt;0,COUNTIF(J1409,"*13*")&gt;0,COUNTIF(I1409,"14*")&gt;0,COUNTIF(J1409,"*14*")&gt;0,COUNTIF(I1409,"15*")&gt;0,COUNTIF(J1409,"*15*")&gt;0,COUNTIF(I1409,"16*")&gt;0,COUNTIF(J1409,"*16*")&gt;0,COUNTIF(I1409,"17*")&gt;0,COUNTIF(J1409,"*17*")&gt;0,COUNTIF(I1409,"18*")&gt;0,COUNTIF(J1409,"*18*")&gt;0,COUNTIF(I1409,"19*")&gt;0,COUNTIF(J1409,"*19*")&gt;0,COUNTIF(I1409,"20*")&gt;0,COUNTIF(J1409,"*20*")&gt;0,COUNTIF(I1409,"21*")&gt;0,COUNTIF(J1409,"*21*")&gt;0,COUNTIF(I1409,"22*")&gt;0,COUNTIF(J1409,"*22*")&gt;0,COUNTIF(I1409,"23*")&gt;0,COUNTIF(J1409,"*23*")&gt;0,COUNTIF(I1409,"24*")&gt;0,COUNTIF(J1409,"*24*")&gt;0,COUNTIF(I1409,"25*")&gt;0,COUNTIF(J1409,"*25*")&gt;0,COUNTIF(I1409,"26*")&gt;0,COUNTIF(J1409,"*26*")&gt;0,COUNTIF(I1409,"27*")&gt;0,COUNTIF(J1409,"*27*")&gt;0,COUNTIF(I1409,"28*")&gt;0,COUNTIF(J1409,"*28*")&gt;0,COUNTIF(I1409,"29*")&gt;0,COUNTIF(J1409,"*29*")&gt;0,COUNTIF(I1409,"30*")&gt;0,COUNTIF(J1409,"*30*")&gt;0,COUNTIF(I1409,"31*")&gt;0,COUNTIF(J1409,"*31*")&gt;0,COUNTIF(I1409,"32*")&gt;0,COUNTIF(J1409,"*32*")&gt;0,COUNTIF(I1409,"33*")&gt;0,COUNTIF(J1409,"*33*")&gt;0,COUNTIF(I1409,"41*")&gt;0,COUNTIF(J1409,"*41*")&gt;0,COUNTIF(I1409,"42*")&gt;0,COUNTIF(J1409,"*42*")&gt;0,COUNTIF(I1409,"43*")&gt;0,COUNTIF(J1409,"*43*")&gt;0,COUNTIF(I1409,"49*")&gt;0,COUNTIF(J1409,"*49*")&gt;0,COUNTIF(I1409,"52*")&gt;0,COUNTIF(J1409,"*52*")&gt;0,COUNTIF(I1409,"55*")&gt;0,COUNTIF(J1409,"*55*")&gt;0,COUNTIF(I1409,"56*")&gt;0,COUNTIF(J1409,"*56*")&gt;0,COUNTIF(I1409,"68*")&gt;0,COUNTIF(J1409,"*68*")&gt;0,COUNTIF(I1409,"78*")&gt;0,COUNTIF(J1409,"*78*")&gt;0,COUNTIF(I1409,"81*")&gt;0,COUNTIF(J1409,"*81*")&gt;0,COUNTIF(I1409,"82*")&gt;0,COUNTIF(J1409,"*82*")&gt;0,COUNTIF(I1409,"64*")&gt;0,COUNTIF(J1409,"*64*")&gt;0,COUNTIF(I1409,"65*")&gt;0,COUNTIF(J1409,"*65*")&gt;0,COUNTIF(I1409,"66*")&gt;0,COUNTIF(J1409,"*66*")&gt;0,COUNTIF(I1409,"61*")&gt;0,COUNTIF(J1409,"*61*")&gt;0,COUNTIF(I1409,"62*")&gt;0,COUNTIF(J1409,"*62*")&gt;0,COUNTIF(I1409,"63*")&gt;0,COUNTIF(J1409,"*63*")&gt;0,COUNTIF(I1409,"85*")&gt;0,COUNTIF(J1409,"*85*")&gt;0,COUNTIF(I1409,"86*")&gt;0,COUNTIF(J1409,"*86*")&gt;0),"Да","Нет"))</f>
        <v/>
      </c>
      <c r="M1409" s="13">
        <f>IF(OR(G1409="",L1409&lt;&gt;"Да"),"",IF(G1409&lt;=100,"До 100",IF(G1409&lt;=200,"До 200",IF(G1409&lt;=500,"До 500","Отдельное КП"))))</f>
        <v/>
      </c>
      <c r="N1409" s="15">
        <f>IF(OR(G1409="",L1409&lt;&gt;"Да"),"",IF(G1409&lt;=100,33600,IF(G1409&lt;=200,62400,IF(G1409&lt;=500,144000,""))))</f>
        <v/>
      </c>
      <c r="O1409" s="16">
        <f>IF(G1409="","",IF(G1409&lt;=15,"1–15",IF(G1409&lt;=30,"16–30",IF(G1409&lt;=50,"31–50",IF(G1409&lt;=100,"51–100",IF(G1409&lt;=150,"101–150",IF(G1409&lt;=200,"151–200",IF(G1409&lt;=500,"201–500","500+"))))))))</f>
        <v/>
      </c>
      <c r="P1409" s="16" t="inlineStr">
        <is>
          <t>Нет совпадения в предоставленной выгрузке ССЧР</t>
        </is>
      </c>
      <c r="Q1409" s="16" t="n"/>
      <c r="R1409" s="16">
        <f>HYPERLINK("https://checko.ru/search?query=3801001629","Чекко: проверить")</f>
        <v/>
      </c>
      <c r="S1409" t="n">
        <v>0</v>
      </c>
    </row>
    <row r="1410" ht="27.75" customHeight="1" s="24">
      <c r="A1410" s="13" t="n">
        <v>5000001970</v>
      </c>
      <c r="B1410" s="13" t="inlineStr">
        <is>
          <t>ОбГКУЗ "Иркутская областная клиническая психиатрическая больница №1"</t>
        </is>
      </c>
      <c r="C1410" s="13" t="n">
        <v>3812014034</v>
      </c>
      <c r="D1410" s="13" t="inlineStr">
        <is>
          <t>3812014034</t>
        </is>
      </c>
      <c r="E1410" s="13" t="inlineStr">
        <is>
          <t>ЮЛ РФ</t>
        </is>
      </c>
      <c r="F1410" s="13" t="n"/>
      <c r="G1410" s="14" t="n"/>
      <c r="H1410" s="14" t="n"/>
      <c r="I1410" s="14" t="n"/>
      <c r="J1410" s="14" t="n"/>
      <c r="K1410" s="53" t="inlineStr"/>
      <c r="L1410" s="53" t="inlineStr">
        <is>
          <t>Не определено</t>
        </is>
      </c>
      <c r="M1410" s="53" t="inlineStr"/>
      <c r="N1410" s="54" t="inlineStr"/>
      <c r="O1410" s="55" t="inlineStr"/>
      <c r="P1410" s="16" t="inlineStr">
        <is>
          <t>Требует обогащения</t>
        </is>
      </c>
      <c r="Q1410" s="16">
        <f>HYPERLINK("https://pb.nalog.ru/search.html?query=3812014034","ФНС: проверить")</f>
        <v/>
      </c>
      <c r="R1410" s="16">
        <f>HYPERLINK("https://checko.ru/search?query=3801001629","Чекко: проверить")</f>
        <v/>
      </c>
      <c r="S1410" t="n">
        <v>1</v>
      </c>
      <c r="T1410" s="35" t="inlineStr">
        <is>
          <t>4 — Не обогащён</t>
        </is>
      </c>
      <c r="U1410" s="35" t="inlineStr">
        <is>
          <t>Нет ОКВЭД/ССЧР</t>
        </is>
      </c>
      <c r="V1410" s="35" t="inlineStr">
        <is>
          <t>Не определено</t>
        </is>
      </c>
      <c r="W1410" s="35" t="inlineStr"/>
      <c r="X1410" s="35" t="inlineStr"/>
    </row>
    <row r="1411" ht="27.75" customHeight="1" s="24">
      <c r="A1411" s="13" t="n">
        <v>5000001509</v>
      </c>
      <c r="B1411" s="13" t="inlineStr">
        <is>
          <t>Министерство здравоохранения Иркутской области</t>
        </is>
      </c>
      <c r="C1411" s="13" t="n">
        <v>3808172327</v>
      </c>
      <c r="D1411" s="13" t="inlineStr">
        <is>
          <t>3808172327</t>
        </is>
      </c>
      <c r="E1411" s="13" t="inlineStr">
        <is>
          <t>ЮЛ РФ</t>
        </is>
      </c>
      <c r="F1411" s="13" t="n"/>
      <c r="G1411" s="14" t="n"/>
      <c r="H1411" s="14" t="n"/>
      <c r="I1411" s="14" t="n"/>
      <c r="J1411" s="14" t="n"/>
      <c r="K1411" s="53" t="inlineStr"/>
      <c r="L1411" s="53" t="inlineStr">
        <is>
          <t>Не определено</t>
        </is>
      </c>
      <c r="M1411" s="53" t="inlineStr"/>
      <c r="N1411" s="54" t="inlineStr"/>
      <c r="O1411" s="55" t="inlineStr"/>
      <c r="P1411" s="16" t="inlineStr">
        <is>
          <t>Требует обогащения</t>
        </is>
      </c>
      <c r="Q1411" s="16">
        <f>HYPERLINK("https://pb.nalog.ru/search.html?query=3808172327","ФНС: проверить")</f>
        <v/>
      </c>
      <c r="R1411" s="16">
        <f>HYPERLINK("https://checko.ru/search?query=3801001629","Чекко: проверить")</f>
        <v/>
      </c>
      <c r="S1411" t="n">
        <v>1</v>
      </c>
      <c r="T1411" s="35" t="inlineStr">
        <is>
          <t>4 — Не обогащён</t>
        </is>
      </c>
      <c r="U1411" s="35" t="inlineStr">
        <is>
          <t>Нет ОКВЭД/ССЧР</t>
        </is>
      </c>
      <c r="V1411" s="35" t="inlineStr">
        <is>
          <t>Не определено</t>
        </is>
      </c>
      <c r="W1411" s="35" t="inlineStr"/>
      <c r="X1411" s="35" t="inlineStr"/>
    </row>
    <row r="1412" ht="15" customHeight="1" s="24">
      <c r="A1412" s="13" t="n">
        <v>5000060605</v>
      </c>
      <c r="B1412" s="13" t="inlineStr">
        <is>
          <t>ОГКУСО ДНП для лиц БОМЖ</t>
        </is>
      </c>
      <c r="C1412" s="13" t="n">
        <v>7325105880</v>
      </c>
      <c r="D1412" s="13" t="inlineStr">
        <is>
          <t>7325105880</t>
        </is>
      </c>
      <c r="E1412" s="13" t="inlineStr">
        <is>
          <t>ЮЛ РФ</t>
        </is>
      </c>
      <c r="F1412" s="13" t="n"/>
      <c r="G1412" s="14" t="n"/>
      <c r="H1412" s="14" t="n"/>
      <c r="I1412" s="14" t="n"/>
      <c r="J1412" s="14" t="n"/>
      <c r="K1412" s="53" t="inlineStr"/>
      <c r="L1412" s="53" t="inlineStr">
        <is>
          <t>Не определено</t>
        </is>
      </c>
      <c r="M1412" s="53" t="inlineStr"/>
      <c r="N1412" s="54" t="inlineStr"/>
      <c r="O1412" s="55" t="inlineStr"/>
      <c r="P1412" s="16" t="inlineStr">
        <is>
          <t>Требует обогащения</t>
        </is>
      </c>
      <c r="Q1412" s="16">
        <f>HYPERLINK("https://pb.nalog.ru/search.html?query=7325105880","ФНС: проверить")</f>
        <v/>
      </c>
      <c r="R1412" s="16">
        <f>HYPERLINK("https://checko.ru/search?query=3801001629","Чекко: проверить")</f>
        <v/>
      </c>
      <c r="S1412" t="n">
        <v>1</v>
      </c>
      <c r="T1412" s="35" t="inlineStr">
        <is>
          <t>4 — Не обогащён</t>
        </is>
      </c>
      <c r="U1412" s="35" t="inlineStr">
        <is>
          <t>Нет ОКВЭД/ССЧР</t>
        </is>
      </c>
      <c r="V1412" s="35" t="inlineStr">
        <is>
          <t>Не определено</t>
        </is>
      </c>
      <c r="W1412" s="35" t="inlineStr"/>
      <c r="X1412" s="35" t="inlineStr"/>
    </row>
    <row r="1413" ht="41.25" customHeight="1" s="24">
      <c r="A1413" s="13" t="n">
        <v>5000106083</v>
      </c>
      <c r="B1413" s="13" t="inlineStr">
        <is>
          <t>ГОСУДАРСТВЕННОЕ АВТОНОМНОЕ УЧРЕЖДЕНИЕ ЗДРАВООХРАНЕНИЯ "СОЛЬ-ИЛЕЦКАЯ МЕЖРАЙОННАЯ БОЛЬНИЦА"</t>
        </is>
      </c>
      <c r="C1413" s="13" t="n">
        <v>5646034268</v>
      </c>
      <c r="D1413" s="13" t="inlineStr">
        <is>
          <t>5646034268</t>
        </is>
      </c>
      <c r="E1413" s="13" t="inlineStr">
        <is>
          <t>ЮЛ РФ</t>
        </is>
      </c>
      <c r="F1413" s="13" t="n"/>
      <c r="G1413" s="14" t="n"/>
      <c r="H1413" s="14" t="n"/>
      <c r="I1413" s="14" t="n"/>
      <c r="J1413" s="14" t="n"/>
      <c r="K1413" s="53" t="inlineStr"/>
      <c r="L1413" s="53" t="inlineStr">
        <is>
          <t>Не определено</t>
        </is>
      </c>
      <c r="M1413" s="53" t="inlineStr"/>
      <c r="N1413" s="54" t="inlineStr"/>
      <c r="O1413" s="55" t="inlineStr"/>
      <c r="P1413" s="16" t="inlineStr">
        <is>
          <t>Требует обогащения</t>
        </is>
      </c>
      <c r="Q1413" s="16">
        <f>HYPERLINK("https://pb.nalog.ru/search.html?query=5646034268","ФНС: проверить")</f>
        <v/>
      </c>
      <c r="R1413" s="16">
        <f>HYPERLINK("https://checko.ru/search?query=3801001629","Чекко: проверить")</f>
        <v/>
      </c>
      <c r="S1413" t="n">
        <v>1</v>
      </c>
      <c r="T1413" s="35" t="inlineStr">
        <is>
          <t>4 — Не обогащён</t>
        </is>
      </c>
      <c r="U1413" s="35" t="inlineStr">
        <is>
          <t>Нет ОКВЭД/ССЧР</t>
        </is>
      </c>
      <c r="V1413" s="35" t="inlineStr">
        <is>
          <t>Не определено</t>
        </is>
      </c>
      <c r="W1413" s="35" t="inlineStr"/>
      <c r="X1413" s="35" t="inlineStr"/>
    </row>
    <row r="1414" ht="27.75" customHeight="1" s="24">
      <c r="A1414" s="13" t="n">
        <v>5000001911</v>
      </c>
      <c r="B1414" s="13" t="inlineStr">
        <is>
          <t>Специальная (коррекционная) школа-интернат №19</t>
        </is>
      </c>
      <c r="C1414" s="13" t="n">
        <v>3815005969</v>
      </c>
      <c r="D1414" s="13" t="inlineStr">
        <is>
          <t>3815005969</t>
        </is>
      </c>
      <c r="E1414" s="13" t="inlineStr">
        <is>
          <t>ЮЛ РФ</t>
        </is>
      </c>
      <c r="F1414" s="13" t="n"/>
      <c r="G1414" s="14" t="n"/>
      <c r="H1414" s="14" t="n"/>
      <c r="I1414" s="14" t="n"/>
      <c r="J1414" s="14" t="n"/>
      <c r="K1414" s="53" t="inlineStr"/>
      <c r="L1414" s="53" t="inlineStr">
        <is>
          <t>Не определено</t>
        </is>
      </c>
      <c r="M1414" s="53" t="inlineStr"/>
      <c r="N1414" s="54" t="inlineStr"/>
      <c r="O1414" s="55" t="inlineStr"/>
      <c r="P1414" s="16" t="inlineStr">
        <is>
          <t>Требует обогащения</t>
        </is>
      </c>
      <c r="Q1414" s="16">
        <f>HYPERLINK("https://pb.nalog.ru/search.html?query=3815005969","ФНС: проверить")</f>
        <v/>
      </c>
      <c r="R1414" s="16">
        <f>HYPERLINK("https://checko.ru/search?query=3801001629","Чекко: проверить")</f>
        <v/>
      </c>
      <c r="S1414" t="n">
        <v>1</v>
      </c>
      <c r="T1414" s="35" t="inlineStr">
        <is>
          <t>4 — Не обогащён</t>
        </is>
      </c>
      <c r="U1414" s="35" t="inlineStr">
        <is>
          <t>Нет ОКВЭД/ССЧР</t>
        </is>
      </c>
      <c r="V1414" s="35" t="inlineStr">
        <is>
          <t>Не определено</t>
        </is>
      </c>
      <c r="W1414" s="35" t="inlineStr"/>
      <c r="X1414" s="35" t="inlineStr"/>
    </row>
    <row r="1415" ht="27.75" customHeight="1" s="24">
      <c r="A1415" s="13" t="n">
        <v>5000001874</v>
      </c>
      <c r="B1415" s="13" t="inlineStr">
        <is>
          <t>Черемховская городская территориальная избирательная  комиссия</t>
        </is>
      </c>
      <c r="C1415" s="13" t="n">
        <v>3820010795</v>
      </c>
      <c r="D1415" s="13" t="inlineStr">
        <is>
          <t>3820010795</t>
        </is>
      </c>
      <c r="E1415" s="13" t="inlineStr">
        <is>
          <t>ЮЛ РФ</t>
        </is>
      </c>
      <c r="F1415" s="13" t="n"/>
      <c r="G1415" s="14" t="n"/>
      <c r="H1415" s="14" t="n"/>
      <c r="I1415" s="14" t="n"/>
      <c r="J1415" s="14" t="n"/>
      <c r="K1415" s="53" t="inlineStr"/>
      <c r="L1415" s="53" t="inlineStr">
        <is>
          <t>Не определено</t>
        </is>
      </c>
      <c r="M1415" s="53" t="inlineStr"/>
      <c r="N1415" s="54" t="inlineStr"/>
      <c r="O1415" s="55" t="inlineStr"/>
      <c r="P1415" s="16" t="inlineStr">
        <is>
          <t>Требует обогащения</t>
        </is>
      </c>
      <c r="Q1415" s="16">
        <f>HYPERLINK("https://pb.nalog.ru/search.html?query=3820010795","ФНС: проверить")</f>
        <v/>
      </c>
      <c r="R1415" s="16">
        <f>HYPERLINK("https://checko.ru/search?query=3801001629","Чекко: проверить")</f>
        <v/>
      </c>
      <c r="S1415" t="n">
        <v>1</v>
      </c>
      <c r="T1415" s="35" t="inlineStr">
        <is>
          <t>4 — Не обогащён</t>
        </is>
      </c>
      <c r="U1415" s="35" t="inlineStr">
        <is>
          <t>Нет ОКВЭД/ССЧР</t>
        </is>
      </c>
      <c r="V1415" s="35" t="inlineStr">
        <is>
          <t>Не определено</t>
        </is>
      </c>
      <c r="W1415" s="35" t="inlineStr"/>
      <c r="X1415" s="35" t="inlineStr"/>
    </row>
    <row r="1416" ht="27.75" customHeight="1" s="24">
      <c r="A1416" s="13" t="n">
        <v>5000062566</v>
      </c>
      <c r="B1416" s="13" t="inlineStr">
        <is>
          <t>ОГОУ СПО Ульяновский педагогический колледж №4</t>
        </is>
      </c>
      <c r="C1416" s="13" t="n">
        <v>7328014328</v>
      </c>
      <c r="D1416" s="13" t="inlineStr">
        <is>
          <t>7328014328</t>
        </is>
      </c>
      <c r="E1416" s="13" t="inlineStr">
        <is>
          <t>ЮЛ РФ</t>
        </is>
      </c>
      <c r="F1416" s="13" t="n"/>
      <c r="G1416" s="14" t="n"/>
      <c r="H1416" s="14" t="n"/>
      <c r="I1416" s="14" t="n"/>
      <c r="J1416" s="14" t="n"/>
      <c r="K1416" s="53" t="inlineStr"/>
      <c r="L1416" s="53" t="inlineStr">
        <is>
          <t>Не определено</t>
        </is>
      </c>
      <c r="M1416" s="53" t="inlineStr"/>
      <c r="N1416" s="54" t="inlineStr"/>
      <c r="O1416" s="55" t="inlineStr"/>
      <c r="P1416" s="16" t="inlineStr">
        <is>
          <t>Требует обогащения</t>
        </is>
      </c>
      <c r="Q1416" s="16">
        <f>HYPERLINK("https://pb.nalog.ru/search.html?query=7328014328","ФНС: проверить")</f>
        <v/>
      </c>
      <c r="R1416" s="16">
        <f>HYPERLINK("https://checko.ru/search?query=3801001629","Чекко: проверить")</f>
        <v/>
      </c>
      <c r="S1416" t="n">
        <v>1</v>
      </c>
      <c r="T1416" s="35" t="inlineStr">
        <is>
          <t>4 — Не обогащён</t>
        </is>
      </c>
      <c r="U1416" s="35" t="inlineStr">
        <is>
          <t>Нет ОКВЭД/ССЧР</t>
        </is>
      </c>
      <c r="V1416" s="35" t="inlineStr">
        <is>
          <t>Не определено</t>
        </is>
      </c>
      <c r="W1416" s="35" t="inlineStr"/>
      <c r="X1416" s="35" t="inlineStr"/>
    </row>
    <row r="1417" ht="15" customHeight="1" s="24">
      <c r="A1417" s="13" t="n">
        <v>5000060613</v>
      </c>
      <c r="B1417" s="13" t="inlineStr">
        <is>
          <t>УОГУ "ЕИЦ"</t>
        </is>
      </c>
      <c r="C1417" s="13" t="n">
        <v>7325085909</v>
      </c>
      <c r="D1417" s="13" t="inlineStr">
        <is>
          <t>7325085909</t>
        </is>
      </c>
      <c r="E1417" s="13" t="inlineStr">
        <is>
          <t>ЮЛ РФ</t>
        </is>
      </c>
      <c r="F1417" s="13" t="n"/>
      <c r="G1417" s="14" t="n"/>
      <c r="H1417" s="14" t="n"/>
      <c r="I1417" s="14" t="n"/>
      <c r="J1417" s="14" t="n"/>
      <c r="K1417" s="53" t="inlineStr"/>
      <c r="L1417" s="53" t="inlineStr">
        <is>
          <t>Не определено</t>
        </is>
      </c>
      <c r="M1417" s="53" t="inlineStr"/>
      <c r="N1417" s="54" t="inlineStr"/>
      <c r="O1417" s="55" t="inlineStr"/>
      <c r="P1417" s="16" t="inlineStr">
        <is>
          <t>Требует обогащения</t>
        </is>
      </c>
      <c r="Q1417" s="16">
        <f>HYPERLINK("https://pb.nalog.ru/search.html?query=7325085909","ФНС: проверить")</f>
        <v/>
      </c>
      <c r="R1417" s="16">
        <f>HYPERLINK("https://checko.ru/search?query=3801001629","Чекко: проверить")</f>
        <v/>
      </c>
      <c r="S1417" t="n">
        <v>1</v>
      </c>
      <c r="T1417" s="35" t="inlineStr">
        <is>
          <t>4 — Не обогащён</t>
        </is>
      </c>
      <c r="U1417" s="35" t="inlineStr">
        <is>
          <t>Нет ОКВЭД/ССЧР</t>
        </is>
      </c>
      <c r="V1417" s="35" t="inlineStr">
        <is>
          <t>Не определено</t>
        </is>
      </c>
      <c r="W1417" s="35" t="inlineStr"/>
      <c r="X1417" s="35" t="inlineStr"/>
    </row>
    <row r="1418" ht="27.75" customHeight="1" s="24">
      <c r="A1418" s="13" t="n">
        <v>5000001337</v>
      </c>
      <c r="B1418" s="13" t="inlineStr">
        <is>
          <t>ОГОУ "Специальная коррекционная школа-интернат №1"</t>
        </is>
      </c>
      <c r="C1418" s="13" t="n">
        <v>3801014032</v>
      </c>
      <c r="D1418" s="13" t="inlineStr">
        <is>
          <t>3801014032</t>
        </is>
      </c>
      <c r="E1418" s="13" t="inlineStr">
        <is>
          <t>ЮЛ РФ</t>
        </is>
      </c>
      <c r="F1418" s="13" t="n"/>
      <c r="G1418" s="14" t="n"/>
      <c r="H1418" s="14" t="n"/>
      <c r="I1418" s="14" t="n"/>
      <c r="J1418" s="14" t="n"/>
      <c r="K1418" s="53" t="inlineStr"/>
      <c r="L1418" s="53" t="inlineStr">
        <is>
          <t>Не определено</t>
        </is>
      </c>
      <c r="M1418" s="53" t="inlineStr"/>
      <c r="N1418" s="54" t="inlineStr"/>
      <c r="O1418" s="55" t="inlineStr"/>
      <c r="P1418" s="16" t="inlineStr">
        <is>
          <t>Требует обогащения</t>
        </is>
      </c>
      <c r="Q1418" s="16">
        <f>HYPERLINK("https://pb.nalog.ru/search.html?query=3801014032","ФНС: проверить")</f>
        <v/>
      </c>
      <c r="R1418" s="16">
        <f>HYPERLINK("https://checko.ru/search?query=3801001629","Чекко: проверить")</f>
        <v/>
      </c>
      <c r="S1418" t="n">
        <v>1</v>
      </c>
      <c r="T1418" s="35" t="inlineStr">
        <is>
          <t>4 — Не обогащён</t>
        </is>
      </c>
      <c r="U1418" s="35" t="inlineStr">
        <is>
          <t>Нет ОКВЭД/ССЧР</t>
        </is>
      </c>
      <c r="V1418" s="35" t="inlineStr">
        <is>
          <t>Не определено</t>
        </is>
      </c>
      <c r="W1418" s="35" t="inlineStr"/>
      <c r="X1418" s="35" t="inlineStr"/>
    </row>
    <row r="1419" ht="27.75" customHeight="1" s="24">
      <c r="A1419" s="13" t="n">
        <v>5000062512</v>
      </c>
      <c r="B1419" s="13" t="inlineStr">
        <is>
          <t>Специальная (коррекционная) общеобразовательная школа-интернат VI</t>
        </is>
      </c>
      <c r="C1419" s="13" t="n">
        <v>7328026926</v>
      </c>
      <c r="D1419" s="13" t="inlineStr">
        <is>
          <t>7328026926</t>
        </is>
      </c>
      <c r="E1419" s="13" t="inlineStr">
        <is>
          <t>ЮЛ РФ</t>
        </is>
      </c>
      <c r="F1419" s="13" t="n"/>
      <c r="G1419" s="14" t="n"/>
      <c r="H1419" s="14" t="n"/>
      <c r="I1419" s="14" t="n"/>
      <c r="J1419" s="14" t="n"/>
      <c r="K1419" s="53" t="inlineStr"/>
      <c r="L1419" s="53" t="inlineStr">
        <is>
          <t>Не определено</t>
        </is>
      </c>
      <c r="M1419" s="53" t="inlineStr"/>
      <c r="N1419" s="54" t="inlineStr"/>
      <c r="O1419" s="55" t="inlineStr"/>
      <c r="P1419" s="16" t="inlineStr">
        <is>
          <t>Требует обогащения</t>
        </is>
      </c>
      <c r="Q1419" s="16">
        <f>HYPERLINK("https://pb.nalog.ru/search.html?query=7328026926","ФНС: проверить")</f>
        <v/>
      </c>
      <c r="R1419" s="16">
        <f>HYPERLINK("https://checko.ru/search?query=3801001629","Чекко: проверить")</f>
        <v/>
      </c>
      <c r="S1419" t="n">
        <v>1</v>
      </c>
      <c r="T1419" s="35" t="inlineStr">
        <is>
          <t>4 — Не обогащён</t>
        </is>
      </c>
      <c r="U1419" s="35" t="inlineStr">
        <is>
          <t>Нет ОКВЭД/ССЧР</t>
        </is>
      </c>
      <c r="V1419" s="35" t="inlineStr">
        <is>
          <t>Не определено</t>
        </is>
      </c>
      <c r="W1419" s="35" t="inlineStr"/>
      <c r="X1419" s="35" t="inlineStr"/>
    </row>
    <row r="1420" ht="81.75" customHeight="1" s="24">
      <c r="A1420" s="13" t="n">
        <v>5000106144</v>
      </c>
      <c r="B1420" s="13" t="inlineStr">
        <is>
          <t>МУНИЦИПАЛЬНОЕ БЮДЖЕТНОЕ ОБЩЕОБРАЗОВАТЕЛЬНОЕ УЧРЕЖДЕНИЕ "МАТВЕЕВСКАЯ ОСНОВНАЯ ОБЩЕОБРАЗОВАТЕЛЬНАЯ ШКОЛА" СОРОЧИНСКОГО ГОРОДСКОГО ОКРУГА ОРЕНБУРГСКОЙ ОБ</t>
        </is>
      </c>
      <c r="C1420" s="13" t="n">
        <v>5647006922</v>
      </c>
      <c r="D1420" s="13" t="inlineStr">
        <is>
          <t>5647006922</t>
        </is>
      </c>
      <c r="E1420" s="13" t="inlineStr">
        <is>
          <t>ЮЛ РФ</t>
        </is>
      </c>
      <c r="F1420" s="13" t="n"/>
      <c r="G1420" s="14" t="n"/>
      <c r="H1420" s="14" t="n"/>
      <c r="I1420" s="14" t="n"/>
      <c r="J1420" s="14" t="n"/>
      <c r="K1420" s="53" t="inlineStr"/>
      <c r="L1420" s="53" t="inlineStr">
        <is>
          <t>Не определено</t>
        </is>
      </c>
      <c r="M1420" s="53" t="inlineStr"/>
      <c r="N1420" s="54" t="inlineStr"/>
      <c r="O1420" s="55" t="inlineStr"/>
      <c r="P1420" s="16" t="inlineStr">
        <is>
          <t>Требует обогащения</t>
        </is>
      </c>
      <c r="Q1420" s="16">
        <f>HYPERLINK("https://pb.nalog.ru/search.html?query=5647006922","ФНС: проверить")</f>
        <v/>
      </c>
      <c r="R1420" s="16">
        <f>HYPERLINK("https://checko.ru/search?query=3801001629","Чекко: проверить")</f>
        <v/>
      </c>
      <c r="S1420" t="n">
        <v>1</v>
      </c>
      <c r="T1420" s="35" t="inlineStr">
        <is>
          <t>4 — Не обогащён</t>
        </is>
      </c>
      <c r="U1420" s="35" t="inlineStr">
        <is>
          <t>Нет ОКВЭД/ССЧР</t>
        </is>
      </c>
      <c r="V1420" s="35" t="inlineStr">
        <is>
          <t>Не определено</t>
        </is>
      </c>
      <c r="W1420" s="35" t="inlineStr"/>
      <c r="X1420" s="35" t="inlineStr"/>
    </row>
    <row r="1421" ht="27.75" customHeight="1" s="24">
      <c r="A1421" s="13" t="n">
        <v>5000076948</v>
      </c>
      <c r="B1421" s="13" t="inlineStr">
        <is>
          <t>ГКУ Ульяновской области "Старомайнское лесничество"</t>
        </is>
      </c>
      <c r="C1421" s="13" t="n">
        <v>7310103954</v>
      </c>
      <c r="D1421" s="13" t="inlineStr">
        <is>
          <t>7310103954</t>
        </is>
      </c>
      <c r="E1421" s="13" t="inlineStr">
        <is>
          <t>ЮЛ РФ</t>
        </is>
      </c>
      <c r="F1421" s="13" t="n"/>
      <c r="G1421" s="14" t="n"/>
      <c r="H1421" s="14" t="n"/>
      <c r="I1421" s="14" t="n"/>
      <c r="J1421" s="14" t="n"/>
      <c r="K1421" s="53" t="inlineStr"/>
      <c r="L1421" s="53" t="inlineStr">
        <is>
          <t>Не определено</t>
        </is>
      </c>
      <c r="M1421" s="53" t="inlineStr"/>
      <c r="N1421" s="54" t="inlineStr"/>
      <c r="O1421" s="55" t="inlineStr"/>
      <c r="P1421" s="16" t="inlineStr">
        <is>
          <t>Требует обогащения</t>
        </is>
      </c>
      <c r="Q1421" s="16">
        <f>HYPERLINK("https://pb.nalog.ru/search.html?query=7310103954","ФНС: проверить")</f>
        <v/>
      </c>
      <c r="R1421" s="16">
        <f>HYPERLINK("https://checko.ru/search?query=3801001629","Чекко: проверить")</f>
        <v/>
      </c>
      <c r="S1421" t="n">
        <v>1</v>
      </c>
      <c r="T1421" s="35" t="inlineStr">
        <is>
          <t>4 — Не обогащён</t>
        </is>
      </c>
      <c r="U1421" s="35" t="inlineStr">
        <is>
          <t>Нет ОКВЭД/ССЧР</t>
        </is>
      </c>
      <c r="V1421" s="35" t="inlineStr">
        <is>
          <t>Не определено</t>
        </is>
      </c>
      <c r="W1421" s="35" t="inlineStr"/>
      <c r="X1421" s="35" t="inlineStr"/>
    </row>
    <row r="1422" ht="27.75" customHeight="1" s="24">
      <c r="A1422" s="13" t="n">
        <v>5000094603</v>
      </c>
      <c r="B1422" s="13" t="inlineStr">
        <is>
          <t>Управление финансами Прохладненского район КБР</t>
        </is>
      </c>
      <c r="C1422" s="13" t="n">
        <v>704001748</v>
      </c>
      <c r="D1422" s="13" t="n"/>
      <c r="E1422" s="13" t="inlineStr">
        <is>
          <t>Не определён</t>
        </is>
      </c>
      <c r="F1422" s="13" t="inlineStr">
        <is>
          <t>704001748</t>
        </is>
      </c>
      <c r="G1422" s="14" t="n"/>
      <c r="H1422" s="14" t="n"/>
      <c r="I1422" s="14" t="n"/>
      <c r="J1422" s="14" t="n"/>
      <c r="K1422" s="13">
        <f>IF(G1422="","",IF(G1422&gt;=22,"Да","Нет"))</f>
        <v/>
      </c>
      <c r="L1422" s="13">
        <f>IF(OR(I1422="",J1422=""),"Не определено",IF(OR(COUNTIF(I1422,"45*")&gt;0,COUNTIF(J1422,"*45*")&gt;0,COUNTIF(I1422,"46*")&gt;0,COUNTIF(J1422,"*46*")&gt;0,COUNTIF(I1422,"47*")&gt;0,COUNTIF(J1422,"*47*")&gt;0,COUNTIF(I1422,"10*")&gt;0,COUNTIF(J1422,"*10*")&gt;0,COUNTIF(I1422,"11*")&gt;0,COUNTIF(J1422,"*11*")&gt;0,COUNTIF(I1422,"12*")&gt;0,COUNTIF(J1422,"*12*")&gt;0,COUNTIF(I1422,"13*")&gt;0,COUNTIF(J1422,"*13*")&gt;0,COUNTIF(I1422,"14*")&gt;0,COUNTIF(J1422,"*14*")&gt;0,COUNTIF(I1422,"15*")&gt;0,COUNTIF(J1422,"*15*")&gt;0,COUNTIF(I1422,"16*")&gt;0,COUNTIF(J1422,"*16*")&gt;0,COUNTIF(I1422,"17*")&gt;0,COUNTIF(J1422,"*17*")&gt;0,COUNTIF(I1422,"18*")&gt;0,COUNTIF(J1422,"*18*")&gt;0,COUNTIF(I1422,"19*")&gt;0,COUNTIF(J1422,"*19*")&gt;0,COUNTIF(I1422,"20*")&gt;0,COUNTIF(J1422,"*20*")&gt;0,COUNTIF(I1422,"21*")&gt;0,COUNTIF(J1422,"*21*")&gt;0,COUNTIF(I1422,"22*")&gt;0,COUNTIF(J1422,"*22*")&gt;0,COUNTIF(I1422,"23*")&gt;0,COUNTIF(J1422,"*23*")&gt;0,COUNTIF(I1422,"24*")&gt;0,COUNTIF(J1422,"*24*")&gt;0,COUNTIF(I1422,"25*")&gt;0,COUNTIF(J1422,"*25*")&gt;0,COUNTIF(I1422,"26*")&gt;0,COUNTIF(J1422,"*26*")&gt;0,COUNTIF(I1422,"27*")&gt;0,COUNTIF(J1422,"*27*")&gt;0,COUNTIF(I1422,"28*")&gt;0,COUNTIF(J1422,"*28*")&gt;0,COUNTIF(I1422,"29*")&gt;0,COUNTIF(J1422,"*29*")&gt;0,COUNTIF(I1422,"30*")&gt;0,COUNTIF(J1422,"*30*")&gt;0,COUNTIF(I1422,"31*")&gt;0,COUNTIF(J1422,"*31*")&gt;0,COUNTIF(I1422,"32*")&gt;0,COUNTIF(J1422,"*32*")&gt;0,COUNTIF(I1422,"33*")&gt;0,COUNTIF(J1422,"*33*")&gt;0,COUNTIF(I1422,"41*")&gt;0,COUNTIF(J1422,"*41*")&gt;0,COUNTIF(I1422,"42*")&gt;0,COUNTIF(J1422,"*42*")&gt;0,COUNTIF(I1422,"43*")&gt;0,COUNTIF(J1422,"*43*")&gt;0,COUNTIF(I1422,"49*")&gt;0,COUNTIF(J1422,"*49*")&gt;0,COUNTIF(I1422,"52*")&gt;0,COUNTIF(J1422,"*52*")&gt;0,COUNTIF(I1422,"55*")&gt;0,COUNTIF(J1422,"*55*")&gt;0,COUNTIF(I1422,"56*")&gt;0,COUNTIF(J1422,"*56*")&gt;0,COUNTIF(I1422,"68*")&gt;0,COUNTIF(J1422,"*68*")&gt;0,COUNTIF(I1422,"78*")&gt;0,COUNTIF(J1422,"*78*")&gt;0,COUNTIF(I1422,"81*")&gt;0,COUNTIF(J1422,"*81*")&gt;0,COUNTIF(I1422,"82*")&gt;0,COUNTIF(J1422,"*82*")&gt;0,COUNTIF(I1422,"64*")&gt;0,COUNTIF(J1422,"*64*")&gt;0,COUNTIF(I1422,"65*")&gt;0,COUNTIF(J1422,"*65*")&gt;0,COUNTIF(I1422,"66*")&gt;0,COUNTIF(J1422,"*66*")&gt;0,COUNTIF(I1422,"61*")&gt;0,COUNTIF(J1422,"*61*")&gt;0,COUNTIF(I1422,"62*")&gt;0,COUNTIF(J1422,"*62*")&gt;0,COUNTIF(I1422,"63*")&gt;0,COUNTIF(J1422,"*63*")&gt;0,COUNTIF(I1422,"85*")&gt;0,COUNTIF(J1422,"*85*")&gt;0,COUNTIF(I1422,"86*")&gt;0,COUNTIF(J1422,"*86*")&gt;0),"Да","Нет"))</f>
        <v/>
      </c>
      <c r="M1422" s="13">
        <f>IF(OR(G1422="",L1422&lt;&gt;"Да"),"",IF(G1422&lt;=100,"До 100",IF(G1422&lt;=200,"До 200",IF(G1422&lt;=500,"До 500","Отдельное КП"))))</f>
        <v/>
      </c>
      <c r="N1422" s="15">
        <f>IF(OR(G1422="",L1422&lt;&gt;"Да"),"",IF(G1422&lt;=100,33600,IF(G1422&lt;=200,62400,IF(G1422&lt;=500,144000,""))))</f>
        <v/>
      </c>
      <c r="O1422" s="16">
        <f>IF(G1422="","",IF(G1422&lt;=15,"1–15",IF(G1422&lt;=30,"16–30",IF(G1422&lt;=50,"31–50",IF(G1422&lt;=100,"51–100",IF(G1422&lt;=150,"101–150",IF(G1422&lt;=200,"151–200",IF(G1422&lt;=500,"201–500","500+"))))))))</f>
        <v/>
      </c>
      <c r="P1422" s="16" t="inlineStr">
        <is>
          <t>Нет совпадения в предоставленной выгрузке ССЧР</t>
        </is>
      </c>
      <c r="Q1422" s="16" t="n"/>
      <c r="R1422" s="16">
        <f>HYPERLINK("https://checko.ru/search?query=3801001629","Чекко: проверить")</f>
        <v/>
      </c>
      <c r="S1422" t="n">
        <v>0</v>
      </c>
    </row>
    <row r="1423" ht="27.75" customHeight="1" s="24">
      <c r="A1423" s="13" t="n">
        <v>5000038530</v>
      </c>
      <c r="B1423" s="13" t="inlineStr">
        <is>
          <t>Областное автономное учреждение "Государственная корпорация СМИ "Медиа 73"</t>
        </is>
      </c>
      <c r="C1423" s="13" t="n">
        <v>7326033815</v>
      </c>
      <c r="D1423" s="13" t="inlineStr">
        <is>
          <t>7326033815</t>
        </is>
      </c>
      <c r="E1423" s="13" t="inlineStr">
        <is>
          <t>ЮЛ РФ</t>
        </is>
      </c>
      <c r="F1423" s="13" t="n"/>
      <c r="G1423" s="14" t="n"/>
      <c r="H1423" s="14" t="n"/>
      <c r="I1423" s="14" t="n"/>
      <c r="J1423" s="14" t="n"/>
      <c r="K1423" s="53" t="inlineStr"/>
      <c r="L1423" s="53" t="inlineStr">
        <is>
          <t>Не определено</t>
        </is>
      </c>
      <c r="M1423" s="53" t="inlineStr"/>
      <c r="N1423" s="54" t="inlineStr"/>
      <c r="O1423" s="55" t="inlineStr"/>
      <c r="P1423" s="16" t="inlineStr">
        <is>
          <t>Требует обогащения</t>
        </is>
      </c>
      <c r="Q1423" s="16">
        <f>HYPERLINK("https://pb.nalog.ru/search.html?query=7326033815","ФНС: проверить")</f>
        <v/>
      </c>
      <c r="R1423" s="16">
        <f>HYPERLINK("https://checko.ru/search?query=3801001629","Чекко: проверить")</f>
        <v/>
      </c>
      <c r="S1423" t="n">
        <v>1</v>
      </c>
      <c r="T1423" s="35" t="inlineStr">
        <is>
          <t>4 — Не обогащён</t>
        </is>
      </c>
      <c r="U1423" s="35" t="inlineStr">
        <is>
          <t>Нет ОКВЭД/ССЧР</t>
        </is>
      </c>
      <c r="V1423" s="35" t="inlineStr">
        <is>
          <t>Не определено</t>
        </is>
      </c>
      <c r="W1423" s="35" t="inlineStr"/>
      <c r="X1423" s="35" t="inlineStr"/>
    </row>
    <row r="1424" ht="41.25" customHeight="1" s="24">
      <c r="A1424" s="13" t="n">
        <v>5000001721</v>
      </c>
      <c r="B1424" s="13" t="inlineStr">
        <is>
          <t>ОГКУ СО "Социально-реабилитационный центр для несовершеннолетних Нижнеудинского района"</t>
        </is>
      </c>
      <c r="C1424" s="13" t="n">
        <v>3813002761</v>
      </c>
      <c r="D1424" s="13" t="inlineStr">
        <is>
          <t>3813002761</t>
        </is>
      </c>
      <c r="E1424" s="13" t="inlineStr">
        <is>
          <t>ЮЛ РФ</t>
        </is>
      </c>
      <c r="F1424" s="13" t="n"/>
      <c r="G1424" s="14" t="n"/>
      <c r="H1424" s="14" t="n"/>
      <c r="I1424" s="14" t="n"/>
      <c r="J1424" s="14" t="n"/>
      <c r="K1424" s="53" t="inlineStr"/>
      <c r="L1424" s="53" t="inlineStr">
        <is>
          <t>Не определено</t>
        </is>
      </c>
      <c r="M1424" s="53" t="inlineStr"/>
      <c r="N1424" s="54" t="inlineStr"/>
      <c r="O1424" s="55" t="inlineStr"/>
      <c r="P1424" s="16" t="inlineStr">
        <is>
          <t>Требует обогащения</t>
        </is>
      </c>
      <c r="Q1424" s="16">
        <f>HYPERLINK("https://pb.nalog.ru/search.html?query=3813002761","ФНС: проверить")</f>
        <v/>
      </c>
      <c r="R1424" s="16">
        <f>HYPERLINK("https://checko.ru/search?query=3801001629","Чекко: проверить")</f>
        <v/>
      </c>
      <c r="S1424" t="n">
        <v>1</v>
      </c>
      <c r="T1424" s="35" t="inlineStr">
        <is>
          <t>4 — Не обогащён</t>
        </is>
      </c>
      <c r="U1424" s="35" t="inlineStr">
        <is>
          <t>Нет ОКВЭД/ССЧР</t>
        </is>
      </c>
      <c r="V1424" s="35" t="inlineStr">
        <is>
          <t>Не определено</t>
        </is>
      </c>
      <c r="W1424" s="35" t="inlineStr"/>
      <c r="X1424" s="35" t="inlineStr"/>
    </row>
    <row r="1425" ht="27.75" customHeight="1" s="24">
      <c r="A1425" s="13" t="n">
        <v>5000062607</v>
      </c>
      <c r="B1425" s="13" t="inlineStr">
        <is>
          <t>ГУЗ Ульяновский областной клинический центр спец. видов медецинской помощи</t>
        </is>
      </c>
      <c r="C1425" s="13" t="n">
        <v>7325101759</v>
      </c>
      <c r="D1425" s="13" t="inlineStr">
        <is>
          <t>7325101759</t>
        </is>
      </c>
      <c r="E1425" s="13" t="inlineStr">
        <is>
          <t>ЮЛ РФ</t>
        </is>
      </c>
      <c r="F1425" s="13" t="n"/>
      <c r="G1425" s="14" t="n"/>
      <c r="H1425" s="14" t="n"/>
      <c r="I1425" s="14" t="n"/>
      <c r="J1425" s="14" t="n"/>
      <c r="K1425" s="53" t="inlineStr"/>
      <c r="L1425" s="53" t="inlineStr">
        <is>
          <t>Не определено</t>
        </is>
      </c>
      <c r="M1425" s="53" t="inlineStr"/>
      <c r="N1425" s="54" t="inlineStr"/>
      <c r="O1425" s="55" t="inlineStr"/>
      <c r="P1425" s="16" t="inlineStr">
        <is>
          <t>Требует обогащения</t>
        </is>
      </c>
      <c r="Q1425" s="16">
        <f>HYPERLINK("https://pb.nalog.ru/search.html?query=7325101759","ФНС: проверить")</f>
        <v/>
      </c>
      <c r="R1425" s="16">
        <f>HYPERLINK("https://checko.ru/search?query=3801001629","Чекко: проверить")</f>
        <v/>
      </c>
      <c r="S1425" t="n">
        <v>1</v>
      </c>
      <c r="T1425" s="35" t="inlineStr">
        <is>
          <t>4 — Не обогащён</t>
        </is>
      </c>
      <c r="U1425" s="35" t="inlineStr">
        <is>
          <t>Нет ОКВЭД/ССЧР</t>
        </is>
      </c>
      <c r="V1425" s="35" t="inlineStr">
        <is>
          <t>Не определено</t>
        </is>
      </c>
      <c r="W1425" s="35" t="inlineStr"/>
      <c r="X1425" s="35" t="inlineStr"/>
    </row>
    <row r="1426" ht="15" customHeight="1" s="24">
      <c r="A1426" s="13" t="n">
        <v>5000062630</v>
      </c>
      <c r="B1426" s="13" t="inlineStr">
        <is>
          <t>МУЗ Городская поликлинника № 5</t>
        </is>
      </c>
      <c r="C1426" s="13" t="n">
        <v>7328014423</v>
      </c>
      <c r="D1426" s="13" t="inlineStr">
        <is>
          <t>7328014423</t>
        </is>
      </c>
      <c r="E1426" s="13" t="inlineStr">
        <is>
          <t>ЮЛ РФ</t>
        </is>
      </c>
      <c r="F1426" s="13" t="n"/>
      <c r="G1426" s="14" t="n"/>
      <c r="H1426" s="14" t="n"/>
      <c r="I1426" s="14" t="n"/>
      <c r="J1426" s="14" t="n"/>
      <c r="K1426" s="53" t="inlineStr"/>
      <c r="L1426" s="53" t="inlineStr">
        <is>
          <t>Не определено</t>
        </is>
      </c>
      <c r="M1426" s="53" t="inlineStr"/>
      <c r="N1426" s="54" t="inlineStr"/>
      <c r="O1426" s="55" t="inlineStr"/>
      <c r="P1426" s="16" t="inlineStr">
        <is>
          <t>Требует обогащения</t>
        </is>
      </c>
      <c r="Q1426" s="16">
        <f>HYPERLINK("https://pb.nalog.ru/search.html?query=7328014423","ФНС: проверить")</f>
        <v/>
      </c>
      <c r="R1426" s="16">
        <f>HYPERLINK("https://checko.ru/search?query=3801001629","Чекко: проверить")</f>
        <v/>
      </c>
      <c r="S1426" t="n">
        <v>1</v>
      </c>
      <c r="T1426" s="35" t="inlineStr">
        <is>
          <t>4 — Не обогащён</t>
        </is>
      </c>
      <c r="U1426" s="35" t="inlineStr">
        <is>
          <t>Нет ОКВЭД/ССЧР</t>
        </is>
      </c>
      <c r="V1426" s="35" t="inlineStr">
        <is>
          <t>Не определено</t>
        </is>
      </c>
      <c r="W1426" s="35" t="inlineStr"/>
      <c r="X1426" s="35" t="inlineStr"/>
    </row>
    <row r="1427" ht="27.75" customHeight="1" s="24">
      <c r="A1427" s="13" t="n">
        <v>5000002215</v>
      </c>
      <c r="B1427" s="13" t="inlineStr">
        <is>
          <t>Усолье-Сибирская городская территориальная избирательная комиссия</t>
        </is>
      </c>
      <c r="C1427" s="13" t="n">
        <v>3819013689</v>
      </c>
      <c r="D1427" s="13" t="inlineStr">
        <is>
          <t>3819013689</t>
        </is>
      </c>
      <c r="E1427" s="13" t="inlineStr">
        <is>
          <t>ЮЛ РФ</t>
        </is>
      </c>
      <c r="F1427" s="13" t="n"/>
      <c r="G1427" s="14" t="n"/>
      <c r="H1427" s="14" t="n"/>
      <c r="I1427" s="14" t="n"/>
      <c r="J1427" s="14" t="n"/>
      <c r="K1427" s="53" t="inlineStr"/>
      <c r="L1427" s="53" t="inlineStr">
        <is>
          <t>Не определено</t>
        </is>
      </c>
      <c r="M1427" s="53" t="inlineStr"/>
      <c r="N1427" s="54" t="inlineStr"/>
      <c r="O1427" s="55" t="inlineStr"/>
      <c r="P1427" s="16" t="inlineStr">
        <is>
          <t>Требует обогащения</t>
        </is>
      </c>
      <c r="Q1427" s="16">
        <f>HYPERLINK("https://pb.nalog.ru/search.html?query=3819013689","ФНС: проверить")</f>
        <v/>
      </c>
      <c r="R1427" s="16">
        <f>HYPERLINK("https://checko.ru/search?query=3801001629","Чекко: проверить")</f>
        <v/>
      </c>
      <c r="S1427" t="n">
        <v>1</v>
      </c>
      <c r="T1427" s="35" t="inlineStr">
        <is>
          <t>4 — Не обогащён</t>
        </is>
      </c>
      <c r="U1427" s="35" t="inlineStr">
        <is>
          <t>Нет ОКВЭД/ССЧР</t>
        </is>
      </c>
      <c r="V1427" s="35" t="inlineStr">
        <is>
          <t>Не определено</t>
        </is>
      </c>
      <c r="W1427" s="35" t="inlineStr"/>
      <c r="X1427" s="35" t="inlineStr"/>
    </row>
    <row r="1428" ht="41.25" customHeight="1" s="24">
      <c r="A1428" s="13" t="n">
        <v>5000095135</v>
      </c>
      <c r="B1428" s="13" t="inlineStr">
        <is>
          <t>ГБУЗ "Центральная районная больница" г.о. Прохладный и Прохладненского муниципального района</t>
        </is>
      </c>
      <c r="C1428" s="13" t="n">
        <v>716009710</v>
      </c>
      <c r="D1428" s="13" t="n"/>
      <c r="E1428" s="13" t="inlineStr">
        <is>
          <t>Не определён</t>
        </is>
      </c>
      <c r="F1428" s="13" t="inlineStr">
        <is>
          <t>716009710</t>
        </is>
      </c>
      <c r="G1428" s="14" t="n"/>
      <c r="H1428" s="14" t="n"/>
      <c r="I1428" s="14" t="n"/>
      <c r="J1428" s="14" t="n"/>
      <c r="K1428" s="13">
        <f>IF(G1428="","",IF(G1428&gt;=22,"Да","Нет"))</f>
        <v/>
      </c>
      <c r="L1428" s="13">
        <f>IF(OR(I1428="",J1428=""),"Не определено",IF(OR(COUNTIF(I1428,"45*")&gt;0,COUNTIF(J1428,"*45*")&gt;0,COUNTIF(I1428,"46*")&gt;0,COUNTIF(J1428,"*46*")&gt;0,COUNTIF(I1428,"47*")&gt;0,COUNTIF(J1428,"*47*")&gt;0,COUNTIF(I1428,"10*")&gt;0,COUNTIF(J1428,"*10*")&gt;0,COUNTIF(I1428,"11*")&gt;0,COUNTIF(J1428,"*11*")&gt;0,COUNTIF(I1428,"12*")&gt;0,COUNTIF(J1428,"*12*")&gt;0,COUNTIF(I1428,"13*")&gt;0,COUNTIF(J1428,"*13*")&gt;0,COUNTIF(I1428,"14*")&gt;0,COUNTIF(J1428,"*14*")&gt;0,COUNTIF(I1428,"15*")&gt;0,COUNTIF(J1428,"*15*")&gt;0,COUNTIF(I1428,"16*")&gt;0,COUNTIF(J1428,"*16*")&gt;0,COUNTIF(I1428,"17*")&gt;0,COUNTIF(J1428,"*17*")&gt;0,COUNTIF(I1428,"18*")&gt;0,COUNTIF(J1428,"*18*")&gt;0,COUNTIF(I1428,"19*")&gt;0,COUNTIF(J1428,"*19*")&gt;0,COUNTIF(I1428,"20*")&gt;0,COUNTIF(J1428,"*20*")&gt;0,COUNTIF(I1428,"21*")&gt;0,COUNTIF(J1428,"*21*")&gt;0,COUNTIF(I1428,"22*")&gt;0,COUNTIF(J1428,"*22*")&gt;0,COUNTIF(I1428,"23*")&gt;0,COUNTIF(J1428,"*23*")&gt;0,COUNTIF(I1428,"24*")&gt;0,COUNTIF(J1428,"*24*")&gt;0,COUNTIF(I1428,"25*")&gt;0,COUNTIF(J1428,"*25*")&gt;0,COUNTIF(I1428,"26*")&gt;0,COUNTIF(J1428,"*26*")&gt;0,COUNTIF(I1428,"27*")&gt;0,COUNTIF(J1428,"*27*")&gt;0,COUNTIF(I1428,"28*")&gt;0,COUNTIF(J1428,"*28*")&gt;0,COUNTIF(I1428,"29*")&gt;0,COUNTIF(J1428,"*29*")&gt;0,COUNTIF(I1428,"30*")&gt;0,COUNTIF(J1428,"*30*")&gt;0,COUNTIF(I1428,"31*")&gt;0,COUNTIF(J1428,"*31*")&gt;0,COUNTIF(I1428,"32*")&gt;0,COUNTIF(J1428,"*32*")&gt;0,COUNTIF(I1428,"33*")&gt;0,COUNTIF(J1428,"*33*")&gt;0,COUNTIF(I1428,"41*")&gt;0,COUNTIF(J1428,"*41*")&gt;0,COUNTIF(I1428,"42*")&gt;0,COUNTIF(J1428,"*42*")&gt;0,COUNTIF(I1428,"43*")&gt;0,COUNTIF(J1428,"*43*")&gt;0,COUNTIF(I1428,"49*")&gt;0,COUNTIF(J1428,"*49*")&gt;0,COUNTIF(I1428,"52*")&gt;0,COUNTIF(J1428,"*52*")&gt;0,COUNTIF(I1428,"55*")&gt;0,COUNTIF(J1428,"*55*")&gt;0,COUNTIF(I1428,"56*")&gt;0,COUNTIF(J1428,"*56*")&gt;0,COUNTIF(I1428,"68*")&gt;0,COUNTIF(J1428,"*68*")&gt;0,COUNTIF(I1428,"78*")&gt;0,COUNTIF(J1428,"*78*")&gt;0,COUNTIF(I1428,"81*")&gt;0,COUNTIF(J1428,"*81*")&gt;0,COUNTIF(I1428,"82*")&gt;0,COUNTIF(J1428,"*82*")&gt;0,COUNTIF(I1428,"64*")&gt;0,COUNTIF(J1428,"*64*")&gt;0,COUNTIF(I1428,"65*")&gt;0,COUNTIF(J1428,"*65*")&gt;0,COUNTIF(I1428,"66*")&gt;0,COUNTIF(J1428,"*66*")&gt;0,COUNTIF(I1428,"61*")&gt;0,COUNTIF(J1428,"*61*")&gt;0,COUNTIF(I1428,"62*")&gt;0,COUNTIF(J1428,"*62*")&gt;0,COUNTIF(I1428,"63*")&gt;0,COUNTIF(J1428,"*63*")&gt;0,COUNTIF(I1428,"85*")&gt;0,COUNTIF(J1428,"*85*")&gt;0,COUNTIF(I1428,"86*")&gt;0,COUNTIF(J1428,"*86*")&gt;0),"Да","Нет"))</f>
        <v/>
      </c>
      <c r="M1428" s="13">
        <f>IF(OR(G1428="",L1428&lt;&gt;"Да"),"",IF(G1428&lt;=100,"До 100",IF(G1428&lt;=200,"До 200",IF(G1428&lt;=500,"До 500","Отдельное КП"))))</f>
        <v/>
      </c>
      <c r="N1428" s="15">
        <f>IF(OR(G1428="",L1428&lt;&gt;"Да"),"",IF(G1428&lt;=100,33600,IF(G1428&lt;=200,62400,IF(G1428&lt;=500,144000,""))))</f>
        <v/>
      </c>
      <c r="O1428" s="16">
        <f>IF(G1428="","",IF(G1428&lt;=15,"1–15",IF(G1428&lt;=30,"16–30",IF(G1428&lt;=50,"31–50",IF(G1428&lt;=100,"51–100",IF(G1428&lt;=150,"101–150",IF(G1428&lt;=200,"151–200",IF(G1428&lt;=500,"201–500","500+"))))))))</f>
        <v/>
      </c>
      <c r="P1428" s="16" t="inlineStr">
        <is>
          <t>Нет совпадения в предоставленной выгрузке ССЧР</t>
        </is>
      </c>
      <c r="Q1428" s="16" t="n"/>
      <c r="R1428" s="16">
        <f>HYPERLINK("https://checko.ru/search?query=3801001629","Чекко: проверить")</f>
        <v/>
      </c>
      <c r="S1428" t="n">
        <v>0</v>
      </c>
    </row>
    <row r="1429" ht="15" customHeight="1" s="24">
      <c r="A1429" s="13" t="n">
        <v>5000008576</v>
      </c>
      <c r="B1429" s="13" t="inlineStr">
        <is>
          <t>УФССП России по Республике Алтай</t>
        </is>
      </c>
      <c r="C1429" s="13" t="n">
        <v>411119740</v>
      </c>
      <c r="D1429" s="13" t="n"/>
      <c r="E1429" s="13" t="inlineStr">
        <is>
          <t>Не определён</t>
        </is>
      </c>
      <c r="F1429" s="13" t="inlineStr">
        <is>
          <t>411119740</t>
        </is>
      </c>
      <c r="G1429" s="14" t="n"/>
      <c r="H1429" s="14" t="n"/>
      <c r="I1429" s="14" t="n"/>
      <c r="J1429" s="14" t="n"/>
      <c r="K1429" s="13">
        <f>IF(G1429="","",IF(G1429&gt;=22,"Да","Нет"))</f>
        <v/>
      </c>
      <c r="L1429" s="13">
        <f>IF(OR(I1429="",J1429=""),"Не определено",IF(OR(COUNTIF(I1429,"45*")&gt;0,COUNTIF(J1429,"*45*")&gt;0,COUNTIF(I1429,"46*")&gt;0,COUNTIF(J1429,"*46*")&gt;0,COUNTIF(I1429,"47*")&gt;0,COUNTIF(J1429,"*47*")&gt;0,COUNTIF(I1429,"10*")&gt;0,COUNTIF(J1429,"*10*")&gt;0,COUNTIF(I1429,"11*")&gt;0,COUNTIF(J1429,"*11*")&gt;0,COUNTIF(I1429,"12*")&gt;0,COUNTIF(J1429,"*12*")&gt;0,COUNTIF(I1429,"13*")&gt;0,COUNTIF(J1429,"*13*")&gt;0,COUNTIF(I1429,"14*")&gt;0,COUNTIF(J1429,"*14*")&gt;0,COUNTIF(I1429,"15*")&gt;0,COUNTIF(J1429,"*15*")&gt;0,COUNTIF(I1429,"16*")&gt;0,COUNTIF(J1429,"*16*")&gt;0,COUNTIF(I1429,"17*")&gt;0,COUNTIF(J1429,"*17*")&gt;0,COUNTIF(I1429,"18*")&gt;0,COUNTIF(J1429,"*18*")&gt;0,COUNTIF(I1429,"19*")&gt;0,COUNTIF(J1429,"*19*")&gt;0,COUNTIF(I1429,"20*")&gt;0,COUNTIF(J1429,"*20*")&gt;0,COUNTIF(I1429,"21*")&gt;0,COUNTIF(J1429,"*21*")&gt;0,COUNTIF(I1429,"22*")&gt;0,COUNTIF(J1429,"*22*")&gt;0,COUNTIF(I1429,"23*")&gt;0,COUNTIF(J1429,"*23*")&gt;0,COUNTIF(I1429,"24*")&gt;0,COUNTIF(J1429,"*24*")&gt;0,COUNTIF(I1429,"25*")&gt;0,COUNTIF(J1429,"*25*")&gt;0,COUNTIF(I1429,"26*")&gt;0,COUNTIF(J1429,"*26*")&gt;0,COUNTIF(I1429,"27*")&gt;0,COUNTIF(J1429,"*27*")&gt;0,COUNTIF(I1429,"28*")&gt;0,COUNTIF(J1429,"*28*")&gt;0,COUNTIF(I1429,"29*")&gt;0,COUNTIF(J1429,"*29*")&gt;0,COUNTIF(I1429,"30*")&gt;0,COUNTIF(J1429,"*30*")&gt;0,COUNTIF(I1429,"31*")&gt;0,COUNTIF(J1429,"*31*")&gt;0,COUNTIF(I1429,"32*")&gt;0,COUNTIF(J1429,"*32*")&gt;0,COUNTIF(I1429,"33*")&gt;0,COUNTIF(J1429,"*33*")&gt;0,COUNTIF(I1429,"41*")&gt;0,COUNTIF(J1429,"*41*")&gt;0,COUNTIF(I1429,"42*")&gt;0,COUNTIF(J1429,"*42*")&gt;0,COUNTIF(I1429,"43*")&gt;0,COUNTIF(J1429,"*43*")&gt;0,COUNTIF(I1429,"49*")&gt;0,COUNTIF(J1429,"*49*")&gt;0,COUNTIF(I1429,"52*")&gt;0,COUNTIF(J1429,"*52*")&gt;0,COUNTIF(I1429,"55*")&gt;0,COUNTIF(J1429,"*55*")&gt;0,COUNTIF(I1429,"56*")&gt;0,COUNTIF(J1429,"*56*")&gt;0,COUNTIF(I1429,"68*")&gt;0,COUNTIF(J1429,"*68*")&gt;0,COUNTIF(I1429,"78*")&gt;0,COUNTIF(J1429,"*78*")&gt;0,COUNTIF(I1429,"81*")&gt;0,COUNTIF(J1429,"*81*")&gt;0,COUNTIF(I1429,"82*")&gt;0,COUNTIF(J1429,"*82*")&gt;0,COUNTIF(I1429,"64*")&gt;0,COUNTIF(J1429,"*64*")&gt;0,COUNTIF(I1429,"65*")&gt;0,COUNTIF(J1429,"*65*")&gt;0,COUNTIF(I1429,"66*")&gt;0,COUNTIF(J1429,"*66*")&gt;0,COUNTIF(I1429,"61*")&gt;0,COUNTIF(J1429,"*61*")&gt;0,COUNTIF(I1429,"62*")&gt;0,COUNTIF(J1429,"*62*")&gt;0,COUNTIF(I1429,"63*")&gt;0,COUNTIF(J1429,"*63*")&gt;0,COUNTIF(I1429,"85*")&gt;0,COUNTIF(J1429,"*85*")&gt;0,COUNTIF(I1429,"86*")&gt;0,COUNTIF(J1429,"*86*")&gt;0),"Да","Нет"))</f>
        <v/>
      </c>
      <c r="M1429" s="13">
        <f>IF(OR(G1429="",L1429&lt;&gt;"Да"),"",IF(G1429&lt;=100,"До 100",IF(G1429&lt;=200,"До 200",IF(G1429&lt;=500,"До 500","Отдельное КП"))))</f>
        <v/>
      </c>
      <c r="N1429" s="15">
        <f>IF(OR(G1429="",L1429&lt;&gt;"Да"),"",IF(G1429&lt;=100,33600,IF(G1429&lt;=200,62400,IF(G1429&lt;=500,144000,""))))</f>
        <v/>
      </c>
      <c r="O1429" s="16">
        <f>IF(G1429="","",IF(G1429&lt;=15,"1–15",IF(G1429&lt;=30,"16–30",IF(G1429&lt;=50,"31–50",IF(G1429&lt;=100,"51–100",IF(G1429&lt;=150,"101–150",IF(G1429&lt;=200,"151–200",IF(G1429&lt;=500,"201–500","500+"))))))))</f>
        <v/>
      </c>
      <c r="P1429" s="16" t="inlineStr">
        <is>
          <t>Нет совпадения в предоставленной выгрузке ССЧР</t>
        </is>
      </c>
      <c r="Q1429" s="16" t="n"/>
      <c r="R1429" s="16">
        <f>HYPERLINK("https://checko.ru/search?query=3801001629","Чекко: проверить")</f>
        <v/>
      </c>
      <c r="S1429" t="n">
        <v>0</v>
      </c>
    </row>
    <row r="1430" ht="27.75" customHeight="1" s="24">
      <c r="A1430" s="13" t="n">
        <v>5000001678</v>
      </c>
      <c r="B1430" s="13" t="inlineStr">
        <is>
          <t>ОГУСО "Шербетинский дом-интернат для престарелых и инвалидов"</t>
        </is>
      </c>
      <c r="C1430" s="13" t="n">
        <v>3835000101</v>
      </c>
      <c r="D1430" s="13" t="inlineStr">
        <is>
          <t>3835000101</t>
        </is>
      </c>
      <c r="E1430" s="13" t="inlineStr">
        <is>
          <t>ЮЛ РФ</t>
        </is>
      </c>
      <c r="F1430" s="13" t="n"/>
      <c r="G1430" s="14" t="n"/>
      <c r="H1430" s="14" t="n"/>
      <c r="I1430" s="14" t="n"/>
      <c r="J1430" s="14" t="n"/>
      <c r="K1430" s="53" t="inlineStr"/>
      <c r="L1430" s="53" t="inlineStr">
        <is>
          <t>Не определено</t>
        </is>
      </c>
      <c r="M1430" s="53" t="inlineStr"/>
      <c r="N1430" s="54" t="inlineStr"/>
      <c r="O1430" s="55" t="inlineStr"/>
      <c r="P1430" s="16" t="inlineStr">
        <is>
          <t>Требует обогащения</t>
        </is>
      </c>
      <c r="Q1430" s="16">
        <f>HYPERLINK("https://pb.nalog.ru/search.html?query=3835000101","ФНС: проверить")</f>
        <v/>
      </c>
      <c r="R1430" s="16">
        <f>HYPERLINK("https://checko.ru/search?query=3801001629","Чекко: проверить")</f>
        <v/>
      </c>
      <c r="S1430" t="n">
        <v>1</v>
      </c>
      <c r="T1430" s="35" t="inlineStr">
        <is>
          <t>4 — Не обогащён</t>
        </is>
      </c>
      <c r="U1430" s="35" t="inlineStr">
        <is>
          <t>Нет ОКВЭД/ССЧР</t>
        </is>
      </c>
      <c r="V1430" s="35" t="inlineStr">
        <is>
          <t>Не определено</t>
        </is>
      </c>
      <c r="W1430" s="35" t="inlineStr"/>
      <c r="X1430" s="35" t="inlineStr"/>
    </row>
    <row r="1431" ht="15" customHeight="1" s="24">
      <c r="A1431" s="13" t="n">
        <v>5000062561</v>
      </c>
      <c r="B1431" s="13" t="inlineStr">
        <is>
          <t>ОГАУСО ДИ "Союз"</t>
        </is>
      </c>
      <c r="C1431" s="13" t="n">
        <v>7310009207</v>
      </c>
      <c r="D1431" s="13" t="inlineStr">
        <is>
          <t>7310009207</t>
        </is>
      </c>
      <c r="E1431" s="13" t="inlineStr">
        <is>
          <t>ЮЛ РФ</t>
        </is>
      </c>
      <c r="F1431" s="13" t="n"/>
      <c r="G1431" s="14" t="n"/>
      <c r="H1431" s="14" t="n"/>
      <c r="I1431" s="14" t="n"/>
      <c r="J1431" s="14" t="n"/>
      <c r="K1431" s="53" t="inlineStr"/>
      <c r="L1431" s="53" t="inlineStr">
        <is>
          <t>Не определено</t>
        </is>
      </c>
      <c r="M1431" s="53" t="inlineStr"/>
      <c r="N1431" s="54" t="inlineStr"/>
      <c r="O1431" s="55" t="inlineStr"/>
      <c r="P1431" s="16" t="inlineStr">
        <is>
          <t>Требует обогащения</t>
        </is>
      </c>
      <c r="Q1431" s="16">
        <f>HYPERLINK("https://pb.nalog.ru/search.html?query=7310009207","ФНС: проверить")</f>
        <v/>
      </c>
      <c r="R1431" s="16">
        <f>HYPERLINK("https://checko.ru/search?query=3801001629","Чекко: проверить")</f>
        <v/>
      </c>
      <c r="S1431" t="n">
        <v>1</v>
      </c>
      <c r="T1431" s="35" t="inlineStr">
        <is>
          <t>4 — Не обогащён</t>
        </is>
      </c>
      <c r="U1431" s="35" t="inlineStr">
        <is>
          <t>Нет ОКВЭД/ССЧР</t>
        </is>
      </c>
      <c r="V1431" s="35" t="inlineStr">
        <is>
          <t>Не определено</t>
        </is>
      </c>
      <c r="W1431" s="35" t="inlineStr"/>
      <c r="X1431" s="35" t="inlineStr"/>
    </row>
    <row r="1432" ht="15" customHeight="1" s="24">
      <c r="A1432" s="13" t="n">
        <v>5000062625</v>
      </c>
      <c r="B1432" s="13" t="inlineStr">
        <is>
          <t>ГУЗ "Костно-туберкулезный санаторий "Сосновка"</t>
        </is>
      </c>
      <c r="C1432" s="13" t="n">
        <v>7307000437</v>
      </c>
      <c r="D1432" s="13" t="inlineStr">
        <is>
          <t>7307000437</t>
        </is>
      </c>
      <c r="E1432" s="13" t="inlineStr">
        <is>
          <t>ЮЛ РФ</t>
        </is>
      </c>
      <c r="F1432" s="13" t="n"/>
      <c r="G1432" s="14" t="n"/>
      <c r="H1432" s="14" t="n"/>
      <c r="I1432" s="14" t="n"/>
      <c r="J1432" s="14" t="n"/>
      <c r="K1432" s="53" t="inlineStr"/>
      <c r="L1432" s="53" t="inlineStr">
        <is>
          <t>Не определено</t>
        </is>
      </c>
      <c r="M1432" s="53" t="inlineStr"/>
      <c r="N1432" s="54" t="inlineStr"/>
      <c r="O1432" s="55" t="inlineStr"/>
      <c r="P1432" s="16" t="inlineStr">
        <is>
          <t>Требует обогащения</t>
        </is>
      </c>
      <c r="Q1432" s="16">
        <f>HYPERLINK("https://pb.nalog.ru/search.html?query=7307000437","ФНС: проверить")</f>
        <v/>
      </c>
      <c r="R1432" s="16">
        <f>HYPERLINK("https://checko.ru/search?query=3801001629","Чекко: проверить")</f>
        <v/>
      </c>
      <c r="S1432" t="n">
        <v>1</v>
      </c>
      <c r="T1432" s="35" t="inlineStr">
        <is>
          <t>4 — Не обогащён</t>
        </is>
      </c>
      <c r="U1432" s="35" t="inlineStr">
        <is>
          <t>Нет ОКВЭД/ССЧР</t>
        </is>
      </c>
      <c r="V1432" s="35" t="inlineStr">
        <is>
          <t>Не определено</t>
        </is>
      </c>
      <c r="W1432" s="35" t="inlineStr"/>
      <c r="X1432" s="35" t="inlineStr"/>
    </row>
    <row r="1433" ht="27.75" customHeight="1" s="24">
      <c r="A1433" s="13" t="n">
        <v>5000076945</v>
      </c>
      <c r="B1433" s="13" t="inlineStr">
        <is>
          <t>ГКУ Ульяновской области "Ульяновское лесничество"</t>
        </is>
      </c>
      <c r="C1433" s="13" t="n">
        <v>7325076051</v>
      </c>
      <c r="D1433" s="13" t="inlineStr">
        <is>
          <t>7325076051</t>
        </is>
      </c>
      <c r="E1433" s="13" t="inlineStr">
        <is>
          <t>ЮЛ РФ</t>
        </is>
      </c>
      <c r="F1433" s="13" t="n"/>
      <c r="G1433" s="14" t="n"/>
      <c r="H1433" s="14" t="n"/>
      <c r="I1433" s="14" t="n"/>
      <c r="J1433" s="14" t="n"/>
      <c r="K1433" s="53" t="inlineStr"/>
      <c r="L1433" s="53" t="inlineStr">
        <is>
          <t>Не определено</t>
        </is>
      </c>
      <c r="M1433" s="53" t="inlineStr"/>
      <c r="N1433" s="54" t="inlineStr"/>
      <c r="O1433" s="55" t="inlineStr"/>
      <c r="P1433" s="16" t="inlineStr">
        <is>
          <t>Требует обогащения</t>
        </is>
      </c>
      <c r="Q1433" s="16">
        <f>HYPERLINK("https://pb.nalog.ru/search.html?query=7325076051","ФНС: проверить")</f>
        <v/>
      </c>
      <c r="R1433" s="16">
        <f>HYPERLINK("https://checko.ru/search?query=3801001629","Чекко: проверить")</f>
        <v/>
      </c>
      <c r="S1433" t="n">
        <v>1</v>
      </c>
      <c r="T1433" s="35" t="inlineStr">
        <is>
          <t>4 — Не обогащён</t>
        </is>
      </c>
      <c r="U1433" s="35" t="inlineStr">
        <is>
          <t>Нет ОКВЭД/ССЧР</t>
        </is>
      </c>
      <c r="V1433" s="35" t="inlineStr">
        <is>
          <t>Не определено</t>
        </is>
      </c>
      <c r="W1433" s="35" t="inlineStr"/>
      <c r="X1433" s="35" t="inlineStr"/>
    </row>
    <row r="1434" ht="27.75" customHeight="1" s="24">
      <c r="A1434" s="13" t="n">
        <v>5000076954</v>
      </c>
      <c r="B1434" s="13" t="inlineStr">
        <is>
          <t>Отдел Минприроды Ульян области в Новоспасском районе</t>
        </is>
      </c>
      <c r="C1434" s="13" t="n">
        <v>7313005458</v>
      </c>
      <c r="D1434" s="13" t="inlineStr">
        <is>
          <t>7313005458</t>
        </is>
      </c>
      <c r="E1434" s="13" t="inlineStr">
        <is>
          <t>ЮЛ РФ</t>
        </is>
      </c>
      <c r="F1434" s="13" t="n"/>
      <c r="G1434" s="14" t="n"/>
      <c r="H1434" s="14" t="n"/>
      <c r="I1434" s="14" t="n"/>
      <c r="J1434" s="14" t="n"/>
      <c r="K1434" s="53" t="inlineStr"/>
      <c r="L1434" s="53" t="inlineStr">
        <is>
          <t>Не определено</t>
        </is>
      </c>
      <c r="M1434" s="53" t="inlineStr"/>
      <c r="N1434" s="54" t="inlineStr"/>
      <c r="O1434" s="55" t="inlineStr"/>
      <c r="P1434" s="16" t="inlineStr">
        <is>
          <t>Требует обогащения</t>
        </is>
      </c>
      <c r="Q1434" s="16">
        <f>HYPERLINK("https://pb.nalog.ru/search.html?query=7313005458","ФНС: проверить")</f>
        <v/>
      </c>
      <c r="R1434" s="16">
        <f>HYPERLINK("https://checko.ru/search?query=3801001629","Чекко: проверить")</f>
        <v/>
      </c>
      <c r="S1434" t="n">
        <v>1</v>
      </c>
      <c r="T1434" s="35" t="inlineStr">
        <is>
          <t>4 — Не обогащён</t>
        </is>
      </c>
      <c r="U1434" s="35" t="inlineStr">
        <is>
          <t>Нет ОКВЭД/ССЧР</t>
        </is>
      </c>
      <c r="V1434" s="35" t="inlineStr">
        <is>
          <t>Не определено</t>
        </is>
      </c>
      <c r="W1434" s="35" t="inlineStr"/>
      <c r="X1434" s="35" t="inlineStr"/>
    </row>
    <row r="1435" ht="15" customHeight="1" s="24">
      <c r="A1435" s="13" t="n">
        <v>5000121234</v>
      </c>
      <c r="B1435" s="13" t="inlineStr">
        <is>
          <t>МАУ ДО "СШ "ПРИАЛИТ"</t>
        </is>
      </c>
      <c r="C1435" s="13" t="n">
        <v>5012029444</v>
      </c>
      <c r="D1435" s="13" t="inlineStr">
        <is>
          <t>5012029444</t>
        </is>
      </c>
      <c r="E1435" s="13" t="inlineStr">
        <is>
          <t>ЮЛ РФ</t>
        </is>
      </c>
      <c r="F1435" s="13" t="n"/>
      <c r="G1435" s="14" t="n"/>
      <c r="H1435" s="14" t="n"/>
      <c r="I1435" s="14" t="n"/>
      <c r="J1435" s="14" t="n"/>
      <c r="K1435" s="53" t="inlineStr"/>
      <c r="L1435" s="53" t="inlineStr">
        <is>
          <t>Не определено</t>
        </is>
      </c>
      <c r="M1435" s="53" t="inlineStr"/>
      <c r="N1435" s="54" t="inlineStr"/>
      <c r="O1435" s="55" t="inlineStr"/>
      <c r="P1435" s="16" t="inlineStr">
        <is>
          <t>Требует обогащения</t>
        </is>
      </c>
      <c r="Q1435" s="16">
        <f>HYPERLINK("https://pb.nalog.ru/search.html?query=5012029444","ФНС: проверить")</f>
        <v/>
      </c>
      <c r="R1435" s="16">
        <f>HYPERLINK("https://checko.ru/search?query=3801001629","Чекко: проверить")</f>
        <v/>
      </c>
      <c r="S1435" t="n">
        <v>1</v>
      </c>
      <c r="T1435" s="35" t="inlineStr">
        <is>
          <t>4 — Не обогащён</t>
        </is>
      </c>
      <c r="U1435" s="35" t="inlineStr">
        <is>
          <t>Нет ОКВЭД/ССЧР</t>
        </is>
      </c>
      <c r="V1435" s="35" t="inlineStr">
        <is>
          <t>Не определено</t>
        </is>
      </c>
      <c r="W1435" s="35" t="inlineStr"/>
      <c r="X1435" s="35" t="inlineStr"/>
    </row>
    <row r="1436" ht="15" customHeight="1" s="24">
      <c r="A1436" s="13" t="n">
        <v>5000062610</v>
      </c>
      <c r="B1436" s="13" t="inlineStr">
        <is>
          <t>ГУЗ Сурская ЦРБ</t>
        </is>
      </c>
      <c r="C1436" s="13" t="n">
        <v>7319002291</v>
      </c>
      <c r="D1436" s="13" t="inlineStr">
        <is>
          <t>7319002291</t>
        </is>
      </c>
      <c r="E1436" s="13" t="inlineStr">
        <is>
          <t>ЮЛ РФ</t>
        </is>
      </c>
      <c r="F1436" s="13" t="n"/>
      <c r="G1436" s="14" t="n"/>
      <c r="H1436" s="14" t="n"/>
      <c r="I1436" s="14" t="n"/>
      <c r="J1436" s="14" t="n"/>
      <c r="K1436" s="53" t="inlineStr"/>
      <c r="L1436" s="53" t="inlineStr">
        <is>
          <t>Не определено</t>
        </is>
      </c>
      <c r="M1436" s="53" t="inlineStr"/>
      <c r="N1436" s="54" t="inlineStr"/>
      <c r="O1436" s="55" t="inlineStr"/>
      <c r="P1436" s="16" t="inlineStr">
        <is>
          <t>Требует обогащения</t>
        </is>
      </c>
      <c r="Q1436" s="16">
        <f>HYPERLINK("https://pb.nalog.ru/search.html?query=7319002291","ФНС: проверить")</f>
        <v/>
      </c>
      <c r="R1436" s="16">
        <f>HYPERLINK("https://checko.ru/search?query=3801001629","Чекко: проверить")</f>
        <v/>
      </c>
      <c r="S1436" t="n">
        <v>1</v>
      </c>
      <c r="T1436" s="35" t="inlineStr">
        <is>
          <t>4 — Не обогащён</t>
        </is>
      </c>
      <c r="U1436" s="35" t="inlineStr">
        <is>
          <t>Нет ОКВЭД/ССЧР</t>
        </is>
      </c>
      <c r="V1436" s="35" t="inlineStr">
        <is>
          <t>Не определено</t>
        </is>
      </c>
      <c r="W1436" s="35" t="inlineStr"/>
      <c r="X1436" s="35" t="inlineStr"/>
    </row>
    <row r="1437" ht="27.75" customHeight="1" s="24">
      <c r="A1437" s="13" t="n">
        <v>5000001974</v>
      </c>
      <c r="B1437" s="13" t="inlineStr">
        <is>
          <t>ГБУЗ Иркутская ордена «Знак Почета» областная клиническая больница</t>
        </is>
      </c>
      <c r="C1437" s="13" t="n">
        <v>3812014690</v>
      </c>
      <c r="D1437" s="13" t="inlineStr">
        <is>
          <t>3812014690</t>
        </is>
      </c>
      <c r="E1437" s="13" t="inlineStr">
        <is>
          <t>ЮЛ РФ</t>
        </is>
      </c>
      <c r="F1437" s="13" t="n"/>
      <c r="G1437" s="14" t="n"/>
      <c r="H1437" s="14" t="n"/>
      <c r="I1437" s="14" t="n"/>
      <c r="J1437" s="14" t="n"/>
      <c r="K1437" s="53" t="inlineStr"/>
      <c r="L1437" s="53" t="inlineStr">
        <is>
          <t>Не определено</t>
        </is>
      </c>
      <c r="M1437" s="53" t="inlineStr"/>
      <c r="N1437" s="54" t="inlineStr"/>
      <c r="O1437" s="55" t="inlineStr"/>
      <c r="P1437" s="16" t="inlineStr">
        <is>
          <t>Требует обогащения</t>
        </is>
      </c>
      <c r="Q1437" s="16">
        <f>HYPERLINK("https://pb.nalog.ru/search.html?query=3812014690","ФНС: проверить")</f>
        <v/>
      </c>
      <c r="R1437" s="16">
        <f>HYPERLINK("https://checko.ru/search?query=3801001629","Чекко: проверить")</f>
        <v/>
      </c>
      <c r="S1437" t="n">
        <v>1</v>
      </c>
      <c r="T1437" s="35" t="inlineStr">
        <is>
          <t>4 — Не обогащён</t>
        </is>
      </c>
      <c r="U1437" s="35" t="inlineStr">
        <is>
          <t>Нет ОКВЭД/ССЧР</t>
        </is>
      </c>
      <c r="V1437" s="35" t="inlineStr">
        <is>
          <t>Не определено</t>
        </is>
      </c>
      <c r="W1437" s="35" t="inlineStr"/>
      <c r="X1437" s="35" t="inlineStr"/>
    </row>
    <row r="1438" ht="15" customHeight="1" s="24">
      <c r="A1438" s="13" t="n">
        <v>5000106095</v>
      </c>
      <c r="B1438" s="13" t="inlineStr">
        <is>
          <t>ГБОУ СПО АГРАРНЫЙ ТЕХНИКУМ</t>
        </is>
      </c>
      <c r="C1438" s="13" t="n">
        <v>5649002056</v>
      </c>
      <c r="D1438" s="13" t="inlineStr">
        <is>
          <t>5649002056</t>
        </is>
      </c>
      <c r="E1438" s="13" t="inlineStr">
        <is>
          <t>ЮЛ РФ</t>
        </is>
      </c>
      <c r="F1438" s="13" t="n"/>
      <c r="G1438" s="14" t="n"/>
      <c r="H1438" s="14" t="n"/>
      <c r="I1438" s="14" t="n"/>
      <c r="J1438" s="14" t="n"/>
      <c r="K1438" s="53" t="inlineStr"/>
      <c r="L1438" s="53" t="inlineStr">
        <is>
          <t>Не определено</t>
        </is>
      </c>
      <c r="M1438" s="53" t="inlineStr"/>
      <c r="N1438" s="54" t="inlineStr"/>
      <c r="O1438" s="55" t="inlineStr"/>
      <c r="P1438" s="16" t="inlineStr">
        <is>
          <t>Требует обогащения</t>
        </is>
      </c>
      <c r="Q1438" s="16">
        <f>HYPERLINK("https://pb.nalog.ru/search.html?query=5649002056","ФНС: проверить")</f>
        <v/>
      </c>
      <c r="R1438" s="16">
        <f>HYPERLINK("https://checko.ru/search?query=3801001629","Чекко: проверить")</f>
        <v/>
      </c>
      <c r="S1438" t="n">
        <v>1</v>
      </c>
      <c r="T1438" s="35" t="inlineStr">
        <is>
          <t>4 — Не обогащён</t>
        </is>
      </c>
      <c r="U1438" s="35" t="inlineStr">
        <is>
          <t>Нет ОКВЭД/ССЧР</t>
        </is>
      </c>
      <c r="V1438" s="35" t="inlineStr">
        <is>
          <t>Не определено</t>
        </is>
      </c>
      <c r="W1438" s="35" t="inlineStr"/>
      <c r="X1438" s="35" t="inlineStr"/>
    </row>
    <row r="1439" ht="15" customHeight="1" s="24">
      <c r="A1439" s="13" t="n">
        <v>5000095224</v>
      </c>
      <c r="B1439" s="13" t="inlineStr">
        <is>
          <t>ГКУ "Безопасная республика"</t>
        </is>
      </c>
      <c r="C1439" s="13" t="n">
        <v>725011257</v>
      </c>
      <c r="D1439" s="13" t="n"/>
      <c r="E1439" s="13" t="inlineStr">
        <is>
          <t>Не определён</t>
        </is>
      </c>
      <c r="F1439" s="13" t="inlineStr">
        <is>
          <t>725011257</t>
        </is>
      </c>
      <c r="G1439" s="14" t="n"/>
      <c r="H1439" s="14" t="n"/>
      <c r="I1439" s="14" t="n"/>
      <c r="J1439" s="14" t="n"/>
      <c r="K1439" s="13">
        <f>IF(G1439="","",IF(G1439&gt;=22,"Да","Нет"))</f>
        <v/>
      </c>
      <c r="L1439" s="13">
        <f>IF(OR(I1439="",J1439=""),"Не определено",IF(OR(COUNTIF(I1439,"45*")&gt;0,COUNTIF(J1439,"*45*")&gt;0,COUNTIF(I1439,"46*")&gt;0,COUNTIF(J1439,"*46*")&gt;0,COUNTIF(I1439,"47*")&gt;0,COUNTIF(J1439,"*47*")&gt;0,COUNTIF(I1439,"10*")&gt;0,COUNTIF(J1439,"*10*")&gt;0,COUNTIF(I1439,"11*")&gt;0,COUNTIF(J1439,"*11*")&gt;0,COUNTIF(I1439,"12*")&gt;0,COUNTIF(J1439,"*12*")&gt;0,COUNTIF(I1439,"13*")&gt;0,COUNTIF(J1439,"*13*")&gt;0,COUNTIF(I1439,"14*")&gt;0,COUNTIF(J1439,"*14*")&gt;0,COUNTIF(I1439,"15*")&gt;0,COUNTIF(J1439,"*15*")&gt;0,COUNTIF(I1439,"16*")&gt;0,COUNTIF(J1439,"*16*")&gt;0,COUNTIF(I1439,"17*")&gt;0,COUNTIF(J1439,"*17*")&gt;0,COUNTIF(I1439,"18*")&gt;0,COUNTIF(J1439,"*18*")&gt;0,COUNTIF(I1439,"19*")&gt;0,COUNTIF(J1439,"*19*")&gt;0,COUNTIF(I1439,"20*")&gt;0,COUNTIF(J1439,"*20*")&gt;0,COUNTIF(I1439,"21*")&gt;0,COUNTIF(J1439,"*21*")&gt;0,COUNTIF(I1439,"22*")&gt;0,COUNTIF(J1439,"*22*")&gt;0,COUNTIF(I1439,"23*")&gt;0,COUNTIF(J1439,"*23*")&gt;0,COUNTIF(I1439,"24*")&gt;0,COUNTIF(J1439,"*24*")&gt;0,COUNTIF(I1439,"25*")&gt;0,COUNTIF(J1439,"*25*")&gt;0,COUNTIF(I1439,"26*")&gt;0,COUNTIF(J1439,"*26*")&gt;0,COUNTIF(I1439,"27*")&gt;0,COUNTIF(J1439,"*27*")&gt;0,COUNTIF(I1439,"28*")&gt;0,COUNTIF(J1439,"*28*")&gt;0,COUNTIF(I1439,"29*")&gt;0,COUNTIF(J1439,"*29*")&gt;0,COUNTIF(I1439,"30*")&gt;0,COUNTIF(J1439,"*30*")&gt;0,COUNTIF(I1439,"31*")&gt;0,COUNTIF(J1439,"*31*")&gt;0,COUNTIF(I1439,"32*")&gt;0,COUNTIF(J1439,"*32*")&gt;0,COUNTIF(I1439,"33*")&gt;0,COUNTIF(J1439,"*33*")&gt;0,COUNTIF(I1439,"41*")&gt;0,COUNTIF(J1439,"*41*")&gt;0,COUNTIF(I1439,"42*")&gt;0,COUNTIF(J1439,"*42*")&gt;0,COUNTIF(I1439,"43*")&gt;0,COUNTIF(J1439,"*43*")&gt;0,COUNTIF(I1439,"49*")&gt;0,COUNTIF(J1439,"*49*")&gt;0,COUNTIF(I1439,"52*")&gt;0,COUNTIF(J1439,"*52*")&gt;0,COUNTIF(I1439,"55*")&gt;0,COUNTIF(J1439,"*55*")&gt;0,COUNTIF(I1439,"56*")&gt;0,COUNTIF(J1439,"*56*")&gt;0,COUNTIF(I1439,"68*")&gt;0,COUNTIF(J1439,"*68*")&gt;0,COUNTIF(I1439,"78*")&gt;0,COUNTIF(J1439,"*78*")&gt;0,COUNTIF(I1439,"81*")&gt;0,COUNTIF(J1439,"*81*")&gt;0,COUNTIF(I1439,"82*")&gt;0,COUNTIF(J1439,"*82*")&gt;0,COUNTIF(I1439,"64*")&gt;0,COUNTIF(J1439,"*64*")&gt;0,COUNTIF(I1439,"65*")&gt;0,COUNTIF(J1439,"*65*")&gt;0,COUNTIF(I1439,"66*")&gt;0,COUNTIF(J1439,"*66*")&gt;0,COUNTIF(I1439,"61*")&gt;0,COUNTIF(J1439,"*61*")&gt;0,COUNTIF(I1439,"62*")&gt;0,COUNTIF(J1439,"*62*")&gt;0,COUNTIF(I1439,"63*")&gt;0,COUNTIF(J1439,"*63*")&gt;0,COUNTIF(I1439,"85*")&gt;0,COUNTIF(J1439,"*85*")&gt;0,COUNTIF(I1439,"86*")&gt;0,COUNTIF(J1439,"*86*")&gt;0),"Да","Нет"))</f>
        <v/>
      </c>
      <c r="M1439" s="13">
        <f>IF(OR(G1439="",L1439&lt;&gt;"Да"),"",IF(G1439&lt;=100,"До 100",IF(G1439&lt;=200,"До 200",IF(G1439&lt;=500,"До 500","Отдельное КП"))))</f>
        <v/>
      </c>
      <c r="N1439" s="15">
        <f>IF(OR(G1439="",L1439&lt;&gt;"Да"),"",IF(G1439&lt;=100,33600,IF(G1439&lt;=200,62400,IF(G1439&lt;=500,144000,""))))</f>
        <v/>
      </c>
      <c r="O1439" s="16">
        <f>IF(G1439="","",IF(G1439&lt;=15,"1–15",IF(G1439&lt;=30,"16–30",IF(G1439&lt;=50,"31–50",IF(G1439&lt;=100,"51–100",IF(G1439&lt;=150,"101–150",IF(G1439&lt;=200,"151–200",IF(G1439&lt;=500,"201–500","500+"))))))))</f>
        <v/>
      </c>
      <c r="P1439" s="16" t="inlineStr">
        <is>
          <t>Нет совпадения в предоставленной выгрузке ССЧР</t>
        </is>
      </c>
      <c r="Q1439" s="16" t="n"/>
      <c r="R1439" s="16">
        <f>HYPERLINK("https://checko.ru/search?query=3801001629","Чекко: проверить")</f>
        <v/>
      </c>
      <c r="S1439" t="n">
        <v>0</v>
      </c>
    </row>
    <row r="1440" ht="15" customHeight="1" s="24">
      <c r="A1440" s="13" t="n">
        <v>5000001463</v>
      </c>
      <c r="B1440" s="13" t="inlineStr">
        <is>
          <t>ОГОКУ ДОД Иркутская областная КДЮСШ "Спарта"</t>
        </is>
      </c>
      <c r="C1440" s="13" t="n">
        <v>3808050167</v>
      </c>
      <c r="D1440" s="13" t="inlineStr">
        <is>
          <t>3808050167</t>
        </is>
      </c>
      <c r="E1440" s="13" t="inlineStr">
        <is>
          <t>ЮЛ РФ</t>
        </is>
      </c>
      <c r="F1440" s="13" t="n"/>
      <c r="G1440" s="14" t="n"/>
      <c r="H1440" s="14" t="n"/>
      <c r="I1440" s="14" t="n"/>
      <c r="J1440" s="14" t="n"/>
      <c r="K1440" s="53" t="inlineStr"/>
      <c r="L1440" s="53" t="inlineStr">
        <is>
          <t>Не определено</t>
        </is>
      </c>
      <c r="M1440" s="53" t="inlineStr"/>
      <c r="N1440" s="54" t="inlineStr"/>
      <c r="O1440" s="55" t="inlineStr"/>
      <c r="P1440" s="16" t="inlineStr">
        <is>
          <t>Требует обогащения</t>
        </is>
      </c>
      <c r="Q1440" s="16">
        <f>HYPERLINK("https://pb.nalog.ru/search.html?query=3808050167","ФНС: проверить")</f>
        <v/>
      </c>
      <c r="R1440" s="16">
        <f>HYPERLINK("https://checko.ru/search?query=3801001629","Чекко: проверить")</f>
        <v/>
      </c>
      <c r="S1440" t="n">
        <v>1</v>
      </c>
      <c r="T1440" s="35" t="inlineStr">
        <is>
          <t>4 — Не обогащён</t>
        </is>
      </c>
      <c r="U1440" s="35" t="inlineStr">
        <is>
          <t>Нет ОКВЭД/ССЧР</t>
        </is>
      </c>
      <c r="V1440" s="35" t="inlineStr">
        <is>
          <t>Не определено</t>
        </is>
      </c>
      <c r="W1440" s="35" t="inlineStr"/>
      <c r="X1440" s="35" t="inlineStr"/>
    </row>
    <row r="1441" ht="15" customHeight="1" s="24">
      <c r="A1441" s="13" t="n">
        <v>5000095157</v>
      </c>
      <c r="B1441" s="13" t="inlineStr">
        <is>
          <t>Совет местного самоуправления</t>
        </is>
      </c>
      <c r="C1441" s="13" t="n">
        <v>721017723</v>
      </c>
      <c r="D1441" s="13" t="n"/>
      <c r="E1441" s="13" t="inlineStr">
        <is>
          <t>Не определён</t>
        </is>
      </c>
      <c r="F1441" s="13" t="inlineStr">
        <is>
          <t>721017723</t>
        </is>
      </c>
      <c r="G1441" s="14" t="n"/>
      <c r="H1441" s="14" t="n"/>
      <c r="I1441" s="14" t="n"/>
      <c r="J1441" s="14" t="n"/>
      <c r="K1441" s="13">
        <f>IF(G1441="","",IF(G1441&gt;=22,"Да","Нет"))</f>
        <v/>
      </c>
      <c r="L1441" s="13">
        <f>IF(OR(I1441="",J1441=""),"Не определено",IF(OR(COUNTIF(I1441,"45*")&gt;0,COUNTIF(J1441,"*45*")&gt;0,COUNTIF(I1441,"46*")&gt;0,COUNTIF(J1441,"*46*")&gt;0,COUNTIF(I1441,"47*")&gt;0,COUNTIF(J1441,"*47*")&gt;0,COUNTIF(I1441,"10*")&gt;0,COUNTIF(J1441,"*10*")&gt;0,COUNTIF(I1441,"11*")&gt;0,COUNTIF(J1441,"*11*")&gt;0,COUNTIF(I1441,"12*")&gt;0,COUNTIF(J1441,"*12*")&gt;0,COUNTIF(I1441,"13*")&gt;0,COUNTIF(J1441,"*13*")&gt;0,COUNTIF(I1441,"14*")&gt;0,COUNTIF(J1441,"*14*")&gt;0,COUNTIF(I1441,"15*")&gt;0,COUNTIF(J1441,"*15*")&gt;0,COUNTIF(I1441,"16*")&gt;0,COUNTIF(J1441,"*16*")&gt;0,COUNTIF(I1441,"17*")&gt;0,COUNTIF(J1441,"*17*")&gt;0,COUNTIF(I1441,"18*")&gt;0,COUNTIF(J1441,"*18*")&gt;0,COUNTIF(I1441,"19*")&gt;0,COUNTIF(J1441,"*19*")&gt;0,COUNTIF(I1441,"20*")&gt;0,COUNTIF(J1441,"*20*")&gt;0,COUNTIF(I1441,"21*")&gt;0,COUNTIF(J1441,"*21*")&gt;0,COUNTIF(I1441,"22*")&gt;0,COUNTIF(J1441,"*22*")&gt;0,COUNTIF(I1441,"23*")&gt;0,COUNTIF(J1441,"*23*")&gt;0,COUNTIF(I1441,"24*")&gt;0,COUNTIF(J1441,"*24*")&gt;0,COUNTIF(I1441,"25*")&gt;0,COUNTIF(J1441,"*25*")&gt;0,COUNTIF(I1441,"26*")&gt;0,COUNTIF(J1441,"*26*")&gt;0,COUNTIF(I1441,"27*")&gt;0,COUNTIF(J1441,"*27*")&gt;0,COUNTIF(I1441,"28*")&gt;0,COUNTIF(J1441,"*28*")&gt;0,COUNTIF(I1441,"29*")&gt;0,COUNTIF(J1441,"*29*")&gt;0,COUNTIF(I1441,"30*")&gt;0,COUNTIF(J1441,"*30*")&gt;0,COUNTIF(I1441,"31*")&gt;0,COUNTIF(J1441,"*31*")&gt;0,COUNTIF(I1441,"32*")&gt;0,COUNTIF(J1441,"*32*")&gt;0,COUNTIF(I1441,"33*")&gt;0,COUNTIF(J1441,"*33*")&gt;0,COUNTIF(I1441,"41*")&gt;0,COUNTIF(J1441,"*41*")&gt;0,COUNTIF(I1441,"42*")&gt;0,COUNTIF(J1441,"*42*")&gt;0,COUNTIF(I1441,"43*")&gt;0,COUNTIF(J1441,"*43*")&gt;0,COUNTIF(I1441,"49*")&gt;0,COUNTIF(J1441,"*49*")&gt;0,COUNTIF(I1441,"52*")&gt;0,COUNTIF(J1441,"*52*")&gt;0,COUNTIF(I1441,"55*")&gt;0,COUNTIF(J1441,"*55*")&gt;0,COUNTIF(I1441,"56*")&gt;0,COUNTIF(J1441,"*56*")&gt;0,COUNTIF(I1441,"68*")&gt;0,COUNTIF(J1441,"*68*")&gt;0,COUNTIF(I1441,"78*")&gt;0,COUNTIF(J1441,"*78*")&gt;0,COUNTIF(I1441,"81*")&gt;0,COUNTIF(J1441,"*81*")&gt;0,COUNTIF(I1441,"82*")&gt;0,COUNTIF(J1441,"*82*")&gt;0,COUNTIF(I1441,"64*")&gt;0,COUNTIF(J1441,"*64*")&gt;0,COUNTIF(I1441,"65*")&gt;0,COUNTIF(J1441,"*65*")&gt;0,COUNTIF(I1441,"66*")&gt;0,COUNTIF(J1441,"*66*")&gt;0,COUNTIF(I1441,"61*")&gt;0,COUNTIF(J1441,"*61*")&gt;0,COUNTIF(I1441,"62*")&gt;0,COUNTIF(J1441,"*62*")&gt;0,COUNTIF(I1441,"63*")&gt;0,COUNTIF(J1441,"*63*")&gt;0,COUNTIF(I1441,"85*")&gt;0,COUNTIF(J1441,"*85*")&gt;0,COUNTIF(I1441,"86*")&gt;0,COUNTIF(J1441,"*86*")&gt;0),"Да","Нет"))</f>
        <v/>
      </c>
      <c r="M1441" s="13">
        <f>IF(OR(G1441="",L1441&lt;&gt;"Да"),"",IF(G1441&lt;=100,"До 100",IF(G1441&lt;=200,"До 200",IF(G1441&lt;=500,"До 500","Отдельное КП"))))</f>
        <v/>
      </c>
      <c r="N1441" s="15">
        <f>IF(OR(G1441="",L1441&lt;&gt;"Да"),"",IF(G1441&lt;=100,33600,IF(G1441&lt;=200,62400,IF(G1441&lt;=500,144000,""))))</f>
        <v/>
      </c>
      <c r="O1441" s="16">
        <f>IF(G1441="","",IF(G1441&lt;=15,"1–15",IF(G1441&lt;=30,"16–30",IF(G1441&lt;=50,"31–50",IF(G1441&lt;=100,"51–100",IF(G1441&lt;=150,"101–150",IF(G1441&lt;=200,"151–200",IF(G1441&lt;=500,"201–500","500+"))))))))</f>
        <v/>
      </c>
      <c r="P1441" s="16" t="inlineStr">
        <is>
          <t>Нет совпадения в предоставленной выгрузке ССЧР</t>
        </is>
      </c>
      <c r="Q1441" s="16" t="n"/>
      <c r="R1441" s="16">
        <f>HYPERLINK("https://checko.ru/search?query=3801001629","Чекко: проверить")</f>
        <v/>
      </c>
      <c r="S1441" t="n">
        <v>0</v>
      </c>
    </row>
    <row r="1442" ht="15" customHeight="1" s="24">
      <c r="A1442" s="13" t="n">
        <v>5000094594</v>
      </c>
      <c r="B1442" s="13" t="inlineStr">
        <is>
          <t>ГКОУ "СКОШИ I - II и V видов" Минобрнауки КБР</t>
        </is>
      </c>
      <c r="C1442" s="13" t="n">
        <v>704000977</v>
      </c>
      <c r="D1442" s="13" t="n"/>
      <c r="E1442" s="13" t="inlineStr">
        <is>
          <t>Не определён</t>
        </is>
      </c>
      <c r="F1442" s="13" t="inlineStr">
        <is>
          <t>704000977</t>
        </is>
      </c>
      <c r="G1442" s="14" t="n"/>
      <c r="H1442" s="14" t="n"/>
      <c r="I1442" s="14" t="n"/>
      <c r="J1442" s="14" t="n"/>
      <c r="K1442" s="13">
        <f>IF(G1442="","",IF(G1442&gt;=22,"Да","Нет"))</f>
        <v/>
      </c>
      <c r="L1442" s="13">
        <f>IF(OR(I1442="",J1442=""),"Не определено",IF(OR(COUNTIF(I1442,"45*")&gt;0,COUNTIF(J1442,"*45*")&gt;0,COUNTIF(I1442,"46*")&gt;0,COUNTIF(J1442,"*46*")&gt;0,COUNTIF(I1442,"47*")&gt;0,COUNTIF(J1442,"*47*")&gt;0,COUNTIF(I1442,"10*")&gt;0,COUNTIF(J1442,"*10*")&gt;0,COUNTIF(I1442,"11*")&gt;0,COUNTIF(J1442,"*11*")&gt;0,COUNTIF(I1442,"12*")&gt;0,COUNTIF(J1442,"*12*")&gt;0,COUNTIF(I1442,"13*")&gt;0,COUNTIF(J1442,"*13*")&gt;0,COUNTIF(I1442,"14*")&gt;0,COUNTIF(J1442,"*14*")&gt;0,COUNTIF(I1442,"15*")&gt;0,COUNTIF(J1442,"*15*")&gt;0,COUNTIF(I1442,"16*")&gt;0,COUNTIF(J1442,"*16*")&gt;0,COUNTIF(I1442,"17*")&gt;0,COUNTIF(J1442,"*17*")&gt;0,COUNTIF(I1442,"18*")&gt;0,COUNTIF(J1442,"*18*")&gt;0,COUNTIF(I1442,"19*")&gt;0,COUNTIF(J1442,"*19*")&gt;0,COUNTIF(I1442,"20*")&gt;0,COUNTIF(J1442,"*20*")&gt;0,COUNTIF(I1442,"21*")&gt;0,COUNTIF(J1442,"*21*")&gt;0,COUNTIF(I1442,"22*")&gt;0,COUNTIF(J1442,"*22*")&gt;0,COUNTIF(I1442,"23*")&gt;0,COUNTIF(J1442,"*23*")&gt;0,COUNTIF(I1442,"24*")&gt;0,COUNTIF(J1442,"*24*")&gt;0,COUNTIF(I1442,"25*")&gt;0,COUNTIF(J1442,"*25*")&gt;0,COUNTIF(I1442,"26*")&gt;0,COUNTIF(J1442,"*26*")&gt;0,COUNTIF(I1442,"27*")&gt;0,COUNTIF(J1442,"*27*")&gt;0,COUNTIF(I1442,"28*")&gt;0,COUNTIF(J1442,"*28*")&gt;0,COUNTIF(I1442,"29*")&gt;0,COUNTIF(J1442,"*29*")&gt;0,COUNTIF(I1442,"30*")&gt;0,COUNTIF(J1442,"*30*")&gt;0,COUNTIF(I1442,"31*")&gt;0,COUNTIF(J1442,"*31*")&gt;0,COUNTIF(I1442,"32*")&gt;0,COUNTIF(J1442,"*32*")&gt;0,COUNTIF(I1442,"33*")&gt;0,COUNTIF(J1442,"*33*")&gt;0,COUNTIF(I1442,"41*")&gt;0,COUNTIF(J1442,"*41*")&gt;0,COUNTIF(I1442,"42*")&gt;0,COUNTIF(J1442,"*42*")&gt;0,COUNTIF(I1442,"43*")&gt;0,COUNTIF(J1442,"*43*")&gt;0,COUNTIF(I1442,"49*")&gt;0,COUNTIF(J1442,"*49*")&gt;0,COUNTIF(I1442,"52*")&gt;0,COUNTIF(J1442,"*52*")&gt;0,COUNTIF(I1442,"55*")&gt;0,COUNTIF(J1442,"*55*")&gt;0,COUNTIF(I1442,"56*")&gt;0,COUNTIF(J1442,"*56*")&gt;0,COUNTIF(I1442,"68*")&gt;0,COUNTIF(J1442,"*68*")&gt;0,COUNTIF(I1442,"78*")&gt;0,COUNTIF(J1442,"*78*")&gt;0,COUNTIF(I1442,"81*")&gt;0,COUNTIF(J1442,"*81*")&gt;0,COUNTIF(I1442,"82*")&gt;0,COUNTIF(J1442,"*82*")&gt;0,COUNTIF(I1442,"64*")&gt;0,COUNTIF(J1442,"*64*")&gt;0,COUNTIF(I1442,"65*")&gt;0,COUNTIF(J1442,"*65*")&gt;0,COUNTIF(I1442,"66*")&gt;0,COUNTIF(J1442,"*66*")&gt;0,COUNTIF(I1442,"61*")&gt;0,COUNTIF(J1442,"*61*")&gt;0,COUNTIF(I1442,"62*")&gt;0,COUNTIF(J1442,"*62*")&gt;0,COUNTIF(I1442,"63*")&gt;0,COUNTIF(J1442,"*63*")&gt;0,COUNTIF(I1442,"85*")&gt;0,COUNTIF(J1442,"*85*")&gt;0,COUNTIF(I1442,"86*")&gt;0,COUNTIF(J1442,"*86*")&gt;0),"Да","Нет"))</f>
        <v/>
      </c>
      <c r="M1442" s="13">
        <f>IF(OR(G1442="",L1442&lt;&gt;"Да"),"",IF(G1442&lt;=100,"До 100",IF(G1442&lt;=200,"До 200",IF(G1442&lt;=500,"До 500","Отдельное КП"))))</f>
        <v/>
      </c>
      <c r="N1442" s="15">
        <f>IF(OR(G1442="",L1442&lt;&gt;"Да"),"",IF(G1442&lt;=100,33600,IF(G1442&lt;=200,62400,IF(G1442&lt;=500,144000,""))))</f>
        <v/>
      </c>
      <c r="O1442" s="16">
        <f>IF(G1442="","",IF(G1442&lt;=15,"1–15",IF(G1442&lt;=30,"16–30",IF(G1442&lt;=50,"31–50",IF(G1442&lt;=100,"51–100",IF(G1442&lt;=150,"101–150",IF(G1442&lt;=200,"151–200",IF(G1442&lt;=500,"201–500","500+"))))))))</f>
        <v/>
      </c>
      <c r="P1442" s="16" t="inlineStr">
        <is>
          <t>Нет совпадения в предоставленной выгрузке ССЧР</t>
        </is>
      </c>
      <c r="Q1442" s="16" t="n"/>
      <c r="R1442" s="16">
        <f>HYPERLINK("https://checko.ru/search?query=3801001629","Чекко: проверить")</f>
        <v/>
      </c>
      <c r="S1442" t="n">
        <v>0</v>
      </c>
    </row>
    <row r="1443" ht="27.75" customHeight="1" s="24">
      <c r="A1443" s="13" t="n">
        <v>5000001907</v>
      </c>
      <c r="B1443" s="13" t="inlineStr">
        <is>
          <t>Нижнеудинский техникум железнодорожного транспорта</t>
        </is>
      </c>
      <c r="C1443" s="13" t="n">
        <v>3813100455</v>
      </c>
      <c r="D1443" s="13" t="inlineStr">
        <is>
          <t>3813100455</t>
        </is>
      </c>
      <c r="E1443" s="13" t="inlineStr">
        <is>
          <t>ЮЛ РФ</t>
        </is>
      </c>
      <c r="F1443" s="13" t="n"/>
      <c r="G1443" s="14" t="n"/>
      <c r="H1443" s="14" t="n"/>
      <c r="I1443" s="14" t="n"/>
      <c r="J1443" s="14" t="n"/>
      <c r="K1443" s="53" t="inlineStr"/>
      <c r="L1443" s="53" t="inlineStr">
        <is>
          <t>Не определено</t>
        </is>
      </c>
      <c r="M1443" s="53" t="inlineStr"/>
      <c r="N1443" s="54" t="inlineStr"/>
      <c r="O1443" s="55" t="inlineStr"/>
      <c r="P1443" s="16" t="inlineStr">
        <is>
          <t>Требует обогащения</t>
        </is>
      </c>
      <c r="Q1443" s="16">
        <f>HYPERLINK("https://pb.nalog.ru/search.html?query=3813100455","ФНС: проверить")</f>
        <v/>
      </c>
      <c r="R1443" s="16">
        <f>HYPERLINK("https://checko.ru/search?query=3801001629","Чекко: проверить")</f>
        <v/>
      </c>
      <c r="S1443" t="n">
        <v>1</v>
      </c>
      <c r="T1443" s="35" t="inlineStr">
        <is>
          <t>4 — Не обогащён</t>
        </is>
      </c>
      <c r="U1443" s="35" t="inlineStr">
        <is>
          <t>Нет ОКВЭД/ССЧР</t>
        </is>
      </c>
      <c r="V1443" s="35" t="inlineStr">
        <is>
          <t>Не определено</t>
        </is>
      </c>
      <c r="W1443" s="35" t="inlineStr"/>
      <c r="X1443" s="35" t="inlineStr"/>
    </row>
    <row r="1444" ht="27.75" customHeight="1" s="24">
      <c r="A1444" s="13" t="n">
        <v>5000001887</v>
      </c>
      <c r="B1444" s="13" t="inlineStr">
        <is>
          <t>Усть-Кутская территориальная избирательная  комиссия</t>
        </is>
      </c>
      <c r="C1444" s="13" t="n">
        <v>3818019590</v>
      </c>
      <c r="D1444" s="13" t="inlineStr">
        <is>
          <t>3818019590</t>
        </is>
      </c>
      <c r="E1444" s="13" t="inlineStr">
        <is>
          <t>ЮЛ РФ</t>
        </is>
      </c>
      <c r="F1444" s="13" t="n"/>
      <c r="G1444" s="14" t="n"/>
      <c r="H1444" s="14" t="n"/>
      <c r="I1444" s="14" t="n"/>
      <c r="J1444" s="14" t="n"/>
      <c r="K1444" s="53" t="inlineStr"/>
      <c r="L1444" s="53" t="inlineStr">
        <is>
          <t>Не определено</t>
        </is>
      </c>
      <c r="M1444" s="53" t="inlineStr"/>
      <c r="N1444" s="54" t="inlineStr"/>
      <c r="O1444" s="55" t="inlineStr"/>
      <c r="P1444" s="16" t="inlineStr">
        <is>
          <t>Требует обогащения</t>
        </is>
      </c>
      <c r="Q1444" s="16">
        <f>HYPERLINK("https://pb.nalog.ru/search.html?query=3818019590","ФНС: проверить")</f>
        <v/>
      </c>
      <c r="R1444" s="16">
        <f>HYPERLINK("https://checko.ru/search?query=3801001629","Чекко: проверить")</f>
        <v/>
      </c>
      <c r="S1444" t="n">
        <v>1</v>
      </c>
      <c r="T1444" s="35" t="inlineStr">
        <is>
          <t>4 — Не обогащён</t>
        </is>
      </c>
      <c r="U1444" s="35" t="inlineStr">
        <is>
          <t>Нет ОКВЭД/ССЧР</t>
        </is>
      </c>
      <c r="V1444" s="35" t="inlineStr">
        <is>
          <t>Не определено</t>
        </is>
      </c>
      <c r="W1444" s="35" t="inlineStr"/>
      <c r="X1444" s="35" t="inlineStr"/>
    </row>
    <row r="1445" ht="81.75" customHeight="1" s="24">
      <c r="A1445" s="13" t="n">
        <v>5000106145</v>
      </c>
      <c r="B1445" s="13" t="inlineStr">
        <is>
          <t>МУНИЦИПАЛЬНОЕ БЮДЖЕТНОЕ ОБЩЕОБРАЗОВАТЕЛЬНОЕ УЧРЕЖДЕНИЕ "ГАМАЛЕЕВСКАЯ СРЕДНЯЯ ОБЩЕОБРАЗОВАТЕЛЬНАЯ ШКОЛА №1" СОРОЧИНСКОГО ГОРОДСКОГО ОКРУГА ОРЕНБУРГСКОЙ</t>
        </is>
      </c>
      <c r="C1445" s="13" t="n">
        <v>5647005502</v>
      </c>
      <c r="D1445" s="13" t="inlineStr">
        <is>
          <t>5647005502</t>
        </is>
      </c>
      <c r="E1445" s="13" t="inlineStr">
        <is>
          <t>ЮЛ РФ</t>
        </is>
      </c>
      <c r="F1445" s="13" t="n"/>
      <c r="G1445" s="14" t="n"/>
      <c r="H1445" s="14" t="n"/>
      <c r="I1445" s="14" t="n"/>
      <c r="J1445" s="14" t="n"/>
      <c r="K1445" s="53" t="inlineStr"/>
      <c r="L1445" s="53" t="inlineStr">
        <is>
          <t>Не определено</t>
        </is>
      </c>
      <c r="M1445" s="53" t="inlineStr"/>
      <c r="N1445" s="54" t="inlineStr"/>
      <c r="O1445" s="55" t="inlineStr"/>
      <c r="P1445" s="16" t="inlineStr">
        <is>
          <t>Требует обогащения</t>
        </is>
      </c>
      <c r="Q1445" s="16">
        <f>HYPERLINK("https://pb.nalog.ru/search.html?query=5647005502","ФНС: проверить")</f>
        <v/>
      </c>
      <c r="R1445" s="16">
        <f>HYPERLINK("https://checko.ru/search?query=3801001629","Чекко: проверить")</f>
        <v/>
      </c>
      <c r="S1445" t="n">
        <v>1</v>
      </c>
      <c r="T1445" s="35" t="inlineStr">
        <is>
          <t>4 — Не обогащён</t>
        </is>
      </c>
      <c r="U1445" s="35" t="inlineStr">
        <is>
          <t>Нет ОКВЭД/ССЧР</t>
        </is>
      </c>
      <c r="V1445" s="35" t="inlineStr">
        <is>
          <t>Не определено</t>
        </is>
      </c>
      <c r="W1445" s="35" t="inlineStr"/>
      <c r="X1445" s="35" t="inlineStr"/>
    </row>
    <row r="1446" ht="27.75" customHeight="1" s="24">
      <c r="A1446" s="13" t="n">
        <v>5000001357</v>
      </c>
      <c r="B1446" s="13" t="inlineStr">
        <is>
          <t>ОГ СКОУ "Специальная (Коррекционная) школа №2" г. Ангарска</t>
        </is>
      </c>
      <c r="C1446" s="13" t="n">
        <v>3801080691</v>
      </c>
      <c r="D1446" s="13" t="inlineStr">
        <is>
          <t>3801080691</t>
        </is>
      </c>
      <c r="E1446" s="13" t="inlineStr">
        <is>
          <t>ЮЛ РФ</t>
        </is>
      </c>
      <c r="F1446" s="13" t="n"/>
      <c r="G1446" s="14" t="n"/>
      <c r="H1446" s="14" t="n"/>
      <c r="I1446" s="14" t="n"/>
      <c r="J1446" s="14" t="n"/>
      <c r="K1446" s="53" t="inlineStr"/>
      <c r="L1446" s="53" t="inlineStr">
        <is>
          <t>Не определено</t>
        </is>
      </c>
      <c r="M1446" s="53" t="inlineStr"/>
      <c r="N1446" s="54" t="inlineStr"/>
      <c r="O1446" s="55" t="inlineStr"/>
      <c r="P1446" s="16" t="inlineStr">
        <is>
          <t>Требует обогащения</t>
        </is>
      </c>
      <c r="Q1446" s="16">
        <f>HYPERLINK("https://pb.nalog.ru/search.html?query=3801080691","ФНС: проверить")</f>
        <v/>
      </c>
      <c r="R1446" s="16">
        <f>HYPERLINK("https://checko.ru/search?query=3801001629","Чекко: проверить")</f>
        <v/>
      </c>
      <c r="S1446" t="n">
        <v>1</v>
      </c>
      <c r="T1446" s="35" t="inlineStr">
        <is>
          <t>4 — Не обогащён</t>
        </is>
      </c>
      <c r="U1446" s="35" t="inlineStr">
        <is>
          <t>Нет ОКВЭД/ССЧР</t>
        </is>
      </c>
      <c r="V1446" s="35" t="inlineStr">
        <is>
          <t>Не определено</t>
        </is>
      </c>
      <c r="W1446" s="35" t="inlineStr"/>
      <c r="X1446" s="35" t="inlineStr"/>
    </row>
    <row r="1447" ht="27.75" customHeight="1" s="24">
      <c r="A1447" s="13" t="n">
        <v>5000038494</v>
      </c>
      <c r="B1447" s="13" t="inlineStr">
        <is>
          <t>ГУК "Ульяновская областная библиотека для детей и юношества имени С.Т. Аксакова"</t>
        </is>
      </c>
      <c r="C1447" s="13" t="n">
        <v>7325026117</v>
      </c>
      <c r="D1447" s="13" t="inlineStr">
        <is>
          <t>7325026117</t>
        </is>
      </c>
      <c r="E1447" s="13" t="inlineStr">
        <is>
          <t>ЮЛ РФ</t>
        </is>
      </c>
      <c r="F1447" s="13" t="n"/>
      <c r="G1447" s="14" t="n"/>
      <c r="H1447" s="14" t="n"/>
      <c r="I1447" s="14" t="n"/>
      <c r="J1447" s="14" t="n"/>
      <c r="K1447" s="53" t="inlineStr"/>
      <c r="L1447" s="53" t="inlineStr">
        <is>
          <t>Не определено</t>
        </is>
      </c>
      <c r="M1447" s="53" t="inlineStr"/>
      <c r="N1447" s="54" t="inlineStr"/>
      <c r="O1447" s="55" t="inlineStr"/>
      <c r="P1447" s="16" t="inlineStr">
        <is>
          <t>Требует обогащения</t>
        </is>
      </c>
      <c r="Q1447" s="16">
        <f>HYPERLINK("https://pb.nalog.ru/search.html?query=7325026117","ФНС: проверить")</f>
        <v/>
      </c>
      <c r="R1447" s="16">
        <f>HYPERLINK("https://checko.ru/search?query=3801001629","Чекко: проверить")</f>
        <v/>
      </c>
      <c r="S1447" t="n">
        <v>1</v>
      </c>
      <c r="T1447" s="35" t="inlineStr">
        <is>
          <t>4 — Не обогащён</t>
        </is>
      </c>
      <c r="U1447" s="35" t="inlineStr">
        <is>
          <t>Нет ОКВЭД/ССЧР</t>
        </is>
      </c>
      <c r="V1447" s="35" t="inlineStr">
        <is>
          <t>Не определено</t>
        </is>
      </c>
      <c r="W1447" s="35" t="inlineStr"/>
      <c r="X1447" s="35" t="inlineStr"/>
    </row>
    <row r="1448" ht="27.75" customHeight="1" s="24">
      <c r="A1448" s="13" t="n">
        <v>5000076958</v>
      </c>
      <c r="B1448" s="13" t="inlineStr">
        <is>
          <t>ГКУ УЛЬЯНОВСКОЙ ОБЛАСТИ "КУЗОВАТОВСКОЕ ЛЕСНИЧЕСТВО"</t>
        </is>
      </c>
      <c r="C1448" s="13" t="n">
        <v>7313005465</v>
      </c>
      <c r="D1448" s="13" t="inlineStr">
        <is>
          <t>7313005465</t>
        </is>
      </c>
      <c r="E1448" s="13" t="inlineStr">
        <is>
          <t>ЮЛ РФ</t>
        </is>
      </c>
      <c r="F1448" s="13" t="n"/>
      <c r="G1448" s="14" t="n"/>
      <c r="H1448" s="14" t="n"/>
      <c r="I1448" s="14" t="n"/>
      <c r="J1448" s="14" t="n"/>
      <c r="K1448" s="53" t="inlineStr"/>
      <c r="L1448" s="53" t="inlineStr">
        <is>
          <t>Не определено</t>
        </is>
      </c>
      <c r="M1448" s="53" t="inlineStr"/>
      <c r="N1448" s="54" t="inlineStr"/>
      <c r="O1448" s="55" t="inlineStr"/>
      <c r="P1448" s="16" t="inlineStr">
        <is>
          <t>Требует обогащения</t>
        </is>
      </c>
      <c r="Q1448" s="16">
        <f>HYPERLINK("https://pb.nalog.ru/search.html?query=7313005465","ФНС: проверить")</f>
        <v/>
      </c>
      <c r="R1448" s="16">
        <f>HYPERLINK("https://checko.ru/search?query=3801001629","Чекко: проверить")</f>
        <v/>
      </c>
      <c r="S1448" t="n">
        <v>1</v>
      </c>
      <c r="T1448" s="35" t="inlineStr">
        <is>
          <t>4 — Не обогащён</t>
        </is>
      </c>
      <c r="U1448" s="35" t="inlineStr">
        <is>
          <t>Нет ОКВЭД/ССЧР</t>
        </is>
      </c>
      <c r="V1448" s="35" t="inlineStr">
        <is>
          <t>Не определено</t>
        </is>
      </c>
      <c r="W1448" s="35" t="inlineStr"/>
      <c r="X1448" s="35" t="inlineStr"/>
    </row>
    <row r="1449" ht="27.75" customHeight="1" s="24">
      <c r="A1449" s="13" t="n">
        <v>5000076959</v>
      </c>
      <c r="B1449" s="13" t="inlineStr">
        <is>
          <t>ГКУ УЛЬЯНОВСКОЙ ОБЛАСТИ "КАРСУНСКОЕ ЛЕСНИЧЕСТВО"</t>
        </is>
      </c>
      <c r="C1449" s="13" t="n">
        <v>7309904460</v>
      </c>
      <c r="D1449" s="13" t="inlineStr">
        <is>
          <t>7309904460</t>
        </is>
      </c>
      <c r="E1449" s="13" t="inlineStr">
        <is>
          <t>ЮЛ РФ</t>
        </is>
      </c>
      <c r="F1449" s="13" t="n"/>
      <c r="G1449" s="14" t="n"/>
      <c r="H1449" s="14" t="n"/>
      <c r="I1449" s="14" t="n"/>
      <c r="J1449" s="14" t="n"/>
      <c r="K1449" s="53" t="inlineStr"/>
      <c r="L1449" s="53" t="inlineStr">
        <is>
          <t>Не определено</t>
        </is>
      </c>
      <c r="M1449" s="53" t="inlineStr"/>
      <c r="N1449" s="54" t="inlineStr"/>
      <c r="O1449" s="55" t="inlineStr"/>
      <c r="P1449" s="16" t="inlineStr">
        <is>
          <t>Требует обогащения</t>
        </is>
      </c>
      <c r="Q1449" s="16">
        <f>HYPERLINK("https://pb.nalog.ru/search.html?query=7309904460","ФНС: проверить")</f>
        <v/>
      </c>
      <c r="R1449" s="16">
        <f>HYPERLINK("https://checko.ru/search?query=3801001629","Чекко: проверить")</f>
        <v/>
      </c>
      <c r="S1449" t="n">
        <v>1</v>
      </c>
      <c r="T1449" s="35" t="inlineStr">
        <is>
          <t>4 — Не обогащён</t>
        </is>
      </c>
      <c r="U1449" s="35" t="inlineStr">
        <is>
          <t>Нет ОКВЭД/ССЧР</t>
        </is>
      </c>
      <c r="V1449" s="35" t="inlineStr">
        <is>
          <t>Не определено</t>
        </is>
      </c>
      <c r="W1449" s="35" t="inlineStr"/>
      <c r="X1449" s="35" t="inlineStr"/>
    </row>
    <row r="1450" ht="15" customHeight="1" s="24">
      <c r="A1450" s="13" t="n">
        <v>5000062573</v>
      </c>
      <c r="B1450" s="13" t="inlineStr">
        <is>
          <t>ОГОУ специальная школа-интернат №16  VII вида</t>
        </is>
      </c>
      <c r="C1450" s="13" t="n">
        <v>7327020079</v>
      </c>
      <c r="D1450" s="13" t="inlineStr">
        <is>
          <t>7327020079</t>
        </is>
      </c>
      <c r="E1450" s="13" t="inlineStr">
        <is>
          <t>ЮЛ РФ</t>
        </is>
      </c>
      <c r="F1450" s="13" t="n"/>
      <c r="G1450" s="14" t="n"/>
      <c r="H1450" s="14" t="n"/>
      <c r="I1450" s="14" t="n"/>
      <c r="J1450" s="14" t="n"/>
      <c r="K1450" s="53" t="inlineStr"/>
      <c r="L1450" s="53" t="inlineStr">
        <is>
          <t>Не определено</t>
        </is>
      </c>
      <c r="M1450" s="53" t="inlineStr"/>
      <c r="N1450" s="54" t="inlineStr"/>
      <c r="O1450" s="55" t="inlineStr"/>
      <c r="P1450" s="16" t="inlineStr">
        <is>
          <t>Требует обогащения</t>
        </is>
      </c>
      <c r="Q1450" s="16">
        <f>HYPERLINK("https://pb.nalog.ru/search.html?query=7327020079","ФНС: проверить")</f>
        <v/>
      </c>
      <c r="R1450" s="16">
        <f>HYPERLINK("https://checko.ru/search?query=3801001629","Чекко: проверить")</f>
        <v/>
      </c>
      <c r="S1450" t="n">
        <v>1</v>
      </c>
      <c r="T1450" s="35" t="inlineStr">
        <is>
          <t>4 — Не обогащён</t>
        </is>
      </c>
      <c r="U1450" s="35" t="inlineStr">
        <is>
          <t>Нет ОКВЭД/ССЧР</t>
        </is>
      </c>
      <c r="V1450" s="35" t="inlineStr">
        <is>
          <t>Не определено</t>
        </is>
      </c>
      <c r="W1450" s="35" t="inlineStr"/>
      <c r="X1450" s="35" t="inlineStr"/>
    </row>
    <row r="1451" ht="41.25" customHeight="1" s="24">
      <c r="A1451" s="13" t="n">
        <v>5000094766</v>
      </c>
      <c r="B1451" s="13" t="inlineStr">
        <is>
          <t>МКУ "Местная администрация  городского поселения Нарткала Урванского муниципального района КБР"</t>
        </is>
      </c>
      <c r="C1451" s="13" t="n">
        <v>707006913</v>
      </c>
      <c r="D1451" s="13" t="n"/>
      <c r="E1451" s="13" t="inlineStr">
        <is>
          <t>Не определён</t>
        </is>
      </c>
      <c r="F1451" s="13" t="inlineStr">
        <is>
          <t>707006913</t>
        </is>
      </c>
      <c r="G1451" s="14" t="n"/>
      <c r="H1451" s="14" t="n"/>
      <c r="I1451" s="14" t="n"/>
      <c r="J1451" s="14" t="n"/>
      <c r="K1451" s="13">
        <f>IF(G1451="","",IF(G1451&gt;=22,"Да","Нет"))</f>
        <v/>
      </c>
      <c r="L1451" s="13">
        <f>IF(OR(I1451="",J1451=""),"Не определено",IF(OR(COUNTIF(I1451,"45*")&gt;0,COUNTIF(J1451,"*45*")&gt;0,COUNTIF(I1451,"46*")&gt;0,COUNTIF(J1451,"*46*")&gt;0,COUNTIF(I1451,"47*")&gt;0,COUNTIF(J1451,"*47*")&gt;0,COUNTIF(I1451,"10*")&gt;0,COUNTIF(J1451,"*10*")&gt;0,COUNTIF(I1451,"11*")&gt;0,COUNTIF(J1451,"*11*")&gt;0,COUNTIF(I1451,"12*")&gt;0,COUNTIF(J1451,"*12*")&gt;0,COUNTIF(I1451,"13*")&gt;0,COUNTIF(J1451,"*13*")&gt;0,COUNTIF(I1451,"14*")&gt;0,COUNTIF(J1451,"*14*")&gt;0,COUNTIF(I1451,"15*")&gt;0,COUNTIF(J1451,"*15*")&gt;0,COUNTIF(I1451,"16*")&gt;0,COUNTIF(J1451,"*16*")&gt;0,COUNTIF(I1451,"17*")&gt;0,COUNTIF(J1451,"*17*")&gt;0,COUNTIF(I1451,"18*")&gt;0,COUNTIF(J1451,"*18*")&gt;0,COUNTIF(I1451,"19*")&gt;0,COUNTIF(J1451,"*19*")&gt;0,COUNTIF(I1451,"20*")&gt;0,COUNTIF(J1451,"*20*")&gt;0,COUNTIF(I1451,"21*")&gt;0,COUNTIF(J1451,"*21*")&gt;0,COUNTIF(I1451,"22*")&gt;0,COUNTIF(J1451,"*22*")&gt;0,COUNTIF(I1451,"23*")&gt;0,COUNTIF(J1451,"*23*")&gt;0,COUNTIF(I1451,"24*")&gt;0,COUNTIF(J1451,"*24*")&gt;0,COUNTIF(I1451,"25*")&gt;0,COUNTIF(J1451,"*25*")&gt;0,COUNTIF(I1451,"26*")&gt;0,COUNTIF(J1451,"*26*")&gt;0,COUNTIF(I1451,"27*")&gt;0,COUNTIF(J1451,"*27*")&gt;0,COUNTIF(I1451,"28*")&gt;0,COUNTIF(J1451,"*28*")&gt;0,COUNTIF(I1451,"29*")&gt;0,COUNTIF(J1451,"*29*")&gt;0,COUNTIF(I1451,"30*")&gt;0,COUNTIF(J1451,"*30*")&gt;0,COUNTIF(I1451,"31*")&gt;0,COUNTIF(J1451,"*31*")&gt;0,COUNTIF(I1451,"32*")&gt;0,COUNTIF(J1451,"*32*")&gt;0,COUNTIF(I1451,"33*")&gt;0,COUNTIF(J1451,"*33*")&gt;0,COUNTIF(I1451,"41*")&gt;0,COUNTIF(J1451,"*41*")&gt;0,COUNTIF(I1451,"42*")&gt;0,COUNTIF(J1451,"*42*")&gt;0,COUNTIF(I1451,"43*")&gt;0,COUNTIF(J1451,"*43*")&gt;0,COUNTIF(I1451,"49*")&gt;0,COUNTIF(J1451,"*49*")&gt;0,COUNTIF(I1451,"52*")&gt;0,COUNTIF(J1451,"*52*")&gt;0,COUNTIF(I1451,"55*")&gt;0,COUNTIF(J1451,"*55*")&gt;0,COUNTIF(I1451,"56*")&gt;0,COUNTIF(J1451,"*56*")&gt;0,COUNTIF(I1451,"68*")&gt;0,COUNTIF(J1451,"*68*")&gt;0,COUNTIF(I1451,"78*")&gt;0,COUNTIF(J1451,"*78*")&gt;0,COUNTIF(I1451,"81*")&gt;0,COUNTIF(J1451,"*81*")&gt;0,COUNTIF(I1451,"82*")&gt;0,COUNTIF(J1451,"*82*")&gt;0,COUNTIF(I1451,"64*")&gt;0,COUNTIF(J1451,"*64*")&gt;0,COUNTIF(I1451,"65*")&gt;0,COUNTIF(J1451,"*65*")&gt;0,COUNTIF(I1451,"66*")&gt;0,COUNTIF(J1451,"*66*")&gt;0,COUNTIF(I1451,"61*")&gt;0,COUNTIF(J1451,"*61*")&gt;0,COUNTIF(I1451,"62*")&gt;0,COUNTIF(J1451,"*62*")&gt;0,COUNTIF(I1451,"63*")&gt;0,COUNTIF(J1451,"*63*")&gt;0,COUNTIF(I1451,"85*")&gt;0,COUNTIF(J1451,"*85*")&gt;0,COUNTIF(I1451,"86*")&gt;0,COUNTIF(J1451,"*86*")&gt;0),"Да","Нет"))</f>
        <v/>
      </c>
      <c r="M1451" s="13">
        <f>IF(OR(G1451="",L1451&lt;&gt;"Да"),"",IF(G1451&lt;=100,"До 100",IF(G1451&lt;=200,"До 200",IF(G1451&lt;=500,"До 500","Отдельное КП"))))</f>
        <v/>
      </c>
      <c r="N1451" s="15">
        <f>IF(OR(G1451="",L1451&lt;&gt;"Да"),"",IF(G1451&lt;=100,33600,IF(G1451&lt;=200,62400,IF(G1451&lt;=500,144000,""))))</f>
        <v/>
      </c>
      <c r="O1451" s="16">
        <f>IF(G1451="","",IF(G1451&lt;=15,"1–15",IF(G1451&lt;=30,"16–30",IF(G1451&lt;=50,"31–50",IF(G1451&lt;=100,"51–100",IF(G1451&lt;=150,"101–150",IF(G1451&lt;=200,"151–200",IF(G1451&lt;=500,"201–500","500+"))))))))</f>
        <v/>
      </c>
      <c r="P1451" s="16" t="inlineStr">
        <is>
          <t>Нет совпадения в предоставленной выгрузке ССЧР</t>
        </is>
      </c>
      <c r="Q1451" s="16" t="n"/>
      <c r="R1451" s="16">
        <f>HYPERLINK("https://checko.ru/search?query=3801001629","Чекко: проверить")</f>
        <v/>
      </c>
      <c r="S1451" t="n">
        <v>0</v>
      </c>
    </row>
    <row r="1452" ht="15" customHeight="1" s="24">
      <c r="A1452" s="13" t="n">
        <v>5000094730</v>
      </c>
      <c r="B1452" s="13" t="inlineStr">
        <is>
          <t>ГБУЗ "ЦРБ" Черекского раойна</t>
        </is>
      </c>
      <c r="C1452" s="13" t="n">
        <v>706005040</v>
      </c>
      <c r="D1452" s="13" t="n"/>
      <c r="E1452" s="13" t="inlineStr">
        <is>
          <t>Не определён</t>
        </is>
      </c>
      <c r="F1452" s="13" t="inlineStr">
        <is>
          <t>706005040</t>
        </is>
      </c>
      <c r="G1452" s="14" t="n"/>
      <c r="H1452" s="14" t="n"/>
      <c r="I1452" s="14" t="n"/>
      <c r="J1452" s="14" t="n"/>
      <c r="K1452" s="13">
        <f>IF(G1452="","",IF(G1452&gt;=22,"Да","Нет"))</f>
        <v/>
      </c>
      <c r="L1452" s="13">
        <f>IF(OR(I1452="",J1452=""),"Не определено",IF(OR(COUNTIF(I1452,"45*")&gt;0,COUNTIF(J1452,"*45*")&gt;0,COUNTIF(I1452,"46*")&gt;0,COUNTIF(J1452,"*46*")&gt;0,COUNTIF(I1452,"47*")&gt;0,COUNTIF(J1452,"*47*")&gt;0,COUNTIF(I1452,"10*")&gt;0,COUNTIF(J1452,"*10*")&gt;0,COUNTIF(I1452,"11*")&gt;0,COUNTIF(J1452,"*11*")&gt;0,COUNTIF(I1452,"12*")&gt;0,COUNTIF(J1452,"*12*")&gt;0,COUNTIF(I1452,"13*")&gt;0,COUNTIF(J1452,"*13*")&gt;0,COUNTIF(I1452,"14*")&gt;0,COUNTIF(J1452,"*14*")&gt;0,COUNTIF(I1452,"15*")&gt;0,COUNTIF(J1452,"*15*")&gt;0,COUNTIF(I1452,"16*")&gt;0,COUNTIF(J1452,"*16*")&gt;0,COUNTIF(I1452,"17*")&gt;0,COUNTIF(J1452,"*17*")&gt;0,COUNTIF(I1452,"18*")&gt;0,COUNTIF(J1452,"*18*")&gt;0,COUNTIF(I1452,"19*")&gt;0,COUNTIF(J1452,"*19*")&gt;0,COUNTIF(I1452,"20*")&gt;0,COUNTIF(J1452,"*20*")&gt;0,COUNTIF(I1452,"21*")&gt;0,COUNTIF(J1452,"*21*")&gt;0,COUNTIF(I1452,"22*")&gt;0,COUNTIF(J1452,"*22*")&gt;0,COUNTIF(I1452,"23*")&gt;0,COUNTIF(J1452,"*23*")&gt;0,COUNTIF(I1452,"24*")&gt;0,COUNTIF(J1452,"*24*")&gt;0,COUNTIF(I1452,"25*")&gt;0,COUNTIF(J1452,"*25*")&gt;0,COUNTIF(I1452,"26*")&gt;0,COUNTIF(J1452,"*26*")&gt;0,COUNTIF(I1452,"27*")&gt;0,COUNTIF(J1452,"*27*")&gt;0,COUNTIF(I1452,"28*")&gt;0,COUNTIF(J1452,"*28*")&gt;0,COUNTIF(I1452,"29*")&gt;0,COUNTIF(J1452,"*29*")&gt;0,COUNTIF(I1452,"30*")&gt;0,COUNTIF(J1452,"*30*")&gt;0,COUNTIF(I1452,"31*")&gt;0,COUNTIF(J1452,"*31*")&gt;0,COUNTIF(I1452,"32*")&gt;0,COUNTIF(J1452,"*32*")&gt;0,COUNTIF(I1452,"33*")&gt;0,COUNTIF(J1452,"*33*")&gt;0,COUNTIF(I1452,"41*")&gt;0,COUNTIF(J1452,"*41*")&gt;0,COUNTIF(I1452,"42*")&gt;0,COUNTIF(J1452,"*42*")&gt;0,COUNTIF(I1452,"43*")&gt;0,COUNTIF(J1452,"*43*")&gt;0,COUNTIF(I1452,"49*")&gt;0,COUNTIF(J1452,"*49*")&gt;0,COUNTIF(I1452,"52*")&gt;0,COUNTIF(J1452,"*52*")&gt;0,COUNTIF(I1452,"55*")&gt;0,COUNTIF(J1452,"*55*")&gt;0,COUNTIF(I1452,"56*")&gt;0,COUNTIF(J1452,"*56*")&gt;0,COUNTIF(I1452,"68*")&gt;0,COUNTIF(J1452,"*68*")&gt;0,COUNTIF(I1452,"78*")&gt;0,COUNTIF(J1452,"*78*")&gt;0,COUNTIF(I1452,"81*")&gt;0,COUNTIF(J1452,"*81*")&gt;0,COUNTIF(I1452,"82*")&gt;0,COUNTIF(J1452,"*82*")&gt;0,COUNTIF(I1452,"64*")&gt;0,COUNTIF(J1452,"*64*")&gt;0,COUNTIF(I1452,"65*")&gt;0,COUNTIF(J1452,"*65*")&gt;0,COUNTIF(I1452,"66*")&gt;0,COUNTIF(J1452,"*66*")&gt;0,COUNTIF(I1452,"61*")&gt;0,COUNTIF(J1452,"*61*")&gt;0,COUNTIF(I1452,"62*")&gt;0,COUNTIF(J1452,"*62*")&gt;0,COUNTIF(I1452,"63*")&gt;0,COUNTIF(J1452,"*63*")&gt;0,COUNTIF(I1452,"85*")&gt;0,COUNTIF(J1452,"*85*")&gt;0,COUNTIF(I1452,"86*")&gt;0,COUNTIF(J1452,"*86*")&gt;0),"Да","Нет"))</f>
        <v/>
      </c>
      <c r="M1452" s="13">
        <f>IF(OR(G1452="",L1452&lt;&gt;"Да"),"",IF(G1452&lt;=100,"До 100",IF(G1452&lt;=200,"До 200",IF(G1452&lt;=500,"До 500","Отдельное КП"))))</f>
        <v/>
      </c>
      <c r="N1452" s="15">
        <f>IF(OR(G1452="",L1452&lt;&gt;"Да"),"",IF(G1452&lt;=100,33600,IF(G1452&lt;=200,62400,IF(G1452&lt;=500,144000,""))))</f>
        <v/>
      </c>
      <c r="O1452" s="16">
        <f>IF(G1452="","",IF(G1452&lt;=15,"1–15",IF(G1452&lt;=30,"16–30",IF(G1452&lt;=50,"31–50",IF(G1452&lt;=100,"51–100",IF(G1452&lt;=150,"101–150",IF(G1452&lt;=200,"151–200",IF(G1452&lt;=500,"201–500","500+"))))))))</f>
        <v/>
      </c>
      <c r="P1452" s="16" t="inlineStr">
        <is>
          <t>Нет совпадения в предоставленной выгрузке ССЧР</t>
        </is>
      </c>
      <c r="Q1452" s="16" t="n"/>
      <c r="R1452" s="16">
        <f>HYPERLINK("https://checko.ru/search?query=3801001629","Чекко: проверить")</f>
        <v/>
      </c>
      <c r="S1452" t="n">
        <v>0</v>
      </c>
    </row>
    <row r="1453" ht="15" customHeight="1" s="24">
      <c r="A1453" s="13" t="n">
        <v>5000008556</v>
      </c>
      <c r="B1453" s="13" t="inlineStr">
        <is>
          <t>УФССП России по Орловской области</t>
        </is>
      </c>
      <c r="C1453" s="13" t="n">
        <v>5752035640</v>
      </c>
      <c r="D1453" s="13" t="inlineStr">
        <is>
          <t>5752035640</t>
        </is>
      </c>
      <c r="E1453" s="13" t="inlineStr">
        <is>
          <t>ЮЛ РФ</t>
        </is>
      </c>
      <c r="F1453" s="13" t="n"/>
      <c r="G1453" s="14" t="n"/>
      <c r="H1453" s="14" t="n"/>
      <c r="I1453" s="14" t="n"/>
      <c r="J1453" s="14" t="n"/>
      <c r="K1453" s="53" t="inlineStr"/>
      <c r="L1453" s="53" t="inlineStr">
        <is>
          <t>Не определено</t>
        </is>
      </c>
      <c r="M1453" s="53" t="inlineStr"/>
      <c r="N1453" s="54" t="inlineStr"/>
      <c r="O1453" s="55" t="inlineStr"/>
      <c r="P1453" s="16" t="inlineStr">
        <is>
          <t>Требует обогащения</t>
        </is>
      </c>
      <c r="Q1453" s="16">
        <f>HYPERLINK("https://pb.nalog.ru/search.html?query=5752035640","ФНС: проверить")</f>
        <v/>
      </c>
      <c r="R1453" s="16">
        <f>HYPERLINK("https://checko.ru/search?query=3801001629","Чекко: проверить")</f>
        <v/>
      </c>
      <c r="S1453" t="n">
        <v>1</v>
      </c>
      <c r="T1453" s="35" t="inlineStr">
        <is>
          <t>4 — Не обогащён</t>
        </is>
      </c>
      <c r="U1453" s="35" t="inlineStr">
        <is>
          <t>Нет ОКВЭД/ССЧР</t>
        </is>
      </c>
      <c r="V1453" s="35" t="inlineStr">
        <is>
          <t>Не определено</t>
        </is>
      </c>
      <c r="W1453" s="35" t="inlineStr"/>
      <c r="X1453" s="35" t="inlineStr"/>
    </row>
    <row r="1454" ht="27.75" customHeight="1" s="24">
      <c r="A1454" s="13" t="n">
        <v>5000001505</v>
      </c>
      <c r="B1454" s="13" t="inlineStr">
        <is>
          <t>Министерство строительства, дорожного хозяйства Иркутской области.</t>
        </is>
      </c>
      <c r="C1454" s="13" t="n">
        <v>3808172165</v>
      </c>
      <c r="D1454" s="13" t="inlineStr">
        <is>
          <t>3808172165</t>
        </is>
      </c>
      <c r="E1454" s="13" t="inlineStr">
        <is>
          <t>ЮЛ РФ</t>
        </is>
      </c>
      <c r="F1454" s="13" t="n"/>
      <c r="G1454" s="14" t="n"/>
      <c r="H1454" s="14" t="n"/>
      <c r="I1454" s="14" t="n"/>
      <c r="J1454" s="14" t="n"/>
      <c r="K1454" s="53" t="inlineStr"/>
      <c r="L1454" s="53" t="inlineStr">
        <is>
          <t>Не определено</t>
        </is>
      </c>
      <c r="M1454" s="53" t="inlineStr"/>
      <c r="N1454" s="54" t="inlineStr"/>
      <c r="O1454" s="55" t="inlineStr"/>
      <c r="P1454" s="16" t="inlineStr">
        <is>
          <t>Требует обогащения</t>
        </is>
      </c>
      <c r="Q1454" s="16">
        <f>HYPERLINK("https://pb.nalog.ru/search.html?query=3808172165","ФНС: проверить")</f>
        <v/>
      </c>
      <c r="R1454" s="16">
        <f>HYPERLINK("https://checko.ru/search?query=3801001629","Чекко: проверить")</f>
        <v/>
      </c>
      <c r="S1454" t="n">
        <v>1</v>
      </c>
      <c r="T1454" s="35" t="inlineStr">
        <is>
          <t>4 — Не обогащён</t>
        </is>
      </c>
      <c r="U1454" s="35" t="inlineStr">
        <is>
          <t>Нет ОКВЭД/ССЧР</t>
        </is>
      </c>
      <c r="V1454" s="35" t="inlineStr">
        <is>
          <t>Не определено</t>
        </is>
      </c>
      <c r="W1454" s="35" t="inlineStr"/>
      <c r="X1454" s="35" t="inlineStr"/>
    </row>
    <row r="1455" ht="15" customHeight="1" s="24">
      <c r="A1455" s="13" t="n">
        <v>5000104243</v>
      </c>
      <c r="B1455" s="13" t="inlineStr">
        <is>
          <t>МБОУ образовательный цент р Багратион</t>
        </is>
      </c>
      <c r="C1455" s="13" t="n">
        <v>5032365437</v>
      </c>
      <c r="D1455" s="13" t="inlineStr">
        <is>
          <t>5032365437</t>
        </is>
      </c>
      <c r="E1455" s="13" t="inlineStr">
        <is>
          <t>ЮЛ РФ</t>
        </is>
      </c>
      <c r="F1455" s="13" t="n"/>
      <c r="G1455" s="14" t="n"/>
      <c r="H1455" s="14" t="n"/>
      <c r="I1455" s="14" t="n"/>
      <c r="J1455" s="14" t="n"/>
      <c r="K1455" s="53" t="inlineStr"/>
      <c r="L1455" s="53" t="inlineStr">
        <is>
          <t>Не определено</t>
        </is>
      </c>
      <c r="M1455" s="53" t="inlineStr"/>
      <c r="N1455" s="54" t="inlineStr"/>
      <c r="O1455" s="55" t="inlineStr"/>
      <c r="P1455" s="16" t="inlineStr">
        <is>
          <t>Требует обогащения</t>
        </is>
      </c>
      <c r="Q1455" s="16">
        <f>HYPERLINK("https://pb.nalog.ru/search.html?query=5032365437","ФНС: проверить")</f>
        <v/>
      </c>
      <c r="R1455" s="16">
        <f>HYPERLINK("https://checko.ru/search?query=3801001629","Чекко: проверить")</f>
        <v/>
      </c>
      <c r="S1455" t="n">
        <v>1</v>
      </c>
      <c r="T1455" s="35" t="inlineStr">
        <is>
          <t>4 — Не обогащён</t>
        </is>
      </c>
      <c r="U1455" s="35" t="inlineStr">
        <is>
          <t>Нет ОКВЭД/ССЧР</t>
        </is>
      </c>
      <c r="V1455" s="35" t="inlineStr">
        <is>
          <t>Не определено</t>
        </is>
      </c>
      <c r="W1455" s="35" t="inlineStr"/>
      <c r="X1455" s="35" t="inlineStr"/>
    </row>
    <row r="1456" ht="15" customHeight="1" s="24">
      <c r="A1456" s="13" t="n">
        <v>5000062628</v>
      </c>
      <c r="B1456" s="13" t="inlineStr">
        <is>
          <t>ГУЗ Детская городская клиническая больница № 1</t>
        </is>
      </c>
      <c r="C1456" s="13" t="n">
        <v>7325006544</v>
      </c>
      <c r="D1456" s="13" t="inlineStr">
        <is>
          <t>7325006544</t>
        </is>
      </c>
      <c r="E1456" s="13" t="inlineStr">
        <is>
          <t>ЮЛ РФ</t>
        </is>
      </c>
      <c r="F1456" s="13" t="n"/>
      <c r="G1456" s="14" t="n"/>
      <c r="H1456" s="14" t="n"/>
      <c r="I1456" s="14" t="n"/>
      <c r="J1456" s="14" t="n"/>
      <c r="K1456" s="53" t="inlineStr"/>
      <c r="L1456" s="53" t="inlineStr">
        <is>
          <t>Не определено</t>
        </is>
      </c>
      <c r="M1456" s="53" t="inlineStr"/>
      <c r="N1456" s="54" t="inlineStr"/>
      <c r="O1456" s="55" t="inlineStr"/>
      <c r="P1456" s="16" t="inlineStr">
        <is>
          <t>Требует обогащения</t>
        </is>
      </c>
      <c r="Q1456" s="16">
        <f>HYPERLINK("https://pb.nalog.ru/search.html?query=7325006544","ФНС: проверить")</f>
        <v/>
      </c>
      <c r="R1456" s="16">
        <f>HYPERLINK("https://checko.ru/search?query=3801001629","Чекко: проверить")</f>
        <v/>
      </c>
      <c r="S1456" t="n">
        <v>1</v>
      </c>
      <c r="T1456" s="35" t="inlineStr">
        <is>
          <t>4 — Не обогащён</t>
        </is>
      </c>
      <c r="U1456" s="35" t="inlineStr">
        <is>
          <t>Нет ОКВЭД/ССЧР</t>
        </is>
      </c>
      <c r="V1456" s="35" t="inlineStr">
        <is>
          <t>Не определено</t>
        </is>
      </c>
      <c r="W1456" s="35" t="inlineStr"/>
      <c r="X1456" s="35" t="inlineStr"/>
    </row>
    <row r="1457" ht="15" customHeight="1" s="24">
      <c r="A1457" s="13" t="n">
        <v>5000001477</v>
      </c>
      <c r="B1457" s="13" t="inlineStr">
        <is>
          <t>ОГАУ "ЦРСИ"</t>
        </is>
      </c>
      <c r="C1457" s="13" t="n">
        <v>3808085226</v>
      </c>
      <c r="D1457" s="13" t="inlineStr">
        <is>
          <t>3808085226</t>
        </is>
      </c>
      <c r="E1457" s="13" t="inlineStr">
        <is>
          <t>ЮЛ РФ</t>
        </is>
      </c>
      <c r="F1457" s="13" t="n"/>
      <c r="G1457" s="14" t="n"/>
      <c r="H1457" s="14" t="n"/>
      <c r="I1457" s="14" t="n"/>
      <c r="J1457" s="14" t="n"/>
      <c r="K1457" s="53" t="inlineStr"/>
      <c r="L1457" s="53" t="inlineStr">
        <is>
          <t>Не определено</t>
        </is>
      </c>
      <c r="M1457" s="53" t="inlineStr"/>
      <c r="N1457" s="54" t="inlineStr"/>
      <c r="O1457" s="55" t="inlineStr"/>
      <c r="P1457" s="16" t="inlineStr">
        <is>
          <t>Требует обогащения</t>
        </is>
      </c>
      <c r="Q1457" s="16">
        <f>HYPERLINK("https://pb.nalog.ru/search.html?query=3808085226","ФНС: проверить")</f>
        <v/>
      </c>
      <c r="R1457" s="16">
        <f>HYPERLINK("https://checko.ru/search?query=3801001629","Чекко: проверить")</f>
        <v/>
      </c>
      <c r="S1457" t="n">
        <v>1</v>
      </c>
      <c r="T1457" s="35" t="inlineStr">
        <is>
          <t>4 — Не обогащён</t>
        </is>
      </c>
      <c r="U1457" s="35" t="inlineStr">
        <is>
          <t>Нет ОКВЭД/ССЧР</t>
        </is>
      </c>
      <c r="V1457" s="35" t="inlineStr">
        <is>
          <t>Не определено</t>
        </is>
      </c>
      <c r="W1457" s="35" t="inlineStr"/>
      <c r="X1457" s="35" t="inlineStr"/>
    </row>
    <row r="1458" ht="15" customHeight="1" s="24">
      <c r="A1458" s="13" t="n">
        <v>5000094582</v>
      </c>
      <c r="B1458" s="13" t="inlineStr">
        <is>
          <t>МОУ ДОД "ДШИ г. Майского"</t>
        </is>
      </c>
      <c r="C1458" s="13" t="n">
        <v>703004577</v>
      </c>
      <c r="D1458" s="13" t="n"/>
      <c r="E1458" s="13" t="inlineStr">
        <is>
          <t>Не определён</t>
        </is>
      </c>
      <c r="F1458" s="13" t="inlineStr">
        <is>
          <t>703004577</t>
        </is>
      </c>
      <c r="G1458" s="14" t="n"/>
      <c r="H1458" s="14" t="n"/>
      <c r="I1458" s="14" t="n"/>
      <c r="J1458" s="14" t="n"/>
      <c r="K1458" s="13">
        <f>IF(G1458="","",IF(G1458&gt;=22,"Да","Нет"))</f>
        <v/>
      </c>
      <c r="L1458" s="13">
        <f>IF(OR(I1458="",J1458=""),"Не определено",IF(OR(COUNTIF(I1458,"45*")&gt;0,COUNTIF(J1458,"*45*")&gt;0,COUNTIF(I1458,"46*")&gt;0,COUNTIF(J1458,"*46*")&gt;0,COUNTIF(I1458,"47*")&gt;0,COUNTIF(J1458,"*47*")&gt;0,COUNTIF(I1458,"10*")&gt;0,COUNTIF(J1458,"*10*")&gt;0,COUNTIF(I1458,"11*")&gt;0,COUNTIF(J1458,"*11*")&gt;0,COUNTIF(I1458,"12*")&gt;0,COUNTIF(J1458,"*12*")&gt;0,COUNTIF(I1458,"13*")&gt;0,COUNTIF(J1458,"*13*")&gt;0,COUNTIF(I1458,"14*")&gt;0,COUNTIF(J1458,"*14*")&gt;0,COUNTIF(I1458,"15*")&gt;0,COUNTIF(J1458,"*15*")&gt;0,COUNTIF(I1458,"16*")&gt;0,COUNTIF(J1458,"*16*")&gt;0,COUNTIF(I1458,"17*")&gt;0,COUNTIF(J1458,"*17*")&gt;0,COUNTIF(I1458,"18*")&gt;0,COUNTIF(J1458,"*18*")&gt;0,COUNTIF(I1458,"19*")&gt;0,COUNTIF(J1458,"*19*")&gt;0,COUNTIF(I1458,"20*")&gt;0,COUNTIF(J1458,"*20*")&gt;0,COUNTIF(I1458,"21*")&gt;0,COUNTIF(J1458,"*21*")&gt;0,COUNTIF(I1458,"22*")&gt;0,COUNTIF(J1458,"*22*")&gt;0,COUNTIF(I1458,"23*")&gt;0,COUNTIF(J1458,"*23*")&gt;0,COUNTIF(I1458,"24*")&gt;0,COUNTIF(J1458,"*24*")&gt;0,COUNTIF(I1458,"25*")&gt;0,COUNTIF(J1458,"*25*")&gt;0,COUNTIF(I1458,"26*")&gt;0,COUNTIF(J1458,"*26*")&gt;0,COUNTIF(I1458,"27*")&gt;0,COUNTIF(J1458,"*27*")&gt;0,COUNTIF(I1458,"28*")&gt;0,COUNTIF(J1458,"*28*")&gt;0,COUNTIF(I1458,"29*")&gt;0,COUNTIF(J1458,"*29*")&gt;0,COUNTIF(I1458,"30*")&gt;0,COUNTIF(J1458,"*30*")&gt;0,COUNTIF(I1458,"31*")&gt;0,COUNTIF(J1458,"*31*")&gt;0,COUNTIF(I1458,"32*")&gt;0,COUNTIF(J1458,"*32*")&gt;0,COUNTIF(I1458,"33*")&gt;0,COUNTIF(J1458,"*33*")&gt;0,COUNTIF(I1458,"41*")&gt;0,COUNTIF(J1458,"*41*")&gt;0,COUNTIF(I1458,"42*")&gt;0,COUNTIF(J1458,"*42*")&gt;0,COUNTIF(I1458,"43*")&gt;0,COUNTIF(J1458,"*43*")&gt;0,COUNTIF(I1458,"49*")&gt;0,COUNTIF(J1458,"*49*")&gt;0,COUNTIF(I1458,"52*")&gt;0,COUNTIF(J1458,"*52*")&gt;0,COUNTIF(I1458,"55*")&gt;0,COUNTIF(J1458,"*55*")&gt;0,COUNTIF(I1458,"56*")&gt;0,COUNTIF(J1458,"*56*")&gt;0,COUNTIF(I1458,"68*")&gt;0,COUNTIF(J1458,"*68*")&gt;0,COUNTIF(I1458,"78*")&gt;0,COUNTIF(J1458,"*78*")&gt;0,COUNTIF(I1458,"81*")&gt;0,COUNTIF(J1458,"*81*")&gt;0,COUNTIF(I1458,"82*")&gt;0,COUNTIF(J1458,"*82*")&gt;0,COUNTIF(I1458,"64*")&gt;0,COUNTIF(J1458,"*64*")&gt;0,COUNTIF(I1458,"65*")&gt;0,COUNTIF(J1458,"*65*")&gt;0,COUNTIF(I1458,"66*")&gt;0,COUNTIF(J1458,"*66*")&gt;0,COUNTIF(I1458,"61*")&gt;0,COUNTIF(J1458,"*61*")&gt;0,COUNTIF(I1458,"62*")&gt;0,COUNTIF(J1458,"*62*")&gt;0,COUNTIF(I1458,"63*")&gt;0,COUNTIF(J1458,"*63*")&gt;0,COUNTIF(I1458,"85*")&gt;0,COUNTIF(J1458,"*85*")&gt;0,COUNTIF(I1458,"86*")&gt;0,COUNTIF(J1458,"*86*")&gt;0),"Да","Нет"))</f>
        <v/>
      </c>
      <c r="M1458" s="13">
        <f>IF(OR(G1458="",L1458&lt;&gt;"Да"),"",IF(G1458&lt;=100,"До 100",IF(G1458&lt;=200,"До 200",IF(G1458&lt;=500,"До 500","Отдельное КП"))))</f>
        <v/>
      </c>
      <c r="N1458" s="15">
        <f>IF(OR(G1458="",L1458&lt;&gt;"Да"),"",IF(G1458&lt;=100,33600,IF(G1458&lt;=200,62400,IF(G1458&lt;=500,144000,""))))</f>
        <v/>
      </c>
      <c r="O1458" s="16">
        <f>IF(G1458="","",IF(G1458&lt;=15,"1–15",IF(G1458&lt;=30,"16–30",IF(G1458&lt;=50,"31–50",IF(G1458&lt;=100,"51–100",IF(G1458&lt;=150,"101–150",IF(G1458&lt;=200,"151–200",IF(G1458&lt;=500,"201–500","500+"))))))))</f>
        <v/>
      </c>
      <c r="P1458" s="16" t="inlineStr">
        <is>
          <t>Нет совпадения в предоставленной выгрузке ССЧР</t>
        </is>
      </c>
      <c r="Q1458" s="16" t="n"/>
      <c r="R1458" s="16">
        <f>HYPERLINK("https://checko.ru/search?query=3801001629","Чекко: проверить")</f>
        <v/>
      </c>
      <c r="S1458" t="n">
        <v>0</v>
      </c>
    </row>
    <row r="1459" ht="15" customHeight="1" s="24">
      <c r="A1459" s="13" t="n">
        <v>5000062634</v>
      </c>
      <c r="B1459" s="13" t="inlineStr">
        <is>
          <t>ГУЗ Вешкаймская ЦРБ</t>
        </is>
      </c>
      <c r="C1459" s="13" t="n">
        <v>7305000350</v>
      </c>
      <c r="D1459" s="13" t="inlineStr">
        <is>
          <t>7305000350</t>
        </is>
      </c>
      <c r="E1459" s="13" t="inlineStr">
        <is>
          <t>ЮЛ РФ</t>
        </is>
      </c>
      <c r="F1459" s="13" t="n"/>
      <c r="G1459" s="14" t="n"/>
      <c r="H1459" s="14" t="n"/>
      <c r="I1459" s="14" t="n"/>
      <c r="J1459" s="14" t="n"/>
      <c r="K1459" s="53" t="inlineStr"/>
      <c r="L1459" s="53" t="inlineStr">
        <is>
          <t>Не определено</t>
        </is>
      </c>
      <c r="M1459" s="53" t="inlineStr"/>
      <c r="N1459" s="54" t="inlineStr"/>
      <c r="O1459" s="55" t="inlineStr"/>
      <c r="P1459" s="16" t="inlineStr">
        <is>
          <t>Требует обогащения</t>
        </is>
      </c>
      <c r="Q1459" s="16">
        <f>HYPERLINK("https://pb.nalog.ru/search.html?query=7305000350","ФНС: проверить")</f>
        <v/>
      </c>
      <c r="R1459" s="16">
        <f>HYPERLINK("https://checko.ru/search?query=3801001629","Чекко: проверить")</f>
        <v/>
      </c>
      <c r="S1459" t="n">
        <v>1</v>
      </c>
      <c r="T1459" s="35" t="inlineStr">
        <is>
          <t>4 — Не обогащён</t>
        </is>
      </c>
      <c r="U1459" s="35" t="inlineStr">
        <is>
          <t>Нет ОКВЭД/ССЧР</t>
        </is>
      </c>
      <c r="V1459" s="35" t="inlineStr">
        <is>
          <t>Не определено</t>
        </is>
      </c>
      <c r="W1459" s="35" t="inlineStr"/>
      <c r="X1459" s="35" t="inlineStr"/>
    </row>
    <row r="1460" ht="15" customHeight="1" s="24">
      <c r="A1460" s="13" t="n">
        <v>5000094553</v>
      </c>
      <c r="B1460" s="13" t="inlineStr">
        <is>
          <t>МКОУ СОШ им.Х.Х.Абазова с.п.Псынадаха</t>
        </is>
      </c>
      <c r="C1460" s="13" t="n">
        <v>702722769</v>
      </c>
      <c r="D1460" s="13" t="n"/>
      <c r="E1460" s="13" t="inlineStr">
        <is>
          <t>Не определён</t>
        </is>
      </c>
      <c r="F1460" s="13" t="inlineStr">
        <is>
          <t>702722769</t>
        </is>
      </c>
      <c r="G1460" s="14" t="n"/>
      <c r="H1460" s="14" t="n"/>
      <c r="I1460" s="14" t="n"/>
      <c r="J1460" s="14" t="n"/>
      <c r="K1460" s="13">
        <f>IF(G1460="","",IF(G1460&gt;=22,"Да","Нет"))</f>
        <v/>
      </c>
      <c r="L1460" s="13">
        <f>IF(OR(I1460="",J1460=""),"Не определено",IF(OR(COUNTIF(I1460,"45*")&gt;0,COUNTIF(J1460,"*45*")&gt;0,COUNTIF(I1460,"46*")&gt;0,COUNTIF(J1460,"*46*")&gt;0,COUNTIF(I1460,"47*")&gt;0,COUNTIF(J1460,"*47*")&gt;0,COUNTIF(I1460,"10*")&gt;0,COUNTIF(J1460,"*10*")&gt;0,COUNTIF(I1460,"11*")&gt;0,COUNTIF(J1460,"*11*")&gt;0,COUNTIF(I1460,"12*")&gt;0,COUNTIF(J1460,"*12*")&gt;0,COUNTIF(I1460,"13*")&gt;0,COUNTIF(J1460,"*13*")&gt;0,COUNTIF(I1460,"14*")&gt;0,COUNTIF(J1460,"*14*")&gt;0,COUNTIF(I1460,"15*")&gt;0,COUNTIF(J1460,"*15*")&gt;0,COUNTIF(I1460,"16*")&gt;0,COUNTIF(J1460,"*16*")&gt;0,COUNTIF(I1460,"17*")&gt;0,COUNTIF(J1460,"*17*")&gt;0,COUNTIF(I1460,"18*")&gt;0,COUNTIF(J1460,"*18*")&gt;0,COUNTIF(I1460,"19*")&gt;0,COUNTIF(J1460,"*19*")&gt;0,COUNTIF(I1460,"20*")&gt;0,COUNTIF(J1460,"*20*")&gt;0,COUNTIF(I1460,"21*")&gt;0,COUNTIF(J1460,"*21*")&gt;0,COUNTIF(I1460,"22*")&gt;0,COUNTIF(J1460,"*22*")&gt;0,COUNTIF(I1460,"23*")&gt;0,COUNTIF(J1460,"*23*")&gt;0,COUNTIF(I1460,"24*")&gt;0,COUNTIF(J1460,"*24*")&gt;0,COUNTIF(I1460,"25*")&gt;0,COUNTIF(J1460,"*25*")&gt;0,COUNTIF(I1460,"26*")&gt;0,COUNTIF(J1460,"*26*")&gt;0,COUNTIF(I1460,"27*")&gt;0,COUNTIF(J1460,"*27*")&gt;0,COUNTIF(I1460,"28*")&gt;0,COUNTIF(J1460,"*28*")&gt;0,COUNTIF(I1460,"29*")&gt;0,COUNTIF(J1460,"*29*")&gt;0,COUNTIF(I1460,"30*")&gt;0,COUNTIF(J1460,"*30*")&gt;0,COUNTIF(I1460,"31*")&gt;0,COUNTIF(J1460,"*31*")&gt;0,COUNTIF(I1460,"32*")&gt;0,COUNTIF(J1460,"*32*")&gt;0,COUNTIF(I1460,"33*")&gt;0,COUNTIF(J1460,"*33*")&gt;0,COUNTIF(I1460,"41*")&gt;0,COUNTIF(J1460,"*41*")&gt;0,COUNTIF(I1460,"42*")&gt;0,COUNTIF(J1460,"*42*")&gt;0,COUNTIF(I1460,"43*")&gt;0,COUNTIF(J1460,"*43*")&gt;0,COUNTIF(I1460,"49*")&gt;0,COUNTIF(J1460,"*49*")&gt;0,COUNTIF(I1460,"52*")&gt;0,COUNTIF(J1460,"*52*")&gt;0,COUNTIF(I1460,"55*")&gt;0,COUNTIF(J1460,"*55*")&gt;0,COUNTIF(I1460,"56*")&gt;0,COUNTIF(J1460,"*56*")&gt;0,COUNTIF(I1460,"68*")&gt;0,COUNTIF(J1460,"*68*")&gt;0,COUNTIF(I1460,"78*")&gt;0,COUNTIF(J1460,"*78*")&gt;0,COUNTIF(I1460,"81*")&gt;0,COUNTIF(J1460,"*81*")&gt;0,COUNTIF(I1460,"82*")&gt;0,COUNTIF(J1460,"*82*")&gt;0,COUNTIF(I1460,"64*")&gt;0,COUNTIF(J1460,"*64*")&gt;0,COUNTIF(I1460,"65*")&gt;0,COUNTIF(J1460,"*65*")&gt;0,COUNTIF(I1460,"66*")&gt;0,COUNTIF(J1460,"*66*")&gt;0,COUNTIF(I1460,"61*")&gt;0,COUNTIF(J1460,"*61*")&gt;0,COUNTIF(I1460,"62*")&gt;0,COUNTIF(J1460,"*62*")&gt;0,COUNTIF(I1460,"63*")&gt;0,COUNTIF(J1460,"*63*")&gt;0,COUNTIF(I1460,"85*")&gt;0,COUNTIF(J1460,"*85*")&gt;0,COUNTIF(I1460,"86*")&gt;0,COUNTIF(J1460,"*86*")&gt;0),"Да","Нет"))</f>
        <v/>
      </c>
      <c r="M1460" s="13">
        <f>IF(OR(G1460="",L1460&lt;&gt;"Да"),"",IF(G1460&lt;=100,"До 100",IF(G1460&lt;=200,"До 200",IF(G1460&lt;=500,"До 500","Отдельное КП"))))</f>
        <v/>
      </c>
      <c r="N1460" s="15">
        <f>IF(OR(G1460="",L1460&lt;&gt;"Да"),"",IF(G1460&lt;=100,33600,IF(G1460&lt;=200,62400,IF(G1460&lt;=500,144000,""))))</f>
        <v/>
      </c>
      <c r="O1460" s="16">
        <f>IF(G1460="","",IF(G1460&lt;=15,"1–15",IF(G1460&lt;=30,"16–30",IF(G1460&lt;=50,"31–50",IF(G1460&lt;=100,"51–100",IF(G1460&lt;=150,"101–150",IF(G1460&lt;=200,"151–200",IF(G1460&lt;=500,"201–500","500+"))))))))</f>
        <v/>
      </c>
      <c r="P1460" s="16" t="inlineStr">
        <is>
          <t>Нет совпадения в предоставленной выгрузке ССЧР</t>
        </is>
      </c>
      <c r="Q1460" s="16" t="n"/>
      <c r="R1460" s="16">
        <f>HYPERLINK("https://checko.ru/search?query=3801001629","Чекко: проверить")</f>
        <v/>
      </c>
      <c r="S1460" t="n">
        <v>0</v>
      </c>
    </row>
    <row r="1461" ht="15" customHeight="1" s="24">
      <c r="A1461" s="13" t="n">
        <v>5000106102</v>
      </c>
      <c r="B1461" s="13" t="inlineStr">
        <is>
          <t>ГБУ "Беляевское лесничество"</t>
        </is>
      </c>
      <c r="C1461" s="13" t="n">
        <v>5623001594</v>
      </c>
      <c r="D1461" s="13" t="inlineStr">
        <is>
          <t>5623001594</t>
        </is>
      </c>
      <c r="E1461" s="13" t="inlineStr">
        <is>
          <t>ЮЛ РФ</t>
        </is>
      </c>
      <c r="F1461" s="13" t="n"/>
      <c r="G1461" s="14" t="n"/>
      <c r="H1461" s="14" t="n"/>
      <c r="I1461" s="14" t="n"/>
      <c r="J1461" s="14" t="n"/>
      <c r="K1461" s="53" t="inlineStr"/>
      <c r="L1461" s="53" t="inlineStr">
        <is>
          <t>Не определено</t>
        </is>
      </c>
      <c r="M1461" s="53" t="inlineStr"/>
      <c r="N1461" s="54" t="inlineStr"/>
      <c r="O1461" s="55" t="inlineStr"/>
      <c r="P1461" s="16" t="inlineStr">
        <is>
          <t>Требует обогащения</t>
        </is>
      </c>
      <c r="Q1461" s="16">
        <f>HYPERLINK("https://pb.nalog.ru/search.html?query=5623001594","ФНС: проверить")</f>
        <v/>
      </c>
      <c r="R1461" s="16">
        <f>HYPERLINK("https://checko.ru/search?query=3801001629","Чекко: проверить")</f>
        <v/>
      </c>
      <c r="S1461" t="n">
        <v>1</v>
      </c>
      <c r="T1461" s="35" t="inlineStr">
        <is>
          <t>4 — Не обогащён</t>
        </is>
      </c>
      <c r="U1461" s="35" t="inlineStr">
        <is>
          <t>Нет ОКВЭД/ССЧР</t>
        </is>
      </c>
      <c r="V1461" s="35" t="inlineStr">
        <is>
          <t>Не определено</t>
        </is>
      </c>
      <c r="W1461" s="35" t="inlineStr"/>
      <c r="X1461" s="35" t="inlineStr"/>
    </row>
    <row r="1462" ht="27.75" customHeight="1" s="24">
      <c r="A1462" s="13" t="n">
        <v>5000001520</v>
      </c>
      <c r="B1462" s="13" t="inlineStr">
        <is>
          <t>ГБУ ДПО "УЧЕБНО-МЕТОДИЧЕСКИЙ ЦЕНТР ПО ГРАЖДАНСКОЙ ОБОРОНЕ, ЧРЕЗВЫЧАЙНЫМ СИТ</t>
        </is>
      </c>
      <c r="C1462" s="13" t="n">
        <v>3808221743</v>
      </c>
      <c r="D1462" s="13" t="inlineStr">
        <is>
          <t>3808221743</t>
        </is>
      </c>
      <c r="E1462" s="13" t="inlineStr">
        <is>
          <t>ЮЛ РФ</t>
        </is>
      </c>
      <c r="F1462" s="13" t="n"/>
      <c r="G1462" s="14" t="n"/>
      <c r="H1462" s="14" t="n"/>
      <c r="I1462" s="14" t="n"/>
      <c r="J1462" s="14" t="n"/>
      <c r="K1462" s="53" t="inlineStr"/>
      <c r="L1462" s="53" t="inlineStr">
        <is>
          <t>Не определено</t>
        </is>
      </c>
      <c r="M1462" s="53" t="inlineStr"/>
      <c r="N1462" s="54" t="inlineStr"/>
      <c r="O1462" s="55" t="inlineStr"/>
      <c r="P1462" s="16" t="inlineStr">
        <is>
          <t>Требует обогащения</t>
        </is>
      </c>
      <c r="Q1462" s="16">
        <f>HYPERLINK("https://pb.nalog.ru/search.html?query=3808221743","ФНС: проверить")</f>
        <v/>
      </c>
      <c r="R1462" s="16">
        <f>HYPERLINK("https://checko.ru/search?query=3801001629","Чекко: проверить")</f>
        <v/>
      </c>
      <c r="S1462" t="n">
        <v>1</v>
      </c>
      <c r="T1462" s="35" t="inlineStr">
        <is>
          <t>4 — Не обогащён</t>
        </is>
      </c>
      <c r="U1462" s="35" t="inlineStr">
        <is>
          <t>Нет ОКВЭД/ССЧР</t>
        </is>
      </c>
      <c r="V1462" s="35" t="inlineStr">
        <is>
          <t>Не определено</t>
        </is>
      </c>
      <c r="W1462" s="35" t="inlineStr"/>
      <c r="X1462" s="35" t="inlineStr"/>
    </row>
    <row r="1463" ht="27.75" customHeight="1" s="24">
      <c r="A1463" s="13" t="n">
        <v>5000062618</v>
      </c>
      <c r="B1463" s="13" t="inlineStr">
        <is>
          <t>ГУЗ "Новоспасская центральная районная больница"</t>
        </is>
      </c>
      <c r="C1463" s="13" t="n">
        <v>7313002224</v>
      </c>
      <c r="D1463" s="13" t="inlineStr">
        <is>
          <t>7313002224</t>
        </is>
      </c>
      <c r="E1463" s="13" t="inlineStr">
        <is>
          <t>ЮЛ РФ</t>
        </is>
      </c>
      <c r="F1463" s="13" t="n"/>
      <c r="G1463" s="14" t="n"/>
      <c r="H1463" s="14" t="n"/>
      <c r="I1463" s="14" t="n"/>
      <c r="J1463" s="14" t="n"/>
      <c r="K1463" s="53" t="inlineStr"/>
      <c r="L1463" s="53" t="inlineStr">
        <is>
          <t>Не определено</t>
        </is>
      </c>
      <c r="M1463" s="53" t="inlineStr"/>
      <c r="N1463" s="54" t="inlineStr"/>
      <c r="O1463" s="55" t="inlineStr"/>
      <c r="P1463" s="16" t="inlineStr">
        <is>
          <t>Требует обогащения</t>
        </is>
      </c>
      <c r="Q1463" s="16">
        <f>HYPERLINK("https://pb.nalog.ru/search.html?query=7313002224","ФНС: проверить")</f>
        <v/>
      </c>
      <c r="R1463" s="16">
        <f>HYPERLINK("https://checko.ru/search?query=3801001629","Чекко: проверить")</f>
        <v/>
      </c>
      <c r="S1463" t="n">
        <v>1</v>
      </c>
      <c r="T1463" s="35" t="inlineStr">
        <is>
          <t>4 — Не обогащён</t>
        </is>
      </c>
      <c r="U1463" s="35" t="inlineStr">
        <is>
          <t>Нет ОКВЭД/ССЧР</t>
        </is>
      </c>
      <c r="V1463" s="35" t="inlineStr">
        <is>
          <t>Не определено</t>
        </is>
      </c>
      <c r="W1463" s="35" t="inlineStr"/>
      <c r="X1463" s="35" t="inlineStr"/>
    </row>
    <row r="1464" ht="15" customHeight="1" s="24">
      <c r="A1464" s="13" t="n">
        <v>5000094989</v>
      </c>
      <c r="B1464" s="13" t="inlineStr">
        <is>
          <t>ГБУЗ "Стоматологическая поликлиника № 2</t>
        </is>
      </c>
      <c r="C1464" s="13" t="n">
        <v>711035184</v>
      </c>
      <c r="D1464" s="13" t="n"/>
      <c r="E1464" s="13" t="inlineStr">
        <is>
          <t>Не определён</t>
        </is>
      </c>
      <c r="F1464" s="13" t="inlineStr">
        <is>
          <t>711035184</t>
        </is>
      </c>
      <c r="G1464" s="14" t="n"/>
      <c r="H1464" s="14" t="n"/>
      <c r="I1464" s="14" t="n"/>
      <c r="J1464" s="14" t="n"/>
      <c r="K1464" s="13">
        <f>IF(G1464="","",IF(G1464&gt;=22,"Да","Нет"))</f>
        <v/>
      </c>
      <c r="L1464" s="13">
        <f>IF(OR(I1464="",J1464=""),"Не определено",IF(OR(COUNTIF(I1464,"45*")&gt;0,COUNTIF(J1464,"*45*")&gt;0,COUNTIF(I1464,"46*")&gt;0,COUNTIF(J1464,"*46*")&gt;0,COUNTIF(I1464,"47*")&gt;0,COUNTIF(J1464,"*47*")&gt;0,COUNTIF(I1464,"10*")&gt;0,COUNTIF(J1464,"*10*")&gt;0,COUNTIF(I1464,"11*")&gt;0,COUNTIF(J1464,"*11*")&gt;0,COUNTIF(I1464,"12*")&gt;0,COUNTIF(J1464,"*12*")&gt;0,COUNTIF(I1464,"13*")&gt;0,COUNTIF(J1464,"*13*")&gt;0,COUNTIF(I1464,"14*")&gt;0,COUNTIF(J1464,"*14*")&gt;0,COUNTIF(I1464,"15*")&gt;0,COUNTIF(J1464,"*15*")&gt;0,COUNTIF(I1464,"16*")&gt;0,COUNTIF(J1464,"*16*")&gt;0,COUNTIF(I1464,"17*")&gt;0,COUNTIF(J1464,"*17*")&gt;0,COUNTIF(I1464,"18*")&gt;0,COUNTIF(J1464,"*18*")&gt;0,COUNTIF(I1464,"19*")&gt;0,COUNTIF(J1464,"*19*")&gt;0,COUNTIF(I1464,"20*")&gt;0,COUNTIF(J1464,"*20*")&gt;0,COUNTIF(I1464,"21*")&gt;0,COUNTIF(J1464,"*21*")&gt;0,COUNTIF(I1464,"22*")&gt;0,COUNTIF(J1464,"*22*")&gt;0,COUNTIF(I1464,"23*")&gt;0,COUNTIF(J1464,"*23*")&gt;0,COUNTIF(I1464,"24*")&gt;0,COUNTIF(J1464,"*24*")&gt;0,COUNTIF(I1464,"25*")&gt;0,COUNTIF(J1464,"*25*")&gt;0,COUNTIF(I1464,"26*")&gt;0,COUNTIF(J1464,"*26*")&gt;0,COUNTIF(I1464,"27*")&gt;0,COUNTIF(J1464,"*27*")&gt;0,COUNTIF(I1464,"28*")&gt;0,COUNTIF(J1464,"*28*")&gt;0,COUNTIF(I1464,"29*")&gt;0,COUNTIF(J1464,"*29*")&gt;0,COUNTIF(I1464,"30*")&gt;0,COUNTIF(J1464,"*30*")&gt;0,COUNTIF(I1464,"31*")&gt;0,COUNTIF(J1464,"*31*")&gt;0,COUNTIF(I1464,"32*")&gt;0,COUNTIF(J1464,"*32*")&gt;0,COUNTIF(I1464,"33*")&gt;0,COUNTIF(J1464,"*33*")&gt;0,COUNTIF(I1464,"41*")&gt;0,COUNTIF(J1464,"*41*")&gt;0,COUNTIF(I1464,"42*")&gt;0,COUNTIF(J1464,"*42*")&gt;0,COUNTIF(I1464,"43*")&gt;0,COUNTIF(J1464,"*43*")&gt;0,COUNTIF(I1464,"49*")&gt;0,COUNTIF(J1464,"*49*")&gt;0,COUNTIF(I1464,"52*")&gt;0,COUNTIF(J1464,"*52*")&gt;0,COUNTIF(I1464,"55*")&gt;0,COUNTIF(J1464,"*55*")&gt;0,COUNTIF(I1464,"56*")&gt;0,COUNTIF(J1464,"*56*")&gt;0,COUNTIF(I1464,"68*")&gt;0,COUNTIF(J1464,"*68*")&gt;0,COUNTIF(I1464,"78*")&gt;0,COUNTIF(J1464,"*78*")&gt;0,COUNTIF(I1464,"81*")&gt;0,COUNTIF(J1464,"*81*")&gt;0,COUNTIF(I1464,"82*")&gt;0,COUNTIF(J1464,"*82*")&gt;0,COUNTIF(I1464,"64*")&gt;0,COUNTIF(J1464,"*64*")&gt;0,COUNTIF(I1464,"65*")&gt;0,COUNTIF(J1464,"*65*")&gt;0,COUNTIF(I1464,"66*")&gt;0,COUNTIF(J1464,"*66*")&gt;0,COUNTIF(I1464,"61*")&gt;0,COUNTIF(J1464,"*61*")&gt;0,COUNTIF(I1464,"62*")&gt;0,COUNTIF(J1464,"*62*")&gt;0,COUNTIF(I1464,"63*")&gt;0,COUNTIF(J1464,"*63*")&gt;0,COUNTIF(I1464,"85*")&gt;0,COUNTIF(J1464,"*85*")&gt;0,COUNTIF(I1464,"86*")&gt;0,COUNTIF(J1464,"*86*")&gt;0),"Да","Нет"))</f>
        <v/>
      </c>
      <c r="M1464" s="13">
        <f>IF(OR(G1464="",L1464&lt;&gt;"Да"),"",IF(G1464&lt;=100,"До 100",IF(G1464&lt;=200,"До 200",IF(G1464&lt;=500,"До 500","Отдельное КП"))))</f>
        <v/>
      </c>
      <c r="N1464" s="15">
        <f>IF(OR(G1464="",L1464&lt;&gt;"Да"),"",IF(G1464&lt;=100,33600,IF(G1464&lt;=200,62400,IF(G1464&lt;=500,144000,""))))</f>
        <v/>
      </c>
      <c r="O1464" s="16">
        <f>IF(G1464="","",IF(G1464&lt;=15,"1–15",IF(G1464&lt;=30,"16–30",IF(G1464&lt;=50,"31–50",IF(G1464&lt;=100,"51–100",IF(G1464&lt;=150,"101–150",IF(G1464&lt;=200,"151–200",IF(G1464&lt;=500,"201–500","500+"))))))))</f>
        <v/>
      </c>
      <c r="P1464" s="16" t="inlineStr">
        <is>
          <t>Нет совпадения в предоставленной выгрузке ССЧР</t>
        </is>
      </c>
      <c r="Q1464" s="16" t="n"/>
      <c r="R1464" s="16">
        <f>HYPERLINK("https://checko.ru/search?query=3801001629","Чекко: проверить")</f>
        <v/>
      </c>
      <c r="S1464" t="n">
        <v>0</v>
      </c>
    </row>
    <row r="1465" ht="15" customHeight="1" s="24">
      <c r="A1465" s="13" t="n">
        <v>5000036225</v>
      </c>
      <c r="B1465" s="13" t="inlineStr">
        <is>
          <t>ОГКОУ ДОД СДЮСШОР дзюдо "Спарта"</t>
        </is>
      </c>
      <c r="C1465" s="13" t="n">
        <v>7327030158</v>
      </c>
      <c r="D1465" s="13" t="inlineStr">
        <is>
          <t>7327030158</t>
        </is>
      </c>
      <c r="E1465" s="13" t="inlineStr">
        <is>
          <t>ЮЛ РФ</t>
        </is>
      </c>
      <c r="F1465" s="13" t="n"/>
      <c r="G1465" s="14" t="n"/>
      <c r="H1465" s="14" t="n"/>
      <c r="I1465" s="14" t="n"/>
      <c r="J1465" s="14" t="n"/>
      <c r="K1465" s="53" t="inlineStr"/>
      <c r="L1465" s="53" t="inlineStr">
        <is>
          <t>Не определено</t>
        </is>
      </c>
      <c r="M1465" s="53" t="inlineStr"/>
      <c r="N1465" s="54" t="inlineStr"/>
      <c r="O1465" s="55" t="inlineStr"/>
      <c r="P1465" s="16" t="inlineStr">
        <is>
          <t>Требует обогащения</t>
        </is>
      </c>
      <c r="Q1465" s="16">
        <f>HYPERLINK("https://pb.nalog.ru/search.html?query=7327030158","ФНС: проверить")</f>
        <v/>
      </c>
      <c r="R1465" s="16">
        <f>HYPERLINK("https://checko.ru/search?query=3801001629","Чекко: проверить")</f>
        <v/>
      </c>
      <c r="S1465" t="n">
        <v>1</v>
      </c>
      <c r="T1465" s="35" t="inlineStr">
        <is>
          <t>4 — Не обогащён</t>
        </is>
      </c>
      <c r="U1465" s="35" t="inlineStr">
        <is>
          <t>Нет ОКВЭД/ССЧР</t>
        </is>
      </c>
      <c r="V1465" s="35" t="inlineStr">
        <is>
          <t>Не определено</t>
        </is>
      </c>
      <c r="W1465" s="35" t="inlineStr"/>
      <c r="X1465" s="35" t="inlineStr"/>
    </row>
    <row r="1466" ht="41.25" customHeight="1" s="24">
      <c r="A1466" s="13" t="n">
        <v>5000101690</v>
      </c>
      <c r="B1466" s="13" t="inlineStr">
        <is>
          <t>ГОСУДАРСТВЕННОЕ КАЗЕННОЕ УЧРЕЖДЕНИЕ ИРКУТСКОЙ ОБЛАСТИ "УСОЛЬСКОЕ ЛЕСНИЧЕСТВО"</t>
        </is>
      </c>
      <c r="C1466" s="13" t="n">
        <v>3801159782</v>
      </c>
      <c r="D1466" s="13" t="inlineStr">
        <is>
          <t>3801159782</t>
        </is>
      </c>
      <c r="E1466" s="13" t="inlineStr">
        <is>
          <t>ЮЛ РФ</t>
        </is>
      </c>
      <c r="F1466" s="13" t="n"/>
      <c r="G1466" s="14" t="n"/>
      <c r="H1466" s="14" t="n"/>
      <c r="I1466" s="14" t="n"/>
      <c r="J1466" s="14" t="n"/>
      <c r="K1466" s="53" t="inlineStr"/>
      <c r="L1466" s="53" t="inlineStr">
        <is>
          <t>Не определено</t>
        </is>
      </c>
      <c r="M1466" s="53" t="inlineStr"/>
      <c r="N1466" s="54" t="inlineStr"/>
      <c r="O1466" s="55" t="inlineStr"/>
      <c r="P1466" s="16" t="inlineStr">
        <is>
          <t>Требует обогащения</t>
        </is>
      </c>
      <c r="Q1466" s="16">
        <f>HYPERLINK("https://pb.nalog.ru/search.html?query=3801159782","ФНС: проверить")</f>
        <v/>
      </c>
      <c r="R1466" s="16">
        <f>HYPERLINK("https://checko.ru/search?query=3801001629","Чекко: проверить")</f>
        <v/>
      </c>
      <c r="S1466" t="n">
        <v>1</v>
      </c>
      <c r="T1466" s="35" t="inlineStr">
        <is>
          <t>4 — Не обогащён</t>
        </is>
      </c>
      <c r="U1466" s="35" t="inlineStr">
        <is>
          <t>Нет ОКВЭД/ССЧР</t>
        </is>
      </c>
      <c r="V1466" s="35" t="inlineStr">
        <is>
          <t>Не определено</t>
        </is>
      </c>
      <c r="W1466" s="35" t="inlineStr"/>
      <c r="X1466" s="35" t="inlineStr"/>
    </row>
    <row r="1467" ht="27.75" customHeight="1" s="24">
      <c r="A1467" s="13" t="n">
        <v>5000076961</v>
      </c>
      <c r="B1467" s="13" t="inlineStr">
        <is>
          <t>Отдел МинПрироды Ульяновской области в Вешкаймском лесничестве</t>
        </is>
      </c>
      <c r="C1467" s="13" t="n">
        <v>7309904477</v>
      </c>
      <c r="D1467" s="13" t="inlineStr">
        <is>
          <t>7309904477</t>
        </is>
      </c>
      <c r="E1467" s="13" t="inlineStr">
        <is>
          <t>ЮЛ РФ</t>
        </is>
      </c>
      <c r="F1467" s="13" t="n"/>
      <c r="G1467" s="14" t="n"/>
      <c r="H1467" s="14" t="n"/>
      <c r="I1467" s="14" t="n"/>
      <c r="J1467" s="14" t="n"/>
      <c r="K1467" s="53" t="inlineStr"/>
      <c r="L1467" s="53" t="inlineStr">
        <is>
          <t>Не определено</t>
        </is>
      </c>
      <c r="M1467" s="53" t="inlineStr"/>
      <c r="N1467" s="54" t="inlineStr"/>
      <c r="O1467" s="55" t="inlineStr"/>
      <c r="P1467" s="16" t="inlineStr">
        <is>
          <t>Требует обогащения</t>
        </is>
      </c>
      <c r="Q1467" s="16">
        <f>HYPERLINK("https://pb.nalog.ru/search.html?query=7309904477","ФНС: проверить")</f>
        <v/>
      </c>
      <c r="R1467" s="16">
        <f>HYPERLINK("https://checko.ru/search?query=3801001629","Чекко: проверить")</f>
        <v/>
      </c>
      <c r="S1467" t="n">
        <v>1</v>
      </c>
      <c r="T1467" s="35" t="inlineStr">
        <is>
          <t>4 — Не обогащён</t>
        </is>
      </c>
      <c r="U1467" s="35" t="inlineStr">
        <is>
          <t>Нет ОКВЭД/ССЧР</t>
        </is>
      </c>
      <c r="V1467" s="35" t="inlineStr">
        <is>
          <t>Не определено</t>
        </is>
      </c>
      <c r="W1467" s="35" t="inlineStr"/>
      <c r="X1467" s="35" t="inlineStr"/>
    </row>
    <row r="1468" ht="15" customHeight="1" s="24">
      <c r="A1468" s="13" t="n">
        <v>5000076944</v>
      </c>
      <c r="B1468" s="13" t="inlineStr">
        <is>
          <t>ОГБУ "Пожарная безопасность"</t>
        </is>
      </c>
      <c r="C1468" s="13" t="n">
        <v>7308002564</v>
      </c>
      <c r="D1468" s="13" t="inlineStr">
        <is>
          <t>7308002564</t>
        </is>
      </c>
      <c r="E1468" s="13" t="inlineStr">
        <is>
          <t>ЮЛ РФ</t>
        </is>
      </c>
      <c r="F1468" s="13" t="n"/>
      <c r="G1468" s="14" t="n"/>
      <c r="H1468" s="14" t="n"/>
      <c r="I1468" s="14" t="n"/>
      <c r="J1468" s="14" t="n"/>
      <c r="K1468" s="53" t="inlineStr"/>
      <c r="L1468" s="53" t="inlineStr">
        <is>
          <t>Не определено</t>
        </is>
      </c>
      <c r="M1468" s="53" t="inlineStr"/>
      <c r="N1468" s="54" t="inlineStr"/>
      <c r="O1468" s="55" t="inlineStr"/>
      <c r="P1468" s="16" t="inlineStr">
        <is>
          <t>Требует обогащения</t>
        </is>
      </c>
      <c r="Q1468" s="16">
        <f>HYPERLINK("https://pb.nalog.ru/search.html?query=7308002564","ФНС: проверить")</f>
        <v/>
      </c>
      <c r="R1468" s="16">
        <f>HYPERLINK("https://checko.ru/search?query=3801001629","Чекко: проверить")</f>
        <v/>
      </c>
      <c r="S1468" t="n">
        <v>1</v>
      </c>
      <c r="T1468" s="35" t="inlineStr">
        <is>
          <t>4 — Не обогащён</t>
        </is>
      </c>
      <c r="U1468" s="35" t="inlineStr">
        <is>
          <t>Нет ОКВЭД/ССЧР</t>
        </is>
      </c>
      <c r="V1468" s="35" t="inlineStr">
        <is>
          <t>Не определено</t>
        </is>
      </c>
      <c r="W1468" s="35" t="inlineStr"/>
      <c r="X1468" s="35" t="inlineStr"/>
    </row>
    <row r="1469" ht="15" customHeight="1" s="24">
      <c r="A1469" s="13" t="n">
        <v>5000002046</v>
      </c>
      <c r="B1469" s="13" t="inlineStr">
        <is>
          <t>ОГУ "Нукутский лесхоз"</t>
        </is>
      </c>
      <c r="C1469" s="13" t="n">
        <v>8504000413</v>
      </c>
      <c r="D1469" s="13" t="inlineStr">
        <is>
          <t>8504000413</t>
        </is>
      </c>
      <c r="E1469" s="13" t="inlineStr">
        <is>
          <t>ЮЛ РФ</t>
        </is>
      </c>
      <c r="F1469" s="13" t="n"/>
      <c r="G1469" s="14" t="n"/>
      <c r="H1469" s="14" t="n"/>
      <c r="I1469" s="14" t="n"/>
      <c r="J1469" s="14" t="n"/>
      <c r="K1469" s="53" t="inlineStr"/>
      <c r="L1469" s="53" t="inlineStr">
        <is>
          <t>Не определено</t>
        </is>
      </c>
      <c r="M1469" s="53" t="inlineStr"/>
      <c r="N1469" s="54" t="inlineStr"/>
      <c r="O1469" s="55" t="inlineStr"/>
      <c r="P1469" s="16" t="inlineStr">
        <is>
          <t>Требует обогащения</t>
        </is>
      </c>
      <c r="Q1469" s="16">
        <f>HYPERLINK("https://pb.nalog.ru/search.html?query=8504000413","ФНС: проверить")</f>
        <v/>
      </c>
      <c r="R1469" s="16">
        <f>HYPERLINK("https://checko.ru/search?query=3801001629","Чекко: проверить")</f>
        <v/>
      </c>
      <c r="S1469" t="n">
        <v>1</v>
      </c>
      <c r="T1469" s="35" t="inlineStr">
        <is>
          <t>4 — Не обогащён</t>
        </is>
      </c>
      <c r="U1469" s="35" t="inlineStr">
        <is>
          <t>Нет ОКВЭД/ССЧР</t>
        </is>
      </c>
      <c r="V1469" s="35" t="inlineStr">
        <is>
          <t>Не определено</t>
        </is>
      </c>
      <c r="W1469" s="35" t="inlineStr"/>
      <c r="X1469" s="35" t="inlineStr"/>
    </row>
    <row r="1470" ht="15" customHeight="1" s="24">
      <c r="A1470" s="13" t="n">
        <v>5000062551</v>
      </c>
      <c r="B1470" s="13" t="inlineStr">
        <is>
          <t>ОГКУ Ульяновский Детский Дом "Гнёздышко"</t>
        </is>
      </c>
      <c r="C1470" s="13" t="n">
        <v>7327018707</v>
      </c>
      <c r="D1470" s="13" t="inlineStr">
        <is>
          <t>7327018707</t>
        </is>
      </c>
      <c r="E1470" s="13" t="inlineStr">
        <is>
          <t>ЮЛ РФ</t>
        </is>
      </c>
      <c r="F1470" s="13" t="n"/>
      <c r="G1470" s="14" t="n"/>
      <c r="H1470" s="14" t="n"/>
      <c r="I1470" s="14" t="n"/>
      <c r="J1470" s="14" t="n"/>
      <c r="K1470" s="53" t="inlineStr"/>
      <c r="L1470" s="53" t="inlineStr">
        <is>
          <t>Не определено</t>
        </is>
      </c>
      <c r="M1470" s="53" t="inlineStr"/>
      <c r="N1470" s="54" t="inlineStr"/>
      <c r="O1470" s="55" t="inlineStr"/>
      <c r="P1470" s="16" t="inlineStr">
        <is>
          <t>Требует обогащения</t>
        </is>
      </c>
      <c r="Q1470" s="16">
        <f>HYPERLINK("https://pb.nalog.ru/search.html?query=7327018707","ФНС: проверить")</f>
        <v/>
      </c>
      <c r="R1470" s="16">
        <f>HYPERLINK("https://checko.ru/search?query=3801001629","Чекко: проверить")</f>
        <v/>
      </c>
      <c r="S1470" t="n">
        <v>1</v>
      </c>
      <c r="T1470" s="35" t="inlineStr">
        <is>
          <t>4 — Не обогащён</t>
        </is>
      </c>
      <c r="U1470" s="35" t="inlineStr">
        <is>
          <t>Нет ОКВЭД/ССЧР</t>
        </is>
      </c>
      <c r="V1470" s="35" t="inlineStr">
        <is>
          <t>Не определено</t>
        </is>
      </c>
      <c r="W1470" s="35" t="inlineStr"/>
      <c r="X1470" s="35" t="inlineStr"/>
    </row>
    <row r="1471" ht="15" customHeight="1" s="24">
      <c r="A1471" s="13" t="n">
        <v>5000060612</v>
      </c>
      <c r="B1471" s="13" t="inlineStr">
        <is>
          <t>МДОУ детский сад № 144 Ульяновской области</t>
        </is>
      </c>
      <c r="C1471" s="13" t="n">
        <v>7325009538</v>
      </c>
      <c r="D1471" s="13" t="inlineStr">
        <is>
          <t>7325009538</t>
        </is>
      </c>
      <c r="E1471" s="13" t="inlineStr">
        <is>
          <t>ЮЛ РФ</t>
        </is>
      </c>
      <c r="F1471" s="13" t="n"/>
      <c r="G1471" s="14" t="n"/>
      <c r="H1471" s="14" t="n"/>
      <c r="I1471" s="14" t="n"/>
      <c r="J1471" s="14" t="n"/>
      <c r="K1471" s="53" t="inlineStr"/>
      <c r="L1471" s="53" t="inlineStr">
        <is>
          <t>Не определено</t>
        </is>
      </c>
      <c r="M1471" s="53" t="inlineStr"/>
      <c r="N1471" s="54" t="inlineStr"/>
      <c r="O1471" s="55" t="inlineStr"/>
      <c r="P1471" s="16" t="inlineStr">
        <is>
          <t>Требует обогащения</t>
        </is>
      </c>
      <c r="Q1471" s="16">
        <f>HYPERLINK("https://pb.nalog.ru/search.html?query=7325009538","ФНС: проверить")</f>
        <v/>
      </c>
      <c r="R1471" s="16">
        <f>HYPERLINK("https://checko.ru/search?query=3801001629","Чекко: проверить")</f>
        <v/>
      </c>
      <c r="S1471" t="n">
        <v>1</v>
      </c>
      <c r="T1471" s="35" t="inlineStr">
        <is>
          <t>4 — Не обогащён</t>
        </is>
      </c>
      <c r="U1471" s="35" t="inlineStr">
        <is>
          <t>Нет ОКВЭД/ССЧР</t>
        </is>
      </c>
      <c r="V1471" s="35" t="inlineStr">
        <is>
          <t>Не определено</t>
        </is>
      </c>
      <c r="W1471" s="35" t="inlineStr"/>
      <c r="X1471" s="35" t="inlineStr"/>
    </row>
    <row r="1472" ht="15" customHeight="1" s="24">
      <c r="A1472" s="13" t="n">
        <v>5000094612</v>
      </c>
      <c r="B1472" s="13" t="inlineStr">
        <is>
          <t>МКОУ "НШДС С.П. В-АКБАШ"</t>
        </is>
      </c>
      <c r="C1472" s="13" t="n">
        <v>705000472</v>
      </c>
      <c r="D1472" s="13" t="n"/>
      <c r="E1472" s="13" t="inlineStr">
        <is>
          <t>Не определён</t>
        </is>
      </c>
      <c r="F1472" s="13" t="inlineStr">
        <is>
          <t>705000472</t>
        </is>
      </c>
      <c r="G1472" s="14" t="n"/>
      <c r="H1472" s="14" t="n"/>
      <c r="I1472" s="14" t="n"/>
      <c r="J1472" s="14" t="n"/>
      <c r="K1472" s="13">
        <f>IF(G1472="","",IF(G1472&gt;=22,"Да","Нет"))</f>
        <v/>
      </c>
      <c r="L1472" s="13">
        <f>IF(OR(I1472="",J1472=""),"Не определено",IF(OR(COUNTIF(I1472,"45*")&gt;0,COUNTIF(J1472,"*45*")&gt;0,COUNTIF(I1472,"46*")&gt;0,COUNTIF(J1472,"*46*")&gt;0,COUNTIF(I1472,"47*")&gt;0,COUNTIF(J1472,"*47*")&gt;0,COUNTIF(I1472,"10*")&gt;0,COUNTIF(J1472,"*10*")&gt;0,COUNTIF(I1472,"11*")&gt;0,COUNTIF(J1472,"*11*")&gt;0,COUNTIF(I1472,"12*")&gt;0,COUNTIF(J1472,"*12*")&gt;0,COUNTIF(I1472,"13*")&gt;0,COUNTIF(J1472,"*13*")&gt;0,COUNTIF(I1472,"14*")&gt;0,COUNTIF(J1472,"*14*")&gt;0,COUNTIF(I1472,"15*")&gt;0,COUNTIF(J1472,"*15*")&gt;0,COUNTIF(I1472,"16*")&gt;0,COUNTIF(J1472,"*16*")&gt;0,COUNTIF(I1472,"17*")&gt;0,COUNTIF(J1472,"*17*")&gt;0,COUNTIF(I1472,"18*")&gt;0,COUNTIF(J1472,"*18*")&gt;0,COUNTIF(I1472,"19*")&gt;0,COUNTIF(J1472,"*19*")&gt;0,COUNTIF(I1472,"20*")&gt;0,COUNTIF(J1472,"*20*")&gt;0,COUNTIF(I1472,"21*")&gt;0,COUNTIF(J1472,"*21*")&gt;0,COUNTIF(I1472,"22*")&gt;0,COUNTIF(J1472,"*22*")&gt;0,COUNTIF(I1472,"23*")&gt;0,COUNTIF(J1472,"*23*")&gt;0,COUNTIF(I1472,"24*")&gt;0,COUNTIF(J1472,"*24*")&gt;0,COUNTIF(I1472,"25*")&gt;0,COUNTIF(J1472,"*25*")&gt;0,COUNTIF(I1472,"26*")&gt;0,COUNTIF(J1472,"*26*")&gt;0,COUNTIF(I1472,"27*")&gt;0,COUNTIF(J1472,"*27*")&gt;0,COUNTIF(I1472,"28*")&gt;0,COUNTIF(J1472,"*28*")&gt;0,COUNTIF(I1472,"29*")&gt;0,COUNTIF(J1472,"*29*")&gt;0,COUNTIF(I1472,"30*")&gt;0,COUNTIF(J1472,"*30*")&gt;0,COUNTIF(I1472,"31*")&gt;0,COUNTIF(J1472,"*31*")&gt;0,COUNTIF(I1472,"32*")&gt;0,COUNTIF(J1472,"*32*")&gt;0,COUNTIF(I1472,"33*")&gt;0,COUNTIF(J1472,"*33*")&gt;0,COUNTIF(I1472,"41*")&gt;0,COUNTIF(J1472,"*41*")&gt;0,COUNTIF(I1472,"42*")&gt;0,COUNTIF(J1472,"*42*")&gt;0,COUNTIF(I1472,"43*")&gt;0,COUNTIF(J1472,"*43*")&gt;0,COUNTIF(I1472,"49*")&gt;0,COUNTIF(J1472,"*49*")&gt;0,COUNTIF(I1472,"52*")&gt;0,COUNTIF(J1472,"*52*")&gt;0,COUNTIF(I1472,"55*")&gt;0,COUNTIF(J1472,"*55*")&gt;0,COUNTIF(I1472,"56*")&gt;0,COUNTIF(J1472,"*56*")&gt;0,COUNTIF(I1472,"68*")&gt;0,COUNTIF(J1472,"*68*")&gt;0,COUNTIF(I1472,"78*")&gt;0,COUNTIF(J1472,"*78*")&gt;0,COUNTIF(I1472,"81*")&gt;0,COUNTIF(J1472,"*81*")&gt;0,COUNTIF(I1472,"82*")&gt;0,COUNTIF(J1472,"*82*")&gt;0,COUNTIF(I1472,"64*")&gt;0,COUNTIF(J1472,"*64*")&gt;0,COUNTIF(I1472,"65*")&gt;0,COUNTIF(J1472,"*65*")&gt;0,COUNTIF(I1472,"66*")&gt;0,COUNTIF(J1472,"*66*")&gt;0,COUNTIF(I1472,"61*")&gt;0,COUNTIF(J1472,"*61*")&gt;0,COUNTIF(I1472,"62*")&gt;0,COUNTIF(J1472,"*62*")&gt;0,COUNTIF(I1472,"63*")&gt;0,COUNTIF(J1472,"*63*")&gt;0,COUNTIF(I1472,"85*")&gt;0,COUNTIF(J1472,"*85*")&gt;0,COUNTIF(I1472,"86*")&gt;0,COUNTIF(J1472,"*86*")&gt;0),"Да","Нет"))</f>
        <v/>
      </c>
      <c r="M1472" s="13">
        <f>IF(OR(G1472="",L1472&lt;&gt;"Да"),"",IF(G1472&lt;=100,"До 100",IF(G1472&lt;=200,"До 200",IF(G1472&lt;=500,"До 500","Отдельное КП"))))</f>
        <v/>
      </c>
      <c r="N1472" s="15">
        <f>IF(OR(G1472="",L1472&lt;&gt;"Да"),"",IF(G1472&lt;=100,33600,IF(G1472&lt;=200,62400,IF(G1472&lt;=500,144000,""))))</f>
        <v/>
      </c>
      <c r="O1472" s="16">
        <f>IF(G1472="","",IF(G1472&lt;=15,"1–15",IF(G1472&lt;=30,"16–30",IF(G1472&lt;=50,"31–50",IF(G1472&lt;=100,"51–100",IF(G1472&lt;=150,"101–150",IF(G1472&lt;=200,"151–200",IF(G1472&lt;=500,"201–500","500+"))))))))</f>
        <v/>
      </c>
      <c r="P1472" s="16" t="inlineStr">
        <is>
          <t>Нет совпадения в предоставленной выгрузке ССЧР</t>
        </is>
      </c>
      <c r="Q1472" s="16" t="n"/>
      <c r="R1472" s="16">
        <f>HYPERLINK("https://checko.ru/search?query=3801001629","Чекко: проверить")</f>
        <v/>
      </c>
      <c r="S1472" t="n">
        <v>0</v>
      </c>
    </row>
    <row r="1473" ht="15" customHeight="1" s="24">
      <c r="A1473" s="13" t="n">
        <v>5000094646</v>
      </c>
      <c r="B1473" s="13" t="inlineStr">
        <is>
          <t>МКОУ СОШ С.П. В-АКБАШ</t>
        </is>
      </c>
      <c r="C1473" s="13" t="n">
        <v>705002399</v>
      </c>
      <c r="D1473" s="13" t="n"/>
      <c r="E1473" s="13" t="inlineStr">
        <is>
          <t>Не определён</t>
        </is>
      </c>
      <c r="F1473" s="13" t="inlineStr">
        <is>
          <t>705002399</t>
        </is>
      </c>
      <c r="G1473" s="14" t="n"/>
      <c r="H1473" s="14" t="n"/>
      <c r="I1473" s="14" t="n"/>
      <c r="J1473" s="14" t="n"/>
      <c r="K1473" s="13">
        <f>IF(G1473="","",IF(G1473&gt;=22,"Да","Нет"))</f>
        <v/>
      </c>
      <c r="L1473" s="13">
        <f>IF(OR(I1473="",J1473=""),"Не определено",IF(OR(COUNTIF(I1473,"45*")&gt;0,COUNTIF(J1473,"*45*")&gt;0,COUNTIF(I1473,"46*")&gt;0,COUNTIF(J1473,"*46*")&gt;0,COUNTIF(I1473,"47*")&gt;0,COUNTIF(J1473,"*47*")&gt;0,COUNTIF(I1473,"10*")&gt;0,COUNTIF(J1473,"*10*")&gt;0,COUNTIF(I1473,"11*")&gt;0,COUNTIF(J1473,"*11*")&gt;0,COUNTIF(I1473,"12*")&gt;0,COUNTIF(J1473,"*12*")&gt;0,COUNTIF(I1473,"13*")&gt;0,COUNTIF(J1473,"*13*")&gt;0,COUNTIF(I1473,"14*")&gt;0,COUNTIF(J1473,"*14*")&gt;0,COUNTIF(I1473,"15*")&gt;0,COUNTIF(J1473,"*15*")&gt;0,COUNTIF(I1473,"16*")&gt;0,COUNTIF(J1473,"*16*")&gt;0,COUNTIF(I1473,"17*")&gt;0,COUNTIF(J1473,"*17*")&gt;0,COUNTIF(I1473,"18*")&gt;0,COUNTIF(J1473,"*18*")&gt;0,COUNTIF(I1473,"19*")&gt;0,COUNTIF(J1473,"*19*")&gt;0,COUNTIF(I1473,"20*")&gt;0,COUNTIF(J1473,"*20*")&gt;0,COUNTIF(I1473,"21*")&gt;0,COUNTIF(J1473,"*21*")&gt;0,COUNTIF(I1473,"22*")&gt;0,COUNTIF(J1473,"*22*")&gt;0,COUNTIF(I1473,"23*")&gt;0,COUNTIF(J1473,"*23*")&gt;0,COUNTIF(I1473,"24*")&gt;0,COUNTIF(J1473,"*24*")&gt;0,COUNTIF(I1473,"25*")&gt;0,COUNTIF(J1473,"*25*")&gt;0,COUNTIF(I1473,"26*")&gt;0,COUNTIF(J1473,"*26*")&gt;0,COUNTIF(I1473,"27*")&gt;0,COUNTIF(J1473,"*27*")&gt;0,COUNTIF(I1473,"28*")&gt;0,COUNTIF(J1473,"*28*")&gt;0,COUNTIF(I1473,"29*")&gt;0,COUNTIF(J1473,"*29*")&gt;0,COUNTIF(I1473,"30*")&gt;0,COUNTIF(J1473,"*30*")&gt;0,COUNTIF(I1473,"31*")&gt;0,COUNTIF(J1473,"*31*")&gt;0,COUNTIF(I1473,"32*")&gt;0,COUNTIF(J1473,"*32*")&gt;0,COUNTIF(I1473,"33*")&gt;0,COUNTIF(J1473,"*33*")&gt;0,COUNTIF(I1473,"41*")&gt;0,COUNTIF(J1473,"*41*")&gt;0,COUNTIF(I1473,"42*")&gt;0,COUNTIF(J1473,"*42*")&gt;0,COUNTIF(I1473,"43*")&gt;0,COUNTIF(J1473,"*43*")&gt;0,COUNTIF(I1473,"49*")&gt;0,COUNTIF(J1473,"*49*")&gt;0,COUNTIF(I1473,"52*")&gt;0,COUNTIF(J1473,"*52*")&gt;0,COUNTIF(I1473,"55*")&gt;0,COUNTIF(J1473,"*55*")&gt;0,COUNTIF(I1473,"56*")&gt;0,COUNTIF(J1473,"*56*")&gt;0,COUNTIF(I1473,"68*")&gt;0,COUNTIF(J1473,"*68*")&gt;0,COUNTIF(I1473,"78*")&gt;0,COUNTIF(J1473,"*78*")&gt;0,COUNTIF(I1473,"81*")&gt;0,COUNTIF(J1473,"*81*")&gt;0,COUNTIF(I1473,"82*")&gt;0,COUNTIF(J1473,"*82*")&gt;0,COUNTIF(I1473,"64*")&gt;0,COUNTIF(J1473,"*64*")&gt;0,COUNTIF(I1473,"65*")&gt;0,COUNTIF(J1473,"*65*")&gt;0,COUNTIF(I1473,"66*")&gt;0,COUNTIF(J1473,"*66*")&gt;0,COUNTIF(I1473,"61*")&gt;0,COUNTIF(J1473,"*61*")&gt;0,COUNTIF(I1473,"62*")&gt;0,COUNTIF(J1473,"*62*")&gt;0,COUNTIF(I1473,"63*")&gt;0,COUNTIF(J1473,"*63*")&gt;0,COUNTIF(I1473,"85*")&gt;0,COUNTIF(J1473,"*85*")&gt;0,COUNTIF(I1473,"86*")&gt;0,COUNTIF(J1473,"*86*")&gt;0),"Да","Нет"))</f>
        <v/>
      </c>
      <c r="M1473" s="13">
        <f>IF(OR(G1473="",L1473&lt;&gt;"Да"),"",IF(G1473&lt;=100,"До 100",IF(G1473&lt;=200,"До 200",IF(G1473&lt;=500,"До 500","Отдельное КП"))))</f>
        <v/>
      </c>
      <c r="N1473" s="15">
        <f>IF(OR(G1473="",L1473&lt;&gt;"Да"),"",IF(G1473&lt;=100,33600,IF(G1473&lt;=200,62400,IF(G1473&lt;=500,144000,""))))</f>
        <v/>
      </c>
      <c r="O1473" s="16">
        <f>IF(G1473="","",IF(G1473&lt;=15,"1–15",IF(G1473&lt;=30,"16–30",IF(G1473&lt;=50,"31–50",IF(G1473&lt;=100,"51–100",IF(G1473&lt;=150,"101–150",IF(G1473&lt;=200,"151–200",IF(G1473&lt;=500,"201–500","500+"))))))))</f>
        <v/>
      </c>
      <c r="P1473" s="16" t="inlineStr">
        <is>
          <t>Нет совпадения в предоставленной выгрузке ССЧР</t>
        </is>
      </c>
      <c r="Q1473" s="16" t="n"/>
      <c r="R1473" s="16">
        <f>HYPERLINK("https://checko.ru/search?query=3801001629","Чекко: проверить")</f>
        <v/>
      </c>
      <c r="S1473" t="n">
        <v>0</v>
      </c>
    </row>
    <row r="1474" ht="41.25" customHeight="1" s="24">
      <c r="A1474" s="13" t="n">
        <v>5000076957</v>
      </c>
      <c r="B1474" s="13" t="inlineStr">
        <is>
          <t>Отдел Министерства лесного хозяйства прородопользования и экологии Ульяновской области в Майнском лесничестве</t>
        </is>
      </c>
      <c r="C1474" s="13" t="n">
        <v>7309904484</v>
      </c>
      <c r="D1474" s="13" t="inlineStr">
        <is>
          <t>7309904484</t>
        </is>
      </c>
      <c r="E1474" s="13" t="inlineStr">
        <is>
          <t>ЮЛ РФ</t>
        </is>
      </c>
      <c r="F1474" s="13" t="n"/>
      <c r="G1474" s="14" t="n"/>
      <c r="H1474" s="14" t="n"/>
      <c r="I1474" s="14" t="n"/>
      <c r="J1474" s="14" t="n"/>
      <c r="K1474" s="53" t="inlineStr"/>
      <c r="L1474" s="53" t="inlineStr">
        <is>
          <t>Не определено</t>
        </is>
      </c>
      <c r="M1474" s="53" t="inlineStr"/>
      <c r="N1474" s="54" t="inlineStr"/>
      <c r="O1474" s="55" t="inlineStr"/>
      <c r="P1474" s="16" t="inlineStr">
        <is>
          <t>Требует обогащения</t>
        </is>
      </c>
      <c r="Q1474" s="16">
        <f>HYPERLINK("https://pb.nalog.ru/search.html?query=7309904484","ФНС: проверить")</f>
        <v/>
      </c>
      <c r="R1474" s="16">
        <f>HYPERLINK("https://checko.ru/search?query=3801001629","Чекко: проверить")</f>
        <v/>
      </c>
      <c r="S1474" t="n">
        <v>1</v>
      </c>
      <c r="T1474" s="35" t="inlineStr">
        <is>
          <t>4 — Не обогащён</t>
        </is>
      </c>
      <c r="U1474" s="35" t="inlineStr">
        <is>
          <t>Нет ОКВЭД/ССЧР</t>
        </is>
      </c>
      <c r="V1474" s="35" t="inlineStr">
        <is>
          <t>Не определено</t>
        </is>
      </c>
      <c r="W1474" s="35" t="inlineStr"/>
      <c r="X1474" s="35" t="inlineStr"/>
    </row>
    <row r="1475" ht="27.75" customHeight="1" s="24">
      <c r="A1475" s="13" t="n">
        <v>5000067538</v>
      </c>
      <c r="B1475" s="13" t="inlineStr">
        <is>
          <t>МБОУ ГОРОДА УЛЬЯНОВСКА "ГИМНАЗИЯ №1 ИМЕНИ В.И.ЛЕНИНА"</t>
        </is>
      </c>
      <c r="C1475" s="13" t="n">
        <v>7303002497</v>
      </c>
      <c r="D1475" s="13" t="inlineStr">
        <is>
          <t>7303002497</t>
        </is>
      </c>
      <c r="E1475" s="13" t="inlineStr">
        <is>
          <t>ЮЛ РФ</t>
        </is>
      </c>
      <c r="F1475" s="13" t="n"/>
      <c r="G1475" s="14" t="n"/>
      <c r="H1475" s="14" t="n"/>
      <c r="I1475" s="14" t="n"/>
      <c r="J1475" s="14" t="n"/>
      <c r="K1475" s="53" t="inlineStr"/>
      <c r="L1475" s="53" t="inlineStr">
        <is>
          <t>Не определено</t>
        </is>
      </c>
      <c r="M1475" s="53" t="inlineStr"/>
      <c r="N1475" s="54" t="inlineStr"/>
      <c r="O1475" s="55" t="inlineStr"/>
      <c r="P1475" s="16" t="inlineStr">
        <is>
          <t>Требует обогащения</t>
        </is>
      </c>
      <c r="Q1475" s="16">
        <f>HYPERLINK("https://pb.nalog.ru/search.html?query=7303002497","ФНС: проверить")</f>
        <v/>
      </c>
      <c r="R1475" s="16">
        <f>HYPERLINK("https://checko.ru/search?query=3801001629","Чекко: проверить")</f>
        <v/>
      </c>
      <c r="S1475" t="n">
        <v>1</v>
      </c>
      <c r="T1475" s="35" t="inlineStr">
        <is>
          <t>4 — Не обогащён</t>
        </is>
      </c>
      <c r="U1475" s="35" t="inlineStr">
        <is>
          <t>Нет ОКВЭД/ССЧР</t>
        </is>
      </c>
      <c r="V1475" s="35" t="inlineStr">
        <is>
          <t>Не определено</t>
        </is>
      </c>
      <c r="W1475" s="35" t="inlineStr"/>
      <c r="X1475" s="35" t="inlineStr"/>
    </row>
    <row r="1476" ht="27.75" customHeight="1" s="24">
      <c r="A1476" s="13" t="n">
        <v>5000036222</v>
      </c>
      <c r="B1476" s="13" t="inlineStr">
        <is>
          <t>Министерство физической культуры и спорта Ульяновской области</t>
        </is>
      </c>
      <c r="C1476" s="13" t="n">
        <v>7325127210</v>
      </c>
      <c r="D1476" s="13" t="inlineStr">
        <is>
          <t>7325127210</t>
        </is>
      </c>
      <c r="E1476" s="13" t="inlineStr">
        <is>
          <t>ЮЛ РФ</t>
        </is>
      </c>
      <c r="F1476" s="13" t="n"/>
      <c r="G1476" s="14" t="n"/>
      <c r="H1476" s="14" t="n"/>
      <c r="I1476" s="14" t="n"/>
      <c r="J1476" s="14" t="n"/>
      <c r="K1476" s="53" t="inlineStr"/>
      <c r="L1476" s="53" t="inlineStr">
        <is>
          <t>Не определено</t>
        </is>
      </c>
      <c r="M1476" s="53" t="inlineStr"/>
      <c r="N1476" s="54" t="inlineStr"/>
      <c r="O1476" s="55" t="inlineStr"/>
      <c r="P1476" s="16" t="inlineStr">
        <is>
          <t>Требует обогащения</t>
        </is>
      </c>
      <c r="Q1476" s="16">
        <f>HYPERLINK("https://pb.nalog.ru/search.html?query=7325127210","ФНС: проверить")</f>
        <v/>
      </c>
      <c r="R1476" s="16">
        <f>HYPERLINK("https://checko.ru/search?query=3801001629","Чекко: проверить")</f>
        <v/>
      </c>
      <c r="S1476" t="n">
        <v>1</v>
      </c>
      <c r="T1476" s="35" t="inlineStr">
        <is>
          <t>4 — Не обогащён</t>
        </is>
      </c>
      <c r="U1476" s="35" t="inlineStr">
        <is>
          <t>Нет ОКВЭД/ССЧР</t>
        </is>
      </c>
      <c r="V1476" s="35" t="inlineStr">
        <is>
          <t>Не определено</t>
        </is>
      </c>
      <c r="W1476" s="35" t="inlineStr"/>
      <c r="X1476" s="35" t="inlineStr"/>
    </row>
    <row r="1477" ht="15" customHeight="1" s="24">
      <c r="A1477" s="13" t="n">
        <v>5000095214</v>
      </c>
      <c r="B1477" s="13" t="inlineStr">
        <is>
          <t>ГБУ КБММЦ</t>
        </is>
      </c>
      <c r="C1477" s="13" t="n">
        <v>725009106</v>
      </c>
      <c r="D1477" s="13" t="n"/>
      <c r="E1477" s="13" t="inlineStr">
        <is>
          <t>Не определён</t>
        </is>
      </c>
      <c r="F1477" s="13" t="inlineStr">
        <is>
          <t>725009106</t>
        </is>
      </c>
      <c r="G1477" s="14" t="n"/>
      <c r="H1477" s="14" t="n"/>
      <c r="I1477" s="14" t="n"/>
      <c r="J1477" s="14" t="n"/>
      <c r="K1477" s="13">
        <f>IF(G1477="","",IF(G1477&gt;=22,"Да","Нет"))</f>
        <v/>
      </c>
      <c r="L1477" s="13">
        <f>IF(OR(I1477="",J1477=""),"Не определено",IF(OR(COUNTIF(I1477,"45*")&gt;0,COUNTIF(J1477,"*45*")&gt;0,COUNTIF(I1477,"46*")&gt;0,COUNTIF(J1477,"*46*")&gt;0,COUNTIF(I1477,"47*")&gt;0,COUNTIF(J1477,"*47*")&gt;0,COUNTIF(I1477,"10*")&gt;0,COUNTIF(J1477,"*10*")&gt;0,COUNTIF(I1477,"11*")&gt;0,COUNTIF(J1477,"*11*")&gt;0,COUNTIF(I1477,"12*")&gt;0,COUNTIF(J1477,"*12*")&gt;0,COUNTIF(I1477,"13*")&gt;0,COUNTIF(J1477,"*13*")&gt;0,COUNTIF(I1477,"14*")&gt;0,COUNTIF(J1477,"*14*")&gt;0,COUNTIF(I1477,"15*")&gt;0,COUNTIF(J1477,"*15*")&gt;0,COUNTIF(I1477,"16*")&gt;0,COUNTIF(J1477,"*16*")&gt;0,COUNTIF(I1477,"17*")&gt;0,COUNTIF(J1477,"*17*")&gt;0,COUNTIF(I1477,"18*")&gt;0,COUNTIF(J1477,"*18*")&gt;0,COUNTIF(I1477,"19*")&gt;0,COUNTIF(J1477,"*19*")&gt;0,COUNTIF(I1477,"20*")&gt;0,COUNTIF(J1477,"*20*")&gt;0,COUNTIF(I1477,"21*")&gt;0,COUNTIF(J1477,"*21*")&gt;0,COUNTIF(I1477,"22*")&gt;0,COUNTIF(J1477,"*22*")&gt;0,COUNTIF(I1477,"23*")&gt;0,COUNTIF(J1477,"*23*")&gt;0,COUNTIF(I1477,"24*")&gt;0,COUNTIF(J1477,"*24*")&gt;0,COUNTIF(I1477,"25*")&gt;0,COUNTIF(J1477,"*25*")&gt;0,COUNTIF(I1477,"26*")&gt;0,COUNTIF(J1477,"*26*")&gt;0,COUNTIF(I1477,"27*")&gt;0,COUNTIF(J1477,"*27*")&gt;0,COUNTIF(I1477,"28*")&gt;0,COUNTIF(J1477,"*28*")&gt;0,COUNTIF(I1477,"29*")&gt;0,COUNTIF(J1477,"*29*")&gt;0,COUNTIF(I1477,"30*")&gt;0,COUNTIF(J1477,"*30*")&gt;0,COUNTIF(I1477,"31*")&gt;0,COUNTIF(J1477,"*31*")&gt;0,COUNTIF(I1477,"32*")&gt;0,COUNTIF(J1477,"*32*")&gt;0,COUNTIF(I1477,"33*")&gt;0,COUNTIF(J1477,"*33*")&gt;0,COUNTIF(I1477,"41*")&gt;0,COUNTIF(J1477,"*41*")&gt;0,COUNTIF(I1477,"42*")&gt;0,COUNTIF(J1477,"*42*")&gt;0,COUNTIF(I1477,"43*")&gt;0,COUNTIF(J1477,"*43*")&gt;0,COUNTIF(I1477,"49*")&gt;0,COUNTIF(J1477,"*49*")&gt;0,COUNTIF(I1477,"52*")&gt;0,COUNTIF(J1477,"*52*")&gt;0,COUNTIF(I1477,"55*")&gt;0,COUNTIF(J1477,"*55*")&gt;0,COUNTIF(I1477,"56*")&gt;0,COUNTIF(J1477,"*56*")&gt;0,COUNTIF(I1477,"68*")&gt;0,COUNTIF(J1477,"*68*")&gt;0,COUNTIF(I1477,"78*")&gt;0,COUNTIF(J1477,"*78*")&gt;0,COUNTIF(I1477,"81*")&gt;0,COUNTIF(J1477,"*81*")&gt;0,COUNTIF(I1477,"82*")&gt;0,COUNTIF(J1477,"*82*")&gt;0,COUNTIF(I1477,"64*")&gt;0,COUNTIF(J1477,"*64*")&gt;0,COUNTIF(I1477,"65*")&gt;0,COUNTIF(J1477,"*65*")&gt;0,COUNTIF(I1477,"66*")&gt;0,COUNTIF(J1477,"*66*")&gt;0,COUNTIF(I1477,"61*")&gt;0,COUNTIF(J1477,"*61*")&gt;0,COUNTIF(I1477,"62*")&gt;0,COUNTIF(J1477,"*62*")&gt;0,COUNTIF(I1477,"63*")&gt;0,COUNTIF(J1477,"*63*")&gt;0,COUNTIF(I1477,"85*")&gt;0,COUNTIF(J1477,"*85*")&gt;0,COUNTIF(I1477,"86*")&gt;0,COUNTIF(J1477,"*86*")&gt;0),"Да","Нет"))</f>
        <v/>
      </c>
      <c r="M1477" s="13">
        <f>IF(OR(G1477="",L1477&lt;&gt;"Да"),"",IF(G1477&lt;=100,"До 100",IF(G1477&lt;=200,"До 200",IF(G1477&lt;=500,"До 500","Отдельное КП"))))</f>
        <v/>
      </c>
      <c r="N1477" s="15">
        <f>IF(OR(G1477="",L1477&lt;&gt;"Да"),"",IF(G1477&lt;=100,33600,IF(G1477&lt;=200,62400,IF(G1477&lt;=500,144000,""))))</f>
        <v/>
      </c>
      <c r="O1477" s="16">
        <f>IF(G1477="","",IF(G1477&lt;=15,"1–15",IF(G1477&lt;=30,"16–30",IF(G1477&lt;=50,"31–50",IF(G1477&lt;=100,"51–100",IF(G1477&lt;=150,"101–150",IF(G1477&lt;=200,"151–200",IF(G1477&lt;=500,"201–500","500+"))))))))</f>
        <v/>
      </c>
      <c r="P1477" s="16" t="inlineStr">
        <is>
          <t>Нет совпадения в предоставленной выгрузке ССЧР</t>
        </is>
      </c>
      <c r="Q1477" s="16" t="n"/>
      <c r="R1477" s="16">
        <f>HYPERLINK("https://checko.ru/search?query=3801001629","Чекко: проверить")</f>
        <v/>
      </c>
      <c r="S1477" t="n">
        <v>0</v>
      </c>
    </row>
    <row r="1478" ht="15" customHeight="1" s="24">
      <c r="A1478" s="13" t="n">
        <v>5000095060</v>
      </c>
      <c r="B1478" s="13" t="inlineStr">
        <is>
          <t>МКОУ "СОШ № 12" г.о. Нальчик</t>
        </is>
      </c>
      <c r="C1478" s="13" t="n">
        <v>711051764</v>
      </c>
      <c r="D1478" s="13" t="n"/>
      <c r="E1478" s="13" t="inlineStr">
        <is>
          <t>Не определён</t>
        </is>
      </c>
      <c r="F1478" s="13" t="inlineStr">
        <is>
          <t>711051764</t>
        </is>
      </c>
      <c r="G1478" s="14" t="n"/>
      <c r="H1478" s="14" t="n"/>
      <c r="I1478" s="14" t="n"/>
      <c r="J1478" s="14" t="n"/>
      <c r="K1478" s="13">
        <f>IF(G1478="","",IF(G1478&gt;=22,"Да","Нет"))</f>
        <v/>
      </c>
      <c r="L1478" s="13">
        <f>IF(OR(I1478="",J1478=""),"Не определено",IF(OR(COUNTIF(I1478,"45*")&gt;0,COUNTIF(J1478,"*45*")&gt;0,COUNTIF(I1478,"46*")&gt;0,COUNTIF(J1478,"*46*")&gt;0,COUNTIF(I1478,"47*")&gt;0,COUNTIF(J1478,"*47*")&gt;0,COUNTIF(I1478,"10*")&gt;0,COUNTIF(J1478,"*10*")&gt;0,COUNTIF(I1478,"11*")&gt;0,COUNTIF(J1478,"*11*")&gt;0,COUNTIF(I1478,"12*")&gt;0,COUNTIF(J1478,"*12*")&gt;0,COUNTIF(I1478,"13*")&gt;0,COUNTIF(J1478,"*13*")&gt;0,COUNTIF(I1478,"14*")&gt;0,COUNTIF(J1478,"*14*")&gt;0,COUNTIF(I1478,"15*")&gt;0,COUNTIF(J1478,"*15*")&gt;0,COUNTIF(I1478,"16*")&gt;0,COUNTIF(J1478,"*16*")&gt;0,COUNTIF(I1478,"17*")&gt;0,COUNTIF(J1478,"*17*")&gt;0,COUNTIF(I1478,"18*")&gt;0,COUNTIF(J1478,"*18*")&gt;0,COUNTIF(I1478,"19*")&gt;0,COUNTIF(J1478,"*19*")&gt;0,COUNTIF(I1478,"20*")&gt;0,COUNTIF(J1478,"*20*")&gt;0,COUNTIF(I1478,"21*")&gt;0,COUNTIF(J1478,"*21*")&gt;0,COUNTIF(I1478,"22*")&gt;0,COUNTIF(J1478,"*22*")&gt;0,COUNTIF(I1478,"23*")&gt;0,COUNTIF(J1478,"*23*")&gt;0,COUNTIF(I1478,"24*")&gt;0,COUNTIF(J1478,"*24*")&gt;0,COUNTIF(I1478,"25*")&gt;0,COUNTIF(J1478,"*25*")&gt;0,COUNTIF(I1478,"26*")&gt;0,COUNTIF(J1478,"*26*")&gt;0,COUNTIF(I1478,"27*")&gt;0,COUNTIF(J1478,"*27*")&gt;0,COUNTIF(I1478,"28*")&gt;0,COUNTIF(J1478,"*28*")&gt;0,COUNTIF(I1478,"29*")&gt;0,COUNTIF(J1478,"*29*")&gt;0,COUNTIF(I1478,"30*")&gt;0,COUNTIF(J1478,"*30*")&gt;0,COUNTIF(I1478,"31*")&gt;0,COUNTIF(J1478,"*31*")&gt;0,COUNTIF(I1478,"32*")&gt;0,COUNTIF(J1478,"*32*")&gt;0,COUNTIF(I1478,"33*")&gt;0,COUNTIF(J1478,"*33*")&gt;0,COUNTIF(I1478,"41*")&gt;0,COUNTIF(J1478,"*41*")&gt;0,COUNTIF(I1478,"42*")&gt;0,COUNTIF(J1478,"*42*")&gt;0,COUNTIF(I1478,"43*")&gt;0,COUNTIF(J1478,"*43*")&gt;0,COUNTIF(I1478,"49*")&gt;0,COUNTIF(J1478,"*49*")&gt;0,COUNTIF(I1478,"52*")&gt;0,COUNTIF(J1478,"*52*")&gt;0,COUNTIF(I1478,"55*")&gt;0,COUNTIF(J1478,"*55*")&gt;0,COUNTIF(I1478,"56*")&gt;0,COUNTIF(J1478,"*56*")&gt;0,COUNTIF(I1478,"68*")&gt;0,COUNTIF(J1478,"*68*")&gt;0,COUNTIF(I1478,"78*")&gt;0,COUNTIF(J1478,"*78*")&gt;0,COUNTIF(I1478,"81*")&gt;0,COUNTIF(J1478,"*81*")&gt;0,COUNTIF(I1478,"82*")&gt;0,COUNTIF(J1478,"*82*")&gt;0,COUNTIF(I1478,"64*")&gt;0,COUNTIF(J1478,"*64*")&gt;0,COUNTIF(I1478,"65*")&gt;0,COUNTIF(J1478,"*65*")&gt;0,COUNTIF(I1478,"66*")&gt;0,COUNTIF(J1478,"*66*")&gt;0,COUNTIF(I1478,"61*")&gt;0,COUNTIF(J1478,"*61*")&gt;0,COUNTIF(I1478,"62*")&gt;0,COUNTIF(J1478,"*62*")&gt;0,COUNTIF(I1478,"63*")&gt;0,COUNTIF(J1478,"*63*")&gt;0,COUNTIF(I1478,"85*")&gt;0,COUNTIF(J1478,"*85*")&gt;0,COUNTIF(I1478,"86*")&gt;0,COUNTIF(J1478,"*86*")&gt;0),"Да","Нет"))</f>
        <v/>
      </c>
      <c r="M1478" s="13">
        <f>IF(OR(G1478="",L1478&lt;&gt;"Да"),"",IF(G1478&lt;=100,"До 100",IF(G1478&lt;=200,"До 200",IF(G1478&lt;=500,"До 500","Отдельное КП"))))</f>
        <v/>
      </c>
      <c r="N1478" s="15">
        <f>IF(OR(G1478="",L1478&lt;&gt;"Да"),"",IF(G1478&lt;=100,33600,IF(G1478&lt;=200,62400,IF(G1478&lt;=500,144000,""))))</f>
        <v/>
      </c>
      <c r="O1478" s="16">
        <f>IF(G1478="","",IF(G1478&lt;=15,"1–15",IF(G1478&lt;=30,"16–30",IF(G1478&lt;=50,"31–50",IF(G1478&lt;=100,"51–100",IF(G1478&lt;=150,"101–150",IF(G1478&lt;=200,"151–200",IF(G1478&lt;=500,"201–500","500+"))))))))</f>
        <v/>
      </c>
      <c r="P1478" s="16" t="inlineStr">
        <is>
          <t>Нет совпадения в предоставленной выгрузке ССЧР</t>
        </is>
      </c>
      <c r="Q1478" s="16" t="n"/>
      <c r="R1478" s="16">
        <f>HYPERLINK("https://checko.ru/search?query=3801001629","Чекко: проверить")</f>
        <v/>
      </c>
      <c r="S1478" t="n">
        <v>0</v>
      </c>
    </row>
    <row r="1479" ht="27.75" customHeight="1" s="24">
      <c r="A1479" s="13" t="n">
        <v>5000075699</v>
      </c>
      <c r="B1479" s="13" t="inlineStr">
        <is>
          <t>Аппарат Общественной палаты Оренбургской области</t>
        </is>
      </c>
      <c r="C1479" s="13" t="n">
        <v>5610113029</v>
      </c>
      <c r="D1479" s="13" t="inlineStr">
        <is>
          <t>5610113029</t>
        </is>
      </c>
      <c r="E1479" s="13" t="inlineStr">
        <is>
          <t>ЮЛ РФ</t>
        </is>
      </c>
      <c r="F1479" s="13" t="n"/>
      <c r="G1479" s="14" t="n"/>
      <c r="H1479" s="14" t="n"/>
      <c r="I1479" s="14" t="n"/>
      <c r="J1479" s="14" t="n"/>
      <c r="K1479" s="53" t="inlineStr"/>
      <c r="L1479" s="53" t="inlineStr">
        <is>
          <t>Не определено</t>
        </is>
      </c>
      <c r="M1479" s="53" t="inlineStr"/>
      <c r="N1479" s="54" t="inlineStr"/>
      <c r="O1479" s="55" t="inlineStr"/>
      <c r="P1479" s="16" t="inlineStr">
        <is>
          <t>Требует обогащения</t>
        </is>
      </c>
      <c r="Q1479" s="16">
        <f>HYPERLINK("https://pb.nalog.ru/search.html?query=5610113029","ФНС: проверить")</f>
        <v/>
      </c>
      <c r="R1479" s="16">
        <f>HYPERLINK("https://checko.ru/search?query=3801001629","Чекко: проверить")</f>
        <v/>
      </c>
      <c r="S1479" t="n">
        <v>1</v>
      </c>
      <c r="T1479" s="35" t="inlineStr">
        <is>
          <t>4 — Не обогащён</t>
        </is>
      </c>
      <c r="U1479" s="35" t="inlineStr">
        <is>
          <t>Нет ОКВЭД/ССЧР</t>
        </is>
      </c>
      <c r="V1479" s="35" t="inlineStr">
        <is>
          <t>Не определено</t>
        </is>
      </c>
      <c r="W1479" s="35" t="inlineStr"/>
      <c r="X1479" s="35" t="inlineStr"/>
    </row>
    <row r="1480" ht="15" customHeight="1" s="24">
      <c r="A1480" s="13" t="n">
        <v>5000116685</v>
      </c>
      <c r="B1480" s="13" t="inlineStr">
        <is>
          <t>МБУ «ЗРЭС»</t>
        </is>
      </c>
      <c r="C1480" s="13" t="n">
        <v>5015013040</v>
      </c>
      <c r="D1480" s="13" t="inlineStr">
        <is>
          <t>5015013040</t>
        </is>
      </c>
      <c r="E1480" s="13" t="inlineStr">
        <is>
          <t>ЮЛ РФ</t>
        </is>
      </c>
      <c r="F1480" s="13" t="n"/>
      <c r="G1480" s="14" t="n"/>
      <c r="H1480" s="14" t="n"/>
      <c r="I1480" s="14" t="n"/>
      <c r="J1480" s="14" t="n"/>
      <c r="K1480" s="53" t="inlineStr"/>
      <c r="L1480" s="53" t="inlineStr">
        <is>
          <t>Не определено</t>
        </is>
      </c>
      <c r="M1480" s="53" t="inlineStr"/>
      <c r="N1480" s="54" t="inlineStr"/>
      <c r="O1480" s="55" t="inlineStr"/>
      <c r="P1480" s="16" t="inlineStr">
        <is>
          <t>Требует обогащения</t>
        </is>
      </c>
      <c r="Q1480" s="16">
        <f>HYPERLINK("https://pb.nalog.ru/search.html?query=5015013040","ФНС: проверить")</f>
        <v/>
      </c>
      <c r="R1480" s="16">
        <f>HYPERLINK("https://checko.ru/search?query=3801001629","Чекко: проверить")</f>
        <v/>
      </c>
      <c r="S1480" t="n">
        <v>1</v>
      </c>
      <c r="T1480" s="35" t="inlineStr">
        <is>
          <t>4 — Не обогащён</t>
        </is>
      </c>
      <c r="U1480" s="35" t="inlineStr">
        <is>
          <t>Нет ОКВЭД/ССЧР</t>
        </is>
      </c>
      <c r="V1480" s="35" t="inlineStr">
        <is>
          <t>Не определено</t>
        </is>
      </c>
      <c r="W1480" s="35" t="inlineStr"/>
      <c r="X1480" s="35" t="inlineStr"/>
    </row>
    <row r="1481" ht="15" customHeight="1" s="24">
      <c r="A1481" s="13" t="n">
        <v>5000094911</v>
      </c>
      <c r="B1481" s="13" t="inlineStr">
        <is>
          <t>МУ "Редакция газеты Эльбрусские новости"</t>
        </is>
      </c>
      <c r="C1481" s="13" t="n">
        <v>710001993</v>
      </c>
      <c r="D1481" s="13" t="n"/>
      <c r="E1481" s="13" t="inlineStr">
        <is>
          <t>Не определён</t>
        </is>
      </c>
      <c r="F1481" s="13" t="inlineStr">
        <is>
          <t>710001993</t>
        </is>
      </c>
      <c r="G1481" s="14" t="n"/>
      <c r="H1481" s="14" t="n"/>
      <c r="I1481" s="14" t="n"/>
      <c r="J1481" s="14" t="n"/>
      <c r="K1481" s="13">
        <f>IF(G1481="","",IF(G1481&gt;=22,"Да","Нет"))</f>
        <v/>
      </c>
      <c r="L1481" s="13">
        <f>IF(OR(I1481="",J1481=""),"Не определено",IF(OR(COUNTIF(I1481,"45*")&gt;0,COUNTIF(J1481,"*45*")&gt;0,COUNTIF(I1481,"46*")&gt;0,COUNTIF(J1481,"*46*")&gt;0,COUNTIF(I1481,"47*")&gt;0,COUNTIF(J1481,"*47*")&gt;0,COUNTIF(I1481,"10*")&gt;0,COUNTIF(J1481,"*10*")&gt;0,COUNTIF(I1481,"11*")&gt;0,COUNTIF(J1481,"*11*")&gt;0,COUNTIF(I1481,"12*")&gt;0,COUNTIF(J1481,"*12*")&gt;0,COUNTIF(I1481,"13*")&gt;0,COUNTIF(J1481,"*13*")&gt;0,COUNTIF(I1481,"14*")&gt;0,COUNTIF(J1481,"*14*")&gt;0,COUNTIF(I1481,"15*")&gt;0,COUNTIF(J1481,"*15*")&gt;0,COUNTIF(I1481,"16*")&gt;0,COUNTIF(J1481,"*16*")&gt;0,COUNTIF(I1481,"17*")&gt;0,COUNTIF(J1481,"*17*")&gt;0,COUNTIF(I1481,"18*")&gt;0,COUNTIF(J1481,"*18*")&gt;0,COUNTIF(I1481,"19*")&gt;0,COUNTIF(J1481,"*19*")&gt;0,COUNTIF(I1481,"20*")&gt;0,COUNTIF(J1481,"*20*")&gt;0,COUNTIF(I1481,"21*")&gt;0,COUNTIF(J1481,"*21*")&gt;0,COUNTIF(I1481,"22*")&gt;0,COUNTIF(J1481,"*22*")&gt;0,COUNTIF(I1481,"23*")&gt;0,COUNTIF(J1481,"*23*")&gt;0,COUNTIF(I1481,"24*")&gt;0,COUNTIF(J1481,"*24*")&gt;0,COUNTIF(I1481,"25*")&gt;0,COUNTIF(J1481,"*25*")&gt;0,COUNTIF(I1481,"26*")&gt;0,COUNTIF(J1481,"*26*")&gt;0,COUNTIF(I1481,"27*")&gt;0,COUNTIF(J1481,"*27*")&gt;0,COUNTIF(I1481,"28*")&gt;0,COUNTIF(J1481,"*28*")&gt;0,COUNTIF(I1481,"29*")&gt;0,COUNTIF(J1481,"*29*")&gt;0,COUNTIF(I1481,"30*")&gt;0,COUNTIF(J1481,"*30*")&gt;0,COUNTIF(I1481,"31*")&gt;0,COUNTIF(J1481,"*31*")&gt;0,COUNTIF(I1481,"32*")&gt;0,COUNTIF(J1481,"*32*")&gt;0,COUNTIF(I1481,"33*")&gt;0,COUNTIF(J1481,"*33*")&gt;0,COUNTIF(I1481,"41*")&gt;0,COUNTIF(J1481,"*41*")&gt;0,COUNTIF(I1481,"42*")&gt;0,COUNTIF(J1481,"*42*")&gt;0,COUNTIF(I1481,"43*")&gt;0,COUNTIF(J1481,"*43*")&gt;0,COUNTIF(I1481,"49*")&gt;0,COUNTIF(J1481,"*49*")&gt;0,COUNTIF(I1481,"52*")&gt;0,COUNTIF(J1481,"*52*")&gt;0,COUNTIF(I1481,"55*")&gt;0,COUNTIF(J1481,"*55*")&gt;0,COUNTIF(I1481,"56*")&gt;0,COUNTIF(J1481,"*56*")&gt;0,COUNTIF(I1481,"68*")&gt;0,COUNTIF(J1481,"*68*")&gt;0,COUNTIF(I1481,"78*")&gt;0,COUNTIF(J1481,"*78*")&gt;0,COUNTIF(I1481,"81*")&gt;0,COUNTIF(J1481,"*81*")&gt;0,COUNTIF(I1481,"82*")&gt;0,COUNTIF(J1481,"*82*")&gt;0,COUNTIF(I1481,"64*")&gt;0,COUNTIF(J1481,"*64*")&gt;0,COUNTIF(I1481,"65*")&gt;0,COUNTIF(J1481,"*65*")&gt;0,COUNTIF(I1481,"66*")&gt;0,COUNTIF(J1481,"*66*")&gt;0,COUNTIF(I1481,"61*")&gt;0,COUNTIF(J1481,"*61*")&gt;0,COUNTIF(I1481,"62*")&gt;0,COUNTIF(J1481,"*62*")&gt;0,COUNTIF(I1481,"63*")&gt;0,COUNTIF(J1481,"*63*")&gt;0,COUNTIF(I1481,"85*")&gt;0,COUNTIF(J1481,"*85*")&gt;0,COUNTIF(I1481,"86*")&gt;0,COUNTIF(J1481,"*86*")&gt;0),"Да","Нет"))</f>
        <v/>
      </c>
      <c r="M1481" s="13">
        <f>IF(OR(G1481="",L1481&lt;&gt;"Да"),"",IF(G1481&lt;=100,"До 100",IF(G1481&lt;=200,"До 200",IF(G1481&lt;=500,"До 500","Отдельное КП"))))</f>
        <v/>
      </c>
      <c r="N1481" s="15">
        <f>IF(OR(G1481="",L1481&lt;&gt;"Да"),"",IF(G1481&lt;=100,33600,IF(G1481&lt;=200,62400,IF(G1481&lt;=500,144000,""))))</f>
        <v/>
      </c>
      <c r="O1481" s="16">
        <f>IF(G1481="","",IF(G1481&lt;=15,"1–15",IF(G1481&lt;=30,"16–30",IF(G1481&lt;=50,"31–50",IF(G1481&lt;=100,"51–100",IF(G1481&lt;=150,"101–150",IF(G1481&lt;=200,"151–200",IF(G1481&lt;=500,"201–500","500+"))))))))</f>
        <v/>
      </c>
      <c r="P1481" s="16" t="inlineStr">
        <is>
          <t>Нет совпадения в предоставленной выгрузке ССЧР</t>
        </is>
      </c>
      <c r="Q1481" s="16" t="n"/>
      <c r="R1481" s="16">
        <f>HYPERLINK("https://checko.ru/search?query=3801001629","Чекко: проверить")</f>
        <v/>
      </c>
      <c r="S1481" t="n">
        <v>0</v>
      </c>
    </row>
    <row r="1482" ht="27.75" customHeight="1" s="24">
      <c r="A1482" s="13" t="n">
        <v>5000106183</v>
      </c>
      <c r="B1482" s="13" t="inlineStr">
        <is>
          <t>ГБУ "Беляевское районное управление ветеринарии"</t>
        </is>
      </c>
      <c r="C1482" s="13" t="n">
        <v>5623001026</v>
      </c>
      <c r="D1482" s="13" t="inlineStr">
        <is>
          <t>5623001026</t>
        </is>
      </c>
      <c r="E1482" s="13" t="inlineStr">
        <is>
          <t>ЮЛ РФ</t>
        </is>
      </c>
      <c r="F1482" s="13" t="n"/>
      <c r="G1482" s="14" t="n"/>
      <c r="H1482" s="14" t="n"/>
      <c r="I1482" s="14" t="n"/>
      <c r="J1482" s="14" t="n"/>
      <c r="K1482" s="53" t="inlineStr"/>
      <c r="L1482" s="53" t="inlineStr">
        <is>
          <t>Не определено</t>
        </is>
      </c>
      <c r="M1482" s="53" t="inlineStr"/>
      <c r="N1482" s="54" t="inlineStr"/>
      <c r="O1482" s="55" t="inlineStr"/>
      <c r="P1482" s="16" t="inlineStr">
        <is>
          <t>Требует обогащения</t>
        </is>
      </c>
      <c r="Q1482" s="16">
        <f>HYPERLINK("https://pb.nalog.ru/search.html?query=5623001026","ФНС: проверить")</f>
        <v/>
      </c>
      <c r="R1482" s="16">
        <f>HYPERLINK("https://checko.ru/search?query=3801001629","Чекко: проверить")</f>
        <v/>
      </c>
      <c r="S1482" t="n">
        <v>1</v>
      </c>
      <c r="T1482" s="35" t="inlineStr">
        <is>
          <t>4 — Не обогащён</t>
        </is>
      </c>
      <c r="U1482" s="35" t="inlineStr">
        <is>
          <t>Нет ОКВЭД/ССЧР</t>
        </is>
      </c>
      <c r="V1482" s="35" t="inlineStr">
        <is>
          <t>Не определено</t>
        </is>
      </c>
      <c r="W1482" s="35" t="inlineStr"/>
      <c r="X1482" s="35" t="inlineStr"/>
    </row>
    <row r="1483" ht="15" customHeight="1" s="24">
      <c r="A1483" s="13" t="n">
        <v>5000094976</v>
      </c>
      <c r="B1483" s="13" t="inlineStr">
        <is>
          <t>ГБУЗ "Центр аллергологии" Минздрава КБР"</t>
        </is>
      </c>
      <c r="C1483" s="13" t="n">
        <v>711033317</v>
      </c>
      <c r="D1483" s="13" t="n"/>
      <c r="E1483" s="13" t="inlineStr">
        <is>
          <t>Не определён</t>
        </is>
      </c>
      <c r="F1483" s="13" t="inlineStr">
        <is>
          <t>711033317</t>
        </is>
      </c>
      <c r="G1483" s="14" t="n"/>
      <c r="H1483" s="14" t="n"/>
      <c r="I1483" s="14" t="n"/>
      <c r="J1483" s="14" t="n"/>
      <c r="K1483" s="13">
        <f>IF(G1483="","",IF(G1483&gt;=22,"Да","Нет"))</f>
        <v/>
      </c>
      <c r="L1483" s="13">
        <f>IF(OR(I1483="",J1483=""),"Не определено",IF(OR(COUNTIF(I1483,"45*")&gt;0,COUNTIF(J1483,"*45*")&gt;0,COUNTIF(I1483,"46*")&gt;0,COUNTIF(J1483,"*46*")&gt;0,COUNTIF(I1483,"47*")&gt;0,COUNTIF(J1483,"*47*")&gt;0,COUNTIF(I1483,"10*")&gt;0,COUNTIF(J1483,"*10*")&gt;0,COUNTIF(I1483,"11*")&gt;0,COUNTIF(J1483,"*11*")&gt;0,COUNTIF(I1483,"12*")&gt;0,COUNTIF(J1483,"*12*")&gt;0,COUNTIF(I1483,"13*")&gt;0,COUNTIF(J1483,"*13*")&gt;0,COUNTIF(I1483,"14*")&gt;0,COUNTIF(J1483,"*14*")&gt;0,COUNTIF(I1483,"15*")&gt;0,COUNTIF(J1483,"*15*")&gt;0,COUNTIF(I1483,"16*")&gt;0,COUNTIF(J1483,"*16*")&gt;0,COUNTIF(I1483,"17*")&gt;0,COUNTIF(J1483,"*17*")&gt;0,COUNTIF(I1483,"18*")&gt;0,COUNTIF(J1483,"*18*")&gt;0,COUNTIF(I1483,"19*")&gt;0,COUNTIF(J1483,"*19*")&gt;0,COUNTIF(I1483,"20*")&gt;0,COUNTIF(J1483,"*20*")&gt;0,COUNTIF(I1483,"21*")&gt;0,COUNTIF(J1483,"*21*")&gt;0,COUNTIF(I1483,"22*")&gt;0,COUNTIF(J1483,"*22*")&gt;0,COUNTIF(I1483,"23*")&gt;0,COUNTIF(J1483,"*23*")&gt;0,COUNTIF(I1483,"24*")&gt;0,COUNTIF(J1483,"*24*")&gt;0,COUNTIF(I1483,"25*")&gt;0,COUNTIF(J1483,"*25*")&gt;0,COUNTIF(I1483,"26*")&gt;0,COUNTIF(J1483,"*26*")&gt;0,COUNTIF(I1483,"27*")&gt;0,COUNTIF(J1483,"*27*")&gt;0,COUNTIF(I1483,"28*")&gt;0,COUNTIF(J1483,"*28*")&gt;0,COUNTIF(I1483,"29*")&gt;0,COUNTIF(J1483,"*29*")&gt;0,COUNTIF(I1483,"30*")&gt;0,COUNTIF(J1483,"*30*")&gt;0,COUNTIF(I1483,"31*")&gt;0,COUNTIF(J1483,"*31*")&gt;0,COUNTIF(I1483,"32*")&gt;0,COUNTIF(J1483,"*32*")&gt;0,COUNTIF(I1483,"33*")&gt;0,COUNTIF(J1483,"*33*")&gt;0,COUNTIF(I1483,"41*")&gt;0,COUNTIF(J1483,"*41*")&gt;0,COUNTIF(I1483,"42*")&gt;0,COUNTIF(J1483,"*42*")&gt;0,COUNTIF(I1483,"43*")&gt;0,COUNTIF(J1483,"*43*")&gt;0,COUNTIF(I1483,"49*")&gt;0,COUNTIF(J1483,"*49*")&gt;0,COUNTIF(I1483,"52*")&gt;0,COUNTIF(J1483,"*52*")&gt;0,COUNTIF(I1483,"55*")&gt;0,COUNTIF(J1483,"*55*")&gt;0,COUNTIF(I1483,"56*")&gt;0,COUNTIF(J1483,"*56*")&gt;0,COUNTIF(I1483,"68*")&gt;0,COUNTIF(J1483,"*68*")&gt;0,COUNTIF(I1483,"78*")&gt;0,COUNTIF(J1483,"*78*")&gt;0,COUNTIF(I1483,"81*")&gt;0,COUNTIF(J1483,"*81*")&gt;0,COUNTIF(I1483,"82*")&gt;0,COUNTIF(J1483,"*82*")&gt;0,COUNTIF(I1483,"64*")&gt;0,COUNTIF(J1483,"*64*")&gt;0,COUNTIF(I1483,"65*")&gt;0,COUNTIF(J1483,"*65*")&gt;0,COUNTIF(I1483,"66*")&gt;0,COUNTIF(J1483,"*66*")&gt;0,COUNTIF(I1483,"61*")&gt;0,COUNTIF(J1483,"*61*")&gt;0,COUNTIF(I1483,"62*")&gt;0,COUNTIF(J1483,"*62*")&gt;0,COUNTIF(I1483,"63*")&gt;0,COUNTIF(J1483,"*63*")&gt;0,COUNTIF(I1483,"85*")&gt;0,COUNTIF(J1483,"*85*")&gt;0,COUNTIF(I1483,"86*")&gt;0,COUNTIF(J1483,"*86*")&gt;0),"Да","Нет"))</f>
        <v/>
      </c>
      <c r="M1483" s="13">
        <f>IF(OR(G1483="",L1483&lt;&gt;"Да"),"",IF(G1483&lt;=100,"До 100",IF(G1483&lt;=200,"До 200",IF(G1483&lt;=500,"До 500","Отдельное КП"))))</f>
        <v/>
      </c>
      <c r="N1483" s="15">
        <f>IF(OR(G1483="",L1483&lt;&gt;"Да"),"",IF(G1483&lt;=100,33600,IF(G1483&lt;=200,62400,IF(G1483&lt;=500,144000,""))))</f>
        <v/>
      </c>
      <c r="O1483" s="16">
        <f>IF(G1483="","",IF(G1483&lt;=15,"1–15",IF(G1483&lt;=30,"16–30",IF(G1483&lt;=50,"31–50",IF(G1483&lt;=100,"51–100",IF(G1483&lt;=150,"101–150",IF(G1483&lt;=200,"151–200",IF(G1483&lt;=500,"201–500","500+"))))))))</f>
        <v/>
      </c>
      <c r="P1483" s="16" t="inlineStr">
        <is>
          <t>Нет совпадения в предоставленной выгрузке ССЧР</t>
        </is>
      </c>
      <c r="Q1483" s="16" t="n"/>
      <c r="R1483" s="16">
        <f>HYPERLINK("https://checko.ru/search?query=3801001629","Чекко: проверить")</f>
        <v/>
      </c>
      <c r="S1483" t="n">
        <v>0</v>
      </c>
    </row>
    <row r="1484" ht="27.75" customHeight="1" s="24">
      <c r="A1484" s="13" t="n">
        <v>5000001980</v>
      </c>
      <c r="B1484" s="13" t="inlineStr">
        <is>
          <t>ОбГБОУ ДОД "Областная специализированная детско-юношеская спорти</t>
        </is>
      </c>
      <c r="C1484" s="13" t="n">
        <v>3812145245</v>
      </c>
      <c r="D1484" s="13" t="inlineStr">
        <is>
          <t>3812145245</t>
        </is>
      </c>
      <c r="E1484" s="13" t="inlineStr">
        <is>
          <t>ЮЛ РФ</t>
        </is>
      </c>
      <c r="F1484" s="13" t="n"/>
      <c r="G1484" s="14" t="n"/>
      <c r="H1484" s="14" t="n"/>
      <c r="I1484" s="14" t="n"/>
      <c r="J1484" s="14" t="n"/>
      <c r="K1484" s="53" t="inlineStr"/>
      <c r="L1484" s="53" t="inlineStr">
        <is>
          <t>Не определено</t>
        </is>
      </c>
      <c r="M1484" s="53" t="inlineStr"/>
      <c r="N1484" s="54" t="inlineStr"/>
      <c r="O1484" s="55" t="inlineStr"/>
      <c r="P1484" s="16" t="inlineStr">
        <is>
          <t>Требует обогащения</t>
        </is>
      </c>
      <c r="Q1484" s="16">
        <f>HYPERLINK("https://pb.nalog.ru/search.html?query=3812145245","ФНС: проверить")</f>
        <v/>
      </c>
      <c r="R1484" s="16">
        <f>HYPERLINK("https://checko.ru/search?query=3801001629","Чекко: проверить")</f>
        <v/>
      </c>
      <c r="S1484" t="n">
        <v>1</v>
      </c>
      <c r="T1484" s="35" t="inlineStr">
        <is>
          <t>4 — Не обогащён</t>
        </is>
      </c>
      <c r="U1484" s="35" t="inlineStr">
        <is>
          <t>Нет ОКВЭД/ССЧР</t>
        </is>
      </c>
      <c r="V1484" s="35" t="inlineStr">
        <is>
          <t>Не определено</t>
        </is>
      </c>
      <c r="W1484" s="35" t="inlineStr"/>
      <c r="X1484" s="35" t="inlineStr"/>
    </row>
    <row r="1485" ht="15" customHeight="1" s="24">
      <c r="A1485" s="13" t="n">
        <v>5000001334</v>
      </c>
      <c r="B1485" s="13" t="inlineStr">
        <is>
          <t>Ангарский политехнический техникум</t>
        </is>
      </c>
      <c r="C1485" s="13" t="n">
        <v>3801012412</v>
      </c>
      <c r="D1485" s="13" t="inlineStr">
        <is>
          <t>3801012412</t>
        </is>
      </c>
      <c r="E1485" s="13" t="inlineStr">
        <is>
          <t>ЮЛ РФ</t>
        </is>
      </c>
      <c r="F1485" s="13" t="n"/>
      <c r="G1485" s="14" t="n"/>
      <c r="H1485" s="14" t="n"/>
      <c r="I1485" s="14" t="n"/>
      <c r="J1485" s="14" t="n"/>
      <c r="K1485" s="53" t="inlineStr"/>
      <c r="L1485" s="53" t="inlineStr">
        <is>
          <t>Не определено</t>
        </is>
      </c>
      <c r="M1485" s="53" t="inlineStr"/>
      <c r="N1485" s="54" t="inlineStr"/>
      <c r="O1485" s="55" t="inlineStr"/>
      <c r="P1485" s="16" t="inlineStr">
        <is>
          <t>Требует обогащения</t>
        </is>
      </c>
      <c r="Q1485" s="16">
        <f>HYPERLINK("https://pb.nalog.ru/search.html?query=3801012412","ФНС: проверить")</f>
        <v/>
      </c>
      <c r="R1485" s="16">
        <f>HYPERLINK("https://checko.ru/search?query=3801001629","Чекко: проверить")</f>
        <v/>
      </c>
      <c r="S1485" t="n">
        <v>1</v>
      </c>
      <c r="T1485" s="35" t="inlineStr">
        <is>
          <t>4 — Не обогащён</t>
        </is>
      </c>
      <c r="U1485" s="35" t="inlineStr">
        <is>
          <t>Нет ОКВЭД/ССЧР</t>
        </is>
      </c>
      <c r="V1485" s="35" t="inlineStr">
        <is>
          <t>Не определено</t>
        </is>
      </c>
      <c r="W1485" s="35" t="inlineStr"/>
      <c r="X1485" s="35" t="inlineStr"/>
    </row>
    <row r="1486" ht="27.75" customHeight="1" s="24">
      <c r="A1486" s="13" t="n">
        <v>5000002061</v>
      </c>
      <c r="B1486" s="13" t="inlineStr">
        <is>
          <t>Администрация Усть-Ордынского Бурятского округа</t>
        </is>
      </c>
      <c r="C1486" s="13" t="n">
        <v>8506011379</v>
      </c>
      <c r="D1486" s="13" t="inlineStr">
        <is>
          <t>8506011379</t>
        </is>
      </c>
      <c r="E1486" s="13" t="inlineStr">
        <is>
          <t>ЮЛ РФ</t>
        </is>
      </c>
      <c r="F1486" s="13" t="n"/>
      <c r="G1486" s="14" t="n"/>
      <c r="H1486" s="14" t="n"/>
      <c r="I1486" s="14" t="n"/>
      <c r="J1486" s="14" t="n"/>
      <c r="K1486" s="53" t="inlineStr"/>
      <c r="L1486" s="53" t="inlineStr">
        <is>
          <t>Не определено</t>
        </is>
      </c>
      <c r="M1486" s="53" t="inlineStr"/>
      <c r="N1486" s="54" t="inlineStr"/>
      <c r="O1486" s="55" t="inlineStr"/>
      <c r="P1486" s="16" t="inlineStr">
        <is>
          <t>Требует обогащения</t>
        </is>
      </c>
      <c r="Q1486" s="16">
        <f>HYPERLINK("https://pb.nalog.ru/search.html?query=8506011379","ФНС: проверить")</f>
        <v/>
      </c>
      <c r="R1486" s="16">
        <f>HYPERLINK("https://checko.ru/search?query=3801001629","Чекко: проверить")</f>
        <v/>
      </c>
      <c r="S1486" t="n">
        <v>1</v>
      </c>
      <c r="T1486" s="35" t="inlineStr">
        <is>
          <t>4 — Не обогащён</t>
        </is>
      </c>
      <c r="U1486" s="35" t="inlineStr">
        <is>
          <t>Нет ОКВЭД/ССЧР</t>
        </is>
      </c>
      <c r="V1486" s="35" t="inlineStr">
        <is>
          <t>Не определено</t>
        </is>
      </c>
      <c r="W1486" s="35" t="inlineStr"/>
      <c r="X1486" s="35" t="inlineStr"/>
    </row>
    <row r="1487" ht="15" customHeight="1" s="24">
      <c r="A1487" s="13" t="n">
        <v>5000001492</v>
      </c>
      <c r="B1487" s="13" t="inlineStr">
        <is>
          <t>Служба архитектуры Иркутской области</t>
        </is>
      </c>
      <c r="C1487" s="13" t="n">
        <v>3808161597</v>
      </c>
      <c r="D1487" s="13" t="inlineStr">
        <is>
          <t>3808161597</t>
        </is>
      </c>
      <c r="E1487" s="13" t="inlineStr">
        <is>
          <t>ЮЛ РФ</t>
        </is>
      </c>
      <c r="F1487" s="13" t="n"/>
      <c r="G1487" s="14" t="n"/>
      <c r="H1487" s="14" t="n"/>
      <c r="I1487" s="14" t="n"/>
      <c r="J1487" s="14" t="n"/>
      <c r="K1487" s="53" t="inlineStr"/>
      <c r="L1487" s="53" t="inlineStr">
        <is>
          <t>Не определено</t>
        </is>
      </c>
      <c r="M1487" s="53" t="inlineStr"/>
      <c r="N1487" s="54" t="inlineStr"/>
      <c r="O1487" s="55" t="inlineStr"/>
      <c r="P1487" s="16" t="inlineStr">
        <is>
          <t>Требует обогащения</t>
        </is>
      </c>
      <c r="Q1487" s="16">
        <f>HYPERLINK("https://pb.nalog.ru/search.html?query=3808161597","ФНС: проверить")</f>
        <v/>
      </c>
      <c r="R1487" s="16">
        <f>HYPERLINK("https://checko.ru/search?query=3801001629","Чекко: проверить")</f>
        <v/>
      </c>
      <c r="S1487" t="n">
        <v>1</v>
      </c>
      <c r="T1487" s="35" t="inlineStr">
        <is>
          <t>4 — Не обогащён</t>
        </is>
      </c>
      <c r="U1487" s="35" t="inlineStr">
        <is>
          <t>Нет ОКВЭД/ССЧР</t>
        </is>
      </c>
      <c r="V1487" s="35" t="inlineStr">
        <is>
          <t>Не определено</t>
        </is>
      </c>
      <c r="W1487" s="35" t="inlineStr"/>
      <c r="X1487" s="35" t="inlineStr"/>
    </row>
    <row r="1488" ht="41.25" customHeight="1" s="24">
      <c r="A1488" s="13" t="n">
        <v>5000102757</v>
      </c>
      <c r="B1488" s="13" t="inlineStr">
        <is>
          <t>Муниципальное казенное учреждение "Культурно-информационный центр муниципального образования "Кулункунское"</t>
        </is>
      </c>
      <c r="C1488" s="13" t="n">
        <v>3849025410</v>
      </c>
      <c r="D1488" s="13" t="inlineStr">
        <is>
          <t>3849025410</t>
        </is>
      </c>
      <c r="E1488" s="13" t="inlineStr">
        <is>
          <t>ЮЛ РФ</t>
        </is>
      </c>
      <c r="F1488" s="13" t="n"/>
      <c r="G1488" s="14" t="n"/>
      <c r="H1488" s="14" t="n"/>
      <c r="I1488" s="14" t="n"/>
      <c r="J1488" s="14" t="n"/>
      <c r="K1488" s="53" t="inlineStr"/>
      <c r="L1488" s="53" t="inlineStr">
        <is>
          <t>Не определено</t>
        </is>
      </c>
      <c r="M1488" s="53" t="inlineStr"/>
      <c r="N1488" s="54" t="inlineStr"/>
      <c r="O1488" s="55" t="inlineStr"/>
      <c r="P1488" s="16" t="inlineStr">
        <is>
          <t>Требует обогащения</t>
        </is>
      </c>
      <c r="Q1488" s="16">
        <f>HYPERLINK("https://pb.nalog.ru/search.html?query=3849025410","ФНС: проверить")</f>
        <v/>
      </c>
      <c r="R1488" s="16">
        <f>HYPERLINK("https://checko.ru/search?query=3801001629","Чекко: проверить")</f>
        <v/>
      </c>
      <c r="S1488" t="n">
        <v>1</v>
      </c>
      <c r="T1488" s="35" t="inlineStr">
        <is>
          <t>4 — Не обогащён</t>
        </is>
      </c>
      <c r="U1488" s="35" t="inlineStr">
        <is>
          <t>Нет ОКВЭД/ССЧР</t>
        </is>
      </c>
      <c r="V1488" s="35" t="inlineStr">
        <is>
          <t>Не определено</t>
        </is>
      </c>
      <c r="W1488" s="35" t="inlineStr"/>
      <c r="X1488" s="35" t="inlineStr"/>
    </row>
    <row r="1489" ht="27.75" customHeight="1" s="24">
      <c r="A1489" s="13" t="n">
        <v>5000106100</v>
      </c>
      <c r="B1489" s="13" t="inlineStr">
        <is>
          <t>ГОСУДАРСТВЕННОЕ КАЗЕННОЕ УЧРЕЖДЕНИЕ "ОРЕНБУРГСКОЕ ЛЕСНИЧЕСТВО"</t>
        </is>
      </c>
      <c r="C1489" s="13" t="n">
        <v>5638003717</v>
      </c>
      <c r="D1489" s="13" t="inlineStr">
        <is>
          <t>5638003717</t>
        </is>
      </c>
      <c r="E1489" s="13" t="inlineStr">
        <is>
          <t>ЮЛ РФ</t>
        </is>
      </c>
      <c r="F1489" s="13" t="n"/>
      <c r="G1489" s="14" t="n"/>
      <c r="H1489" s="14" t="n"/>
      <c r="I1489" s="14" t="n"/>
      <c r="J1489" s="14" t="n"/>
      <c r="K1489" s="53" t="inlineStr"/>
      <c r="L1489" s="53" t="inlineStr">
        <is>
          <t>Не определено</t>
        </is>
      </c>
      <c r="M1489" s="53" t="inlineStr"/>
      <c r="N1489" s="54" t="inlineStr"/>
      <c r="O1489" s="55" t="inlineStr"/>
      <c r="P1489" s="16" t="inlineStr">
        <is>
          <t>Требует обогащения</t>
        </is>
      </c>
      <c r="Q1489" s="16">
        <f>HYPERLINK("https://pb.nalog.ru/search.html?query=5638003717","ФНС: проверить")</f>
        <v/>
      </c>
      <c r="R1489" s="16">
        <f>HYPERLINK("https://checko.ru/search?query=3801001629","Чекко: проверить")</f>
        <v/>
      </c>
      <c r="S1489" t="n">
        <v>1</v>
      </c>
      <c r="T1489" s="35" t="inlineStr">
        <is>
          <t>4 — Не обогащён</t>
        </is>
      </c>
      <c r="U1489" s="35" t="inlineStr">
        <is>
          <t>Нет ОКВЭД/ССЧР</t>
        </is>
      </c>
      <c r="V1489" s="35" t="inlineStr">
        <is>
          <t>Не определено</t>
        </is>
      </c>
      <c r="W1489" s="35" t="inlineStr"/>
      <c r="X1489" s="35" t="inlineStr"/>
    </row>
    <row r="1490" ht="27.75" customHeight="1" s="24">
      <c r="A1490" s="13" t="n">
        <v>5000062547</v>
      </c>
      <c r="B1490" s="13" t="inlineStr">
        <is>
          <t>Пансионат для граждан пожилого возраста в р.п. Языково</t>
        </is>
      </c>
      <c r="C1490" s="13" t="n">
        <v>7309004356</v>
      </c>
      <c r="D1490" s="13" t="inlineStr">
        <is>
          <t>7309004356</t>
        </is>
      </c>
      <c r="E1490" s="13" t="inlineStr">
        <is>
          <t>ЮЛ РФ</t>
        </is>
      </c>
      <c r="F1490" s="13" t="n"/>
      <c r="G1490" s="14" t="n"/>
      <c r="H1490" s="14" t="n"/>
      <c r="I1490" s="14" t="n"/>
      <c r="J1490" s="14" t="n"/>
      <c r="K1490" s="53" t="inlineStr"/>
      <c r="L1490" s="53" t="inlineStr">
        <is>
          <t>Не определено</t>
        </is>
      </c>
      <c r="M1490" s="53" t="inlineStr"/>
      <c r="N1490" s="54" t="inlineStr"/>
      <c r="O1490" s="55" t="inlineStr"/>
      <c r="P1490" s="16" t="inlineStr">
        <is>
          <t>Требует обогащения</t>
        </is>
      </c>
      <c r="Q1490" s="16">
        <f>HYPERLINK("https://pb.nalog.ru/search.html?query=7309004356","ФНС: проверить")</f>
        <v/>
      </c>
      <c r="R1490" s="16">
        <f>HYPERLINK("https://checko.ru/search?query=3801001629","Чекко: проверить")</f>
        <v/>
      </c>
      <c r="S1490" t="n">
        <v>1</v>
      </c>
      <c r="T1490" s="35" t="inlineStr">
        <is>
          <t>4 — Не обогащён</t>
        </is>
      </c>
      <c r="U1490" s="35" t="inlineStr">
        <is>
          <t>Нет ОКВЭД/ССЧР</t>
        </is>
      </c>
      <c r="V1490" s="35" t="inlineStr">
        <is>
          <t>Не определено</t>
        </is>
      </c>
      <c r="W1490" s="35" t="inlineStr"/>
      <c r="X1490" s="35" t="inlineStr"/>
    </row>
    <row r="1491" ht="27.75" customHeight="1" s="24">
      <c r="A1491" s="13" t="n">
        <v>5000062644</v>
      </c>
      <c r="B1491" s="13" t="inlineStr">
        <is>
          <t>ГУЗ "Областная клиническая психиатрическая больница им. Н.М.Карам</t>
        </is>
      </c>
      <c r="C1491" s="13" t="n">
        <v>7326008978</v>
      </c>
      <c r="D1491" s="13" t="inlineStr">
        <is>
          <t>7326008978</t>
        </is>
      </c>
      <c r="E1491" s="13" t="inlineStr">
        <is>
          <t>ЮЛ РФ</t>
        </is>
      </c>
      <c r="F1491" s="13" t="n"/>
      <c r="G1491" s="14" t="n"/>
      <c r="H1491" s="14" t="n"/>
      <c r="I1491" s="14" t="n"/>
      <c r="J1491" s="14" t="n"/>
      <c r="K1491" s="53" t="inlineStr"/>
      <c r="L1491" s="53" t="inlineStr">
        <is>
          <t>Не определено</t>
        </is>
      </c>
      <c r="M1491" s="53" t="inlineStr"/>
      <c r="N1491" s="54" t="inlineStr"/>
      <c r="O1491" s="55" t="inlineStr"/>
      <c r="P1491" s="16" t="inlineStr">
        <is>
          <t>Требует обогащения</t>
        </is>
      </c>
      <c r="Q1491" s="16">
        <f>HYPERLINK("https://pb.nalog.ru/search.html?query=7326008978","ФНС: проверить")</f>
        <v/>
      </c>
      <c r="R1491" s="16">
        <f>HYPERLINK("https://checko.ru/search?query=3801001629","Чекко: проверить")</f>
        <v/>
      </c>
      <c r="S1491" t="n">
        <v>1</v>
      </c>
      <c r="T1491" s="35" t="inlineStr">
        <is>
          <t>4 — Не обогащён</t>
        </is>
      </c>
      <c r="U1491" s="35" t="inlineStr">
        <is>
          <t>Нет ОКВЭД/ССЧР</t>
        </is>
      </c>
      <c r="V1491" s="35" t="inlineStr">
        <is>
          <t>Не определено</t>
        </is>
      </c>
      <c r="W1491" s="35" t="inlineStr"/>
      <c r="X1491" s="35" t="inlineStr"/>
    </row>
    <row r="1492" ht="41.25" customHeight="1" s="24">
      <c r="A1492" s="13" t="n">
        <v>5000094596</v>
      </c>
      <c r="B1492" s="13" t="inlineStr">
        <is>
          <t>Местная администрация сельского поселения Карагач Прохладненского Муниципального района, КБР</t>
        </is>
      </c>
      <c r="C1492" s="13" t="n">
        <v>704001586</v>
      </c>
      <c r="D1492" s="13" t="n"/>
      <c r="E1492" s="13" t="inlineStr">
        <is>
          <t>Не определён</t>
        </is>
      </c>
      <c r="F1492" s="13" t="inlineStr">
        <is>
          <t>704001586</t>
        </is>
      </c>
      <c r="G1492" s="14" t="n"/>
      <c r="H1492" s="14" t="n"/>
      <c r="I1492" s="14" t="n"/>
      <c r="J1492" s="14" t="n"/>
      <c r="K1492" s="13">
        <f>IF(G1492="","",IF(G1492&gt;=22,"Да","Нет"))</f>
        <v/>
      </c>
      <c r="L1492" s="13">
        <f>IF(OR(I1492="",J1492=""),"Не определено",IF(OR(COUNTIF(I1492,"45*")&gt;0,COUNTIF(J1492,"*45*")&gt;0,COUNTIF(I1492,"46*")&gt;0,COUNTIF(J1492,"*46*")&gt;0,COUNTIF(I1492,"47*")&gt;0,COUNTIF(J1492,"*47*")&gt;0,COUNTIF(I1492,"10*")&gt;0,COUNTIF(J1492,"*10*")&gt;0,COUNTIF(I1492,"11*")&gt;0,COUNTIF(J1492,"*11*")&gt;0,COUNTIF(I1492,"12*")&gt;0,COUNTIF(J1492,"*12*")&gt;0,COUNTIF(I1492,"13*")&gt;0,COUNTIF(J1492,"*13*")&gt;0,COUNTIF(I1492,"14*")&gt;0,COUNTIF(J1492,"*14*")&gt;0,COUNTIF(I1492,"15*")&gt;0,COUNTIF(J1492,"*15*")&gt;0,COUNTIF(I1492,"16*")&gt;0,COUNTIF(J1492,"*16*")&gt;0,COUNTIF(I1492,"17*")&gt;0,COUNTIF(J1492,"*17*")&gt;0,COUNTIF(I1492,"18*")&gt;0,COUNTIF(J1492,"*18*")&gt;0,COUNTIF(I1492,"19*")&gt;0,COUNTIF(J1492,"*19*")&gt;0,COUNTIF(I1492,"20*")&gt;0,COUNTIF(J1492,"*20*")&gt;0,COUNTIF(I1492,"21*")&gt;0,COUNTIF(J1492,"*21*")&gt;0,COUNTIF(I1492,"22*")&gt;0,COUNTIF(J1492,"*22*")&gt;0,COUNTIF(I1492,"23*")&gt;0,COUNTIF(J1492,"*23*")&gt;0,COUNTIF(I1492,"24*")&gt;0,COUNTIF(J1492,"*24*")&gt;0,COUNTIF(I1492,"25*")&gt;0,COUNTIF(J1492,"*25*")&gt;0,COUNTIF(I1492,"26*")&gt;0,COUNTIF(J1492,"*26*")&gt;0,COUNTIF(I1492,"27*")&gt;0,COUNTIF(J1492,"*27*")&gt;0,COUNTIF(I1492,"28*")&gt;0,COUNTIF(J1492,"*28*")&gt;0,COUNTIF(I1492,"29*")&gt;0,COUNTIF(J1492,"*29*")&gt;0,COUNTIF(I1492,"30*")&gt;0,COUNTIF(J1492,"*30*")&gt;0,COUNTIF(I1492,"31*")&gt;0,COUNTIF(J1492,"*31*")&gt;0,COUNTIF(I1492,"32*")&gt;0,COUNTIF(J1492,"*32*")&gt;0,COUNTIF(I1492,"33*")&gt;0,COUNTIF(J1492,"*33*")&gt;0,COUNTIF(I1492,"41*")&gt;0,COUNTIF(J1492,"*41*")&gt;0,COUNTIF(I1492,"42*")&gt;0,COUNTIF(J1492,"*42*")&gt;0,COUNTIF(I1492,"43*")&gt;0,COUNTIF(J1492,"*43*")&gt;0,COUNTIF(I1492,"49*")&gt;0,COUNTIF(J1492,"*49*")&gt;0,COUNTIF(I1492,"52*")&gt;0,COUNTIF(J1492,"*52*")&gt;0,COUNTIF(I1492,"55*")&gt;0,COUNTIF(J1492,"*55*")&gt;0,COUNTIF(I1492,"56*")&gt;0,COUNTIF(J1492,"*56*")&gt;0,COUNTIF(I1492,"68*")&gt;0,COUNTIF(J1492,"*68*")&gt;0,COUNTIF(I1492,"78*")&gt;0,COUNTIF(J1492,"*78*")&gt;0,COUNTIF(I1492,"81*")&gt;0,COUNTIF(J1492,"*81*")&gt;0,COUNTIF(I1492,"82*")&gt;0,COUNTIF(J1492,"*82*")&gt;0,COUNTIF(I1492,"64*")&gt;0,COUNTIF(J1492,"*64*")&gt;0,COUNTIF(I1492,"65*")&gt;0,COUNTIF(J1492,"*65*")&gt;0,COUNTIF(I1492,"66*")&gt;0,COUNTIF(J1492,"*66*")&gt;0,COUNTIF(I1492,"61*")&gt;0,COUNTIF(J1492,"*61*")&gt;0,COUNTIF(I1492,"62*")&gt;0,COUNTIF(J1492,"*62*")&gt;0,COUNTIF(I1492,"63*")&gt;0,COUNTIF(J1492,"*63*")&gt;0,COUNTIF(I1492,"85*")&gt;0,COUNTIF(J1492,"*85*")&gt;0,COUNTIF(I1492,"86*")&gt;0,COUNTIF(J1492,"*86*")&gt;0),"Да","Нет"))</f>
        <v/>
      </c>
      <c r="M1492" s="13">
        <f>IF(OR(G1492="",L1492&lt;&gt;"Да"),"",IF(G1492&lt;=100,"До 100",IF(G1492&lt;=200,"До 200",IF(G1492&lt;=500,"До 500","Отдельное КП"))))</f>
        <v/>
      </c>
      <c r="N1492" s="15">
        <f>IF(OR(G1492="",L1492&lt;&gt;"Да"),"",IF(G1492&lt;=100,33600,IF(G1492&lt;=200,62400,IF(G1492&lt;=500,144000,""))))</f>
        <v/>
      </c>
      <c r="O1492" s="16">
        <f>IF(G1492="","",IF(G1492&lt;=15,"1–15",IF(G1492&lt;=30,"16–30",IF(G1492&lt;=50,"31–50",IF(G1492&lt;=100,"51–100",IF(G1492&lt;=150,"101–150",IF(G1492&lt;=200,"151–200",IF(G1492&lt;=500,"201–500","500+"))))))))</f>
        <v/>
      </c>
      <c r="P1492" s="16" t="inlineStr">
        <is>
          <t>Нет совпадения в предоставленной выгрузке ССЧР</t>
        </is>
      </c>
      <c r="Q1492" s="16" t="n"/>
      <c r="R1492" s="16">
        <f>HYPERLINK("https://checko.ru/search?query=3801001629","Чекко: проверить")</f>
        <v/>
      </c>
      <c r="S1492" t="n">
        <v>0</v>
      </c>
    </row>
    <row r="1493" ht="27.75" customHeight="1" s="24">
      <c r="A1493" s="13" t="n">
        <v>5000036237</v>
      </c>
      <c r="B1493" s="13" t="inlineStr">
        <is>
          <t>Областное автономное учреждение "Редакция газеты "Путь Октября"</t>
        </is>
      </c>
      <c r="C1493" s="13" t="n">
        <v>7309904621</v>
      </c>
      <c r="D1493" s="13" t="inlineStr">
        <is>
          <t>7309904621</t>
        </is>
      </c>
      <c r="E1493" s="13" t="inlineStr">
        <is>
          <t>ЮЛ РФ</t>
        </is>
      </c>
      <c r="F1493" s="13" t="n"/>
      <c r="G1493" s="14" t="n"/>
      <c r="H1493" s="14" t="n"/>
      <c r="I1493" s="14" t="n"/>
      <c r="J1493" s="14" t="n"/>
      <c r="K1493" s="53" t="inlineStr"/>
      <c r="L1493" s="53" t="inlineStr">
        <is>
          <t>Не определено</t>
        </is>
      </c>
      <c r="M1493" s="53" t="inlineStr"/>
      <c r="N1493" s="54" t="inlineStr"/>
      <c r="O1493" s="55" t="inlineStr"/>
      <c r="P1493" s="16" t="inlineStr">
        <is>
          <t>Требует обогащения</t>
        </is>
      </c>
      <c r="Q1493" s="16">
        <f>HYPERLINK("https://pb.nalog.ru/search.html?query=7309904621","ФНС: проверить")</f>
        <v/>
      </c>
      <c r="R1493" s="16">
        <f>HYPERLINK("https://checko.ru/search?query=3801001629","Чекко: проверить")</f>
        <v/>
      </c>
      <c r="S1493" t="n">
        <v>1</v>
      </c>
      <c r="T1493" s="35" t="inlineStr">
        <is>
          <t>4 — Не обогащён</t>
        </is>
      </c>
      <c r="U1493" s="35" t="inlineStr">
        <is>
          <t>Нет ОКВЭД/ССЧР</t>
        </is>
      </c>
      <c r="V1493" s="35" t="inlineStr">
        <is>
          <t>Не определено</t>
        </is>
      </c>
      <c r="W1493" s="35" t="inlineStr"/>
      <c r="X1493" s="35" t="inlineStr"/>
    </row>
    <row r="1494" ht="27.75" customHeight="1" s="24">
      <c r="A1494" s="13" t="n">
        <v>5000062613</v>
      </c>
      <c r="B1494" s="13" t="inlineStr">
        <is>
          <t>Старокулаткинская центральная районная больница, ГУЗ</t>
        </is>
      </c>
      <c r="C1494" s="13" t="n">
        <v>7317000919</v>
      </c>
      <c r="D1494" s="13" t="inlineStr">
        <is>
          <t>7317000919</t>
        </is>
      </c>
      <c r="E1494" s="13" t="inlineStr">
        <is>
          <t>ЮЛ РФ</t>
        </is>
      </c>
      <c r="F1494" s="13" t="n"/>
      <c r="G1494" s="14" t="n"/>
      <c r="H1494" s="14" t="n"/>
      <c r="I1494" s="14" t="n"/>
      <c r="J1494" s="14" t="n"/>
      <c r="K1494" s="53" t="inlineStr"/>
      <c r="L1494" s="53" t="inlineStr">
        <is>
          <t>Не определено</t>
        </is>
      </c>
      <c r="M1494" s="53" t="inlineStr"/>
      <c r="N1494" s="54" t="inlineStr"/>
      <c r="O1494" s="55" t="inlineStr"/>
      <c r="P1494" s="16" t="inlineStr">
        <is>
          <t>Требует обогащения</t>
        </is>
      </c>
      <c r="Q1494" s="16">
        <f>HYPERLINK("https://pb.nalog.ru/search.html?query=7317000919","ФНС: проверить")</f>
        <v/>
      </c>
      <c r="R1494" s="16">
        <f>HYPERLINK("https://checko.ru/search?query=3801001629","Чекко: проверить")</f>
        <v/>
      </c>
      <c r="S1494" t="n">
        <v>1</v>
      </c>
      <c r="T1494" s="35" t="inlineStr">
        <is>
          <t>4 — Не обогащён</t>
        </is>
      </c>
      <c r="U1494" s="35" t="inlineStr">
        <is>
          <t>Нет ОКВЭД/ССЧР</t>
        </is>
      </c>
      <c r="V1494" s="35" t="inlineStr">
        <is>
          <t>Не определено</t>
        </is>
      </c>
      <c r="W1494" s="35" t="inlineStr"/>
      <c r="X1494" s="35" t="inlineStr"/>
    </row>
    <row r="1495" ht="27.75" customHeight="1" s="24">
      <c r="A1495" s="13" t="n">
        <v>5000001340</v>
      </c>
      <c r="B1495" s="13" t="inlineStr">
        <is>
          <t>Ангарский промышленно-экономический техникум</t>
        </is>
      </c>
      <c r="C1495" s="13" t="n">
        <v>3801016784</v>
      </c>
      <c r="D1495" s="13" t="inlineStr">
        <is>
          <t>3801016784</t>
        </is>
      </c>
      <c r="E1495" s="13" t="inlineStr">
        <is>
          <t>ЮЛ РФ</t>
        </is>
      </c>
      <c r="F1495" s="13" t="n"/>
      <c r="G1495" s="14" t="n"/>
      <c r="H1495" s="14" t="n"/>
      <c r="I1495" s="14" t="n"/>
      <c r="J1495" s="14" t="n"/>
      <c r="K1495" s="53" t="inlineStr"/>
      <c r="L1495" s="53" t="inlineStr">
        <is>
          <t>Не определено</t>
        </is>
      </c>
      <c r="M1495" s="53" t="inlineStr"/>
      <c r="N1495" s="54" t="inlineStr"/>
      <c r="O1495" s="55" t="inlineStr"/>
      <c r="P1495" s="16" t="inlineStr">
        <is>
          <t>Требует обогащения</t>
        </is>
      </c>
      <c r="Q1495" s="16">
        <f>HYPERLINK("https://pb.nalog.ru/search.html?query=3801016784","ФНС: проверить")</f>
        <v/>
      </c>
      <c r="R1495" s="16">
        <f>HYPERLINK("https://checko.ru/search?query=3801001629","Чекко: проверить")</f>
        <v/>
      </c>
      <c r="S1495" t="n">
        <v>1</v>
      </c>
      <c r="T1495" s="35" t="inlineStr">
        <is>
          <t>4 — Не обогащён</t>
        </is>
      </c>
      <c r="U1495" s="35" t="inlineStr">
        <is>
          <t>Нет ОКВЭД/ССЧР</t>
        </is>
      </c>
      <c r="V1495" s="35" t="inlineStr">
        <is>
          <t>Не определено</t>
        </is>
      </c>
      <c r="W1495" s="35" t="inlineStr"/>
      <c r="X1495" s="35" t="inlineStr"/>
    </row>
    <row r="1496" ht="15" customHeight="1" s="24">
      <c r="A1496" s="13" t="n">
        <v>5000001914</v>
      </c>
      <c r="B1496" s="13" t="inlineStr">
        <is>
          <t>Тулунский аграрный техникум</t>
        </is>
      </c>
      <c r="C1496" s="13" t="n">
        <v>3816004301</v>
      </c>
      <c r="D1496" s="13" t="inlineStr">
        <is>
          <t>3816004301</t>
        </is>
      </c>
      <c r="E1496" s="13" t="inlineStr">
        <is>
          <t>ЮЛ РФ</t>
        </is>
      </c>
      <c r="F1496" s="13" t="n"/>
      <c r="G1496" s="14" t="n"/>
      <c r="H1496" s="14" t="n"/>
      <c r="I1496" s="14" t="n"/>
      <c r="J1496" s="14" t="n"/>
      <c r="K1496" s="53" t="inlineStr"/>
      <c r="L1496" s="53" t="inlineStr">
        <is>
          <t>Не определено</t>
        </is>
      </c>
      <c r="M1496" s="53" t="inlineStr"/>
      <c r="N1496" s="54" t="inlineStr"/>
      <c r="O1496" s="55" t="inlineStr"/>
      <c r="P1496" s="16" t="inlineStr">
        <is>
          <t>Требует обогащения</t>
        </is>
      </c>
      <c r="Q1496" s="16">
        <f>HYPERLINK("https://pb.nalog.ru/search.html?query=3816004301","ФНС: проверить")</f>
        <v/>
      </c>
      <c r="R1496" s="16">
        <f>HYPERLINK("https://checko.ru/search?query=3801001629","Чекко: проверить")</f>
        <v/>
      </c>
      <c r="S1496" t="n">
        <v>1</v>
      </c>
      <c r="T1496" s="35" t="inlineStr">
        <is>
          <t>4 — Не обогащён</t>
        </is>
      </c>
      <c r="U1496" s="35" t="inlineStr">
        <is>
          <t>Нет ОКВЭД/ССЧР</t>
        </is>
      </c>
      <c r="V1496" s="35" t="inlineStr">
        <is>
          <t>Не определено</t>
        </is>
      </c>
      <c r="W1496" s="35" t="inlineStr"/>
      <c r="X1496" s="35" t="inlineStr"/>
    </row>
    <row r="1497" ht="15" customHeight="1" s="24">
      <c r="A1497" s="13" t="n">
        <v>5000001339</v>
      </c>
      <c r="B1497" s="13" t="inlineStr">
        <is>
          <t>Ангарский педагогический колледж</t>
        </is>
      </c>
      <c r="C1497" s="13" t="n">
        <v>3801015935</v>
      </c>
      <c r="D1497" s="13" t="inlineStr">
        <is>
          <t>3801015935</t>
        </is>
      </c>
      <c r="E1497" s="13" t="inlineStr">
        <is>
          <t>ЮЛ РФ</t>
        </is>
      </c>
      <c r="F1497" s="13" t="n"/>
      <c r="G1497" s="14" t="n"/>
      <c r="H1497" s="14" t="n"/>
      <c r="I1497" s="14" t="n"/>
      <c r="J1497" s="14" t="n"/>
      <c r="K1497" s="53" t="inlineStr"/>
      <c r="L1497" s="53" t="inlineStr">
        <is>
          <t>Не определено</t>
        </is>
      </c>
      <c r="M1497" s="53" t="inlineStr"/>
      <c r="N1497" s="54" t="inlineStr"/>
      <c r="O1497" s="55" t="inlineStr"/>
      <c r="P1497" s="16" t="inlineStr">
        <is>
          <t>Требует обогащения</t>
        </is>
      </c>
      <c r="Q1497" s="16">
        <f>HYPERLINK("https://pb.nalog.ru/search.html?query=3801015935","ФНС: проверить")</f>
        <v/>
      </c>
      <c r="R1497" s="16">
        <f>HYPERLINK("https://checko.ru/search?query=3801001629","Чекко: проверить")</f>
        <v/>
      </c>
      <c r="S1497" t="n">
        <v>1</v>
      </c>
      <c r="T1497" s="35" t="inlineStr">
        <is>
          <t>4 — Не обогащён</t>
        </is>
      </c>
      <c r="U1497" s="35" t="inlineStr">
        <is>
          <t>Нет ОКВЭД/ССЧР</t>
        </is>
      </c>
      <c r="V1497" s="35" t="inlineStr">
        <is>
          <t>Не определено</t>
        </is>
      </c>
      <c r="W1497" s="35" t="inlineStr"/>
      <c r="X1497" s="35" t="inlineStr"/>
    </row>
    <row r="1498" ht="15" customHeight="1" s="24">
      <c r="A1498" s="13" t="n">
        <v>5000106103</v>
      </c>
      <c r="B1498" s="13" t="inlineStr">
        <is>
          <t>ГБУ «Домбаровское лесничество»</t>
        </is>
      </c>
      <c r="C1498" s="13" t="n">
        <v>5628000890</v>
      </c>
      <c r="D1498" s="13" t="inlineStr">
        <is>
          <t>5628000890</t>
        </is>
      </c>
      <c r="E1498" s="13" t="inlineStr">
        <is>
          <t>ЮЛ РФ</t>
        </is>
      </c>
      <c r="F1498" s="13" t="n"/>
      <c r="G1498" s="14" t="n"/>
      <c r="H1498" s="14" t="n"/>
      <c r="I1498" s="14" t="n"/>
      <c r="J1498" s="14" t="n"/>
      <c r="K1498" s="53" t="inlineStr"/>
      <c r="L1498" s="53" t="inlineStr">
        <is>
          <t>Не определено</t>
        </is>
      </c>
      <c r="M1498" s="53" t="inlineStr"/>
      <c r="N1498" s="54" t="inlineStr"/>
      <c r="O1498" s="55" t="inlineStr"/>
      <c r="P1498" s="16" t="inlineStr">
        <is>
          <t>Требует обогащения</t>
        </is>
      </c>
      <c r="Q1498" s="16">
        <f>HYPERLINK("https://pb.nalog.ru/search.html?query=5628000890","ФНС: проверить")</f>
        <v/>
      </c>
      <c r="R1498" s="16">
        <f>HYPERLINK("https://checko.ru/search?query=3801001629","Чекко: проверить")</f>
        <v/>
      </c>
      <c r="S1498" t="n">
        <v>1</v>
      </c>
      <c r="T1498" s="35" t="inlineStr">
        <is>
          <t>4 — Не обогащён</t>
        </is>
      </c>
      <c r="U1498" s="35" t="inlineStr">
        <is>
          <t>Нет ОКВЭД/ССЧР</t>
        </is>
      </c>
      <c r="V1498" s="35" t="inlineStr">
        <is>
          <t>Не определено</t>
        </is>
      </c>
      <c r="W1498" s="35" t="inlineStr"/>
      <c r="X1498" s="35" t="inlineStr"/>
    </row>
    <row r="1499" ht="41.25" customHeight="1" s="24">
      <c r="A1499" s="13" t="n">
        <v>5000095200</v>
      </c>
      <c r="B1499" s="13" t="inlineStr">
        <is>
          <t>МКУ "Отдел физической культуры и спорта" местной администрации Урванского муниципального района КБР</t>
        </is>
      </c>
      <c r="C1499" s="13" t="n">
        <v>724003013</v>
      </c>
      <c r="D1499" s="13" t="n"/>
      <c r="E1499" s="13" t="inlineStr">
        <is>
          <t>Не определён</t>
        </is>
      </c>
      <c r="F1499" s="13" t="inlineStr">
        <is>
          <t>724003013</t>
        </is>
      </c>
      <c r="G1499" s="14" t="n"/>
      <c r="H1499" s="14" t="n"/>
      <c r="I1499" s="14" t="n"/>
      <c r="J1499" s="14" t="n"/>
      <c r="K1499" s="13">
        <f>IF(G1499="","",IF(G1499&gt;=22,"Да","Нет"))</f>
        <v/>
      </c>
      <c r="L1499" s="13">
        <f>IF(OR(I1499="",J1499=""),"Не определено",IF(OR(COUNTIF(I1499,"45*")&gt;0,COUNTIF(J1499,"*45*")&gt;0,COUNTIF(I1499,"46*")&gt;0,COUNTIF(J1499,"*46*")&gt;0,COUNTIF(I1499,"47*")&gt;0,COUNTIF(J1499,"*47*")&gt;0,COUNTIF(I1499,"10*")&gt;0,COUNTIF(J1499,"*10*")&gt;0,COUNTIF(I1499,"11*")&gt;0,COUNTIF(J1499,"*11*")&gt;0,COUNTIF(I1499,"12*")&gt;0,COUNTIF(J1499,"*12*")&gt;0,COUNTIF(I1499,"13*")&gt;0,COUNTIF(J1499,"*13*")&gt;0,COUNTIF(I1499,"14*")&gt;0,COUNTIF(J1499,"*14*")&gt;0,COUNTIF(I1499,"15*")&gt;0,COUNTIF(J1499,"*15*")&gt;0,COUNTIF(I1499,"16*")&gt;0,COUNTIF(J1499,"*16*")&gt;0,COUNTIF(I1499,"17*")&gt;0,COUNTIF(J1499,"*17*")&gt;0,COUNTIF(I1499,"18*")&gt;0,COUNTIF(J1499,"*18*")&gt;0,COUNTIF(I1499,"19*")&gt;0,COUNTIF(J1499,"*19*")&gt;0,COUNTIF(I1499,"20*")&gt;0,COUNTIF(J1499,"*20*")&gt;0,COUNTIF(I1499,"21*")&gt;0,COUNTIF(J1499,"*21*")&gt;0,COUNTIF(I1499,"22*")&gt;0,COUNTIF(J1499,"*22*")&gt;0,COUNTIF(I1499,"23*")&gt;0,COUNTIF(J1499,"*23*")&gt;0,COUNTIF(I1499,"24*")&gt;0,COUNTIF(J1499,"*24*")&gt;0,COUNTIF(I1499,"25*")&gt;0,COUNTIF(J1499,"*25*")&gt;0,COUNTIF(I1499,"26*")&gt;0,COUNTIF(J1499,"*26*")&gt;0,COUNTIF(I1499,"27*")&gt;0,COUNTIF(J1499,"*27*")&gt;0,COUNTIF(I1499,"28*")&gt;0,COUNTIF(J1499,"*28*")&gt;0,COUNTIF(I1499,"29*")&gt;0,COUNTIF(J1499,"*29*")&gt;0,COUNTIF(I1499,"30*")&gt;0,COUNTIF(J1499,"*30*")&gt;0,COUNTIF(I1499,"31*")&gt;0,COUNTIF(J1499,"*31*")&gt;0,COUNTIF(I1499,"32*")&gt;0,COUNTIF(J1499,"*32*")&gt;0,COUNTIF(I1499,"33*")&gt;0,COUNTIF(J1499,"*33*")&gt;0,COUNTIF(I1499,"41*")&gt;0,COUNTIF(J1499,"*41*")&gt;0,COUNTIF(I1499,"42*")&gt;0,COUNTIF(J1499,"*42*")&gt;0,COUNTIF(I1499,"43*")&gt;0,COUNTIF(J1499,"*43*")&gt;0,COUNTIF(I1499,"49*")&gt;0,COUNTIF(J1499,"*49*")&gt;0,COUNTIF(I1499,"52*")&gt;0,COUNTIF(J1499,"*52*")&gt;0,COUNTIF(I1499,"55*")&gt;0,COUNTIF(J1499,"*55*")&gt;0,COUNTIF(I1499,"56*")&gt;0,COUNTIF(J1499,"*56*")&gt;0,COUNTIF(I1499,"68*")&gt;0,COUNTIF(J1499,"*68*")&gt;0,COUNTIF(I1499,"78*")&gt;0,COUNTIF(J1499,"*78*")&gt;0,COUNTIF(I1499,"81*")&gt;0,COUNTIF(J1499,"*81*")&gt;0,COUNTIF(I1499,"82*")&gt;0,COUNTIF(J1499,"*82*")&gt;0,COUNTIF(I1499,"64*")&gt;0,COUNTIF(J1499,"*64*")&gt;0,COUNTIF(I1499,"65*")&gt;0,COUNTIF(J1499,"*65*")&gt;0,COUNTIF(I1499,"66*")&gt;0,COUNTIF(J1499,"*66*")&gt;0,COUNTIF(I1499,"61*")&gt;0,COUNTIF(J1499,"*61*")&gt;0,COUNTIF(I1499,"62*")&gt;0,COUNTIF(J1499,"*62*")&gt;0,COUNTIF(I1499,"63*")&gt;0,COUNTIF(J1499,"*63*")&gt;0,COUNTIF(I1499,"85*")&gt;0,COUNTIF(J1499,"*85*")&gt;0,COUNTIF(I1499,"86*")&gt;0,COUNTIF(J1499,"*86*")&gt;0),"Да","Нет"))</f>
        <v/>
      </c>
      <c r="M1499" s="13">
        <f>IF(OR(G1499="",L1499&lt;&gt;"Да"),"",IF(G1499&lt;=100,"До 100",IF(G1499&lt;=200,"До 200",IF(G1499&lt;=500,"До 500","Отдельное КП"))))</f>
        <v/>
      </c>
      <c r="N1499" s="15">
        <f>IF(OR(G1499="",L1499&lt;&gt;"Да"),"",IF(G1499&lt;=100,33600,IF(G1499&lt;=200,62400,IF(G1499&lt;=500,144000,""))))</f>
        <v/>
      </c>
      <c r="O1499" s="16">
        <f>IF(G1499="","",IF(G1499&lt;=15,"1–15",IF(G1499&lt;=30,"16–30",IF(G1499&lt;=50,"31–50",IF(G1499&lt;=100,"51–100",IF(G1499&lt;=150,"101–150",IF(G1499&lt;=200,"151–200",IF(G1499&lt;=500,"201–500","500+"))))))))</f>
        <v/>
      </c>
      <c r="P1499" s="16" t="inlineStr">
        <is>
          <t>Нет совпадения в предоставленной выгрузке ССЧР</t>
        </is>
      </c>
      <c r="Q1499" s="16" t="n"/>
      <c r="R1499" s="16">
        <f>HYPERLINK("https://checko.ru/search?query=3801001629","Чекко: проверить")</f>
        <v/>
      </c>
      <c r="S1499" t="n">
        <v>0</v>
      </c>
    </row>
    <row r="1500" ht="15" customHeight="1" s="24">
      <c r="A1500" s="13" t="n">
        <v>5000001424</v>
      </c>
      <c r="B1500" s="13" t="inlineStr">
        <is>
          <t>ГУК редакция журнала "Сибирячок"</t>
        </is>
      </c>
      <c r="C1500" s="13" t="n">
        <v>3808004629</v>
      </c>
      <c r="D1500" s="13" t="inlineStr">
        <is>
          <t>3808004629</t>
        </is>
      </c>
      <c r="E1500" s="13" t="inlineStr">
        <is>
          <t>ЮЛ РФ</t>
        </is>
      </c>
      <c r="F1500" s="13" t="n"/>
      <c r="G1500" s="14" t="n"/>
      <c r="H1500" s="14" t="n"/>
      <c r="I1500" s="14" t="n"/>
      <c r="J1500" s="14" t="n"/>
      <c r="K1500" s="53" t="inlineStr"/>
      <c r="L1500" s="53" t="inlineStr">
        <is>
          <t>Не определено</t>
        </is>
      </c>
      <c r="M1500" s="53" t="inlineStr"/>
      <c r="N1500" s="54" t="inlineStr"/>
      <c r="O1500" s="55" t="inlineStr"/>
      <c r="P1500" s="16" t="inlineStr">
        <is>
          <t>Требует обогащения</t>
        </is>
      </c>
      <c r="Q1500" s="16">
        <f>HYPERLINK("https://pb.nalog.ru/search.html?query=3808004629","ФНС: проверить")</f>
        <v/>
      </c>
      <c r="R1500" s="16">
        <f>HYPERLINK("https://checko.ru/search?query=3801001629","Чекко: проверить")</f>
        <v/>
      </c>
      <c r="S1500" t="n">
        <v>1</v>
      </c>
      <c r="T1500" s="35" t="inlineStr">
        <is>
          <t>4 — Не обогащён</t>
        </is>
      </c>
      <c r="U1500" s="35" t="inlineStr">
        <is>
          <t>Нет ОКВЭД/ССЧР</t>
        </is>
      </c>
      <c r="V1500" s="35" t="inlineStr">
        <is>
          <t>Не определено</t>
        </is>
      </c>
      <c r="W1500" s="35" t="inlineStr"/>
      <c r="X1500" s="35" t="inlineStr"/>
    </row>
    <row r="1501" ht="15" customHeight="1" s="24">
      <c r="A1501" s="13" t="n">
        <v>5000001988</v>
      </c>
      <c r="B1501" s="13" t="inlineStr">
        <is>
          <t>ОГОБУ СПО "Тулунский медицинский колледж"</t>
        </is>
      </c>
      <c r="C1501" s="13" t="n">
        <v>3816002022</v>
      </c>
      <c r="D1501" s="13" t="inlineStr">
        <is>
          <t>3816002022</t>
        </is>
      </c>
      <c r="E1501" s="13" t="inlineStr">
        <is>
          <t>ЮЛ РФ</t>
        </is>
      </c>
      <c r="F1501" s="13" t="n"/>
      <c r="G1501" s="14" t="n"/>
      <c r="H1501" s="14" t="n"/>
      <c r="I1501" s="14" t="n"/>
      <c r="J1501" s="14" t="n"/>
      <c r="K1501" s="53" t="inlineStr"/>
      <c r="L1501" s="53" t="inlineStr">
        <is>
          <t>Не определено</t>
        </is>
      </c>
      <c r="M1501" s="53" t="inlineStr"/>
      <c r="N1501" s="54" t="inlineStr"/>
      <c r="O1501" s="55" t="inlineStr"/>
      <c r="P1501" s="16" t="inlineStr">
        <is>
          <t>Требует обогащения</t>
        </is>
      </c>
      <c r="Q1501" s="16">
        <f>HYPERLINK("https://pb.nalog.ru/search.html?query=3816002022","ФНС: проверить")</f>
        <v/>
      </c>
      <c r="R1501" s="16">
        <f>HYPERLINK("https://checko.ru/search?query=3801001629","Чекко: проверить")</f>
        <v/>
      </c>
      <c r="S1501" t="n">
        <v>1</v>
      </c>
      <c r="T1501" s="35" t="inlineStr">
        <is>
          <t>4 — Не обогащён</t>
        </is>
      </c>
      <c r="U1501" s="35" t="inlineStr">
        <is>
          <t>Нет ОКВЭД/ССЧР</t>
        </is>
      </c>
      <c r="V1501" s="35" t="inlineStr">
        <is>
          <t>Не определено</t>
        </is>
      </c>
      <c r="W1501" s="35" t="inlineStr"/>
      <c r="X1501" s="35" t="inlineStr"/>
    </row>
    <row r="1502" ht="27.75" customHeight="1" s="24">
      <c r="A1502" s="13" t="n">
        <v>5000030478</v>
      </c>
      <c r="B1502" s="13" t="inlineStr">
        <is>
          <t>ОГКУ "Единый центр обслуживания в сфере культуры"</t>
        </is>
      </c>
      <c r="C1502" s="13" t="n">
        <v>3811461093</v>
      </c>
      <c r="D1502" s="13" t="inlineStr">
        <is>
          <t>3811461093</t>
        </is>
      </c>
      <c r="E1502" s="13" t="inlineStr">
        <is>
          <t>ЮЛ РФ</t>
        </is>
      </c>
      <c r="F1502" s="13" t="n"/>
      <c r="G1502" s="14" t="n"/>
      <c r="H1502" s="14" t="n"/>
      <c r="I1502" s="14" t="n"/>
      <c r="J1502" s="14" t="n"/>
      <c r="K1502" s="53" t="inlineStr"/>
      <c r="L1502" s="53" t="inlineStr">
        <is>
          <t>Не определено</t>
        </is>
      </c>
      <c r="M1502" s="53" t="inlineStr"/>
      <c r="N1502" s="54" t="inlineStr"/>
      <c r="O1502" s="55" t="inlineStr"/>
      <c r="P1502" s="16" t="inlineStr">
        <is>
          <t>Требует обогащения</t>
        </is>
      </c>
      <c r="Q1502" s="16">
        <f>HYPERLINK("https://pb.nalog.ru/search.html?query=3811461093","ФНС: проверить")</f>
        <v/>
      </c>
      <c r="R1502" s="16">
        <f>HYPERLINK("https://checko.ru/search?query=3801001629","Чекко: проверить")</f>
        <v/>
      </c>
      <c r="S1502" t="n">
        <v>1</v>
      </c>
      <c r="T1502" s="35" t="inlineStr">
        <is>
          <t>4 — Не обогащён</t>
        </is>
      </c>
      <c r="U1502" s="35" t="inlineStr">
        <is>
          <t>Нет ОКВЭД/ССЧР</t>
        </is>
      </c>
      <c r="V1502" s="35" t="inlineStr">
        <is>
          <t>Не определено</t>
        </is>
      </c>
      <c r="W1502" s="35" t="inlineStr"/>
      <c r="X1502" s="35" t="inlineStr"/>
    </row>
    <row r="1503" ht="15" customHeight="1" s="24">
      <c r="A1503" s="13" t="n">
        <v>5000095048</v>
      </c>
      <c r="B1503" s="13" t="inlineStr">
        <is>
          <t>СОШ № 27 Г.О. НАЛЬЧИК КБР МКОУ</t>
        </is>
      </c>
      <c r="C1503" s="13" t="n">
        <v>711043330</v>
      </c>
      <c r="D1503" s="13" t="n"/>
      <c r="E1503" s="13" t="inlineStr">
        <is>
          <t>Не определён</t>
        </is>
      </c>
      <c r="F1503" s="13" t="inlineStr">
        <is>
          <t>711043330</t>
        </is>
      </c>
      <c r="G1503" s="14" t="n"/>
      <c r="H1503" s="14" t="n"/>
      <c r="I1503" s="14" t="n"/>
      <c r="J1503" s="14" t="n"/>
      <c r="K1503" s="13">
        <f>IF(G1503="","",IF(G1503&gt;=22,"Да","Нет"))</f>
        <v/>
      </c>
      <c r="L1503" s="13">
        <f>IF(OR(I1503="",J1503=""),"Не определено",IF(OR(COUNTIF(I1503,"45*")&gt;0,COUNTIF(J1503,"*45*")&gt;0,COUNTIF(I1503,"46*")&gt;0,COUNTIF(J1503,"*46*")&gt;0,COUNTIF(I1503,"47*")&gt;0,COUNTIF(J1503,"*47*")&gt;0,COUNTIF(I1503,"10*")&gt;0,COUNTIF(J1503,"*10*")&gt;0,COUNTIF(I1503,"11*")&gt;0,COUNTIF(J1503,"*11*")&gt;0,COUNTIF(I1503,"12*")&gt;0,COUNTIF(J1503,"*12*")&gt;0,COUNTIF(I1503,"13*")&gt;0,COUNTIF(J1503,"*13*")&gt;0,COUNTIF(I1503,"14*")&gt;0,COUNTIF(J1503,"*14*")&gt;0,COUNTIF(I1503,"15*")&gt;0,COUNTIF(J1503,"*15*")&gt;0,COUNTIF(I1503,"16*")&gt;0,COUNTIF(J1503,"*16*")&gt;0,COUNTIF(I1503,"17*")&gt;0,COUNTIF(J1503,"*17*")&gt;0,COUNTIF(I1503,"18*")&gt;0,COUNTIF(J1503,"*18*")&gt;0,COUNTIF(I1503,"19*")&gt;0,COUNTIF(J1503,"*19*")&gt;0,COUNTIF(I1503,"20*")&gt;0,COUNTIF(J1503,"*20*")&gt;0,COUNTIF(I1503,"21*")&gt;0,COUNTIF(J1503,"*21*")&gt;0,COUNTIF(I1503,"22*")&gt;0,COUNTIF(J1503,"*22*")&gt;0,COUNTIF(I1503,"23*")&gt;0,COUNTIF(J1503,"*23*")&gt;0,COUNTIF(I1503,"24*")&gt;0,COUNTIF(J1503,"*24*")&gt;0,COUNTIF(I1503,"25*")&gt;0,COUNTIF(J1503,"*25*")&gt;0,COUNTIF(I1503,"26*")&gt;0,COUNTIF(J1503,"*26*")&gt;0,COUNTIF(I1503,"27*")&gt;0,COUNTIF(J1503,"*27*")&gt;0,COUNTIF(I1503,"28*")&gt;0,COUNTIF(J1503,"*28*")&gt;0,COUNTIF(I1503,"29*")&gt;0,COUNTIF(J1503,"*29*")&gt;0,COUNTIF(I1503,"30*")&gt;0,COUNTIF(J1503,"*30*")&gt;0,COUNTIF(I1503,"31*")&gt;0,COUNTIF(J1503,"*31*")&gt;0,COUNTIF(I1503,"32*")&gt;0,COUNTIF(J1503,"*32*")&gt;0,COUNTIF(I1503,"33*")&gt;0,COUNTIF(J1503,"*33*")&gt;0,COUNTIF(I1503,"41*")&gt;0,COUNTIF(J1503,"*41*")&gt;0,COUNTIF(I1503,"42*")&gt;0,COUNTIF(J1503,"*42*")&gt;0,COUNTIF(I1503,"43*")&gt;0,COUNTIF(J1503,"*43*")&gt;0,COUNTIF(I1503,"49*")&gt;0,COUNTIF(J1503,"*49*")&gt;0,COUNTIF(I1503,"52*")&gt;0,COUNTIF(J1503,"*52*")&gt;0,COUNTIF(I1503,"55*")&gt;0,COUNTIF(J1503,"*55*")&gt;0,COUNTIF(I1503,"56*")&gt;0,COUNTIF(J1503,"*56*")&gt;0,COUNTIF(I1503,"68*")&gt;0,COUNTIF(J1503,"*68*")&gt;0,COUNTIF(I1503,"78*")&gt;0,COUNTIF(J1503,"*78*")&gt;0,COUNTIF(I1503,"81*")&gt;0,COUNTIF(J1503,"*81*")&gt;0,COUNTIF(I1503,"82*")&gt;0,COUNTIF(J1503,"*82*")&gt;0,COUNTIF(I1503,"64*")&gt;0,COUNTIF(J1503,"*64*")&gt;0,COUNTIF(I1503,"65*")&gt;0,COUNTIF(J1503,"*65*")&gt;0,COUNTIF(I1503,"66*")&gt;0,COUNTIF(J1503,"*66*")&gt;0,COUNTIF(I1503,"61*")&gt;0,COUNTIF(J1503,"*61*")&gt;0,COUNTIF(I1503,"62*")&gt;0,COUNTIF(J1503,"*62*")&gt;0,COUNTIF(I1503,"63*")&gt;0,COUNTIF(J1503,"*63*")&gt;0,COUNTIF(I1503,"85*")&gt;0,COUNTIF(J1503,"*85*")&gt;0,COUNTIF(I1503,"86*")&gt;0,COUNTIF(J1503,"*86*")&gt;0),"Да","Нет"))</f>
        <v/>
      </c>
      <c r="M1503" s="13">
        <f>IF(OR(G1503="",L1503&lt;&gt;"Да"),"",IF(G1503&lt;=100,"До 100",IF(G1503&lt;=200,"До 200",IF(G1503&lt;=500,"До 500","Отдельное КП"))))</f>
        <v/>
      </c>
      <c r="N1503" s="15">
        <f>IF(OR(G1503="",L1503&lt;&gt;"Да"),"",IF(G1503&lt;=100,33600,IF(G1503&lt;=200,62400,IF(G1503&lt;=500,144000,""))))</f>
        <v/>
      </c>
      <c r="O1503" s="16">
        <f>IF(G1503="","",IF(G1503&lt;=15,"1–15",IF(G1503&lt;=30,"16–30",IF(G1503&lt;=50,"31–50",IF(G1503&lt;=100,"51–100",IF(G1503&lt;=150,"101–150",IF(G1503&lt;=200,"151–200",IF(G1503&lt;=500,"201–500","500+"))))))))</f>
        <v/>
      </c>
      <c r="P1503" s="16" t="inlineStr">
        <is>
          <t>Нет совпадения в предоставленной выгрузке ССЧР</t>
        </is>
      </c>
      <c r="Q1503" s="16" t="n"/>
      <c r="R1503" s="16">
        <f>HYPERLINK("https://checko.ru/search?query=3801001629","Чекко: проверить")</f>
        <v/>
      </c>
      <c r="S1503" t="n">
        <v>0</v>
      </c>
    </row>
    <row r="1504" ht="15" customHeight="1" s="24">
      <c r="A1504" s="13" t="n">
        <v>5000003704</v>
      </c>
      <c r="B1504" s="13" t="inlineStr">
        <is>
          <t>Иркутская районная СББЖ</t>
        </is>
      </c>
      <c r="C1504" s="13" t="n">
        <v>3827017302</v>
      </c>
      <c r="D1504" s="13" t="inlineStr">
        <is>
          <t>3827017302</t>
        </is>
      </c>
      <c r="E1504" s="13" t="inlineStr">
        <is>
          <t>ЮЛ РФ</t>
        </is>
      </c>
      <c r="F1504" s="13" t="n"/>
      <c r="G1504" s="14" t="n"/>
      <c r="H1504" s="14" t="n"/>
      <c r="I1504" s="14" t="n"/>
      <c r="J1504" s="14" t="n"/>
      <c r="K1504" s="53" t="inlineStr"/>
      <c r="L1504" s="53" t="inlineStr">
        <is>
          <t>Не определено</t>
        </is>
      </c>
      <c r="M1504" s="53" t="inlineStr"/>
      <c r="N1504" s="54" t="inlineStr"/>
      <c r="O1504" s="55" t="inlineStr"/>
      <c r="P1504" s="16" t="inlineStr">
        <is>
          <t>Требует обогащения</t>
        </is>
      </c>
      <c r="Q1504" s="16">
        <f>HYPERLINK("https://pb.nalog.ru/search.html?query=3827017302","ФНС: проверить")</f>
        <v/>
      </c>
      <c r="R1504" s="16">
        <f>HYPERLINK("https://checko.ru/search?query=3801001629","Чекко: проверить")</f>
        <v/>
      </c>
      <c r="S1504" t="n">
        <v>1</v>
      </c>
      <c r="T1504" s="35" t="inlineStr">
        <is>
          <t>4 — Не обогащён</t>
        </is>
      </c>
      <c r="U1504" s="35" t="inlineStr">
        <is>
          <t>Нет ОКВЭД/ССЧР</t>
        </is>
      </c>
      <c r="V1504" s="35" t="inlineStr">
        <is>
          <t>Не определено</t>
        </is>
      </c>
      <c r="W1504" s="35" t="inlineStr"/>
      <c r="X1504" s="35" t="inlineStr"/>
    </row>
    <row r="1505" ht="27.75" customHeight="1" s="24">
      <c r="A1505" s="13" t="n">
        <v>5000020994</v>
      </c>
      <c r="B1505" s="13" t="inlineStr">
        <is>
          <t>МБУК "Информационно-культурный центр" муниципального образования "Аларь"</t>
        </is>
      </c>
      <c r="C1505" s="13" t="n">
        <v>3851004985</v>
      </c>
      <c r="D1505" s="13" t="inlineStr">
        <is>
          <t>3851004985</t>
        </is>
      </c>
      <c r="E1505" s="13" t="inlineStr">
        <is>
          <t>ЮЛ РФ</t>
        </is>
      </c>
      <c r="F1505" s="13" t="n"/>
      <c r="G1505" s="14" t="n"/>
      <c r="H1505" s="14" t="n"/>
      <c r="I1505" s="14" t="n"/>
      <c r="J1505" s="14" t="n"/>
      <c r="K1505" s="53" t="inlineStr"/>
      <c r="L1505" s="53" t="inlineStr">
        <is>
          <t>Не определено</t>
        </is>
      </c>
      <c r="M1505" s="53" t="inlineStr"/>
      <c r="N1505" s="54" t="inlineStr"/>
      <c r="O1505" s="55" t="inlineStr"/>
      <c r="P1505" s="16" t="inlineStr">
        <is>
          <t>Требует обогащения</t>
        </is>
      </c>
      <c r="Q1505" s="16">
        <f>HYPERLINK("https://pb.nalog.ru/search.html?query=3851004985","ФНС: проверить")</f>
        <v/>
      </c>
      <c r="R1505" s="16">
        <f>HYPERLINK("https://checko.ru/search?query=3801001629","Чекко: проверить")</f>
        <v/>
      </c>
      <c r="S1505" t="n">
        <v>1</v>
      </c>
      <c r="T1505" s="35" t="inlineStr">
        <is>
          <t>4 — Не обогащён</t>
        </is>
      </c>
      <c r="U1505" s="35" t="inlineStr">
        <is>
          <t>Нет ОКВЭД/ССЧР</t>
        </is>
      </c>
      <c r="V1505" s="35" t="inlineStr">
        <is>
          <t>Не определено</t>
        </is>
      </c>
      <c r="W1505" s="35" t="inlineStr"/>
      <c r="X1505" s="35" t="inlineStr"/>
    </row>
    <row r="1506" ht="15" customHeight="1" s="24">
      <c r="A1506" s="13" t="n">
        <v>5000095145</v>
      </c>
      <c r="B1506" s="13" t="inlineStr">
        <is>
          <t>ГКУ "Специальный дом" МТ и СР КБР</t>
        </is>
      </c>
      <c r="C1506" s="13" t="n">
        <v>721004259</v>
      </c>
      <c r="D1506" s="13" t="n"/>
      <c r="E1506" s="13" t="inlineStr">
        <is>
          <t>Не определён</t>
        </is>
      </c>
      <c r="F1506" s="13" t="inlineStr">
        <is>
          <t>721004259</t>
        </is>
      </c>
      <c r="G1506" s="14" t="n"/>
      <c r="H1506" s="14" t="n"/>
      <c r="I1506" s="14" t="n"/>
      <c r="J1506" s="14" t="n"/>
      <c r="K1506" s="13">
        <f>IF(G1506="","",IF(G1506&gt;=22,"Да","Нет"))</f>
        <v/>
      </c>
      <c r="L1506" s="13">
        <f>IF(OR(I1506="",J1506=""),"Не определено",IF(OR(COUNTIF(I1506,"45*")&gt;0,COUNTIF(J1506,"*45*")&gt;0,COUNTIF(I1506,"46*")&gt;0,COUNTIF(J1506,"*46*")&gt;0,COUNTIF(I1506,"47*")&gt;0,COUNTIF(J1506,"*47*")&gt;0,COUNTIF(I1506,"10*")&gt;0,COUNTIF(J1506,"*10*")&gt;0,COUNTIF(I1506,"11*")&gt;0,COUNTIF(J1506,"*11*")&gt;0,COUNTIF(I1506,"12*")&gt;0,COUNTIF(J1506,"*12*")&gt;0,COUNTIF(I1506,"13*")&gt;0,COUNTIF(J1506,"*13*")&gt;0,COUNTIF(I1506,"14*")&gt;0,COUNTIF(J1506,"*14*")&gt;0,COUNTIF(I1506,"15*")&gt;0,COUNTIF(J1506,"*15*")&gt;0,COUNTIF(I1506,"16*")&gt;0,COUNTIF(J1506,"*16*")&gt;0,COUNTIF(I1506,"17*")&gt;0,COUNTIF(J1506,"*17*")&gt;0,COUNTIF(I1506,"18*")&gt;0,COUNTIF(J1506,"*18*")&gt;0,COUNTIF(I1506,"19*")&gt;0,COUNTIF(J1506,"*19*")&gt;0,COUNTIF(I1506,"20*")&gt;0,COUNTIF(J1506,"*20*")&gt;0,COUNTIF(I1506,"21*")&gt;0,COUNTIF(J1506,"*21*")&gt;0,COUNTIF(I1506,"22*")&gt;0,COUNTIF(J1506,"*22*")&gt;0,COUNTIF(I1506,"23*")&gt;0,COUNTIF(J1506,"*23*")&gt;0,COUNTIF(I1506,"24*")&gt;0,COUNTIF(J1506,"*24*")&gt;0,COUNTIF(I1506,"25*")&gt;0,COUNTIF(J1506,"*25*")&gt;0,COUNTIF(I1506,"26*")&gt;0,COUNTIF(J1506,"*26*")&gt;0,COUNTIF(I1506,"27*")&gt;0,COUNTIF(J1506,"*27*")&gt;0,COUNTIF(I1506,"28*")&gt;0,COUNTIF(J1506,"*28*")&gt;0,COUNTIF(I1506,"29*")&gt;0,COUNTIF(J1506,"*29*")&gt;0,COUNTIF(I1506,"30*")&gt;0,COUNTIF(J1506,"*30*")&gt;0,COUNTIF(I1506,"31*")&gt;0,COUNTIF(J1506,"*31*")&gt;0,COUNTIF(I1506,"32*")&gt;0,COUNTIF(J1506,"*32*")&gt;0,COUNTIF(I1506,"33*")&gt;0,COUNTIF(J1506,"*33*")&gt;0,COUNTIF(I1506,"41*")&gt;0,COUNTIF(J1506,"*41*")&gt;0,COUNTIF(I1506,"42*")&gt;0,COUNTIF(J1506,"*42*")&gt;0,COUNTIF(I1506,"43*")&gt;0,COUNTIF(J1506,"*43*")&gt;0,COUNTIF(I1506,"49*")&gt;0,COUNTIF(J1506,"*49*")&gt;0,COUNTIF(I1506,"52*")&gt;0,COUNTIF(J1506,"*52*")&gt;0,COUNTIF(I1506,"55*")&gt;0,COUNTIF(J1506,"*55*")&gt;0,COUNTIF(I1506,"56*")&gt;0,COUNTIF(J1506,"*56*")&gt;0,COUNTIF(I1506,"68*")&gt;0,COUNTIF(J1506,"*68*")&gt;0,COUNTIF(I1506,"78*")&gt;0,COUNTIF(J1506,"*78*")&gt;0,COUNTIF(I1506,"81*")&gt;0,COUNTIF(J1506,"*81*")&gt;0,COUNTIF(I1506,"82*")&gt;0,COUNTIF(J1506,"*82*")&gt;0,COUNTIF(I1506,"64*")&gt;0,COUNTIF(J1506,"*64*")&gt;0,COUNTIF(I1506,"65*")&gt;0,COUNTIF(J1506,"*65*")&gt;0,COUNTIF(I1506,"66*")&gt;0,COUNTIF(J1506,"*66*")&gt;0,COUNTIF(I1506,"61*")&gt;0,COUNTIF(J1506,"*61*")&gt;0,COUNTIF(I1506,"62*")&gt;0,COUNTIF(J1506,"*62*")&gt;0,COUNTIF(I1506,"63*")&gt;0,COUNTIF(J1506,"*63*")&gt;0,COUNTIF(I1506,"85*")&gt;0,COUNTIF(J1506,"*85*")&gt;0,COUNTIF(I1506,"86*")&gt;0,COUNTIF(J1506,"*86*")&gt;0),"Да","Нет"))</f>
        <v/>
      </c>
      <c r="M1506" s="13">
        <f>IF(OR(G1506="",L1506&lt;&gt;"Да"),"",IF(G1506&lt;=100,"До 100",IF(G1506&lt;=200,"До 200",IF(G1506&lt;=500,"До 500","Отдельное КП"))))</f>
        <v/>
      </c>
      <c r="N1506" s="15">
        <f>IF(OR(G1506="",L1506&lt;&gt;"Да"),"",IF(G1506&lt;=100,33600,IF(G1506&lt;=200,62400,IF(G1506&lt;=500,144000,""))))</f>
        <v/>
      </c>
      <c r="O1506" s="16">
        <f>IF(G1506="","",IF(G1506&lt;=15,"1–15",IF(G1506&lt;=30,"16–30",IF(G1506&lt;=50,"31–50",IF(G1506&lt;=100,"51–100",IF(G1506&lt;=150,"101–150",IF(G1506&lt;=200,"151–200",IF(G1506&lt;=500,"201–500","500+"))))))))</f>
        <v/>
      </c>
      <c r="P1506" s="16" t="inlineStr">
        <is>
          <t>Нет совпадения в предоставленной выгрузке ССЧР</t>
        </is>
      </c>
      <c r="Q1506" s="16" t="n"/>
      <c r="R1506" s="16">
        <f>HYPERLINK("https://checko.ru/search?query=3801001629","Чекко: проверить")</f>
        <v/>
      </c>
      <c r="S1506" t="n">
        <v>0</v>
      </c>
    </row>
    <row r="1507" ht="68.25" customHeight="1" s="24">
      <c r="A1507" s="13" t="n">
        <v>5000106152</v>
      </c>
      <c r="B1507" s="13" t="inlineStr">
        <is>
          <t>МУНИЦИПАЛЬНОЕ БЮДЖЕТНОЕ ОБЩЕОБРАЗОВАТЕЛЬНОЕ УЧРЕЖДЕНИЕ "УРАНСКАЯ СРЕДНЯЯ ОБЩЕОБРАЗОВАТЕЛЬНАЯ ШКОЛА" СОРОЧИНСКОГО ГОРОДСКОГО ОКРУГА ОРЕНБУРГСКОЙ ОБЛАСТ</t>
        </is>
      </c>
      <c r="C1507" s="13" t="n">
        <v>5647005446</v>
      </c>
      <c r="D1507" s="13" t="inlineStr">
        <is>
          <t>5647005446</t>
        </is>
      </c>
      <c r="E1507" s="13" t="inlineStr">
        <is>
          <t>ЮЛ РФ</t>
        </is>
      </c>
      <c r="F1507" s="13" t="n"/>
      <c r="G1507" s="14" t="n"/>
      <c r="H1507" s="14" t="n"/>
      <c r="I1507" s="14" t="n"/>
      <c r="J1507" s="14" t="n"/>
      <c r="K1507" s="53" t="inlineStr"/>
      <c r="L1507" s="53" t="inlineStr">
        <is>
          <t>Не определено</t>
        </is>
      </c>
      <c r="M1507" s="53" t="inlineStr"/>
      <c r="N1507" s="54" t="inlineStr"/>
      <c r="O1507" s="55" t="inlineStr"/>
      <c r="P1507" s="16" t="inlineStr">
        <is>
          <t>Требует обогащения</t>
        </is>
      </c>
      <c r="Q1507" s="16">
        <f>HYPERLINK("https://pb.nalog.ru/search.html?query=5647005446","ФНС: проверить")</f>
        <v/>
      </c>
      <c r="R1507" s="16">
        <f>HYPERLINK("https://checko.ru/search?query=3801001629","Чекко: проверить")</f>
        <v/>
      </c>
      <c r="S1507" t="n">
        <v>1</v>
      </c>
      <c r="T1507" s="35" t="inlineStr">
        <is>
          <t>4 — Не обогащён</t>
        </is>
      </c>
      <c r="U1507" s="35" t="inlineStr">
        <is>
          <t>Нет ОКВЭД/ССЧР</t>
        </is>
      </c>
      <c r="V1507" s="35" t="inlineStr">
        <is>
          <t>Не определено</t>
        </is>
      </c>
      <c r="W1507" s="35" t="inlineStr"/>
      <c r="X1507" s="35" t="inlineStr"/>
    </row>
    <row r="1508" ht="54.75" customHeight="1" s="24">
      <c r="A1508" s="13" t="n">
        <v>5000101696</v>
      </c>
      <c r="B1508" s="13" t="inlineStr">
        <is>
          <t>Областное государственное бюджетное учреждение «Управление социальной защиты и социального обслуживания населения по городу Черемхово, Черемховскому р</t>
        </is>
      </c>
      <c r="C1508" s="13" t="n">
        <v>3801160851</v>
      </c>
      <c r="D1508" s="13" t="inlineStr">
        <is>
          <t>3801160851</t>
        </is>
      </c>
      <c r="E1508" s="13" t="inlineStr">
        <is>
          <t>ЮЛ РФ</t>
        </is>
      </c>
      <c r="F1508" s="13" t="n"/>
      <c r="G1508" s="14" t="n"/>
      <c r="H1508" s="14" t="n"/>
      <c r="I1508" s="14" t="n"/>
      <c r="J1508" s="14" t="n"/>
      <c r="K1508" s="53" t="inlineStr"/>
      <c r="L1508" s="53" t="inlineStr">
        <is>
          <t>Не определено</t>
        </is>
      </c>
      <c r="M1508" s="53" t="inlineStr"/>
      <c r="N1508" s="54" t="inlineStr"/>
      <c r="O1508" s="55" t="inlineStr"/>
      <c r="P1508" s="16" t="inlineStr">
        <is>
          <t>Требует обогащения</t>
        </is>
      </c>
      <c r="Q1508" s="16">
        <f>HYPERLINK("https://pb.nalog.ru/search.html?query=3801160851","ФНС: проверить")</f>
        <v/>
      </c>
      <c r="R1508" s="16">
        <f>HYPERLINK("https://checko.ru/search?query=3801001629","Чекко: проверить")</f>
        <v/>
      </c>
      <c r="S1508" t="n">
        <v>1</v>
      </c>
      <c r="T1508" s="35" t="inlineStr">
        <is>
          <t>4 — Не обогащён</t>
        </is>
      </c>
      <c r="U1508" s="35" t="inlineStr">
        <is>
          <t>Нет ОКВЭД/ССЧР</t>
        </is>
      </c>
      <c r="V1508" s="35" t="inlineStr">
        <is>
          <t>Не определено</t>
        </is>
      </c>
      <c r="W1508" s="35" t="inlineStr"/>
      <c r="X1508" s="35" t="inlineStr"/>
    </row>
    <row r="1509" ht="27.75" customHeight="1" s="24">
      <c r="A1509" s="13" t="n">
        <v>5000001658</v>
      </c>
      <c r="B1509" s="13" t="inlineStr">
        <is>
          <t>ОГКУСО "Центр помощи детям, оставшимся без попечения родителей, Усть-Кутского района"</t>
        </is>
      </c>
      <c r="C1509" s="13" t="n">
        <v>3818010300</v>
      </c>
      <c r="D1509" s="13" t="inlineStr">
        <is>
          <t>3818010300</t>
        </is>
      </c>
      <c r="E1509" s="13" t="inlineStr">
        <is>
          <t>ЮЛ РФ</t>
        </is>
      </c>
      <c r="F1509" s="13" t="n"/>
      <c r="G1509" s="14" t="n"/>
      <c r="H1509" s="14" t="n"/>
      <c r="I1509" s="14" t="n"/>
      <c r="J1509" s="14" t="n"/>
      <c r="K1509" s="53" t="inlineStr"/>
      <c r="L1509" s="53" t="inlineStr">
        <is>
          <t>Не определено</t>
        </is>
      </c>
      <c r="M1509" s="53" t="inlineStr"/>
      <c r="N1509" s="54" t="inlineStr"/>
      <c r="O1509" s="55" t="inlineStr"/>
      <c r="P1509" s="16" t="inlineStr">
        <is>
          <t>Требует обогащения</t>
        </is>
      </c>
      <c r="Q1509" s="16">
        <f>HYPERLINK("https://pb.nalog.ru/search.html?query=3818010300","ФНС: проверить")</f>
        <v/>
      </c>
      <c r="R1509" s="16">
        <f>HYPERLINK("https://checko.ru/search?query=3801001629","Чекко: проверить")</f>
        <v/>
      </c>
      <c r="S1509" t="n">
        <v>1</v>
      </c>
      <c r="T1509" s="35" t="inlineStr">
        <is>
          <t>4 — Не обогащён</t>
        </is>
      </c>
      <c r="U1509" s="35" t="inlineStr">
        <is>
          <t>Нет ОКВЭД/ССЧР</t>
        </is>
      </c>
      <c r="V1509" s="35" t="inlineStr">
        <is>
          <t>Не определено</t>
        </is>
      </c>
      <c r="W1509" s="35" t="inlineStr"/>
      <c r="X1509" s="35" t="inlineStr"/>
    </row>
    <row r="1510" ht="27.75" customHeight="1" s="24">
      <c r="A1510" s="13" t="n">
        <v>5000001687</v>
      </c>
      <c r="B1510" s="13" t="inlineStr">
        <is>
          <t>ОГКУСО «Центр помощи детям, оставшимся без попечения родителей, «Гармония» г. Черемхово»</t>
        </is>
      </c>
      <c r="C1510" s="13" t="n">
        <v>3820005749</v>
      </c>
      <c r="D1510" s="13" t="inlineStr">
        <is>
          <t>3820005749</t>
        </is>
      </c>
      <c r="E1510" s="13" t="inlineStr">
        <is>
          <t>ЮЛ РФ</t>
        </is>
      </c>
      <c r="F1510" s="13" t="n"/>
      <c r="G1510" s="14" t="n"/>
      <c r="H1510" s="14" t="n"/>
      <c r="I1510" s="14" t="n"/>
      <c r="J1510" s="14" t="n"/>
      <c r="K1510" s="53" t="inlineStr"/>
      <c r="L1510" s="53" t="inlineStr">
        <is>
          <t>Не определено</t>
        </is>
      </c>
      <c r="M1510" s="53" t="inlineStr"/>
      <c r="N1510" s="54" t="inlineStr"/>
      <c r="O1510" s="55" t="inlineStr"/>
      <c r="P1510" s="16" t="inlineStr">
        <is>
          <t>Требует обогащения</t>
        </is>
      </c>
      <c r="Q1510" s="16">
        <f>HYPERLINK("https://pb.nalog.ru/search.html?query=3820005749","ФНС: проверить")</f>
        <v/>
      </c>
      <c r="R1510" s="16">
        <f>HYPERLINK("https://checko.ru/search?query=3801001629","Чекко: проверить")</f>
        <v/>
      </c>
      <c r="S1510" t="n">
        <v>1</v>
      </c>
      <c r="T1510" s="35" t="inlineStr">
        <is>
          <t>4 — Не обогащён</t>
        </is>
      </c>
      <c r="U1510" s="35" t="inlineStr">
        <is>
          <t>Нет ОКВЭД/ССЧР</t>
        </is>
      </c>
      <c r="V1510" s="35" t="inlineStr">
        <is>
          <t>Не определено</t>
        </is>
      </c>
      <c r="W1510" s="35" t="inlineStr"/>
      <c r="X1510" s="35" t="inlineStr"/>
    </row>
    <row r="1511" ht="27.75" customHeight="1" s="24">
      <c r="A1511" s="13" t="n">
        <v>5000001737</v>
      </c>
      <c r="B1511" s="13" t="inlineStr">
        <is>
          <t>ОГКУ "Управление социальной защиты населения по городу Иркутску</t>
        </is>
      </c>
      <c r="C1511" s="13" t="n">
        <v>3808238352</v>
      </c>
      <c r="D1511" s="13" t="inlineStr">
        <is>
          <t>3808238352</t>
        </is>
      </c>
      <c r="E1511" s="13" t="inlineStr">
        <is>
          <t>ЮЛ РФ</t>
        </is>
      </c>
      <c r="F1511" s="13" t="n"/>
      <c r="G1511" s="14" t="n"/>
      <c r="H1511" s="14" t="n"/>
      <c r="I1511" s="14" t="n"/>
      <c r="J1511" s="14" t="n"/>
      <c r="K1511" s="53" t="inlineStr"/>
      <c r="L1511" s="53" t="inlineStr">
        <is>
          <t>Не определено</t>
        </is>
      </c>
      <c r="M1511" s="53" t="inlineStr"/>
      <c r="N1511" s="54" t="inlineStr"/>
      <c r="O1511" s="55" t="inlineStr"/>
      <c r="P1511" s="16" t="inlineStr">
        <is>
          <t>Требует обогащения</t>
        </is>
      </c>
      <c r="Q1511" s="16">
        <f>HYPERLINK("https://pb.nalog.ru/search.html?query=3808238352","ФНС: проверить")</f>
        <v/>
      </c>
      <c r="R1511" s="16">
        <f>HYPERLINK("https://checko.ru/search?query=3801001629","Чекко: проверить")</f>
        <v/>
      </c>
      <c r="S1511" t="n">
        <v>1</v>
      </c>
      <c r="T1511" s="35" t="inlineStr">
        <is>
          <t>4 — Не обогащён</t>
        </is>
      </c>
      <c r="U1511" s="35" t="inlineStr">
        <is>
          <t>Нет ОКВЭД/ССЧР</t>
        </is>
      </c>
      <c r="V1511" s="35" t="inlineStr">
        <is>
          <t>Не определено</t>
        </is>
      </c>
      <c r="W1511" s="35" t="inlineStr"/>
      <c r="X1511" s="35" t="inlineStr"/>
    </row>
    <row r="1512" ht="41.25" customHeight="1" s="24">
      <c r="A1512" s="13" t="n">
        <v>5000001763</v>
      </c>
      <c r="B1512" s="13" t="inlineStr">
        <is>
          <t>Межрайонное управления министерства социального развития, опеки и попечительства Иркутской области № 2</t>
        </is>
      </c>
      <c r="C1512" s="13" t="n">
        <v>3830090670</v>
      </c>
      <c r="D1512" s="13" t="inlineStr">
        <is>
          <t>3830090670</t>
        </is>
      </c>
      <c r="E1512" s="13" t="inlineStr">
        <is>
          <t>ЮЛ РФ</t>
        </is>
      </c>
      <c r="F1512" s="13" t="n"/>
      <c r="G1512" s="14" t="n"/>
      <c r="H1512" s="14" t="n"/>
      <c r="I1512" s="14" t="n"/>
      <c r="J1512" s="14" t="n"/>
      <c r="K1512" s="53" t="inlineStr"/>
      <c r="L1512" s="53" t="inlineStr">
        <is>
          <t>Не определено</t>
        </is>
      </c>
      <c r="M1512" s="53" t="inlineStr"/>
      <c r="N1512" s="54" t="inlineStr"/>
      <c r="O1512" s="55" t="inlineStr"/>
      <c r="P1512" s="16" t="inlineStr">
        <is>
          <t>Требует обогащения</t>
        </is>
      </c>
      <c r="Q1512" s="16">
        <f>HYPERLINK("https://pb.nalog.ru/search.html?query=3830090670","ФНС: проверить")</f>
        <v/>
      </c>
      <c r="R1512" s="16">
        <f>HYPERLINK("https://checko.ru/search?query=3801001629","Чекко: проверить")</f>
        <v/>
      </c>
      <c r="S1512" t="n">
        <v>1</v>
      </c>
      <c r="T1512" s="35" t="inlineStr">
        <is>
          <t>4 — Не обогащён</t>
        </is>
      </c>
      <c r="U1512" s="35" t="inlineStr">
        <is>
          <t>Нет ОКВЭД/ССЧР</t>
        </is>
      </c>
      <c r="V1512" s="35" t="inlineStr">
        <is>
          <t>Не определено</t>
        </is>
      </c>
      <c r="W1512" s="35" t="inlineStr"/>
      <c r="X1512" s="35" t="inlineStr"/>
    </row>
    <row r="1513" ht="41.25" customHeight="1" s="24">
      <c r="A1513" s="13" t="n">
        <v>5000001764</v>
      </c>
      <c r="B1513" s="13" t="inlineStr">
        <is>
          <t>Межрайонное управление министерства социального развития, опеки и попечительства Иркутской области № 3</t>
        </is>
      </c>
      <c r="C1513" s="13" t="n">
        <v>3825004650</v>
      </c>
      <c r="D1513" s="13" t="inlineStr">
        <is>
          <t>3825004650</t>
        </is>
      </c>
      <c r="E1513" s="13" t="inlineStr">
        <is>
          <t>ЮЛ РФ</t>
        </is>
      </c>
      <c r="F1513" s="13" t="n"/>
      <c r="G1513" s="14" t="n"/>
      <c r="H1513" s="14" t="n"/>
      <c r="I1513" s="14" t="n"/>
      <c r="J1513" s="14" t="n"/>
      <c r="K1513" s="53" t="inlineStr"/>
      <c r="L1513" s="53" t="inlineStr">
        <is>
          <t>Не определено</t>
        </is>
      </c>
      <c r="M1513" s="53" t="inlineStr"/>
      <c r="N1513" s="54" t="inlineStr"/>
      <c r="O1513" s="55" t="inlineStr"/>
      <c r="P1513" s="16" t="inlineStr">
        <is>
          <t>Требует обогащения</t>
        </is>
      </c>
      <c r="Q1513" s="16">
        <f>HYPERLINK("https://pb.nalog.ru/search.html?query=3825004650","ФНС: проверить")</f>
        <v/>
      </c>
      <c r="R1513" s="16">
        <f>HYPERLINK("https://checko.ru/search?query=3801001629","Чекко: проверить")</f>
        <v/>
      </c>
      <c r="S1513" t="n">
        <v>1</v>
      </c>
      <c r="T1513" s="35" t="inlineStr">
        <is>
          <t>4 — Не обогащён</t>
        </is>
      </c>
      <c r="U1513" s="35" t="inlineStr">
        <is>
          <t>Нет ОКВЭД/ССЧР</t>
        </is>
      </c>
      <c r="V1513" s="35" t="inlineStr">
        <is>
          <t>Не определено</t>
        </is>
      </c>
      <c r="W1513" s="35" t="inlineStr"/>
      <c r="X1513" s="35" t="inlineStr"/>
    </row>
    <row r="1514" ht="41.25" customHeight="1" s="24">
      <c r="A1514" s="13" t="n">
        <v>5000001765</v>
      </c>
      <c r="B1514" s="13" t="inlineStr">
        <is>
          <t>Межрайонное управление министерства социального развития, опеки и попечительства Иркутской области № 5</t>
        </is>
      </c>
      <c r="C1514" s="13" t="n">
        <v>3816007119</v>
      </c>
      <c r="D1514" s="13" t="inlineStr">
        <is>
          <t>3816007119</t>
        </is>
      </c>
      <c r="E1514" s="13" t="inlineStr">
        <is>
          <t>ЮЛ РФ</t>
        </is>
      </c>
      <c r="F1514" s="13" t="n"/>
      <c r="G1514" s="14" t="n"/>
      <c r="H1514" s="14" t="n"/>
      <c r="I1514" s="14" t="n"/>
      <c r="J1514" s="14" t="n"/>
      <c r="K1514" s="53" t="inlineStr"/>
      <c r="L1514" s="53" t="inlineStr">
        <is>
          <t>Не определено</t>
        </is>
      </c>
      <c r="M1514" s="53" t="inlineStr"/>
      <c r="N1514" s="54" t="inlineStr"/>
      <c r="O1514" s="55" t="inlineStr"/>
      <c r="P1514" s="16" t="inlineStr">
        <is>
          <t>Требует обогащения</t>
        </is>
      </c>
      <c r="Q1514" s="16">
        <f>HYPERLINK("https://pb.nalog.ru/search.html?query=3816007119","ФНС: проверить")</f>
        <v/>
      </c>
      <c r="R1514" s="16">
        <f>HYPERLINK("https://checko.ru/search?query=3801001629","Чекко: проверить")</f>
        <v/>
      </c>
      <c r="S1514" t="n">
        <v>1</v>
      </c>
      <c r="T1514" s="35" t="inlineStr">
        <is>
          <t>4 — Не обогащён</t>
        </is>
      </c>
      <c r="U1514" s="35" t="inlineStr">
        <is>
          <t>Нет ОКВЭД/ССЧР</t>
        </is>
      </c>
      <c r="V1514" s="35" t="inlineStr">
        <is>
          <t>Не определено</t>
        </is>
      </c>
      <c r="W1514" s="35" t="inlineStr"/>
      <c r="X1514" s="35" t="inlineStr"/>
    </row>
    <row r="1515" ht="41.25" customHeight="1" s="24">
      <c r="A1515" s="13" t="n">
        <v>5000001766</v>
      </c>
      <c r="B1515" s="13" t="inlineStr">
        <is>
          <t>Межрайонное управление министерства социального развития, опеки и попечительства Иркутской области № 6</t>
        </is>
      </c>
      <c r="C1515" s="13" t="n">
        <v>3815003739</v>
      </c>
      <c r="D1515" s="13" t="inlineStr">
        <is>
          <t>3815003739</t>
        </is>
      </c>
      <c r="E1515" s="13" t="inlineStr">
        <is>
          <t>ЮЛ РФ</t>
        </is>
      </c>
      <c r="F1515" s="13" t="n"/>
      <c r="G1515" s="14" t="n"/>
      <c r="H1515" s="14" t="n"/>
      <c r="I1515" s="14" t="n"/>
      <c r="J1515" s="14" t="n"/>
      <c r="K1515" s="53" t="inlineStr"/>
      <c r="L1515" s="53" t="inlineStr">
        <is>
          <t>Не определено</t>
        </is>
      </c>
      <c r="M1515" s="53" t="inlineStr"/>
      <c r="N1515" s="54" t="inlineStr"/>
      <c r="O1515" s="55" t="inlineStr"/>
      <c r="P1515" s="16" t="inlineStr">
        <is>
          <t>Требует обогащения</t>
        </is>
      </c>
      <c r="Q1515" s="16">
        <f>HYPERLINK("https://pb.nalog.ru/search.html?query=3815003739","ФНС: проверить")</f>
        <v/>
      </c>
      <c r="R1515" s="16">
        <f>HYPERLINK("https://checko.ru/search?query=3801001629","Чекко: проверить")</f>
        <v/>
      </c>
      <c r="S1515" t="n">
        <v>1</v>
      </c>
      <c r="T1515" s="35" t="inlineStr">
        <is>
          <t>4 — Не обогащён</t>
        </is>
      </c>
      <c r="U1515" s="35" t="inlineStr">
        <is>
          <t>Нет ОКВЭД/ССЧР</t>
        </is>
      </c>
      <c r="V1515" s="35" t="inlineStr">
        <is>
          <t>Не определено</t>
        </is>
      </c>
      <c r="W1515" s="35" t="inlineStr"/>
      <c r="X1515" s="35" t="inlineStr"/>
    </row>
    <row r="1516" ht="15" customHeight="1" s="24">
      <c r="A1516" s="13" t="n">
        <v>5000001447</v>
      </c>
      <c r="B1516" s="13" t="inlineStr">
        <is>
          <t>Служба по тарифам Иркутской области</t>
        </is>
      </c>
      <c r="C1516" s="13" t="n">
        <v>3808023928</v>
      </c>
      <c r="D1516" s="13" t="inlineStr">
        <is>
          <t>3808023928</t>
        </is>
      </c>
      <c r="E1516" s="13" t="inlineStr">
        <is>
          <t>ЮЛ РФ</t>
        </is>
      </c>
      <c r="F1516" s="13" t="n"/>
      <c r="G1516" s="14" t="n"/>
      <c r="H1516" s="14" t="n"/>
      <c r="I1516" s="14" t="n"/>
      <c r="J1516" s="14" t="n"/>
      <c r="K1516" s="53" t="inlineStr"/>
      <c r="L1516" s="53" t="inlineStr">
        <is>
          <t>Не определено</t>
        </is>
      </c>
      <c r="M1516" s="53" t="inlineStr"/>
      <c r="N1516" s="54" t="inlineStr"/>
      <c r="O1516" s="55" t="inlineStr"/>
      <c r="P1516" s="16" t="inlineStr">
        <is>
          <t>Требует обогащения</t>
        </is>
      </c>
      <c r="Q1516" s="16">
        <f>HYPERLINK("https://pb.nalog.ru/search.html?query=3808023928","ФНС: проверить")</f>
        <v/>
      </c>
      <c r="R1516" s="16">
        <f>HYPERLINK("https://checko.ru/search?query=3801001629","Чекко: проверить")</f>
        <v/>
      </c>
      <c r="S1516" t="n">
        <v>1</v>
      </c>
      <c r="T1516" s="35" t="inlineStr">
        <is>
          <t>4 — Не обогащён</t>
        </is>
      </c>
      <c r="U1516" s="35" t="inlineStr">
        <is>
          <t>Нет ОКВЭД/ССЧР</t>
        </is>
      </c>
      <c r="V1516" s="35" t="inlineStr">
        <is>
          <t>Не определено</t>
        </is>
      </c>
      <c r="W1516" s="35" t="inlineStr"/>
      <c r="X1516" s="35" t="inlineStr"/>
    </row>
    <row r="1517" ht="15" customHeight="1" s="24">
      <c r="A1517" s="13" t="n">
        <v>5000001454</v>
      </c>
      <c r="B1517" s="13" t="inlineStr">
        <is>
          <t>ОГКУ "Центр обесепечения судебных участков"</t>
        </is>
      </c>
      <c r="C1517" s="13" t="n">
        <v>3808027577</v>
      </c>
      <c r="D1517" s="13" t="inlineStr">
        <is>
          <t>3808027577</t>
        </is>
      </c>
      <c r="E1517" s="13" t="inlineStr">
        <is>
          <t>ЮЛ РФ</t>
        </is>
      </c>
      <c r="F1517" s="13" t="n"/>
      <c r="G1517" s="14" t="n"/>
      <c r="H1517" s="14" t="n"/>
      <c r="I1517" s="14" t="n"/>
      <c r="J1517" s="14" t="n"/>
      <c r="K1517" s="53" t="inlineStr"/>
      <c r="L1517" s="53" t="inlineStr">
        <is>
          <t>Не определено</t>
        </is>
      </c>
      <c r="M1517" s="53" t="inlineStr"/>
      <c r="N1517" s="54" t="inlineStr"/>
      <c r="O1517" s="55" t="inlineStr"/>
      <c r="P1517" s="16" t="inlineStr">
        <is>
          <t>Требует обогащения</t>
        </is>
      </c>
      <c r="Q1517" s="16">
        <f>HYPERLINK("https://pb.nalog.ru/search.html?query=3808027577","ФНС: проверить")</f>
        <v/>
      </c>
      <c r="R1517" s="16">
        <f>HYPERLINK("https://checko.ru/search?query=3801001629","Чекко: проверить")</f>
        <v/>
      </c>
      <c r="S1517" t="n">
        <v>1</v>
      </c>
      <c r="T1517" s="35" t="inlineStr">
        <is>
          <t>4 — Не обогащён</t>
        </is>
      </c>
      <c r="U1517" s="35" t="inlineStr">
        <is>
          <t>Нет ОКВЭД/ССЧР</t>
        </is>
      </c>
      <c r="V1517" s="35" t="inlineStr">
        <is>
          <t>Не определено</t>
        </is>
      </c>
      <c r="W1517" s="35" t="inlineStr"/>
      <c r="X1517" s="35" t="inlineStr"/>
    </row>
    <row r="1518" ht="27.75" customHeight="1" s="24">
      <c r="A1518" s="13" t="n">
        <v>5000001483</v>
      </c>
      <c r="B1518" s="13" t="inlineStr">
        <is>
          <t>Служба по охране объектов культурного наследия Иркутской области</t>
        </is>
      </c>
      <c r="C1518" s="13" t="n">
        <v>3808124637</v>
      </c>
      <c r="D1518" s="13" t="inlineStr">
        <is>
          <t>3808124637</t>
        </is>
      </c>
      <c r="E1518" s="13" t="inlineStr">
        <is>
          <t>ЮЛ РФ</t>
        </is>
      </c>
      <c r="F1518" s="13" t="n"/>
      <c r="G1518" s="14" t="n"/>
      <c r="H1518" s="14" t="n"/>
      <c r="I1518" s="14" t="n"/>
      <c r="J1518" s="14" t="n"/>
      <c r="K1518" s="53" t="inlineStr"/>
      <c r="L1518" s="53" t="inlineStr">
        <is>
          <t>Не определено</t>
        </is>
      </c>
      <c r="M1518" s="53" t="inlineStr"/>
      <c r="N1518" s="54" t="inlineStr"/>
      <c r="O1518" s="55" t="inlineStr"/>
      <c r="P1518" s="16" t="inlineStr">
        <is>
          <t>Требует обогащения</t>
        </is>
      </c>
      <c r="Q1518" s="16">
        <f>HYPERLINK("https://pb.nalog.ru/search.html?query=3808124637","ФНС: проверить")</f>
        <v/>
      </c>
      <c r="R1518" s="16">
        <f>HYPERLINK("https://checko.ru/search?query=3801001629","Чекко: проверить")</f>
        <v/>
      </c>
      <c r="S1518" t="n">
        <v>1</v>
      </c>
      <c r="T1518" s="35" t="inlineStr">
        <is>
          <t>4 — Не обогащён</t>
        </is>
      </c>
      <c r="U1518" s="35" t="inlineStr">
        <is>
          <t>Нет ОКВЭД/ССЧР</t>
        </is>
      </c>
      <c r="V1518" s="35" t="inlineStr">
        <is>
          <t>Не определено</t>
        </is>
      </c>
      <c r="W1518" s="35" t="inlineStr"/>
      <c r="X1518" s="35" t="inlineStr"/>
    </row>
    <row r="1519" ht="27.75" customHeight="1" s="24">
      <c r="A1519" s="13" t="n">
        <v>5000001499</v>
      </c>
      <c r="B1519" s="13" t="inlineStr">
        <is>
          <t>Аппарат Губернатора Ирк.обл. и Правительства Ирк.о</t>
        </is>
      </c>
      <c r="C1519" s="13" t="n">
        <v>3808171394</v>
      </c>
      <c r="D1519" s="13" t="inlineStr">
        <is>
          <t>3808171394</t>
        </is>
      </c>
      <c r="E1519" s="13" t="inlineStr">
        <is>
          <t>ЮЛ РФ</t>
        </is>
      </c>
      <c r="F1519" s="13" t="n"/>
      <c r="G1519" s="14" t="n"/>
      <c r="H1519" s="14" t="n"/>
      <c r="I1519" s="14" t="n"/>
      <c r="J1519" s="14" t="n"/>
      <c r="K1519" s="53" t="inlineStr"/>
      <c r="L1519" s="53" t="inlineStr">
        <is>
          <t>Не определено</t>
        </is>
      </c>
      <c r="M1519" s="53" t="inlineStr"/>
      <c r="N1519" s="54" t="inlineStr"/>
      <c r="O1519" s="55" t="inlineStr"/>
      <c r="P1519" s="16" t="inlineStr">
        <is>
          <t>Требует обогащения</t>
        </is>
      </c>
      <c r="Q1519" s="16">
        <f>HYPERLINK("https://pb.nalog.ru/search.html?query=3808171394","ФНС: проверить")</f>
        <v/>
      </c>
      <c r="R1519" s="16">
        <f>HYPERLINK("https://checko.ru/search?query=3801001629","Чекко: проверить")</f>
        <v/>
      </c>
      <c r="S1519" t="n">
        <v>1</v>
      </c>
      <c r="T1519" s="35" t="inlineStr">
        <is>
          <t>4 — Не обогащён</t>
        </is>
      </c>
      <c r="U1519" s="35" t="inlineStr">
        <is>
          <t>Нет ОКВЭД/ССЧР</t>
        </is>
      </c>
      <c r="V1519" s="35" t="inlineStr">
        <is>
          <t>Не определено</t>
        </is>
      </c>
      <c r="W1519" s="35" t="inlineStr"/>
      <c r="X1519" s="35" t="inlineStr"/>
    </row>
    <row r="1520" ht="27.75" customHeight="1" s="24">
      <c r="A1520" s="13" t="n">
        <v>5000001503</v>
      </c>
      <c r="B1520" s="13" t="inlineStr">
        <is>
          <t>Управление делами Губернатора и Правительства ИО</t>
        </is>
      </c>
      <c r="C1520" s="13" t="n">
        <v>3808172006</v>
      </c>
      <c r="D1520" s="13" t="inlineStr">
        <is>
          <t>3808172006</t>
        </is>
      </c>
      <c r="E1520" s="13" t="inlineStr">
        <is>
          <t>ЮЛ РФ</t>
        </is>
      </c>
      <c r="F1520" s="13" t="n"/>
      <c r="G1520" s="14" t="n"/>
      <c r="H1520" s="14" t="n"/>
      <c r="I1520" s="14" t="n"/>
      <c r="J1520" s="14" t="n"/>
      <c r="K1520" s="53" t="inlineStr"/>
      <c r="L1520" s="53" t="inlineStr">
        <is>
          <t>Не определено</t>
        </is>
      </c>
      <c r="M1520" s="53" t="inlineStr"/>
      <c r="N1520" s="54" t="inlineStr"/>
      <c r="O1520" s="55" t="inlineStr"/>
      <c r="P1520" s="16" t="inlineStr">
        <is>
          <t>Требует обогащения</t>
        </is>
      </c>
      <c r="Q1520" s="16">
        <f>HYPERLINK("https://pb.nalog.ru/search.html?query=3808172006","ФНС: проверить")</f>
        <v/>
      </c>
      <c r="R1520" s="16">
        <f>HYPERLINK("https://checko.ru/search?query=3801001629","Чекко: проверить")</f>
        <v/>
      </c>
      <c r="S1520" t="n">
        <v>1</v>
      </c>
      <c r="T1520" s="35" t="inlineStr">
        <is>
          <t>4 — Не обогащён</t>
        </is>
      </c>
      <c r="U1520" s="35" t="inlineStr">
        <is>
          <t>Нет ОКВЭД/ССЧР</t>
        </is>
      </c>
      <c r="V1520" s="35" t="inlineStr">
        <is>
          <t>Не определено</t>
        </is>
      </c>
      <c r="W1520" s="35" t="inlineStr"/>
      <c r="X1520" s="35" t="inlineStr"/>
    </row>
    <row r="1521" ht="27.75" customHeight="1" s="24">
      <c r="A1521" s="13" t="n">
        <v>5000001506</v>
      </c>
      <c r="B1521" s="13" t="inlineStr">
        <is>
          <t>Министерство сельского хозяйства Иркутской области</t>
        </is>
      </c>
      <c r="C1521" s="13" t="n">
        <v>3808172221</v>
      </c>
      <c r="D1521" s="13" t="inlineStr">
        <is>
          <t>3808172221</t>
        </is>
      </c>
      <c r="E1521" s="13" t="inlineStr">
        <is>
          <t>ЮЛ РФ</t>
        </is>
      </c>
      <c r="F1521" s="13" t="n"/>
      <c r="G1521" s="14" t="n"/>
      <c r="H1521" s="14" t="n"/>
      <c r="I1521" s="14" t="n"/>
      <c r="J1521" s="14" t="n"/>
      <c r="K1521" s="53" t="inlineStr"/>
      <c r="L1521" s="53" t="inlineStr">
        <is>
          <t>Не определено</t>
        </is>
      </c>
      <c r="M1521" s="53" t="inlineStr"/>
      <c r="N1521" s="54" t="inlineStr"/>
      <c r="O1521" s="55" t="inlineStr"/>
      <c r="P1521" s="16" t="inlineStr">
        <is>
          <t>Требует обогащения</t>
        </is>
      </c>
      <c r="Q1521" s="16">
        <f>HYPERLINK("https://pb.nalog.ru/search.html?query=3808172221","ФНС: проверить")</f>
        <v/>
      </c>
      <c r="R1521" s="16">
        <f>HYPERLINK("https://checko.ru/search?query=3801001629","Чекко: проверить")</f>
        <v/>
      </c>
      <c r="S1521" t="n">
        <v>1</v>
      </c>
      <c r="T1521" s="35" t="inlineStr">
        <is>
          <t>4 — Не обогащён</t>
        </is>
      </c>
      <c r="U1521" s="35" t="inlineStr">
        <is>
          <t>Нет ОКВЭД/ССЧР</t>
        </is>
      </c>
      <c r="V1521" s="35" t="inlineStr">
        <is>
          <t>Не определено</t>
        </is>
      </c>
      <c r="W1521" s="35" t="inlineStr"/>
      <c r="X1521" s="35" t="inlineStr"/>
    </row>
    <row r="1522" ht="15" customHeight="1" s="24">
      <c r="A1522" s="13" t="n">
        <v>5000001510</v>
      </c>
      <c r="B1522" s="13" t="inlineStr">
        <is>
          <t>Министерство образования Иркутской области</t>
        </is>
      </c>
      <c r="C1522" s="13" t="n">
        <v>3808172408</v>
      </c>
      <c r="D1522" s="13" t="inlineStr">
        <is>
          <t>3808172408</t>
        </is>
      </c>
      <c r="E1522" s="13" t="inlineStr">
        <is>
          <t>ЮЛ РФ</t>
        </is>
      </c>
      <c r="F1522" s="13" t="n"/>
      <c r="G1522" s="14" t="n"/>
      <c r="H1522" s="14" t="n"/>
      <c r="I1522" s="14" t="n"/>
      <c r="J1522" s="14" t="n"/>
      <c r="K1522" s="53" t="inlineStr"/>
      <c r="L1522" s="53" t="inlineStr">
        <is>
          <t>Не определено</t>
        </is>
      </c>
      <c r="M1522" s="53" t="inlineStr"/>
      <c r="N1522" s="54" t="inlineStr"/>
      <c r="O1522" s="55" t="inlineStr"/>
      <c r="P1522" s="16" t="inlineStr">
        <is>
          <t>Требует обогащения</t>
        </is>
      </c>
      <c r="Q1522" s="16">
        <f>HYPERLINK("https://pb.nalog.ru/search.html?query=3808172408","ФНС: проверить")</f>
        <v/>
      </c>
      <c r="R1522" s="16">
        <f>HYPERLINK("https://checko.ru/search?query=3801001629","Чекко: проверить")</f>
        <v/>
      </c>
      <c r="S1522" t="n">
        <v>1</v>
      </c>
      <c r="T1522" s="35" t="inlineStr">
        <is>
          <t>4 — Не обогащён</t>
        </is>
      </c>
      <c r="U1522" s="35" t="inlineStr">
        <is>
          <t>Нет ОКВЭД/ССЧР</t>
        </is>
      </c>
      <c r="V1522" s="35" t="inlineStr">
        <is>
          <t>Не определено</t>
        </is>
      </c>
      <c r="W1522" s="35" t="inlineStr"/>
      <c r="X1522" s="35" t="inlineStr"/>
    </row>
    <row r="1523" ht="15" customHeight="1" s="24">
      <c r="A1523" s="13" t="n">
        <v>5000001517</v>
      </c>
      <c r="B1523" s="13" t="inlineStr">
        <is>
          <t>ОГАУ "Иркутский Дом литераторов"</t>
        </is>
      </c>
      <c r="C1523" s="13" t="n">
        <v>3808211640</v>
      </c>
      <c r="D1523" s="13" t="inlineStr">
        <is>
          <t>3808211640</t>
        </is>
      </c>
      <c r="E1523" s="13" t="inlineStr">
        <is>
          <t>ЮЛ РФ</t>
        </is>
      </c>
      <c r="F1523" s="13" t="n"/>
      <c r="G1523" s="14" t="n"/>
      <c r="H1523" s="14" t="n"/>
      <c r="I1523" s="14" t="n"/>
      <c r="J1523" s="14" t="n"/>
      <c r="K1523" s="53" t="inlineStr"/>
      <c r="L1523" s="53" t="inlineStr">
        <is>
          <t>Не определено</t>
        </is>
      </c>
      <c r="M1523" s="53" t="inlineStr"/>
      <c r="N1523" s="54" t="inlineStr"/>
      <c r="O1523" s="55" t="inlineStr"/>
      <c r="P1523" s="16" t="inlineStr">
        <is>
          <t>Требует обогащения</t>
        </is>
      </c>
      <c r="Q1523" s="16">
        <f>HYPERLINK("https://pb.nalog.ru/search.html?query=3808211640","ФНС: проверить")</f>
        <v/>
      </c>
      <c r="R1523" s="16">
        <f>HYPERLINK("https://checko.ru/search?query=3801001629","Чекко: проверить")</f>
        <v/>
      </c>
      <c r="S1523" t="n">
        <v>1</v>
      </c>
      <c r="T1523" s="35" t="inlineStr">
        <is>
          <t>4 — Не обогащён</t>
        </is>
      </c>
      <c r="U1523" s="35" t="inlineStr">
        <is>
          <t>Нет ОКВЭД/ССЧР</t>
        </is>
      </c>
      <c r="V1523" s="35" t="inlineStr">
        <is>
          <t>Не определено</t>
        </is>
      </c>
      <c r="W1523" s="35" t="inlineStr"/>
      <c r="X1523" s="35" t="inlineStr"/>
    </row>
    <row r="1524" ht="27.75" customHeight="1" s="24">
      <c r="A1524" s="13" t="n">
        <v>5000001547</v>
      </c>
      <c r="B1524" s="13" t="inlineStr">
        <is>
          <t>ОГАУЗ ИГКБ № 8 (Городская клиническая больница)</t>
        </is>
      </c>
      <c r="C1524" s="13" t="n">
        <v>3810009342</v>
      </c>
      <c r="D1524" s="13" t="inlineStr">
        <is>
          <t>3810009342</t>
        </is>
      </c>
      <c r="E1524" s="13" t="inlineStr">
        <is>
          <t>ЮЛ РФ</t>
        </is>
      </c>
      <c r="F1524" s="13" t="n"/>
      <c r="G1524" s="14" t="n"/>
      <c r="H1524" s="14" t="n"/>
      <c r="I1524" s="14" t="n"/>
      <c r="J1524" s="14" t="n"/>
      <c r="K1524" s="53" t="inlineStr"/>
      <c r="L1524" s="53" t="inlineStr">
        <is>
          <t>Не определено</t>
        </is>
      </c>
      <c r="M1524" s="53" t="inlineStr"/>
      <c r="N1524" s="54" t="inlineStr"/>
      <c r="O1524" s="55" t="inlineStr"/>
      <c r="P1524" s="16" t="inlineStr">
        <is>
          <t>Требует обогащения</t>
        </is>
      </c>
      <c r="Q1524" s="16">
        <f>HYPERLINK("https://pb.nalog.ru/search.html?query=3810009342","ФНС: проверить")</f>
        <v/>
      </c>
      <c r="R1524" s="16">
        <f>HYPERLINK("https://checko.ru/search?query=3801001629","Чекко: проверить")</f>
        <v/>
      </c>
      <c r="S1524" t="n">
        <v>1</v>
      </c>
      <c r="T1524" s="35" t="inlineStr">
        <is>
          <t>4 — Не обогащён</t>
        </is>
      </c>
      <c r="U1524" s="35" t="inlineStr">
        <is>
          <t>Нет ОКВЭД/ССЧР</t>
        </is>
      </c>
      <c r="V1524" s="35" t="inlineStr">
        <is>
          <t>Не определено</t>
        </is>
      </c>
      <c r="W1524" s="35" t="inlineStr"/>
      <c r="X1524" s="35" t="inlineStr"/>
    </row>
    <row r="1525" ht="15" customHeight="1" s="24">
      <c r="A1525" s="13" t="n">
        <v>5000001356</v>
      </c>
      <c r="B1525" s="13" t="inlineStr">
        <is>
          <t>ОГБУ "Ангарская станция по ББЖ"</t>
        </is>
      </c>
      <c r="C1525" s="13" t="n">
        <v>3801071312</v>
      </c>
      <c r="D1525" s="13" t="inlineStr">
        <is>
          <t>3801071312</t>
        </is>
      </c>
      <c r="E1525" s="13" t="inlineStr">
        <is>
          <t>ЮЛ РФ</t>
        </is>
      </c>
      <c r="F1525" s="13" t="n"/>
      <c r="G1525" s="14" t="n"/>
      <c r="H1525" s="14" t="n"/>
      <c r="I1525" s="14" t="n"/>
      <c r="J1525" s="14" t="n"/>
      <c r="K1525" s="53" t="inlineStr"/>
      <c r="L1525" s="53" t="inlineStr">
        <is>
          <t>Не определено</t>
        </is>
      </c>
      <c r="M1525" s="53" t="inlineStr"/>
      <c r="N1525" s="54" t="inlineStr"/>
      <c r="O1525" s="55" t="inlineStr"/>
      <c r="P1525" s="16" t="inlineStr">
        <is>
          <t>Требует обогащения</t>
        </is>
      </c>
      <c r="Q1525" s="16">
        <f>HYPERLINK("https://pb.nalog.ru/search.html?query=3801071312","ФНС: проверить")</f>
        <v/>
      </c>
      <c r="R1525" s="16">
        <f>HYPERLINK("https://checko.ru/search?query=3801001629","Чекко: проверить")</f>
        <v/>
      </c>
      <c r="S1525" t="n">
        <v>1</v>
      </c>
      <c r="T1525" s="35" t="inlineStr">
        <is>
          <t>4 — Не обогащён</t>
        </is>
      </c>
      <c r="U1525" s="35" t="inlineStr">
        <is>
          <t>Нет ОКВЭД/ССЧР</t>
        </is>
      </c>
      <c r="V1525" s="35" t="inlineStr">
        <is>
          <t>Не определено</t>
        </is>
      </c>
      <c r="W1525" s="35" t="inlineStr"/>
      <c r="X1525" s="35" t="inlineStr"/>
    </row>
    <row r="1526" ht="15" customHeight="1" s="24">
      <c r="A1526" s="13" t="n">
        <v>5000001396</v>
      </c>
      <c r="B1526" s="13" t="inlineStr">
        <is>
          <t>ОГБУ "Братская станция по ББЖ"</t>
        </is>
      </c>
      <c r="C1526" s="13" t="n">
        <v>3804029510</v>
      </c>
      <c r="D1526" s="13" t="inlineStr">
        <is>
          <t>3804029510</t>
        </is>
      </c>
      <c r="E1526" s="13" t="inlineStr">
        <is>
          <t>ЮЛ РФ</t>
        </is>
      </c>
      <c r="F1526" s="13" t="n"/>
      <c r="G1526" s="14" t="n"/>
      <c r="H1526" s="14" t="n"/>
      <c r="I1526" s="14" t="n"/>
      <c r="J1526" s="14" t="n"/>
      <c r="K1526" s="53" t="inlineStr"/>
      <c r="L1526" s="53" t="inlineStr">
        <is>
          <t>Не определено</t>
        </is>
      </c>
      <c r="M1526" s="53" t="inlineStr"/>
      <c r="N1526" s="54" t="inlineStr"/>
      <c r="O1526" s="55" t="inlineStr"/>
      <c r="P1526" s="16" t="inlineStr">
        <is>
          <t>Требует обогащения</t>
        </is>
      </c>
      <c r="Q1526" s="16">
        <f>HYPERLINK("https://pb.nalog.ru/search.html?query=3804029510","ФНС: проверить")</f>
        <v/>
      </c>
      <c r="R1526" s="16">
        <f>HYPERLINK("https://checko.ru/search?query=3801001629","Чекко: проверить")</f>
        <v/>
      </c>
      <c r="S1526" t="n">
        <v>1</v>
      </c>
      <c r="T1526" s="35" t="inlineStr">
        <is>
          <t>4 — Не обогащён</t>
        </is>
      </c>
      <c r="U1526" s="35" t="inlineStr">
        <is>
          <t>Нет ОКВЭД/ССЧР</t>
        </is>
      </c>
      <c r="V1526" s="35" t="inlineStr">
        <is>
          <t>Не определено</t>
        </is>
      </c>
      <c r="W1526" s="35" t="inlineStr"/>
      <c r="X1526" s="35" t="inlineStr"/>
    </row>
    <row r="1527" ht="41.25" customHeight="1" s="24">
      <c r="A1527" s="13" t="n">
        <v>5000001397</v>
      </c>
      <c r="B1527" s="13" t="inlineStr">
        <is>
          <t>Межрайонное управление министерства социального развития, опеки и попечительства №7</t>
        </is>
      </c>
      <c r="C1527" s="13" t="n">
        <v>3804030890</v>
      </c>
      <c r="D1527" s="13" t="inlineStr">
        <is>
          <t>3804030890</t>
        </is>
      </c>
      <c r="E1527" s="13" t="inlineStr">
        <is>
          <t>ЮЛ РФ</t>
        </is>
      </c>
      <c r="F1527" s="13" t="n"/>
      <c r="G1527" s="14" t="n"/>
      <c r="H1527" s="14" t="n"/>
      <c r="I1527" s="14" t="n"/>
      <c r="J1527" s="14" t="n"/>
      <c r="K1527" s="53" t="inlineStr"/>
      <c r="L1527" s="53" t="inlineStr">
        <is>
          <t>Не определено</t>
        </is>
      </c>
      <c r="M1527" s="53" t="inlineStr"/>
      <c r="N1527" s="54" t="inlineStr"/>
      <c r="O1527" s="55" t="inlineStr"/>
      <c r="P1527" s="16" t="inlineStr">
        <is>
          <t>Требует обогащения</t>
        </is>
      </c>
      <c r="Q1527" s="16">
        <f>HYPERLINK("https://pb.nalog.ru/search.html?query=3804030890","ФНС: проверить")</f>
        <v/>
      </c>
      <c r="R1527" s="16">
        <f>HYPERLINK("https://checko.ru/search?query=3801001629","Чекко: проверить")</f>
        <v/>
      </c>
      <c r="S1527" t="n">
        <v>1</v>
      </c>
      <c r="T1527" s="35" t="inlineStr">
        <is>
          <t>4 — Не обогащён</t>
        </is>
      </c>
      <c r="U1527" s="35" t="inlineStr">
        <is>
          <t>Нет ОКВЭД/ССЧР</t>
        </is>
      </c>
      <c r="V1527" s="35" t="inlineStr">
        <is>
          <t>Не определено</t>
        </is>
      </c>
      <c r="W1527" s="35" t="inlineStr"/>
      <c r="X1527" s="35" t="inlineStr"/>
    </row>
    <row r="1528" ht="15" customHeight="1" s="24">
      <c r="A1528" s="13" t="n">
        <v>5000001411</v>
      </c>
      <c r="B1528" s="13" t="inlineStr">
        <is>
          <t>ОГБУ "Зиминская СББЖ"</t>
        </is>
      </c>
      <c r="C1528" s="13" t="n">
        <v>3806000555</v>
      </c>
      <c r="D1528" s="13" t="inlineStr">
        <is>
          <t>3806000555</t>
        </is>
      </c>
      <c r="E1528" s="13" t="inlineStr">
        <is>
          <t>ЮЛ РФ</t>
        </is>
      </c>
      <c r="F1528" s="13" t="n"/>
      <c r="G1528" s="14" t="n"/>
      <c r="H1528" s="14" t="n"/>
      <c r="I1528" s="14" t="n"/>
      <c r="J1528" s="14" t="n"/>
      <c r="K1528" s="53" t="inlineStr"/>
      <c r="L1528" s="53" t="inlineStr">
        <is>
          <t>Не определено</t>
        </is>
      </c>
      <c r="M1528" s="53" t="inlineStr"/>
      <c r="N1528" s="54" t="inlineStr"/>
      <c r="O1528" s="55" t="inlineStr"/>
      <c r="P1528" s="16" t="inlineStr">
        <is>
          <t>Требует обогащения</t>
        </is>
      </c>
      <c r="Q1528" s="16">
        <f>HYPERLINK("https://pb.nalog.ru/search.html?query=3806000555","ФНС: проверить")</f>
        <v/>
      </c>
      <c r="R1528" s="16">
        <f>HYPERLINK("https://checko.ru/search?query=3801001629","Чекко: проверить")</f>
        <v/>
      </c>
      <c r="S1528" t="n">
        <v>1</v>
      </c>
      <c r="T1528" s="35" t="inlineStr">
        <is>
          <t>4 — Не обогащён</t>
        </is>
      </c>
      <c r="U1528" s="35" t="inlineStr">
        <is>
          <t>Нет ОКВЭД/ССЧР</t>
        </is>
      </c>
      <c r="V1528" s="35" t="inlineStr">
        <is>
          <t>Не определено</t>
        </is>
      </c>
      <c r="W1528" s="35" t="inlineStr"/>
      <c r="X1528" s="35" t="inlineStr"/>
    </row>
    <row r="1529" ht="27.75" customHeight="1" s="24">
      <c r="A1529" s="13" t="n">
        <v>5000001427</v>
      </c>
      <c r="B1529" s="13" t="inlineStr">
        <is>
          <t>ГБУ ДПО ИРКУТСКИЙ ОБЛАСТНОЙ УЧЕБНО-МЕТОДИЧЕСКИЙ ЦЕНТР КУЛЬТУРЫ И ИСКУССТВА</t>
        </is>
      </c>
      <c r="C1529" s="13" t="n">
        <v>3808010580</v>
      </c>
      <c r="D1529" s="13" t="inlineStr">
        <is>
          <t>3808010580</t>
        </is>
      </c>
      <c r="E1529" s="13" t="inlineStr">
        <is>
          <t>ЮЛ РФ</t>
        </is>
      </c>
      <c r="F1529" s="13" t="n"/>
      <c r="G1529" s="14" t="n"/>
      <c r="H1529" s="14" t="n"/>
      <c r="I1529" s="14" t="n"/>
      <c r="J1529" s="14" t="n"/>
      <c r="K1529" s="53" t="inlineStr"/>
      <c r="L1529" s="53" t="inlineStr">
        <is>
          <t>Не определено</t>
        </is>
      </c>
      <c r="M1529" s="53" t="inlineStr"/>
      <c r="N1529" s="54" t="inlineStr"/>
      <c r="O1529" s="55" t="inlineStr"/>
      <c r="P1529" s="16" t="inlineStr">
        <is>
          <t>Требует обогащения</t>
        </is>
      </c>
      <c r="Q1529" s="16">
        <f>HYPERLINK("https://pb.nalog.ru/search.html?query=3808010580","ФНС: проверить")</f>
        <v/>
      </c>
      <c r="R1529" s="16">
        <f>HYPERLINK("https://checko.ru/search?query=3801001629","Чекко: проверить")</f>
        <v/>
      </c>
      <c r="S1529" t="n">
        <v>1</v>
      </c>
      <c r="T1529" s="35" t="inlineStr">
        <is>
          <t>4 — Не обогащён</t>
        </is>
      </c>
      <c r="U1529" s="35" t="inlineStr">
        <is>
          <t>Нет ОКВЭД/ССЧР</t>
        </is>
      </c>
      <c r="V1529" s="35" t="inlineStr">
        <is>
          <t>Не определено</t>
        </is>
      </c>
      <c r="W1529" s="35" t="inlineStr"/>
      <c r="X1529" s="35" t="inlineStr"/>
    </row>
    <row r="1530" ht="15" customHeight="1" s="24">
      <c r="A1530" s="13" t="n">
        <v>5000022233</v>
      </c>
      <c r="B1530" s="13" t="inlineStr">
        <is>
          <t>МКУК ШАРА-ТОГОТСКИЙ ДОМ КУЛЬТУРЫ</t>
        </is>
      </c>
      <c r="C1530" s="13" t="n">
        <v>3836004155</v>
      </c>
      <c r="D1530" s="13" t="inlineStr">
        <is>
          <t>3836004155</t>
        </is>
      </c>
      <c r="E1530" s="13" t="inlineStr">
        <is>
          <t>ЮЛ РФ</t>
        </is>
      </c>
      <c r="F1530" s="13" t="n"/>
      <c r="G1530" s="14" t="n"/>
      <c r="H1530" s="14" t="n"/>
      <c r="I1530" s="14" t="n"/>
      <c r="J1530" s="14" t="n"/>
      <c r="K1530" s="53" t="inlineStr"/>
      <c r="L1530" s="53" t="inlineStr">
        <is>
          <t>Не определено</t>
        </is>
      </c>
      <c r="M1530" s="53" t="inlineStr"/>
      <c r="N1530" s="54" t="inlineStr"/>
      <c r="O1530" s="55" t="inlineStr"/>
      <c r="P1530" s="16" t="inlineStr">
        <is>
          <t>Требует обогащения</t>
        </is>
      </c>
      <c r="Q1530" s="16">
        <f>HYPERLINK("https://pb.nalog.ru/search.html?query=3836004155","ФНС: проверить")</f>
        <v/>
      </c>
      <c r="R1530" s="16">
        <f>HYPERLINK("https://checko.ru/search?query=3801001629","Чекко: проверить")</f>
        <v/>
      </c>
      <c r="S1530" t="n">
        <v>1</v>
      </c>
      <c r="T1530" s="35" t="inlineStr">
        <is>
          <t>4 — Не обогащён</t>
        </is>
      </c>
      <c r="U1530" s="35" t="inlineStr">
        <is>
          <t>Нет ОКВЭД/ССЧР</t>
        </is>
      </c>
      <c r="V1530" s="35" t="inlineStr">
        <is>
          <t>Не определено</t>
        </is>
      </c>
      <c r="W1530" s="35" t="inlineStr"/>
      <c r="X1530" s="35" t="inlineStr"/>
    </row>
    <row r="1531" ht="54.75" customHeight="1" s="24">
      <c r="A1531" s="13" t="n">
        <v>5000030820</v>
      </c>
      <c r="B1531" s="13" t="inlineStr">
        <is>
          <t>Муниципальное учреждение Управления образования администрации муниципального образования «Ташлинский район» Оренбургской области</t>
        </is>
      </c>
      <c r="C1531" s="13" t="n">
        <v>5648006139</v>
      </c>
      <c r="D1531" s="13" t="inlineStr">
        <is>
          <t>5648006139</t>
        </is>
      </c>
      <c r="E1531" s="13" t="inlineStr">
        <is>
          <t>ЮЛ РФ</t>
        </is>
      </c>
      <c r="F1531" s="13" t="n"/>
      <c r="G1531" s="14" t="n"/>
      <c r="H1531" s="14" t="n"/>
      <c r="I1531" s="14" t="n"/>
      <c r="J1531" s="14" t="n"/>
      <c r="K1531" s="53" t="inlineStr"/>
      <c r="L1531" s="53" t="inlineStr">
        <is>
          <t>Не определено</t>
        </is>
      </c>
      <c r="M1531" s="53" t="inlineStr"/>
      <c r="N1531" s="54" t="inlineStr"/>
      <c r="O1531" s="55" t="inlineStr"/>
      <c r="P1531" s="16" t="inlineStr">
        <is>
          <t>Требует обогащения</t>
        </is>
      </c>
      <c r="Q1531" s="16">
        <f>HYPERLINK("https://pb.nalog.ru/search.html?query=5648006139","ФНС: проверить")</f>
        <v/>
      </c>
      <c r="R1531" s="16">
        <f>HYPERLINK("https://checko.ru/search?query=3801001629","Чекко: проверить")</f>
        <v/>
      </c>
      <c r="S1531" t="n">
        <v>1</v>
      </c>
      <c r="T1531" s="35" t="inlineStr">
        <is>
          <t>4 — Не обогащён</t>
        </is>
      </c>
      <c r="U1531" s="35" t="inlineStr">
        <is>
          <t>Нет ОКВЭД/ССЧР</t>
        </is>
      </c>
      <c r="V1531" s="35" t="inlineStr">
        <is>
          <t>Не определено</t>
        </is>
      </c>
      <c r="W1531" s="35" t="inlineStr"/>
      <c r="X1531" s="35" t="inlineStr"/>
    </row>
    <row r="1532" ht="27.75" customHeight="1" s="24">
      <c r="A1532" s="13" t="n">
        <v>5000030822</v>
      </c>
      <c r="B1532" s="13" t="inlineStr">
        <is>
          <t>Муниципальное учреждение «Отдел культуры администрации Ташлинского района»</t>
        </is>
      </c>
      <c r="C1532" s="13" t="n">
        <v>5648006153</v>
      </c>
      <c r="D1532" s="13" t="inlineStr">
        <is>
          <t>5648006153</t>
        </is>
      </c>
      <c r="E1532" s="13" t="inlineStr">
        <is>
          <t>ЮЛ РФ</t>
        </is>
      </c>
      <c r="F1532" s="13" t="n"/>
      <c r="G1532" s="14" t="n"/>
      <c r="H1532" s="14" t="n"/>
      <c r="I1532" s="14" t="n"/>
      <c r="J1532" s="14" t="n"/>
      <c r="K1532" s="53" t="inlineStr"/>
      <c r="L1532" s="53" t="inlineStr">
        <is>
          <t>Не определено</t>
        </is>
      </c>
      <c r="M1532" s="53" t="inlineStr"/>
      <c r="N1532" s="54" t="inlineStr"/>
      <c r="O1532" s="55" t="inlineStr"/>
      <c r="P1532" s="16" t="inlineStr">
        <is>
          <t>Требует обогащения</t>
        </is>
      </c>
      <c r="Q1532" s="16">
        <f>HYPERLINK("https://pb.nalog.ru/search.html?query=5648006153","ФНС: проверить")</f>
        <v/>
      </c>
      <c r="R1532" s="16">
        <f>HYPERLINK("https://checko.ru/search?query=3801001629","Чекко: проверить")</f>
        <v/>
      </c>
      <c r="S1532" t="n">
        <v>1</v>
      </c>
      <c r="T1532" s="35" t="inlineStr">
        <is>
          <t>4 — Не обогащён</t>
        </is>
      </c>
      <c r="U1532" s="35" t="inlineStr">
        <is>
          <t>Нет ОКВЭД/ССЧР</t>
        </is>
      </c>
      <c r="V1532" s="35" t="inlineStr">
        <is>
          <t>Не определено</t>
        </is>
      </c>
      <c r="W1532" s="35" t="inlineStr"/>
      <c r="X1532" s="35" t="inlineStr"/>
    </row>
    <row r="1533" ht="41.25" customHeight="1" s="24">
      <c r="A1533" s="13" t="n">
        <v>5000030823</v>
      </c>
      <c r="B1533" s="13" t="inlineStr">
        <is>
          <t>Муниципальное бюджетное учреждение «Многофункциональный центр по оказанию государственных и муниципальных услуг»</t>
        </is>
      </c>
      <c r="C1533" s="13" t="n">
        <v>5648020782</v>
      </c>
      <c r="D1533" s="13" t="inlineStr">
        <is>
          <t>5648020782</t>
        </is>
      </c>
      <c r="E1533" s="13" t="inlineStr">
        <is>
          <t>ЮЛ РФ</t>
        </is>
      </c>
      <c r="F1533" s="13" t="n"/>
      <c r="G1533" s="14" t="n"/>
      <c r="H1533" s="14" t="n"/>
      <c r="I1533" s="14" t="n"/>
      <c r="J1533" s="14" t="n"/>
      <c r="K1533" s="53" t="inlineStr"/>
      <c r="L1533" s="53" t="inlineStr">
        <is>
          <t>Не определено</t>
        </is>
      </c>
      <c r="M1533" s="53" t="inlineStr"/>
      <c r="N1533" s="54" t="inlineStr"/>
      <c r="O1533" s="55" t="inlineStr"/>
      <c r="P1533" s="16" t="inlineStr">
        <is>
          <t>Требует обогащения</t>
        </is>
      </c>
      <c r="Q1533" s="16">
        <f>HYPERLINK("https://pb.nalog.ru/search.html?query=5648020782","ФНС: проверить")</f>
        <v/>
      </c>
      <c r="R1533" s="16">
        <f>HYPERLINK("https://checko.ru/search?query=3801001629","Чекко: проверить")</f>
        <v/>
      </c>
      <c r="S1533" t="n">
        <v>1</v>
      </c>
      <c r="T1533" s="35" t="inlineStr">
        <is>
          <t>4 — Не обогащён</t>
        </is>
      </c>
      <c r="U1533" s="35" t="inlineStr">
        <is>
          <t>Нет ОКВЭД/ССЧР</t>
        </is>
      </c>
      <c r="V1533" s="35" t="inlineStr">
        <is>
          <t>Не определено</t>
        </is>
      </c>
      <c r="W1533" s="35" t="inlineStr"/>
      <c r="X1533" s="35" t="inlineStr"/>
    </row>
    <row r="1534" ht="41.25" customHeight="1" s="24">
      <c r="A1534" s="13" t="n">
        <v>5000030819</v>
      </c>
      <c r="B1534" s="13" t="inlineStr">
        <is>
          <t>Муниципальное казенное учреждение «Ташлинский информационно-методический центр»</t>
        </is>
      </c>
      <c r="C1534" s="13" t="n">
        <v>5648020704</v>
      </c>
      <c r="D1534" s="13" t="inlineStr">
        <is>
          <t>5648020704</t>
        </is>
      </c>
      <c r="E1534" s="13" t="inlineStr">
        <is>
          <t>ЮЛ РФ</t>
        </is>
      </c>
      <c r="F1534" s="13" t="n"/>
      <c r="G1534" s="14" t="n"/>
      <c r="H1534" s="14" t="n"/>
      <c r="I1534" s="14" t="n"/>
      <c r="J1534" s="14" t="n"/>
      <c r="K1534" s="53" t="inlineStr"/>
      <c r="L1534" s="53" t="inlineStr">
        <is>
          <t>Не определено</t>
        </is>
      </c>
      <c r="M1534" s="53" t="inlineStr"/>
      <c r="N1534" s="54" t="inlineStr"/>
      <c r="O1534" s="55" t="inlineStr"/>
      <c r="P1534" s="16" t="inlineStr">
        <is>
          <t>Требует обогащения</t>
        </is>
      </c>
      <c r="Q1534" s="16">
        <f>HYPERLINK("https://pb.nalog.ru/search.html?query=5648020704","ФНС: проверить")</f>
        <v/>
      </c>
      <c r="R1534" s="16">
        <f>HYPERLINK("https://checko.ru/search?query=3801001629","Чекко: проверить")</f>
        <v/>
      </c>
      <c r="S1534" t="n">
        <v>1</v>
      </c>
      <c r="T1534" s="35" t="inlineStr">
        <is>
          <t>4 — Не обогащён</t>
        </is>
      </c>
      <c r="U1534" s="35" t="inlineStr">
        <is>
          <t>Нет ОКВЭД/ССЧР</t>
        </is>
      </c>
      <c r="V1534" s="35" t="inlineStr">
        <is>
          <t>Не определено</t>
        </is>
      </c>
      <c r="W1534" s="35" t="inlineStr"/>
      <c r="X1534" s="35" t="inlineStr"/>
    </row>
    <row r="1535" ht="41.25" customHeight="1" s="24">
      <c r="A1535" s="13" t="n">
        <v>5000030799</v>
      </c>
      <c r="B1535" s="13" t="inlineStr">
        <is>
          <t>Муниципальное автономное дошкольное образовательное учреждение детский сад «Дарование»</t>
        </is>
      </c>
      <c r="C1535" s="13" t="n">
        <v>5648006682</v>
      </c>
      <c r="D1535" s="13" t="inlineStr">
        <is>
          <t>5648006682</t>
        </is>
      </c>
      <c r="E1535" s="13" t="inlineStr">
        <is>
          <t>ЮЛ РФ</t>
        </is>
      </c>
      <c r="F1535" s="13" t="n"/>
      <c r="G1535" s="14" t="n"/>
      <c r="H1535" s="14" t="n"/>
      <c r="I1535" s="14" t="n"/>
      <c r="J1535" s="14" t="n"/>
      <c r="K1535" s="53" t="inlineStr"/>
      <c r="L1535" s="53" t="inlineStr">
        <is>
          <t>Не определено</t>
        </is>
      </c>
      <c r="M1535" s="53" t="inlineStr"/>
      <c r="N1535" s="54" t="inlineStr"/>
      <c r="O1535" s="55" t="inlineStr"/>
      <c r="P1535" s="16" t="inlineStr">
        <is>
          <t>Требует обогащения</t>
        </is>
      </c>
      <c r="Q1535" s="16">
        <f>HYPERLINK("https://pb.nalog.ru/search.html?query=5648006682","ФНС: проверить")</f>
        <v/>
      </c>
      <c r="R1535" s="16">
        <f>HYPERLINK("https://checko.ru/search?query=3801001629","Чекко: проверить")</f>
        <v/>
      </c>
      <c r="S1535" t="n">
        <v>1</v>
      </c>
      <c r="T1535" s="35" t="inlineStr">
        <is>
          <t>4 — Не обогащён</t>
        </is>
      </c>
      <c r="U1535" s="35" t="inlineStr">
        <is>
          <t>Нет ОКВЭД/ССЧР</t>
        </is>
      </c>
      <c r="V1535" s="35" t="inlineStr">
        <is>
          <t>Не определено</t>
        </is>
      </c>
      <c r="W1535" s="35" t="inlineStr"/>
      <c r="X1535" s="35" t="inlineStr"/>
    </row>
    <row r="1536" ht="41.25" customHeight="1" s="24">
      <c r="A1536" s="13" t="n">
        <v>5000030811</v>
      </c>
      <c r="B1536" s="13" t="inlineStr">
        <is>
          <t>Муниципальное бюджетное дошкольное образовательное учреждение Степной детский сад «Солнышко»</t>
        </is>
      </c>
      <c r="C1536" s="13" t="n">
        <v>5648004597</v>
      </c>
      <c r="D1536" s="13" t="inlineStr">
        <is>
          <t>5648004597</t>
        </is>
      </c>
      <c r="E1536" s="13" t="inlineStr">
        <is>
          <t>ЮЛ РФ</t>
        </is>
      </c>
      <c r="F1536" s="13" t="n"/>
      <c r="G1536" s="14" t="n"/>
      <c r="H1536" s="14" t="n"/>
      <c r="I1536" s="14" t="n"/>
      <c r="J1536" s="14" t="n"/>
      <c r="K1536" s="53" t="inlineStr"/>
      <c r="L1536" s="53" t="inlineStr">
        <is>
          <t>Не определено</t>
        </is>
      </c>
      <c r="M1536" s="53" t="inlineStr"/>
      <c r="N1536" s="54" t="inlineStr"/>
      <c r="O1536" s="55" t="inlineStr"/>
      <c r="P1536" s="16" t="inlineStr">
        <is>
          <t>Требует обогащения</t>
        </is>
      </c>
      <c r="Q1536" s="16">
        <f>HYPERLINK("https://pb.nalog.ru/search.html?query=5648004597","ФНС: проверить")</f>
        <v/>
      </c>
      <c r="R1536" s="16">
        <f>HYPERLINK("https://checko.ru/search?query=3801001629","Чекко: проверить")</f>
        <v/>
      </c>
      <c r="S1536" t="n">
        <v>1</v>
      </c>
      <c r="T1536" s="35" t="inlineStr">
        <is>
          <t>4 — Не обогащён</t>
        </is>
      </c>
      <c r="U1536" s="35" t="inlineStr">
        <is>
          <t>Нет ОКВЭД/ССЧР</t>
        </is>
      </c>
      <c r="V1536" s="35" t="inlineStr">
        <is>
          <t>Не определено</t>
        </is>
      </c>
      <c r="W1536" s="35" t="inlineStr"/>
      <c r="X1536" s="35" t="inlineStr"/>
    </row>
    <row r="1537" ht="41.25" customHeight="1" s="24">
      <c r="A1537" s="13" t="n">
        <v>5000030835</v>
      </c>
      <c r="B1537" s="13" t="inlineStr">
        <is>
          <t>Администрация муниципального образования Ташлинский сельсовет Ташлинского района Оренбургской области</t>
        </is>
      </c>
      <c r="C1537" s="13" t="n">
        <v>5648004389</v>
      </c>
      <c r="D1537" s="13" t="inlineStr">
        <is>
          <t>5648004389</t>
        </is>
      </c>
      <c r="E1537" s="13" t="inlineStr">
        <is>
          <t>ЮЛ РФ</t>
        </is>
      </c>
      <c r="F1537" s="13" t="n"/>
      <c r="G1537" s="14" t="n"/>
      <c r="H1537" s="14" t="n"/>
      <c r="I1537" s="14" t="n"/>
      <c r="J1537" s="14" t="n"/>
      <c r="K1537" s="53" t="inlineStr"/>
      <c r="L1537" s="53" t="inlineStr">
        <is>
          <t>Не определено</t>
        </is>
      </c>
      <c r="M1537" s="53" t="inlineStr"/>
      <c r="N1537" s="54" t="inlineStr"/>
      <c r="O1537" s="55" t="inlineStr"/>
      <c r="P1537" s="16" t="inlineStr">
        <is>
          <t>Требует обогащения</t>
        </is>
      </c>
      <c r="Q1537" s="16">
        <f>HYPERLINK("https://pb.nalog.ru/search.html?query=5648004389","ФНС: проверить")</f>
        <v/>
      </c>
      <c r="R1537" s="16">
        <f>HYPERLINK("https://checko.ru/search?query=3801001629","Чекко: проверить")</f>
        <v/>
      </c>
      <c r="S1537" t="n">
        <v>1</v>
      </c>
      <c r="T1537" s="35" t="inlineStr">
        <is>
          <t>4 — Не обогащён</t>
        </is>
      </c>
      <c r="U1537" s="35" t="inlineStr">
        <is>
          <t>Нет ОКВЭД/ССЧР</t>
        </is>
      </c>
      <c r="V1537" s="35" t="inlineStr">
        <is>
          <t>Не определено</t>
        </is>
      </c>
      <c r="W1537" s="35" t="inlineStr"/>
      <c r="X1537" s="35" t="inlineStr"/>
    </row>
    <row r="1538" ht="41.25" customHeight="1" s="24">
      <c r="A1538" s="13" t="n">
        <v>5000030836</v>
      </c>
      <c r="B1538" s="13" t="inlineStr">
        <is>
          <t>Администрация муниципального образования Трудовой сельсовет Ташлинского района Оренбургской области</t>
        </is>
      </c>
      <c r="C1538" s="13" t="n">
        <v>5648004276</v>
      </c>
      <c r="D1538" s="13" t="inlineStr">
        <is>
          <t>5648004276</t>
        </is>
      </c>
      <c r="E1538" s="13" t="inlineStr">
        <is>
          <t>ЮЛ РФ</t>
        </is>
      </c>
      <c r="F1538" s="13" t="n"/>
      <c r="G1538" s="14" t="n"/>
      <c r="H1538" s="14" t="n"/>
      <c r="I1538" s="14" t="n"/>
      <c r="J1538" s="14" t="n"/>
      <c r="K1538" s="53" t="inlineStr"/>
      <c r="L1538" s="53" t="inlineStr">
        <is>
          <t>Не определено</t>
        </is>
      </c>
      <c r="M1538" s="53" t="inlineStr"/>
      <c r="N1538" s="54" t="inlineStr"/>
      <c r="O1538" s="55" t="inlineStr"/>
      <c r="P1538" s="16" t="inlineStr">
        <is>
          <t>Требует обогащения</t>
        </is>
      </c>
      <c r="Q1538" s="16">
        <f>HYPERLINK("https://pb.nalog.ru/search.html?query=5648004276","ФНС: проверить")</f>
        <v/>
      </c>
      <c r="R1538" s="16">
        <f>HYPERLINK("https://checko.ru/search?query=3801001629","Чекко: проверить")</f>
        <v/>
      </c>
      <c r="S1538" t="n">
        <v>1</v>
      </c>
      <c r="T1538" s="35" t="inlineStr">
        <is>
          <t>4 — Не обогащён</t>
        </is>
      </c>
      <c r="U1538" s="35" t="inlineStr">
        <is>
          <t>Нет ОКВЭД/ССЧР</t>
        </is>
      </c>
      <c r="V1538" s="35" t="inlineStr">
        <is>
          <t>Не определено</t>
        </is>
      </c>
      <c r="W1538" s="35" t="inlineStr"/>
      <c r="X1538" s="35" t="inlineStr"/>
    </row>
    <row r="1539" ht="41.25" customHeight="1" s="24">
      <c r="A1539" s="13" t="n">
        <v>5000030812</v>
      </c>
      <c r="B1539" s="13" t="inlineStr">
        <is>
          <t>Муниципальное бюджетное дошкольное образовательное учреждение Ташлинский детский сад «Дружба»</t>
        </is>
      </c>
      <c r="C1539" s="13" t="n">
        <v>5648006690</v>
      </c>
      <c r="D1539" s="13" t="inlineStr">
        <is>
          <t>5648006690</t>
        </is>
      </c>
      <c r="E1539" s="13" t="inlineStr">
        <is>
          <t>ЮЛ РФ</t>
        </is>
      </c>
      <c r="F1539" s="13" t="n"/>
      <c r="G1539" s="14" t="n"/>
      <c r="H1539" s="14" t="n"/>
      <c r="I1539" s="14" t="n"/>
      <c r="J1539" s="14" t="n"/>
      <c r="K1539" s="53" t="inlineStr"/>
      <c r="L1539" s="53" t="inlineStr">
        <is>
          <t>Не определено</t>
        </is>
      </c>
      <c r="M1539" s="53" t="inlineStr"/>
      <c r="N1539" s="54" t="inlineStr"/>
      <c r="O1539" s="55" t="inlineStr"/>
      <c r="P1539" s="16" t="inlineStr">
        <is>
          <t>Требует обогащения</t>
        </is>
      </c>
      <c r="Q1539" s="16">
        <f>HYPERLINK("https://pb.nalog.ru/search.html?query=5648006690","ФНС: проверить")</f>
        <v/>
      </c>
      <c r="R1539" s="16">
        <f>HYPERLINK("https://checko.ru/search?query=3801001629","Чекко: проверить")</f>
        <v/>
      </c>
      <c r="S1539" t="n">
        <v>1</v>
      </c>
      <c r="T1539" s="35" t="inlineStr">
        <is>
          <t>4 — Не обогащён</t>
        </is>
      </c>
      <c r="U1539" s="35" t="inlineStr">
        <is>
          <t>Нет ОКВЭД/ССЧР</t>
        </is>
      </c>
      <c r="V1539" s="35" t="inlineStr">
        <is>
          <t>Не определено</t>
        </is>
      </c>
      <c r="W1539" s="35" t="inlineStr"/>
      <c r="X1539" s="35" t="inlineStr"/>
    </row>
    <row r="1540" ht="41.25" customHeight="1" s="24">
      <c r="A1540" s="13" t="n">
        <v>5000030837</v>
      </c>
      <c r="B1540" s="13" t="inlineStr">
        <is>
          <t>Администрация муниципального образования Чернояровский сельсовет Ташлинского района Оренбургской области</t>
        </is>
      </c>
      <c r="C1540" s="13" t="n">
        <v>5648004396</v>
      </c>
      <c r="D1540" s="13" t="inlineStr">
        <is>
          <t>5648004396</t>
        </is>
      </c>
      <c r="E1540" s="13" t="inlineStr">
        <is>
          <t>ЮЛ РФ</t>
        </is>
      </c>
      <c r="F1540" s="13" t="n"/>
      <c r="G1540" s="14" t="n"/>
      <c r="H1540" s="14" t="n"/>
      <c r="I1540" s="14" t="n"/>
      <c r="J1540" s="14" t="n"/>
      <c r="K1540" s="53" t="inlineStr"/>
      <c r="L1540" s="53" t="inlineStr">
        <is>
          <t>Не определено</t>
        </is>
      </c>
      <c r="M1540" s="53" t="inlineStr"/>
      <c r="N1540" s="54" t="inlineStr"/>
      <c r="O1540" s="55" t="inlineStr"/>
      <c r="P1540" s="16" t="inlineStr">
        <is>
          <t>Требует обогащения</t>
        </is>
      </c>
      <c r="Q1540" s="16">
        <f>HYPERLINK("https://pb.nalog.ru/search.html?query=5648004396","ФНС: проверить")</f>
        <v/>
      </c>
      <c r="R1540" s="16">
        <f>HYPERLINK("https://checko.ru/search?query=3801001629","Чекко: проверить")</f>
        <v/>
      </c>
      <c r="S1540" t="n">
        <v>1</v>
      </c>
      <c r="T1540" s="35" t="inlineStr">
        <is>
          <t>4 — Не обогащён</t>
        </is>
      </c>
      <c r="U1540" s="35" t="inlineStr">
        <is>
          <t>Нет ОКВЭД/ССЧР</t>
        </is>
      </c>
      <c r="V1540" s="35" t="inlineStr">
        <is>
          <t>Не определено</t>
        </is>
      </c>
      <c r="W1540" s="35" t="inlineStr"/>
      <c r="X1540" s="35" t="inlineStr"/>
    </row>
    <row r="1541" ht="41.25" customHeight="1" s="24">
      <c r="A1541" s="13" t="n">
        <v>5000030813</v>
      </c>
      <c r="B1541" s="13" t="inlineStr">
        <is>
          <t>Муниципальное бюджетное дошкольное образовательное учреждение Ташлинский детский сад «Солнышко»</t>
        </is>
      </c>
      <c r="C1541" s="13" t="n">
        <v>5648006675</v>
      </c>
      <c r="D1541" s="13" t="inlineStr">
        <is>
          <t>5648006675</t>
        </is>
      </c>
      <c r="E1541" s="13" t="inlineStr">
        <is>
          <t>ЮЛ РФ</t>
        </is>
      </c>
      <c r="F1541" s="13" t="n"/>
      <c r="G1541" s="14" t="n"/>
      <c r="H1541" s="14" t="n"/>
      <c r="I1541" s="14" t="n"/>
      <c r="J1541" s="14" t="n"/>
      <c r="K1541" s="53" t="inlineStr"/>
      <c r="L1541" s="53" t="inlineStr">
        <is>
          <t>Не определено</t>
        </is>
      </c>
      <c r="M1541" s="53" t="inlineStr"/>
      <c r="N1541" s="54" t="inlineStr"/>
      <c r="O1541" s="55" t="inlineStr"/>
      <c r="P1541" s="16" t="inlineStr">
        <is>
          <t>Требует обогащения</t>
        </is>
      </c>
      <c r="Q1541" s="16">
        <f>HYPERLINK("https://pb.nalog.ru/search.html?query=5648006675","ФНС: проверить")</f>
        <v/>
      </c>
      <c r="R1541" s="16">
        <f>HYPERLINK("https://checko.ru/search?query=3801001629","Чекко: проверить")</f>
        <v/>
      </c>
      <c r="S1541" t="n">
        <v>1</v>
      </c>
      <c r="T1541" s="35" t="inlineStr">
        <is>
          <t>4 — Не обогащён</t>
        </is>
      </c>
      <c r="U1541" s="35" t="inlineStr">
        <is>
          <t>Нет ОКВЭД/ССЧР</t>
        </is>
      </c>
      <c r="V1541" s="35" t="inlineStr">
        <is>
          <t>Не определено</t>
        </is>
      </c>
      <c r="W1541" s="35" t="inlineStr"/>
      <c r="X1541" s="35" t="inlineStr"/>
    </row>
    <row r="1542" ht="41.25" customHeight="1" s="24">
      <c r="A1542" s="13" t="n">
        <v>5000030814</v>
      </c>
      <c r="B1542" s="13" t="inlineStr">
        <is>
          <t>Муниципальное бюджетное дошкольное образовательное учреждение Трудовской детский сад «Солнышко»</t>
        </is>
      </c>
      <c r="C1542" s="13" t="n">
        <v>5648004131</v>
      </c>
      <c r="D1542" s="13" t="inlineStr">
        <is>
          <t>5648004131</t>
        </is>
      </c>
      <c r="E1542" s="13" t="inlineStr">
        <is>
          <t>ЮЛ РФ</t>
        </is>
      </c>
      <c r="F1542" s="13" t="n"/>
      <c r="G1542" s="14" t="n"/>
      <c r="H1542" s="14" t="n"/>
      <c r="I1542" s="14" t="n"/>
      <c r="J1542" s="14" t="n"/>
      <c r="K1542" s="53" t="inlineStr"/>
      <c r="L1542" s="53" t="inlineStr">
        <is>
          <t>Не определено</t>
        </is>
      </c>
      <c r="M1542" s="53" t="inlineStr"/>
      <c r="N1542" s="54" t="inlineStr"/>
      <c r="O1542" s="55" t="inlineStr"/>
      <c r="P1542" s="16" t="inlineStr">
        <is>
          <t>Требует обогащения</t>
        </is>
      </c>
      <c r="Q1542" s="16">
        <f>HYPERLINK("https://pb.nalog.ru/search.html?query=5648004131","ФНС: проверить")</f>
        <v/>
      </c>
      <c r="R1542" s="16">
        <f>HYPERLINK("https://checko.ru/search?query=3801001629","Чекко: проверить")</f>
        <v/>
      </c>
      <c r="S1542" t="n">
        <v>1</v>
      </c>
      <c r="T1542" s="35" t="inlineStr">
        <is>
          <t>4 — Не обогащён</t>
        </is>
      </c>
      <c r="U1542" s="35" t="inlineStr">
        <is>
          <t>Нет ОКВЭД/ССЧР</t>
        </is>
      </c>
      <c r="V1542" s="35" t="inlineStr">
        <is>
          <t>Не определено</t>
        </is>
      </c>
      <c r="W1542" s="35" t="inlineStr"/>
      <c r="X1542" s="35" t="inlineStr"/>
    </row>
    <row r="1543" ht="41.25" customHeight="1" s="24">
      <c r="A1543" s="13" t="n">
        <v>5000030816</v>
      </c>
      <c r="B1543" s="13" t="inlineStr">
        <is>
          <t>Муниципальное бюджетное дошкольное образовательное учреждение Яснополянский детский сад «Почемучки»</t>
        </is>
      </c>
      <c r="C1543" s="13" t="n">
        <v>5648006844</v>
      </c>
      <c r="D1543" s="13" t="inlineStr">
        <is>
          <t>5648006844</t>
        </is>
      </c>
      <c r="E1543" s="13" t="inlineStr">
        <is>
          <t>ЮЛ РФ</t>
        </is>
      </c>
      <c r="F1543" s="13" t="n"/>
      <c r="G1543" s="14" t="n"/>
      <c r="H1543" s="14" t="n"/>
      <c r="I1543" s="14" t="n"/>
      <c r="J1543" s="14" t="n"/>
      <c r="K1543" s="53" t="inlineStr"/>
      <c r="L1543" s="53" t="inlineStr">
        <is>
          <t>Не определено</t>
        </is>
      </c>
      <c r="M1543" s="53" t="inlineStr"/>
      <c r="N1543" s="54" t="inlineStr"/>
      <c r="O1543" s="55" t="inlineStr"/>
      <c r="P1543" s="16" t="inlineStr">
        <is>
          <t>Требует обогащения</t>
        </is>
      </c>
      <c r="Q1543" s="16">
        <f>HYPERLINK("https://pb.nalog.ru/search.html?query=5648006844","ФНС: проверить")</f>
        <v/>
      </c>
      <c r="R1543" s="16">
        <f>HYPERLINK("https://checko.ru/search?query=3801001629","Чекко: проверить")</f>
        <v/>
      </c>
      <c r="S1543" t="n">
        <v>1</v>
      </c>
      <c r="T1543" s="35" t="inlineStr">
        <is>
          <t>4 — Не обогащён</t>
        </is>
      </c>
      <c r="U1543" s="35" t="inlineStr">
        <is>
          <t>Нет ОКВЭД/ССЧР</t>
        </is>
      </c>
      <c r="V1543" s="35" t="inlineStr">
        <is>
          <t>Не определено</t>
        </is>
      </c>
      <c r="W1543" s="35" t="inlineStr"/>
      <c r="X1543" s="35" t="inlineStr"/>
    </row>
    <row r="1544" ht="41.25" customHeight="1" s="24">
      <c r="A1544" s="13" t="n">
        <v>5000030817</v>
      </c>
      <c r="B1544" s="13" t="inlineStr">
        <is>
          <t>Муниципальное бюджетное учреждение дополнительного образования «Ташлинская детско-юношеская спортивная школа»</t>
        </is>
      </c>
      <c r="C1544" s="13" t="n">
        <v>5648006650</v>
      </c>
      <c r="D1544" s="13" t="inlineStr">
        <is>
          <t>5648006650</t>
        </is>
      </c>
      <c r="E1544" s="13" t="inlineStr">
        <is>
          <t>ЮЛ РФ</t>
        </is>
      </c>
      <c r="F1544" s="13" t="n"/>
      <c r="G1544" s="14" t="n"/>
      <c r="H1544" s="14" t="n"/>
      <c r="I1544" s="14" t="n"/>
      <c r="J1544" s="14" t="n"/>
      <c r="K1544" s="53" t="inlineStr"/>
      <c r="L1544" s="53" t="inlineStr">
        <is>
          <t>Не определено</t>
        </is>
      </c>
      <c r="M1544" s="53" t="inlineStr"/>
      <c r="N1544" s="54" t="inlineStr"/>
      <c r="O1544" s="55" t="inlineStr"/>
      <c r="P1544" s="16" t="inlineStr">
        <is>
          <t>Требует обогащения</t>
        </is>
      </c>
      <c r="Q1544" s="16">
        <f>HYPERLINK("https://pb.nalog.ru/search.html?query=5648006650","ФНС: проверить")</f>
        <v/>
      </c>
      <c r="R1544" s="16">
        <f>HYPERLINK("https://checko.ru/search?query=3801001629","Чекко: проверить")</f>
        <v/>
      </c>
      <c r="S1544" t="n">
        <v>1</v>
      </c>
      <c r="T1544" s="35" t="inlineStr">
        <is>
          <t>4 — Не обогащён</t>
        </is>
      </c>
      <c r="U1544" s="35" t="inlineStr">
        <is>
          <t>Нет ОКВЭД/ССЧР</t>
        </is>
      </c>
      <c r="V1544" s="35" t="inlineStr">
        <is>
          <t>Не определено</t>
        </is>
      </c>
      <c r="W1544" s="35" t="inlineStr"/>
      <c r="X1544" s="35" t="inlineStr"/>
    </row>
    <row r="1545" ht="41.25" customHeight="1" s="24">
      <c r="A1545" s="13" t="n">
        <v>5000030818</v>
      </c>
      <c r="B1545" s="13" t="inlineStr">
        <is>
          <t>Муниципальное бюджетное учреждение дополнительного образования «Ташлинский центр дополнительного образования детей»</t>
        </is>
      </c>
      <c r="C1545" s="13" t="n">
        <v>5648006668</v>
      </c>
      <c r="D1545" s="13" t="inlineStr">
        <is>
          <t>5648006668</t>
        </is>
      </c>
      <c r="E1545" s="13" t="inlineStr">
        <is>
          <t>ЮЛ РФ</t>
        </is>
      </c>
      <c r="F1545" s="13" t="n"/>
      <c r="G1545" s="14" t="n"/>
      <c r="H1545" s="14" t="n"/>
      <c r="I1545" s="14" t="n"/>
      <c r="J1545" s="14" t="n"/>
      <c r="K1545" s="53" t="inlineStr"/>
      <c r="L1545" s="53" t="inlineStr">
        <is>
          <t>Не определено</t>
        </is>
      </c>
      <c r="M1545" s="53" t="inlineStr"/>
      <c r="N1545" s="54" t="inlineStr"/>
      <c r="O1545" s="55" t="inlineStr"/>
      <c r="P1545" s="16" t="inlineStr">
        <is>
          <t>Требует обогащения</t>
        </is>
      </c>
      <c r="Q1545" s="16">
        <f>HYPERLINK("https://pb.nalog.ru/search.html?query=5648006668","ФНС: проверить")</f>
        <v/>
      </c>
      <c r="R1545" s="16">
        <f>HYPERLINK("https://checko.ru/search?query=3801001629","Чекко: проверить")</f>
        <v/>
      </c>
      <c r="S1545" t="n">
        <v>1</v>
      </c>
      <c r="T1545" s="35" t="inlineStr">
        <is>
          <t>4 — Не обогащён</t>
        </is>
      </c>
      <c r="U1545" s="35" t="inlineStr">
        <is>
          <t>Нет ОКВЭД/ССЧР</t>
        </is>
      </c>
      <c r="V1545" s="35" t="inlineStr">
        <is>
          <t>Не определено</t>
        </is>
      </c>
      <c r="W1545" s="35" t="inlineStr"/>
      <c r="X1545" s="35" t="inlineStr"/>
    </row>
    <row r="1546" ht="15" customHeight="1" s="24">
      <c r="A1546" s="13" t="n">
        <v>5000057414</v>
      </c>
      <c r="B1546" s="13" t="inlineStr">
        <is>
          <t>МБУ ЦРД Истина</t>
        </is>
      </c>
      <c r="C1546" s="13" t="n">
        <v>5032262167</v>
      </c>
      <c r="D1546" s="13" t="inlineStr">
        <is>
          <t>5032262167</t>
        </is>
      </c>
      <c r="E1546" s="13" t="inlineStr">
        <is>
          <t>ЮЛ РФ</t>
        </is>
      </c>
      <c r="F1546" s="13" t="n"/>
      <c r="G1546" s="14" t="n"/>
      <c r="H1546" s="14" t="n"/>
      <c r="I1546" s="14" t="n"/>
      <c r="J1546" s="14" t="n"/>
      <c r="K1546" s="53" t="inlineStr"/>
      <c r="L1546" s="53" t="inlineStr">
        <is>
          <t>Не определено</t>
        </is>
      </c>
      <c r="M1546" s="53" t="inlineStr"/>
      <c r="N1546" s="54" t="inlineStr"/>
      <c r="O1546" s="55" t="inlineStr"/>
      <c r="P1546" s="16" t="inlineStr">
        <is>
          <t>Требует обогащения</t>
        </is>
      </c>
      <c r="Q1546" s="16">
        <f>HYPERLINK("https://pb.nalog.ru/search.html?query=5032262167","ФНС: проверить")</f>
        <v/>
      </c>
      <c r="R1546" s="16">
        <f>HYPERLINK("https://checko.ru/search?query=3801001629","Чекко: проверить")</f>
        <v/>
      </c>
      <c r="S1546" t="n">
        <v>1</v>
      </c>
      <c r="T1546" s="35" t="inlineStr">
        <is>
          <t>4 — Не обогащён</t>
        </is>
      </c>
      <c r="U1546" s="35" t="inlineStr">
        <is>
          <t>Нет ОКВЭД/ССЧР</t>
        </is>
      </c>
      <c r="V1546" s="35" t="inlineStr">
        <is>
          <t>Не определено</t>
        </is>
      </c>
      <c r="W1546" s="35" t="inlineStr"/>
      <c r="X1546" s="35" t="inlineStr"/>
    </row>
    <row r="1547" ht="15" customHeight="1" s="24">
      <c r="A1547" s="13" t="n">
        <v>5000062545</v>
      </c>
      <c r="B1547" s="13" t="inlineStr">
        <is>
          <t>ГУ социального обслуживания «Комплексный</t>
        </is>
      </c>
      <c r="C1547" s="13" t="n">
        <v>7327006814</v>
      </c>
      <c r="D1547" s="13" t="inlineStr">
        <is>
          <t>7327006814</t>
        </is>
      </c>
      <c r="E1547" s="13" t="inlineStr">
        <is>
          <t>ЮЛ РФ</t>
        </is>
      </c>
      <c r="F1547" s="13" t="n"/>
      <c r="G1547" s="14" t="n"/>
      <c r="H1547" s="14" t="n"/>
      <c r="I1547" s="14" t="n"/>
      <c r="J1547" s="14" t="n"/>
      <c r="K1547" s="53" t="inlineStr"/>
      <c r="L1547" s="53" t="inlineStr">
        <is>
          <t>Не определено</t>
        </is>
      </c>
      <c r="M1547" s="53" t="inlineStr"/>
      <c r="N1547" s="54" t="inlineStr"/>
      <c r="O1547" s="55" t="inlineStr"/>
      <c r="P1547" s="16" t="inlineStr">
        <is>
          <t>Требует обогащения</t>
        </is>
      </c>
      <c r="Q1547" s="16">
        <f>HYPERLINK("https://pb.nalog.ru/search.html?query=7327006814","ФНС: проверить")</f>
        <v/>
      </c>
      <c r="R1547" s="16">
        <f>HYPERLINK("https://checko.ru/search?query=3801001629","Чекко: проверить")</f>
        <v/>
      </c>
      <c r="S1547" t="n">
        <v>1</v>
      </c>
      <c r="T1547" s="35" t="inlineStr">
        <is>
          <t>4 — Не обогащён</t>
        </is>
      </c>
      <c r="U1547" s="35" t="inlineStr">
        <is>
          <t>Нет ОКВЭД/ССЧР</t>
        </is>
      </c>
      <c r="V1547" s="35" t="inlineStr">
        <is>
          <t>Не определено</t>
        </is>
      </c>
      <c r="W1547" s="35" t="inlineStr"/>
      <c r="X1547" s="35" t="inlineStr"/>
    </row>
    <row r="1548" ht="41.25" customHeight="1" s="24">
      <c r="A1548" s="13" t="n">
        <v>5000030826</v>
      </c>
      <c r="B1548" s="13" t="inlineStr">
        <is>
          <t>Контрольно-счетная палата муниципального образования Ташлинский район оренбургской области</t>
        </is>
      </c>
      <c r="C1548" s="13" t="n">
        <v>5648020856</v>
      </c>
      <c r="D1548" s="13" t="inlineStr">
        <is>
          <t>5648020856</t>
        </is>
      </c>
      <c r="E1548" s="13" t="inlineStr">
        <is>
          <t>ЮЛ РФ</t>
        </is>
      </c>
      <c r="F1548" s="13" t="n"/>
      <c r="G1548" s="14" t="n"/>
      <c r="H1548" s="14" t="n"/>
      <c r="I1548" s="14" t="n"/>
      <c r="J1548" s="14" t="n"/>
      <c r="K1548" s="53" t="inlineStr"/>
      <c r="L1548" s="53" t="inlineStr">
        <is>
          <t>Не определено</t>
        </is>
      </c>
      <c r="M1548" s="53" t="inlineStr"/>
      <c r="N1548" s="54" t="inlineStr"/>
      <c r="O1548" s="55" t="inlineStr"/>
      <c r="P1548" s="16" t="inlineStr">
        <is>
          <t>Требует обогащения</t>
        </is>
      </c>
      <c r="Q1548" s="16">
        <f>HYPERLINK("https://pb.nalog.ru/search.html?query=5648020856","ФНС: проверить")</f>
        <v/>
      </c>
      <c r="R1548" s="16">
        <f>HYPERLINK("https://checko.ru/search?query=3801001629","Чекко: проверить")</f>
        <v/>
      </c>
      <c r="S1548" t="n">
        <v>1</v>
      </c>
      <c r="T1548" s="35" t="inlineStr">
        <is>
          <t>4 — Не обогащён</t>
        </is>
      </c>
      <c r="U1548" s="35" t="inlineStr">
        <is>
          <t>Нет ОКВЭД/ССЧР</t>
        </is>
      </c>
      <c r="V1548" s="35" t="inlineStr">
        <is>
          <t>Не определено</t>
        </is>
      </c>
      <c r="W1548" s="35" t="inlineStr"/>
      <c r="X1548" s="35" t="inlineStr"/>
    </row>
    <row r="1549" ht="41.25" customHeight="1" s="24">
      <c r="A1549" s="13" t="n">
        <v>5000030827</v>
      </c>
      <c r="B1549" s="13" t="inlineStr">
        <is>
          <t>Администрация муниципального образования Болдыревский сельсовет Ташлинского района Оренбургской области</t>
        </is>
      </c>
      <c r="C1549" s="13" t="n">
        <v>5648004364</v>
      </c>
      <c r="D1549" s="13" t="inlineStr">
        <is>
          <t>5648004364</t>
        </is>
      </c>
      <c r="E1549" s="13" t="inlineStr">
        <is>
          <t>ЮЛ РФ</t>
        </is>
      </c>
      <c r="F1549" s="13" t="n"/>
      <c r="G1549" s="14" t="n"/>
      <c r="H1549" s="14" t="n"/>
      <c r="I1549" s="14" t="n"/>
      <c r="J1549" s="14" t="n"/>
      <c r="K1549" s="53" t="inlineStr"/>
      <c r="L1549" s="53" t="inlineStr">
        <is>
          <t>Не определено</t>
        </is>
      </c>
      <c r="M1549" s="53" t="inlineStr"/>
      <c r="N1549" s="54" t="inlineStr"/>
      <c r="O1549" s="55" t="inlineStr"/>
      <c r="P1549" s="16" t="inlineStr">
        <is>
          <t>Требует обогащения</t>
        </is>
      </c>
      <c r="Q1549" s="16">
        <f>HYPERLINK("https://pb.nalog.ru/search.html?query=5648004364","ФНС: проверить")</f>
        <v/>
      </c>
      <c r="R1549" s="16">
        <f>HYPERLINK("https://checko.ru/search?query=3801001629","Чекко: проверить")</f>
        <v/>
      </c>
      <c r="S1549" t="n">
        <v>1</v>
      </c>
      <c r="T1549" s="35" t="inlineStr">
        <is>
          <t>4 — Не обогащён</t>
        </is>
      </c>
      <c r="U1549" s="35" t="inlineStr">
        <is>
          <t>Нет ОКВЭД/ССЧР</t>
        </is>
      </c>
      <c r="V1549" s="35" t="inlineStr">
        <is>
          <t>Не определено</t>
        </is>
      </c>
      <c r="W1549" s="35" t="inlineStr"/>
      <c r="X1549" s="35" t="inlineStr"/>
    </row>
    <row r="1550" ht="27.75" customHeight="1" s="24">
      <c r="A1550" s="13" t="n">
        <v>5000030762</v>
      </c>
      <c r="B1550" s="13" t="inlineStr">
        <is>
          <t>МБОУ Благодарновская средняя общеобразовательная школа</t>
        </is>
      </c>
      <c r="C1550" s="13" t="n">
        <v>5648006386</v>
      </c>
      <c r="D1550" s="13" t="inlineStr">
        <is>
          <t>5648006386</t>
        </is>
      </c>
      <c r="E1550" s="13" t="inlineStr">
        <is>
          <t>ЮЛ РФ</t>
        </is>
      </c>
      <c r="F1550" s="13" t="n"/>
      <c r="G1550" s="14" t="n"/>
      <c r="H1550" s="14" t="n"/>
      <c r="I1550" s="14" t="n"/>
      <c r="J1550" s="14" t="n"/>
      <c r="K1550" s="53" t="inlineStr"/>
      <c r="L1550" s="53" t="inlineStr">
        <is>
          <t>Не определено</t>
        </is>
      </c>
      <c r="M1550" s="53" t="inlineStr"/>
      <c r="N1550" s="54" t="inlineStr"/>
      <c r="O1550" s="55" t="inlineStr"/>
      <c r="P1550" s="16" t="inlineStr">
        <is>
          <t>Требует обогащения</t>
        </is>
      </c>
      <c r="Q1550" s="16">
        <f>HYPERLINK("https://pb.nalog.ru/search.html?query=5648006386","ФНС: проверить")</f>
        <v/>
      </c>
      <c r="R1550" s="16">
        <f>HYPERLINK("https://checko.ru/search?query=3801001629","Чекко: проверить")</f>
        <v/>
      </c>
      <c r="S1550" t="n">
        <v>1</v>
      </c>
      <c r="T1550" s="35" t="inlineStr">
        <is>
          <t>4 — Не обогащён</t>
        </is>
      </c>
      <c r="U1550" s="35" t="inlineStr">
        <is>
          <t>Нет ОКВЭД/ССЧР</t>
        </is>
      </c>
      <c r="V1550" s="35" t="inlineStr">
        <is>
          <t>Не определено</t>
        </is>
      </c>
      <c r="W1550" s="35" t="inlineStr"/>
      <c r="X1550" s="35" t="inlineStr"/>
    </row>
    <row r="1551" ht="41.25" customHeight="1" s="24">
      <c r="A1551" s="13" t="n">
        <v>5000030763</v>
      </c>
      <c r="B1551" s="13" t="inlineStr">
        <is>
          <t>Муниципальное бюджетное общеобразовательное учреждение Болдыревская средняя общеобразовательная школа</t>
        </is>
      </c>
      <c r="C1551" s="13" t="n">
        <v>5648006481</v>
      </c>
      <c r="D1551" s="13" t="inlineStr">
        <is>
          <t>5648006481</t>
        </is>
      </c>
      <c r="E1551" s="13" t="inlineStr">
        <is>
          <t>ЮЛ РФ</t>
        </is>
      </c>
      <c r="F1551" s="13" t="n"/>
      <c r="G1551" s="14" t="n"/>
      <c r="H1551" s="14" t="n"/>
      <c r="I1551" s="14" t="n"/>
      <c r="J1551" s="14" t="n"/>
      <c r="K1551" s="53" t="inlineStr"/>
      <c r="L1551" s="53" t="inlineStr">
        <is>
          <t>Не определено</t>
        </is>
      </c>
      <c r="M1551" s="53" t="inlineStr"/>
      <c r="N1551" s="54" t="inlineStr"/>
      <c r="O1551" s="55" t="inlineStr"/>
      <c r="P1551" s="16" t="inlineStr">
        <is>
          <t>Требует обогащения</t>
        </is>
      </c>
      <c r="Q1551" s="16">
        <f>HYPERLINK("https://pb.nalog.ru/search.html?query=5648006481","ФНС: проверить")</f>
        <v/>
      </c>
      <c r="R1551" s="16">
        <f>HYPERLINK("https://checko.ru/search?query=3801001629","Чекко: проверить")</f>
        <v/>
      </c>
      <c r="S1551" t="n">
        <v>1</v>
      </c>
      <c r="T1551" s="35" t="inlineStr">
        <is>
          <t>4 — Не обогащён</t>
        </is>
      </c>
      <c r="U1551" s="35" t="inlineStr">
        <is>
          <t>Нет ОКВЭД/ССЧР</t>
        </is>
      </c>
      <c r="V1551" s="35" t="inlineStr">
        <is>
          <t>Не определено</t>
        </is>
      </c>
      <c r="W1551" s="35" t="inlineStr"/>
      <c r="X1551" s="35" t="inlineStr"/>
    </row>
    <row r="1552" ht="41.25" customHeight="1" s="24">
      <c r="A1552" s="13" t="n">
        <v>5000030764</v>
      </c>
      <c r="B1552" s="13" t="inlineStr">
        <is>
          <t>Муниципальное бюджетное общеобразовательное учреждение Вязовская средняя общеобразовательная школа</t>
        </is>
      </c>
      <c r="C1552" s="13" t="n">
        <v>5648006548</v>
      </c>
      <c r="D1552" s="13" t="inlineStr">
        <is>
          <t>5648006548</t>
        </is>
      </c>
      <c r="E1552" s="13" t="inlineStr">
        <is>
          <t>ЮЛ РФ</t>
        </is>
      </c>
      <c r="F1552" s="13" t="n"/>
      <c r="G1552" s="14" t="n"/>
      <c r="H1552" s="14" t="n"/>
      <c r="I1552" s="14" t="n"/>
      <c r="J1552" s="14" t="n"/>
      <c r="K1552" s="53" t="inlineStr"/>
      <c r="L1552" s="53" t="inlineStr">
        <is>
          <t>Не определено</t>
        </is>
      </c>
      <c r="M1552" s="53" t="inlineStr"/>
      <c r="N1552" s="54" t="inlineStr"/>
      <c r="O1552" s="55" t="inlineStr"/>
      <c r="P1552" s="16" t="inlineStr">
        <is>
          <t>Требует обогащения</t>
        </is>
      </c>
      <c r="Q1552" s="16">
        <f>HYPERLINK("https://pb.nalog.ru/search.html?query=5648006548","ФНС: проверить")</f>
        <v/>
      </c>
      <c r="R1552" s="16">
        <f>HYPERLINK("https://checko.ru/search?query=3801001629","Чекко: проверить")</f>
        <v/>
      </c>
      <c r="S1552" t="n">
        <v>1</v>
      </c>
      <c r="T1552" s="35" t="inlineStr">
        <is>
          <t>4 — Не обогащён</t>
        </is>
      </c>
      <c r="U1552" s="35" t="inlineStr">
        <is>
          <t>Нет ОКВЭД/ССЧР</t>
        </is>
      </c>
      <c r="V1552" s="35" t="inlineStr">
        <is>
          <t>Не определено</t>
        </is>
      </c>
      <c r="W1552" s="35" t="inlineStr"/>
      <c r="X1552" s="35" t="inlineStr"/>
    </row>
    <row r="1553" ht="27.75" customHeight="1" s="24">
      <c r="A1553" s="13" t="n">
        <v>5000030765</v>
      </c>
      <c r="B1553" s="13" t="inlineStr">
        <is>
          <t>Муниципальное автономное общеобразовательное учреждение Гимназия №1</t>
        </is>
      </c>
      <c r="C1553" s="13" t="n">
        <v>5648004580</v>
      </c>
      <c r="D1553" s="13" t="inlineStr">
        <is>
          <t>5648004580</t>
        </is>
      </c>
      <c r="E1553" s="13" t="inlineStr">
        <is>
          <t>ЮЛ РФ</t>
        </is>
      </c>
      <c r="F1553" s="13" t="n"/>
      <c r="G1553" s="14" t="n"/>
      <c r="H1553" s="14" t="n"/>
      <c r="I1553" s="14" t="n"/>
      <c r="J1553" s="14" t="n"/>
      <c r="K1553" s="53" t="inlineStr"/>
      <c r="L1553" s="53" t="inlineStr">
        <is>
          <t>Не определено</t>
        </is>
      </c>
      <c r="M1553" s="53" t="inlineStr"/>
      <c r="N1553" s="54" t="inlineStr"/>
      <c r="O1553" s="55" t="inlineStr"/>
      <c r="P1553" s="16" t="inlineStr">
        <is>
          <t>Требует обогащения</t>
        </is>
      </c>
      <c r="Q1553" s="16">
        <f>HYPERLINK("https://pb.nalog.ru/search.html?query=5648004580","ФНС: проверить")</f>
        <v/>
      </c>
      <c r="R1553" s="16">
        <f>HYPERLINK("https://checko.ru/search?query=3801001629","Чекко: проверить")</f>
        <v/>
      </c>
      <c r="S1553" t="n">
        <v>1</v>
      </c>
      <c r="T1553" s="35" t="inlineStr">
        <is>
          <t>4 — Не обогащён</t>
        </is>
      </c>
      <c r="U1553" s="35" t="inlineStr">
        <is>
          <t>Нет ОКВЭД/ССЧР</t>
        </is>
      </c>
      <c r="V1553" s="35" t="inlineStr">
        <is>
          <t>Не определено</t>
        </is>
      </c>
      <c r="W1553" s="35" t="inlineStr"/>
      <c r="X1553" s="35" t="inlineStr"/>
    </row>
    <row r="1554" ht="41.25" customHeight="1" s="24">
      <c r="A1554" s="13" t="n">
        <v>5000030766</v>
      </c>
      <c r="B1554" s="13" t="inlineStr">
        <is>
          <t>Муниципальное бюджетное общеобразовательное учреждение Калининская средняя общеобразовательная школа</t>
        </is>
      </c>
      <c r="C1554" s="13" t="n">
        <v>5648006467</v>
      </c>
      <c r="D1554" s="13" t="inlineStr">
        <is>
          <t>5648006467</t>
        </is>
      </c>
      <c r="E1554" s="13" t="inlineStr">
        <is>
          <t>ЮЛ РФ</t>
        </is>
      </c>
      <c r="F1554" s="13" t="n"/>
      <c r="G1554" s="14" t="n"/>
      <c r="H1554" s="14" t="n"/>
      <c r="I1554" s="14" t="n"/>
      <c r="J1554" s="14" t="n"/>
      <c r="K1554" s="53" t="inlineStr"/>
      <c r="L1554" s="53" t="inlineStr">
        <is>
          <t>Не определено</t>
        </is>
      </c>
      <c r="M1554" s="53" t="inlineStr"/>
      <c r="N1554" s="54" t="inlineStr"/>
      <c r="O1554" s="55" t="inlineStr"/>
      <c r="P1554" s="16" t="inlineStr">
        <is>
          <t>Требует обогащения</t>
        </is>
      </c>
      <c r="Q1554" s="16">
        <f>HYPERLINK("https://pb.nalog.ru/search.html?query=5648006467","ФНС: проверить")</f>
        <v/>
      </c>
      <c r="R1554" s="16">
        <f>HYPERLINK("https://checko.ru/search?query=3801001629","Чекко: проверить")</f>
        <v/>
      </c>
      <c r="S1554" t="n">
        <v>1</v>
      </c>
      <c r="T1554" s="35" t="inlineStr">
        <is>
          <t>4 — Не обогащён</t>
        </is>
      </c>
      <c r="U1554" s="35" t="inlineStr">
        <is>
          <t>Нет ОКВЭД/ССЧР</t>
        </is>
      </c>
      <c r="V1554" s="35" t="inlineStr">
        <is>
          <t>Не определено</t>
        </is>
      </c>
      <c r="W1554" s="35" t="inlineStr"/>
      <c r="X1554" s="35" t="inlineStr"/>
    </row>
    <row r="1555" ht="41.25" customHeight="1" s="24">
      <c r="A1555" s="13" t="n">
        <v>5000030767</v>
      </c>
      <c r="B1555" s="13" t="inlineStr">
        <is>
          <t>Муниципальное бюджетное общеобразовательное учреждение Кинделинская средняя общеобразовательная школа</t>
        </is>
      </c>
      <c r="C1555" s="13" t="n">
        <v>5648006523</v>
      </c>
      <c r="D1555" s="13" t="inlineStr">
        <is>
          <t>5648006523</t>
        </is>
      </c>
      <c r="E1555" s="13" t="inlineStr">
        <is>
          <t>ЮЛ РФ</t>
        </is>
      </c>
      <c r="F1555" s="13" t="n"/>
      <c r="G1555" s="14" t="n"/>
      <c r="H1555" s="14" t="n"/>
      <c r="I1555" s="14" t="n"/>
      <c r="J1555" s="14" t="n"/>
      <c r="K1555" s="53" t="inlineStr"/>
      <c r="L1555" s="53" t="inlineStr">
        <is>
          <t>Не определено</t>
        </is>
      </c>
      <c r="M1555" s="53" t="inlineStr"/>
      <c r="N1555" s="54" t="inlineStr"/>
      <c r="O1555" s="55" t="inlineStr"/>
      <c r="P1555" s="16" t="inlineStr">
        <is>
          <t>Требует обогащения</t>
        </is>
      </c>
      <c r="Q1555" s="16">
        <f>HYPERLINK("https://pb.nalog.ru/search.html?query=5648006523","ФНС: проверить")</f>
        <v/>
      </c>
      <c r="R1555" s="16">
        <f>HYPERLINK("https://checko.ru/search?query=3801001629","Чекко: проверить")</f>
        <v/>
      </c>
      <c r="S1555" t="n">
        <v>1</v>
      </c>
      <c r="T1555" s="35" t="inlineStr">
        <is>
          <t>4 — Не обогащён</t>
        </is>
      </c>
      <c r="U1555" s="35" t="inlineStr">
        <is>
          <t>Нет ОКВЭД/ССЧР</t>
        </is>
      </c>
      <c r="V1555" s="35" t="inlineStr">
        <is>
          <t>Не определено</t>
        </is>
      </c>
      <c r="W1555" s="35" t="inlineStr"/>
      <c r="X1555" s="35" t="inlineStr"/>
    </row>
    <row r="1556" ht="54.75" customHeight="1" s="24">
      <c r="A1556" s="13" t="n">
        <v>5000030768</v>
      </c>
      <c r="B1556" s="13" t="inlineStr">
        <is>
          <t>Муниципальное бюджетное общеобразовательное учреждение Новокаменская средняя общеобразовательная школа</t>
        </is>
      </c>
      <c r="C1556" s="13" t="n">
        <v>5648006636</v>
      </c>
      <c r="D1556" s="13" t="inlineStr">
        <is>
          <t>5648006636</t>
        </is>
      </c>
      <c r="E1556" s="13" t="inlineStr">
        <is>
          <t>ЮЛ РФ</t>
        </is>
      </c>
      <c r="F1556" s="13" t="n"/>
      <c r="G1556" s="14" t="n"/>
      <c r="H1556" s="14" t="n"/>
      <c r="I1556" s="14" t="n"/>
      <c r="J1556" s="14" t="n"/>
      <c r="K1556" s="53" t="inlineStr"/>
      <c r="L1556" s="53" t="inlineStr">
        <is>
          <t>Не определено</t>
        </is>
      </c>
      <c r="M1556" s="53" t="inlineStr"/>
      <c r="N1556" s="54" t="inlineStr"/>
      <c r="O1556" s="55" t="inlineStr"/>
      <c r="P1556" s="16" t="inlineStr">
        <is>
          <t>Требует обогащения</t>
        </is>
      </c>
      <c r="Q1556" s="16">
        <f>HYPERLINK("https://pb.nalog.ru/search.html?query=5648006636","ФНС: проверить")</f>
        <v/>
      </c>
      <c r="R1556" s="16">
        <f>HYPERLINK("https://checko.ru/search?query=3801001629","Чекко: проверить")</f>
        <v/>
      </c>
      <c r="S1556" t="n">
        <v>1</v>
      </c>
      <c r="T1556" s="35" t="inlineStr">
        <is>
          <t>4 — Не обогащён</t>
        </is>
      </c>
      <c r="U1556" s="35" t="inlineStr">
        <is>
          <t>Нет ОКВЭД/ССЧР</t>
        </is>
      </c>
      <c r="V1556" s="35" t="inlineStr">
        <is>
          <t>Не определено</t>
        </is>
      </c>
      <c r="W1556" s="35" t="inlineStr"/>
      <c r="X1556" s="35" t="inlineStr"/>
    </row>
    <row r="1557" ht="41.25" customHeight="1" s="24">
      <c r="A1557" s="13" t="n">
        <v>5000030769</v>
      </c>
      <c r="B1557" s="13" t="inlineStr">
        <is>
          <t>Муниципальное бюджетное общеобразовательное учреждение Придолинная средняя общеобразовательная школа</t>
        </is>
      </c>
      <c r="C1557" s="13" t="n">
        <v>5648003378</v>
      </c>
      <c r="D1557" s="13" t="inlineStr">
        <is>
          <t>5648003378</t>
        </is>
      </c>
      <c r="E1557" s="13" t="inlineStr">
        <is>
          <t>ЮЛ РФ</t>
        </is>
      </c>
      <c r="F1557" s="13" t="n"/>
      <c r="G1557" s="14" t="n"/>
      <c r="H1557" s="14" t="n"/>
      <c r="I1557" s="14" t="n"/>
      <c r="J1557" s="14" t="n"/>
      <c r="K1557" s="53" t="inlineStr"/>
      <c r="L1557" s="53" t="inlineStr">
        <is>
          <t>Не определено</t>
        </is>
      </c>
      <c r="M1557" s="53" t="inlineStr"/>
      <c r="N1557" s="54" t="inlineStr"/>
      <c r="O1557" s="55" t="inlineStr"/>
      <c r="P1557" s="16" t="inlineStr">
        <is>
          <t>Требует обогащения</t>
        </is>
      </c>
      <c r="Q1557" s="16">
        <f>HYPERLINK("https://pb.nalog.ru/search.html?query=5648003378","ФНС: проверить")</f>
        <v/>
      </c>
      <c r="R1557" s="16">
        <f>HYPERLINK("https://checko.ru/search?query=3801001629","Чекко: проверить")</f>
        <v/>
      </c>
      <c r="S1557" t="n">
        <v>1</v>
      </c>
      <c r="T1557" s="35" t="inlineStr">
        <is>
          <t>4 — Не обогащён</t>
        </is>
      </c>
      <c r="U1557" s="35" t="inlineStr">
        <is>
          <t>Нет ОКВЭД/ССЧР</t>
        </is>
      </c>
      <c r="V1557" s="35" t="inlineStr">
        <is>
          <t>Не определено</t>
        </is>
      </c>
      <c r="W1557" s="35" t="inlineStr"/>
      <c r="X1557" s="35" t="inlineStr"/>
    </row>
    <row r="1558" ht="41.25" customHeight="1" s="24">
      <c r="A1558" s="13" t="n">
        <v>5000030771</v>
      </c>
      <c r="B1558" s="13" t="inlineStr">
        <is>
          <t>Муниципальное бюджетное общеобразовательное учреждение Степановская средняя общеобразовательная школа</t>
        </is>
      </c>
      <c r="C1558" s="13" t="n">
        <v>5648006442</v>
      </c>
      <c r="D1558" s="13" t="inlineStr">
        <is>
          <t>5648006442</t>
        </is>
      </c>
      <c r="E1558" s="13" t="inlineStr">
        <is>
          <t>ЮЛ РФ</t>
        </is>
      </c>
      <c r="F1558" s="13" t="n"/>
      <c r="G1558" s="14" t="n"/>
      <c r="H1558" s="14" t="n"/>
      <c r="I1558" s="14" t="n"/>
      <c r="J1558" s="14" t="n"/>
      <c r="K1558" s="53" t="inlineStr"/>
      <c r="L1558" s="53" t="inlineStr">
        <is>
          <t>Не определено</t>
        </is>
      </c>
      <c r="M1558" s="53" t="inlineStr"/>
      <c r="N1558" s="54" t="inlineStr"/>
      <c r="O1558" s="55" t="inlineStr"/>
      <c r="P1558" s="16" t="inlineStr">
        <is>
          <t>Требует обогащения</t>
        </is>
      </c>
      <c r="Q1558" s="16">
        <f>HYPERLINK("https://pb.nalog.ru/search.html?query=5648006442","ФНС: проверить")</f>
        <v/>
      </c>
      <c r="R1558" s="16">
        <f>HYPERLINK("https://checko.ru/search?query=3801001629","Чекко: проверить")</f>
        <v/>
      </c>
      <c r="S1558" t="n">
        <v>1</v>
      </c>
      <c r="T1558" s="35" t="inlineStr">
        <is>
          <t>4 — Не обогащён</t>
        </is>
      </c>
      <c r="U1558" s="35" t="inlineStr">
        <is>
          <t>Нет ОКВЭД/ССЧР</t>
        </is>
      </c>
      <c r="V1558" s="35" t="inlineStr">
        <is>
          <t>Не определено</t>
        </is>
      </c>
      <c r="W1558" s="35" t="inlineStr"/>
      <c r="X1558" s="35" t="inlineStr"/>
    </row>
    <row r="1559" ht="41.25" customHeight="1" s="24">
      <c r="A1559" s="13" t="n">
        <v>5000030828</v>
      </c>
      <c r="B1559" s="13" t="inlineStr">
        <is>
          <t>Администрация муниципального образования Бородинский сельсовет Ташлинского района Оренбургской области</t>
        </is>
      </c>
      <c r="C1559" s="13" t="n">
        <v>5648020447</v>
      </c>
      <c r="D1559" s="13" t="inlineStr">
        <is>
          <t>5648020447</t>
        </is>
      </c>
      <c r="E1559" s="13" t="inlineStr">
        <is>
          <t>ЮЛ РФ</t>
        </is>
      </c>
      <c r="F1559" s="13" t="n"/>
      <c r="G1559" s="14" t="n"/>
      <c r="H1559" s="14" t="n"/>
      <c r="I1559" s="14" t="n"/>
      <c r="J1559" s="14" t="n"/>
      <c r="K1559" s="53" t="inlineStr"/>
      <c r="L1559" s="53" t="inlineStr">
        <is>
          <t>Не определено</t>
        </is>
      </c>
      <c r="M1559" s="53" t="inlineStr"/>
      <c r="N1559" s="54" t="inlineStr"/>
      <c r="O1559" s="55" t="inlineStr"/>
      <c r="P1559" s="16" t="inlineStr">
        <is>
          <t>Требует обогащения</t>
        </is>
      </c>
      <c r="Q1559" s="16">
        <f>HYPERLINK("https://pb.nalog.ru/search.html?query=5648020447","ФНС: проверить")</f>
        <v/>
      </c>
      <c r="R1559" s="16">
        <f>HYPERLINK("https://checko.ru/search?query=3801001629","Чекко: проверить")</f>
        <v/>
      </c>
      <c r="S1559" t="n">
        <v>1</v>
      </c>
      <c r="T1559" s="35" t="inlineStr">
        <is>
          <t>4 — Не обогащён</t>
        </is>
      </c>
      <c r="U1559" s="35" t="inlineStr">
        <is>
          <t>Нет ОКВЭД/ССЧР</t>
        </is>
      </c>
      <c r="V1559" s="35" t="inlineStr">
        <is>
          <t>Не определено</t>
        </is>
      </c>
      <c r="W1559" s="35" t="inlineStr"/>
      <c r="X1559" s="35" t="inlineStr"/>
    </row>
    <row r="1560" ht="41.25" customHeight="1" s="24">
      <c r="A1560" s="13" t="n">
        <v>5000030829</v>
      </c>
      <c r="B1560" s="13" t="inlineStr">
        <is>
          <t>Администрация муниципального образования Вязовский сельсовет Ташлинского района Оренбургской области</t>
        </is>
      </c>
      <c r="C1560" s="13" t="n">
        <v>5648004251</v>
      </c>
      <c r="D1560" s="13" t="inlineStr">
        <is>
          <t>5648004251</t>
        </is>
      </c>
      <c r="E1560" s="13" t="inlineStr">
        <is>
          <t>ЮЛ РФ</t>
        </is>
      </c>
      <c r="F1560" s="13" t="n"/>
      <c r="G1560" s="14" t="n"/>
      <c r="H1560" s="14" t="n"/>
      <c r="I1560" s="14" t="n"/>
      <c r="J1560" s="14" t="n"/>
      <c r="K1560" s="53" t="inlineStr"/>
      <c r="L1560" s="53" t="inlineStr">
        <is>
          <t>Не определено</t>
        </is>
      </c>
      <c r="M1560" s="53" t="inlineStr"/>
      <c r="N1560" s="54" t="inlineStr"/>
      <c r="O1560" s="55" t="inlineStr"/>
      <c r="P1560" s="16" t="inlineStr">
        <is>
          <t>Требует обогащения</t>
        </is>
      </c>
      <c r="Q1560" s="16">
        <f>HYPERLINK("https://pb.nalog.ru/search.html?query=5648004251","ФНС: проверить")</f>
        <v/>
      </c>
      <c r="R1560" s="16">
        <f>HYPERLINK("https://checko.ru/search?query=3801001629","Чекко: проверить")</f>
        <v/>
      </c>
      <c r="S1560" t="n">
        <v>1</v>
      </c>
      <c r="T1560" s="35" t="inlineStr">
        <is>
          <t>4 — Не обогащён</t>
        </is>
      </c>
      <c r="U1560" s="35" t="inlineStr">
        <is>
          <t>Нет ОКВЭД/ССЧР</t>
        </is>
      </c>
      <c r="V1560" s="35" t="inlineStr">
        <is>
          <t>Не определено</t>
        </is>
      </c>
      <c r="W1560" s="35" t="inlineStr"/>
      <c r="X1560" s="35" t="inlineStr"/>
    </row>
    <row r="1561" ht="41.25" customHeight="1" s="24">
      <c r="A1561" s="13" t="n">
        <v>5000030830</v>
      </c>
      <c r="B1561" s="13" t="inlineStr">
        <is>
          <t>Администрация муниципального образования Заречный сельсовет Ташлинского района Оренбургской области</t>
        </is>
      </c>
      <c r="C1561" s="13" t="n">
        <v>5648004413</v>
      </c>
      <c r="D1561" s="13" t="inlineStr">
        <is>
          <t>5648004413</t>
        </is>
      </c>
      <c r="E1561" s="13" t="inlineStr">
        <is>
          <t>ЮЛ РФ</t>
        </is>
      </c>
      <c r="F1561" s="13" t="n"/>
      <c r="G1561" s="14" t="n"/>
      <c r="H1561" s="14" t="n"/>
      <c r="I1561" s="14" t="n"/>
      <c r="J1561" s="14" t="n"/>
      <c r="K1561" s="53" t="inlineStr"/>
      <c r="L1561" s="53" t="inlineStr">
        <is>
          <t>Не определено</t>
        </is>
      </c>
      <c r="M1561" s="53" t="inlineStr"/>
      <c r="N1561" s="54" t="inlineStr"/>
      <c r="O1561" s="55" t="inlineStr"/>
      <c r="P1561" s="16" t="inlineStr">
        <is>
          <t>Требует обогащения</t>
        </is>
      </c>
      <c r="Q1561" s="16">
        <f>HYPERLINK("https://pb.nalog.ru/search.html?query=5648004413","ФНС: проверить")</f>
        <v/>
      </c>
      <c r="R1561" s="16">
        <f>HYPERLINK("https://checko.ru/search?query=3801001629","Чекко: проверить")</f>
        <v/>
      </c>
      <c r="S1561" t="n">
        <v>1</v>
      </c>
      <c r="T1561" s="35" t="inlineStr">
        <is>
          <t>4 — Не обогащён</t>
        </is>
      </c>
      <c r="U1561" s="35" t="inlineStr">
        <is>
          <t>Нет ОКВЭД/ССЧР</t>
        </is>
      </c>
      <c r="V1561" s="35" t="inlineStr">
        <is>
          <t>Не определено</t>
        </is>
      </c>
      <c r="W1561" s="35" t="inlineStr"/>
      <c r="X1561" s="35" t="inlineStr"/>
    </row>
    <row r="1562" ht="41.25" customHeight="1" s="24">
      <c r="A1562" s="13" t="n">
        <v>5000030772</v>
      </c>
      <c r="B1562" s="13" t="inlineStr">
        <is>
          <t>Муниципальное бюджетное общеобразовательное учреждение Степная средняя общеобразовательная школа</t>
        </is>
      </c>
      <c r="C1562" s="13" t="n">
        <v>5648006516</v>
      </c>
      <c r="D1562" s="13" t="inlineStr">
        <is>
          <t>5648006516</t>
        </is>
      </c>
      <c r="E1562" s="13" t="inlineStr">
        <is>
          <t>ЮЛ РФ</t>
        </is>
      </c>
      <c r="F1562" s="13" t="n"/>
      <c r="G1562" s="14" t="n"/>
      <c r="H1562" s="14" t="n"/>
      <c r="I1562" s="14" t="n"/>
      <c r="J1562" s="14" t="n"/>
      <c r="K1562" s="53" t="inlineStr"/>
      <c r="L1562" s="53" t="inlineStr">
        <is>
          <t>Не определено</t>
        </is>
      </c>
      <c r="M1562" s="53" t="inlineStr"/>
      <c r="N1562" s="54" t="inlineStr"/>
      <c r="O1562" s="55" t="inlineStr"/>
      <c r="P1562" s="16" t="inlineStr">
        <is>
          <t>Требует обогащения</t>
        </is>
      </c>
      <c r="Q1562" s="16">
        <f>HYPERLINK("https://pb.nalog.ru/search.html?query=5648006516","ФНС: проверить")</f>
        <v/>
      </c>
      <c r="R1562" s="16">
        <f>HYPERLINK("https://checko.ru/search?query=3801001629","Чекко: проверить")</f>
        <v/>
      </c>
      <c r="S1562" t="n">
        <v>1</v>
      </c>
      <c r="T1562" s="35" t="inlineStr">
        <is>
          <t>4 — Не обогащён</t>
        </is>
      </c>
      <c r="U1562" s="35" t="inlineStr">
        <is>
          <t>Нет ОКВЭД/ССЧР</t>
        </is>
      </c>
      <c r="V1562" s="35" t="inlineStr">
        <is>
          <t>Не определено</t>
        </is>
      </c>
      <c r="W1562" s="35" t="inlineStr"/>
      <c r="X1562" s="35" t="inlineStr"/>
    </row>
    <row r="1563" ht="41.25" customHeight="1" s="24">
      <c r="A1563" s="13" t="n">
        <v>5000030773</v>
      </c>
      <c r="B1563" s="13" t="inlineStr">
        <is>
          <t>Муниципальное бюджетное общеобразовательное учреждение Ташлинская средняя общеобразовательная школа</t>
        </is>
      </c>
      <c r="C1563" s="13" t="n">
        <v>5648006354</v>
      </c>
      <c r="D1563" s="13" t="inlineStr">
        <is>
          <t>5648006354</t>
        </is>
      </c>
      <c r="E1563" s="13" t="inlineStr">
        <is>
          <t>ЮЛ РФ</t>
        </is>
      </c>
      <c r="F1563" s="13" t="n"/>
      <c r="G1563" s="14" t="n"/>
      <c r="H1563" s="14" t="n"/>
      <c r="I1563" s="14" t="n"/>
      <c r="J1563" s="14" t="n"/>
      <c r="K1563" s="53" t="inlineStr"/>
      <c r="L1563" s="53" t="inlineStr">
        <is>
          <t>Не определено</t>
        </is>
      </c>
      <c r="M1563" s="53" t="inlineStr"/>
      <c r="N1563" s="54" t="inlineStr"/>
      <c r="O1563" s="55" t="inlineStr"/>
      <c r="P1563" s="16" t="inlineStr">
        <is>
          <t>Требует обогащения</t>
        </is>
      </c>
      <c r="Q1563" s="16">
        <f>HYPERLINK("https://pb.nalog.ru/search.html?query=5648006354","ФНС: проверить")</f>
        <v/>
      </c>
      <c r="R1563" s="16">
        <f>HYPERLINK("https://checko.ru/search?query=3801001629","Чекко: проверить")</f>
        <v/>
      </c>
      <c r="S1563" t="n">
        <v>1</v>
      </c>
      <c r="T1563" s="35" t="inlineStr">
        <is>
          <t>4 — Не обогащён</t>
        </is>
      </c>
      <c r="U1563" s="35" t="inlineStr">
        <is>
          <t>Нет ОКВЭД/ССЧР</t>
        </is>
      </c>
      <c r="V1563" s="35" t="inlineStr">
        <is>
          <t>Не определено</t>
        </is>
      </c>
      <c r="W1563" s="35" t="inlineStr"/>
      <c r="X1563" s="35" t="inlineStr"/>
    </row>
    <row r="1564" ht="41.25" customHeight="1" s="24">
      <c r="A1564" s="13" t="n">
        <v>5000030774</v>
      </c>
      <c r="B1564" s="13" t="inlineStr">
        <is>
          <t>Муниципальное бюджетное общеобразовательное учреждение Трудовская средняя общеобразовательная школа</t>
        </is>
      </c>
      <c r="C1564" s="13" t="n">
        <v>5648006604</v>
      </c>
      <c r="D1564" s="13" t="inlineStr">
        <is>
          <t>5648006604</t>
        </is>
      </c>
      <c r="E1564" s="13" t="inlineStr">
        <is>
          <t>ЮЛ РФ</t>
        </is>
      </c>
      <c r="F1564" s="13" t="n"/>
      <c r="G1564" s="14" t="n"/>
      <c r="H1564" s="14" t="n"/>
      <c r="I1564" s="14" t="n"/>
      <c r="J1564" s="14" t="n"/>
      <c r="K1564" s="53" t="inlineStr"/>
      <c r="L1564" s="53" t="inlineStr">
        <is>
          <t>Не определено</t>
        </is>
      </c>
      <c r="M1564" s="53" t="inlineStr"/>
      <c r="N1564" s="54" t="inlineStr"/>
      <c r="O1564" s="55" t="inlineStr"/>
      <c r="P1564" s="16" t="inlineStr">
        <is>
          <t>Требует обогащения</t>
        </is>
      </c>
      <c r="Q1564" s="16">
        <f>HYPERLINK("https://pb.nalog.ru/search.html?query=5648006604","ФНС: проверить")</f>
        <v/>
      </c>
      <c r="R1564" s="16">
        <f>HYPERLINK("https://checko.ru/search?query=3801001629","Чекко: проверить")</f>
        <v/>
      </c>
      <c r="S1564" t="n">
        <v>1</v>
      </c>
      <c r="T1564" s="35" t="inlineStr">
        <is>
          <t>4 — Не обогащён</t>
        </is>
      </c>
      <c r="U1564" s="35" t="inlineStr">
        <is>
          <t>Нет ОКВЭД/ССЧР</t>
        </is>
      </c>
      <c r="V1564" s="35" t="inlineStr">
        <is>
          <t>Не определено</t>
        </is>
      </c>
      <c r="W1564" s="35" t="inlineStr"/>
      <c r="X1564" s="35" t="inlineStr"/>
    </row>
    <row r="1565" ht="15" customHeight="1" s="24">
      <c r="A1565" s="13" t="n">
        <v>5000008562</v>
      </c>
      <c r="B1565" s="13" t="inlineStr">
        <is>
          <t>УФССП России по Пермскому краю</t>
        </is>
      </c>
      <c r="C1565" s="13" t="n">
        <v>5905239700</v>
      </c>
      <c r="D1565" s="13" t="inlineStr">
        <is>
          <t>5905239700</t>
        </is>
      </c>
      <c r="E1565" s="13" t="inlineStr">
        <is>
          <t>ЮЛ РФ</t>
        </is>
      </c>
      <c r="F1565" s="13" t="n"/>
      <c r="G1565" s="14" t="n"/>
      <c r="H1565" s="14" t="n"/>
      <c r="I1565" s="14" t="n"/>
      <c r="J1565" s="14" t="n"/>
      <c r="K1565" s="53" t="inlineStr"/>
      <c r="L1565" s="53" t="inlineStr">
        <is>
          <t>Не определено</t>
        </is>
      </c>
      <c r="M1565" s="53" t="inlineStr"/>
      <c r="N1565" s="54" t="inlineStr"/>
      <c r="O1565" s="55" t="inlineStr"/>
      <c r="P1565" s="16" t="inlineStr">
        <is>
          <t>Требует обогащения</t>
        </is>
      </c>
      <c r="Q1565" s="16">
        <f>HYPERLINK("https://pb.nalog.ru/search.html?query=5905239700","ФНС: проверить")</f>
        <v/>
      </c>
      <c r="R1565" s="16">
        <f>HYPERLINK("https://checko.ru/search?query=3801001629","Чекко: проверить")</f>
        <v/>
      </c>
      <c r="S1565" t="n">
        <v>1</v>
      </c>
      <c r="T1565" s="35" t="inlineStr">
        <is>
          <t>4 — Не обогащён</t>
        </is>
      </c>
      <c r="U1565" s="35" t="inlineStr">
        <is>
          <t>Нет ОКВЭД/ССЧР</t>
        </is>
      </c>
      <c r="V1565" s="35" t="inlineStr">
        <is>
          <t>Не определено</t>
        </is>
      </c>
      <c r="W1565" s="35" t="inlineStr"/>
      <c r="X1565" s="35" t="inlineStr"/>
    </row>
    <row r="1566" ht="15" customHeight="1" s="24">
      <c r="A1566" s="13" t="n">
        <v>5000001561</v>
      </c>
      <c r="B1566" s="13" t="inlineStr">
        <is>
          <t>ГАУК Иркутская областная филармония</t>
        </is>
      </c>
      <c r="C1566" s="13" t="n">
        <v>3811018678</v>
      </c>
      <c r="D1566" s="13" t="inlineStr">
        <is>
          <t>3811018678</t>
        </is>
      </c>
      <c r="E1566" s="13" t="inlineStr">
        <is>
          <t>ЮЛ РФ</t>
        </is>
      </c>
      <c r="F1566" s="13" t="n"/>
      <c r="G1566" s="14" t="n"/>
      <c r="H1566" s="14" t="n"/>
      <c r="I1566" s="14" t="n"/>
      <c r="J1566" s="14" t="n"/>
      <c r="K1566" s="53" t="inlineStr"/>
      <c r="L1566" s="53" t="inlineStr">
        <is>
          <t>Не определено</t>
        </is>
      </c>
      <c r="M1566" s="53" t="inlineStr"/>
      <c r="N1566" s="54" t="inlineStr"/>
      <c r="O1566" s="55" t="inlineStr"/>
      <c r="P1566" s="16" t="inlineStr">
        <is>
          <t>Требует обогащения</t>
        </is>
      </c>
      <c r="Q1566" s="16">
        <f>HYPERLINK("https://pb.nalog.ru/search.html?query=3811018678","ФНС: проверить")</f>
        <v/>
      </c>
      <c r="R1566" s="16">
        <f>HYPERLINK("https://checko.ru/search?query=3801001629","Чекко: проверить")</f>
        <v/>
      </c>
      <c r="S1566" t="n">
        <v>1</v>
      </c>
      <c r="T1566" s="35" t="inlineStr">
        <is>
          <t>4 — Не обогащён</t>
        </is>
      </c>
      <c r="U1566" s="35" t="inlineStr">
        <is>
          <t>Нет ОКВЭД/ССЧР</t>
        </is>
      </c>
      <c r="V1566" s="35" t="inlineStr">
        <is>
          <t>Не определено</t>
        </is>
      </c>
      <c r="W1566" s="35" t="inlineStr"/>
      <c r="X1566" s="35" t="inlineStr"/>
    </row>
    <row r="1567" ht="27.75" customHeight="1" s="24">
      <c r="A1567" s="13" t="n">
        <v>5000001690</v>
      </c>
      <c r="B1567" s="13" t="inlineStr">
        <is>
          <t>ОГБУСО "Реабилитационный центр для детей и подростков с ограниченными возможностями"</t>
        </is>
      </c>
      <c r="C1567" s="13" t="n">
        <v>3812009394</v>
      </c>
      <c r="D1567" s="13" t="inlineStr">
        <is>
          <t>3812009394</t>
        </is>
      </c>
      <c r="E1567" s="13" t="inlineStr">
        <is>
          <t>ЮЛ РФ</t>
        </is>
      </c>
      <c r="F1567" s="13" t="n"/>
      <c r="G1567" s="14" t="n"/>
      <c r="H1567" s="14" t="n"/>
      <c r="I1567" s="14" t="n"/>
      <c r="J1567" s="14" t="n"/>
      <c r="K1567" s="53" t="inlineStr"/>
      <c r="L1567" s="53" t="inlineStr">
        <is>
          <t>Не определено</t>
        </is>
      </c>
      <c r="M1567" s="53" t="inlineStr"/>
      <c r="N1567" s="54" t="inlineStr"/>
      <c r="O1567" s="55" t="inlineStr"/>
      <c r="P1567" s="16" t="inlineStr">
        <is>
          <t>Требует обогащения</t>
        </is>
      </c>
      <c r="Q1567" s="16">
        <f>HYPERLINK("https://pb.nalog.ru/search.html?query=3812009394","ФНС: проверить")</f>
        <v/>
      </c>
      <c r="R1567" s="16">
        <f>HYPERLINK("https://checko.ru/search?query=3801001629","Чекко: проверить")</f>
        <v/>
      </c>
      <c r="S1567" t="n">
        <v>1</v>
      </c>
      <c r="T1567" s="35" t="inlineStr">
        <is>
          <t>4 — Не обогащён</t>
        </is>
      </c>
      <c r="U1567" s="35" t="inlineStr">
        <is>
          <t>Нет ОКВЭД/ССЧР</t>
        </is>
      </c>
      <c r="V1567" s="35" t="inlineStr">
        <is>
          <t>Не определено</t>
        </is>
      </c>
      <c r="W1567" s="35" t="inlineStr"/>
      <c r="X1567" s="35" t="inlineStr"/>
    </row>
    <row r="1568" ht="41.25" customHeight="1" s="24">
      <c r="A1568" s="13" t="n">
        <v>5000060609</v>
      </c>
      <c r="B1568" s="13" t="inlineStr">
        <is>
          <t>ОбГКУ социального обслуживания "Социально-реабилитационный центр для несовершеннолетних "Открытый дом" в г.Ул</t>
        </is>
      </c>
      <c r="C1568" s="13" t="n">
        <v>7327017615</v>
      </c>
      <c r="D1568" s="13" t="inlineStr">
        <is>
          <t>7327017615</t>
        </is>
      </c>
      <c r="E1568" s="13" t="inlineStr">
        <is>
          <t>ЮЛ РФ</t>
        </is>
      </c>
      <c r="F1568" s="13" t="n"/>
      <c r="G1568" s="14" t="n"/>
      <c r="H1568" s="14" t="n"/>
      <c r="I1568" s="14" t="n"/>
      <c r="J1568" s="14" t="n"/>
      <c r="K1568" s="53" t="inlineStr"/>
      <c r="L1568" s="53" t="inlineStr">
        <is>
          <t>Не определено</t>
        </is>
      </c>
      <c r="M1568" s="53" t="inlineStr"/>
      <c r="N1568" s="54" t="inlineStr"/>
      <c r="O1568" s="55" t="inlineStr"/>
      <c r="P1568" s="16" t="inlineStr">
        <is>
          <t>Требует обогащения</t>
        </is>
      </c>
      <c r="Q1568" s="16">
        <f>HYPERLINK("https://pb.nalog.ru/search.html?query=7327017615","ФНС: проверить")</f>
        <v/>
      </c>
      <c r="R1568" s="16">
        <f>HYPERLINK("https://checko.ru/search?query=3801001629","Чекко: проверить")</f>
        <v/>
      </c>
      <c r="S1568" t="n">
        <v>1</v>
      </c>
      <c r="T1568" s="35" t="inlineStr">
        <is>
          <t>4 — Не обогащён</t>
        </is>
      </c>
      <c r="U1568" s="35" t="inlineStr">
        <is>
          <t>Нет ОКВЭД/ССЧР</t>
        </is>
      </c>
      <c r="V1568" s="35" t="inlineStr">
        <is>
          <t>Не определено</t>
        </is>
      </c>
      <c r="W1568" s="35" t="inlineStr"/>
      <c r="X1568" s="35" t="inlineStr"/>
    </row>
    <row r="1569" ht="15" customHeight="1" s="24">
      <c r="A1569" s="13" t="n">
        <v>5000095015</v>
      </c>
      <c r="B1569" s="13" t="inlineStr">
        <is>
          <t>ГБУЗ «Геронтологический центр» Минздрава КБР</t>
        </is>
      </c>
      <c r="C1569" s="13" t="n">
        <v>711038202</v>
      </c>
      <c r="D1569" s="13" t="n"/>
      <c r="E1569" s="13" t="inlineStr">
        <is>
          <t>Не определён</t>
        </is>
      </c>
      <c r="F1569" s="13" t="inlineStr">
        <is>
          <t>711038202</t>
        </is>
      </c>
      <c r="G1569" s="14" t="n"/>
      <c r="H1569" s="14" t="n"/>
      <c r="I1569" s="14" t="n"/>
      <c r="J1569" s="14" t="n"/>
      <c r="K1569" s="13">
        <f>IF(G1569="","",IF(G1569&gt;=22,"Да","Нет"))</f>
        <v/>
      </c>
      <c r="L1569" s="13">
        <f>IF(OR(I1569="",J1569=""),"Не определено",IF(OR(COUNTIF(I1569,"45*")&gt;0,COUNTIF(J1569,"*45*")&gt;0,COUNTIF(I1569,"46*")&gt;0,COUNTIF(J1569,"*46*")&gt;0,COUNTIF(I1569,"47*")&gt;0,COUNTIF(J1569,"*47*")&gt;0,COUNTIF(I1569,"10*")&gt;0,COUNTIF(J1569,"*10*")&gt;0,COUNTIF(I1569,"11*")&gt;0,COUNTIF(J1569,"*11*")&gt;0,COUNTIF(I1569,"12*")&gt;0,COUNTIF(J1569,"*12*")&gt;0,COUNTIF(I1569,"13*")&gt;0,COUNTIF(J1569,"*13*")&gt;0,COUNTIF(I1569,"14*")&gt;0,COUNTIF(J1569,"*14*")&gt;0,COUNTIF(I1569,"15*")&gt;0,COUNTIF(J1569,"*15*")&gt;0,COUNTIF(I1569,"16*")&gt;0,COUNTIF(J1569,"*16*")&gt;0,COUNTIF(I1569,"17*")&gt;0,COUNTIF(J1569,"*17*")&gt;0,COUNTIF(I1569,"18*")&gt;0,COUNTIF(J1569,"*18*")&gt;0,COUNTIF(I1569,"19*")&gt;0,COUNTIF(J1569,"*19*")&gt;0,COUNTIF(I1569,"20*")&gt;0,COUNTIF(J1569,"*20*")&gt;0,COUNTIF(I1569,"21*")&gt;0,COUNTIF(J1569,"*21*")&gt;0,COUNTIF(I1569,"22*")&gt;0,COUNTIF(J1569,"*22*")&gt;0,COUNTIF(I1569,"23*")&gt;0,COUNTIF(J1569,"*23*")&gt;0,COUNTIF(I1569,"24*")&gt;0,COUNTIF(J1569,"*24*")&gt;0,COUNTIF(I1569,"25*")&gt;0,COUNTIF(J1569,"*25*")&gt;0,COUNTIF(I1569,"26*")&gt;0,COUNTIF(J1569,"*26*")&gt;0,COUNTIF(I1569,"27*")&gt;0,COUNTIF(J1569,"*27*")&gt;0,COUNTIF(I1569,"28*")&gt;0,COUNTIF(J1569,"*28*")&gt;0,COUNTIF(I1569,"29*")&gt;0,COUNTIF(J1569,"*29*")&gt;0,COUNTIF(I1569,"30*")&gt;0,COUNTIF(J1569,"*30*")&gt;0,COUNTIF(I1569,"31*")&gt;0,COUNTIF(J1569,"*31*")&gt;0,COUNTIF(I1569,"32*")&gt;0,COUNTIF(J1569,"*32*")&gt;0,COUNTIF(I1569,"33*")&gt;0,COUNTIF(J1569,"*33*")&gt;0,COUNTIF(I1569,"41*")&gt;0,COUNTIF(J1569,"*41*")&gt;0,COUNTIF(I1569,"42*")&gt;0,COUNTIF(J1569,"*42*")&gt;0,COUNTIF(I1569,"43*")&gt;0,COUNTIF(J1569,"*43*")&gt;0,COUNTIF(I1569,"49*")&gt;0,COUNTIF(J1569,"*49*")&gt;0,COUNTIF(I1569,"52*")&gt;0,COUNTIF(J1569,"*52*")&gt;0,COUNTIF(I1569,"55*")&gt;0,COUNTIF(J1569,"*55*")&gt;0,COUNTIF(I1569,"56*")&gt;0,COUNTIF(J1569,"*56*")&gt;0,COUNTIF(I1569,"68*")&gt;0,COUNTIF(J1569,"*68*")&gt;0,COUNTIF(I1569,"78*")&gt;0,COUNTIF(J1569,"*78*")&gt;0,COUNTIF(I1569,"81*")&gt;0,COUNTIF(J1569,"*81*")&gt;0,COUNTIF(I1569,"82*")&gt;0,COUNTIF(J1569,"*82*")&gt;0,COUNTIF(I1569,"64*")&gt;0,COUNTIF(J1569,"*64*")&gt;0,COUNTIF(I1569,"65*")&gt;0,COUNTIF(J1569,"*65*")&gt;0,COUNTIF(I1569,"66*")&gt;0,COUNTIF(J1569,"*66*")&gt;0,COUNTIF(I1569,"61*")&gt;0,COUNTIF(J1569,"*61*")&gt;0,COUNTIF(I1569,"62*")&gt;0,COUNTIF(J1569,"*62*")&gt;0,COUNTIF(I1569,"63*")&gt;0,COUNTIF(J1569,"*63*")&gt;0,COUNTIF(I1569,"85*")&gt;0,COUNTIF(J1569,"*85*")&gt;0,COUNTIF(I1569,"86*")&gt;0,COUNTIF(J1569,"*86*")&gt;0),"Да","Нет"))</f>
        <v/>
      </c>
      <c r="M1569" s="13">
        <f>IF(OR(G1569="",L1569&lt;&gt;"Да"),"",IF(G1569&lt;=100,"До 100",IF(G1569&lt;=200,"До 200",IF(G1569&lt;=500,"До 500","Отдельное КП"))))</f>
        <v/>
      </c>
      <c r="N1569" s="15">
        <f>IF(OR(G1569="",L1569&lt;&gt;"Да"),"",IF(G1569&lt;=100,33600,IF(G1569&lt;=200,62400,IF(G1569&lt;=500,144000,""))))</f>
        <v/>
      </c>
      <c r="O1569" s="16">
        <f>IF(G1569="","",IF(G1569&lt;=15,"1–15",IF(G1569&lt;=30,"16–30",IF(G1569&lt;=50,"31–50",IF(G1569&lt;=100,"51–100",IF(G1569&lt;=150,"101–150",IF(G1569&lt;=200,"151–200",IF(G1569&lt;=500,"201–500","500+"))))))))</f>
        <v/>
      </c>
      <c r="P1569" s="16" t="inlineStr">
        <is>
          <t>Нет совпадения в предоставленной выгрузке ССЧР</t>
        </is>
      </c>
      <c r="Q1569" s="16" t="n"/>
      <c r="R1569" s="16">
        <f>HYPERLINK("https://checko.ru/search?query=3801001629","Чекко: проверить")</f>
        <v/>
      </c>
      <c r="S1569" t="n">
        <v>0</v>
      </c>
    </row>
    <row r="1570" ht="27.75" customHeight="1" s="24">
      <c r="A1570" s="13" t="n">
        <v>5000001501</v>
      </c>
      <c r="B1570" s="13" t="inlineStr">
        <is>
          <t>Служба государственного жилищного контроля и строительного надзора Иркутской области</t>
        </is>
      </c>
      <c r="C1570" s="13" t="n">
        <v>3808171877</v>
      </c>
      <c r="D1570" s="13" t="inlineStr">
        <is>
          <t>3808171877</t>
        </is>
      </c>
      <c r="E1570" s="13" t="inlineStr">
        <is>
          <t>ЮЛ РФ</t>
        </is>
      </c>
      <c r="F1570" s="13" t="n"/>
      <c r="G1570" s="14" t="n"/>
      <c r="H1570" s="14" t="n"/>
      <c r="I1570" s="14" t="n"/>
      <c r="J1570" s="14" t="n"/>
      <c r="K1570" s="53" t="inlineStr"/>
      <c r="L1570" s="53" t="inlineStr">
        <is>
          <t>Не определено</t>
        </is>
      </c>
      <c r="M1570" s="53" t="inlineStr"/>
      <c r="N1570" s="54" t="inlineStr"/>
      <c r="O1570" s="55" t="inlineStr"/>
      <c r="P1570" s="16" t="inlineStr">
        <is>
          <t>Требует обогащения</t>
        </is>
      </c>
      <c r="Q1570" s="16">
        <f>HYPERLINK("https://pb.nalog.ru/search.html?query=3808171877","ФНС: проверить")</f>
        <v/>
      </c>
      <c r="R1570" s="16">
        <f>HYPERLINK("https://checko.ru/search?query=3801001629","Чекко: проверить")</f>
        <v/>
      </c>
      <c r="S1570" t="n">
        <v>1</v>
      </c>
      <c r="T1570" s="35" t="inlineStr">
        <is>
          <t>4 — Не обогащён</t>
        </is>
      </c>
      <c r="U1570" s="35" t="inlineStr">
        <is>
          <t>Нет ОКВЭД/ССЧР</t>
        </is>
      </c>
      <c r="V1570" s="35" t="inlineStr">
        <is>
          <t>Не определено</t>
        </is>
      </c>
      <c r="W1570" s="35" t="inlineStr"/>
      <c r="X1570" s="35" t="inlineStr"/>
    </row>
    <row r="1571" ht="15" customHeight="1" s="24">
      <c r="A1571" s="13" t="n">
        <v>5000001649</v>
      </c>
      <c r="B1571" s="13" t="inlineStr">
        <is>
          <t>ОГБУЗ "Областная больница № 2"</t>
        </is>
      </c>
      <c r="C1571" s="13" t="n">
        <v>8506004660</v>
      </c>
      <c r="D1571" s="13" t="inlineStr">
        <is>
          <t>8506004660</t>
        </is>
      </c>
      <c r="E1571" s="13" t="inlineStr">
        <is>
          <t>ЮЛ РФ</t>
        </is>
      </c>
      <c r="F1571" s="13" t="n"/>
      <c r="G1571" s="14" t="n"/>
      <c r="H1571" s="14" t="n"/>
      <c r="I1571" s="14" t="n"/>
      <c r="J1571" s="14" t="n"/>
      <c r="K1571" s="53" t="inlineStr"/>
      <c r="L1571" s="53" t="inlineStr">
        <is>
          <t>Не определено</t>
        </is>
      </c>
      <c r="M1571" s="53" t="inlineStr"/>
      <c r="N1571" s="54" t="inlineStr"/>
      <c r="O1571" s="55" t="inlineStr"/>
      <c r="P1571" s="16" t="inlineStr">
        <is>
          <t>Требует обогащения</t>
        </is>
      </c>
      <c r="Q1571" s="16">
        <f>HYPERLINK("https://pb.nalog.ru/search.html?query=8506004660","ФНС: проверить")</f>
        <v/>
      </c>
      <c r="R1571" s="16">
        <f>HYPERLINK("https://checko.ru/search?query=3801001629","Чекко: проверить")</f>
        <v/>
      </c>
      <c r="S1571" t="n">
        <v>1</v>
      </c>
      <c r="T1571" s="35" t="inlineStr">
        <is>
          <t>4 — Не обогащён</t>
        </is>
      </c>
      <c r="U1571" s="35" t="inlineStr">
        <is>
          <t>Нет ОКВЭД/ССЧР</t>
        </is>
      </c>
      <c r="V1571" s="35" t="inlineStr">
        <is>
          <t>Не определено</t>
        </is>
      </c>
      <c r="W1571" s="35" t="inlineStr"/>
      <c r="X1571" s="35" t="inlineStr"/>
    </row>
    <row r="1572" ht="27.75" customHeight="1" s="24">
      <c r="A1572" s="13" t="n">
        <v>5000095008</v>
      </c>
      <c r="B1572" s="13" t="inlineStr">
        <is>
          <t>Местная администрация городского округа Нальчик</t>
        </is>
      </c>
      <c r="C1572" s="13" t="n">
        <v>711037382</v>
      </c>
      <c r="D1572" s="13" t="n"/>
      <c r="E1572" s="13" t="inlineStr">
        <is>
          <t>Не определён</t>
        </is>
      </c>
      <c r="F1572" s="13" t="inlineStr">
        <is>
          <t>711037382</t>
        </is>
      </c>
      <c r="G1572" s="14" t="n"/>
      <c r="H1572" s="14" t="n"/>
      <c r="I1572" s="14" t="n"/>
      <c r="J1572" s="14" t="n"/>
      <c r="K1572" s="13">
        <f>IF(G1572="","",IF(G1572&gt;=22,"Да","Нет"))</f>
        <v/>
      </c>
      <c r="L1572" s="13">
        <f>IF(OR(I1572="",J1572=""),"Не определено",IF(OR(COUNTIF(I1572,"45*")&gt;0,COUNTIF(J1572,"*45*")&gt;0,COUNTIF(I1572,"46*")&gt;0,COUNTIF(J1572,"*46*")&gt;0,COUNTIF(I1572,"47*")&gt;0,COUNTIF(J1572,"*47*")&gt;0,COUNTIF(I1572,"10*")&gt;0,COUNTIF(J1572,"*10*")&gt;0,COUNTIF(I1572,"11*")&gt;0,COUNTIF(J1572,"*11*")&gt;0,COUNTIF(I1572,"12*")&gt;0,COUNTIF(J1572,"*12*")&gt;0,COUNTIF(I1572,"13*")&gt;0,COUNTIF(J1572,"*13*")&gt;0,COUNTIF(I1572,"14*")&gt;0,COUNTIF(J1572,"*14*")&gt;0,COUNTIF(I1572,"15*")&gt;0,COUNTIF(J1572,"*15*")&gt;0,COUNTIF(I1572,"16*")&gt;0,COUNTIF(J1572,"*16*")&gt;0,COUNTIF(I1572,"17*")&gt;0,COUNTIF(J1572,"*17*")&gt;0,COUNTIF(I1572,"18*")&gt;0,COUNTIF(J1572,"*18*")&gt;0,COUNTIF(I1572,"19*")&gt;0,COUNTIF(J1572,"*19*")&gt;0,COUNTIF(I1572,"20*")&gt;0,COUNTIF(J1572,"*20*")&gt;0,COUNTIF(I1572,"21*")&gt;0,COUNTIF(J1572,"*21*")&gt;0,COUNTIF(I1572,"22*")&gt;0,COUNTIF(J1572,"*22*")&gt;0,COUNTIF(I1572,"23*")&gt;0,COUNTIF(J1572,"*23*")&gt;0,COUNTIF(I1572,"24*")&gt;0,COUNTIF(J1572,"*24*")&gt;0,COUNTIF(I1572,"25*")&gt;0,COUNTIF(J1572,"*25*")&gt;0,COUNTIF(I1572,"26*")&gt;0,COUNTIF(J1572,"*26*")&gt;0,COUNTIF(I1572,"27*")&gt;0,COUNTIF(J1572,"*27*")&gt;0,COUNTIF(I1572,"28*")&gt;0,COUNTIF(J1572,"*28*")&gt;0,COUNTIF(I1572,"29*")&gt;0,COUNTIF(J1572,"*29*")&gt;0,COUNTIF(I1572,"30*")&gt;0,COUNTIF(J1572,"*30*")&gt;0,COUNTIF(I1572,"31*")&gt;0,COUNTIF(J1572,"*31*")&gt;0,COUNTIF(I1572,"32*")&gt;0,COUNTIF(J1572,"*32*")&gt;0,COUNTIF(I1572,"33*")&gt;0,COUNTIF(J1572,"*33*")&gt;0,COUNTIF(I1572,"41*")&gt;0,COUNTIF(J1572,"*41*")&gt;0,COUNTIF(I1572,"42*")&gt;0,COUNTIF(J1572,"*42*")&gt;0,COUNTIF(I1572,"43*")&gt;0,COUNTIF(J1572,"*43*")&gt;0,COUNTIF(I1572,"49*")&gt;0,COUNTIF(J1572,"*49*")&gt;0,COUNTIF(I1572,"52*")&gt;0,COUNTIF(J1572,"*52*")&gt;0,COUNTIF(I1572,"55*")&gt;0,COUNTIF(J1572,"*55*")&gt;0,COUNTIF(I1572,"56*")&gt;0,COUNTIF(J1572,"*56*")&gt;0,COUNTIF(I1572,"68*")&gt;0,COUNTIF(J1572,"*68*")&gt;0,COUNTIF(I1572,"78*")&gt;0,COUNTIF(J1572,"*78*")&gt;0,COUNTIF(I1572,"81*")&gt;0,COUNTIF(J1572,"*81*")&gt;0,COUNTIF(I1572,"82*")&gt;0,COUNTIF(J1572,"*82*")&gt;0,COUNTIF(I1572,"64*")&gt;0,COUNTIF(J1572,"*64*")&gt;0,COUNTIF(I1572,"65*")&gt;0,COUNTIF(J1572,"*65*")&gt;0,COUNTIF(I1572,"66*")&gt;0,COUNTIF(J1572,"*66*")&gt;0,COUNTIF(I1572,"61*")&gt;0,COUNTIF(J1572,"*61*")&gt;0,COUNTIF(I1572,"62*")&gt;0,COUNTIF(J1572,"*62*")&gt;0,COUNTIF(I1572,"63*")&gt;0,COUNTIF(J1572,"*63*")&gt;0,COUNTIF(I1572,"85*")&gt;0,COUNTIF(J1572,"*85*")&gt;0,COUNTIF(I1572,"86*")&gt;0,COUNTIF(J1572,"*86*")&gt;0),"Да","Нет"))</f>
        <v/>
      </c>
      <c r="M1572" s="13">
        <f>IF(OR(G1572="",L1572&lt;&gt;"Да"),"",IF(G1572&lt;=100,"До 100",IF(G1572&lt;=200,"До 200",IF(G1572&lt;=500,"До 500","Отдельное КП"))))</f>
        <v/>
      </c>
      <c r="N1572" s="15">
        <f>IF(OR(G1572="",L1572&lt;&gt;"Да"),"",IF(G1572&lt;=100,33600,IF(G1572&lt;=200,62400,IF(G1572&lt;=500,144000,""))))</f>
        <v/>
      </c>
      <c r="O1572" s="16">
        <f>IF(G1572="","",IF(G1572&lt;=15,"1–15",IF(G1572&lt;=30,"16–30",IF(G1572&lt;=50,"31–50",IF(G1572&lt;=100,"51–100",IF(G1572&lt;=150,"101–150",IF(G1572&lt;=200,"151–200",IF(G1572&lt;=500,"201–500","500+"))))))))</f>
        <v/>
      </c>
      <c r="P1572" s="16" t="inlineStr">
        <is>
          <t>Нет совпадения в предоставленной выгрузке ССЧР</t>
        </is>
      </c>
      <c r="Q1572" s="16" t="n"/>
      <c r="R1572" s="16">
        <f>HYPERLINK("https://checko.ru/search?query=3801001629","Чекко: проверить")</f>
        <v/>
      </c>
      <c r="S1572" t="n">
        <v>0</v>
      </c>
    </row>
    <row r="1573" ht="15" customHeight="1" s="24">
      <c r="A1573" s="13" t="n">
        <v>5000121215</v>
      </c>
      <c r="B1573" s="13" t="inlineStr">
        <is>
          <t>МБУ "МФЦ городского округа Реутово"</t>
        </is>
      </c>
      <c r="C1573" s="13" t="n">
        <v>5012076660</v>
      </c>
      <c r="D1573" s="13" t="inlineStr">
        <is>
          <t>5012076660</t>
        </is>
      </c>
      <c r="E1573" s="13" t="inlineStr">
        <is>
          <t>ЮЛ РФ</t>
        </is>
      </c>
      <c r="F1573" s="13" t="n"/>
      <c r="G1573" s="14" t="n"/>
      <c r="H1573" s="14" t="n"/>
      <c r="I1573" s="14" t="n"/>
      <c r="J1573" s="14" t="n"/>
      <c r="K1573" s="53" t="inlineStr"/>
      <c r="L1573" s="53" t="inlineStr">
        <is>
          <t>Не определено</t>
        </is>
      </c>
      <c r="M1573" s="53" t="inlineStr"/>
      <c r="N1573" s="54" t="inlineStr"/>
      <c r="O1573" s="55" t="inlineStr"/>
      <c r="P1573" s="16" t="inlineStr">
        <is>
          <t>Требует обогащения</t>
        </is>
      </c>
      <c r="Q1573" s="16">
        <f>HYPERLINK("https://pb.nalog.ru/search.html?query=5012076660","ФНС: проверить")</f>
        <v/>
      </c>
      <c r="R1573" s="16">
        <f>HYPERLINK("https://checko.ru/search?query=3801001629","Чекко: проверить")</f>
        <v/>
      </c>
      <c r="S1573" t="n">
        <v>1</v>
      </c>
      <c r="T1573" s="35" t="inlineStr">
        <is>
          <t>4 — Не обогащён</t>
        </is>
      </c>
      <c r="U1573" s="35" t="inlineStr">
        <is>
          <t>Нет ОКВЭД/ССЧР</t>
        </is>
      </c>
      <c r="V1573" s="35" t="inlineStr">
        <is>
          <t>Не определено</t>
        </is>
      </c>
      <c r="W1573" s="35" t="inlineStr"/>
      <c r="X1573" s="35" t="inlineStr"/>
    </row>
    <row r="1574" ht="15" customHeight="1" s="24">
      <c r="A1574" s="13" t="n">
        <v>5000119013</v>
      </c>
      <c r="B1574" s="13" t="inlineStr">
        <is>
          <t>МАУ ГОЛ МО "ЛИЦ"</t>
        </is>
      </c>
      <c r="C1574" s="13" t="n">
        <v>5072708176</v>
      </c>
      <c r="D1574" s="13" t="inlineStr">
        <is>
          <t>5072708176</t>
        </is>
      </c>
      <c r="E1574" s="13" t="inlineStr">
        <is>
          <t>ЮЛ РФ</t>
        </is>
      </c>
      <c r="F1574" s="13" t="n"/>
      <c r="G1574" s="14" t="n"/>
      <c r="H1574" s="14" t="n"/>
      <c r="I1574" s="14" t="n"/>
      <c r="J1574" s="14" t="n"/>
      <c r="K1574" s="53" t="inlineStr"/>
      <c r="L1574" s="53" t="inlineStr">
        <is>
          <t>Не определено</t>
        </is>
      </c>
      <c r="M1574" s="53" t="inlineStr"/>
      <c r="N1574" s="54" t="inlineStr"/>
      <c r="O1574" s="55" t="inlineStr"/>
      <c r="P1574" s="16" t="inlineStr">
        <is>
          <t>Требует обогащения</t>
        </is>
      </c>
      <c r="Q1574" s="16">
        <f>HYPERLINK("https://pb.nalog.ru/search.html?query=5072708176","ФНС: проверить")</f>
        <v/>
      </c>
      <c r="R1574" s="16">
        <f>HYPERLINK("https://checko.ru/search?query=3801001629","Чекко: проверить")</f>
        <v/>
      </c>
      <c r="S1574" t="n">
        <v>1</v>
      </c>
      <c r="T1574" s="35" t="inlineStr">
        <is>
          <t>4 — Не обогащён</t>
        </is>
      </c>
      <c r="U1574" s="35" t="inlineStr">
        <is>
          <t>Нет ОКВЭД/ССЧР</t>
        </is>
      </c>
      <c r="V1574" s="35" t="inlineStr">
        <is>
          <t>Не определено</t>
        </is>
      </c>
      <c r="W1574" s="35" t="inlineStr"/>
      <c r="X1574" s="35" t="inlineStr"/>
    </row>
    <row r="1575" ht="15" customHeight="1" s="24">
      <c r="A1575" s="13" t="n">
        <v>5000001951</v>
      </c>
      <c r="B1575" s="13" t="inlineStr">
        <is>
          <t>Усольский аграрно-промышленный техникум</t>
        </is>
      </c>
      <c r="C1575" s="13" t="n">
        <v>3840004091</v>
      </c>
      <c r="D1575" s="13" t="inlineStr">
        <is>
          <t>3840004091</t>
        </is>
      </c>
      <c r="E1575" s="13" t="inlineStr">
        <is>
          <t>ЮЛ РФ</t>
        </is>
      </c>
      <c r="F1575" s="13" t="n"/>
      <c r="G1575" s="14" t="n"/>
      <c r="H1575" s="14" t="n"/>
      <c r="I1575" s="14" t="n"/>
      <c r="J1575" s="14" t="n"/>
      <c r="K1575" s="53" t="inlineStr"/>
      <c r="L1575" s="53" t="inlineStr">
        <is>
          <t>Не определено</t>
        </is>
      </c>
      <c r="M1575" s="53" t="inlineStr"/>
      <c r="N1575" s="54" t="inlineStr"/>
      <c r="O1575" s="55" t="inlineStr"/>
      <c r="P1575" s="16" t="inlineStr">
        <is>
          <t>Требует обогащения</t>
        </is>
      </c>
      <c r="Q1575" s="16">
        <f>HYPERLINK("https://pb.nalog.ru/search.html?query=3840004091","ФНС: проверить")</f>
        <v/>
      </c>
      <c r="R1575" s="16">
        <f>HYPERLINK("https://checko.ru/search?query=3801001629","Чекко: проверить")</f>
        <v/>
      </c>
      <c r="S1575" t="n">
        <v>1</v>
      </c>
      <c r="T1575" s="35" t="inlineStr">
        <is>
          <t>4 — Не обогащён</t>
        </is>
      </c>
      <c r="U1575" s="35" t="inlineStr">
        <is>
          <t>Нет ОКВЭД/ССЧР</t>
        </is>
      </c>
      <c r="V1575" s="35" t="inlineStr">
        <is>
          <t>Не определено</t>
        </is>
      </c>
      <c r="W1575" s="35" t="inlineStr"/>
      <c r="X1575" s="35" t="inlineStr"/>
    </row>
    <row r="1576" ht="15" customHeight="1" s="24">
      <c r="A1576" s="13" t="n">
        <v>5000097386</v>
      </c>
      <c r="B1576" s="13" t="inlineStr">
        <is>
          <t>АДМИНИСТРАЦИЯ МО "БИЛЬЧИР"</t>
        </is>
      </c>
      <c r="C1576" s="13" t="n">
        <v>8505005870</v>
      </c>
      <c r="D1576" s="13" t="inlineStr">
        <is>
          <t>8505005870</t>
        </is>
      </c>
      <c r="E1576" s="13" t="inlineStr">
        <is>
          <t>ЮЛ РФ</t>
        </is>
      </c>
      <c r="F1576" s="13" t="n"/>
      <c r="G1576" s="14" t="n"/>
      <c r="H1576" s="14" t="n"/>
      <c r="I1576" s="14" t="n"/>
      <c r="J1576" s="14" t="n"/>
      <c r="K1576" s="53" t="inlineStr"/>
      <c r="L1576" s="53" t="inlineStr">
        <is>
          <t>Не определено</t>
        </is>
      </c>
      <c r="M1576" s="53" t="inlineStr"/>
      <c r="N1576" s="54" t="inlineStr"/>
      <c r="O1576" s="55" t="inlineStr"/>
      <c r="P1576" s="16" t="inlineStr">
        <is>
          <t>Требует обогащения</t>
        </is>
      </c>
      <c r="Q1576" s="16">
        <f>HYPERLINK("https://pb.nalog.ru/search.html?query=8505005870","ФНС: проверить")</f>
        <v/>
      </c>
      <c r="R1576" s="16">
        <f>HYPERLINK("https://checko.ru/search?query=3801001629","Чекко: проверить")</f>
        <v/>
      </c>
      <c r="S1576" t="n">
        <v>1</v>
      </c>
      <c r="T1576" s="35" t="inlineStr">
        <is>
          <t>4 — Не обогащён</t>
        </is>
      </c>
      <c r="U1576" s="35" t="inlineStr">
        <is>
          <t>Нет ОКВЭД/ССЧР</t>
        </is>
      </c>
      <c r="V1576" s="35" t="inlineStr">
        <is>
          <t>Не определено</t>
        </is>
      </c>
      <c r="W1576" s="35" t="inlineStr"/>
      <c r="X1576" s="35" t="inlineStr"/>
    </row>
    <row r="1577" ht="41.25" customHeight="1" s="24">
      <c r="A1577" s="13" t="n">
        <v>5000106177</v>
      </c>
      <c r="B1577" s="13" t="inlineStr">
        <is>
          <t>АДМИНИСТРАЦИЯ МУНИЦИПАЛЬНОГО ОБРАЗОВАНИЯ ТАШЛИНСКИЙ РАЙОН ОРЕНБУРГСКОЙ ОБЛАСТИ</t>
        </is>
      </c>
      <c r="C1577" s="13" t="n">
        <v>5648006160</v>
      </c>
      <c r="D1577" s="13" t="inlineStr">
        <is>
          <t>5648006160</t>
        </is>
      </c>
      <c r="E1577" s="13" t="inlineStr">
        <is>
          <t>ЮЛ РФ</t>
        </is>
      </c>
      <c r="F1577" s="13" t="n"/>
      <c r="G1577" s="14" t="n"/>
      <c r="H1577" s="14" t="n"/>
      <c r="I1577" s="14" t="n"/>
      <c r="J1577" s="14" t="n"/>
      <c r="K1577" s="53" t="inlineStr"/>
      <c r="L1577" s="53" t="inlineStr">
        <is>
          <t>Не определено</t>
        </is>
      </c>
      <c r="M1577" s="53" t="inlineStr"/>
      <c r="N1577" s="54" t="inlineStr"/>
      <c r="O1577" s="55" t="inlineStr"/>
      <c r="P1577" s="16" t="inlineStr">
        <is>
          <t>Требует обогащения</t>
        </is>
      </c>
      <c r="Q1577" s="16">
        <f>HYPERLINK("https://pb.nalog.ru/search.html?query=5648006160","ФНС: проверить")</f>
        <v/>
      </c>
      <c r="R1577" s="16">
        <f>HYPERLINK("https://checko.ru/search?query=3801001629","Чекко: проверить")</f>
        <v/>
      </c>
      <c r="S1577" t="n">
        <v>1</v>
      </c>
      <c r="T1577" s="35" t="inlineStr">
        <is>
          <t>4 — Не обогащён</t>
        </is>
      </c>
      <c r="U1577" s="35" t="inlineStr">
        <is>
          <t>Нет ОКВЭД/ССЧР</t>
        </is>
      </c>
      <c r="V1577" s="35" t="inlineStr">
        <is>
          <t>Не определено</t>
        </is>
      </c>
      <c r="W1577" s="35" t="inlineStr"/>
      <c r="X1577" s="35" t="inlineStr"/>
    </row>
    <row r="1578" ht="15" customHeight="1" s="24">
      <c r="A1578" s="13" t="n">
        <v>5000008594</v>
      </c>
      <c r="B1578" s="13" t="inlineStr">
        <is>
          <t>УФССП России по Пензенской области</t>
        </is>
      </c>
      <c r="C1578" s="13" t="n">
        <v>5836013315</v>
      </c>
      <c r="D1578" s="13" t="inlineStr">
        <is>
          <t>5836013315</t>
        </is>
      </c>
      <c r="E1578" s="13" t="inlineStr">
        <is>
          <t>ЮЛ РФ</t>
        </is>
      </c>
      <c r="F1578" s="13" t="n"/>
      <c r="G1578" s="14" t="n"/>
      <c r="H1578" s="14" t="n"/>
      <c r="I1578" s="14" t="n"/>
      <c r="J1578" s="14" t="n"/>
      <c r="K1578" s="53" t="inlineStr"/>
      <c r="L1578" s="53" t="inlineStr">
        <is>
          <t>Не определено</t>
        </is>
      </c>
      <c r="M1578" s="53" t="inlineStr"/>
      <c r="N1578" s="54" t="inlineStr"/>
      <c r="O1578" s="55" t="inlineStr"/>
      <c r="P1578" s="16" t="inlineStr">
        <is>
          <t>Требует обогащения</t>
        </is>
      </c>
      <c r="Q1578" s="16">
        <f>HYPERLINK("https://pb.nalog.ru/search.html?query=5836013315","ФНС: проверить")</f>
        <v/>
      </c>
      <c r="R1578" s="16">
        <f>HYPERLINK("https://checko.ru/search?query=3801001629","Чекко: проверить")</f>
        <v/>
      </c>
      <c r="S1578" t="n">
        <v>1</v>
      </c>
      <c r="T1578" s="35" t="inlineStr">
        <is>
          <t>4 — Не обогащён</t>
        </is>
      </c>
      <c r="U1578" s="35" t="inlineStr">
        <is>
          <t>Нет ОКВЭД/ССЧР</t>
        </is>
      </c>
      <c r="V1578" s="35" t="inlineStr">
        <is>
          <t>Не определено</t>
        </is>
      </c>
      <c r="W1578" s="35" t="inlineStr"/>
      <c r="X1578" s="35" t="inlineStr"/>
    </row>
    <row r="1579" ht="54.75" customHeight="1" s="24">
      <c r="A1579" s="13" t="n">
        <v>5000101692</v>
      </c>
      <c r="B1579" s="13" t="inlineStr">
        <is>
          <t>Областное государственное бюджетное учреждение «Управление социальной защиты и социального обслуживания населения по Шелеховскому району»</t>
        </is>
      </c>
      <c r="C1579" s="13" t="n">
        <v>3812999374</v>
      </c>
      <c r="D1579" s="13" t="inlineStr">
        <is>
          <t>3812999374</t>
        </is>
      </c>
      <c r="E1579" s="13" t="inlineStr">
        <is>
          <t>ЮЛ РФ</t>
        </is>
      </c>
      <c r="F1579" s="13" t="n"/>
      <c r="G1579" s="14" t="n"/>
      <c r="H1579" s="14" t="n"/>
      <c r="I1579" s="14" t="n"/>
      <c r="J1579" s="14" t="n"/>
      <c r="K1579" s="53" t="inlineStr"/>
      <c r="L1579" s="53" t="inlineStr">
        <is>
          <t>Не определено</t>
        </is>
      </c>
      <c r="M1579" s="53" t="inlineStr"/>
      <c r="N1579" s="54" t="inlineStr"/>
      <c r="O1579" s="55" t="inlineStr"/>
      <c r="P1579" s="16" t="inlineStr">
        <is>
          <t>Требует обогащения</t>
        </is>
      </c>
      <c r="Q1579" s="16">
        <f>HYPERLINK("https://pb.nalog.ru/search.html?query=3812999374","ФНС: проверить")</f>
        <v/>
      </c>
      <c r="R1579" s="16">
        <f>HYPERLINK("https://checko.ru/search?query=3801001629","Чекко: проверить")</f>
        <v/>
      </c>
      <c r="S1579" t="n">
        <v>1</v>
      </c>
      <c r="T1579" s="35" t="inlineStr">
        <is>
          <t>4 — Не обогащён</t>
        </is>
      </c>
      <c r="U1579" s="35" t="inlineStr">
        <is>
          <t>Нет ОКВЭД/ССЧР</t>
        </is>
      </c>
      <c r="V1579" s="35" t="inlineStr">
        <is>
          <t>Не определено</t>
        </is>
      </c>
      <c r="W1579" s="35" t="inlineStr"/>
      <c r="X1579" s="35" t="inlineStr"/>
    </row>
    <row r="1580" ht="15" customHeight="1" s="24">
      <c r="A1580" s="13" t="n">
        <v>5000057421</v>
      </c>
      <c r="B1580" s="13" t="inlineStr">
        <is>
          <t>МАУ "Физкультурно-спортивный центр "Кубинка""</t>
        </is>
      </c>
      <c r="C1580" s="13" t="n">
        <v>5032260586</v>
      </c>
      <c r="D1580" s="13" t="inlineStr">
        <is>
          <t>5032260586</t>
        </is>
      </c>
      <c r="E1580" s="13" t="inlineStr">
        <is>
          <t>ЮЛ РФ</t>
        </is>
      </c>
      <c r="F1580" s="13" t="n"/>
      <c r="G1580" s="14" t="n"/>
      <c r="H1580" s="14" t="n"/>
      <c r="I1580" s="14" t="n"/>
      <c r="J1580" s="14" t="n"/>
      <c r="K1580" s="53" t="inlineStr"/>
      <c r="L1580" s="53" t="inlineStr">
        <is>
          <t>Не определено</t>
        </is>
      </c>
      <c r="M1580" s="53" t="inlineStr"/>
      <c r="N1580" s="54" t="inlineStr"/>
      <c r="O1580" s="55" t="inlineStr"/>
      <c r="P1580" s="16" t="inlineStr">
        <is>
          <t>Требует обогащения</t>
        </is>
      </c>
      <c r="Q1580" s="16">
        <f>HYPERLINK("https://pb.nalog.ru/search.html?query=5032260586","ФНС: проверить")</f>
        <v/>
      </c>
      <c r="R1580" s="16">
        <f>HYPERLINK("https://checko.ru/search?query=3801001629","Чекко: проверить")</f>
        <v/>
      </c>
      <c r="S1580" t="n">
        <v>1</v>
      </c>
      <c r="T1580" s="35" t="inlineStr">
        <is>
          <t>4 — Не обогащён</t>
        </is>
      </c>
      <c r="U1580" s="35" t="inlineStr">
        <is>
          <t>Нет ОКВЭД/ССЧР</t>
        </is>
      </c>
      <c r="V1580" s="35" t="inlineStr">
        <is>
          <t>Не определено</t>
        </is>
      </c>
      <c r="W1580" s="35" t="inlineStr"/>
      <c r="X1580" s="35" t="inlineStr"/>
    </row>
    <row r="1581" ht="27.75" customHeight="1" s="24">
      <c r="A1581" s="13" t="n">
        <v>5000001946</v>
      </c>
      <c r="B1581" s="13" t="inlineStr">
        <is>
          <t>ОГАОУ НПО Профессиональное училище № 16 г. Байкальска</t>
        </is>
      </c>
      <c r="C1581" s="13" t="n">
        <v>3837045010</v>
      </c>
      <c r="D1581" s="13" t="inlineStr">
        <is>
          <t>3837045010</t>
        </is>
      </c>
      <c r="E1581" s="13" t="inlineStr">
        <is>
          <t>ЮЛ РФ</t>
        </is>
      </c>
      <c r="F1581" s="13" t="n"/>
      <c r="G1581" s="14" t="n"/>
      <c r="H1581" s="14" t="n"/>
      <c r="I1581" s="14" t="n"/>
      <c r="J1581" s="14" t="n"/>
      <c r="K1581" s="53" t="inlineStr"/>
      <c r="L1581" s="53" t="inlineStr">
        <is>
          <t>Не определено</t>
        </is>
      </c>
      <c r="M1581" s="53" t="inlineStr"/>
      <c r="N1581" s="54" t="inlineStr"/>
      <c r="O1581" s="55" t="inlineStr"/>
      <c r="P1581" s="16" t="inlineStr">
        <is>
          <t>Требует обогащения</t>
        </is>
      </c>
      <c r="Q1581" s="16">
        <f>HYPERLINK("https://pb.nalog.ru/search.html?query=3837045010","ФНС: проверить")</f>
        <v/>
      </c>
      <c r="R1581" s="16">
        <f>HYPERLINK("https://checko.ru/search?query=3801001629","Чекко: проверить")</f>
        <v/>
      </c>
      <c r="S1581" t="n">
        <v>1</v>
      </c>
      <c r="T1581" s="35" t="inlineStr">
        <is>
          <t>4 — Не обогащён</t>
        </is>
      </c>
      <c r="U1581" s="35" t="inlineStr">
        <is>
          <t>Нет ОКВЭД/ССЧР</t>
        </is>
      </c>
      <c r="V1581" s="35" t="inlineStr">
        <is>
          <t>Не определено</t>
        </is>
      </c>
      <c r="W1581" s="35" t="inlineStr"/>
      <c r="X1581" s="35" t="inlineStr"/>
    </row>
    <row r="1582" ht="15" customHeight="1" s="24">
      <c r="A1582" s="13" t="n">
        <v>5000062580</v>
      </c>
      <c r="B1582" s="13" t="inlineStr">
        <is>
          <t>ГУЗ Госпиталь ветеранов войн</t>
        </is>
      </c>
      <c r="C1582" s="13" t="n">
        <v>7303014661</v>
      </c>
      <c r="D1582" s="13" t="inlineStr">
        <is>
          <t>7303014661</t>
        </is>
      </c>
      <c r="E1582" s="13" t="inlineStr">
        <is>
          <t>ЮЛ РФ</t>
        </is>
      </c>
      <c r="F1582" s="13" t="n"/>
      <c r="G1582" s="14" t="n"/>
      <c r="H1582" s="14" t="n"/>
      <c r="I1582" s="14" t="n"/>
      <c r="J1582" s="14" t="n"/>
      <c r="K1582" s="53" t="inlineStr"/>
      <c r="L1582" s="53" t="inlineStr">
        <is>
          <t>Не определено</t>
        </is>
      </c>
      <c r="M1582" s="53" t="inlineStr"/>
      <c r="N1582" s="54" t="inlineStr"/>
      <c r="O1582" s="55" t="inlineStr"/>
      <c r="P1582" s="16" t="inlineStr">
        <is>
          <t>Требует обогащения</t>
        </is>
      </c>
      <c r="Q1582" s="16">
        <f>HYPERLINK("https://pb.nalog.ru/search.html?query=7303014661","ФНС: проверить")</f>
        <v/>
      </c>
      <c r="R1582" s="16">
        <f>HYPERLINK("https://checko.ru/search?query=3801001629","Чекко: проверить")</f>
        <v/>
      </c>
      <c r="S1582" t="n">
        <v>1</v>
      </c>
      <c r="T1582" s="35" t="inlineStr">
        <is>
          <t>4 — Не обогащён</t>
        </is>
      </c>
      <c r="U1582" s="35" t="inlineStr">
        <is>
          <t>Нет ОКВЭД/ССЧР</t>
        </is>
      </c>
      <c r="V1582" s="35" t="inlineStr">
        <is>
          <t>Не определено</t>
        </is>
      </c>
      <c r="W1582" s="35" t="inlineStr"/>
      <c r="X1582" s="35" t="inlineStr"/>
    </row>
    <row r="1583" ht="27.75" customHeight="1" s="24">
      <c r="A1583" s="13" t="n">
        <v>5000095007</v>
      </c>
      <c r="B1583" s="13" t="inlineStr">
        <is>
          <t>МКДОУ «Детский сад №56» комбинированного вида</t>
        </is>
      </c>
      <c r="C1583" s="13" t="n">
        <v>711037230</v>
      </c>
      <c r="D1583" s="13" t="n"/>
      <c r="E1583" s="13" t="inlineStr">
        <is>
          <t>Не определён</t>
        </is>
      </c>
      <c r="F1583" s="13" t="inlineStr">
        <is>
          <t>711037230</t>
        </is>
      </c>
      <c r="G1583" s="14" t="n"/>
      <c r="H1583" s="14" t="n"/>
      <c r="I1583" s="14" t="n"/>
      <c r="J1583" s="14" t="n"/>
      <c r="K1583" s="13">
        <f>IF(G1583="","",IF(G1583&gt;=22,"Да","Нет"))</f>
        <v/>
      </c>
      <c r="L1583" s="13">
        <f>IF(OR(I1583="",J1583=""),"Не определено",IF(OR(COUNTIF(I1583,"45*")&gt;0,COUNTIF(J1583,"*45*")&gt;0,COUNTIF(I1583,"46*")&gt;0,COUNTIF(J1583,"*46*")&gt;0,COUNTIF(I1583,"47*")&gt;0,COUNTIF(J1583,"*47*")&gt;0,COUNTIF(I1583,"10*")&gt;0,COUNTIF(J1583,"*10*")&gt;0,COUNTIF(I1583,"11*")&gt;0,COUNTIF(J1583,"*11*")&gt;0,COUNTIF(I1583,"12*")&gt;0,COUNTIF(J1583,"*12*")&gt;0,COUNTIF(I1583,"13*")&gt;0,COUNTIF(J1583,"*13*")&gt;0,COUNTIF(I1583,"14*")&gt;0,COUNTIF(J1583,"*14*")&gt;0,COUNTIF(I1583,"15*")&gt;0,COUNTIF(J1583,"*15*")&gt;0,COUNTIF(I1583,"16*")&gt;0,COUNTIF(J1583,"*16*")&gt;0,COUNTIF(I1583,"17*")&gt;0,COUNTIF(J1583,"*17*")&gt;0,COUNTIF(I1583,"18*")&gt;0,COUNTIF(J1583,"*18*")&gt;0,COUNTIF(I1583,"19*")&gt;0,COUNTIF(J1583,"*19*")&gt;0,COUNTIF(I1583,"20*")&gt;0,COUNTIF(J1583,"*20*")&gt;0,COUNTIF(I1583,"21*")&gt;0,COUNTIF(J1583,"*21*")&gt;0,COUNTIF(I1583,"22*")&gt;0,COUNTIF(J1583,"*22*")&gt;0,COUNTIF(I1583,"23*")&gt;0,COUNTIF(J1583,"*23*")&gt;0,COUNTIF(I1583,"24*")&gt;0,COUNTIF(J1583,"*24*")&gt;0,COUNTIF(I1583,"25*")&gt;0,COUNTIF(J1583,"*25*")&gt;0,COUNTIF(I1583,"26*")&gt;0,COUNTIF(J1583,"*26*")&gt;0,COUNTIF(I1583,"27*")&gt;0,COUNTIF(J1583,"*27*")&gt;0,COUNTIF(I1583,"28*")&gt;0,COUNTIF(J1583,"*28*")&gt;0,COUNTIF(I1583,"29*")&gt;0,COUNTIF(J1583,"*29*")&gt;0,COUNTIF(I1583,"30*")&gt;0,COUNTIF(J1583,"*30*")&gt;0,COUNTIF(I1583,"31*")&gt;0,COUNTIF(J1583,"*31*")&gt;0,COUNTIF(I1583,"32*")&gt;0,COUNTIF(J1583,"*32*")&gt;0,COUNTIF(I1583,"33*")&gt;0,COUNTIF(J1583,"*33*")&gt;0,COUNTIF(I1583,"41*")&gt;0,COUNTIF(J1583,"*41*")&gt;0,COUNTIF(I1583,"42*")&gt;0,COUNTIF(J1583,"*42*")&gt;0,COUNTIF(I1583,"43*")&gt;0,COUNTIF(J1583,"*43*")&gt;0,COUNTIF(I1583,"49*")&gt;0,COUNTIF(J1583,"*49*")&gt;0,COUNTIF(I1583,"52*")&gt;0,COUNTIF(J1583,"*52*")&gt;0,COUNTIF(I1583,"55*")&gt;0,COUNTIF(J1583,"*55*")&gt;0,COUNTIF(I1583,"56*")&gt;0,COUNTIF(J1583,"*56*")&gt;0,COUNTIF(I1583,"68*")&gt;0,COUNTIF(J1583,"*68*")&gt;0,COUNTIF(I1583,"78*")&gt;0,COUNTIF(J1583,"*78*")&gt;0,COUNTIF(I1583,"81*")&gt;0,COUNTIF(J1583,"*81*")&gt;0,COUNTIF(I1583,"82*")&gt;0,COUNTIF(J1583,"*82*")&gt;0,COUNTIF(I1583,"64*")&gt;0,COUNTIF(J1583,"*64*")&gt;0,COUNTIF(I1583,"65*")&gt;0,COUNTIF(J1583,"*65*")&gt;0,COUNTIF(I1583,"66*")&gt;0,COUNTIF(J1583,"*66*")&gt;0,COUNTIF(I1583,"61*")&gt;0,COUNTIF(J1583,"*61*")&gt;0,COUNTIF(I1583,"62*")&gt;0,COUNTIF(J1583,"*62*")&gt;0,COUNTIF(I1583,"63*")&gt;0,COUNTIF(J1583,"*63*")&gt;0,COUNTIF(I1583,"85*")&gt;0,COUNTIF(J1583,"*85*")&gt;0,COUNTIF(I1583,"86*")&gt;0,COUNTIF(J1583,"*86*")&gt;0),"Да","Нет"))</f>
        <v/>
      </c>
      <c r="M1583" s="13">
        <f>IF(OR(G1583="",L1583&lt;&gt;"Да"),"",IF(G1583&lt;=100,"До 100",IF(G1583&lt;=200,"До 200",IF(G1583&lt;=500,"До 500","Отдельное КП"))))</f>
        <v/>
      </c>
      <c r="N1583" s="15">
        <f>IF(OR(G1583="",L1583&lt;&gt;"Да"),"",IF(G1583&lt;=100,33600,IF(G1583&lt;=200,62400,IF(G1583&lt;=500,144000,""))))</f>
        <v/>
      </c>
      <c r="O1583" s="16">
        <f>IF(G1583="","",IF(G1583&lt;=15,"1–15",IF(G1583&lt;=30,"16–30",IF(G1583&lt;=50,"31–50",IF(G1583&lt;=100,"51–100",IF(G1583&lt;=150,"101–150",IF(G1583&lt;=200,"151–200",IF(G1583&lt;=500,"201–500","500+"))))))))</f>
        <v/>
      </c>
      <c r="P1583" s="16" t="inlineStr">
        <is>
          <t>Нет совпадения в предоставленной выгрузке ССЧР</t>
        </is>
      </c>
      <c r="Q1583" s="16" t="n"/>
      <c r="R1583" s="16">
        <f>HYPERLINK("https://checko.ru/search?query=3801001629","Чекко: проверить")</f>
        <v/>
      </c>
      <c r="S1583" t="n">
        <v>0</v>
      </c>
    </row>
    <row r="1584" ht="15" customHeight="1" s="24">
      <c r="A1584" s="13" t="n">
        <v>5000001935</v>
      </c>
      <c r="B1584" s="13" t="inlineStr">
        <is>
          <t>ОГСКОУ СКОШ VIII вида г. Вихоревка</t>
        </is>
      </c>
      <c r="C1584" s="13" t="n">
        <v>3823028751</v>
      </c>
      <c r="D1584" s="13" t="inlineStr">
        <is>
          <t>3823028751</t>
        </is>
      </c>
      <c r="E1584" s="13" t="inlineStr">
        <is>
          <t>ЮЛ РФ</t>
        </is>
      </c>
      <c r="F1584" s="13" t="n"/>
      <c r="G1584" s="14" t="n"/>
      <c r="H1584" s="14" t="n"/>
      <c r="I1584" s="14" t="n"/>
      <c r="J1584" s="14" t="n"/>
      <c r="K1584" s="53" t="inlineStr"/>
      <c r="L1584" s="53" t="inlineStr">
        <is>
          <t>Не определено</t>
        </is>
      </c>
      <c r="M1584" s="53" t="inlineStr"/>
      <c r="N1584" s="54" t="inlineStr"/>
      <c r="O1584" s="55" t="inlineStr"/>
      <c r="P1584" s="16" t="inlineStr">
        <is>
          <t>Требует обогащения</t>
        </is>
      </c>
      <c r="Q1584" s="16">
        <f>HYPERLINK("https://pb.nalog.ru/search.html?query=3823028751","ФНС: проверить")</f>
        <v/>
      </c>
      <c r="R1584" s="16">
        <f>HYPERLINK("https://checko.ru/search?query=3801001629","Чекко: проверить")</f>
        <v/>
      </c>
      <c r="S1584" t="n">
        <v>1</v>
      </c>
      <c r="T1584" s="35" t="inlineStr">
        <is>
          <t>4 — Не обогащён</t>
        </is>
      </c>
      <c r="U1584" s="35" t="inlineStr">
        <is>
          <t>Нет ОКВЭД/ССЧР</t>
        </is>
      </c>
      <c r="V1584" s="35" t="inlineStr">
        <is>
          <t>Не определено</t>
        </is>
      </c>
      <c r="W1584" s="35" t="inlineStr"/>
      <c r="X1584" s="35" t="inlineStr"/>
    </row>
    <row r="1585" ht="41.25" customHeight="1" s="24">
      <c r="A1585" s="13" t="n">
        <v>5000030761</v>
      </c>
      <c r="B1585" s="13" t="inlineStr">
        <is>
          <t>Муниципальное бюджетное общеобразовательное учреждение Алексеевская средняя общеобразовательная школа</t>
        </is>
      </c>
      <c r="C1585" s="13" t="n">
        <v>5648006435</v>
      </c>
      <c r="D1585" s="13" t="inlineStr">
        <is>
          <t>5648006435</t>
        </is>
      </c>
      <c r="E1585" s="13" t="inlineStr">
        <is>
          <t>ЮЛ РФ</t>
        </is>
      </c>
      <c r="F1585" s="13" t="n"/>
      <c r="G1585" s="14" t="n"/>
      <c r="H1585" s="14" t="n"/>
      <c r="I1585" s="14" t="n"/>
      <c r="J1585" s="14" t="n"/>
      <c r="K1585" s="53" t="inlineStr"/>
      <c r="L1585" s="53" t="inlineStr">
        <is>
          <t>Не определено</t>
        </is>
      </c>
      <c r="M1585" s="53" t="inlineStr"/>
      <c r="N1585" s="54" t="inlineStr"/>
      <c r="O1585" s="55" t="inlineStr"/>
      <c r="P1585" s="16" t="inlineStr">
        <is>
          <t>Требует обогащения</t>
        </is>
      </c>
      <c r="Q1585" s="16">
        <f>HYPERLINK("https://pb.nalog.ru/search.html?query=5648006435","ФНС: проверить")</f>
        <v/>
      </c>
      <c r="R1585" s="16">
        <f>HYPERLINK("https://checko.ru/search?query=3801001629","Чекко: проверить")</f>
        <v/>
      </c>
      <c r="S1585" t="n">
        <v>1</v>
      </c>
      <c r="T1585" s="35" t="inlineStr">
        <is>
          <t>4 — Не обогащён</t>
        </is>
      </c>
      <c r="U1585" s="35" t="inlineStr">
        <is>
          <t>Нет ОКВЭД/ССЧР</t>
        </is>
      </c>
      <c r="V1585" s="35" t="inlineStr">
        <is>
          <t>Не определено</t>
        </is>
      </c>
      <c r="W1585" s="35" t="inlineStr"/>
      <c r="X1585" s="35" t="inlineStr"/>
    </row>
    <row r="1586" ht="41.25" customHeight="1" s="24">
      <c r="A1586" s="13" t="n">
        <v>5000030824</v>
      </c>
      <c r="B1586" s="13" t="inlineStr">
        <is>
          <t>Муниципальное бюджетное учреждение культуры «Ташлинский районный краеведческий музей»</t>
        </is>
      </c>
      <c r="C1586" s="13" t="n">
        <v>5648020790</v>
      </c>
      <c r="D1586" s="13" t="inlineStr">
        <is>
          <t>5648020790</t>
        </is>
      </c>
      <c r="E1586" s="13" t="inlineStr">
        <is>
          <t>ЮЛ РФ</t>
        </is>
      </c>
      <c r="F1586" s="13" t="n"/>
      <c r="G1586" s="14" t="n"/>
      <c r="H1586" s="14" t="n"/>
      <c r="I1586" s="14" t="n"/>
      <c r="J1586" s="14" t="n"/>
      <c r="K1586" s="53" t="inlineStr"/>
      <c r="L1586" s="53" t="inlineStr">
        <is>
          <t>Не определено</t>
        </is>
      </c>
      <c r="M1586" s="53" t="inlineStr"/>
      <c r="N1586" s="54" t="inlineStr"/>
      <c r="O1586" s="55" t="inlineStr"/>
      <c r="P1586" s="16" t="inlineStr">
        <is>
          <t>Требует обогащения</t>
        </is>
      </c>
      <c r="Q1586" s="16">
        <f>HYPERLINK("https://pb.nalog.ru/search.html?query=5648020790","ФНС: проверить")</f>
        <v/>
      </c>
      <c r="R1586" s="16">
        <f>HYPERLINK("https://checko.ru/search?query=3801001629","Чекко: проверить")</f>
        <v/>
      </c>
      <c r="S1586" t="n">
        <v>1</v>
      </c>
      <c r="T1586" s="35" t="inlineStr">
        <is>
          <t>4 — Не обогащён</t>
        </is>
      </c>
      <c r="U1586" s="35" t="inlineStr">
        <is>
          <t>Нет ОКВЭД/ССЧР</t>
        </is>
      </c>
      <c r="V1586" s="35" t="inlineStr">
        <is>
          <t>Не определено</t>
        </is>
      </c>
      <c r="W1586" s="35" t="inlineStr"/>
      <c r="X1586" s="35" t="inlineStr"/>
    </row>
    <row r="1587" ht="41.25" customHeight="1" s="24">
      <c r="A1587" s="13" t="n">
        <v>5000030825</v>
      </c>
      <c r="B1587" s="13" t="inlineStr">
        <is>
          <t>Муниципальное бюджетное учреждение дополнительного образования «Ташлинская детская школа искусств»</t>
        </is>
      </c>
      <c r="C1587" s="13" t="n">
        <v>5648003610</v>
      </c>
      <c r="D1587" s="13" t="inlineStr">
        <is>
          <t>5648003610</t>
        </is>
      </c>
      <c r="E1587" s="13" t="inlineStr">
        <is>
          <t>ЮЛ РФ</t>
        </is>
      </c>
      <c r="F1587" s="13" t="n"/>
      <c r="G1587" s="14" t="n"/>
      <c r="H1587" s="14" t="n"/>
      <c r="I1587" s="14" t="n"/>
      <c r="J1587" s="14" t="n"/>
      <c r="K1587" s="53" t="inlineStr"/>
      <c r="L1587" s="53" t="inlineStr">
        <is>
          <t>Не определено</t>
        </is>
      </c>
      <c r="M1587" s="53" t="inlineStr"/>
      <c r="N1587" s="54" t="inlineStr"/>
      <c r="O1587" s="55" t="inlineStr"/>
      <c r="P1587" s="16" t="inlineStr">
        <is>
          <t>Требует обогащения</t>
        </is>
      </c>
      <c r="Q1587" s="16">
        <f>HYPERLINK("https://pb.nalog.ru/search.html?query=5648003610","ФНС: проверить")</f>
        <v/>
      </c>
      <c r="R1587" s="16">
        <f>HYPERLINK("https://checko.ru/search?query=3801001629","Чекко: проверить")</f>
        <v/>
      </c>
      <c r="S1587" t="n">
        <v>1</v>
      </c>
      <c r="T1587" s="35" t="inlineStr">
        <is>
          <t>4 — Не обогащён</t>
        </is>
      </c>
      <c r="U1587" s="35" t="inlineStr">
        <is>
          <t>Нет ОКВЭД/ССЧР</t>
        </is>
      </c>
      <c r="V1587" s="35" t="inlineStr">
        <is>
          <t>Не определено</t>
        </is>
      </c>
      <c r="W1587" s="35" t="inlineStr"/>
      <c r="X1587" s="35" t="inlineStr"/>
    </row>
    <row r="1588" ht="15" customHeight="1" s="24">
      <c r="A1588" s="13" t="n">
        <v>5000001336</v>
      </c>
      <c r="B1588" s="13" t="inlineStr">
        <is>
          <t>ГКУИО "СШПС"</t>
        </is>
      </c>
      <c r="C1588" s="13" t="n">
        <v>3849074400</v>
      </c>
      <c r="D1588" s="13" t="inlineStr">
        <is>
          <t>3849074400</t>
        </is>
      </c>
      <c r="E1588" s="13" t="inlineStr">
        <is>
          <t>ЮЛ РФ</t>
        </is>
      </c>
      <c r="F1588" s="13" t="n"/>
      <c r="G1588" s="14" t="n"/>
      <c r="H1588" s="14" t="n"/>
      <c r="I1588" s="14" t="n"/>
      <c r="J1588" s="14" t="n"/>
      <c r="K1588" s="53" t="inlineStr"/>
      <c r="L1588" s="53" t="inlineStr">
        <is>
          <t>Не определено</t>
        </is>
      </c>
      <c r="M1588" s="53" t="inlineStr"/>
      <c r="N1588" s="54" t="inlineStr"/>
      <c r="O1588" s="55" t="inlineStr"/>
      <c r="P1588" s="16" t="inlineStr">
        <is>
          <t>Требует обогащения</t>
        </is>
      </c>
      <c r="Q1588" s="16">
        <f>HYPERLINK("https://pb.nalog.ru/search.html?query=3849074400","ФНС: проверить")</f>
        <v/>
      </c>
      <c r="R1588" s="16">
        <f>HYPERLINK("https://checko.ru/search?query=3801001629","Чекко: проверить")</f>
        <v/>
      </c>
      <c r="S1588" t="n">
        <v>1</v>
      </c>
      <c r="T1588" s="35" t="inlineStr">
        <is>
          <t>4 — Не обогащён</t>
        </is>
      </c>
      <c r="U1588" s="35" t="inlineStr">
        <is>
          <t>Нет ОКВЭД/ССЧР</t>
        </is>
      </c>
      <c r="V1588" s="35" t="inlineStr">
        <is>
          <t>Не определено</t>
        </is>
      </c>
      <c r="W1588" s="35" t="inlineStr"/>
      <c r="X1588" s="35" t="inlineStr"/>
    </row>
    <row r="1589" ht="27.75" customHeight="1" s="24">
      <c r="A1589" s="13" t="n">
        <v>5000032253</v>
      </c>
      <c r="B1589" s="13" t="inlineStr">
        <is>
          <t>ГОСУДАРСТВЕННОЕ КАЗЕННОЕ УЧРЕЖДЕНИЕ ИРКУТСКОЙ ОБЛАСТИ "БЕЗОПАСНЫЙ РЕГИОН"</t>
        </is>
      </c>
      <c r="C1589" s="13" t="n">
        <v>3808268981</v>
      </c>
      <c r="D1589" s="13" t="inlineStr">
        <is>
          <t>3808268981</t>
        </is>
      </c>
      <c r="E1589" s="13" t="inlineStr">
        <is>
          <t>ЮЛ РФ</t>
        </is>
      </c>
      <c r="F1589" s="13" t="n"/>
      <c r="G1589" s="14" t="n"/>
      <c r="H1589" s="14" t="n"/>
      <c r="I1589" s="14" t="n"/>
      <c r="J1589" s="14" t="n"/>
      <c r="K1589" s="53" t="inlineStr"/>
      <c r="L1589" s="53" t="inlineStr">
        <is>
          <t>Не определено</t>
        </is>
      </c>
      <c r="M1589" s="53" t="inlineStr"/>
      <c r="N1589" s="54" t="inlineStr"/>
      <c r="O1589" s="55" t="inlineStr"/>
      <c r="P1589" s="16" t="inlineStr">
        <is>
          <t>Требует обогащения</t>
        </is>
      </c>
      <c r="Q1589" s="16">
        <f>HYPERLINK("https://pb.nalog.ru/search.html?query=3808268981","ФНС: проверить")</f>
        <v/>
      </c>
      <c r="R1589" s="16">
        <f>HYPERLINK("https://checko.ru/search?query=3801001629","Чекко: проверить")</f>
        <v/>
      </c>
      <c r="S1589" t="n">
        <v>1</v>
      </c>
      <c r="T1589" s="35" t="inlineStr">
        <is>
          <t>4 — Не обогащён</t>
        </is>
      </c>
      <c r="U1589" s="35" t="inlineStr">
        <is>
          <t>Нет ОКВЭД/ССЧР</t>
        </is>
      </c>
      <c r="V1589" s="35" t="inlineStr">
        <is>
          <t>Не определено</t>
        </is>
      </c>
      <c r="W1589" s="35" t="inlineStr"/>
      <c r="X1589" s="35" t="inlineStr"/>
    </row>
    <row r="1590" ht="41.25" customHeight="1" s="24">
      <c r="A1590" s="13" t="n">
        <v>5000030831</v>
      </c>
      <c r="B1590" s="13" t="inlineStr">
        <is>
          <t>Администрация муниципального образования Новокаменкий сельсовет Ташлинского района Оренбургской области</t>
        </is>
      </c>
      <c r="C1590" s="13" t="n">
        <v>5648004420</v>
      </c>
      <c r="D1590" s="13" t="inlineStr">
        <is>
          <t>5648004420</t>
        </is>
      </c>
      <c r="E1590" s="13" t="inlineStr">
        <is>
          <t>ЮЛ РФ</t>
        </is>
      </c>
      <c r="F1590" s="13" t="n"/>
      <c r="G1590" s="14" t="n"/>
      <c r="H1590" s="14" t="n"/>
      <c r="I1590" s="14" t="n"/>
      <c r="J1590" s="14" t="n"/>
      <c r="K1590" s="53" t="inlineStr"/>
      <c r="L1590" s="53" t="inlineStr">
        <is>
          <t>Не определено</t>
        </is>
      </c>
      <c r="M1590" s="53" t="inlineStr"/>
      <c r="N1590" s="54" t="inlineStr"/>
      <c r="O1590" s="55" t="inlineStr"/>
      <c r="P1590" s="16" t="inlineStr">
        <is>
          <t>Требует обогащения</t>
        </is>
      </c>
      <c r="Q1590" s="16">
        <f>HYPERLINK("https://pb.nalog.ru/search.html?query=5648004420","ФНС: проверить")</f>
        <v/>
      </c>
      <c r="R1590" s="16">
        <f>HYPERLINK("https://checko.ru/search?query=3801001629","Чекко: проверить")</f>
        <v/>
      </c>
      <c r="S1590" t="n">
        <v>1</v>
      </c>
      <c r="T1590" s="35" t="inlineStr">
        <is>
          <t>4 — Не обогащён</t>
        </is>
      </c>
      <c r="U1590" s="35" t="inlineStr">
        <is>
          <t>Нет ОКВЭД/ССЧР</t>
        </is>
      </c>
      <c r="V1590" s="35" t="inlineStr">
        <is>
          <t>Не определено</t>
        </is>
      </c>
      <c r="W1590" s="35" t="inlineStr"/>
      <c r="X1590" s="35" t="inlineStr"/>
    </row>
    <row r="1591" ht="41.25" customHeight="1" s="24">
      <c r="A1591" s="13" t="n">
        <v>5000030832</v>
      </c>
      <c r="B1591" s="13" t="inlineStr">
        <is>
          <t>Администрация муниципального образования Придолинный сельсовет Ташлинского района Оренбургской области</t>
        </is>
      </c>
      <c r="C1591" s="13" t="n">
        <v>5648004452</v>
      </c>
      <c r="D1591" s="13" t="inlineStr">
        <is>
          <t>5648004452</t>
        </is>
      </c>
      <c r="E1591" s="13" t="inlineStr">
        <is>
          <t>ЮЛ РФ</t>
        </is>
      </c>
      <c r="F1591" s="13" t="n"/>
      <c r="G1591" s="14" t="n"/>
      <c r="H1591" s="14" t="n"/>
      <c r="I1591" s="14" t="n"/>
      <c r="J1591" s="14" t="n"/>
      <c r="K1591" s="53" t="inlineStr"/>
      <c r="L1591" s="53" t="inlineStr">
        <is>
          <t>Не определено</t>
        </is>
      </c>
      <c r="M1591" s="53" t="inlineStr"/>
      <c r="N1591" s="54" t="inlineStr"/>
      <c r="O1591" s="55" t="inlineStr"/>
      <c r="P1591" s="16" t="inlineStr">
        <is>
          <t>Требует обогащения</t>
        </is>
      </c>
      <c r="Q1591" s="16">
        <f>HYPERLINK("https://pb.nalog.ru/search.html?query=5648004452","ФНС: проверить")</f>
        <v/>
      </c>
      <c r="R1591" s="16">
        <f>HYPERLINK("https://checko.ru/search?query=3801001629","Чекко: проверить")</f>
        <v/>
      </c>
      <c r="S1591" t="n">
        <v>1</v>
      </c>
      <c r="T1591" s="35" t="inlineStr">
        <is>
          <t>4 — Не обогащён</t>
        </is>
      </c>
      <c r="U1591" s="35" t="inlineStr">
        <is>
          <t>Нет ОКВЭД/ССЧР</t>
        </is>
      </c>
      <c r="V1591" s="35" t="inlineStr">
        <is>
          <t>Не определено</t>
        </is>
      </c>
      <c r="W1591" s="35" t="inlineStr"/>
      <c r="X1591" s="35" t="inlineStr"/>
    </row>
    <row r="1592" ht="54.75" customHeight="1" s="24">
      <c r="A1592" s="13" t="n">
        <v>5000030775</v>
      </c>
      <c r="B1592" s="13" t="inlineStr">
        <is>
          <t>Муниципальное бюджетное общеобразовательное учреждение Чернояровская средняя общеобразовательная школа</t>
        </is>
      </c>
      <c r="C1592" s="13" t="n">
        <v>5648005030</v>
      </c>
      <c r="D1592" s="13" t="inlineStr">
        <is>
          <t>5648005030</t>
        </is>
      </c>
      <c r="E1592" s="13" t="inlineStr">
        <is>
          <t>ЮЛ РФ</t>
        </is>
      </c>
      <c r="F1592" s="13" t="n"/>
      <c r="G1592" s="14" t="n"/>
      <c r="H1592" s="14" t="n"/>
      <c r="I1592" s="14" t="n"/>
      <c r="J1592" s="14" t="n"/>
      <c r="K1592" s="53" t="inlineStr"/>
      <c r="L1592" s="53" t="inlineStr">
        <is>
          <t>Не определено</t>
        </is>
      </c>
      <c r="M1592" s="53" t="inlineStr"/>
      <c r="N1592" s="54" t="inlineStr"/>
      <c r="O1592" s="55" t="inlineStr"/>
      <c r="P1592" s="16" t="inlineStr">
        <is>
          <t>Требует обогащения</t>
        </is>
      </c>
      <c r="Q1592" s="16">
        <f>HYPERLINK("https://pb.nalog.ru/search.html?query=5648005030","ФНС: проверить")</f>
        <v/>
      </c>
      <c r="R1592" s="16">
        <f>HYPERLINK("https://checko.ru/search?query=3801001629","Чекко: проверить")</f>
        <v/>
      </c>
      <c r="S1592" t="n">
        <v>1</v>
      </c>
      <c r="T1592" s="35" t="inlineStr">
        <is>
          <t>4 — Не обогащён</t>
        </is>
      </c>
      <c r="U1592" s="35" t="inlineStr">
        <is>
          <t>Нет ОКВЭД/ССЧР</t>
        </is>
      </c>
      <c r="V1592" s="35" t="inlineStr">
        <is>
          <t>Не определено</t>
        </is>
      </c>
      <c r="W1592" s="35" t="inlineStr"/>
      <c r="X1592" s="35" t="inlineStr"/>
    </row>
    <row r="1593" ht="41.25" customHeight="1" s="24">
      <c r="A1593" s="13" t="n">
        <v>5000030833</v>
      </c>
      <c r="B1593" s="13" t="inlineStr">
        <is>
          <t>Администрация муниципального образования Ранневский сельсовет Ташлинского района Оренбургской области</t>
        </is>
      </c>
      <c r="C1593" s="13" t="n">
        <v>5648004325</v>
      </c>
      <c r="D1593" s="13" t="inlineStr">
        <is>
          <t>5648004325</t>
        </is>
      </c>
      <c r="E1593" s="13" t="inlineStr">
        <is>
          <t>ЮЛ РФ</t>
        </is>
      </c>
      <c r="F1593" s="13" t="n"/>
      <c r="G1593" s="14" t="n"/>
      <c r="H1593" s="14" t="n"/>
      <c r="I1593" s="14" t="n"/>
      <c r="J1593" s="14" t="n"/>
      <c r="K1593" s="53" t="inlineStr"/>
      <c r="L1593" s="53" t="inlineStr">
        <is>
          <t>Не определено</t>
        </is>
      </c>
      <c r="M1593" s="53" t="inlineStr"/>
      <c r="N1593" s="54" t="inlineStr"/>
      <c r="O1593" s="55" t="inlineStr"/>
      <c r="P1593" s="16" t="inlineStr">
        <is>
          <t>Требует обогащения</t>
        </is>
      </c>
      <c r="Q1593" s="16">
        <f>HYPERLINK("https://pb.nalog.ru/search.html?query=5648004325","ФНС: проверить")</f>
        <v/>
      </c>
      <c r="R1593" s="16">
        <f>HYPERLINK("https://checko.ru/search?query=3801001629","Чекко: проверить")</f>
        <v/>
      </c>
      <c r="S1593" t="n">
        <v>1</v>
      </c>
      <c r="T1593" s="35" t="inlineStr">
        <is>
          <t>4 — Не обогащён</t>
        </is>
      </c>
      <c r="U1593" s="35" t="inlineStr">
        <is>
          <t>Нет ОКВЭД/ССЧР</t>
        </is>
      </c>
      <c r="V1593" s="35" t="inlineStr">
        <is>
          <t>Не определено</t>
        </is>
      </c>
      <c r="W1593" s="35" t="inlineStr"/>
      <c r="X1593" s="35" t="inlineStr"/>
    </row>
    <row r="1594" ht="54.75" customHeight="1" s="24">
      <c r="A1594" s="13" t="n">
        <v>5000030776</v>
      </c>
      <c r="B1594" s="13" t="inlineStr">
        <is>
          <t>Муниципальное бюджетное общеобразовательное учреждение Яснополянская средняя общеобразовательная школа</t>
        </is>
      </c>
      <c r="C1594" s="13" t="n">
        <v>5648006428</v>
      </c>
      <c r="D1594" s="13" t="inlineStr">
        <is>
          <t>5648006428</t>
        </is>
      </c>
      <c r="E1594" s="13" t="inlineStr">
        <is>
          <t>ЮЛ РФ</t>
        </is>
      </c>
      <c r="F1594" s="13" t="n"/>
      <c r="G1594" s="14" t="n"/>
      <c r="H1594" s="14" t="n"/>
      <c r="I1594" s="14" t="n"/>
      <c r="J1594" s="14" t="n"/>
      <c r="K1594" s="53" t="inlineStr"/>
      <c r="L1594" s="53" t="inlineStr">
        <is>
          <t>Не определено</t>
        </is>
      </c>
      <c r="M1594" s="53" t="inlineStr"/>
      <c r="N1594" s="54" t="inlineStr"/>
      <c r="O1594" s="55" t="inlineStr"/>
      <c r="P1594" s="16" t="inlineStr">
        <is>
          <t>Требует обогащения</t>
        </is>
      </c>
      <c r="Q1594" s="16">
        <f>HYPERLINK("https://pb.nalog.ru/search.html?query=5648006428","ФНС: проверить")</f>
        <v/>
      </c>
      <c r="R1594" s="16">
        <f>HYPERLINK("https://checko.ru/search?query=3801001629","Чекко: проверить")</f>
        <v/>
      </c>
      <c r="S1594" t="n">
        <v>1</v>
      </c>
      <c r="T1594" s="35" t="inlineStr">
        <is>
          <t>4 — Не обогащён</t>
        </is>
      </c>
      <c r="U1594" s="35" t="inlineStr">
        <is>
          <t>Нет ОКВЭД/ССЧР</t>
        </is>
      </c>
      <c r="V1594" s="35" t="inlineStr">
        <is>
          <t>Не определено</t>
        </is>
      </c>
      <c r="W1594" s="35" t="inlineStr"/>
      <c r="X1594" s="35" t="inlineStr"/>
    </row>
    <row r="1595" ht="41.25" customHeight="1" s="24">
      <c r="A1595" s="13" t="n">
        <v>5000030834</v>
      </c>
      <c r="B1595" s="13" t="inlineStr">
        <is>
          <t>Администрация муниципального образования Степной сельсовет Ташлинского района Оренбургской области</t>
        </is>
      </c>
      <c r="C1595" s="13" t="n">
        <v>5648004170</v>
      </c>
      <c r="D1595" s="13" t="inlineStr">
        <is>
          <t>5648004170</t>
        </is>
      </c>
      <c r="E1595" s="13" t="inlineStr">
        <is>
          <t>ЮЛ РФ</t>
        </is>
      </c>
      <c r="F1595" s="13" t="n"/>
      <c r="G1595" s="14" t="n"/>
      <c r="H1595" s="14" t="n"/>
      <c r="I1595" s="14" t="n"/>
      <c r="J1595" s="14" t="n"/>
      <c r="K1595" s="53" t="inlineStr"/>
      <c r="L1595" s="53" t="inlineStr">
        <is>
          <t>Не определено</t>
        </is>
      </c>
      <c r="M1595" s="53" t="inlineStr"/>
      <c r="N1595" s="54" t="inlineStr"/>
      <c r="O1595" s="55" t="inlineStr"/>
      <c r="P1595" s="16" t="inlineStr">
        <is>
          <t>Требует обогащения</t>
        </is>
      </c>
      <c r="Q1595" s="16">
        <f>HYPERLINK("https://pb.nalog.ru/search.html?query=5648004170","ФНС: проверить")</f>
        <v/>
      </c>
      <c r="R1595" s="16">
        <f>HYPERLINK("https://checko.ru/search?query=3801001629","Чекко: проверить")</f>
        <v/>
      </c>
      <c r="S1595" t="n">
        <v>1</v>
      </c>
      <c r="T1595" s="35" t="inlineStr">
        <is>
          <t>4 — Не обогащён</t>
        </is>
      </c>
      <c r="U1595" s="35" t="inlineStr">
        <is>
          <t>Нет ОКВЭД/ССЧР</t>
        </is>
      </c>
      <c r="V1595" s="35" t="inlineStr">
        <is>
          <t>Не определено</t>
        </is>
      </c>
      <c r="W1595" s="35" t="inlineStr"/>
      <c r="X1595" s="35" t="inlineStr"/>
    </row>
    <row r="1596" ht="15" customHeight="1" s="24">
      <c r="A1596" s="13" t="n">
        <v>5000062646</v>
      </c>
      <c r="B1596" s="13" t="inlineStr">
        <is>
          <t>Дезинфекционная станция г. Ульяновска</t>
        </is>
      </c>
      <c r="C1596" s="13" t="n">
        <v>7325000856</v>
      </c>
      <c r="D1596" s="13" t="inlineStr">
        <is>
          <t>7325000856</t>
        </is>
      </c>
      <c r="E1596" s="13" t="inlineStr">
        <is>
          <t>ЮЛ РФ</t>
        </is>
      </c>
      <c r="F1596" s="13" t="n"/>
      <c r="G1596" s="14" t="n"/>
      <c r="H1596" s="14" t="n"/>
      <c r="I1596" s="14" t="n"/>
      <c r="J1596" s="14" t="n"/>
      <c r="K1596" s="53" t="inlineStr"/>
      <c r="L1596" s="53" t="inlineStr">
        <is>
          <t>Не определено</t>
        </is>
      </c>
      <c r="M1596" s="53" t="inlineStr"/>
      <c r="N1596" s="54" t="inlineStr"/>
      <c r="O1596" s="55" t="inlineStr"/>
      <c r="P1596" s="16" t="inlineStr">
        <is>
          <t>Требует обогащения</t>
        </is>
      </c>
      <c r="Q1596" s="16">
        <f>HYPERLINK("https://pb.nalog.ru/search.html?query=7325000856","ФНС: проверить")</f>
        <v/>
      </c>
      <c r="R1596" s="16">
        <f>HYPERLINK("https://checko.ru/search?query=3801001629","Чекко: проверить")</f>
        <v/>
      </c>
      <c r="S1596" t="n">
        <v>1</v>
      </c>
      <c r="T1596" s="35" t="inlineStr">
        <is>
          <t>4 — Не обогащён</t>
        </is>
      </c>
      <c r="U1596" s="35" t="inlineStr">
        <is>
          <t>Нет ОКВЭД/ССЧР</t>
        </is>
      </c>
      <c r="V1596" s="35" t="inlineStr">
        <is>
          <t>Не определено</t>
        </is>
      </c>
      <c r="W1596" s="35" t="inlineStr"/>
      <c r="X1596" s="35" t="inlineStr"/>
    </row>
    <row r="1597" ht="15" customHeight="1" s="24">
      <c r="A1597" s="13" t="n">
        <v>5000076952</v>
      </c>
      <c r="B1597" s="13" t="inlineStr">
        <is>
          <t>ГКУ УО "Павловское лесничество"</t>
        </is>
      </c>
      <c r="C1597" s="13" t="n">
        <v>7311006985</v>
      </c>
      <c r="D1597" s="13" t="inlineStr">
        <is>
          <t>7311006985</t>
        </is>
      </c>
      <c r="E1597" s="13" t="inlineStr">
        <is>
          <t>ЮЛ РФ</t>
        </is>
      </c>
      <c r="F1597" s="13" t="n"/>
      <c r="G1597" s="14" t="n"/>
      <c r="H1597" s="14" t="n"/>
      <c r="I1597" s="14" t="n"/>
      <c r="J1597" s="14" t="n"/>
      <c r="K1597" s="53" t="inlineStr"/>
      <c r="L1597" s="53" t="inlineStr">
        <is>
          <t>Не определено</t>
        </is>
      </c>
      <c r="M1597" s="53" t="inlineStr"/>
      <c r="N1597" s="54" t="inlineStr"/>
      <c r="O1597" s="55" t="inlineStr"/>
      <c r="P1597" s="16" t="inlineStr">
        <is>
          <t>Требует обогащения</t>
        </is>
      </c>
      <c r="Q1597" s="16">
        <f>HYPERLINK("https://pb.nalog.ru/search.html?query=7311006985","ФНС: проверить")</f>
        <v/>
      </c>
      <c r="R1597" s="16">
        <f>HYPERLINK("https://checko.ru/search?query=3801001629","Чекко: проверить")</f>
        <v/>
      </c>
      <c r="S1597" t="n">
        <v>1</v>
      </c>
      <c r="T1597" s="35" t="inlineStr">
        <is>
          <t>4 — Не обогащён</t>
        </is>
      </c>
      <c r="U1597" s="35" t="inlineStr">
        <is>
          <t>Нет ОКВЭД/ССЧР</t>
        </is>
      </c>
      <c r="V1597" s="35" t="inlineStr">
        <is>
          <t>Не определено</t>
        </is>
      </c>
      <c r="W1597" s="35" t="inlineStr"/>
      <c r="X1597" s="35" t="inlineStr"/>
    </row>
    <row r="1598" ht="27.75" customHeight="1" s="24">
      <c r="A1598" s="13" t="n">
        <v>5000095000</v>
      </c>
      <c r="B1598" s="13" t="inlineStr">
        <is>
          <t>МКУ «Управление культуры Местной администрации городского округа Нальчик»</t>
        </is>
      </c>
      <c r="C1598" s="13" t="n">
        <v>711035900</v>
      </c>
      <c r="D1598" s="13" t="n"/>
      <c r="E1598" s="13" t="inlineStr">
        <is>
          <t>Не определён</t>
        </is>
      </c>
      <c r="F1598" s="13" t="inlineStr">
        <is>
          <t>711035900</t>
        </is>
      </c>
      <c r="G1598" s="14" t="n"/>
      <c r="H1598" s="14" t="n"/>
      <c r="I1598" s="14" t="n"/>
      <c r="J1598" s="14" t="n"/>
      <c r="K1598" s="13">
        <f>IF(G1598="","",IF(G1598&gt;=22,"Да","Нет"))</f>
        <v/>
      </c>
      <c r="L1598" s="13">
        <f>IF(OR(I1598="",J1598=""),"Не определено",IF(OR(COUNTIF(I1598,"45*")&gt;0,COUNTIF(J1598,"*45*")&gt;0,COUNTIF(I1598,"46*")&gt;0,COUNTIF(J1598,"*46*")&gt;0,COUNTIF(I1598,"47*")&gt;0,COUNTIF(J1598,"*47*")&gt;0,COUNTIF(I1598,"10*")&gt;0,COUNTIF(J1598,"*10*")&gt;0,COUNTIF(I1598,"11*")&gt;0,COUNTIF(J1598,"*11*")&gt;0,COUNTIF(I1598,"12*")&gt;0,COUNTIF(J1598,"*12*")&gt;0,COUNTIF(I1598,"13*")&gt;0,COUNTIF(J1598,"*13*")&gt;0,COUNTIF(I1598,"14*")&gt;0,COUNTIF(J1598,"*14*")&gt;0,COUNTIF(I1598,"15*")&gt;0,COUNTIF(J1598,"*15*")&gt;0,COUNTIF(I1598,"16*")&gt;0,COUNTIF(J1598,"*16*")&gt;0,COUNTIF(I1598,"17*")&gt;0,COUNTIF(J1598,"*17*")&gt;0,COUNTIF(I1598,"18*")&gt;0,COUNTIF(J1598,"*18*")&gt;0,COUNTIF(I1598,"19*")&gt;0,COUNTIF(J1598,"*19*")&gt;0,COUNTIF(I1598,"20*")&gt;0,COUNTIF(J1598,"*20*")&gt;0,COUNTIF(I1598,"21*")&gt;0,COUNTIF(J1598,"*21*")&gt;0,COUNTIF(I1598,"22*")&gt;0,COUNTIF(J1598,"*22*")&gt;0,COUNTIF(I1598,"23*")&gt;0,COUNTIF(J1598,"*23*")&gt;0,COUNTIF(I1598,"24*")&gt;0,COUNTIF(J1598,"*24*")&gt;0,COUNTIF(I1598,"25*")&gt;0,COUNTIF(J1598,"*25*")&gt;0,COUNTIF(I1598,"26*")&gt;0,COUNTIF(J1598,"*26*")&gt;0,COUNTIF(I1598,"27*")&gt;0,COUNTIF(J1598,"*27*")&gt;0,COUNTIF(I1598,"28*")&gt;0,COUNTIF(J1598,"*28*")&gt;0,COUNTIF(I1598,"29*")&gt;0,COUNTIF(J1598,"*29*")&gt;0,COUNTIF(I1598,"30*")&gt;0,COUNTIF(J1598,"*30*")&gt;0,COUNTIF(I1598,"31*")&gt;0,COUNTIF(J1598,"*31*")&gt;0,COUNTIF(I1598,"32*")&gt;0,COUNTIF(J1598,"*32*")&gt;0,COUNTIF(I1598,"33*")&gt;0,COUNTIF(J1598,"*33*")&gt;0,COUNTIF(I1598,"41*")&gt;0,COUNTIF(J1598,"*41*")&gt;0,COUNTIF(I1598,"42*")&gt;0,COUNTIF(J1598,"*42*")&gt;0,COUNTIF(I1598,"43*")&gt;0,COUNTIF(J1598,"*43*")&gt;0,COUNTIF(I1598,"49*")&gt;0,COUNTIF(J1598,"*49*")&gt;0,COUNTIF(I1598,"52*")&gt;0,COUNTIF(J1598,"*52*")&gt;0,COUNTIF(I1598,"55*")&gt;0,COUNTIF(J1598,"*55*")&gt;0,COUNTIF(I1598,"56*")&gt;0,COUNTIF(J1598,"*56*")&gt;0,COUNTIF(I1598,"68*")&gt;0,COUNTIF(J1598,"*68*")&gt;0,COUNTIF(I1598,"78*")&gt;0,COUNTIF(J1598,"*78*")&gt;0,COUNTIF(I1598,"81*")&gt;0,COUNTIF(J1598,"*81*")&gt;0,COUNTIF(I1598,"82*")&gt;0,COUNTIF(J1598,"*82*")&gt;0,COUNTIF(I1598,"64*")&gt;0,COUNTIF(J1598,"*64*")&gt;0,COUNTIF(I1598,"65*")&gt;0,COUNTIF(J1598,"*65*")&gt;0,COUNTIF(I1598,"66*")&gt;0,COUNTIF(J1598,"*66*")&gt;0,COUNTIF(I1598,"61*")&gt;0,COUNTIF(J1598,"*61*")&gt;0,COUNTIF(I1598,"62*")&gt;0,COUNTIF(J1598,"*62*")&gt;0,COUNTIF(I1598,"63*")&gt;0,COUNTIF(J1598,"*63*")&gt;0,COUNTIF(I1598,"85*")&gt;0,COUNTIF(J1598,"*85*")&gt;0,COUNTIF(I1598,"86*")&gt;0,COUNTIF(J1598,"*86*")&gt;0),"Да","Нет"))</f>
        <v/>
      </c>
      <c r="M1598" s="13">
        <f>IF(OR(G1598="",L1598&lt;&gt;"Да"),"",IF(G1598&lt;=100,"До 100",IF(G1598&lt;=200,"До 200",IF(G1598&lt;=500,"До 500","Отдельное КП"))))</f>
        <v/>
      </c>
      <c r="N1598" s="15">
        <f>IF(OR(G1598="",L1598&lt;&gt;"Да"),"",IF(G1598&lt;=100,33600,IF(G1598&lt;=200,62400,IF(G1598&lt;=500,144000,""))))</f>
        <v/>
      </c>
      <c r="O1598" s="16">
        <f>IF(G1598="","",IF(G1598&lt;=15,"1–15",IF(G1598&lt;=30,"16–30",IF(G1598&lt;=50,"31–50",IF(G1598&lt;=100,"51–100",IF(G1598&lt;=150,"101–150",IF(G1598&lt;=200,"151–200",IF(G1598&lt;=500,"201–500","500+"))))))))</f>
        <v/>
      </c>
      <c r="P1598" s="16" t="inlineStr">
        <is>
          <t>Нет совпадения в предоставленной выгрузке ССЧР</t>
        </is>
      </c>
      <c r="Q1598" s="16" t="n"/>
      <c r="R1598" s="16">
        <f>HYPERLINK("https://checko.ru/search?query=3801001629","Чекко: проверить")</f>
        <v/>
      </c>
      <c r="S1598" t="n">
        <v>0</v>
      </c>
    </row>
    <row r="1599" ht="15" customHeight="1" s="24">
      <c r="A1599" s="13" t="n">
        <v>5000060369</v>
      </c>
      <c r="B1599" s="13" t="inlineStr">
        <is>
          <t>ГОБУ ИО «Усть-Ордынская гимназия-интернат»</t>
        </is>
      </c>
      <c r="C1599" s="13" t="n">
        <v>3849080139</v>
      </c>
      <c r="D1599" s="13" t="inlineStr">
        <is>
          <t>3849080139</t>
        </is>
      </c>
      <c r="E1599" s="13" t="inlineStr">
        <is>
          <t>ЮЛ РФ</t>
        </is>
      </c>
      <c r="F1599" s="13" t="n"/>
      <c r="G1599" s="14" t="n"/>
      <c r="H1599" s="14" t="n"/>
      <c r="I1599" s="14" t="n"/>
      <c r="J1599" s="14" t="n"/>
      <c r="K1599" s="53" t="inlineStr"/>
      <c r="L1599" s="53" t="inlineStr">
        <is>
          <t>Не определено</t>
        </is>
      </c>
      <c r="M1599" s="53" t="inlineStr"/>
      <c r="N1599" s="54" t="inlineStr"/>
      <c r="O1599" s="55" t="inlineStr"/>
      <c r="P1599" s="16" t="inlineStr">
        <is>
          <t>Требует обогащения</t>
        </is>
      </c>
      <c r="Q1599" s="16">
        <f>HYPERLINK("https://pb.nalog.ru/search.html?query=3849080139","ФНС: проверить")</f>
        <v/>
      </c>
      <c r="R1599" s="16">
        <f>HYPERLINK("https://checko.ru/search?query=3801001629","Чекко: проверить")</f>
        <v/>
      </c>
      <c r="S1599" t="n">
        <v>1</v>
      </c>
      <c r="T1599" s="35" t="inlineStr">
        <is>
          <t>4 — Не обогащён</t>
        </is>
      </c>
      <c r="U1599" s="35" t="inlineStr">
        <is>
          <t>Нет ОКВЭД/ССЧР</t>
        </is>
      </c>
      <c r="V1599" s="35" t="inlineStr">
        <is>
          <t>Не определено</t>
        </is>
      </c>
      <c r="W1599" s="35" t="inlineStr"/>
      <c r="X1599" s="35" t="inlineStr"/>
    </row>
    <row r="1600" ht="15" customHeight="1" s="24">
      <c r="A1600" s="13" t="n">
        <v>5000095053</v>
      </c>
      <c r="B1600" s="13" t="inlineStr">
        <is>
          <t>МКОУ «Прогимназия №18» г.о. Нальчик КБР</t>
        </is>
      </c>
      <c r="C1600" s="13" t="n">
        <v>711044118</v>
      </c>
      <c r="D1600" s="13" t="n"/>
      <c r="E1600" s="13" t="inlineStr">
        <is>
          <t>Не определён</t>
        </is>
      </c>
      <c r="F1600" s="13" t="inlineStr">
        <is>
          <t>711044118</t>
        </is>
      </c>
      <c r="G1600" s="14" t="n"/>
      <c r="H1600" s="14" t="n"/>
      <c r="I1600" s="14" t="n"/>
      <c r="J1600" s="14" t="n"/>
      <c r="K1600" s="13">
        <f>IF(G1600="","",IF(G1600&gt;=22,"Да","Нет"))</f>
        <v/>
      </c>
      <c r="L1600" s="13">
        <f>IF(OR(I1600="",J1600=""),"Не определено",IF(OR(COUNTIF(I1600,"45*")&gt;0,COUNTIF(J1600,"*45*")&gt;0,COUNTIF(I1600,"46*")&gt;0,COUNTIF(J1600,"*46*")&gt;0,COUNTIF(I1600,"47*")&gt;0,COUNTIF(J1600,"*47*")&gt;0,COUNTIF(I1600,"10*")&gt;0,COUNTIF(J1600,"*10*")&gt;0,COUNTIF(I1600,"11*")&gt;0,COUNTIF(J1600,"*11*")&gt;0,COUNTIF(I1600,"12*")&gt;0,COUNTIF(J1600,"*12*")&gt;0,COUNTIF(I1600,"13*")&gt;0,COUNTIF(J1600,"*13*")&gt;0,COUNTIF(I1600,"14*")&gt;0,COUNTIF(J1600,"*14*")&gt;0,COUNTIF(I1600,"15*")&gt;0,COUNTIF(J1600,"*15*")&gt;0,COUNTIF(I1600,"16*")&gt;0,COUNTIF(J1600,"*16*")&gt;0,COUNTIF(I1600,"17*")&gt;0,COUNTIF(J1600,"*17*")&gt;0,COUNTIF(I1600,"18*")&gt;0,COUNTIF(J1600,"*18*")&gt;0,COUNTIF(I1600,"19*")&gt;0,COUNTIF(J1600,"*19*")&gt;0,COUNTIF(I1600,"20*")&gt;0,COUNTIF(J1600,"*20*")&gt;0,COUNTIF(I1600,"21*")&gt;0,COUNTIF(J1600,"*21*")&gt;0,COUNTIF(I1600,"22*")&gt;0,COUNTIF(J1600,"*22*")&gt;0,COUNTIF(I1600,"23*")&gt;0,COUNTIF(J1600,"*23*")&gt;0,COUNTIF(I1600,"24*")&gt;0,COUNTIF(J1600,"*24*")&gt;0,COUNTIF(I1600,"25*")&gt;0,COUNTIF(J1600,"*25*")&gt;0,COUNTIF(I1600,"26*")&gt;0,COUNTIF(J1600,"*26*")&gt;0,COUNTIF(I1600,"27*")&gt;0,COUNTIF(J1600,"*27*")&gt;0,COUNTIF(I1600,"28*")&gt;0,COUNTIF(J1600,"*28*")&gt;0,COUNTIF(I1600,"29*")&gt;0,COUNTIF(J1600,"*29*")&gt;0,COUNTIF(I1600,"30*")&gt;0,COUNTIF(J1600,"*30*")&gt;0,COUNTIF(I1600,"31*")&gt;0,COUNTIF(J1600,"*31*")&gt;0,COUNTIF(I1600,"32*")&gt;0,COUNTIF(J1600,"*32*")&gt;0,COUNTIF(I1600,"33*")&gt;0,COUNTIF(J1600,"*33*")&gt;0,COUNTIF(I1600,"41*")&gt;0,COUNTIF(J1600,"*41*")&gt;0,COUNTIF(I1600,"42*")&gt;0,COUNTIF(J1600,"*42*")&gt;0,COUNTIF(I1600,"43*")&gt;0,COUNTIF(J1600,"*43*")&gt;0,COUNTIF(I1600,"49*")&gt;0,COUNTIF(J1600,"*49*")&gt;0,COUNTIF(I1600,"52*")&gt;0,COUNTIF(J1600,"*52*")&gt;0,COUNTIF(I1600,"55*")&gt;0,COUNTIF(J1600,"*55*")&gt;0,COUNTIF(I1600,"56*")&gt;0,COUNTIF(J1600,"*56*")&gt;0,COUNTIF(I1600,"68*")&gt;0,COUNTIF(J1600,"*68*")&gt;0,COUNTIF(I1600,"78*")&gt;0,COUNTIF(J1600,"*78*")&gt;0,COUNTIF(I1600,"81*")&gt;0,COUNTIF(J1600,"*81*")&gt;0,COUNTIF(I1600,"82*")&gt;0,COUNTIF(J1600,"*82*")&gt;0,COUNTIF(I1600,"64*")&gt;0,COUNTIF(J1600,"*64*")&gt;0,COUNTIF(I1600,"65*")&gt;0,COUNTIF(J1600,"*65*")&gt;0,COUNTIF(I1600,"66*")&gt;0,COUNTIF(J1600,"*66*")&gt;0,COUNTIF(I1600,"61*")&gt;0,COUNTIF(J1600,"*61*")&gt;0,COUNTIF(I1600,"62*")&gt;0,COUNTIF(J1600,"*62*")&gt;0,COUNTIF(I1600,"63*")&gt;0,COUNTIF(J1600,"*63*")&gt;0,COUNTIF(I1600,"85*")&gt;0,COUNTIF(J1600,"*85*")&gt;0,COUNTIF(I1600,"86*")&gt;0,COUNTIF(J1600,"*86*")&gt;0),"Да","Нет"))</f>
        <v/>
      </c>
      <c r="M1600" s="13">
        <f>IF(OR(G1600="",L1600&lt;&gt;"Да"),"",IF(G1600&lt;=100,"До 100",IF(G1600&lt;=200,"До 200",IF(G1600&lt;=500,"До 500","Отдельное КП"))))</f>
        <v/>
      </c>
      <c r="N1600" s="15">
        <f>IF(OR(G1600="",L1600&lt;&gt;"Да"),"",IF(G1600&lt;=100,33600,IF(G1600&lt;=200,62400,IF(G1600&lt;=500,144000,""))))</f>
        <v/>
      </c>
      <c r="O1600" s="16">
        <f>IF(G1600="","",IF(G1600&lt;=15,"1–15",IF(G1600&lt;=30,"16–30",IF(G1600&lt;=50,"31–50",IF(G1600&lt;=100,"51–100",IF(G1600&lt;=150,"101–150",IF(G1600&lt;=200,"151–200",IF(G1600&lt;=500,"201–500","500+"))))))))</f>
        <v/>
      </c>
      <c r="P1600" s="16" t="inlineStr">
        <is>
          <t>Нет совпадения в предоставленной выгрузке ССЧР</t>
        </is>
      </c>
      <c r="Q1600" s="16" t="n"/>
      <c r="R1600" s="16">
        <f>HYPERLINK("https://checko.ru/search?query=3801001629","Чекко: проверить")</f>
        <v/>
      </c>
      <c r="S1600" t="n">
        <v>0</v>
      </c>
    </row>
    <row r="1601" ht="15" customHeight="1" s="24">
      <c r="A1601" s="13" t="n">
        <v>5000001860</v>
      </c>
      <c r="B1601" s="13" t="inlineStr">
        <is>
          <t>ОбГБУЗ «Иркутская городская больница № 6»</t>
        </is>
      </c>
      <c r="C1601" s="13" t="n">
        <v>3812000592</v>
      </c>
      <c r="D1601" s="13" t="inlineStr">
        <is>
          <t>3812000592</t>
        </is>
      </c>
      <c r="E1601" s="13" t="inlineStr">
        <is>
          <t>ЮЛ РФ</t>
        </is>
      </c>
      <c r="F1601" s="13" t="n"/>
      <c r="G1601" s="14" t="n"/>
      <c r="H1601" s="14" t="n"/>
      <c r="I1601" s="14" t="n"/>
      <c r="J1601" s="14" t="n"/>
      <c r="K1601" s="53" t="inlineStr"/>
      <c r="L1601" s="53" t="inlineStr">
        <is>
          <t>Не определено</t>
        </is>
      </c>
      <c r="M1601" s="53" t="inlineStr"/>
      <c r="N1601" s="54" t="inlineStr"/>
      <c r="O1601" s="55" t="inlineStr"/>
      <c r="P1601" s="16" t="inlineStr">
        <is>
          <t>Требует обогащения</t>
        </is>
      </c>
      <c r="Q1601" s="16">
        <f>HYPERLINK("https://pb.nalog.ru/search.html?query=3812000592","ФНС: проверить")</f>
        <v/>
      </c>
      <c r="R1601" s="16">
        <f>HYPERLINK("https://checko.ru/search?query=3801001629","Чекко: проверить")</f>
        <v/>
      </c>
      <c r="S1601" t="n">
        <v>1</v>
      </c>
      <c r="T1601" s="35" t="inlineStr">
        <is>
          <t>4 — Не обогащён</t>
        </is>
      </c>
      <c r="U1601" s="35" t="inlineStr">
        <is>
          <t>Нет ОКВЭД/ССЧР</t>
        </is>
      </c>
      <c r="V1601" s="35" t="inlineStr">
        <is>
          <t>Не определено</t>
        </is>
      </c>
      <c r="W1601" s="35" t="inlineStr"/>
      <c r="X1601" s="35" t="inlineStr"/>
    </row>
    <row r="1602" ht="15" customHeight="1" s="24">
      <c r="A1602" s="13" t="n">
        <v>5000008559</v>
      </c>
      <c r="B1602" s="13" t="inlineStr">
        <is>
          <t>УФССП России по Республике Карелия</t>
        </is>
      </c>
      <c r="C1602" s="13" t="n">
        <v>1001048550</v>
      </c>
      <c r="D1602" s="13" t="inlineStr">
        <is>
          <t>1001048550</t>
        </is>
      </c>
      <c r="E1602" s="13" t="inlineStr">
        <is>
          <t>ЮЛ РФ</t>
        </is>
      </c>
      <c r="F1602" s="13" t="n"/>
      <c r="G1602" s="14" t="n"/>
      <c r="H1602" s="14" t="n"/>
      <c r="I1602" s="14" t="n"/>
      <c r="J1602" s="14" t="n"/>
      <c r="K1602" s="53" t="inlineStr"/>
      <c r="L1602" s="53" t="inlineStr">
        <is>
          <t>Не определено</t>
        </is>
      </c>
      <c r="M1602" s="53" t="inlineStr"/>
      <c r="N1602" s="54" t="inlineStr"/>
      <c r="O1602" s="55" t="inlineStr"/>
      <c r="P1602" s="16" t="inlineStr">
        <is>
          <t>Требует обогащения</t>
        </is>
      </c>
      <c r="Q1602" s="16">
        <f>HYPERLINK("https://pb.nalog.ru/search.html?query=1001048550","ФНС: проверить")</f>
        <v/>
      </c>
      <c r="R1602" s="16">
        <f>HYPERLINK("https://checko.ru/search?query=3801001629","Чекко: проверить")</f>
        <v/>
      </c>
      <c r="S1602" t="n">
        <v>1</v>
      </c>
      <c r="T1602" s="35" t="inlineStr">
        <is>
          <t>4 — Не обогащён</t>
        </is>
      </c>
      <c r="U1602" s="35" t="inlineStr">
        <is>
          <t>Нет ОКВЭД/ССЧР</t>
        </is>
      </c>
      <c r="V1602" s="35" t="inlineStr">
        <is>
          <t>Не определено</t>
        </is>
      </c>
      <c r="W1602" s="35" t="inlineStr"/>
      <c r="X1602" s="35" t="inlineStr"/>
    </row>
    <row r="1603" ht="15" customHeight="1" s="24">
      <c r="A1603" s="13" t="n">
        <v>5000008540</v>
      </c>
      <c r="B1603" s="13" t="inlineStr">
        <is>
          <t>УФССП России по Республике Саха (Якутия)</t>
        </is>
      </c>
      <c r="C1603" s="13" t="n">
        <v>1435155072</v>
      </c>
      <c r="D1603" s="13" t="inlineStr">
        <is>
          <t>1435155072</t>
        </is>
      </c>
      <c r="E1603" s="13" t="inlineStr">
        <is>
          <t>ЮЛ РФ</t>
        </is>
      </c>
      <c r="F1603" s="13" t="n"/>
      <c r="G1603" s="14" t="n"/>
      <c r="H1603" s="14" t="n"/>
      <c r="I1603" s="14" t="n"/>
      <c r="J1603" s="14" t="n"/>
      <c r="K1603" s="53" t="inlineStr"/>
      <c r="L1603" s="53" t="inlineStr">
        <is>
          <t>Не определено</t>
        </is>
      </c>
      <c r="M1603" s="53" t="inlineStr"/>
      <c r="N1603" s="54" t="inlineStr"/>
      <c r="O1603" s="55" t="inlineStr"/>
      <c r="P1603" s="16" t="inlineStr">
        <is>
          <t>Требует обогащения</t>
        </is>
      </c>
      <c r="Q1603" s="16">
        <f>HYPERLINK("https://pb.nalog.ru/search.html?query=1435155072","ФНС: проверить")</f>
        <v/>
      </c>
      <c r="R1603" s="16">
        <f>HYPERLINK("https://checko.ru/search?query=3801001629","Чекко: проверить")</f>
        <v/>
      </c>
      <c r="S1603" t="n">
        <v>1</v>
      </c>
      <c r="T1603" s="35" t="inlineStr">
        <is>
          <t>4 — Не обогащён</t>
        </is>
      </c>
      <c r="U1603" s="35" t="inlineStr">
        <is>
          <t>Нет ОКВЭД/ССЧР</t>
        </is>
      </c>
      <c r="V1603" s="35" t="inlineStr">
        <is>
          <t>Не определено</t>
        </is>
      </c>
      <c r="W1603" s="35" t="inlineStr"/>
      <c r="X1603" s="35" t="inlineStr"/>
    </row>
    <row r="1604" ht="41.25" customHeight="1" s="24">
      <c r="A1604" s="13" t="n">
        <v>5000001507</v>
      </c>
      <c r="B1604" s="13" t="inlineStr">
        <is>
          <t>Управление департамента семейной демографической политики, опеки и попечительства по г.Иркутску</t>
        </is>
      </c>
      <c r="C1604" s="13" t="n">
        <v>3808172239</v>
      </c>
      <c r="D1604" s="13" t="inlineStr">
        <is>
          <t>3808172239</t>
        </is>
      </c>
      <c r="E1604" s="13" t="inlineStr">
        <is>
          <t>ЮЛ РФ</t>
        </is>
      </c>
      <c r="F1604" s="13" t="n"/>
      <c r="G1604" s="14" t="n"/>
      <c r="H1604" s="14" t="n"/>
      <c r="I1604" s="14" t="n"/>
      <c r="J1604" s="14" t="n"/>
      <c r="K1604" s="53" t="inlineStr"/>
      <c r="L1604" s="53" t="inlineStr">
        <is>
          <t>Не определено</t>
        </is>
      </c>
      <c r="M1604" s="53" t="inlineStr"/>
      <c r="N1604" s="54" t="inlineStr"/>
      <c r="O1604" s="55" t="inlineStr"/>
      <c r="P1604" s="16" t="inlineStr">
        <is>
          <t>Требует обогащения</t>
        </is>
      </c>
      <c r="Q1604" s="16">
        <f>HYPERLINK("https://pb.nalog.ru/search.html?query=3808172239","ФНС: проверить")</f>
        <v/>
      </c>
      <c r="R1604" s="16">
        <f>HYPERLINK("https://checko.ru/search?query=3801001629","Чекко: проверить")</f>
        <v/>
      </c>
      <c r="S1604" t="n">
        <v>1</v>
      </c>
      <c r="T1604" s="35" t="inlineStr">
        <is>
          <t>4 — Не обогащён</t>
        </is>
      </c>
      <c r="U1604" s="35" t="inlineStr">
        <is>
          <t>Нет ОКВЭД/ССЧР</t>
        </is>
      </c>
      <c r="V1604" s="35" t="inlineStr">
        <is>
          <t>Не определено</t>
        </is>
      </c>
      <c r="W1604" s="35" t="inlineStr"/>
      <c r="X1604" s="35" t="inlineStr"/>
    </row>
    <row r="1605" ht="27.75" customHeight="1" s="24">
      <c r="A1605" s="13" t="n">
        <v>5000102756</v>
      </c>
      <c r="B1605" s="13" t="inlineStr">
        <is>
          <t>Финансовый отдел администрации муниципального образования "Кулункунское"</t>
        </is>
      </c>
      <c r="C1605" s="13" t="n">
        <v>8506008471</v>
      </c>
      <c r="D1605" s="13" t="inlineStr">
        <is>
          <t>8506008471</t>
        </is>
      </c>
      <c r="E1605" s="13" t="inlineStr">
        <is>
          <t>ЮЛ РФ</t>
        </is>
      </c>
      <c r="F1605" s="13" t="n"/>
      <c r="G1605" s="14" t="n"/>
      <c r="H1605" s="14" t="n"/>
      <c r="I1605" s="14" t="n"/>
      <c r="J1605" s="14" t="n"/>
      <c r="K1605" s="53" t="inlineStr"/>
      <c r="L1605" s="53" t="inlineStr">
        <is>
          <t>Не определено</t>
        </is>
      </c>
      <c r="M1605" s="53" t="inlineStr"/>
      <c r="N1605" s="54" t="inlineStr"/>
      <c r="O1605" s="55" t="inlineStr"/>
      <c r="P1605" s="16" t="inlineStr">
        <is>
          <t>Требует обогащения</t>
        </is>
      </c>
      <c r="Q1605" s="16">
        <f>HYPERLINK("https://pb.nalog.ru/search.html?query=8506008471","ФНС: проверить")</f>
        <v/>
      </c>
      <c r="R1605" s="16">
        <f>HYPERLINK("https://checko.ru/search?query=3801001629","Чекко: проверить")</f>
        <v/>
      </c>
      <c r="S1605" t="n">
        <v>1</v>
      </c>
      <c r="T1605" s="35" t="inlineStr">
        <is>
          <t>4 — Не обогащён</t>
        </is>
      </c>
      <c r="U1605" s="35" t="inlineStr">
        <is>
          <t>Нет ОКВЭД/ССЧР</t>
        </is>
      </c>
      <c r="V1605" s="35" t="inlineStr">
        <is>
          <t>Не определено</t>
        </is>
      </c>
      <c r="W1605" s="35" t="inlineStr"/>
      <c r="X1605" s="35" t="inlineStr"/>
    </row>
    <row r="1606" ht="15" customHeight="1" s="24">
      <c r="A1606" s="13" t="n">
        <v>5000095206</v>
      </c>
      <c r="B1606" s="13" t="inlineStr">
        <is>
          <t>Министерство культуры КБР</t>
        </is>
      </c>
      <c r="C1606" s="13" t="n">
        <v>725002044</v>
      </c>
      <c r="D1606" s="13" t="n"/>
      <c r="E1606" s="13" t="inlineStr">
        <is>
          <t>Не определён</t>
        </is>
      </c>
      <c r="F1606" s="13" t="inlineStr">
        <is>
          <t>725002044</t>
        </is>
      </c>
      <c r="G1606" s="14" t="n"/>
      <c r="H1606" s="14" t="n"/>
      <c r="I1606" s="14" t="n"/>
      <c r="J1606" s="14" t="n"/>
      <c r="K1606" s="13">
        <f>IF(G1606="","",IF(G1606&gt;=22,"Да","Нет"))</f>
        <v/>
      </c>
      <c r="L1606" s="13">
        <f>IF(OR(I1606="",J1606=""),"Не определено",IF(OR(COUNTIF(I1606,"45*")&gt;0,COUNTIF(J1606,"*45*")&gt;0,COUNTIF(I1606,"46*")&gt;0,COUNTIF(J1606,"*46*")&gt;0,COUNTIF(I1606,"47*")&gt;0,COUNTIF(J1606,"*47*")&gt;0,COUNTIF(I1606,"10*")&gt;0,COUNTIF(J1606,"*10*")&gt;0,COUNTIF(I1606,"11*")&gt;0,COUNTIF(J1606,"*11*")&gt;0,COUNTIF(I1606,"12*")&gt;0,COUNTIF(J1606,"*12*")&gt;0,COUNTIF(I1606,"13*")&gt;0,COUNTIF(J1606,"*13*")&gt;0,COUNTIF(I1606,"14*")&gt;0,COUNTIF(J1606,"*14*")&gt;0,COUNTIF(I1606,"15*")&gt;0,COUNTIF(J1606,"*15*")&gt;0,COUNTIF(I1606,"16*")&gt;0,COUNTIF(J1606,"*16*")&gt;0,COUNTIF(I1606,"17*")&gt;0,COUNTIF(J1606,"*17*")&gt;0,COUNTIF(I1606,"18*")&gt;0,COUNTIF(J1606,"*18*")&gt;0,COUNTIF(I1606,"19*")&gt;0,COUNTIF(J1606,"*19*")&gt;0,COUNTIF(I1606,"20*")&gt;0,COUNTIF(J1606,"*20*")&gt;0,COUNTIF(I1606,"21*")&gt;0,COUNTIF(J1606,"*21*")&gt;0,COUNTIF(I1606,"22*")&gt;0,COUNTIF(J1606,"*22*")&gt;0,COUNTIF(I1606,"23*")&gt;0,COUNTIF(J1606,"*23*")&gt;0,COUNTIF(I1606,"24*")&gt;0,COUNTIF(J1606,"*24*")&gt;0,COUNTIF(I1606,"25*")&gt;0,COUNTIF(J1606,"*25*")&gt;0,COUNTIF(I1606,"26*")&gt;0,COUNTIF(J1606,"*26*")&gt;0,COUNTIF(I1606,"27*")&gt;0,COUNTIF(J1606,"*27*")&gt;0,COUNTIF(I1606,"28*")&gt;0,COUNTIF(J1606,"*28*")&gt;0,COUNTIF(I1606,"29*")&gt;0,COUNTIF(J1606,"*29*")&gt;0,COUNTIF(I1606,"30*")&gt;0,COUNTIF(J1606,"*30*")&gt;0,COUNTIF(I1606,"31*")&gt;0,COUNTIF(J1606,"*31*")&gt;0,COUNTIF(I1606,"32*")&gt;0,COUNTIF(J1606,"*32*")&gt;0,COUNTIF(I1606,"33*")&gt;0,COUNTIF(J1606,"*33*")&gt;0,COUNTIF(I1606,"41*")&gt;0,COUNTIF(J1606,"*41*")&gt;0,COUNTIF(I1606,"42*")&gt;0,COUNTIF(J1606,"*42*")&gt;0,COUNTIF(I1606,"43*")&gt;0,COUNTIF(J1606,"*43*")&gt;0,COUNTIF(I1606,"49*")&gt;0,COUNTIF(J1606,"*49*")&gt;0,COUNTIF(I1606,"52*")&gt;0,COUNTIF(J1606,"*52*")&gt;0,COUNTIF(I1606,"55*")&gt;0,COUNTIF(J1606,"*55*")&gt;0,COUNTIF(I1606,"56*")&gt;0,COUNTIF(J1606,"*56*")&gt;0,COUNTIF(I1606,"68*")&gt;0,COUNTIF(J1606,"*68*")&gt;0,COUNTIF(I1606,"78*")&gt;0,COUNTIF(J1606,"*78*")&gt;0,COUNTIF(I1606,"81*")&gt;0,COUNTIF(J1606,"*81*")&gt;0,COUNTIF(I1606,"82*")&gt;0,COUNTIF(J1606,"*82*")&gt;0,COUNTIF(I1606,"64*")&gt;0,COUNTIF(J1606,"*64*")&gt;0,COUNTIF(I1606,"65*")&gt;0,COUNTIF(J1606,"*65*")&gt;0,COUNTIF(I1606,"66*")&gt;0,COUNTIF(J1606,"*66*")&gt;0,COUNTIF(I1606,"61*")&gt;0,COUNTIF(J1606,"*61*")&gt;0,COUNTIF(I1606,"62*")&gt;0,COUNTIF(J1606,"*62*")&gt;0,COUNTIF(I1606,"63*")&gt;0,COUNTIF(J1606,"*63*")&gt;0,COUNTIF(I1606,"85*")&gt;0,COUNTIF(J1606,"*85*")&gt;0,COUNTIF(I1606,"86*")&gt;0,COUNTIF(J1606,"*86*")&gt;0),"Да","Нет"))</f>
        <v/>
      </c>
      <c r="M1606" s="13">
        <f>IF(OR(G1606="",L1606&lt;&gt;"Да"),"",IF(G1606&lt;=100,"До 100",IF(G1606&lt;=200,"До 200",IF(G1606&lt;=500,"До 500","Отдельное КП"))))</f>
        <v/>
      </c>
      <c r="N1606" s="15">
        <f>IF(OR(G1606="",L1606&lt;&gt;"Да"),"",IF(G1606&lt;=100,33600,IF(G1606&lt;=200,62400,IF(G1606&lt;=500,144000,""))))</f>
        <v/>
      </c>
      <c r="O1606" s="16">
        <f>IF(G1606="","",IF(G1606&lt;=15,"1–15",IF(G1606&lt;=30,"16–30",IF(G1606&lt;=50,"31–50",IF(G1606&lt;=100,"51–100",IF(G1606&lt;=150,"101–150",IF(G1606&lt;=200,"151–200",IF(G1606&lt;=500,"201–500","500+"))))))))</f>
        <v/>
      </c>
      <c r="P1606" s="16" t="inlineStr">
        <is>
          <t>Нет совпадения в предоставленной выгрузке ССЧР</t>
        </is>
      </c>
      <c r="Q1606" s="16" t="n"/>
      <c r="R1606" s="16">
        <f>HYPERLINK("https://checko.ru/search?query=3801001629","Чекко: проверить")</f>
        <v/>
      </c>
      <c r="S1606" t="n">
        <v>0</v>
      </c>
    </row>
    <row r="1607" ht="54.75" customHeight="1" s="24">
      <c r="A1607" s="13" t="n">
        <v>5000001416</v>
      </c>
      <c r="B1607" s="13" t="inlineStr">
        <is>
          <t>ГОКУ Иркутской области для детей-сирот и детей, оставшихся без попечения родителей «Специальная (коррекционная) школа-интернат №6 г. Зима»</t>
        </is>
      </c>
      <c r="C1607" s="13" t="n">
        <v>3806009205</v>
      </c>
      <c r="D1607" s="13" t="inlineStr">
        <is>
          <t>3806009205</t>
        </is>
      </c>
      <c r="E1607" s="13" t="inlineStr">
        <is>
          <t>ЮЛ РФ</t>
        </is>
      </c>
      <c r="F1607" s="13" t="n"/>
      <c r="G1607" s="14" t="n"/>
      <c r="H1607" s="14" t="n"/>
      <c r="I1607" s="14" t="n"/>
      <c r="J1607" s="14" t="n"/>
      <c r="K1607" s="53" t="inlineStr"/>
      <c r="L1607" s="53" t="inlineStr">
        <is>
          <t>Не определено</t>
        </is>
      </c>
      <c r="M1607" s="53" t="inlineStr"/>
      <c r="N1607" s="54" t="inlineStr"/>
      <c r="O1607" s="55" t="inlineStr"/>
      <c r="P1607" s="16" t="inlineStr">
        <is>
          <t>Требует обогащения</t>
        </is>
      </c>
      <c r="Q1607" s="16">
        <f>HYPERLINK("https://pb.nalog.ru/search.html?query=3806009205","ФНС: проверить")</f>
        <v/>
      </c>
      <c r="R1607" s="16">
        <f>HYPERLINK("https://checko.ru/search?query=3801001629","Чекко: проверить")</f>
        <v/>
      </c>
      <c r="S1607" t="n">
        <v>1</v>
      </c>
      <c r="T1607" s="35" t="inlineStr">
        <is>
          <t>4 — Не обогащён</t>
        </is>
      </c>
      <c r="U1607" s="35" t="inlineStr">
        <is>
          <t>Нет ОКВЭД/ССЧР</t>
        </is>
      </c>
      <c r="V1607" s="35" t="inlineStr">
        <is>
          <t>Не определено</t>
        </is>
      </c>
      <c r="W1607" s="35" t="inlineStr"/>
      <c r="X1607" s="35" t="inlineStr"/>
    </row>
    <row r="1608" ht="27.75" customHeight="1" s="24">
      <c r="A1608" s="13" t="n">
        <v>5000001464</v>
      </c>
      <c r="B1608" s="13" t="inlineStr">
        <is>
          <t>ОГКУ Управление капитального строительства  Иркутской области</t>
        </is>
      </c>
      <c r="C1608" s="13" t="n">
        <v>3808052252</v>
      </c>
      <c r="D1608" s="13" t="inlineStr">
        <is>
          <t>3808052252</t>
        </is>
      </c>
      <c r="E1608" s="13" t="inlineStr">
        <is>
          <t>ЮЛ РФ</t>
        </is>
      </c>
      <c r="F1608" s="13" t="n"/>
      <c r="G1608" s="14" t="n"/>
      <c r="H1608" s="14" t="n"/>
      <c r="I1608" s="14" t="n"/>
      <c r="J1608" s="14" t="n"/>
      <c r="K1608" s="53" t="inlineStr"/>
      <c r="L1608" s="53" t="inlineStr">
        <is>
          <t>Не определено</t>
        </is>
      </c>
      <c r="M1608" s="53" t="inlineStr"/>
      <c r="N1608" s="54" t="inlineStr"/>
      <c r="O1608" s="55" t="inlineStr"/>
      <c r="P1608" s="16" t="inlineStr">
        <is>
          <t>Требует обогащения</t>
        </is>
      </c>
      <c r="Q1608" s="16">
        <f>HYPERLINK("https://pb.nalog.ru/search.html?query=3808052252","ФНС: проверить")</f>
        <v/>
      </c>
      <c r="R1608" s="16">
        <f>HYPERLINK("https://checko.ru/search?query=3801001629","Чекко: проверить")</f>
        <v/>
      </c>
      <c r="S1608" t="n">
        <v>1</v>
      </c>
      <c r="T1608" s="35" t="inlineStr">
        <is>
          <t>4 — Не обогащён</t>
        </is>
      </c>
      <c r="U1608" s="35" t="inlineStr">
        <is>
          <t>Нет ОКВЭД/ССЧР</t>
        </is>
      </c>
      <c r="V1608" s="35" t="inlineStr">
        <is>
          <t>Не определено</t>
        </is>
      </c>
      <c r="W1608" s="35" t="inlineStr"/>
      <c r="X1608" s="35" t="inlineStr"/>
    </row>
    <row r="1609" ht="15" customHeight="1" s="24">
      <c r="A1609" s="13" t="n">
        <v>5000001725</v>
      </c>
      <c r="B1609" s="13" t="inlineStr">
        <is>
          <t>ОГООУ Санаторный детский дом №2</t>
        </is>
      </c>
      <c r="C1609" s="13" t="n">
        <v>3809023695</v>
      </c>
      <c r="D1609" s="13" t="inlineStr">
        <is>
          <t>3809023695</t>
        </is>
      </c>
      <c r="E1609" s="13" t="inlineStr">
        <is>
          <t>ЮЛ РФ</t>
        </is>
      </c>
      <c r="F1609" s="13" t="n"/>
      <c r="G1609" s="14" t="n"/>
      <c r="H1609" s="14" t="n"/>
      <c r="I1609" s="14" t="n"/>
      <c r="J1609" s="14" t="n"/>
      <c r="K1609" s="53" t="inlineStr"/>
      <c r="L1609" s="53" t="inlineStr">
        <is>
          <t>Не определено</t>
        </is>
      </c>
      <c r="M1609" s="53" t="inlineStr"/>
      <c r="N1609" s="54" t="inlineStr"/>
      <c r="O1609" s="55" t="inlineStr"/>
      <c r="P1609" s="16" t="inlineStr">
        <is>
          <t>Требует обогащения</t>
        </is>
      </c>
      <c r="Q1609" s="16">
        <f>HYPERLINK("https://pb.nalog.ru/search.html?query=3809023695","ФНС: проверить")</f>
        <v/>
      </c>
      <c r="R1609" s="16">
        <f>HYPERLINK("https://checko.ru/search?query=3801001629","Чекко: проверить")</f>
        <v/>
      </c>
      <c r="S1609" t="n">
        <v>1</v>
      </c>
      <c r="T1609" s="35" t="inlineStr">
        <is>
          <t>4 — Не обогащён</t>
        </is>
      </c>
      <c r="U1609" s="35" t="inlineStr">
        <is>
          <t>Нет ОКВЭД/ССЧР</t>
        </is>
      </c>
      <c r="V1609" s="35" t="inlineStr">
        <is>
          <t>Не определено</t>
        </is>
      </c>
      <c r="W1609" s="35" t="inlineStr"/>
      <c r="X1609" s="35" t="inlineStr"/>
    </row>
    <row r="1610" ht="27.75" customHeight="1" s="24">
      <c r="A1610" s="13" t="n">
        <v>5000002210</v>
      </c>
      <c r="B1610" s="13" t="inlineStr">
        <is>
          <t>Слюдянская территориальная избирательная комиссия</t>
        </is>
      </c>
      <c r="C1610" s="13" t="n">
        <v>3837003919</v>
      </c>
      <c r="D1610" s="13" t="inlineStr">
        <is>
          <t>3837003919</t>
        </is>
      </c>
      <c r="E1610" s="13" t="inlineStr">
        <is>
          <t>ЮЛ РФ</t>
        </is>
      </c>
      <c r="F1610" s="13" t="n"/>
      <c r="G1610" s="14" t="n"/>
      <c r="H1610" s="14" t="n"/>
      <c r="I1610" s="14" t="n"/>
      <c r="J1610" s="14" t="n"/>
      <c r="K1610" s="53" t="inlineStr"/>
      <c r="L1610" s="53" t="inlineStr">
        <is>
          <t>Не определено</t>
        </is>
      </c>
      <c r="M1610" s="53" t="inlineStr"/>
      <c r="N1610" s="54" t="inlineStr"/>
      <c r="O1610" s="55" t="inlineStr"/>
      <c r="P1610" s="16" t="inlineStr">
        <is>
          <t>Требует обогащения</t>
        </is>
      </c>
      <c r="Q1610" s="16">
        <f>HYPERLINK("https://pb.nalog.ru/search.html?query=3837003919","ФНС: проверить")</f>
        <v/>
      </c>
      <c r="R1610" s="16">
        <f>HYPERLINK("https://checko.ru/search?query=3801001629","Чекко: проверить")</f>
        <v/>
      </c>
      <c r="S1610" t="n">
        <v>1</v>
      </c>
      <c r="T1610" s="35" t="inlineStr">
        <is>
          <t>4 — Не обогащён</t>
        </is>
      </c>
      <c r="U1610" s="35" t="inlineStr">
        <is>
          <t>Нет ОКВЭД/ССЧР</t>
        </is>
      </c>
      <c r="V1610" s="35" t="inlineStr">
        <is>
          <t>Не определено</t>
        </is>
      </c>
      <c r="W1610" s="35" t="inlineStr"/>
      <c r="X1610" s="35" t="inlineStr"/>
    </row>
    <row r="1611" ht="27.75" customHeight="1" s="24">
      <c r="A1611" s="13" t="n">
        <v>5000001494</v>
      </c>
      <c r="B1611" s="13" t="inlineStr">
        <is>
          <t>Областное государственное учреждение "Аппарат общественной палаты Иркутской области"</t>
        </is>
      </c>
      <c r="C1611" s="13" t="n">
        <v>3808169885</v>
      </c>
      <c r="D1611" s="13" t="inlineStr">
        <is>
          <t>3808169885</t>
        </is>
      </c>
      <c r="E1611" s="13" t="inlineStr">
        <is>
          <t>ЮЛ РФ</t>
        </is>
      </c>
      <c r="F1611" s="13" t="n"/>
      <c r="G1611" s="14" t="n"/>
      <c r="H1611" s="14" t="n"/>
      <c r="I1611" s="14" t="n"/>
      <c r="J1611" s="14" t="n"/>
      <c r="K1611" s="53" t="inlineStr"/>
      <c r="L1611" s="53" t="inlineStr">
        <is>
          <t>Не определено</t>
        </is>
      </c>
      <c r="M1611" s="53" t="inlineStr"/>
      <c r="N1611" s="54" t="inlineStr"/>
      <c r="O1611" s="55" t="inlineStr"/>
      <c r="P1611" s="16" t="inlineStr">
        <is>
          <t>Требует обогащения</t>
        </is>
      </c>
      <c r="Q1611" s="16">
        <f>HYPERLINK("https://pb.nalog.ru/search.html?query=3808169885","ФНС: проверить")</f>
        <v/>
      </c>
      <c r="R1611" s="16">
        <f>HYPERLINK("https://checko.ru/search?query=3801001629","Чекко: проверить")</f>
        <v/>
      </c>
      <c r="S1611" t="n">
        <v>1</v>
      </c>
      <c r="T1611" s="35" t="inlineStr">
        <is>
          <t>4 — Не обогащён</t>
        </is>
      </c>
      <c r="U1611" s="35" t="inlineStr">
        <is>
          <t>Нет ОКВЭД/ССЧР</t>
        </is>
      </c>
      <c r="V1611" s="35" t="inlineStr">
        <is>
          <t>Не определено</t>
        </is>
      </c>
      <c r="W1611" s="35" t="inlineStr"/>
      <c r="X1611" s="35" t="inlineStr"/>
    </row>
    <row r="1612" ht="15" customHeight="1" s="24">
      <c r="A1612" s="13" t="n">
        <v>5000106084</v>
      </c>
      <c r="B1612" s="13" t="inlineStr">
        <is>
          <t>ГБУЗ "Асекеевская РБ"</t>
        </is>
      </c>
      <c r="C1612" s="13" t="n">
        <v>5622000887</v>
      </c>
      <c r="D1612" s="13" t="inlineStr">
        <is>
          <t>5622000887</t>
        </is>
      </c>
      <c r="E1612" s="13" t="inlineStr">
        <is>
          <t>ЮЛ РФ</t>
        </is>
      </c>
      <c r="F1612" s="13" t="n"/>
      <c r="G1612" s="14" t="n"/>
      <c r="H1612" s="14" t="n"/>
      <c r="I1612" s="14" t="n"/>
      <c r="J1612" s="14" t="n"/>
      <c r="K1612" s="53" t="inlineStr"/>
      <c r="L1612" s="53" t="inlineStr">
        <is>
          <t>Не определено</t>
        </is>
      </c>
      <c r="M1612" s="53" t="inlineStr"/>
      <c r="N1612" s="54" t="inlineStr"/>
      <c r="O1612" s="55" t="inlineStr"/>
      <c r="P1612" s="16" t="inlineStr">
        <is>
          <t>Требует обогащения</t>
        </is>
      </c>
      <c r="Q1612" s="16">
        <f>HYPERLINK("https://pb.nalog.ru/search.html?query=5622000887","ФНС: проверить")</f>
        <v/>
      </c>
      <c r="R1612" s="16">
        <f>HYPERLINK("https://checko.ru/search?query=3801001629","Чекко: проверить")</f>
        <v/>
      </c>
      <c r="S1612" t="n">
        <v>1</v>
      </c>
      <c r="T1612" s="35" t="inlineStr">
        <is>
          <t>4 — Не обогащён</t>
        </is>
      </c>
      <c r="U1612" s="35" t="inlineStr">
        <is>
          <t>Нет ОКВЭД/ССЧР</t>
        </is>
      </c>
      <c r="V1612" s="35" t="inlineStr">
        <is>
          <t>Не определено</t>
        </is>
      </c>
      <c r="W1612" s="35" t="inlineStr"/>
      <c r="X1612" s="35" t="inlineStr"/>
    </row>
    <row r="1613" ht="15" customHeight="1" s="24">
      <c r="A1613" s="13" t="n">
        <v>5000001940</v>
      </c>
      <c r="B1613" s="13" t="inlineStr">
        <is>
          <t>Иркутский аграрный техникум</t>
        </is>
      </c>
      <c r="C1613" s="13" t="n">
        <v>3827013587</v>
      </c>
      <c r="D1613" s="13" t="inlineStr">
        <is>
          <t>3827013587</t>
        </is>
      </c>
      <c r="E1613" s="13" t="inlineStr">
        <is>
          <t>ЮЛ РФ</t>
        </is>
      </c>
      <c r="F1613" s="13" t="n"/>
      <c r="G1613" s="14" t="n"/>
      <c r="H1613" s="14" t="n"/>
      <c r="I1613" s="14" t="n"/>
      <c r="J1613" s="14" t="n"/>
      <c r="K1613" s="53" t="inlineStr"/>
      <c r="L1613" s="53" t="inlineStr">
        <is>
          <t>Не определено</t>
        </is>
      </c>
      <c r="M1613" s="53" t="inlineStr"/>
      <c r="N1613" s="54" t="inlineStr"/>
      <c r="O1613" s="55" t="inlineStr"/>
      <c r="P1613" s="16" t="inlineStr">
        <is>
          <t>Требует обогащения</t>
        </is>
      </c>
      <c r="Q1613" s="16">
        <f>HYPERLINK("https://pb.nalog.ru/search.html?query=3827013587","ФНС: проверить")</f>
        <v/>
      </c>
      <c r="R1613" s="16">
        <f>HYPERLINK("https://checko.ru/search?query=3801001629","Чекко: проверить")</f>
        <v/>
      </c>
      <c r="S1613" t="n">
        <v>1</v>
      </c>
      <c r="T1613" s="35" t="inlineStr">
        <is>
          <t>4 — Не обогащён</t>
        </is>
      </c>
      <c r="U1613" s="35" t="inlineStr">
        <is>
          <t>Нет ОКВЭД/ССЧР</t>
        </is>
      </c>
      <c r="V1613" s="35" t="inlineStr">
        <is>
          <t>Не определено</t>
        </is>
      </c>
      <c r="W1613" s="35" t="inlineStr"/>
      <c r="X1613" s="35" t="inlineStr"/>
    </row>
    <row r="1614" ht="15" customHeight="1" s="24">
      <c r="A1614" s="13" t="n">
        <v>5000106081</v>
      </c>
      <c r="B1614" s="13" t="inlineStr">
        <is>
          <t>ГАУЗ "ГБ № 3" Г. ОРСКА</t>
        </is>
      </c>
      <c r="C1614" s="13" t="n">
        <v>5615002964</v>
      </c>
      <c r="D1614" s="13" t="inlineStr">
        <is>
          <t>5615002964</t>
        </is>
      </c>
      <c r="E1614" s="13" t="inlineStr">
        <is>
          <t>ЮЛ РФ</t>
        </is>
      </c>
      <c r="F1614" s="13" t="n"/>
      <c r="G1614" s="14" t="n"/>
      <c r="H1614" s="14" t="n"/>
      <c r="I1614" s="14" t="n"/>
      <c r="J1614" s="14" t="n"/>
      <c r="K1614" s="53" t="inlineStr"/>
      <c r="L1614" s="53" t="inlineStr">
        <is>
          <t>Не определено</t>
        </is>
      </c>
      <c r="M1614" s="53" t="inlineStr"/>
      <c r="N1614" s="54" t="inlineStr"/>
      <c r="O1614" s="55" t="inlineStr"/>
      <c r="P1614" s="16" t="inlineStr">
        <is>
          <t>Требует обогащения</t>
        </is>
      </c>
      <c r="Q1614" s="16">
        <f>HYPERLINK("https://pb.nalog.ru/search.html?query=5615002964","ФНС: проверить")</f>
        <v/>
      </c>
      <c r="R1614" s="16">
        <f>HYPERLINK("https://checko.ru/search?query=3801001629","Чекко: проверить")</f>
        <v/>
      </c>
      <c r="S1614" t="n">
        <v>1</v>
      </c>
      <c r="T1614" s="35" t="inlineStr">
        <is>
          <t>4 — Не обогащён</t>
        </is>
      </c>
      <c r="U1614" s="35" t="inlineStr">
        <is>
          <t>Нет ОКВЭД/ССЧР</t>
        </is>
      </c>
      <c r="V1614" s="35" t="inlineStr">
        <is>
          <t>Не определено</t>
        </is>
      </c>
      <c r="W1614" s="35" t="inlineStr"/>
      <c r="X1614" s="35" t="inlineStr"/>
    </row>
    <row r="1615" ht="27.75" customHeight="1" s="24">
      <c r="A1615" s="13" t="n">
        <v>5000101691</v>
      </c>
      <c r="B1615" s="13" t="inlineStr">
        <is>
          <t>Государственное казенное учреждение Иркутской области "Черемховское лесничество"</t>
        </is>
      </c>
      <c r="C1615" s="13" t="n">
        <v>3801159790</v>
      </c>
      <c r="D1615" s="13" t="inlineStr">
        <is>
          <t>3801159790</t>
        </is>
      </c>
      <c r="E1615" s="13" t="inlineStr">
        <is>
          <t>ЮЛ РФ</t>
        </is>
      </c>
      <c r="F1615" s="13" t="n"/>
      <c r="G1615" s="14" t="n"/>
      <c r="H1615" s="14" t="n"/>
      <c r="I1615" s="14" t="n"/>
      <c r="J1615" s="14" t="n"/>
      <c r="K1615" s="53" t="inlineStr"/>
      <c r="L1615" s="53" t="inlineStr">
        <is>
          <t>Не определено</t>
        </is>
      </c>
      <c r="M1615" s="53" t="inlineStr"/>
      <c r="N1615" s="54" t="inlineStr"/>
      <c r="O1615" s="55" t="inlineStr"/>
      <c r="P1615" s="16" t="inlineStr">
        <is>
          <t>Требует обогащения</t>
        </is>
      </c>
      <c r="Q1615" s="16">
        <f>HYPERLINK("https://pb.nalog.ru/search.html?query=3801159790","ФНС: проверить")</f>
        <v/>
      </c>
      <c r="R1615" s="16">
        <f>HYPERLINK("https://checko.ru/search?query=3801001629","Чекко: проверить")</f>
        <v/>
      </c>
      <c r="S1615" t="n">
        <v>1</v>
      </c>
      <c r="T1615" s="35" t="inlineStr">
        <is>
          <t>4 — Не обогащён</t>
        </is>
      </c>
      <c r="U1615" s="35" t="inlineStr">
        <is>
          <t>Нет ОКВЭД/ССЧР</t>
        </is>
      </c>
      <c r="V1615" s="35" t="inlineStr">
        <is>
          <t>Не определено</t>
        </is>
      </c>
      <c r="W1615" s="35" t="inlineStr"/>
      <c r="X1615" s="35" t="inlineStr"/>
    </row>
    <row r="1616" ht="27.75" customHeight="1" s="24">
      <c r="A1616" s="13" t="n">
        <v>5000002001</v>
      </c>
      <c r="B1616" s="13" t="inlineStr">
        <is>
          <t>ОГКУЗ "УСОЛЬСКИЙ ОБЛАСТНОЙ СПЕЦИАЛИЗИРОВАННЫЙ ДОМ РЕБЕНКА"</t>
        </is>
      </c>
      <c r="C1616" s="13" t="n">
        <v>3819011466</v>
      </c>
      <c r="D1616" s="13" t="inlineStr">
        <is>
          <t>3819011466</t>
        </is>
      </c>
      <c r="E1616" s="13" t="inlineStr">
        <is>
          <t>ЮЛ РФ</t>
        </is>
      </c>
      <c r="F1616" s="13" t="n"/>
      <c r="G1616" s="14" t="n"/>
      <c r="H1616" s="14" t="n"/>
      <c r="I1616" s="14" t="n"/>
      <c r="J1616" s="14" t="n"/>
      <c r="K1616" s="53" t="inlineStr"/>
      <c r="L1616" s="53" t="inlineStr">
        <is>
          <t>Не определено</t>
        </is>
      </c>
      <c r="M1616" s="53" t="inlineStr"/>
      <c r="N1616" s="54" t="inlineStr"/>
      <c r="O1616" s="55" t="inlineStr"/>
      <c r="P1616" s="16" t="inlineStr">
        <is>
          <t>Требует обогащения</t>
        </is>
      </c>
      <c r="Q1616" s="16">
        <f>HYPERLINK("https://pb.nalog.ru/search.html?query=3819011466","ФНС: проверить")</f>
        <v/>
      </c>
      <c r="R1616" s="16">
        <f>HYPERLINK("https://checko.ru/search?query=3801001629","Чекко: проверить")</f>
        <v/>
      </c>
      <c r="S1616" t="n">
        <v>1</v>
      </c>
      <c r="T1616" s="35" t="inlineStr">
        <is>
          <t>4 — Не обогащён</t>
        </is>
      </c>
      <c r="U1616" s="35" t="inlineStr">
        <is>
          <t>Нет ОКВЭД/ССЧР</t>
        </is>
      </c>
      <c r="V1616" s="35" t="inlineStr">
        <is>
          <t>Не определено</t>
        </is>
      </c>
      <c r="W1616" s="35" t="inlineStr"/>
      <c r="X1616" s="35" t="inlineStr"/>
    </row>
    <row r="1617" ht="27.75" customHeight="1" s="24">
      <c r="A1617" s="13" t="n">
        <v>5000038512</v>
      </c>
      <c r="B1617" s="13" t="inlineStr">
        <is>
          <t>ОГАУ Молодёжный творческий центр «Ульяновский молодёжный театр</t>
        </is>
      </c>
      <c r="C1617" s="13" t="n">
        <v>7325162328</v>
      </c>
      <c r="D1617" s="13" t="inlineStr">
        <is>
          <t>7325162328</t>
        </is>
      </c>
      <c r="E1617" s="13" t="inlineStr">
        <is>
          <t>ЮЛ РФ</t>
        </is>
      </c>
      <c r="F1617" s="13" t="n"/>
      <c r="G1617" s="14" t="n"/>
      <c r="H1617" s="14" t="n"/>
      <c r="I1617" s="14" t="n"/>
      <c r="J1617" s="14" t="n"/>
      <c r="K1617" s="53" t="inlineStr"/>
      <c r="L1617" s="53" t="inlineStr">
        <is>
          <t>Не определено</t>
        </is>
      </c>
      <c r="M1617" s="53" t="inlineStr"/>
      <c r="N1617" s="54" t="inlineStr"/>
      <c r="O1617" s="55" t="inlineStr"/>
      <c r="P1617" s="16" t="inlineStr">
        <is>
          <t>Требует обогащения</t>
        </is>
      </c>
      <c r="Q1617" s="16">
        <f>HYPERLINK("https://pb.nalog.ru/search.html?query=7325162328","ФНС: проверить")</f>
        <v/>
      </c>
      <c r="R1617" s="16">
        <f>HYPERLINK("https://checko.ru/search?query=3801001629","Чекко: проверить")</f>
        <v/>
      </c>
      <c r="S1617" t="n">
        <v>1</v>
      </c>
      <c r="T1617" s="35" t="inlineStr">
        <is>
          <t>4 — Не обогащён</t>
        </is>
      </c>
      <c r="U1617" s="35" t="inlineStr">
        <is>
          <t>Нет ОКВЭД/ССЧР</t>
        </is>
      </c>
      <c r="V1617" s="35" t="inlineStr">
        <is>
          <t>Не определено</t>
        </is>
      </c>
      <c r="W1617" s="35" t="inlineStr"/>
      <c r="X1617" s="35" t="inlineStr"/>
    </row>
    <row r="1618" ht="27.75" customHeight="1" s="24">
      <c r="A1618" s="13" t="n">
        <v>5000001704</v>
      </c>
      <c r="B1618" s="13" t="inlineStr">
        <is>
          <t>ОГКУСО "Социально-реабилитационный центр для несовершеннолетних</t>
        </is>
      </c>
      <c r="C1618" s="13" t="n">
        <v>3844003878</v>
      </c>
      <c r="D1618" s="13" t="inlineStr">
        <is>
          <t>3844003878</t>
        </is>
      </c>
      <c r="E1618" s="13" t="inlineStr">
        <is>
          <t>ЮЛ РФ</t>
        </is>
      </c>
      <c r="F1618" s="13" t="n"/>
      <c r="G1618" s="14" t="n"/>
      <c r="H1618" s="14" t="n"/>
      <c r="I1618" s="14" t="n"/>
      <c r="J1618" s="14" t="n"/>
      <c r="K1618" s="53" t="inlineStr"/>
      <c r="L1618" s="53" t="inlineStr">
        <is>
          <t>Не определено</t>
        </is>
      </c>
      <c r="M1618" s="53" t="inlineStr"/>
      <c r="N1618" s="54" t="inlineStr"/>
      <c r="O1618" s="55" t="inlineStr"/>
      <c r="P1618" s="16" t="inlineStr">
        <is>
          <t>Требует обогащения</t>
        </is>
      </c>
      <c r="Q1618" s="16">
        <f>HYPERLINK("https://pb.nalog.ru/search.html?query=3844003878","ФНС: проверить")</f>
        <v/>
      </c>
      <c r="R1618" s="16">
        <f>HYPERLINK("https://checko.ru/search?query=3801001629","Чекко: проверить")</f>
        <v/>
      </c>
      <c r="S1618" t="n">
        <v>1</v>
      </c>
      <c r="T1618" s="35" t="inlineStr">
        <is>
          <t>4 — Не обогащён</t>
        </is>
      </c>
      <c r="U1618" s="35" t="inlineStr">
        <is>
          <t>Нет ОКВЭД/ССЧР</t>
        </is>
      </c>
      <c r="V1618" s="35" t="inlineStr">
        <is>
          <t>Не определено</t>
        </is>
      </c>
      <c r="W1618" s="35" t="inlineStr"/>
      <c r="X1618" s="35" t="inlineStr"/>
    </row>
    <row r="1619" ht="27.75" customHeight="1" s="24">
      <c r="A1619" s="13" t="n">
        <v>5000106176</v>
      </c>
      <c r="B1619" s="13" t="inlineStr">
        <is>
          <t>ФИНАНСОВЫЙ ОТДЕЛ АДМИНИСТРАЦИИ ТАШЛИНСКОГО РАЙОНА</t>
        </is>
      </c>
      <c r="C1619" s="13" t="n">
        <v>5648006146</v>
      </c>
      <c r="D1619" s="13" t="inlineStr">
        <is>
          <t>5648006146</t>
        </is>
      </c>
      <c r="E1619" s="13" t="inlineStr">
        <is>
          <t>ЮЛ РФ</t>
        </is>
      </c>
      <c r="F1619" s="13" t="n"/>
      <c r="G1619" s="14" t="n"/>
      <c r="H1619" s="14" t="n"/>
      <c r="I1619" s="14" t="n"/>
      <c r="J1619" s="14" t="n"/>
      <c r="K1619" s="53" t="inlineStr"/>
      <c r="L1619" s="53" t="inlineStr">
        <is>
          <t>Не определено</t>
        </is>
      </c>
      <c r="M1619" s="53" t="inlineStr"/>
      <c r="N1619" s="54" t="inlineStr"/>
      <c r="O1619" s="55" t="inlineStr"/>
      <c r="P1619" s="16" t="inlineStr">
        <is>
          <t>Требует обогащения</t>
        </is>
      </c>
      <c r="Q1619" s="16">
        <f>HYPERLINK("https://pb.nalog.ru/search.html?query=5648006146","ФНС: проверить")</f>
        <v/>
      </c>
      <c r="R1619" s="16">
        <f>HYPERLINK("https://checko.ru/search?query=3801001629","Чекко: проверить")</f>
        <v/>
      </c>
      <c r="S1619" t="n">
        <v>1</v>
      </c>
      <c r="T1619" s="35" t="inlineStr">
        <is>
          <t>4 — Не обогащён</t>
        </is>
      </c>
      <c r="U1619" s="35" t="inlineStr">
        <is>
          <t>Нет ОКВЭД/ССЧР</t>
        </is>
      </c>
      <c r="V1619" s="35" t="inlineStr">
        <is>
          <t>Не определено</t>
        </is>
      </c>
      <c r="W1619" s="35" t="inlineStr"/>
      <c r="X1619" s="35" t="inlineStr"/>
    </row>
    <row r="1620" ht="27.75" customHeight="1" s="24">
      <c r="A1620" s="13" t="n">
        <v>5000062586</v>
      </c>
      <c r="B1620" s="13" t="inlineStr">
        <is>
          <t>ГКУЗ «Ульяновская областная клиническая наркологическая больница»</t>
        </is>
      </c>
      <c r="C1620" s="13" t="n">
        <v>7303022077</v>
      </c>
      <c r="D1620" s="13" t="inlineStr">
        <is>
          <t>7303022077</t>
        </is>
      </c>
      <c r="E1620" s="13" t="inlineStr">
        <is>
          <t>ЮЛ РФ</t>
        </is>
      </c>
      <c r="F1620" s="13" t="n"/>
      <c r="G1620" s="14" t="n"/>
      <c r="H1620" s="14" t="n"/>
      <c r="I1620" s="14" t="n"/>
      <c r="J1620" s="14" t="n"/>
      <c r="K1620" s="53" t="inlineStr"/>
      <c r="L1620" s="53" t="inlineStr">
        <is>
          <t>Не определено</t>
        </is>
      </c>
      <c r="M1620" s="53" t="inlineStr"/>
      <c r="N1620" s="54" t="inlineStr"/>
      <c r="O1620" s="55" t="inlineStr"/>
      <c r="P1620" s="16" t="inlineStr">
        <is>
          <t>Требует обогащения</t>
        </is>
      </c>
      <c r="Q1620" s="16">
        <f>HYPERLINK("https://pb.nalog.ru/search.html?query=7303022077","ФНС: проверить")</f>
        <v/>
      </c>
      <c r="R1620" s="16">
        <f>HYPERLINK("https://checko.ru/search?query=3801001629","Чекко: проверить")</f>
        <v/>
      </c>
      <c r="S1620" t="n">
        <v>1</v>
      </c>
      <c r="T1620" s="35" t="inlineStr">
        <is>
          <t>4 — Не обогащён</t>
        </is>
      </c>
      <c r="U1620" s="35" t="inlineStr">
        <is>
          <t>Нет ОКВЭД/ССЧР</t>
        </is>
      </c>
      <c r="V1620" s="35" t="inlineStr">
        <is>
          <t>Не определено</t>
        </is>
      </c>
      <c r="W1620" s="35" t="inlineStr"/>
      <c r="X1620" s="35" t="inlineStr"/>
    </row>
    <row r="1621" ht="15" customHeight="1" s="24">
      <c r="A1621" s="13" t="n">
        <v>5000121246</v>
      </c>
      <c r="B1621" s="13" t="inlineStr">
        <is>
          <t>Контрольно ревизионная комиссия</t>
        </is>
      </c>
      <c r="C1621" s="13" t="n">
        <v>5012066485</v>
      </c>
      <c r="D1621" s="13" t="inlineStr">
        <is>
          <t>5012066485</t>
        </is>
      </c>
      <c r="E1621" s="13" t="inlineStr">
        <is>
          <t>ЮЛ РФ</t>
        </is>
      </c>
      <c r="F1621" s="13" t="n"/>
      <c r="G1621" s="14" t="n"/>
      <c r="H1621" s="14" t="n"/>
      <c r="I1621" s="14" t="n"/>
      <c r="J1621" s="14" t="n"/>
      <c r="K1621" s="53" t="inlineStr"/>
      <c r="L1621" s="53" t="inlineStr">
        <is>
          <t>Не определено</t>
        </is>
      </c>
      <c r="M1621" s="53" t="inlineStr"/>
      <c r="N1621" s="54" t="inlineStr"/>
      <c r="O1621" s="55" t="inlineStr"/>
      <c r="P1621" s="16" t="inlineStr">
        <is>
          <t>Требует обогащения</t>
        </is>
      </c>
      <c r="Q1621" s="16">
        <f>HYPERLINK("https://pb.nalog.ru/search.html?query=5012066485","ФНС: проверить")</f>
        <v/>
      </c>
      <c r="R1621" s="16">
        <f>HYPERLINK("https://checko.ru/search?query=3801001629","Чекко: проверить")</f>
        <v/>
      </c>
      <c r="S1621" t="n">
        <v>1</v>
      </c>
      <c r="T1621" s="35" t="inlineStr">
        <is>
          <t>4 — Не обогащён</t>
        </is>
      </c>
      <c r="U1621" s="35" t="inlineStr">
        <is>
          <t>Нет ОКВЭД/ССЧР</t>
        </is>
      </c>
      <c r="V1621" s="35" t="inlineStr">
        <is>
          <t>Не определено</t>
        </is>
      </c>
      <c r="W1621" s="35" t="inlineStr"/>
      <c r="X1621" s="35" t="inlineStr"/>
    </row>
    <row r="1622" ht="41.25" customHeight="1" s="24">
      <c r="A1622" s="13" t="n">
        <v>5000060598</v>
      </c>
      <c r="B1622" s="13" t="inlineStr">
        <is>
          <t>Министерство семейной, демографической политики и социального благополучия Ульяновской области</t>
        </is>
      </c>
      <c r="C1622" s="13" t="n">
        <v>7325163762</v>
      </c>
      <c r="D1622" s="13" t="inlineStr">
        <is>
          <t>7325163762</t>
        </is>
      </c>
      <c r="E1622" s="13" t="inlineStr">
        <is>
          <t>ЮЛ РФ</t>
        </is>
      </c>
      <c r="F1622" s="13" t="n"/>
      <c r="G1622" s="14" t="n"/>
      <c r="H1622" s="14" t="n"/>
      <c r="I1622" s="14" t="n"/>
      <c r="J1622" s="14" t="n"/>
      <c r="K1622" s="53" t="inlineStr"/>
      <c r="L1622" s="53" t="inlineStr">
        <is>
          <t>Не определено</t>
        </is>
      </c>
      <c r="M1622" s="53" t="inlineStr"/>
      <c r="N1622" s="54" t="inlineStr"/>
      <c r="O1622" s="55" t="inlineStr"/>
      <c r="P1622" s="16" t="inlineStr">
        <is>
          <t>Требует обогащения</t>
        </is>
      </c>
      <c r="Q1622" s="16">
        <f>HYPERLINK("https://pb.nalog.ru/search.html?query=7325163762","ФНС: проверить")</f>
        <v/>
      </c>
      <c r="R1622" s="16">
        <f>HYPERLINK("https://checko.ru/search?query=3801001629","Чекко: проверить")</f>
        <v/>
      </c>
      <c r="S1622" t="n">
        <v>1</v>
      </c>
      <c r="T1622" s="35" t="inlineStr">
        <is>
          <t>4 — Не обогащён</t>
        </is>
      </c>
      <c r="U1622" s="35" t="inlineStr">
        <is>
          <t>Нет ОКВЭД/ССЧР</t>
        </is>
      </c>
      <c r="V1622" s="35" t="inlineStr">
        <is>
          <t>Не определено</t>
        </is>
      </c>
      <c r="W1622" s="35" t="inlineStr"/>
      <c r="X1622" s="35" t="inlineStr"/>
    </row>
    <row r="1623" ht="27.75" customHeight="1" s="24">
      <c r="A1623" s="13" t="n">
        <v>5000001712</v>
      </c>
      <c r="B1623" s="13" t="inlineStr">
        <is>
          <t>ОбГУ СО "Психоневрологический интернат п. Усть-Ордынский"</t>
        </is>
      </c>
      <c r="C1623" s="13" t="n">
        <v>3849018363</v>
      </c>
      <c r="D1623" s="13" t="inlineStr">
        <is>
          <t>3849018363</t>
        </is>
      </c>
      <c r="E1623" s="13" t="inlineStr">
        <is>
          <t>ЮЛ РФ</t>
        </is>
      </c>
      <c r="F1623" s="13" t="n"/>
      <c r="G1623" s="14" t="n"/>
      <c r="H1623" s="14" t="n"/>
      <c r="I1623" s="14" t="n"/>
      <c r="J1623" s="14" t="n"/>
      <c r="K1623" s="53" t="inlineStr"/>
      <c r="L1623" s="53" t="inlineStr">
        <is>
          <t>Не определено</t>
        </is>
      </c>
      <c r="M1623" s="53" t="inlineStr"/>
      <c r="N1623" s="54" t="inlineStr"/>
      <c r="O1623" s="55" t="inlineStr"/>
      <c r="P1623" s="16" t="inlineStr">
        <is>
          <t>Требует обогащения</t>
        </is>
      </c>
      <c r="Q1623" s="16">
        <f>HYPERLINK("https://pb.nalog.ru/search.html?query=3849018363","ФНС: проверить")</f>
        <v/>
      </c>
      <c r="R1623" s="16">
        <f>HYPERLINK("https://checko.ru/search?query=3801001629","Чекко: проверить")</f>
        <v/>
      </c>
      <c r="S1623" t="n">
        <v>1</v>
      </c>
      <c r="T1623" s="35" t="inlineStr">
        <is>
          <t>4 — Не обогащён</t>
        </is>
      </c>
      <c r="U1623" s="35" t="inlineStr">
        <is>
          <t>Нет ОКВЭД/ССЧР</t>
        </is>
      </c>
      <c r="V1623" s="35" t="inlineStr">
        <is>
          <t>Не определено</t>
        </is>
      </c>
      <c r="W1623" s="35" t="inlineStr"/>
      <c r="X1623" s="35" t="inlineStr"/>
    </row>
    <row r="1624" ht="41.25" customHeight="1" s="24">
      <c r="A1624" s="13" t="n">
        <v>5000001466</v>
      </c>
      <c r="B1624" s="13" t="inlineStr">
        <is>
          <t>ОГСКОУ «Специальная (коррекционная) общеобразовательная школа VIII вида № 14 г. Иркутска»</t>
        </is>
      </c>
      <c r="C1624" s="13" t="n">
        <v>3808056786</v>
      </c>
      <c r="D1624" s="13" t="inlineStr">
        <is>
          <t>3808056786</t>
        </is>
      </c>
      <c r="E1624" s="13" t="inlineStr">
        <is>
          <t>ЮЛ РФ</t>
        </is>
      </c>
      <c r="F1624" s="13" t="n"/>
      <c r="G1624" s="14" t="n"/>
      <c r="H1624" s="14" t="n"/>
      <c r="I1624" s="14" t="n"/>
      <c r="J1624" s="14" t="n"/>
      <c r="K1624" s="53" t="inlineStr"/>
      <c r="L1624" s="53" t="inlineStr">
        <is>
          <t>Не определено</t>
        </is>
      </c>
      <c r="M1624" s="53" t="inlineStr"/>
      <c r="N1624" s="54" t="inlineStr"/>
      <c r="O1624" s="55" t="inlineStr"/>
      <c r="P1624" s="16" t="inlineStr">
        <is>
          <t>Требует обогащения</t>
        </is>
      </c>
      <c r="Q1624" s="16">
        <f>HYPERLINK("https://pb.nalog.ru/search.html?query=3808056786","ФНС: проверить")</f>
        <v/>
      </c>
      <c r="R1624" s="16">
        <f>HYPERLINK("https://checko.ru/search?query=3801001629","Чекко: проверить")</f>
        <v/>
      </c>
      <c r="S1624" t="n">
        <v>1</v>
      </c>
      <c r="T1624" s="35" t="inlineStr">
        <is>
          <t>4 — Не обогащён</t>
        </is>
      </c>
      <c r="U1624" s="35" t="inlineStr">
        <is>
          <t>Нет ОКВЭД/ССЧР</t>
        </is>
      </c>
      <c r="V1624" s="35" t="inlineStr">
        <is>
          <t>Не определено</t>
        </is>
      </c>
      <c r="W1624" s="35" t="inlineStr"/>
      <c r="X1624" s="35" t="inlineStr"/>
    </row>
    <row r="1625" ht="27.75" customHeight="1" s="24">
      <c r="A1625" s="13" t="n">
        <v>5000094613</v>
      </c>
      <c r="B1625" s="13" t="inlineStr">
        <is>
          <t>Управление образования местной администрации Терского муниципального района</t>
        </is>
      </c>
      <c r="C1625" s="13" t="n">
        <v>705000560</v>
      </c>
      <c r="D1625" s="13" t="n"/>
      <c r="E1625" s="13" t="inlineStr">
        <is>
          <t>Не определён</t>
        </is>
      </c>
      <c r="F1625" s="13" t="inlineStr">
        <is>
          <t>705000560</t>
        </is>
      </c>
      <c r="G1625" s="14" t="n"/>
      <c r="H1625" s="14" t="n"/>
      <c r="I1625" s="14" t="n"/>
      <c r="J1625" s="14" t="n"/>
      <c r="K1625" s="13">
        <f>IF(G1625="","",IF(G1625&gt;=22,"Да","Нет"))</f>
        <v/>
      </c>
      <c r="L1625" s="13">
        <f>IF(OR(I1625="",J1625=""),"Не определено",IF(OR(COUNTIF(I1625,"45*")&gt;0,COUNTIF(J1625,"*45*")&gt;0,COUNTIF(I1625,"46*")&gt;0,COUNTIF(J1625,"*46*")&gt;0,COUNTIF(I1625,"47*")&gt;0,COUNTIF(J1625,"*47*")&gt;0,COUNTIF(I1625,"10*")&gt;0,COUNTIF(J1625,"*10*")&gt;0,COUNTIF(I1625,"11*")&gt;0,COUNTIF(J1625,"*11*")&gt;0,COUNTIF(I1625,"12*")&gt;0,COUNTIF(J1625,"*12*")&gt;0,COUNTIF(I1625,"13*")&gt;0,COUNTIF(J1625,"*13*")&gt;0,COUNTIF(I1625,"14*")&gt;0,COUNTIF(J1625,"*14*")&gt;0,COUNTIF(I1625,"15*")&gt;0,COUNTIF(J1625,"*15*")&gt;0,COUNTIF(I1625,"16*")&gt;0,COUNTIF(J1625,"*16*")&gt;0,COUNTIF(I1625,"17*")&gt;0,COUNTIF(J1625,"*17*")&gt;0,COUNTIF(I1625,"18*")&gt;0,COUNTIF(J1625,"*18*")&gt;0,COUNTIF(I1625,"19*")&gt;0,COUNTIF(J1625,"*19*")&gt;0,COUNTIF(I1625,"20*")&gt;0,COUNTIF(J1625,"*20*")&gt;0,COUNTIF(I1625,"21*")&gt;0,COUNTIF(J1625,"*21*")&gt;0,COUNTIF(I1625,"22*")&gt;0,COUNTIF(J1625,"*22*")&gt;0,COUNTIF(I1625,"23*")&gt;0,COUNTIF(J1625,"*23*")&gt;0,COUNTIF(I1625,"24*")&gt;0,COUNTIF(J1625,"*24*")&gt;0,COUNTIF(I1625,"25*")&gt;0,COUNTIF(J1625,"*25*")&gt;0,COUNTIF(I1625,"26*")&gt;0,COUNTIF(J1625,"*26*")&gt;0,COUNTIF(I1625,"27*")&gt;0,COUNTIF(J1625,"*27*")&gt;0,COUNTIF(I1625,"28*")&gt;0,COUNTIF(J1625,"*28*")&gt;0,COUNTIF(I1625,"29*")&gt;0,COUNTIF(J1625,"*29*")&gt;0,COUNTIF(I1625,"30*")&gt;0,COUNTIF(J1625,"*30*")&gt;0,COUNTIF(I1625,"31*")&gt;0,COUNTIF(J1625,"*31*")&gt;0,COUNTIF(I1625,"32*")&gt;0,COUNTIF(J1625,"*32*")&gt;0,COUNTIF(I1625,"33*")&gt;0,COUNTIF(J1625,"*33*")&gt;0,COUNTIF(I1625,"41*")&gt;0,COUNTIF(J1625,"*41*")&gt;0,COUNTIF(I1625,"42*")&gt;0,COUNTIF(J1625,"*42*")&gt;0,COUNTIF(I1625,"43*")&gt;0,COUNTIF(J1625,"*43*")&gt;0,COUNTIF(I1625,"49*")&gt;0,COUNTIF(J1625,"*49*")&gt;0,COUNTIF(I1625,"52*")&gt;0,COUNTIF(J1625,"*52*")&gt;0,COUNTIF(I1625,"55*")&gt;0,COUNTIF(J1625,"*55*")&gt;0,COUNTIF(I1625,"56*")&gt;0,COUNTIF(J1625,"*56*")&gt;0,COUNTIF(I1625,"68*")&gt;0,COUNTIF(J1625,"*68*")&gt;0,COUNTIF(I1625,"78*")&gt;0,COUNTIF(J1625,"*78*")&gt;0,COUNTIF(I1625,"81*")&gt;0,COUNTIF(J1625,"*81*")&gt;0,COUNTIF(I1625,"82*")&gt;0,COUNTIF(J1625,"*82*")&gt;0,COUNTIF(I1625,"64*")&gt;0,COUNTIF(J1625,"*64*")&gt;0,COUNTIF(I1625,"65*")&gt;0,COUNTIF(J1625,"*65*")&gt;0,COUNTIF(I1625,"66*")&gt;0,COUNTIF(J1625,"*66*")&gt;0,COUNTIF(I1625,"61*")&gt;0,COUNTIF(J1625,"*61*")&gt;0,COUNTIF(I1625,"62*")&gt;0,COUNTIF(J1625,"*62*")&gt;0,COUNTIF(I1625,"63*")&gt;0,COUNTIF(J1625,"*63*")&gt;0,COUNTIF(I1625,"85*")&gt;0,COUNTIF(J1625,"*85*")&gt;0,COUNTIF(I1625,"86*")&gt;0,COUNTIF(J1625,"*86*")&gt;0),"Да","Нет"))</f>
        <v/>
      </c>
      <c r="M1625" s="13">
        <f>IF(OR(G1625="",L1625&lt;&gt;"Да"),"",IF(G1625&lt;=100,"До 100",IF(G1625&lt;=200,"До 200",IF(G1625&lt;=500,"До 500","Отдельное КП"))))</f>
        <v/>
      </c>
      <c r="N1625" s="15">
        <f>IF(OR(G1625="",L1625&lt;&gt;"Да"),"",IF(G1625&lt;=100,33600,IF(G1625&lt;=200,62400,IF(G1625&lt;=500,144000,""))))</f>
        <v/>
      </c>
      <c r="O1625" s="16">
        <f>IF(G1625="","",IF(G1625&lt;=15,"1–15",IF(G1625&lt;=30,"16–30",IF(G1625&lt;=50,"31–50",IF(G1625&lt;=100,"51–100",IF(G1625&lt;=150,"101–150",IF(G1625&lt;=200,"151–200",IF(G1625&lt;=500,"201–500","500+"))))))))</f>
        <v/>
      </c>
      <c r="P1625" s="16" t="inlineStr">
        <is>
          <t>Нет совпадения в предоставленной выгрузке ССЧР</t>
        </is>
      </c>
      <c r="Q1625" s="16" t="n"/>
      <c r="R1625" s="16">
        <f>HYPERLINK("https://checko.ru/search?query=3801001629","Чекко: проверить")</f>
        <v/>
      </c>
      <c r="S1625" t="n">
        <v>0</v>
      </c>
    </row>
    <row r="1626" ht="15" customHeight="1" s="24">
      <c r="A1626" s="13" t="n">
        <v>5000001659</v>
      </c>
      <c r="B1626" s="13" t="inlineStr">
        <is>
          <t>ОГУСО "КЦСОН  "Веста"</t>
        </is>
      </c>
      <c r="C1626" s="13" t="n">
        <v>3801071062</v>
      </c>
      <c r="D1626" s="13" t="inlineStr">
        <is>
          <t>3801071062</t>
        </is>
      </c>
      <c r="E1626" s="13" t="inlineStr">
        <is>
          <t>ЮЛ РФ</t>
        </is>
      </c>
      <c r="F1626" s="13" t="n"/>
      <c r="G1626" s="14" t="n"/>
      <c r="H1626" s="14" t="n"/>
      <c r="I1626" s="14" t="n"/>
      <c r="J1626" s="14" t="n"/>
      <c r="K1626" s="53" t="inlineStr"/>
      <c r="L1626" s="53" t="inlineStr">
        <is>
          <t>Не определено</t>
        </is>
      </c>
      <c r="M1626" s="53" t="inlineStr"/>
      <c r="N1626" s="54" t="inlineStr"/>
      <c r="O1626" s="55" t="inlineStr"/>
      <c r="P1626" s="16" t="inlineStr">
        <is>
          <t>Требует обогащения</t>
        </is>
      </c>
      <c r="Q1626" s="16">
        <f>HYPERLINK("https://pb.nalog.ru/search.html?query=3801071062","ФНС: проверить")</f>
        <v/>
      </c>
      <c r="R1626" s="16">
        <f>HYPERLINK("https://checko.ru/search?query=3801001629","Чекко: проверить")</f>
        <v/>
      </c>
      <c r="S1626" t="n">
        <v>1</v>
      </c>
      <c r="T1626" s="35" t="inlineStr">
        <is>
          <t>4 — Не обогащён</t>
        </is>
      </c>
      <c r="U1626" s="35" t="inlineStr">
        <is>
          <t>Нет ОКВЭД/ССЧР</t>
        </is>
      </c>
      <c r="V1626" s="35" t="inlineStr">
        <is>
          <t>Не определено</t>
        </is>
      </c>
      <c r="W1626" s="35" t="inlineStr"/>
      <c r="X1626" s="35" t="inlineStr"/>
    </row>
    <row r="1627" ht="27.75" customHeight="1" s="24">
      <c r="A1627" s="13" t="n">
        <v>5000001438</v>
      </c>
      <c r="B1627" s="13" t="inlineStr">
        <is>
          <t>ОГОУ СПО "Иркутское художественное училище им. И.Л. Копылова"</t>
        </is>
      </c>
      <c r="C1627" s="13" t="n">
        <v>3808015606</v>
      </c>
      <c r="D1627" s="13" t="inlineStr">
        <is>
          <t>3808015606</t>
        </is>
      </c>
      <c r="E1627" s="13" t="inlineStr">
        <is>
          <t>ЮЛ РФ</t>
        </is>
      </c>
      <c r="F1627" s="13" t="n"/>
      <c r="G1627" s="14" t="n"/>
      <c r="H1627" s="14" t="n"/>
      <c r="I1627" s="14" t="n"/>
      <c r="J1627" s="14" t="n"/>
      <c r="K1627" s="53" t="inlineStr"/>
      <c r="L1627" s="53" t="inlineStr">
        <is>
          <t>Не определено</t>
        </is>
      </c>
      <c r="M1627" s="53" t="inlineStr"/>
      <c r="N1627" s="54" t="inlineStr"/>
      <c r="O1627" s="55" t="inlineStr"/>
      <c r="P1627" s="16" t="inlineStr">
        <is>
          <t>Требует обогащения</t>
        </is>
      </c>
      <c r="Q1627" s="16">
        <f>HYPERLINK("https://pb.nalog.ru/search.html?query=3808015606","ФНС: проверить")</f>
        <v/>
      </c>
      <c r="R1627" s="16">
        <f>HYPERLINK("https://checko.ru/search?query=3801001629","Чекко: проверить")</f>
        <v/>
      </c>
      <c r="S1627" t="n">
        <v>1</v>
      </c>
      <c r="T1627" s="35" t="inlineStr">
        <is>
          <t>4 — Не обогащён</t>
        </is>
      </c>
      <c r="U1627" s="35" t="inlineStr">
        <is>
          <t>Нет ОКВЭД/ССЧР</t>
        </is>
      </c>
      <c r="V1627" s="35" t="inlineStr">
        <is>
          <t>Не определено</t>
        </is>
      </c>
      <c r="W1627" s="35" t="inlineStr"/>
      <c r="X1627" s="35" t="inlineStr"/>
    </row>
    <row r="1628" ht="41.25" customHeight="1" s="24">
      <c r="A1628" s="13" t="n">
        <v>5000001594</v>
      </c>
      <c r="B1628" s="13" t="inlineStr">
        <is>
          <t>ГОСУДАРСТВЕННОЕ БЮДЖЕТНОЕ УЧРЕЖДЕНИЕ ЗДРАВООХРАНЕНИЯ ИРКУТСКИЙ ОБЛАСТНОЙ ВРАЧЕБНО-ФИЗКУЛЬТУРНЫЙ ДИСП</t>
        </is>
      </c>
      <c r="C1628" s="13" t="n">
        <v>3808054732</v>
      </c>
      <c r="D1628" s="13" t="inlineStr">
        <is>
          <t>3808054732</t>
        </is>
      </c>
      <c r="E1628" s="13" t="inlineStr">
        <is>
          <t>ЮЛ РФ</t>
        </is>
      </c>
      <c r="F1628" s="13" t="n"/>
      <c r="G1628" s="14" t="n"/>
      <c r="H1628" s="14" t="n"/>
      <c r="I1628" s="14" t="n"/>
      <c r="J1628" s="14" t="n"/>
      <c r="K1628" s="53" t="inlineStr"/>
      <c r="L1628" s="53" t="inlineStr">
        <is>
          <t>Не определено</t>
        </is>
      </c>
      <c r="M1628" s="53" t="inlineStr"/>
      <c r="N1628" s="54" t="inlineStr"/>
      <c r="O1628" s="55" t="inlineStr"/>
      <c r="P1628" s="16" t="inlineStr">
        <is>
          <t>Требует обогащения</t>
        </is>
      </c>
      <c r="Q1628" s="16">
        <f>HYPERLINK("https://pb.nalog.ru/search.html?query=3808054732","ФНС: проверить")</f>
        <v/>
      </c>
      <c r="R1628" s="16">
        <f>HYPERLINK("https://checko.ru/search?query=3801001629","Чекко: проверить")</f>
        <v/>
      </c>
      <c r="S1628" t="n">
        <v>1</v>
      </c>
      <c r="T1628" s="35" t="inlineStr">
        <is>
          <t>4 — Не обогащён</t>
        </is>
      </c>
      <c r="U1628" s="35" t="inlineStr">
        <is>
          <t>Нет ОКВЭД/ССЧР</t>
        </is>
      </c>
      <c r="V1628" s="35" t="inlineStr">
        <is>
          <t>Не определено</t>
        </is>
      </c>
      <c r="W1628" s="35" t="inlineStr"/>
      <c r="X1628" s="35" t="inlineStr"/>
    </row>
    <row r="1629" ht="27.75" customHeight="1" s="24">
      <c r="A1629" s="13" t="n">
        <v>5000036240</v>
      </c>
      <c r="B1629" s="13" t="inlineStr">
        <is>
          <t>Областное автономное учреждение "Редакция газеты" Кузоватовские в</t>
        </is>
      </c>
      <c r="C1629" s="13" t="n">
        <v>7313005592</v>
      </c>
      <c r="D1629" s="13" t="inlineStr">
        <is>
          <t>7313005592</t>
        </is>
      </c>
      <c r="E1629" s="13" t="inlineStr">
        <is>
          <t>ЮЛ РФ</t>
        </is>
      </c>
      <c r="F1629" s="13" t="n"/>
      <c r="G1629" s="14" t="n"/>
      <c r="H1629" s="14" t="n"/>
      <c r="I1629" s="14" t="n"/>
      <c r="J1629" s="14" t="n"/>
      <c r="K1629" s="53" t="inlineStr"/>
      <c r="L1629" s="53" t="inlineStr">
        <is>
          <t>Не определено</t>
        </is>
      </c>
      <c r="M1629" s="53" t="inlineStr"/>
      <c r="N1629" s="54" t="inlineStr"/>
      <c r="O1629" s="55" t="inlineStr"/>
      <c r="P1629" s="16" t="inlineStr">
        <is>
          <t>Требует обогащения</t>
        </is>
      </c>
      <c r="Q1629" s="16">
        <f>HYPERLINK("https://pb.nalog.ru/search.html?query=7313005592","ФНС: проверить")</f>
        <v/>
      </c>
      <c r="R1629" s="16">
        <f>HYPERLINK("https://checko.ru/search?query=3801001629","Чекко: проверить")</f>
        <v/>
      </c>
      <c r="S1629" t="n">
        <v>1</v>
      </c>
      <c r="T1629" s="35" t="inlineStr">
        <is>
          <t>4 — Не обогащён</t>
        </is>
      </c>
      <c r="U1629" s="35" t="inlineStr">
        <is>
          <t>Нет ОКВЭД/ССЧР</t>
        </is>
      </c>
      <c r="V1629" s="35" t="inlineStr">
        <is>
          <t>Не определено</t>
        </is>
      </c>
      <c r="W1629" s="35" t="inlineStr"/>
      <c r="X1629" s="35" t="inlineStr"/>
    </row>
    <row r="1630" ht="27.75" customHeight="1" s="24">
      <c r="A1630" s="13" t="n">
        <v>5000001896</v>
      </c>
      <c r="B1630" s="13" t="inlineStr">
        <is>
          <t>ГБУ Центр профилактики, реабилитации и коррекции</t>
        </is>
      </c>
      <c r="C1630" s="13" t="n">
        <v>3811098514</v>
      </c>
      <c r="D1630" s="13" t="inlineStr">
        <is>
          <t>3811098514</t>
        </is>
      </c>
      <c r="E1630" s="13" t="inlineStr">
        <is>
          <t>ЮЛ РФ</t>
        </is>
      </c>
      <c r="F1630" s="13" t="n"/>
      <c r="G1630" s="14" t="n"/>
      <c r="H1630" s="14" t="n"/>
      <c r="I1630" s="14" t="n"/>
      <c r="J1630" s="14" t="n"/>
      <c r="K1630" s="53" t="inlineStr"/>
      <c r="L1630" s="53" t="inlineStr">
        <is>
          <t>Не определено</t>
        </is>
      </c>
      <c r="M1630" s="53" t="inlineStr"/>
      <c r="N1630" s="54" t="inlineStr"/>
      <c r="O1630" s="55" t="inlineStr"/>
      <c r="P1630" s="16" t="inlineStr">
        <is>
          <t>Требует обогащения</t>
        </is>
      </c>
      <c r="Q1630" s="16">
        <f>HYPERLINK("https://pb.nalog.ru/search.html?query=3811098514","ФНС: проверить")</f>
        <v/>
      </c>
      <c r="R1630" s="16">
        <f>HYPERLINK("https://checko.ru/search?query=3801001629","Чекко: проверить")</f>
        <v/>
      </c>
      <c r="S1630" t="n">
        <v>1</v>
      </c>
      <c r="T1630" s="35" t="inlineStr">
        <is>
          <t>4 — Не обогащён</t>
        </is>
      </c>
      <c r="U1630" s="35" t="inlineStr">
        <is>
          <t>Нет ОКВЭД/ССЧР</t>
        </is>
      </c>
      <c r="V1630" s="35" t="inlineStr">
        <is>
          <t>Не определено</t>
        </is>
      </c>
      <c r="W1630" s="35" t="inlineStr"/>
      <c r="X1630" s="35" t="inlineStr"/>
    </row>
    <row r="1631" ht="27.75" customHeight="1" s="24">
      <c r="A1631" s="13" t="n">
        <v>5000062548</v>
      </c>
      <c r="B1631" s="13" t="inlineStr">
        <is>
          <t>ОГОУ Ивановский детский дом имени А.Матросова</t>
        </is>
      </c>
      <c r="C1631" s="13" t="n">
        <v>7321020386</v>
      </c>
      <c r="D1631" s="13" t="inlineStr">
        <is>
          <t>7321020386</t>
        </is>
      </c>
      <c r="E1631" s="13" t="inlineStr">
        <is>
          <t>ЮЛ РФ</t>
        </is>
      </c>
      <c r="F1631" s="13" t="n"/>
      <c r="G1631" s="14" t="n"/>
      <c r="H1631" s="14" t="n"/>
      <c r="I1631" s="14" t="n"/>
      <c r="J1631" s="14" t="n"/>
      <c r="K1631" s="53" t="inlineStr"/>
      <c r="L1631" s="53" t="inlineStr">
        <is>
          <t>Не определено</t>
        </is>
      </c>
      <c r="M1631" s="53" t="inlineStr"/>
      <c r="N1631" s="54" t="inlineStr"/>
      <c r="O1631" s="55" t="inlineStr"/>
      <c r="P1631" s="16" t="inlineStr">
        <is>
          <t>Требует обогащения</t>
        </is>
      </c>
      <c r="Q1631" s="16">
        <f>HYPERLINK("https://pb.nalog.ru/search.html?query=7321020386","ФНС: проверить")</f>
        <v/>
      </c>
      <c r="R1631" s="16">
        <f>HYPERLINK("https://checko.ru/search?query=3801001629","Чекко: проверить")</f>
        <v/>
      </c>
      <c r="S1631" t="n">
        <v>1</v>
      </c>
      <c r="T1631" s="35" t="inlineStr">
        <is>
          <t>4 — Не обогащён</t>
        </is>
      </c>
      <c r="U1631" s="35" t="inlineStr">
        <is>
          <t>Нет ОКВЭД/ССЧР</t>
        </is>
      </c>
      <c r="V1631" s="35" t="inlineStr">
        <is>
          <t>Не определено</t>
        </is>
      </c>
      <c r="W1631" s="35" t="inlineStr"/>
      <c r="X1631" s="35" t="inlineStr"/>
    </row>
    <row r="1632" ht="27.75" customHeight="1" s="24">
      <c r="A1632" s="13" t="n">
        <v>5000001555</v>
      </c>
      <c r="B1632" s="13" t="inlineStr">
        <is>
          <t>Иркутская городская № 1 Территориальная избирательная комиссия (Ленинский округ)</t>
        </is>
      </c>
      <c r="C1632" s="13" t="n">
        <v>3810034483</v>
      </c>
      <c r="D1632" s="13" t="inlineStr">
        <is>
          <t>3810034483</t>
        </is>
      </c>
      <c r="E1632" s="13" t="inlineStr">
        <is>
          <t>ЮЛ РФ</t>
        </is>
      </c>
      <c r="F1632" s="13" t="n"/>
      <c r="G1632" s="14" t="n"/>
      <c r="H1632" s="14" t="n"/>
      <c r="I1632" s="14" t="n"/>
      <c r="J1632" s="14" t="n"/>
      <c r="K1632" s="53" t="inlineStr"/>
      <c r="L1632" s="53" t="inlineStr">
        <is>
          <t>Не определено</t>
        </is>
      </c>
      <c r="M1632" s="53" t="inlineStr"/>
      <c r="N1632" s="54" t="inlineStr"/>
      <c r="O1632" s="55" t="inlineStr"/>
      <c r="P1632" s="16" t="inlineStr">
        <is>
          <t>Требует обогащения</t>
        </is>
      </c>
      <c r="Q1632" s="16">
        <f>HYPERLINK("https://pb.nalog.ru/search.html?query=3810034483","ФНС: проверить")</f>
        <v/>
      </c>
      <c r="R1632" s="16">
        <f>HYPERLINK("https://checko.ru/search?query=3801001629","Чекко: проверить")</f>
        <v/>
      </c>
      <c r="S1632" t="n">
        <v>1</v>
      </c>
      <c r="T1632" s="35" t="inlineStr">
        <is>
          <t>4 — Не обогащён</t>
        </is>
      </c>
      <c r="U1632" s="35" t="inlineStr">
        <is>
          <t>Нет ОКВЭД/ССЧР</t>
        </is>
      </c>
      <c r="V1632" s="35" t="inlineStr">
        <is>
          <t>Не определено</t>
        </is>
      </c>
      <c r="W1632" s="35" t="inlineStr"/>
      <c r="X1632" s="35" t="inlineStr"/>
    </row>
    <row r="1633" ht="15" customHeight="1" s="24">
      <c r="A1633" s="13" t="n">
        <v>5000038523</v>
      </c>
      <c r="B1633" s="13" t="inlineStr">
        <is>
          <t>ОГАУ "Управление спортивными сооружениями"</t>
        </is>
      </c>
      <c r="C1633" s="13" t="n">
        <v>7325107528</v>
      </c>
      <c r="D1633" s="13" t="inlineStr">
        <is>
          <t>7325107528</t>
        </is>
      </c>
      <c r="E1633" s="13" t="inlineStr">
        <is>
          <t>ЮЛ РФ</t>
        </is>
      </c>
      <c r="F1633" s="13" t="n"/>
      <c r="G1633" s="14" t="n"/>
      <c r="H1633" s="14" t="n"/>
      <c r="I1633" s="14" t="n"/>
      <c r="J1633" s="14" t="n"/>
      <c r="K1633" s="53" t="inlineStr"/>
      <c r="L1633" s="53" t="inlineStr">
        <is>
          <t>Не определено</t>
        </is>
      </c>
      <c r="M1633" s="53" t="inlineStr"/>
      <c r="N1633" s="54" t="inlineStr"/>
      <c r="O1633" s="55" t="inlineStr"/>
      <c r="P1633" s="16" t="inlineStr">
        <is>
          <t>Требует обогащения</t>
        </is>
      </c>
      <c r="Q1633" s="16">
        <f>HYPERLINK("https://pb.nalog.ru/search.html?query=7325107528","ФНС: проверить")</f>
        <v/>
      </c>
      <c r="R1633" s="16">
        <f>HYPERLINK("https://checko.ru/search?query=3801001629","Чекко: проверить")</f>
        <v/>
      </c>
      <c r="S1633" t="n">
        <v>1</v>
      </c>
      <c r="T1633" s="35" t="inlineStr">
        <is>
          <t>4 — Не обогащён</t>
        </is>
      </c>
      <c r="U1633" s="35" t="inlineStr">
        <is>
          <t>Нет ОКВЭД/ССЧР</t>
        </is>
      </c>
      <c r="V1633" s="35" t="inlineStr">
        <is>
          <t>Не определено</t>
        </is>
      </c>
      <c r="W1633" s="35" t="inlineStr"/>
      <c r="X1633" s="35" t="inlineStr"/>
    </row>
    <row r="1634" ht="54.75" customHeight="1" s="24">
      <c r="A1634" s="13" t="n">
        <v>5000038517</v>
      </c>
      <c r="B1634" s="13" t="inlineStr">
        <is>
          <t>Областное государственное бюджетное учреждение "СПЕЦИАЛИЗИРОВАННАЯ СПОРТИВНАЯ ШКОЛА ОЛИМПИЙСКОГО РЕЗЕРВА ПО ЛЁГКОЙ АТЛЕТИКЕ"</t>
        </is>
      </c>
      <c r="C1634" s="13" t="n">
        <v>7303020312</v>
      </c>
      <c r="D1634" s="13" t="inlineStr">
        <is>
          <t>7303020312</t>
        </is>
      </c>
      <c r="E1634" s="13" t="inlineStr">
        <is>
          <t>ЮЛ РФ</t>
        </is>
      </c>
      <c r="F1634" s="13" t="n"/>
      <c r="G1634" s="14" t="n"/>
      <c r="H1634" s="14" t="n"/>
      <c r="I1634" s="14" t="n"/>
      <c r="J1634" s="14" t="n"/>
      <c r="K1634" s="53" t="inlineStr"/>
      <c r="L1634" s="53" t="inlineStr">
        <is>
          <t>Не определено</t>
        </is>
      </c>
      <c r="M1634" s="53" t="inlineStr"/>
      <c r="N1634" s="54" t="inlineStr"/>
      <c r="O1634" s="55" t="inlineStr"/>
      <c r="P1634" s="16" t="inlineStr">
        <is>
          <t>Требует обогащения</t>
        </is>
      </c>
      <c r="Q1634" s="16">
        <f>HYPERLINK("https://pb.nalog.ru/search.html?query=7303020312","ФНС: проверить")</f>
        <v/>
      </c>
      <c r="R1634" s="16">
        <f>HYPERLINK("https://checko.ru/search?query=3801001629","Чекко: проверить")</f>
        <v/>
      </c>
      <c r="S1634" t="n">
        <v>1</v>
      </c>
      <c r="T1634" s="35" t="inlineStr">
        <is>
          <t>4 — Не обогащён</t>
        </is>
      </c>
      <c r="U1634" s="35" t="inlineStr">
        <is>
          <t>Нет ОКВЭД/ССЧР</t>
        </is>
      </c>
      <c r="V1634" s="35" t="inlineStr">
        <is>
          <t>Не определено</t>
        </is>
      </c>
      <c r="W1634" s="35" t="inlineStr"/>
      <c r="X1634" s="35" t="inlineStr"/>
    </row>
    <row r="1635" ht="15" customHeight="1" s="24">
      <c r="A1635" s="13" t="n">
        <v>5000094501</v>
      </c>
      <c r="B1635" s="13" t="inlineStr">
        <is>
          <t>МОУ "СОШ" сп Кичмалка</t>
        </is>
      </c>
      <c r="C1635" s="13" t="n">
        <v>702002993</v>
      </c>
      <c r="D1635" s="13" t="n"/>
      <c r="E1635" s="13" t="inlineStr">
        <is>
          <t>Не определён</t>
        </is>
      </c>
      <c r="F1635" s="13" t="inlineStr">
        <is>
          <t>702002993</t>
        </is>
      </c>
      <c r="G1635" s="14" t="n"/>
      <c r="H1635" s="14" t="n"/>
      <c r="I1635" s="14" t="n"/>
      <c r="J1635" s="14" t="n"/>
      <c r="K1635" s="13">
        <f>IF(G1635="","",IF(G1635&gt;=22,"Да","Нет"))</f>
        <v/>
      </c>
      <c r="L1635" s="13">
        <f>IF(OR(I1635="",J1635=""),"Не определено",IF(OR(COUNTIF(I1635,"45*")&gt;0,COUNTIF(J1635,"*45*")&gt;0,COUNTIF(I1635,"46*")&gt;0,COUNTIF(J1635,"*46*")&gt;0,COUNTIF(I1635,"47*")&gt;0,COUNTIF(J1635,"*47*")&gt;0,COUNTIF(I1635,"10*")&gt;0,COUNTIF(J1635,"*10*")&gt;0,COUNTIF(I1635,"11*")&gt;0,COUNTIF(J1635,"*11*")&gt;0,COUNTIF(I1635,"12*")&gt;0,COUNTIF(J1635,"*12*")&gt;0,COUNTIF(I1635,"13*")&gt;0,COUNTIF(J1635,"*13*")&gt;0,COUNTIF(I1635,"14*")&gt;0,COUNTIF(J1635,"*14*")&gt;0,COUNTIF(I1635,"15*")&gt;0,COUNTIF(J1635,"*15*")&gt;0,COUNTIF(I1635,"16*")&gt;0,COUNTIF(J1635,"*16*")&gt;0,COUNTIF(I1635,"17*")&gt;0,COUNTIF(J1635,"*17*")&gt;0,COUNTIF(I1635,"18*")&gt;0,COUNTIF(J1635,"*18*")&gt;0,COUNTIF(I1635,"19*")&gt;0,COUNTIF(J1635,"*19*")&gt;0,COUNTIF(I1635,"20*")&gt;0,COUNTIF(J1635,"*20*")&gt;0,COUNTIF(I1635,"21*")&gt;0,COUNTIF(J1635,"*21*")&gt;0,COUNTIF(I1635,"22*")&gt;0,COUNTIF(J1635,"*22*")&gt;0,COUNTIF(I1635,"23*")&gt;0,COUNTIF(J1635,"*23*")&gt;0,COUNTIF(I1635,"24*")&gt;0,COUNTIF(J1635,"*24*")&gt;0,COUNTIF(I1635,"25*")&gt;0,COUNTIF(J1635,"*25*")&gt;0,COUNTIF(I1635,"26*")&gt;0,COUNTIF(J1635,"*26*")&gt;0,COUNTIF(I1635,"27*")&gt;0,COUNTIF(J1635,"*27*")&gt;0,COUNTIF(I1635,"28*")&gt;0,COUNTIF(J1635,"*28*")&gt;0,COUNTIF(I1635,"29*")&gt;0,COUNTIF(J1635,"*29*")&gt;0,COUNTIF(I1635,"30*")&gt;0,COUNTIF(J1635,"*30*")&gt;0,COUNTIF(I1635,"31*")&gt;0,COUNTIF(J1635,"*31*")&gt;0,COUNTIF(I1635,"32*")&gt;0,COUNTIF(J1635,"*32*")&gt;0,COUNTIF(I1635,"33*")&gt;0,COUNTIF(J1635,"*33*")&gt;0,COUNTIF(I1635,"41*")&gt;0,COUNTIF(J1635,"*41*")&gt;0,COUNTIF(I1635,"42*")&gt;0,COUNTIF(J1635,"*42*")&gt;0,COUNTIF(I1635,"43*")&gt;0,COUNTIF(J1635,"*43*")&gt;0,COUNTIF(I1635,"49*")&gt;0,COUNTIF(J1635,"*49*")&gt;0,COUNTIF(I1635,"52*")&gt;0,COUNTIF(J1635,"*52*")&gt;0,COUNTIF(I1635,"55*")&gt;0,COUNTIF(J1635,"*55*")&gt;0,COUNTIF(I1635,"56*")&gt;0,COUNTIF(J1635,"*56*")&gt;0,COUNTIF(I1635,"68*")&gt;0,COUNTIF(J1635,"*68*")&gt;0,COUNTIF(I1635,"78*")&gt;0,COUNTIF(J1635,"*78*")&gt;0,COUNTIF(I1635,"81*")&gt;0,COUNTIF(J1635,"*81*")&gt;0,COUNTIF(I1635,"82*")&gt;0,COUNTIF(J1635,"*82*")&gt;0,COUNTIF(I1635,"64*")&gt;0,COUNTIF(J1635,"*64*")&gt;0,COUNTIF(I1635,"65*")&gt;0,COUNTIF(J1635,"*65*")&gt;0,COUNTIF(I1635,"66*")&gt;0,COUNTIF(J1635,"*66*")&gt;0,COUNTIF(I1635,"61*")&gt;0,COUNTIF(J1635,"*61*")&gt;0,COUNTIF(I1635,"62*")&gt;0,COUNTIF(J1635,"*62*")&gt;0,COUNTIF(I1635,"63*")&gt;0,COUNTIF(J1635,"*63*")&gt;0,COUNTIF(I1635,"85*")&gt;0,COUNTIF(J1635,"*85*")&gt;0,COUNTIF(I1635,"86*")&gt;0,COUNTIF(J1635,"*86*")&gt;0),"Да","Нет"))</f>
        <v/>
      </c>
      <c r="M1635" s="13">
        <f>IF(OR(G1635="",L1635&lt;&gt;"Да"),"",IF(G1635&lt;=100,"До 100",IF(G1635&lt;=200,"До 200",IF(G1635&lt;=500,"До 500","Отдельное КП"))))</f>
        <v/>
      </c>
      <c r="N1635" s="15">
        <f>IF(OR(G1635="",L1635&lt;&gt;"Да"),"",IF(G1635&lt;=100,33600,IF(G1635&lt;=200,62400,IF(G1635&lt;=500,144000,""))))</f>
        <v/>
      </c>
      <c r="O1635" s="16">
        <f>IF(G1635="","",IF(G1635&lt;=15,"1–15",IF(G1635&lt;=30,"16–30",IF(G1635&lt;=50,"31–50",IF(G1635&lt;=100,"51–100",IF(G1635&lt;=150,"101–150",IF(G1635&lt;=200,"151–200",IF(G1635&lt;=500,"201–500","500+"))))))))</f>
        <v/>
      </c>
      <c r="P1635" s="16" t="inlineStr">
        <is>
          <t>Нет совпадения в предоставленной выгрузке ССЧР</t>
        </is>
      </c>
      <c r="Q1635" s="16" t="n"/>
      <c r="R1635" s="16">
        <f>HYPERLINK("https://checko.ru/search?query=3801001629","Чекко: проверить")</f>
        <v/>
      </c>
      <c r="S1635" t="n">
        <v>0</v>
      </c>
    </row>
    <row r="1636" ht="68.25" customHeight="1" s="24">
      <c r="A1636" s="13" t="n">
        <v>5000106140</v>
      </c>
      <c r="B1636" s="13" t="inlineStr">
        <is>
          <t>МУНИЦИПАЛЬНОЕ БЮДЖЕТНОЕ ОБЩЕОБРАЗОВАТЕЛЬНОЕ УЧРЕЖДЕНИЕ "2-МИХАЙЛОВСКАЯ СРЕДНЯЯ ОБЩЕОБРАЗОВАТЕЛЬНАЯ ШКОЛА ИМЕНИ НИКОЛАЯ СИНЕВА" СОРОЧИНСКОГО ГОРОДСКОГО</t>
        </is>
      </c>
      <c r="C1636" s="13" t="n">
        <v>5647005333</v>
      </c>
      <c r="D1636" s="13" t="inlineStr">
        <is>
          <t>5647005333</t>
        </is>
      </c>
      <c r="E1636" s="13" t="inlineStr">
        <is>
          <t>ЮЛ РФ</t>
        </is>
      </c>
      <c r="F1636" s="13" t="n"/>
      <c r="G1636" s="14" t="n"/>
      <c r="H1636" s="14" t="n"/>
      <c r="I1636" s="14" t="n"/>
      <c r="J1636" s="14" t="n"/>
      <c r="K1636" s="53" t="inlineStr"/>
      <c r="L1636" s="53" t="inlineStr">
        <is>
          <t>Не определено</t>
        </is>
      </c>
      <c r="M1636" s="53" t="inlineStr"/>
      <c r="N1636" s="54" t="inlineStr"/>
      <c r="O1636" s="55" t="inlineStr"/>
      <c r="P1636" s="16" t="inlineStr">
        <is>
          <t>Требует обогащения</t>
        </is>
      </c>
      <c r="Q1636" s="16">
        <f>HYPERLINK("https://pb.nalog.ru/search.html?query=5647005333","ФНС: проверить")</f>
        <v/>
      </c>
      <c r="R1636" s="16">
        <f>HYPERLINK("https://checko.ru/search?query=3801001629","Чекко: проверить")</f>
        <v/>
      </c>
      <c r="S1636" t="n">
        <v>1</v>
      </c>
      <c r="T1636" s="35" t="inlineStr">
        <is>
          <t>4 — Не обогащён</t>
        </is>
      </c>
      <c r="U1636" s="35" t="inlineStr">
        <is>
          <t>Нет ОКВЭД/ССЧР</t>
        </is>
      </c>
      <c r="V1636" s="35" t="inlineStr">
        <is>
          <t>Не определено</t>
        </is>
      </c>
      <c r="W1636" s="35" t="inlineStr"/>
      <c r="X1636" s="35" t="inlineStr"/>
    </row>
    <row r="1637" ht="41.25" customHeight="1" s="24">
      <c r="A1637" s="13" t="n">
        <v>5000001662</v>
      </c>
      <c r="B1637" s="13" t="inlineStr">
        <is>
          <t>ОБЛАСТНОЕ ГОСУДАРСТВЕННОЕ КАЗЕННОЕ УЧРЕЖДЕНИЕ СОЦИАЛЬНОГО ОБСЛУЖИВАНИЯ "ЦЕНТР ПОМОЩИ ДЕТЯМ, ОСТАВШИМ</t>
        </is>
      </c>
      <c r="C1637" s="13" t="n">
        <v>3832002894</v>
      </c>
      <c r="D1637" s="13" t="inlineStr">
        <is>
          <t>3832002894</t>
        </is>
      </c>
      <c r="E1637" s="13" t="inlineStr">
        <is>
          <t>ЮЛ РФ</t>
        </is>
      </c>
      <c r="F1637" s="13" t="n"/>
      <c r="G1637" s="14" t="n"/>
      <c r="H1637" s="14" t="n"/>
      <c r="I1637" s="14" t="n"/>
      <c r="J1637" s="14" t="n"/>
      <c r="K1637" s="53" t="inlineStr"/>
      <c r="L1637" s="53" t="inlineStr">
        <is>
          <t>Не определено</t>
        </is>
      </c>
      <c r="M1637" s="53" t="inlineStr"/>
      <c r="N1637" s="54" t="inlineStr"/>
      <c r="O1637" s="55" t="inlineStr"/>
      <c r="P1637" s="16" t="inlineStr">
        <is>
          <t>Требует обогащения</t>
        </is>
      </c>
      <c r="Q1637" s="16">
        <f>HYPERLINK("https://pb.nalog.ru/search.html?query=3832002894","ФНС: проверить")</f>
        <v/>
      </c>
      <c r="R1637" s="16">
        <f>HYPERLINK("https://checko.ru/search?query=3801001629","Чекко: проверить")</f>
        <v/>
      </c>
      <c r="S1637" t="n">
        <v>1</v>
      </c>
      <c r="T1637" s="35" t="inlineStr">
        <is>
          <t>4 — Не обогащён</t>
        </is>
      </c>
      <c r="U1637" s="35" t="inlineStr">
        <is>
          <t>Нет ОКВЭД/ССЧР</t>
        </is>
      </c>
      <c r="V1637" s="35" t="inlineStr">
        <is>
          <t>Не определено</t>
        </is>
      </c>
      <c r="W1637" s="35" t="inlineStr"/>
      <c r="X1637" s="35" t="inlineStr"/>
    </row>
    <row r="1638" ht="54.75" customHeight="1" s="24">
      <c r="A1638" s="13" t="n">
        <v>5000060614</v>
      </c>
      <c r="B1638" s="13" t="inlineStr">
        <is>
          <t>Министерство образования и науки Ульяновской области
(с 1/08/2020 Министерство просвещения и воспитания)</t>
        </is>
      </c>
      <c r="C1638" s="13" t="n">
        <v>7325057605</v>
      </c>
      <c r="D1638" s="13" t="inlineStr">
        <is>
          <t>7325057605</t>
        </is>
      </c>
      <c r="E1638" s="13" t="inlineStr">
        <is>
          <t>ЮЛ РФ</t>
        </is>
      </c>
      <c r="F1638" s="13" t="n"/>
      <c r="G1638" s="14" t="n"/>
      <c r="H1638" s="14" t="n"/>
      <c r="I1638" s="14" t="n"/>
      <c r="J1638" s="14" t="n"/>
      <c r="K1638" s="53" t="inlineStr"/>
      <c r="L1638" s="53" t="inlineStr">
        <is>
          <t>Не определено</t>
        </is>
      </c>
      <c r="M1638" s="53" t="inlineStr"/>
      <c r="N1638" s="54" t="inlineStr"/>
      <c r="O1638" s="55" t="inlineStr"/>
      <c r="P1638" s="16" t="inlineStr">
        <is>
          <t>Требует обогащения</t>
        </is>
      </c>
      <c r="Q1638" s="16">
        <f>HYPERLINK("https://pb.nalog.ru/search.html?query=7325057605","ФНС: проверить")</f>
        <v/>
      </c>
      <c r="R1638" s="16">
        <f>HYPERLINK("https://checko.ru/search?query=3801001629","Чекко: проверить")</f>
        <v/>
      </c>
      <c r="S1638" t="n">
        <v>1</v>
      </c>
      <c r="T1638" s="35" t="inlineStr">
        <is>
          <t>4 — Не обогащён</t>
        </is>
      </c>
      <c r="U1638" s="35" t="inlineStr">
        <is>
          <t>Нет ОКВЭД/ССЧР</t>
        </is>
      </c>
      <c r="V1638" s="35" t="inlineStr">
        <is>
          <t>Не определено</t>
        </is>
      </c>
      <c r="W1638" s="35" t="inlineStr"/>
      <c r="X1638" s="35" t="inlineStr"/>
    </row>
    <row r="1639" ht="27.75" customHeight="1" s="24">
      <c r="A1639" s="13" t="n">
        <v>5000094788</v>
      </c>
      <c r="B1639" s="13" t="inlineStr">
        <is>
          <t>МКОУ ДОД ДЮСШ № 2 ЛЕСКЕНСКОГО МУНИЦИПАЛЬНОГО РАЙОНА</t>
        </is>
      </c>
      <c r="C1639" s="13" t="n">
        <v>707010966</v>
      </c>
      <c r="D1639" s="13" t="n"/>
      <c r="E1639" s="13" t="inlineStr">
        <is>
          <t>Не определён</t>
        </is>
      </c>
      <c r="F1639" s="13" t="inlineStr">
        <is>
          <t>707010966</t>
        </is>
      </c>
      <c r="G1639" s="14" t="n"/>
      <c r="H1639" s="14" t="n"/>
      <c r="I1639" s="14" t="n"/>
      <c r="J1639" s="14" t="n"/>
      <c r="K1639" s="13">
        <f>IF(G1639="","",IF(G1639&gt;=22,"Да","Нет"))</f>
        <v/>
      </c>
      <c r="L1639" s="13">
        <f>IF(OR(I1639="",J1639=""),"Не определено",IF(OR(COUNTIF(I1639,"45*")&gt;0,COUNTIF(J1639,"*45*")&gt;0,COUNTIF(I1639,"46*")&gt;0,COUNTIF(J1639,"*46*")&gt;0,COUNTIF(I1639,"47*")&gt;0,COUNTIF(J1639,"*47*")&gt;0,COUNTIF(I1639,"10*")&gt;0,COUNTIF(J1639,"*10*")&gt;0,COUNTIF(I1639,"11*")&gt;0,COUNTIF(J1639,"*11*")&gt;0,COUNTIF(I1639,"12*")&gt;0,COUNTIF(J1639,"*12*")&gt;0,COUNTIF(I1639,"13*")&gt;0,COUNTIF(J1639,"*13*")&gt;0,COUNTIF(I1639,"14*")&gt;0,COUNTIF(J1639,"*14*")&gt;0,COUNTIF(I1639,"15*")&gt;0,COUNTIF(J1639,"*15*")&gt;0,COUNTIF(I1639,"16*")&gt;0,COUNTIF(J1639,"*16*")&gt;0,COUNTIF(I1639,"17*")&gt;0,COUNTIF(J1639,"*17*")&gt;0,COUNTIF(I1639,"18*")&gt;0,COUNTIF(J1639,"*18*")&gt;0,COUNTIF(I1639,"19*")&gt;0,COUNTIF(J1639,"*19*")&gt;0,COUNTIF(I1639,"20*")&gt;0,COUNTIF(J1639,"*20*")&gt;0,COUNTIF(I1639,"21*")&gt;0,COUNTIF(J1639,"*21*")&gt;0,COUNTIF(I1639,"22*")&gt;0,COUNTIF(J1639,"*22*")&gt;0,COUNTIF(I1639,"23*")&gt;0,COUNTIF(J1639,"*23*")&gt;0,COUNTIF(I1639,"24*")&gt;0,COUNTIF(J1639,"*24*")&gt;0,COUNTIF(I1639,"25*")&gt;0,COUNTIF(J1639,"*25*")&gt;0,COUNTIF(I1639,"26*")&gt;0,COUNTIF(J1639,"*26*")&gt;0,COUNTIF(I1639,"27*")&gt;0,COUNTIF(J1639,"*27*")&gt;0,COUNTIF(I1639,"28*")&gt;0,COUNTIF(J1639,"*28*")&gt;0,COUNTIF(I1639,"29*")&gt;0,COUNTIF(J1639,"*29*")&gt;0,COUNTIF(I1639,"30*")&gt;0,COUNTIF(J1639,"*30*")&gt;0,COUNTIF(I1639,"31*")&gt;0,COUNTIF(J1639,"*31*")&gt;0,COUNTIF(I1639,"32*")&gt;0,COUNTIF(J1639,"*32*")&gt;0,COUNTIF(I1639,"33*")&gt;0,COUNTIF(J1639,"*33*")&gt;0,COUNTIF(I1639,"41*")&gt;0,COUNTIF(J1639,"*41*")&gt;0,COUNTIF(I1639,"42*")&gt;0,COUNTIF(J1639,"*42*")&gt;0,COUNTIF(I1639,"43*")&gt;0,COUNTIF(J1639,"*43*")&gt;0,COUNTIF(I1639,"49*")&gt;0,COUNTIF(J1639,"*49*")&gt;0,COUNTIF(I1639,"52*")&gt;0,COUNTIF(J1639,"*52*")&gt;0,COUNTIF(I1639,"55*")&gt;0,COUNTIF(J1639,"*55*")&gt;0,COUNTIF(I1639,"56*")&gt;0,COUNTIF(J1639,"*56*")&gt;0,COUNTIF(I1639,"68*")&gt;0,COUNTIF(J1639,"*68*")&gt;0,COUNTIF(I1639,"78*")&gt;0,COUNTIF(J1639,"*78*")&gt;0,COUNTIF(I1639,"81*")&gt;0,COUNTIF(J1639,"*81*")&gt;0,COUNTIF(I1639,"82*")&gt;0,COUNTIF(J1639,"*82*")&gt;0,COUNTIF(I1639,"64*")&gt;0,COUNTIF(J1639,"*64*")&gt;0,COUNTIF(I1639,"65*")&gt;0,COUNTIF(J1639,"*65*")&gt;0,COUNTIF(I1639,"66*")&gt;0,COUNTIF(J1639,"*66*")&gt;0,COUNTIF(I1639,"61*")&gt;0,COUNTIF(J1639,"*61*")&gt;0,COUNTIF(I1639,"62*")&gt;0,COUNTIF(J1639,"*62*")&gt;0,COUNTIF(I1639,"63*")&gt;0,COUNTIF(J1639,"*63*")&gt;0,COUNTIF(I1639,"85*")&gt;0,COUNTIF(J1639,"*85*")&gt;0,COUNTIF(I1639,"86*")&gt;0,COUNTIF(J1639,"*86*")&gt;0),"Да","Нет"))</f>
        <v/>
      </c>
      <c r="M1639" s="13">
        <f>IF(OR(G1639="",L1639&lt;&gt;"Да"),"",IF(G1639&lt;=100,"До 100",IF(G1639&lt;=200,"До 200",IF(G1639&lt;=500,"До 500","Отдельное КП"))))</f>
        <v/>
      </c>
      <c r="N1639" s="15">
        <f>IF(OR(G1639="",L1639&lt;&gt;"Да"),"",IF(G1639&lt;=100,33600,IF(G1639&lt;=200,62400,IF(G1639&lt;=500,144000,""))))</f>
        <v/>
      </c>
      <c r="O1639" s="16">
        <f>IF(G1639="","",IF(G1639&lt;=15,"1–15",IF(G1639&lt;=30,"16–30",IF(G1639&lt;=50,"31–50",IF(G1639&lt;=100,"51–100",IF(G1639&lt;=150,"101–150",IF(G1639&lt;=200,"151–200",IF(G1639&lt;=500,"201–500","500+"))))))))</f>
        <v/>
      </c>
      <c r="P1639" s="16" t="inlineStr">
        <is>
          <t>Нет совпадения в предоставленной выгрузке ССЧР</t>
        </is>
      </c>
      <c r="Q1639" s="16" t="n"/>
      <c r="R1639" s="16">
        <f>HYPERLINK("https://checko.ru/search?query=3801001629","Чекко: проверить")</f>
        <v/>
      </c>
      <c r="S1639" t="n">
        <v>0</v>
      </c>
    </row>
    <row r="1640" ht="15" customHeight="1" s="24">
      <c r="A1640" s="13" t="n">
        <v>5000094983</v>
      </c>
      <c r="B1640" s="13" t="inlineStr">
        <is>
          <t>ГКУК "КБ госфилармония"</t>
        </is>
      </c>
      <c r="C1640" s="13" t="n">
        <v>711034656</v>
      </c>
      <c r="D1640" s="13" t="n"/>
      <c r="E1640" s="13" t="inlineStr">
        <is>
          <t>Не определён</t>
        </is>
      </c>
      <c r="F1640" s="13" t="inlineStr">
        <is>
          <t>711034656</t>
        </is>
      </c>
      <c r="G1640" s="14" t="n"/>
      <c r="H1640" s="14" t="n"/>
      <c r="I1640" s="14" t="n"/>
      <c r="J1640" s="14" t="n"/>
      <c r="K1640" s="13">
        <f>IF(G1640="","",IF(G1640&gt;=22,"Да","Нет"))</f>
        <v/>
      </c>
      <c r="L1640" s="13">
        <f>IF(OR(I1640="",J1640=""),"Не определено",IF(OR(COUNTIF(I1640,"45*")&gt;0,COUNTIF(J1640,"*45*")&gt;0,COUNTIF(I1640,"46*")&gt;0,COUNTIF(J1640,"*46*")&gt;0,COUNTIF(I1640,"47*")&gt;0,COUNTIF(J1640,"*47*")&gt;0,COUNTIF(I1640,"10*")&gt;0,COUNTIF(J1640,"*10*")&gt;0,COUNTIF(I1640,"11*")&gt;0,COUNTIF(J1640,"*11*")&gt;0,COUNTIF(I1640,"12*")&gt;0,COUNTIF(J1640,"*12*")&gt;0,COUNTIF(I1640,"13*")&gt;0,COUNTIF(J1640,"*13*")&gt;0,COUNTIF(I1640,"14*")&gt;0,COUNTIF(J1640,"*14*")&gt;0,COUNTIF(I1640,"15*")&gt;0,COUNTIF(J1640,"*15*")&gt;0,COUNTIF(I1640,"16*")&gt;0,COUNTIF(J1640,"*16*")&gt;0,COUNTIF(I1640,"17*")&gt;0,COUNTIF(J1640,"*17*")&gt;0,COUNTIF(I1640,"18*")&gt;0,COUNTIF(J1640,"*18*")&gt;0,COUNTIF(I1640,"19*")&gt;0,COUNTIF(J1640,"*19*")&gt;0,COUNTIF(I1640,"20*")&gt;0,COUNTIF(J1640,"*20*")&gt;0,COUNTIF(I1640,"21*")&gt;0,COUNTIF(J1640,"*21*")&gt;0,COUNTIF(I1640,"22*")&gt;0,COUNTIF(J1640,"*22*")&gt;0,COUNTIF(I1640,"23*")&gt;0,COUNTIF(J1640,"*23*")&gt;0,COUNTIF(I1640,"24*")&gt;0,COUNTIF(J1640,"*24*")&gt;0,COUNTIF(I1640,"25*")&gt;0,COUNTIF(J1640,"*25*")&gt;0,COUNTIF(I1640,"26*")&gt;0,COUNTIF(J1640,"*26*")&gt;0,COUNTIF(I1640,"27*")&gt;0,COUNTIF(J1640,"*27*")&gt;0,COUNTIF(I1640,"28*")&gt;0,COUNTIF(J1640,"*28*")&gt;0,COUNTIF(I1640,"29*")&gt;0,COUNTIF(J1640,"*29*")&gt;0,COUNTIF(I1640,"30*")&gt;0,COUNTIF(J1640,"*30*")&gt;0,COUNTIF(I1640,"31*")&gt;0,COUNTIF(J1640,"*31*")&gt;0,COUNTIF(I1640,"32*")&gt;0,COUNTIF(J1640,"*32*")&gt;0,COUNTIF(I1640,"33*")&gt;0,COUNTIF(J1640,"*33*")&gt;0,COUNTIF(I1640,"41*")&gt;0,COUNTIF(J1640,"*41*")&gt;0,COUNTIF(I1640,"42*")&gt;0,COUNTIF(J1640,"*42*")&gt;0,COUNTIF(I1640,"43*")&gt;0,COUNTIF(J1640,"*43*")&gt;0,COUNTIF(I1640,"49*")&gt;0,COUNTIF(J1640,"*49*")&gt;0,COUNTIF(I1640,"52*")&gt;0,COUNTIF(J1640,"*52*")&gt;0,COUNTIF(I1640,"55*")&gt;0,COUNTIF(J1640,"*55*")&gt;0,COUNTIF(I1640,"56*")&gt;0,COUNTIF(J1640,"*56*")&gt;0,COUNTIF(I1640,"68*")&gt;0,COUNTIF(J1640,"*68*")&gt;0,COUNTIF(I1640,"78*")&gt;0,COUNTIF(J1640,"*78*")&gt;0,COUNTIF(I1640,"81*")&gt;0,COUNTIF(J1640,"*81*")&gt;0,COUNTIF(I1640,"82*")&gt;0,COUNTIF(J1640,"*82*")&gt;0,COUNTIF(I1640,"64*")&gt;0,COUNTIF(J1640,"*64*")&gt;0,COUNTIF(I1640,"65*")&gt;0,COUNTIF(J1640,"*65*")&gt;0,COUNTIF(I1640,"66*")&gt;0,COUNTIF(J1640,"*66*")&gt;0,COUNTIF(I1640,"61*")&gt;0,COUNTIF(J1640,"*61*")&gt;0,COUNTIF(I1640,"62*")&gt;0,COUNTIF(J1640,"*62*")&gt;0,COUNTIF(I1640,"63*")&gt;0,COUNTIF(J1640,"*63*")&gt;0,COUNTIF(I1640,"85*")&gt;0,COUNTIF(J1640,"*85*")&gt;0,COUNTIF(I1640,"86*")&gt;0,COUNTIF(J1640,"*86*")&gt;0),"Да","Нет"))</f>
        <v/>
      </c>
      <c r="M1640" s="13">
        <f>IF(OR(G1640="",L1640&lt;&gt;"Да"),"",IF(G1640&lt;=100,"До 100",IF(G1640&lt;=200,"До 200",IF(G1640&lt;=500,"До 500","Отдельное КП"))))</f>
        <v/>
      </c>
      <c r="N1640" s="15">
        <f>IF(OR(G1640="",L1640&lt;&gt;"Да"),"",IF(G1640&lt;=100,33600,IF(G1640&lt;=200,62400,IF(G1640&lt;=500,144000,""))))</f>
        <v/>
      </c>
      <c r="O1640" s="16">
        <f>IF(G1640="","",IF(G1640&lt;=15,"1–15",IF(G1640&lt;=30,"16–30",IF(G1640&lt;=50,"31–50",IF(G1640&lt;=100,"51–100",IF(G1640&lt;=150,"101–150",IF(G1640&lt;=200,"151–200",IF(G1640&lt;=500,"201–500","500+"))))))))</f>
        <v/>
      </c>
      <c r="P1640" s="16" t="inlineStr">
        <is>
          <t>Нет совпадения в предоставленной выгрузке ССЧР</t>
        </is>
      </c>
      <c r="Q1640" s="16" t="n"/>
      <c r="R1640" s="16">
        <f>HYPERLINK("https://checko.ru/search?query=3801001629","Чекко: проверить")</f>
        <v/>
      </c>
      <c r="S1640" t="n">
        <v>0</v>
      </c>
    </row>
    <row r="1641" ht="41.25" customHeight="1" s="24">
      <c r="A1641" s="13" t="n">
        <v>5000060370</v>
      </c>
      <c r="B1641" s="13" t="inlineStr">
        <is>
          <t>ГАУ Иркутской области "Центр оценки профессионального мастерства, квалификаций педагогов и мониторинга качества обра</t>
        </is>
      </c>
      <c r="C1641" s="13" t="n">
        <v>3811469215</v>
      </c>
      <c r="D1641" s="13" t="inlineStr">
        <is>
          <t>3811469215</t>
        </is>
      </c>
      <c r="E1641" s="13" t="inlineStr">
        <is>
          <t>ЮЛ РФ</t>
        </is>
      </c>
      <c r="F1641" s="13" t="n"/>
      <c r="G1641" s="14" t="n"/>
      <c r="H1641" s="14" t="n"/>
      <c r="I1641" s="14" t="n"/>
      <c r="J1641" s="14" t="n"/>
      <c r="K1641" s="53" t="inlineStr"/>
      <c r="L1641" s="53" t="inlineStr">
        <is>
          <t>Не определено</t>
        </is>
      </c>
      <c r="M1641" s="53" t="inlineStr"/>
      <c r="N1641" s="54" t="inlineStr"/>
      <c r="O1641" s="55" t="inlineStr"/>
      <c r="P1641" s="16" t="inlineStr">
        <is>
          <t>Требует обогащения</t>
        </is>
      </c>
      <c r="Q1641" s="16">
        <f>HYPERLINK("https://pb.nalog.ru/search.html?query=3811469215","ФНС: проверить")</f>
        <v/>
      </c>
      <c r="R1641" s="16">
        <f>HYPERLINK("https://checko.ru/search?query=3801001629","Чекко: проверить")</f>
        <v/>
      </c>
      <c r="S1641" t="n">
        <v>1</v>
      </c>
      <c r="T1641" s="35" t="inlineStr">
        <is>
          <t>4 — Не обогащён</t>
        </is>
      </c>
      <c r="U1641" s="35" t="inlineStr">
        <is>
          <t>Нет ОКВЭД/ССЧР</t>
        </is>
      </c>
      <c r="V1641" s="35" t="inlineStr">
        <is>
          <t>Не определено</t>
        </is>
      </c>
      <c r="W1641" s="35" t="inlineStr"/>
      <c r="X1641" s="35" t="inlineStr"/>
    </row>
    <row r="1642" ht="15" customHeight="1" s="24">
      <c r="A1642" s="13" t="n">
        <v>5000008548</v>
      </c>
      <c r="B1642" s="13" t="inlineStr">
        <is>
          <t>УФССП России по Рязанской области</t>
        </is>
      </c>
      <c r="C1642" s="13" t="n">
        <v>6234011182</v>
      </c>
      <c r="D1642" s="13" t="inlineStr">
        <is>
          <t>6234011182</t>
        </is>
      </c>
      <c r="E1642" s="13" t="inlineStr">
        <is>
          <t>ЮЛ РФ</t>
        </is>
      </c>
      <c r="F1642" s="13" t="n"/>
      <c r="G1642" s="14" t="n"/>
      <c r="H1642" s="14" t="n"/>
      <c r="I1642" s="14" t="n"/>
      <c r="J1642" s="14" t="n"/>
      <c r="K1642" s="53" t="inlineStr"/>
      <c r="L1642" s="53" t="inlineStr">
        <is>
          <t>Не определено</t>
        </is>
      </c>
      <c r="M1642" s="53" t="inlineStr"/>
      <c r="N1642" s="54" t="inlineStr"/>
      <c r="O1642" s="55" t="inlineStr"/>
      <c r="P1642" s="16" t="inlineStr">
        <is>
          <t>Требует обогащения</t>
        </is>
      </c>
      <c r="Q1642" s="16">
        <f>HYPERLINK("https://pb.nalog.ru/search.html?query=6234011182","ФНС: проверить")</f>
        <v/>
      </c>
      <c r="R1642" s="16">
        <f>HYPERLINK("https://checko.ru/search?query=3801001629","Чекко: проверить")</f>
        <v/>
      </c>
      <c r="S1642" t="n">
        <v>1</v>
      </c>
      <c r="T1642" s="35" t="inlineStr">
        <is>
          <t>4 — Не обогащён</t>
        </is>
      </c>
      <c r="U1642" s="35" t="inlineStr">
        <is>
          <t>Нет ОКВЭД/ССЧР</t>
        </is>
      </c>
      <c r="V1642" s="35" t="inlineStr">
        <is>
          <t>Не определено</t>
        </is>
      </c>
      <c r="W1642" s="35" t="inlineStr"/>
      <c r="X1642" s="35" t="inlineStr"/>
    </row>
    <row r="1643" ht="15" customHeight="1" s="24">
      <c r="A1643" s="13" t="n">
        <v>5000121121</v>
      </c>
      <c r="B1643" s="13" t="inlineStr">
        <is>
          <t>МКУ Служба городских кладбищ г.п.Одинцово</t>
        </is>
      </c>
      <c r="C1643" s="13" t="n">
        <v>5032261068</v>
      </c>
      <c r="D1643" s="13" t="inlineStr">
        <is>
          <t>5032261068</t>
        </is>
      </c>
      <c r="E1643" s="13" t="inlineStr">
        <is>
          <t>ЮЛ РФ</t>
        </is>
      </c>
      <c r="F1643" s="13" t="n"/>
      <c r="G1643" s="14" t="n"/>
      <c r="H1643" s="14" t="n"/>
      <c r="I1643" s="14" t="n"/>
      <c r="J1643" s="14" t="n"/>
      <c r="K1643" s="53" t="inlineStr"/>
      <c r="L1643" s="53" t="inlineStr">
        <is>
          <t>Не определено</t>
        </is>
      </c>
      <c r="M1643" s="53" t="inlineStr"/>
      <c r="N1643" s="54" t="inlineStr"/>
      <c r="O1643" s="55" t="inlineStr"/>
      <c r="P1643" s="16" t="inlineStr">
        <is>
          <t>Требует обогащения</t>
        </is>
      </c>
      <c r="Q1643" s="16">
        <f>HYPERLINK("https://pb.nalog.ru/search.html?query=5032261068","ФНС: проверить")</f>
        <v/>
      </c>
      <c r="R1643" s="16">
        <f>HYPERLINK("https://checko.ru/search?query=3801001629","Чекко: проверить")</f>
        <v/>
      </c>
      <c r="S1643" t="n">
        <v>1</v>
      </c>
      <c r="T1643" s="35" t="inlineStr">
        <is>
          <t>4 — Не обогащён</t>
        </is>
      </c>
      <c r="U1643" s="35" t="inlineStr">
        <is>
          <t>Нет ОКВЭД/ССЧР</t>
        </is>
      </c>
      <c r="V1643" s="35" t="inlineStr">
        <is>
          <t>Не определено</t>
        </is>
      </c>
      <c r="W1643" s="35" t="inlineStr"/>
      <c r="X1643" s="35" t="inlineStr"/>
    </row>
    <row r="1644" ht="27.75" customHeight="1" s="24">
      <c r="A1644" s="13" t="n">
        <v>5000036231</v>
      </c>
      <c r="B1644" s="13" t="inlineStr">
        <is>
          <t>ОбГБУ «Агентство по развитию сельских территорий Ульяновской области»</t>
        </is>
      </c>
      <c r="C1644" s="13" t="n">
        <v>7325110312</v>
      </c>
      <c r="D1644" s="13" t="inlineStr">
        <is>
          <t>7325110312</t>
        </is>
      </c>
      <c r="E1644" s="13" t="inlineStr">
        <is>
          <t>ЮЛ РФ</t>
        </is>
      </c>
      <c r="F1644" s="13" t="n"/>
      <c r="G1644" s="14" t="n"/>
      <c r="H1644" s="14" t="n"/>
      <c r="I1644" s="14" t="n"/>
      <c r="J1644" s="14" t="n"/>
      <c r="K1644" s="53" t="inlineStr"/>
      <c r="L1644" s="53" t="inlineStr">
        <is>
          <t>Не определено</t>
        </is>
      </c>
      <c r="M1644" s="53" t="inlineStr"/>
      <c r="N1644" s="54" t="inlineStr"/>
      <c r="O1644" s="55" t="inlineStr"/>
      <c r="P1644" s="16" t="inlineStr">
        <is>
          <t>Требует обогащения</t>
        </is>
      </c>
      <c r="Q1644" s="16">
        <f>HYPERLINK("https://pb.nalog.ru/search.html?query=7325110312","ФНС: проверить")</f>
        <v/>
      </c>
      <c r="R1644" s="16">
        <f>HYPERLINK("https://checko.ru/search?query=3801001629","Чекко: проверить")</f>
        <v/>
      </c>
      <c r="S1644" t="n">
        <v>1</v>
      </c>
      <c r="T1644" s="35" t="inlineStr">
        <is>
          <t>4 — Не обогащён</t>
        </is>
      </c>
      <c r="U1644" s="35" t="inlineStr">
        <is>
          <t>Нет ОКВЭД/ССЧР</t>
        </is>
      </c>
      <c r="V1644" s="35" t="inlineStr">
        <is>
          <t>Не определено</t>
        </is>
      </c>
      <c r="W1644" s="35" t="inlineStr"/>
      <c r="X1644" s="35" t="inlineStr"/>
    </row>
    <row r="1645" ht="15" customHeight="1" s="24">
      <c r="A1645" s="13" t="n">
        <v>5000095001</v>
      </c>
      <c r="B1645" s="13" t="inlineStr">
        <is>
          <t>МКОУ "Прогимназия № 66/1"</t>
        </is>
      </c>
      <c r="C1645" s="13" t="n">
        <v>711035956</v>
      </c>
      <c r="D1645" s="13" t="n"/>
      <c r="E1645" s="13" t="inlineStr">
        <is>
          <t>Не определён</t>
        </is>
      </c>
      <c r="F1645" s="13" t="inlineStr">
        <is>
          <t>711035956</t>
        </is>
      </c>
      <c r="G1645" s="14" t="n"/>
      <c r="H1645" s="14" t="n"/>
      <c r="I1645" s="14" t="n"/>
      <c r="J1645" s="14" t="n"/>
      <c r="K1645" s="13">
        <f>IF(G1645="","",IF(G1645&gt;=22,"Да","Нет"))</f>
        <v/>
      </c>
      <c r="L1645" s="13">
        <f>IF(OR(I1645="",J1645=""),"Не определено",IF(OR(COUNTIF(I1645,"45*")&gt;0,COUNTIF(J1645,"*45*")&gt;0,COUNTIF(I1645,"46*")&gt;0,COUNTIF(J1645,"*46*")&gt;0,COUNTIF(I1645,"47*")&gt;0,COUNTIF(J1645,"*47*")&gt;0,COUNTIF(I1645,"10*")&gt;0,COUNTIF(J1645,"*10*")&gt;0,COUNTIF(I1645,"11*")&gt;0,COUNTIF(J1645,"*11*")&gt;0,COUNTIF(I1645,"12*")&gt;0,COUNTIF(J1645,"*12*")&gt;0,COUNTIF(I1645,"13*")&gt;0,COUNTIF(J1645,"*13*")&gt;0,COUNTIF(I1645,"14*")&gt;0,COUNTIF(J1645,"*14*")&gt;0,COUNTIF(I1645,"15*")&gt;0,COUNTIF(J1645,"*15*")&gt;0,COUNTIF(I1645,"16*")&gt;0,COUNTIF(J1645,"*16*")&gt;0,COUNTIF(I1645,"17*")&gt;0,COUNTIF(J1645,"*17*")&gt;0,COUNTIF(I1645,"18*")&gt;0,COUNTIF(J1645,"*18*")&gt;0,COUNTIF(I1645,"19*")&gt;0,COUNTIF(J1645,"*19*")&gt;0,COUNTIF(I1645,"20*")&gt;0,COUNTIF(J1645,"*20*")&gt;0,COUNTIF(I1645,"21*")&gt;0,COUNTIF(J1645,"*21*")&gt;0,COUNTIF(I1645,"22*")&gt;0,COUNTIF(J1645,"*22*")&gt;0,COUNTIF(I1645,"23*")&gt;0,COUNTIF(J1645,"*23*")&gt;0,COUNTIF(I1645,"24*")&gt;0,COUNTIF(J1645,"*24*")&gt;0,COUNTIF(I1645,"25*")&gt;0,COUNTIF(J1645,"*25*")&gt;0,COUNTIF(I1645,"26*")&gt;0,COUNTIF(J1645,"*26*")&gt;0,COUNTIF(I1645,"27*")&gt;0,COUNTIF(J1645,"*27*")&gt;0,COUNTIF(I1645,"28*")&gt;0,COUNTIF(J1645,"*28*")&gt;0,COUNTIF(I1645,"29*")&gt;0,COUNTIF(J1645,"*29*")&gt;0,COUNTIF(I1645,"30*")&gt;0,COUNTIF(J1645,"*30*")&gt;0,COUNTIF(I1645,"31*")&gt;0,COUNTIF(J1645,"*31*")&gt;0,COUNTIF(I1645,"32*")&gt;0,COUNTIF(J1645,"*32*")&gt;0,COUNTIF(I1645,"33*")&gt;0,COUNTIF(J1645,"*33*")&gt;0,COUNTIF(I1645,"41*")&gt;0,COUNTIF(J1645,"*41*")&gt;0,COUNTIF(I1645,"42*")&gt;0,COUNTIF(J1645,"*42*")&gt;0,COUNTIF(I1645,"43*")&gt;0,COUNTIF(J1645,"*43*")&gt;0,COUNTIF(I1645,"49*")&gt;0,COUNTIF(J1645,"*49*")&gt;0,COUNTIF(I1645,"52*")&gt;0,COUNTIF(J1645,"*52*")&gt;0,COUNTIF(I1645,"55*")&gt;0,COUNTIF(J1645,"*55*")&gt;0,COUNTIF(I1645,"56*")&gt;0,COUNTIF(J1645,"*56*")&gt;0,COUNTIF(I1645,"68*")&gt;0,COUNTIF(J1645,"*68*")&gt;0,COUNTIF(I1645,"78*")&gt;0,COUNTIF(J1645,"*78*")&gt;0,COUNTIF(I1645,"81*")&gt;0,COUNTIF(J1645,"*81*")&gt;0,COUNTIF(I1645,"82*")&gt;0,COUNTIF(J1645,"*82*")&gt;0,COUNTIF(I1645,"64*")&gt;0,COUNTIF(J1645,"*64*")&gt;0,COUNTIF(I1645,"65*")&gt;0,COUNTIF(J1645,"*65*")&gt;0,COUNTIF(I1645,"66*")&gt;0,COUNTIF(J1645,"*66*")&gt;0,COUNTIF(I1645,"61*")&gt;0,COUNTIF(J1645,"*61*")&gt;0,COUNTIF(I1645,"62*")&gt;0,COUNTIF(J1645,"*62*")&gt;0,COUNTIF(I1645,"63*")&gt;0,COUNTIF(J1645,"*63*")&gt;0,COUNTIF(I1645,"85*")&gt;0,COUNTIF(J1645,"*85*")&gt;0,COUNTIF(I1645,"86*")&gt;0,COUNTIF(J1645,"*86*")&gt;0),"Да","Нет"))</f>
        <v/>
      </c>
      <c r="M1645" s="13">
        <f>IF(OR(G1645="",L1645&lt;&gt;"Да"),"",IF(G1645&lt;=100,"До 100",IF(G1645&lt;=200,"До 200",IF(G1645&lt;=500,"До 500","Отдельное КП"))))</f>
        <v/>
      </c>
      <c r="N1645" s="15">
        <f>IF(OR(G1645="",L1645&lt;&gt;"Да"),"",IF(G1645&lt;=100,33600,IF(G1645&lt;=200,62400,IF(G1645&lt;=500,144000,""))))</f>
        <v/>
      </c>
      <c r="O1645" s="16">
        <f>IF(G1645="","",IF(G1645&lt;=15,"1–15",IF(G1645&lt;=30,"16–30",IF(G1645&lt;=50,"31–50",IF(G1645&lt;=100,"51–100",IF(G1645&lt;=150,"101–150",IF(G1645&lt;=200,"151–200",IF(G1645&lt;=500,"201–500","500+"))))))))</f>
        <v/>
      </c>
      <c r="P1645" s="16" t="inlineStr">
        <is>
          <t>Нет совпадения в предоставленной выгрузке ССЧР</t>
        </is>
      </c>
      <c r="Q1645" s="16" t="n"/>
      <c r="R1645" s="16">
        <f>HYPERLINK("https://checko.ru/search?query=3801001629","Чекко: проверить")</f>
        <v/>
      </c>
      <c r="S1645" t="n">
        <v>0</v>
      </c>
    </row>
    <row r="1646" ht="15" customHeight="1" s="24">
      <c r="A1646" s="13" t="n">
        <v>5000062549</v>
      </c>
      <c r="B1646" s="13" t="inlineStr">
        <is>
          <t>ОГКУ Майнский Детский Дом "Орбита"</t>
        </is>
      </c>
      <c r="C1646" s="13" t="n">
        <v>7309001620</v>
      </c>
      <c r="D1646" s="13" t="inlineStr">
        <is>
          <t>7309001620</t>
        </is>
      </c>
      <c r="E1646" s="13" t="inlineStr">
        <is>
          <t>ЮЛ РФ</t>
        </is>
      </c>
      <c r="F1646" s="13" t="n"/>
      <c r="G1646" s="14" t="n"/>
      <c r="H1646" s="14" t="n"/>
      <c r="I1646" s="14" t="n"/>
      <c r="J1646" s="14" t="n"/>
      <c r="K1646" s="53" t="inlineStr"/>
      <c r="L1646" s="53" t="inlineStr">
        <is>
          <t>Не определено</t>
        </is>
      </c>
      <c r="M1646" s="53" t="inlineStr"/>
      <c r="N1646" s="54" t="inlineStr"/>
      <c r="O1646" s="55" t="inlineStr"/>
      <c r="P1646" s="16" t="inlineStr">
        <is>
          <t>Требует обогащения</t>
        </is>
      </c>
      <c r="Q1646" s="16">
        <f>HYPERLINK("https://pb.nalog.ru/search.html?query=7309001620","ФНС: проверить")</f>
        <v/>
      </c>
      <c r="R1646" s="16">
        <f>HYPERLINK("https://checko.ru/search?query=3801001629","Чекко: проверить")</f>
        <v/>
      </c>
      <c r="S1646" t="n">
        <v>1</v>
      </c>
      <c r="T1646" s="35" t="inlineStr">
        <is>
          <t>4 — Не обогащён</t>
        </is>
      </c>
      <c r="U1646" s="35" t="inlineStr">
        <is>
          <t>Нет ОКВЭД/ССЧР</t>
        </is>
      </c>
      <c r="V1646" s="35" t="inlineStr">
        <is>
          <t>Не определено</t>
        </is>
      </c>
      <c r="W1646" s="35" t="inlineStr"/>
      <c r="X1646" s="35" t="inlineStr"/>
    </row>
    <row r="1647" ht="27.75" customHeight="1" s="24">
      <c r="A1647" s="13" t="n">
        <v>5000062583</v>
      </c>
      <c r="B1647" s="13" t="inlineStr">
        <is>
          <t>ГУЗ Центральная клиническая медико-санитарная часть</t>
        </is>
      </c>
      <c r="C1647" s="13" t="n">
        <v>7327025214</v>
      </c>
      <c r="D1647" s="13" t="inlineStr">
        <is>
          <t>7327025214</t>
        </is>
      </c>
      <c r="E1647" s="13" t="inlineStr">
        <is>
          <t>ЮЛ РФ</t>
        </is>
      </c>
      <c r="F1647" s="13" t="n"/>
      <c r="G1647" s="14" t="n"/>
      <c r="H1647" s="14" t="n"/>
      <c r="I1647" s="14" t="n"/>
      <c r="J1647" s="14" t="n"/>
      <c r="K1647" s="53" t="inlineStr"/>
      <c r="L1647" s="53" t="inlineStr">
        <is>
          <t>Не определено</t>
        </is>
      </c>
      <c r="M1647" s="53" t="inlineStr"/>
      <c r="N1647" s="54" t="inlineStr"/>
      <c r="O1647" s="55" t="inlineStr"/>
      <c r="P1647" s="16" t="inlineStr">
        <is>
          <t>Требует обогащения</t>
        </is>
      </c>
      <c r="Q1647" s="16">
        <f>HYPERLINK("https://pb.nalog.ru/search.html?query=7327025214","ФНС: проверить")</f>
        <v/>
      </c>
      <c r="R1647" s="16">
        <f>HYPERLINK("https://checko.ru/search?query=3801001629","Чекко: проверить")</f>
        <v/>
      </c>
      <c r="S1647" t="n">
        <v>1</v>
      </c>
      <c r="T1647" s="35" t="inlineStr">
        <is>
          <t>4 — Не обогащён</t>
        </is>
      </c>
      <c r="U1647" s="35" t="inlineStr">
        <is>
          <t>Нет ОКВЭД/ССЧР</t>
        </is>
      </c>
      <c r="V1647" s="35" t="inlineStr">
        <is>
          <t>Не определено</t>
        </is>
      </c>
      <c r="W1647" s="35" t="inlineStr"/>
      <c r="X1647" s="35" t="inlineStr"/>
    </row>
    <row r="1648" ht="27.75" customHeight="1" s="24">
      <c r="A1648" s="13" t="n">
        <v>5000062632</v>
      </c>
      <c r="B1648" s="13" t="inlineStr">
        <is>
          <t>ГУЗ Городская больница №1 Перинатальный центр</t>
        </is>
      </c>
      <c r="C1648" s="13" t="n">
        <v>7328013620</v>
      </c>
      <c r="D1648" s="13" t="inlineStr">
        <is>
          <t>7328013620</t>
        </is>
      </c>
      <c r="E1648" s="13" t="inlineStr">
        <is>
          <t>ЮЛ РФ</t>
        </is>
      </c>
      <c r="F1648" s="13" t="n"/>
      <c r="G1648" s="14" t="n"/>
      <c r="H1648" s="14" t="n"/>
      <c r="I1648" s="14" t="n"/>
      <c r="J1648" s="14" t="n"/>
      <c r="K1648" s="53" t="inlineStr"/>
      <c r="L1648" s="53" t="inlineStr">
        <is>
          <t>Не определено</t>
        </is>
      </c>
      <c r="M1648" s="53" t="inlineStr"/>
      <c r="N1648" s="54" t="inlineStr"/>
      <c r="O1648" s="55" t="inlineStr"/>
      <c r="P1648" s="16" t="inlineStr">
        <is>
          <t>Требует обогащения</t>
        </is>
      </c>
      <c r="Q1648" s="16">
        <f>HYPERLINK("https://pb.nalog.ru/search.html?query=7328013620","ФНС: проверить")</f>
        <v/>
      </c>
      <c r="R1648" s="16">
        <f>HYPERLINK("https://checko.ru/search?query=3801001629","Чекко: проверить")</f>
        <v/>
      </c>
      <c r="S1648" t="n">
        <v>1</v>
      </c>
      <c r="T1648" s="35" t="inlineStr">
        <is>
          <t>4 — Не обогащён</t>
        </is>
      </c>
      <c r="U1648" s="35" t="inlineStr">
        <is>
          <t>Нет ОКВЭД/ССЧР</t>
        </is>
      </c>
      <c r="V1648" s="35" t="inlineStr">
        <is>
          <t>Не определено</t>
        </is>
      </c>
      <c r="W1648" s="35" t="inlineStr"/>
      <c r="X1648" s="35" t="inlineStr"/>
    </row>
    <row r="1649" ht="15" customHeight="1" s="24">
      <c r="A1649" s="13" t="n">
        <v>5000062633</v>
      </c>
      <c r="B1649" s="13" t="inlineStr">
        <is>
          <t>ГУЗ "Городская больница №2"</t>
        </is>
      </c>
      <c r="C1649" s="13" t="n">
        <v>7325001306</v>
      </c>
      <c r="D1649" s="13" t="inlineStr">
        <is>
          <t>7325001306</t>
        </is>
      </c>
      <c r="E1649" s="13" t="inlineStr">
        <is>
          <t>ЮЛ РФ</t>
        </is>
      </c>
      <c r="F1649" s="13" t="n"/>
      <c r="G1649" s="14" t="n"/>
      <c r="H1649" s="14" t="n"/>
      <c r="I1649" s="14" t="n"/>
      <c r="J1649" s="14" t="n"/>
      <c r="K1649" s="53" t="inlineStr"/>
      <c r="L1649" s="53" t="inlineStr">
        <is>
          <t>Не определено</t>
        </is>
      </c>
      <c r="M1649" s="53" t="inlineStr"/>
      <c r="N1649" s="54" t="inlineStr"/>
      <c r="O1649" s="55" t="inlineStr"/>
      <c r="P1649" s="16" t="inlineStr">
        <is>
          <t>Требует обогащения</t>
        </is>
      </c>
      <c r="Q1649" s="16">
        <f>HYPERLINK("https://pb.nalog.ru/search.html?query=7325001306","ФНС: проверить")</f>
        <v/>
      </c>
      <c r="R1649" s="16">
        <f>HYPERLINK("https://checko.ru/search?query=3801001629","Чекко: проверить")</f>
        <v/>
      </c>
      <c r="S1649" t="n">
        <v>1</v>
      </c>
      <c r="T1649" s="35" t="inlineStr">
        <is>
          <t>4 — Не обогащён</t>
        </is>
      </c>
      <c r="U1649" s="35" t="inlineStr">
        <is>
          <t>Нет ОКВЭД/ССЧР</t>
        </is>
      </c>
      <c r="V1649" s="35" t="inlineStr">
        <is>
          <t>Не определено</t>
        </is>
      </c>
      <c r="W1649" s="35" t="inlineStr"/>
      <c r="X1649" s="35" t="inlineStr"/>
    </row>
    <row r="1650" ht="27.75" customHeight="1" s="24">
      <c r="A1650" s="13" t="n">
        <v>5000062621</v>
      </c>
      <c r="B1650" s="13" t="inlineStr">
        <is>
          <t>ГУЗ Новоульяновская центральная больница им.А.Ф.Альберт</t>
        </is>
      </c>
      <c r="C1650" s="13" t="n">
        <v>7321316601</v>
      </c>
      <c r="D1650" s="13" t="inlineStr">
        <is>
          <t>7321316601</t>
        </is>
      </c>
      <c r="E1650" s="13" t="inlineStr">
        <is>
          <t>ЮЛ РФ</t>
        </is>
      </c>
      <c r="F1650" s="13" t="n"/>
      <c r="G1650" s="14" t="n"/>
      <c r="H1650" s="14" t="n"/>
      <c r="I1650" s="14" t="n"/>
      <c r="J1650" s="14" t="n"/>
      <c r="K1650" s="53" t="inlineStr"/>
      <c r="L1650" s="53" t="inlineStr">
        <is>
          <t>Не определено</t>
        </is>
      </c>
      <c r="M1650" s="53" t="inlineStr"/>
      <c r="N1650" s="54" t="inlineStr"/>
      <c r="O1650" s="55" t="inlineStr"/>
      <c r="P1650" s="16" t="inlineStr">
        <is>
          <t>Требует обогащения</t>
        </is>
      </c>
      <c r="Q1650" s="16">
        <f>HYPERLINK("https://pb.nalog.ru/search.html?query=7321316601","ФНС: проверить")</f>
        <v/>
      </c>
      <c r="R1650" s="16">
        <f>HYPERLINK("https://checko.ru/search?query=3801001629","Чекко: проверить")</f>
        <v/>
      </c>
      <c r="S1650" t="n">
        <v>1</v>
      </c>
      <c r="T1650" s="35" t="inlineStr">
        <is>
          <t>4 — Не обогащён</t>
        </is>
      </c>
      <c r="U1650" s="35" t="inlineStr">
        <is>
          <t>Нет ОКВЭД/ССЧР</t>
        </is>
      </c>
      <c r="V1650" s="35" t="inlineStr">
        <is>
          <t>Не определено</t>
        </is>
      </c>
      <c r="W1650" s="35" t="inlineStr"/>
      <c r="X1650" s="35" t="inlineStr"/>
    </row>
    <row r="1651" ht="27.75" customHeight="1" s="24">
      <c r="A1651" s="13" t="n">
        <v>5000062590</v>
      </c>
      <c r="B1651" s="13" t="inlineStr">
        <is>
          <t>ГУЗ Областной клинический онкологичнский диспансер</t>
        </is>
      </c>
      <c r="C1651" s="13" t="n">
        <v>7326012124</v>
      </c>
      <c r="D1651" s="13" t="inlineStr">
        <is>
          <t>7326012124</t>
        </is>
      </c>
      <c r="E1651" s="13" t="inlineStr">
        <is>
          <t>ЮЛ РФ</t>
        </is>
      </c>
      <c r="F1651" s="13" t="n"/>
      <c r="G1651" s="14" t="n"/>
      <c r="H1651" s="14" t="n"/>
      <c r="I1651" s="14" t="n"/>
      <c r="J1651" s="14" t="n"/>
      <c r="K1651" s="53" t="inlineStr"/>
      <c r="L1651" s="53" t="inlineStr">
        <is>
          <t>Не определено</t>
        </is>
      </c>
      <c r="M1651" s="53" t="inlineStr"/>
      <c r="N1651" s="54" t="inlineStr"/>
      <c r="O1651" s="55" t="inlineStr"/>
      <c r="P1651" s="16" t="inlineStr">
        <is>
          <t>Требует обогащения</t>
        </is>
      </c>
      <c r="Q1651" s="16">
        <f>HYPERLINK("https://pb.nalog.ru/search.html?query=7326012124","ФНС: проверить")</f>
        <v/>
      </c>
      <c r="R1651" s="16">
        <f>HYPERLINK("https://checko.ru/search?query=3801001629","Чекко: проверить")</f>
        <v/>
      </c>
      <c r="S1651" t="n">
        <v>1</v>
      </c>
      <c r="T1651" s="35" t="inlineStr">
        <is>
          <t>4 — Не обогащён</t>
        </is>
      </c>
      <c r="U1651" s="35" t="inlineStr">
        <is>
          <t>Нет ОКВЭД/ССЧР</t>
        </is>
      </c>
      <c r="V1651" s="35" t="inlineStr">
        <is>
          <t>Не определено</t>
        </is>
      </c>
      <c r="W1651" s="35" t="inlineStr"/>
      <c r="X1651" s="35" t="inlineStr"/>
    </row>
    <row r="1652" ht="15" customHeight="1" s="24">
      <c r="A1652" s="13" t="n">
        <v>5000062528</v>
      </c>
      <c r="B1652" s="13" t="inlineStr">
        <is>
          <t>ОГБОУ ДОД ОДТДМ</t>
        </is>
      </c>
      <c r="C1652" s="13" t="n">
        <v>7303007992</v>
      </c>
      <c r="D1652" s="13" t="inlineStr">
        <is>
          <t>7303007992</t>
        </is>
      </c>
      <c r="E1652" s="13" t="inlineStr">
        <is>
          <t>ЮЛ РФ</t>
        </is>
      </c>
      <c r="F1652" s="13" t="n"/>
      <c r="G1652" s="14" t="n"/>
      <c r="H1652" s="14" t="n"/>
      <c r="I1652" s="14" t="n"/>
      <c r="J1652" s="14" t="n"/>
      <c r="K1652" s="53" t="inlineStr"/>
      <c r="L1652" s="53" t="inlineStr">
        <is>
          <t>Не определено</t>
        </is>
      </c>
      <c r="M1652" s="53" t="inlineStr"/>
      <c r="N1652" s="54" t="inlineStr"/>
      <c r="O1652" s="55" t="inlineStr"/>
      <c r="P1652" s="16" t="inlineStr">
        <is>
          <t>Требует обогащения</t>
        </is>
      </c>
      <c r="Q1652" s="16">
        <f>HYPERLINK("https://pb.nalog.ru/search.html?query=7303007992","ФНС: проверить")</f>
        <v/>
      </c>
      <c r="R1652" s="16">
        <f>HYPERLINK("https://checko.ru/search?query=3801001629","Чекко: проверить")</f>
        <v/>
      </c>
      <c r="S1652" t="n">
        <v>1</v>
      </c>
      <c r="T1652" s="35" t="inlineStr">
        <is>
          <t>4 — Не обогащён</t>
        </is>
      </c>
      <c r="U1652" s="35" t="inlineStr">
        <is>
          <t>Нет ОКВЭД/ССЧР</t>
        </is>
      </c>
      <c r="V1652" s="35" t="inlineStr">
        <is>
          <t>Не определено</t>
        </is>
      </c>
      <c r="W1652" s="35" t="inlineStr"/>
      <c r="X1652" s="35" t="inlineStr"/>
    </row>
    <row r="1653" ht="27.75" customHeight="1" s="24">
      <c r="A1653" s="13" t="n">
        <v>5000062645</v>
      </c>
      <c r="B1653" s="13" t="inlineStr">
        <is>
          <t>ГУЗ Ульяновское областное бюро судебно-медицинской экспертизы</t>
        </is>
      </c>
      <c r="C1653" s="13" t="n">
        <v>7328041593</v>
      </c>
      <c r="D1653" s="13" t="inlineStr">
        <is>
          <t>7328041593</t>
        </is>
      </c>
      <c r="E1653" s="13" t="inlineStr">
        <is>
          <t>ЮЛ РФ</t>
        </is>
      </c>
      <c r="F1653" s="13" t="n"/>
      <c r="G1653" s="14" t="n"/>
      <c r="H1653" s="14" t="n"/>
      <c r="I1653" s="14" t="n"/>
      <c r="J1653" s="14" t="n"/>
      <c r="K1653" s="53" t="inlineStr"/>
      <c r="L1653" s="53" t="inlineStr">
        <is>
          <t>Не определено</t>
        </is>
      </c>
      <c r="M1653" s="53" t="inlineStr"/>
      <c r="N1653" s="54" t="inlineStr"/>
      <c r="O1653" s="55" t="inlineStr"/>
      <c r="P1653" s="16" t="inlineStr">
        <is>
          <t>Требует обогащения</t>
        </is>
      </c>
      <c r="Q1653" s="16">
        <f>HYPERLINK("https://pb.nalog.ru/search.html?query=7328041593","ФНС: проверить")</f>
        <v/>
      </c>
      <c r="R1653" s="16">
        <f>HYPERLINK("https://checko.ru/search?query=3801001629","Чекко: проверить")</f>
        <v/>
      </c>
      <c r="S1653" t="n">
        <v>1</v>
      </c>
      <c r="T1653" s="35" t="inlineStr">
        <is>
          <t>4 — Не обогащён</t>
        </is>
      </c>
      <c r="U1653" s="35" t="inlineStr">
        <is>
          <t>Нет ОКВЭД/ССЧР</t>
        </is>
      </c>
      <c r="V1653" s="35" t="inlineStr">
        <is>
          <t>Не определено</t>
        </is>
      </c>
      <c r="W1653" s="35" t="inlineStr"/>
      <c r="X1653" s="35" t="inlineStr"/>
    </row>
    <row r="1654" ht="41.25" customHeight="1" s="24">
      <c r="A1654" s="13" t="n">
        <v>5000106078</v>
      </c>
      <c r="B1654" s="13" t="inlineStr">
        <is>
          <t>ГОСУДАРСТВЕННОЕ БЮДЖЕТНОЕ УЧРЕЖДЕНИЕ ЗДРАВООХРАНЕНИЯ "ТОЦКАЯ РАЙОННАЯ БОЛЬНИЦА"</t>
        </is>
      </c>
      <c r="C1654" s="13" t="n">
        <v>5649000838</v>
      </c>
      <c r="D1654" s="13" t="inlineStr">
        <is>
          <t>5649000838</t>
        </is>
      </c>
      <c r="E1654" s="13" t="inlineStr">
        <is>
          <t>ЮЛ РФ</t>
        </is>
      </c>
      <c r="F1654" s="13" t="n"/>
      <c r="G1654" s="14" t="n"/>
      <c r="H1654" s="14" t="n"/>
      <c r="I1654" s="14" t="n"/>
      <c r="J1654" s="14" t="n"/>
      <c r="K1654" s="53" t="inlineStr"/>
      <c r="L1654" s="53" t="inlineStr">
        <is>
          <t>Не определено</t>
        </is>
      </c>
      <c r="M1654" s="53" t="inlineStr"/>
      <c r="N1654" s="54" t="inlineStr"/>
      <c r="O1654" s="55" t="inlineStr"/>
      <c r="P1654" s="16" t="inlineStr">
        <is>
          <t>Требует обогащения</t>
        </is>
      </c>
      <c r="Q1654" s="16">
        <f>HYPERLINK("https://pb.nalog.ru/search.html?query=5649000838","ФНС: проверить")</f>
        <v/>
      </c>
      <c r="R1654" s="16">
        <f>HYPERLINK("https://checko.ru/search?query=3801001629","Чекко: проверить")</f>
        <v/>
      </c>
      <c r="S1654" t="n">
        <v>1</v>
      </c>
      <c r="T1654" s="35" t="inlineStr">
        <is>
          <t>4 — Не обогащён</t>
        </is>
      </c>
      <c r="U1654" s="35" t="inlineStr">
        <is>
          <t>Нет ОКВЭД/ССЧР</t>
        </is>
      </c>
      <c r="V1654" s="35" t="inlineStr">
        <is>
          <t>Не определено</t>
        </is>
      </c>
      <c r="W1654" s="35" t="inlineStr"/>
      <c r="X1654" s="35" t="inlineStr"/>
    </row>
    <row r="1655" ht="15" customHeight="1" s="24">
      <c r="A1655" s="13" t="n">
        <v>5000062517</v>
      </c>
      <c r="B1655" s="13" t="inlineStr">
        <is>
          <t>ОГБОУ СПО Инзенский государственный техникум</t>
        </is>
      </c>
      <c r="C1655" s="13" t="n">
        <v>7306005190</v>
      </c>
      <c r="D1655" s="13" t="inlineStr">
        <is>
          <t>7306005190</t>
        </is>
      </c>
      <c r="E1655" s="13" t="inlineStr">
        <is>
          <t>ЮЛ РФ</t>
        </is>
      </c>
      <c r="F1655" s="13" t="n"/>
      <c r="G1655" s="14" t="n"/>
      <c r="H1655" s="14" t="n"/>
      <c r="I1655" s="14" t="n"/>
      <c r="J1655" s="14" t="n"/>
      <c r="K1655" s="53" t="inlineStr"/>
      <c r="L1655" s="53" t="inlineStr">
        <is>
          <t>Не определено</t>
        </is>
      </c>
      <c r="M1655" s="53" t="inlineStr"/>
      <c r="N1655" s="54" t="inlineStr"/>
      <c r="O1655" s="55" t="inlineStr"/>
      <c r="P1655" s="16" t="inlineStr">
        <is>
          <t>Требует обогащения</t>
        </is>
      </c>
      <c r="Q1655" s="16">
        <f>HYPERLINK("https://pb.nalog.ru/search.html?query=7306005190","ФНС: проверить")</f>
        <v/>
      </c>
      <c r="R1655" s="16">
        <f>HYPERLINK("https://checko.ru/search?query=3801001629","Чекко: проверить")</f>
        <v/>
      </c>
      <c r="S1655" t="n">
        <v>1</v>
      </c>
      <c r="T1655" s="35" t="inlineStr">
        <is>
          <t>4 — Не обогащён</t>
        </is>
      </c>
      <c r="U1655" s="35" t="inlineStr">
        <is>
          <t>Нет ОКВЭД/ССЧР</t>
        </is>
      </c>
      <c r="V1655" s="35" t="inlineStr">
        <is>
          <t>Не определено</t>
        </is>
      </c>
      <c r="W1655" s="35" t="inlineStr"/>
      <c r="X1655" s="35" t="inlineStr"/>
    </row>
    <row r="1656" ht="41.25" customHeight="1" s="24">
      <c r="A1656" s="13" t="n">
        <v>5000001700</v>
      </c>
      <c r="B1656" s="13" t="inlineStr">
        <is>
          <t>ОбГОКУ для детей-сирот и детей, оставшихся без попечения родителей, специальный (коррекционный)</t>
        </is>
      </c>
      <c r="C1656" s="13" t="n">
        <v>3816001004</v>
      </c>
      <c r="D1656" s="13" t="inlineStr">
        <is>
          <t>3816001004</t>
        </is>
      </c>
      <c r="E1656" s="13" t="inlineStr">
        <is>
          <t>ЮЛ РФ</t>
        </is>
      </c>
      <c r="F1656" s="13" t="n"/>
      <c r="G1656" s="14" t="n"/>
      <c r="H1656" s="14" t="n"/>
      <c r="I1656" s="14" t="n"/>
      <c r="J1656" s="14" t="n"/>
      <c r="K1656" s="53" t="inlineStr"/>
      <c r="L1656" s="53" t="inlineStr">
        <is>
          <t>Не определено</t>
        </is>
      </c>
      <c r="M1656" s="53" t="inlineStr"/>
      <c r="N1656" s="54" t="inlineStr"/>
      <c r="O1656" s="55" t="inlineStr"/>
      <c r="P1656" s="16" t="inlineStr">
        <is>
          <t>Требует обогащения</t>
        </is>
      </c>
      <c r="Q1656" s="16">
        <f>HYPERLINK("https://pb.nalog.ru/search.html?query=3816001004","ФНС: проверить")</f>
        <v/>
      </c>
      <c r="R1656" s="16">
        <f>HYPERLINK("https://checko.ru/search?query=3801001629","Чекко: проверить")</f>
        <v/>
      </c>
      <c r="S1656" t="n">
        <v>1</v>
      </c>
      <c r="T1656" s="35" t="inlineStr">
        <is>
          <t>4 — Не обогащён</t>
        </is>
      </c>
      <c r="U1656" s="35" t="inlineStr">
        <is>
          <t>Нет ОКВЭД/ССЧР</t>
        </is>
      </c>
      <c r="V1656" s="35" t="inlineStr">
        <is>
          <t>Не определено</t>
        </is>
      </c>
      <c r="W1656" s="35" t="inlineStr"/>
      <c r="X1656" s="35" t="inlineStr"/>
    </row>
    <row r="1657" ht="15" customHeight="1" s="24">
      <c r="A1657" s="13" t="n">
        <v>5000008593</v>
      </c>
      <c r="B1657" s="13" t="inlineStr">
        <is>
          <t>УФССП России по Астраханской области</t>
        </is>
      </c>
      <c r="C1657" s="13" t="n">
        <v>3015067331</v>
      </c>
      <c r="D1657" s="13" t="inlineStr">
        <is>
          <t>3015067331</t>
        </is>
      </c>
      <c r="E1657" s="13" t="inlineStr">
        <is>
          <t>ЮЛ РФ</t>
        </is>
      </c>
      <c r="F1657" s="13" t="n"/>
      <c r="G1657" s="14" t="n"/>
      <c r="H1657" s="14" t="n"/>
      <c r="I1657" s="14" t="n"/>
      <c r="J1657" s="14" t="n"/>
      <c r="K1657" s="53" t="inlineStr"/>
      <c r="L1657" s="53" t="inlineStr">
        <is>
          <t>Не определено</t>
        </is>
      </c>
      <c r="M1657" s="53" t="inlineStr"/>
      <c r="N1657" s="54" t="inlineStr"/>
      <c r="O1657" s="55" t="inlineStr"/>
      <c r="P1657" s="16" t="inlineStr">
        <is>
          <t>Требует обогащения</t>
        </is>
      </c>
      <c r="Q1657" s="16">
        <f>HYPERLINK("https://pb.nalog.ru/search.html?query=3015067331","ФНС: проверить")</f>
        <v/>
      </c>
      <c r="R1657" s="16">
        <f>HYPERLINK("https://checko.ru/search?query=3801001629","Чекко: проверить")</f>
        <v/>
      </c>
      <c r="S1657" t="n">
        <v>1</v>
      </c>
      <c r="T1657" s="35" t="inlineStr">
        <is>
          <t>4 — Не обогащён</t>
        </is>
      </c>
      <c r="U1657" s="35" t="inlineStr">
        <is>
          <t>Нет ОКВЭД/ССЧР</t>
        </is>
      </c>
      <c r="V1657" s="35" t="inlineStr">
        <is>
          <t>Не определено</t>
        </is>
      </c>
      <c r="W1657" s="35" t="inlineStr"/>
      <c r="X1657" s="35" t="inlineStr"/>
    </row>
    <row r="1658" ht="27.75" customHeight="1" s="24">
      <c r="A1658" s="13" t="n">
        <v>5000094917</v>
      </c>
      <c r="B1658" s="13" t="inlineStr">
        <is>
          <t>МУ "Местная администрация сельского поселения  Эльбрус"</t>
        </is>
      </c>
      <c r="C1658" s="13" t="n">
        <v>710003197</v>
      </c>
      <c r="D1658" s="13" t="n"/>
      <c r="E1658" s="13" t="inlineStr">
        <is>
          <t>Не определён</t>
        </is>
      </c>
      <c r="F1658" s="13" t="inlineStr">
        <is>
          <t>710003197</t>
        </is>
      </c>
      <c r="G1658" s="14" t="n"/>
      <c r="H1658" s="14" t="n"/>
      <c r="I1658" s="14" t="n"/>
      <c r="J1658" s="14" t="n"/>
      <c r="K1658" s="13">
        <f>IF(G1658="","",IF(G1658&gt;=22,"Да","Нет"))</f>
        <v/>
      </c>
      <c r="L1658" s="13">
        <f>IF(OR(I1658="",J1658=""),"Не определено",IF(OR(COUNTIF(I1658,"45*")&gt;0,COUNTIF(J1658,"*45*")&gt;0,COUNTIF(I1658,"46*")&gt;0,COUNTIF(J1658,"*46*")&gt;0,COUNTIF(I1658,"47*")&gt;0,COUNTIF(J1658,"*47*")&gt;0,COUNTIF(I1658,"10*")&gt;0,COUNTIF(J1658,"*10*")&gt;0,COUNTIF(I1658,"11*")&gt;0,COUNTIF(J1658,"*11*")&gt;0,COUNTIF(I1658,"12*")&gt;0,COUNTIF(J1658,"*12*")&gt;0,COUNTIF(I1658,"13*")&gt;0,COUNTIF(J1658,"*13*")&gt;0,COUNTIF(I1658,"14*")&gt;0,COUNTIF(J1658,"*14*")&gt;0,COUNTIF(I1658,"15*")&gt;0,COUNTIF(J1658,"*15*")&gt;0,COUNTIF(I1658,"16*")&gt;0,COUNTIF(J1658,"*16*")&gt;0,COUNTIF(I1658,"17*")&gt;0,COUNTIF(J1658,"*17*")&gt;0,COUNTIF(I1658,"18*")&gt;0,COUNTIF(J1658,"*18*")&gt;0,COUNTIF(I1658,"19*")&gt;0,COUNTIF(J1658,"*19*")&gt;0,COUNTIF(I1658,"20*")&gt;0,COUNTIF(J1658,"*20*")&gt;0,COUNTIF(I1658,"21*")&gt;0,COUNTIF(J1658,"*21*")&gt;0,COUNTIF(I1658,"22*")&gt;0,COUNTIF(J1658,"*22*")&gt;0,COUNTIF(I1658,"23*")&gt;0,COUNTIF(J1658,"*23*")&gt;0,COUNTIF(I1658,"24*")&gt;0,COUNTIF(J1658,"*24*")&gt;0,COUNTIF(I1658,"25*")&gt;0,COUNTIF(J1658,"*25*")&gt;0,COUNTIF(I1658,"26*")&gt;0,COUNTIF(J1658,"*26*")&gt;0,COUNTIF(I1658,"27*")&gt;0,COUNTIF(J1658,"*27*")&gt;0,COUNTIF(I1658,"28*")&gt;0,COUNTIF(J1658,"*28*")&gt;0,COUNTIF(I1658,"29*")&gt;0,COUNTIF(J1658,"*29*")&gt;0,COUNTIF(I1658,"30*")&gt;0,COUNTIF(J1658,"*30*")&gt;0,COUNTIF(I1658,"31*")&gt;0,COUNTIF(J1658,"*31*")&gt;0,COUNTIF(I1658,"32*")&gt;0,COUNTIF(J1658,"*32*")&gt;0,COUNTIF(I1658,"33*")&gt;0,COUNTIF(J1658,"*33*")&gt;0,COUNTIF(I1658,"41*")&gt;0,COUNTIF(J1658,"*41*")&gt;0,COUNTIF(I1658,"42*")&gt;0,COUNTIF(J1658,"*42*")&gt;0,COUNTIF(I1658,"43*")&gt;0,COUNTIF(J1658,"*43*")&gt;0,COUNTIF(I1658,"49*")&gt;0,COUNTIF(J1658,"*49*")&gt;0,COUNTIF(I1658,"52*")&gt;0,COUNTIF(J1658,"*52*")&gt;0,COUNTIF(I1658,"55*")&gt;0,COUNTIF(J1658,"*55*")&gt;0,COUNTIF(I1658,"56*")&gt;0,COUNTIF(J1658,"*56*")&gt;0,COUNTIF(I1658,"68*")&gt;0,COUNTIF(J1658,"*68*")&gt;0,COUNTIF(I1658,"78*")&gt;0,COUNTIF(J1658,"*78*")&gt;0,COUNTIF(I1658,"81*")&gt;0,COUNTIF(J1658,"*81*")&gt;0,COUNTIF(I1658,"82*")&gt;0,COUNTIF(J1658,"*82*")&gt;0,COUNTIF(I1658,"64*")&gt;0,COUNTIF(J1658,"*64*")&gt;0,COUNTIF(I1658,"65*")&gt;0,COUNTIF(J1658,"*65*")&gt;0,COUNTIF(I1658,"66*")&gt;0,COUNTIF(J1658,"*66*")&gt;0,COUNTIF(I1658,"61*")&gt;0,COUNTIF(J1658,"*61*")&gt;0,COUNTIF(I1658,"62*")&gt;0,COUNTIF(J1658,"*62*")&gt;0,COUNTIF(I1658,"63*")&gt;0,COUNTIF(J1658,"*63*")&gt;0,COUNTIF(I1658,"85*")&gt;0,COUNTIF(J1658,"*85*")&gt;0,COUNTIF(I1658,"86*")&gt;0,COUNTIF(J1658,"*86*")&gt;0),"Да","Нет"))</f>
        <v/>
      </c>
      <c r="M1658" s="13">
        <f>IF(OR(G1658="",L1658&lt;&gt;"Да"),"",IF(G1658&lt;=100,"До 100",IF(G1658&lt;=200,"До 200",IF(G1658&lt;=500,"До 500","Отдельное КП"))))</f>
        <v/>
      </c>
      <c r="N1658" s="15">
        <f>IF(OR(G1658="",L1658&lt;&gt;"Да"),"",IF(G1658&lt;=100,33600,IF(G1658&lt;=200,62400,IF(G1658&lt;=500,144000,""))))</f>
        <v/>
      </c>
      <c r="O1658" s="16">
        <f>IF(G1658="","",IF(G1658&lt;=15,"1–15",IF(G1658&lt;=30,"16–30",IF(G1658&lt;=50,"31–50",IF(G1658&lt;=100,"51–100",IF(G1658&lt;=150,"101–150",IF(G1658&lt;=200,"151–200",IF(G1658&lt;=500,"201–500","500+"))))))))</f>
        <v/>
      </c>
      <c r="P1658" s="16" t="inlineStr">
        <is>
          <t>Нет совпадения в предоставленной выгрузке ССЧР</t>
        </is>
      </c>
      <c r="Q1658" s="16" t="n"/>
      <c r="R1658" s="16">
        <f>HYPERLINK("https://checko.ru/search?query=3801001629","Чекко: проверить")</f>
        <v/>
      </c>
      <c r="S1658" t="n">
        <v>0</v>
      </c>
    </row>
    <row r="1659" ht="41.25" customHeight="1" s="24">
      <c r="A1659" s="13" t="n">
        <v>5000094755</v>
      </c>
      <c r="B1659" s="13" t="inlineStr">
        <is>
          <t>МКУ "Управление финансов местной администрации Урванского муниципального района КБР"</t>
        </is>
      </c>
      <c r="C1659" s="13" t="n">
        <v>707005571</v>
      </c>
      <c r="D1659" s="13" t="n"/>
      <c r="E1659" s="13" t="inlineStr">
        <is>
          <t>Не определён</t>
        </is>
      </c>
      <c r="F1659" s="13" t="inlineStr">
        <is>
          <t>707005571</t>
        </is>
      </c>
      <c r="G1659" s="14" t="n"/>
      <c r="H1659" s="14" t="n"/>
      <c r="I1659" s="14" t="n"/>
      <c r="J1659" s="14" t="n"/>
      <c r="K1659" s="13">
        <f>IF(G1659="","",IF(G1659&gt;=22,"Да","Нет"))</f>
        <v/>
      </c>
      <c r="L1659" s="13">
        <f>IF(OR(I1659="",J1659=""),"Не определено",IF(OR(COUNTIF(I1659,"45*")&gt;0,COUNTIF(J1659,"*45*")&gt;0,COUNTIF(I1659,"46*")&gt;0,COUNTIF(J1659,"*46*")&gt;0,COUNTIF(I1659,"47*")&gt;0,COUNTIF(J1659,"*47*")&gt;0,COUNTIF(I1659,"10*")&gt;0,COUNTIF(J1659,"*10*")&gt;0,COUNTIF(I1659,"11*")&gt;0,COUNTIF(J1659,"*11*")&gt;0,COUNTIF(I1659,"12*")&gt;0,COUNTIF(J1659,"*12*")&gt;0,COUNTIF(I1659,"13*")&gt;0,COUNTIF(J1659,"*13*")&gt;0,COUNTIF(I1659,"14*")&gt;0,COUNTIF(J1659,"*14*")&gt;0,COUNTIF(I1659,"15*")&gt;0,COUNTIF(J1659,"*15*")&gt;0,COUNTIF(I1659,"16*")&gt;0,COUNTIF(J1659,"*16*")&gt;0,COUNTIF(I1659,"17*")&gt;0,COUNTIF(J1659,"*17*")&gt;0,COUNTIF(I1659,"18*")&gt;0,COUNTIF(J1659,"*18*")&gt;0,COUNTIF(I1659,"19*")&gt;0,COUNTIF(J1659,"*19*")&gt;0,COUNTIF(I1659,"20*")&gt;0,COUNTIF(J1659,"*20*")&gt;0,COUNTIF(I1659,"21*")&gt;0,COUNTIF(J1659,"*21*")&gt;0,COUNTIF(I1659,"22*")&gt;0,COUNTIF(J1659,"*22*")&gt;0,COUNTIF(I1659,"23*")&gt;0,COUNTIF(J1659,"*23*")&gt;0,COUNTIF(I1659,"24*")&gt;0,COUNTIF(J1659,"*24*")&gt;0,COUNTIF(I1659,"25*")&gt;0,COUNTIF(J1659,"*25*")&gt;0,COUNTIF(I1659,"26*")&gt;0,COUNTIF(J1659,"*26*")&gt;0,COUNTIF(I1659,"27*")&gt;0,COUNTIF(J1659,"*27*")&gt;0,COUNTIF(I1659,"28*")&gt;0,COUNTIF(J1659,"*28*")&gt;0,COUNTIF(I1659,"29*")&gt;0,COUNTIF(J1659,"*29*")&gt;0,COUNTIF(I1659,"30*")&gt;0,COUNTIF(J1659,"*30*")&gt;0,COUNTIF(I1659,"31*")&gt;0,COUNTIF(J1659,"*31*")&gt;0,COUNTIF(I1659,"32*")&gt;0,COUNTIF(J1659,"*32*")&gt;0,COUNTIF(I1659,"33*")&gt;0,COUNTIF(J1659,"*33*")&gt;0,COUNTIF(I1659,"41*")&gt;0,COUNTIF(J1659,"*41*")&gt;0,COUNTIF(I1659,"42*")&gt;0,COUNTIF(J1659,"*42*")&gt;0,COUNTIF(I1659,"43*")&gt;0,COUNTIF(J1659,"*43*")&gt;0,COUNTIF(I1659,"49*")&gt;0,COUNTIF(J1659,"*49*")&gt;0,COUNTIF(I1659,"52*")&gt;0,COUNTIF(J1659,"*52*")&gt;0,COUNTIF(I1659,"55*")&gt;0,COUNTIF(J1659,"*55*")&gt;0,COUNTIF(I1659,"56*")&gt;0,COUNTIF(J1659,"*56*")&gt;0,COUNTIF(I1659,"68*")&gt;0,COUNTIF(J1659,"*68*")&gt;0,COUNTIF(I1659,"78*")&gt;0,COUNTIF(J1659,"*78*")&gt;0,COUNTIF(I1659,"81*")&gt;0,COUNTIF(J1659,"*81*")&gt;0,COUNTIF(I1659,"82*")&gt;0,COUNTIF(J1659,"*82*")&gt;0,COUNTIF(I1659,"64*")&gt;0,COUNTIF(J1659,"*64*")&gt;0,COUNTIF(I1659,"65*")&gt;0,COUNTIF(J1659,"*65*")&gt;0,COUNTIF(I1659,"66*")&gt;0,COUNTIF(J1659,"*66*")&gt;0,COUNTIF(I1659,"61*")&gt;0,COUNTIF(J1659,"*61*")&gt;0,COUNTIF(I1659,"62*")&gt;0,COUNTIF(J1659,"*62*")&gt;0,COUNTIF(I1659,"63*")&gt;0,COUNTIF(J1659,"*63*")&gt;0,COUNTIF(I1659,"85*")&gt;0,COUNTIF(J1659,"*85*")&gt;0,COUNTIF(I1659,"86*")&gt;0,COUNTIF(J1659,"*86*")&gt;0),"Да","Нет"))</f>
        <v/>
      </c>
      <c r="M1659" s="13">
        <f>IF(OR(G1659="",L1659&lt;&gt;"Да"),"",IF(G1659&lt;=100,"До 100",IF(G1659&lt;=200,"До 200",IF(G1659&lt;=500,"До 500","Отдельное КП"))))</f>
        <v/>
      </c>
      <c r="N1659" s="15">
        <f>IF(OR(G1659="",L1659&lt;&gt;"Да"),"",IF(G1659&lt;=100,33600,IF(G1659&lt;=200,62400,IF(G1659&lt;=500,144000,""))))</f>
        <v/>
      </c>
      <c r="O1659" s="16">
        <f>IF(G1659="","",IF(G1659&lt;=15,"1–15",IF(G1659&lt;=30,"16–30",IF(G1659&lt;=50,"31–50",IF(G1659&lt;=100,"51–100",IF(G1659&lt;=150,"101–150",IF(G1659&lt;=200,"151–200",IF(G1659&lt;=500,"201–500","500+"))))))))</f>
        <v/>
      </c>
      <c r="P1659" s="16" t="inlineStr">
        <is>
          <t>Нет совпадения в предоставленной выгрузке ССЧР</t>
        </is>
      </c>
      <c r="Q1659" s="16" t="n"/>
      <c r="R1659" s="16">
        <f>HYPERLINK("https://checko.ru/search?query=3801001629","Чекко: проверить")</f>
        <v/>
      </c>
      <c r="S1659" t="n">
        <v>0</v>
      </c>
    </row>
    <row r="1660" ht="41.25" customHeight="1" s="24">
      <c r="A1660" s="13" t="n">
        <v>5000095083</v>
      </c>
      <c r="B1660" s="13" t="inlineStr">
        <is>
          <t>ГКУ "Республиканский Социально-Реабилитационный Центр для несовершеннолетних "Намыс" МТ и СР КБР</t>
        </is>
      </c>
      <c r="C1660" s="13" t="n">
        <v>714006431</v>
      </c>
      <c r="D1660" s="13" t="n"/>
      <c r="E1660" s="13" t="inlineStr">
        <is>
          <t>Не определён</t>
        </is>
      </c>
      <c r="F1660" s="13" t="inlineStr">
        <is>
          <t>714006431</t>
        </is>
      </c>
      <c r="G1660" s="14" t="n"/>
      <c r="H1660" s="14" t="n"/>
      <c r="I1660" s="14" t="n"/>
      <c r="J1660" s="14" t="n"/>
      <c r="K1660" s="13">
        <f>IF(G1660="","",IF(G1660&gt;=22,"Да","Нет"))</f>
        <v/>
      </c>
      <c r="L1660" s="13">
        <f>IF(OR(I1660="",J1660=""),"Не определено",IF(OR(COUNTIF(I1660,"45*")&gt;0,COUNTIF(J1660,"*45*")&gt;0,COUNTIF(I1660,"46*")&gt;0,COUNTIF(J1660,"*46*")&gt;0,COUNTIF(I1660,"47*")&gt;0,COUNTIF(J1660,"*47*")&gt;0,COUNTIF(I1660,"10*")&gt;0,COUNTIF(J1660,"*10*")&gt;0,COUNTIF(I1660,"11*")&gt;0,COUNTIF(J1660,"*11*")&gt;0,COUNTIF(I1660,"12*")&gt;0,COUNTIF(J1660,"*12*")&gt;0,COUNTIF(I1660,"13*")&gt;0,COUNTIF(J1660,"*13*")&gt;0,COUNTIF(I1660,"14*")&gt;0,COUNTIF(J1660,"*14*")&gt;0,COUNTIF(I1660,"15*")&gt;0,COUNTIF(J1660,"*15*")&gt;0,COUNTIF(I1660,"16*")&gt;0,COUNTIF(J1660,"*16*")&gt;0,COUNTIF(I1660,"17*")&gt;0,COUNTIF(J1660,"*17*")&gt;0,COUNTIF(I1660,"18*")&gt;0,COUNTIF(J1660,"*18*")&gt;0,COUNTIF(I1660,"19*")&gt;0,COUNTIF(J1660,"*19*")&gt;0,COUNTIF(I1660,"20*")&gt;0,COUNTIF(J1660,"*20*")&gt;0,COUNTIF(I1660,"21*")&gt;0,COUNTIF(J1660,"*21*")&gt;0,COUNTIF(I1660,"22*")&gt;0,COUNTIF(J1660,"*22*")&gt;0,COUNTIF(I1660,"23*")&gt;0,COUNTIF(J1660,"*23*")&gt;0,COUNTIF(I1660,"24*")&gt;0,COUNTIF(J1660,"*24*")&gt;0,COUNTIF(I1660,"25*")&gt;0,COUNTIF(J1660,"*25*")&gt;0,COUNTIF(I1660,"26*")&gt;0,COUNTIF(J1660,"*26*")&gt;0,COUNTIF(I1660,"27*")&gt;0,COUNTIF(J1660,"*27*")&gt;0,COUNTIF(I1660,"28*")&gt;0,COUNTIF(J1660,"*28*")&gt;0,COUNTIF(I1660,"29*")&gt;0,COUNTIF(J1660,"*29*")&gt;0,COUNTIF(I1660,"30*")&gt;0,COUNTIF(J1660,"*30*")&gt;0,COUNTIF(I1660,"31*")&gt;0,COUNTIF(J1660,"*31*")&gt;0,COUNTIF(I1660,"32*")&gt;0,COUNTIF(J1660,"*32*")&gt;0,COUNTIF(I1660,"33*")&gt;0,COUNTIF(J1660,"*33*")&gt;0,COUNTIF(I1660,"41*")&gt;0,COUNTIF(J1660,"*41*")&gt;0,COUNTIF(I1660,"42*")&gt;0,COUNTIF(J1660,"*42*")&gt;0,COUNTIF(I1660,"43*")&gt;0,COUNTIF(J1660,"*43*")&gt;0,COUNTIF(I1660,"49*")&gt;0,COUNTIF(J1660,"*49*")&gt;0,COUNTIF(I1660,"52*")&gt;0,COUNTIF(J1660,"*52*")&gt;0,COUNTIF(I1660,"55*")&gt;0,COUNTIF(J1660,"*55*")&gt;0,COUNTIF(I1660,"56*")&gt;0,COUNTIF(J1660,"*56*")&gt;0,COUNTIF(I1660,"68*")&gt;0,COUNTIF(J1660,"*68*")&gt;0,COUNTIF(I1660,"78*")&gt;0,COUNTIF(J1660,"*78*")&gt;0,COUNTIF(I1660,"81*")&gt;0,COUNTIF(J1660,"*81*")&gt;0,COUNTIF(I1660,"82*")&gt;0,COUNTIF(J1660,"*82*")&gt;0,COUNTIF(I1660,"64*")&gt;0,COUNTIF(J1660,"*64*")&gt;0,COUNTIF(I1660,"65*")&gt;0,COUNTIF(J1660,"*65*")&gt;0,COUNTIF(I1660,"66*")&gt;0,COUNTIF(J1660,"*66*")&gt;0,COUNTIF(I1660,"61*")&gt;0,COUNTIF(J1660,"*61*")&gt;0,COUNTIF(I1660,"62*")&gt;0,COUNTIF(J1660,"*62*")&gt;0,COUNTIF(I1660,"63*")&gt;0,COUNTIF(J1660,"*63*")&gt;0,COUNTIF(I1660,"85*")&gt;0,COUNTIF(J1660,"*85*")&gt;0,COUNTIF(I1660,"86*")&gt;0,COUNTIF(J1660,"*86*")&gt;0),"Да","Нет"))</f>
        <v/>
      </c>
      <c r="M1660" s="13">
        <f>IF(OR(G1660="",L1660&lt;&gt;"Да"),"",IF(G1660&lt;=100,"До 100",IF(G1660&lt;=200,"До 200",IF(G1660&lt;=500,"До 500","Отдельное КП"))))</f>
        <v/>
      </c>
      <c r="N1660" s="15">
        <f>IF(OR(G1660="",L1660&lt;&gt;"Да"),"",IF(G1660&lt;=100,33600,IF(G1660&lt;=200,62400,IF(G1660&lt;=500,144000,""))))</f>
        <v/>
      </c>
      <c r="O1660" s="16">
        <f>IF(G1660="","",IF(G1660&lt;=15,"1–15",IF(G1660&lt;=30,"16–30",IF(G1660&lt;=50,"31–50",IF(G1660&lt;=100,"51–100",IF(G1660&lt;=150,"101–150",IF(G1660&lt;=200,"151–200",IF(G1660&lt;=500,"201–500","500+"))))))))</f>
        <v/>
      </c>
      <c r="P1660" s="16" t="inlineStr">
        <is>
          <t>Нет совпадения в предоставленной выгрузке ССЧР</t>
        </is>
      </c>
      <c r="Q1660" s="16" t="n"/>
      <c r="R1660" s="16">
        <f>HYPERLINK("https://checko.ru/search?query=3801001629","Чекко: проверить")</f>
        <v/>
      </c>
      <c r="S1660" t="n">
        <v>0</v>
      </c>
    </row>
    <row r="1661" ht="27.75" customHeight="1" s="24">
      <c r="A1661" s="13" t="n">
        <v>5000001665</v>
      </c>
      <c r="B1661" s="13" t="inlineStr">
        <is>
          <t>ОбГКУ СО «Социально-реабилитационный центр для несовершеннолетних Заларинского района»</t>
        </is>
      </c>
      <c r="C1661" s="13" t="n">
        <v>3825002533</v>
      </c>
      <c r="D1661" s="13" t="inlineStr">
        <is>
          <t>3825002533</t>
        </is>
      </c>
      <c r="E1661" s="13" t="inlineStr">
        <is>
          <t>ЮЛ РФ</t>
        </is>
      </c>
      <c r="F1661" s="13" t="n"/>
      <c r="G1661" s="14" t="n"/>
      <c r="H1661" s="14" t="n"/>
      <c r="I1661" s="14" t="n"/>
      <c r="J1661" s="14" t="n"/>
      <c r="K1661" s="53" t="inlineStr"/>
      <c r="L1661" s="53" t="inlineStr">
        <is>
          <t>Не определено</t>
        </is>
      </c>
      <c r="M1661" s="53" t="inlineStr"/>
      <c r="N1661" s="54" t="inlineStr"/>
      <c r="O1661" s="55" t="inlineStr"/>
      <c r="P1661" s="16" t="inlineStr">
        <is>
          <t>Требует обогащения</t>
        </is>
      </c>
      <c r="Q1661" s="16">
        <f>HYPERLINK("https://pb.nalog.ru/search.html?query=3825002533","ФНС: проверить")</f>
        <v/>
      </c>
      <c r="R1661" s="16">
        <f>HYPERLINK("https://checko.ru/search?query=3801001629","Чекко: проверить")</f>
        <v/>
      </c>
      <c r="S1661" t="n">
        <v>1</v>
      </c>
      <c r="T1661" s="35" t="inlineStr">
        <is>
          <t>4 — Не обогащён</t>
        </is>
      </c>
      <c r="U1661" s="35" t="inlineStr">
        <is>
          <t>Нет ОКВЭД/ССЧР</t>
        </is>
      </c>
      <c r="V1661" s="35" t="inlineStr">
        <is>
          <t>Не определено</t>
        </is>
      </c>
      <c r="W1661" s="35" t="inlineStr"/>
      <c r="X1661" s="35" t="inlineStr"/>
    </row>
    <row r="1662" ht="15" customHeight="1" s="24">
      <c r="A1662" s="13" t="n">
        <v>5000062608</v>
      </c>
      <c r="B1662" s="13" t="inlineStr">
        <is>
          <t>Областной центр профессиональной патологии</t>
        </is>
      </c>
      <c r="C1662" s="13" t="n">
        <v>7327018175</v>
      </c>
      <c r="D1662" s="13" t="inlineStr">
        <is>
          <t>7327018175</t>
        </is>
      </c>
      <c r="E1662" s="13" t="inlineStr">
        <is>
          <t>ЮЛ РФ</t>
        </is>
      </c>
      <c r="F1662" s="13" t="n"/>
      <c r="G1662" s="14" t="n"/>
      <c r="H1662" s="14" t="n"/>
      <c r="I1662" s="14" t="n"/>
      <c r="J1662" s="14" t="n"/>
      <c r="K1662" s="53" t="inlineStr"/>
      <c r="L1662" s="53" t="inlineStr">
        <is>
          <t>Не определено</t>
        </is>
      </c>
      <c r="M1662" s="53" t="inlineStr"/>
      <c r="N1662" s="54" t="inlineStr"/>
      <c r="O1662" s="55" t="inlineStr"/>
      <c r="P1662" s="16" t="inlineStr">
        <is>
          <t>Требует обогащения</t>
        </is>
      </c>
      <c r="Q1662" s="16">
        <f>HYPERLINK("https://pb.nalog.ru/search.html?query=7327018175","ФНС: проверить")</f>
        <v/>
      </c>
      <c r="R1662" s="16">
        <f>HYPERLINK("https://checko.ru/search?query=3801001629","Чекко: проверить")</f>
        <v/>
      </c>
      <c r="S1662" t="n">
        <v>1</v>
      </c>
      <c r="T1662" s="35" t="inlineStr">
        <is>
          <t>4 — Не обогащён</t>
        </is>
      </c>
      <c r="U1662" s="35" t="inlineStr">
        <is>
          <t>Нет ОКВЭД/ССЧР</t>
        </is>
      </c>
      <c r="V1662" s="35" t="inlineStr">
        <is>
          <t>Не определено</t>
        </is>
      </c>
      <c r="W1662" s="35" t="inlineStr"/>
      <c r="X1662" s="35" t="inlineStr"/>
    </row>
    <row r="1663" ht="27.75" customHeight="1" s="24">
      <c r="A1663" s="13" t="n">
        <v>5000062637</v>
      </c>
      <c r="B1663" s="13" t="inlineStr">
        <is>
          <t>ГУЗ "Базарносызганская центральная районная больница"</t>
        </is>
      </c>
      <c r="C1663" s="13" t="n">
        <v>7324000814</v>
      </c>
      <c r="D1663" s="13" t="inlineStr">
        <is>
          <t>7324000814</t>
        </is>
      </c>
      <c r="E1663" s="13" t="inlineStr">
        <is>
          <t>ЮЛ РФ</t>
        </is>
      </c>
      <c r="F1663" s="13" t="n"/>
      <c r="G1663" s="14" t="n"/>
      <c r="H1663" s="14" t="n"/>
      <c r="I1663" s="14" t="n"/>
      <c r="J1663" s="14" t="n"/>
      <c r="K1663" s="53" t="inlineStr"/>
      <c r="L1663" s="53" t="inlineStr">
        <is>
          <t>Не определено</t>
        </is>
      </c>
      <c r="M1663" s="53" t="inlineStr"/>
      <c r="N1663" s="54" t="inlineStr"/>
      <c r="O1663" s="55" t="inlineStr"/>
      <c r="P1663" s="16" t="inlineStr">
        <is>
          <t>Требует обогащения</t>
        </is>
      </c>
      <c r="Q1663" s="16">
        <f>HYPERLINK("https://pb.nalog.ru/search.html?query=7324000814","ФНС: проверить")</f>
        <v/>
      </c>
      <c r="R1663" s="16">
        <f>HYPERLINK("https://checko.ru/search?query=3801001629","Чекко: проверить")</f>
        <v/>
      </c>
      <c r="S1663" t="n">
        <v>1</v>
      </c>
      <c r="T1663" s="35" t="inlineStr">
        <is>
          <t>4 — Не обогащён</t>
        </is>
      </c>
      <c r="U1663" s="35" t="inlineStr">
        <is>
          <t>Нет ОКВЭД/ССЧР</t>
        </is>
      </c>
      <c r="V1663" s="35" t="inlineStr">
        <is>
          <t>Не определено</t>
        </is>
      </c>
      <c r="W1663" s="35" t="inlineStr"/>
      <c r="X1663" s="35" t="inlineStr"/>
    </row>
    <row r="1664" ht="15" customHeight="1" s="24">
      <c r="A1664" s="13" t="n">
        <v>5000001341</v>
      </c>
      <c r="B1664" s="13" t="inlineStr">
        <is>
          <t>ОГБОУ СПОт "Училище Олимпийского резерва"</t>
        </is>
      </c>
      <c r="C1664" s="13" t="n">
        <v>3801017259</v>
      </c>
      <c r="D1664" s="13" t="inlineStr">
        <is>
          <t>3801017259</t>
        </is>
      </c>
      <c r="E1664" s="13" t="inlineStr">
        <is>
          <t>ЮЛ РФ</t>
        </is>
      </c>
      <c r="F1664" s="13" t="n"/>
      <c r="G1664" s="14" t="n"/>
      <c r="H1664" s="14" t="n"/>
      <c r="I1664" s="14" t="n"/>
      <c r="J1664" s="14" t="n"/>
      <c r="K1664" s="53" t="inlineStr"/>
      <c r="L1664" s="53" t="inlineStr">
        <is>
          <t>Не определено</t>
        </is>
      </c>
      <c r="M1664" s="53" t="inlineStr"/>
      <c r="N1664" s="54" t="inlineStr"/>
      <c r="O1664" s="55" t="inlineStr"/>
      <c r="P1664" s="16" t="inlineStr">
        <is>
          <t>Требует обогащения</t>
        </is>
      </c>
      <c r="Q1664" s="16">
        <f>HYPERLINK("https://pb.nalog.ru/search.html?query=3801017259","ФНС: проверить")</f>
        <v/>
      </c>
      <c r="R1664" s="16">
        <f>HYPERLINK("https://checko.ru/search?query=3801001629","Чекко: проверить")</f>
        <v/>
      </c>
      <c r="S1664" t="n">
        <v>1</v>
      </c>
      <c r="T1664" s="35" t="inlineStr">
        <is>
          <t>4 — Не обогащён</t>
        </is>
      </c>
      <c r="U1664" s="35" t="inlineStr">
        <is>
          <t>Нет ОКВЭД/ССЧР</t>
        </is>
      </c>
      <c r="V1664" s="35" t="inlineStr">
        <is>
          <t>Не определено</t>
        </is>
      </c>
      <c r="W1664" s="35" t="inlineStr"/>
      <c r="X1664" s="35" t="inlineStr"/>
    </row>
    <row r="1665" ht="27.75" customHeight="1" s="24">
      <c r="A1665" s="13" t="n">
        <v>5000001602</v>
      </c>
      <c r="B1665" s="13" t="inlineStr">
        <is>
          <t>МАУЗ "Городская больница №3" муниципального образования города Братска</t>
        </is>
      </c>
      <c r="C1665" s="13" t="n">
        <v>3805100099</v>
      </c>
      <c r="D1665" s="13" t="inlineStr">
        <is>
          <t>3805100099</t>
        </is>
      </c>
      <c r="E1665" s="13" t="inlineStr">
        <is>
          <t>ЮЛ РФ</t>
        </is>
      </c>
      <c r="F1665" s="13" t="n"/>
      <c r="G1665" s="14" t="n"/>
      <c r="H1665" s="14" t="n"/>
      <c r="I1665" s="14" t="n"/>
      <c r="J1665" s="14" t="n"/>
      <c r="K1665" s="53" t="inlineStr"/>
      <c r="L1665" s="53" t="inlineStr">
        <is>
          <t>Не определено</t>
        </is>
      </c>
      <c r="M1665" s="53" t="inlineStr"/>
      <c r="N1665" s="54" t="inlineStr"/>
      <c r="O1665" s="55" t="inlineStr"/>
      <c r="P1665" s="16" t="inlineStr">
        <is>
          <t>Требует обогащения</t>
        </is>
      </c>
      <c r="Q1665" s="16">
        <f>HYPERLINK("https://pb.nalog.ru/search.html?query=3805100099","ФНС: проверить")</f>
        <v/>
      </c>
      <c r="R1665" s="16">
        <f>HYPERLINK("https://checko.ru/search?query=3801001629","Чекко: проверить")</f>
        <v/>
      </c>
      <c r="S1665" t="n">
        <v>1</v>
      </c>
      <c r="T1665" s="35" t="inlineStr">
        <is>
          <t>4 — Не обогащён</t>
        </is>
      </c>
      <c r="U1665" s="35" t="inlineStr">
        <is>
          <t>Нет ОКВЭД/ССЧР</t>
        </is>
      </c>
      <c r="V1665" s="35" t="inlineStr">
        <is>
          <t>Не определено</t>
        </is>
      </c>
      <c r="W1665" s="35" t="inlineStr"/>
      <c r="X1665" s="35" t="inlineStr"/>
    </row>
    <row r="1666" ht="15" customHeight="1" s="24">
      <c r="A1666" s="13" t="n">
        <v>5000060615</v>
      </c>
      <c r="B1666" s="13" t="inlineStr">
        <is>
          <t>ОбГАУ «Центр информационных технологий»</t>
        </is>
      </c>
      <c r="C1666" s="13" t="n">
        <v>7325095777</v>
      </c>
      <c r="D1666" s="13" t="inlineStr">
        <is>
          <t>7325095777</t>
        </is>
      </c>
      <c r="E1666" s="13" t="inlineStr">
        <is>
          <t>ЮЛ РФ</t>
        </is>
      </c>
      <c r="F1666" s="13" t="n"/>
      <c r="G1666" s="14" t="n"/>
      <c r="H1666" s="14" t="n"/>
      <c r="I1666" s="14" t="n"/>
      <c r="J1666" s="14" t="n"/>
      <c r="K1666" s="53" t="inlineStr"/>
      <c r="L1666" s="53" t="inlineStr">
        <is>
          <t>Не определено</t>
        </is>
      </c>
      <c r="M1666" s="53" t="inlineStr"/>
      <c r="N1666" s="54" t="inlineStr"/>
      <c r="O1666" s="55" t="inlineStr"/>
      <c r="P1666" s="16" t="inlineStr">
        <is>
          <t>Требует обогащения</t>
        </is>
      </c>
      <c r="Q1666" s="16">
        <f>HYPERLINK("https://pb.nalog.ru/search.html?query=7325095777","ФНС: проверить")</f>
        <v/>
      </c>
      <c r="R1666" s="16">
        <f>HYPERLINK("https://checko.ru/search?query=3801001629","Чекко: проверить")</f>
        <v/>
      </c>
      <c r="S1666" t="n">
        <v>1</v>
      </c>
      <c r="T1666" s="35" t="inlineStr">
        <is>
          <t>4 — Не обогащён</t>
        </is>
      </c>
      <c r="U1666" s="35" t="inlineStr">
        <is>
          <t>Нет ОКВЭД/ССЧР</t>
        </is>
      </c>
      <c r="V1666" s="35" t="inlineStr">
        <is>
          <t>Не определено</t>
        </is>
      </c>
      <c r="W1666" s="35" t="inlineStr"/>
      <c r="X1666" s="35" t="inlineStr"/>
    </row>
    <row r="1667" ht="15" customHeight="1" s="24">
      <c r="A1667" s="13" t="n">
        <v>5000008536</v>
      </c>
      <c r="B1667" s="13" t="inlineStr">
        <is>
          <t>УФССП России по Новгородской области</t>
        </is>
      </c>
      <c r="C1667" s="13" t="n">
        <v>5321100670</v>
      </c>
      <c r="D1667" s="13" t="inlineStr">
        <is>
          <t>5321100670</t>
        </is>
      </c>
      <c r="E1667" s="13" t="inlineStr">
        <is>
          <t>ЮЛ РФ</t>
        </is>
      </c>
      <c r="F1667" s="13" t="n"/>
      <c r="G1667" s="14" t="n"/>
      <c r="H1667" s="14" t="n"/>
      <c r="I1667" s="14" t="n"/>
      <c r="J1667" s="14" t="n"/>
      <c r="K1667" s="53" t="inlineStr"/>
      <c r="L1667" s="53" t="inlineStr">
        <is>
          <t>Не определено</t>
        </is>
      </c>
      <c r="M1667" s="53" t="inlineStr"/>
      <c r="N1667" s="54" t="inlineStr"/>
      <c r="O1667" s="55" t="inlineStr"/>
      <c r="P1667" s="16" t="inlineStr">
        <is>
          <t>Требует обогащения</t>
        </is>
      </c>
      <c r="Q1667" s="16">
        <f>HYPERLINK("https://pb.nalog.ru/search.html?query=5321100670","ФНС: проверить")</f>
        <v/>
      </c>
      <c r="R1667" s="16">
        <f>HYPERLINK("https://checko.ru/search?query=3801001629","Чекко: проверить")</f>
        <v/>
      </c>
      <c r="S1667" t="n">
        <v>1</v>
      </c>
      <c r="T1667" s="35" t="inlineStr">
        <is>
          <t>4 — Не обогащён</t>
        </is>
      </c>
      <c r="U1667" s="35" t="inlineStr">
        <is>
          <t>Нет ОКВЭД/ССЧР</t>
        </is>
      </c>
      <c r="V1667" s="35" t="inlineStr">
        <is>
          <t>Не определено</t>
        </is>
      </c>
      <c r="W1667" s="35" t="inlineStr"/>
      <c r="X1667" s="35" t="inlineStr"/>
    </row>
    <row r="1668" ht="15" customHeight="1" s="24">
      <c r="A1668" s="13" t="n">
        <v>5000014486</v>
      </c>
      <c r="B1668" s="13" t="inlineStr">
        <is>
          <t>УФССП России по Воронежской области</t>
        </is>
      </c>
      <c r="C1668" s="13" t="n">
        <v>3664062377</v>
      </c>
      <c r="D1668" s="13" t="inlineStr">
        <is>
          <t>3664062377</t>
        </is>
      </c>
      <c r="E1668" s="13" t="inlineStr">
        <is>
          <t>ЮЛ РФ</t>
        </is>
      </c>
      <c r="F1668" s="13" t="n"/>
      <c r="G1668" s="14" t="n"/>
      <c r="H1668" s="14" t="n"/>
      <c r="I1668" s="14" t="n"/>
      <c r="J1668" s="14" t="n"/>
      <c r="K1668" s="53" t="inlineStr"/>
      <c r="L1668" s="53" t="inlineStr">
        <is>
          <t>Не определено</t>
        </is>
      </c>
      <c r="M1668" s="53" t="inlineStr"/>
      <c r="N1668" s="54" t="inlineStr"/>
      <c r="O1668" s="55" t="inlineStr"/>
      <c r="P1668" s="16" t="inlineStr">
        <is>
          <t>Требует обогащения</t>
        </is>
      </c>
      <c r="Q1668" s="16">
        <f>HYPERLINK("https://pb.nalog.ru/search.html?query=3664062377","ФНС: проверить")</f>
        <v/>
      </c>
      <c r="R1668" s="16">
        <f>HYPERLINK("https://checko.ru/search?query=3801001629","Чекко: проверить")</f>
        <v/>
      </c>
      <c r="S1668" t="n">
        <v>1</v>
      </c>
      <c r="T1668" s="35" t="inlineStr">
        <is>
          <t>4 — Не обогащён</t>
        </is>
      </c>
      <c r="U1668" s="35" t="inlineStr">
        <is>
          <t>Нет ОКВЭД/ССЧР</t>
        </is>
      </c>
      <c r="V1668" s="35" t="inlineStr">
        <is>
          <t>Не определено</t>
        </is>
      </c>
      <c r="W1668" s="35" t="inlineStr"/>
      <c r="X1668" s="35" t="inlineStr"/>
    </row>
    <row r="1669" ht="27.75" customHeight="1" s="24">
      <c r="A1669" s="13" t="n">
        <v>5000001684</v>
      </c>
      <c r="B1669" s="13" t="inlineStr">
        <is>
          <t>ОГОКУ для детей-сирот и детей, оставшихся без попечения родителей детский дом "Солнышко"</t>
        </is>
      </c>
      <c r="C1669" s="13" t="n">
        <v>3834007496</v>
      </c>
      <c r="D1669" s="13" t="inlineStr">
        <is>
          <t>3834007496</t>
        </is>
      </c>
      <c r="E1669" s="13" t="inlineStr">
        <is>
          <t>ЮЛ РФ</t>
        </is>
      </c>
      <c r="F1669" s="13" t="n"/>
      <c r="G1669" s="14" t="n"/>
      <c r="H1669" s="14" t="n"/>
      <c r="I1669" s="14" t="n"/>
      <c r="J1669" s="14" t="n"/>
      <c r="K1669" s="53" t="inlineStr"/>
      <c r="L1669" s="53" t="inlineStr">
        <is>
          <t>Не определено</t>
        </is>
      </c>
      <c r="M1669" s="53" t="inlineStr"/>
      <c r="N1669" s="54" t="inlineStr"/>
      <c r="O1669" s="55" t="inlineStr"/>
      <c r="P1669" s="16" t="inlineStr">
        <is>
          <t>Требует обогащения</t>
        </is>
      </c>
      <c r="Q1669" s="16">
        <f>HYPERLINK("https://pb.nalog.ru/search.html?query=3834007496","ФНС: проверить")</f>
        <v/>
      </c>
      <c r="R1669" s="16">
        <f>HYPERLINK("https://checko.ru/search?query=3801001629","Чекко: проверить")</f>
        <v/>
      </c>
      <c r="S1669" t="n">
        <v>1</v>
      </c>
      <c r="T1669" s="35" t="inlineStr">
        <is>
          <t>4 — Не обогащён</t>
        </is>
      </c>
      <c r="U1669" s="35" t="inlineStr">
        <is>
          <t>Нет ОКВЭД/ССЧР</t>
        </is>
      </c>
      <c r="V1669" s="35" t="inlineStr">
        <is>
          <t>Не определено</t>
        </is>
      </c>
      <c r="W1669" s="35" t="inlineStr"/>
      <c r="X1669" s="35" t="inlineStr"/>
    </row>
    <row r="1670" ht="41.25" customHeight="1" s="24">
      <c r="A1670" s="13" t="n">
        <v>5000095042</v>
      </c>
      <c r="B1670" s="13" t="inlineStr">
        <is>
          <t>Муниципальное Казенное Общеобразовательное Учреждение Средняя Общеобразовательная Школа № 19</t>
        </is>
      </c>
      <c r="C1670" s="13" t="n">
        <v>711042537</v>
      </c>
      <c r="D1670" s="13" t="n"/>
      <c r="E1670" s="13" t="inlineStr">
        <is>
          <t>Не определён</t>
        </is>
      </c>
      <c r="F1670" s="13" t="inlineStr">
        <is>
          <t>711042537</t>
        </is>
      </c>
      <c r="G1670" s="14" t="n"/>
      <c r="H1670" s="14" t="n"/>
      <c r="I1670" s="14" t="n"/>
      <c r="J1670" s="14" t="n"/>
      <c r="K1670" s="13">
        <f>IF(G1670="","",IF(G1670&gt;=22,"Да","Нет"))</f>
        <v/>
      </c>
      <c r="L1670" s="13">
        <f>IF(OR(I1670="",J1670=""),"Не определено",IF(OR(COUNTIF(I1670,"45*")&gt;0,COUNTIF(J1670,"*45*")&gt;0,COUNTIF(I1670,"46*")&gt;0,COUNTIF(J1670,"*46*")&gt;0,COUNTIF(I1670,"47*")&gt;0,COUNTIF(J1670,"*47*")&gt;0,COUNTIF(I1670,"10*")&gt;0,COUNTIF(J1670,"*10*")&gt;0,COUNTIF(I1670,"11*")&gt;0,COUNTIF(J1670,"*11*")&gt;0,COUNTIF(I1670,"12*")&gt;0,COUNTIF(J1670,"*12*")&gt;0,COUNTIF(I1670,"13*")&gt;0,COUNTIF(J1670,"*13*")&gt;0,COUNTIF(I1670,"14*")&gt;0,COUNTIF(J1670,"*14*")&gt;0,COUNTIF(I1670,"15*")&gt;0,COUNTIF(J1670,"*15*")&gt;0,COUNTIF(I1670,"16*")&gt;0,COUNTIF(J1670,"*16*")&gt;0,COUNTIF(I1670,"17*")&gt;0,COUNTIF(J1670,"*17*")&gt;0,COUNTIF(I1670,"18*")&gt;0,COUNTIF(J1670,"*18*")&gt;0,COUNTIF(I1670,"19*")&gt;0,COUNTIF(J1670,"*19*")&gt;0,COUNTIF(I1670,"20*")&gt;0,COUNTIF(J1670,"*20*")&gt;0,COUNTIF(I1670,"21*")&gt;0,COUNTIF(J1670,"*21*")&gt;0,COUNTIF(I1670,"22*")&gt;0,COUNTIF(J1670,"*22*")&gt;0,COUNTIF(I1670,"23*")&gt;0,COUNTIF(J1670,"*23*")&gt;0,COUNTIF(I1670,"24*")&gt;0,COUNTIF(J1670,"*24*")&gt;0,COUNTIF(I1670,"25*")&gt;0,COUNTIF(J1670,"*25*")&gt;0,COUNTIF(I1670,"26*")&gt;0,COUNTIF(J1670,"*26*")&gt;0,COUNTIF(I1670,"27*")&gt;0,COUNTIF(J1670,"*27*")&gt;0,COUNTIF(I1670,"28*")&gt;0,COUNTIF(J1670,"*28*")&gt;0,COUNTIF(I1670,"29*")&gt;0,COUNTIF(J1670,"*29*")&gt;0,COUNTIF(I1670,"30*")&gt;0,COUNTIF(J1670,"*30*")&gt;0,COUNTIF(I1670,"31*")&gt;0,COUNTIF(J1670,"*31*")&gt;0,COUNTIF(I1670,"32*")&gt;0,COUNTIF(J1670,"*32*")&gt;0,COUNTIF(I1670,"33*")&gt;0,COUNTIF(J1670,"*33*")&gt;0,COUNTIF(I1670,"41*")&gt;0,COUNTIF(J1670,"*41*")&gt;0,COUNTIF(I1670,"42*")&gt;0,COUNTIF(J1670,"*42*")&gt;0,COUNTIF(I1670,"43*")&gt;0,COUNTIF(J1670,"*43*")&gt;0,COUNTIF(I1670,"49*")&gt;0,COUNTIF(J1670,"*49*")&gt;0,COUNTIF(I1670,"52*")&gt;0,COUNTIF(J1670,"*52*")&gt;0,COUNTIF(I1670,"55*")&gt;0,COUNTIF(J1670,"*55*")&gt;0,COUNTIF(I1670,"56*")&gt;0,COUNTIF(J1670,"*56*")&gt;0,COUNTIF(I1670,"68*")&gt;0,COUNTIF(J1670,"*68*")&gt;0,COUNTIF(I1670,"78*")&gt;0,COUNTIF(J1670,"*78*")&gt;0,COUNTIF(I1670,"81*")&gt;0,COUNTIF(J1670,"*81*")&gt;0,COUNTIF(I1670,"82*")&gt;0,COUNTIF(J1670,"*82*")&gt;0,COUNTIF(I1670,"64*")&gt;0,COUNTIF(J1670,"*64*")&gt;0,COUNTIF(I1670,"65*")&gt;0,COUNTIF(J1670,"*65*")&gt;0,COUNTIF(I1670,"66*")&gt;0,COUNTIF(J1670,"*66*")&gt;0,COUNTIF(I1670,"61*")&gt;0,COUNTIF(J1670,"*61*")&gt;0,COUNTIF(I1670,"62*")&gt;0,COUNTIF(J1670,"*62*")&gt;0,COUNTIF(I1670,"63*")&gt;0,COUNTIF(J1670,"*63*")&gt;0,COUNTIF(I1670,"85*")&gt;0,COUNTIF(J1670,"*85*")&gt;0,COUNTIF(I1670,"86*")&gt;0,COUNTIF(J1670,"*86*")&gt;0),"Да","Нет"))</f>
        <v/>
      </c>
      <c r="M1670" s="13">
        <f>IF(OR(G1670="",L1670&lt;&gt;"Да"),"",IF(G1670&lt;=100,"До 100",IF(G1670&lt;=200,"До 200",IF(G1670&lt;=500,"До 500","Отдельное КП"))))</f>
        <v/>
      </c>
      <c r="N1670" s="15">
        <f>IF(OR(G1670="",L1670&lt;&gt;"Да"),"",IF(G1670&lt;=100,33600,IF(G1670&lt;=200,62400,IF(G1670&lt;=500,144000,""))))</f>
        <v/>
      </c>
      <c r="O1670" s="16">
        <f>IF(G1670="","",IF(G1670&lt;=15,"1–15",IF(G1670&lt;=30,"16–30",IF(G1670&lt;=50,"31–50",IF(G1670&lt;=100,"51–100",IF(G1670&lt;=150,"101–150",IF(G1670&lt;=200,"151–200",IF(G1670&lt;=500,"201–500","500+"))))))))</f>
        <v/>
      </c>
      <c r="P1670" s="16" t="inlineStr">
        <is>
          <t>Нет совпадения в предоставленной выгрузке ССЧР</t>
        </is>
      </c>
      <c r="Q1670" s="16" t="n"/>
      <c r="R1670" s="16">
        <f>HYPERLINK("https://checko.ru/search?query=3801001629","Чекко: проверить")</f>
        <v/>
      </c>
      <c r="S1670" t="n">
        <v>0</v>
      </c>
    </row>
    <row r="1671" ht="15" customHeight="1" s="24">
      <c r="A1671" s="13" t="n">
        <v>5000001354</v>
      </c>
      <c r="B1671" s="13" t="inlineStr">
        <is>
          <t>Ангарская избирательная коммисия</t>
        </is>
      </c>
      <c r="C1671" s="13" t="n">
        <v>3801069793</v>
      </c>
      <c r="D1671" s="13" t="inlineStr">
        <is>
          <t>3801069793</t>
        </is>
      </c>
      <c r="E1671" s="13" t="inlineStr">
        <is>
          <t>ЮЛ РФ</t>
        </is>
      </c>
      <c r="F1671" s="13" t="n"/>
      <c r="G1671" s="14" t="n"/>
      <c r="H1671" s="14" t="n"/>
      <c r="I1671" s="14" t="n"/>
      <c r="J1671" s="14" t="n"/>
      <c r="K1671" s="53" t="inlineStr"/>
      <c r="L1671" s="53" t="inlineStr">
        <is>
          <t>Не определено</t>
        </is>
      </c>
      <c r="M1671" s="53" t="inlineStr"/>
      <c r="N1671" s="54" t="inlineStr"/>
      <c r="O1671" s="55" t="inlineStr"/>
      <c r="P1671" s="16" t="inlineStr">
        <is>
          <t>Требует обогащения</t>
        </is>
      </c>
      <c r="Q1671" s="16">
        <f>HYPERLINK("https://pb.nalog.ru/search.html?query=3801069793","ФНС: проверить")</f>
        <v/>
      </c>
      <c r="R1671" s="16">
        <f>HYPERLINK("https://checko.ru/search?query=3801001629","Чекко: проверить")</f>
        <v/>
      </c>
      <c r="S1671" t="n">
        <v>1</v>
      </c>
      <c r="T1671" s="35" t="inlineStr">
        <is>
          <t>4 — Не обогащён</t>
        </is>
      </c>
      <c r="U1671" s="35" t="inlineStr">
        <is>
          <t>Нет ОКВЭД/ССЧР</t>
        </is>
      </c>
      <c r="V1671" s="35" t="inlineStr">
        <is>
          <t>Не определено</t>
        </is>
      </c>
      <c r="W1671" s="35" t="inlineStr"/>
      <c r="X1671" s="35" t="inlineStr"/>
    </row>
    <row r="1672" ht="41.25" customHeight="1" s="24">
      <c r="A1672" s="13" t="n">
        <v>5000002060</v>
      </c>
      <c r="B1672" s="13" t="inlineStr">
        <is>
          <t>ОбГБУ "Редакция окружной газеты "Усть-Ордын унэн" администрация Усть-Ордынского Бурятского округа</t>
        </is>
      </c>
      <c r="C1672" s="13" t="n">
        <v>8506009267</v>
      </c>
      <c r="D1672" s="13" t="inlineStr">
        <is>
          <t>8506009267</t>
        </is>
      </c>
      <c r="E1672" s="13" t="inlineStr">
        <is>
          <t>ЮЛ РФ</t>
        </is>
      </c>
      <c r="F1672" s="13" t="n"/>
      <c r="G1672" s="14" t="n"/>
      <c r="H1672" s="14" t="n"/>
      <c r="I1672" s="14" t="n"/>
      <c r="J1672" s="14" t="n"/>
      <c r="K1672" s="53" t="inlineStr"/>
      <c r="L1672" s="53" t="inlineStr">
        <is>
          <t>Не определено</t>
        </is>
      </c>
      <c r="M1672" s="53" t="inlineStr"/>
      <c r="N1672" s="54" t="inlineStr"/>
      <c r="O1672" s="55" t="inlineStr"/>
      <c r="P1672" s="16" t="inlineStr">
        <is>
          <t>Требует обогащения</t>
        </is>
      </c>
      <c r="Q1672" s="16">
        <f>HYPERLINK("https://pb.nalog.ru/search.html?query=8506009267","ФНС: проверить")</f>
        <v/>
      </c>
      <c r="R1672" s="16">
        <f>HYPERLINK("https://checko.ru/search?query=3801001629","Чекко: проверить")</f>
        <v/>
      </c>
      <c r="S1672" t="n">
        <v>1</v>
      </c>
      <c r="T1672" s="35" t="inlineStr">
        <is>
          <t>4 — Не обогащён</t>
        </is>
      </c>
      <c r="U1672" s="35" t="inlineStr">
        <is>
          <t>Нет ОКВЭД/ССЧР</t>
        </is>
      </c>
      <c r="V1672" s="35" t="inlineStr">
        <is>
          <t>Не определено</t>
        </is>
      </c>
      <c r="W1672" s="35" t="inlineStr"/>
      <c r="X1672" s="35" t="inlineStr"/>
    </row>
    <row r="1673" ht="27.75" customHeight="1" s="24">
      <c r="A1673" s="13" t="n">
        <v>5000101682</v>
      </c>
      <c r="B1673" s="13" t="inlineStr">
        <is>
          <t>Государственное казенное учреждение Иркутской области "Слюдянское лесничество"</t>
        </is>
      </c>
      <c r="C1673" s="13" t="n">
        <v>3812997521</v>
      </c>
      <c r="D1673" s="13" t="inlineStr">
        <is>
          <t>3812997521</t>
        </is>
      </c>
      <c r="E1673" s="13" t="inlineStr">
        <is>
          <t>ЮЛ РФ</t>
        </is>
      </c>
      <c r="F1673" s="13" t="n"/>
      <c r="G1673" s="14" t="n"/>
      <c r="H1673" s="14" t="n"/>
      <c r="I1673" s="14" t="n"/>
      <c r="J1673" s="14" t="n"/>
      <c r="K1673" s="53" t="inlineStr"/>
      <c r="L1673" s="53" t="inlineStr">
        <is>
          <t>Не определено</t>
        </is>
      </c>
      <c r="M1673" s="53" t="inlineStr"/>
      <c r="N1673" s="54" t="inlineStr"/>
      <c r="O1673" s="55" t="inlineStr"/>
      <c r="P1673" s="16" t="inlineStr">
        <is>
          <t>Требует обогащения</t>
        </is>
      </c>
      <c r="Q1673" s="16">
        <f>HYPERLINK("https://pb.nalog.ru/search.html?query=3812997521","ФНС: проверить")</f>
        <v/>
      </c>
      <c r="R1673" s="16">
        <f>HYPERLINK("https://checko.ru/search?query=3801001629","Чекко: проверить")</f>
        <v/>
      </c>
      <c r="S1673" t="n">
        <v>1</v>
      </c>
      <c r="T1673" s="35" t="inlineStr">
        <is>
          <t>4 — Не обогащён</t>
        </is>
      </c>
      <c r="U1673" s="35" t="inlineStr">
        <is>
          <t>Нет ОКВЭД/ССЧР</t>
        </is>
      </c>
      <c r="V1673" s="35" t="inlineStr">
        <is>
          <t>Не определено</t>
        </is>
      </c>
      <c r="W1673" s="35" t="inlineStr"/>
      <c r="X1673" s="35" t="inlineStr"/>
    </row>
    <row r="1674" ht="15" customHeight="1" s="24">
      <c r="A1674" s="13" t="n">
        <v>5000095016</v>
      </c>
      <c r="B1674" s="13" t="inlineStr">
        <is>
          <t>ГКОУ "Прогимназия №34" МОН КБР</t>
        </is>
      </c>
      <c r="C1674" s="13" t="n">
        <v>711038266</v>
      </c>
      <c r="D1674" s="13" t="n"/>
      <c r="E1674" s="13" t="inlineStr">
        <is>
          <t>Не определён</t>
        </is>
      </c>
      <c r="F1674" s="13" t="inlineStr">
        <is>
          <t>711038266</t>
        </is>
      </c>
      <c r="G1674" s="14" t="n"/>
      <c r="H1674" s="14" t="n"/>
      <c r="I1674" s="14" t="n"/>
      <c r="J1674" s="14" t="n"/>
      <c r="K1674" s="13">
        <f>IF(G1674="","",IF(G1674&gt;=22,"Да","Нет"))</f>
        <v/>
      </c>
      <c r="L1674" s="13">
        <f>IF(OR(I1674="",J1674=""),"Не определено",IF(OR(COUNTIF(I1674,"45*")&gt;0,COUNTIF(J1674,"*45*")&gt;0,COUNTIF(I1674,"46*")&gt;0,COUNTIF(J1674,"*46*")&gt;0,COUNTIF(I1674,"47*")&gt;0,COUNTIF(J1674,"*47*")&gt;0,COUNTIF(I1674,"10*")&gt;0,COUNTIF(J1674,"*10*")&gt;0,COUNTIF(I1674,"11*")&gt;0,COUNTIF(J1674,"*11*")&gt;0,COUNTIF(I1674,"12*")&gt;0,COUNTIF(J1674,"*12*")&gt;0,COUNTIF(I1674,"13*")&gt;0,COUNTIF(J1674,"*13*")&gt;0,COUNTIF(I1674,"14*")&gt;0,COUNTIF(J1674,"*14*")&gt;0,COUNTIF(I1674,"15*")&gt;0,COUNTIF(J1674,"*15*")&gt;0,COUNTIF(I1674,"16*")&gt;0,COUNTIF(J1674,"*16*")&gt;0,COUNTIF(I1674,"17*")&gt;0,COUNTIF(J1674,"*17*")&gt;0,COUNTIF(I1674,"18*")&gt;0,COUNTIF(J1674,"*18*")&gt;0,COUNTIF(I1674,"19*")&gt;0,COUNTIF(J1674,"*19*")&gt;0,COUNTIF(I1674,"20*")&gt;0,COUNTIF(J1674,"*20*")&gt;0,COUNTIF(I1674,"21*")&gt;0,COUNTIF(J1674,"*21*")&gt;0,COUNTIF(I1674,"22*")&gt;0,COUNTIF(J1674,"*22*")&gt;0,COUNTIF(I1674,"23*")&gt;0,COUNTIF(J1674,"*23*")&gt;0,COUNTIF(I1674,"24*")&gt;0,COUNTIF(J1674,"*24*")&gt;0,COUNTIF(I1674,"25*")&gt;0,COUNTIF(J1674,"*25*")&gt;0,COUNTIF(I1674,"26*")&gt;0,COUNTIF(J1674,"*26*")&gt;0,COUNTIF(I1674,"27*")&gt;0,COUNTIF(J1674,"*27*")&gt;0,COUNTIF(I1674,"28*")&gt;0,COUNTIF(J1674,"*28*")&gt;0,COUNTIF(I1674,"29*")&gt;0,COUNTIF(J1674,"*29*")&gt;0,COUNTIF(I1674,"30*")&gt;0,COUNTIF(J1674,"*30*")&gt;0,COUNTIF(I1674,"31*")&gt;0,COUNTIF(J1674,"*31*")&gt;0,COUNTIF(I1674,"32*")&gt;0,COUNTIF(J1674,"*32*")&gt;0,COUNTIF(I1674,"33*")&gt;0,COUNTIF(J1674,"*33*")&gt;0,COUNTIF(I1674,"41*")&gt;0,COUNTIF(J1674,"*41*")&gt;0,COUNTIF(I1674,"42*")&gt;0,COUNTIF(J1674,"*42*")&gt;0,COUNTIF(I1674,"43*")&gt;0,COUNTIF(J1674,"*43*")&gt;0,COUNTIF(I1674,"49*")&gt;0,COUNTIF(J1674,"*49*")&gt;0,COUNTIF(I1674,"52*")&gt;0,COUNTIF(J1674,"*52*")&gt;0,COUNTIF(I1674,"55*")&gt;0,COUNTIF(J1674,"*55*")&gt;0,COUNTIF(I1674,"56*")&gt;0,COUNTIF(J1674,"*56*")&gt;0,COUNTIF(I1674,"68*")&gt;0,COUNTIF(J1674,"*68*")&gt;0,COUNTIF(I1674,"78*")&gt;0,COUNTIF(J1674,"*78*")&gt;0,COUNTIF(I1674,"81*")&gt;0,COUNTIF(J1674,"*81*")&gt;0,COUNTIF(I1674,"82*")&gt;0,COUNTIF(J1674,"*82*")&gt;0,COUNTIF(I1674,"64*")&gt;0,COUNTIF(J1674,"*64*")&gt;0,COUNTIF(I1674,"65*")&gt;0,COUNTIF(J1674,"*65*")&gt;0,COUNTIF(I1674,"66*")&gt;0,COUNTIF(J1674,"*66*")&gt;0,COUNTIF(I1674,"61*")&gt;0,COUNTIF(J1674,"*61*")&gt;0,COUNTIF(I1674,"62*")&gt;0,COUNTIF(J1674,"*62*")&gt;0,COUNTIF(I1674,"63*")&gt;0,COUNTIF(J1674,"*63*")&gt;0,COUNTIF(I1674,"85*")&gt;0,COUNTIF(J1674,"*85*")&gt;0,COUNTIF(I1674,"86*")&gt;0,COUNTIF(J1674,"*86*")&gt;0),"Да","Нет"))</f>
        <v/>
      </c>
      <c r="M1674" s="13">
        <f>IF(OR(G1674="",L1674&lt;&gt;"Да"),"",IF(G1674&lt;=100,"До 100",IF(G1674&lt;=200,"До 200",IF(G1674&lt;=500,"До 500","Отдельное КП"))))</f>
        <v/>
      </c>
      <c r="N1674" s="15">
        <f>IF(OR(G1674="",L1674&lt;&gt;"Да"),"",IF(G1674&lt;=100,33600,IF(G1674&lt;=200,62400,IF(G1674&lt;=500,144000,""))))</f>
        <v/>
      </c>
      <c r="O1674" s="16">
        <f>IF(G1674="","",IF(G1674&lt;=15,"1–15",IF(G1674&lt;=30,"16–30",IF(G1674&lt;=50,"31–50",IF(G1674&lt;=100,"51–100",IF(G1674&lt;=150,"101–150",IF(G1674&lt;=200,"151–200",IF(G1674&lt;=500,"201–500","500+"))))))))</f>
        <v/>
      </c>
      <c r="P1674" s="16" t="inlineStr">
        <is>
          <t>Нет совпадения в предоставленной выгрузке ССЧР</t>
        </is>
      </c>
      <c r="Q1674" s="16" t="n"/>
      <c r="R1674" s="16">
        <f>HYPERLINK("https://checko.ru/search?query=3801001629","Чекко: проверить")</f>
        <v/>
      </c>
      <c r="S1674" t="n">
        <v>0</v>
      </c>
    </row>
    <row r="1675" ht="27.75" customHeight="1" s="24">
      <c r="A1675" s="13" t="n">
        <v>5000001615</v>
      </c>
      <c r="B1675" s="13" t="inlineStr">
        <is>
          <t>МБУЗ города Иркутска «Клинический госпиталь Ветеранов войн»</t>
        </is>
      </c>
      <c r="C1675" s="13" t="n">
        <v>3812011957</v>
      </c>
      <c r="D1675" s="13" t="inlineStr">
        <is>
          <t>3812011957</t>
        </is>
      </c>
      <c r="E1675" s="13" t="inlineStr">
        <is>
          <t>ЮЛ РФ</t>
        </is>
      </c>
      <c r="F1675" s="13" t="n"/>
      <c r="G1675" s="14" t="n"/>
      <c r="H1675" s="14" t="n"/>
      <c r="I1675" s="14" t="n"/>
      <c r="J1675" s="14" t="n"/>
      <c r="K1675" s="53" t="inlineStr"/>
      <c r="L1675" s="53" t="inlineStr">
        <is>
          <t>Не определено</t>
        </is>
      </c>
      <c r="M1675" s="53" t="inlineStr"/>
      <c r="N1675" s="54" t="inlineStr"/>
      <c r="O1675" s="55" t="inlineStr"/>
      <c r="P1675" s="16" t="inlineStr">
        <is>
          <t>Требует обогащения</t>
        </is>
      </c>
      <c r="Q1675" s="16">
        <f>HYPERLINK("https://pb.nalog.ru/search.html?query=3812011957","ФНС: проверить")</f>
        <v/>
      </c>
      <c r="R1675" s="16">
        <f>HYPERLINK("https://checko.ru/search?query=3801001629","Чекко: проверить")</f>
        <v/>
      </c>
      <c r="S1675" t="n">
        <v>1</v>
      </c>
      <c r="T1675" s="35" t="inlineStr">
        <is>
          <t>4 — Не обогащён</t>
        </is>
      </c>
      <c r="U1675" s="35" t="inlineStr">
        <is>
          <t>Нет ОКВЭД/ССЧР</t>
        </is>
      </c>
      <c r="V1675" s="35" t="inlineStr">
        <is>
          <t>Не определено</t>
        </is>
      </c>
      <c r="W1675" s="35" t="inlineStr"/>
      <c r="X1675" s="35" t="inlineStr"/>
    </row>
    <row r="1676" ht="15" customHeight="1" s="24">
      <c r="A1676" s="13" t="n">
        <v>5000095089</v>
      </c>
      <c r="B1676" s="13" t="inlineStr">
        <is>
          <t>МКОУ "СОШ №26" г.о.Нальчик КБР</t>
        </is>
      </c>
      <c r="C1676" s="13" t="n">
        <v>715001490</v>
      </c>
      <c r="D1676" s="13" t="n"/>
      <c r="E1676" s="13" t="inlineStr">
        <is>
          <t>Не определён</t>
        </is>
      </c>
      <c r="F1676" s="13" t="inlineStr">
        <is>
          <t>715001490</t>
        </is>
      </c>
      <c r="G1676" s="14" t="n"/>
      <c r="H1676" s="14" t="n"/>
      <c r="I1676" s="14" t="n"/>
      <c r="J1676" s="14" t="n"/>
      <c r="K1676" s="13">
        <f>IF(G1676="","",IF(G1676&gt;=22,"Да","Нет"))</f>
        <v/>
      </c>
      <c r="L1676" s="13">
        <f>IF(OR(I1676="",J1676=""),"Не определено",IF(OR(COUNTIF(I1676,"45*")&gt;0,COUNTIF(J1676,"*45*")&gt;0,COUNTIF(I1676,"46*")&gt;0,COUNTIF(J1676,"*46*")&gt;0,COUNTIF(I1676,"47*")&gt;0,COUNTIF(J1676,"*47*")&gt;0,COUNTIF(I1676,"10*")&gt;0,COUNTIF(J1676,"*10*")&gt;0,COUNTIF(I1676,"11*")&gt;0,COUNTIF(J1676,"*11*")&gt;0,COUNTIF(I1676,"12*")&gt;0,COUNTIF(J1676,"*12*")&gt;0,COUNTIF(I1676,"13*")&gt;0,COUNTIF(J1676,"*13*")&gt;0,COUNTIF(I1676,"14*")&gt;0,COUNTIF(J1676,"*14*")&gt;0,COUNTIF(I1676,"15*")&gt;0,COUNTIF(J1676,"*15*")&gt;0,COUNTIF(I1676,"16*")&gt;0,COUNTIF(J1676,"*16*")&gt;0,COUNTIF(I1676,"17*")&gt;0,COUNTIF(J1676,"*17*")&gt;0,COUNTIF(I1676,"18*")&gt;0,COUNTIF(J1676,"*18*")&gt;0,COUNTIF(I1676,"19*")&gt;0,COUNTIF(J1676,"*19*")&gt;0,COUNTIF(I1676,"20*")&gt;0,COUNTIF(J1676,"*20*")&gt;0,COUNTIF(I1676,"21*")&gt;0,COUNTIF(J1676,"*21*")&gt;0,COUNTIF(I1676,"22*")&gt;0,COUNTIF(J1676,"*22*")&gt;0,COUNTIF(I1676,"23*")&gt;0,COUNTIF(J1676,"*23*")&gt;0,COUNTIF(I1676,"24*")&gt;0,COUNTIF(J1676,"*24*")&gt;0,COUNTIF(I1676,"25*")&gt;0,COUNTIF(J1676,"*25*")&gt;0,COUNTIF(I1676,"26*")&gt;0,COUNTIF(J1676,"*26*")&gt;0,COUNTIF(I1676,"27*")&gt;0,COUNTIF(J1676,"*27*")&gt;0,COUNTIF(I1676,"28*")&gt;0,COUNTIF(J1676,"*28*")&gt;0,COUNTIF(I1676,"29*")&gt;0,COUNTIF(J1676,"*29*")&gt;0,COUNTIF(I1676,"30*")&gt;0,COUNTIF(J1676,"*30*")&gt;0,COUNTIF(I1676,"31*")&gt;0,COUNTIF(J1676,"*31*")&gt;0,COUNTIF(I1676,"32*")&gt;0,COUNTIF(J1676,"*32*")&gt;0,COUNTIF(I1676,"33*")&gt;0,COUNTIF(J1676,"*33*")&gt;0,COUNTIF(I1676,"41*")&gt;0,COUNTIF(J1676,"*41*")&gt;0,COUNTIF(I1676,"42*")&gt;0,COUNTIF(J1676,"*42*")&gt;0,COUNTIF(I1676,"43*")&gt;0,COUNTIF(J1676,"*43*")&gt;0,COUNTIF(I1676,"49*")&gt;0,COUNTIF(J1676,"*49*")&gt;0,COUNTIF(I1676,"52*")&gt;0,COUNTIF(J1676,"*52*")&gt;0,COUNTIF(I1676,"55*")&gt;0,COUNTIF(J1676,"*55*")&gt;0,COUNTIF(I1676,"56*")&gt;0,COUNTIF(J1676,"*56*")&gt;0,COUNTIF(I1676,"68*")&gt;0,COUNTIF(J1676,"*68*")&gt;0,COUNTIF(I1676,"78*")&gt;0,COUNTIF(J1676,"*78*")&gt;0,COUNTIF(I1676,"81*")&gt;0,COUNTIF(J1676,"*81*")&gt;0,COUNTIF(I1676,"82*")&gt;0,COUNTIF(J1676,"*82*")&gt;0,COUNTIF(I1676,"64*")&gt;0,COUNTIF(J1676,"*64*")&gt;0,COUNTIF(I1676,"65*")&gt;0,COUNTIF(J1676,"*65*")&gt;0,COUNTIF(I1676,"66*")&gt;0,COUNTIF(J1676,"*66*")&gt;0,COUNTIF(I1676,"61*")&gt;0,COUNTIF(J1676,"*61*")&gt;0,COUNTIF(I1676,"62*")&gt;0,COUNTIF(J1676,"*62*")&gt;0,COUNTIF(I1676,"63*")&gt;0,COUNTIF(J1676,"*63*")&gt;0,COUNTIF(I1676,"85*")&gt;0,COUNTIF(J1676,"*85*")&gt;0,COUNTIF(I1676,"86*")&gt;0,COUNTIF(J1676,"*86*")&gt;0),"Да","Нет"))</f>
        <v/>
      </c>
      <c r="M1676" s="13">
        <f>IF(OR(G1676="",L1676&lt;&gt;"Да"),"",IF(G1676&lt;=100,"До 100",IF(G1676&lt;=200,"До 200",IF(G1676&lt;=500,"До 500","Отдельное КП"))))</f>
        <v/>
      </c>
      <c r="N1676" s="15">
        <f>IF(OR(G1676="",L1676&lt;&gt;"Да"),"",IF(G1676&lt;=100,33600,IF(G1676&lt;=200,62400,IF(G1676&lt;=500,144000,""))))</f>
        <v/>
      </c>
      <c r="O1676" s="16">
        <f>IF(G1676="","",IF(G1676&lt;=15,"1–15",IF(G1676&lt;=30,"16–30",IF(G1676&lt;=50,"31–50",IF(G1676&lt;=100,"51–100",IF(G1676&lt;=150,"101–150",IF(G1676&lt;=200,"151–200",IF(G1676&lt;=500,"201–500","500+"))))))))</f>
        <v/>
      </c>
      <c r="P1676" s="16" t="inlineStr">
        <is>
          <t>Нет совпадения в предоставленной выгрузке ССЧР</t>
        </is>
      </c>
      <c r="Q1676" s="16" t="n"/>
      <c r="R1676" s="16">
        <f>HYPERLINK("https://checko.ru/search?query=3801001629","Чекко: проверить")</f>
        <v/>
      </c>
      <c r="S1676" t="n">
        <v>0</v>
      </c>
    </row>
    <row r="1677" ht="15" customHeight="1" s="24">
      <c r="A1677" s="13" t="n">
        <v>5000095062</v>
      </c>
      <c r="B1677" s="13" t="inlineStr">
        <is>
          <t>МКОУ "СОШ №30" г.о.Нальчик КБР</t>
        </is>
      </c>
      <c r="C1677" s="13" t="n">
        <v>711051806</v>
      </c>
      <c r="D1677" s="13" t="n"/>
      <c r="E1677" s="13" t="inlineStr">
        <is>
          <t>Не определён</t>
        </is>
      </c>
      <c r="F1677" s="13" t="inlineStr">
        <is>
          <t>711051806</t>
        </is>
      </c>
      <c r="G1677" s="14" t="n"/>
      <c r="H1677" s="14" t="n"/>
      <c r="I1677" s="14" t="n"/>
      <c r="J1677" s="14" t="n"/>
      <c r="K1677" s="13">
        <f>IF(G1677="","",IF(G1677&gt;=22,"Да","Нет"))</f>
        <v/>
      </c>
      <c r="L1677" s="13">
        <f>IF(OR(I1677="",J1677=""),"Не определено",IF(OR(COUNTIF(I1677,"45*")&gt;0,COUNTIF(J1677,"*45*")&gt;0,COUNTIF(I1677,"46*")&gt;0,COUNTIF(J1677,"*46*")&gt;0,COUNTIF(I1677,"47*")&gt;0,COUNTIF(J1677,"*47*")&gt;0,COUNTIF(I1677,"10*")&gt;0,COUNTIF(J1677,"*10*")&gt;0,COUNTIF(I1677,"11*")&gt;0,COUNTIF(J1677,"*11*")&gt;0,COUNTIF(I1677,"12*")&gt;0,COUNTIF(J1677,"*12*")&gt;0,COUNTIF(I1677,"13*")&gt;0,COUNTIF(J1677,"*13*")&gt;0,COUNTIF(I1677,"14*")&gt;0,COUNTIF(J1677,"*14*")&gt;0,COUNTIF(I1677,"15*")&gt;0,COUNTIF(J1677,"*15*")&gt;0,COUNTIF(I1677,"16*")&gt;0,COUNTIF(J1677,"*16*")&gt;0,COUNTIF(I1677,"17*")&gt;0,COUNTIF(J1677,"*17*")&gt;0,COUNTIF(I1677,"18*")&gt;0,COUNTIF(J1677,"*18*")&gt;0,COUNTIF(I1677,"19*")&gt;0,COUNTIF(J1677,"*19*")&gt;0,COUNTIF(I1677,"20*")&gt;0,COUNTIF(J1677,"*20*")&gt;0,COUNTIF(I1677,"21*")&gt;0,COUNTIF(J1677,"*21*")&gt;0,COUNTIF(I1677,"22*")&gt;0,COUNTIF(J1677,"*22*")&gt;0,COUNTIF(I1677,"23*")&gt;0,COUNTIF(J1677,"*23*")&gt;0,COUNTIF(I1677,"24*")&gt;0,COUNTIF(J1677,"*24*")&gt;0,COUNTIF(I1677,"25*")&gt;0,COUNTIF(J1677,"*25*")&gt;0,COUNTIF(I1677,"26*")&gt;0,COUNTIF(J1677,"*26*")&gt;0,COUNTIF(I1677,"27*")&gt;0,COUNTIF(J1677,"*27*")&gt;0,COUNTIF(I1677,"28*")&gt;0,COUNTIF(J1677,"*28*")&gt;0,COUNTIF(I1677,"29*")&gt;0,COUNTIF(J1677,"*29*")&gt;0,COUNTIF(I1677,"30*")&gt;0,COUNTIF(J1677,"*30*")&gt;0,COUNTIF(I1677,"31*")&gt;0,COUNTIF(J1677,"*31*")&gt;0,COUNTIF(I1677,"32*")&gt;0,COUNTIF(J1677,"*32*")&gt;0,COUNTIF(I1677,"33*")&gt;0,COUNTIF(J1677,"*33*")&gt;0,COUNTIF(I1677,"41*")&gt;0,COUNTIF(J1677,"*41*")&gt;0,COUNTIF(I1677,"42*")&gt;0,COUNTIF(J1677,"*42*")&gt;0,COUNTIF(I1677,"43*")&gt;0,COUNTIF(J1677,"*43*")&gt;0,COUNTIF(I1677,"49*")&gt;0,COUNTIF(J1677,"*49*")&gt;0,COUNTIF(I1677,"52*")&gt;0,COUNTIF(J1677,"*52*")&gt;0,COUNTIF(I1677,"55*")&gt;0,COUNTIF(J1677,"*55*")&gt;0,COUNTIF(I1677,"56*")&gt;0,COUNTIF(J1677,"*56*")&gt;0,COUNTIF(I1677,"68*")&gt;0,COUNTIF(J1677,"*68*")&gt;0,COUNTIF(I1677,"78*")&gt;0,COUNTIF(J1677,"*78*")&gt;0,COUNTIF(I1677,"81*")&gt;0,COUNTIF(J1677,"*81*")&gt;0,COUNTIF(I1677,"82*")&gt;0,COUNTIF(J1677,"*82*")&gt;0,COUNTIF(I1677,"64*")&gt;0,COUNTIF(J1677,"*64*")&gt;0,COUNTIF(I1677,"65*")&gt;0,COUNTIF(J1677,"*65*")&gt;0,COUNTIF(I1677,"66*")&gt;0,COUNTIF(J1677,"*66*")&gt;0,COUNTIF(I1677,"61*")&gt;0,COUNTIF(J1677,"*61*")&gt;0,COUNTIF(I1677,"62*")&gt;0,COUNTIF(J1677,"*62*")&gt;0,COUNTIF(I1677,"63*")&gt;0,COUNTIF(J1677,"*63*")&gt;0,COUNTIF(I1677,"85*")&gt;0,COUNTIF(J1677,"*85*")&gt;0,COUNTIF(I1677,"86*")&gt;0,COUNTIF(J1677,"*86*")&gt;0),"Да","Нет"))</f>
        <v/>
      </c>
      <c r="M1677" s="13">
        <f>IF(OR(G1677="",L1677&lt;&gt;"Да"),"",IF(G1677&lt;=100,"До 100",IF(G1677&lt;=200,"До 200",IF(G1677&lt;=500,"До 500","Отдельное КП"))))</f>
        <v/>
      </c>
      <c r="N1677" s="15">
        <f>IF(OR(G1677="",L1677&lt;&gt;"Да"),"",IF(G1677&lt;=100,33600,IF(G1677&lt;=200,62400,IF(G1677&lt;=500,144000,""))))</f>
        <v/>
      </c>
      <c r="O1677" s="16">
        <f>IF(G1677="","",IF(G1677&lt;=15,"1–15",IF(G1677&lt;=30,"16–30",IF(G1677&lt;=50,"31–50",IF(G1677&lt;=100,"51–100",IF(G1677&lt;=150,"101–150",IF(G1677&lt;=200,"151–200",IF(G1677&lt;=500,"201–500","500+"))))))))</f>
        <v/>
      </c>
      <c r="P1677" s="16" t="inlineStr">
        <is>
          <t>Нет совпадения в предоставленной выгрузке ССЧР</t>
        </is>
      </c>
      <c r="Q1677" s="16" t="n"/>
      <c r="R1677" s="16">
        <f>HYPERLINK("https://checko.ru/search?query=3801001629","Чекко: проверить")</f>
        <v/>
      </c>
      <c r="S1677" t="n">
        <v>0</v>
      </c>
    </row>
    <row r="1678" ht="27.75" customHeight="1" s="24">
      <c r="A1678" s="13" t="n">
        <v>5000106069</v>
      </c>
      <c r="B1678" s="13" t="inlineStr">
        <is>
          <t>Инспекция Госстройнадзора Оренбургской области</t>
        </is>
      </c>
      <c r="C1678" s="13" t="n">
        <v>5610114400</v>
      </c>
      <c r="D1678" s="13" t="inlineStr">
        <is>
          <t>5610114400</t>
        </is>
      </c>
      <c r="E1678" s="13" t="inlineStr">
        <is>
          <t>ЮЛ РФ</t>
        </is>
      </c>
      <c r="F1678" s="13" t="n"/>
      <c r="G1678" s="14" t="n"/>
      <c r="H1678" s="14" t="n"/>
      <c r="I1678" s="14" t="n"/>
      <c r="J1678" s="14" t="n"/>
      <c r="K1678" s="53" t="inlineStr"/>
      <c r="L1678" s="53" t="inlineStr">
        <is>
          <t>Не определено</t>
        </is>
      </c>
      <c r="M1678" s="53" t="inlineStr"/>
      <c r="N1678" s="54" t="inlineStr"/>
      <c r="O1678" s="55" t="inlineStr"/>
      <c r="P1678" s="16" t="inlineStr">
        <is>
          <t>Требует обогащения</t>
        </is>
      </c>
      <c r="Q1678" s="16">
        <f>HYPERLINK("https://pb.nalog.ru/search.html?query=5610114400","ФНС: проверить")</f>
        <v/>
      </c>
      <c r="R1678" s="16">
        <f>HYPERLINK("https://checko.ru/search?query=3801001629","Чекко: проверить")</f>
        <v/>
      </c>
      <c r="S1678" t="n">
        <v>1</v>
      </c>
      <c r="T1678" s="35" t="inlineStr">
        <is>
          <t>4 — Не обогащён</t>
        </is>
      </c>
      <c r="U1678" s="35" t="inlineStr">
        <is>
          <t>Нет ОКВЭД/ССЧР</t>
        </is>
      </c>
      <c r="V1678" s="35" t="inlineStr">
        <is>
          <t>Не определено</t>
        </is>
      </c>
      <c r="W1678" s="35" t="inlineStr"/>
      <c r="X1678" s="35" t="inlineStr"/>
    </row>
    <row r="1679" ht="27.75" customHeight="1" s="24">
      <c r="A1679" s="13" t="n">
        <v>5000001878</v>
      </c>
      <c r="B1679" s="13" t="inlineStr">
        <is>
          <t>Братская районная территориальная  избирательная комиссия</t>
        </is>
      </c>
      <c r="C1679" s="13" t="n">
        <v>3823018471</v>
      </c>
      <c r="D1679" s="13" t="inlineStr">
        <is>
          <t>3823018471</t>
        </is>
      </c>
      <c r="E1679" s="13" t="inlineStr">
        <is>
          <t>ЮЛ РФ</t>
        </is>
      </c>
      <c r="F1679" s="13" t="n"/>
      <c r="G1679" s="14" t="n"/>
      <c r="H1679" s="14" t="n"/>
      <c r="I1679" s="14" t="n"/>
      <c r="J1679" s="14" t="n"/>
      <c r="K1679" s="53" t="inlineStr"/>
      <c r="L1679" s="53" t="inlineStr">
        <is>
          <t>Не определено</t>
        </is>
      </c>
      <c r="M1679" s="53" t="inlineStr"/>
      <c r="N1679" s="54" t="inlineStr"/>
      <c r="O1679" s="55" t="inlineStr"/>
      <c r="P1679" s="16" t="inlineStr">
        <is>
          <t>Требует обогащения</t>
        </is>
      </c>
      <c r="Q1679" s="16">
        <f>HYPERLINK("https://pb.nalog.ru/search.html?query=3823018471","ФНС: проверить")</f>
        <v/>
      </c>
      <c r="R1679" s="16">
        <f>HYPERLINK("https://checko.ru/search?query=3801001629","Чекко: проверить")</f>
        <v/>
      </c>
      <c r="S1679" t="n">
        <v>1</v>
      </c>
      <c r="T1679" s="35" t="inlineStr">
        <is>
          <t>4 — Не обогащён</t>
        </is>
      </c>
      <c r="U1679" s="35" t="inlineStr">
        <is>
          <t>Нет ОКВЭД/ССЧР</t>
        </is>
      </c>
      <c r="V1679" s="35" t="inlineStr">
        <is>
          <t>Не определено</t>
        </is>
      </c>
      <c r="W1679" s="35" t="inlineStr"/>
      <c r="X1679" s="35" t="inlineStr"/>
    </row>
    <row r="1680" ht="15" customHeight="1" s="24">
      <c r="A1680" s="13" t="n">
        <v>5000094453</v>
      </c>
      <c r="B1680" s="13" t="inlineStr">
        <is>
          <t>МКУ "Департамент образования г Баксана</t>
        </is>
      </c>
      <c r="C1680" s="13" t="n">
        <v>701010751</v>
      </c>
      <c r="D1680" s="13" t="n"/>
      <c r="E1680" s="13" t="inlineStr">
        <is>
          <t>Не определён</t>
        </is>
      </c>
      <c r="F1680" s="13" t="inlineStr">
        <is>
          <t>701010751</t>
        </is>
      </c>
      <c r="G1680" s="14" t="n"/>
      <c r="H1680" s="14" t="n"/>
      <c r="I1680" s="14" t="n"/>
      <c r="J1680" s="14" t="n"/>
      <c r="K1680" s="13">
        <f>IF(G1680="","",IF(G1680&gt;=22,"Да","Нет"))</f>
        <v/>
      </c>
      <c r="L1680" s="13">
        <f>IF(OR(I1680="",J1680=""),"Не определено",IF(OR(COUNTIF(I1680,"45*")&gt;0,COUNTIF(J1680,"*45*")&gt;0,COUNTIF(I1680,"46*")&gt;0,COUNTIF(J1680,"*46*")&gt;0,COUNTIF(I1680,"47*")&gt;0,COUNTIF(J1680,"*47*")&gt;0,COUNTIF(I1680,"10*")&gt;0,COUNTIF(J1680,"*10*")&gt;0,COUNTIF(I1680,"11*")&gt;0,COUNTIF(J1680,"*11*")&gt;0,COUNTIF(I1680,"12*")&gt;0,COUNTIF(J1680,"*12*")&gt;0,COUNTIF(I1680,"13*")&gt;0,COUNTIF(J1680,"*13*")&gt;0,COUNTIF(I1680,"14*")&gt;0,COUNTIF(J1680,"*14*")&gt;0,COUNTIF(I1680,"15*")&gt;0,COUNTIF(J1680,"*15*")&gt;0,COUNTIF(I1680,"16*")&gt;0,COUNTIF(J1680,"*16*")&gt;0,COUNTIF(I1680,"17*")&gt;0,COUNTIF(J1680,"*17*")&gt;0,COUNTIF(I1680,"18*")&gt;0,COUNTIF(J1680,"*18*")&gt;0,COUNTIF(I1680,"19*")&gt;0,COUNTIF(J1680,"*19*")&gt;0,COUNTIF(I1680,"20*")&gt;0,COUNTIF(J1680,"*20*")&gt;0,COUNTIF(I1680,"21*")&gt;0,COUNTIF(J1680,"*21*")&gt;0,COUNTIF(I1680,"22*")&gt;0,COUNTIF(J1680,"*22*")&gt;0,COUNTIF(I1680,"23*")&gt;0,COUNTIF(J1680,"*23*")&gt;0,COUNTIF(I1680,"24*")&gt;0,COUNTIF(J1680,"*24*")&gt;0,COUNTIF(I1680,"25*")&gt;0,COUNTIF(J1680,"*25*")&gt;0,COUNTIF(I1680,"26*")&gt;0,COUNTIF(J1680,"*26*")&gt;0,COUNTIF(I1680,"27*")&gt;0,COUNTIF(J1680,"*27*")&gt;0,COUNTIF(I1680,"28*")&gt;0,COUNTIF(J1680,"*28*")&gt;0,COUNTIF(I1680,"29*")&gt;0,COUNTIF(J1680,"*29*")&gt;0,COUNTIF(I1680,"30*")&gt;0,COUNTIF(J1680,"*30*")&gt;0,COUNTIF(I1680,"31*")&gt;0,COUNTIF(J1680,"*31*")&gt;0,COUNTIF(I1680,"32*")&gt;0,COUNTIF(J1680,"*32*")&gt;0,COUNTIF(I1680,"33*")&gt;0,COUNTIF(J1680,"*33*")&gt;0,COUNTIF(I1680,"41*")&gt;0,COUNTIF(J1680,"*41*")&gt;0,COUNTIF(I1680,"42*")&gt;0,COUNTIF(J1680,"*42*")&gt;0,COUNTIF(I1680,"43*")&gt;0,COUNTIF(J1680,"*43*")&gt;0,COUNTIF(I1680,"49*")&gt;0,COUNTIF(J1680,"*49*")&gt;0,COUNTIF(I1680,"52*")&gt;0,COUNTIF(J1680,"*52*")&gt;0,COUNTIF(I1680,"55*")&gt;0,COUNTIF(J1680,"*55*")&gt;0,COUNTIF(I1680,"56*")&gt;0,COUNTIF(J1680,"*56*")&gt;0,COUNTIF(I1680,"68*")&gt;0,COUNTIF(J1680,"*68*")&gt;0,COUNTIF(I1680,"78*")&gt;0,COUNTIF(J1680,"*78*")&gt;0,COUNTIF(I1680,"81*")&gt;0,COUNTIF(J1680,"*81*")&gt;0,COUNTIF(I1680,"82*")&gt;0,COUNTIF(J1680,"*82*")&gt;0,COUNTIF(I1680,"64*")&gt;0,COUNTIF(J1680,"*64*")&gt;0,COUNTIF(I1680,"65*")&gt;0,COUNTIF(J1680,"*65*")&gt;0,COUNTIF(I1680,"66*")&gt;0,COUNTIF(J1680,"*66*")&gt;0,COUNTIF(I1680,"61*")&gt;0,COUNTIF(J1680,"*61*")&gt;0,COUNTIF(I1680,"62*")&gt;0,COUNTIF(J1680,"*62*")&gt;0,COUNTIF(I1680,"63*")&gt;0,COUNTIF(J1680,"*63*")&gt;0,COUNTIF(I1680,"85*")&gt;0,COUNTIF(J1680,"*85*")&gt;0,COUNTIF(I1680,"86*")&gt;0,COUNTIF(J1680,"*86*")&gt;0),"Да","Нет"))</f>
        <v/>
      </c>
      <c r="M1680" s="13">
        <f>IF(OR(G1680="",L1680&lt;&gt;"Да"),"",IF(G1680&lt;=100,"До 100",IF(G1680&lt;=200,"До 200",IF(G1680&lt;=500,"До 500","Отдельное КП"))))</f>
        <v/>
      </c>
      <c r="N1680" s="15">
        <f>IF(OR(G1680="",L1680&lt;&gt;"Да"),"",IF(G1680&lt;=100,33600,IF(G1680&lt;=200,62400,IF(G1680&lt;=500,144000,""))))</f>
        <v/>
      </c>
      <c r="O1680" s="16">
        <f>IF(G1680="","",IF(G1680&lt;=15,"1–15",IF(G1680&lt;=30,"16–30",IF(G1680&lt;=50,"31–50",IF(G1680&lt;=100,"51–100",IF(G1680&lt;=150,"101–150",IF(G1680&lt;=200,"151–200",IF(G1680&lt;=500,"201–500","500+"))))))))</f>
        <v/>
      </c>
      <c r="P1680" s="16" t="inlineStr">
        <is>
          <t>Нет совпадения в предоставленной выгрузке ССЧР</t>
        </is>
      </c>
      <c r="Q1680" s="16" t="n"/>
      <c r="R1680" s="16">
        <f>HYPERLINK("https://checko.ru/search?query=3801001629","Чекко: проверить")</f>
        <v/>
      </c>
      <c r="S1680" t="n">
        <v>0</v>
      </c>
    </row>
    <row r="1681" ht="27.75" customHeight="1" s="24">
      <c r="A1681" s="13" t="n">
        <v>5000106111</v>
      </c>
      <c r="B1681" s="13" t="inlineStr">
        <is>
          <t>ГБУ "Грачевское районное управление ветеринарии"</t>
        </is>
      </c>
      <c r="C1681" s="13" t="n">
        <v>5627000087</v>
      </c>
      <c r="D1681" s="13" t="inlineStr">
        <is>
          <t>5627000087</t>
        </is>
      </c>
      <c r="E1681" s="13" t="inlineStr">
        <is>
          <t>ЮЛ РФ</t>
        </is>
      </c>
      <c r="F1681" s="13" t="n"/>
      <c r="G1681" s="14" t="n"/>
      <c r="H1681" s="14" t="n"/>
      <c r="I1681" s="14" t="n"/>
      <c r="J1681" s="14" t="n"/>
      <c r="K1681" s="53" t="inlineStr"/>
      <c r="L1681" s="53" t="inlineStr">
        <is>
          <t>Не определено</t>
        </is>
      </c>
      <c r="M1681" s="53" t="inlineStr"/>
      <c r="N1681" s="54" t="inlineStr"/>
      <c r="O1681" s="55" t="inlineStr"/>
      <c r="P1681" s="16" t="inlineStr">
        <is>
          <t>Требует обогащения</t>
        </is>
      </c>
      <c r="Q1681" s="16">
        <f>HYPERLINK("https://pb.nalog.ru/search.html?query=5627000087","ФНС: проверить")</f>
        <v/>
      </c>
      <c r="R1681" s="16">
        <f>HYPERLINK("https://checko.ru/search?query=3801001629","Чекко: проверить")</f>
        <v/>
      </c>
      <c r="S1681" t="n">
        <v>1</v>
      </c>
      <c r="T1681" s="35" t="inlineStr">
        <is>
          <t>4 — Не обогащён</t>
        </is>
      </c>
      <c r="U1681" s="35" t="inlineStr">
        <is>
          <t>Нет ОКВЭД/ССЧР</t>
        </is>
      </c>
      <c r="V1681" s="35" t="inlineStr">
        <is>
          <t>Не определено</t>
        </is>
      </c>
      <c r="W1681" s="35" t="inlineStr"/>
      <c r="X1681" s="35" t="inlineStr"/>
    </row>
    <row r="1682" ht="27.75" customHeight="1" s="24">
      <c r="A1682" s="13" t="n">
        <v>5000101689</v>
      </c>
      <c r="B1682" s="13" t="inlineStr">
        <is>
          <t>Государственное казенное учреждение Иркутской области "Нижнеудинское лесничество"</t>
        </is>
      </c>
      <c r="C1682" s="13" t="n">
        <v>3816035469</v>
      </c>
      <c r="D1682" s="13" t="inlineStr">
        <is>
          <t>3816035469</t>
        </is>
      </c>
      <c r="E1682" s="13" t="inlineStr">
        <is>
          <t>ЮЛ РФ</t>
        </is>
      </c>
      <c r="F1682" s="13" t="n"/>
      <c r="G1682" s="14" t="n"/>
      <c r="H1682" s="14" t="n"/>
      <c r="I1682" s="14" t="n"/>
      <c r="J1682" s="14" t="n"/>
      <c r="K1682" s="53" t="inlineStr"/>
      <c r="L1682" s="53" t="inlineStr">
        <is>
          <t>Не определено</t>
        </is>
      </c>
      <c r="M1682" s="53" t="inlineStr"/>
      <c r="N1682" s="54" t="inlineStr"/>
      <c r="O1682" s="55" t="inlineStr"/>
      <c r="P1682" s="16" t="inlineStr">
        <is>
          <t>Требует обогащения</t>
        </is>
      </c>
      <c r="Q1682" s="16">
        <f>HYPERLINK("https://pb.nalog.ru/search.html?query=3816035469","ФНС: проверить")</f>
        <v/>
      </c>
      <c r="R1682" s="16">
        <f>HYPERLINK("https://checko.ru/search?query=3801001629","Чекко: проверить")</f>
        <v/>
      </c>
      <c r="S1682" t="n">
        <v>1</v>
      </c>
      <c r="T1682" s="35" t="inlineStr">
        <is>
          <t>4 — Не обогащён</t>
        </is>
      </c>
      <c r="U1682" s="35" t="inlineStr">
        <is>
          <t>Нет ОКВЭД/ССЧР</t>
        </is>
      </c>
      <c r="V1682" s="35" t="inlineStr">
        <is>
          <t>Не определено</t>
        </is>
      </c>
      <c r="W1682" s="35" t="inlineStr"/>
      <c r="X1682" s="35" t="inlineStr"/>
    </row>
    <row r="1683" ht="27.75" customHeight="1" s="24">
      <c r="A1683" s="13" t="n">
        <v>5000001906</v>
      </c>
      <c r="B1683" s="13" t="inlineStr">
        <is>
          <t>ОбГОУ СПО «Иркутский педагогический колледж №2»</t>
        </is>
      </c>
      <c r="C1683" s="13" t="n">
        <v>3812135590</v>
      </c>
      <c r="D1683" s="13" t="inlineStr">
        <is>
          <t>3812135590</t>
        </is>
      </c>
      <c r="E1683" s="13" t="inlineStr">
        <is>
          <t>ЮЛ РФ</t>
        </is>
      </c>
      <c r="F1683" s="13" t="n"/>
      <c r="G1683" s="14" t="n"/>
      <c r="H1683" s="14" t="n"/>
      <c r="I1683" s="14" t="n"/>
      <c r="J1683" s="14" t="n"/>
      <c r="K1683" s="53" t="inlineStr"/>
      <c r="L1683" s="53" t="inlineStr">
        <is>
          <t>Не определено</t>
        </is>
      </c>
      <c r="M1683" s="53" t="inlineStr"/>
      <c r="N1683" s="54" t="inlineStr"/>
      <c r="O1683" s="55" t="inlineStr"/>
      <c r="P1683" s="16" t="inlineStr">
        <is>
          <t>Требует обогащения</t>
        </is>
      </c>
      <c r="Q1683" s="16">
        <f>HYPERLINK("https://pb.nalog.ru/search.html?query=3812135590","ФНС: проверить")</f>
        <v/>
      </c>
      <c r="R1683" s="16">
        <f>HYPERLINK("https://checko.ru/search?query=3801001629","Чекко: проверить")</f>
        <v/>
      </c>
      <c r="S1683" t="n">
        <v>1</v>
      </c>
      <c r="T1683" s="35" t="inlineStr">
        <is>
          <t>4 — Не обогащён</t>
        </is>
      </c>
      <c r="U1683" s="35" t="inlineStr">
        <is>
          <t>Нет ОКВЭД/ССЧР</t>
        </is>
      </c>
      <c r="V1683" s="35" t="inlineStr">
        <is>
          <t>Не определено</t>
        </is>
      </c>
      <c r="W1683" s="35" t="inlineStr"/>
      <c r="X1683" s="35" t="inlineStr"/>
    </row>
    <row r="1684" ht="54.75" customHeight="1" s="24">
      <c r="A1684" s="13" t="n">
        <v>5000001470</v>
      </c>
      <c r="B1684" s="13" t="inlineStr">
        <is>
          <t>ОГОКУ кадетская школа-интернат для детей-сирот и детей, оставшихся без попечения родителей «Иркутский гвардейский кадетский корпус Ракетных войск стра</t>
        </is>
      </c>
      <c r="C1684" s="13" t="n">
        <v>3808058649</v>
      </c>
      <c r="D1684" s="13" t="inlineStr">
        <is>
          <t>3808058649</t>
        </is>
      </c>
      <c r="E1684" s="13" t="inlineStr">
        <is>
          <t>ЮЛ РФ</t>
        </is>
      </c>
      <c r="F1684" s="13" t="n"/>
      <c r="G1684" s="14" t="n"/>
      <c r="H1684" s="14" t="n"/>
      <c r="I1684" s="14" t="n"/>
      <c r="J1684" s="14" t="n"/>
      <c r="K1684" s="53" t="inlineStr"/>
      <c r="L1684" s="53" t="inlineStr">
        <is>
          <t>Не определено</t>
        </is>
      </c>
      <c r="M1684" s="53" t="inlineStr"/>
      <c r="N1684" s="54" t="inlineStr"/>
      <c r="O1684" s="55" t="inlineStr"/>
      <c r="P1684" s="16" t="inlineStr">
        <is>
          <t>Требует обогащения</t>
        </is>
      </c>
      <c r="Q1684" s="16">
        <f>HYPERLINK("https://pb.nalog.ru/search.html?query=3808058649","ФНС: проверить")</f>
        <v/>
      </c>
      <c r="R1684" s="16">
        <f>HYPERLINK("https://checko.ru/search?query=3801001629","Чекко: проверить")</f>
        <v/>
      </c>
      <c r="S1684" t="n">
        <v>1</v>
      </c>
      <c r="T1684" s="35" t="inlineStr">
        <is>
          <t>4 — Не обогащён</t>
        </is>
      </c>
      <c r="U1684" s="35" t="inlineStr">
        <is>
          <t>Нет ОКВЭД/ССЧР</t>
        </is>
      </c>
      <c r="V1684" s="35" t="inlineStr">
        <is>
          <t>Не определено</t>
        </is>
      </c>
      <c r="W1684" s="35" t="inlineStr"/>
      <c r="X1684" s="35" t="inlineStr"/>
    </row>
    <row r="1685" ht="27.75" customHeight="1" s="24">
      <c r="A1685" s="13" t="n">
        <v>5000001863</v>
      </c>
      <c r="B1685" s="13" t="inlineStr">
        <is>
          <t>Нижнеудинская территориальная избирательная комиссия</t>
        </is>
      </c>
      <c r="C1685" s="13" t="n">
        <v>3813002183</v>
      </c>
      <c r="D1685" s="13" t="inlineStr">
        <is>
          <t>3813002183</t>
        </is>
      </c>
      <c r="E1685" s="13" t="inlineStr">
        <is>
          <t>ЮЛ РФ</t>
        </is>
      </c>
      <c r="F1685" s="13" t="n"/>
      <c r="G1685" s="14" t="n"/>
      <c r="H1685" s="14" t="n"/>
      <c r="I1685" s="14" t="n"/>
      <c r="J1685" s="14" t="n"/>
      <c r="K1685" s="53" t="inlineStr"/>
      <c r="L1685" s="53" t="inlineStr">
        <is>
          <t>Не определено</t>
        </is>
      </c>
      <c r="M1685" s="53" t="inlineStr"/>
      <c r="N1685" s="54" t="inlineStr"/>
      <c r="O1685" s="55" t="inlineStr"/>
      <c r="P1685" s="16" t="inlineStr">
        <is>
          <t>Требует обогащения</t>
        </is>
      </c>
      <c r="Q1685" s="16">
        <f>HYPERLINK("https://pb.nalog.ru/search.html?query=3813002183","ФНС: проверить")</f>
        <v/>
      </c>
      <c r="R1685" s="16">
        <f>HYPERLINK("https://checko.ru/search?query=3801001629","Чекко: проверить")</f>
        <v/>
      </c>
      <c r="S1685" t="n">
        <v>1</v>
      </c>
      <c r="T1685" s="35" t="inlineStr">
        <is>
          <t>4 — Не обогащён</t>
        </is>
      </c>
      <c r="U1685" s="35" t="inlineStr">
        <is>
          <t>Нет ОКВЭД/ССЧР</t>
        </is>
      </c>
      <c r="V1685" s="35" t="inlineStr">
        <is>
          <t>Не определено</t>
        </is>
      </c>
      <c r="W1685" s="35" t="inlineStr"/>
      <c r="X1685" s="35" t="inlineStr"/>
    </row>
    <row r="1686" ht="27.75" customHeight="1" s="24">
      <c r="A1686" s="13" t="n">
        <v>5000001867</v>
      </c>
      <c r="B1686" s="13" t="inlineStr">
        <is>
          <t>Тулунская городская территориальная избирательная комиссия</t>
        </is>
      </c>
      <c r="C1686" s="13" t="n">
        <v>3816008320</v>
      </c>
      <c r="D1686" s="13" t="inlineStr">
        <is>
          <t>3816008320</t>
        </is>
      </c>
      <c r="E1686" s="13" t="inlineStr">
        <is>
          <t>ЮЛ РФ</t>
        </is>
      </c>
      <c r="F1686" s="13" t="n"/>
      <c r="G1686" s="14" t="n"/>
      <c r="H1686" s="14" t="n"/>
      <c r="I1686" s="14" t="n"/>
      <c r="J1686" s="14" t="n"/>
      <c r="K1686" s="53" t="inlineStr"/>
      <c r="L1686" s="53" t="inlineStr">
        <is>
          <t>Не определено</t>
        </is>
      </c>
      <c r="M1686" s="53" t="inlineStr"/>
      <c r="N1686" s="54" t="inlineStr"/>
      <c r="O1686" s="55" t="inlineStr"/>
      <c r="P1686" s="16" t="inlineStr">
        <is>
          <t>Требует обогащения</t>
        </is>
      </c>
      <c r="Q1686" s="16">
        <f>HYPERLINK("https://pb.nalog.ru/search.html?query=3816008320","ФНС: проверить")</f>
        <v/>
      </c>
      <c r="R1686" s="16">
        <f>HYPERLINK("https://checko.ru/search?query=3801001629","Чекко: проверить")</f>
        <v/>
      </c>
      <c r="S1686" t="n">
        <v>1</v>
      </c>
      <c r="T1686" s="35" t="inlineStr">
        <is>
          <t>4 — Не обогащён</t>
        </is>
      </c>
      <c r="U1686" s="35" t="inlineStr">
        <is>
          <t>Нет ОКВЭД/ССЧР</t>
        </is>
      </c>
      <c r="V1686" s="35" t="inlineStr">
        <is>
          <t>Не определено</t>
        </is>
      </c>
      <c r="W1686" s="35" t="inlineStr"/>
      <c r="X1686" s="35" t="inlineStr"/>
    </row>
    <row r="1687" ht="15" customHeight="1" s="24">
      <c r="A1687" s="13" t="n">
        <v>5000008575</v>
      </c>
      <c r="B1687" s="13" t="inlineStr">
        <is>
          <t>УФССП России по Республике Бурятия</t>
        </is>
      </c>
      <c r="C1687" s="13" t="n">
        <v>326023490</v>
      </c>
      <c r="D1687" s="13" t="n"/>
      <c r="E1687" s="13" t="inlineStr">
        <is>
          <t>Не определён</t>
        </is>
      </c>
      <c r="F1687" s="13" t="inlineStr">
        <is>
          <t>326023490</t>
        </is>
      </c>
      <c r="G1687" s="14" t="n"/>
      <c r="H1687" s="14" t="n"/>
      <c r="I1687" s="14" t="n"/>
      <c r="J1687" s="14" t="n"/>
      <c r="K1687" s="13">
        <f>IF(G1687="","",IF(G1687&gt;=22,"Да","Нет"))</f>
        <v/>
      </c>
      <c r="L1687" s="13">
        <f>IF(OR(I1687="",J1687=""),"Не определено",IF(OR(COUNTIF(I1687,"45*")&gt;0,COUNTIF(J1687,"*45*")&gt;0,COUNTIF(I1687,"46*")&gt;0,COUNTIF(J1687,"*46*")&gt;0,COUNTIF(I1687,"47*")&gt;0,COUNTIF(J1687,"*47*")&gt;0,COUNTIF(I1687,"10*")&gt;0,COUNTIF(J1687,"*10*")&gt;0,COUNTIF(I1687,"11*")&gt;0,COUNTIF(J1687,"*11*")&gt;0,COUNTIF(I1687,"12*")&gt;0,COUNTIF(J1687,"*12*")&gt;0,COUNTIF(I1687,"13*")&gt;0,COUNTIF(J1687,"*13*")&gt;0,COUNTIF(I1687,"14*")&gt;0,COUNTIF(J1687,"*14*")&gt;0,COUNTIF(I1687,"15*")&gt;0,COUNTIF(J1687,"*15*")&gt;0,COUNTIF(I1687,"16*")&gt;0,COUNTIF(J1687,"*16*")&gt;0,COUNTIF(I1687,"17*")&gt;0,COUNTIF(J1687,"*17*")&gt;0,COUNTIF(I1687,"18*")&gt;0,COUNTIF(J1687,"*18*")&gt;0,COUNTIF(I1687,"19*")&gt;0,COUNTIF(J1687,"*19*")&gt;0,COUNTIF(I1687,"20*")&gt;0,COUNTIF(J1687,"*20*")&gt;0,COUNTIF(I1687,"21*")&gt;0,COUNTIF(J1687,"*21*")&gt;0,COUNTIF(I1687,"22*")&gt;0,COUNTIF(J1687,"*22*")&gt;0,COUNTIF(I1687,"23*")&gt;0,COUNTIF(J1687,"*23*")&gt;0,COUNTIF(I1687,"24*")&gt;0,COUNTIF(J1687,"*24*")&gt;0,COUNTIF(I1687,"25*")&gt;0,COUNTIF(J1687,"*25*")&gt;0,COUNTIF(I1687,"26*")&gt;0,COUNTIF(J1687,"*26*")&gt;0,COUNTIF(I1687,"27*")&gt;0,COUNTIF(J1687,"*27*")&gt;0,COUNTIF(I1687,"28*")&gt;0,COUNTIF(J1687,"*28*")&gt;0,COUNTIF(I1687,"29*")&gt;0,COUNTIF(J1687,"*29*")&gt;0,COUNTIF(I1687,"30*")&gt;0,COUNTIF(J1687,"*30*")&gt;0,COUNTIF(I1687,"31*")&gt;0,COUNTIF(J1687,"*31*")&gt;0,COUNTIF(I1687,"32*")&gt;0,COUNTIF(J1687,"*32*")&gt;0,COUNTIF(I1687,"33*")&gt;0,COUNTIF(J1687,"*33*")&gt;0,COUNTIF(I1687,"41*")&gt;0,COUNTIF(J1687,"*41*")&gt;0,COUNTIF(I1687,"42*")&gt;0,COUNTIF(J1687,"*42*")&gt;0,COUNTIF(I1687,"43*")&gt;0,COUNTIF(J1687,"*43*")&gt;0,COUNTIF(I1687,"49*")&gt;0,COUNTIF(J1687,"*49*")&gt;0,COUNTIF(I1687,"52*")&gt;0,COUNTIF(J1687,"*52*")&gt;0,COUNTIF(I1687,"55*")&gt;0,COUNTIF(J1687,"*55*")&gt;0,COUNTIF(I1687,"56*")&gt;0,COUNTIF(J1687,"*56*")&gt;0,COUNTIF(I1687,"68*")&gt;0,COUNTIF(J1687,"*68*")&gt;0,COUNTIF(I1687,"78*")&gt;0,COUNTIF(J1687,"*78*")&gt;0,COUNTIF(I1687,"81*")&gt;0,COUNTIF(J1687,"*81*")&gt;0,COUNTIF(I1687,"82*")&gt;0,COUNTIF(J1687,"*82*")&gt;0,COUNTIF(I1687,"64*")&gt;0,COUNTIF(J1687,"*64*")&gt;0,COUNTIF(I1687,"65*")&gt;0,COUNTIF(J1687,"*65*")&gt;0,COUNTIF(I1687,"66*")&gt;0,COUNTIF(J1687,"*66*")&gt;0,COUNTIF(I1687,"61*")&gt;0,COUNTIF(J1687,"*61*")&gt;0,COUNTIF(I1687,"62*")&gt;0,COUNTIF(J1687,"*62*")&gt;0,COUNTIF(I1687,"63*")&gt;0,COUNTIF(J1687,"*63*")&gt;0,COUNTIF(I1687,"85*")&gt;0,COUNTIF(J1687,"*85*")&gt;0,COUNTIF(I1687,"86*")&gt;0,COUNTIF(J1687,"*86*")&gt;0),"Да","Нет"))</f>
        <v/>
      </c>
      <c r="M1687" s="13">
        <f>IF(OR(G1687="",L1687&lt;&gt;"Да"),"",IF(G1687&lt;=100,"До 100",IF(G1687&lt;=200,"До 200",IF(G1687&lt;=500,"До 500","Отдельное КП"))))</f>
        <v/>
      </c>
      <c r="N1687" s="15">
        <f>IF(OR(G1687="",L1687&lt;&gt;"Да"),"",IF(G1687&lt;=100,33600,IF(G1687&lt;=200,62400,IF(G1687&lt;=500,144000,""))))</f>
        <v/>
      </c>
      <c r="O1687" s="16">
        <f>IF(G1687="","",IF(G1687&lt;=15,"1–15",IF(G1687&lt;=30,"16–30",IF(G1687&lt;=50,"31–50",IF(G1687&lt;=100,"51–100",IF(G1687&lt;=150,"101–150",IF(G1687&lt;=200,"151–200",IF(G1687&lt;=500,"201–500","500+"))))))))</f>
        <v/>
      </c>
      <c r="P1687" s="16" t="inlineStr">
        <is>
          <t>Нет совпадения в предоставленной выгрузке ССЧР</t>
        </is>
      </c>
      <c r="Q1687" s="16" t="n"/>
      <c r="R1687" s="16">
        <f>HYPERLINK("https://checko.ru/search?query=3801001629","Чекко: проверить")</f>
        <v/>
      </c>
      <c r="S1687" t="n">
        <v>0</v>
      </c>
    </row>
    <row r="1688" ht="15" customHeight="1" s="24">
      <c r="A1688" s="13" t="n">
        <v>5000092235</v>
      </c>
      <c r="B1688" s="13" t="inlineStr">
        <is>
          <t>Администрация МО Улейское</t>
        </is>
      </c>
      <c r="C1688" s="13" t="n">
        <v>8505005904</v>
      </c>
      <c r="D1688" s="13" t="inlineStr">
        <is>
          <t>8505005904</t>
        </is>
      </c>
      <c r="E1688" s="13" t="inlineStr">
        <is>
          <t>ЮЛ РФ</t>
        </is>
      </c>
      <c r="F1688" s="13" t="n"/>
      <c r="G1688" s="14" t="n"/>
      <c r="H1688" s="14" t="n"/>
      <c r="I1688" s="14" t="n"/>
      <c r="J1688" s="14" t="n"/>
      <c r="K1688" s="53" t="inlineStr"/>
      <c r="L1688" s="53" t="inlineStr">
        <is>
          <t>Не определено</t>
        </is>
      </c>
      <c r="M1688" s="53" t="inlineStr"/>
      <c r="N1688" s="54" t="inlineStr"/>
      <c r="O1688" s="55" t="inlineStr"/>
      <c r="P1688" s="16" t="inlineStr">
        <is>
          <t>Требует обогащения</t>
        </is>
      </c>
      <c r="Q1688" s="16">
        <f>HYPERLINK("https://pb.nalog.ru/search.html?query=8505005904","ФНС: проверить")</f>
        <v/>
      </c>
      <c r="R1688" s="16">
        <f>HYPERLINK("https://checko.ru/search?query=3801001629","Чекко: проверить")</f>
        <v/>
      </c>
      <c r="S1688" t="n">
        <v>1</v>
      </c>
      <c r="T1688" s="35" t="inlineStr">
        <is>
          <t>4 — Не обогащён</t>
        </is>
      </c>
      <c r="U1688" s="35" t="inlineStr">
        <is>
          <t>Нет ОКВЭД/ССЧР</t>
        </is>
      </c>
      <c r="V1688" s="35" t="inlineStr">
        <is>
          <t>Не определено</t>
        </is>
      </c>
      <c r="W1688" s="35" t="inlineStr"/>
      <c r="X1688" s="35" t="inlineStr"/>
    </row>
    <row r="1689" ht="15" customHeight="1" s="24">
      <c r="A1689" s="13" t="n">
        <v>5000028266</v>
      </c>
      <c r="B1689" s="13" t="inlineStr">
        <is>
          <t>МАУ г. Луховицы "МЦ "Юнимакс"</t>
        </is>
      </c>
      <c r="C1689" s="13" t="n">
        <v>5072726400</v>
      </c>
      <c r="D1689" s="13" t="inlineStr">
        <is>
          <t>5072726400</t>
        </is>
      </c>
      <c r="E1689" s="13" t="inlineStr">
        <is>
          <t>ЮЛ РФ</t>
        </is>
      </c>
      <c r="F1689" s="13" t="n"/>
      <c r="G1689" s="14" t="n"/>
      <c r="H1689" s="14" t="n"/>
      <c r="I1689" s="14" t="n"/>
      <c r="J1689" s="14" t="n"/>
      <c r="K1689" s="53" t="inlineStr"/>
      <c r="L1689" s="53" t="inlineStr">
        <is>
          <t>Не определено</t>
        </is>
      </c>
      <c r="M1689" s="53" t="inlineStr"/>
      <c r="N1689" s="54" t="inlineStr"/>
      <c r="O1689" s="55" t="inlineStr"/>
      <c r="P1689" s="16" t="inlineStr">
        <is>
          <t>Требует обогащения</t>
        </is>
      </c>
      <c r="Q1689" s="16">
        <f>HYPERLINK("https://pb.nalog.ru/search.html?query=5072726400","ФНС: проверить")</f>
        <v/>
      </c>
      <c r="R1689" s="16">
        <f>HYPERLINK("https://checko.ru/search?query=3801001629","Чекко: проверить")</f>
        <v/>
      </c>
      <c r="S1689" t="n">
        <v>1</v>
      </c>
      <c r="T1689" s="35" t="inlineStr">
        <is>
          <t>4 — Не обогащён</t>
        </is>
      </c>
      <c r="U1689" s="35" t="inlineStr">
        <is>
          <t>Нет ОКВЭД/ССЧР</t>
        </is>
      </c>
      <c r="V1689" s="35" t="inlineStr">
        <is>
          <t>Не определено</t>
        </is>
      </c>
      <c r="W1689" s="35" t="inlineStr"/>
      <c r="X1689" s="35" t="inlineStr"/>
    </row>
    <row r="1690" ht="15" customHeight="1" s="24">
      <c r="A1690" s="13" t="n">
        <v>5000028269</v>
      </c>
      <c r="B1690" s="13" t="inlineStr">
        <is>
          <t>МБУК "ЦКД" КРАСНАЯ ПОЙМА"</t>
        </is>
      </c>
      <c r="C1690" s="13" t="n">
        <v>5072724682</v>
      </c>
      <c r="D1690" s="13" t="inlineStr">
        <is>
          <t>5072724682</t>
        </is>
      </c>
      <c r="E1690" s="13" t="inlineStr">
        <is>
          <t>ЮЛ РФ</t>
        </is>
      </c>
      <c r="F1690" s="13" t="n"/>
      <c r="G1690" s="14" t="n"/>
      <c r="H1690" s="14" t="n"/>
      <c r="I1690" s="14" t="n"/>
      <c r="J1690" s="14" t="n"/>
      <c r="K1690" s="53" t="inlineStr"/>
      <c r="L1690" s="53" t="inlineStr">
        <is>
          <t>Не определено</t>
        </is>
      </c>
      <c r="M1690" s="53" t="inlineStr"/>
      <c r="N1690" s="54" t="inlineStr"/>
      <c r="O1690" s="55" t="inlineStr"/>
      <c r="P1690" s="16" t="inlineStr">
        <is>
          <t>Требует обогащения</t>
        </is>
      </c>
      <c r="Q1690" s="16">
        <f>HYPERLINK("https://pb.nalog.ru/search.html?query=5072724682","ФНС: проверить")</f>
        <v/>
      </c>
      <c r="R1690" s="16">
        <f>HYPERLINK("https://checko.ru/search?query=3801001629","Чекко: проверить")</f>
        <v/>
      </c>
      <c r="S1690" t="n">
        <v>1</v>
      </c>
      <c r="T1690" s="35" t="inlineStr">
        <is>
          <t>4 — Не обогащён</t>
        </is>
      </c>
      <c r="U1690" s="35" t="inlineStr">
        <is>
          <t>Нет ОКВЭД/ССЧР</t>
        </is>
      </c>
      <c r="V1690" s="35" t="inlineStr">
        <is>
          <t>Не определено</t>
        </is>
      </c>
      <c r="W1690" s="35" t="inlineStr"/>
      <c r="X1690" s="35" t="inlineStr"/>
    </row>
    <row r="1691" ht="15" customHeight="1" s="24">
      <c r="A1691" s="13" t="n">
        <v>5000028273</v>
      </c>
      <c r="B1691" s="13" t="inlineStr">
        <is>
          <t>МБУ "ЦК "ЗАРЕЧЬЕ</t>
        </is>
      </c>
      <c r="C1691" s="13" t="n">
        <v>5072725037</v>
      </c>
      <c r="D1691" s="13" t="inlineStr">
        <is>
          <t>5072725037</t>
        </is>
      </c>
      <c r="E1691" s="13" t="inlineStr">
        <is>
          <t>ЮЛ РФ</t>
        </is>
      </c>
      <c r="F1691" s="13" t="n"/>
      <c r="G1691" s="14" t="n"/>
      <c r="H1691" s="14" t="n"/>
      <c r="I1691" s="14" t="n"/>
      <c r="J1691" s="14" t="n"/>
      <c r="K1691" s="53" t="inlineStr"/>
      <c r="L1691" s="53" t="inlineStr">
        <is>
          <t>Не определено</t>
        </is>
      </c>
      <c r="M1691" s="53" t="inlineStr"/>
      <c r="N1691" s="54" t="inlineStr"/>
      <c r="O1691" s="55" t="inlineStr"/>
      <c r="P1691" s="16" t="inlineStr">
        <is>
          <t>Требует обогащения</t>
        </is>
      </c>
      <c r="Q1691" s="16">
        <f>HYPERLINK("https://pb.nalog.ru/search.html?query=5072725037","ФНС: проверить")</f>
        <v/>
      </c>
      <c r="R1691" s="16">
        <f>HYPERLINK("https://checko.ru/search?query=3801001629","Чекко: проверить")</f>
        <v/>
      </c>
      <c r="S1691" t="n">
        <v>1</v>
      </c>
      <c r="T1691" s="35" t="inlineStr">
        <is>
          <t>4 — Не обогащён</t>
        </is>
      </c>
      <c r="U1691" s="35" t="inlineStr">
        <is>
          <t>Нет ОКВЭД/ССЧР</t>
        </is>
      </c>
      <c r="V1691" s="35" t="inlineStr">
        <is>
          <t>Не определено</t>
        </is>
      </c>
      <c r="W1691" s="35" t="inlineStr"/>
      <c r="X1691" s="35" t="inlineStr"/>
    </row>
    <row r="1692" ht="15" customHeight="1" s="24">
      <c r="A1692" s="13" t="n">
        <v>5000028272</v>
      </c>
      <c r="B1692" s="13" t="inlineStr">
        <is>
          <t>МБУК "ИСТОРИКО- ХУДОЖЕСТВЕННЫЙ МУЗЕЙ"</t>
        </is>
      </c>
      <c r="C1692" s="13" t="n">
        <v>5072001059</v>
      </c>
      <c r="D1692" s="13" t="inlineStr">
        <is>
          <t>5072001059</t>
        </is>
      </c>
      <c r="E1692" s="13" t="inlineStr">
        <is>
          <t>ЮЛ РФ</t>
        </is>
      </c>
      <c r="F1692" s="13" t="n"/>
      <c r="G1692" s="14" t="n"/>
      <c r="H1692" s="14" t="n"/>
      <c r="I1692" s="14" t="n"/>
      <c r="J1692" s="14" t="n"/>
      <c r="K1692" s="53" t="inlineStr"/>
      <c r="L1692" s="53" t="inlineStr">
        <is>
          <t>Не определено</t>
        </is>
      </c>
      <c r="M1692" s="53" t="inlineStr"/>
      <c r="N1692" s="54" t="inlineStr"/>
      <c r="O1692" s="55" t="inlineStr"/>
      <c r="P1692" s="16" t="inlineStr">
        <is>
          <t>Требует обогащения</t>
        </is>
      </c>
      <c r="Q1692" s="16">
        <f>HYPERLINK("https://pb.nalog.ru/search.html?query=5072001059","ФНС: проверить")</f>
        <v/>
      </c>
      <c r="R1692" s="16">
        <f>HYPERLINK("https://checko.ru/search?query=3801001629","Чекко: проверить")</f>
        <v/>
      </c>
      <c r="S1692" t="n">
        <v>1</v>
      </c>
      <c r="T1692" s="35" t="inlineStr">
        <is>
          <t>4 — Не обогащён</t>
        </is>
      </c>
      <c r="U1692" s="35" t="inlineStr">
        <is>
          <t>Нет ОКВЭД/ССЧР</t>
        </is>
      </c>
      <c r="V1692" s="35" t="inlineStr">
        <is>
          <t>Не определено</t>
        </is>
      </c>
      <c r="W1692" s="35" t="inlineStr"/>
      <c r="X1692" s="35" t="inlineStr"/>
    </row>
    <row r="1693" ht="15" customHeight="1" s="24">
      <c r="A1693" s="13" t="n">
        <v>5000095029</v>
      </c>
      <c r="B1693" s="13" t="inlineStr">
        <is>
          <t>МКОУ "СОШ №10" г.о.Нальчик КБР</t>
        </is>
      </c>
      <c r="C1693" s="13" t="n">
        <v>711039679</v>
      </c>
      <c r="D1693" s="13" t="n"/>
      <c r="E1693" s="13" t="inlineStr">
        <is>
          <t>Не определён</t>
        </is>
      </c>
      <c r="F1693" s="13" t="inlineStr">
        <is>
          <t>711039679</t>
        </is>
      </c>
      <c r="G1693" s="14" t="n"/>
      <c r="H1693" s="14" t="n"/>
      <c r="I1693" s="14" t="n"/>
      <c r="J1693" s="14" t="n"/>
      <c r="K1693" s="13">
        <f>IF(G1693="","",IF(G1693&gt;=22,"Да","Нет"))</f>
        <v/>
      </c>
      <c r="L1693" s="13">
        <f>IF(OR(I1693="",J1693=""),"Не определено",IF(OR(COUNTIF(I1693,"45*")&gt;0,COUNTIF(J1693,"*45*")&gt;0,COUNTIF(I1693,"46*")&gt;0,COUNTIF(J1693,"*46*")&gt;0,COUNTIF(I1693,"47*")&gt;0,COUNTIF(J1693,"*47*")&gt;0,COUNTIF(I1693,"10*")&gt;0,COUNTIF(J1693,"*10*")&gt;0,COUNTIF(I1693,"11*")&gt;0,COUNTIF(J1693,"*11*")&gt;0,COUNTIF(I1693,"12*")&gt;0,COUNTIF(J1693,"*12*")&gt;0,COUNTIF(I1693,"13*")&gt;0,COUNTIF(J1693,"*13*")&gt;0,COUNTIF(I1693,"14*")&gt;0,COUNTIF(J1693,"*14*")&gt;0,COUNTIF(I1693,"15*")&gt;0,COUNTIF(J1693,"*15*")&gt;0,COUNTIF(I1693,"16*")&gt;0,COUNTIF(J1693,"*16*")&gt;0,COUNTIF(I1693,"17*")&gt;0,COUNTIF(J1693,"*17*")&gt;0,COUNTIF(I1693,"18*")&gt;0,COUNTIF(J1693,"*18*")&gt;0,COUNTIF(I1693,"19*")&gt;0,COUNTIF(J1693,"*19*")&gt;0,COUNTIF(I1693,"20*")&gt;0,COUNTIF(J1693,"*20*")&gt;0,COUNTIF(I1693,"21*")&gt;0,COUNTIF(J1693,"*21*")&gt;0,COUNTIF(I1693,"22*")&gt;0,COUNTIF(J1693,"*22*")&gt;0,COUNTIF(I1693,"23*")&gt;0,COUNTIF(J1693,"*23*")&gt;0,COUNTIF(I1693,"24*")&gt;0,COUNTIF(J1693,"*24*")&gt;0,COUNTIF(I1693,"25*")&gt;0,COUNTIF(J1693,"*25*")&gt;0,COUNTIF(I1693,"26*")&gt;0,COUNTIF(J1693,"*26*")&gt;0,COUNTIF(I1693,"27*")&gt;0,COUNTIF(J1693,"*27*")&gt;0,COUNTIF(I1693,"28*")&gt;0,COUNTIF(J1693,"*28*")&gt;0,COUNTIF(I1693,"29*")&gt;0,COUNTIF(J1693,"*29*")&gt;0,COUNTIF(I1693,"30*")&gt;0,COUNTIF(J1693,"*30*")&gt;0,COUNTIF(I1693,"31*")&gt;0,COUNTIF(J1693,"*31*")&gt;0,COUNTIF(I1693,"32*")&gt;0,COUNTIF(J1693,"*32*")&gt;0,COUNTIF(I1693,"33*")&gt;0,COUNTIF(J1693,"*33*")&gt;0,COUNTIF(I1693,"41*")&gt;0,COUNTIF(J1693,"*41*")&gt;0,COUNTIF(I1693,"42*")&gt;0,COUNTIF(J1693,"*42*")&gt;0,COUNTIF(I1693,"43*")&gt;0,COUNTIF(J1693,"*43*")&gt;0,COUNTIF(I1693,"49*")&gt;0,COUNTIF(J1693,"*49*")&gt;0,COUNTIF(I1693,"52*")&gt;0,COUNTIF(J1693,"*52*")&gt;0,COUNTIF(I1693,"55*")&gt;0,COUNTIF(J1693,"*55*")&gt;0,COUNTIF(I1693,"56*")&gt;0,COUNTIF(J1693,"*56*")&gt;0,COUNTIF(I1693,"68*")&gt;0,COUNTIF(J1693,"*68*")&gt;0,COUNTIF(I1693,"78*")&gt;0,COUNTIF(J1693,"*78*")&gt;0,COUNTIF(I1693,"81*")&gt;0,COUNTIF(J1693,"*81*")&gt;0,COUNTIF(I1693,"82*")&gt;0,COUNTIF(J1693,"*82*")&gt;0,COUNTIF(I1693,"64*")&gt;0,COUNTIF(J1693,"*64*")&gt;0,COUNTIF(I1693,"65*")&gt;0,COUNTIF(J1693,"*65*")&gt;0,COUNTIF(I1693,"66*")&gt;0,COUNTIF(J1693,"*66*")&gt;0,COUNTIF(I1693,"61*")&gt;0,COUNTIF(J1693,"*61*")&gt;0,COUNTIF(I1693,"62*")&gt;0,COUNTIF(J1693,"*62*")&gt;0,COUNTIF(I1693,"63*")&gt;0,COUNTIF(J1693,"*63*")&gt;0,COUNTIF(I1693,"85*")&gt;0,COUNTIF(J1693,"*85*")&gt;0,COUNTIF(I1693,"86*")&gt;0,COUNTIF(J1693,"*86*")&gt;0),"Да","Нет"))</f>
        <v/>
      </c>
      <c r="M1693" s="13">
        <f>IF(OR(G1693="",L1693&lt;&gt;"Да"),"",IF(G1693&lt;=100,"До 100",IF(G1693&lt;=200,"До 200",IF(G1693&lt;=500,"До 500","Отдельное КП"))))</f>
        <v/>
      </c>
      <c r="N1693" s="15">
        <f>IF(OR(G1693="",L1693&lt;&gt;"Да"),"",IF(G1693&lt;=100,33600,IF(G1693&lt;=200,62400,IF(G1693&lt;=500,144000,""))))</f>
        <v/>
      </c>
      <c r="O1693" s="16">
        <f>IF(G1693="","",IF(G1693&lt;=15,"1–15",IF(G1693&lt;=30,"16–30",IF(G1693&lt;=50,"31–50",IF(G1693&lt;=100,"51–100",IF(G1693&lt;=150,"101–150",IF(G1693&lt;=200,"151–200",IF(G1693&lt;=500,"201–500","500+"))))))))</f>
        <v/>
      </c>
      <c r="P1693" s="16" t="inlineStr">
        <is>
          <t>Нет совпадения в предоставленной выгрузке ССЧР</t>
        </is>
      </c>
      <c r="Q1693" s="16" t="n"/>
      <c r="R1693" s="16">
        <f>HYPERLINK("https://checko.ru/search?query=3801001629","Чекко: проверить")</f>
        <v/>
      </c>
      <c r="S1693" t="n">
        <v>0</v>
      </c>
    </row>
    <row r="1694" ht="27.75" customHeight="1" s="24">
      <c r="A1694" s="13" t="n">
        <v>5000095063</v>
      </c>
      <c r="B1694" s="13" t="inlineStr">
        <is>
          <t>МКОУ "СОШ №11 им. Героя России Трошева Г.Н." г.о.Нальчик КБР</t>
        </is>
      </c>
      <c r="C1694" s="13" t="n">
        <v>711051820</v>
      </c>
      <c r="D1694" s="13" t="n"/>
      <c r="E1694" s="13" t="inlineStr">
        <is>
          <t>Не определён</t>
        </is>
      </c>
      <c r="F1694" s="13" t="inlineStr">
        <is>
          <t>711051820</t>
        </is>
      </c>
      <c r="G1694" s="14" t="n"/>
      <c r="H1694" s="14" t="n"/>
      <c r="I1694" s="14" t="n"/>
      <c r="J1694" s="14" t="n"/>
      <c r="K1694" s="13">
        <f>IF(G1694="","",IF(G1694&gt;=22,"Да","Нет"))</f>
        <v/>
      </c>
      <c r="L1694" s="13">
        <f>IF(OR(I1694="",J1694=""),"Не определено",IF(OR(COUNTIF(I1694,"45*")&gt;0,COUNTIF(J1694,"*45*")&gt;0,COUNTIF(I1694,"46*")&gt;0,COUNTIF(J1694,"*46*")&gt;0,COUNTIF(I1694,"47*")&gt;0,COUNTIF(J1694,"*47*")&gt;0,COUNTIF(I1694,"10*")&gt;0,COUNTIF(J1694,"*10*")&gt;0,COUNTIF(I1694,"11*")&gt;0,COUNTIF(J1694,"*11*")&gt;0,COUNTIF(I1694,"12*")&gt;0,COUNTIF(J1694,"*12*")&gt;0,COUNTIF(I1694,"13*")&gt;0,COUNTIF(J1694,"*13*")&gt;0,COUNTIF(I1694,"14*")&gt;0,COUNTIF(J1694,"*14*")&gt;0,COUNTIF(I1694,"15*")&gt;0,COUNTIF(J1694,"*15*")&gt;0,COUNTIF(I1694,"16*")&gt;0,COUNTIF(J1694,"*16*")&gt;0,COUNTIF(I1694,"17*")&gt;0,COUNTIF(J1694,"*17*")&gt;0,COUNTIF(I1694,"18*")&gt;0,COUNTIF(J1694,"*18*")&gt;0,COUNTIF(I1694,"19*")&gt;0,COUNTIF(J1694,"*19*")&gt;0,COUNTIF(I1694,"20*")&gt;0,COUNTIF(J1694,"*20*")&gt;0,COUNTIF(I1694,"21*")&gt;0,COUNTIF(J1694,"*21*")&gt;0,COUNTIF(I1694,"22*")&gt;0,COUNTIF(J1694,"*22*")&gt;0,COUNTIF(I1694,"23*")&gt;0,COUNTIF(J1694,"*23*")&gt;0,COUNTIF(I1694,"24*")&gt;0,COUNTIF(J1694,"*24*")&gt;0,COUNTIF(I1694,"25*")&gt;0,COUNTIF(J1694,"*25*")&gt;0,COUNTIF(I1694,"26*")&gt;0,COUNTIF(J1694,"*26*")&gt;0,COUNTIF(I1694,"27*")&gt;0,COUNTIF(J1694,"*27*")&gt;0,COUNTIF(I1694,"28*")&gt;0,COUNTIF(J1694,"*28*")&gt;0,COUNTIF(I1694,"29*")&gt;0,COUNTIF(J1694,"*29*")&gt;0,COUNTIF(I1694,"30*")&gt;0,COUNTIF(J1694,"*30*")&gt;0,COUNTIF(I1694,"31*")&gt;0,COUNTIF(J1694,"*31*")&gt;0,COUNTIF(I1694,"32*")&gt;0,COUNTIF(J1694,"*32*")&gt;0,COUNTIF(I1694,"33*")&gt;0,COUNTIF(J1694,"*33*")&gt;0,COUNTIF(I1694,"41*")&gt;0,COUNTIF(J1694,"*41*")&gt;0,COUNTIF(I1694,"42*")&gt;0,COUNTIF(J1694,"*42*")&gt;0,COUNTIF(I1694,"43*")&gt;0,COUNTIF(J1694,"*43*")&gt;0,COUNTIF(I1694,"49*")&gt;0,COUNTIF(J1694,"*49*")&gt;0,COUNTIF(I1694,"52*")&gt;0,COUNTIF(J1694,"*52*")&gt;0,COUNTIF(I1694,"55*")&gt;0,COUNTIF(J1694,"*55*")&gt;0,COUNTIF(I1694,"56*")&gt;0,COUNTIF(J1694,"*56*")&gt;0,COUNTIF(I1694,"68*")&gt;0,COUNTIF(J1694,"*68*")&gt;0,COUNTIF(I1694,"78*")&gt;0,COUNTIF(J1694,"*78*")&gt;0,COUNTIF(I1694,"81*")&gt;0,COUNTIF(J1694,"*81*")&gt;0,COUNTIF(I1694,"82*")&gt;0,COUNTIF(J1694,"*82*")&gt;0,COUNTIF(I1694,"64*")&gt;0,COUNTIF(J1694,"*64*")&gt;0,COUNTIF(I1694,"65*")&gt;0,COUNTIF(J1694,"*65*")&gt;0,COUNTIF(I1694,"66*")&gt;0,COUNTIF(J1694,"*66*")&gt;0,COUNTIF(I1694,"61*")&gt;0,COUNTIF(J1694,"*61*")&gt;0,COUNTIF(I1694,"62*")&gt;0,COUNTIF(J1694,"*62*")&gt;0,COUNTIF(I1694,"63*")&gt;0,COUNTIF(J1694,"*63*")&gt;0,COUNTIF(I1694,"85*")&gt;0,COUNTIF(J1694,"*85*")&gt;0,COUNTIF(I1694,"86*")&gt;0,COUNTIF(J1694,"*86*")&gt;0),"Да","Нет"))</f>
        <v/>
      </c>
      <c r="M1694" s="13">
        <f>IF(OR(G1694="",L1694&lt;&gt;"Да"),"",IF(G1694&lt;=100,"До 100",IF(G1694&lt;=200,"До 200",IF(G1694&lt;=500,"До 500","Отдельное КП"))))</f>
        <v/>
      </c>
      <c r="N1694" s="15">
        <f>IF(OR(G1694="",L1694&lt;&gt;"Да"),"",IF(G1694&lt;=100,33600,IF(G1694&lt;=200,62400,IF(G1694&lt;=500,144000,""))))</f>
        <v/>
      </c>
      <c r="O1694" s="16">
        <f>IF(G1694="","",IF(G1694&lt;=15,"1–15",IF(G1694&lt;=30,"16–30",IF(G1694&lt;=50,"31–50",IF(G1694&lt;=100,"51–100",IF(G1694&lt;=150,"101–150",IF(G1694&lt;=200,"151–200",IF(G1694&lt;=500,"201–500","500+"))))))))</f>
        <v/>
      </c>
      <c r="P1694" s="16" t="inlineStr">
        <is>
          <t>Нет совпадения в предоставленной выгрузке ССЧР</t>
        </is>
      </c>
      <c r="Q1694" s="16" t="n"/>
      <c r="R1694" s="16">
        <f>HYPERLINK("https://checko.ru/search?query=3801001629","Чекко: проверить")</f>
        <v/>
      </c>
      <c r="S1694" t="n">
        <v>0</v>
      </c>
    </row>
    <row r="1695" ht="15" customHeight="1" s="24">
      <c r="A1695" s="13" t="n">
        <v>5000094892</v>
      </c>
      <c r="B1695" s="13" t="inlineStr">
        <is>
          <t>ГКУ «ЧЕГЕМСКОЕ   ЛЕСНИЧЕСТВО»</t>
        </is>
      </c>
      <c r="C1695" s="13" t="n">
        <v>708011835</v>
      </c>
      <c r="D1695" s="13" t="n"/>
      <c r="E1695" s="13" t="inlineStr">
        <is>
          <t>Не определён</t>
        </is>
      </c>
      <c r="F1695" s="13" t="inlineStr">
        <is>
          <t>708011835</t>
        </is>
      </c>
      <c r="G1695" s="14" t="n"/>
      <c r="H1695" s="14" t="n"/>
      <c r="I1695" s="14" t="n"/>
      <c r="J1695" s="14" t="n"/>
      <c r="K1695" s="13">
        <f>IF(G1695="","",IF(G1695&gt;=22,"Да","Нет"))</f>
        <v/>
      </c>
      <c r="L1695" s="13">
        <f>IF(OR(I1695="",J1695=""),"Не определено",IF(OR(COUNTIF(I1695,"45*")&gt;0,COUNTIF(J1695,"*45*")&gt;0,COUNTIF(I1695,"46*")&gt;0,COUNTIF(J1695,"*46*")&gt;0,COUNTIF(I1695,"47*")&gt;0,COUNTIF(J1695,"*47*")&gt;0,COUNTIF(I1695,"10*")&gt;0,COUNTIF(J1695,"*10*")&gt;0,COUNTIF(I1695,"11*")&gt;0,COUNTIF(J1695,"*11*")&gt;0,COUNTIF(I1695,"12*")&gt;0,COUNTIF(J1695,"*12*")&gt;0,COUNTIF(I1695,"13*")&gt;0,COUNTIF(J1695,"*13*")&gt;0,COUNTIF(I1695,"14*")&gt;0,COUNTIF(J1695,"*14*")&gt;0,COUNTIF(I1695,"15*")&gt;0,COUNTIF(J1695,"*15*")&gt;0,COUNTIF(I1695,"16*")&gt;0,COUNTIF(J1695,"*16*")&gt;0,COUNTIF(I1695,"17*")&gt;0,COUNTIF(J1695,"*17*")&gt;0,COUNTIF(I1695,"18*")&gt;0,COUNTIF(J1695,"*18*")&gt;0,COUNTIF(I1695,"19*")&gt;0,COUNTIF(J1695,"*19*")&gt;0,COUNTIF(I1695,"20*")&gt;0,COUNTIF(J1695,"*20*")&gt;0,COUNTIF(I1695,"21*")&gt;0,COUNTIF(J1695,"*21*")&gt;0,COUNTIF(I1695,"22*")&gt;0,COUNTIF(J1695,"*22*")&gt;0,COUNTIF(I1695,"23*")&gt;0,COUNTIF(J1695,"*23*")&gt;0,COUNTIF(I1695,"24*")&gt;0,COUNTIF(J1695,"*24*")&gt;0,COUNTIF(I1695,"25*")&gt;0,COUNTIF(J1695,"*25*")&gt;0,COUNTIF(I1695,"26*")&gt;0,COUNTIF(J1695,"*26*")&gt;0,COUNTIF(I1695,"27*")&gt;0,COUNTIF(J1695,"*27*")&gt;0,COUNTIF(I1695,"28*")&gt;0,COUNTIF(J1695,"*28*")&gt;0,COUNTIF(I1695,"29*")&gt;0,COUNTIF(J1695,"*29*")&gt;0,COUNTIF(I1695,"30*")&gt;0,COUNTIF(J1695,"*30*")&gt;0,COUNTIF(I1695,"31*")&gt;0,COUNTIF(J1695,"*31*")&gt;0,COUNTIF(I1695,"32*")&gt;0,COUNTIF(J1695,"*32*")&gt;0,COUNTIF(I1695,"33*")&gt;0,COUNTIF(J1695,"*33*")&gt;0,COUNTIF(I1695,"41*")&gt;0,COUNTIF(J1695,"*41*")&gt;0,COUNTIF(I1695,"42*")&gt;0,COUNTIF(J1695,"*42*")&gt;0,COUNTIF(I1695,"43*")&gt;0,COUNTIF(J1695,"*43*")&gt;0,COUNTIF(I1695,"49*")&gt;0,COUNTIF(J1695,"*49*")&gt;0,COUNTIF(I1695,"52*")&gt;0,COUNTIF(J1695,"*52*")&gt;0,COUNTIF(I1695,"55*")&gt;0,COUNTIF(J1695,"*55*")&gt;0,COUNTIF(I1695,"56*")&gt;0,COUNTIF(J1695,"*56*")&gt;0,COUNTIF(I1695,"68*")&gt;0,COUNTIF(J1695,"*68*")&gt;0,COUNTIF(I1695,"78*")&gt;0,COUNTIF(J1695,"*78*")&gt;0,COUNTIF(I1695,"81*")&gt;0,COUNTIF(J1695,"*81*")&gt;0,COUNTIF(I1695,"82*")&gt;0,COUNTIF(J1695,"*82*")&gt;0,COUNTIF(I1695,"64*")&gt;0,COUNTIF(J1695,"*64*")&gt;0,COUNTIF(I1695,"65*")&gt;0,COUNTIF(J1695,"*65*")&gt;0,COUNTIF(I1695,"66*")&gt;0,COUNTIF(J1695,"*66*")&gt;0,COUNTIF(I1695,"61*")&gt;0,COUNTIF(J1695,"*61*")&gt;0,COUNTIF(I1695,"62*")&gt;0,COUNTIF(J1695,"*62*")&gt;0,COUNTIF(I1695,"63*")&gt;0,COUNTIF(J1695,"*63*")&gt;0,COUNTIF(I1695,"85*")&gt;0,COUNTIF(J1695,"*85*")&gt;0,COUNTIF(I1695,"86*")&gt;0,COUNTIF(J1695,"*86*")&gt;0),"Да","Нет"))</f>
        <v/>
      </c>
      <c r="M1695" s="13">
        <f>IF(OR(G1695="",L1695&lt;&gt;"Да"),"",IF(G1695&lt;=100,"До 100",IF(G1695&lt;=200,"До 200",IF(G1695&lt;=500,"До 500","Отдельное КП"))))</f>
        <v/>
      </c>
      <c r="N1695" s="15">
        <f>IF(OR(G1695="",L1695&lt;&gt;"Да"),"",IF(G1695&lt;=100,33600,IF(G1695&lt;=200,62400,IF(G1695&lt;=500,144000,""))))</f>
        <v/>
      </c>
      <c r="O1695" s="16">
        <f>IF(G1695="","",IF(G1695&lt;=15,"1–15",IF(G1695&lt;=30,"16–30",IF(G1695&lt;=50,"31–50",IF(G1695&lt;=100,"51–100",IF(G1695&lt;=150,"101–150",IF(G1695&lt;=200,"151–200",IF(G1695&lt;=500,"201–500","500+"))))))))</f>
        <v/>
      </c>
      <c r="P1695" s="16" t="inlineStr">
        <is>
          <t>Нет совпадения в предоставленной выгрузке ССЧР</t>
        </is>
      </c>
      <c r="Q1695" s="16" t="n"/>
      <c r="R1695" s="16">
        <f>HYPERLINK("https://checko.ru/search?query=3801001629","Чекко: проверить")</f>
        <v/>
      </c>
      <c r="S1695" t="n">
        <v>0</v>
      </c>
    </row>
    <row r="1696" ht="27.75" customHeight="1" s="24">
      <c r="A1696" s="13" t="n">
        <v>5000001870</v>
      </c>
      <c r="B1696" s="13" t="inlineStr">
        <is>
          <t>ОбГБУ "Усть-Илимская станция по борьбе с болезнями животных"</t>
        </is>
      </c>
      <c r="C1696" s="13" t="n">
        <v>3817025576</v>
      </c>
      <c r="D1696" s="13" t="inlineStr">
        <is>
          <t>3817025576</t>
        </is>
      </c>
      <c r="E1696" s="13" t="inlineStr">
        <is>
          <t>ЮЛ РФ</t>
        </is>
      </c>
      <c r="F1696" s="13" t="n"/>
      <c r="G1696" s="14" t="n"/>
      <c r="H1696" s="14" t="n"/>
      <c r="I1696" s="14" t="n"/>
      <c r="J1696" s="14" t="n"/>
      <c r="K1696" s="53" t="inlineStr"/>
      <c r="L1696" s="53" t="inlineStr">
        <is>
          <t>Не определено</t>
        </is>
      </c>
      <c r="M1696" s="53" t="inlineStr"/>
      <c r="N1696" s="54" t="inlineStr"/>
      <c r="O1696" s="55" t="inlineStr"/>
      <c r="P1696" s="16" t="inlineStr">
        <is>
          <t>Требует обогащения</t>
        </is>
      </c>
      <c r="Q1696" s="16">
        <f>HYPERLINK("https://pb.nalog.ru/search.html?query=3817025576","ФНС: проверить")</f>
        <v/>
      </c>
      <c r="R1696" s="16">
        <f>HYPERLINK("https://checko.ru/search?query=3801001629","Чекко: проверить")</f>
        <v/>
      </c>
      <c r="S1696" t="n">
        <v>1</v>
      </c>
      <c r="T1696" s="35" t="inlineStr">
        <is>
          <t>4 — Не обогащён</t>
        </is>
      </c>
      <c r="U1696" s="35" t="inlineStr">
        <is>
          <t>Нет ОКВЭД/ССЧР</t>
        </is>
      </c>
      <c r="V1696" s="35" t="inlineStr">
        <is>
          <t>Не определено</t>
        </is>
      </c>
      <c r="W1696" s="35" t="inlineStr"/>
      <c r="X1696" s="35" t="inlineStr"/>
    </row>
    <row r="1697" ht="27.75" customHeight="1" s="24">
      <c r="A1697" s="13" t="n">
        <v>5000001956</v>
      </c>
      <c r="B1697" s="13" t="inlineStr">
        <is>
          <t>ОбГОБУ ДОД "Центр развития дополнительного образования детей Ирк</t>
        </is>
      </c>
      <c r="C1697" s="13" t="n">
        <v>3849022200</v>
      </c>
      <c r="D1697" s="13" t="inlineStr">
        <is>
          <t>3849022200</t>
        </is>
      </c>
      <c r="E1697" s="13" t="inlineStr">
        <is>
          <t>ЮЛ РФ</t>
        </is>
      </c>
      <c r="F1697" s="13" t="n"/>
      <c r="G1697" s="14" t="n"/>
      <c r="H1697" s="14" t="n"/>
      <c r="I1697" s="14" t="n"/>
      <c r="J1697" s="14" t="n"/>
      <c r="K1697" s="53" t="inlineStr"/>
      <c r="L1697" s="53" t="inlineStr">
        <is>
          <t>Не определено</t>
        </is>
      </c>
      <c r="M1697" s="53" t="inlineStr"/>
      <c r="N1697" s="54" t="inlineStr"/>
      <c r="O1697" s="55" t="inlineStr"/>
      <c r="P1697" s="16" t="inlineStr">
        <is>
          <t>Требует обогащения</t>
        </is>
      </c>
      <c r="Q1697" s="16">
        <f>HYPERLINK("https://pb.nalog.ru/search.html?query=3849022200","ФНС: проверить")</f>
        <v/>
      </c>
      <c r="R1697" s="16">
        <f>HYPERLINK("https://checko.ru/search?query=3801001629","Чекко: проверить")</f>
        <v/>
      </c>
      <c r="S1697" t="n">
        <v>1</v>
      </c>
      <c r="T1697" s="35" t="inlineStr">
        <is>
          <t>4 — Не обогащён</t>
        </is>
      </c>
      <c r="U1697" s="35" t="inlineStr">
        <is>
          <t>Нет ОКВЭД/ССЧР</t>
        </is>
      </c>
      <c r="V1697" s="35" t="inlineStr">
        <is>
          <t>Не определено</t>
        </is>
      </c>
      <c r="W1697" s="35" t="inlineStr"/>
      <c r="X1697" s="35" t="inlineStr"/>
    </row>
    <row r="1698" ht="41.25" customHeight="1" s="24">
      <c r="A1698" s="13" t="n">
        <v>5000001595</v>
      </c>
      <c r="B1698" s="13" t="inlineStr">
        <is>
          <t>ГУЗ «Иркутский областной центр по профилактике и борьбе со СПИД и инфекционными заболеваниями»</t>
        </is>
      </c>
      <c r="C1698" s="13" t="n">
        <v>3812014796</v>
      </c>
      <c r="D1698" s="13" t="inlineStr">
        <is>
          <t>3812014796</t>
        </is>
      </c>
      <c r="E1698" s="13" t="inlineStr">
        <is>
          <t>ЮЛ РФ</t>
        </is>
      </c>
      <c r="F1698" s="13" t="n"/>
      <c r="G1698" s="14" t="n"/>
      <c r="H1698" s="14" t="n"/>
      <c r="I1698" s="14" t="n"/>
      <c r="J1698" s="14" t="n"/>
      <c r="K1698" s="53" t="inlineStr"/>
      <c r="L1698" s="53" t="inlineStr">
        <is>
          <t>Не определено</t>
        </is>
      </c>
      <c r="M1698" s="53" t="inlineStr"/>
      <c r="N1698" s="54" t="inlineStr"/>
      <c r="O1698" s="55" t="inlineStr"/>
      <c r="P1698" s="16" t="inlineStr">
        <is>
          <t>Требует обогащения</t>
        </is>
      </c>
      <c r="Q1698" s="16">
        <f>HYPERLINK("https://pb.nalog.ru/search.html?query=3812014796","ФНС: проверить")</f>
        <v/>
      </c>
      <c r="R1698" s="16">
        <f>HYPERLINK("https://checko.ru/search?query=3801001629","Чекко: проверить")</f>
        <v/>
      </c>
      <c r="S1698" t="n">
        <v>1</v>
      </c>
      <c r="T1698" s="35" t="inlineStr">
        <is>
          <t>4 — Не обогащён</t>
        </is>
      </c>
      <c r="U1698" s="35" t="inlineStr">
        <is>
          <t>Нет ОКВЭД/ССЧР</t>
        </is>
      </c>
      <c r="V1698" s="35" t="inlineStr">
        <is>
          <t>Не определено</t>
        </is>
      </c>
      <c r="W1698" s="35" t="inlineStr"/>
      <c r="X1698" s="35" t="inlineStr"/>
    </row>
    <row r="1699" ht="27.75" customHeight="1" s="24">
      <c r="A1699" s="13" t="n">
        <v>5000001723</v>
      </c>
      <c r="B1699" s="13" t="inlineStr">
        <is>
          <t>ГОУ СО Саянский детский дом-интернат для умственно отсталых детей</t>
        </is>
      </c>
      <c r="C1699" s="13" t="n">
        <v>3814000140</v>
      </c>
      <c r="D1699" s="13" t="inlineStr">
        <is>
          <t>3814000140</t>
        </is>
      </c>
      <c r="E1699" s="13" t="inlineStr">
        <is>
          <t>ЮЛ РФ</t>
        </is>
      </c>
      <c r="F1699" s="13" t="n"/>
      <c r="G1699" s="14" t="n"/>
      <c r="H1699" s="14" t="n"/>
      <c r="I1699" s="14" t="n"/>
      <c r="J1699" s="14" t="n"/>
      <c r="K1699" s="53" t="inlineStr"/>
      <c r="L1699" s="53" t="inlineStr">
        <is>
          <t>Не определено</t>
        </is>
      </c>
      <c r="M1699" s="53" t="inlineStr"/>
      <c r="N1699" s="54" t="inlineStr"/>
      <c r="O1699" s="55" t="inlineStr"/>
      <c r="P1699" s="16" t="inlineStr">
        <is>
          <t>Требует обогащения</t>
        </is>
      </c>
      <c r="Q1699" s="16">
        <f>HYPERLINK("https://pb.nalog.ru/search.html?query=3814000140","ФНС: проверить")</f>
        <v/>
      </c>
      <c r="R1699" s="16">
        <f>HYPERLINK("https://checko.ru/search?query=3801001629","Чекко: проверить")</f>
        <v/>
      </c>
      <c r="S1699" t="n">
        <v>1</v>
      </c>
      <c r="T1699" s="35" t="inlineStr">
        <is>
          <t>4 — Не обогащён</t>
        </is>
      </c>
      <c r="U1699" s="35" t="inlineStr">
        <is>
          <t>Нет ОКВЭД/ССЧР</t>
        </is>
      </c>
      <c r="V1699" s="35" t="inlineStr">
        <is>
          <t>Не определено</t>
        </is>
      </c>
      <c r="W1699" s="35" t="inlineStr"/>
      <c r="X1699" s="35" t="inlineStr"/>
    </row>
    <row r="1700" ht="41.25" customHeight="1" s="24">
      <c r="A1700" s="13" t="n">
        <v>5000038516</v>
      </c>
      <c r="B1700" s="13" t="inlineStr">
        <is>
          <t>ОГОУ СПО "УФСТОР" (УЛЬЯНОВСКИЙ ФИЗКУЛЬТУРНО-СПОРТИВНЫЙ ТЕХНИКУМ ОЛИМПИЙСКОГО РЕЗЕРВА")</t>
        </is>
      </c>
      <c r="C1700" s="13" t="n">
        <v>7303012865</v>
      </c>
      <c r="D1700" s="13" t="inlineStr">
        <is>
          <t>7303012865</t>
        </is>
      </c>
      <c r="E1700" s="13" t="inlineStr">
        <is>
          <t>ЮЛ РФ</t>
        </is>
      </c>
      <c r="F1700" s="13" t="n"/>
      <c r="G1700" s="14" t="n"/>
      <c r="H1700" s="14" t="n"/>
      <c r="I1700" s="14" t="n"/>
      <c r="J1700" s="14" t="n"/>
      <c r="K1700" s="53" t="inlineStr"/>
      <c r="L1700" s="53" t="inlineStr">
        <is>
          <t>Не определено</t>
        </is>
      </c>
      <c r="M1700" s="53" t="inlineStr"/>
      <c r="N1700" s="54" t="inlineStr"/>
      <c r="O1700" s="55" t="inlineStr"/>
      <c r="P1700" s="16" t="inlineStr">
        <is>
          <t>Требует обогащения</t>
        </is>
      </c>
      <c r="Q1700" s="16">
        <f>HYPERLINK("https://pb.nalog.ru/search.html?query=7303012865","ФНС: проверить")</f>
        <v/>
      </c>
      <c r="R1700" s="16">
        <f>HYPERLINK("https://checko.ru/search?query=3801001629","Чекко: проверить")</f>
        <v/>
      </c>
      <c r="S1700" t="n">
        <v>1</v>
      </c>
      <c r="T1700" s="35" t="inlineStr">
        <is>
          <t>4 — Не обогащён</t>
        </is>
      </c>
      <c r="U1700" s="35" t="inlineStr">
        <is>
          <t>Нет ОКВЭД/ССЧР</t>
        </is>
      </c>
      <c r="V1700" s="35" t="inlineStr">
        <is>
          <t>Не определено</t>
        </is>
      </c>
      <c r="W1700" s="35" t="inlineStr"/>
      <c r="X1700" s="35" t="inlineStr"/>
    </row>
    <row r="1701" ht="15" customHeight="1" s="24">
      <c r="A1701" s="13" t="n">
        <v>5000060604</v>
      </c>
      <c r="B1701" s="13" t="inlineStr">
        <is>
          <t>ОГОУ соц защиты насления в г. Ульяновске</t>
        </is>
      </c>
      <c r="C1701" s="13" t="n">
        <v>7327049416</v>
      </c>
      <c r="D1701" s="13" t="inlineStr">
        <is>
          <t>7327049416</t>
        </is>
      </c>
      <c r="E1701" s="13" t="inlineStr">
        <is>
          <t>ЮЛ РФ</t>
        </is>
      </c>
      <c r="F1701" s="13" t="n"/>
      <c r="G1701" s="14" t="n"/>
      <c r="H1701" s="14" t="n"/>
      <c r="I1701" s="14" t="n"/>
      <c r="J1701" s="14" t="n"/>
      <c r="K1701" s="53" t="inlineStr"/>
      <c r="L1701" s="53" t="inlineStr">
        <is>
          <t>Не определено</t>
        </is>
      </c>
      <c r="M1701" s="53" t="inlineStr"/>
      <c r="N1701" s="54" t="inlineStr"/>
      <c r="O1701" s="55" t="inlineStr"/>
      <c r="P1701" s="16" t="inlineStr">
        <is>
          <t>Требует обогащения</t>
        </is>
      </c>
      <c r="Q1701" s="16">
        <f>HYPERLINK("https://pb.nalog.ru/search.html?query=7327049416","ФНС: проверить")</f>
        <v/>
      </c>
      <c r="R1701" s="16">
        <f>HYPERLINK("https://checko.ru/search?query=3801001629","Чекко: проверить")</f>
        <v/>
      </c>
      <c r="S1701" t="n">
        <v>1</v>
      </c>
      <c r="T1701" s="35" t="inlineStr">
        <is>
          <t>4 — Не обогащён</t>
        </is>
      </c>
      <c r="U1701" s="35" t="inlineStr">
        <is>
          <t>Нет ОКВЭД/ССЧР</t>
        </is>
      </c>
      <c r="V1701" s="35" t="inlineStr">
        <is>
          <t>Не определено</t>
        </is>
      </c>
      <c r="W1701" s="35" t="inlineStr"/>
      <c r="X1701" s="35" t="inlineStr"/>
    </row>
    <row r="1702" ht="15" customHeight="1" s="24">
      <c r="A1702" s="13" t="n">
        <v>5000076955</v>
      </c>
      <c r="B1702" s="13" t="inlineStr">
        <is>
          <t>Минприрода Николаевского района</t>
        </is>
      </c>
      <c r="C1702" s="13" t="n">
        <v>7311006992</v>
      </c>
      <c r="D1702" s="13" t="inlineStr">
        <is>
          <t>7311006992</t>
        </is>
      </c>
      <c r="E1702" s="13" t="inlineStr">
        <is>
          <t>ЮЛ РФ</t>
        </is>
      </c>
      <c r="F1702" s="13" t="n"/>
      <c r="G1702" s="14" t="n"/>
      <c r="H1702" s="14" t="n"/>
      <c r="I1702" s="14" t="n"/>
      <c r="J1702" s="14" t="n"/>
      <c r="K1702" s="53" t="inlineStr"/>
      <c r="L1702" s="53" t="inlineStr">
        <is>
          <t>Не определено</t>
        </is>
      </c>
      <c r="M1702" s="53" t="inlineStr"/>
      <c r="N1702" s="54" t="inlineStr"/>
      <c r="O1702" s="55" t="inlineStr"/>
      <c r="P1702" s="16" t="inlineStr">
        <is>
          <t>Требует обогащения</t>
        </is>
      </c>
      <c r="Q1702" s="16">
        <f>HYPERLINK("https://pb.nalog.ru/search.html?query=7311006992","ФНС: проверить")</f>
        <v/>
      </c>
      <c r="R1702" s="16">
        <f>HYPERLINK("https://checko.ru/search?query=3801001629","Чекко: проверить")</f>
        <v/>
      </c>
      <c r="S1702" t="n">
        <v>1</v>
      </c>
      <c r="T1702" s="35" t="inlineStr">
        <is>
          <t>4 — Не обогащён</t>
        </is>
      </c>
      <c r="U1702" s="35" t="inlineStr">
        <is>
          <t>Нет ОКВЭД/ССЧР</t>
        </is>
      </c>
      <c r="V1702" s="35" t="inlineStr">
        <is>
          <t>Не определено</t>
        </is>
      </c>
      <c r="W1702" s="35" t="inlineStr"/>
      <c r="X1702" s="35" t="inlineStr"/>
    </row>
    <row r="1703" ht="15" customHeight="1" s="24">
      <c r="A1703" s="13" t="n">
        <v>5000095174</v>
      </c>
      <c r="B1703" s="13" t="inlineStr">
        <is>
          <t>МУ центр по делам ГО, ЧС и ПБ</t>
        </is>
      </c>
      <c r="C1703" s="13" t="n">
        <v>721056673</v>
      </c>
      <c r="D1703" s="13" t="n"/>
      <c r="E1703" s="13" t="inlineStr">
        <is>
          <t>Не определён</t>
        </is>
      </c>
      <c r="F1703" s="13" t="inlineStr">
        <is>
          <t>721056673</t>
        </is>
      </c>
      <c r="G1703" s="14" t="n"/>
      <c r="H1703" s="14" t="n"/>
      <c r="I1703" s="14" t="n"/>
      <c r="J1703" s="14" t="n"/>
      <c r="K1703" s="13">
        <f>IF(G1703="","",IF(G1703&gt;=22,"Да","Нет"))</f>
        <v/>
      </c>
      <c r="L1703" s="13">
        <f>IF(OR(I1703="",J1703=""),"Не определено",IF(OR(COUNTIF(I1703,"45*")&gt;0,COUNTIF(J1703,"*45*")&gt;0,COUNTIF(I1703,"46*")&gt;0,COUNTIF(J1703,"*46*")&gt;0,COUNTIF(I1703,"47*")&gt;0,COUNTIF(J1703,"*47*")&gt;0,COUNTIF(I1703,"10*")&gt;0,COUNTIF(J1703,"*10*")&gt;0,COUNTIF(I1703,"11*")&gt;0,COUNTIF(J1703,"*11*")&gt;0,COUNTIF(I1703,"12*")&gt;0,COUNTIF(J1703,"*12*")&gt;0,COUNTIF(I1703,"13*")&gt;0,COUNTIF(J1703,"*13*")&gt;0,COUNTIF(I1703,"14*")&gt;0,COUNTIF(J1703,"*14*")&gt;0,COUNTIF(I1703,"15*")&gt;0,COUNTIF(J1703,"*15*")&gt;0,COUNTIF(I1703,"16*")&gt;0,COUNTIF(J1703,"*16*")&gt;0,COUNTIF(I1703,"17*")&gt;0,COUNTIF(J1703,"*17*")&gt;0,COUNTIF(I1703,"18*")&gt;0,COUNTIF(J1703,"*18*")&gt;0,COUNTIF(I1703,"19*")&gt;0,COUNTIF(J1703,"*19*")&gt;0,COUNTIF(I1703,"20*")&gt;0,COUNTIF(J1703,"*20*")&gt;0,COUNTIF(I1703,"21*")&gt;0,COUNTIF(J1703,"*21*")&gt;0,COUNTIF(I1703,"22*")&gt;0,COUNTIF(J1703,"*22*")&gt;0,COUNTIF(I1703,"23*")&gt;0,COUNTIF(J1703,"*23*")&gt;0,COUNTIF(I1703,"24*")&gt;0,COUNTIF(J1703,"*24*")&gt;0,COUNTIF(I1703,"25*")&gt;0,COUNTIF(J1703,"*25*")&gt;0,COUNTIF(I1703,"26*")&gt;0,COUNTIF(J1703,"*26*")&gt;0,COUNTIF(I1703,"27*")&gt;0,COUNTIF(J1703,"*27*")&gt;0,COUNTIF(I1703,"28*")&gt;0,COUNTIF(J1703,"*28*")&gt;0,COUNTIF(I1703,"29*")&gt;0,COUNTIF(J1703,"*29*")&gt;0,COUNTIF(I1703,"30*")&gt;0,COUNTIF(J1703,"*30*")&gt;0,COUNTIF(I1703,"31*")&gt;0,COUNTIF(J1703,"*31*")&gt;0,COUNTIF(I1703,"32*")&gt;0,COUNTIF(J1703,"*32*")&gt;0,COUNTIF(I1703,"33*")&gt;0,COUNTIF(J1703,"*33*")&gt;0,COUNTIF(I1703,"41*")&gt;0,COUNTIF(J1703,"*41*")&gt;0,COUNTIF(I1703,"42*")&gt;0,COUNTIF(J1703,"*42*")&gt;0,COUNTIF(I1703,"43*")&gt;0,COUNTIF(J1703,"*43*")&gt;0,COUNTIF(I1703,"49*")&gt;0,COUNTIF(J1703,"*49*")&gt;0,COUNTIF(I1703,"52*")&gt;0,COUNTIF(J1703,"*52*")&gt;0,COUNTIF(I1703,"55*")&gt;0,COUNTIF(J1703,"*55*")&gt;0,COUNTIF(I1703,"56*")&gt;0,COUNTIF(J1703,"*56*")&gt;0,COUNTIF(I1703,"68*")&gt;0,COUNTIF(J1703,"*68*")&gt;0,COUNTIF(I1703,"78*")&gt;0,COUNTIF(J1703,"*78*")&gt;0,COUNTIF(I1703,"81*")&gt;0,COUNTIF(J1703,"*81*")&gt;0,COUNTIF(I1703,"82*")&gt;0,COUNTIF(J1703,"*82*")&gt;0,COUNTIF(I1703,"64*")&gt;0,COUNTIF(J1703,"*64*")&gt;0,COUNTIF(I1703,"65*")&gt;0,COUNTIF(J1703,"*65*")&gt;0,COUNTIF(I1703,"66*")&gt;0,COUNTIF(J1703,"*66*")&gt;0,COUNTIF(I1703,"61*")&gt;0,COUNTIF(J1703,"*61*")&gt;0,COUNTIF(I1703,"62*")&gt;0,COUNTIF(J1703,"*62*")&gt;0,COUNTIF(I1703,"63*")&gt;0,COUNTIF(J1703,"*63*")&gt;0,COUNTIF(I1703,"85*")&gt;0,COUNTIF(J1703,"*85*")&gt;0,COUNTIF(I1703,"86*")&gt;0,COUNTIF(J1703,"*86*")&gt;0),"Да","Нет"))</f>
        <v/>
      </c>
      <c r="M1703" s="13">
        <f>IF(OR(G1703="",L1703&lt;&gt;"Да"),"",IF(G1703&lt;=100,"До 100",IF(G1703&lt;=200,"До 200",IF(G1703&lt;=500,"До 500","Отдельное КП"))))</f>
        <v/>
      </c>
      <c r="N1703" s="15">
        <f>IF(OR(G1703="",L1703&lt;&gt;"Да"),"",IF(G1703&lt;=100,33600,IF(G1703&lt;=200,62400,IF(G1703&lt;=500,144000,""))))</f>
        <v/>
      </c>
      <c r="O1703" s="16">
        <f>IF(G1703="","",IF(G1703&lt;=15,"1–15",IF(G1703&lt;=30,"16–30",IF(G1703&lt;=50,"31–50",IF(G1703&lt;=100,"51–100",IF(G1703&lt;=150,"101–150",IF(G1703&lt;=200,"151–200",IF(G1703&lt;=500,"201–500","500+"))))))))</f>
        <v/>
      </c>
      <c r="P1703" s="16" t="inlineStr">
        <is>
          <t>Нет совпадения в предоставленной выгрузке ССЧР</t>
        </is>
      </c>
      <c r="Q1703" s="16" t="n"/>
      <c r="R1703" s="16">
        <f>HYPERLINK("https://checko.ru/search?query=3801001629","Чекко: проверить")</f>
        <v/>
      </c>
      <c r="S1703" t="n">
        <v>0</v>
      </c>
    </row>
    <row r="1704" ht="27.75" customHeight="1" s="24">
      <c r="A1704" s="13" t="n">
        <v>5000001655</v>
      </c>
      <c r="B1704" s="13" t="inlineStr">
        <is>
          <t>ОГУ СО "Иркутский детский дом-интернат №1 для умственно отсталых</t>
        </is>
      </c>
      <c r="C1704" s="13" t="n">
        <v>3812014644</v>
      </c>
      <c r="D1704" s="13" t="inlineStr">
        <is>
          <t>3812014644</t>
        </is>
      </c>
      <c r="E1704" s="13" t="inlineStr">
        <is>
          <t>ЮЛ РФ</t>
        </is>
      </c>
      <c r="F1704" s="13" t="n"/>
      <c r="G1704" s="14" t="n"/>
      <c r="H1704" s="14" t="n"/>
      <c r="I1704" s="14" t="n"/>
      <c r="J1704" s="14" t="n"/>
      <c r="K1704" s="53" t="inlineStr"/>
      <c r="L1704" s="53" t="inlineStr">
        <is>
          <t>Не определено</t>
        </is>
      </c>
      <c r="M1704" s="53" t="inlineStr"/>
      <c r="N1704" s="54" t="inlineStr"/>
      <c r="O1704" s="55" t="inlineStr"/>
      <c r="P1704" s="16" t="inlineStr">
        <is>
          <t>Требует обогащения</t>
        </is>
      </c>
      <c r="Q1704" s="16">
        <f>HYPERLINK("https://pb.nalog.ru/search.html?query=3812014644","ФНС: проверить")</f>
        <v/>
      </c>
      <c r="R1704" s="16">
        <f>HYPERLINK("https://checko.ru/search?query=3801001629","Чекко: проверить")</f>
        <v/>
      </c>
      <c r="S1704" t="n">
        <v>1</v>
      </c>
      <c r="T1704" s="35" t="inlineStr">
        <is>
          <t>4 — Не обогащён</t>
        </is>
      </c>
      <c r="U1704" s="35" t="inlineStr">
        <is>
          <t>Нет ОКВЭД/ССЧР</t>
        </is>
      </c>
      <c r="V1704" s="35" t="inlineStr">
        <is>
          <t>Не определено</t>
        </is>
      </c>
      <c r="W1704" s="35" t="inlineStr"/>
      <c r="X1704" s="35" t="inlineStr"/>
    </row>
    <row r="1705" ht="27.75" customHeight="1" s="24">
      <c r="A1705" s="13" t="n">
        <v>5000001702</v>
      </c>
      <c r="B1705" s="13" t="inlineStr">
        <is>
          <t>ОГУСО "Сергинский психоневрологический интернат"</t>
        </is>
      </c>
      <c r="C1705" s="13" t="n">
        <v>3838002058</v>
      </c>
      <c r="D1705" s="13" t="inlineStr">
        <is>
          <t>3838002058</t>
        </is>
      </c>
      <c r="E1705" s="13" t="inlineStr">
        <is>
          <t>ЮЛ РФ</t>
        </is>
      </c>
      <c r="F1705" s="13" t="n"/>
      <c r="G1705" s="14" t="n"/>
      <c r="H1705" s="14" t="n"/>
      <c r="I1705" s="14" t="n"/>
      <c r="J1705" s="14" t="n"/>
      <c r="K1705" s="53" t="inlineStr"/>
      <c r="L1705" s="53" t="inlineStr">
        <is>
          <t>Не определено</t>
        </is>
      </c>
      <c r="M1705" s="53" t="inlineStr"/>
      <c r="N1705" s="54" t="inlineStr"/>
      <c r="O1705" s="55" t="inlineStr"/>
      <c r="P1705" s="16" t="inlineStr">
        <is>
          <t>Требует обогащения</t>
        </is>
      </c>
      <c r="Q1705" s="16">
        <f>HYPERLINK("https://pb.nalog.ru/search.html?query=3838002058","ФНС: проверить")</f>
        <v/>
      </c>
      <c r="R1705" s="16">
        <f>HYPERLINK("https://checko.ru/search?query=3801001629","Чекко: проверить")</f>
        <v/>
      </c>
      <c r="S1705" t="n">
        <v>1</v>
      </c>
      <c r="T1705" s="35" t="inlineStr">
        <is>
          <t>4 — Не обогащён</t>
        </is>
      </c>
      <c r="U1705" s="35" t="inlineStr">
        <is>
          <t>Нет ОКВЭД/ССЧР</t>
        </is>
      </c>
      <c r="V1705" s="35" t="inlineStr">
        <is>
          <t>Не определено</t>
        </is>
      </c>
      <c r="W1705" s="35" t="inlineStr"/>
      <c r="X1705" s="35" t="inlineStr"/>
    </row>
    <row r="1706" ht="68.25" customHeight="1" s="24">
      <c r="A1706" s="13" t="n">
        <v>5000106091</v>
      </c>
      <c r="B1706" s="13" t="inlineStr">
        <is>
          <t>ГОСУДАРСТВЕННОЕ АВТОНОМНОЕ ПРОФЕССИОНАЛЬНОЕ ОБРАЗОВАТЕЛЬНОЕ УЧРЕЖДЕНИЕ «НОВОТРОИЦКИЙ ПОЛИТЕХНИЧЕСКИЙ КОЛЛЕДЖ» ОРЕНБУРГСКОЙ ОБЛАСТИ</t>
        </is>
      </c>
      <c r="C1706" s="13" t="n">
        <v>5607001893</v>
      </c>
      <c r="D1706" s="13" t="inlineStr">
        <is>
          <t>5607001893</t>
        </is>
      </c>
      <c r="E1706" s="13" t="inlineStr">
        <is>
          <t>ЮЛ РФ</t>
        </is>
      </c>
      <c r="F1706" s="13" t="n"/>
      <c r="G1706" s="14" t="n"/>
      <c r="H1706" s="14" t="n"/>
      <c r="I1706" s="14" t="n"/>
      <c r="J1706" s="14" t="n"/>
      <c r="K1706" s="53" t="inlineStr"/>
      <c r="L1706" s="53" t="inlineStr">
        <is>
          <t>Не определено</t>
        </is>
      </c>
      <c r="M1706" s="53" t="inlineStr"/>
      <c r="N1706" s="54" t="inlineStr"/>
      <c r="O1706" s="55" t="inlineStr"/>
      <c r="P1706" s="16" t="inlineStr">
        <is>
          <t>Требует обогащения</t>
        </is>
      </c>
      <c r="Q1706" s="16">
        <f>HYPERLINK("https://pb.nalog.ru/search.html?query=5607001893","ФНС: проверить")</f>
        <v/>
      </c>
      <c r="R1706" s="16">
        <f>HYPERLINK("https://checko.ru/search?query=3801001629","Чекко: проверить")</f>
        <v/>
      </c>
      <c r="S1706" t="n">
        <v>1</v>
      </c>
      <c r="T1706" s="35" t="inlineStr">
        <is>
          <t>4 — Не обогащён</t>
        </is>
      </c>
      <c r="U1706" s="35" t="inlineStr">
        <is>
          <t>Нет ОКВЭД/ССЧР</t>
        </is>
      </c>
      <c r="V1706" s="35" t="inlineStr">
        <is>
          <t>Не определено</t>
        </is>
      </c>
      <c r="W1706" s="35" t="inlineStr"/>
      <c r="X1706" s="35" t="inlineStr"/>
    </row>
    <row r="1707" ht="27.75" customHeight="1" s="24">
      <c r="A1707" s="13" t="n">
        <v>5000036218</v>
      </c>
      <c r="B1707" s="13" t="inlineStr">
        <is>
          <t>Агентство по развитию человеческого потенциала и трудовых ресурсов Ульяновской области</t>
        </is>
      </c>
      <c r="C1707" s="13" t="n">
        <v>7325146622</v>
      </c>
      <c r="D1707" s="13" t="inlineStr">
        <is>
          <t>7325146622</t>
        </is>
      </c>
      <c r="E1707" s="13" t="inlineStr">
        <is>
          <t>ЮЛ РФ</t>
        </is>
      </c>
      <c r="F1707" s="13" t="n"/>
      <c r="G1707" s="14" t="n"/>
      <c r="H1707" s="14" t="n"/>
      <c r="I1707" s="14" t="n"/>
      <c r="J1707" s="14" t="n"/>
      <c r="K1707" s="53" t="inlineStr"/>
      <c r="L1707" s="53" t="inlineStr">
        <is>
          <t>Не определено</t>
        </is>
      </c>
      <c r="M1707" s="53" t="inlineStr"/>
      <c r="N1707" s="54" t="inlineStr"/>
      <c r="O1707" s="55" t="inlineStr"/>
      <c r="P1707" s="16" t="inlineStr">
        <is>
          <t>Требует обогащения</t>
        </is>
      </c>
      <c r="Q1707" s="16">
        <f>HYPERLINK("https://pb.nalog.ru/search.html?query=7325146622","ФНС: проверить")</f>
        <v/>
      </c>
      <c r="R1707" s="16">
        <f>HYPERLINK("https://checko.ru/search?query=3801001629","Чекко: проверить")</f>
        <v/>
      </c>
      <c r="S1707" t="n">
        <v>1</v>
      </c>
      <c r="T1707" s="35" t="inlineStr">
        <is>
          <t>4 — Не обогащён</t>
        </is>
      </c>
      <c r="U1707" s="35" t="inlineStr">
        <is>
          <t>Нет ОКВЭД/ССЧР</t>
        </is>
      </c>
      <c r="V1707" s="35" t="inlineStr">
        <is>
          <t>Не определено</t>
        </is>
      </c>
      <c r="W1707" s="35" t="inlineStr"/>
      <c r="X1707" s="35" t="inlineStr"/>
    </row>
    <row r="1708" ht="27.75" customHeight="1" s="24">
      <c r="A1708" s="13" t="n">
        <v>5000062537</v>
      </c>
      <c r="B1708" s="13" t="inlineStr">
        <is>
          <t>ОГАУСО «Психоневрологический интернат в г. Новоульяновске»</t>
        </is>
      </c>
      <c r="C1708" s="13" t="n">
        <v>7321318983</v>
      </c>
      <c r="D1708" s="13" t="inlineStr">
        <is>
          <t>7321318983</t>
        </is>
      </c>
      <c r="E1708" s="13" t="inlineStr">
        <is>
          <t>ЮЛ РФ</t>
        </is>
      </c>
      <c r="F1708" s="13" t="n"/>
      <c r="G1708" s="14" t="n"/>
      <c r="H1708" s="14" t="n"/>
      <c r="I1708" s="14" t="n"/>
      <c r="J1708" s="14" t="n"/>
      <c r="K1708" s="53" t="inlineStr"/>
      <c r="L1708" s="53" t="inlineStr">
        <is>
          <t>Не определено</t>
        </is>
      </c>
      <c r="M1708" s="53" t="inlineStr"/>
      <c r="N1708" s="54" t="inlineStr"/>
      <c r="O1708" s="55" t="inlineStr"/>
      <c r="P1708" s="16" t="inlineStr">
        <is>
          <t>Требует обогащения</t>
        </is>
      </c>
      <c r="Q1708" s="16">
        <f>HYPERLINK("https://pb.nalog.ru/search.html?query=7321318983","ФНС: проверить")</f>
        <v/>
      </c>
      <c r="R1708" s="16">
        <f>HYPERLINK("https://checko.ru/search?query=3801001629","Чекко: проверить")</f>
        <v/>
      </c>
      <c r="S1708" t="n">
        <v>1</v>
      </c>
      <c r="T1708" s="35" t="inlineStr">
        <is>
          <t>4 — Не обогащён</t>
        </is>
      </c>
      <c r="U1708" s="35" t="inlineStr">
        <is>
          <t>Нет ОКВЭД/ССЧР</t>
        </is>
      </c>
      <c r="V1708" s="35" t="inlineStr">
        <is>
          <t>Не определено</t>
        </is>
      </c>
      <c r="W1708" s="35" t="inlineStr"/>
      <c r="X1708" s="35" t="inlineStr"/>
    </row>
    <row r="1709" ht="41.25" customHeight="1" s="24">
      <c r="A1709" s="13" t="n">
        <v>5000106118</v>
      </c>
      <c r="B1709" s="13" t="inlineStr">
        <is>
          <t>ГОСУДАРСТВЕННОЕ КАЗЕННОЕ УЧРЕЖДЕНИЕ ОРЕНБУРГСКОЙ ОБЛАСТИ "ЦЕНТР ОРГАНИЗАЦИИ ЗАКУПОК"</t>
        </is>
      </c>
      <c r="C1709" s="13" t="n">
        <v>5610223825</v>
      </c>
      <c r="D1709" s="13" t="inlineStr">
        <is>
          <t>5610223825</t>
        </is>
      </c>
      <c r="E1709" s="13" t="inlineStr">
        <is>
          <t>ЮЛ РФ</t>
        </is>
      </c>
      <c r="F1709" s="13" t="n"/>
      <c r="G1709" s="14" t="n"/>
      <c r="H1709" s="14" t="n"/>
      <c r="I1709" s="14" t="n"/>
      <c r="J1709" s="14" t="n"/>
      <c r="K1709" s="53" t="inlineStr"/>
      <c r="L1709" s="53" t="inlineStr">
        <is>
          <t>Не определено</t>
        </is>
      </c>
      <c r="M1709" s="53" t="inlineStr"/>
      <c r="N1709" s="54" t="inlineStr"/>
      <c r="O1709" s="55" t="inlineStr"/>
      <c r="P1709" s="16" t="inlineStr">
        <is>
          <t>Требует обогащения</t>
        </is>
      </c>
      <c r="Q1709" s="16">
        <f>HYPERLINK("https://pb.nalog.ru/search.html?query=5610223825","ФНС: проверить")</f>
        <v/>
      </c>
      <c r="R1709" s="16">
        <f>HYPERLINK("https://checko.ru/search?query=3801001629","Чекко: проверить")</f>
        <v/>
      </c>
      <c r="S1709" t="n">
        <v>1</v>
      </c>
      <c r="T1709" s="35" t="inlineStr">
        <is>
          <t>4 — Не обогащён</t>
        </is>
      </c>
      <c r="U1709" s="35" t="inlineStr">
        <is>
          <t>Нет ОКВЭД/ССЧР</t>
        </is>
      </c>
      <c r="V1709" s="35" t="inlineStr">
        <is>
          <t>Не определено</t>
        </is>
      </c>
      <c r="W1709" s="35" t="inlineStr"/>
      <c r="X1709" s="35" t="inlineStr"/>
    </row>
    <row r="1710" ht="41.25" customHeight="1" s="24">
      <c r="A1710" s="13" t="n">
        <v>5000106075</v>
      </c>
      <c r="B1710" s="13" t="inlineStr">
        <is>
          <t>ГОСУДАРСТВЕННОЕ БЮДЖЕТНОЕ УЧРЕЖДЕНИЕ ЗДРАВООХРАНЕНИЯ "ГОРОДСКАЯ БОЛЬНИЦА" ГОРОДА ГАЯ</t>
        </is>
      </c>
      <c r="C1710" s="13" t="n">
        <v>5604004896</v>
      </c>
      <c r="D1710" s="13" t="inlineStr">
        <is>
          <t>5604004896</t>
        </is>
      </c>
      <c r="E1710" s="13" t="inlineStr">
        <is>
          <t>ЮЛ РФ</t>
        </is>
      </c>
      <c r="F1710" s="13" t="n"/>
      <c r="G1710" s="14" t="n"/>
      <c r="H1710" s="14" t="n"/>
      <c r="I1710" s="14" t="n"/>
      <c r="J1710" s="14" t="n"/>
      <c r="K1710" s="53" t="inlineStr"/>
      <c r="L1710" s="53" t="inlineStr">
        <is>
          <t>Не определено</t>
        </is>
      </c>
      <c r="M1710" s="53" t="inlineStr"/>
      <c r="N1710" s="54" t="inlineStr"/>
      <c r="O1710" s="55" t="inlineStr"/>
      <c r="P1710" s="16" t="inlineStr">
        <is>
          <t>Требует обогащения</t>
        </is>
      </c>
      <c r="Q1710" s="16">
        <f>HYPERLINK("https://pb.nalog.ru/search.html?query=5604004896","ФНС: проверить")</f>
        <v/>
      </c>
      <c r="R1710" s="16">
        <f>HYPERLINK("https://checko.ru/search?query=3801001629","Чекко: проверить")</f>
        <v/>
      </c>
      <c r="S1710" t="n">
        <v>1</v>
      </c>
      <c r="T1710" s="35" t="inlineStr">
        <is>
          <t>4 — Не обогащён</t>
        </is>
      </c>
      <c r="U1710" s="35" t="inlineStr">
        <is>
          <t>Нет ОКВЭД/ССЧР</t>
        </is>
      </c>
      <c r="V1710" s="35" t="inlineStr">
        <is>
          <t>Не определено</t>
        </is>
      </c>
      <c r="W1710" s="35" t="inlineStr"/>
      <c r="X1710" s="35" t="inlineStr"/>
    </row>
    <row r="1711" ht="27.75" customHeight="1" s="24">
      <c r="A1711" s="13" t="n">
        <v>5000001885</v>
      </c>
      <c r="B1711" s="13" t="inlineStr">
        <is>
          <t>Эхирит-Булагатская станция по борьбе с болезнями животных</t>
        </is>
      </c>
      <c r="C1711" s="13" t="n">
        <v>8506009010</v>
      </c>
      <c r="D1711" s="13" t="inlineStr">
        <is>
          <t>8506009010</t>
        </is>
      </c>
      <c r="E1711" s="13" t="inlineStr">
        <is>
          <t>ЮЛ РФ</t>
        </is>
      </c>
      <c r="F1711" s="13" t="n"/>
      <c r="G1711" s="14" t="n"/>
      <c r="H1711" s="14" t="n"/>
      <c r="I1711" s="14" t="n"/>
      <c r="J1711" s="14" t="n"/>
      <c r="K1711" s="53" t="inlineStr"/>
      <c r="L1711" s="53" t="inlineStr">
        <is>
          <t>Не определено</t>
        </is>
      </c>
      <c r="M1711" s="53" t="inlineStr"/>
      <c r="N1711" s="54" t="inlineStr"/>
      <c r="O1711" s="55" t="inlineStr"/>
      <c r="P1711" s="16" t="inlineStr">
        <is>
          <t>Требует обогащения</t>
        </is>
      </c>
      <c r="Q1711" s="16">
        <f>HYPERLINK("https://pb.nalog.ru/search.html?query=8506009010","ФНС: проверить")</f>
        <v/>
      </c>
      <c r="R1711" s="16">
        <f>HYPERLINK("https://checko.ru/search?query=3801001629","Чекко: проверить")</f>
        <v/>
      </c>
      <c r="S1711" t="n">
        <v>1</v>
      </c>
      <c r="T1711" s="35" t="inlineStr">
        <is>
          <t>4 — Не обогащён</t>
        </is>
      </c>
      <c r="U1711" s="35" t="inlineStr">
        <is>
          <t>Нет ОКВЭД/ССЧР</t>
        </is>
      </c>
      <c r="V1711" s="35" t="inlineStr">
        <is>
          <t>Не определено</t>
        </is>
      </c>
      <c r="W1711" s="35" t="inlineStr"/>
      <c r="X1711" s="35" t="inlineStr"/>
    </row>
    <row r="1712" ht="27.75" customHeight="1" s="24">
      <c r="A1712" s="13" t="n">
        <v>5000001964</v>
      </c>
      <c r="B1712" s="13" t="inlineStr">
        <is>
          <t>ОбГБУЗ «Медицинский информационно-аналитический центр Иркутской области»</t>
        </is>
      </c>
      <c r="C1712" s="13" t="n">
        <v>8506009500</v>
      </c>
      <c r="D1712" s="13" t="inlineStr">
        <is>
          <t>8506009500</t>
        </is>
      </c>
      <c r="E1712" s="13" t="inlineStr">
        <is>
          <t>ЮЛ РФ</t>
        </is>
      </c>
      <c r="F1712" s="13" t="n"/>
      <c r="G1712" s="14" t="n"/>
      <c r="H1712" s="14" t="n"/>
      <c r="I1712" s="14" t="n"/>
      <c r="J1712" s="14" t="n"/>
      <c r="K1712" s="53" t="inlineStr"/>
      <c r="L1712" s="53" t="inlineStr">
        <is>
          <t>Не определено</t>
        </is>
      </c>
      <c r="M1712" s="53" t="inlineStr"/>
      <c r="N1712" s="54" t="inlineStr"/>
      <c r="O1712" s="55" t="inlineStr"/>
      <c r="P1712" s="16" t="inlineStr">
        <is>
          <t>Требует обогащения</t>
        </is>
      </c>
      <c r="Q1712" s="16">
        <f>HYPERLINK("https://pb.nalog.ru/search.html?query=8506009500","ФНС: проверить")</f>
        <v/>
      </c>
      <c r="R1712" s="16">
        <f>HYPERLINK("https://checko.ru/search?query=3801001629","Чекко: проверить")</f>
        <v/>
      </c>
      <c r="S1712" t="n">
        <v>1</v>
      </c>
      <c r="T1712" s="35" t="inlineStr">
        <is>
          <t>4 — Не обогащён</t>
        </is>
      </c>
      <c r="U1712" s="35" t="inlineStr">
        <is>
          <t>Нет ОКВЭД/ССЧР</t>
        </is>
      </c>
      <c r="V1712" s="35" t="inlineStr">
        <is>
          <t>Не определено</t>
        </is>
      </c>
      <c r="W1712" s="35" t="inlineStr"/>
      <c r="X1712" s="35" t="inlineStr"/>
    </row>
    <row r="1713" ht="15" customHeight="1" s="24">
      <c r="A1713" s="13" t="n">
        <v>5000095066</v>
      </c>
      <c r="B1713" s="13" t="inlineStr">
        <is>
          <t>МБОУ "Прогимназия №75"</t>
        </is>
      </c>
      <c r="C1713" s="13" t="n">
        <v>711052359</v>
      </c>
      <c r="D1713" s="13" t="n"/>
      <c r="E1713" s="13" t="inlineStr">
        <is>
          <t>Не определён</t>
        </is>
      </c>
      <c r="F1713" s="13" t="inlineStr">
        <is>
          <t>711052359</t>
        </is>
      </c>
      <c r="G1713" s="14" t="n"/>
      <c r="H1713" s="14" t="n"/>
      <c r="I1713" s="14" t="n"/>
      <c r="J1713" s="14" t="n"/>
      <c r="K1713" s="13">
        <f>IF(G1713="","",IF(G1713&gt;=22,"Да","Нет"))</f>
        <v/>
      </c>
      <c r="L1713" s="13">
        <f>IF(OR(I1713="",J1713=""),"Не определено",IF(OR(COUNTIF(I1713,"45*")&gt;0,COUNTIF(J1713,"*45*")&gt;0,COUNTIF(I1713,"46*")&gt;0,COUNTIF(J1713,"*46*")&gt;0,COUNTIF(I1713,"47*")&gt;0,COUNTIF(J1713,"*47*")&gt;0,COUNTIF(I1713,"10*")&gt;0,COUNTIF(J1713,"*10*")&gt;0,COUNTIF(I1713,"11*")&gt;0,COUNTIF(J1713,"*11*")&gt;0,COUNTIF(I1713,"12*")&gt;0,COUNTIF(J1713,"*12*")&gt;0,COUNTIF(I1713,"13*")&gt;0,COUNTIF(J1713,"*13*")&gt;0,COUNTIF(I1713,"14*")&gt;0,COUNTIF(J1713,"*14*")&gt;0,COUNTIF(I1713,"15*")&gt;0,COUNTIF(J1713,"*15*")&gt;0,COUNTIF(I1713,"16*")&gt;0,COUNTIF(J1713,"*16*")&gt;0,COUNTIF(I1713,"17*")&gt;0,COUNTIF(J1713,"*17*")&gt;0,COUNTIF(I1713,"18*")&gt;0,COUNTIF(J1713,"*18*")&gt;0,COUNTIF(I1713,"19*")&gt;0,COUNTIF(J1713,"*19*")&gt;0,COUNTIF(I1713,"20*")&gt;0,COUNTIF(J1713,"*20*")&gt;0,COUNTIF(I1713,"21*")&gt;0,COUNTIF(J1713,"*21*")&gt;0,COUNTIF(I1713,"22*")&gt;0,COUNTIF(J1713,"*22*")&gt;0,COUNTIF(I1713,"23*")&gt;0,COUNTIF(J1713,"*23*")&gt;0,COUNTIF(I1713,"24*")&gt;0,COUNTIF(J1713,"*24*")&gt;0,COUNTIF(I1713,"25*")&gt;0,COUNTIF(J1713,"*25*")&gt;0,COUNTIF(I1713,"26*")&gt;0,COUNTIF(J1713,"*26*")&gt;0,COUNTIF(I1713,"27*")&gt;0,COUNTIF(J1713,"*27*")&gt;0,COUNTIF(I1713,"28*")&gt;0,COUNTIF(J1713,"*28*")&gt;0,COUNTIF(I1713,"29*")&gt;0,COUNTIF(J1713,"*29*")&gt;0,COUNTIF(I1713,"30*")&gt;0,COUNTIF(J1713,"*30*")&gt;0,COUNTIF(I1713,"31*")&gt;0,COUNTIF(J1713,"*31*")&gt;0,COUNTIF(I1713,"32*")&gt;0,COUNTIF(J1713,"*32*")&gt;0,COUNTIF(I1713,"33*")&gt;0,COUNTIF(J1713,"*33*")&gt;0,COUNTIF(I1713,"41*")&gt;0,COUNTIF(J1713,"*41*")&gt;0,COUNTIF(I1713,"42*")&gt;0,COUNTIF(J1713,"*42*")&gt;0,COUNTIF(I1713,"43*")&gt;0,COUNTIF(J1713,"*43*")&gt;0,COUNTIF(I1713,"49*")&gt;0,COUNTIF(J1713,"*49*")&gt;0,COUNTIF(I1713,"52*")&gt;0,COUNTIF(J1713,"*52*")&gt;0,COUNTIF(I1713,"55*")&gt;0,COUNTIF(J1713,"*55*")&gt;0,COUNTIF(I1713,"56*")&gt;0,COUNTIF(J1713,"*56*")&gt;0,COUNTIF(I1713,"68*")&gt;0,COUNTIF(J1713,"*68*")&gt;0,COUNTIF(I1713,"78*")&gt;0,COUNTIF(J1713,"*78*")&gt;0,COUNTIF(I1713,"81*")&gt;0,COUNTIF(J1713,"*81*")&gt;0,COUNTIF(I1713,"82*")&gt;0,COUNTIF(J1713,"*82*")&gt;0,COUNTIF(I1713,"64*")&gt;0,COUNTIF(J1713,"*64*")&gt;0,COUNTIF(I1713,"65*")&gt;0,COUNTIF(J1713,"*65*")&gt;0,COUNTIF(I1713,"66*")&gt;0,COUNTIF(J1713,"*66*")&gt;0,COUNTIF(I1713,"61*")&gt;0,COUNTIF(J1713,"*61*")&gt;0,COUNTIF(I1713,"62*")&gt;0,COUNTIF(J1713,"*62*")&gt;0,COUNTIF(I1713,"63*")&gt;0,COUNTIF(J1713,"*63*")&gt;0,COUNTIF(I1713,"85*")&gt;0,COUNTIF(J1713,"*85*")&gt;0,COUNTIF(I1713,"86*")&gt;0,COUNTIF(J1713,"*86*")&gt;0),"Да","Нет"))</f>
        <v/>
      </c>
      <c r="M1713" s="13">
        <f>IF(OR(G1713="",L1713&lt;&gt;"Да"),"",IF(G1713&lt;=100,"До 100",IF(G1713&lt;=200,"До 200",IF(G1713&lt;=500,"До 500","Отдельное КП"))))</f>
        <v/>
      </c>
      <c r="N1713" s="15">
        <f>IF(OR(G1713="",L1713&lt;&gt;"Да"),"",IF(G1713&lt;=100,33600,IF(G1713&lt;=200,62400,IF(G1713&lt;=500,144000,""))))</f>
        <v/>
      </c>
      <c r="O1713" s="16">
        <f>IF(G1713="","",IF(G1713&lt;=15,"1–15",IF(G1713&lt;=30,"16–30",IF(G1713&lt;=50,"31–50",IF(G1713&lt;=100,"51–100",IF(G1713&lt;=150,"101–150",IF(G1713&lt;=200,"151–200",IF(G1713&lt;=500,"201–500","500+"))))))))</f>
        <v/>
      </c>
      <c r="P1713" s="16" t="inlineStr">
        <is>
          <t>Нет совпадения в предоставленной выгрузке ССЧР</t>
        </is>
      </c>
      <c r="Q1713" s="16" t="n"/>
      <c r="R1713" s="16">
        <f>HYPERLINK("https://checko.ru/search?query=3801001629","Чекко: проверить")</f>
        <v/>
      </c>
      <c r="S1713" t="n">
        <v>0</v>
      </c>
    </row>
    <row r="1714" ht="15" customHeight="1" s="24">
      <c r="A1714" s="13" t="n">
        <v>5000095052</v>
      </c>
      <c r="B1714" s="13" t="inlineStr">
        <is>
          <t>МКОУ "СОШ №23" г.о.Нальчик КБР</t>
        </is>
      </c>
      <c r="C1714" s="13" t="n">
        <v>711044090</v>
      </c>
      <c r="D1714" s="13" t="n"/>
      <c r="E1714" s="13" t="inlineStr">
        <is>
          <t>Не определён</t>
        </is>
      </c>
      <c r="F1714" s="13" t="inlineStr">
        <is>
          <t>711044090</t>
        </is>
      </c>
      <c r="G1714" s="14" t="n"/>
      <c r="H1714" s="14" t="n"/>
      <c r="I1714" s="14" t="n"/>
      <c r="J1714" s="14" t="n"/>
      <c r="K1714" s="13">
        <f>IF(G1714="","",IF(G1714&gt;=22,"Да","Нет"))</f>
        <v/>
      </c>
      <c r="L1714" s="13">
        <f>IF(OR(I1714="",J1714=""),"Не определено",IF(OR(COUNTIF(I1714,"45*")&gt;0,COUNTIF(J1714,"*45*")&gt;0,COUNTIF(I1714,"46*")&gt;0,COUNTIF(J1714,"*46*")&gt;0,COUNTIF(I1714,"47*")&gt;0,COUNTIF(J1714,"*47*")&gt;0,COUNTIF(I1714,"10*")&gt;0,COUNTIF(J1714,"*10*")&gt;0,COUNTIF(I1714,"11*")&gt;0,COUNTIF(J1714,"*11*")&gt;0,COUNTIF(I1714,"12*")&gt;0,COUNTIF(J1714,"*12*")&gt;0,COUNTIF(I1714,"13*")&gt;0,COUNTIF(J1714,"*13*")&gt;0,COUNTIF(I1714,"14*")&gt;0,COUNTIF(J1714,"*14*")&gt;0,COUNTIF(I1714,"15*")&gt;0,COUNTIF(J1714,"*15*")&gt;0,COUNTIF(I1714,"16*")&gt;0,COUNTIF(J1714,"*16*")&gt;0,COUNTIF(I1714,"17*")&gt;0,COUNTIF(J1714,"*17*")&gt;0,COUNTIF(I1714,"18*")&gt;0,COUNTIF(J1714,"*18*")&gt;0,COUNTIF(I1714,"19*")&gt;0,COUNTIF(J1714,"*19*")&gt;0,COUNTIF(I1714,"20*")&gt;0,COUNTIF(J1714,"*20*")&gt;0,COUNTIF(I1714,"21*")&gt;0,COUNTIF(J1714,"*21*")&gt;0,COUNTIF(I1714,"22*")&gt;0,COUNTIF(J1714,"*22*")&gt;0,COUNTIF(I1714,"23*")&gt;0,COUNTIF(J1714,"*23*")&gt;0,COUNTIF(I1714,"24*")&gt;0,COUNTIF(J1714,"*24*")&gt;0,COUNTIF(I1714,"25*")&gt;0,COUNTIF(J1714,"*25*")&gt;0,COUNTIF(I1714,"26*")&gt;0,COUNTIF(J1714,"*26*")&gt;0,COUNTIF(I1714,"27*")&gt;0,COUNTIF(J1714,"*27*")&gt;0,COUNTIF(I1714,"28*")&gt;0,COUNTIF(J1714,"*28*")&gt;0,COUNTIF(I1714,"29*")&gt;0,COUNTIF(J1714,"*29*")&gt;0,COUNTIF(I1714,"30*")&gt;0,COUNTIF(J1714,"*30*")&gt;0,COUNTIF(I1714,"31*")&gt;0,COUNTIF(J1714,"*31*")&gt;0,COUNTIF(I1714,"32*")&gt;0,COUNTIF(J1714,"*32*")&gt;0,COUNTIF(I1714,"33*")&gt;0,COUNTIF(J1714,"*33*")&gt;0,COUNTIF(I1714,"41*")&gt;0,COUNTIF(J1714,"*41*")&gt;0,COUNTIF(I1714,"42*")&gt;0,COUNTIF(J1714,"*42*")&gt;0,COUNTIF(I1714,"43*")&gt;0,COUNTIF(J1714,"*43*")&gt;0,COUNTIF(I1714,"49*")&gt;0,COUNTIF(J1714,"*49*")&gt;0,COUNTIF(I1714,"52*")&gt;0,COUNTIF(J1714,"*52*")&gt;0,COUNTIF(I1714,"55*")&gt;0,COUNTIF(J1714,"*55*")&gt;0,COUNTIF(I1714,"56*")&gt;0,COUNTIF(J1714,"*56*")&gt;0,COUNTIF(I1714,"68*")&gt;0,COUNTIF(J1714,"*68*")&gt;0,COUNTIF(I1714,"78*")&gt;0,COUNTIF(J1714,"*78*")&gt;0,COUNTIF(I1714,"81*")&gt;0,COUNTIF(J1714,"*81*")&gt;0,COUNTIF(I1714,"82*")&gt;0,COUNTIF(J1714,"*82*")&gt;0,COUNTIF(I1714,"64*")&gt;0,COUNTIF(J1714,"*64*")&gt;0,COUNTIF(I1714,"65*")&gt;0,COUNTIF(J1714,"*65*")&gt;0,COUNTIF(I1714,"66*")&gt;0,COUNTIF(J1714,"*66*")&gt;0,COUNTIF(I1714,"61*")&gt;0,COUNTIF(J1714,"*61*")&gt;0,COUNTIF(I1714,"62*")&gt;0,COUNTIF(J1714,"*62*")&gt;0,COUNTIF(I1714,"63*")&gt;0,COUNTIF(J1714,"*63*")&gt;0,COUNTIF(I1714,"85*")&gt;0,COUNTIF(J1714,"*85*")&gt;0,COUNTIF(I1714,"86*")&gt;0,COUNTIF(J1714,"*86*")&gt;0),"Да","Нет"))</f>
        <v/>
      </c>
      <c r="M1714" s="13">
        <f>IF(OR(G1714="",L1714&lt;&gt;"Да"),"",IF(G1714&lt;=100,"До 100",IF(G1714&lt;=200,"До 200",IF(G1714&lt;=500,"До 500","Отдельное КП"))))</f>
        <v/>
      </c>
      <c r="N1714" s="15">
        <f>IF(OR(G1714="",L1714&lt;&gt;"Да"),"",IF(G1714&lt;=100,33600,IF(G1714&lt;=200,62400,IF(G1714&lt;=500,144000,""))))</f>
        <v/>
      </c>
      <c r="O1714" s="16">
        <f>IF(G1714="","",IF(G1714&lt;=15,"1–15",IF(G1714&lt;=30,"16–30",IF(G1714&lt;=50,"31–50",IF(G1714&lt;=100,"51–100",IF(G1714&lt;=150,"101–150",IF(G1714&lt;=200,"151–200",IF(G1714&lt;=500,"201–500","500+"))))))))</f>
        <v/>
      </c>
      <c r="P1714" s="16" t="inlineStr">
        <is>
          <t>Нет совпадения в предоставленной выгрузке ССЧР</t>
        </is>
      </c>
      <c r="Q1714" s="16" t="n"/>
      <c r="R1714" s="16">
        <f>HYPERLINK("https://checko.ru/search?query=3801001629","Чекко: проверить")</f>
        <v/>
      </c>
      <c r="S1714" t="n">
        <v>0</v>
      </c>
    </row>
    <row r="1715" ht="15" customHeight="1" s="24">
      <c r="A1715" s="13" t="n">
        <v>5000095065</v>
      </c>
      <c r="B1715" s="13" t="inlineStr">
        <is>
          <t>МКОУ "СОШ №25" г.о.Нальчик КБР</t>
        </is>
      </c>
      <c r="C1715" s="13" t="n">
        <v>711051877</v>
      </c>
      <c r="D1715" s="13" t="n"/>
      <c r="E1715" s="13" t="inlineStr">
        <is>
          <t>Не определён</t>
        </is>
      </c>
      <c r="F1715" s="13" t="inlineStr">
        <is>
          <t>711051877</t>
        </is>
      </c>
      <c r="G1715" s="14" t="n"/>
      <c r="H1715" s="14" t="n"/>
      <c r="I1715" s="14" t="n"/>
      <c r="J1715" s="14" t="n"/>
      <c r="K1715" s="13">
        <f>IF(G1715="","",IF(G1715&gt;=22,"Да","Нет"))</f>
        <v/>
      </c>
      <c r="L1715" s="13">
        <f>IF(OR(I1715="",J1715=""),"Не определено",IF(OR(COUNTIF(I1715,"45*")&gt;0,COUNTIF(J1715,"*45*")&gt;0,COUNTIF(I1715,"46*")&gt;0,COUNTIF(J1715,"*46*")&gt;0,COUNTIF(I1715,"47*")&gt;0,COUNTIF(J1715,"*47*")&gt;0,COUNTIF(I1715,"10*")&gt;0,COUNTIF(J1715,"*10*")&gt;0,COUNTIF(I1715,"11*")&gt;0,COUNTIF(J1715,"*11*")&gt;0,COUNTIF(I1715,"12*")&gt;0,COUNTIF(J1715,"*12*")&gt;0,COUNTIF(I1715,"13*")&gt;0,COUNTIF(J1715,"*13*")&gt;0,COUNTIF(I1715,"14*")&gt;0,COUNTIF(J1715,"*14*")&gt;0,COUNTIF(I1715,"15*")&gt;0,COUNTIF(J1715,"*15*")&gt;0,COUNTIF(I1715,"16*")&gt;0,COUNTIF(J1715,"*16*")&gt;0,COUNTIF(I1715,"17*")&gt;0,COUNTIF(J1715,"*17*")&gt;0,COUNTIF(I1715,"18*")&gt;0,COUNTIF(J1715,"*18*")&gt;0,COUNTIF(I1715,"19*")&gt;0,COUNTIF(J1715,"*19*")&gt;0,COUNTIF(I1715,"20*")&gt;0,COUNTIF(J1715,"*20*")&gt;0,COUNTIF(I1715,"21*")&gt;0,COUNTIF(J1715,"*21*")&gt;0,COUNTIF(I1715,"22*")&gt;0,COUNTIF(J1715,"*22*")&gt;0,COUNTIF(I1715,"23*")&gt;0,COUNTIF(J1715,"*23*")&gt;0,COUNTIF(I1715,"24*")&gt;0,COUNTIF(J1715,"*24*")&gt;0,COUNTIF(I1715,"25*")&gt;0,COUNTIF(J1715,"*25*")&gt;0,COUNTIF(I1715,"26*")&gt;0,COUNTIF(J1715,"*26*")&gt;0,COUNTIF(I1715,"27*")&gt;0,COUNTIF(J1715,"*27*")&gt;0,COUNTIF(I1715,"28*")&gt;0,COUNTIF(J1715,"*28*")&gt;0,COUNTIF(I1715,"29*")&gt;0,COUNTIF(J1715,"*29*")&gt;0,COUNTIF(I1715,"30*")&gt;0,COUNTIF(J1715,"*30*")&gt;0,COUNTIF(I1715,"31*")&gt;0,COUNTIF(J1715,"*31*")&gt;0,COUNTIF(I1715,"32*")&gt;0,COUNTIF(J1715,"*32*")&gt;0,COUNTIF(I1715,"33*")&gt;0,COUNTIF(J1715,"*33*")&gt;0,COUNTIF(I1715,"41*")&gt;0,COUNTIF(J1715,"*41*")&gt;0,COUNTIF(I1715,"42*")&gt;0,COUNTIF(J1715,"*42*")&gt;0,COUNTIF(I1715,"43*")&gt;0,COUNTIF(J1715,"*43*")&gt;0,COUNTIF(I1715,"49*")&gt;0,COUNTIF(J1715,"*49*")&gt;0,COUNTIF(I1715,"52*")&gt;0,COUNTIF(J1715,"*52*")&gt;0,COUNTIF(I1715,"55*")&gt;0,COUNTIF(J1715,"*55*")&gt;0,COUNTIF(I1715,"56*")&gt;0,COUNTIF(J1715,"*56*")&gt;0,COUNTIF(I1715,"68*")&gt;0,COUNTIF(J1715,"*68*")&gt;0,COUNTIF(I1715,"78*")&gt;0,COUNTIF(J1715,"*78*")&gt;0,COUNTIF(I1715,"81*")&gt;0,COUNTIF(J1715,"*81*")&gt;0,COUNTIF(I1715,"82*")&gt;0,COUNTIF(J1715,"*82*")&gt;0,COUNTIF(I1715,"64*")&gt;0,COUNTIF(J1715,"*64*")&gt;0,COUNTIF(I1715,"65*")&gt;0,COUNTIF(J1715,"*65*")&gt;0,COUNTIF(I1715,"66*")&gt;0,COUNTIF(J1715,"*66*")&gt;0,COUNTIF(I1715,"61*")&gt;0,COUNTIF(J1715,"*61*")&gt;0,COUNTIF(I1715,"62*")&gt;0,COUNTIF(J1715,"*62*")&gt;0,COUNTIF(I1715,"63*")&gt;0,COUNTIF(J1715,"*63*")&gt;0,COUNTIF(I1715,"85*")&gt;0,COUNTIF(J1715,"*85*")&gt;0,COUNTIF(I1715,"86*")&gt;0,COUNTIF(J1715,"*86*")&gt;0),"Да","Нет"))</f>
        <v/>
      </c>
      <c r="M1715" s="13">
        <f>IF(OR(G1715="",L1715&lt;&gt;"Да"),"",IF(G1715&lt;=100,"До 100",IF(G1715&lt;=200,"До 200",IF(G1715&lt;=500,"До 500","Отдельное КП"))))</f>
        <v/>
      </c>
      <c r="N1715" s="15">
        <f>IF(OR(G1715="",L1715&lt;&gt;"Да"),"",IF(G1715&lt;=100,33600,IF(G1715&lt;=200,62400,IF(G1715&lt;=500,144000,""))))</f>
        <v/>
      </c>
      <c r="O1715" s="16">
        <f>IF(G1715="","",IF(G1715&lt;=15,"1–15",IF(G1715&lt;=30,"16–30",IF(G1715&lt;=50,"31–50",IF(G1715&lt;=100,"51–100",IF(G1715&lt;=150,"101–150",IF(G1715&lt;=200,"151–200",IF(G1715&lt;=500,"201–500","500+"))))))))</f>
        <v/>
      </c>
      <c r="P1715" s="16" t="inlineStr">
        <is>
          <t>Нет совпадения в предоставленной выгрузке ССЧР</t>
        </is>
      </c>
      <c r="Q1715" s="16" t="n"/>
      <c r="R1715" s="16">
        <f>HYPERLINK("https://checko.ru/search?query=3801001629","Чекко: проверить")</f>
        <v/>
      </c>
      <c r="S1715" t="n">
        <v>0</v>
      </c>
    </row>
    <row r="1716" ht="15" customHeight="1" s="24">
      <c r="A1716" s="13" t="n">
        <v>5000001317</v>
      </c>
      <c r="B1716" s="13" t="inlineStr">
        <is>
          <t>ОГСКОУ "Школа-интернат г.Черемхово"</t>
        </is>
      </c>
      <c r="C1716" s="13" t="n">
        <v>3820005890</v>
      </c>
      <c r="D1716" s="13" t="inlineStr">
        <is>
          <t>3820005890</t>
        </is>
      </c>
      <c r="E1716" s="13" t="inlineStr">
        <is>
          <t>ЮЛ РФ</t>
        </is>
      </c>
      <c r="F1716" s="13" t="n"/>
      <c r="G1716" s="14" t="n"/>
      <c r="H1716" s="14" t="n"/>
      <c r="I1716" s="14" t="n"/>
      <c r="J1716" s="14" t="n"/>
      <c r="K1716" s="53" t="inlineStr"/>
      <c r="L1716" s="53" t="inlineStr">
        <is>
          <t>Не определено</t>
        </is>
      </c>
      <c r="M1716" s="53" t="inlineStr"/>
      <c r="N1716" s="54" t="inlineStr"/>
      <c r="O1716" s="55" t="inlineStr"/>
      <c r="P1716" s="16" t="inlineStr">
        <is>
          <t>Требует обогащения</t>
        </is>
      </c>
      <c r="Q1716" s="16">
        <f>HYPERLINK("https://pb.nalog.ru/search.html?query=3820005890","ФНС: проверить")</f>
        <v/>
      </c>
      <c r="R1716" s="16">
        <f>HYPERLINK("https://checko.ru/search?query=3801001629","Чекко: проверить")</f>
        <v/>
      </c>
      <c r="S1716" t="n">
        <v>1</v>
      </c>
      <c r="T1716" s="35" t="inlineStr">
        <is>
          <t>4 — Не обогащён</t>
        </is>
      </c>
      <c r="U1716" s="35" t="inlineStr">
        <is>
          <t>Нет ОКВЭД/ССЧР</t>
        </is>
      </c>
      <c r="V1716" s="35" t="inlineStr">
        <is>
          <t>Не определено</t>
        </is>
      </c>
      <c r="W1716" s="35" t="inlineStr"/>
      <c r="X1716" s="35" t="inlineStr"/>
    </row>
    <row r="1717" ht="54.75" customHeight="1" s="24">
      <c r="A1717" s="13" t="n">
        <v>5000001699</v>
      </c>
      <c r="B1717" s="13" t="inlineStr">
        <is>
          <t>Областное государственное оздоровительное образовательное казенное учреждение санаторного типа для детей, нуждающихся в длительном лечении, санаторный</t>
        </is>
      </c>
      <c r="C1717" s="13" t="n">
        <v>3812014740</v>
      </c>
      <c r="D1717" s="13" t="inlineStr">
        <is>
          <t>3812014740</t>
        </is>
      </c>
      <c r="E1717" s="13" t="inlineStr">
        <is>
          <t>ЮЛ РФ</t>
        </is>
      </c>
      <c r="F1717" s="13" t="n"/>
      <c r="G1717" s="14" t="n"/>
      <c r="H1717" s="14" t="n"/>
      <c r="I1717" s="14" t="n"/>
      <c r="J1717" s="14" t="n"/>
      <c r="K1717" s="53" t="inlineStr"/>
      <c r="L1717" s="53" t="inlineStr">
        <is>
          <t>Не определено</t>
        </is>
      </c>
      <c r="M1717" s="53" t="inlineStr"/>
      <c r="N1717" s="54" t="inlineStr"/>
      <c r="O1717" s="55" t="inlineStr"/>
      <c r="P1717" s="16" t="inlineStr">
        <is>
          <t>Требует обогащения</t>
        </is>
      </c>
      <c r="Q1717" s="16">
        <f>HYPERLINK("https://pb.nalog.ru/search.html?query=3812014740","ФНС: проверить")</f>
        <v/>
      </c>
      <c r="R1717" s="16">
        <f>HYPERLINK("https://checko.ru/search?query=3801001629","Чекко: проверить")</f>
        <v/>
      </c>
      <c r="S1717" t="n">
        <v>1</v>
      </c>
      <c r="T1717" s="35" t="inlineStr">
        <is>
          <t>4 — Не обогащён</t>
        </is>
      </c>
      <c r="U1717" s="35" t="inlineStr">
        <is>
          <t>Нет ОКВЭД/ССЧР</t>
        </is>
      </c>
      <c r="V1717" s="35" t="inlineStr">
        <is>
          <t>Не определено</t>
        </is>
      </c>
      <c r="W1717" s="35" t="inlineStr"/>
      <c r="X1717" s="35" t="inlineStr"/>
    </row>
    <row r="1718" ht="27.75" customHeight="1" s="24">
      <c r="A1718" s="13" t="n">
        <v>5000002753</v>
      </c>
      <c r="B1718" s="13" t="inlineStr">
        <is>
          <t>Саянская территориальная избирательная комиссия</t>
        </is>
      </c>
      <c r="C1718" s="13" t="n">
        <v>3814010236</v>
      </c>
      <c r="D1718" s="13" t="inlineStr">
        <is>
          <t>3814010236</t>
        </is>
      </c>
      <c r="E1718" s="13" t="inlineStr">
        <is>
          <t>ЮЛ РФ</t>
        </is>
      </c>
      <c r="F1718" s="13" t="n"/>
      <c r="G1718" s="14" t="n"/>
      <c r="H1718" s="14" t="n"/>
      <c r="I1718" s="14" t="n"/>
      <c r="J1718" s="14" t="n"/>
      <c r="K1718" s="53" t="inlineStr"/>
      <c r="L1718" s="53" t="inlineStr">
        <is>
          <t>Не определено</t>
        </is>
      </c>
      <c r="M1718" s="53" t="inlineStr"/>
      <c r="N1718" s="54" t="inlineStr"/>
      <c r="O1718" s="55" t="inlineStr"/>
      <c r="P1718" s="16" t="inlineStr">
        <is>
          <t>Требует обогащения</t>
        </is>
      </c>
      <c r="Q1718" s="16">
        <f>HYPERLINK("https://pb.nalog.ru/search.html?query=3814010236","ФНС: проверить")</f>
        <v/>
      </c>
      <c r="R1718" s="16">
        <f>HYPERLINK("https://checko.ru/search?query=3801001629","Чекко: проверить")</f>
        <v/>
      </c>
      <c r="S1718" t="n">
        <v>1</v>
      </c>
      <c r="T1718" s="35" t="inlineStr">
        <is>
          <t>4 — Не обогащён</t>
        </is>
      </c>
      <c r="U1718" s="35" t="inlineStr">
        <is>
          <t>Нет ОКВЭД/ССЧР</t>
        </is>
      </c>
      <c r="V1718" s="35" t="inlineStr">
        <is>
          <t>Не определено</t>
        </is>
      </c>
      <c r="W1718" s="35" t="inlineStr"/>
      <c r="X1718" s="35" t="inlineStr"/>
    </row>
    <row r="1719" ht="15" customHeight="1" s="24">
      <c r="A1719" s="13" t="n">
        <v>5000095080</v>
      </c>
      <c r="B1719" s="13" t="inlineStr">
        <is>
          <t>МКОУ "Центр образования №1" г.о.Нальчик КБР</t>
        </is>
      </c>
      <c r="C1719" s="13" t="n">
        <v>714006304</v>
      </c>
      <c r="D1719" s="13" t="n"/>
      <c r="E1719" s="13" t="inlineStr">
        <is>
          <t>Не определён</t>
        </is>
      </c>
      <c r="F1719" s="13" t="inlineStr">
        <is>
          <t>714006304</t>
        </is>
      </c>
      <c r="G1719" s="14" t="n"/>
      <c r="H1719" s="14" t="n"/>
      <c r="I1719" s="14" t="n"/>
      <c r="J1719" s="14" t="n"/>
      <c r="K1719" s="13">
        <f>IF(G1719="","",IF(G1719&gt;=22,"Да","Нет"))</f>
        <v/>
      </c>
      <c r="L1719" s="13">
        <f>IF(OR(I1719="",J1719=""),"Не определено",IF(OR(COUNTIF(I1719,"45*")&gt;0,COUNTIF(J1719,"*45*")&gt;0,COUNTIF(I1719,"46*")&gt;0,COUNTIF(J1719,"*46*")&gt;0,COUNTIF(I1719,"47*")&gt;0,COUNTIF(J1719,"*47*")&gt;0,COUNTIF(I1719,"10*")&gt;0,COUNTIF(J1719,"*10*")&gt;0,COUNTIF(I1719,"11*")&gt;0,COUNTIF(J1719,"*11*")&gt;0,COUNTIF(I1719,"12*")&gt;0,COUNTIF(J1719,"*12*")&gt;0,COUNTIF(I1719,"13*")&gt;0,COUNTIF(J1719,"*13*")&gt;0,COUNTIF(I1719,"14*")&gt;0,COUNTIF(J1719,"*14*")&gt;0,COUNTIF(I1719,"15*")&gt;0,COUNTIF(J1719,"*15*")&gt;0,COUNTIF(I1719,"16*")&gt;0,COUNTIF(J1719,"*16*")&gt;0,COUNTIF(I1719,"17*")&gt;0,COUNTIF(J1719,"*17*")&gt;0,COUNTIF(I1719,"18*")&gt;0,COUNTIF(J1719,"*18*")&gt;0,COUNTIF(I1719,"19*")&gt;0,COUNTIF(J1719,"*19*")&gt;0,COUNTIF(I1719,"20*")&gt;0,COUNTIF(J1719,"*20*")&gt;0,COUNTIF(I1719,"21*")&gt;0,COUNTIF(J1719,"*21*")&gt;0,COUNTIF(I1719,"22*")&gt;0,COUNTIF(J1719,"*22*")&gt;0,COUNTIF(I1719,"23*")&gt;0,COUNTIF(J1719,"*23*")&gt;0,COUNTIF(I1719,"24*")&gt;0,COUNTIF(J1719,"*24*")&gt;0,COUNTIF(I1719,"25*")&gt;0,COUNTIF(J1719,"*25*")&gt;0,COUNTIF(I1719,"26*")&gt;0,COUNTIF(J1719,"*26*")&gt;0,COUNTIF(I1719,"27*")&gt;0,COUNTIF(J1719,"*27*")&gt;0,COUNTIF(I1719,"28*")&gt;0,COUNTIF(J1719,"*28*")&gt;0,COUNTIF(I1719,"29*")&gt;0,COUNTIF(J1719,"*29*")&gt;0,COUNTIF(I1719,"30*")&gt;0,COUNTIF(J1719,"*30*")&gt;0,COUNTIF(I1719,"31*")&gt;0,COUNTIF(J1719,"*31*")&gt;0,COUNTIF(I1719,"32*")&gt;0,COUNTIF(J1719,"*32*")&gt;0,COUNTIF(I1719,"33*")&gt;0,COUNTIF(J1719,"*33*")&gt;0,COUNTIF(I1719,"41*")&gt;0,COUNTIF(J1719,"*41*")&gt;0,COUNTIF(I1719,"42*")&gt;0,COUNTIF(J1719,"*42*")&gt;0,COUNTIF(I1719,"43*")&gt;0,COUNTIF(J1719,"*43*")&gt;0,COUNTIF(I1719,"49*")&gt;0,COUNTIF(J1719,"*49*")&gt;0,COUNTIF(I1719,"52*")&gt;0,COUNTIF(J1719,"*52*")&gt;0,COUNTIF(I1719,"55*")&gt;0,COUNTIF(J1719,"*55*")&gt;0,COUNTIF(I1719,"56*")&gt;0,COUNTIF(J1719,"*56*")&gt;0,COUNTIF(I1719,"68*")&gt;0,COUNTIF(J1719,"*68*")&gt;0,COUNTIF(I1719,"78*")&gt;0,COUNTIF(J1719,"*78*")&gt;0,COUNTIF(I1719,"81*")&gt;0,COUNTIF(J1719,"*81*")&gt;0,COUNTIF(I1719,"82*")&gt;0,COUNTIF(J1719,"*82*")&gt;0,COUNTIF(I1719,"64*")&gt;0,COUNTIF(J1719,"*64*")&gt;0,COUNTIF(I1719,"65*")&gt;0,COUNTIF(J1719,"*65*")&gt;0,COUNTIF(I1719,"66*")&gt;0,COUNTIF(J1719,"*66*")&gt;0,COUNTIF(I1719,"61*")&gt;0,COUNTIF(J1719,"*61*")&gt;0,COUNTIF(I1719,"62*")&gt;0,COUNTIF(J1719,"*62*")&gt;0,COUNTIF(I1719,"63*")&gt;0,COUNTIF(J1719,"*63*")&gt;0,COUNTIF(I1719,"85*")&gt;0,COUNTIF(J1719,"*85*")&gt;0,COUNTIF(I1719,"86*")&gt;0,COUNTIF(J1719,"*86*")&gt;0),"Да","Нет"))</f>
        <v/>
      </c>
      <c r="M1719" s="13">
        <f>IF(OR(G1719="",L1719&lt;&gt;"Да"),"",IF(G1719&lt;=100,"До 100",IF(G1719&lt;=200,"До 200",IF(G1719&lt;=500,"До 500","Отдельное КП"))))</f>
        <v/>
      </c>
      <c r="N1719" s="15">
        <f>IF(OR(G1719="",L1719&lt;&gt;"Да"),"",IF(G1719&lt;=100,33600,IF(G1719&lt;=200,62400,IF(G1719&lt;=500,144000,""))))</f>
        <v/>
      </c>
      <c r="O1719" s="16">
        <f>IF(G1719="","",IF(G1719&lt;=15,"1–15",IF(G1719&lt;=30,"16–30",IF(G1719&lt;=50,"31–50",IF(G1719&lt;=100,"51–100",IF(G1719&lt;=150,"101–150",IF(G1719&lt;=200,"151–200",IF(G1719&lt;=500,"201–500","500+"))))))))</f>
        <v/>
      </c>
      <c r="P1719" s="16" t="inlineStr">
        <is>
          <t>Нет совпадения в предоставленной выгрузке ССЧР</t>
        </is>
      </c>
      <c r="Q1719" s="16" t="n"/>
      <c r="R1719" s="16">
        <f>HYPERLINK("https://checko.ru/search?query=3801001629","Чекко: проверить")</f>
        <v/>
      </c>
      <c r="S1719" t="n">
        <v>0</v>
      </c>
    </row>
    <row r="1720" ht="41.25" customHeight="1" s="24">
      <c r="A1720" s="13" t="n">
        <v>5000095070</v>
      </c>
      <c r="B1720" s="13" t="inlineStr">
        <is>
          <t>МКОУ для детей дошкольного и младшего школьного возраста "Прогимназия №28" г.о. Нальчик КБР</t>
        </is>
      </c>
      <c r="C1720" s="13" t="n">
        <v>711058738</v>
      </c>
      <c r="D1720" s="13" t="n"/>
      <c r="E1720" s="13" t="inlineStr">
        <is>
          <t>Не определён</t>
        </is>
      </c>
      <c r="F1720" s="13" t="inlineStr">
        <is>
          <t>711058738</t>
        </is>
      </c>
      <c r="G1720" s="14" t="n"/>
      <c r="H1720" s="14" t="n"/>
      <c r="I1720" s="14" t="n"/>
      <c r="J1720" s="14" t="n"/>
      <c r="K1720" s="13">
        <f>IF(G1720="","",IF(G1720&gt;=22,"Да","Нет"))</f>
        <v/>
      </c>
      <c r="L1720" s="13">
        <f>IF(OR(I1720="",J1720=""),"Не определено",IF(OR(COUNTIF(I1720,"45*")&gt;0,COUNTIF(J1720,"*45*")&gt;0,COUNTIF(I1720,"46*")&gt;0,COUNTIF(J1720,"*46*")&gt;0,COUNTIF(I1720,"47*")&gt;0,COUNTIF(J1720,"*47*")&gt;0,COUNTIF(I1720,"10*")&gt;0,COUNTIF(J1720,"*10*")&gt;0,COUNTIF(I1720,"11*")&gt;0,COUNTIF(J1720,"*11*")&gt;0,COUNTIF(I1720,"12*")&gt;0,COUNTIF(J1720,"*12*")&gt;0,COUNTIF(I1720,"13*")&gt;0,COUNTIF(J1720,"*13*")&gt;0,COUNTIF(I1720,"14*")&gt;0,COUNTIF(J1720,"*14*")&gt;0,COUNTIF(I1720,"15*")&gt;0,COUNTIF(J1720,"*15*")&gt;0,COUNTIF(I1720,"16*")&gt;0,COUNTIF(J1720,"*16*")&gt;0,COUNTIF(I1720,"17*")&gt;0,COUNTIF(J1720,"*17*")&gt;0,COUNTIF(I1720,"18*")&gt;0,COUNTIF(J1720,"*18*")&gt;0,COUNTIF(I1720,"19*")&gt;0,COUNTIF(J1720,"*19*")&gt;0,COUNTIF(I1720,"20*")&gt;0,COUNTIF(J1720,"*20*")&gt;0,COUNTIF(I1720,"21*")&gt;0,COUNTIF(J1720,"*21*")&gt;0,COUNTIF(I1720,"22*")&gt;0,COUNTIF(J1720,"*22*")&gt;0,COUNTIF(I1720,"23*")&gt;0,COUNTIF(J1720,"*23*")&gt;0,COUNTIF(I1720,"24*")&gt;0,COUNTIF(J1720,"*24*")&gt;0,COUNTIF(I1720,"25*")&gt;0,COUNTIF(J1720,"*25*")&gt;0,COUNTIF(I1720,"26*")&gt;0,COUNTIF(J1720,"*26*")&gt;0,COUNTIF(I1720,"27*")&gt;0,COUNTIF(J1720,"*27*")&gt;0,COUNTIF(I1720,"28*")&gt;0,COUNTIF(J1720,"*28*")&gt;0,COUNTIF(I1720,"29*")&gt;0,COUNTIF(J1720,"*29*")&gt;0,COUNTIF(I1720,"30*")&gt;0,COUNTIF(J1720,"*30*")&gt;0,COUNTIF(I1720,"31*")&gt;0,COUNTIF(J1720,"*31*")&gt;0,COUNTIF(I1720,"32*")&gt;0,COUNTIF(J1720,"*32*")&gt;0,COUNTIF(I1720,"33*")&gt;0,COUNTIF(J1720,"*33*")&gt;0,COUNTIF(I1720,"41*")&gt;0,COUNTIF(J1720,"*41*")&gt;0,COUNTIF(I1720,"42*")&gt;0,COUNTIF(J1720,"*42*")&gt;0,COUNTIF(I1720,"43*")&gt;0,COUNTIF(J1720,"*43*")&gt;0,COUNTIF(I1720,"49*")&gt;0,COUNTIF(J1720,"*49*")&gt;0,COUNTIF(I1720,"52*")&gt;0,COUNTIF(J1720,"*52*")&gt;0,COUNTIF(I1720,"55*")&gt;0,COUNTIF(J1720,"*55*")&gt;0,COUNTIF(I1720,"56*")&gt;0,COUNTIF(J1720,"*56*")&gt;0,COUNTIF(I1720,"68*")&gt;0,COUNTIF(J1720,"*68*")&gt;0,COUNTIF(I1720,"78*")&gt;0,COUNTIF(J1720,"*78*")&gt;0,COUNTIF(I1720,"81*")&gt;0,COUNTIF(J1720,"*81*")&gt;0,COUNTIF(I1720,"82*")&gt;0,COUNTIF(J1720,"*82*")&gt;0,COUNTIF(I1720,"64*")&gt;0,COUNTIF(J1720,"*64*")&gt;0,COUNTIF(I1720,"65*")&gt;0,COUNTIF(J1720,"*65*")&gt;0,COUNTIF(I1720,"66*")&gt;0,COUNTIF(J1720,"*66*")&gt;0,COUNTIF(I1720,"61*")&gt;0,COUNTIF(J1720,"*61*")&gt;0,COUNTIF(I1720,"62*")&gt;0,COUNTIF(J1720,"*62*")&gt;0,COUNTIF(I1720,"63*")&gt;0,COUNTIF(J1720,"*63*")&gt;0,COUNTIF(I1720,"85*")&gt;0,COUNTIF(J1720,"*85*")&gt;0,COUNTIF(I1720,"86*")&gt;0,COUNTIF(J1720,"*86*")&gt;0),"Да","Нет"))</f>
        <v/>
      </c>
      <c r="M1720" s="13">
        <f>IF(OR(G1720="",L1720&lt;&gt;"Да"),"",IF(G1720&lt;=100,"До 100",IF(G1720&lt;=200,"До 200",IF(G1720&lt;=500,"До 500","Отдельное КП"))))</f>
        <v/>
      </c>
      <c r="N1720" s="15">
        <f>IF(OR(G1720="",L1720&lt;&gt;"Да"),"",IF(G1720&lt;=100,33600,IF(G1720&lt;=200,62400,IF(G1720&lt;=500,144000,""))))</f>
        <v/>
      </c>
      <c r="O1720" s="16">
        <f>IF(G1720="","",IF(G1720&lt;=15,"1–15",IF(G1720&lt;=30,"16–30",IF(G1720&lt;=50,"31–50",IF(G1720&lt;=100,"51–100",IF(G1720&lt;=150,"101–150",IF(G1720&lt;=200,"151–200",IF(G1720&lt;=500,"201–500","500+"))))))))</f>
        <v/>
      </c>
      <c r="P1720" s="16" t="inlineStr">
        <is>
          <t>Нет совпадения в предоставленной выгрузке ССЧР</t>
        </is>
      </c>
      <c r="Q1720" s="16" t="n"/>
      <c r="R1720" s="16">
        <f>HYPERLINK("https://checko.ru/search?query=3801001629","Чекко: проверить")</f>
        <v/>
      </c>
      <c r="S1720" t="n">
        <v>0</v>
      </c>
    </row>
    <row r="1721" ht="41.25" customHeight="1" s="24">
      <c r="A1721" s="13" t="n">
        <v>5000095023</v>
      </c>
      <c r="B1721" s="13" t="inlineStr">
        <is>
          <t>МКОУ для детей дошкольного и младшего школьного возраста "Прогимназия №70" г.о. Нальчик КБР</t>
        </is>
      </c>
      <c r="C1721" s="13" t="n">
        <v>711038805</v>
      </c>
      <c r="D1721" s="13" t="n"/>
      <c r="E1721" s="13" t="inlineStr">
        <is>
          <t>Не определён</t>
        </is>
      </c>
      <c r="F1721" s="13" t="inlineStr">
        <is>
          <t>711038805</t>
        </is>
      </c>
      <c r="G1721" s="14" t="n"/>
      <c r="H1721" s="14" t="n"/>
      <c r="I1721" s="14" t="n"/>
      <c r="J1721" s="14" t="n"/>
      <c r="K1721" s="13">
        <f>IF(G1721="","",IF(G1721&gt;=22,"Да","Нет"))</f>
        <v/>
      </c>
      <c r="L1721" s="13">
        <f>IF(OR(I1721="",J1721=""),"Не определено",IF(OR(COUNTIF(I1721,"45*")&gt;0,COUNTIF(J1721,"*45*")&gt;0,COUNTIF(I1721,"46*")&gt;0,COUNTIF(J1721,"*46*")&gt;0,COUNTIF(I1721,"47*")&gt;0,COUNTIF(J1721,"*47*")&gt;0,COUNTIF(I1721,"10*")&gt;0,COUNTIF(J1721,"*10*")&gt;0,COUNTIF(I1721,"11*")&gt;0,COUNTIF(J1721,"*11*")&gt;0,COUNTIF(I1721,"12*")&gt;0,COUNTIF(J1721,"*12*")&gt;0,COUNTIF(I1721,"13*")&gt;0,COUNTIF(J1721,"*13*")&gt;0,COUNTIF(I1721,"14*")&gt;0,COUNTIF(J1721,"*14*")&gt;0,COUNTIF(I1721,"15*")&gt;0,COUNTIF(J1721,"*15*")&gt;0,COUNTIF(I1721,"16*")&gt;0,COUNTIF(J1721,"*16*")&gt;0,COUNTIF(I1721,"17*")&gt;0,COUNTIF(J1721,"*17*")&gt;0,COUNTIF(I1721,"18*")&gt;0,COUNTIF(J1721,"*18*")&gt;0,COUNTIF(I1721,"19*")&gt;0,COUNTIF(J1721,"*19*")&gt;0,COUNTIF(I1721,"20*")&gt;0,COUNTIF(J1721,"*20*")&gt;0,COUNTIF(I1721,"21*")&gt;0,COUNTIF(J1721,"*21*")&gt;0,COUNTIF(I1721,"22*")&gt;0,COUNTIF(J1721,"*22*")&gt;0,COUNTIF(I1721,"23*")&gt;0,COUNTIF(J1721,"*23*")&gt;0,COUNTIF(I1721,"24*")&gt;0,COUNTIF(J1721,"*24*")&gt;0,COUNTIF(I1721,"25*")&gt;0,COUNTIF(J1721,"*25*")&gt;0,COUNTIF(I1721,"26*")&gt;0,COUNTIF(J1721,"*26*")&gt;0,COUNTIF(I1721,"27*")&gt;0,COUNTIF(J1721,"*27*")&gt;0,COUNTIF(I1721,"28*")&gt;0,COUNTIF(J1721,"*28*")&gt;0,COUNTIF(I1721,"29*")&gt;0,COUNTIF(J1721,"*29*")&gt;0,COUNTIF(I1721,"30*")&gt;0,COUNTIF(J1721,"*30*")&gt;0,COUNTIF(I1721,"31*")&gt;0,COUNTIF(J1721,"*31*")&gt;0,COUNTIF(I1721,"32*")&gt;0,COUNTIF(J1721,"*32*")&gt;0,COUNTIF(I1721,"33*")&gt;0,COUNTIF(J1721,"*33*")&gt;0,COUNTIF(I1721,"41*")&gt;0,COUNTIF(J1721,"*41*")&gt;0,COUNTIF(I1721,"42*")&gt;0,COUNTIF(J1721,"*42*")&gt;0,COUNTIF(I1721,"43*")&gt;0,COUNTIF(J1721,"*43*")&gt;0,COUNTIF(I1721,"49*")&gt;0,COUNTIF(J1721,"*49*")&gt;0,COUNTIF(I1721,"52*")&gt;0,COUNTIF(J1721,"*52*")&gt;0,COUNTIF(I1721,"55*")&gt;0,COUNTIF(J1721,"*55*")&gt;0,COUNTIF(I1721,"56*")&gt;0,COUNTIF(J1721,"*56*")&gt;0,COUNTIF(I1721,"68*")&gt;0,COUNTIF(J1721,"*68*")&gt;0,COUNTIF(I1721,"78*")&gt;0,COUNTIF(J1721,"*78*")&gt;0,COUNTIF(I1721,"81*")&gt;0,COUNTIF(J1721,"*81*")&gt;0,COUNTIF(I1721,"82*")&gt;0,COUNTIF(J1721,"*82*")&gt;0,COUNTIF(I1721,"64*")&gt;0,COUNTIF(J1721,"*64*")&gt;0,COUNTIF(I1721,"65*")&gt;0,COUNTIF(J1721,"*65*")&gt;0,COUNTIF(I1721,"66*")&gt;0,COUNTIF(J1721,"*66*")&gt;0,COUNTIF(I1721,"61*")&gt;0,COUNTIF(J1721,"*61*")&gt;0,COUNTIF(I1721,"62*")&gt;0,COUNTIF(J1721,"*62*")&gt;0,COUNTIF(I1721,"63*")&gt;0,COUNTIF(J1721,"*63*")&gt;0,COUNTIF(I1721,"85*")&gt;0,COUNTIF(J1721,"*85*")&gt;0,COUNTIF(I1721,"86*")&gt;0,COUNTIF(J1721,"*86*")&gt;0),"Да","Нет"))</f>
        <v/>
      </c>
      <c r="M1721" s="13">
        <f>IF(OR(G1721="",L1721&lt;&gt;"Да"),"",IF(G1721&lt;=100,"До 100",IF(G1721&lt;=200,"До 200",IF(G1721&lt;=500,"До 500","Отдельное КП"))))</f>
        <v/>
      </c>
      <c r="N1721" s="15">
        <f>IF(OR(G1721="",L1721&lt;&gt;"Да"),"",IF(G1721&lt;=100,33600,IF(G1721&lt;=200,62400,IF(G1721&lt;=500,144000,""))))</f>
        <v/>
      </c>
      <c r="O1721" s="16">
        <f>IF(G1721="","",IF(G1721&lt;=15,"1–15",IF(G1721&lt;=30,"16–30",IF(G1721&lt;=50,"31–50",IF(G1721&lt;=100,"51–100",IF(G1721&lt;=150,"101–150",IF(G1721&lt;=200,"151–200",IF(G1721&lt;=500,"201–500","500+"))))))))</f>
        <v/>
      </c>
      <c r="P1721" s="16" t="inlineStr">
        <is>
          <t>Нет совпадения в предоставленной выгрузке ССЧР</t>
        </is>
      </c>
      <c r="Q1721" s="16" t="n"/>
      <c r="R1721" s="16">
        <f>HYPERLINK("https://checko.ru/search?query=3801001629","Чекко: проверить")</f>
        <v/>
      </c>
      <c r="S1721" t="n">
        <v>0</v>
      </c>
    </row>
    <row r="1722" ht="27.75" customHeight="1" s="24">
      <c r="A1722" s="13" t="n">
        <v>5000095044</v>
      </c>
      <c r="B1722" s="13" t="inlineStr">
        <is>
          <t>МКОУ "СОШ №3 с углубленным изучением английского языка" г.о.Нальчик КБР</t>
        </is>
      </c>
      <c r="C1722" s="13" t="n">
        <v>711042738</v>
      </c>
      <c r="D1722" s="13" t="n"/>
      <c r="E1722" s="13" t="inlineStr">
        <is>
          <t>Не определён</t>
        </is>
      </c>
      <c r="F1722" s="13" t="inlineStr">
        <is>
          <t>711042738</t>
        </is>
      </c>
      <c r="G1722" s="14" t="n"/>
      <c r="H1722" s="14" t="n"/>
      <c r="I1722" s="14" t="n"/>
      <c r="J1722" s="14" t="n"/>
      <c r="K1722" s="13">
        <f>IF(G1722="","",IF(G1722&gt;=22,"Да","Нет"))</f>
        <v/>
      </c>
      <c r="L1722" s="13">
        <f>IF(OR(I1722="",J1722=""),"Не определено",IF(OR(COUNTIF(I1722,"45*")&gt;0,COUNTIF(J1722,"*45*")&gt;0,COUNTIF(I1722,"46*")&gt;0,COUNTIF(J1722,"*46*")&gt;0,COUNTIF(I1722,"47*")&gt;0,COUNTIF(J1722,"*47*")&gt;0,COUNTIF(I1722,"10*")&gt;0,COUNTIF(J1722,"*10*")&gt;0,COUNTIF(I1722,"11*")&gt;0,COUNTIF(J1722,"*11*")&gt;0,COUNTIF(I1722,"12*")&gt;0,COUNTIF(J1722,"*12*")&gt;0,COUNTIF(I1722,"13*")&gt;0,COUNTIF(J1722,"*13*")&gt;0,COUNTIF(I1722,"14*")&gt;0,COUNTIF(J1722,"*14*")&gt;0,COUNTIF(I1722,"15*")&gt;0,COUNTIF(J1722,"*15*")&gt;0,COUNTIF(I1722,"16*")&gt;0,COUNTIF(J1722,"*16*")&gt;0,COUNTIF(I1722,"17*")&gt;0,COUNTIF(J1722,"*17*")&gt;0,COUNTIF(I1722,"18*")&gt;0,COUNTIF(J1722,"*18*")&gt;0,COUNTIF(I1722,"19*")&gt;0,COUNTIF(J1722,"*19*")&gt;0,COUNTIF(I1722,"20*")&gt;0,COUNTIF(J1722,"*20*")&gt;0,COUNTIF(I1722,"21*")&gt;0,COUNTIF(J1722,"*21*")&gt;0,COUNTIF(I1722,"22*")&gt;0,COUNTIF(J1722,"*22*")&gt;0,COUNTIF(I1722,"23*")&gt;0,COUNTIF(J1722,"*23*")&gt;0,COUNTIF(I1722,"24*")&gt;0,COUNTIF(J1722,"*24*")&gt;0,COUNTIF(I1722,"25*")&gt;0,COUNTIF(J1722,"*25*")&gt;0,COUNTIF(I1722,"26*")&gt;0,COUNTIF(J1722,"*26*")&gt;0,COUNTIF(I1722,"27*")&gt;0,COUNTIF(J1722,"*27*")&gt;0,COUNTIF(I1722,"28*")&gt;0,COUNTIF(J1722,"*28*")&gt;0,COUNTIF(I1722,"29*")&gt;0,COUNTIF(J1722,"*29*")&gt;0,COUNTIF(I1722,"30*")&gt;0,COUNTIF(J1722,"*30*")&gt;0,COUNTIF(I1722,"31*")&gt;0,COUNTIF(J1722,"*31*")&gt;0,COUNTIF(I1722,"32*")&gt;0,COUNTIF(J1722,"*32*")&gt;0,COUNTIF(I1722,"33*")&gt;0,COUNTIF(J1722,"*33*")&gt;0,COUNTIF(I1722,"41*")&gt;0,COUNTIF(J1722,"*41*")&gt;0,COUNTIF(I1722,"42*")&gt;0,COUNTIF(J1722,"*42*")&gt;0,COUNTIF(I1722,"43*")&gt;0,COUNTIF(J1722,"*43*")&gt;0,COUNTIF(I1722,"49*")&gt;0,COUNTIF(J1722,"*49*")&gt;0,COUNTIF(I1722,"52*")&gt;0,COUNTIF(J1722,"*52*")&gt;0,COUNTIF(I1722,"55*")&gt;0,COUNTIF(J1722,"*55*")&gt;0,COUNTIF(I1722,"56*")&gt;0,COUNTIF(J1722,"*56*")&gt;0,COUNTIF(I1722,"68*")&gt;0,COUNTIF(J1722,"*68*")&gt;0,COUNTIF(I1722,"78*")&gt;0,COUNTIF(J1722,"*78*")&gt;0,COUNTIF(I1722,"81*")&gt;0,COUNTIF(J1722,"*81*")&gt;0,COUNTIF(I1722,"82*")&gt;0,COUNTIF(J1722,"*82*")&gt;0,COUNTIF(I1722,"64*")&gt;0,COUNTIF(J1722,"*64*")&gt;0,COUNTIF(I1722,"65*")&gt;0,COUNTIF(J1722,"*65*")&gt;0,COUNTIF(I1722,"66*")&gt;0,COUNTIF(J1722,"*66*")&gt;0,COUNTIF(I1722,"61*")&gt;0,COUNTIF(J1722,"*61*")&gt;0,COUNTIF(I1722,"62*")&gt;0,COUNTIF(J1722,"*62*")&gt;0,COUNTIF(I1722,"63*")&gt;0,COUNTIF(J1722,"*63*")&gt;0,COUNTIF(I1722,"85*")&gt;0,COUNTIF(J1722,"*85*")&gt;0,COUNTIF(I1722,"86*")&gt;0,COUNTIF(J1722,"*86*")&gt;0),"Да","Нет"))</f>
        <v/>
      </c>
      <c r="M1722" s="13">
        <f>IF(OR(G1722="",L1722&lt;&gt;"Да"),"",IF(G1722&lt;=100,"До 100",IF(G1722&lt;=200,"До 200",IF(G1722&lt;=500,"До 500","Отдельное КП"))))</f>
        <v/>
      </c>
      <c r="N1722" s="15">
        <f>IF(OR(G1722="",L1722&lt;&gt;"Да"),"",IF(G1722&lt;=100,33600,IF(G1722&lt;=200,62400,IF(G1722&lt;=500,144000,""))))</f>
        <v/>
      </c>
      <c r="O1722" s="16">
        <f>IF(G1722="","",IF(G1722&lt;=15,"1–15",IF(G1722&lt;=30,"16–30",IF(G1722&lt;=50,"31–50",IF(G1722&lt;=100,"51–100",IF(G1722&lt;=150,"101–150",IF(G1722&lt;=200,"151–200",IF(G1722&lt;=500,"201–500","500+"))))))))</f>
        <v/>
      </c>
      <c r="P1722" s="16" t="inlineStr">
        <is>
          <t>Нет совпадения в предоставленной выгрузке ССЧР</t>
        </is>
      </c>
      <c r="Q1722" s="16" t="n"/>
      <c r="R1722" s="16">
        <f>HYPERLINK("https://checko.ru/search?query=3801001629","Чекко: проверить")</f>
        <v/>
      </c>
      <c r="S1722" t="n">
        <v>0</v>
      </c>
    </row>
    <row r="1723" ht="41.25" customHeight="1" s="24">
      <c r="A1723" s="13" t="n">
        <v>5000095054</v>
      </c>
      <c r="B1723" s="13" t="inlineStr">
        <is>
          <t>МКОУ "СОШ №5 с углубленным изучением отдельных предметов им.А.С.Пушкина" г.о.Нальчик КБР</t>
        </is>
      </c>
      <c r="C1723" s="13" t="n">
        <v>711044164</v>
      </c>
      <c r="D1723" s="13" t="n"/>
      <c r="E1723" s="13" t="inlineStr">
        <is>
          <t>Не определён</t>
        </is>
      </c>
      <c r="F1723" s="13" t="inlineStr">
        <is>
          <t>711044164</t>
        </is>
      </c>
      <c r="G1723" s="14" t="n"/>
      <c r="H1723" s="14" t="n"/>
      <c r="I1723" s="14" t="n"/>
      <c r="J1723" s="14" t="n"/>
      <c r="K1723" s="13">
        <f>IF(G1723="","",IF(G1723&gt;=22,"Да","Нет"))</f>
        <v/>
      </c>
      <c r="L1723" s="13">
        <f>IF(OR(I1723="",J1723=""),"Не определено",IF(OR(COUNTIF(I1723,"45*")&gt;0,COUNTIF(J1723,"*45*")&gt;0,COUNTIF(I1723,"46*")&gt;0,COUNTIF(J1723,"*46*")&gt;0,COUNTIF(I1723,"47*")&gt;0,COUNTIF(J1723,"*47*")&gt;0,COUNTIF(I1723,"10*")&gt;0,COUNTIF(J1723,"*10*")&gt;0,COUNTIF(I1723,"11*")&gt;0,COUNTIF(J1723,"*11*")&gt;0,COUNTIF(I1723,"12*")&gt;0,COUNTIF(J1723,"*12*")&gt;0,COUNTIF(I1723,"13*")&gt;0,COUNTIF(J1723,"*13*")&gt;0,COUNTIF(I1723,"14*")&gt;0,COUNTIF(J1723,"*14*")&gt;0,COUNTIF(I1723,"15*")&gt;0,COUNTIF(J1723,"*15*")&gt;0,COUNTIF(I1723,"16*")&gt;0,COUNTIF(J1723,"*16*")&gt;0,COUNTIF(I1723,"17*")&gt;0,COUNTIF(J1723,"*17*")&gt;0,COUNTIF(I1723,"18*")&gt;0,COUNTIF(J1723,"*18*")&gt;0,COUNTIF(I1723,"19*")&gt;0,COUNTIF(J1723,"*19*")&gt;0,COUNTIF(I1723,"20*")&gt;0,COUNTIF(J1723,"*20*")&gt;0,COUNTIF(I1723,"21*")&gt;0,COUNTIF(J1723,"*21*")&gt;0,COUNTIF(I1723,"22*")&gt;0,COUNTIF(J1723,"*22*")&gt;0,COUNTIF(I1723,"23*")&gt;0,COUNTIF(J1723,"*23*")&gt;0,COUNTIF(I1723,"24*")&gt;0,COUNTIF(J1723,"*24*")&gt;0,COUNTIF(I1723,"25*")&gt;0,COUNTIF(J1723,"*25*")&gt;0,COUNTIF(I1723,"26*")&gt;0,COUNTIF(J1723,"*26*")&gt;0,COUNTIF(I1723,"27*")&gt;0,COUNTIF(J1723,"*27*")&gt;0,COUNTIF(I1723,"28*")&gt;0,COUNTIF(J1723,"*28*")&gt;0,COUNTIF(I1723,"29*")&gt;0,COUNTIF(J1723,"*29*")&gt;0,COUNTIF(I1723,"30*")&gt;0,COUNTIF(J1723,"*30*")&gt;0,COUNTIF(I1723,"31*")&gt;0,COUNTIF(J1723,"*31*")&gt;0,COUNTIF(I1723,"32*")&gt;0,COUNTIF(J1723,"*32*")&gt;0,COUNTIF(I1723,"33*")&gt;0,COUNTIF(J1723,"*33*")&gt;0,COUNTIF(I1723,"41*")&gt;0,COUNTIF(J1723,"*41*")&gt;0,COUNTIF(I1723,"42*")&gt;0,COUNTIF(J1723,"*42*")&gt;0,COUNTIF(I1723,"43*")&gt;0,COUNTIF(J1723,"*43*")&gt;0,COUNTIF(I1723,"49*")&gt;0,COUNTIF(J1723,"*49*")&gt;0,COUNTIF(I1723,"52*")&gt;0,COUNTIF(J1723,"*52*")&gt;0,COUNTIF(I1723,"55*")&gt;0,COUNTIF(J1723,"*55*")&gt;0,COUNTIF(I1723,"56*")&gt;0,COUNTIF(J1723,"*56*")&gt;0,COUNTIF(I1723,"68*")&gt;0,COUNTIF(J1723,"*68*")&gt;0,COUNTIF(I1723,"78*")&gt;0,COUNTIF(J1723,"*78*")&gt;0,COUNTIF(I1723,"81*")&gt;0,COUNTIF(J1723,"*81*")&gt;0,COUNTIF(I1723,"82*")&gt;0,COUNTIF(J1723,"*82*")&gt;0,COUNTIF(I1723,"64*")&gt;0,COUNTIF(J1723,"*64*")&gt;0,COUNTIF(I1723,"65*")&gt;0,COUNTIF(J1723,"*65*")&gt;0,COUNTIF(I1723,"66*")&gt;0,COUNTIF(J1723,"*66*")&gt;0,COUNTIF(I1723,"61*")&gt;0,COUNTIF(J1723,"*61*")&gt;0,COUNTIF(I1723,"62*")&gt;0,COUNTIF(J1723,"*62*")&gt;0,COUNTIF(I1723,"63*")&gt;0,COUNTIF(J1723,"*63*")&gt;0,COUNTIF(I1723,"85*")&gt;0,COUNTIF(J1723,"*85*")&gt;0,COUNTIF(I1723,"86*")&gt;0,COUNTIF(J1723,"*86*")&gt;0),"Да","Нет"))</f>
        <v/>
      </c>
      <c r="M1723" s="13">
        <f>IF(OR(G1723="",L1723&lt;&gt;"Да"),"",IF(G1723&lt;=100,"До 100",IF(G1723&lt;=200,"До 200",IF(G1723&lt;=500,"До 500","Отдельное КП"))))</f>
        <v/>
      </c>
      <c r="N1723" s="15">
        <f>IF(OR(G1723="",L1723&lt;&gt;"Да"),"",IF(G1723&lt;=100,33600,IF(G1723&lt;=200,62400,IF(G1723&lt;=500,144000,""))))</f>
        <v/>
      </c>
      <c r="O1723" s="16">
        <f>IF(G1723="","",IF(G1723&lt;=15,"1–15",IF(G1723&lt;=30,"16–30",IF(G1723&lt;=50,"31–50",IF(G1723&lt;=100,"51–100",IF(G1723&lt;=150,"101–150",IF(G1723&lt;=200,"151–200",IF(G1723&lt;=500,"201–500","500+"))))))))</f>
        <v/>
      </c>
      <c r="P1723" s="16" t="inlineStr">
        <is>
          <t>Нет совпадения в предоставленной выгрузке ССЧР</t>
        </is>
      </c>
      <c r="Q1723" s="16" t="n"/>
      <c r="R1723" s="16">
        <f>HYPERLINK("https://checko.ru/search?query=3801001629","Чекко: проверить")</f>
        <v/>
      </c>
      <c r="S1723" t="n">
        <v>0</v>
      </c>
    </row>
    <row r="1724" ht="27.75" customHeight="1" s="24">
      <c r="A1724" s="13" t="n">
        <v>5000094998</v>
      </c>
      <c r="B1724" s="13" t="inlineStr">
        <is>
          <t>МКОУ "СОШ № 9 с углубленным изучением отдельных предметов" г.о.Нальчик КБР</t>
        </is>
      </c>
      <c r="C1724" s="13" t="n">
        <v>711035709</v>
      </c>
      <c r="D1724" s="13" t="n"/>
      <c r="E1724" s="13" t="inlineStr">
        <is>
          <t>Не определён</t>
        </is>
      </c>
      <c r="F1724" s="13" t="inlineStr">
        <is>
          <t>711035709</t>
        </is>
      </c>
      <c r="G1724" s="14" t="n"/>
      <c r="H1724" s="14" t="n"/>
      <c r="I1724" s="14" t="n"/>
      <c r="J1724" s="14" t="n"/>
      <c r="K1724" s="13">
        <f>IF(G1724="","",IF(G1724&gt;=22,"Да","Нет"))</f>
        <v/>
      </c>
      <c r="L1724" s="13">
        <f>IF(OR(I1724="",J1724=""),"Не определено",IF(OR(COUNTIF(I1724,"45*")&gt;0,COUNTIF(J1724,"*45*")&gt;0,COUNTIF(I1724,"46*")&gt;0,COUNTIF(J1724,"*46*")&gt;0,COUNTIF(I1724,"47*")&gt;0,COUNTIF(J1724,"*47*")&gt;0,COUNTIF(I1724,"10*")&gt;0,COUNTIF(J1724,"*10*")&gt;0,COUNTIF(I1724,"11*")&gt;0,COUNTIF(J1724,"*11*")&gt;0,COUNTIF(I1724,"12*")&gt;0,COUNTIF(J1724,"*12*")&gt;0,COUNTIF(I1724,"13*")&gt;0,COUNTIF(J1724,"*13*")&gt;0,COUNTIF(I1724,"14*")&gt;0,COUNTIF(J1724,"*14*")&gt;0,COUNTIF(I1724,"15*")&gt;0,COUNTIF(J1724,"*15*")&gt;0,COUNTIF(I1724,"16*")&gt;0,COUNTIF(J1724,"*16*")&gt;0,COUNTIF(I1724,"17*")&gt;0,COUNTIF(J1724,"*17*")&gt;0,COUNTIF(I1724,"18*")&gt;0,COUNTIF(J1724,"*18*")&gt;0,COUNTIF(I1724,"19*")&gt;0,COUNTIF(J1724,"*19*")&gt;0,COUNTIF(I1724,"20*")&gt;0,COUNTIF(J1724,"*20*")&gt;0,COUNTIF(I1724,"21*")&gt;0,COUNTIF(J1724,"*21*")&gt;0,COUNTIF(I1724,"22*")&gt;0,COUNTIF(J1724,"*22*")&gt;0,COUNTIF(I1724,"23*")&gt;0,COUNTIF(J1724,"*23*")&gt;0,COUNTIF(I1724,"24*")&gt;0,COUNTIF(J1724,"*24*")&gt;0,COUNTIF(I1724,"25*")&gt;0,COUNTIF(J1724,"*25*")&gt;0,COUNTIF(I1724,"26*")&gt;0,COUNTIF(J1724,"*26*")&gt;0,COUNTIF(I1724,"27*")&gt;0,COUNTIF(J1724,"*27*")&gt;0,COUNTIF(I1724,"28*")&gt;0,COUNTIF(J1724,"*28*")&gt;0,COUNTIF(I1724,"29*")&gt;0,COUNTIF(J1724,"*29*")&gt;0,COUNTIF(I1724,"30*")&gt;0,COUNTIF(J1724,"*30*")&gt;0,COUNTIF(I1724,"31*")&gt;0,COUNTIF(J1724,"*31*")&gt;0,COUNTIF(I1724,"32*")&gt;0,COUNTIF(J1724,"*32*")&gt;0,COUNTIF(I1724,"33*")&gt;0,COUNTIF(J1724,"*33*")&gt;0,COUNTIF(I1724,"41*")&gt;0,COUNTIF(J1724,"*41*")&gt;0,COUNTIF(I1724,"42*")&gt;0,COUNTIF(J1724,"*42*")&gt;0,COUNTIF(I1724,"43*")&gt;0,COUNTIF(J1724,"*43*")&gt;0,COUNTIF(I1724,"49*")&gt;0,COUNTIF(J1724,"*49*")&gt;0,COUNTIF(I1724,"52*")&gt;0,COUNTIF(J1724,"*52*")&gt;0,COUNTIF(I1724,"55*")&gt;0,COUNTIF(J1724,"*55*")&gt;0,COUNTIF(I1724,"56*")&gt;0,COUNTIF(J1724,"*56*")&gt;0,COUNTIF(I1724,"68*")&gt;0,COUNTIF(J1724,"*68*")&gt;0,COUNTIF(I1724,"78*")&gt;0,COUNTIF(J1724,"*78*")&gt;0,COUNTIF(I1724,"81*")&gt;0,COUNTIF(J1724,"*81*")&gt;0,COUNTIF(I1724,"82*")&gt;0,COUNTIF(J1724,"*82*")&gt;0,COUNTIF(I1724,"64*")&gt;0,COUNTIF(J1724,"*64*")&gt;0,COUNTIF(I1724,"65*")&gt;0,COUNTIF(J1724,"*65*")&gt;0,COUNTIF(I1724,"66*")&gt;0,COUNTIF(J1724,"*66*")&gt;0,COUNTIF(I1724,"61*")&gt;0,COUNTIF(J1724,"*61*")&gt;0,COUNTIF(I1724,"62*")&gt;0,COUNTIF(J1724,"*62*")&gt;0,COUNTIF(I1724,"63*")&gt;0,COUNTIF(J1724,"*63*")&gt;0,COUNTIF(I1724,"85*")&gt;0,COUNTIF(J1724,"*85*")&gt;0,COUNTIF(I1724,"86*")&gt;0,COUNTIF(J1724,"*86*")&gt;0),"Да","Нет"))</f>
        <v/>
      </c>
      <c r="M1724" s="13">
        <f>IF(OR(G1724="",L1724&lt;&gt;"Да"),"",IF(G1724&lt;=100,"До 100",IF(G1724&lt;=200,"До 200",IF(G1724&lt;=500,"До 500","Отдельное КП"))))</f>
        <v/>
      </c>
      <c r="N1724" s="15">
        <f>IF(OR(G1724="",L1724&lt;&gt;"Да"),"",IF(G1724&lt;=100,33600,IF(G1724&lt;=200,62400,IF(G1724&lt;=500,144000,""))))</f>
        <v/>
      </c>
      <c r="O1724" s="16">
        <f>IF(G1724="","",IF(G1724&lt;=15,"1–15",IF(G1724&lt;=30,"16–30",IF(G1724&lt;=50,"31–50",IF(G1724&lt;=100,"51–100",IF(G1724&lt;=150,"101–150",IF(G1724&lt;=200,"151–200",IF(G1724&lt;=500,"201–500","500+"))))))))</f>
        <v/>
      </c>
      <c r="P1724" s="16" t="inlineStr">
        <is>
          <t>Нет совпадения в предоставленной выгрузке ССЧР</t>
        </is>
      </c>
      <c r="Q1724" s="16" t="n"/>
      <c r="R1724" s="16">
        <f>HYPERLINK("https://checko.ru/search?query=3801001629","Чекко: проверить")</f>
        <v/>
      </c>
      <c r="S1724" t="n">
        <v>0</v>
      </c>
    </row>
    <row r="1725" ht="15" customHeight="1" s="24">
      <c r="A1725" s="13" t="n">
        <v>5000095033</v>
      </c>
      <c r="B1725" s="13" t="inlineStr">
        <is>
          <t>МКОУ "Гимназия №13" г.о.Нальчик КБР</t>
        </is>
      </c>
      <c r="C1725" s="13" t="n">
        <v>711041438</v>
      </c>
      <c r="D1725" s="13" t="n"/>
      <c r="E1725" s="13" t="inlineStr">
        <is>
          <t>Не определён</t>
        </is>
      </c>
      <c r="F1725" s="13" t="inlineStr">
        <is>
          <t>711041438</t>
        </is>
      </c>
      <c r="G1725" s="14" t="n"/>
      <c r="H1725" s="14" t="n"/>
      <c r="I1725" s="14" t="n"/>
      <c r="J1725" s="14" t="n"/>
      <c r="K1725" s="13">
        <f>IF(G1725="","",IF(G1725&gt;=22,"Да","Нет"))</f>
        <v/>
      </c>
      <c r="L1725" s="13">
        <f>IF(OR(I1725="",J1725=""),"Не определено",IF(OR(COUNTIF(I1725,"45*")&gt;0,COUNTIF(J1725,"*45*")&gt;0,COUNTIF(I1725,"46*")&gt;0,COUNTIF(J1725,"*46*")&gt;0,COUNTIF(I1725,"47*")&gt;0,COUNTIF(J1725,"*47*")&gt;0,COUNTIF(I1725,"10*")&gt;0,COUNTIF(J1725,"*10*")&gt;0,COUNTIF(I1725,"11*")&gt;0,COUNTIF(J1725,"*11*")&gt;0,COUNTIF(I1725,"12*")&gt;0,COUNTIF(J1725,"*12*")&gt;0,COUNTIF(I1725,"13*")&gt;0,COUNTIF(J1725,"*13*")&gt;0,COUNTIF(I1725,"14*")&gt;0,COUNTIF(J1725,"*14*")&gt;0,COUNTIF(I1725,"15*")&gt;0,COUNTIF(J1725,"*15*")&gt;0,COUNTIF(I1725,"16*")&gt;0,COUNTIF(J1725,"*16*")&gt;0,COUNTIF(I1725,"17*")&gt;0,COUNTIF(J1725,"*17*")&gt;0,COUNTIF(I1725,"18*")&gt;0,COUNTIF(J1725,"*18*")&gt;0,COUNTIF(I1725,"19*")&gt;0,COUNTIF(J1725,"*19*")&gt;0,COUNTIF(I1725,"20*")&gt;0,COUNTIF(J1725,"*20*")&gt;0,COUNTIF(I1725,"21*")&gt;0,COUNTIF(J1725,"*21*")&gt;0,COUNTIF(I1725,"22*")&gt;0,COUNTIF(J1725,"*22*")&gt;0,COUNTIF(I1725,"23*")&gt;0,COUNTIF(J1725,"*23*")&gt;0,COUNTIF(I1725,"24*")&gt;0,COUNTIF(J1725,"*24*")&gt;0,COUNTIF(I1725,"25*")&gt;0,COUNTIF(J1725,"*25*")&gt;0,COUNTIF(I1725,"26*")&gt;0,COUNTIF(J1725,"*26*")&gt;0,COUNTIF(I1725,"27*")&gt;0,COUNTIF(J1725,"*27*")&gt;0,COUNTIF(I1725,"28*")&gt;0,COUNTIF(J1725,"*28*")&gt;0,COUNTIF(I1725,"29*")&gt;0,COUNTIF(J1725,"*29*")&gt;0,COUNTIF(I1725,"30*")&gt;0,COUNTIF(J1725,"*30*")&gt;0,COUNTIF(I1725,"31*")&gt;0,COUNTIF(J1725,"*31*")&gt;0,COUNTIF(I1725,"32*")&gt;0,COUNTIF(J1725,"*32*")&gt;0,COUNTIF(I1725,"33*")&gt;0,COUNTIF(J1725,"*33*")&gt;0,COUNTIF(I1725,"41*")&gt;0,COUNTIF(J1725,"*41*")&gt;0,COUNTIF(I1725,"42*")&gt;0,COUNTIF(J1725,"*42*")&gt;0,COUNTIF(I1725,"43*")&gt;0,COUNTIF(J1725,"*43*")&gt;0,COUNTIF(I1725,"49*")&gt;0,COUNTIF(J1725,"*49*")&gt;0,COUNTIF(I1725,"52*")&gt;0,COUNTIF(J1725,"*52*")&gt;0,COUNTIF(I1725,"55*")&gt;0,COUNTIF(J1725,"*55*")&gt;0,COUNTIF(I1725,"56*")&gt;0,COUNTIF(J1725,"*56*")&gt;0,COUNTIF(I1725,"68*")&gt;0,COUNTIF(J1725,"*68*")&gt;0,COUNTIF(I1725,"78*")&gt;0,COUNTIF(J1725,"*78*")&gt;0,COUNTIF(I1725,"81*")&gt;0,COUNTIF(J1725,"*81*")&gt;0,COUNTIF(I1725,"82*")&gt;0,COUNTIF(J1725,"*82*")&gt;0,COUNTIF(I1725,"64*")&gt;0,COUNTIF(J1725,"*64*")&gt;0,COUNTIF(I1725,"65*")&gt;0,COUNTIF(J1725,"*65*")&gt;0,COUNTIF(I1725,"66*")&gt;0,COUNTIF(J1725,"*66*")&gt;0,COUNTIF(I1725,"61*")&gt;0,COUNTIF(J1725,"*61*")&gt;0,COUNTIF(I1725,"62*")&gt;0,COUNTIF(J1725,"*62*")&gt;0,COUNTIF(I1725,"63*")&gt;0,COUNTIF(J1725,"*63*")&gt;0,COUNTIF(I1725,"85*")&gt;0,COUNTIF(J1725,"*85*")&gt;0,COUNTIF(I1725,"86*")&gt;0,COUNTIF(J1725,"*86*")&gt;0),"Да","Нет"))</f>
        <v/>
      </c>
      <c r="M1725" s="13">
        <f>IF(OR(G1725="",L1725&lt;&gt;"Да"),"",IF(G1725&lt;=100,"До 100",IF(G1725&lt;=200,"До 200",IF(G1725&lt;=500,"До 500","Отдельное КП"))))</f>
        <v/>
      </c>
      <c r="N1725" s="15">
        <f>IF(OR(G1725="",L1725&lt;&gt;"Да"),"",IF(G1725&lt;=100,33600,IF(G1725&lt;=200,62400,IF(G1725&lt;=500,144000,""))))</f>
        <v/>
      </c>
      <c r="O1725" s="16">
        <f>IF(G1725="","",IF(G1725&lt;=15,"1–15",IF(G1725&lt;=30,"16–30",IF(G1725&lt;=50,"31–50",IF(G1725&lt;=100,"51–100",IF(G1725&lt;=150,"101–150",IF(G1725&lt;=200,"151–200",IF(G1725&lt;=500,"201–500","500+"))))))))</f>
        <v/>
      </c>
      <c r="P1725" s="16" t="inlineStr">
        <is>
          <t>Нет совпадения в предоставленной выгрузке ССЧР</t>
        </is>
      </c>
      <c r="Q1725" s="16" t="n"/>
      <c r="R1725" s="16">
        <f>HYPERLINK("https://checko.ru/search?query=3801001629","Чекко: проверить")</f>
        <v/>
      </c>
      <c r="S1725" t="n">
        <v>0</v>
      </c>
    </row>
    <row r="1726" ht="27.75" customHeight="1" s="24">
      <c r="A1726" s="13" t="n">
        <v>5000001976</v>
      </c>
      <c r="B1726" s="13" t="inlineStr">
        <is>
          <t>ГБУЗ "Территориальный центр медицины катастроф Иркутской области"</t>
        </is>
      </c>
      <c r="C1726" s="13" t="n">
        <v>3812062609</v>
      </c>
      <c r="D1726" s="13" t="inlineStr">
        <is>
          <t>3812062609</t>
        </is>
      </c>
      <c r="E1726" s="13" t="inlineStr">
        <is>
          <t>ЮЛ РФ</t>
        </is>
      </c>
      <c r="F1726" s="13" t="n"/>
      <c r="G1726" s="14" t="n"/>
      <c r="H1726" s="14" t="n"/>
      <c r="I1726" s="14" t="n"/>
      <c r="J1726" s="14" t="n"/>
      <c r="K1726" s="53" t="inlineStr"/>
      <c r="L1726" s="53" t="inlineStr">
        <is>
          <t>Не определено</t>
        </is>
      </c>
      <c r="M1726" s="53" t="inlineStr"/>
      <c r="N1726" s="54" t="inlineStr"/>
      <c r="O1726" s="55" t="inlineStr"/>
      <c r="P1726" s="16" t="inlineStr">
        <is>
          <t>Требует обогащения</t>
        </is>
      </c>
      <c r="Q1726" s="16">
        <f>HYPERLINK("https://pb.nalog.ru/search.html?query=3812062609","ФНС: проверить")</f>
        <v/>
      </c>
      <c r="R1726" s="16">
        <f>HYPERLINK("https://checko.ru/search?query=3801001629","Чекко: проверить")</f>
        <v/>
      </c>
      <c r="S1726" t="n">
        <v>1</v>
      </c>
      <c r="T1726" s="35" t="inlineStr">
        <is>
          <t>4 — Не обогащён</t>
        </is>
      </c>
      <c r="U1726" s="35" t="inlineStr">
        <is>
          <t>Нет ОКВЭД/ССЧР</t>
        </is>
      </c>
      <c r="V1726" s="35" t="inlineStr">
        <is>
          <t>Не определено</t>
        </is>
      </c>
      <c r="W1726" s="35" t="inlineStr"/>
      <c r="X1726" s="35" t="inlineStr"/>
    </row>
    <row r="1727" ht="15" customHeight="1" s="24">
      <c r="A1727" s="13" t="n">
        <v>5000002216</v>
      </c>
      <c r="B1727" s="13" t="inlineStr">
        <is>
          <t>Агентство по туризму Иркутской Области</t>
        </is>
      </c>
      <c r="C1727" s="13" t="n">
        <v>3808212643</v>
      </c>
      <c r="D1727" s="13" t="inlineStr">
        <is>
          <t>3808212643</t>
        </is>
      </c>
      <c r="E1727" s="13" t="inlineStr">
        <is>
          <t>ЮЛ РФ</t>
        </is>
      </c>
      <c r="F1727" s="13" t="n"/>
      <c r="G1727" s="14" t="n"/>
      <c r="H1727" s="14" t="n"/>
      <c r="I1727" s="14" t="n"/>
      <c r="J1727" s="14" t="n"/>
      <c r="K1727" s="53" t="inlineStr"/>
      <c r="L1727" s="53" t="inlineStr">
        <is>
          <t>Не определено</t>
        </is>
      </c>
      <c r="M1727" s="53" t="inlineStr"/>
      <c r="N1727" s="54" t="inlineStr"/>
      <c r="O1727" s="55" t="inlineStr"/>
      <c r="P1727" s="16" t="inlineStr">
        <is>
          <t>Требует обогащения</t>
        </is>
      </c>
      <c r="Q1727" s="16">
        <f>HYPERLINK("https://pb.nalog.ru/search.html?query=3808212643","ФНС: проверить")</f>
        <v/>
      </c>
      <c r="R1727" s="16">
        <f>HYPERLINK("https://checko.ru/search?query=3801001629","Чекко: проверить")</f>
        <v/>
      </c>
      <c r="S1727" t="n">
        <v>1</v>
      </c>
      <c r="T1727" s="35" t="inlineStr">
        <is>
          <t>4 — Не обогащён</t>
        </is>
      </c>
      <c r="U1727" s="35" t="inlineStr">
        <is>
          <t>Нет ОКВЭД/ССЧР</t>
        </is>
      </c>
      <c r="V1727" s="35" t="inlineStr">
        <is>
          <t>Не определено</t>
        </is>
      </c>
      <c r="W1727" s="35" t="inlineStr"/>
      <c r="X1727" s="35" t="inlineStr"/>
    </row>
    <row r="1728" ht="27.75" customHeight="1" s="24">
      <c r="A1728" s="13" t="n">
        <v>5000095017</v>
      </c>
      <c r="B1728" s="13" t="inlineStr">
        <is>
          <t>МКОУ "СОШ №21 с углубленным изучением отдельных предметов" г.о.Нальчик КБР</t>
        </is>
      </c>
      <c r="C1728" s="13" t="n">
        <v>711038298</v>
      </c>
      <c r="D1728" s="13" t="n"/>
      <c r="E1728" s="13" t="inlineStr">
        <is>
          <t>Не определён</t>
        </is>
      </c>
      <c r="F1728" s="13" t="inlineStr">
        <is>
          <t>711038298</t>
        </is>
      </c>
      <c r="G1728" s="14" t="n"/>
      <c r="H1728" s="14" t="n"/>
      <c r="I1728" s="14" t="n"/>
      <c r="J1728" s="14" t="n"/>
      <c r="K1728" s="13">
        <f>IF(G1728="","",IF(G1728&gt;=22,"Да","Нет"))</f>
        <v/>
      </c>
      <c r="L1728" s="13">
        <f>IF(OR(I1728="",J1728=""),"Не определено",IF(OR(COUNTIF(I1728,"45*")&gt;0,COUNTIF(J1728,"*45*")&gt;0,COUNTIF(I1728,"46*")&gt;0,COUNTIF(J1728,"*46*")&gt;0,COUNTIF(I1728,"47*")&gt;0,COUNTIF(J1728,"*47*")&gt;0,COUNTIF(I1728,"10*")&gt;0,COUNTIF(J1728,"*10*")&gt;0,COUNTIF(I1728,"11*")&gt;0,COUNTIF(J1728,"*11*")&gt;0,COUNTIF(I1728,"12*")&gt;0,COUNTIF(J1728,"*12*")&gt;0,COUNTIF(I1728,"13*")&gt;0,COUNTIF(J1728,"*13*")&gt;0,COUNTIF(I1728,"14*")&gt;0,COUNTIF(J1728,"*14*")&gt;0,COUNTIF(I1728,"15*")&gt;0,COUNTIF(J1728,"*15*")&gt;0,COUNTIF(I1728,"16*")&gt;0,COUNTIF(J1728,"*16*")&gt;0,COUNTIF(I1728,"17*")&gt;0,COUNTIF(J1728,"*17*")&gt;0,COUNTIF(I1728,"18*")&gt;0,COUNTIF(J1728,"*18*")&gt;0,COUNTIF(I1728,"19*")&gt;0,COUNTIF(J1728,"*19*")&gt;0,COUNTIF(I1728,"20*")&gt;0,COUNTIF(J1728,"*20*")&gt;0,COUNTIF(I1728,"21*")&gt;0,COUNTIF(J1728,"*21*")&gt;0,COUNTIF(I1728,"22*")&gt;0,COUNTIF(J1728,"*22*")&gt;0,COUNTIF(I1728,"23*")&gt;0,COUNTIF(J1728,"*23*")&gt;0,COUNTIF(I1728,"24*")&gt;0,COUNTIF(J1728,"*24*")&gt;0,COUNTIF(I1728,"25*")&gt;0,COUNTIF(J1728,"*25*")&gt;0,COUNTIF(I1728,"26*")&gt;0,COUNTIF(J1728,"*26*")&gt;0,COUNTIF(I1728,"27*")&gt;0,COUNTIF(J1728,"*27*")&gt;0,COUNTIF(I1728,"28*")&gt;0,COUNTIF(J1728,"*28*")&gt;0,COUNTIF(I1728,"29*")&gt;0,COUNTIF(J1728,"*29*")&gt;0,COUNTIF(I1728,"30*")&gt;0,COUNTIF(J1728,"*30*")&gt;0,COUNTIF(I1728,"31*")&gt;0,COUNTIF(J1728,"*31*")&gt;0,COUNTIF(I1728,"32*")&gt;0,COUNTIF(J1728,"*32*")&gt;0,COUNTIF(I1728,"33*")&gt;0,COUNTIF(J1728,"*33*")&gt;0,COUNTIF(I1728,"41*")&gt;0,COUNTIF(J1728,"*41*")&gt;0,COUNTIF(I1728,"42*")&gt;0,COUNTIF(J1728,"*42*")&gt;0,COUNTIF(I1728,"43*")&gt;0,COUNTIF(J1728,"*43*")&gt;0,COUNTIF(I1728,"49*")&gt;0,COUNTIF(J1728,"*49*")&gt;0,COUNTIF(I1728,"52*")&gt;0,COUNTIF(J1728,"*52*")&gt;0,COUNTIF(I1728,"55*")&gt;0,COUNTIF(J1728,"*55*")&gt;0,COUNTIF(I1728,"56*")&gt;0,COUNTIF(J1728,"*56*")&gt;0,COUNTIF(I1728,"68*")&gt;0,COUNTIF(J1728,"*68*")&gt;0,COUNTIF(I1728,"78*")&gt;0,COUNTIF(J1728,"*78*")&gt;0,COUNTIF(I1728,"81*")&gt;0,COUNTIF(J1728,"*81*")&gt;0,COUNTIF(I1728,"82*")&gt;0,COUNTIF(J1728,"*82*")&gt;0,COUNTIF(I1728,"64*")&gt;0,COUNTIF(J1728,"*64*")&gt;0,COUNTIF(I1728,"65*")&gt;0,COUNTIF(J1728,"*65*")&gt;0,COUNTIF(I1728,"66*")&gt;0,COUNTIF(J1728,"*66*")&gt;0,COUNTIF(I1728,"61*")&gt;0,COUNTIF(J1728,"*61*")&gt;0,COUNTIF(I1728,"62*")&gt;0,COUNTIF(J1728,"*62*")&gt;0,COUNTIF(I1728,"63*")&gt;0,COUNTIF(J1728,"*63*")&gt;0,COUNTIF(I1728,"85*")&gt;0,COUNTIF(J1728,"*85*")&gt;0,COUNTIF(I1728,"86*")&gt;0,COUNTIF(J1728,"*86*")&gt;0),"Да","Нет"))</f>
        <v/>
      </c>
      <c r="M1728" s="13">
        <f>IF(OR(G1728="",L1728&lt;&gt;"Да"),"",IF(G1728&lt;=100,"До 100",IF(G1728&lt;=200,"До 200",IF(G1728&lt;=500,"До 500","Отдельное КП"))))</f>
        <v/>
      </c>
      <c r="N1728" s="15">
        <f>IF(OR(G1728="",L1728&lt;&gt;"Да"),"",IF(G1728&lt;=100,33600,IF(G1728&lt;=200,62400,IF(G1728&lt;=500,144000,""))))</f>
        <v/>
      </c>
      <c r="O1728" s="16">
        <f>IF(G1728="","",IF(G1728&lt;=15,"1–15",IF(G1728&lt;=30,"16–30",IF(G1728&lt;=50,"31–50",IF(G1728&lt;=100,"51–100",IF(G1728&lt;=150,"101–150",IF(G1728&lt;=200,"151–200",IF(G1728&lt;=500,"201–500","500+"))))))))</f>
        <v/>
      </c>
      <c r="P1728" s="16" t="inlineStr">
        <is>
          <t>Нет совпадения в предоставленной выгрузке ССЧР</t>
        </is>
      </c>
      <c r="Q1728" s="16" t="n"/>
      <c r="R1728" s="16">
        <f>HYPERLINK("https://checko.ru/search?query=3801001629","Чекко: проверить")</f>
        <v/>
      </c>
      <c r="S1728" t="n">
        <v>0</v>
      </c>
    </row>
    <row r="1729" ht="27.75" customHeight="1" s="24">
      <c r="A1729" s="13" t="n">
        <v>5000001890</v>
      </c>
      <c r="B1729" s="13" t="inlineStr">
        <is>
          <t>ОбГКУЗ "Иркутская областная психиатрическая больница № 2"</t>
        </is>
      </c>
      <c r="C1729" s="13" t="n">
        <v>8503001492</v>
      </c>
      <c r="D1729" s="13" t="inlineStr">
        <is>
          <t>8503001492</t>
        </is>
      </c>
      <c r="E1729" s="13" t="inlineStr">
        <is>
          <t>ЮЛ РФ</t>
        </is>
      </c>
      <c r="F1729" s="13" t="n"/>
      <c r="G1729" s="14" t="n"/>
      <c r="H1729" s="14" t="n"/>
      <c r="I1729" s="14" t="n"/>
      <c r="J1729" s="14" t="n"/>
      <c r="K1729" s="53" t="inlineStr"/>
      <c r="L1729" s="53" t="inlineStr">
        <is>
          <t>Не определено</t>
        </is>
      </c>
      <c r="M1729" s="53" t="inlineStr"/>
      <c r="N1729" s="54" t="inlineStr"/>
      <c r="O1729" s="55" t="inlineStr"/>
      <c r="P1729" s="16" t="inlineStr">
        <is>
          <t>Требует обогащения</t>
        </is>
      </c>
      <c r="Q1729" s="16">
        <f>HYPERLINK("https://pb.nalog.ru/search.html?query=8503001492","ФНС: проверить")</f>
        <v/>
      </c>
      <c r="R1729" s="16">
        <f>HYPERLINK("https://checko.ru/search?query=3801001629","Чекко: проверить")</f>
        <v/>
      </c>
      <c r="S1729" t="n">
        <v>1</v>
      </c>
      <c r="T1729" s="35" t="inlineStr">
        <is>
          <t>4 — Не обогащён</t>
        </is>
      </c>
      <c r="U1729" s="35" t="inlineStr">
        <is>
          <t>Нет ОКВЭД/ССЧР</t>
        </is>
      </c>
      <c r="V1729" s="35" t="inlineStr">
        <is>
          <t>Не определено</t>
        </is>
      </c>
      <c r="W1729" s="35" t="inlineStr"/>
      <c r="X1729" s="35" t="inlineStr"/>
    </row>
    <row r="1730" ht="15" customHeight="1" s="24">
      <c r="A1730" s="13" t="n">
        <v>5000106077</v>
      </c>
      <c r="B1730" s="13" t="inlineStr">
        <is>
          <t>ГБУЗ Переволоцкая РБ</t>
        </is>
      </c>
      <c r="C1730" s="13" t="n">
        <v>5640001770</v>
      </c>
      <c r="D1730" s="13" t="inlineStr">
        <is>
          <t>5640001770</t>
        </is>
      </c>
      <c r="E1730" s="13" t="inlineStr">
        <is>
          <t>ЮЛ РФ</t>
        </is>
      </c>
      <c r="F1730" s="13" t="n"/>
      <c r="G1730" s="14" t="n"/>
      <c r="H1730" s="14" t="n"/>
      <c r="I1730" s="14" t="n"/>
      <c r="J1730" s="14" t="n"/>
      <c r="K1730" s="53" t="inlineStr"/>
      <c r="L1730" s="53" t="inlineStr">
        <is>
          <t>Не определено</t>
        </is>
      </c>
      <c r="M1730" s="53" t="inlineStr"/>
      <c r="N1730" s="54" t="inlineStr"/>
      <c r="O1730" s="55" t="inlineStr"/>
      <c r="P1730" s="16" t="inlineStr">
        <is>
          <t>Требует обогащения</t>
        </is>
      </c>
      <c r="Q1730" s="16">
        <f>HYPERLINK("https://pb.nalog.ru/search.html?query=5640001770","ФНС: проверить")</f>
        <v/>
      </c>
      <c r="R1730" s="16">
        <f>HYPERLINK("https://checko.ru/search?query=3801001629","Чекко: проверить")</f>
        <v/>
      </c>
      <c r="S1730" t="n">
        <v>1</v>
      </c>
      <c r="T1730" s="35" t="inlineStr">
        <is>
          <t>4 — Не обогащён</t>
        </is>
      </c>
      <c r="U1730" s="35" t="inlineStr">
        <is>
          <t>Нет ОКВЭД/ССЧР</t>
        </is>
      </c>
      <c r="V1730" s="35" t="inlineStr">
        <is>
          <t>Не определено</t>
        </is>
      </c>
      <c r="W1730" s="35" t="inlineStr"/>
      <c r="X1730" s="35" t="inlineStr"/>
    </row>
    <row r="1731" ht="15" customHeight="1" s="24">
      <c r="A1731" s="13" t="n">
        <v>5000038511</v>
      </c>
      <c r="B1731" s="13" t="inlineStr">
        <is>
          <t>ГУК "Ульяновский областной театр</t>
        </is>
      </c>
      <c r="C1731" s="13" t="n">
        <v>7325001031</v>
      </c>
      <c r="D1731" s="13" t="inlineStr">
        <is>
          <t>7325001031</t>
        </is>
      </c>
      <c r="E1731" s="13" t="inlineStr">
        <is>
          <t>ЮЛ РФ</t>
        </is>
      </c>
      <c r="F1731" s="13" t="n"/>
      <c r="G1731" s="14" t="n"/>
      <c r="H1731" s="14" t="n"/>
      <c r="I1731" s="14" t="n"/>
      <c r="J1731" s="14" t="n"/>
      <c r="K1731" s="53" t="inlineStr"/>
      <c r="L1731" s="53" t="inlineStr">
        <is>
          <t>Не определено</t>
        </is>
      </c>
      <c r="M1731" s="53" t="inlineStr"/>
      <c r="N1731" s="54" t="inlineStr"/>
      <c r="O1731" s="55" t="inlineStr"/>
      <c r="P1731" s="16" t="inlineStr">
        <is>
          <t>Требует обогащения</t>
        </is>
      </c>
      <c r="Q1731" s="16">
        <f>HYPERLINK("https://pb.nalog.ru/search.html?query=7325001031","ФНС: проверить")</f>
        <v/>
      </c>
      <c r="R1731" s="16">
        <f>HYPERLINK("https://checko.ru/search?query=3801001629","Чекко: проверить")</f>
        <v/>
      </c>
      <c r="S1731" t="n">
        <v>1</v>
      </c>
      <c r="T1731" s="35" t="inlineStr">
        <is>
          <t>4 — Не обогащён</t>
        </is>
      </c>
      <c r="U1731" s="35" t="inlineStr">
        <is>
          <t>Нет ОКВЭД/ССЧР</t>
        </is>
      </c>
      <c r="V1731" s="35" t="inlineStr">
        <is>
          <t>Не определено</t>
        </is>
      </c>
      <c r="W1731" s="35" t="inlineStr"/>
      <c r="X1731" s="35" t="inlineStr"/>
    </row>
    <row r="1732" ht="27.75" customHeight="1" s="24">
      <c r="A1732" s="13" t="n">
        <v>5000001674</v>
      </c>
      <c r="B1732" s="13" t="inlineStr">
        <is>
          <t>ОГБУСО "Братский дом-интернат для престарелых и инвалидов"</t>
        </is>
      </c>
      <c r="C1732" s="13" t="n">
        <v>3803101280</v>
      </c>
      <c r="D1732" s="13" t="inlineStr">
        <is>
          <t>3803101280</t>
        </is>
      </c>
      <c r="E1732" s="13" t="inlineStr">
        <is>
          <t>ЮЛ РФ</t>
        </is>
      </c>
      <c r="F1732" s="13" t="n"/>
      <c r="G1732" s="14" t="n"/>
      <c r="H1732" s="14" t="n"/>
      <c r="I1732" s="14" t="n"/>
      <c r="J1732" s="14" t="n"/>
      <c r="K1732" s="53" t="inlineStr"/>
      <c r="L1732" s="53" t="inlineStr">
        <is>
          <t>Не определено</t>
        </is>
      </c>
      <c r="M1732" s="53" t="inlineStr"/>
      <c r="N1732" s="54" t="inlineStr"/>
      <c r="O1732" s="55" t="inlineStr"/>
      <c r="P1732" s="16" t="inlineStr">
        <is>
          <t>Требует обогащения</t>
        </is>
      </c>
      <c r="Q1732" s="16">
        <f>HYPERLINK("https://pb.nalog.ru/search.html?query=3803101280","ФНС: проверить")</f>
        <v/>
      </c>
      <c r="R1732" s="16">
        <f>HYPERLINK("https://checko.ru/search?query=3801001629","Чекко: проверить")</f>
        <v/>
      </c>
      <c r="S1732" t="n">
        <v>1</v>
      </c>
      <c r="T1732" s="35" t="inlineStr">
        <is>
          <t>4 — Не обогащён</t>
        </is>
      </c>
      <c r="U1732" s="35" t="inlineStr">
        <is>
          <t>Нет ОКВЭД/ССЧР</t>
        </is>
      </c>
      <c r="V1732" s="35" t="inlineStr">
        <is>
          <t>Не определено</t>
        </is>
      </c>
      <c r="W1732" s="35" t="inlineStr"/>
      <c r="X1732" s="35" t="inlineStr"/>
    </row>
    <row r="1733" ht="15" customHeight="1" s="24">
      <c r="A1733" s="13" t="n">
        <v>5000095243</v>
      </c>
      <c r="B1733" s="13" t="inlineStr">
        <is>
          <t>ГКУ КБР "УПРАВДОР"</t>
        </is>
      </c>
      <c r="C1733" s="13" t="n">
        <v>725021907</v>
      </c>
      <c r="D1733" s="13" t="n"/>
      <c r="E1733" s="13" t="inlineStr">
        <is>
          <t>Не определён</t>
        </is>
      </c>
      <c r="F1733" s="13" t="inlineStr">
        <is>
          <t>725021907</t>
        </is>
      </c>
      <c r="G1733" s="14" t="n"/>
      <c r="H1733" s="14" t="n"/>
      <c r="I1733" s="14" t="n"/>
      <c r="J1733" s="14" t="n"/>
      <c r="K1733" s="13">
        <f>IF(G1733="","",IF(G1733&gt;=22,"Да","Нет"))</f>
        <v/>
      </c>
      <c r="L1733" s="13">
        <f>IF(OR(I1733="",J1733=""),"Не определено",IF(OR(COUNTIF(I1733,"45*")&gt;0,COUNTIF(J1733,"*45*")&gt;0,COUNTIF(I1733,"46*")&gt;0,COUNTIF(J1733,"*46*")&gt;0,COUNTIF(I1733,"47*")&gt;0,COUNTIF(J1733,"*47*")&gt;0,COUNTIF(I1733,"10*")&gt;0,COUNTIF(J1733,"*10*")&gt;0,COUNTIF(I1733,"11*")&gt;0,COUNTIF(J1733,"*11*")&gt;0,COUNTIF(I1733,"12*")&gt;0,COUNTIF(J1733,"*12*")&gt;0,COUNTIF(I1733,"13*")&gt;0,COUNTIF(J1733,"*13*")&gt;0,COUNTIF(I1733,"14*")&gt;0,COUNTIF(J1733,"*14*")&gt;0,COUNTIF(I1733,"15*")&gt;0,COUNTIF(J1733,"*15*")&gt;0,COUNTIF(I1733,"16*")&gt;0,COUNTIF(J1733,"*16*")&gt;0,COUNTIF(I1733,"17*")&gt;0,COUNTIF(J1733,"*17*")&gt;0,COUNTIF(I1733,"18*")&gt;0,COUNTIF(J1733,"*18*")&gt;0,COUNTIF(I1733,"19*")&gt;0,COUNTIF(J1733,"*19*")&gt;0,COUNTIF(I1733,"20*")&gt;0,COUNTIF(J1733,"*20*")&gt;0,COUNTIF(I1733,"21*")&gt;0,COUNTIF(J1733,"*21*")&gt;0,COUNTIF(I1733,"22*")&gt;0,COUNTIF(J1733,"*22*")&gt;0,COUNTIF(I1733,"23*")&gt;0,COUNTIF(J1733,"*23*")&gt;0,COUNTIF(I1733,"24*")&gt;0,COUNTIF(J1733,"*24*")&gt;0,COUNTIF(I1733,"25*")&gt;0,COUNTIF(J1733,"*25*")&gt;0,COUNTIF(I1733,"26*")&gt;0,COUNTIF(J1733,"*26*")&gt;0,COUNTIF(I1733,"27*")&gt;0,COUNTIF(J1733,"*27*")&gt;0,COUNTIF(I1733,"28*")&gt;0,COUNTIF(J1733,"*28*")&gt;0,COUNTIF(I1733,"29*")&gt;0,COUNTIF(J1733,"*29*")&gt;0,COUNTIF(I1733,"30*")&gt;0,COUNTIF(J1733,"*30*")&gt;0,COUNTIF(I1733,"31*")&gt;0,COUNTIF(J1733,"*31*")&gt;0,COUNTIF(I1733,"32*")&gt;0,COUNTIF(J1733,"*32*")&gt;0,COUNTIF(I1733,"33*")&gt;0,COUNTIF(J1733,"*33*")&gt;0,COUNTIF(I1733,"41*")&gt;0,COUNTIF(J1733,"*41*")&gt;0,COUNTIF(I1733,"42*")&gt;0,COUNTIF(J1733,"*42*")&gt;0,COUNTIF(I1733,"43*")&gt;0,COUNTIF(J1733,"*43*")&gt;0,COUNTIF(I1733,"49*")&gt;0,COUNTIF(J1733,"*49*")&gt;0,COUNTIF(I1733,"52*")&gt;0,COUNTIF(J1733,"*52*")&gt;0,COUNTIF(I1733,"55*")&gt;0,COUNTIF(J1733,"*55*")&gt;0,COUNTIF(I1733,"56*")&gt;0,COUNTIF(J1733,"*56*")&gt;0,COUNTIF(I1733,"68*")&gt;0,COUNTIF(J1733,"*68*")&gt;0,COUNTIF(I1733,"78*")&gt;0,COUNTIF(J1733,"*78*")&gt;0,COUNTIF(I1733,"81*")&gt;0,COUNTIF(J1733,"*81*")&gt;0,COUNTIF(I1733,"82*")&gt;0,COUNTIF(J1733,"*82*")&gt;0,COUNTIF(I1733,"64*")&gt;0,COUNTIF(J1733,"*64*")&gt;0,COUNTIF(I1733,"65*")&gt;0,COUNTIF(J1733,"*65*")&gt;0,COUNTIF(I1733,"66*")&gt;0,COUNTIF(J1733,"*66*")&gt;0,COUNTIF(I1733,"61*")&gt;0,COUNTIF(J1733,"*61*")&gt;0,COUNTIF(I1733,"62*")&gt;0,COUNTIF(J1733,"*62*")&gt;0,COUNTIF(I1733,"63*")&gt;0,COUNTIF(J1733,"*63*")&gt;0,COUNTIF(I1733,"85*")&gt;0,COUNTIF(J1733,"*85*")&gt;0,COUNTIF(I1733,"86*")&gt;0,COUNTIF(J1733,"*86*")&gt;0),"Да","Нет"))</f>
        <v/>
      </c>
      <c r="M1733" s="13">
        <f>IF(OR(G1733="",L1733&lt;&gt;"Да"),"",IF(G1733&lt;=100,"До 100",IF(G1733&lt;=200,"До 200",IF(G1733&lt;=500,"До 500","Отдельное КП"))))</f>
        <v/>
      </c>
      <c r="N1733" s="15">
        <f>IF(OR(G1733="",L1733&lt;&gt;"Да"),"",IF(G1733&lt;=100,33600,IF(G1733&lt;=200,62400,IF(G1733&lt;=500,144000,""))))</f>
        <v/>
      </c>
      <c r="O1733" s="16">
        <f>IF(G1733="","",IF(G1733&lt;=15,"1–15",IF(G1733&lt;=30,"16–30",IF(G1733&lt;=50,"31–50",IF(G1733&lt;=100,"51–100",IF(G1733&lt;=150,"101–150",IF(G1733&lt;=200,"151–200",IF(G1733&lt;=500,"201–500","500+"))))))))</f>
        <v/>
      </c>
      <c r="P1733" s="16" t="inlineStr">
        <is>
          <t>Нет совпадения в предоставленной выгрузке ССЧР</t>
        </is>
      </c>
      <c r="Q1733" s="16" t="n"/>
      <c r="R1733" s="16">
        <f>HYPERLINK("https://checko.ru/search?query=3801001629","Чекко: проверить")</f>
        <v/>
      </c>
      <c r="S1733" t="n">
        <v>0</v>
      </c>
    </row>
    <row r="1734" ht="15" customHeight="1" s="24">
      <c r="A1734" s="13" t="n">
        <v>5000095049</v>
      </c>
      <c r="B1734" s="13" t="inlineStr">
        <is>
          <t>МБОУ "Гимназия №4"</t>
        </is>
      </c>
      <c r="C1734" s="13" t="n">
        <v>711043523</v>
      </c>
      <c r="D1734" s="13" t="n"/>
      <c r="E1734" s="13" t="inlineStr">
        <is>
          <t>Не определён</t>
        </is>
      </c>
      <c r="F1734" s="13" t="inlineStr">
        <is>
          <t>711043523</t>
        </is>
      </c>
      <c r="G1734" s="14" t="n"/>
      <c r="H1734" s="14" t="n"/>
      <c r="I1734" s="14" t="n"/>
      <c r="J1734" s="14" t="n"/>
      <c r="K1734" s="13">
        <f>IF(G1734="","",IF(G1734&gt;=22,"Да","Нет"))</f>
        <v/>
      </c>
      <c r="L1734" s="13">
        <f>IF(OR(I1734="",J1734=""),"Не определено",IF(OR(COUNTIF(I1734,"45*")&gt;0,COUNTIF(J1734,"*45*")&gt;0,COUNTIF(I1734,"46*")&gt;0,COUNTIF(J1734,"*46*")&gt;0,COUNTIF(I1734,"47*")&gt;0,COUNTIF(J1734,"*47*")&gt;0,COUNTIF(I1734,"10*")&gt;0,COUNTIF(J1734,"*10*")&gt;0,COUNTIF(I1734,"11*")&gt;0,COUNTIF(J1734,"*11*")&gt;0,COUNTIF(I1734,"12*")&gt;0,COUNTIF(J1734,"*12*")&gt;0,COUNTIF(I1734,"13*")&gt;0,COUNTIF(J1734,"*13*")&gt;0,COUNTIF(I1734,"14*")&gt;0,COUNTIF(J1734,"*14*")&gt;0,COUNTIF(I1734,"15*")&gt;0,COUNTIF(J1734,"*15*")&gt;0,COUNTIF(I1734,"16*")&gt;0,COUNTIF(J1734,"*16*")&gt;0,COUNTIF(I1734,"17*")&gt;0,COUNTIF(J1734,"*17*")&gt;0,COUNTIF(I1734,"18*")&gt;0,COUNTIF(J1734,"*18*")&gt;0,COUNTIF(I1734,"19*")&gt;0,COUNTIF(J1734,"*19*")&gt;0,COUNTIF(I1734,"20*")&gt;0,COUNTIF(J1734,"*20*")&gt;0,COUNTIF(I1734,"21*")&gt;0,COUNTIF(J1734,"*21*")&gt;0,COUNTIF(I1734,"22*")&gt;0,COUNTIF(J1734,"*22*")&gt;0,COUNTIF(I1734,"23*")&gt;0,COUNTIF(J1734,"*23*")&gt;0,COUNTIF(I1734,"24*")&gt;0,COUNTIF(J1734,"*24*")&gt;0,COUNTIF(I1734,"25*")&gt;0,COUNTIF(J1734,"*25*")&gt;0,COUNTIF(I1734,"26*")&gt;0,COUNTIF(J1734,"*26*")&gt;0,COUNTIF(I1734,"27*")&gt;0,COUNTIF(J1734,"*27*")&gt;0,COUNTIF(I1734,"28*")&gt;0,COUNTIF(J1734,"*28*")&gt;0,COUNTIF(I1734,"29*")&gt;0,COUNTIF(J1734,"*29*")&gt;0,COUNTIF(I1734,"30*")&gt;0,COUNTIF(J1734,"*30*")&gt;0,COUNTIF(I1734,"31*")&gt;0,COUNTIF(J1734,"*31*")&gt;0,COUNTIF(I1734,"32*")&gt;0,COUNTIF(J1734,"*32*")&gt;0,COUNTIF(I1734,"33*")&gt;0,COUNTIF(J1734,"*33*")&gt;0,COUNTIF(I1734,"41*")&gt;0,COUNTIF(J1734,"*41*")&gt;0,COUNTIF(I1734,"42*")&gt;0,COUNTIF(J1734,"*42*")&gt;0,COUNTIF(I1734,"43*")&gt;0,COUNTIF(J1734,"*43*")&gt;0,COUNTIF(I1734,"49*")&gt;0,COUNTIF(J1734,"*49*")&gt;0,COUNTIF(I1734,"52*")&gt;0,COUNTIF(J1734,"*52*")&gt;0,COUNTIF(I1734,"55*")&gt;0,COUNTIF(J1734,"*55*")&gt;0,COUNTIF(I1734,"56*")&gt;0,COUNTIF(J1734,"*56*")&gt;0,COUNTIF(I1734,"68*")&gt;0,COUNTIF(J1734,"*68*")&gt;0,COUNTIF(I1734,"78*")&gt;0,COUNTIF(J1734,"*78*")&gt;0,COUNTIF(I1734,"81*")&gt;0,COUNTIF(J1734,"*81*")&gt;0,COUNTIF(I1734,"82*")&gt;0,COUNTIF(J1734,"*82*")&gt;0,COUNTIF(I1734,"64*")&gt;0,COUNTIF(J1734,"*64*")&gt;0,COUNTIF(I1734,"65*")&gt;0,COUNTIF(J1734,"*65*")&gt;0,COUNTIF(I1734,"66*")&gt;0,COUNTIF(J1734,"*66*")&gt;0,COUNTIF(I1734,"61*")&gt;0,COUNTIF(J1734,"*61*")&gt;0,COUNTIF(I1734,"62*")&gt;0,COUNTIF(J1734,"*62*")&gt;0,COUNTIF(I1734,"63*")&gt;0,COUNTIF(J1734,"*63*")&gt;0,COUNTIF(I1734,"85*")&gt;0,COUNTIF(J1734,"*85*")&gt;0,COUNTIF(I1734,"86*")&gt;0,COUNTIF(J1734,"*86*")&gt;0),"Да","Нет"))</f>
        <v/>
      </c>
      <c r="M1734" s="13">
        <f>IF(OR(G1734="",L1734&lt;&gt;"Да"),"",IF(G1734&lt;=100,"До 100",IF(G1734&lt;=200,"До 200",IF(G1734&lt;=500,"До 500","Отдельное КП"))))</f>
        <v/>
      </c>
      <c r="N1734" s="15">
        <f>IF(OR(G1734="",L1734&lt;&gt;"Да"),"",IF(G1734&lt;=100,33600,IF(G1734&lt;=200,62400,IF(G1734&lt;=500,144000,""))))</f>
        <v/>
      </c>
      <c r="O1734" s="16">
        <f>IF(G1734="","",IF(G1734&lt;=15,"1–15",IF(G1734&lt;=30,"16–30",IF(G1734&lt;=50,"31–50",IF(G1734&lt;=100,"51–100",IF(G1734&lt;=150,"101–150",IF(G1734&lt;=200,"151–200",IF(G1734&lt;=500,"201–500","500+"))))))))</f>
        <v/>
      </c>
      <c r="P1734" s="16" t="inlineStr">
        <is>
          <t>Нет совпадения в предоставленной выгрузке ССЧР</t>
        </is>
      </c>
      <c r="Q1734" s="16" t="n"/>
      <c r="R1734" s="16">
        <f>HYPERLINK("https://checko.ru/search?query=3801001629","Чекко: проверить")</f>
        <v/>
      </c>
      <c r="S1734" t="n">
        <v>0</v>
      </c>
    </row>
    <row r="1735" ht="15" customHeight="1" s="24">
      <c r="A1735" s="13" t="n">
        <v>5000001923</v>
      </c>
      <c r="B1735" s="13" t="inlineStr">
        <is>
          <t>ГОКУ СКШ № 1 Г. УСОЛЬЕ - СИБИРСКОЕ</t>
        </is>
      </c>
      <c r="C1735" s="13" t="n">
        <v>3819009749</v>
      </c>
      <c r="D1735" s="13" t="inlineStr">
        <is>
          <t>3819009749</t>
        </is>
      </c>
      <c r="E1735" s="13" t="inlineStr">
        <is>
          <t>ЮЛ РФ</t>
        </is>
      </c>
      <c r="F1735" s="13" t="n"/>
      <c r="G1735" s="14" t="n"/>
      <c r="H1735" s="14" t="n"/>
      <c r="I1735" s="14" t="n"/>
      <c r="J1735" s="14" t="n"/>
      <c r="K1735" s="53" t="inlineStr"/>
      <c r="L1735" s="53" t="inlineStr">
        <is>
          <t>Не определено</t>
        </is>
      </c>
      <c r="M1735" s="53" t="inlineStr"/>
      <c r="N1735" s="54" t="inlineStr"/>
      <c r="O1735" s="55" t="inlineStr"/>
      <c r="P1735" s="16" t="inlineStr">
        <is>
          <t>Требует обогащения</t>
        </is>
      </c>
      <c r="Q1735" s="16">
        <f>HYPERLINK("https://pb.nalog.ru/search.html?query=3819009749","ФНС: проверить")</f>
        <v/>
      </c>
      <c r="R1735" s="16">
        <f>HYPERLINK("https://checko.ru/search?query=3801001629","Чекко: проверить")</f>
        <v/>
      </c>
      <c r="S1735" t="n">
        <v>1</v>
      </c>
      <c r="T1735" s="35" t="inlineStr">
        <is>
          <t>4 — Не обогащён</t>
        </is>
      </c>
      <c r="U1735" s="35" t="inlineStr">
        <is>
          <t>Нет ОКВЭД/ССЧР</t>
        </is>
      </c>
      <c r="V1735" s="35" t="inlineStr">
        <is>
          <t>Не определено</t>
        </is>
      </c>
      <c r="W1735" s="35" t="inlineStr"/>
      <c r="X1735" s="35" t="inlineStr"/>
    </row>
    <row r="1736" ht="15" customHeight="1" s="24">
      <c r="A1736" s="13" t="n">
        <v>5000001922</v>
      </c>
      <c r="B1736" s="13" t="inlineStr">
        <is>
          <t>Санаторная школа-интернат №4</t>
        </is>
      </c>
      <c r="C1736" s="13" t="n">
        <v>3819009435</v>
      </c>
      <c r="D1736" s="13" t="inlineStr">
        <is>
          <t>3819009435</t>
        </is>
      </c>
      <c r="E1736" s="13" t="inlineStr">
        <is>
          <t>ЮЛ РФ</t>
        </is>
      </c>
      <c r="F1736" s="13" t="n"/>
      <c r="G1736" s="14" t="n"/>
      <c r="H1736" s="14" t="n"/>
      <c r="I1736" s="14" t="n"/>
      <c r="J1736" s="14" t="n"/>
      <c r="K1736" s="53" t="inlineStr"/>
      <c r="L1736" s="53" t="inlineStr">
        <is>
          <t>Не определено</t>
        </is>
      </c>
      <c r="M1736" s="53" t="inlineStr"/>
      <c r="N1736" s="54" t="inlineStr"/>
      <c r="O1736" s="55" t="inlineStr"/>
      <c r="P1736" s="16" t="inlineStr">
        <is>
          <t>Требует обогащения</t>
        </is>
      </c>
      <c r="Q1736" s="16">
        <f>HYPERLINK("https://pb.nalog.ru/search.html?query=3819009435","ФНС: проверить")</f>
        <v/>
      </c>
      <c r="R1736" s="16">
        <f>HYPERLINK("https://checko.ru/search?query=3801001629","Чекко: проверить")</f>
        <v/>
      </c>
      <c r="S1736" t="n">
        <v>1</v>
      </c>
      <c r="T1736" s="35" t="inlineStr">
        <is>
          <t>4 — Не обогащён</t>
        </is>
      </c>
      <c r="U1736" s="35" t="inlineStr">
        <is>
          <t>Нет ОКВЭД/ССЧР</t>
        </is>
      </c>
      <c r="V1736" s="35" t="inlineStr">
        <is>
          <t>Не определено</t>
        </is>
      </c>
      <c r="W1736" s="35" t="inlineStr"/>
      <c r="X1736" s="35" t="inlineStr"/>
    </row>
    <row r="1737" ht="41.25" customHeight="1" s="24">
      <c r="A1737" s="13" t="n">
        <v>5000076946</v>
      </c>
      <c r="B1737" s="13" t="inlineStr">
        <is>
          <t>Государственное казённое учреждение Ульяновской области "Тереньгульское лесничество"</t>
        </is>
      </c>
      <c r="C1737" s="13" t="n">
        <v>7321313833</v>
      </c>
      <c r="D1737" s="13" t="inlineStr">
        <is>
          <t>7321313833</t>
        </is>
      </c>
      <c r="E1737" s="13" t="inlineStr">
        <is>
          <t>ЮЛ РФ</t>
        </is>
      </c>
      <c r="F1737" s="13" t="n"/>
      <c r="G1737" s="14" t="n"/>
      <c r="H1737" s="14" t="n"/>
      <c r="I1737" s="14" t="n"/>
      <c r="J1737" s="14" t="n"/>
      <c r="K1737" s="53" t="inlineStr"/>
      <c r="L1737" s="53" t="inlineStr">
        <is>
          <t>Не определено</t>
        </is>
      </c>
      <c r="M1737" s="53" t="inlineStr"/>
      <c r="N1737" s="54" t="inlineStr"/>
      <c r="O1737" s="55" t="inlineStr"/>
      <c r="P1737" s="16" t="inlineStr">
        <is>
          <t>Требует обогащения</t>
        </is>
      </c>
      <c r="Q1737" s="16">
        <f>HYPERLINK("https://pb.nalog.ru/search.html?query=7321313833","ФНС: проверить")</f>
        <v/>
      </c>
      <c r="R1737" s="16">
        <f>HYPERLINK("https://checko.ru/search?query=3801001629","Чекко: проверить")</f>
        <v/>
      </c>
      <c r="S1737" t="n">
        <v>1</v>
      </c>
      <c r="T1737" s="35" t="inlineStr">
        <is>
          <t>4 — Не обогащён</t>
        </is>
      </c>
      <c r="U1737" s="35" t="inlineStr">
        <is>
          <t>Нет ОКВЭД/ССЧР</t>
        </is>
      </c>
      <c r="V1737" s="35" t="inlineStr">
        <is>
          <t>Не определено</t>
        </is>
      </c>
      <c r="W1737" s="35" t="inlineStr"/>
      <c r="X1737" s="35" t="inlineStr"/>
    </row>
    <row r="1738" ht="15" customHeight="1" s="24">
      <c r="A1738" s="13" t="n">
        <v>5000076965</v>
      </c>
      <c r="B1738" s="13" t="inlineStr">
        <is>
          <t>Управление ЗАГС Ульяновской области</t>
        </is>
      </c>
      <c r="C1738" s="13" t="n">
        <v>7325076044</v>
      </c>
      <c r="D1738" s="13" t="inlineStr">
        <is>
          <t>7325076044</t>
        </is>
      </c>
      <c r="E1738" s="13" t="inlineStr">
        <is>
          <t>ЮЛ РФ</t>
        </is>
      </c>
      <c r="F1738" s="13" t="n"/>
      <c r="G1738" s="14" t="n"/>
      <c r="H1738" s="14" t="n"/>
      <c r="I1738" s="14" t="n"/>
      <c r="J1738" s="14" t="n"/>
      <c r="K1738" s="53" t="inlineStr"/>
      <c r="L1738" s="53" t="inlineStr">
        <is>
          <t>Не определено</t>
        </is>
      </c>
      <c r="M1738" s="53" t="inlineStr"/>
      <c r="N1738" s="54" t="inlineStr"/>
      <c r="O1738" s="55" t="inlineStr"/>
      <c r="P1738" s="16" t="inlineStr">
        <is>
          <t>Требует обогащения</t>
        </is>
      </c>
      <c r="Q1738" s="16">
        <f>HYPERLINK("https://pb.nalog.ru/search.html?query=7325076044","ФНС: проверить")</f>
        <v/>
      </c>
      <c r="R1738" s="16">
        <f>HYPERLINK("https://checko.ru/search?query=3801001629","Чекко: проверить")</f>
        <v/>
      </c>
      <c r="S1738" t="n">
        <v>1</v>
      </c>
      <c r="T1738" s="35" t="inlineStr">
        <is>
          <t>4 — Не обогащён</t>
        </is>
      </c>
      <c r="U1738" s="35" t="inlineStr">
        <is>
          <t>Нет ОКВЭД/ССЧР</t>
        </is>
      </c>
      <c r="V1738" s="35" t="inlineStr">
        <is>
          <t>Не определено</t>
        </is>
      </c>
      <c r="W1738" s="35" t="inlineStr"/>
      <c r="X1738" s="35" t="inlineStr"/>
    </row>
    <row r="1739" ht="27.75" customHeight="1" s="24">
      <c r="A1739" s="13" t="n">
        <v>5000001432</v>
      </c>
      <c r="B1739" s="13" t="inlineStr">
        <is>
          <t>ГАУК Иркутский областной Театр юного зрителя им. А. Вампилова</t>
        </is>
      </c>
      <c r="C1739" s="13" t="n">
        <v>3808013045</v>
      </c>
      <c r="D1739" s="13" t="inlineStr">
        <is>
          <t>3808013045</t>
        </is>
      </c>
      <c r="E1739" s="13" t="inlineStr">
        <is>
          <t>ЮЛ РФ</t>
        </is>
      </c>
      <c r="F1739" s="13" t="n"/>
      <c r="G1739" s="14" t="n"/>
      <c r="H1739" s="14" t="n"/>
      <c r="I1739" s="14" t="n"/>
      <c r="J1739" s="14" t="n"/>
      <c r="K1739" s="53" t="inlineStr"/>
      <c r="L1739" s="53" t="inlineStr">
        <is>
          <t>Не определено</t>
        </is>
      </c>
      <c r="M1739" s="53" t="inlineStr"/>
      <c r="N1739" s="54" t="inlineStr"/>
      <c r="O1739" s="55" t="inlineStr"/>
      <c r="P1739" s="16" t="inlineStr">
        <is>
          <t>Требует обогащения</t>
        </is>
      </c>
      <c r="Q1739" s="16">
        <f>HYPERLINK("https://pb.nalog.ru/search.html?query=3808013045","ФНС: проверить")</f>
        <v/>
      </c>
      <c r="R1739" s="16">
        <f>HYPERLINK("https://checko.ru/search?query=3801001629","Чекко: проверить")</f>
        <v/>
      </c>
      <c r="S1739" t="n">
        <v>1</v>
      </c>
      <c r="T1739" s="35" t="inlineStr">
        <is>
          <t>4 — Не обогащён</t>
        </is>
      </c>
      <c r="U1739" s="35" t="inlineStr">
        <is>
          <t>Нет ОКВЭД/ССЧР</t>
        </is>
      </c>
      <c r="V1739" s="35" t="inlineStr">
        <is>
          <t>Не определено</t>
        </is>
      </c>
      <c r="W1739" s="35" t="inlineStr"/>
      <c r="X1739" s="35" t="inlineStr"/>
    </row>
    <row r="1740" ht="15" customHeight="1" s="24">
      <c r="A1740" s="13" t="n">
        <v>5000095155</v>
      </c>
      <c r="B1740" s="13" t="inlineStr">
        <is>
          <t>Администрация с.Кенже</t>
        </is>
      </c>
      <c r="C1740" s="13" t="n">
        <v>721014176</v>
      </c>
      <c r="D1740" s="13" t="n"/>
      <c r="E1740" s="13" t="inlineStr">
        <is>
          <t>Не определён</t>
        </is>
      </c>
      <c r="F1740" s="13" t="inlineStr">
        <is>
          <t>721014176</t>
        </is>
      </c>
      <c r="G1740" s="14" t="n"/>
      <c r="H1740" s="14" t="n"/>
      <c r="I1740" s="14" t="n"/>
      <c r="J1740" s="14" t="n"/>
      <c r="K1740" s="13">
        <f>IF(G1740="","",IF(G1740&gt;=22,"Да","Нет"))</f>
        <v/>
      </c>
      <c r="L1740" s="13">
        <f>IF(OR(I1740="",J1740=""),"Не определено",IF(OR(COUNTIF(I1740,"45*")&gt;0,COUNTIF(J1740,"*45*")&gt;0,COUNTIF(I1740,"46*")&gt;0,COUNTIF(J1740,"*46*")&gt;0,COUNTIF(I1740,"47*")&gt;0,COUNTIF(J1740,"*47*")&gt;0,COUNTIF(I1740,"10*")&gt;0,COUNTIF(J1740,"*10*")&gt;0,COUNTIF(I1740,"11*")&gt;0,COUNTIF(J1740,"*11*")&gt;0,COUNTIF(I1740,"12*")&gt;0,COUNTIF(J1740,"*12*")&gt;0,COUNTIF(I1740,"13*")&gt;0,COUNTIF(J1740,"*13*")&gt;0,COUNTIF(I1740,"14*")&gt;0,COUNTIF(J1740,"*14*")&gt;0,COUNTIF(I1740,"15*")&gt;0,COUNTIF(J1740,"*15*")&gt;0,COUNTIF(I1740,"16*")&gt;0,COUNTIF(J1740,"*16*")&gt;0,COUNTIF(I1740,"17*")&gt;0,COUNTIF(J1740,"*17*")&gt;0,COUNTIF(I1740,"18*")&gt;0,COUNTIF(J1740,"*18*")&gt;0,COUNTIF(I1740,"19*")&gt;0,COUNTIF(J1740,"*19*")&gt;0,COUNTIF(I1740,"20*")&gt;0,COUNTIF(J1740,"*20*")&gt;0,COUNTIF(I1740,"21*")&gt;0,COUNTIF(J1740,"*21*")&gt;0,COUNTIF(I1740,"22*")&gt;0,COUNTIF(J1740,"*22*")&gt;0,COUNTIF(I1740,"23*")&gt;0,COUNTIF(J1740,"*23*")&gt;0,COUNTIF(I1740,"24*")&gt;0,COUNTIF(J1740,"*24*")&gt;0,COUNTIF(I1740,"25*")&gt;0,COUNTIF(J1740,"*25*")&gt;0,COUNTIF(I1740,"26*")&gt;0,COUNTIF(J1740,"*26*")&gt;0,COUNTIF(I1740,"27*")&gt;0,COUNTIF(J1740,"*27*")&gt;0,COUNTIF(I1740,"28*")&gt;0,COUNTIF(J1740,"*28*")&gt;0,COUNTIF(I1740,"29*")&gt;0,COUNTIF(J1740,"*29*")&gt;0,COUNTIF(I1740,"30*")&gt;0,COUNTIF(J1740,"*30*")&gt;0,COUNTIF(I1740,"31*")&gt;0,COUNTIF(J1740,"*31*")&gt;0,COUNTIF(I1740,"32*")&gt;0,COUNTIF(J1740,"*32*")&gt;0,COUNTIF(I1740,"33*")&gt;0,COUNTIF(J1740,"*33*")&gt;0,COUNTIF(I1740,"41*")&gt;0,COUNTIF(J1740,"*41*")&gt;0,COUNTIF(I1740,"42*")&gt;0,COUNTIF(J1740,"*42*")&gt;0,COUNTIF(I1740,"43*")&gt;0,COUNTIF(J1740,"*43*")&gt;0,COUNTIF(I1740,"49*")&gt;0,COUNTIF(J1740,"*49*")&gt;0,COUNTIF(I1740,"52*")&gt;0,COUNTIF(J1740,"*52*")&gt;0,COUNTIF(I1740,"55*")&gt;0,COUNTIF(J1740,"*55*")&gt;0,COUNTIF(I1740,"56*")&gt;0,COUNTIF(J1740,"*56*")&gt;0,COUNTIF(I1740,"68*")&gt;0,COUNTIF(J1740,"*68*")&gt;0,COUNTIF(I1740,"78*")&gt;0,COUNTIF(J1740,"*78*")&gt;0,COUNTIF(I1740,"81*")&gt;0,COUNTIF(J1740,"*81*")&gt;0,COUNTIF(I1740,"82*")&gt;0,COUNTIF(J1740,"*82*")&gt;0,COUNTIF(I1740,"64*")&gt;0,COUNTIF(J1740,"*64*")&gt;0,COUNTIF(I1740,"65*")&gt;0,COUNTIF(J1740,"*65*")&gt;0,COUNTIF(I1740,"66*")&gt;0,COUNTIF(J1740,"*66*")&gt;0,COUNTIF(I1740,"61*")&gt;0,COUNTIF(J1740,"*61*")&gt;0,COUNTIF(I1740,"62*")&gt;0,COUNTIF(J1740,"*62*")&gt;0,COUNTIF(I1740,"63*")&gt;0,COUNTIF(J1740,"*63*")&gt;0,COUNTIF(I1740,"85*")&gt;0,COUNTIF(J1740,"*85*")&gt;0,COUNTIF(I1740,"86*")&gt;0,COUNTIF(J1740,"*86*")&gt;0),"Да","Нет"))</f>
        <v/>
      </c>
      <c r="M1740" s="13">
        <f>IF(OR(G1740="",L1740&lt;&gt;"Да"),"",IF(G1740&lt;=100,"До 100",IF(G1740&lt;=200,"До 200",IF(G1740&lt;=500,"До 500","Отдельное КП"))))</f>
        <v/>
      </c>
      <c r="N1740" s="15">
        <f>IF(OR(G1740="",L1740&lt;&gt;"Да"),"",IF(G1740&lt;=100,33600,IF(G1740&lt;=200,62400,IF(G1740&lt;=500,144000,""))))</f>
        <v/>
      </c>
      <c r="O1740" s="16">
        <f>IF(G1740="","",IF(G1740&lt;=15,"1–15",IF(G1740&lt;=30,"16–30",IF(G1740&lt;=50,"31–50",IF(G1740&lt;=100,"51–100",IF(G1740&lt;=150,"101–150",IF(G1740&lt;=200,"151–200",IF(G1740&lt;=500,"201–500","500+"))))))))</f>
        <v/>
      </c>
      <c r="P1740" s="16" t="inlineStr">
        <is>
          <t>Нет совпадения в предоставленной выгрузке ССЧР</t>
        </is>
      </c>
      <c r="Q1740" s="16" t="n"/>
      <c r="R1740" s="16">
        <f>HYPERLINK("https://checko.ru/search?query=3801001629","Чекко: проверить")</f>
        <v/>
      </c>
      <c r="S1740" t="n">
        <v>0</v>
      </c>
    </row>
    <row r="1741" ht="15" customHeight="1" s="24">
      <c r="A1741" s="13" t="n">
        <v>5000095225</v>
      </c>
      <c r="B1741" s="13" t="inlineStr">
        <is>
          <t>Министерство здравоохранения КБР</t>
        </is>
      </c>
      <c r="C1741" s="13" t="n">
        <v>725011440</v>
      </c>
      <c r="D1741" s="13" t="n"/>
      <c r="E1741" s="13" t="inlineStr">
        <is>
          <t>Не определён</t>
        </is>
      </c>
      <c r="F1741" s="13" t="inlineStr">
        <is>
          <t>725011440</t>
        </is>
      </c>
      <c r="G1741" s="14" t="n"/>
      <c r="H1741" s="14" t="n"/>
      <c r="I1741" s="14" t="n"/>
      <c r="J1741" s="14" t="n"/>
      <c r="K1741" s="13">
        <f>IF(G1741="","",IF(G1741&gt;=22,"Да","Нет"))</f>
        <v/>
      </c>
      <c r="L1741" s="13">
        <f>IF(OR(I1741="",J1741=""),"Не определено",IF(OR(COUNTIF(I1741,"45*")&gt;0,COUNTIF(J1741,"*45*")&gt;0,COUNTIF(I1741,"46*")&gt;0,COUNTIF(J1741,"*46*")&gt;0,COUNTIF(I1741,"47*")&gt;0,COUNTIF(J1741,"*47*")&gt;0,COUNTIF(I1741,"10*")&gt;0,COUNTIF(J1741,"*10*")&gt;0,COUNTIF(I1741,"11*")&gt;0,COUNTIF(J1741,"*11*")&gt;0,COUNTIF(I1741,"12*")&gt;0,COUNTIF(J1741,"*12*")&gt;0,COUNTIF(I1741,"13*")&gt;0,COUNTIF(J1741,"*13*")&gt;0,COUNTIF(I1741,"14*")&gt;0,COUNTIF(J1741,"*14*")&gt;0,COUNTIF(I1741,"15*")&gt;0,COUNTIF(J1741,"*15*")&gt;0,COUNTIF(I1741,"16*")&gt;0,COUNTIF(J1741,"*16*")&gt;0,COUNTIF(I1741,"17*")&gt;0,COUNTIF(J1741,"*17*")&gt;0,COUNTIF(I1741,"18*")&gt;0,COUNTIF(J1741,"*18*")&gt;0,COUNTIF(I1741,"19*")&gt;0,COUNTIF(J1741,"*19*")&gt;0,COUNTIF(I1741,"20*")&gt;0,COUNTIF(J1741,"*20*")&gt;0,COUNTIF(I1741,"21*")&gt;0,COUNTIF(J1741,"*21*")&gt;0,COUNTIF(I1741,"22*")&gt;0,COUNTIF(J1741,"*22*")&gt;0,COUNTIF(I1741,"23*")&gt;0,COUNTIF(J1741,"*23*")&gt;0,COUNTIF(I1741,"24*")&gt;0,COUNTIF(J1741,"*24*")&gt;0,COUNTIF(I1741,"25*")&gt;0,COUNTIF(J1741,"*25*")&gt;0,COUNTIF(I1741,"26*")&gt;0,COUNTIF(J1741,"*26*")&gt;0,COUNTIF(I1741,"27*")&gt;0,COUNTIF(J1741,"*27*")&gt;0,COUNTIF(I1741,"28*")&gt;0,COUNTIF(J1741,"*28*")&gt;0,COUNTIF(I1741,"29*")&gt;0,COUNTIF(J1741,"*29*")&gt;0,COUNTIF(I1741,"30*")&gt;0,COUNTIF(J1741,"*30*")&gt;0,COUNTIF(I1741,"31*")&gt;0,COUNTIF(J1741,"*31*")&gt;0,COUNTIF(I1741,"32*")&gt;0,COUNTIF(J1741,"*32*")&gt;0,COUNTIF(I1741,"33*")&gt;0,COUNTIF(J1741,"*33*")&gt;0,COUNTIF(I1741,"41*")&gt;0,COUNTIF(J1741,"*41*")&gt;0,COUNTIF(I1741,"42*")&gt;0,COUNTIF(J1741,"*42*")&gt;0,COUNTIF(I1741,"43*")&gt;0,COUNTIF(J1741,"*43*")&gt;0,COUNTIF(I1741,"49*")&gt;0,COUNTIF(J1741,"*49*")&gt;0,COUNTIF(I1741,"52*")&gt;0,COUNTIF(J1741,"*52*")&gt;0,COUNTIF(I1741,"55*")&gt;0,COUNTIF(J1741,"*55*")&gt;0,COUNTIF(I1741,"56*")&gt;0,COUNTIF(J1741,"*56*")&gt;0,COUNTIF(I1741,"68*")&gt;0,COUNTIF(J1741,"*68*")&gt;0,COUNTIF(I1741,"78*")&gt;0,COUNTIF(J1741,"*78*")&gt;0,COUNTIF(I1741,"81*")&gt;0,COUNTIF(J1741,"*81*")&gt;0,COUNTIF(I1741,"82*")&gt;0,COUNTIF(J1741,"*82*")&gt;0,COUNTIF(I1741,"64*")&gt;0,COUNTIF(J1741,"*64*")&gt;0,COUNTIF(I1741,"65*")&gt;0,COUNTIF(J1741,"*65*")&gt;0,COUNTIF(I1741,"66*")&gt;0,COUNTIF(J1741,"*66*")&gt;0,COUNTIF(I1741,"61*")&gt;0,COUNTIF(J1741,"*61*")&gt;0,COUNTIF(I1741,"62*")&gt;0,COUNTIF(J1741,"*62*")&gt;0,COUNTIF(I1741,"63*")&gt;0,COUNTIF(J1741,"*63*")&gt;0,COUNTIF(I1741,"85*")&gt;0,COUNTIF(J1741,"*85*")&gt;0,COUNTIF(I1741,"86*")&gt;0,COUNTIF(J1741,"*86*")&gt;0),"Да","Нет"))</f>
        <v/>
      </c>
      <c r="M1741" s="13">
        <f>IF(OR(G1741="",L1741&lt;&gt;"Да"),"",IF(G1741&lt;=100,"До 100",IF(G1741&lt;=200,"До 200",IF(G1741&lt;=500,"До 500","Отдельное КП"))))</f>
        <v/>
      </c>
      <c r="N1741" s="15">
        <f>IF(OR(G1741="",L1741&lt;&gt;"Да"),"",IF(G1741&lt;=100,33600,IF(G1741&lt;=200,62400,IF(G1741&lt;=500,144000,""))))</f>
        <v/>
      </c>
      <c r="O1741" s="16">
        <f>IF(G1741="","",IF(G1741&lt;=15,"1–15",IF(G1741&lt;=30,"16–30",IF(G1741&lt;=50,"31–50",IF(G1741&lt;=100,"51–100",IF(G1741&lt;=150,"101–150",IF(G1741&lt;=200,"151–200",IF(G1741&lt;=500,"201–500","500+"))))))))</f>
        <v/>
      </c>
      <c r="P1741" s="16" t="inlineStr">
        <is>
          <t>Нет совпадения в предоставленной выгрузке ССЧР</t>
        </is>
      </c>
      <c r="Q1741" s="16" t="n"/>
      <c r="R1741" s="16">
        <f>HYPERLINK("https://checko.ru/search?query=3801001629","Чекко: проверить")</f>
        <v/>
      </c>
      <c r="S1741" t="n">
        <v>0</v>
      </c>
    </row>
    <row r="1742" ht="27.75" customHeight="1" s="24">
      <c r="A1742" s="13" t="n">
        <v>5000095184</v>
      </c>
      <c r="B1742" s="13" t="inlineStr">
        <is>
          <t>ГБУЗ "Центральная районная больница" г.о. Баксан и Баксанского муниципального района</t>
        </is>
      </c>
      <c r="C1742" s="13" t="n">
        <v>722001853</v>
      </c>
      <c r="D1742" s="13" t="n"/>
      <c r="E1742" s="13" t="inlineStr">
        <is>
          <t>Не определён</t>
        </is>
      </c>
      <c r="F1742" s="13" t="inlineStr">
        <is>
          <t>722001853</t>
        </is>
      </c>
      <c r="G1742" s="14" t="n"/>
      <c r="H1742" s="14" t="n"/>
      <c r="I1742" s="14" t="n"/>
      <c r="J1742" s="14" t="n"/>
      <c r="K1742" s="13">
        <f>IF(G1742="","",IF(G1742&gt;=22,"Да","Нет"))</f>
        <v/>
      </c>
      <c r="L1742" s="13">
        <f>IF(OR(I1742="",J1742=""),"Не определено",IF(OR(COUNTIF(I1742,"45*")&gt;0,COUNTIF(J1742,"*45*")&gt;0,COUNTIF(I1742,"46*")&gt;0,COUNTIF(J1742,"*46*")&gt;0,COUNTIF(I1742,"47*")&gt;0,COUNTIF(J1742,"*47*")&gt;0,COUNTIF(I1742,"10*")&gt;0,COUNTIF(J1742,"*10*")&gt;0,COUNTIF(I1742,"11*")&gt;0,COUNTIF(J1742,"*11*")&gt;0,COUNTIF(I1742,"12*")&gt;0,COUNTIF(J1742,"*12*")&gt;0,COUNTIF(I1742,"13*")&gt;0,COUNTIF(J1742,"*13*")&gt;0,COUNTIF(I1742,"14*")&gt;0,COUNTIF(J1742,"*14*")&gt;0,COUNTIF(I1742,"15*")&gt;0,COUNTIF(J1742,"*15*")&gt;0,COUNTIF(I1742,"16*")&gt;0,COUNTIF(J1742,"*16*")&gt;0,COUNTIF(I1742,"17*")&gt;0,COUNTIF(J1742,"*17*")&gt;0,COUNTIF(I1742,"18*")&gt;0,COUNTIF(J1742,"*18*")&gt;0,COUNTIF(I1742,"19*")&gt;0,COUNTIF(J1742,"*19*")&gt;0,COUNTIF(I1742,"20*")&gt;0,COUNTIF(J1742,"*20*")&gt;0,COUNTIF(I1742,"21*")&gt;0,COUNTIF(J1742,"*21*")&gt;0,COUNTIF(I1742,"22*")&gt;0,COUNTIF(J1742,"*22*")&gt;0,COUNTIF(I1742,"23*")&gt;0,COUNTIF(J1742,"*23*")&gt;0,COUNTIF(I1742,"24*")&gt;0,COUNTIF(J1742,"*24*")&gt;0,COUNTIF(I1742,"25*")&gt;0,COUNTIF(J1742,"*25*")&gt;0,COUNTIF(I1742,"26*")&gt;0,COUNTIF(J1742,"*26*")&gt;0,COUNTIF(I1742,"27*")&gt;0,COUNTIF(J1742,"*27*")&gt;0,COUNTIF(I1742,"28*")&gt;0,COUNTIF(J1742,"*28*")&gt;0,COUNTIF(I1742,"29*")&gt;0,COUNTIF(J1742,"*29*")&gt;0,COUNTIF(I1742,"30*")&gt;0,COUNTIF(J1742,"*30*")&gt;0,COUNTIF(I1742,"31*")&gt;0,COUNTIF(J1742,"*31*")&gt;0,COUNTIF(I1742,"32*")&gt;0,COUNTIF(J1742,"*32*")&gt;0,COUNTIF(I1742,"33*")&gt;0,COUNTIF(J1742,"*33*")&gt;0,COUNTIF(I1742,"41*")&gt;0,COUNTIF(J1742,"*41*")&gt;0,COUNTIF(I1742,"42*")&gt;0,COUNTIF(J1742,"*42*")&gt;0,COUNTIF(I1742,"43*")&gt;0,COUNTIF(J1742,"*43*")&gt;0,COUNTIF(I1742,"49*")&gt;0,COUNTIF(J1742,"*49*")&gt;0,COUNTIF(I1742,"52*")&gt;0,COUNTIF(J1742,"*52*")&gt;0,COUNTIF(I1742,"55*")&gt;0,COUNTIF(J1742,"*55*")&gt;0,COUNTIF(I1742,"56*")&gt;0,COUNTIF(J1742,"*56*")&gt;0,COUNTIF(I1742,"68*")&gt;0,COUNTIF(J1742,"*68*")&gt;0,COUNTIF(I1742,"78*")&gt;0,COUNTIF(J1742,"*78*")&gt;0,COUNTIF(I1742,"81*")&gt;0,COUNTIF(J1742,"*81*")&gt;0,COUNTIF(I1742,"82*")&gt;0,COUNTIF(J1742,"*82*")&gt;0,COUNTIF(I1742,"64*")&gt;0,COUNTIF(J1742,"*64*")&gt;0,COUNTIF(I1742,"65*")&gt;0,COUNTIF(J1742,"*65*")&gt;0,COUNTIF(I1742,"66*")&gt;0,COUNTIF(J1742,"*66*")&gt;0,COUNTIF(I1742,"61*")&gt;0,COUNTIF(J1742,"*61*")&gt;0,COUNTIF(I1742,"62*")&gt;0,COUNTIF(J1742,"*62*")&gt;0,COUNTIF(I1742,"63*")&gt;0,COUNTIF(J1742,"*63*")&gt;0,COUNTIF(I1742,"85*")&gt;0,COUNTIF(J1742,"*85*")&gt;0,COUNTIF(I1742,"86*")&gt;0,COUNTIF(J1742,"*86*")&gt;0),"Да","Нет"))</f>
        <v/>
      </c>
      <c r="M1742" s="13">
        <f>IF(OR(G1742="",L1742&lt;&gt;"Да"),"",IF(G1742&lt;=100,"До 100",IF(G1742&lt;=200,"До 200",IF(G1742&lt;=500,"До 500","Отдельное КП"))))</f>
        <v/>
      </c>
      <c r="N1742" s="15">
        <f>IF(OR(G1742="",L1742&lt;&gt;"Да"),"",IF(G1742&lt;=100,33600,IF(G1742&lt;=200,62400,IF(G1742&lt;=500,144000,""))))</f>
        <v/>
      </c>
      <c r="O1742" s="16">
        <f>IF(G1742="","",IF(G1742&lt;=15,"1–15",IF(G1742&lt;=30,"16–30",IF(G1742&lt;=50,"31–50",IF(G1742&lt;=100,"51–100",IF(G1742&lt;=150,"101–150",IF(G1742&lt;=200,"151–200",IF(G1742&lt;=500,"201–500","500+"))))))))</f>
        <v/>
      </c>
      <c r="P1742" s="16" t="inlineStr">
        <is>
          <t>Нет совпадения в предоставленной выгрузке ССЧР</t>
        </is>
      </c>
      <c r="Q1742" s="16" t="n"/>
      <c r="R1742" s="16">
        <f>HYPERLINK("https://checko.ru/search?query=3801001629","Чекко: проверить")</f>
        <v/>
      </c>
      <c r="S1742" t="n">
        <v>0</v>
      </c>
    </row>
    <row r="1743" ht="41.25" customHeight="1" s="24">
      <c r="A1743" s="13" t="n">
        <v>5000095084</v>
      </c>
      <c r="B1743" s="13" t="inlineStr">
        <is>
          <t>ГКУЗ "Медицинский  информационно-аналитический центр" Министерства здравоохранения КБР</t>
        </is>
      </c>
      <c r="C1743" s="13" t="n">
        <v>714006720</v>
      </c>
      <c r="D1743" s="13" t="n"/>
      <c r="E1743" s="13" t="inlineStr">
        <is>
          <t>Не определён</t>
        </is>
      </c>
      <c r="F1743" s="13" t="inlineStr">
        <is>
          <t>714006720</t>
        </is>
      </c>
      <c r="G1743" s="14" t="n"/>
      <c r="H1743" s="14" t="n"/>
      <c r="I1743" s="14" t="n"/>
      <c r="J1743" s="14" t="n"/>
      <c r="K1743" s="13">
        <f>IF(G1743="","",IF(G1743&gt;=22,"Да","Нет"))</f>
        <v/>
      </c>
      <c r="L1743" s="13">
        <f>IF(OR(I1743="",J1743=""),"Не определено",IF(OR(COUNTIF(I1743,"45*")&gt;0,COUNTIF(J1743,"*45*")&gt;0,COUNTIF(I1743,"46*")&gt;0,COUNTIF(J1743,"*46*")&gt;0,COUNTIF(I1743,"47*")&gt;0,COUNTIF(J1743,"*47*")&gt;0,COUNTIF(I1743,"10*")&gt;0,COUNTIF(J1743,"*10*")&gt;0,COUNTIF(I1743,"11*")&gt;0,COUNTIF(J1743,"*11*")&gt;0,COUNTIF(I1743,"12*")&gt;0,COUNTIF(J1743,"*12*")&gt;0,COUNTIF(I1743,"13*")&gt;0,COUNTIF(J1743,"*13*")&gt;0,COUNTIF(I1743,"14*")&gt;0,COUNTIF(J1743,"*14*")&gt;0,COUNTIF(I1743,"15*")&gt;0,COUNTIF(J1743,"*15*")&gt;0,COUNTIF(I1743,"16*")&gt;0,COUNTIF(J1743,"*16*")&gt;0,COUNTIF(I1743,"17*")&gt;0,COUNTIF(J1743,"*17*")&gt;0,COUNTIF(I1743,"18*")&gt;0,COUNTIF(J1743,"*18*")&gt;0,COUNTIF(I1743,"19*")&gt;0,COUNTIF(J1743,"*19*")&gt;0,COUNTIF(I1743,"20*")&gt;0,COUNTIF(J1743,"*20*")&gt;0,COUNTIF(I1743,"21*")&gt;0,COUNTIF(J1743,"*21*")&gt;0,COUNTIF(I1743,"22*")&gt;0,COUNTIF(J1743,"*22*")&gt;0,COUNTIF(I1743,"23*")&gt;0,COUNTIF(J1743,"*23*")&gt;0,COUNTIF(I1743,"24*")&gt;0,COUNTIF(J1743,"*24*")&gt;0,COUNTIF(I1743,"25*")&gt;0,COUNTIF(J1743,"*25*")&gt;0,COUNTIF(I1743,"26*")&gt;0,COUNTIF(J1743,"*26*")&gt;0,COUNTIF(I1743,"27*")&gt;0,COUNTIF(J1743,"*27*")&gt;0,COUNTIF(I1743,"28*")&gt;0,COUNTIF(J1743,"*28*")&gt;0,COUNTIF(I1743,"29*")&gt;0,COUNTIF(J1743,"*29*")&gt;0,COUNTIF(I1743,"30*")&gt;0,COUNTIF(J1743,"*30*")&gt;0,COUNTIF(I1743,"31*")&gt;0,COUNTIF(J1743,"*31*")&gt;0,COUNTIF(I1743,"32*")&gt;0,COUNTIF(J1743,"*32*")&gt;0,COUNTIF(I1743,"33*")&gt;0,COUNTIF(J1743,"*33*")&gt;0,COUNTIF(I1743,"41*")&gt;0,COUNTIF(J1743,"*41*")&gt;0,COUNTIF(I1743,"42*")&gt;0,COUNTIF(J1743,"*42*")&gt;0,COUNTIF(I1743,"43*")&gt;0,COUNTIF(J1743,"*43*")&gt;0,COUNTIF(I1743,"49*")&gt;0,COUNTIF(J1743,"*49*")&gt;0,COUNTIF(I1743,"52*")&gt;0,COUNTIF(J1743,"*52*")&gt;0,COUNTIF(I1743,"55*")&gt;0,COUNTIF(J1743,"*55*")&gt;0,COUNTIF(I1743,"56*")&gt;0,COUNTIF(J1743,"*56*")&gt;0,COUNTIF(I1743,"68*")&gt;0,COUNTIF(J1743,"*68*")&gt;0,COUNTIF(I1743,"78*")&gt;0,COUNTIF(J1743,"*78*")&gt;0,COUNTIF(I1743,"81*")&gt;0,COUNTIF(J1743,"*81*")&gt;0,COUNTIF(I1743,"82*")&gt;0,COUNTIF(J1743,"*82*")&gt;0,COUNTIF(I1743,"64*")&gt;0,COUNTIF(J1743,"*64*")&gt;0,COUNTIF(I1743,"65*")&gt;0,COUNTIF(J1743,"*65*")&gt;0,COUNTIF(I1743,"66*")&gt;0,COUNTIF(J1743,"*66*")&gt;0,COUNTIF(I1743,"61*")&gt;0,COUNTIF(J1743,"*61*")&gt;0,COUNTIF(I1743,"62*")&gt;0,COUNTIF(J1743,"*62*")&gt;0,COUNTIF(I1743,"63*")&gt;0,COUNTIF(J1743,"*63*")&gt;0,COUNTIF(I1743,"85*")&gt;0,COUNTIF(J1743,"*85*")&gt;0,COUNTIF(I1743,"86*")&gt;0,COUNTIF(J1743,"*86*")&gt;0),"Да","Нет"))</f>
        <v/>
      </c>
      <c r="M1743" s="13">
        <f>IF(OR(G1743="",L1743&lt;&gt;"Да"),"",IF(G1743&lt;=100,"До 100",IF(G1743&lt;=200,"До 200",IF(G1743&lt;=500,"До 500","Отдельное КП"))))</f>
        <v/>
      </c>
      <c r="N1743" s="15">
        <f>IF(OR(G1743="",L1743&lt;&gt;"Да"),"",IF(G1743&lt;=100,33600,IF(G1743&lt;=200,62400,IF(G1743&lt;=500,144000,""))))</f>
        <v/>
      </c>
      <c r="O1743" s="16">
        <f>IF(G1743="","",IF(G1743&lt;=15,"1–15",IF(G1743&lt;=30,"16–30",IF(G1743&lt;=50,"31–50",IF(G1743&lt;=100,"51–100",IF(G1743&lt;=150,"101–150",IF(G1743&lt;=200,"151–200",IF(G1743&lt;=500,"201–500","500+"))))))))</f>
        <v/>
      </c>
      <c r="P1743" s="16" t="inlineStr">
        <is>
          <t>Нет совпадения в предоставленной выгрузке ССЧР</t>
        </is>
      </c>
      <c r="Q1743" s="16" t="n"/>
      <c r="R1743" s="16">
        <f>HYPERLINK("https://checko.ru/search?query=3801001629","Чекко: проверить")</f>
        <v/>
      </c>
      <c r="S1743" t="n">
        <v>0</v>
      </c>
    </row>
    <row r="1744" ht="27.75" customHeight="1" s="24">
      <c r="A1744" s="13" t="n">
        <v>5000062524</v>
      </c>
      <c r="B1744" s="13" t="inlineStr">
        <is>
          <t>ОГБОУ СПО Ульяновский профессионально-педагогический колле</t>
        </is>
      </c>
      <c r="C1744" s="13" t="n">
        <v>7327002249</v>
      </c>
      <c r="D1744" s="13" t="inlineStr">
        <is>
          <t>7327002249</t>
        </is>
      </c>
      <c r="E1744" s="13" t="inlineStr">
        <is>
          <t>ЮЛ РФ</t>
        </is>
      </c>
      <c r="F1744" s="13" t="n"/>
      <c r="G1744" s="14" t="n"/>
      <c r="H1744" s="14" t="n"/>
      <c r="I1744" s="14" t="n"/>
      <c r="J1744" s="14" t="n"/>
      <c r="K1744" s="53" t="inlineStr"/>
      <c r="L1744" s="53" t="inlineStr">
        <is>
          <t>Не определено</t>
        </is>
      </c>
      <c r="M1744" s="53" t="inlineStr"/>
      <c r="N1744" s="54" t="inlineStr"/>
      <c r="O1744" s="55" t="inlineStr"/>
      <c r="P1744" s="16" t="inlineStr">
        <is>
          <t>Требует обогащения</t>
        </is>
      </c>
      <c r="Q1744" s="16">
        <f>HYPERLINK("https://pb.nalog.ru/search.html?query=7327002249","ФНС: проверить")</f>
        <v/>
      </c>
      <c r="R1744" s="16">
        <f>HYPERLINK("https://checko.ru/search?query=3801001629","Чекко: проверить")</f>
        <v/>
      </c>
      <c r="S1744" t="n">
        <v>1</v>
      </c>
      <c r="T1744" s="35" t="inlineStr">
        <is>
          <t>4 — Не обогащён</t>
        </is>
      </c>
      <c r="U1744" s="35" t="inlineStr">
        <is>
          <t>Нет ОКВЭД/ССЧР</t>
        </is>
      </c>
      <c r="V1744" s="35" t="inlineStr">
        <is>
          <t>Не определено</t>
        </is>
      </c>
      <c r="W1744" s="35" t="inlineStr"/>
      <c r="X1744" s="35" t="inlineStr"/>
    </row>
    <row r="1745" ht="15" customHeight="1" s="24">
      <c r="A1745" s="13" t="n">
        <v>5000060628</v>
      </c>
      <c r="B1745" s="13" t="inlineStr">
        <is>
          <t>"Парус надежды" рп Кузоватово</t>
        </is>
      </c>
      <c r="C1745" s="13" t="n">
        <v>7313005546</v>
      </c>
      <c r="D1745" s="13" t="inlineStr">
        <is>
          <t>7313005546</t>
        </is>
      </c>
      <c r="E1745" s="13" t="inlineStr">
        <is>
          <t>ЮЛ РФ</t>
        </is>
      </c>
      <c r="F1745" s="13" t="n"/>
      <c r="G1745" s="14" t="n"/>
      <c r="H1745" s="14" t="n"/>
      <c r="I1745" s="14" t="n"/>
      <c r="J1745" s="14" t="n"/>
      <c r="K1745" s="53" t="inlineStr"/>
      <c r="L1745" s="53" t="inlineStr">
        <is>
          <t>Не определено</t>
        </is>
      </c>
      <c r="M1745" s="53" t="inlineStr"/>
      <c r="N1745" s="54" t="inlineStr"/>
      <c r="O1745" s="55" t="inlineStr"/>
      <c r="P1745" s="16" t="inlineStr">
        <is>
          <t>Требует обогащения</t>
        </is>
      </c>
      <c r="Q1745" s="16">
        <f>HYPERLINK("https://pb.nalog.ru/search.html?query=7313005546","ФНС: проверить")</f>
        <v/>
      </c>
      <c r="R1745" s="16">
        <f>HYPERLINK("https://checko.ru/search?query=3801001629","Чекко: проверить")</f>
        <v/>
      </c>
      <c r="S1745" t="n">
        <v>1</v>
      </c>
      <c r="T1745" s="35" t="inlineStr">
        <is>
          <t>4 — Не обогащён</t>
        </is>
      </c>
      <c r="U1745" s="35" t="inlineStr">
        <is>
          <t>Нет ОКВЭД/ССЧР</t>
        </is>
      </c>
      <c r="V1745" s="35" t="inlineStr">
        <is>
          <t>Не определено</t>
        </is>
      </c>
      <c r="W1745" s="35" t="inlineStr"/>
      <c r="X1745" s="35" t="inlineStr"/>
    </row>
    <row r="1746" ht="27.75" customHeight="1" s="24">
      <c r="A1746" s="13" t="n">
        <v>5000106064</v>
      </c>
      <c r="B1746" s="13" t="inlineStr">
        <is>
          <t>Департамент молодежной политики Оренбургской области</t>
        </is>
      </c>
      <c r="C1746" s="13" t="n">
        <v>5610151105</v>
      </c>
      <c r="D1746" s="13" t="inlineStr">
        <is>
          <t>5610151105</t>
        </is>
      </c>
      <c r="E1746" s="13" t="inlineStr">
        <is>
          <t>ЮЛ РФ</t>
        </is>
      </c>
      <c r="F1746" s="13" t="n"/>
      <c r="G1746" s="14" t="n"/>
      <c r="H1746" s="14" t="n"/>
      <c r="I1746" s="14" t="n"/>
      <c r="J1746" s="14" t="n"/>
      <c r="K1746" s="53" t="inlineStr"/>
      <c r="L1746" s="53" t="inlineStr">
        <is>
          <t>Не определено</t>
        </is>
      </c>
      <c r="M1746" s="53" t="inlineStr"/>
      <c r="N1746" s="54" t="inlineStr"/>
      <c r="O1746" s="55" t="inlineStr"/>
      <c r="P1746" s="16" t="inlineStr">
        <is>
          <t>Требует обогащения</t>
        </is>
      </c>
      <c r="Q1746" s="16">
        <f>HYPERLINK("https://pb.nalog.ru/search.html?query=5610151105","ФНС: проверить")</f>
        <v/>
      </c>
      <c r="R1746" s="16">
        <f>HYPERLINK("https://checko.ru/search?query=3801001629","Чекко: проверить")</f>
        <v/>
      </c>
      <c r="S1746" t="n">
        <v>1</v>
      </c>
      <c r="T1746" s="35" t="inlineStr">
        <is>
          <t>4 — Не обогащён</t>
        </is>
      </c>
      <c r="U1746" s="35" t="inlineStr">
        <is>
          <t>Нет ОКВЭД/ССЧР</t>
        </is>
      </c>
      <c r="V1746" s="35" t="inlineStr">
        <is>
          <t>Не определено</t>
        </is>
      </c>
      <c r="W1746" s="35" t="inlineStr"/>
      <c r="X1746" s="35" t="inlineStr"/>
    </row>
    <row r="1747" ht="54.75" customHeight="1" s="24">
      <c r="A1747" s="13" t="n">
        <v>5000101697</v>
      </c>
      <c r="B1747" s="13" t="inlineStr">
        <is>
          <t>Областное государственное бюджетное учреждение «Управление социальной защиты и социального обслуживания населения по Осинскому району»</t>
        </is>
      </c>
      <c r="C1747" s="13" t="n">
        <v>3849098859</v>
      </c>
      <c r="D1747" s="13" t="inlineStr">
        <is>
          <t>3849098859</t>
        </is>
      </c>
      <c r="E1747" s="13" t="inlineStr">
        <is>
          <t>ЮЛ РФ</t>
        </is>
      </c>
      <c r="F1747" s="13" t="n"/>
      <c r="G1747" s="14" t="n"/>
      <c r="H1747" s="14" t="n"/>
      <c r="I1747" s="14" t="n"/>
      <c r="J1747" s="14" t="n"/>
      <c r="K1747" s="53" t="inlineStr"/>
      <c r="L1747" s="53" t="inlineStr">
        <is>
          <t>Не определено</t>
        </is>
      </c>
      <c r="M1747" s="53" t="inlineStr"/>
      <c r="N1747" s="54" t="inlineStr"/>
      <c r="O1747" s="55" t="inlineStr"/>
      <c r="P1747" s="16" t="inlineStr">
        <is>
          <t>Требует обогащения</t>
        </is>
      </c>
      <c r="Q1747" s="16">
        <f>HYPERLINK("https://pb.nalog.ru/search.html?query=3849098859","ФНС: проверить")</f>
        <v/>
      </c>
      <c r="R1747" s="16">
        <f>HYPERLINK("https://checko.ru/search?query=3801001629","Чекко: проверить")</f>
        <v/>
      </c>
      <c r="S1747" t="n">
        <v>1</v>
      </c>
      <c r="T1747" s="35" t="inlineStr">
        <is>
          <t>4 — Не обогащён</t>
        </is>
      </c>
      <c r="U1747" s="35" t="inlineStr">
        <is>
          <t>Нет ОКВЭД/ССЧР</t>
        </is>
      </c>
      <c r="V1747" s="35" t="inlineStr">
        <is>
          <t>Не определено</t>
        </is>
      </c>
      <c r="W1747" s="35" t="inlineStr"/>
      <c r="X1747" s="35" t="inlineStr"/>
    </row>
    <row r="1748" ht="15" customHeight="1" s="24">
      <c r="A1748" s="13" t="n">
        <v>5000008605</v>
      </c>
      <c r="B1748" s="13" t="inlineStr">
        <is>
          <t>УФССП России по Камчатскому краю</t>
        </is>
      </c>
      <c r="C1748" s="13" t="n">
        <v>4101117450</v>
      </c>
      <c r="D1748" s="13" t="inlineStr">
        <is>
          <t>4101117450</t>
        </is>
      </c>
      <c r="E1748" s="13" t="inlineStr">
        <is>
          <t>ЮЛ РФ</t>
        </is>
      </c>
      <c r="F1748" s="13" t="n"/>
      <c r="G1748" s="14" t="n"/>
      <c r="H1748" s="14" t="n"/>
      <c r="I1748" s="14" t="n"/>
      <c r="J1748" s="14" t="n"/>
      <c r="K1748" s="53" t="inlineStr"/>
      <c r="L1748" s="53" t="inlineStr">
        <is>
          <t>Не определено</t>
        </is>
      </c>
      <c r="M1748" s="53" t="inlineStr"/>
      <c r="N1748" s="54" t="inlineStr"/>
      <c r="O1748" s="55" t="inlineStr"/>
      <c r="P1748" s="16" t="inlineStr">
        <is>
          <t>Требует обогащения</t>
        </is>
      </c>
      <c r="Q1748" s="16">
        <f>HYPERLINK("https://pb.nalog.ru/search.html?query=4101117450","ФНС: проверить")</f>
        <v/>
      </c>
      <c r="R1748" s="16">
        <f>HYPERLINK("https://checko.ru/search?query=3801001629","Чекко: проверить")</f>
        <v/>
      </c>
      <c r="S1748" t="n">
        <v>1</v>
      </c>
      <c r="T1748" s="35" t="inlineStr">
        <is>
          <t>4 — Не обогащён</t>
        </is>
      </c>
      <c r="U1748" s="35" t="inlineStr">
        <is>
          <t>Нет ОКВЭД/ССЧР</t>
        </is>
      </c>
      <c r="V1748" s="35" t="inlineStr">
        <is>
          <t>Не определено</t>
        </is>
      </c>
      <c r="W1748" s="35" t="inlineStr"/>
      <c r="X1748" s="35" t="inlineStr"/>
    </row>
    <row r="1749" ht="27.75" customHeight="1" s="24">
      <c r="A1749" s="13" t="n">
        <v>5000002055</v>
      </c>
      <c r="B1749" s="13" t="inlineStr">
        <is>
          <t>ОГБУК "Национальный музей Усть-Ордынского Бурятского округа"</t>
        </is>
      </c>
      <c r="C1749" s="13" t="n">
        <v>8506007566</v>
      </c>
      <c r="D1749" s="13" t="inlineStr">
        <is>
          <t>8506007566</t>
        </is>
      </c>
      <c r="E1749" s="13" t="inlineStr">
        <is>
          <t>ЮЛ РФ</t>
        </is>
      </c>
      <c r="F1749" s="13" t="n"/>
      <c r="G1749" s="14" t="n"/>
      <c r="H1749" s="14" t="n"/>
      <c r="I1749" s="14" t="n"/>
      <c r="J1749" s="14" t="n"/>
      <c r="K1749" s="53" t="inlineStr"/>
      <c r="L1749" s="53" t="inlineStr">
        <is>
          <t>Не определено</t>
        </is>
      </c>
      <c r="M1749" s="53" t="inlineStr"/>
      <c r="N1749" s="54" t="inlineStr"/>
      <c r="O1749" s="55" t="inlineStr"/>
      <c r="P1749" s="16" t="inlineStr">
        <is>
          <t>Требует обогащения</t>
        </is>
      </c>
      <c r="Q1749" s="16">
        <f>HYPERLINK("https://pb.nalog.ru/search.html?query=8506007566","ФНС: проверить")</f>
        <v/>
      </c>
      <c r="R1749" s="16">
        <f>HYPERLINK("https://checko.ru/search?query=3801001629","Чекко: проверить")</f>
        <v/>
      </c>
      <c r="S1749" t="n">
        <v>1</v>
      </c>
      <c r="T1749" s="35" t="inlineStr">
        <is>
          <t>4 — Не обогащён</t>
        </is>
      </c>
      <c r="U1749" s="35" t="inlineStr">
        <is>
          <t>Нет ОКВЭД/ССЧР</t>
        </is>
      </c>
      <c r="V1749" s="35" t="inlineStr">
        <is>
          <t>Не определено</t>
        </is>
      </c>
      <c r="W1749" s="35" t="inlineStr"/>
      <c r="X1749" s="35" t="inlineStr"/>
    </row>
    <row r="1750" ht="41.25" customHeight="1" s="24">
      <c r="A1750" s="13" t="n">
        <v>5000062623</v>
      </c>
      <c r="B1750" s="13" t="inlineStr">
        <is>
          <t>ГУЗ «Ульяновский областной медицинский информационно-аналитический центр» (ГУЗ МИАЦ)</t>
        </is>
      </c>
      <c r="C1750" s="13" t="n">
        <v>7325031357</v>
      </c>
      <c r="D1750" s="13" t="inlineStr">
        <is>
          <t>7325031357</t>
        </is>
      </c>
      <c r="E1750" s="13" t="inlineStr">
        <is>
          <t>ЮЛ РФ</t>
        </is>
      </c>
      <c r="F1750" s="13" t="n"/>
      <c r="G1750" s="14" t="n"/>
      <c r="H1750" s="14" t="n"/>
      <c r="I1750" s="14" t="n"/>
      <c r="J1750" s="14" t="n"/>
      <c r="K1750" s="53" t="inlineStr"/>
      <c r="L1750" s="53" t="inlineStr">
        <is>
          <t>Не определено</t>
        </is>
      </c>
      <c r="M1750" s="53" t="inlineStr"/>
      <c r="N1750" s="54" t="inlineStr"/>
      <c r="O1750" s="55" t="inlineStr"/>
      <c r="P1750" s="16" t="inlineStr">
        <is>
          <t>Требует обогащения</t>
        </is>
      </c>
      <c r="Q1750" s="16">
        <f>HYPERLINK("https://pb.nalog.ru/search.html?query=7325031357","ФНС: проверить")</f>
        <v/>
      </c>
      <c r="R1750" s="16">
        <f>HYPERLINK("https://checko.ru/search?query=3801001629","Чекко: проверить")</f>
        <v/>
      </c>
      <c r="S1750" t="n">
        <v>1</v>
      </c>
      <c r="T1750" s="35" t="inlineStr">
        <is>
          <t>4 — Не обогащён</t>
        </is>
      </c>
      <c r="U1750" s="35" t="inlineStr">
        <is>
          <t>Нет ОКВЭД/ССЧР</t>
        </is>
      </c>
      <c r="V1750" s="35" t="inlineStr">
        <is>
          <t>Не определено</t>
        </is>
      </c>
      <c r="W1750" s="35" t="inlineStr"/>
      <c r="X1750" s="35" t="inlineStr"/>
    </row>
    <row r="1751" ht="15" customHeight="1" s="24">
      <c r="A1751" s="13" t="n">
        <v>5000062640</v>
      </c>
      <c r="B1751" s="13" t="inlineStr">
        <is>
          <t>ГКУЗ «Ульяновский областной «ХОСПИС»</t>
        </is>
      </c>
      <c r="C1751" s="13" t="n">
        <v>7325002290</v>
      </c>
      <c r="D1751" s="13" t="inlineStr">
        <is>
          <t>7325002290</t>
        </is>
      </c>
      <c r="E1751" s="13" t="inlineStr">
        <is>
          <t>ЮЛ РФ</t>
        </is>
      </c>
      <c r="F1751" s="13" t="n"/>
      <c r="G1751" s="14" t="n"/>
      <c r="H1751" s="14" t="n"/>
      <c r="I1751" s="14" t="n"/>
      <c r="J1751" s="14" t="n"/>
      <c r="K1751" s="53" t="inlineStr"/>
      <c r="L1751" s="53" t="inlineStr">
        <is>
          <t>Не определено</t>
        </is>
      </c>
      <c r="M1751" s="53" t="inlineStr"/>
      <c r="N1751" s="54" t="inlineStr"/>
      <c r="O1751" s="55" t="inlineStr"/>
      <c r="P1751" s="16" t="inlineStr">
        <is>
          <t>Требует обогащения</t>
        </is>
      </c>
      <c r="Q1751" s="16">
        <f>HYPERLINK("https://pb.nalog.ru/search.html?query=7325002290","ФНС: проверить")</f>
        <v/>
      </c>
      <c r="R1751" s="16">
        <f>HYPERLINK("https://checko.ru/search?query=3801001629","Чекко: проверить")</f>
        <v/>
      </c>
      <c r="S1751" t="n">
        <v>1</v>
      </c>
      <c r="T1751" s="35" t="inlineStr">
        <is>
          <t>4 — Не обогащён</t>
        </is>
      </c>
      <c r="U1751" s="35" t="inlineStr">
        <is>
          <t>Нет ОКВЭД/ССЧР</t>
        </is>
      </c>
      <c r="V1751" s="35" t="inlineStr">
        <is>
          <t>Не определено</t>
        </is>
      </c>
      <c r="W1751" s="35" t="inlineStr"/>
      <c r="X1751" s="35" t="inlineStr"/>
    </row>
    <row r="1752" ht="27.75" customHeight="1" s="24">
      <c r="A1752" s="13" t="n">
        <v>5000062647</v>
      </c>
      <c r="B1752" s="13" t="inlineStr">
        <is>
          <t>ГБУЗ «Стоматологическая поликлиника города Ульяновска»</t>
        </is>
      </c>
      <c r="C1752" s="13" t="n">
        <v>7325124033</v>
      </c>
      <c r="D1752" s="13" t="inlineStr">
        <is>
          <t>7325124033</t>
        </is>
      </c>
      <c r="E1752" s="13" t="inlineStr">
        <is>
          <t>ЮЛ РФ</t>
        </is>
      </c>
      <c r="F1752" s="13" t="n"/>
      <c r="G1752" s="14" t="n"/>
      <c r="H1752" s="14" t="n"/>
      <c r="I1752" s="14" t="n"/>
      <c r="J1752" s="14" t="n"/>
      <c r="K1752" s="53" t="inlineStr"/>
      <c r="L1752" s="53" t="inlineStr">
        <is>
          <t>Не определено</t>
        </is>
      </c>
      <c r="M1752" s="53" t="inlineStr"/>
      <c r="N1752" s="54" t="inlineStr"/>
      <c r="O1752" s="55" t="inlineStr"/>
      <c r="P1752" s="16" t="inlineStr">
        <is>
          <t>Требует обогащения</t>
        </is>
      </c>
      <c r="Q1752" s="16">
        <f>HYPERLINK("https://pb.nalog.ru/search.html?query=7325124033","ФНС: проверить")</f>
        <v/>
      </c>
      <c r="R1752" s="16">
        <f>HYPERLINK("https://checko.ru/search?query=3801001629","Чекко: проверить")</f>
        <v/>
      </c>
      <c r="S1752" t="n">
        <v>1</v>
      </c>
      <c r="T1752" s="35" t="inlineStr">
        <is>
          <t>4 — Не обогащён</t>
        </is>
      </c>
      <c r="U1752" s="35" t="inlineStr">
        <is>
          <t>Нет ОКВЭД/ССЧР</t>
        </is>
      </c>
      <c r="V1752" s="35" t="inlineStr">
        <is>
          <t>Не определено</t>
        </is>
      </c>
      <c r="W1752" s="35" t="inlineStr"/>
      <c r="X1752" s="35" t="inlineStr"/>
    </row>
    <row r="1753" ht="27.75" customHeight="1" s="24">
      <c r="A1753" s="13" t="n">
        <v>5000094687</v>
      </c>
      <c r="B1753" s="13" t="inlineStr">
        <is>
          <t>МКУ "Отдел ФК и С местной администрации Терского муниципального района КБР"</t>
        </is>
      </c>
      <c r="C1753" s="13" t="n">
        <v>705008640</v>
      </c>
      <c r="D1753" s="13" t="n"/>
      <c r="E1753" s="13" t="inlineStr">
        <is>
          <t>Не определён</t>
        </is>
      </c>
      <c r="F1753" s="13" t="inlineStr">
        <is>
          <t>705008640</t>
        </is>
      </c>
      <c r="G1753" s="14" t="n"/>
      <c r="H1753" s="14" t="n"/>
      <c r="I1753" s="14" t="n"/>
      <c r="J1753" s="14" t="n"/>
      <c r="K1753" s="13">
        <f>IF(G1753="","",IF(G1753&gt;=22,"Да","Нет"))</f>
        <v/>
      </c>
      <c r="L1753" s="13">
        <f>IF(OR(I1753="",J1753=""),"Не определено",IF(OR(COUNTIF(I1753,"45*")&gt;0,COUNTIF(J1753,"*45*")&gt;0,COUNTIF(I1753,"46*")&gt;0,COUNTIF(J1753,"*46*")&gt;0,COUNTIF(I1753,"47*")&gt;0,COUNTIF(J1753,"*47*")&gt;0,COUNTIF(I1753,"10*")&gt;0,COUNTIF(J1753,"*10*")&gt;0,COUNTIF(I1753,"11*")&gt;0,COUNTIF(J1753,"*11*")&gt;0,COUNTIF(I1753,"12*")&gt;0,COUNTIF(J1753,"*12*")&gt;0,COUNTIF(I1753,"13*")&gt;0,COUNTIF(J1753,"*13*")&gt;0,COUNTIF(I1753,"14*")&gt;0,COUNTIF(J1753,"*14*")&gt;0,COUNTIF(I1753,"15*")&gt;0,COUNTIF(J1753,"*15*")&gt;0,COUNTIF(I1753,"16*")&gt;0,COUNTIF(J1753,"*16*")&gt;0,COUNTIF(I1753,"17*")&gt;0,COUNTIF(J1753,"*17*")&gt;0,COUNTIF(I1753,"18*")&gt;0,COUNTIF(J1753,"*18*")&gt;0,COUNTIF(I1753,"19*")&gt;0,COUNTIF(J1753,"*19*")&gt;0,COUNTIF(I1753,"20*")&gt;0,COUNTIF(J1753,"*20*")&gt;0,COUNTIF(I1753,"21*")&gt;0,COUNTIF(J1753,"*21*")&gt;0,COUNTIF(I1753,"22*")&gt;0,COUNTIF(J1753,"*22*")&gt;0,COUNTIF(I1753,"23*")&gt;0,COUNTIF(J1753,"*23*")&gt;0,COUNTIF(I1753,"24*")&gt;0,COUNTIF(J1753,"*24*")&gt;0,COUNTIF(I1753,"25*")&gt;0,COUNTIF(J1753,"*25*")&gt;0,COUNTIF(I1753,"26*")&gt;0,COUNTIF(J1753,"*26*")&gt;0,COUNTIF(I1753,"27*")&gt;0,COUNTIF(J1753,"*27*")&gt;0,COUNTIF(I1753,"28*")&gt;0,COUNTIF(J1753,"*28*")&gt;0,COUNTIF(I1753,"29*")&gt;0,COUNTIF(J1753,"*29*")&gt;0,COUNTIF(I1753,"30*")&gt;0,COUNTIF(J1753,"*30*")&gt;0,COUNTIF(I1753,"31*")&gt;0,COUNTIF(J1753,"*31*")&gt;0,COUNTIF(I1753,"32*")&gt;0,COUNTIF(J1753,"*32*")&gt;0,COUNTIF(I1753,"33*")&gt;0,COUNTIF(J1753,"*33*")&gt;0,COUNTIF(I1753,"41*")&gt;0,COUNTIF(J1753,"*41*")&gt;0,COUNTIF(I1753,"42*")&gt;0,COUNTIF(J1753,"*42*")&gt;0,COUNTIF(I1753,"43*")&gt;0,COUNTIF(J1753,"*43*")&gt;0,COUNTIF(I1753,"49*")&gt;0,COUNTIF(J1753,"*49*")&gt;0,COUNTIF(I1753,"52*")&gt;0,COUNTIF(J1753,"*52*")&gt;0,COUNTIF(I1753,"55*")&gt;0,COUNTIF(J1753,"*55*")&gt;0,COUNTIF(I1753,"56*")&gt;0,COUNTIF(J1753,"*56*")&gt;0,COUNTIF(I1753,"68*")&gt;0,COUNTIF(J1753,"*68*")&gt;0,COUNTIF(I1753,"78*")&gt;0,COUNTIF(J1753,"*78*")&gt;0,COUNTIF(I1753,"81*")&gt;0,COUNTIF(J1753,"*81*")&gt;0,COUNTIF(I1753,"82*")&gt;0,COUNTIF(J1753,"*82*")&gt;0,COUNTIF(I1753,"64*")&gt;0,COUNTIF(J1753,"*64*")&gt;0,COUNTIF(I1753,"65*")&gt;0,COUNTIF(J1753,"*65*")&gt;0,COUNTIF(I1753,"66*")&gt;0,COUNTIF(J1753,"*66*")&gt;0,COUNTIF(I1753,"61*")&gt;0,COUNTIF(J1753,"*61*")&gt;0,COUNTIF(I1753,"62*")&gt;0,COUNTIF(J1753,"*62*")&gt;0,COUNTIF(I1753,"63*")&gt;0,COUNTIF(J1753,"*63*")&gt;0,COUNTIF(I1753,"85*")&gt;0,COUNTIF(J1753,"*85*")&gt;0,COUNTIF(I1753,"86*")&gt;0,COUNTIF(J1753,"*86*")&gt;0),"Да","Нет"))</f>
        <v/>
      </c>
      <c r="M1753" s="13">
        <f>IF(OR(G1753="",L1753&lt;&gt;"Да"),"",IF(G1753&lt;=100,"До 100",IF(G1753&lt;=200,"До 200",IF(G1753&lt;=500,"До 500","Отдельное КП"))))</f>
        <v/>
      </c>
      <c r="N1753" s="15">
        <f>IF(OR(G1753="",L1753&lt;&gt;"Да"),"",IF(G1753&lt;=100,33600,IF(G1753&lt;=200,62400,IF(G1753&lt;=500,144000,""))))</f>
        <v/>
      </c>
      <c r="O1753" s="16">
        <f>IF(G1753="","",IF(G1753&lt;=15,"1–15",IF(G1753&lt;=30,"16–30",IF(G1753&lt;=50,"31–50",IF(G1753&lt;=100,"51–100",IF(G1753&lt;=150,"101–150",IF(G1753&lt;=200,"151–200",IF(G1753&lt;=500,"201–500","500+"))))))))</f>
        <v/>
      </c>
      <c r="P1753" s="16" t="inlineStr">
        <is>
          <t>Нет совпадения в предоставленной выгрузке ССЧР</t>
        </is>
      </c>
      <c r="Q1753" s="16" t="n"/>
      <c r="R1753" s="16">
        <f>HYPERLINK("https://checko.ru/search?query=3801001629","Чекко: проверить")</f>
        <v/>
      </c>
      <c r="S1753" t="n">
        <v>0</v>
      </c>
    </row>
    <row r="1754" ht="27.75" customHeight="1" s="24">
      <c r="A1754" s="13" t="n">
        <v>5000106067</v>
      </c>
      <c r="B1754" s="13" t="inlineStr">
        <is>
          <t>Государственная жилищная инспекция по Оренбургской области</t>
        </is>
      </c>
      <c r="C1754" s="13" t="n">
        <v>5610040758</v>
      </c>
      <c r="D1754" s="13" t="inlineStr">
        <is>
          <t>5610040758</t>
        </is>
      </c>
      <c r="E1754" s="13" t="inlineStr">
        <is>
          <t>ЮЛ РФ</t>
        </is>
      </c>
      <c r="F1754" s="13" t="n"/>
      <c r="G1754" s="14" t="n"/>
      <c r="H1754" s="14" t="n"/>
      <c r="I1754" s="14" t="n"/>
      <c r="J1754" s="14" t="n"/>
      <c r="K1754" s="53" t="inlineStr"/>
      <c r="L1754" s="53" t="inlineStr">
        <is>
          <t>Не определено</t>
        </is>
      </c>
      <c r="M1754" s="53" t="inlineStr"/>
      <c r="N1754" s="54" t="inlineStr"/>
      <c r="O1754" s="55" t="inlineStr"/>
      <c r="P1754" s="16" t="inlineStr">
        <is>
          <t>Требует обогащения</t>
        </is>
      </c>
      <c r="Q1754" s="16">
        <f>HYPERLINK("https://pb.nalog.ru/search.html?query=5610040758","ФНС: проверить")</f>
        <v/>
      </c>
      <c r="R1754" s="16">
        <f>HYPERLINK("https://checko.ru/search?query=3801001629","Чекко: проверить")</f>
        <v/>
      </c>
      <c r="S1754" t="n">
        <v>1</v>
      </c>
      <c r="T1754" s="35" t="inlineStr">
        <is>
          <t>4 — Не обогащён</t>
        </is>
      </c>
      <c r="U1754" s="35" t="inlineStr">
        <is>
          <t>Нет ОКВЭД/ССЧР</t>
        </is>
      </c>
      <c r="V1754" s="35" t="inlineStr">
        <is>
          <t>Не определено</t>
        </is>
      </c>
      <c r="W1754" s="35" t="inlineStr"/>
      <c r="X1754" s="35" t="inlineStr"/>
    </row>
    <row r="1755" ht="15" customHeight="1" s="24">
      <c r="A1755" s="13" t="n">
        <v>5000095059</v>
      </c>
      <c r="B1755" s="13" t="inlineStr">
        <is>
          <t>МОУ ДОД "ДШИ №1"</t>
        </is>
      </c>
      <c r="C1755" s="13" t="n">
        <v>711051500</v>
      </c>
      <c r="D1755" s="13" t="n"/>
      <c r="E1755" s="13" t="inlineStr">
        <is>
          <t>Не определён</t>
        </is>
      </c>
      <c r="F1755" s="13" t="inlineStr">
        <is>
          <t>711051500</t>
        </is>
      </c>
      <c r="G1755" s="14" t="n"/>
      <c r="H1755" s="14" t="n"/>
      <c r="I1755" s="14" t="n"/>
      <c r="J1755" s="14" t="n"/>
      <c r="K1755" s="13">
        <f>IF(G1755="","",IF(G1755&gt;=22,"Да","Нет"))</f>
        <v/>
      </c>
      <c r="L1755" s="13">
        <f>IF(OR(I1755="",J1755=""),"Не определено",IF(OR(COUNTIF(I1755,"45*")&gt;0,COUNTIF(J1755,"*45*")&gt;0,COUNTIF(I1755,"46*")&gt;0,COUNTIF(J1755,"*46*")&gt;0,COUNTIF(I1755,"47*")&gt;0,COUNTIF(J1755,"*47*")&gt;0,COUNTIF(I1755,"10*")&gt;0,COUNTIF(J1755,"*10*")&gt;0,COUNTIF(I1755,"11*")&gt;0,COUNTIF(J1755,"*11*")&gt;0,COUNTIF(I1755,"12*")&gt;0,COUNTIF(J1755,"*12*")&gt;0,COUNTIF(I1755,"13*")&gt;0,COUNTIF(J1755,"*13*")&gt;0,COUNTIF(I1755,"14*")&gt;0,COUNTIF(J1755,"*14*")&gt;0,COUNTIF(I1755,"15*")&gt;0,COUNTIF(J1755,"*15*")&gt;0,COUNTIF(I1755,"16*")&gt;0,COUNTIF(J1755,"*16*")&gt;0,COUNTIF(I1755,"17*")&gt;0,COUNTIF(J1755,"*17*")&gt;0,COUNTIF(I1755,"18*")&gt;0,COUNTIF(J1755,"*18*")&gt;0,COUNTIF(I1755,"19*")&gt;0,COUNTIF(J1755,"*19*")&gt;0,COUNTIF(I1755,"20*")&gt;0,COUNTIF(J1755,"*20*")&gt;0,COUNTIF(I1755,"21*")&gt;0,COUNTIF(J1755,"*21*")&gt;0,COUNTIF(I1755,"22*")&gt;0,COUNTIF(J1755,"*22*")&gt;0,COUNTIF(I1755,"23*")&gt;0,COUNTIF(J1755,"*23*")&gt;0,COUNTIF(I1755,"24*")&gt;0,COUNTIF(J1755,"*24*")&gt;0,COUNTIF(I1755,"25*")&gt;0,COUNTIF(J1755,"*25*")&gt;0,COUNTIF(I1755,"26*")&gt;0,COUNTIF(J1755,"*26*")&gt;0,COUNTIF(I1755,"27*")&gt;0,COUNTIF(J1755,"*27*")&gt;0,COUNTIF(I1755,"28*")&gt;0,COUNTIF(J1755,"*28*")&gt;0,COUNTIF(I1755,"29*")&gt;0,COUNTIF(J1755,"*29*")&gt;0,COUNTIF(I1755,"30*")&gt;0,COUNTIF(J1755,"*30*")&gt;0,COUNTIF(I1755,"31*")&gt;0,COUNTIF(J1755,"*31*")&gt;0,COUNTIF(I1755,"32*")&gt;0,COUNTIF(J1755,"*32*")&gt;0,COUNTIF(I1755,"33*")&gt;0,COUNTIF(J1755,"*33*")&gt;0,COUNTIF(I1755,"41*")&gt;0,COUNTIF(J1755,"*41*")&gt;0,COUNTIF(I1755,"42*")&gt;0,COUNTIF(J1755,"*42*")&gt;0,COUNTIF(I1755,"43*")&gt;0,COUNTIF(J1755,"*43*")&gt;0,COUNTIF(I1755,"49*")&gt;0,COUNTIF(J1755,"*49*")&gt;0,COUNTIF(I1755,"52*")&gt;0,COUNTIF(J1755,"*52*")&gt;0,COUNTIF(I1755,"55*")&gt;0,COUNTIF(J1755,"*55*")&gt;0,COUNTIF(I1755,"56*")&gt;0,COUNTIF(J1755,"*56*")&gt;0,COUNTIF(I1755,"68*")&gt;0,COUNTIF(J1755,"*68*")&gt;0,COUNTIF(I1755,"78*")&gt;0,COUNTIF(J1755,"*78*")&gt;0,COUNTIF(I1755,"81*")&gt;0,COUNTIF(J1755,"*81*")&gt;0,COUNTIF(I1755,"82*")&gt;0,COUNTIF(J1755,"*82*")&gt;0,COUNTIF(I1755,"64*")&gt;0,COUNTIF(J1755,"*64*")&gt;0,COUNTIF(I1755,"65*")&gt;0,COUNTIF(J1755,"*65*")&gt;0,COUNTIF(I1755,"66*")&gt;0,COUNTIF(J1755,"*66*")&gt;0,COUNTIF(I1755,"61*")&gt;0,COUNTIF(J1755,"*61*")&gt;0,COUNTIF(I1755,"62*")&gt;0,COUNTIF(J1755,"*62*")&gt;0,COUNTIF(I1755,"63*")&gt;0,COUNTIF(J1755,"*63*")&gt;0,COUNTIF(I1755,"85*")&gt;0,COUNTIF(J1755,"*85*")&gt;0,COUNTIF(I1755,"86*")&gt;0,COUNTIF(J1755,"*86*")&gt;0),"Да","Нет"))</f>
        <v/>
      </c>
      <c r="M1755" s="13">
        <f>IF(OR(G1755="",L1755&lt;&gt;"Да"),"",IF(G1755&lt;=100,"До 100",IF(G1755&lt;=200,"До 200",IF(G1755&lt;=500,"До 500","Отдельное КП"))))</f>
        <v/>
      </c>
      <c r="N1755" s="15">
        <f>IF(OR(G1755="",L1755&lt;&gt;"Да"),"",IF(G1755&lt;=100,33600,IF(G1755&lt;=200,62400,IF(G1755&lt;=500,144000,""))))</f>
        <v/>
      </c>
      <c r="O1755" s="16">
        <f>IF(G1755="","",IF(G1755&lt;=15,"1–15",IF(G1755&lt;=30,"16–30",IF(G1755&lt;=50,"31–50",IF(G1755&lt;=100,"51–100",IF(G1755&lt;=150,"101–150",IF(G1755&lt;=200,"151–200",IF(G1755&lt;=500,"201–500","500+"))))))))</f>
        <v/>
      </c>
      <c r="P1755" s="16" t="inlineStr">
        <is>
          <t>Нет совпадения в предоставленной выгрузке ССЧР</t>
        </is>
      </c>
      <c r="Q1755" s="16" t="n"/>
      <c r="R1755" s="16">
        <f>HYPERLINK("https://checko.ru/search?query=3801001629","Чекко: проверить")</f>
        <v/>
      </c>
      <c r="S1755" t="n">
        <v>0</v>
      </c>
    </row>
    <row r="1756" ht="15" customHeight="1" s="24">
      <c r="A1756" s="13" t="n">
        <v>5000095014</v>
      </c>
      <c r="B1756" s="13" t="inlineStr">
        <is>
          <t>МКОУ "Гимназия №1" г.о.Нальчик КБР</t>
        </is>
      </c>
      <c r="C1756" s="13" t="n">
        <v>711037978</v>
      </c>
      <c r="D1756" s="13" t="n"/>
      <c r="E1756" s="13" t="inlineStr">
        <is>
          <t>Не определён</t>
        </is>
      </c>
      <c r="F1756" s="13" t="inlineStr">
        <is>
          <t>711037978</t>
        </is>
      </c>
      <c r="G1756" s="14" t="n"/>
      <c r="H1756" s="14" t="n"/>
      <c r="I1756" s="14" t="n"/>
      <c r="J1756" s="14" t="n"/>
      <c r="K1756" s="13">
        <f>IF(G1756="","",IF(G1756&gt;=22,"Да","Нет"))</f>
        <v/>
      </c>
      <c r="L1756" s="13">
        <f>IF(OR(I1756="",J1756=""),"Не определено",IF(OR(COUNTIF(I1756,"45*")&gt;0,COUNTIF(J1756,"*45*")&gt;0,COUNTIF(I1756,"46*")&gt;0,COUNTIF(J1756,"*46*")&gt;0,COUNTIF(I1756,"47*")&gt;0,COUNTIF(J1756,"*47*")&gt;0,COUNTIF(I1756,"10*")&gt;0,COUNTIF(J1756,"*10*")&gt;0,COUNTIF(I1756,"11*")&gt;0,COUNTIF(J1756,"*11*")&gt;0,COUNTIF(I1756,"12*")&gt;0,COUNTIF(J1756,"*12*")&gt;0,COUNTIF(I1756,"13*")&gt;0,COUNTIF(J1756,"*13*")&gt;0,COUNTIF(I1756,"14*")&gt;0,COUNTIF(J1756,"*14*")&gt;0,COUNTIF(I1756,"15*")&gt;0,COUNTIF(J1756,"*15*")&gt;0,COUNTIF(I1756,"16*")&gt;0,COUNTIF(J1756,"*16*")&gt;0,COUNTIF(I1756,"17*")&gt;0,COUNTIF(J1756,"*17*")&gt;0,COUNTIF(I1756,"18*")&gt;0,COUNTIF(J1756,"*18*")&gt;0,COUNTIF(I1756,"19*")&gt;0,COUNTIF(J1756,"*19*")&gt;0,COUNTIF(I1756,"20*")&gt;0,COUNTIF(J1756,"*20*")&gt;0,COUNTIF(I1756,"21*")&gt;0,COUNTIF(J1756,"*21*")&gt;0,COUNTIF(I1756,"22*")&gt;0,COUNTIF(J1756,"*22*")&gt;0,COUNTIF(I1756,"23*")&gt;0,COUNTIF(J1756,"*23*")&gt;0,COUNTIF(I1756,"24*")&gt;0,COUNTIF(J1756,"*24*")&gt;0,COUNTIF(I1756,"25*")&gt;0,COUNTIF(J1756,"*25*")&gt;0,COUNTIF(I1756,"26*")&gt;0,COUNTIF(J1756,"*26*")&gt;0,COUNTIF(I1756,"27*")&gt;0,COUNTIF(J1756,"*27*")&gt;0,COUNTIF(I1756,"28*")&gt;0,COUNTIF(J1756,"*28*")&gt;0,COUNTIF(I1756,"29*")&gt;0,COUNTIF(J1756,"*29*")&gt;0,COUNTIF(I1756,"30*")&gt;0,COUNTIF(J1756,"*30*")&gt;0,COUNTIF(I1756,"31*")&gt;0,COUNTIF(J1756,"*31*")&gt;0,COUNTIF(I1756,"32*")&gt;0,COUNTIF(J1756,"*32*")&gt;0,COUNTIF(I1756,"33*")&gt;0,COUNTIF(J1756,"*33*")&gt;0,COUNTIF(I1756,"41*")&gt;0,COUNTIF(J1756,"*41*")&gt;0,COUNTIF(I1756,"42*")&gt;0,COUNTIF(J1756,"*42*")&gt;0,COUNTIF(I1756,"43*")&gt;0,COUNTIF(J1756,"*43*")&gt;0,COUNTIF(I1756,"49*")&gt;0,COUNTIF(J1756,"*49*")&gt;0,COUNTIF(I1756,"52*")&gt;0,COUNTIF(J1756,"*52*")&gt;0,COUNTIF(I1756,"55*")&gt;0,COUNTIF(J1756,"*55*")&gt;0,COUNTIF(I1756,"56*")&gt;0,COUNTIF(J1756,"*56*")&gt;0,COUNTIF(I1756,"68*")&gt;0,COUNTIF(J1756,"*68*")&gt;0,COUNTIF(I1756,"78*")&gt;0,COUNTIF(J1756,"*78*")&gt;0,COUNTIF(I1756,"81*")&gt;0,COUNTIF(J1756,"*81*")&gt;0,COUNTIF(I1756,"82*")&gt;0,COUNTIF(J1756,"*82*")&gt;0,COUNTIF(I1756,"64*")&gt;0,COUNTIF(J1756,"*64*")&gt;0,COUNTIF(I1756,"65*")&gt;0,COUNTIF(J1756,"*65*")&gt;0,COUNTIF(I1756,"66*")&gt;0,COUNTIF(J1756,"*66*")&gt;0,COUNTIF(I1756,"61*")&gt;0,COUNTIF(J1756,"*61*")&gt;0,COUNTIF(I1756,"62*")&gt;0,COUNTIF(J1756,"*62*")&gt;0,COUNTIF(I1756,"63*")&gt;0,COUNTIF(J1756,"*63*")&gt;0,COUNTIF(I1756,"85*")&gt;0,COUNTIF(J1756,"*85*")&gt;0,COUNTIF(I1756,"86*")&gt;0,COUNTIF(J1756,"*86*")&gt;0),"Да","Нет"))</f>
        <v/>
      </c>
      <c r="M1756" s="13">
        <f>IF(OR(G1756="",L1756&lt;&gt;"Да"),"",IF(G1756&lt;=100,"До 100",IF(G1756&lt;=200,"До 200",IF(G1756&lt;=500,"До 500","Отдельное КП"))))</f>
        <v/>
      </c>
      <c r="N1756" s="15">
        <f>IF(OR(G1756="",L1756&lt;&gt;"Да"),"",IF(G1756&lt;=100,33600,IF(G1756&lt;=200,62400,IF(G1756&lt;=500,144000,""))))</f>
        <v/>
      </c>
      <c r="O1756" s="16">
        <f>IF(G1756="","",IF(G1756&lt;=15,"1–15",IF(G1756&lt;=30,"16–30",IF(G1756&lt;=50,"31–50",IF(G1756&lt;=100,"51–100",IF(G1756&lt;=150,"101–150",IF(G1756&lt;=200,"151–200",IF(G1756&lt;=500,"201–500","500+"))))))))</f>
        <v/>
      </c>
      <c r="P1756" s="16" t="inlineStr">
        <is>
          <t>Нет совпадения в предоставленной выгрузке ССЧР</t>
        </is>
      </c>
      <c r="Q1756" s="16" t="n"/>
      <c r="R1756" s="16">
        <f>HYPERLINK("https://checko.ru/search?query=3801001629","Чекко: проверить")</f>
        <v/>
      </c>
      <c r="S1756" t="n">
        <v>0</v>
      </c>
    </row>
    <row r="1757" ht="27.75" customHeight="1" s="24">
      <c r="A1757" s="13" t="n">
        <v>5000095229</v>
      </c>
      <c r="B1757" s="13" t="inlineStr">
        <is>
          <t>МКДОУ "Детский сад №32" общеразвивающего вида г.о. Нальчик КБР</t>
        </is>
      </c>
      <c r="C1757" s="13" t="n">
        <v>725013254</v>
      </c>
      <c r="D1757" s="13" t="n"/>
      <c r="E1757" s="13" t="inlineStr">
        <is>
          <t>Не определён</t>
        </is>
      </c>
      <c r="F1757" s="13" t="inlineStr">
        <is>
          <t>725013254</t>
        </is>
      </c>
      <c r="G1757" s="14" t="n"/>
      <c r="H1757" s="14" t="n"/>
      <c r="I1757" s="14" t="n"/>
      <c r="J1757" s="14" t="n"/>
      <c r="K1757" s="13">
        <f>IF(G1757="","",IF(G1757&gt;=22,"Да","Нет"))</f>
        <v/>
      </c>
      <c r="L1757" s="13">
        <f>IF(OR(I1757="",J1757=""),"Не определено",IF(OR(COUNTIF(I1757,"45*")&gt;0,COUNTIF(J1757,"*45*")&gt;0,COUNTIF(I1757,"46*")&gt;0,COUNTIF(J1757,"*46*")&gt;0,COUNTIF(I1757,"47*")&gt;0,COUNTIF(J1757,"*47*")&gt;0,COUNTIF(I1757,"10*")&gt;0,COUNTIF(J1757,"*10*")&gt;0,COUNTIF(I1757,"11*")&gt;0,COUNTIF(J1757,"*11*")&gt;0,COUNTIF(I1757,"12*")&gt;0,COUNTIF(J1757,"*12*")&gt;0,COUNTIF(I1757,"13*")&gt;0,COUNTIF(J1757,"*13*")&gt;0,COUNTIF(I1757,"14*")&gt;0,COUNTIF(J1757,"*14*")&gt;0,COUNTIF(I1757,"15*")&gt;0,COUNTIF(J1757,"*15*")&gt;0,COUNTIF(I1757,"16*")&gt;0,COUNTIF(J1757,"*16*")&gt;0,COUNTIF(I1757,"17*")&gt;0,COUNTIF(J1757,"*17*")&gt;0,COUNTIF(I1757,"18*")&gt;0,COUNTIF(J1757,"*18*")&gt;0,COUNTIF(I1757,"19*")&gt;0,COUNTIF(J1757,"*19*")&gt;0,COUNTIF(I1757,"20*")&gt;0,COUNTIF(J1757,"*20*")&gt;0,COUNTIF(I1757,"21*")&gt;0,COUNTIF(J1757,"*21*")&gt;0,COUNTIF(I1757,"22*")&gt;0,COUNTIF(J1757,"*22*")&gt;0,COUNTIF(I1757,"23*")&gt;0,COUNTIF(J1757,"*23*")&gt;0,COUNTIF(I1757,"24*")&gt;0,COUNTIF(J1757,"*24*")&gt;0,COUNTIF(I1757,"25*")&gt;0,COUNTIF(J1757,"*25*")&gt;0,COUNTIF(I1757,"26*")&gt;0,COUNTIF(J1757,"*26*")&gt;0,COUNTIF(I1757,"27*")&gt;0,COUNTIF(J1757,"*27*")&gt;0,COUNTIF(I1757,"28*")&gt;0,COUNTIF(J1757,"*28*")&gt;0,COUNTIF(I1757,"29*")&gt;0,COUNTIF(J1757,"*29*")&gt;0,COUNTIF(I1757,"30*")&gt;0,COUNTIF(J1757,"*30*")&gt;0,COUNTIF(I1757,"31*")&gt;0,COUNTIF(J1757,"*31*")&gt;0,COUNTIF(I1757,"32*")&gt;0,COUNTIF(J1757,"*32*")&gt;0,COUNTIF(I1757,"33*")&gt;0,COUNTIF(J1757,"*33*")&gt;0,COUNTIF(I1757,"41*")&gt;0,COUNTIF(J1757,"*41*")&gt;0,COUNTIF(I1757,"42*")&gt;0,COUNTIF(J1757,"*42*")&gt;0,COUNTIF(I1757,"43*")&gt;0,COUNTIF(J1757,"*43*")&gt;0,COUNTIF(I1757,"49*")&gt;0,COUNTIF(J1757,"*49*")&gt;0,COUNTIF(I1757,"52*")&gt;0,COUNTIF(J1757,"*52*")&gt;0,COUNTIF(I1757,"55*")&gt;0,COUNTIF(J1757,"*55*")&gt;0,COUNTIF(I1757,"56*")&gt;0,COUNTIF(J1757,"*56*")&gt;0,COUNTIF(I1757,"68*")&gt;0,COUNTIF(J1757,"*68*")&gt;0,COUNTIF(I1757,"78*")&gt;0,COUNTIF(J1757,"*78*")&gt;0,COUNTIF(I1757,"81*")&gt;0,COUNTIF(J1757,"*81*")&gt;0,COUNTIF(I1757,"82*")&gt;0,COUNTIF(J1757,"*82*")&gt;0,COUNTIF(I1757,"64*")&gt;0,COUNTIF(J1757,"*64*")&gt;0,COUNTIF(I1757,"65*")&gt;0,COUNTIF(J1757,"*65*")&gt;0,COUNTIF(I1757,"66*")&gt;0,COUNTIF(J1757,"*66*")&gt;0,COUNTIF(I1757,"61*")&gt;0,COUNTIF(J1757,"*61*")&gt;0,COUNTIF(I1757,"62*")&gt;0,COUNTIF(J1757,"*62*")&gt;0,COUNTIF(I1757,"63*")&gt;0,COUNTIF(J1757,"*63*")&gt;0,COUNTIF(I1757,"85*")&gt;0,COUNTIF(J1757,"*85*")&gt;0,COUNTIF(I1757,"86*")&gt;0,COUNTIF(J1757,"*86*")&gt;0),"Да","Нет"))</f>
        <v/>
      </c>
      <c r="M1757" s="13">
        <f>IF(OR(G1757="",L1757&lt;&gt;"Да"),"",IF(G1757&lt;=100,"До 100",IF(G1757&lt;=200,"До 200",IF(G1757&lt;=500,"До 500","Отдельное КП"))))</f>
        <v/>
      </c>
      <c r="N1757" s="15">
        <f>IF(OR(G1757="",L1757&lt;&gt;"Да"),"",IF(G1757&lt;=100,33600,IF(G1757&lt;=200,62400,IF(G1757&lt;=500,144000,""))))</f>
        <v/>
      </c>
      <c r="O1757" s="16">
        <f>IF(G1757="","",IF(G1757&lt;=15,"1–15",IF(G1757&lt;=30,"16–30",IF(G1757&lt;=50,"31–50",IF(G1757&lt;=100,"51–100",IF(G1757&lt;=150,"101–150",IF(G1757&lt;=200,"151–200",IF(G1757&lt;=500,"201–500","500+"))))))))</f>
        <v/>
      </c>
      <c r="P1757" s="16" t="inlineStr">
        <is>
          <t>Нет совпадения в предоставленной выгрузке ССЧР</t>
        </is>
      </c>
      <c r="Q1757" s="16" t="n"/>
      <c r="R1757" s="16">
        <f>HYPERLINK("https://checko.ru/search?query=3801001629","Чекко: проверить")</f>
        <v/>
      </c>
      <c r="S1757" t="n">
        <v>0</v>
      </c>
    </row>
    <row r="1758" ht="15" customHeight="1" s="24">
      <c r="A1758" s="13" t="n">
        <v>5000095004</v>
      </c>
      <c r="B1758" s="13" t="inlineStr">
        <is>
          <t>МКДОУ "Детский сад №55" г.о. Нальчик КБР</t>
        </is>
      </c>
      <c r="C1758" s="13" t="n">
        <v>711036452</v>
      </c>
      <c r="D1758" s="13" t="n"/>
      <c r="E1758" s="13" t="inlineStr">
        <is>
          <t>Не определён</t>
        </is>
      </c>
      <c r="F1758" s="13" t="inlineStr">
        <is>
          <t>711036452</t>
        </is>
      </c>
      <c r="G1758" s="14" t="n"/>
      <c r="H1758" s="14" t="n"/>
      <c r="I1758" s="14" t="n"/>
      <c r="J1758" s="14" t="n"/>
      <c r="K1758" s="13">
        <f>IF(G1758="","",IF(G1758&gt;=22,"Да","Нет"))</f>
        <v/>
      </c>
      <c r="L1758" s="13">
        <f>IF(OR(I1758="",J1758=""),"Не определено",IF(OR(COUNTIF(I1758,"45*")&gt;0,COUNTIF(J1758,"*45*")&gt;0,COUNTIF(I1758,"46*")&gt;0,COUNTIF(J1758,"*46*")&gt;0,COUNTIF(I1758,"47*")&gt;0,COUNTIF(J1758,"*47*")&gt;0,COUNTIF(I1758,"10*")&gt;0,COUNTIF(J1758,"*10*")&gt;0,COUNTIF(I1758,"11*")&gt;0,COUNTIF(J1758,"*11*")&gt;0,COUNTIF(I1758,"12*")&gt;0,COUNTIF(J1758,"*12*")&gt;0,COUNTIF(I1758,"13*")&gt;0,COUNTIF(J1758,"*13*")&gt;0,COUNTIF(I1758,"14*")&gt;0,COUNTIF(J1758,"*14*")&gt;0,COUNTIF(I1758,"15*")&gt;0,COUNTIF(J1758,"*15*")&gt;0,COUNTIF(I1758,"16*")&gt;0,COUNTIF(J1758,"*16*")&gt;0,COUNTIF(I1758,"17*")&gt;0,COUNTIF(J1758,"*17*")&gt;0,COUNTIF(I1758,"18*")&gt;0,COUNTIF(J1758,"*18*")&gt;0,COUNTIF(I1758,"19*")&gt;0,COUNTIF(J1758,"*19*")&gt;0,COUNTIF(I1758,"20*")&gt;0,COUNTIF(J1758,"*20*")&gt;0,COUNTIF(I1758,"21*")&gt;0,COUNTIF(J1758,"*21*")&gt;0,COUNTIF(I1758,"22*")&gt;0,COUNTIF(J1758,"*22*")&gt;0,COUNTIF(I1758,"23*")&gt;0,COUNTIF(J1758,"*23*")&gt;0,COUNTIF(I1758,"24*")&gt;0,COUNTIF(J1758,"*24*")&gt;0,COUNTIF(I1758,"25*")&gt;0,COUNTIF(J1758,"*25*")&gt;0,COUNTIF(I1758,"26*")&gt;0,COUNTIF(J1758,"*26*")&gt;0,COUNTIF(I1758,"27*")&gt;0,COUNTIF(J1758,"*27*")&gt;0,COUNTIF(I1758,"28*")&gt;0,COUNTIF(J1758,"*28*")&gt;0,COUNTIF(I1758,"29*")&gt;0,COUNTIF(J1758,"*29*")&gt;0,COUNTIF(I1758,"30*")&gt;0,COUNTIF(J1758,"*30*")&gt;0,COUNTIF(I1758,"31*")&gt;0,COUNTIF(J1758,"*31*")&gt;0,COUNTIF(I1758,"32*")&gt;0,COUNTIF(J1758,"*32*")&gt;0,COUNTIF(I1758,"33*")&gt;0,COUNTIF(J1758,"*33*")&gt;0,COUNTIF(I1758,"41*")&gt;0,COUNTIF(J1758,"*41*")&gt;0,COUNTIF(I1758,"42*")&gt;0,COUNTIF(J1758,"*42*")&gt;0,COUNTIF(I1758,"43*")&gt;0,COUNTIF(J1758,"*43*")&gt;0,COUNTIF(I1758,"49*")&gt;0,COUNTIF(J1758,"*49*")&gt;0,COUNTIF(I1758,"52*")&gt;0,COUNTIF(J1758,"*52*")&gt;0,COUNTIF(I1758,"55*")&gt;0,COUNTIF(J1758,"*55*")&gt;0,COUNTIF(I1758,"56*")&gt;0,COUNTIF(J1758,"*56*")&gt;0,COUNTIF(I1758,"68*")&gt;0,COUNTIF(J1758,"*68*")&gt;0,COUNTIF(I1758,"78*")&gt;0,COUNTIF(J1758,"*78*")&gt;0,COUNTIF(I1758,"81*")&gt;0,COUNTIF(J1758,"*81*")&gt;0,COUNTIF(I1758,"82*")&gt;0,COUNTIF(J1758,"*82*")&gt;0,COUNTIF(I1758,"64*")&gt;0,COUNTIF(J1758,"*64*")&gt;0,COUNTIF(I1758,"65*")&gt;0,COUNTIF(J1758,"*65*")&gt;0,COUNTIF(I1758,"66*")&gt;0,COUNTIF(J1758,"*66*")&gt;0,COUNTIF(I1758,"61*")&gt;0,COUNTIF(J1758,"*61*")&gt;0,COUNTIF(I1758,"62*")&gt;0,COUNTIF(J1758,"*62*")&gt;0,COUNTIF(I1758,"63*")&gt;0,COUNTIF(J1758,"*63*")&gt;0,COUNTIF(I1758,"85*")&gt;0,COUNTIF(J1758,"*85*")&gt;0,COUNTIF(I1758,"86*")&gt;0,COUNTIF(J1758,"*86*")&gt;0),"Да","Нет"))</f>
        <v/>
      </c>
      <c r="M1758" s="13">
        <f>IF(OR(G1758="",L1758&lt;&gt;"Да"),"",IF(G1758&lt;=100,"До 100",IF(G1758&lt;=200,"До 200",IF(G1758&lt;=500,"До 500","Отдельное КП"))))</f>
        <v/>
      </c>
      <c r="N1758" s="15">
        <f>IF(OR(G1758="",L1758&lt;&gt;"Да"),"",IF(G1758&lt;=100,33600,IF(G1758&lt;=200,62400,IF(G1758&lt;=500,144000,""))))</f>
        <v/>
      </c>
      <c r="O1758" s="16">
        <f>IF(G1758="","",IF(G1758&lt;=15,"1–15",IF(G1758&lt;=30,"16–30",IF(G1758&lt;=50,"31–50",IF(G1758&lt;=100,"51–100",IF(G1758&lt;=150,"101–150",IF(G1758&lt;=200,"151–200",IF(G1758&lt;=500,"201–500","500+"))))))))</f>
        <v/>
      </c>
      <c r="P1758" s="16" t="inlineStr">
        <is>
          <t>Нет совпадения в предоставленной выгрузке ССЧР</t>
        </is>
      </c>
      <c r="Q1758" s="16" t="n"/>
      <c r="R1758" s="16">
        <f>HYPERLINK("https://checko.ru/search?query=3801001629","Чекко: проверить")</f>
        <v/>
      </c>
      <c r="S1758" t="n">
        <v>0</v>
      </c>
    </row>
    <row r="1759" ht="15" customHeight="1" s="24">
      <c r="A1759" s="13" t="n">
        <v>5000095019</v>
      </c>
      <c r="B1759" s="13" t="inlineStr">
        <is>
          <t>МКДОУ "Детский сад №60" г.о. Нальчик КБР</t>
        </is>
      </c>
      <c r="C1759" s="13" t="n">
        <v>711038474</v>
      </c>
      <c r="D1759" s="13" t="n"/>
      <c r="E1759" s="13" t="inlineStr">
        <is>
          <t>Не определён</t>
        </is>
      </c>
      <c r="F1759" s="13" t="inlineStr">
        <is>
          <t>711038474</t>
        </is>
      </c>
      <c r="G1759" s="14" t="n"/>
      <c r="H1759" s="14" t="n"/>
      <c r="I1759" s="14" t="n"/>
      <c r="J1759" s="14" t="n"/>
      <c r="K1759" s="13">
        <f>IF(G1759="","",IF(G1759&gt;=22,"Да","Нет"))</f>
        <v/>
      </c>
      <c r="L1759" s="13">
        <f>IF(OR(I1759="",J1759=""),"Не определено",IF(OR(COUNTIF(I1759,"45*")&gt;0,COUNTIF(J1759,"*45*")&gt;0,COUNTIF(I1759,"46*")&gt;0,COUNTIF(J1759,"*46*")&gt;0,COUNTIF(I1759,"47*")&gt;0,COUNTIF(J1759,"*47*")&gt;0,COUNTIF(I1759,"10*")&gt;0,COUNTIF(J1759,"*10*")&gt;0,COUNTIF(I1759,"11*")&gt;0,COUNTIF(J1759,"*11*")&gt;0,COUNTIF(I1759,"12*")&gt;0,COUNTIF(J1759,"*12*")&gt;0,COUNTIF(I1759,"13*")&gt;0,COUNTIF(J1759,"*13*")&gt;0,COUNTIF(I1759,"14*")&gt;0,COUNTIF(J1759,"*14*")&gt;0,COUNTIF(I1759,"15*")&gt;0,COUNTIF(J1759,"*15*")&gt;0,COUNTIF(I1759,"16*")&gt;0,COUNTIF(J1759,"*16*")&gt;0,COUNTIF(I1759,"17*")&gt;0,COUNTIF(J1759,"*17*")&gt;0,COUNTIF(I1759,"18*")&gt;0,COUNTIF(J1759,"*18*")&gt;0,COUNTIF(I1759,"19*")&gt;0,COUNTIF(J1759,"*19*")&gt;0,COUNTIF(I1759,"20*")&gt;0,COUNTIF(J1759,"*20*")&gt;0,COUNTIF(I1759,"21*")&gt;0,COUNTIF(J1759,"*21*")&gt;0,COUNTIF(I1759,"22*")&gt;0,COUNTIF(J1759,"*22*")&gt;0,COUNTIF(I1759,"23*")&gt;0,COUNTIF(J1759,"*23*")&gt;0,COUNTIF(I1759,"24*")&gt;0,COUNTIF(J1759,"*24*")&gt;0,COUNTIF(I1759,"25*")&gt;0,COUNTIF(J1759,"*25*")&gt;0,COUNTIF(I1759,"26*")&gt;0,COUNTIF(J1759,"*26*")&gt;0,COUNTIF(I1759,"27*")&gt;0,COUNTIF(J1759,"*27*")&gt;0,COUNTIF(I1759,"28*")&gt;0,COUNTIF(J1759,"*28*")&gt;0,COUNTIF(I1759,"29*")&gt;0,COUNTIF(J1759,"*29*")&gt;0,COUNTIF(I1759,"30*")&gt;0,COUNTIF(J1759,"*30*")&gt;0,COUNTIF(I1759,"31*")&gt;0,COUNTIF(J1759,"*31*")&gt;0,COUNTIF(I1759,"32*")&gt;0,COUNTIF(J1759,"*32*")&gt;0,COUNTIF(I1759,"33*")&gt;0,COUNTIF(J1759,"*33*")&gt;0,COUNTIF(I1759,"41*")&gt;0,COUNTIF(J1759,"*41*")&gt;0,COUNTIF(I1759,"42*")&gt;0,COUNTIF(J1759,"*42*")&gt;0,COUNTIF(I1759,"43*")&gt;0,COUNTIF(J1759,"*43*")&gt;0,COUNTIF(I1759,"49*")&gt;0,COUNTIF(J1759,"*49*")&gt;0,COUNTIF(I1759,"52*")&gt;0,COUNTIF(J1759,"*52*")&gt;0,COUNTIF(I1759,"55*")&gt;0,COUNTIF(J1759,"*55*")&gt;0,COUNTIF(I1759,"56*")&gt;0,COUNTIF(J1759,"*56*")&gt;0,COUNTIF(I1759,"68*")&gt;0,COUNTIF(J1759,"*68*")&gt;0,COUNTIF(I1759,"78*")&gt;0,COUNTIF(J1759,"*78*")&gt;0,COUNTIF(I1759,"81*")&gt;0,COUNTIF(J1759,"*81*")&gt;0,COUNTIF(I1759,"82*")&gt;0,COUNTIF(J1759,"*82*")&gt;0,COUNTIF(I1759,"64*")&gt;0,COUNTIF(J1759,"*64*")&gt;0,COUNTIF(I1759,"65*")&gt;0,COUNTIF(J1759,"*65*")&gt;0,COUNTIF(I1759,"66*")&gt;0,COUNTIF(J1759,"*66*")&gt;0,COUNTIF(I1759,"61*")&gt;0,COUNTIF(J1759,"*61*")&gt;0,COUNTIF(I1759,"62*")&gt;0,COUNTIF(J1759,"*62*")&gt;0,COUNTIF(I1759,"63*")&gt;0,COUNTIF(J1759,"*63*")&gt;0,COUNTIF(I1759,"85*")&gt;0,COUNTIF(J1759,"*85*")&gt;0,COUNTIF(I1759,"86*")&gt;0,COUNTIF(J1759,"*86*")&gt;0),"Да","Нет"))</f>
        <v/>
      </c>
      <c r="M1759" s="13">
        <f>IF(OR(G1759="",L1759&lt;&gt;"Да"),"",IF(G1759&lt;=100,"До 100",IF(G1759&lt;=200,"До 200",IF(G1759&lt;=500,"До 500","Отдельное КП"))))</f>
        <v/>
      </c>
      <c r="N1759" s="15">
        <f>IF(OR(G1759="",L1759&lt;&gt;"Да"),"",IF(G1759&lt;=100,33600,IF(G1759&lt;=200,62400,IF(G1759&lt;=500,144000,""))))</f>
        <v/>
      </c>
      <c r="O1759" s="16">
        <f>IF(G1759="","",IF(G1759&lt;=15,"1–15",IF(G1759&lt;=30,"16–30",IF(G1759&lt;=50,"31–50",IF(G1759&lt;=100,"51–100",IF(G1759&lt;=150,"101–150",IF(G1759&lt;=200,"151–200",IF(G1759&lt;=500,"201–500","500+"))))))))</f>
        <v/>
      </c>
      <c r="P1759" s="16" t="inlineStr">
        <is>
          <t>Нет совпадения в предоставленной выгрузке ССЧР</t>
        </is>
      </c>
      <c r="Q1759" s="16" t="n"/>
      <c r="R1759" s="16">
        <f>HYPERLINK("https://checko.ru/search?query=3801001629","Чекко: проверить")</f>
        <v/>
      </c>
      <c r="S1759" t="n">
        <v>0</v>
      </c>
    </row>
    <row r="1760" ht="15" customHeight="1" s="24">
      <c r="A1760" s="13" t="n">
        <v>5000095061</v>
      </c>
      <c r="B1760" s="13" t="inlineStr">
        <is>
          <t>МКДОУ "Детский сад №63" г.о. Нальчик КБР</t>
        </is>
      </c>
      <c r="C1760" s="13" t="n">
        <v>711051796</v>
      </c>
      <c r="D1760" s="13" t="n"/>
      <c r="E1760" s="13" t="inlineStr">
        <is>
          <t>Не определён</t>
        </is>
      </c>
      <c r="F1760" s="13" t="inlineStr">
        <is>
          <t>711051796</t>
        </is>
      </c>
      <c r="G1760" s="14" t="n"/>
      <c r="H1760" s="14" t="n"/>
      <c r="I1760" s="14" t="n"/>
      <c r="J1760" s="14" t="n"/>
      <c r="K1760" s="13">
        <f>IF(G1760="","",IF(G1760&gt;=22,"Да","Нет"))</f>
        <v/>
      </c>
      <c r="L1760" s="13">
        <f>IF(OR(I1760="",J1760=""),"Не определено",IF(OR(COUNTIF(I1760,"45*")&gt;0,COUNTIF(J1760,"*45*")&gt;0,COUNTIF(I1760,"46*")&gt;0,COUNTIF(J1760,"*46*")&gt;0,COUNTIF(I1760,"47*")&gt;0,COUNTIF(J1760,"*47*")&gt;0,COUNTIF(I1760,"10*")&gt;0,COUNTIF(J1760,"*10*")&gt;0,COUNTIF(I1760,"11*")&gt;0,COUNTIF(J1760,"*11*")&gt;0,COUNTIF(I1760,"12*")&gt;0,COUNTIF(J1760,"*12*")&gt;0,COUNTIF(I1760,"13*")&gt;0,COUNTIF(J1760,"*13*")&gt;0,COUNTIF(I1760,"14*")&gt;0,COUNTIF(J1760,"*14*")&gt;0,COUNTIF(I1760,"15*")&gt;0,COUNTIF(J1760,"*15*")&gt;0,COUNTIF(I1760,"16*")&gt;0,COUNTIF(J1760,"*16*")&gt;0,COUNTIF(I1760,"17*")&gt;0,COUNTIF(J1760,"*17*")&gt;0,COUNTIF(I1760,"18*")&gt;0,COUNTIF(J1760,"*18*")&gt;0,COUNTIF(I1760,"19*")&gt;0,COUNTIF(J1760,"*19*")&gt;0,COUNTIF(I1760,"20*")&gt;0,COUNTIF(J1760,"*20*")&gt;0,COUNTIF(I1760,"21*")&gt;0,COUNTIF(J1760,"*21*")&gt;0,COUNTIF(I1760,"22*")&gt;0,COUNTIF(J1760,"*22*")&gt;0,COUNTIF(I1760,"23*")&gt;0,COUNTIF(J1760,"*23*")&gt;0,COUNTIF(I1760,"24*")&gt;0,COUNTIF(J1760,"*24*")&gt;0,COUNTIF(I1760,"25*")&gt;0,COUNTIF(J1760,"*25*")&gt;0,COUNTIF(I1760,"26*")&gt;0,COUNTIF(J1760,"*26*")&gt;0,COUNTIF(I1760,"27*")&gt;0,COUNTIF(J1760,"*27*")&gt;0,COUNTIF(I1760,"28*")&gt;0,COUNTIF(J1760,"*28*")&gt;0,COUNTIF(I1760,"29*")&gt;0,COUNTIF(J1760,"*29*")&gt;0,COUNTIF(I1760,"30*")&gt;0,COUNTIF(J1760,"*30*")&gt;0,COUNTIF(I1760,"31*")&gt;0,COUNTIF(J1760,"*31*")&gt;0,COUNTIF(I1760,"32*")&gt;0,COUNTIF(J1760,"*32*")&gt;0,COUNTIF(I1760,"33*")&gt;0,COUNTIF(J1760,"*33*")&gt;0,COUNTIF(I1760,"41*")&gt;0,COUNTIF(J1760,"*41*")&gt;0,COUNTIF(I1760,"42*")&gt;0,COUNTIF(J1760,"*42*")&gt;0,COUNTIF(I1760,"43*")&gt;0,COUNTIF(J1760,"*43*")&gt;0,COUNTIF(I1760,"49*")&gt;0,COUNTIF(J1760,"*49*")&gt;0,COUNTIF(I1760,"52*")&gt;0,COUNTIF(J1760,"*52*")&gt;0,COUNTIF(I1760,"55*")&gt;0,COUNTIF(J1760,"*55*")&gt;0,COUNTIF(I1760,"56*")&gt;0,COUNTIF(J1760,"*56*")&gt;0,COUNTIF(I1760,"68*")&gt;0,COUNTIF(J1760,"*68*")&gt;0,COUNTIF(I1760,"78*")&gt;0,COUNTIF(J1760,"*78*")&gt;0,COUNTIF(I1760,"81*")&gt;0,COUNTIF(J1760,"*81*")&gt;0,COUNTIF(I1760,"82*")&gt;0,COUNTIF(J1760,"*82*")&gt;0,COUNTIF(I1760,"64*")&gt;0,COUNTIF(J1760,"*64*")&gt;0,COUNTIF(I1760,"65*")&gt;0,COUNTIF(J1760,"*65*")&gt;0,COUNTIF(I1760,"66*")&gt;0,COUNTIF(J1760,"*66*")&gt;0,COUNTIF(I1760,"61*")&gt;0,COUNTIF(J1760,"*61*")&gt;0,COUNTIF(I1760,"62*")&gt;0,COUNTIF(J1760,"*62*")&gt;0,COUNTIF(I1760,"63*")&gt;0,COUNTIF(J1760,"*63*")&gt;0,COUNTIF(I1760,"85*")&gt;0,COUNTIF(J1760,"*85*")&gt;0,COUNTIF(I1760,"86*")&gt;0,COUNTIF(J1760,"*86*")&gt;0),"Да","Нет"))</f>
        <v/>
      </c>
      <c r="M1760" s="13">
        <f>IF(OR(G1760="",L1760&lt;&gt;"Да"),"",IF(G1760&lt;=100,"До 100",IF(G1760&lt;=200,"До 200",IF(G1760&lt;=500,"До 500","Отдельное КП"))))</f>
        <v/>
      </c>
      <c r="N1760" s="15">
        <f>IF(OR(G1760="",L1760&lt;&gt;"Да"),"",IF(G1760&lt;=100,33600,IF(G1760&lt;=200,62400,IF(G1760&lt;=500,144000,""))))</f>
        <v/>
      </c>
      <c r="O1760" s="16">
        <f>IF(G1760="","",IF(G1760&lt;=15,"1–15",IF(G1760&lt;=30,"16–30",IF(G1760&lt;=50,"31–50",IF(G1760&lt;=100,"51–100",IF(G1760&lt;=150,"101–150",IF(G1760&lt;=200,"151–200",IF(G1760&lt;=500,"201–500","500+"))))))))</f>
        <v/>
      </c>
      <c r="P1760" s="16" t="inlineStr">
        <is>
          <t>Нет совпадения в предоставленной выгрузке ССЧР</t>
        </is>
      </c>
      <c r="Q1760" s="16" t="n"/>
      <c r="R1760" s="16">
        <f>HYPERLINK("https://checko.ru/search?query=3801001629","Чекко: проверить")</f>
        <v/>
      </c>
      <c r="S1760" t="n">
        <v>0</v>
      </c>
    </row>
    <row r="1761" ht="15" customHeight="1" s="24">
      <c r="A1761" s="13" t="n">
        <v>5000095009</v>
      </c>
      <c r="B1761" s="13" t="inlineStr">
        <is>
          <t>МКДОУ "Детский сад №77" г.о. Нальчик КБР</t>
        </is>
      </c>
      <c r="C1761" s="13" t="n">
        <v>711037671</v>
      </c>
      <c r="D1761" s="13" t="n"/>
      <c r="E1761" s="13" t="inlineStr">
        <is>
          <t>Не определён</t>
        </is>
      </c>
      <c r="F1761" s="13" t="inlineStr">
        <is>
          <t>711037671</t>
        </is>
      </c>
      <c r="G1761" s="14" t="n"/>
      <c r="H1761" s="14" t="n"/>
      <c r="I1761" s="14" t="n"/>
      <c r="J1761" s="14" t="n"/>
      <c r="K1761" s="13">
        <f>IF(G1761="","",IF(G1761&gt;=22,"Да","Нет"))</f>
        <v/>
      </c>
      <c r="L1761" s="13">
        <f>IF(OR(I1761="",J1761=""),"Не определено",IF(OR(COUNTIF(I1761,"45*")&gt;0,COUNTIF(J1761,"*45*")&gt;0,COUNTIF(I1761,"46*")&gt;0,COUNTIF(J1761,"*46*")&gt;0,COUNTIF(I1761,"47*")&gt;0,COUNTIF(J1761,"*47*")&gt;0,COUNTIF(I1761,"10*")&gt;0,COUNTIF(J1761,"*10*")&gt;0,COUNTIF(I1761,"11*")&gt;0,COUNTIF(J1761,"*11*")&gt;0,COUNTIF(I1761,"12*")&gt;0,COUNTIF(J1761,"*12*")&gt;0,COUNTIF(I1761,"13*")&gt;0,COUNTIF(J1761,"*13*")&gt;0,COUNTIF(I1761,"14*")&gt;0,COUNTIF(J1761,"*14*")&gt;0,COUNTIF(I1761,"15*")&gt;0,COUNTIF(J1761,"*15*")&gt;0,COUNTIF(I1761,"16*")&gt;0,COUNTIF(J1761,"*16*")&gt;0,COUNTIF(I1761,"17*")&gt;0,COUNTIF(J1761,"*17*")&gt;0,COUNTIF(I1761,"18*")&gt;0,COUNTIF(J1761,"*18*")&gt;0,COUNTIF(I1761,"19*")&gt;0,COUNTIF(J1761,"*19*")&gt;0,COUNTIF(I1761,"20*")&gt;0,COUNTIF(J1761,"*20*")&gt;0,COUNTIF(I1761,"21*")&gt;0,COUNTIF(J1761,"*21*")&gt;0,COUNTIF(I1761,"22*")&gt;0,COUNTIF(J1761,"*22*")&gt;0,COUNTIF(I1761,"23*")&gt;0,COUNTIF(J1761,"*23*")&gt;0,COUNTIF(I1761,"24*")&gt;0,COUNTIF(J1761,"*24*")&gt;0,COUNTIF(I1761,"25*")&gt;0,COUNTIF(J1761,"*25*")&gt;0,COUNTIF(I1761,"26*")&gt;0,COUNTIF(J1761,"*26*")&gt;0,COUNTIF(I1761,"27*")&gt;0,COUNTIF(J1761,"*27*")&gt;0,COUNTIF(I1761,"28*")&gt;0,COUNTIF(J1761,"*28*")&gt;0,COUNTIF(I1761,"29*")&gt;0,COUNTIF(J1761,"*29*")&gt;0,COUNTIF(I1761,"30*")&gt;0,COUNTIF(J1761,"*30*")&gt;0,COUNTIF(I1761,"31*")&gt;0,COUNTIF(J1761,"*31*")&gt;0,COUNTIF(I1761,"32*")&gt;0,COUNTIF(J1761,"*32*")&gt;0,COUNTIF(I1761,"33*")&gt;0,COUNTIF(J1761,"*33*")&gt;0,COUNTIF(I1761,"41*")&gt;0,COUNTIF(J1761,"*41*")&gt;0,COUNTIF(I1761,"42*")&gt;0,COUNTIF(J1761,"*42*")&gt;0,COUNTIF(I1761,"43*")&gt;0,COUNTIF(J1761,"*43*")&gt;0,COUNTIF(I1761,"49*")&gt;0,COUNTIF(J1761,"*49*")&gt;0,COUNTIF(I1761,"52*")&gt;0,COUNTIF(J1761,"*52*")&gt;0,COUNTIF(I1761,"55*")&gt;0,COUNTIF(J1761,"*55*")&gt;0,COUNTIF(I1761,"56*")&gt;0,COUNTIF(J1761,"*56*")&gt;0,COUNTIF(I1761,"68*")&gt;0,COUNTIF(J1761,"*68*")&gt;0,COUNTIF(I1761,"78*")&gt;0,COUNTIF(J1761,"*78*")&gt;0,COUNTIF(I1761,"81*")&gt;0,COUNTIF(J1761,"*81*")&gt;0,COUNTIF(I1761,"82*")&gt;0,COUNTIF(J1761,"*82*")&gt;0,COUNTIF(I1761,"64*")&gt;0,COUNTIF(J1761,"*64*")&gt;0,COUNTIF(I1761,"65*")&gt;0,COUNTIF(J1761,"*65*")&gt;0,COUNTIF(I1761,"66*")&gt;0,COUNTIF(J1761,"*66*")&gt;0,COUNTIF(I1761,"61*")&gt;0,COUNTIF(J1761,"*61*")&gt;0,COUNTIF(I1761,"62*")&gt;0,COUNTIF(J1761,"*62*")&gt;0,COUNTIF(I1761,"63*")&gt;0,COUNTIF(J1761,"*63*")&gt;0,COUNTIF(I1761,"85*")&gt;0,COUNTIF(J1761,"*85*")&gt;0,COUNTIF(I1761,"86*")&gt;0,COUNTIF(J1761,"*86*")&gt;0),"Да","Нет"))</f>
        <v/>
      </c>
      <c r="M1761" s="13">
        <f>IF(OR(G1761="",L1761&lt;&gt;"Да"),"",IF(G1761&lt;=100,"До 100",IF(G1761&lt;=200,"До 200",IF(G1761&lt;=500,"До 500","Отдельное КП"))))</f>
        <v/>
      </c>
      <c r="N1761" s="15">
        <f>IF(OR(G1761="",L1761&lt;&gt;"Да"),"",IF(G1761&lt;=100,33600,IF(G1761&lt;=200,62400,IF(G1761&lt;=500,144000,""))))</f>
        <v/>
      </c>
      <c r="O1761" s="16">
        <f>IF(G1761="","",IF(G1761&lt;=15,"1–15",IF(G1761&lt;=30,"16–30",IF(G1761&lt;=50,"31–50",IF(G1761&lt;=100,"51–100",IF(G1761&lt;=150,"101–150",IF(G1761&lt;=200,"151–200",IF(G1761&lt;=500,"201–500","500+"))))))))</f>
        <v/>
      </c>
      <c r="P1761" s="16" t="inlineStr">
        <is>
          <t>Нет совпадения в предоставленной выгрузке ССЧР</t>
        </is>
      </c>
      <c r="Q1761" s="16" t="n"/>
      <c r="R1761" s="16">
        <f>HYPERLINK("https://checko.ru/search?query=3801001629","Чекко: проверить")</f>
        <v/>
      </c>
      <c r="S1761" t="n">
        <v>0</v>
      </c>
    </row>
    <row r="1762" ht="27.75" customHeight="1" s="24">
      <c r="A1762" s="13" t="n">
        <v>5000063236</v>
      </c>
      <c r="B1762" s="13" t="inlineStr">
        <is>
          <t>ОбГБУ "Инспекция по Ветеринарии и Безопасности Продовольствия"</t>
        </is>
      </c>
      <c r="C1762" s="13" t="n">
        <v>7325170664</v>
      </c>
      <c r="D1762" s="13" t="inlineStr">
        <is>
          <t>7325170664</t>
        </is>
      </c>
      <c r="E1762" s="13" t="inlineStr">
        <is>
          <t>ЮЛ РФ</t>
        </is>
      </c>
      <c r="F1762" s="13" t="n"/>
      <c r="G1762" s="14" t="n"/>
      <c r="H1762" s="14" t="n"/>
      <c r="I1762" s="14" t="n"/>
      <c r="J1762" s="14" t="n"/>
      <c r="K1762" s="53" t="inlineStr"/>
      <c r="L1762" s="53" t="inlineStr">
        <is>
          <t>Не определено</t>
        </is>
      </c>
      <c r="M1762" s="53" t="inlineStr"/>
      <c r="N1762" s="54" t="inlineStr"/>
      <c r="O1762" s="55" t="inlineStr"/>
      <c r="P1762" s="16" t="inlineStr">
        <is>
          <t>Требует обогащения</t>
        </is>
      </c>
      <c r="Q1762" s="16">
        <f>HYPERLINK("https://pb.nalog.ru/search.html?query=7325170664","ФНС: проверить")</f>
        <v/>
      </c>
      <c r="R1762" s="16">
        <f>HYPERLINK("https://checko.ru/search?query=3801001629","Чекко: проверить")</f>
        <v/>
      </c>
      <c r="S1762" t="n">
        <v>1</v>
      </c>
      <c r="T1762" s="35" t="inlineStr">
        <is>
          <t>4 — Не обогащён</t>
        </is>
      </c>
      <c r="U1762" s="35" t="inlineStr">
        <is>
          <t>Нет ОКВЭД/ССЧР</t>
        </is>
      </c>
      <c r="V1762" s="35" t="inlineStr">
        <is>
          <t>Не определено</t>
        </is>
      </c>
      <c r="W1762" s="35" t="inlineStr"/>
      <c r="X1762" s="35" t="inlineStr"/>
    </row>
    <row r="1763" ht="41.25" customHeight="1" s="24">
      <c r="A1763" s="13" t="n">
        <v>5000001619</v>
      </c>
      <c r="B1763" s="13" t="inlineStr">
        <is>
          <t>ОБЛАСТНОЕ ГОСУДАРСТВЕННОЕ БЮДЖЕТНОЕ УЧРЕЖДЕНИЕ ЗДРАВООХРАНЕНИЯ "УСТЬ-КУТСКАЯ РАЙОННАЯ БОЛЬНИЦА"</t>
        </is>
      </c>
      <c r="C1763" s="13" t="n">
        <v>3818007019</v>
      </c>
      <c r="D1763" s="13" t="inlineStr">
        <is>
          <t>3818007019</t>
        </is>
      </c>
      <c r="E1763" s="13" t="inlineStr">
        <is>
          <t>ЮЛ РФ</t>
        </is>
      </c>
      <c r="F1763" s="13" t="n"/>
      <c r="G1763" s="14" t="n"/>
      <c r="H1763" s="14" t="n"/>
      <c r="I1763" s="14" t="n"/>
      <c r="J1763" s="14" t="n"/>
      <c r="K1763" s="53" t="inlineStr"/>
      <c r="L1763" s="53" t="inlineStr">
        <is>
          <t>Не определено</t>
        </is>
      </c>
      <c r="M1763" s="53" t="inlineStr"/>
      <c r="N1763" s="54" t="inlineStr"/>
      <c r="O1763" s="55" t="inlineStr"/>
      <c r="P1763" s="16" t="inlineStr">
        <is>
          <t>Требует обогащения</t>
        </is>
      </c>
      <c r="Q1763" s="16">
        <f>HYPERLINK("https://pb.nalog.ru/search.html?query=3818007019","ФНС: проверить")</f>
        <v/>
      </c>
      <c r="R1763" s="16">
        <f>HYPERLINK("https://checko.ru/search?query=3801001629","Чекко: проверить")</f>
        <v/>
      </c>
      <c r="S1763" t="n">
        <v>1</v>
      </c>
      <c r="T1763" s="35" t="inlineStr">
        <is>
          <t>4 — Не обогащён</t>
        </is>
      </c>
      <c r="U1763" s="35" t="inlineStr">
        <is>
          <t>Нет ОКВЭД/ССЧР</t>
        </is>
      </c>
      <c r="V1763" s="35" t="inlineStr">
        <is>
          <t>Не определено</t>
        </is>
      </c>
      <c r="W1763" s="35" t="inlineStr"/>
      <c r="X1763" s="35" t="inlineStr"/>
    </row>
    <row r="1764" ht="27.75" customHeight="1" s="24">
      <c r="A1764" s="13" t="n">
        <v>5000004248</v>
      </c>
      <c r="B1764" s="13" t="inlineStr">
        <is>
          <t>Областное ГБУ "Центр государственной кадастровой оценки объектов недвижимости"</t>
        </is>
      </c>
      <c r="C1764" s="13" t="n">
        <v>3801142789</v>
      </c>
      <c r="D1764" s="13" t="inlineStr">
        <is>
          <t>3801142789</t>
        </is>
      </c>
      <c r="E1764" s="13" t="inlineStr">
        <is>
          <t>ЮЛ РФ</t>
        </is>
      </c>
      <c r="F1764" s="13" t="n"/>
      <c r="G1764" s="14" t="n"/>
      <c r="H1764" s="14" t="n"/>
      <c r="I1764" s="14" t="n"/>
      <c r="J1764" s="14" t="n"/>
      <c r="K1764" s="53" t="inlineStr"/>
      <c r="L1764" s="53" t="inlineStr">
        <is>
          <t>Не определено</t>
        </is>
      </c>
      <c r="M1764" s="53" t="inlineStr"/>
      <c r="N1764" s="54" t="inlineStr"/>
      <c r="O1764" s="55" t="inlineStr"/>
      <c r="P1764" s="16" t="inlineStr">
        <is>
          <t>Требует обогащения</t>
        </is>
      </c>
      <c r="Q1764" s="16">
        <f>HYPERLINK("https://pb.nalog.ru/search.html?query=3801142789","ФНС: проверить")</f>
        <v/>
      </c>
      <c r="R1764" s="16">
        <f>HYPERLINK("https://checko.ru/search?query=3801001629","Чекко: проверить")</f>
        <v/>
      </c>
      <c r="S1764" t="n">
        <v>1</v>
      </c>
      <c r="T1764" s="35" t="inlineStr">
        <is>
          <t>4 — Не обогащён</t>
        </is>
      </c>
      <c r="U1764" s="35" t="inlineStr">
        <is>
          <t>Нет ОКВЭД/ССЧР</t>
        </is>
      </c>
      <c r="V1764" s="35" t="inlineStr">
        <is>
          <t>Не определено</t>
        </is>
      </c>
      <c r="W1764" s="35" t="inlineStr"/>
      <c r="X1764" s="35" t="inlineStr"/>
    </row>
    <row r="1765" ht="27.75" customHeight="1" s="24">
      <c r="A1765" s="13" t="n">
        <v>5000001575</v>
      </c>
      <c r="B1765" s="13" t="inlineStr">
        <is>
          <t>ГБУЗ Иркутское областное бюро судебно-медицинской экспертизы</t>
        </is>
      </c>
      <c r="C1765" s="13" t="n">
        <v>3811033806</v>
      </c>
      <c r="D1765" s="13" t="inlineStr">
        <is>
          <t>3811033806</t>
        </is>
      </c>
      <c r="E1765" s="13" t="inlineStr">
        <is>
          <t>ЮЛ РФ</t>
        </is>
      </c>
      <c r="F1765" s="13" t="n"/>
      <c r="G1765" s="14" t="n"/>
      <c r="H1765" s="14" t="n"/>
      <c r="I1765" s="14" t="n"/>
      <c r="J1765" s="14" t="n"/>
      <c r="K1765" s="53" t="inlineStr"/>
      <c r="L1765" s="53" t="inlineStr">
        <is>
          <t>Не определено</t>
        </is>
      </c>
      <c r="M1765" s="53" t="inlineStr"/>
      <c r="N1765" s="54" t="inlineStr"/>
      <c r="O1765" s="55" t="inlineStr"/>
      <c r="P1765" s="16" t="inlineStr">
        <is>
          <t>Требует обогащения</t>
        </is>
      </c>
      <c r="Q1765" s="16">
        <f>HYPERLINK("https://pb.nalog.ru/search.html?query=3811033806","ФНС: проверить")</f>
        <v/>
      </c>
      <c r="R1765" s="16">
        <f>HYPERLINK("https://checko.ru/search?query=3801001629","Чекко: проверить")</f>
        <v/>
      </c>
      <c r="S1765" t="n">
        <v>1</v>
      </c>
      <c r="T1765" s="35" t="inlineStr">
        <is>
          <t>4 — Не обогащён</t>
        </is>
      </c>
      <c r="U1765" s="35" t="inlineStr">
        <is>
          <t>Нет ОКВЭД/ССЧР</t>
        </is>
      </c>
      <c r="V1765" s="35" t="inlineStr">
        <is>
          <t>Не определено</t>
        </is>
      </c>
      <c r="W1765" s="35" t="inlineStr"/>
      <c r="X1765" s="35" t="inlineStr"/>
    </row>
    <row r="1766" ht="15" customHeight="1" s="24">
      <c r="A1766" s="13" t="n">
        <v>5000002050</v>
      </c>
      <c r="B1766" s="13" t="inlineStr">
        <is>
          <t>ОГБОУ СПО "УОМК им. Шобогорова М. Ш."</t>
        </is>
      </c>
      <c r="C1766" s="13" t="n">
        <v>8506003522</v>
      </c>
      <c r="D1766" s="13" t="inlineStr">
        <is>
          <t>8506003522</t>
        </is>
      </c>
      <c r="E1766" s="13" t="inlineStr">
        <is>
          <t>ЮЛ РФ</t>
        </is>
      </c>
      <c r="F1766" s="13" t="n"/>
      <c r="G1766" s="14" t="n"/>
      <c r="H1766" s="14" t="n"/>
      <c r="I1766" s="14" t="n"/>
      <c r="J1766" s="14" t="n"/>
      <c r="K1766" s="53" t="inlineStr"/>
      <c r="L1766" s="53" t="inlineStr">
        <is>
          <t>Не определено</t>
        </is>
      </c>
      <c r="M1766" s="53" t="inlineStr"/>
      <c r="N1766" s="54" t="inlineStr"/>
      <c r="O1766" s="55" t="inlineStr"/>
      <c r="P1766" s="16" t="inlineStr">
        <is>
          <t>Требует обогащения</t>
        </is>
      </c>
      <c r="Q1766" s="16">
        <f>HYPERLINK("https://pb.nalog.ru/search.html?query=8506003522","ФНС: проверить")</f>
        <v/>
      </c>
      <c r="R1766" s="16">
        <f>HYPERLINK("https://checko.ru/search?query=3801001629","Чекко: проверить")</f>
        <v/>
      </c>
      <c r="S1766" t="n">
        <v>1</v>
      </c>
      <c r="T1766" s="35" t="inlineStr">
        <is>
          <t>4 — Не обогащён</t>
        </is>
      </c>
      <c r="U1766" s="35" t="inlineStr">
        <is>
          <t>Нет ОКВЭД/ССЧР</t>
        </is>
      </c>
      <c r="V1766" s="35" t="inlineStr">
        <is>
          <t>Не определено</t>
        </is>
      </c>
      <c r="W1766" s="35" t="inlineStr"/>
      <c r="X1766" s="35" t="inlineStr"/>
    </row>
    <row r="1767" ht="15" customHeight="1" s="24">
      <c r="A1767" s="13" t="n">
        <v>5000095010</v>
      </c>
      <c r="B1767" s="13" t="inlineStr">
        <is>
          <t>Врачебно-физкультурный диспансер</t>
        </is>
      </c>
      <c r="C1767" s="13" t="n">
        <v>711037745</v>
      </c>
      <c r="D1767" s="13" t="n"/>
      <c r="E1767" s="13" t="inlineStr">
        <is>
          <t>Не определён</t>
        </is>
      </c>
      <c r="F1767" s="13" t="inlineStr">
        <is>
          <t>711037745</t>
        </is>
      </c>
      <c r="G1767" s="14" t="n"/>
      <c r="H1767" s="14" t="n"/>
      <c r="I1767" s="14" t="n"/>
      <c r="J1767" s="14" t="n"/>
      <c r="K1767" s="13">
        <f>IF(G1767="","",IF(G1767&gt;=22,"Да","Нет"))</f>
        <v/>
      </c>
      <c r="L1767" s="13">
        <f>IF(OR(I1767="",J1767=""),"Не определено",IF(OR(COUNTIF(I1767,"45*")&gt;0,COUNTIF(J1767,"*45*")&gt;0,COUNTIF(I1767,"46*")&gt;0,COUNTIF(J1767,"*46*")&gt;0,COUNTIF(I1767,"47*")&gt;0,COUNTIF(J1767,"*47*")&gt;0,COUNTIF(I1767,"10*")&gt;0,COUNTIF(J1767,"*10*")&gt;0,COUNTIF(I1767,"11*")&gt;0,COUNTIF(J1767,"*11*")&gt;0,COUNTIF(I1767,"12*")&gt;0,COUNTIF(J1767,"*12*")&gt;0,COUNTIF(I1767,"13*")&gt;0,COUNTIF(J1767,"*13*")&gt;0,COUNTIF(I1767,"14*")&gt;0,COUNTIF(J1767,"*14*")&gt;0,COUNTIF(I1767,"15*")&gt;0,COUNTIF(J1767,"*15*")&gt;0,COUNTIF(I1767,"16*")&gt;0,COUNTIF(J1767,"*16*")&gt;0,COUNTIF(I1767,"17*")&gt;0,COUNTIF(J1767,"*17*")&gt;0,COUNTIF(I1767,"18*")&gt;0,COUNTIF(J1767,"*18*")&gt;0,COUNTIF(I1767,"19*")&gt;0,COUNTIF(J1767,"*19*")&gt;0,COUNTIF(I1767,"20*")&gt;0,COUNTIF(J1767,"*20*")&gt;0,COUNTIF(I1767,"21*")&gt;0,COUNTIF(J1767,"*21*")&gt;0,COUNTIF(I1767,"22*")&gt;0,COUNTIF(J1767,"*22*")&gt;0,COUNTIF(I1767,"23*")&gt;0,COUNTIF(J1767,"*23*")&gt;0,COUNTIF(I1767,"24*")&gt;0,COUNTIF(J1767,"*24*")&gt;0,COUNTIF(I1767,"25*")&gt;0,COUNTIF(J1767,"*25*")&gt;0,COUNTIF(I1767,"26*")&gt;0,COUNTIF(J1767,"*26*")&gt;0,COUNTIF(I1767,"27*")&gt;0,COUNTIF(J1767,"*27*")&gt;0,COUNTIF(I1767,"28*")&gt;0,COUNTIF(J1767,"*28*")&gt;0,COUNTIF(I1767,"29*")&gt;0,COUNTIF(J1767,"*29*")&gt;0,COUNTIF(I1767,"30*")&gt;0,COUNTIF(J1767,"*30*")&gt;0,COUNTIF(I1767,"31*")&gt;0,COUNTIF(J1767,"*31*")&gt;0,COUNTIF(I1767,"32*")&gt;0,COUNTIF(J1767,"*32*")&gt;0,COUNTIF(I1767,"33*")&gt;0,COUNTIF(J1767,"*33*")&gt;0,COUNTIF(I1767,"41*")&gt;0,COUNTIF(J1767,"*41*")&gt;0,COUNTIF(I1767,"42*")&gt;0,COUNTIF(J1767,"*42*")&gt;0,COUNTIF(I1767,"43*")&gt;0,COUNTIF(J1767,"*43*")&gt;0,COUNTIF(I1767,"49*")&gt;0,COUNTIF(J1767,"*49*")&gt;0,COUNTIF(I1767,"52*")&gt;0,COUNTIF(J1767,"*52*")&gt;0,COUNTIF(I1767,"55*")&gt;0,COUNTIF(J1767,"*55*")&gt;0,COUNTIF(I1767,"56*")&gt;0,COUNTIF(J1767,"*56*")&gt;0,COUNTIF(I1767,"68*")&gt;0,COUNTIF(J1767,"*68*")&gt;0,COUNTIF(I1767,"78*")&gt;0,COUNTIF(J1767,"*78*")&gt;0,COUNTIF(I1767,"81*")&gt;0,COUNTIF(J1767,"*81*")&gt;0,COUNTIF(I1767,"82*")&gt;0,COUNTIF(J1767,"*82*")&gt;0,COUNTIF(I1767,"64*")&gt;0,COUNTIF(J1767,"*64*")&gt;0,COUNTIF(I1767,"65*")&gt;0,COUNTIF(J1767,"*65*")&gt;0,COUNTIF(I1767,"66*")&gt;0,COUNTIF(J1767,"*66*")&gt;0,COUNTIF(I1767,"61*")&gt;0,COUNTIF(J1767,"*61*")&gt;0,COUNTIF(I1767,"62*")&gt;0,COUNTIF(J1767,"*62*")&gt;0,COUNTIF(I1767,"63*")&gt;0,COUNTIF(J1767,"*63*")&gt;0,COUNTIF(I1767,"85*")&gt;0,COUNTIF(J1767,"*85*")&gt;0,COUNTIF(I1767,"86*")&gt;0,COUNTIF(J1767,"*86*")&gt;0),"Да","Нет"))</f>
        <v/>
      </c>
      <c r="M1767" s="13">
        <f>IF(OR(G1767="",L1767&lt;&gt;"Да"),"",IF(G1767&lt;=100,"До 100",IF(G1767&lt;=200,"До 200",IF(G1767&lt;=500,"До 500","Отдельное КП"))))</f>
        <v/>
      </c>
      <c r="N1767" s="15">
        <f>IF(OR(G1767="",L1767&lt;&gt;"Да"),"",IF(G1767&lt;=100,33600,IF(G1767&lt;=200,62400,IF(G1767&lt;=500,144000,""))))</f>
        <v/>
      </c>
      <c r="O1767" s="16">
        <f>IF(G1767="","",IF(G1767&lt;=15,"1–15",IF(G1767&lt;=30,"16–30",IF(G1767&lt;=50,"31–50",IF(G1767&lt;=100,"51–100",IF(G1767&lt;=150,"101–150",IF(G1767&lt;=200,"151–200",IF(G1767&lt;=500,"201–500","500+"))))))))</f>
        <v/>
      </c>
      <c r="P1767" s="16" t="inlineStr">
        <is>
          <t>Нет совпадения в предоставленной выгрузке ССЧР</t>
        </is>
      </c>
      <c r="Q1767" s="16" t="n"/>
      <c r="R1767" s="16">
        <f>HYPERLINK("https://checko.ru/search?query=3801001629","Чекко: проверить")</f>
        <v/>
      </c>
      <c r="S1767" t="n">
        <v>0</v>
      </c>
    </row>
    <row r="1768" ht="27.75" customHeight="1" s="24">
      <c r="A1768" s="13" t="n">
        <v>5000075685</v>
      </c>
      <c r="B1768" s="13" t="inlineStr">
        <is>
          <t>ГКУ Оренбургской области «Центр бюджетного учета и отчетности»</t>
        </is>
      </c>
      <c r="C1768" s="13" t="n">
        <v>5612166065</v>
      </c>
      <c r="D1768" s="13" t="inlineStr">
        <is>
          <t>5612166065</t>
        </is>
      </c>
      <c r="E1768" s="13" t="inlineStr">
        <is>
          <t>ЮЛ РФ</t>
        </is>
      </c>
      <c r="F1768" s="13" t="n"/>
      <c r="G1768" s="14" t="n"/>
      <c r="H1768" s="14" t="n"/>
      <c r="I1768" s="14" t="n"/>
      <c r="J1768" s="14" t="n"/>
      <c r="K1768" s="53" t="inlineStr"/>
      <c r="L1768" s="53" t="inlineStr">
        <is>
          <t>Не определено</t>
        </is>
      </c>
      <c r="M1768" s="53" t="inlineStr"/>
      <c r="N1768" s="54" t="inlineStr"/>
      <c r="O1768" s="55" t="inlineStr"/>
      <c r="P1768" s="16" t="inlineStr">
        <is>
          <t>Требует обогащения</t>
        </is>
      </c>
      <c r="Q1768" s="16">
        <f>HYPERLINK("https://pb.nalog.ru/search.html?query=5612166065","ФНС: проверить")</f>
        <v/>
      </c>
      <c r="R1768" s="16">
        <f>HYPERLINK("https://checko.ru/search?query=3801001629","Чекко: проверить")</f>
        <v/>
      </c>
      <c r="S1768" t="n">
        <v>1</v>
      </c>
      <c r="T1768" s="35" t="inlineStr">
        <is>
          <t>4 — Не обогащён</t>
        </is>
      </c>
      <c r="U1768" s="35" t="inlineStr">
        <is>
          <t>Нет ОКВЭД/ССЧР</t>
        </is>
      </c>
      <c r="V1768" s="35" t="inlineStr">
        <is>
          <t>Не определено</t>
        </is>
      </c>
      <c r="W1768" s="35" t="inlineStr"/>
      <c r="X1768" s="35" t="inlineStr"/>
    </row>
    <row r="1769" ht="15" customHeight="1" s="24">
      <c r="A1769" s="13" t="n">
        <v>5000095041</v>
      </c>
      <c r="B1769" s="13" t="inlineStr">
        <is>
          <t>МБОУ Прогимназия 52</t>
        </is>
      </c>
      <c r="C1769" s="13" t="n">
        <v>711042343</v>
      </c>
      <c r="D1769" s="13" t="n"/>
      <c r="E1769" s="13" t="inlineStr">
        <is>
          <t>Не определён</t>
        </is>
      </c>
      <c r="F1769" s="13" t="inlineStr">
        <is>
          <t>711042343</t>
        </is>
      </c>
      <c r="G1769" s="14" t="n"/>
      <c r="H1769" s="14" t="n"/>
      <c r="I1769" s="14" t="n"/>
      <c r="J1769" s="14" t="n"/>
      <c r="K1769" s="13">
        <f>IF(G1769="","",IF(G1769&gt;=22,"Да","Нет"))</f>
        <v/>
      </c>
      <c r="L1769" s="13">
        <f>IF(OR(I1769="",J1769=""),"Не определено",IF(OR(COUNTIF(I1769,"45*")&gt;0,COUNTIF(J1769,"*45*")&gt;0,COUNTIF(I1769,"46*")&gt;0,COUNTIF(J1769,"*46*")&gt;0,COUNTIF(I1769,"47*")&gt;0,COUNTIF(J1769,"*47*")&gt;0,COUNTIF(I1769,"10*")&gt;0,COUNTIF(J1769,"*10*")&gt;0,COUNTIF(I1769,"11*")&gt;0,COUNTIF(J1769,"*11*")&gt;0,COUNTIF(I1769,"12*")&gt;0,COUNTIF(J1769,"*12*")&gt;0,COUNTIF(I1769,"13*")&gt;0,COUNTIF(J1769,"*13*")&gt;0,COUNTIF(I1769,"14*")&gt;0,COUNTIF(J1769,"*14*")&gt;0,COUNTIF(I1769,"15*")&gt;0,COUNTIF(J1769,"*15*")&gt;0,COUNTIF(I1769,"16*")&gt;0,COUNTIF(J1769,"*16*")&gt;0,COUNTIF(I1769,"17*")&gt;0,COUNTIF(J1769,"*17*")&gt;0,COUNTIF(I1769,"18*")&gt;0,COUNTIF(J1769,"*18*")&gt;0,COUNTIF(I1769,"19*")&gt;0,COUNTIF(J1769,"*19*")&gt;0,COUNTIF(I1769,"20*")&gt;0,COUNTIF(J1769,"*20*")&gt;0,COUNTIF(I1769,"21*")&gt;0,COUNTIF(J1769,"*21*")&gt;0,COUNTIF(I1769,"22*")&gt;0,COUNTIF(J1769,"*22*")&gt;0,COUNTIF(I1769,"23*")&gt;0,COUNTIF(J1769,"*23*")&gt;0,COUNTIF(I1769,"24*")&gt;0,COUNTIF(J1769,"*24*")&gt;0,COUNTIF(I1769,"25*")&gt;0,COUNTIF(J1769,"*25*")&gt;0,COUNTIF(I1769,"26*")&gt;0,COUNTIF(J1769,"*26*")&gt;0,COUNTIF(I1769,"27*")&gt;0,COUNTIF(J1769,"*27*")&gt;0,COUNTIF(I1769,"28*")&gt;0,COUNTIF(J1769,"*28*")&gt;0,COUNTIF(I1769,"29*")&gt;0,COUNTIF(J1769,"*29*")&gt;0,COUNTIF(I1769,"30*")&gt;0,COUNTIF(J1769,"*30*")&gt;0,COUNTIF(I1769,"31*")&gt;0,COUNTIF(J1769,"*31*")&gt;0,COUNTIF(I1769,"32*")&gt;0,COUNTIF(J1769,"*32*")&gt;0,COUNTIF(I1769,"33*")&gt;0,COUNTIF(J1769,"*33*")&gt;0,COUNTIF(I1769,"41*")&gt;0,COUNTIF(J1769,"*41*")&gt;0,COUNTIF(I1769,"42*")&gt;0,COUNTIF(J1769,"*42*")&gt;0,COUNTIF(I1769,"43*")&gt;0,COUNTIF(J1769,"*43*")&gt;0,COUNTIF(I1769,"49*")&gt;0,COUNTIF(J1769,"*49*")&gt;0,COUNTIF(I1769,"52*")&gt;0,COUNTIF(J1769,"*52*")&gt;0,COUNTIF(I1769,"55*")&gt;0,COUNTIF(J1769,"*55*")&gt;0,COUNTIF(I1769,"56*")&gt;0,COUNTIF(J1769,"*56*")&gt;0,COUNTIF(I1769,"68*")&gt;0,COUNTIF(J1769,"*68*")&gt;0,COUNTIF(I1769,"78*")&gt;0,COUNTIF(J1769,"*78*")&gt;0,COUNTIF(I1769,"81*")&gt;0,COUNTIF(J1769,"*81*")&gt;0,COUNTIF(I1769,"82*")&gt;0,COUNTIF(J1769,"*82*")&gt;0,COUNTIF(I1769,"64*")&gt;0,COUNTIF(J1769,"*64*")&gt;0,COUNTIF(I1769,"65*")&gt;0,COUNTIF(J1769,"*65*")&gt;0,COUNTIF(I1769,"66*")&gt;0,COUNTIF(J1769,"*66*")&gt;0,COUNTIF(I1769,"61*")&gt;0,COUNTIF(J1769,"*61*")&gt;0,COUNTIF(I1769,"62*")&gt;0,COUNTIF(J1769,"*62*")&gt;0,COUNTIF(I1769,"63*")&gt;0,COUNTIF(J1769,"*63*")&gt;0,COUNTIF(I1769,"85*")&gt;0,COUNTIF(J1769,"*85*")&gt;0,COUNTIF(I1769,"86*")&gt;0,COUNTIF(J1769,"*86*")&gt;0),"Да","Нет"))</f>
        <v/>
      </c>
      <c r="M1769" s="13">
        <f>IF(OR(G1769="",L1769&lt;&gt;"Да"),"",IF(G1769&lt;=100,"До 100",IF(G1769&lt;=200,"До 200",IF(G1769&lt;=500,"До 500","Отдельное КП"))))</f>
        <v/>
      </c>
      <c r="N1769" s="15">
        <f>IF(OR(G1769="",L1769&lt;&gt;"Да"),"",IF(G1769&lt;=100,33600,IF(G1769&lt;=200,62400,IF(G1769&lt;=500,144000,""))))</f>
        <v/>
      </c>
      <c r="O1769" s="16">
        <f>IF(G1769="","",IF(G1769&lt;=15,"1–15",IF(G1769&lt;=30,"16–30",IF(G1769&lt;=50,"31–50",IF(G1769&lt;=100,"51–100",IF(G1769&lt;=150,"101–150",IF(G1769&lt;=200,"151–200",IF(G1769&lt;=500,"201–500","500+"))))))))</f>
        <v/>
      </c>
      <c r="P1769" s="16" t="inlineStr">
        <is>
          <t>Нет совпадения в предоставленной выгрузке ССЧР</t>
        </is>
      </c>
      <c r="Q1769" s="16" t="n"/>
      <c r="R1769" s="16">
        <f>HYPERLINK("https://checko.ru/search?query=3801001629","Чекко: проверить")</f>
        <v/>
      </c>
      <c r="S1769" t="n">
        <v>0</v>
      </c>
    </row>
    <row r="1770" ht="15" customHeight="1" s="24">
      <c r="A1770" s="13" t="n">
        <v>5000094787</v>
      </c>
      <c r="B1770" s="13" t="inlineStr">
        <is>
          <t>МКОУ НШДС №35 г.п.Нарткала</t>
        </is>
      </c>
      <c r="C1770" s="13" t="n">
        <v>707010892</v>
      </c>
      <c r="D1770" s="13" t="n"/>
      <c r="E1770" s="13" t="inlineStr">
        <is>
          <t>Не определён</t>
        </is>
      </c>
      <c r="F1770" s="13" t="inlineStr">
        <is>
          <t>707010892</t>
        </is>
      </c>
      <c r="G1770" s="14" t="n"/>
      <c r="H1770" s="14" t="n"/>
      <c r="I1770" s="14" t="n"/>
      <c r="J1770" s="14" t="n"/>
      <c r="K1770" s="13">
        <f>IF(G1770="","",IF(G1770&gt;=22,"Да","Нет"))</f>
        <v/>
      </c>
      <c r="L1770" s="13">
        <f>IF(OR(I1770="",J1770=""),"Не определено",IF(OR(COUNTIF(I1770,"45*")&gt;0,COUNTIF(J1770,"*45*")&gt;0,COUNTIF(I1770,"46*")&gt;0,COUNTIF(J1770,"*46*")&gt;0,COUNTIF(I1770,"47*")&gt;0,COUNTIF(J1770,"*47*")&gt;0,COUNTIF(I1770,"10*")&gt;0,COUNTIF(J1770,"*10*")&gt;0,COUNTIF(I1770,"11*")&gt;0,COUNTIF(J1770,"*11*")&gt;0,COUNTIF(I1770,"12*")&gt;0,COUNTIF(J1770,"*12*")&gt;0,COUNTIF(I1770,"13*")&gt;0,COUNTIF(J1770,"*13*")&gt;0,COUNTIF(I1770,"14*")&gt;0,COUNTIF(J1770,"*14*")&gt;0,COUNTIF(I1770,"15*")&gt;0,COUNTIF(J1770,"*15*")&gt;0,COUNTIF(I1770,"16*")&gt;0,COUNTIF(J1770,"*16*")&gt;0,COUNTIF(I1770,"17*")&gt;0,COUNTIF(J1770,"*17*")&gt;0,COUNTIF(I1770,"18*")&gt;0,COUNTIF(J1770,"*18*")&gt;0,COUNTIF(I1770,"19*")&gt;0,COUNTIF(J1770,"*19*")&gt;0,COUNTIF(I1770,"20*")&gt;0,COUNTIF(J1770,"*20*")&gt;0,COUNTIF(I1770,"21*")&gt;0,COUNTIF(J1770,"*21*")&gt;0,COUNTIF(I1770,"22*")&gt;0,COUNTIF(J1770,"*22*")&gt;0,COUNTIF(I1770,"23*")&gt;0,COUNTIF(J1770,"*23*")&gt;0,COUNTIF(I1770,"24*")&gt;0,COUNTIF(J1770,"*24*")&gt;0,COUNTIF(I1770,"25*")&gt;0,COUNTIF(J1770,"*25*")&gt;0,COUNTIF(I1770,"26*")&gt;0,COUNTIF(J1770,"*26*")&gt;0,COUNTIF(I1770,"27*")&gt;0,COUNTIF(J1770,"*27*")&gt;0,COUNTIF(I1770,"28*")&gt;0,COUNTIF(J1770,"*28*")&gt;0,COUNTIF(I1770,"29*")&gt;0,COUNTIF(J1770,"*29*")&gt;0,COUNTIF(I1770,"30*")&gt;0,COUNTIF(J1770,"*30*")&gt;0,COUNTIF(I1770,"31*")&gt;0,COUNTIF(J1770,"*31*")&gt;0,COUNTIF(I1770,"32*")&gt;0,COUNTIF(J1770,"*32*")&gt;0,COUNTIF(I1770,"33*")&gt;0,COUNTIF(J1770,"*33*")&gt;0,COUNTIF(I1770,"41*")&gt;0,COUNTIF(J1770,"*41*")&gt;0,COUNTIF(I1770,"42*")&gt;0,COUNTIF(J1770,"*42*")&gt;0,COUNTIF(I1770,"43*")&gt;0,COUNTIF(J1770,"*43*")&gt;0,COUNTIF(I1770,"49*")&gt;0,COUNTIF(J1770,"*49*")&gt;0,COUNTIF(I1770,"52*")&gt;0,COUNTIF(J1770,"*52*")&gt;0,COUNTIF(I1770,"55*")&gt;0,COUNTIF(J1770,"*55*")&gt;0,COUNTIF(I1770,"56*")&gt;0,COUNTIF(J1770,"*56*")&gt;0,COUNTIF(I1770,"68*")&gt;0,COUNTIF(J1770,"*68*")&gt;0,COUNTIF(I1770,"78*")&gt;0,COUNTIF(J1770,"*78*")&gt;0,COUNTIF(I1770,"81*")&gt;0,COUNTIF(J1770,"*81*")&gt;0,COUNTIF(I1770,"82*")&gt;0,COUNTIF(J1770,"*82*")&gt;0,COUNTIF(I1770,"64*")&gt;0,COUNTIF(J1770,"*64*")&gt;0,COUNTIF(I1770,"65*")&gt;0,COUNTIF(J1770,"*65*")&gt;0,COUNTIF(I1770,"66*")&gt;0,COUNTIF(J1770,"*66*")&gt;0,COUNTIF(I1770,"61*")&gt;0,COUNTIF(J1770,"*61*")&gt;0,COUNTIF(I1770,"62*")&gt;0,COUNTIF(J1770,"*62*")&gt;0,COUNTIF(I1770,"63*")&gt;0,COUNTIF(J1770,"*63*")&gt;0,COUNTIF(I1770,"85*")&gt;0,COUNTIF(J1770,"*85*")&gt;0,COUNTIF(I1770,"86*")&gt;0,COUNTIF(J1770,"*86*")&gt;0),"Да","Нет"))</f>
        <v/>
      </c>
      <c r="M1770" s="13">
        <f>IF(OR(G1770="",L1770&lt;&gt;"Да"),"",IF(G1770&lt;=100,"До 100",IF(G1770&lt;=200,"До 200",IF(G1770&lt;=500,"До 500","Отдельное КП"))))</f>
        <v/>
      </c>
      <c r="N1770" s="15">
        <f>IF(OR(G1770="",L1770&lt;&gt;"Да"),"",IF(G1770&lt;=100,33600,IF(G1770&lt;=200,62400,IF(G1770&lt;=500,144000,""))))</f>
        <v/>
      </c>
      <c r="O1770" s="16">
        <f>IF(G1770="","",IF(G1770&lt;=15,"1–15",IF(G1770&lt;=30,"16–30",IF(G1770&lt;=50,"31–50",IF(G1770&lt;=100,"51–100",IF(G1770&lt;=150,"101–150",IF(G1770&lt;=200,"151–200",IF(G1770&lt;=500,"201–500","500+"))))))))</f>
        <v/>
      </c>
      <c r="P1770" s="16" t="inlineStr">
        <is>
          <t>Нет совпадения в предоставленной выгрузке ССЧР</t>
        </is>
      </c>
      <c r="Q1770" s="16" t="n"/>
      <c r="R1770" s="16">
        <f>HYPERLINK("https://checko.ru/search?query=3801001629","Чекко: проверить")</f>
        <v/>
      </c>
      <c r="S1770" t="n">
        <v>0</v>
      </c>
    </row>
    <row r="1771" ht="15" customHeight="1" s="24">
      <c r="A1771" s="13" t="n">
        <v>5000094796</v>
      </c>
      <c r="B1771" s="13" t="inlineStr">
        <is>
          <t>МКОУ СОШ №2 с.п.Кахун</t>
        </is>
      </c>
      <c r="C1771" s="13" t="n">
        <v>707011455</v>
      </c>
      <c r="D1771" s="13" t="n"/>
      <c r="E1771" s="13" t="inlineStr">
        <is>
          <t>Не определён</t>
        </is>
      </c>
      <c r="F1771" s="13" t="inlineStr">
        <is>
          <t>707011455</t>
        </is>
      </c>
      <c r="G1771" s="14" t="n"/>
      <c r="H1771" s="14" t="n"/>
      <c r="I1771" s="14" t="n"/>
      <c r="J1771" s="14" t="n"/>
      <c r="K1771" s="13">
        <f>IF(G1771="","",IF(G1771&gt;=22,"Да","Нет"))</f>
        <v/>
      </c>
      <c r="L1771" s="13">
        <f>IF(OR(I1771="",J1771=""),"Не определено",IF(OR(COUNTIF(I1771,"45*")&gt;0,COUNTIF(J1771,"*45*")&gt;0,COUNTIF(I1771,"46*")&gt;0,COUNTIF(J1771,"*46*")&gt;0,COUNTIF(I1771,"47*")&gt;0,COUNTIF(J1771,"*47*")&gt;0,COUNTIF(I1771,"10*")&gt;0,COUNTIF(J1771,"*10*")&gt;0,COUNTIF(I1771,"11*")&gt;0,COUNTIF(J1771,"*11*")&gt;0,COUNTIF(I1771,"12*")&gt;0,COUNTIF(J1771,"*12*")&gt;0,COUNTIF(I1771,"13*")&gt;0,COUNTIF(J1771,"*13*")&gt;0,COUNTIF(I1771,"14*")&gt;0,COUNTIF(J1771,"*14*")&gt;0,COUNTIF(I1771,"15*")&gt;0,COUNTIF(J1771,"*15*")&gt;0,COUNTIF(I1771,"16*")&gt;0,COUNTIF(J1771,"*16*")&gt;0,COUNTIF(I1771,"17*")&gt;0,COUNTIF(J1771,"*17*")&gt;0,COUNTIF(I1771,"18*")&gt;0,COUNTIF(J1771,"*18*")&gt;0,COUNTIF(I1771,"19*")&gt;0,COUNTIF(J1771,"*19*")&gt;0,COUNTIF(I1771,"20*")&gt;0,COUNTIF(J1771,"*20*")&gt;0,COUNTIF(I1771,"21*")&gt;0,COUNTIF(J1771,"*21*")&gt;0,COUNTIF(I1771,"22*")&gt;0,COUNTIF(J1771,"*22*")&gt;0,COUNTIF(I1771,"23*")&gt;0,COUNTIF(J1771,"*23*")&gt;0,COUNTIF(I1771,"24*")&gt;0,COUNTIF(J1771,"*24*")&gt;0,COUNTIF(I1771,"25*")&gt;0,COUNTIF(J1771,"*25*")&gt;0,COUNTIF(I1771,"26*")&gt;0,COUNTIF(J1771,"*26*")&gt;0,COUNTIF(I1771,"27*")&gt;0,COUNTIF(J1771,"*27*")&gt;0,COUNTIF(I1771,"28*")&gt;0,COUNTIF(J1771,"*28*")&gt;0,COUNTIF(I1771,"29*")&gt;0,COUNTIF(J1771,"*29*")&gt;0,COUNTIF(I1771,"30*")&gt;0,COUNTIF(J1771,"*30*")&gt;0,COUNTIF(I1771,"31*")&gt;0,COUNTIF(J1771,"*31*")&gt;0,COUNTIF(I1771,"32*")&gt;0,COUNTIF(J1771,"*32*")&gt;0,COUNTIF(I1771,"33*")&gt;0,COUNTIF(J1771,"*33*")&gt;0,COUNTIF(I1771,"41*")&gt;0,COUNTIF(J1771,"*41*")&gt;0,COUNTIF(I1771,"42*")&gt;0,COUNTIF(J1771,"*42*")&gt;0,COUNTIF(I1771,"43*")&gt;0,COUNTIF(J1771,"*43*")&gt;0,COUNTIF(I1771,"49*")&gt;0,COUNTIF(J1771,"*49*")&gt;0,COUNTIF(I1771,"52*")&gt;0,COUNTIF(J1771,"*52*")&gt;0,COUNTIF(I1771,"55*")&gt;0,COUNTIF(J1771,"*55*")&gt;0,COUNTIF(I1771,"56*")&gt;0,COUNTIF(J1771,"*56*")&gt;0,COUNTIF(I1771,"68*")&gt;0,COUNTIF(J1771,"*68*")&gt;0,COUNTIF(I1771,"78*")&gt;0,COUNTIF(J1771,"*78*")&gt;0,COUNTIF(I1771,"81*")&gt;0,COUNTIF(J1771,"*81*")&gt;0,COUNTIF(I1771,"82*")&gt;0,COUNTIF(J1771,"*82*")&gt;0,COUNTIF(I1771,"64*")&gt;0,COUNTIF(J1771,"*64*")&gt;0,COUNTIF(I1771,"65*")&gt;0,COUNTIF(J1771,"*65*")&gt;0,COUNTIF(I1771,"66*")&gt;0,COUNTIF(J1771,"*66*")&gt;0,COUNTIF(I1771,"61*")&gt;0,COUNTIF(J1771,"*61*")&gt;0,COUNTIF(I1771,"62*")&gt;0,COUNTIF(J1771,"*62*")&gt;0,COUNTIF(I1771,"63*")&gt;0,COUNTIF(J1771,"*63*")&gt;0,COUNTIF(I1771,"85*")&gt;0,COUNTIF(J1771,"*85*")&gt;0,COUNTIF(I1771,"86*")&gt;0,COUNTIF(J1771,"*86*")&gt;0),"Да","Нет"))</f>
        <v/>
      </c>
      <c r="M1771" s="13">
        <f>IF(OR(G1771="",L1771&lt;&gt;"Да"),"",IF(G1771&lt;=100,"До 100",IF(G1771&lt;=200,"До 200",IF(G1771&lt;=500,"До 500","Отдельное КП"))))</f>
        <v/>
      </c>
      <c r="N1771" s="15">
        <f>IF(OR(G1771="",L1771&lt;&gt;"Да"),"",IF(G1771&lt;=100,33600,IF(G1771&lt;=200,62400,IF(G1771&lt;=500,144000,""))))</f>
        <v/>
      </c>
      <c r="O1771" s="16">
        <f>IF(G1771="","",IF(G1771&lt;=15,"1–15",IF(G1771&lt;=30,"16–30",IF(G1771&lt;=50,"31–50",IF(G1771&lt;=100,"51–100",IF(G1771&lt;=150,"101–150",IF(G1771&lt;=200,"151–200",IF(G1771&lt;=500,"201–500","500+"))))))))</f>
        <v/>
      </c>
      <c r="P1771" s="16" t="inlineStr">
        <is>
          <t>Нет совпадения в предоставленной выгрузке ССЧР</t>
        </is>
      </c>
      <c r="Q1771" s="16" t="n"/>
      <c r="R1771" s="16">
        <f>HYPERLINK("https://checko.ru/search?query=3801001629","Чекко: проверить")</f>
        <v/>
      </c>
      <c r="S1771" t="n">
        <v>0</v>
      </c>
    </row>
    <row r="1772" ht="15" customHeight="1" s="24">
      <c r="A1772" s="13" t="n">
        <v>5000094817</v>
      </c>
      <c r="B1772" s="13" t="inlineStr">
        <is>
          <t>МКОУ НШДС №2 г.п.Нарткала</t>
        </is>
      </c>
      <c r="C1772" s="13" t="n">
        <v>707011800</v>
      </c>
      <c r="D1772" s="13" t="n"/>
      <c r="E1772" s="13" t="inlineStr">
        <is>
          <t>Не определён</t>
        </is>
      </c>
      <c r="F1772" s="13" t="inlineStr">
        <is>
          <t>707011800</t>
        </is>
      </c>
      <c r="G1772" s="14" t="n"/>
      <c r="H1772" s="14" t="n"/>
      <c r="I1772" s="14" t="n"/>
      <c r="J1772" s="14" t="n"/>
      <c r="K1772" s="13">
        <f>IF(G1772="","",IF(G1772&gt;=22,"Да","Нет"))</f>
        <v/>
      </c>
      <c r="L1772" s="13">
        <f>IF(OR(I1772="",J1772=""),"Не определено",IF(OR(COUNTIF(I1772,"45*")&gt;0,COUNTIF(J1772,"*45*")&gt;0,COUNTIF(I1772,"46*")&gt;0,COUNTIF(J1772,"*46*")&gt;0,COUNTIF(I1772,"47*")&gt;0,COUNTIF(J1772,"*47*")&gt;0,COUNTIF(I1772,"10*")&gt;0,COUNTIF(J1772,"*10*")&gt;0,COUNTIF(I1772,"11*")&gt;0,COUNTIF(J1772,"*11*")&gt;0,COUNTIF(I1772,"12*")&gt;0,COUNTIF(J1772,"*12*")&gt;0,COUNTIF(I1772,"13*")&gt;0,COUNTIF(J1772,"*13*")&gt;0,COUNTIF(I1772,"14*")&gt;0,COUNTIF(J1772,"*14*")&gt;0,COUNTIF(I1772,"15*")&gt;0,COUNTIF(J1772,"*15*")&gt;0,COUNTIF(I1772,"16*")&gt;0,COUNTIF(J1772,"*16*")&gt;0,COUNTIF(I1772,"17*")&gt;0,COUNTIF(J1772,"*17*")&gt;0,COUNTIF(I1772,"18*")&gt;0,COUNTIF(J1772,"*18*")&gt;0,COUNTIF(I1772,"19*")&gt;0,COUNTIF(J1772,"*19*")&gt;0,COUNTIF(I1772,"20*")&gt;0,COUNTIF(J1772,"*20*")&gt;0,COUNTIF(I1772,"21*")&gt;0,COUNTIF(J1772,"*21*")&gt;0,COUNTIF(I1772,"22*")&gt;0,COUNTIF(J1772,"*22*")&gt;0,COUNTIF(I1772,"23*")&gt;0,COUNTIF(J1772,"*23*")&gt;0,COUNTIF(I1772,"24*")&gt;0,COUNTIF(J1772,"*24*")&gt;0,COUNTIF(I1772,"25*")&gt;0,COUNTIF(J1772,"*25*")&gt;0,COUNTIF(I1772,"26*")&gt;0,COUNTIF(J1772,"*26*")&gt;0,COUNTIF(I1772,"27*")&gt;0,COUNTIF(J1772,"*27*")&gt;0,COUNTIF(I1772,"28*")&gt;0,COUNTIF(J1772,"*28*")&gt;0,COUNTIF(I1772,"29*")&gt;0,COUNTIF(J1772,"*29*")&gt;0,COUNTIF(I1772,"30*")&gt;0,COUNTIF(J1772,"*30*")&gt;0,COUNTIF(I1772,"31*")&gt;0,COUNTIF(J1772,"*31*")&gt;0,COUNTIF(I1772,"32*")&gt;0,COUNTIF(J1772,"*32*")&gt;0,COUNTIF(I1772,"33*")&gt;0,COUNTIF(J1772,"*33*")&gt;0,COUNTIF(I1772,"41*")&gt;0,COUNTIF(J1772,"*41*")&gt;0,COUNTIF(I1772,"42*")&gt;0,COUNTIF(J1772,"*42*")&gt;0,COUNTIF(I1772,"43*")&gt;0,COUNTIF(J1772,"*43*")&gt;0,COUNTIF(I1772,"49*")&gt;0,COUNTIF(J1772,"*49*")&gt;0,COUNTIF(I1772,"52*")&gt;0,COUNTIF(J1772,"*52*")&gt;0,COUNTIF(I1772,"55*")&gt;0,COUNTIF(J1772,"*55*")&gt;0,COUNTIF(I1772,"56*")&gt;0,COUNTIF(J1772,"*56*")&gt;0,COUNTIF(I1772,"68*")&gt;0,COUNTIF(J1772,"*68*")&gt;0,COUNTIF(I1772,"78*")&gt;0,COUNTIF(J1772,"*78*")&gt;0,COUNTIF(I1772,"81*")&gt;0,COUNTIF(J1772,"*81*")&gt;0,COUNTIF(I1772,"82*")&gt;0,COUNTIF(J1772,"*82*")&gt;0,COUNTIF(I1772,"64*")&gt;0,COUNTIF(J1772,"*64*")&gt;0,COUNTIF(I1772,"65*")&gt;0,COUNTIF(J1772,"*65*")&gt;0,COUNTIF(I1772,"66*")&gt;0,COUNTIF(J1772,"*66*")&gt;0,COUNTIF(I1772,"61*")&gt;0,COUNTIF(J1772,"*61*")&gt;0,COUNTIF(I1772,"62*")&gt;0,COUNTIF(J1772,"*62*")&gt;0,COUNTIF(I1772,"63*")&gt;0,COUNTIF(J1772,"*63*")&gt;0,COUNTIF(I1772,"85*")&gt;0,COUNTIF(J1772,"*85*")&gt;0,COUNTIF(I1772,"86*")&gt;0,COUNTIF(J1772,"*86*")&gt;0),"Да","Нет"))</f>
        <v/>
      </c>
      <c r="M1772" s="13">
        <f>IF(OR(G1772="",L1772&lt;&gt;"Да"),"",IF(G1772&lt;=100,"До 100",IF(G1772&lt;=200,"До 200",IF(G1772&lt;=500,"До 500","Отдельное КП"))))</f>
        <v/>
      </c>
      <c r="N1772" s="15">
        <f>IF(OR(G1772="",L1772&lt;&gt;"Да"),"",IF(G1772&lt;=100,33600,IF(G1772&lt;=200,62400,IF(G1772&lt;=500,144000,""))))</f>
        <v/>
      </c>
      <c r="O1772" s="16">
        <f>IF(G1772="","",IF(G1772&lt;=15,"1–15",IF(G1772&lt;=30,"16–30",IF(G1772&lt;=50,"31–50",IF(G1772&lt;=100,"51–100",IF(G1772&lt;=150,"101–150",IF(G1772&lt;=200,"151–200",IF(G1772&lt;=500,"201–500","500+"))))))))</f>
        <v/>
      </c>
      <c r="P1772" s="16" t="inlineStr">
        <is>
          <t>Нет совпадения в предоставленной выгрузке ССЧР</t>
        </is>
      </c>
      <c r="Q1772" s="16" t="n"/>
      <c r="R1772" s="16">
        <f>HYPERLINK("https://checko.ru/search?query=3801001629","Чекко: проверить")</f>
        <v/>
      </c>
      <c r="S1772" t="n">
        <v>0</v>
      </c>
    </row>
    <row r="1773" ht="15" customHeight="1" s="24">
      <c r="A1773" s="13" t="n">
        <v>5000094799</v>
      </c>
      <c r="B1773" s="13" t="inlineStr">
        <is>
          <t>МКОУ СОШ №2 с.п.Псыгансу</t>
        </is>
      </c>
      <c r="C1773" s="13" t="n">
        <v>707011536</v>
      </c>
      <c r="D1773" s="13" t="n"/>
      <c r="E1773" s="13" t="inlineStr">
        <is>
          <t>Не определён</t>
        </is>
      </c>
      <c r="F1773" s="13" t="inlineStr">
        <is>
          <t>707011536</t>
        </is>
      </c>
      <c r="G1773" s="14" t="n"/>
      <c r="H1773" s="14" t="n"/>
      <c r="I1773" s="14" t="n"/>
      <c r="J1773" s="14" t="n"/>
      <c r="K1773" s="13">
        <f>IF(G1773="","",IF(G1773&gt;=22,"Да","Нет"))</f>
        <v/>
      </c>
      <c r="L1773" s="13">
        <f>IF(OR(I1773="",J1773=""),"Не определено",IF(OR(COUNTIF(I1773,"45*")&gt;0,COUNTIF(J1773,"*45*")&gt;0,COUNTIF(I1773,"46*")&gt;0,COUNTIF(J1773,"*46*")&gt;0,COUNTIF(I1773,"47*")&gt;0,COUNTIF(J1773,"*47*")&gt;0,COUNTIF(I1773,"10*")&gt;0,COUNTIF(J1773,"*10*")&gt;0,COUNTIF(I1773,"11*")&gt;0,COUNTIF(J1773,"*11*")&gt;0,COUNTIF(I1773,"12*")&gt;0,COUNTIF(J1773,"*12*")&gt;0,COUNTIF(I1773,"13*")&gt;0,COUNTIF(J1773,"*13*")&gt;0,COUNTIF(I1773,"14*")&gt;0,COUNTIF(J1773,"*14*")&gt;0,COUNTIF(I1773,"15*")&gt;0,COUNTIF(J1773,"*15*")&gt;0,COUNTIF(I1773,"16*")&gt;0,COUNTIF(J1773,"*16*")&gt;0,COUNTIF(I1773,"17*")&gt;0,COUNTIF(J1773,"*17*")&gt;0,COUNTIF(I1773,"18*")&gt;0,COUNTIF(J1773,"*18*")&gt;0,COUNTIF(I1773,"19*")&gt;0,COUNTIF(J1773,"*19*")&gt;0,COUNTIF(I1773,"20*")&gt;0,COUNTIF(J1773,"*20*")&gt;0,COUNTIF(I1773,"21*")&gt;0,COUNTIF(J1773,"*21*")&gt;0,COUNTIF(I1773,"22*")&gt;0,COUNTIF(J1773,"*22*")&gt;0,COUNTIF(I1773,"23*")&gt;0,COUNTIF(J1773,"*23*")&gt;0,COUNTIF(I1773,"24*")&gt;0,COUNTIF(J1773,"*24*")&gt;0,COUNTIF(I1773,"25*")&gt;0,COUNTIF(J1773,"*25*")&gt;0,COUNTIF(I1773,"26*")&gt;0,COUNTIF(J1773,"*26*")&gt;0,COUNTIF(I1773,"27*")&gt;0,COUNTIF(J1773,"*27*")&gt;0,COUNTIF(I1773,"28*")&gt;0,COUNTIF(J1773,"*28*")&gt;0,COUNTIF(I1773,"29*")&gt;0,COUNTIF(J1773,"*29*")&gt;0,COUNTIF(I1773,"30*")&gt;0,COUNTIF(J1773,"*30*")&gt;0,COUNTIF(I1773,"31*")&gt;0,COUNTIF(J1773,"*31*")&gt;0,COUNTIF(I1773,"32*")&gt;0,COUNTIF(J1773,"*32*")&gt;0,COUNTIF(I1773,"33*")&gt;0,COUNTIF(J1773,"*33*")&gt;0,COUNTIF(I1773,"41*")&gt;0,COUNTIF(J1773,"*41*")&gt;0,COUNTIF(I1773,"42*")&gt;0,COUNTIF(J1773,"*42*")&gt;0,COUNTIF(I1773,"43*")&gt;0,COUNTIF(J1773,"*43*")&gt;0,COUNTIF(I1773,"49*")&gt;0,COUNTIF(J1773,"*49*")&gt;0,COUNTIF(I1773,"52*")&gt;0,COUNTIF(J1773,"*52*")&gt;0,COUNTIF(I1773,"55*")&gt;0,COUNTIF(J1773,"*55*")&gt;0,COUNTIF(I1773,"56*")&gt;0,COUNTIF(J1773,"*56*")&gt;0,COUNTIF(I1773,"68*")&gt;0,COUNTIF(J1773,"*68*")&gt;0,COUNTIF(I1773,"78*")&gt;0,COUNTIF(J1773,"*78*")&gt;0,COUNTIF(I1773,"81*")&gt;0,COUNTIF(J1773,"*81*")&gt;0,COUNTIF(I1773,"82*")&gt;0,COUNTIF(J1773,"*82*")&gt;0,COUNTIF(I1773,"64*")&gt;0,COUNTIF(J1773,"*64*")&gt;0,COUNTIF(I1773,"65*")&gt;0,COUNTIF(J1773,"*65*")&gt;0,COUNTIF(I1773,"66*")&gt;0,COUNTIF(J1773,"*66*")&gt;0,COUNTIF(I1773,"61*")&gt;0,COUNTIF(J1773,"*61*")&gt;0,COUNTIF(I1773,"62*")&gt;0,COUNTIF(J1773,"*62*")&gt;0,COUNTIF(I1773,"63*")&gt;0,COUNTIF(J1773,"*63*")&gt;0,COUNTIF(I1773,"85*")&gt;0,COUNTIF(J1773,"*85*")&gt;0,COUNTIF(I1773,"86*")&gt;0,COUNTIF(J1773,"*86*")&gt;0),"Да","Нет"))</f>
        <v/>
      </c>
      <c r="M1773" s="13">
        <f>IF(OR(G1773="",L1773&lt;&gt;"Да"),"",IF(G1773&lt;=100,"До 100",IF(G1773&lt;=200,"До 200",IF(G1773&lt;=500,"До 500","Отдельное КП"))))</f>
        <v/>
      </c>
      <c r="N1773" s="15">
        <f>IF(OR(G1773="",L1773&lt;&gt;"Да"),"",IF(G1773&lt;=100,33600,IF(G1773&lt;=200,62400,IF(G1773&lt;=500,144000,""))))</f>
        <v/>
      </c>
      <c r="O1773" s="16">
        <f>IF(G1773="","",IF(G1773&lt;=15,"1–15",IF(G1773&lt;=30,"16–30",IF(G1773&lt;=50,"31–50",IF(G1773&lt;=100,"51–100",IF(G1773&lt;=150,"101–150",IF(G1773&lt;=200,"151–200",IF(G1773&lt;=500,"201–500","500+"))))))))</f>
        <v/>
      </c>
      <c r="P1773" s="16" t="inlineStr">
        <is>
          <t>Нет совпадения в предоставленной выгрузке ССЧР</t>
        </is>
      </c>
      <c r="Q1773" s="16" t="n"/>
      <c r="R1773" s="16">
        <f>HYPERLINK("https://checko.ru/search?query=3801001629","Чекко: проверить")</f>
        <v/>
      </c>
      <c r="S1773" t="n">
        <v>0</v>
      </c>
    </row>
    <row r="1774" ht="15" customHeight="1" s="24">
      <c r="A1774" s="13" t="n">
        <v>5000094793</v>
      </c>
      <c r="B1774" s="13" t="inlineStr">
        <is>
          <t>МКОУ СОШ №2 с.п.Старый Черек</t>
        </is>
      </c>
      <c r="C1774" s="13" t="n">
        <v>707011416</v>
      </c>
      <c r="D1774" s="13" t="n"/>
      <c r="E1774" s="13" t="inlineStr">
        <is>
          <t>Не определён</t>
        </is>
      </c>
      <c r="F1774" s="13" t="inlineStr">
        <is>
          <t>707011416</t>
        </is>
      </c>
      <c r="G1774" s="14" t="n"/>
      <c r="H1774" s="14" t="n"/>
      <c r="I1774" s="14" t="n"/>
      <c r="J1774" s="14" t="n"/>
      <c r="K1774" s="13">
        <f>IF(G1774="","",IF(G1774&gt;=22,"Да","Нет"))</f>
        <v/>
      </c>
      <c r="L1774" s="13">
        <f>IF(OR(I1774="",J1774=""),"Не определено",IF(OR(COUNTIF(I1774,"45*")&gt;0,COUNTIF(J1774,"*45*")&gt;0,COUNTIF(I1774,"46*")&gt;0,COUNTIF(J1774,"*46*")&gt;0,COUNTIF(I1774,"47*")&gt;0,COUNTIF(J1774,"*47*")&gt;0,COUNTIF(I1774,"10*")&gt;0,COUNTIF(J1774,"*10*")&gt;0,COUNTIF(I1774,"11*")&gt;0,COUNTIF(J1774,"*11*")&gt;0,COUNTIF(I1774,"12*")&gt;0,COUNTIF(J1774,"*12*")&gt;0,COUNTIF(I1774,"13*")&gt;0,COUNTIF(J1774,"*13*")&gt;0,COUNTIF(I1774,"14*")&gt;0,COUNTIF(J1774,"*14*")&gt;0,COUNTIF(I1774,"15*")&gt;0,COUNTIF(J1774,"*15*")&gt;0,COUNTIF(I1774,"16*")&gt;0,COUNTIF(J1774,"*16*")&gt;0,COUNTIF(I1774,"17*")&gt;0,COUNTIF(J1774,"*17*")&gt;0,COUNTIF(I1774,"18*")&gt;0,COUNTIF(J1774,"*18*")&gt;0,COUNTIF(I1774,"19*")&gt;0,COUNTIF(J1774,"*19*")&gt;0,COUNTIF(I1774,"20*")&gt;0,COUNTIF(J1774,"*20*")&gt;0,COUNTIF(I1774,"21*")&gt;0,COUNTIF(J1774,"*21*")&gt;0,COUNTIF(I1774,"22*")&gt;0,COUNTIF(J1774,"*22*")&gt;0,COUNTIF(I1774,"23*")&gt;0,COUNTIF(J1774,"*23*")&gt;0,COUNTIF(I1774,"24*")&gt;0,COUNTIF(J1774,"*24*")&gt;0,COUNTIF(I1774,"25*")&gt;0,COUNTIF(J1774,"*25*")&gt;0,COUNTIF(I1774,"26*")&gt;0,COUNTIF(J1774,"*26*")&gt;0,COUNTIF(I1774,"27*")&gt;0,COUNTIF(J1774,"*27*")&gt;0,COUNTIF(I1774,"28*")&gt;0,COUNTIF(J1774,"*28*")&gt;0,COUNTIF(I1774,"29*")&gt;0,COUNTIF(J1774,"*29*")&gt;0,COUNTIF(I1774,"30*")&gt;0,COUNTIF(J1774,"*30*")&gt;0,COUNTIF(I1774,"31*")&gt;0,COUNTIF(J1774,"*31*")&gt;0,COUNTIF(I1774,"32*")&gt;0,COUNTIF(J1774,"*32*")&gt;0,COUNTIF(I1774,"33*")&gt;0,COUNTIF(J1774,"*33*")&gt;0,COUNTIF(I1774,"41*")&gt;0,COUNTIF(J1774,"*41*")&gt;0,COUNTIF(I1774,"42*")&gt;0,COUNTIF(J1774,"*42*")&gt;0,COUNTIF(I1774,"43*")&gt;0,COUNTIF(J1774,"*43*")&gt;0,COUNTIF(I1774,"49*")&gt;0,COUNTIF(J1774,"*49*")&gt;0,COUNTIF(I1774,"52*")&gt;0,COUNTIF(J1774,"*52*")&gt;0,COUNTIF(I1774,"55*")&gt;0,COUNTIF(J1774,"*55*")&gt;0,COUNTIF(I1774,"56*")&gt;0,COUNTIF(J1774,"*56*")&gt;0,COUNTIF(I1774,"68*")&gt;0,COUNTIF(J1774,"*68*")&gt;0,COUNTIF(I1774,"78*")&gt;0,COUNTIF(J1774,"*78*")&gt;0,COUNTIF(I1774,"81*")&gt;0,COUNTIF(J1774,"*81*")&gt;0,COUNTIF(I1774,"82*")&gt;0,COUNTIF(J1774,"*82*")&gt;0,COUNTIF(I1774,"64*")&gt;0,COUNTIF(J1774,"*64*")&gt;0,COUNTIF(I1774,"65*")&gt;0,COUNTIF(J1774,"*65*")&gt;0,COUNTIF(I1774,"66*")&gt;0,COUNTIF(J1774,"*66*")&gt;0,COUNTIF(I1774,"61*")&gt;0,COUNTIF(J1774,"*61*")&gt;0,COUNTIF(I1774,"62*")&gt;0,COUNTIF(J1774,"*62*")&gt;0,COUNTIF(I1774,"63*")&gt;0,COUNTIF(J1774,"*63*")&gt;0,COUNTIF(I1774,"85*")&gt;0,COUNTIF(J1774,"*85*")&gt;0,COUNTIF(I1774,"86*")&gt;0,COUNTIF(J1774,"*86*")&gt;0),"Да","Нет"))</f>
        <v/>
      </c>
      <c r="M1774" s="13">
        <f>IF(OR(G1774="",L1774&lt;&gt;"Да"),"",IF(G1774&lt;=100,"До 100",IF(G1774&lt;=200,"До 200",IF(G1774&lt;=500,"До 500","Отдельное КП"))))</f>
        <v/>
      </c>
      <c r="N1774" s="15">
        <f>IF(OR(G1774="",L1774&lt;&gt;"Да"),"",IF(G1774&lt;=100,33600,IF(G1774&lt;=200,62400,IF(G1774&lt;=500,144000,""))))</f>
        <v/>
      </c>
      <c r="O1774" s="16">
        <f>IF(G1774="","",IF(G1774&lt;=15,"1–15",IF(G1774&lt;=30,"16–30",IF(G1774&lt;=50,"31–50",IF(G1774&lt;=100,"51–100",IF(G1774&lt;=150,"101–150",IF(G1774&lt;=200,"151–200",IF(G1774&lt;=500,"201–500","500+"))))))))</f>
        <v/>
      </c>
      <c r="P1774" s="16" t="inlineStr">
        <is>
          <t>Нет совпадения в предоставленной выгрузке ССЧР</t>
        </is>
      </c>
      <c r="Q1774" s="16" t="n"/>
      <c r="R1774" s="16">
        <f>HYPERLINK("https://checko.ru/search?query=3801001629","Чекко: проверить")</f>
        <v/>
      </c>
      <c r="S1774" t="n">
        <v>0</v>
      </c>
    </row>
    <row r="1775" ht="27.75" customHeight="1" s="24">
      <c r="A1775" s="13" t="n">
        <v>5000062593</v>
      </c>
      <c r="B1775" s="13" t="inlineStr">
        <is>
          <t>ГУЗ Областной врачебно-физкультурный диспансер</t>
        </is>
      </c>
      <c r="C1775" s="13" t="n">
        <v>7303022006</v>
      </c>
      <c r="D1775" s="13" t="inlineStr">
        <is>
          <t>7303022006</t>
        </is>
      </c>
      <c r="E1775" s="13" t="inlineStr">
        <is>
          <t>ЮЛ РФ</t>
        </is>
      </c>
      <c r="F1775" s="13" t="n"/>
      <c r="G1775" s="14" t="n"/>
      <c r="H1775" s="14" t="n"/>
      <c r="I1775" s="14" t="n"/>
      <c r="J1775" s="14" t="n"/>
      <c r="K1775" s="53" t="inlineStr"/>
      <c r="L1775" s="53" t="inlineStr">
        <is>
          <t>Не определено</t>
        </is>
      </c>
      <c r="M1775" s="53" t="inlineStr"/>
      <c r="N1775" s="54" t="inlineStr"/>
      <c r="O1775" s="55" t="inlineStr"/>
      <c r="P1775" s="16" t="inlineStr">
        <is>
          <t>Требует обогащения</t>
        </is>
      </c>
      <c r="Q1775" s="16">
        <f>HYPERLINK("https://pb.nalog.ru/search.html?query=7303022006","ФНС: проверить")</f>
        <v/>
      </c>
      <c r="R1775" s="16">
        <f>HYPERLINK("https://checko.ru/search?query=3801001629","Чекко: проверить")</f>
        <v/>
      </c>
      <c r="S1775" t="n">
        <v>1</v>
      </c>
      <c r="T1775" s="35" t="inlineStr">
        <is>
          <t>4 — Не обогащён</t>
        </is>
      </c>
      <c r="U1775" s="35" t="inlineStr">
        <is>
          <t>Нет ОКВЭД/ССЧР</t>
        </is>
      </c>
      <c r="V1775" s="35" t="inlineStr">
        <is>
          <t>Не определено</t>
        </is>
      </c>
      <c r="W1775" s="35" t="inlineStr"/>
      <c r="X1775" s="35" t="inlineStr"/>
    </row>
    <row r="1776" ht="15" customHeight="1" s="24">
      <c r="A1776" s="13" t="n">
        <v>5000062602</v>
      </c>
      <c r="B1776" s="13" t="inlineStr">
        <is>
          <t>ГУЗ Городская больница №3 Ульяновск</t>
        </is>
      </c>
      <c r="C1776" s="13" t="n">
        <v>7326014604</v>
      </c>
      <c r="D1776" s="13" t="inlineStr">
        <is>
          <t>7326014604</t>
        </is>
      </c>
      <c r="E1776" s="13" t="inlineStr">
        <is>
          <t>ЮЛ РФ</t>
        </is>
      </c>
      <c r="F1776" s="13" t="n"/>
      <c r="G1776" s="14" t="n"/>
      <c r="H1776" s="14" t="n"/>
      <c r="I1776" s="14" t="n"/>
      <c r="J1776" s="14" t="n"/>
      <c r="K1776" s="53" t="inlineStr"/>
      <c r="L1776" s="53" t="inlineStr">
        <is>
          <t>Не определено</t>
        </is>
      </c>
      <c r="M1776" s="53" t="inlineStr"/>
      <c r="N1776" s="54" t="inlineStr"/>
      <c r="O1776" s="55" t="inlineStr"/>
      <c r="P1776" s="16" t="inlineStr">
        <is>
          <t>Требует обогащения</t>
        </is>
      </c>
      <c r="Q1776" s="16">
        <f>HYPERLINK("https://pb.nalog.ru/search.html?query=7326014604","ФНС: проверить")</f>
        <v/>
      </c>
      <c r="R1776" s="16">
        <f>HYPERLINK("https://checko.ru/search?query=3801001629","Чекко: проверить")</f>
        <v/>
      </c>
      <c r="S1776" t="n">
        <v>1</v>
      </c>
      <c r="T1776" s="35" t="inlineStr">
        <is>
          <t>4 — Не обогащён</t>
        </is>
      </c>
      <c r="U1776" s="35" t="inlineStr">
        <is>
          <t>Нет ОКВЭД/ССЧР</t>
        </is>
      </c>
      <c r="V1776" s="35" t="inlineStr">
        <is>
          <t>Не определено</t>
        </is>
      </c>
      <c r="W1776" s="35" t="inlineStr"/>
      <c r="X1776" s="35" t="inlineStr"/>
    </row>
    <row r="1777" ht="27.75" customHeight="1" s="24">
      <c r="A1777" s="13" t="n">
        <v>5000062579</v>
      </c>
      <c r="B1777" s="13" t="inlineStr">
        <is>
          <t>ГУЗ Областной противотуберкулезный санаторий "Инза"</t>
        </is>
      </c>
      <c r="C1777" s="13" t="n">
        <v>7306003763</v>
      </c>
      <c r="D1777" s="13" t="inlineStr">
        <is>
          <t>7306003763</t>
        </is>
      </c>
      <c r="E1777" s="13" t="inlineStr">
        <is>
          <t>ЮЛ РФ</t>
        </is>
      </c>
      <c r="F1777" s="13" t="n"/>
      <c r="G1777" s="14" t="n"/>
      <c r="H1777" s="14" t="n"/>
      <c r="I1777" s="14" t="n"/>
      <c r="J1777" s="14" t="n"/>
      <c r="K1777" s="53" t="inlineStr"/>
      <c r="L1777" s="53" t="inlineStr">
        <is>
          <t>Не определено</t>
        </is>
      </c>
      <c r="M1777" s="53" t="inlineStr"/>
      <c r="N1777" s="54" t="inlineStr"/>
      <c r="O1777" s="55" t="inlineStr"/>
      <c r="P1777" s="16" t="inlineStr">
        <is>
          <t>Требует обогащения</t>
        </is>
      </c>
      <c r="Q1777" s="16">
        <f>HYPERLINK("https://pb.nalog.ru/search.html?query=7306003763","ФНС: проверить")</f>
        <v/>
      </c>
      <c r="R1777" s="16">
        <f>HYPERLINK("https://checko.ru/search?query=3801001629","Чекко: проверить")</f>
        <v/>
      </c>
      <c r="S1777" t="n">
        <v>1</v>
      </c>
      <c r="T1777" s="35" t="inlineStr">
        <is>
          <t>4 — Не обогащён</t>
        </is>
      </c>
      <c r="U1777" s="35" t="inlineStr">
        <is>
          <t>Нет ОКВЭД/ССЧР</t>
        </is>
      </c>
      <c r="V1777" s="35" t="inlineStr">
        <is>
          <t>Не определено</t>
        </is>
      </c>
      <c r="W1777" s="35" t="inlineStr"/>
      <c r="X1777" s="35" t="inlineStr"/>
    </row>
    <row r="1778" ht="27.75" customHeight="1" s="24">
      <c r="A1778" s="13" t="n">
        <v>5000025012</v>
      </c>
      <c r="B1778" s="13" t="inlineStr">
        <is>
          <t>ОГКУ «Ресурсный центр по поддержке некоммерческих организаций Иркутской области»</t>
        </is>
      </c>
      <c r="C1778" s="13" t="n">
        <v>3808267392</v>
      </c>
      <c r="D1778" s="13" t="inlineStr">
        <is>
          <t>3808267392</t>
        </is>
      </c>
      <c r="E1778" s="13" t="inlineStr">
        <is>
          <t>ЮЛ РФ</t>
        </is>
      </c>
      <c r="F1778" s="13" t="n"/>
      <c r="G1778" s="14" t="n"/>
      <c r="H1778" s="14" t="n"/>
      <c r="I1778" s="14" t="n"/>
      <c r="J1778" s="14" t="n"/>
      <c r="K1778" s="53" t="inlineStr"/>
      <c r="L1778" s="53" t="inlineStr">
        <is>
          <t>Не определено</t>
        </is>
      </c>
      <c r="M1778" s="53" t="inlineStr"/>
      <c r="N1778" s="54" t="inlineStr"/>
      <c r="O1778" s="55" t="inlineStr"/>
      <c r="P1778" s="16" t="inlineStr">
        <is>
          <t>Требует обогащения</t>
        </is>
      </c>
      <c r="Q1778" s="16">
        <f>HYPERLINK("https://pb.nalog.ru/search.html?query=3808267392","ФНС: проверить")</f>
        <v/>
      </c>
      <c r="R1778" s="16">
        <f>HYPERLINK("https://checko.ru/search?query=3801001629","Чекко: проверить")</f>
        <v/>
      </c>
      <c r="S1778" t="n">
        <v>1</v>
      </c>
      <c r="T1778" s="35" t="inlineStr">
        <is>
          <t>4 — Не обогащён</t>
        </is>
      </c>
      <c r="U1778" s="35" t="inlineStr">
        <is>
          <t>Нет ОКВЭД/ССЧР</t>
        </is>
      </c>
      <c r="V1778" s="35" t="inlineStr">
        <is>
          <t>Не определено</t>
        </is>
      </c>
      <c r="W1778" s="35" t="inlineStr"/>
      <c r="X1778" s="35" t="inlineStr"/>
    </row>
    <row r="1779" ht="27.75" customHeight="1" s="24">
      <c r="A1779" s="13" t="n">
        <v>5000025013</v>
      </c>
      <c r="B1779" s="13" t="inlineStr">
        <is>
          <t>Областное государственное казенное учреждение «Редакция окружной газеты «Панорама округа»</t>
        </is>
      </c>
      <c r="C1779" s="13" t="n">
        <v>3849072385</v>
      </c>
      <c r="D1779" s="13" t="inlineStr">
        <is>
          <t>3849072385</t>
        </is>
      </c>
      <c r="E1779" s="13" t="inlineStr">
        <is>
          <t>ЮЛ РФ</t>
        </is>
      </c>
      <c r="F1779" s="13" t="n"/>
      <c r="G1779" s="14" t="n"/>
      <c r="H1779" s="14" t="n"/>
      <c r="I1779" s="14" t="n"/>
      <c r="J1779" s="14" t="n"/>
      <c r="K1779" s="53" t="inlineStr"/>
      <c r="L1779" s="53" t="inlineStr">
        <is>
          <t>Не определено</t>
        </is>
      </c>
      <c r="M1779" s="53" t="inlineStr"/>
      <c r="N1779" s="54" t="inlineStr"/>
      <c r="O1779" s="55" t="inlineStr"/>
      <c r="P1779" s="16" t="inlineStr">
        <is>
          <t>Требует обогащения</t>
        </is>
      </c>
      <c r="Q1779" s="16">
        <f>HYPERLINK("https://pb.nalog.ru/search.html?query=3849072385","ФНС: проверить")</f>
        <v/>
      </c>
      <c r="R1779" s="16">
        <f>HYPERLINK("https://checko.ru/search?query=3801001629","Чекко: проверить")</f>
        <v/>
      </c>
      <c r="S1779" t="n">
        <v>1</v>
      </c>
      <c r="T1779" s="35" t="inlineStr">
        <is>
          <t>4 — Не обогащён</t>
        </is>
      </c>
      <c r="U1779" s="35" t="inlineStr">
        <is>
          <t>Нет ОКВЭД/ССЧР</t>
        </is>
      </c>
      <c r="V1779" s="35" t="inlineStr">
        <is>
          <t>Не определено</t>
        </is>
      </c>
      <c r="W1779" s="35" t="inlineStr"/>
      <c r="X1779" s="35" t="inlineStr"/>
    </row>
    <row r="1780" ht="41.25" customHeight="1" s="24">
      <c r="A1780" s="13" t="n">
        <v>5000062511</v>
      </c>
      <c r="B1780" s="13" t="inlineStr">
        <is>
          <t>ОГБОУ «Центр психолого-педагогической, медицинской и социальной помощи «Центр патологии речи»</t>
        </is>
      </c>
      <c r="C1780" s="13" t="n">
        <v>7302017780</v>
      </c>
      <c r="D1780" s="13" t="inlineStr">
        <is>
          <t>7302017780</t>
        </is>
      </c>
      <c r="E1780" s="13" t="inlineStr">
        <is>
          <t>ЮЛ РФ</t>
        </is>
      </c>
      <c r="F1780" s="13" t="n"/>
      <c r="G1780" s="14" t="n"/>
      <c r="H1780" s="14" t="n"/>
      <c r="I1780" s="14" t="n"/>
      <c r="J1780" s="14" t="n"/>
      <c r="K1780" s="53" t="inlineStr"/>
      <c r="L1780" s="53" t="inlineStr">
        <is>
          <t>Не определено</t>
        </is>
      </c>
      <c r="M1780" s="53" t="inlineStr"/>
      <c r="N1780" s="54" t="inlineStr"/>
      <c r="O1780" s="55" t="inlineStr"/>
      <c r="P1780" s="16" t="inlineStr">
        <is>
          <t>Требует обогащения</t>
        </is>
      </c>
      <c r="Q1780" s="16">
        <f>HYPERLINK("https://pb.nalog.ru/search.html?query=7302017780","ФНС: проверить")</f>
        <v/>
      </c>
      <c r="R1780" s="16">
        <f>HYPERLINK("https://checko.ru/search?query=3801001629","Чекко: проверить")</f>
        <v/>
      </c>
      <c r="S1780" t="n">
        <v>1</v>
      </c>
      <c r="T1780" s="35" t="inlineStr">
        <is>
          <t>4 — Не обогащён</t>
        </is>
      </c>
      <c r="U1780" s="35" t="inlineStr">
        <is>
          <t>Нет ОКВЭД/ССЧР</t>
        </is>
      </c>
      <c r="V1780" s="35" t="inlineStr">
        <is>
          <t>Не определено</t>
        </is>
      </c>
      <c r="W1780" s="35" t="inlineStr"/>
      <c r="X1780" s="35" t="inlineStr"/>
    </row>
    <row r="1781" ht="15" customHeight="1" s="24">
      <c r="A1781" s="13" t="n">
        <v>5000094992</v>
      </c>
      <c r="B1781" s="13" t="inlineStr">
        <is>
          <t>ГКУЗ"Дом ребенка специализированный"МЗ КБР</t>
        </is>
      </c>
      <c r="C1781" s="13" t="n">
        <v>711035402</v>
      </c>
      <c r="D1781" s="13" t="n"/>
      <c r="E1781" s="13" t="inlineStr">
        <is>
          <t>Не определён</t>
        </is>
      </c>
      <c r="F1781" s="13" t="inlineStr">
        <is>
          <t>711035402</t>
        </is>
      </c>
      <c r="G1781" s="14" t="n"/>
      <c r="H1781" s="14" t="n"/>
      <c r="I1781" s="14" t="n"/>
      <c r="J1781" s="14" t="n"/>
      <c r="K1781" s="13">
        <f>IF(G1781="","",IF(G1781&gt;=22,"Да","Нет"))</f>
        <v/>
      </c>
      <c r="L1781" s="13">
        <f>IF(OR(I1781="",J1781=""),"Не определено",IF(OR(COUNTIF(I1781,"45*")&gt;0,COUNTIF(J1781,"*45*")&gt;0,COUNTIF(I1781,"46*")&gt;0,COUNTIF(J1781,"*46*")&gt;0,COUNTIF(I1781,"47*")&gt;0,COUNTIF(J1781,"*47*")&gt;0,COUNTIF(I1781,"10*")&gt;0,COUNTIF(J1781,"*10*")&gt;0,COUNTIF(I1781,"11*")&gt;0,COUNTIF(J1781,"*11*")&gt;0,COUNTIF(I1781,"12*")&gt;0,COUNTIF(J1781,"*12*")&gt;0,COUNTIF(I1781,"13*")&gt;0,COUNTIF(J1781,"*13*")&gt;0,COUNTIF(I1781,"14*")&gt;0,COUNTIF(J1781,"*14*")&gt;0,COUNTIF(I1781,"15*")&gt;0,COUNTIF(J1781,"*15*")&gt;0,COUNTIF(I1781,"16*")&gt;0,COUNTIF(J1781,"*16*")&gt;0,COUNTIF(I1781,"17*")&gt;0,COUNTIF(J1781,"*17*")&gt;0,COUNTIF(I1781,"18*")&gt;0,COUNTIF(J1781,"*18*")&gt;0,COUNTIF(I1781,"19*")&gt;0,COUNTIF(J1781,"*19*")&gt;0,COUNTIF(I1781,"20*")&gt;0,COUNTIF(J1781,"*20*")&gt;0,COUNTIF(I1781,"21*")&gt;0,COUNTIF(J1781,"*21*")&gt;0,COUNTIF(I1781,"22*")&gt;0,COUNTIF(J1781,"*22*")&gt;0,COUNTIF(I1781,"23*")&gt;0,COUNTIF(J1781,"*23*")&gt;0,COUNTIF(I1781,"24*")&gt;0,COUNTIF(J1781,"*24*")&gt;0,COUNTIF(I1781,"25*")&gt;0,COUNTIF(J1781,"*25*")&gt;0,COUNTIF(I1781,"26*")&gt;0,COUNTIF(J1781,"*26*")&gt;0,COUNTIF(I1781,"27*")&gt;0,COUNTIF(J1781,"*27*")&gt;0,COUNTIF(I1781,"28*")&gt;0,COUNTIF(J1781,"*28*")&gt;0,COUNTIF(I1781,"29*")&gt;0,COUNTIF(J1781,"*29*")&gt;0,COUNTIF(I1781,"30*")&gt;0,COUNTIF(J1781,"*30*")&gt;0,COUNTIF(I1781,"31*")&gt;0,COUNTIF(J1781,"*31*")&gt;0,COUNTIF(I1781,"32*")&gt;0,COUNTIF(J1781,"*32*")&gt;0,COUNTIF(I1781,"33*")&gt;0,COUNTIF(J1781,"*33*")&gt;0,COUNTIF(I1781,"41*")&gt;0,COUNTIF(J1781,"*41*")&gt;0,COUNTIF(I1781,"42*")&gt;0,COUNTIF(J1781,"*42*")&gt;0,COUNTIF(I1781,"43*")&gt;0,COUNTIF(J1781,"*43*")&gt;0,COUNTIF(I1781,"49*")&gt;0,COUNTIF(J1781,"*49*")&gt;0,COUNTIF(I1781,"52*")&gt;0,COUNTIF(J1781,"*52*")&gt;0,COUNTIF(I1781,"55*")&gt;0,COUNTIF(J1781,"*55*")&gt;0,COUNTIF(I1781,"56*")&gt;0,COUNTIF(J1781,"*56*")&gt;0,COUNTIF(I1781,"68*")&gt;0,COUNTIF(J1781,"*68*")&gt;0,COUNTIF(I1781,"78*")&gt;0,COUNTIF(J1781,"*78*")&gt;0,COUNTIF(I1781,"81*")&gt;0,COUNTIF(J1781,"*81*")&gt;0,COUNTIF(I1781,"82*")&gt;0,COUNTIF(J1781,"*82*")&gt;0,COUNTIF(I1781,"64*")&gt;0,COUNTIF(J1781,"*64*")&gt;0,COUNTIF(I1781,"65*")&gt;0,COUNTIF(J1781,"*65*")&gt;0,COUNTIF(I1781,"66*")&gt;0,COUNTIF(J1781,"*66*")&gt;0,COUNTIF(I1781,"61*")&gt;0,COUNTIF(J1781,"*61*")&gt;0,COUNTIF(I1781,"62*")&gt;0,COUNTIF(J1781,"*62*")&gt;0,COUNTIF(I1781,"63*")&gt;0,COUNTIF(J1781,"*63*")&gt;0,COUNTIF(I1781,"85*")&gt;0,COUNTIF(J1781,"*85*")&gt;0,COUNTIF(I1781,"86*")&gt;0,COUNTIF(J1781,"*86*")&gt;0),"Да","Нет"))</f>
        <v/>
      </c>
      <c r="M1781" s="13">
        <f>IF(OR(G1781="",L1781&lt;&gt;"Да"),"",IF(G1781&lt;=100,"До 100",IF(G1781&lt;=200,"До 200",IF(G1781&lt;=500,"До 500","Отдельное КП"))))</f>
        <v/>
      </c>
      <c r="N1781" s="15">
        <f>IF(OR(G1781="",L1781&lt;&gt;"Да"),"",IF(G1781&lt;=100,33600,IF(G1781&lt;=200,62400,IF(G1781&lt;=500,144000,""))))</f>
        <v/>
      </c>
      <c r="O1781" s="16">
        <f>IF(G1781="","",IF(G1781&lt;=15,"1–15",IF(G1781&lt;=30,"16–30",IF(G1781&lt;=50,"31–50",IF(G1781&lt;=100,"51–100",IF(G1781&lt;=150,"101–150",IF(G1781&lt;=200,"151–200",IF(G1781&lt;=500,"201–500","500+"))))))))</f>
        <v/>
      </c>
      <c r="P1781" s="16" t="inlineStr">
        <is>
          <t>Нет совпадения в предоставленной выгрузке ССЧР</t>
        </is>
      </c>
      <c r="Q1781" s="16" t="n"/>
      <c r="R1781" s="16">
        <f>HYPERLINK("https://checko.ru/search?query=3801001629","Чекко: проверить")</f>
        <v/>
      </c>
      <c r="S1781" t="n">
        <v>0</v>
      </c>
    </row>
    <row r="1782" ht="27.75" customHeight="1" s="24">
      <c r="A1782" s="13" t="n">
        <v>5000001910</v>
      </c>
      <c r="B1782" s="13" t="inlineStr">
        <is>
          <t>ГБОУ НПО Иркутской области Профессиональное училище №  21  г. Тай</t>
        </is>
      </c>
      <c r="C1782" s="13" t="n">
        <v>3815002904</v>
      </c>
      <c r="D1782" s="13" t="inlineStr">
        <is>
          <t>3815002904</t>
        </is>
      </c>
      <c r="E1782" s="13" t="inlineStr">
        <is>
          <t>ЮЛ РФ</t>
        </is>
      </c>
      <c r="F1782" s="13" t="n"/>
      <c r="G1782" s="14" t="n"/>
      <c r="H1782" s="14" t="n"/>
      <c r="I1782" s="14" t="n"/>
      <c r="J1782" s="14" t="n"/>
      <c r="K1782" s="53" t="inlineStr"/>
      <c r="L1782" s="53" t="inlineStr">
        <is>
          <t>Не определено</t>
        </is>
      </c>
      <c r="M1782" s="53" t="inlineStr"/>
      <c r="N1782" s="54" t="inlineStr"/>
      <c r="O1782" s="55" t="inlineStr"/>
      <c r="P1782" s="16" t="inlineStr">
        <is>
          <t>Требует обогащения</t>
        </is>
      </c>
      <c r="Q1782" s="16">
        <f>HYPERLINK("https://pb.nalog.ru/search.html?query=3815002904","ФНС: проверить")</f>
        <v/>
      </c>
      <c r="R1782" s="16">
        <f>HYPERLINK("https://checko.ru/search?query=3801001629","Чекко: проверить")</f>
        <v/>
      </c>
      <c r="S1782" t="n">
        <v>1</v>
      </c>
      <c r="T1782" s="35" t="inlineStr">
        <is>
          <t>4 — Не обогащён</t>
        </is>
      </c>
      <c r="U1782" s="35" t="inlineStr">
        <is>
          <t>Нет ОКВЭД/ССЧР</t>
        </is>
      </c>
      <c r="V1782" s="35" t="inlineStr">
        <is>
          <t>Не определено</t>
        </is>
      </c>
      <c r="W1782" s="35" t="inlineStr"/>
      <c r="X1782" s="35" t="inlineStr"/>
    </row>
    <row r="1783" ht="27.75" customHeight="1" s="24">
      <c r="A1783" s="13" t="n">
        <v>5000095238</v>
      </c>
      <c r="B1783" s="13" t="inlineStr">
        <is>
          <t>ГАУ "Профессиональный Футбольный Клуб "Спартак-Нальчик"</t>
        </is>
      </c>
      <c r="C1783" s="13" t="n">
        <v>725016209</v>
      </c>
      <c r="D1783" s="13" t="n"/>
      <c r="E1783" s="13" t="inlineStr">
        <is>
          <t>Не определён</t>
        </is>
      </c>
      <c r="F1783" s="13" t="inlineStr">
        <is>
          <t>725016209</t>
        </is>
      </c>
      <c r="G1783" s="14" t="n"/>
      <c r="H1783" s="14" t="n"/>
      <c r="I1783" s="14" t="n"/>
      <c r="J1783" s="14" t="n"/>
      <c r="K1783" s="13">
        <f>IF(G1783="","",IF(G1783&gt;=22,"Да","Нет"))</f>
        <v/>
      </c>
      <c r="L1783" s="13">
        <f>IF(OR(I1783="",J1783=""),"Не определено",IF(OR(COUNTIF(I1783,"45*")&gt;0,COUNTIF(J1783,"*45*")&gt;0,COUNTIF(I1783,"46*")&gt;0,COUNTIF(J1783,"*46*")&gt;0,COUNTIF(I1783,"47*")&gt;0,COUNTIF(J1783,"*47*")&gt;0,COUNTIF(I1783,"10*")&gt;0,COUNTIF(J1783,"*10*")&gt;0,COUNTIF(I1783,"11*")&gt;0,COUNTIF(J1783,"*11*")&gt;0,COUNTIF(I1783,"12*")&gt;0,COUNTIF(J1783,"*12*")&gt;0,COUNTIF(I1783,"13*")&gt;0,COUNTIF(J1783,"*13*")&gt;0,COUNTIF(I1783,"14*")&gt;0,COUNTIF(J1783,"*14*")&gt;0,COUNTIF(I1783,"15*")&gt;0,COUNTIF(J1783,"*15*")&gt;0,COUNTIF(I1783,"16*")&gt;0,COUNTIF(J1783,"*16*")&gt;0,COUNTIF(I1783,"17*")&gt;0,COUNTIF(J1783,"*17*")&gt;0,COUNTIF(I1783,"18*")&gt;0,COUNTIF(J1783,"*18*")&gt;0,COUNTIF(I1783,"19*")&gt;0,COUNTIF(J1783,"*19*")&gt;0,COUNTIF(I1783,"20*")&gt;0,COUNTIF(J1783,"*20*")&gt;0,COUNTIF(I1783,"21*")&gt;0,COUNTIF(J1783,"*21*")&gt;0,COUNTIF(I1783,"22*")&gt;0,COUNTIF(J1783,"*22*")&gt;0,COUNTIF(I1783,"23*")&gt;0,COUNTIF(J1783,"*23*")&gt;0,COUNTIF(I1783,"24*")&gt;0,COUNTIF(J1783,"*24*")&gt;0,COUNTIF(I1783,"25*")&gt;0,COUNTIF(J1783,"*25*")&gt;0,COUNTIF(I1783,"26*")&gt;0,COUNTIF(J1783,"*26*")&gt;0,COUNTIF(I1783,"27*")&gt;0,COUNTIF(J1783,"*27*")&gt;0,COUNTIF(I1783,"28*")&gt;0,COUNTIF(J1783,"*28*")&gt;0,COUNTIF(I1783,"29*")&gt;0,COUNTIF(J1783,"*29*")&gt;0,COUNTIF(I1783,"30*")&gt;0,COUNTIF(J1783,"*30*")&gt;0,COUNTIF(I1783,"31*")&gt;0,COUNTIF(J1783,"*31*")&gt;0,COUNTIF(I1783,"32*")&gt;0,COUNTIF(J1783,"*32*")&gt;0,COUNTIF(I1783,"33*")&gt;0,COUNTIF(J1783,"*33*")&gt;0,COUNTIF(I1783,"41*")&gt;0,COUNTIF(J1783,"*41*")&gt;0,COUNTIF(I1783,"42*")&gt;0,COUNTIF(J1783,"*42*")&gt;0,COUNTIF(I1783,"43*")&gt;0,COUNTIF(J1783,"*43*")&gt;0,COUNTIF(I1783,"49*")&gt;0,COUNTIF(J1783,"*49*")&gt;0,COUNTIF(I1783,"52*")&gt;0,COUNTIF(J1783,"*52*")&gt;0,COUNTIF(I1783,"55*")&gt;0,COUNTIF(J1783,"*55*")&gt;0,COUNTIF(I1783,"56*")&gt;0,COUNTIF(J1783,"*56*")&gt;0,COUNTIF(I1783,"68*")&gt;0,COUNTIF(J1783,"*68*")&gt;0,COUNTIF(I1783,"78*")&gt;0,COUNTIF(J1783,"*78*")&gt;0,COUNTIF(I1783,"81*")&gt;0,COUNTIF(J1783,"*81*")&gt;0,COUNTIF(I1783,"82*")&gt;0,COUNTIF(J1783,"*82*")&gt;0,COUNTIF(I1783,"64*")&gt;0,COUNTIF(J1783,"*64*")&gt;0,COUNTIF(I1783,"65*")&gt;0,COUNTIF(J1783,"*65*")&gt;0,COUNTIF(I1783,"66*")&gt;0,COUNTIF(J1783,"*66*")&gt;0,COUNTIF(I1783,"61*")&gt;0,COUNTIF(J1783,"*61*")&gt;0,COUNTIF(I1783,"62*")&gt;0,COUNTIF(J1783,"*62*")&gt;0,COUNTIF(I1783,"63*")&gt;0,COUNTIF(J1783,"*63*")&gt;0,COUNTIF(I1783,"85*")&gt;0,COUNTIF(J1783,"*85*")&gt;0,COUNTIF(I1783,"86*")&gt;0,COUNTIF(J1783,"*86*")&gt;0),"Да","Нет"))</f>
        <v/>
      </c>
      <c r="M1783" s="13">
        <f>IF(OR(G1783="",L1783&lt;&gt;"Да"),"",IF(G1783&lt;=100,"До 100",IF(G1783&lt;=200,"До 200",IF(G1783&lt;=500,"До 500","Отдельное КП"))))</f>
        <v/>
      </c>
      <c r="N1783" s="15">
        <f>IF(OR(G1783="",L1783&lt;&gt;"Да"),"",IF(G1783&lt;=100,33600,IF(G1783&lt;=200,62400,IF(G1783&lt;=500,144000,""))))</f>
        <v/>
      </c>
      <c r="O1783" s="16">
        <f>IF(G1783="","",IF(G1783&lt;=15,"1–15",IF(G1783&lt;=30,"16–30",IF(G1783&lt;=50,"31–50",IF(G1783&lt;=100,"51–100",IF(G1783&lt;=150,"101–150",IF(G1783&lt;=200,"151–200",IF(G1783&lt;=500,"201–500","500+"))))))))</f>
        <v/>
      </c>
      <c r="P1783" s="16" t="inlineStr">
        <is>
          <t>Нет совпадения в предоставленной выгрузке ССЧР</t>
        </is>
      </c>
      <c r="Q1783" s="16" t="n"/>
      <c r="R1783" s="16">
        <f>HYPERLINK("https://checko.ru/search?query=3801001629","Чекко: проверить")</f>
        <v/>
      </c>
      <c r="S1783" t="n">
        <v>0</v>
      </c>
    </row>
    <row r="1784" ht="27.75" customHeight="1" s="24">
      <c r="A1784" s="13" t="n">
        <v>5000101684</v>
      </c>
      <c r="B1784" s="13" t="inlineStr">
        <is>
          <t>ГОСУДАРСТВЕННОЕ КАЗЕННОЕ УЧРЕЖДЕНИЕ ИРКУТСКОЙ ОБЛАСТИ "ТУЛУНСКОЕ ЛЕСНИЧЕСТВО"</t>
        </is>
      </c>
      <c r="C1784" s="13" t="n">
        <v>3816035476</v>
      </c>
      <c r="D1784" s="13" t="inlineStr">
        <is>
          <t>3816035476</t>
        </is>
      </c>
      <c r="E1784" s="13" t="inlineStr">
        <is>
          <t>ЮЛ РФ</t>
        </is>
      </c>
      <c r="F1784" s="13" t="n"/>
      <c r="G1784" s="14" t="n"/>
      <c r="H1784" s="14" t="n"/>
      <c r="I1784" s="14" t="n"/>
      <c r="J1784" s="14" t="n"/>
      <c r="K1784" s="53" t="inlineStr"/>
      <c r="L1784" s="53" t="inlineStr">
        <is>
          <t>Не определено</t>
        </is>
      </c>
      <c r="M1784" s="53" t="inlineStr"/>
      <c r="N1784" s="54" t="inlineStr"/>
      <c r="O1784" s="55" t="inlineStr"/>
      <c r="P1784" s="16" t="inlineStr">
        <is>
          <t>Требует обогащения</t>
        </is>
      </c>
      <c r="Q1784" s="16">
        <f>HYPERLINK("https://pb.nalog.ru/search.html?query=3816035476","ФНС: проверить")</f>
        <v/>
      </c>
      <c r="R1784" s="16">
        <f>HYPERLINK("https://checko.ru/search?query=3801001629","Чекко: проверить")</f>
        <v/>
      </c>
      <c r="S1784" t="n">
        <v>1</v>
      </c>
      <c r="T1784" s="35" t="inlineStr">
        <is>
          <t>4 — Не обогащён</t>
        </is>
      </c>
      <c r="U1784" s="35" t="inlineStr">
        <is>
          <t>Нет ОКВЭД/ССЧР</t>
        </is>
      </c>
      <c r="V1784" s="35" t="inlineStr">
        <is>
          <t>Не определено</t>
        </is>
      </c>
      <c r="W1784" s="35" t="inlineStr"/>
      <c r="X1784" s="35" t="inlineStr"/>
    </row>
    <row r="1785" ht="15" customHeight="1" s="24">
      <c r="A1785" s="13" t="n">
        <v>5000094494</v>
      </c>
      <c r="B1785" s="13" t="inlineStr">
        <is>
          <t>Администрация С.П. Каменномост</t>
        </is>
      </c>
      <c r="C1785" s="13" t="n">
        <v>702002760</v>
      </c>
      <c r="D1785" s="13" t="n"/>
      <c r="E1785" s="13" t="inlineStr">
        <is>
          <t>Не определён</t>
        </is>
      </c>
      <c r="F1785" s="13" t="inlineStr">
        <is>
          <t>702002760</t>
        </is>
      </c>
      <c r="G1785" s="14" t="n"/>
      <c r="H1785" s="14" t="n"/>
      <c r="I1785" s="14" t="n"/>
      <c r="J1785" s="14" t="n"/>
      <c r="K1785" s="13">
        <f>IF(G1785="","",IF(G1785&gt;=22,"Да","Нет"))</f>
        <v/>
      </c>
      <c r="L1785" s="13">
        <f>IF(OR(I1785="",J1785=""),"Не определено",IF(OR(COUNTIF(I1785,"45*")&gt;0,COUNTIF(J1785,"*45*")&gt;0,COUNTIF(I1785,"46*")&gt;0,COUNTIF(J1785,"*46*")&gt;0,COUNTIF(I1785,"47*")&gt;0,COUNTIF(J1785,"*47*")&gt;0,COUNTIF(I1785,"10*")&gt;0,COUNTIF(J1785,"*10*")&gt;0,COUNTIF(I1785,"11*")&gt;0,COUNTIF(J1785,"*11*")&gt;0,COUNTIF(I1785,"12*")&gt;0,COUNTIF(J1785,"*12*")&gt;0,COUNTIF(I1785,"13*")&gt;0,COUNTIF(J1785,"*13*")&gt;0,COUNTIF(I1785,"14*")&gt;0,COUNTIF(J1785,"*14*")&gt;0,COUNTIF(I1785,"15*")&gt;0,COUNTIF(J1785,"*15*")&gt;0,COUNTIF(I1785,"16*")&gt;0,COUNTIF(J1785,"*16*")&gt;0,COUNTIF(I1785,"17*")&gt;0,COUNTIF(J1785,"*17*")&gt;0,COUNTIF(I1785,"18*")&gt;0,COUNTIF(J1785,"*18*")&gt;0,COUNTIF(I1785,"19*")&gt;0,COUNTIF(J1785,"*19*")&gt;0,COUNTIF(I1785,"20*")&gt;0,COUNTIF(J1785,"*20*")&gt;0,COUNTIF(I1785,"21*")&gt;0,COUNTIF(J1785,"*21*")&gt;0,COUNTIF(I1785,"22*")&gt;0,COUNTIF(J1785,"*22*")&gt;0,COUNTIF(I1785,"23*")&gt;0,COUNTIF(J1785,"*23*")&gt;0,COUNTIF(I1785,"24*")&gt;0,COUNTIF(J1785,"*24*")&gt;0,COUNTIF(I1785,"25*")&gt;0,COUNTIF(J1785,"*25*")&gt;0,COUNTIF(I1785,"26*")&gt;0,COUNTIF(J1785,"*26*")&gt;0,COUNTIF(I1785,"27*")&gt;0,COUNTIF(J1785,"*27*")&gt;0,COUNTIF(I1785,"28*")&gt;0,COUNTIF(J1785,"*28*")&gt;0,COUNTIF(I1785,"29*")&gt;0,COUNTIF(J1785,"*29*")&gt;0,COUNTIF(I1785,"30*")&gt;0,COUNTIF(J1785,"*30*")&gt;0,COUNTIF(I1785,"31*")&gt;0,COUNTIF(J1785,"*31*")&gt;0,COUNTIF(I1785,"32*")&gt;0,COUNTIF(J1785,"*32*")&gt;0,COUNTIF(I1785,"33*")&gt;0,COUNTIF(J1785,"*33*")&gt;0,COUNTIF(I1785,"41*")&gt;0,COUNTIF(J1785,"*41*")&gt;0,COUNTIF(I1785,"42*")&gt;0,COUNTIF(J1785,"*42*")&gt;0,COUNTIF(I1785,"43*")&gt;0,COUNTIF(J1785,"*43*")&gt;0,COUNTIF(I1785,"49*")&gt;0,COUNTIF(J1785,"*49*")&gt;0,COUNTIF(I1785,"52*")&gt;0,COUNTIF(J1785,"*52*")&gt;0,COUNTIF(I1785,"55*")&gt;0,COUNTIF(J1785,"*55*")&gt;0,COUNTIF(I1785,"56*")&gt;0,COUNTIF(J1785,"*56*")&gt;0,COUNTIF(I1785,"68*")&gt;0,COUNTIF(J1785,"*68*")&gt;0,COUNTIF(I1785,"78*")&gt;0,COUNTIF(J1785,"*78*")&gt;0,COUNTIF(I1785,"81*")&gt;0,COUNTIF(J1785,"*81*")&gt;0,COUNTIF(I1785,"82*")&gt;0,COUNTIF(J1785,"*82*")&gt;0,COUNTIF(I1785,"64*")&gt;0,COUNTIF(J1785,"*64*")&gt;0,COUNTIF(I1785,"65*")&gt;0,COUNTIF(J1785,"*65*")&gt;0,COUNTIF(I1785,"66*")&gt;0,COUNTIF(J1785,"*66*")&gt;0,COUNTIF(I1785,"61*")&gt;0,COUNTIF(J1785,"*61*")&gt;0,COUNTIF(I1785,"62*")&gt;0,COUNTIF(J1785,"*62*")&gt;0,COUNTIF(I1785,"63*")&gt;0,COUNTIF(J1785,"*63*")&gt;0,COUNTIF(I1785,"85*")&gt;0,COUNTIF(J1785,"*85*")&gt;0,COUNTIF(I1785,"86*")&gt;0,COUNTIF(J1785,"*86*")&gt;0),"Да","Нет"))</f>
        <v/>
      </c>
      <c r="M1785" s="13">
        <f>IF(OR(G1785="",L1785&lt;&gt;"Да"),"",IF(G1785&lt;=100,"До 100",IF(G1785&lt;=200,"До 200",IF(G1785&lt;=500,"До 500","Отдельное КП"))))</f>
        <v/>
      </c>
      <c r="N1785" s="15">
        <f>IF(OR(G1785="",L1785&lt;&gt;"Да"),"",IF(G1785&lt;=100,33600,IF(G1785&lt;=200,62400,IF(G1785&lt;=500,144000,""))))</f>
        <v/>
      </c>
      <c r="O1785" s="16">
        <f>IF(G1785="","",IF(G1785&lt;=15,"1–15",IF(G1785&lt;=30,"16–30",IF(G1785&lt;=50,"31–50",IF(G1785&lt;=100,"51–100",IF(G1785&lt;=150,"101–150",IF(G1785&lt;=200,"151–200",IF(G1785&lt;=500,"201–500","500+"))))))))</f>
        <v/>
      </c>
      <c r="P1785" s="16" t="inlineStr">
        <is>
          <t>Нет совпадения в предоставленной выгрузке ССЧР</t>
        </is>
      </c>
      <c r="Q1785" s="16" t="n"/>
      <c r="R1785" s="16">
        <f>HYPERLINK("https://checko.ru/search?query=3801001629","Чекко: проверить")</f>
        <v/>
      </c>
      <c r="S1785" t="n">
        <v>0</v>
      </c>
    </row>
    <row r="1786" ht="41.25" customHeight="1" s="24">
      <c r="A1786" s="13" t="n">
        <v>5000062587</v>
      </c>
      <c r="B1786" s="13" t="inlineStr">
        <is>
          <t>ГУЗ «Ульяновская областная детская клиническая больница им. политического и общественного деятеля Ю.Ф. Горячева</t>
        </is>
      </c>
      <c r="C1786" s="13" t="n">
        <v>7325001627</v>
      </c>
      <c r="D1786" s="13" t="inlineStr">
        <is>
          <t>7325001627</t>
        </is>
      </c>
      <c r="E1786" s="13" t="inlineStr">
        <is>
          <t>ЮЛ РФ</t>
        </is>
      </c>
      <c r="F1786" s="13" t="n"/>
      <c r="G1786" s="14" t="n"/>
      <c r="H1786" s="14" t="n"/>
      <c r="I1786" s="14" t="n"/>
      <c r="J1786" s="14" t="n"/>
      <c r="K1786" s="53" t="inlineStr"/>
      <c r="L1786" s="53" t="inlineStr">
        <is>
          <t>Не определено</t>
        </is>
      </c>
      <c r="M1786" s="53" t="inlineStr"/>
      <c r="N1786" s="54" t="inlineStr"/>
      <c r="O1786" s="55" t="inlineStr"/>
      <c r="P1786" s="16" t="inlineStr">
        <is>
          <t>Требует обогащения</t>
        </is>
      </c>
      <c r="Q1786" s="16">
        <f>HYPERLINK("https://pb.nalog.ru/search.html?query=7325001627","ФНС: проверить")</f>
        <v/>
      </c>
      <c r="R1786" s="16">
        <f>HYPERLINK("https://checko.ru/search?query=3801001629","Чекко: проверить")</f>
        <v/>
      </c>
      <c r="S1786" t="n">
        <v>1</v>
      </c>
      <c r="T1786" s="35" t="inlineStr">
        <is>
          <t>4 — Не обогащён</t>
        </is>
      </c>
      <c r="U1786" s="35" t="inlineStr">
        <is>
          <t>Нет ОКВЭД/ССЧР</t>
        </is>
      </c>
      <c r="V1786" s="35" t="inlineStr">
        <is>
          <t>Не определено</t>
        </is>
      </c>
      <c r="W1786" s="35" t="inlineStr"/>
      <c r="X1786" s="35" t="inlineStr"/>
    </row>
    <row r="1787" ht="27.75" customHeight="1" s="24">
      <c r="A1787" s="13" t="n">
        <v>5000062596</v>
      </c>
      <c r="B1787" s="13" t="inlineStr">
        <is>
          <t>ГУЗ «Клиническая станция скорой медицинской помощи г. Ульяновска»</t>
        </is>
      </c>
      <c r="C1787" s="13" t="n">
        <v>7327043830</v>
      </c>
      <c r="D1787" s="13" t="inlineStr">
        <is>
          <t>7327043830</t>
        </is>
      </c>
      <c r="E1787" s="13" t="inlineStr">
        <is>
          <t>ЮЛ РФ</t>
        </is>
      </c>
      <c r="F1787" s="13" t="n"/>
      <c r="G1787" s="14" t="n"/>
      <c r="H1787" s="14" t="n"/>
      <c r="I1787" s="14" t="n"/>
      <c r="J1787" s="14" t="n"/>
      <c r="K1787" s="53" t="inlineStr"/>
      <c r="L1787" s="53" t="inlineStr">
        <is>
          <t>Не определено</t>
        </is>
      </c>
      <c r="M1787" s="53" t="inlineStr"/>
      <c r="N1787" s="54" t="inlineStr"/>
      <c r="O1787" s="55" t="inlineStr"/>
      <c r="P1787" s="16" t="inlineStr">
        <is>
          <t>Требует обогащения</t>
        </is>
      </c>
      <c r="Q1787" s="16">
        <f>HYPERLINK("https://pb.nalog.ru/search.html?query=7327043830","ФНС: проверить")</f>
        <v/>
      </c>
      <c r="R1787" s="16">
        <f>HYPERLINK("https://checko.ru/search?query=3801001629","Чекко: проверить")</f>
        <v/>
      </c>
      <c r="S1787" t="n">
        <v>1</v>
      </c>
      <c r="T1787" s="35" t="inlineStr">
        <is>
          <t>4 — Не обогащён</t>
        </is>
      </c>
      <c r="U1787" s="35" t="inlineStr">
        <is>
          <t>Нет ОКВЭД/ССЧР</t>
        </is>
      </c>
      <c r="V1787" s="35" t="inlineStr">
        <is>
          <t>Не определено</t>
        </is>
      </c>
      <c r="W1787" s="35" t="inlineStr"/>
      <c r="X1787" s="35" t="inlineStr"/>
    </row>
    <row r="1788" ht="27.75" customHeight="1" s="24">
      <c r="A1788" s="13" t="n">
        <v>5000062604</v>
      </c>
      <c r="B1788" s="13" t="inlineStr">
        <is>
          <t>ГУЗ «Центр медицинской профилактики и формирования здорового образа жизни»</t>
        </is>
      </c>
      <c r="C1788" s="13" t="n">
        <v>7303020224</v>
      </c>
      <c r="D1788" s="13" t="inlineStr">
        <is>
          <t>7303020224</t>
        </is>
      </c>
      <c r="E1788" s="13" t="inlineStr">
        <is>
          <t>ЮЛ РФ</t>
        </is>
      </c>
      <c r="F1788" s="13" t="n"/>
      <c r="G1788" s="14" t="n"/>
      <c r="H1788" s="14" t="n"/>
      <c r="I1788" s="14" t="n"/>
      <c r="J1788" s="14" t="n"/>
      <c r="K1788" s="53" t="inlineStr"/>
      <c r="L1788" s="53" t="inlineStr">
        <is>
          <t>Не определено</t>
        </is>
      </c>
      <c r="M1788" s="53" t="inlineStr"/>
      <c r="N1788" s="54" t="inlineStr"/>
      <c r="O1788" s="55" t="inlineStr"/>
      <c r="P1788" s="16" t="inlineStr">
        <is>
          <t>Требует обогащения</t>
        </is>
      </c>
      <c r="Q1788" s="16">
        <f>HYPERLINK("https://pb.nalog.ru/search.html?query=7303020224","ФНС: проверить")</f>
        <v/>
      </c>
      <c r="R1788" s="16">
        <f>HYPERLINK("https://checko.ru/search?query=3801001629","Чекко: проверить")</f>
        <v/>
      </c>
      <c r="S1788" t="n">
        <v>1</v>
      </c>
      <c r="T1788" s="35" t="inlineStr">
        <is>
          <t>4 — Не обогащён</t>
        </is>
      </c>
      <c r="U1788" s="35" t="inlineStr">
        <is>
          <t>Нет ОКВЭД/ССЧР</t>
        </is>
      </c>
      <c r="V1788" s="35" t="inlineStr">
        <is>
          <t>Не определено</t>
        </is>
      </c>
      <c r="W1788" s="35" t="inlineStr"/>
      <c r="X1788" s="35" t="inlineStr"/>
    </row>
    <row r="1789" ht="27.75" customHeight="1" s="24">
      <c r="A1789" s="13" t="n">
        <v>5000062605</v>
      </c>
      <c r="B1789" s="13" t="inlineStr">
        <is>
          <t>ГУЗ «Центральная городская клиническая больница г. Ульяновска»</t>
        </is>
      </c>
      <c r="C1789" s="13" t="n">
        <v>7328014494</v>
      </c>
      <c r="D1789" s="13" t="inlineStr">
        <is>
          <t>7328014494</t>
        </is>
      </c>
      <c r="E1789" s="13" t="inlineStr">
        <is>
          <t>ЮЛ РФ</t>
        </is>
      </c>
      <c r="F1789" s="13" t="n"/>
      <c r="G1789" s="14" t="n"/>
      <c r="H1789" s="14" t="n"/>
      <c r="I1789" s="14" t="n"/>
      <c r="J1789" s="14" t="n"/>
      <c r="K1789" s="53" t="inlineStr"/>
      <c r="L1789" s="53" t="inlineStr">
        <is>
          <t>Не определено</t>
        </is>
      </c>
      <c r="M1789" s="53" t="inlineStr"/>
      <c r="N1789" s="54" t="inlineStr"/>
      <c r="O1789" s="55" t="inlineStr"/>
      <c r="P1789" s="16" t="inlineStr">
        <is>
          <t>Требует обогащения</t>
        </is>
      </c>
      <c r="Q1789" s="16">
        <f>HYPERLINK("https://pb.nalog.ru/search.html?query=7328014494","ФНС: проверить")</f>
        <v/>
      </c>
      <c r="R1789" s="16">
        <f>HYPERLINK("https://checko.ru/search?query=3801001629","Чекко: проверить")</f>
        <v/>
      </c>
      <c r="S1789" t="n">
        <v>1</v>
      </c>
      <c r="T1789" s="35" t="inlineStr">
        <is>
          <t>4 — Не обогащён</t>
        </is>
      </c>
      <c r="U1789" s="35" t="inlineStr">
        <is>
          <t>Нет ОКВЭД/ССЧР</t>
        </is>
      </c>
      <c r="V1789" s="35" t="inlineStr">
        <is>
          <t>Не определено</t>
        </is>
      </c>
      <c r="W1789" s="35" t="inlineStr"/>
      <c r="X1789" s="35" t="inlineStr"/>
    </row>
    <row r="1790" ht="15" customHeight="1" s="24">
      <c r="A1790" s="13" t="n">
        <v>5000062606</v>
      </c>
      <c r="B1790" s="13" t="inlineStr">
        <is>
          <t>ГУЗ «Ульяновская районная больница»</t>
        </is>
      </c>
      <c r="C1790" s="13" t="n">
        <v>7321020330</v>
      </c>
      <c r="D1790" s="13" t="inlineStr">
        <is>
          <t>7321020330</t>
        </is>
      </c>
      <c r="E1790" s="13" t="inlineStr">
        <is>
          <t>ЮЛ РФ</t>
        </is>
      </c>
      <c r="F1790" s="13" t="n"/>
      <c r="G1790" s="14" t="n"/>
      <c r="H1790" s="14" t="n"/>
      <c r="I1790" s="14" t="n"/>
      <c r="J1790" s="14" t="n"/>
      <c r="K1790" s="53" t="inlineStr"/>
      <c r="L1790" s="53" t="inlineStr">
        <is>
          <t>Не определено</t>
        </is>
      </c>
      <c r="M1790" s="53" t="inlineStr"/>
      <c r="N1790" s="54" t="inlineStr"/>
      <c r="O1790" s="55" t="inlineStr"/>
      <c r="P1790" s="16" t="inlineStr">
        <is>
          <t>Требует обогащения</t>
        </is>
      </c>
      <c r="Q1790" s="16">
        <f>HYPERLINK("https://pb.nalog.ru/search.html?query=7321020330","ФНС: проверить")</f>
        <v/>
      </c>
      <c r="R1790" s="16">
        <f>HYPERLINK("https://checko.ru/search?query=3801001629","Чекко: проверить")</f>
        <v/>
      </c>
      <c r="S1790" t="n">
        <v>1</v>
      </c>
      <c r="T1790" s="35" t="inlineStr">
        <is>
          <t>4 — Не обогащён</t>
        </is>
      </c>
      <c r="U1790" s="35" t="inlineStr">
        <is>
          <t>Нет ОКВЭД/ССЧР</t>
        </is>
      </c>
      <c r="V1790" s="35" t="inlineStr">
        <is>
          <t>Не определено</t>
        </is>
      </c>
      <c r="W1790" s="35" t="inlineStr"/>
      <c r="X1790" s="35" t="inlineStr"/>
    </row>
    <row r="1791" ht="15" customHeight="1" s="24">
      <c r="A1791" s="13" t="n">
        <v>5000062614</v>
      </c>
      <c r="B1791" s="13" t="inlineStr">
        <is>
          <t>ГУЗ «Сенгилеевская районная больница»</t>
        </is>
      </c>
      <c r="C1791" s="13" t="n">
        <v>7316002550</v>
      </c>
      <c r="D1791" s="13" t="inlineStr">
        <is>
          <t>7316002550</t>
        </is>
      </c>
      <c r="E1791" s="13" t="inlineStr">
        <is>
          <t>ЮЛ РФ</t>
        </is>
      </c>
      <c r="F1791" s="13" t="n"/>
      <c r="G1791" s="14" t="n"/>
      <c r="H1791" s="14" t="n"/>
      <c r="I1791" s="14" t="n"/>
      <c r="J1791" s="14" t="n"/>
      <c r="K1791" s="53" t="inlineStr"/>
      <c r="L1791" s="53" t="inlineStr">
        <is>
          <t>Не определено</t>
        </is>
      </c>
      <c r="M1791" s="53" t="inlineStr"/>
      <c r="N1791" s="54" t="inlineStr"/>
      <c r="O1791" s="55" t="inlineStr"/>
      <c r="P1791" s="16" t="inlineStr">
        <is>
          <t>Требует обогащения</t>
        </is>
      </c>
      <c r="Q1791" s="16">
        <f>HYPERLINK("https://pb.nalog.ru/search.html?query=7316002550","ФНС: проверить")</f>
        <v/>
      </c>
      <c r="R1791" s="16">
        <f>HYPERLINK("https://checko.ru/search?query=3801001629","Чекко: проверить")</f>
        <v/>
      </c>
      <c r="S1791" t="n">
        <v>1</v>
      </c>
      <c r="T1791" s="35" t="inlineStr">
        <is>
          <t>4 — Не обогащён</t>
        </is>
      </c>
      <c r="U1791" s="35" t="inlineStr">
        <is>
          <t>Нет ОКВЭД/ССЧР</t>
        </is>
      </c>
      <c r="V1791" s="35" t="inlineStr">
        <is>
          <t>Не определено</t>
        </is>
      </c>
      <c r="W1791" s="35" t="inlineStr"/>
      <c r="X1791" s="35" t="inlineStr"/>
    </row>
    <row r="1792" ht="41.25" customHeight="1" s="24">
      <c r="A1792" s="13" t="n">
        <v>5000001696</v>
      </c>
      <c r="B1792" s="13" t="inlineStr">
        <is>
          <t>ОБЛАСТНОЕ ГОСУДАРСТВЕННОЕ БЮДЖЕТНОЕ УЧРЕЖДЕНИЕ СОЦИАЛЬНОГО ОБСЛУЖИВАНИЯ "УСТЬ-ИЛИМСКИЙ ДОМ-ИНТЕРНАТ</t>
        </is>
      </c>
      <c r="C1792" s="13" t="n">
        <v>3817025449</v>
      </c>
      <c r="D1792" s="13" t="inlineStr">
        <is>
          <t>3817025449</t>
        </is>
      </c>
      <c r="E1792" s="13" t="inlineStr">
        <is>
          <t>ЮЛ РФ</t>
        </is>
      </c>
      <c r="F1792" s="13" t="n"/>
      <c r="G1792" s="14" t="n"/>
      <c r="H1792" s="14" t="n"/>
      <c r="I1792" s="14" t="n"/>
      <c r="J1792" s="14" t="n"/>
      <c r="K1792" s="53" t="inlineStr"/>
      <c r="L1792" s="53" t="inlineStr">
        <is>
          <t>Не определено</t>
        </is>
      </c>
      <c r="M1792" s="53" t="inlineStr"/>
      <c r="N1792" s="54" t="inlineStr"/>
      <c r="O1792" s="55" t="inlineStr"/>
      <c r="P1792" s="16" t="inlineStr">
        <is>
          <t>Требует обогащения</t>
        </is>
      </c>
      <c r="Q1792" s="16">
        <f>HYPERLINK("https://pb.nalog.ru/search.html?query=3817025449","ФНС: проверить")</f>
        <v/>
      </c>
      <c r="R1792" s="16">
        <f>HYPERLINK("https://checko.ru/search?query=3801001629","Чекко: проверить")</f>
        <v/>
      </c>
      <c r="S1792" t="n">
        <v>1</v>
      </c>
      <c r="T1792" s="35" t="inlineStr">
        <is>
          <t>4 — Не обогащён</t>
        </is>
      </c>
      <c r="U1792" s="35" t="inlineStr">
        <is>
          <t>Нет ОКВЭД/ССЧР</t>
        </is>
      </c>
      <c r="V1792" s="35" t="inlineStr">
        <is>
          <t>Не определено</t>
        </is>
      </c>
      <c r="W1792" s="35" t="inlineStr"/>
      <c r="X1792" s="35" t="inlineStr"/>
    </row>
    <row r="1793" ht="27.75" customHeight="1" s="24">
      <c r="A1793" s="13" t="n">
        <v>5000038484</v>
      </c>
      <c r="B1793" s="13" t="inlineStr">
        <is>
          <t>ОГБУ "Мелекесский центр ветеринарии и безопасности продовольствия"</t>
        </is>
      </c>
      <c r="C1793" s="13" t="n">
        <v>7302027241</v>
      </c>
      <c r="D1793" s="13" t="inlineStr">
        <is>
          <t>7302027241</t>
        </is>
      </c>
      <c r="E1793" s="13" t="inlineStr">
        <is>
          <t>ЮЛ РФ</t>
        </is>
      </c>
      <c r="F1793" s="13" t="n"/>
      <c r="G1793" s="14" t="n"/>
      <c r="H1793" s="14" t="n"/>
      <c r="I1793" s="14" t="n"/>
      <c r="J1793" s="14" t="n"/>
      <c r="K1793" s="53" t="inlineStr"/>
      <c r="L1793" s="53" t="inlineStr">
        <is>
          <t>Не определено</t>
        </is>
      </c>
      <c r="M1793" s="53" t="inlineStr"/>
      <c r="N1793" s="54" t="inlineStr"/>
      <c r="O1793" s="55" t="inlineStr"/>
      <c r="P1793" s="16" t="inlineStr">
        <is>
          <t>Требует обогащения</t>
        </is>
      </c>
      <c r="Q1793" s="16">
        <f>HYPERLINK("https://pb.nalog.ru/search.html?query=7302027241","ФНС: проверить")</f>
        <v/>
      </c>
      <c r="R1793" s="16">
        <f>HYPERLINK("https://checko.ru/search?query=3801001629","Чекко: проверить")</f>
        <v/>
      </c>
      <c r="S1793" t="n">
        <v>1</v>
      </c>
      <c r="T1793" s="35" t="inlineStr">
        <is>
          <t>4 — Не обогащён</t>
        </is>
      </c>
      <c r="U1793" s="35" t="inlineStr">
        <is>
          <t>Нет ОКВЭД/ССЧР</t>
        </is>
      </c>
      <c r="V1793" s="35" t="inlineStr">
        <is>
          <t>Не определено</t>
        </is>
      </c>
      <c r="W1793" s="35" t="inlineStr"/>
      <c r="X1793" s="35" t="inlineStr"/>
    </row>
    <row r="1794" ht="15" customHeight="1" s="24">
      <c r="A1794" s="13" t="n">
        <v>5000001563</v>
      </c>
      <c r="B1794" s="13" t="inlineStr">
        <is>
          <t>ГУК Иркутский областной театр кукол "Аистенок"</t>
        </is>
      </c>
      <c r="C1794" s="13" t="n">
        <v>3811026485</v>
      </c>
      <c r="D1794" s="13" t="inlineStr">
        <is>
          <t>3811026485</t>
        </is>
      </c>
      <c r="E1794" s="13" t="inlineStr">
        <is>
          <t>ЮЛ РФ</t>
        </is>
      </c>
      <c r="F1794" s="13" t="n"/>
      <c r="G1794" s="14" t="n"/>
      <c r="H1794" s="14" t="n"/>
      <c r="I1794" s="14" t="n"/>
      <c r="J1794" s="14" t="n"/>
      <c r="K1794" s="53" t="inlineStr"/>
      <c r="L1794" s="53" t="inlineStr">
        <is>
          <t>Не определено</t>
        </is>
      </c>
      <c r="M1794" s="53" t="inlineStr"/>
      <c r="N1794" s="54" t="inlineStr"/>
      <c r="O1794" s="55" t="inlineStr"/>
      <c r="P1794" s="16" t="inlineStr">
        <is>
          <t>Требует обогащения</t>
        </is>
      </c>
      <c r="Q1794" s="16">
        <f>HYPERLINK("https://pb.nalog.ru/search.html?query=3811026485","ФНС: проверить")</f>
        <v/>
      </c>
      <c r="R1794" s="16">
        <f>HYPERLINK("https://checko.ru/search?query=3801001629","Чекко: проверить")</f>
        <v/>
      </c>
      <c r="S1794" t="n">
        <v>1</v>
      </c>
      <c r="T1794" s="35" t="inlineStr">
        <is>
          <t>4 — Не обогащён</t>
        </is>
      </c>
      <c r="U1794" s="35" t="inlineStr">
        <is>
          <t>Нет ОКВЭД/ССЧР</t>
        </is>
      </c>
      <c r="V1794" s="35" t="inlineStr">
        <is>
          <t>Не определено</t>
        </is>
      </c>
      <c r="W1794" s="35" t="inlineStr"/>
      <c r="X1794" s="35" t="inlineStr"/>
    </row>
    <row r="1795" ht="15" customHeight="1" s="24">
      <c r="A1795" s="13" t="n">
        <v>5000095038</v>
      </c>
      <c r="B1795" s="13" t="inlineStr">
        <is>
          <t>МКОУ «СОШ № 15» г.о. Нальчик КБР</t>
        </is>
      </c>
      <c r="C1795" s="13" t="n">
        <v>711042022</v>
      </c>
      <c r="D1795" s="13" t="n"/>
      <c r="E1795" s="13" t="inlineStr">
        <is>
          <t>Не определён</t>
        </is>
      </c>
      <c r="F1795" s="13" t="inlineStr">
        <is>
          <t>711042022</t>
        </is>
      </c>
      <c r="G1795" s="14" t="n"/>
      <c r="H1795" s="14" t="n"/>
      <c r="I1795" s="14" t="n"/>
      <c r="J1795" s="14" t="n"/>
      <c r="K1795" s="13">
        <f>IF(G1795="","",IF(G1795&gt;=22,"Да","Нет"))</f>
        <v/>
      </c>
      <c r="L1795" s="13">
        <f>IF(OR(I1795="",J1795=""),"Не определено",IF(OR(COUNTIF(I1795,"45*")&gt;0,COUNTIF(J1795,"*45*")&gt;0,COUNTIF(I1795,"46*")&gt;0,COUNTIF(J1795,"*46*")&gt;0,COUNTIF(I1795,"47*")&gt;0,COUNTIF(J1795,"*47*")&gt;0,COUNTIF(I1795,"10*")&gt;0,COUNTIF(J1795,"*10*")&gt;0,COUNTIF(I1795,"11*")&gt;0,COUNTIF(J1795,"*11*")&gt;0,COUNTIF(I1795,"12*")&gt;0,COUNTIF(J1795,"*12*")&gt;0,COUNTIF(I1795,"13*")&gt;0,COUNTIF(J1795,"*13*")&gt;0,COUNTIF(I1795,"14*")&gt;0,COUNTIF(J1795,"*14*")&gt;0,COUNTIF(I1795,"15*")&gt;0,COUNTIF(J1795,"*15*")&gt;0,COUNTIF(I1795,"16*")&gt;0,COUNTIF(J1795,"*16*")&gt;0,COUNTIF(I1795,"17*")&gt;0,COUNTIF(J1795,"*17*")&gt;0,COUNTIF(I1795,"18*")&gt;0,COUNTIF(J1795,"*18*")&gt;0,COUNTIF(I1795,"19*")&gt;0,COUNTIF(J1795,"*19*")&gt;0,COUNTIF(I1795,"20*")&gt;0,COUNTIF(J1795,"*20*")&gt;0,COUNTIF(I1795,"21*")&gt;0,COUNTIF(J1795,"*21*")&gt;0,COUNTIF(I1795,"22*")&gt;0,COUNTIF(J1795,"*22*")&gt;0,COUNTIF(I1795,"23*")&gt;0,COUNTIF(J1795,"*23*")&gt;0,COUNTIF(I1795,"24*")&gt;0,COUNTIF(J1795,"*24*")&gt;0,COUNTIF(I1795,"25*")&gt;0,COUNTIF(J1795,"*25*")&gt;0,COUNTIF(I1795,"26*")&gt;0,COUNTIF(J1795,"*26*")&gt;0,COUNTIF(I1795,"27*")&gt;0,COUNTIF(J1795,"*27*")&gt;0,COUNTIF(I1795,"28*")&gt;0,COUNTIF(J1795,"*28*")&gt;0,COUNTIF(I1795,"29*")&gt;0,COUNTIF(J1795,"*29*")&gt;0,COUNTIF(I1795,"30*")&gt;0,COUNTIF(J1795,"*30*")&gt;0,COUNTIF(I1795,"31*")&gt;0,COUNTIF(J1795,"*31*")&gt;0,COUNTIF(I1795,"32*")&gt;0,COUNTIF(J1795,"*32*")&gt;0,COUNTIF(I1795,"33*")&gt;0,COUNTIF(J1795,"*33*")&gt;0,COUNTIF(I1795,"41*")&gt;0,COUNTIF(J1795,"*41*")&gt;0,COUNTIF(I1795,"42*")&gt;0,COUNTIF(J1795,"*42*")&gt;0,COUNTIF(I1795,"43*")&gt;0,COUNTIF(J1795,"*43*")&gt;0,COUNTIF(I1795,"49*")&gt;0,COUNTIF(J1795,"*49*")&gt;0,COUNTIF(I1795,"52*")&gt;0,COUNTIF(J1795,"*52*")&gt;0,COUNTIF(I1795,"55*")&gt;0,COUNTIF(J1795,"*55*")&gt;0,COUNTIF(I1795,"56*")&gt;0,COUNTIF(J1795,"*56*")&gt;0,COUNTIF(I1795,"68*")&gt;0,COUNTIF(J1795,"*68*")&gt;0,COUNTIF(I1795,"78*")&gt;0,COUNTIF(J1795,"*78*")&gt;0,COUNTIF(I1795,"81*")&gt;0,COUNTIF(J1795,"*81*")&gt;0,COUNTIF(I1795,"82*")&gt;0,COUNTIF(J1795,"*82*")&gt;0,COUNTIF(I1795,"64*")&gt;0,COUNTIF(J1795,"*64*")&gt;0,COUNTIF(I1795,"65*")&gt;0,COUNTIF(J1795,"*65*")&gt;0,COUNTIF(I1795,"66*")&gt;0,COUNTIF(J1795,"*66*")&gt;0,COUNTIF(I1795,"61*")&gt;0,COUNTIF(J1795,"*61*")&gt;0,COUNTIF(I1795,"62*")&gt;0,COUNTIF(J1795,"*62*")&gt;0,COUNTIF(I1795,"63*")&gt;0,COUNTIF(J1795,"*63*")&gt;0,COUNTIF(I1795,"85*")&gt;0,COUNTIF(J1795,"*85*")&gt;0,COUNTIF(I1795,"86*")&gt;0,COUNTIF(J1795,"*86*")&gt;0),"Да","Нет"))</f>
        <v/>
      </c>
      <c r="M1795" s="13">
        <f>IF(OR(G1795="",L1795&lt;&gt;"Да"),"",IF(G1795&lt;=100,"До 100",IF(G1795&lt;=200,"До 200",IF(G1795&lt;=500,"До 500","Отдельное КП"))))</f>
        <v/>
      </c>
      <c r="N1795" s="15">
        <f>IF(OR(G1795="",L1795&lt;&gt;"Да"),"",IF(G1795&lt;=100,33600,IF(G1795&lt;=200,62400,IF(G1795&lt;=500,144000,""))))</f>
        <v/>
      </c>
      <c r="O1795" s="16">
        <f>IF(G1795="","",IF(G1795&lt;=15,"1–15",IF(G1795&lt;=30,"16–30",IF(G1795&lt;=50,"31–50",IF(G1795&lt;=100,"51–100",IF(G1795&lt;=150,"101–150",IF(G1795&lt;=200,"151–200",IF(G1795&lt;=500,"201–500","500+"))))))))</f>
        <v/>
      </c>
      <c r="P1795" s="16" t="inlineStr">
        <is>
          <t>Нет совпадения в предоставленной выгрузке ССЧР</t>
        </is>
      </c>
      <c r="Q1795" s="16" t="n"/>
      <c r="R1795" s="16">
        <f>HYPERLINK("https://checko.ru/search?query=3801001629","Чекко: проверить")</f>
        <v/>
      </c>
      <c r="S1795" t="n">
        <v>0</v>
      </c>
    </row>
    <row r="1796" ht="27.75" customHeight="1" s="24">
      <c r="A1796" s="13" t="n">
        <v>5000001504</v>
      </c>
      <c r="B1796" s="13" t="inlineStr">
        <is>
          <t>Министерство экономического развития и промышленности Иркутской области</t>
        </is>
      </c>
      <c r="C1796" s="13" t="n">
        <v>3808172140</v>
      </c>
      <c r="D1796" s="13" t="inlineStr">
        <is>
          <t>3808172140</t>
        </is>
      </c>
      <c r="E1796" s="13" t="inlineStr">
        <is>
          <t>ЮЛ РФ</t>
        </is>
      </c>
      <c r="F1796" s="13" t="n"/>
      <c r="G1796" s="14" t="n"/>
      <c r="H1796" s="14" t="n"/>
      <c r="I1796" s="14" t="n"/>
      <c r="J1796" s="14" t="n"/>
      <c r="K1796" s="53" t="inlineStr"/>
      <c r="L1796" s="53" t="inlineStr">
        <is>
          <t>Не определено</t>
        </is>
      </c>
      <c r="M1796" s="53" t="inlineStr"/>
      <c r="N1796" s="54" t="inlineStr"/>
      <c r="O1796" s="55" t="inlineStr"/>
      <c r="P1796" s="16" t="inlineStr">
        <is>
          <t>Требует обогащения</t>
        </is>
      </c>
      <c r="Q1796" s="16">
        <f>HYPERLINK("https://pb.nalog.ru/search.html?query=3808172140","ФНС: проверить")</f>
        <v/>
      </c>
      <c r="R1796" s="16">
        <f>HYPERLINK("https://checko.ru/search?query=3801001629","Чекко: проверить")</f>
        <v/>
      </c>
      <c r="S1796" t="n">
        <v>1</v>
      </c>
      <c r="T1796" s="35" t="inlineStr">
        <is>
          <t>4 — Не обогащён</t>
        </is>
      </c>
      <c r="U1796" s="35" t="inlineStr">
        <is>
          <t>Нет ОКВЭД/ССЧР</t>
        </is>
      </c>
      <c r="V1796" s="35" t="inlineStr">
        <is>
          <t>Не определено</t>
        </is>
      </c>
      <c r="W1796" s="35" t="inlineStr"/>
      <c r="X1796" s="35" t="inlineStr"/>
    </row>
    <row r="1797" ht="15" customHeight="1" s="24">
      <c r="A1797" s="13" t="n">
        <v>5000008563</v>
      </c>
      <c r="B1797" s="13" t="inlineStr">
        <is>
          <t>УФССП России по Ростовской области</t>
        </is>
      </c>
      <c r="C1797" s="13" t="n">
        <v>6164229665</v>
      </c>
      <c r="D1797" s="13" t="inlineStr">
        <is>
          <t>6164229665</t>
        </is>
      </c>
      <c r="E1797" s="13" t="inlineStr">
        <is>
          <t>ЮЛ РФ</t>
        </is>
      </c>
      <c r="F1797" s="13" t="n"/>
      <c r="G1797" s="14" t="n"/>
      <c r="H1797" s="14" t="n"/>
      <c r="I1797" s="14" t="n"/>
      <c r="J1797" s="14" t="n"/>
      <c r="K1797" s="53" t="inlineStr"/>
      <c r="L1797" s="53" t="inlineStr">
        <is>
          <t>Не определено</t>
        </is>
      </c>
      <c r="M1797" s="53" t="inlineStr"/>
      <c r="N1797" s="54" t="inlineStr"/>
      <c r="O1797" s="55" t="inlineStr"/>
      <c r="P1797" s="16" t="inlineStr">
        <is>
          <t>Требует обогащения</t>
        </is>
      </c>
      <c r="Q1797" s="16">
        <f>HYPERLINK("https://pb.nalog.ru/search.html?query=6164229665","ФНС: проверить")</f>
        <v/>
      </c>
      <c r="R1797" s="16">
        <f>HYPERLINK("https://checko.ru/search?query=3801001629","Чекко: проверить")</f>
        <v/>
      </c>
      <c r="S1797" t="n">
        <v>1</v>
      </c>
      <c r="T1797" s="35" t="inlineStr">
        <is>
          <t>4 — Не обогащён</t>
        </is>
      </c>
      <c r="U1797" s="35" t="inlineStr">
        <is>
          <t>Нет ОКВЭД/ССЧР</t>
        </is>
      </c>
      <c r="V1797" s="35" t="inlineStr">
        <is>
          <t>Не определено</t>
        </is>
      </c>
      <c r="W1797" s="35" t="inlineStr"/>
      <c r="X1797" s="35" t="inlineStr"/>
    </row>
    <row r="1798" ht="27.75" customHeight="1" s="24">
      <c r="A1798" s="13" t="n">
        <v>5000062568</v>
      </c>
      <c r="B1798" s="13" t="inlineStr">
        <is>
          <t>ОГБПОУ «Ульяновский социально-педагогический колледж»</t>
        </is>
      </c>
      <c r="C1798" s="13" t="n">
        <v>7303012840</v>
      </c>
      <c r="D1798" s="13" t="inlineStr">
        <is>
          <t>7303012840</t>
        </is>
      </c>
      <c r="E1798" s="13" t="inlineStr">
        <is>
          <t>ЮЛ РФ</t>
        </is>
      </c>
      <c r="F1798" s="13" t="n"/>
      <c r="G1798" s="14" t="n"/>
      <c r="H1798" s="14" t="n"/>
      <c r="I1798" s="14" t="n"/>
      <c r="J1798" s="14" t="n"/>
      <c r="K1798" s="53" t="inlineStr"/>
      <c r="L1798" s="53" t="inlineStr">
        <is>
          <t>Не определено</t>
        </is>
      </c>
      <c r="M1798" s="53" t="inlineStr"/>
      <c r="N1798" s="54" t="inlineStr"/>
      <c r="O1798" s="55" t="inlineStr"/>
      <c r="P1798" s="16" t="inlineStr">
        <is>
          <t>Требует обогащения</t>
        </is>
      </c>
      <c r="Q1798" s="16">
        <f>HYPERLINK("https://pb.nalog.ru/search.html?query=7303012840","ФНС: проверить")</f>
        <v/>
      </c>
      <c r="R1798" s="16">
        <f>HYPERLINK("https://checko.ru/search?query=3801001629","Чекко: проверить")</f>
        <v/>
      </c>
      <c r="S1798" t="n">
        <v>1</v>
      </c>
      <c r="T1798" s="35" t="inlineStr">
        <is>
          <t>4 — Не обогащён</t>
        </is>
      </c>
      <c r="U1798" s="35" t="inlineStr">
        <is>
          <t>Нет ОКВЭД/ССЧР</t>
        </is>
      </c>
      <c r="V1798" s="35" t="inlineStr">
        <is>
          <t>Не определено</t>
        </is>
      </c>
      <c r="W1798" s="35" t="inlineStr"/>
      <c r="X1798" s="35" t="inlineStr"/>
    </row>
    <row r="1799" ht="27.75" customHeight="1" s="24">
      <c r="A1799" s="13" t="n">
        <v>5000062584</v>
      </c>
      <c r="B1799" s="13" t="inlineStr">
        <is>
          <t>ГУЗ «Ульяновский территориальный центр медицины катастроф»</t>
        </is>
      </c>
      <c r="C1799" s="13" t="n">
        <v>7303023306</v>
      </c>
      <c r="D1799" s="13" t="inlineStr">
        <is>
          <t>7303023306</t>
        </is>
      </c>
      <c r="E1799" s="13" t="inlineStr">
        <is>
          <t>ЮЛ РФ</t>
        </is>
      </c>
      <c r="F1799" s="13" t="n"/>
      <c r="G1799" s="14" t="n"/>
      <c r="H1799" s="14" t="n"/>
      <c r="I1799" s="14" t="n"/>
      <c r="J1799" s="14" t="n"/>
      <c r="K1799" s="53" t="inlineStr"/>
      <c r="L1799" s="53" t="inlineStr">
        <is>
          <t>Не определено</t>
        </is>
      </c>
      <c r="M1799" s="53" t="inlineStr"/>
      <c r="N1799" s="54" t="inlineStr"/>
      <c r="O1799" s="55" t="inlineStr"/>
      <c r="P1799" s="16" t="inlineStr">
        <is>
          <t>Требует обогащения</t>
        </is>
      </c>
      <c r="Q1799" s="16">
        <f>HYPERLINK("https://pb.nalog.ru/search.html?query=7303023306","ФНС: проверить")</f>
        <v/>
      </c>
      <c r="R1799" s="16">
        <f>HYPERLINK("https://checko.ru/search?query=3801001629","Чекко: проверить")</f>
        <v/>
      </c>
      <c r="S1799" t="n">
        <v>1</v>
      </c>
      <c r="T1799" s="35" t="inlineStr">
        <is>
          <t>4 — Не обогащён</t>
        </is>
      </c>
      <c r="U1799" s="35" t="inlineStr">
        <is>
          <t>Нет ОКВЭД/ССЧР</t>
        </is>
      </c>
      <c r="V1799" s="35" t="inlineStr">
        <is>
          <t>Не определено</t>
        </is>
      </c>
      <c r="W1799" s="35" t="inlineStr"/>
      <c r="X1799" s="35" t="inlineStr"/>
    </row>
    <row r="1800" ht="27.75" customHeight="1" s="24">
      <c r="A1800" s="13" t="n">
        <v>5000001872</v>
      </c>
      <c r="B1800" s="13" t="inlineStr">
        <is>
          <t>ОбГБОУ СПО «Черемховский медицинский техникум»</t>
        </is>
      </c>
      <c r="C1800" s="13" t="n">
        <v>3820005410</v>
      </c>
      <c r="D1800" s="13" t="inlineStr">
        <is>
          <t>3820005410</t>
        </is>
      </c>
      <c r="E1800" s="13" t="inlineStr">
        <is>
          <t>ЮЛ РФ</t>
        </is>
      </c>
      <c r="F1800" s="13" t="n"/>
      <c r="G1800" s="14" t="n"/>
      <c r="H1800" s="14" t="n"/>
      <c r="I1800" s="14" t="n"/>
      <c r="J1800" s="14" t="n"/>
      <c r="K1800" s="53" t="inlineStr"/>
      <c r="L1800" s="53" t="inlineStr">
        <is>
          <t>Не определено</t>
        </is>
      </c>
      <c r="M1800" s="53" t="inlineStr"/>
      <c r="N1800" s="54" t="inlineStr"/>
      <c r="O1800" s="55" t="inlineStr"/>
      <c r="P1800" s="16" t="inlineStr">
        <is>
          <t>Требует обогащения</t>
        </is>
      </c>
      <c r="Q1800" s="16">
        <f>HYPERLINK("https://pb.nalog.ru/search.html?query=3820005410","ФНС: проверить")</f>
        <v/>
      </c>
      <c r="R1800" s="16">
        <f>HYPERLINK("https://checko.ru/search?query=3801001629","Чекко: проверить")</f>
        <v/>
      </c>
      <c r="S1800" t="n">
        <v>1</v>
      </c>
      <c r="T1800" s="35" t="inlineStr">
        <is>
          <t>4 — Не обогащён</t>
        </is>
      </c>
      <c r="U1800" s="35" t="inlineStr">
        <is>
          <t>Нет ОКВЭД/ССЧР</t>
        </is>
      </c>
      <c r="V1800" s="35" t="inlineStr">
        <is>
          <t>Не определено</t>
        </is>
      </c>
      <c r="W1800" s="35" t="inlineStr"/>
      <c r="X1800" s="35" t="inlineStr"/>
    </row>
    <row r="1801" ht="54.75" customHeight="1" s="24">
      <c r="A1801" s="13" t="n">
        <v>5000009246</v>
      </c>
      <c r="B1801" s="13" t="inlineStr">
        <is>
          <t>Государственное бюджетное учреждение культуры Иркутская Областная Государственная универсальная научная библиотека им. И.И. Молчанова-Сибирского</t>
        </is>
      </c>
      <c r="C1801" s="13" t="n">
        <v>3808010076</v>
      </c>
      <c r="D1801" s="13" t="inlineStr">
        <is>
          <t>3808010076</t>
        </is>
      </c>
      <c r="E1801" s="13" t="inlineStr">
        <is>
          <t>ЮЛ РФ</t>
        </is>
      </c>
      <c r="F1801" s="13" t="n"/>
      <c r="G1801" s="14" t="n"/>
      <c r="H1801" s="14" t="n"/>
      <c r="I1801" s="14" t="n"/>
      <c r="J1801" s="14" t="n"/>
      <c r="K1801" s="53" t="inlineStr"/>
      <c r="L1801" s="53" t="inlineStr">
        <is>
          <t>Не определено</t>
        </is>
      </c>
      <c r="M1801" s="53" t="inlineStr"/>
      <c r="N1801" s="54" t="inlineStr"/>
      <c r="O1801" s="55" t="inlineStr"/>
      <c r="P1801" s="16" t="inlineStr">
        <is>
          <t>Требует обогащения</t>
        </is>
      </c>
      <c r="Q1801" s="16">
        <f>HYPERLINK("https://pb.nalog.ru/search.html?query=3808010076","ФНС: проверить")</f>
        <v/>
      </c>
      <c r="R1801" s="16">
        <f>HYPERLINK("https://checko.ru/search?query=3801001629","Чекко: проверить")</f>
        <v/>
      </c>
      <c r="S1801" t="n">
        <v>1</v>
      </c>
      <c r="T1801" s="35" t="inlineStr">
        <is>
          <t>4 — Не обогащён</t>
        </is>
      </c>
      <c r="U1801" s="35" t="inlineStr">
        <is>
          <t>Нет ОКВЭД/ССЧР</t>
        </is>
      </c>
      <c r="V1801" s="35" t="inlineStr">
        <is>
          <t>Не определено</t>
        </is>
      </c>
      <c r="W1801" s="35" t="inlineStr"/>
      <c r="X1801" s="35" t="inlineStr"/>
    </row>
    <row r="1802" ht="15" customHeight="1" s="24">
      <c r="A1802" s="13" t="n">
        <v>5000106076</v>
      </c>
      <c r="B1802" s="13" t="inlineStr">
        <is>
          <t>ГБУЗ "ГРАЧЕВСКАЯ РБ"</t>
        </is>
      </c>
      <c r="C1802" s="13" t="n">
        <v>5627001080</v>
      </c>
      <c r="D1802" s="13" t="inlineStr">
        <is>
          <t>5627001080</t>
        </is>
      </c>
      <c r="E1802" s="13" t="inlineStr">
        <is>
          <t>ЮЛ РФ</t>
        </is>
      </c>
      <c r="F1802" s="13" t="n"/>
      <c r="G1802" s="14" t="n"/>
      <c r="H1802" s="14" t="n"/>
      <c r="I1802" s="14" t="n"/>
      <c r="J1802" s="14" t="n"/>
      <c r="K1802" s="53" t="inlineStr"/>
      <c r="L1802" s="53" t="inlineStr">
        <is>
          <t>Не определено</t>
        </is>
      </c>
      <c r="M1802" s="53" t="inlineStr"/>
      <c r="N1802" s="54" t="inlineStr"/>
      <c r="O1802" s="55" t="inlineStr"/>
      <c r="P1802" s="16" t="inlineStr">
        <is>
          <t>Требует обогащения</t>
        </is>
      </c>
      <c r="Q1802" s="16">
        <f>HYPERLINK("https://pb.nalog.ru/search.html?query=5627001080","ФНС: проверить")</f>
        <v/>
      </c>
      <c r="R1802" s="16">
        <f>HYPERLINK("https://checko.ru/search?query=3801001629","Чекко: проверить")</f>
        <v/>
      </c>
      <c r="S1802" t="n">
        <v>1</v>
      </c>
      <c r="T1802" s="35" t="inlineStr">
        <is>
          <t>4 — Не обогащён</t>
        </is>
      </c>
      <c r="U1802" s="35" t="inlineStr">
        <is>
          <t>Нет ОКВЭД/ССЧР</t>
        </is>
      </c>
      <c r="V1802" s="35" t="inlineStr">
        <is>
          <t>Не определено</t>
        </is>
      </c>
      <c r="W1802" s="35" t="inlineStr"/>
      <c r="X1802" s="35" t="inlineStr"/>
    </row>
    <row r="1803" ht="27.75" customHeight="1" s="24">
      <c r="A1803" s="13" t="n">
        <v>5000001508</v>
      </c>
      <c r="B1803" s="13" t="inlineStr">
        <is>
          <t>Служба потребительского рынка и лицензирования Иркутской области</t>
        </is>
      </c>
      <c r="C1803" s="13" t="n">
        <v>3808172278</v>
      </c>
      <c r="D1803" s="13" t="inlineStr">
        <is>
          <t>3808172278</t>
        </is>
      </c>
      <c r="E1803" s="13" t="inlineStr">
        <is>
          <t>ЮЛ РФ</t>
        </is>
      </c>
      <c r="F1803" s="13" t="n"/>
      <c r="G1803" s="14" t="n"/>
      <c r="H1803" s="14" t="n"/>
      <c r="I1803" s="14" t="n"/>
      <c r="J1803" s="14" t="n"/>
      <c r="K1803" s="53" t="inlineStr"/>
      <c r="L1803" s="53" t="inlineStr">
        <is>
          <t>Не определено</t>
        </is>
      </c>
      <c r="M1803" s="53" t="inlineStr"/>
      <c r="N1803" s="54" t="inlineStr"/>
      <c r="O1803" s="55" t="inlineStr"/>
      <c r="P1803" s="16" t="inlineStr">
        <is>
          <t>Требует обогащения</t>
        </is>
      </c>
      <c r="Q1803" s="16">
        <f>HYPERLINK("https://pb.nalog.ru/search.html?query=3808172278","ФНС: проверить")</f>
        <v/>
      </c>
      <c r="R1803" s="16">
        <f>HYPERLINK("https://checko.ru/search?query=3801001629","Чекко: проверить")</f>
        <v/>
      </c>
      <c r="S1803" t="n">
        <v>1</v>
      </c>
      <c r="T1803" s="35" t="inlineStr">
        <is>
          <t>4 — Не обогащён</t>
        </is>
      </c>
      <c r="U1803" s="35" t="inlineStr">
        <is>
          <t>Нет ОКВЭД/ССЧР</t>
        </is>
      </c>
      <c r="V1803" s="35" t="inlineStr">
        <is>
          <t>Не определено</t>
        </is>
      </c>
      <c r="W1803" s="35" t="inlineStr"/>
      <c r="X1803" s="35" t="inlineStr"/>
    </row>
    <row r="1804" ht="27.75" customHeight="1" s="24">
      <c r="A1804" s="13" t="n">
        <v>5000001530</v>
      </c>
      <c r="B1804" s="13" t="inlineStr">
        <is>
          <t>Иркутский техникум машиностроения им.Н.П.Трапезникова</t>
        </is>
      </c>
      <c r="C1804" s="13" t="n">
        <v>3809015743</v>
      </c>
      <c r="D1804" s="13" t="inlineStr">
        <is>
          <t>3809015743</t>
        </is>
      </c>
      <c r="E1804" s="13" t="inlineStr">
        <is>
          <t>ЮЛ РФ</t>
        </is>
      </c>
      <c r="F1804" s="13" t="n"/>
      <c r="G1804" s="14" t="n"/>
      <c r="H1804" s="14" t="n"/>
      <c r="I1804" s="14" t="n"/>
      <c r="J1804" s="14" t="n"/>
      <c r="K1804" s="53" t="inlineStr"/>
      <c r="L1804" s="53" t="inlineStr">
        <is>
          <t>Не определено</t>
        </is>
      </c>
      <c r="M1804" s="53" t="inlineStr"/>
      <c r="N1804" s="54" t="inlineStr"/>
      <c r="O1804" s="55" t="inlineStr"/>
      <c r="P1804" s="16" t="inlineStr">
        <is>
          <t>Требует обогащения</t>
        </is>
      </c>
      <c r="Q1804" s="16">
        <f>HYPERLINK("https://pb.nalog.ru/search.html?query=3809015743","ФНС: проверить")</f>
        <v/>
      </c>
      <c r="R1804" s="16">
        <f>HYPERLINK("https://checko.ru/search?query=3801001629","Чекко: проверить")</f>
        <v/>
      </c>
      <c r="S1804" t="n">
        <v>1</v>
      </c>
      <c r="T1804" s="35" t="inlineStr">
        <is>
          <t>4 — Не обогащён</t>
        </is>
      </c>
      <c r="U1804" s="35" t="inlineStr">
        <is>
          <t>Нет ОКВЭД/ССЧР</t>
        </is>
      </c>
      <c r="V1804" s="35" t="inlineStr">
        <is>
          <t>Не определено</t>
        </is>
      </c>
      <c r="W1804" s="35" t="inlineStr"/>
      <c r="X1804" s="35" t="inlineStr"/>
    </row>
    <row r="1805" ht="41.25" customHeight="1" s="24">
      <c r="A1805" s="13" t="n">
        <v>5000094607</v>
      </c>
      <c r="B1805" s="13" t="inlineStr">
        <is>
          <t>Администрация сельского поселения Прималкинское Прохладненского муниципального района КБР</t>
        </is>
      </c>
      <c r="C1805" s="13" t="n">
        <v>704001868</v>
      </c>
      <c r="D1805" s="13" t="n"/>
      <c r="E1805" s="13" t="inlineStr">
        <is>
          <t>Не определён</t>
        </is>
      </c>
      <c r="F1805" s="13" t="inlineStr">
        <is>
          <t>704001868</t>
        </is>
      </c>
      <c r="G1805" s="14" t="n"/>
      <c r="H1805" s="14" t="n"/>
      <c r="I1805" s="14" t="n"/>
      <c r="J1805" s="14" t="n"/>
      <c r="K1805" s="13">
        <f>IF(G1805="","",IF(G1805&gt;=22,"Да","Нет"))</f>
        <v/>
      </c>
      <c r="L1805" s="13">
        <f>IF(OR(I1805="",J1805=""),"Не определено",IF(OR(COUNTIF(I1805,"45*")&gt;0,COUNTIF(J1805,"*45*")&gt;0,COUNTIF(I1805,"46*")&gt;0,COUNTIF(J1805,"*46*")&gt;0,COUNTIF(I1805,"47*")&gt;0,COUNTIF(J1805,"*47*")&gt;0,COUNTIF(I1805,"10*")&gt;0,COUNTIF(J1805,"*10*")&gt;0,COUNTIF(I1805,"11*")&gt;0,COUNTIF(J1805,"*11*")&gt;0,COUNTIF(I1805,"12*")&gt;0,COUNTIF(J1805,"*12*")&gt;0,COUNTIF(I1805,"13*")&gt;0,COUNTIF(J1805,"*13*")&gt;0,COUNTIF(I1805,"14*")&gt;0,COUNTIF(J1805,"*14*")&gt;0,COUNTIF(I1805,"15*")&gt;0,COUNTIF(J1805,"*15*")&gt;0,COUNTIF(I1805,"16*")&gt;0,COUNTIF(J1805,"*16*")&gt;0,COUNTIF(I1805,"17*")&gt;0,COUNTIF(J1805,"*17*")&gt;0,COUNTIF(I1805,"18*")&gt;0,COUNTIF(J1805,"*18*")&gt;0,COUNTIF(I1805,"19*")&gt;0,COUNTIF(J1805,"*19*")&gt;0,COUNTIF(I1805,"20*")&gt;0,COUNTIF(J1805,"*20*")&gt;0,COUNTIF(I1805,"21*")&gt;0,COUNTIF(J1805,"*21*")&gt;0,COUNTIF(I1805,"22*")&gt;0,COUNTIF(J1805,"*22*")&gt;0,COUNTIF(I1805,"23*")&gt;0,COUNTIF(J1805,"*23*")&gt;0,COUNTIF(I1805,"24*")&gt;0,COUNTIF(J1805,"*24*")&gt;0,COUNTIF(I1805,"25*")&gt;0,COUNTIF(J1805,"*25*")&gt;0,COUNTIF(I1805,"26*")&gt;0,COUNTIF(J1805,"*26*")&gt;0,COUNTIF(I1805,"27*")&gt;0,COUNTIF(J1805,"*27*")&gt;0,COUNTIF(I1805,"28*")&gt;0,COUNTIF(J1805,"*28*")&gt;0,COUNTIF(I1805,"29*")&gt;0,COUNTIF(J1805,"*29*")&gt;0,COUNTIF(I1805,"30*")&gt;0,COUNTIF(J1805,"*30*")&gt;0,COUNTIF(I1805,"31*")&gt;0,COUNTIF(J1805,"*31*")&gt;0,COUNTIF(I1805,"32*")&gt;0,COUNTIF(J1805,"*32*")&gt;0,COUNTIF(I1805,"33*")&gt;0,COUNTIF(J1805,"*33*")&gt;0,COUNTIF(I1805,"41*")&gt;0,COUNTIF(J1805,"*41*")&gt;0,COUNTIF(I1805,"42*")&gt;0,COUNTIF(J1805,"*42*")&gt;0,COUNTIF(I1805,"43*")&gt;0,COUNTIF(J1805,"*43*")&gt;0,COUNTIF(I1805,"49*")&gt;0,COUNTIF(J1805,"*49*")&gt;0,COUNTIF(I1805,"52*")&gt;0,COUNTIF(J1805,"*52*")&gt;0,COUNTIF(I1805,"55*")&gt;0,COUNTIF(J1805,"*55*")&gt;0,COUNTIF(I1805,"56*")&gt;0,COUNTIF(J1805,"*56*")&gt;0,COUNTIF(I1805,"68*")&gt;0,COUNTIF(J1805,"*68*")&gt;0,COUNTIF(I1805,"78*")&gt;0,COUNTIF(J1805,"*78*")&gt;0,COUNTIF(I1805,"81*")&gt;0,COUNTIF(J1805,"*81*")&gt;0,COUNTIF(I1805,"82*")&gt;0,COUNTIF(J1805,"*82*")&gt;0,COUNTIF(I1805,"64*")&gt;0,COUNTIF(J1805,"*64*")&gt;0,COUNTIF(I1805,"65*")&gt;0,COUNTIF(J1805,"*65*")&gt;0,COUNTIF(I1805,"66*")&gt;0,COUNTIF(J1805,"*66*")&gt;0,COUNTIF(I1805,"61*")&gt;0,COUNTIF(J1805,"*61*")&gt;0,COUNTIF(I1805,"62*")&gt;0,COUNTIF(J1805,"*62*")&gt;0,COUNTIF(I1805,"63*")&gt;0,COUNTIF(J1805,"*63*")&gt;0,COUNTIF(I1805,"85*")&gt;0,COUNTIF(J1805,"*85*")&gt;0,COUNTIF(I1805,"86*")&gt;0,COUNTIF(J1805,"*86*")&gt;0),"Да","Нет"))</f>
        <v/>
      </c>
      <c r="M1805" s="13">
        <f>IF(OR(G1805="",L1805&lt;&gt;"Да"),"",IF(G1805&lt;=100,"До 100",IF(G1805&lt;=200,"До 200",IF(G1805&lt;=500,"До 500","Отдельное КП"))))</f>
        <v/>
      </c>
      <c r="N1805" s="15">
        <f>IF(OR(G1805="",L1805&lt;&gt;"Да"),"",IF(G1805&lt;=100,33600,IF(G1805&lt;=200,62400,IF(G1805&lt;=500,144000,""))))</f>
        <v/>
      </c>
      <c r="O1805" s="16">
        <f>IF(G1805="","",IF(G1805&lt;=15,"1–15",IF(G1805&lt;=30,"16–30",IF(G1805&lt;=50,"31–50",IF(G1805&lt;=100,"51–100",IF(G1805&lt;=150,"101–150",IF(G1805&lt;=200,"151–200",IF(G1805&lt;=500,"201–500","500+"))))))))</f>
        <v/>
      </c>
      <c r="P1805" s="16" t="inlineStr">
        <is>
          <t>Нет совпадения в предоставленной выгрузке ССЧР</t>
        </is>
      </c>
      <c r="Q1805" s="16" t="n"/>
      <c r="R1805" s="16">
        <f>HYPERLINK("https://checko.ru/search?query=3801001629","Чекко: проверить")</f>
        <v/>
      </c>
      <c r="S1805" t="n">
        <v>0</v>
      </c>
    </row>
    <row r="1806" ht="27.75" customHeight="1" s="24">
      <c r="A1806" s="13" t="n">
        <v>5000057416</v>
      </c>
      <c r="B1806" s="13" t="inlineStr">
        <is>
          <t>МУККТ "Одинцовский муниципальный центр народного творчества и метод. раб."</t>
        </is>
      </c>
      <c r="C1806" s="13" t="n">
        <v>5032201414</v>
      </c>
      <c r="D1806" s="13" t="inlineStr">
        <is>
          <t>5032201414</t>
        </is>
      </c>
      <c r="E1806" s="13" t="inlineStr">
        <is>
          <t>ЮЛ РФ</t>
        </is>
      </c>
      <c r="F1806" s="13" t="n"/>
      <c r="G1806" s="14" t="n"/>
      <c r="H1806" s="14" t="n"/>
      <c r="I1806" s="14" t="n"/>
      <c r="J1806" s="14" t="n"/>
      <c r="K1806" s="53" t="inlineStr"/>
      <c r="L1806" s="53" t="inlineStr">
        <is>
          <t>Не определено</t>
        </is>
      </c>
      <c r="M1806" s="53" t="inlineStr"/>
      <c r="N1806" s="54" t="inlineStr"/>
      <c r="O1806" s="55" t="inlineStr"/>
      <c r="P1806" s="16" t="inlineStr">
        <is>
          <t>Требует обогащения</t>
        </is>
      </c>
      <c r="Q1806" s="16">
        <f>HYPERLINK("https://pb.nalog.ru/search.html?query=5032201414","ФНС: проверить")</f>
        <v/>
      </c>
      <c r="R1806" s="16">
        <f>HYPERLINK("https://checko.ru/search?query=3801001629","Чекко: проверить")</f>
        <v/>
      </c>
      <c r="S1806" t="n">
        <v>1</v>
      </c>
      <c r="T1806" s="35" t="inlineStr">
        <is>
          <t>4 — Не обогащён</t>
        </is>
      </c>
      <c r="U1806" s="35" t="inlineStr">
        <is>
          <t>Нет ОКВЭД/ССЧР</t>
        </is>
      </c>
      <c r="V1806" s="35" t="inlineStr">
        <is>
          <t>Не определено</t>
        </is>
      </c>
      <c r="W1806" s="35" t="inlineStr"/>
      <c r="X1806" s="35" t="inlineStr"/>
    </row>
    <row r="1807" ht="27.75" customHeight="1" s="24">
      <c r="A1807" s="13" t="n">
        <v>5000006315</v>
      </c>
      <c r="B1807" s="13" t="inlineStr">
        <is>
          <t>Агентство архитектуры и градостроительства Ульяновской области</t>
        </is>
      </c>
      <c r="C1807" s="13" t="n">
        <v>7325133662</v>
      </c>
      <c r="D1807" s="13" t="inlineStr">
        <is>
          <t>7325133662</t>
        </is>
      </c>
      <c r="E1807" s="13" t="inlineStr">
        <is>
          <t>ЮЛ РФ</t>
        </is>
      </c>
      <c r="F1807" s="13" t="n"/>
      <c r="G1807" s="14" t="n"/>
      <c r="H1807" s="14" t="n"/>
      <c r="I1807" s="14" t="n"/>
      <c r="J1807" s="14" t="n"/>
      <c r="K1807" s="53" t="inlineStr"/>
      <c r="L1807" s="53" t="inlineStr">
        <is>
          <t>Не определено</t>
        </is>
      </c>
      <c r="M1807" s="53" t="inlineStr"/>
      <c r="N1807" s="54" t="inlineStr"/>
      <c r="O1807" s="55" t="inlineStr"/>
      <c r="P1807" s="16" t="inlineStr">
        <is>
          <t>Требует обогащения</t>
        </is>
      </c>
      <c r="Q1807" s="16">
        <f>HYPERLINK("https://pb.nalog.ru/search.html?query=7325133662","ФНС: проверить")</f>
        <v/>
      </c>
      <c r="R1807" s="16">
        <f>HYPERLINK("https://checko.ru/search?query=3801001629","Чекко: проверить")</f>
        <v/>
      </c>
      <c r="S1807" t="n">
        <v>1</v>
      </c>
      <c r="T1807" s="35" t="inlineStr">
        <is>
          <t>4 — Не обогащён</t>
        </is>
      </c>
      <c r="U1807" s="35" t="inlineStr">
        <is>
          <t>Нет ОКВЭД/ССЧР</t>
        </is>
      </c>
      <c r="V1807" s="35" t="inlineStr">
        <is>
          <t>Не определено</t>
        </is>
      </c>
      <c r="W1807" s="35" t="inlineStr"/>
      <c r="X1807" s="35" t="inlineStr"/>
    </row>
    <row r="1808" ht="27.75" customHeight="1" s="24">
      <c r="A1808" s="13" t="n">
        <v>5000006319</v>
      </c>
      <c r="B1808" s="13" t="inlineStr">
        <is>
          <t>Министерство искусства и культурной политики Ульяновской области</t>
        </is>
      </c>
      <c r="C1808" s="13" t="n">
        <v>7303002440</v>
      </c>
      <c r="D1808" s="13" t="inlineStr">
        <is>
          <t>7303002440</t>
        </is>
      </c>
      <c r="E1808" s="13" t="inlineStr">
        <is>
          <t>ЮЛ РФ</t>
        </is>
      </c>
      <c r="F1808" s="13" t="n"/>
      <c r="G1808" s="14" t="n"/>
      <c r="H1808" s="14" t="n"/>
      <c r="I1808" s="14" t="n"/>
      <c r="J1808" s="14" t="n"/>
      <c r="K1808" s="53" t="inlineStr"/>
      <c r="L1808" s="53" t="inlineStr">
        <is>
          <t>Не определено</t>
        </is>
      </c>
      <c r="M1808" s="53" t="inlineStr"/>
      <c r="N1808" s="54" t="inlineStr"/>
      <c r="O1808" s="55" t="inlineStr"/>
      <c r="P1808" s="16" t="inlineStr">
        <is>
          <t>Требует обогащения</t>
        </is>
      </c>
      <c r="Q1808" s="16">
        <f>HYPERLINK("https://pb.nalog.ru/search.html?query=7303002440","ФНС: проверить")</f>
        <v/>
      </c>
      <c r="R1808" s="16">
        <f>HYPERLINK("https://checko.ru/search?query=3801001629","Чекко: проверить")</f>
        <v/>
      </c>
      <c r="S1808" t="n">
        <v>1</v>
      </c>
      <c r="T1808" s="35" t="inlineStr">
        <is>
          <t>4 — Не обогащён</t>
        </is>
      </c>
      <c r="U1808" s="35" t="inlineStr">
        <is>
          <t>Нет ОКВЭД/ССЧР</t>
        </is>
      </c>
      <c r="V1808" s="35" t="inlineStr">
        <is>
          <t>Не определено</t>
        </is>
      </c>
      <c r="W1808" s="35" t="inlineStr"/>
      <c r="X1808" s="35" t="inlineStr"/>
    </row>
    <row r="1809" ht="15" customHeight="1" s="24">
      <c r="A1809" s="13" t="n">
        <v>5000006318</v>
      </c>
      <c r="B1809" s="13" t="inlineStr">
        <is>
          <t>Госстройнадзор Ульяновской области</t>
        </is>
      </c>
      <c r="C1809" s="13" t="n">
        <v>7325118223</v>
      </c>
      <c r="D1809" s="13" t="inlineStr">
        <is>
          <t>7325118223</t>
        </is>
      </c>
      <c r="E1809" s="13" t="inlineStr">
        <is>
          <t>ЮЛ РФ</t>
        </is>
      </c>
      <c r="F1809" s="13" t="n"/>
      <c r="G1809" s="14" t="n"/>
      <c r="H1809" s="14" t="n"/>
      <c r="I1809" s="14" t="n"/>
      <c r="J1809" s="14" t="n"/>
      <c r="K1809" s="53" t="inlineStr"/>
      <c r="L1809" s="53" t="inlineStr">
        <is>
          <t>Не определено</t>
        </is>
      </c>
      <c r="M1809" s="53" t="inlineStr"/>
      <c r="N1809" s="54" t="inlineStr"/>
      <c r="O1809" s="55" t="inlineStr"/>
      <c r="P1809" s="16" t="inlineStr">
        <is>
          <t>Требует обогащения</t>
        </is>
      </c>
      <c r="Q1809" s="16">
        <f>HYPERLINK("https://pb.nalog.ru/search.html?query=7325118223","ФНС: проверить")</f>
        <v/>
      </c>
      <c r="R1809" s="16">
        <f>HYPERLINK("https://checko.ru/search?query=3801001629","Чекко: проверить")</f>
        <v/>
      </c>
      <c r="S1809" t="n">
        <v>1</v>
      </c>
      <c r="T1809" s="35" t="inlineStr">
        <is>
          <t>4 — Не обогащён</t>
        </is>
      </c>
      <c r="U1809" s="35" t="inlineStr">
        <is>
          <t>Нет ОКВЭД/ССЧР</t>
        </is>
      </c>
      <c r="V1809" s="35" t="inlineStr">
        <is>
          <t>Не определено</t>
        </is>
      </c>
      <c r="W1809" s="35" t="inlineStr"/>
      <c r="X1809" s="35" t="inlineStr"/>
    </row>
    <row r="1810" ht="27.75" customHeight="1" s="24">
      <c r="A1810" s="13" t="n">
        <v>5000006326</v>
      </c>
      <c r="B1810" s="13" t="inlineStr">
        <is>
          <t>ОГКУ Центр мониторинга деятельности регулируемых организаций УО</t>
        </is>
      </c>
      <c r="C1810" s="13" t="n">
        <v>7325114525</v>
      </c>
      <c r="D1810" s="13" t="inlineStr">
        <is>
          <t>7325114525</t>
        </is>
      </c>
      <c r="E1810" s="13" t="inlineStr">
        <is>
          <t>ЮЛ РФ</t>
        </is>
      </c>
      <c r="F1810" s="13" t="n"/>
      <c r="G1810" s="14" t="n"/>
      <c r="H1810" s="14" t="n"/>
      <c r="I1810" s="14" t="n"/>
      <c r="J1810" s="14" t="n"/>
      <c r="K1810" s="53" t="inlineStr"/>
      <c r="L1810" s="53" t="inlineStr">
        <is>
          <t>Не определено</t>
        </is>
      </c>
      <c r="M1810" s="53" t="inlineStr"/>
      <c r="N1810" s="54" t="inlineStr"/>
      <c r="O1810" s="55" t="inlineStr"/>
      <c r="P1810" s="16" t="inlineStr">
        <is>
          <t>Требует обогащения</t>
        </is>
      </c>
      <c r="Q1810" s="16">
        <f>HYPERLINK("https://pb.nalog.ru/search.html?query=7325114525","ФНС: проверить")</f>
        <v/>
      </c>
      <c r="R1810" s="16">
        <f>HYPERLINK("https://checko.ru/search?query=3801001629","Чекко: проверить")</f>
        <v/>
      </c>
      <c r="S1810" t="n">
        <v>1</v>
      </c>
      <c r="T1810" s="35" t="inlineStr">
        <is>
          <t>4 — Не обогащён</t>
        </is>
      </c>
      <c r="U1810" s="35" t="inlineStr">
        <is>
          <t>Нет ОКВЭД/ССЧР</t>
        </is>
      </c>
      <c r="V1810" s="35" t="inlineStr">
        <is>
          <t>Не определено</t>
        </is>
      </c>
      <c r="W1810" s="35" t="inlineStr"/>
      <c r="X1810" s="35" t="inlineStr"/>
    </row>
    <row r="1811" ht="15" customHeight="1" s="24">
      <c r="A1811" s="13" t="n">
        <v>5000006325</v>
      </c>
      <c r="B1811" s="13" t="inlineStr">
        <is>
          <t>ОГКУ «Центр культурных технологий»</t>
        </is>
      </c>
      <c r="C1811" s="13" t="n">
        <v>7325126898</v>
      </c>
      <c r="D1811" s="13" t="inlineStr">
        <is>
          <t>7325126898</t>
        </is>
      </c>
      <c r="E1811" s="13" t="inlineStr">
        <is>
          <t>ЮЛ РФ</t>
        </is>
      </c>
      <c r="F1811" s="13" t="n"/>
      <c r="G1811" s="14" t="n"/>
      <c r="H1811" s="14" t="n"/>
      <c r="I1811" s="14" t="n"/>
      <c r="J1811" s="14" t="n"/>
      <c r="K1811" s="53" t="inlineStr"/>
      <c r="L1811" s="53" t="inlineStr">
        <is>
          <t>Не определено</t>
        </is>
      </c>
      <c r="M1811" s="53" t="inlineStr"/>
      <c r="N1811" s="54" t="inlineStr"/>
      <c r="O1811" s="55" t="inlineStr"/>
      <c r="P1811" s="16" t="inlineStr">
        <is>
          <t>Требует обогащения</t>
        </is>
      </c>
      <c r="Q1811" s="16">
        <f>HYPERLINK("https://pb.nalog.ru/search.html?query=7325126898","ФНС: проверить")</f>
        <v/>
      </c>
      <c r="R1811" s="16">
        <f>HYPERLINK("https://checko.ru/search?query=3801001629","Чекко: проверить")</f>
        <v/>
      </c>
      <c r="S1811" t="n">
        <v>1</v>
      </c>
      <c r="T1811" s="35" t="inlineStr">
        <is>
          <t>4 — Не обогащён</t>
        </is>
      </c>
      <c r="U1811" s="35" t="inlineStr">
        <is>
          <t>Нет ОКВЭД/ССЧР</t>
        </is>
      </c>
      <c r="V1811" s="35" t="inlineStr">
        <is>
          <t>Не определено</t>
        </is>
      </c>
      <c r="W1811" s="35" t="inlineStr"/>
      <c r="X1811" s="35" t="inlineStr"/>
    </row>
    <row r="1812" ht="27.75" customHeight="1" s="24">
      <c r="A1812" s="13" t="n">
        <v>5000006323</v>
      </c>
      <c r="B1812" s="13" t="inlineStr">
        <is>
          <t>ОГКУ "Деп.развития гос. программ развития мал. и ср. бизнеса УО"</t>
        </is>
      </c>
      <c r="C1812" s="13" t="n">
        <v>7325105785</v>
      </c>
      <c r="D1812" s="13" t="inlineStr">
        <is>
          <t>7325105785</t>
        </is>
      </c>
      <c r="E1812" s="13" t="inlineStr">
        <is>
          <t>ЮЛ РФ</t>
        </is>
      </c>
      <c r="F1812" s="13" t="n"/>
      <c r="G1812" s="14" t="n"/>
      <c r="H1812" s="14" t="n"/>
      <c r="I1812" s="14" t="n"/>
      <c r="J1812" s="14" t="n"/>
      <c r="K1812" s="53" t="inlineStr"/>
      <c r="L1812" s="53" t="inlineStr">
        <is>
          <t>Не определено</t>
        </is>
      </c>
      <c r="M1812" s="53" t="inlineStr"/>
      <c r="N1812" s="54" t="inlineStr"/>
      <c r="O1812" s="55" t="inlineStr"/>
      <c r="P1812" s="16" t="inlineStr">
        <is>
          <t>Требует обогащения</t>
        </is>
      </c>
      <c r="Q1812" s="16">
        <f>HYPERLINK("https://pb.nalog.ru/search.html?query=7325105785","ФНС: проверить")</f>
        <v/>
      </c>
      <c r="R1812" s="16">
        <f>HYPERLINK("https://checko.ru/search?query=3801001629","Чекко: проверить")</f>
        <v/>
      </c>
      <c r="S1812" t="n">
        <v>1</v>
      </c>
      <c r="T1812" s="35" t="inlineStr">
        <is>
          <t>4 — Не обогащён</t>
        </is>
      </c>
      <c r="U1812" s="35" t="inlineStr">
        <is>
          <t>Нет ОКВЭД/ССЧР</t>
        </is>
      </c>
      <c r="V1812" s="35" t="inlineStr">
        <is>
          <t>Не определено</t>
        </is>
      </c>
      <c r="W1812" s="35" t="inlineStr"/>
      <c r="X1812" s="35" t="inlineStr"/>
    </row>
    <row r="1813" ht="27.75" customHeight="1" s="24">
      <c r="A1813" s="13" t="n">
        <v>5000006320</v>
      </c>
      <c r="B1813" s="13" t="inlineStr">
        <is>
          <t>Министерство развития конкуренции и экономики УО</t>
        </is>
      </c>
      <c r="C1813" s="13" t="n">
        <v>7325050230</v>
      </c>
      <c r="D1813" s="13" t="inlineStr">
        <is>
          <t>7325050230</t>
        </is>
      </c>
      <c r="E1813" s="13" t="inlineStr">
        <is>
          <t>ЮЛ РФ</t>
        </is>
      </c>
      <c r="F1813" s="13" t="n"/>
      <c r="G1813" s="14" t="n"/>
      <c r="H1813" s="14" t="n"/>
      <c r="I1813" s="14" t="n"/>
      <c r="J1813" s="14" t="n"/>
      <c r="K1813" s="53" t="inlineStr"/>
      <c r="L1813" s="53" t="inlineStr">
        <is>
          <t>Не определено</t>
        </is>
      </c>
      <c r="M1813" s="53" t="inlineStr"/>
      <c r="N1813" s="54" t="inlineStr"/>
      <c r="O1813" s="55" t="inlineStr"/>
      <c r="P1813" s="16" t="inlineStr">
        <is>
          <t>Требует обогащения</t>
        </is>
      </c>
      <c r="Q1813" s="16">
        <f>HYPERLINK("https://pb.nalog.ru/search.html?query=7325050230","ФНС: проверить")</f>
        <v/>
      </c>
      <c r="R1813" s="16">
        <f>HYPERLINK("https://checko.ru/search?query=3801001629","Чекко: проверить")</f>
        <v/>
      </c>
      <c r="S1813" t="n">
        <v>1</v>
      </c>
      <c r="T1813" s="35" t="inlineStr">
        <is>
          <t>4 — Не обогащён</t>
        </is>
      </c>
      <c r="U1813" s="35" t="inlineStr">
        <is>
          <t>Нет ОКВЭД/ССЧР</t>
        </is>
      </c>
      <c r="V1813" s="35" t="inlineStr">
        <is>
          <t>Не определено</t>
        </is>
      </c>
      <c r="W1813" s="35" t="inlineStr"/>
      <c r="X1813" s="35" t="inlineStr"/>
    </row>
    <row r="1814" ht="15" customHeight="1" s="24">
      <c r="A1814" s="13" t="n">
        <v>5000006203</v>
      </c>
      <c r="B1814" s="13" t="inlineStr">
        <is>
          <t>ОГКУ «Центр по сопровождению закупок»</t>
        </is>
      </c>
      <c r="C1814" s="13" t="n">
        <v>7325120166</v>
      </c>
      <c r="D1814" s="13" t="inlineStr">
        <is>
          <t>7325120166</t>
        </is>
      </c>
      <c r="E1814" s="13" t="inlineStr">
        <is>
          <t>ЮЛ РФ</t>
        </is>
      </c>
      <c r="F1814" s="13" t="n"/>
      <c r="G1814" s="14" t="n"/>
      <c r="H1814" s="14" t="n"/>
      <c r="I1814" s="14" t="n"/>
      <c r="J1814" s="14" t="n"/>
      <c r="K1814" s="53" t="inlineStr"/>
      <c r="L1814" s="53" t="inlineStr">
        <is>
          <t>Не определено</t>
        </is>
      </c>
      <c r="M1814" s="53" t="inlineStr"/>
      <c r="N1814" s="54" t="inlineStr"/>
      <c r="O1814" s="55" t="inlineStr"/>
      <c r="P1814" s="16" t="inlineStr">
        <is>
          <t>Требует обогащения</t>
        </is>
      </c>
      <c r="Q1814" s="16">
        <f>HYPERLINK("https://pb.nalog.ru/search.html?query=7325120166","ФНС: проверить")</f>
        <v/>
      </c>
      <c r="R1814" s="16">
        <f>HYPERLINK("https://checko.ru/search?query=3801001629","Чекко: проверить")</f>
        <v/>
      </c>
      <c r="S1814" t="n">
        <v>1</v>
      </c>
      <c r="T1814" s="35" t="inlineStr">
        <is>
          <t>4 — Не обогащён</t>
        </is>
      </c>
      <c r="U1814" s="35" t="inlineStr">
        <is>
          <t>Нет ОКВЭД/ССЧР</t>
        </is>
      </c>
      <c r="V1814" s="35" t="inlineStr">
        <is>
          <t>Не определено</t>
        </is>
      </c>
      <c r="W1814" s="35" t="inlineStr"/>
      <c r="X1814" s="35" t="inlineStr"/>
    </row>
    <row r="1815" ht="15" customHeight="1" s="24">
      <c r="A1815" s="13" t="n">
        <v>5000006322</v>
      </c>
      <c r="B1815" s="13" t="inlineStr">
        <is>
          <t>Министерство финансов Ульяновской области</t>
        </is>
      </c>
      <c r="C1815" s="13" t="n">
        <v>7325001151</v>
      </c>
      <c r="D1815" s="13" t="inlineStr">
        <is>
          <t>7325001151</t>
        </is>
      </c>
      <c r="E1815" s="13" t="inlineStr">
        <is>
          <t>ЮЛ РФ</t>
        </is>
      </c>
      <c r="F1815" s="13" t="n"/>
      <c r="G1815" s="14" t="n"/>
      <c r="H1815" s="14" t="n"/>
      <c r="I1815" s="14" t="n"/>
      <c r="J1815" s="14" t="n"/>
      <c r="K1815" s="53" t="inlineStr"/>
      <c r="L1815" s="53" t="inlineStr">
        <is>
          <t>Не определено</t>
        </is>
      </c>
      <c r="M1815" s="53" t="inlineStr"/>
      <c r="N1815" s="54" t="inlineStr"/>
      <c r="O1815" s="55" t="inlineStr"/>
      <c r="P1815" s="16" t="inlineStr">
        <is>
          <t>Требует обогащения</t>
        </is>
      </c>
      <c r="Q1815" s="16">
        <f>HYPERLINK("https://pb.nalog.ru/search.html?query=7325001151","ФНС: проверить")</f>
        <v/>
      </c>
      <c r="R1815" s="16">
        <f>HYPERLINK("https://checko.ru/search?query=3801001629","Чекко: проверить")</f>
        <v/>
      </c>
      <c r="S1815" t="n">
        <v>1</v>
      </c>
      <c r="T1815" s="35" t="inlineStr">
        <is>
          <t>4 — Не обогащён</t>
        </is>
      </c>
      <c r="U1815" s="35" t="inlineStr">
        <is>
          <t>Нет ОКВЭД/ССЧР</t>
        </is>
      </c>
      <c r="V1815" s="35" t="inlineStr">
        <is>
          <t>Не определено</t>
        </is>
      </c>
      <c r="W1815" s="35" t="inlineStr"/>
      <c r="X1815" s="35" t="inlineStr"/>
    </row>
    <row r="1816" ht="27.75" customHeight="1" s="24">
      <c r="A1816" s="13" t="n">
        <v>5000001865</v>
      </c>
      <c r="B1816" s="13" t="inlineStr">
        <is>
          <t>Тайшетская территориальная избирательная комиссия</t>
        </is>
      </c>
      <c r="C1816" s="13" t="n">
        <v>3815010091</v>
      </c>
      <c r="D1816" s="13" t="inlineStr">
        <is>
          <t>3815010091</t>
        </is>
      </c>
      <c r="E1816" s="13" t="inlineStr">
        <is>
          <t>ЮЛ РФ</t>
        </is>
      </c>
      <c r="F1816" s="13" t="n"/>
      <c r="G1816" s="14" t="n"/>
      <c r="H1816" s="14" t="n"/>
      <c r="I1816" s="14" t="n"/>
      <c r="J1816" s="14" t="n"/>
      <c r="K1816" s="53" t="inlineStr"/>
      <c r="L1816" s="53" t="inlineStr">
        <is>
          <t>Не определено</t>
        </is>
      </c>
      <c r="M1816" s="53" t="inlineStr"/>
      <c r="N1816" s="54" t="inlineStr"/>
      <c r="O1816" s="55" t="inlineStr"/>
      <c r="P1816" s="16" t="inlineStr">
        <is>
          <t>Требует обогащения</t>
        </is>
      </c>
      <c r="Q1816" s="16">
        <f>HYPERLINK("https://pb.nalog.ru/search.html?query=3815010091","ФНС: проверить")</f>
        <v/>
      </c>
      <c r="R1816" s="16">
        <f>HYPERLINK("https://checko.ru/search?query=3801001629","Чекко: проверить")</f>
        <v/>
      </c>
      <c r="S1816" t="n">
        <v>1</v>
      </c>
      <c r="T1816" s="35" t="inlineStr">
        <is>
          <t>4 — Не обогащён</t>
        </is>
      </c>
      <c r="U1816" s="35" t="inlineStr">
        <is>
          <t>Нет ОКВЭД/ССЧР</t>
        </is>
      </c>
      <c r="V1816" s="35" t="inlineStr">
        <is>
          <t>Не определено</t>
        </is>
      </c>
      <c r="W1816" s="35" t="inlineStr"/>
      <c r="X1816" s="35" t="inlineStr"/>
    </row>
    <row r="1817" ht="41.25" customHeight="1" s="24">
      <c r="A1817" s="13" t="n">
        <v>5000057417</v>
      </c>
      <c r="B1817" s="13" t="inlineStr">
        <is>
          <t>МУНИЦИПАЛЬНОЕ АВТОНОМНОЕ УЧРЕЖДЕНИЕ "ЦЕНТР РАЗВИТИЯ ФИЗИЧЕСКОЙ КУЛЬТУРЫ И СПОРТА "БАРВИХИНСКИЙ"</t>
        </is>
      </c>
      <c r="C1817" s="13" t="n">
        <v>5032207550</v>
      </c>
      <c r="D1817" s="13" t="inlineStr">
        <is>
          <t>5032207550</t>
        </is>
      </c>
      <c r="E1817" s="13" t="inlineStr">
        <is>
          <t>ЮЛ РФ</t>
        </is>
      </c>
      <c r="F1817" s="13" t="n"/>
      <c r="G1817" s="14" t="n"/>
      <c r="H1817" s="14" t="n"/>
      <c r="I1817" s="14" t="n"/>
      <c r="J1817" s="14" t="n"/>
      <c r="K1817" s="53" t="inlineStr"/>
      <c r="L1817" s="53" t="inlineStr">
        <is>
          <t>Не определено</t>
        </is>
      </c>
      <c r="M1817" s="53" t="inlineStr"/>
      <c r="N1817" s="54" t="inlineStr"/>
      <c r="O1817" s="55" t="inlineStr"/>
      <c r="P1817" s="16" t="inlineStr">
        <is>
          <t>Требует обогащения</t>
        </is>
      </c>
      <c r="Q1817" s="16">
        <f>HYPERLINK("https://pb.nalog.ru/search.html?query=5032207550","ФНС: проверить")</f>
        <v/>
      </c>
      <c r="R1817" s="16">
        <f>HYPERLINK("https://checko.ru/search?query=3801001629","Чекко: проверить")</f>
        <v/>
      </c>
      <c r="S1817" t="n">
        <v>1</v>
      </c>
      <c r="T1817" s="35" t="inlineStr">
        <is>
          <t>4 — Не обогащён</t>
        </is>
      </c>
      <c r="U1817" s="35" t="inlineStr">
        <is>
          <t>Нет ОКВЭД/ССЧР</t>
        </is>
      </c>
      <c r="V1817" s="35" t="inlineStr">
        <is>
          <t>Не определено</t>
        </is>
      </c>
      <c r="W1817" s="35" t="inlineStr"/>
      <c r="X1817" s="35" t="inlineStr"/>
    </row>
    <row r="1818" ht="27.75" customHeight="1" s="24">
      <c r="A1818" s="13" t="n">
        <v>5000001452</v>
      </c>
      <c r="B1818" s="13" t="inlineStr">
        <is>
          <t>ОГКУ "ЦСИУМ" (ЦЕНТР СОЦИАЛЬНЫХ И ИНФОРМАЦИОННЫХ УСЛУГ ДЛЯ МОЛОДЕЖИ"</t>
        </is>
      </c>
      <c r="C1818" s="13" t="n">
        <v>3808026541</v>
      </c>
      <c r="D1818" s="13" t="inlineStr">
        <is>
          <t>3808026541</t>
        </is>
      </c>
      <c r="E1818" s="13" t="inlineStr">
        <is>
          <t>ЮЛ РФ</t>
        </is>
      </c>
      <c r="F1818" s="13" t="n"/>
      <c r="G1818" s="14" t="n"/>
      <c r="H1818" s="14" t="n"/>
      <c r="I1818" s="14" t="n"/>
      <c r="J1818" s="14" t="n"/>
      <c r="K1818" s="53" t="inlineStr"/>
      <c r="L1818" s="53" t="inlineStr">
        <is>
          <t>Не определено</t>
        </is>
      </c>
      <c r="M1818" s="53" t="inlineStr"/>
      <c r="N1818" s="54" t="inlineStr"/>
      <c r="O1818" s="55" t="inlineStr"/>
      <c r="P1818" s="16" t="inlineStr">
        <is>
          <t>Требует обогащения</t>
        </is>
      </c>
      <c r="Q1818" s="16">
        <f>HYPERLINK("https://pb.nalog.ru/search.html?query=3808026541","ФНС: проверить")</f>
        <v/>
      </c>
      <c r="R1818" s="16">
        <f>HYPERLINK("https://checko.ru/search?query=3801001629","Чекко: проверить")</f>
        <v/>
      </c>
      <c r="S1818" t="n">
        <v>1</v>
      </c>
      <c r="T1818" s="35" t="inlineStr">
        <is>
          <t>4 — Не обогащён</t>
        </is>
      </c>
      <c r="U1818" s="35" t="inlineStr">
        <is>
          <t>Нет ОКВЭД/ССЧР</t>
        </is>
      </c>
      <c r="V1818" s="35" t="inlineStr">
        <is>
          <t>Не определено</t>
        </is>
      </c>
      <c r="W1818" s="35" t="inlineStr"/>
      <c r="X1818" s="35" t="inlineStr"/>
    </row>
    <row r="1819" ht="27.75" customHeight="1" s="24">
      <c r="A1819" s="13" t="n">
        <v>5000001899</v>
      </c>
      <c r="B1819" s="13" t="inlineStr">
        <is>
          <t>ГОКУ СКШ № 7 г.Иркутска ("СПЕЦИАЛЬНАЯ (КОРРЕКЦИОННАЯ) ШКОЛА № 7 Г. ИРКУТСКА"</t>
        </is>
      </c>
      <c r="C1819" s="13" t="n">
        <v>3812008866</v>
      </c>
      <c r="D1819" s="13" t="inlineStr">
        <is>
          <t>3812008866</t>
        </is>
      </c>
      <c r="E1819" s="13" t="inlineStr">
        <is>
          <t>ЮЛ РФ</t>
        </is>
      </c>
      <c r="F1819" s="13" t="n"/>
      <c r="G1819" s="14" t="n"/>
      <c r="H1819" s="14" t="n"/>
      <c r="I1819" s="14" t="n"/>
      <c r="J1819" s="14" t="n"/>
      <c r="K1819" s="53" t="inlineStr"/>
      <c r="L1819" s="53" t="inlineStr">
        <is>
          <t>Не определено</t>
        </is>
      </c>
      <c r="M1819" s="53" t="inlineStr"/>
      <c r="N1819" s="54" t="inlineStr"/>
      <c r="O1819" s="55" t="inlineStr"/>
      <c r="P1819" s="16" t="inlineStr">
        <is>
          <t>Требует обогащения</t>
        </is>
      </c>
      <c r="Q1819" s="16">
        <f>HYPERLINK("https://pb.nalog.ru/search.html?query=3812008866","ФНС: проверить")</f>
        <v/>
      </c>
      <c r="R1819" s="16">
        <f>HYPERLINK("https://checko.ru/search?query=3801001629","Чекко: проверить")</f>
        <v/>
      </c>
      <c r="S1819" t="n">
        <v>1</v>
      </c>
      <c r="T1819" s="35" t="inlineStr">
        <is>
          <t>4 — Не обогащён</t>
        </is>
      </c>
      <c r="U1819" s="35" t="inlineStr">
        <is>
          <t>Нет ОКВЭД/ССЧР</t>
        </is>
      </c>
      <c r="V1819" s="35" t="inlineStr">
        <is>
          <t>Не определено</t>
        </is>
      </c>
      <c r="W1819" s="35" t="inlineStr"/>
      <c r="X1819" s="35" t="inlineStr"/>
    </row>
    <row r="1820" ht="15" customHeight="1" s="24">
      <c r="A1820" s="13" t="n">
        <v>5000008535</v>
      </c>
      <c r="B1820" s="13" t="inlineStr">
        <is>
          <t>УФССП России по Республике Башкортостан</t>
        </is>
      </c>
      <c r="C1820" s="13" t="n">
        <v>274101120</v>
      </c>
      <c r="D1820" s="13" t="n"/>
      <c r="E1820" s="13" t="inlineStr">
        <is>
          <t>Не определён</t>
        </is>
      </c>
      <c r="F1820" s="13" t="inlineStr">
        <is>
          <t>274101120</t>
        </is>
      </c>
      <c r="G1820" s="14" t="n"/>
      <c r="H1820" s="14" t="n"/>
      <c r="I1820" s="14" t="n"/>
      <c r="J1820" s="14" t="n"/>
      <c r="K1820" s="13">
        <f>IF(G1820="","",IF(G1820&gt;=22,"Да","Нет"))</f>
        <v/>
      </c>
      <c r="L1820" s="13">
        <f>IF(OR(I1820="",J1820=""),"Не определено",IF(OR(COUNTIF(I1820,"45*")&gt;0,COUNTIF(J1820,"*45*")&gt;0,COUNTIF(I1820,"46*")&gt;0,COUNTIF(J1820,"*46*")&gt;0,COUNTIF(I1820,"47*")&gt;0,COUNTIF(J1820,"*47*")&gt;0,COUNTIF(I1820,"10*")&gt;0,COUNTIF(J1820,"*10*")&gt;0,COUNTIF(I1820,"11*")&gt;0,COUNTIF(J1820,"*11*")&gt;0,COUNTIF(I1820,"12*")&gt;0,COUNTIF(J1820,"*12*")&gt;0,COUNTIF(I1820,"13*")&gt;0,COUNTIF(J1820,"*13*")&gt;0,COUNTIF(I1820,"14*")&gt;0,COUNTIF(J1820,"*14*")&gt;0,COUNTIF(I1820,"15*")&gt;0,COUNTIF(J1820,"*15*")&gt;0,COUNTIF(I1820,"16*")&gt;0,COUNTIF(J1820,"*16*")&gt;0,COUNTIF(I1820,"17*")&gt;0,COUNTIF(J1820,"*17*")&gt;0,COUNTIF(I1820,"18*")&gt;0,COUNTIF(J1820,"*18*")&gt;0,COUNTIF(I1820,"19*")&gt;0,COUNTIF(J1820,"*19*")&gt;0,COUNTIF(I1820,"20*")&gt;0,COUNTIF(J1820,"*20*")&gt;0,COUNTIF(I1820,"21*")&gt;0,COUNTIF(J1820,"*21*")&gt;0,COUNTIF(I1820,"22*")&gt;0,COUNTIF(J1820,"*22*")&gt;0,COUNTIF(I1820,"23*")&gt;0,COUNTIF(J1820,"*23*")&gt;0,COUNTIF(I1820,"24*")&gt;0,COUNTIF(J1820,"*24*")&gt;0,COUNTIF(I1820,"25*")&gt;0,COUNTIF(J1820,"*25*")&gt;0,COUNTIF(I1820,"26*")&gt;0,COUNTIF(J1820,"*26*")&gt;0,COUNTIF(I1820,"27*")&gt;0,COUNTIF(J1820,"*27*")&gt;0,COUNTIF(I1820,"28*")&gt;0,COUNTIF(J1820,"*28*")&gt;0,COUNTIF(I1820,"29*")&gt;0,COUNTIF(J1820,"*29*")&gt;0,COUNTIF(I1820,"30*")&gt;0,COUNTIF(J1820,"*30*")&gt;0,COUNTIF(I1820,"31*")&gt;0,COUNTIF(J1820,"*31*")&gt;0,COUNTIF(I1820,"32*")&gt;0,COUNTIF(J1820,"*32*")&gt;0,COUNTIF(I1820,"33*")&gt;0,COUNTIF(J1820,"*33*")&gt;0,COUNTIF(I1820,"41*")&gt;0,COUNTIF(J1820,"*41*")&gt;0,COUNTIF(I1820,"42*")&gt;0,COUNTIF(J1820,"*42*")&gt;0,COUNTIF(I1820,"43*")&gt;0,COUNTIF(J1820,"*43*")&gt;0,COUNTIF(I1820,"49*")&gt;0,COUNTIF(J1820,"*49*")&gt;0,COUNTIF(I1820,"52*")&gt;0,COUNTIF(J1820,"*52*")&gt;0,COUNTIF(I1820,"55*")&gt;0,COUNTIF(J1820,"*55*")&gt;0,COUNTIF(I1820,"56*")&gt;0,COUNTIF(J1820,"*56*")&gt;0,COUNTIF(I1820,"68*")&gt;0,COUNTIF(J1820,"*68*")&gt;0,COUNTIF(I1820,"78*")&gt;0,COUNTIF(J1820,"*78*")&gt;0,COUNTIF(I1820,"81*")&gt;0,COUNTIF(J1820,"*81*")&gt;0,COUNTIF(I1820,"82*")&gt;0,COUNTIF(J1820,"*82*")&gt;0,COUNTIF(I1820,"64*")&gt;0,COUNTIF(J1820,"*64*")&gt;0,COUNTIF(I1820,"65*")&gt;0,COUNTIF(J1820,"*65*")&gt;0,COUNTIF(I1820,"66*")&gt;0,COUNTIF(J1820,"*66*")&gt;0,COUNTIF(I1820,"61*")&gt;0,COUNTIF(J1820,"*61*")&gt;0,COUNTIF(I1820,"62*")&gt;0,COUNTIF(J1820,"*62*")&gt;0,COUNTIF(I1820,"63*")&gt;0,COUNTIF(J1820,"*63*")&gt;0,COUNTIF(I1820,"85*")&gt;0,COUNTIF(J1820,"*85*")&gt;0,COUNTIF(I1820,"86*")&gt;0,COUNTIF(J1820,"*86*")&gt;0),"Да","Нет"))</f>
        <v/>
      </c>
      <c r="M1820" s="13">
        <f>IF(OR(G1820="",L1820&lt;&gt;"Да"),"",IF(G1820&lt;=100,"До 100",IF(G1820&lt;=200,"До 200",IF(G1820&lt;=500,"До 500","Отдельное КП"))))</f>
        <v/>
      </c>
      <c r="N1820" s="15">
        <f>IF(OR(G1820="",L1820&lt;&gt;"Да"),"",IF(G1820&lt;=100,33600,IF(G1820&lt;=200,62400,IF(G1820&lt;=500,144000,""))))</f>
        <v/>
      </c>
      <c r="O1820" s="16">
        <f>IF(G1820="","",IF(G1820&lt;=15,"1–15",IF(G1820&lt;=30,"16–30",IF(G1820&lt;=50,"31–50",IF(G1820&lt;=100,"51–100",IF(G1820&lt;=150,"101–150",IF(G1820&lt;=200,"151–200",IF(G1820&lt;=500,"201–500","500+"))))))))</f>
        <v/>
      </c>
      <c r="P1820" s="16" t="inlineStr">
        <is>
          <t>Нет совпадения в предоставленной выгрузке ССЧР</t>
        </is>
      </c>
      <c r="Q1820" s="16" t="n"/>
      <c r="R1820" s="16">
        <f>HYPERLINK("https://checko.ru/search?query=3801001629","Чекко: проверить")</f>
        <v/>
      </c>
      <c r="S1820" t="n">
        <v>0</v>
      </c>
    </row>
    <row r="1821" ht="15" customHeight="1" s="24">
      <c r="A1821" s="13" t="n">
        <v>5000008538</v>
      </c>
      <c r="B1821" s="13" t="inlineStr">
        <is>
          <t>УФССП России по Москве</t>
        </is>
      </c>
      <c r="C1821" s="13" t="n">
        <v>7704270863</v>
      </c>
      <c r="D1821" s="13" t="inlineStr">
        <is>
          <t>7704270863</t>
        </is>
      </c>
      <c r="E1821" s="13" t="inlineStr">
        <is>
          <t>ЮЛ РФ</t>
        </is>
      </c>
      <c r="F1821" s="13" t="n"/>
      <c r="G1821" s="14" t="n"/>
      <c r="H1821" s="14" t="n"/>
      <c r="I1821" s="14" t="n"/>
      <c r="J1821" s="14" t="n"/>
      <c r="K1821" s="53" t="inlineStr"/>
      <c r="L1821" s="53" t="inlineStr">
        <is>
          <t>Не определено</t>
        </is>
      </c>
      <c r="M1821" s="53" t="inlineStr"/>
      <c r="N1821" s="54" t="inlineStr"/>
      <c r="O1821" s="55" t="inlineStr"/>
      <c r="P1821" s="16" t="inlineStr">
        <is>
          <t>Требует обогащения</t>
        </is>
      </c>
      <c r="Q1821" s="16">
        <f>HYPERLINK("https://pb.nalog.ru/search.html?query=7704270863","ФНС: проверить")</f>
        <v/>
      </c>
      <c r="R1821" s="16">
        <f>HYPERLINK("https://checko.ru/search?query=3801001629","Чекко: проверить")</f>
        <v/>
      </c>
      <c r="S1821" t="n">
        <v>1</v>
      </c>
      <c r="T1821" s="35" t="inlineStr">
        <is>
          <t>4 — Не обогащён</t>
        </is>
      </c>
      <c r="U1821" s="35" t="inlineStr">
        <is>
          <t>Нет ОКВЭД/ССЧР</t>
        </is>
      </c>
      <c r="V1821" s="35" t="inlineStr">
        <is>
          <t>Не определено</t>
        </is>
      </c>
      <c r="W1821" s="35" t="inlineStr"/>
      <c r="X1821" s="35" t="inlineStr"/>
    </row>
    <row r="1822" ht="15" customHeight="1" s="24">
      <c r="A1822" s="13" t="n">
        <v>5000008542</v>
      </c>
      <c r="B1822" s="13" t="inlineStr">
        <is>
          <t>УФССП России по Республике Ингушетия</t>
        </is>
      </c>
      <c r="C1822" s="13" t="n">
        <v>606013456</v>
      </c>
      <c r="D1822" s="13" t="n"/>
      <c r="E1822" s="13" t="inlineStr">
        <is>
          <t>Не определён</t>
        </is>
      </c>
      <c r="F1822" s="13" t="inlineStr">
        <is>
          <t>606013456</t>
        </is>
      </c>
      <c r="G1822" s="14" t="n"/>
      <c r="H1822" s="14" t="n"/>
      <c r="I1822" s="14" t="n"/>
      <c r="J1822" s="14" t="n"/>
      <c r="K1822" s="13">
        <f>IF(G1822="","",IF(G1822&gt;=22,"Да","Нет"))</f>
        <v/>
      </c>
      <c r="L1822" s="13">
        <f>IF(OR(I1822="",J1822=""),"Не определено",IF(OR(COUNTIF(I1822,"45*")&gt;0,COUNTIF(J1822,"*45*")&gt;0,COUNTIF(I1822,"46*")&gt;0,COUNTIF(J1822,"*46*")&gt;0,COUNTIF(I1822,"47*")&gt;0,COUNTIF(J1822,"*47*")&gt;0,COUNTIF(I1822,"10*")&gt;0,COUNTIF(J1822,"*10*")&gt;0,COUNTIF(I1822,"11*")&gt;0,COUNTIF(J1822,"*11*")&gt;0,COUNTIF(I1822,"12*")&gt;0,COUNTIF(J1822,"*12*")&gt;0,COUNTIF(I1822,"13*")&gt;0,COUNTIF(J1822,"*13*")&gt;0,COUNTIF(I1822,"14*")&gt;0,COUNTIF(J1822,"*14*")&gt;0,COUNTIF(I1822,"15*")&gt;0,COUNTIF(J1822,"*15*")&gt;0,COUNTIF(I1822,"16*")&gt;0,COUNTIF(J1822,"*16*")&gt;0,COUNTIF(I1822,"17*")&gt;0,COUNTIF(J1822,"*17*")&gt;0,COUNTIF(I1822,"18*")&gt;0,COUNTIF(J1822,"*18*")&gt;0,COUNTIF(I1822,"19*")&gt;0,COUNTIF(J1822,"*19*")&gt;0,COUNTIF(I1822,"20*")&gt;0,COUNTIF(J1822,"*20*")&gt;0,COUNTIF(I1822,"21*")&gt;0,COUNTIF(J1822,"*21*")&gt;0,COUNTIF(I1822,"22*")&gt;0,COUNTIF(J1822,"*22*")&gt;0,COUNTIF(I1822,"23*")&gt;0,COUNTIF(J1822,"*23*")&gt;0,COUNTIF(I1822,"24*")&gt;0,COUNTIF(J1822,"*24*")&gt;0,COUNTIF(I1822,"25*")&gt;0,COUNTIF(J1822,"*25*")&gt;0,COUNTIF(I1822,"26*")&gt;0,COUNTIF(J1822,"*26*")&gt;0,COUNTIF(I1822,"27*")&gt;0,COUNTIF(J1822,"*27*")&gt;0,COUNTIF(I1822,"28*")&gt;0,COUNTIF(J1822,"*28*")&gt;0,COUNTIF(I1822,"29*")&gt;0,COUNTIF(J1822,"*29*")&gt;0,COUNTIF(I1822,"30*")&gt;0,COUNTIF(J1822,"*30*")&gt;0,COUNTIF(I1822,"31*")&gt;0,COUNTIF(J1822,"*31*")&gt;0,COUNTIF(I1822,"32*")&gt;0,COUNTIF(J1822,"*32*")&gt;0,COUNTIF(I1822,"33*")&gt;0,COUNTIF(J1822,"*33*")&gt;0,COUNTIF(I1822,"41*")&gt;0,COUNTIF(J1822,"*41*")&gt;0,COUNTIF(I1822,"42*")&gt;0,COUNTIF(J1822,"*42*")&gt;0,COUNTIF(I1822,"43*")&gt;0,COUNTIF(J1822,"*43*")&gt;0,COUNTIF(I1822,"49*")&gt;0,COUNTIF(J1822,"*49*")&gt;0,COUNTIF(I1822,"52*")&gt;0,COUNTIF(J1822,"*52*")&gt;0,COUNTIF(I1822,"55*")&gt;0,COUNTIF(J1822,"*55*")&gt;0,COUNTIF(I1822,"56*")&gt;0,COUNTIF(J1822,"*56*")&gt;0,COUNTIF(I1822,"68*")&gt;0,COUNTIF(J1822,"*68*")&gt;0,COUNTIF(I1822,"78*")&gt;0,COUNTIF(J1822,"*78*")&gt;0,COUNTIF(I1822,"81*")&gt;0,COUNTIF(J1822,"*81*")&gt;0,COUNTIF(I1822,"82*")&gt;0,COUNTIF(J1822,"*82*")&gt;0,COUNTIF(I1822,"64*")&gt;0,COUNTIF(J1822,"*64*")&gt;0,COUNTIF(I1822,"65*")&gt;0,COUNTIF(J1822,"*65*")&gt;0,COUNTIF(I1822,"66*")&gt;0,COUNTIF(J1822,"*66*")&gt;0,COUNTIF(I1822,"61*")&gt;0,COUNTIF(J1822,"*61*")&gt;0,COUNTIF(I1822,"62*")&gt;0,COUNTIF(J1822,"*62*")&gt;0,COUNTIF(I1822,"63*")&gt;0,COUNTIF(J1822,"*63*")&gt;0,COUNTIF(I1822,"85*")&gt;0,COUNTIF(J1822,"*85*")&gt;0,COUNTIF(I1822,"86*")&gt;0,COUNTIF(J1822,"*86*")&gt;0),"Да","Нет"))</f>
        <v/>
      </c>
      <c r="M1822" s="13">
        <f>IF(OR(G1822="",L1822&lt;&gt;"Да"),"",IF(G1822&lt;=100,"До 100",IF(G1822&lt;=200,"До 200",IF(G1822&lt;=500,"До 500","Отдельное КП"))))</f>
        <v/>
      </c>
      <c r="N1822" s="15">
        <f>IF(OR(G1822="",L1822&lt;&gt;"Да"),"",IF(G1822&lt;=100,33600,IF(G1822&lt;=200,62400,IF(G1822&lt;=500,144000,""))))</f>
        <v/>
      </c>
      <c r="O1822" s="16">
        <f>IF(G1822="","",IF(G1822&lt;=15,"1–15",IF(G1822&lt;=30,"16–30",IF(G1822&lt;=50,"31–50",IF(G1822&lt;=100,"51–100",IF(G1822&lt;=150,"101–150",IF(G1822&lt;=200,"151–200",IF(G1822&lt;=500,"201–500","500+"))))))))</f>
        <v/>
      </c>
      <c r="P1822" s="16" t="inlineStr">
        <is>
          <t>Нет совпадения в предоставленной выгрузке ССЧР</t>
        </is>
      </c>
      <c r="Q1822" s="16" t="n"/>
      <c r="R1822" s="16">
        <f>HYPERLINK("https://checko.ru/search?query=3801001629","Чекко: проверить")</f>
        <v/>
      </c>
      <c r="S1822" t="n">
        <v>0</v>
      </c>
    </row>
    <row r="1823" ht="27.75" customHeight="1" s="24">
      <c r="A1823" s="13" t="n">
        <v>5000008543</v>
      </c>
      <c r="B1823" s="13" t="inlineStr">
        <is>
          <t>УФССП России по Архангельской области и Ненецкому автономному округу</t>
        </is>
      </c>
      <c r="C1823" s="13" t="n">
        <v>2901280614</v>
      </c>
      <c r="D1823" s="13" t="inlineStr">
        <is>
          <t>2901280614</t>
        </is>
      </c>
      <c r="E1823" s="13" t="inlineStr">
        <is>
          <t>ЮЛ РФ</t>
        </is>
      </c>
      <c r="F1823" s="13" t="n"/>
      <c r="G1823" s="14" t="n"/>
      <c r="H1823" s="14" t="n"/>
      <c r="I1823" s="14" t="n"/>
      <c r="J1823" s="14" t="n"/>
      <c r="K1823" s="53" t="inlineStr"/>
      <c r="L1823" s="53" t="inlineStr">
        <is>
          <t>Не определено</t>
        </is>
      </c>
      <c r="M1823" s="53" t="inlineStr"/>
      <c r="N1823" s="54" t="inlineStr"/>
      <c r="O1823" s="55" t="inlineStr"/>
      <c r="P1823" s="16" t="inlineStr">
        <is>
          <t>Требует обогащения</t>
        </is>
      </c>
      <c r="Q1823" s="16">
        <f>HYPERLINK("https://pb.nalog.ru/search.html?query=2901280614","ФНС: проверить")</f>
        <v/>
      </c>
      <c r="R1823" s="16">
        <f>HYPERLINK("https://checko.ru/search?query=3801001629","Чекко: проверить")</f>
        <v/>
      </c>
      <c r="S1823" t="n">
        <v>1</v>
      </c>
      <c r="T1823" s="35" t="inlineStr">
        <is>
          <t>4 — Не обогащён</t>
        </is>
      </c>
      <c r="U1823" s="35" t="inlineStr">
        <is>
          <t>Нет ОКВЭД/ССЧР</t>
        </is>
      </c>
      <c r="V1823" s="35" t="inlineStr">
        <is>
          <t>Не определено</t>
        </is>
      </c>
      <c r="W1823" s="35" t="inlineStr"/>
      <c r="X1823" s="35" t="inlineStr"/>
    </row>
    <row r="1824" ht="15" customHeight="1" s="24">
      <c r="A1824" s="13" t="n">
        <v>5000008544</v>
      </c>
      <c r="B1824" s="13" t="inlineStr">
        <is>
          <t>УФССП России по Челябинской области</t>
        </is>
      </c>
      <c r="C1824" s="13" t="n">
        <v>7448065758</v>
      </c>
      <c r="D1824" s="13" t="inlineStr">
        <is>
          <t>7448065758</t>
        </is>
      </c>
      <c r="E1824" s="13" t="inlineStr">
        <is>
          <t>ЮЛ РФ</t>
        </is>
      </c>
      <c r="F1824" s="13" t="n"/>
      <c r="G1824" s="14" t="n"/>
      <c r="H1824" s="14" t="n"/>
      <c r="I1824" s="14" t="n"/>
      <c r="J1824" s="14" t="n"/>
      <c r="K1824" s="53" t="inlineStr"/>
      <c r="L1824" s="53" t="inlineStr">
        <is>
          <t>Не определено</t>
        </is>
      </c>
      <c r="M1824" s="53" t="inlineStr"/>
      <c r="N1824" s="54" t="inlineStr"/>
      <c r="O1824" s="55" t="inlineStr"/>
      <c r="P1824" s="16" t="inlineStr">
        <is>
          <t>Требует обогащения</t>
        </is>
      </c>
      <c r="Q1824" s="16">
        <f>HYPERLINK("https://pb.nalog.ru/search.html?query=7448065758","ФНС: проверить")</f>
        <v/>
      </c>
      <c r="R1824" s="16">
        <f>HYPERLINK("https://checko.ru/search?query=3801001629","Чекко: проверить")</f>
        <v/>
      </c>
      <c r="S1824" t="n">
        <v>1</v>
      </c>
      <c r="T1824" s="35" t="inlineStr">
        <is>
          <t>4 — Не обогащён</t>
        </is>
      </c>
      <c r="U1824" s="35" t="inlineStr">
        <is>
          <t>Нет ОКВЭД/ССЧР</t>
        </is>
      </c>
      <c r="V1824" s="35" t="inlineStr">
        <is>
          <t>Не определено</t>
        </is>
      </c>
      <c r="W1824" s="35" t="inlineStr"/>
      <c r="X1824" s="35" t="inlineStr"/>
    </row>
    <row r="1825" ht="15" customHeight="1" s="24">
      <c r="A1825" s="13" t="n">
        <v>5000008549</v>
      </c>
      <c r="B1825" s="13" t="inlineStr">
        <is>
          <t>УФССП России по Красноярскому краю</t>
        </is>
      </c>
      <c r="C1825" s="13" t="n">
        <v>2466124527</v>
      </c>
      <c r="D1825" s="13" t="inlineStr">
        <is>
          <t>2466124527</t>
        </is>
      </c>
      <c r="E1825" s="13" t="inlineStr">
        <is>
          <t>ЮЛ РФ</t>
        </is>
      </c>
      <c r="F1825" s="13" t="n"/>
      <c r="G1825" s="14" t="n"/>
      <c r="H1825" s="14" t="n"/>
      <c r="I1825" s="14" t="n"/>
      <c r="J1825" s="14" t="n"/>
      <c r="K1825" s="53" t="inlineStr"/>
      <c r="L1825" s="53" t="inlineStr">
        <is>
          <t>Не определено</t>
        </is>
      </c>
      <c r="M1825" s="53" t="inlineStr"/>
      <c r="N1825" s="54" t="inlineStr"/>
      <c r="O1825" s="55" t="inlineStr"/>
      <c r="P1825" s="16" t="inlineStr">
        <is>
          <t>Требует обогащения</t>
        </is>
      </c>
      <c r="Q1825" s="16">
        <f>HYPERLINK("https://pb.nalog.ru/search.html?query=2466124527","ФНС: проверить")</f>
        <v/>
      </c>
      <c r="R1825" s="16">
        <f>HYPERLINK("https://checko.ru/search?query=3801001629","Чекко: проверить")</f>
        <v/>
      </c>
      <c r="S1825" t="n">
        <v>1</v>
      </c>
      <c r="T1825" s="35" t="inlineStr">
        <is>
          <t>4 — Не обогащён</t>
        </is>
      </c>
      <c r="U1825" s="35" t="inlineStr">
        <is>
          <t>Нет ОКВЭД/ССЧР</t>
        </is>
      </c>
      <c r="V1825" s="35" t="inlineStr">
        <is>
          <t>Не определено</t>
        </is>
      </c>
      <c r="W1825" s="35" t="inlineStr"/>
      <c r="X1825" s="35" t="inlineStr"/>
    </row>
    <row r="1826" ht="15" customHeight="1" s="24">
      <c r="A1826" s="13" t="n">
        <v>5000008550</v>
      </c>
      <c r="B1826" s="13" t="inlineStr">
        <is>
          <t>УФССП России по Брянской области</t>
        </is>
      </c>
      <c r="C1826" s="13" t="n">
        <v>3250057358</v>
      </c>
      <c r="D1826" s="13" t="inlineStr">
        <is>
          <t>3250057358</t>
        </is>
      </c>
      <c r="E1826" s="13" t="inlineStr">
        <is>
          <t>ЮЛ РФ</t>
        </is>
      </c>
      <c r="F1826" s="13" t="n"/>
      <c r="G1826" s="14" t="n"/>
      <c r="H1826" s="14" t="n"/>
      <c r="I1826" s="14" t="n"/>
      <c r="J1826" s="14" t="n"/>
      <c r="K1826" s="53" t="inlineStr"/>
      <c r="L1826" s="53" t="inlineStr">
        <is>
          <t>Не определено</t>
        </is>
      </c>
      <c r="M1826" s="53" t="inlineStr"/>
      <c r="N1826" s="54" t="inlineStr"/>
      <c r="O1826" s="55" t="inlineStr"/>
      <c r="P1826" s="16" t="inlineStr">
        <is>
          <t>Требует обогащения</t>
        </is>
      </c>
      <c r="Q1826" s="16">
        <f>HYPERLINK("https://pb.nalog.ru/search.html?query=3250057358","ФНС: проверить")</f>
        <v/>
      </c>
      <c r="R1826" s="16">
        <f>HYPERLINK("https://checko.ru/search?query=3801001629","Чекко: проверить")</f>
        <v/>
      </c>
      <c r="S1826" t="n">
        <v>1</v>
      </c>
      <c r="T1826" s="35" t="inlineStr">
        <is>
          <t>4 — Не обогащён</t>
        </is>
      </c>
      <c r="U1826" s="35" t="inlineStr">
        <is>
          <t>Нет ОКВЭД/ССЧР</t>
        </is>
      </c>
      <c r="V1826" s="35" t="inlineStr">
        <is>
          <t>Не определено</t>
        </is>
      </c>
      <c r="W1826" s="35" t="inlineStr"/>
      <c r="X1826" s="35" t="inlineStr"/>
    </row>
    <row r="1827" ht="15" customHeight="1" s="24">
      <c r="A1827" s="13" t="n">
        <v>5000008554</v>
      </c>
      <c r="B1827" s="13" t="inlineStr">
        <is>
          <t>УФССП России по Сахалинской области</t>
        </is>
      </c>
      <c r="C1827" s="13" t="n">
        <v>6501154651</v>
      </c>
      <c r="D1827" s="13" t="inlineStr">
        <is>
          <t>6501154651</t>
        </is>
      </c>
      <c r="E1827" s="13" t="inlineStr">
        <is>
          <t>ЮЛ РФ</t>
        </is>
      </c>
      <c r="F1827" s="13" t="n"/>
      <c r="G1827" s="14" t="n"/>
      <c r="H1827" s="14" t="n"/>
      <c r="I1827" s="14" t="n"/>
      <c r="J1827" s="14" t="n"/>
      <c r="K1827" s="53" t="inlineStr"/>
      <c r="L1827" s="53" t="inlineStr">
        <is>
          <t>Не определено</t>
        </is>
      </c>
      <c r="M1827" s="53" t="inlineStr"/>
      <c r="N1827" s="54" t="inlineStr"/>
      <c r="O1827" s="55" t="inlineStr"/>
      <c r="P1827" s="16" t="inlineStr">
        <is>
          <t>Требует обогащения</t>
        </is>
      </c>
      <c r="Q1827" s="16">
        <f>HYPERLINK("https://pb.nalog.ru/search.html?query=6501154651","ФНС: проверить")</f>
        <v/>
      </c>
      <c r="R1827" s="16">
        <f>HYPERLINK("https://checko.ru/search?query=3801001629","Чекко: проверить")</f>
        <v/>
      </c>
      <c r="S1827" t="n">
        <v>1</v>
      </c>
      <c r="T1827" s="35" t="inlineStr">
        <is>
          <t>4 — Не обогащён</t>
        </is>
      </c>
      <c r="U1827" s="35" t="inlineStr">
        <is>
          <t>Нет ОКВЭД/ССЧР</t>
        </is>
      </c>
      <c r="V1827" s="35" t="inlineStr">
        <is>
          <t>Не определено</t>
        </is>
      </c>
      <c r="W1827" s="35" t="inlineStr"/>
      <c r="X1827" s="35" t="inlineStr"/>
    </row>
    <row r="1828" ht="15" customHeight="1" s="24">
      <c r="A1828" s="13" t="n">
        <v>5000008555</v>
      </c>
      <c r="B1828" s="13" t="inlineStr">
        <is>
          <t>УФССП России по Республике Крым</t>
        </is>
      </c>
      <c r="C1828" s="13" t="n">
        <v>7702835613</v>
      </c>
      <c r="D1828" s="13" t="inlineStr">
        <is>
          <t>7702835613</t>
        </is>
      </c>
      <c r="E1828" s="13" t="inlineStr">
        <is>
          <t>ЮЛ РФ</t>
        </is>
      </c>
      <c r="F1828" s="13" t="n"/>
      <c r="G1828" s="14" t="n"/>
      <c r="H1828" s="14" t="n"/>
      <c r="I1828" s="14" t="n"/>
      <c r="J1828" s="14" t="n"/>
      <c r="K1828" s="53" t="inlineStr"/>
      <c r="L1828" s="53" t="inlineStr">
        <is>
          <t>Не определено</t>
        </is>
      </c>
      <c r="M1828" s="53" t="inlineStr"/>
      <c r="N1828" s="54" t="inlineStr"/>
      <c r="O1828" s="55" t="inlineStr"/>
      <c r="P1828" s="16" t="inlineStr">
        <is>
          <t>Требует обогащения</t>
        </is>
      </c>
      <c r="Q1828" s="16">
        <f>HYPERLINK("https://pb.nalog.ru/search.html?query=7702835613","ФНС: проверить")</f>
        <v/>
      </c>
      <c r="R1828" s="16">
        <f>HYPERLINK("https://checko.ru/search?query=3801001629","Чекко: проверить")</f>
        <v/>
      </c>
      <c r="S1828" t="n">
        <v>1</v>
      </c>
      <c r="T1828" s="35" t="inlineStr">
        <is>
          <t>4 — Не обогащён</t>
        </is>
      </c>
      <c r="U1828" s="35" t="inlineStr">
        <is>
          <t>Нет ОКВЭД/ССЧР</t>
        </is>
      </c>
      <c r="V1828" s="35" t="inlineStr">
        <is>
          <t>Не определено</t>
        </is>
      </c>
      <c r="W1828" s="35" t="inlineStr"/>
      <c r="X1828" s="35" t="inlineStr"/>
    </row>
    <row r="1829" ht="15" customHeight="1" s="24">
      <c r="A1829" s="13" t="n">
        <v>5000008558</v>
      </c>
      <c r="B1829" s="13" t="inlineStr">
        <is>
          <t>УФССП России по Чувашской Республике</t>
        </is>
      </c>
      <c r="C1829" s="13" t="n">
        <v>2129056035</v>
      </c>
      <c r="D1829" s="13" t="inlineStr">
        <is>
          <t>2129056035</t>
        </is>
      </c>
      <c r="E1829" s="13" t="inlineStr">
        <is>
          <t>ЮЛ РФ</t>
        </is>
      </c>
      <c r="F1829" s="13" t="n"/>
      <c r="G1829" s="14" t="n"/>
      <c r="H1829" s="14" t="n"/>
      <c r="I1829" s="14" t="n"/>
      <c r="J1829" s="14" t="n"/>
      <c r="K1829" s="53" t="inlineStr"/>
      <c r="L1829" s="53" t="inlineStr">
        <is>
          <t>Не определено</t>
        </is>
      </c>
      <c r="M1829" s="53" t="inlineStr"/>
      <c r="N1829" s="54" t="inlineStr"/>
      <c r="O1829" s="55" t="inlineStr"/>
      <c r="P1829" s="16" t="inlineStr">
        <is>
          <t>Требует обогащения</t>
        </is>
      </c>
      <c r="Q1829" s="16">
        <f>HYPERLINK("https://pb.nalog.ru/search.html?query=2129056035","ФНС: проверить")</f>
        <v/>
      </c>
      <c r="R1829" s="16">
        <f>HYPERLINK("https://checko.ru/search?query=3801001629","Чекко: проверить")</f>
        <v/>
      </c>
      <c r="S1829" t="n">
        <v>1</v>
      </c>
      <c r="T1829" s="35" t="inlineStr">
        <is>
          <t>4 — Не обогащён</t>
        </is>
      </c>
      <c r="U1829" s="35" t="inlineStr">
        <is>
          <t>Нет ОКВЭД/ССЧР</t>
        </is>
      </c>
      <c r="V1829" s="35" t="inlineStr">
        <is>
          <t>Не определено</t>
        </is>
      </c>
      <c r="W1829" s="35" t="inlineStr"/>
      <c r="X1829" s="35" t="inlineStr"/>
    </row>
    <row r="1830" ht="15" customHeight="1" s="24">
      <c r="A1830" s="13" t="n">
        <v>5000008567</v>
      </c>
      <c r="B1830" s="13" t="inlineStr">
        <is>
          <t>УФССП России по Новосибирской области</t>
        </is>
      </c>
      <c r="C1830" s="13" t="n">
        <v>5406299260</v>
      </c>
      <c r="D1830" s="13" t="inlineStr">
        <is>
          <t>5406299260</t>
        </is>
      </c>
      <c r="E1830" s="13" t="inlineStr">
        <is>
          <t>ЮЛ РФ</t>
        </is>
      </c>
      <c r="F1830" s="13" t="n"/>
      <c r="G1830" s="14" t="n"/>
      <c r="H1830" s="14" t="n"/>
      <c r="I1830" s="14" t="n"/>
      <c r="J1830" s="14" t="n"/>
      <c r="K1830" s="53" t="inlineStr"/>
      <c r="L1830" s="53" t="inlineStr">
        <is>
          <t>Не определено</t>
        </is>
      </c>
      <c r="M1830" s="53" t="inlineStr"/>
      <c r="N1830" s="54" t="inlineStr"/>
      <c r="O1830" s="55" t="inlineStr"/>
      <c r="P1830" s="16" t="inlineStr">
        <is>
          <t>Требует обогащения</t>
        </is>
      </c>
      <c r="Q1830" s="16">
        <f>HYPERLINK("https://pb.nalog.ru/search.html?query=5406299260","ФНС: проверить")</f>
        <v/>
      </c>
      <c r="R1830" s="16">
        <f>HYPERLINK("https://checko.ru/search?query=3801001629","Чекко: проверить")</f>
        <v/>
      </c>
      <c r="S1830" t="n">
        <v>1</v>
      </c>
      <c r="T1830" s="35" t="inlineStr">
        <is>
          <t>4 — Не обогащён</t>
        </is>
      </c>
      <c r="U1830" s="35" t="inlineStr">
        <is>
          <t>Нет ОКВЭД/ССЧР</t>
        </is>
      </c>
      <c r="V1830" s="35" t="inlineStr">
        <is>
          <t>Не определено</t>
        </is>
      </c>
      <c r="W1830" s="35" t="inlineStr"/>
      <c r="X1830" s="35" t="inlineStr"/>
    </row>
    <row r="1831" ht="15" customHeight="1" s="24">
      <c r="A1831" s="13" t="n">
        <v>5000008569</v>
      </c>
      <c r="B1831" s="13" t="inlineStr">
        <is>
          <t>УФССП России по Владимирской области</t>
        </is>
      </c>
      <c r="C1831" s="13" t="n">
        <v>3327818953</v>
      </c>
      <c r="D1831" s="13" t="inlineStr">
        <is>
          <t>3327818953</t>
        </is>
      </c>
      <c r="E1831" s="13" t="inlineStr">
        <is>
          <t>ЮЛ РФ</t>
        </is>
      </c>
      <c r="F1831" s="13" t="n"/>
      <c r="G1831" s="14" t="n"/>
      <c r="H1831" s="14" t="n"/>
      <c r="I1831" s="14" t="n"/>
      <c r="J1831" s="14" t="n"/>
      <c r="K1831" s="53" t="inlineStr"/>
      <c r="L1831" s="53" t="inlineStr">
        <is>
          <t>Не определено</t>
        </is>
      </c>
      <c r="M1831" s="53" t="inlineStr"/>
      <c r="N1831" s="54" t="inlineStr"/>
      <c r="O1831" s="55" t="inlineStr"/>
      <c r="P1831" s="16" t="inlineStr">
        <is>
          <t>Требует обогащения</t>
        </is>
      </c>
      <c r="Q1831" s="16">
        <f>HYPERLINK("https://pb.nalog.ru/search.html?query=3327818953","ФНС: проверить")</f>
        <v/>
      </c>
      <c r="R1831" s="16">
        <f>HYPERLINK("https://checko.ru/search?query=3801001629","Чекко: проверить")</f>
        <v/>
      </c>
      <c r="S1831" t="n">
        <v>1</v>
      </c>
      <c r="T1831" s="35" t="inlineStr">
        <is>
          <t>4 — Не обогащён</t>
        </is>
      </c>
      <c r="U1831" s="35" t="inlineStr">
        <is>
          <t>Нет ОКВЭД/ССЧР</t>
        </is>
      </c>
      <c r="V1831" s="35" t="inlineStr">
        <is>
          <t>Не определено</t>
        </is>
      </c>
      <c r="W1831" s="35" t="inlineStr"/>
      <c r="X1831" s="35" t="inlineStr"/>
    </row>
    <row r="1832" ht="15" customHeight="1" s="24">
      <c r="A1832" s="13" t="n">
        <v>5000008570</v>
      </c>
      <c r="B1832" s="13" t="inlineStr">
        <is>
          <t>УФССП России по Мурманской области</t>
        </is>
      </c>
      <c r="C1832" s="13" t="n">
        <v>5190132481</v>
      </c>
      <c r="D1832" s="13" t="inlineStr">
        <is>
          <t>5190132481</t>
        </is>
      </c>
      <c r="E1832" s="13" t="inlineStr">
        <is>
          <t>ЮЛ РФ</t>
        </is>
      </c>
      <c r="F1832" s="13" t="n"/>
      <c r="G1832" s="14" t="n"/>
      <c r="H1832" s="14" t="n"/>
      <c r="I1832" s="14" t="n"/>
      <c r="J1832" s="14" t="n"/>
      <c r="K1832" s="53" t="inlineStr"/>
      <c r="L1832" s="53" t="inlineStr">
        <is>
          <t>Не определено</t>
        </is>
      </c>
      <c r="M1832" s="53" t="inlineStr"/>
      <c r="N1832" s="54" t="inlineStr"/>
      <c r="O1832" s="55" t="inlineStr"/>
      <c r="P1832" s="16" t="inlineStr">
        <is>
          <t>Требует обогащения</t>
        </is>
      </c>
      <c r="Q1832" s="16">
        <f>HYPERLINK("https://pb.nalog.ru/search.html?query=5190132481","ФНС: проверить")</f>
        <v/>
      </c>
      <c r="R1832" s="16">
        <f>HYPERLINK("https://checko.ru/search?query=3801001629","Чекко: проверить")</f>
        <v/>
      </c>
      <c r="S1832" t="n">
        <v>1</v>
      </c>
      <c r="T1832" s="35" t="inlineStr">
        <is>
          <t>4 — Не обогащён</t>
        </is>
      </c>
      <c r="U1832" s="35" t="inlineStr">
        <is>
          <t>Нет ОКВЭД/ССЧР</t>
        </is>
      </c>
      <c r="V1832" s="35" t="inlineStr">
        <is>
          <t>Не определено</t>
        </is>
      </c>
      <c r="W1832" s="35" t="inlineStr"/>
      <c r="X1832" s="35" t="inlineStr"/>
    </row>
    <row r="1833" ht="15" customHeight="1" s="24">
      <c r="A1833" s="13" t="n">
        <v>5000008573</v>
      </c>
      <c r="B1833" s="13" t="inlineStr">
        <is>
          <t>УФССП России по Волгоградской области</t>
        </is>
      </c>
      <c r="C1833" s="13" t="n">
        <v>3445071308</v>
      </c>
      <c r="D1833" s="13" t="inlineStr">
        <is>
          <t>3445071308</t>
        </is>
      </c>
      <c r="E1833" s="13" t="inlineStr">
        <is>
          <t>ЮЛ РФ</t>
        </is>
      </c>
      <c r="F1833" s="13" t="n"/>
      <c r="G1833" s="14" t="n"/>
      <c r="H1833" s="14" t="n"/>
      <c r="I1833" s="14" t="n"/>
      <c r="J1833" s="14" t="n"/>
      <c r="K1833" s="53" t="inlineStr"/>
      <c r="L1833" s="53" t="inlineStr">
        <is>
          <t>Не определено</t>
        </is>
      </c>
      <c r="M1833" s="53" t="inlineStr"/>
      <c r="N1833" s="54" t="inlineStr"/>
      <c r="O1833" s="55" t="inlineStr"/>
      <c r="P1833" s="16" t="inlineStr">
        <is>
          <t>Требует обогащения</t>
        </is>
      </c>
      <c r="Q1833" s="16">
        <f>HYPERLINK("https://pb.nalog.ru/search.html?query=3445071308","ФНС: проверить")</f>
        <v/>
      </c>
      <c r="R1833" s="16">
        <f>HYPERLINK("https://checko.ru/search?query=3801001629","Чекко: проверить")</f>
        <v/>
      </c>
      <c r="S1833" t="n">
        <v>1</v>
      </c>
      <c r="T1833" s="35" t="inlineStr">
        <is>
          <t>4 — Не обогащён</t>
        </is>
      </c>
      <c r="U1833" s="35" t="inlineStr">
        <is>
          <t>Нет ОКВЭД/ССЧР</t>
        </is>
      </c>
      <c r="V1833" s="35" t="inlineStr">
        <is>
          <t>Не определено</t>
        </is>
      </c>
      <c r="W1833" s="35" t="inlineStr"/>
      <c r="X1833" s="35" t="inlineStr"/>
    </row>
    <row r="1834" ht="15" customHeight="1" s="24">
      <c r="A1834" s="13" t="n">
        <v>5000008579</v>
      </c>
      <c r="B1834" s="13" t="inlineStr">
        <is>
          <t>УФССП России по Республике Татарстан</t>
        </is>
      </c>
      <c r="C1834" s="13" t="n">
        <v>1655088826</v>
      </c>
      <c r="D1834" s="13" t="inlineStr">
        <is>
          <t>1655088826</t>
        </is>
      </c>
      <c r="E1834" s="13" t="inlineStr">
        <is>
          <t>ЮЛ РФ</t>
        </is>
      </c>
      <c r="F1834" s="13" t="n"/>
      <c r="G1834" s="14" t="n"/>
      <c r="H1834" s="14" t="n"/>
      <c r="I1834" s="14" t="n"/>
      <c r="J1834" s="14" t="n"/>
      <c r="K1834" s="53" t="inlineStr"/>
      <c r="L1834" s="53" t="inlineStr">
        <is>
          <t>Не определено</t>
        </is>
      </c>
      <c r="M1834" s="53" t="inlineStr"/>
      <c r="N1834" s="54" t="inlineStr"/>
      <c r="O1834" s="55" t="inlineStr"/>
      <c r="P1834" s="16" t="inlineStr">
        <is>
          <t>Требует обогащения</t>
        </is>
      </c>
      <c r="Q1834" s="16">
        <f>HYPERLINK("https://pb.nalog.ru/search.html?query=1655088826","ФНС: проверить")</f>
        <v/>
      </c>
      <c r="R1834" s="16">
        <f>HYPERLINK("https://checko.ru/search?query=3801001629","Чекко: проверить")</f>
        <v/>
      </c>
      <c r="S1834" t="n">
        <v>1</v>
      </c>
      <c r="T1834" s="35" t="inlineStr">
        <is>
          <t>4 — Не обогащён</t>
        </is>
      </c>
      <c r="U1834" s="35" t="inlineStr">
        <is>
          <t>Нет ОКВЭД/ССЧР</t>
        </is>
      </c>
      <c r="V1834" s="35" t="inlineStr">
        <is>
          <t>Не определено</t>
        </is>
      </c>
      <c r="W1834" s="35" t="inlineStr"/>
      <c r="X1834" s="35" t="inlineStr"/>
    </row>
    <row r="1835" ht="15" customHeight="1" s="24">
      <c r="A1835" s="13" t="n">
        <v>5000008587</v>
      </c>
      <c r="B1835" s="13" t="inlineStr">
        <is>
          <t>УФССП России по Республике Тыва</t>
        </is>
      </c>
      <c r="C1835" s="13" t="n">
        <v>1701037522</v>
      </c>
      <c r="D1835" s="13" t="inlineStr">
        <is>
          <t>1701037522</t>
        </is>
      </c>
      <c r="E1835" s="13" t="inlineStr">
        <is>
          <t>ЮЛ РФ</t>
        </is>
      </c>
      <c r="F1835" s="13" t="n"/>
      <c r="G1835" s="14" t="n"/>
      <c r="H1835" s="14" t="n"/>
      <c r="I1835" s="14" t="n"/>
      <c r="J1835" s="14" t="n"/>
      <c r="K1835" s="53" t="inlineStr"/>
      <c r="L1835" s="53" t="inlineStr">
        <is>
          <t>Не определено</t>
        </is>
      </c>
      <c r="M1835" s="53" t="inlineStr"/>
      <c r="N1835" s="54" t="inlineStr"/>
      <c r="O1835" s="55" t="inlineStr"/>
      <c r="P1835" s="16" t="inlineStr">
        <is>
          <t>Требует обогащения</t>
        </is>
      </c>
      <c r="Q1835" s="16">
        <f>HYPERLINK("https://pb.nalog.ru/search.html?query=1701037522","ФНС: проверить")</f>
        <v/>
      </c>
      <c r="R1835" s="16">
        <f>HYPERLINK("https://checko.ru/search?query=3801001629","Чекко: проверить")</f>
        <v/>
      </c>
      <c r="S1835" t="n">
        <v>1</v>
      </c>
      <c r="T1835" s="35" t="inlineStr">
        <is>
          <t>4 — Не обогащён</t>
        </is>
      </c>
      <c r="U1835" s="35" t="inlineStr">
        <is>
          <t>Нет ОКВЭД/ССЧР</t>
        </is>
      </c>
      <c r="V1835" s="35" t="inlineStr">
        <is>
          <t>Не определено</t>
        </is>
      </c>
      <c r="W1835" s="35" t="inlineStr"/>
      <c r="X1835" s="35" t="inlineStr"/>
    </row>
    <row r="1836" ht="15" customHeight="1" s="24">
      <c r="A1836" s="13" t="n">
        <v>5000008591</v>
      </c>
      <c r="B1836" s="13" t="inlineStr">
        <is>
          <t>УФССП России по Калининградской области</t>
        </is>
      </c>
      <c r="C1836" s="13" t="n">
        <v>3906131456</v>
      </c>
      <c r="D1836" s="13" t="inlineStr">
        <is>
          <t>3906131456</t>
        </is>
      </c>
      <c r="E1836" s="13" t="inlineStr">
        <is>
          <t>ЮЛ РФ</t>
        </is>
      </c>
      <c r="F1836" s="13" t="n"/>
      <c r="G1836" s="14" t="n"/>
      <c r="H1836" s="14" t="n"/>
      <c r="I1836" s="14" t="n"/>
      <c r="J1836" s="14" t="n"/>
      <c r="K1836" s="53" t="inlineStr"/>
      <c r="L1836" s="53" t="inlineStr">
        <is>
          <t>Не определено</t>
        </is>
      </c>
      <c r="M1836" s="53" t="inlineStr"/>
      <c r="N1836" s="54" t="inlineStr"/>
      <c r="O1836" s="55" t="inlineStr"/>
      <c r="P1836" s="16" t="inlineStr">
        <is>
          <t>Требует обогащения</t>
        </is>
      </c>
      <c r="Q1836" s="16">
        <f>HYPERLINK("https://pb.nalog.ru/search.html?query=3906131456","ФНС: проверить")</f>
        <v/>
      </c>
      <c r="R1836" s="16">
        <f>HYPERLINK("https://checko.ru/search?query=3801001629","Чекко: проверить")</f>
        <v/>
      </c>
      <c r="S1836" t="n">
        <v>1</v>
      </c>
      <c r="T1836" s="35" t="inlineStr">
        <is>
          <t>4 — Не обогащён</t>
        </is>
      </c>
      <c r="U1836" s="35" t="inlineStr">
        <is>
          <t>Нет ОКВЭД/ССЧР</t>
        </is>
      </c>
      <c r="V1836" s="35" t="inlineStr">
        <is>
          <t>Не определено</t>
        </is>
      </c>
      <c r="W1836" s="35" t="inlineStr"/>
      <c r="X1836" s="35" t="inlineStr"/>
    </row>
    <row r="1837" ht="15" customHeight="1" s="24">
      <c r="A1837" s="13" t="n">
        <v>5000008595</v>
      </c>
      <c r="B1837" s="13" t="inlineStr">
        <is>
          <t>УФССП России по Псковской области</t>
        </is>
      </c>
      <c r="C1837" s="13" t="n">
        <v>6027086158</v>
      </c>
      <c r="D1837" s="13" t="inlineStr">
        <is>
          <t>6027086158</t>
        </is>
      </c>
      <c r="E1837" s="13" t="inlineStr">
        <is>
          <t>ЮЛ РФ</t>
        </is>
      </c>
      <c r="F1837" s="13" t="n"/>
      <c r="G1837" s="14" t="n"/>
      <c r="H1837" s="14" t="n"/>
      <c r="I1837" s="14" t="n"/>
      <c r="J1837" s="14" t="n"/>
      <c r="K1837" s="53" t="inlineStr"/>
      <c r="L1837" s="53" t="inlineStr">
        <is>
          <t>Не определено</t>
        </is>
      </c>
      <c r="M1837" s="53" t="inlineStr"/>
      <c r="N1837" s="54" t="inlineStr"/>
      <c r="O1837" s="55" t="inlineStr"/>
      <c r="P1837" s="16" t="inlineStr">
        <is>
          <t>Требует обогащения</t>
        </is>
      </c>
      <c r="Q1837" s="16">
        <f>HYPERLINK("https://pb.nalog.ru/search.html?query=6027086158","ФНС: проверить")</f>
        <v/>
      </c>
      <c r="R1837" s="16">
        <f>HYPERLINK("https://checko.ru/search?query=3801001629","Чекко: проверить")</f>
        <v/>
      </c>
      <c r="S1837" t="n">
        <v>1</v>
      </c>
      <c r="T1837" s="35" t="inlineStr">
        <is>
          <t>4 — Не обогащён</t>
        </is>
      </c>
      <c r="U1837" s="35" t="inlineStr">
        <is>
          <t>Нет ОКВЭД/ССЧР</t>
        </is>
      </c>
      <c r="V1837" s="35" t="inlineStr">
        <is>
          <t>Не определено</t>
        </is>
      </c>
      <c r="W1837" s="35" t="inlineStr"/>
      <c r="X1837" s="35" t="inlineStr"/>
    </row>
    <row r="1838" ht="15" customHeight="1" s="24">
      <c r="A1838" s="13" t="n">
        <v>5000008596</v>
      </c>
      <c r="B1838" s="13" t="inlineStr">
        <is>
          <t>УФССП России по Нижегородской области</t>
        </is>
      </c>
      <c r="C1838" s="13" t="n">
        <v>5263047008</v>
      </c>
      <c r="D1838" s="13" t="inlineStr">
        <is>
          <t>5263047008</t>
        </is>
      </c>
      <c r="E1838" s="13" t="inlineStr">
        <is>
          <t>ЮЛ РФ</t>
        </is>
      </c>
      <c r="F1838" s="13" t="n"/>
      <c r="G1838" s="14" t="n"/>
      <c r="H1838" s="14" t="n"/>
      <c r="I1838" s="14" t="n"/>
      <c r="J1838" s="14" t="n"/>
      <c r="K1838" s="53" t="inlineStr"/>
      <c r="L1838" s="53" t="inlineStr">
        <is>
          <t>Не определено</t>
        </is>
      </c>
      <c r="M1838" s="53" t="inlineStr"/>
      <c r="N1838" s="54" t="inlineStr"/>
      <c r="O1838" s="55" t="inlineStr"/>
      <c r="P1838" s="16" t="inlineStr">
        <is>
          <t>Требует обогащения</t>
        </is>
      </c>
      <c r="Q1838" s="16">
        <f>HYPERLINK("https://pb.nalog.ru/search.html?query=5263047008","ФНС: проверить")</f>
        <v/>
      </c>
      <c r="R1838" s="16">
        <f>HYPERLINK("https://checko.ru/search?query=3801001629","Чекко: проверить")</f>
        <v/>
      </c>
      <c r="S1838" t="n">
        <v>1</v>
      </c>
      <c r="T1838" s="35" t="inlineStr">
        <is>
          <t>4 — Не обогащён</t>
        </is>
      </c>
      <c r="U1838" s="35" t="inlineStr">
        <is>
          <t>Нет ОКВЭД/ССЧР</t>
        </is>
      </c>
      <c r="V1838" s="35" t="inlineStr">
        <is>
          <t>Не определено</t>
        </is>
      </c>
      <c r="W1838" s="35" t="inlineStr"/>
      <c r="X1838" s="35" t="inlineStr"/>
    </row>
    <row r="1839" ht="15" customHeight="1" s="24">
      <c r="A1839" s="13" t="n">
        <v>5000008597</v>
      </c>
      <c r="B1839" s="13" t="inlineStr">
        <is>
          <t>УФССП России по Забайкальскому краю</t>
        </is>
      </c>
      <c r="C1839" s="13" t="n">
        <v>7536090062</v>
      </c>
      <c r="D1839" s="13" t="inlineStr">
        <is>
          <t>7536090062</t>
        </is>
      </c>
      <c r="E1839" s="13" t="inlineStr">
        <is>
          <t>ЮЛ РФ</t>
        </is>
      </c>
      <c r="F1839" s="13" t="n"/>
      <c r="G1839" s="14" t="n"/>
      <c r="H1839" s="14" t="n"/>
      <c r="I1839" s="14" t="n"/>
      <c r="J1839" s="14" t="n"/>
      <c r="K1839" s="53" t="inlineStr"/>
      <c r="L1839" s="53" t="inlineStr">
        <is>
          <t>Не определено</t>
        </is>
      </c>
      <c r="M1839" s="53" t="inlineStr"/>
      <c r="N1839" s="54" t="inlineStr"/>
      <c r="O1839" s="55" t="inlineStr"/>
      <c r="P1839" s="16" t="inlineStr">
        <is>
          <t>Требует обогащения</t>
        </is>
      </c>
      <c r="Q1839" s="16">
        <f>HYPERLINK("https://pb.nalog.ru/search.html?query=7536090062","ФНС: проверить")</f>
        <v/>
      </c>
      <c r="R1839" s="16">
        <f>HYPERLINK("https://checko.ru/search?query=3801001629","Чекко: проверить")</f>
        <v/>
      </c>
      <c r="S1839" t="n">
        <v>1</v>
      </c>
      <c r="T1839" s="35" t="inlineStr">
        <is>
          <t>4 — Не обогащён</t>
        </is>
      </c>
      <c r="U1839" s="35" t="inlineStr">
        <is>
          <t>Нет ОКВЭД/ССЧР</t>
        </is>
      </c>
      <c r="V1839" s="35" t="inlineStr">
        <is>
          <t>Не определено</t>
        </is>
      </c>
      <c r="W1839" s="35" t="inlineStr"/>
      <c r="X1839" s="35" t="inlineStr"/>
    </row>
    <row r="1840" ht="15" customHeight="1" s="24">
      <c r="A1840" s="13" t="n">
        <v>5000008601</v>
      </c>
      <c r="B1840" s="13" t="inlineStr">
        <is>
          <t>УФССП России по Московской области</t>
        </is>
      </c>
      <c r="C1840" s="13" t="n">
        <v>7727270309</v>
      </c>
      <c r="D1840" s="13" t="inlineStr">
        <is>
          <t>7727270309</t>
        </is>
      </c>
      <c r="E1840" s="13" t="inlineStr">
        <is>
          <t>ЮЛ РФ</t>
        </is>
      </c>
      <c r="F1840" s="13" t="n"/>
      <c r="G1840" s="14" t="n"/>
      <c r="H1840" s="14" t="n"/>
      <c r="I1840" s="14" t="n"/>
      <c r="J1840" s="14" t="n"/>
      <c r="K1840" s="53" t="inlineStr"/>
      <c r="L1840" s="53" t="inlineStr">
        <is>
          <t>Не определено</t>
        </is>
      </c>
      <c r="M1840" s="53" t="inlineStr"/>
      <c r="N1840" s="54" t="inlineStr"/>
      <c r="O1840" s="55" t="inlineStr"/>
      <c r="P1840" s="16" t="inlineStr">
        <is>
          <t>Требует обогащения</t>
        </is>
      </c>
      <c r="Q1840" s="16">
        <f>HYPERLINK("https://pb.nalog.ru/search.html?query=7727270309","ФНС: проверить")</f>
        <v/>
      </c>
      <c r="R1840" s="16">
        <f>HYPERLINK("https://checko.ru/search?query=3801001629","Чекко: проверить")</f>
        <v/>
      </c>
      <c r="S1840" t="n">
        <v>1</v>
      </c>
      <c r="T1840" s="35" t="inlineStr">
        <is>
          <t>4 — Не обогащён</t>
        </is>
      </c>
      <c r="U1840" s="35" t="inlineStr">
        <is>
          <t>Нет ОКВЭД/ССЧР</t>
        </is>
      </c>
      <c r="V1840" s="35" t="inlineStr">
        <is>
          <t>Не определено</t>
        </is>
      </c>
      <c r="W1840" s="35" t="inlineStr"/>
      <c r="X1840" s="35" t="inlineStr"/>
    </row>
    <row r="1841" ht="27.75" customHeight="1" s="24">
      <c r="A1841" s="13" t="n">
        <v>5000008604</v>
      </c>
      <c r="B1841" s="13" t="inlineStr">
        <is>
          <t>УФССП России по Ямало-Ненецкому автономному округу</t>
        </is>
      </c>
      <c r="C1841" s="13" t="n">
        <v>8901016096</v>
      </c>
      <c r="D1841" s="13" t="inlineStr">
        <is>
          <t>8901016096</t>
        </is>
      </c>
      <c r="E1841" s="13" t="inlineStr">
        <is>
          <t>ЮЛ РФ</t>
        </is>
      </c>
      <c r="F1841" s="13" t="n"/>
      <c r="G1841" s="14" t="n"/>
      <c r="H1841" s="14" t="n"/>
      <c r="I1841" s="14" t="n"/>
      <c r="J1841" s="14" t="n"/>
      <c r="K1841" s="53" t="inlineStr"/>
      <c r="L1841" s="53" t="inlineStr">
        <is>
          <t>Не определено</t>
        </is>
      </c>
      <c r="M1841" s="53" t="inlineStr"/>
      <c r="N1841" s="54" t="inlineStr"/>
      <c r="O1841" s="55" t="inlineStr"/>
      <c r="P1841" s="16" t="inlineStr">
        <is>
          <t>Требует обогащения</t>
        </is>
      </c>
      <c r="Q1841" s="16">
        <f>HYPERLINK("https://pb.nalog.ru/search.html?query=8901016096","ФНС: проверить")</f>
        <v/>
      </c>
      <c r="R1841" s="16">
        <f>HYPERLINK("https://checko.ru/search?query=3801001629","Чекко: проверить")</f>
        <v/>
      </c>
      <c r="S1841" t="n">
        <v>1</v>
      </c>
      <c r="T1841" s="35" t="inlineStr">
        <is>
          <t>4 — Не обогащён</t>
        </is>
      </c>
      <c r="U1841" s="35" t="inlineStr">
        <is>
          <t>Нет ОКВЭД/ССЧР</t>
        </is>
      </c>
      <c r="V1841" s="35" t="inlineStr">
        <is>
          <t>Не определено</t>
        </is>
      </c>
      <c r="W1841" s="35" t="inlineStr"/>
      <c r="X1841" s="35" t="inlineStr"/>
    </row>
    <row r="1842" ht="27.75" customHeight="1" s="24">
      <c r="A1842" s="13" t="n">
        <v>5000038498</v>
      </c>
      <c r="B1842" s="13" t="inlineStr">
        <is>
          <t>ГООУ СПО "Димитровградское музыкальное училище" (техникум)</t>
        </is>
      </c>
      <c r="C1842" s="13" t="n">
        <v>7302011509</v>
      </c>
      <c r="D1842" s="13" t="inlineStr">
        <is>
          <t>7302011509</t>
        </is>
      </c>
      <c r="E1842" s="13" t="inlineStr">
        <is>
          <t>ЮЛ РФ</t>
        </is>
      </c>
      <c r="F1842" s="13" t="n"/>
      <c r="G1842" s="14" t="n"/>
      <c r="H1842" s="14" t="n"/>
      <c r="I1842" s="14" t="n"/>
      <c r="J1842" s="14" t="n"/>
      <c r="K1842" s="53" t="inlineStr"/>
      <c r="L1842" s="53" t="inlineStr">
        <is>
          <t>Не определено</t>
        </is>
      </c>
      <c r="M1842" s="53" t="inlineStr"/>
      <c r="N1842" s="54" t="inlineStr"/>
      <c r="O1842" s="55" t="inlineStr"/>
      <c r="P1842" s="16" t="inlineStr">
        <is>
          <t>Требует обогащения</t>
        </is>
      </c>
      <c r="Q1842" s="16">
        <f>HYPERLINK("https://pb.nalog.ru/search.html?query=7302011509","ФНС: проверить")</f>
        <v/>
      </c>
      <c r="R1842" s="16">
        <f>HYPERLINK("https://checko.ru/search?query=3801001629","Чекко: проверить")</f>
        <v/>
      </c>
      <c r="S1842" t="n">
        <v>1</v>
      </c>
      <c r="T1842" s="35" t="inlineStr">
        <is>
          <t>4 — Не обогащён</t>
        </is>
      </c>
      <c r="U1842" s="35" t="inlineStr">
        <is>
          <t>Нет ОКВЭД/ССЧР</t>
        </is>
      </c>
      <c r="V1842" s="35" t="inlineStr">
        <is>
          <t>Не определено</t>
        </is>
      </c>
      <c r="W1842" s="35" t="inlineStr"/>
      <c r="X1842" s="35" t="inlineStr"/>
    </row>
    <row r="1843" ht="41.25" customHeight="1" s="24">
      <c r="A1843" s="13" t="n">
        <v>5000036223</v>
      </c>
      <c r="B1843" s="13" t="inlineStr">
        <is>
          <t>Областное государственное казённое физкультурно-спортивное учреждение "Центр спортивной подготовки"</t>
        </is>
      </c>
      <c r="C1843" s="13" t="n">
        <v>7325002589</v>
      </c>
      <c r="D1843" s="13" t="inlineStr">
        <is>
          <t>7325002589</t>
        </is>
      </c>
      <c r="E1843" s="13" t="inlineStr">
        <is>
          <t>ЮЛ РФ</t>
        </is>
      </c>
      <c r="F1843" s="13" t="n"/>
      <c r="G1843" s="14" t="n"/>
      <c r="H1843" s="14" t="n"/>
      <c r="I1843" s="14" t="n"/>
      <c r="J1843" s="14" t="n"/>
      <c r="K1843" s="53" t="inlineStr"/>
      <c r="L1843" s="53" t="inlineStr">
        <is>
          <t>Не определено</t>
        </is>
      </c>
      <c r="M1843" s="53" t="inlineStr"/>
      <c r="N1843" s="54" t="inlineStr"/>
      <c r="O1843" s="55" t="inlineStr"/>
      <c r="P1843" s="16" t="inlineStr">
        <is>
          <t>Требует обогащения</t>
        </is>
      </c>
      <c r="Q1843" s="16">
        <f>HYPERLINK("https://pb.nalog.ru/search.html?query=7325002589","ФНС: проверить")</f>
        <v/>
      </c>
      <c r="R1843" s="16">
        <f>HYPERLINK("https://checko.ru/search?query=3801001629","Чекко: проверить")</f>
        <v/>
      </c>
      <c r="S1843" t="n">
        <v>1</v>
      </c>
      <c r="T1843" s="35" t="inlineStr">
        <is>
          <t>4 — Не обогащён</t>
        </is>
      </c>
      <c r="U1843" s="35" t="inlineStr">
        <is>
          <t>Нет ОКВЭД/ССЧР</t>
        </is>
      </c>
      <c r="V1843" s="35" t="inlineStr">
        <is>
          <t>Не определено</t>
        </is>
      </c>
      <c r="W1843" s="35" t="inlineStr"/>
      <c r="X1843" s="35" t="inlineStr"/>
    </row>
    <row r="1844" ht="15" customHeight="1" s="24">
      <c r="A1844" s="13" t="n">
        <v>5000001480</v>
      </c>
      <c r="B1844" s="13" t="inlineStr">
        <is>
          <t>ОГБУ "ИРКУТСКАЯ ГСББЖ"</t>
        </is>
      </c>
      <c r="C1844" s="13" t="n">
        <v>3808103524</v>
      </c>
      <c r="D1844" s="13" t="inlineStr">
        <is>
          <t>3808103524</t>
        </is>
      </c>
      <c r="E1844" s="13" t="inlineStr">
        <is>
          <t>ЮЛ РФ</t>
        </is>
      </c>
      <c r="F1844" s="13" t="n"/>
      <c r="G1844" s="14" t="n"/>
      <c r="H1844" s="14" t="n"/>
      <c r="I1844" s="14" t="n"/>
      <c r="J1844" s="14" t="n"/>
      <c r="K1844" s="53" t="inlineStr"/>
      <c r="L1844" s="53" t="inlineStr">
        <is>
          <t>Не определено</t>
        </is>
      </c>
      <c r="M1844" s="53" t="inlineStr"/>
      <c r="N1844" s="54" t="inlineStr"/>
      <c r="O1844" s="55" t="inlineStr"/>
      <c r="P1844" s="16" t="inlineStr">
        <is>
          <t>Требует обогащения</t>
        </is>
      </c>
      <c r="Q1844" s="16">
        <f>HYPERLINK("https://pb.nalog.ru/search.html?query=3808103524","ФНС: проверить")</f>
        <v/>
      </c>
      <c r="R1844" s="16">
        <f>HYPERLINK("https://checko.ru/search?query=3801001629","Чекко: проверить")</f>
        <v/>
      </c>
      <c r="S1844" t="n">
        <v>1</v>
      </c>
      <c r="T1844" s="35" t="inlineStr">
        <is>
          <t>4 — Не обогащён</t>
        </is>
      </c>
      <c r="U1844" s="35" t="inlineStr">
        <is>
          <t>Нет ОКВЭД/ССЧР</t>
        </is>
      </c>
      <c r="V1844" s="35" t="inlineStr">
        <is>
          <t>Не определено</t>
        </is>
      </c>
      <c r="W1844" s="35" t="inlineStr"/>
      <c r="X1844" s="35" t="inlineStr"/>
    </row>
    <row r="1845" ht="27.75" customHeight="1" s="24">
      <c r="A1845" s="13" t="n">
        <v>5000036247</v>
      </c>
      <c r="B1845" s="13" t="inlineStr">
        <is>
          <t>Областное автономное учреждение "Редакция газеты "Кумяк кюч"</t>
        </is>
      </c>
      <c r="C1845" s="13" t="n">
        <v>7311007107</v>
      </c>
      <c r="D1845" s="13" t="inlineStr">
        <is>
          <t>7311007107</t>
        </is>
      </c>
      <c r="E1845" s="13" t="inlineStr">
        <is>
          <t>ЮЛ РФ</t>
        </is>
      </c>
      <c r="F1845" s="13" t="n"/>
      <c r="G1845" s="14" t="n"/>
      <c r="H1845" s="14" t="n"/>
      <c r="I1845" s="14" t="n"/>
      <c r="J1845" s="14" t="n"/>
      <c r="K1845" s="53" t="inlineStr"/>
      <c r="L1845" s="53" t="inlineStr">
        <is>
          <t>Не определено</t>
        </is>
      </c>
      <c r="M1845" s="53" t="inlineStr"/>
      <c r="N1845" s="54" t="inlineStr"/>
      <c r="O1845" s="55" t="inlineStr"/>
      <c r="P1845" s="16" t="inlineStr">
        <is>
          <t>Требует обогащения</t>
        </is>
      </c>
      <c r="Q1845" s="16">
        <f>HYPERLINK("https://pb.nalog.ru/search.html?query=7311007107","ФНС: проверить")</f>
        <v/>
      </c>
      <c r="R1845" s="16">
        <f>HYPERLINK("https://checko.ru/search?query=3801001629","Чекко: проверить")</f>
        <v/>
      </c>
      <c r="S1845" t="n">
        <v>1</v>
      </c>
      <c r="T1845" s="35" t="inlineStr">
        <is>
          <t>4 — Не обогащён</t>
        </is>
      </c>
      <c r="U1845" s="35" t="inlineStr">
        <is>
          <t>Нет ОКВЭД/ССЧР</t>
        </is>
      </c>
      <c r="V1845" s="35" t="inlineStr">
        <is>
          <t>Не определено</t>
        </is>
      </c>
      <c r="W1845" s="35" t="inlineStr"/>
      <c r="X1845" s="35" t="inlineStr"/>
    </row>
    <row r="1846" ht="15" customHeight="1" s="24">
      <c r="A1846" s="13" t="n">
        <v>5000001921</v>
      </c>
      <c r="B1846" s="13" t="inlineStr">
        <is>
          <t>ОГБОУ НПО ПУ № 26 Усолье-Сибирское</t>
        </is>
      </c>
      <c r="C1846" s="13" t="n">
        <v>3819004998</v>
      </c>
      <c r="D1846" s="13" t="inlineStr">
        <is>
          <t>3819004998</t>
        </is>
      </c>
      <c r="E1846" s="13" t="inlineStr">
        <is>
          <t>ЮЛ РФ</t>
        </is>
      </c>
      <c r="F1846" s="13" t="n"/>
      <c r="G1846" s="14" t="n"/>
      <c r="H1846" s="14" t="n"/>
      <c r="I1846" s="14" t="n"/>
      <c r="J1846" s="14" t="n"/>
      <c r="K1846" s="53" t="inlineStr"/>
      <c r="L1846" s="53" t="inlineStr">
        <is>
          <t>Не определено</t>
        </is>
      </c>
      <c r="M1846" s="53" t="inlineStr"/>
      <c r="N1846" s="54" t="inlineStr"/>
      <c r="O1846" s="55" t="inlineStr"/>
      <c r="P1846" s="16" t="inlineStr">
        <is>
          <t>Требует обогащения</t>
        </is>
      </c>
      <c r="Q1846" s="16">
        <f>HYPERLINK("https://pb.nalog.ru/search.html?query=3819004998","ФНС: проверить")</f>
        <v/>
      </c>
      <c r="R1846" s="16">
        <f>HYPERLINK("https://checko.ru/search?query=3801001629","Чекко: проверить")</f>
        <v/>
      </c>
      <c r="S1846" t="n">
        <v>1</v>
      </c>
      <c r="T1846" s="35" t="inlineStr">
        <is>
          <t>4 — Не обогащён</t>
        </is>
      </c>
      <c r="U1846" s="35" t="inlineStr">
        <is>
          <t>Нет ОКВЭД/ССЧР</t>
        </is>
      </c>
      <c r="V1846" s="35" t="inlineStr">
        <is>
          <t>Не определено</t>
        </is>
      </c>
      <c r="W1846" s="35" t="inlineStr"/>
      <c r="X1846" s="35" t="inlineStr"/>
    </row>
    <row r="1847" ht="15" customHeight="1" s="24">
      <c r="A1847" s="13" t="n">
        <v>5000095005</v>
      </c>
      <c r="B1847" s="13" t="inlineStr">
        <is>
          <t>Поликлиника № 1</t>
        </is>
      </c>
      <c r="C1847" s="13" t="n">
        <v>711036861</v>
      </c>
      <c r="D1847" s="13" t="n"/>
      <c r="E1847" s="13" t="inlineStr">
        <is>
          <t>Не определён</t>
        </is>
      </c>
      <c r="F1847" s="13" t="inlineStr">
        <is>
          <t>711036861</t>
        </is>
      </c>
      <c r="G1847" s="14" t="n"/>
      <c r="H1847" s="14" t="n"/>
      <c r="I1847" s="14" t="n"/>
      <c r="J1847" s="14" t="n"/>
      <c r="K1847" s="13">
        <f>IF(G1847="","",IF(G1847&gt;=22,"Да","Нет"))</f>
        <v/>
      </c>
      <c r="L1847" s="13">
        <f>IF(OR(I1847="",J1847=""),"Не определено",IF(OR(COUNTIF(I1847,"45*")&gt;0,COUNTIF(J1847,"*45*")&gt;0,COUNTIF(I1847,"46*")&gt;0,COUNTIF(J1847,"*46*")&gt;0,COUNTIF(I1847,"47*")&gt;0,COUNTIF(J1847,"*47*")&gt;0,COUNTIF(I1847,"10*")&gt;0,COUNTIF(J1847,"*10*")&gt;0,COUNTIF(I1847,"11*")&gt;0,COUNTIF(J1847,"*11*")&gt;0,COUNTIF(I1847,"12*")&gt;0,COUNTIF(J1847,"*12*")&gt;0,COUNTIF(I1847,"13*")&gt;0,COUNTIF(J1847,"*13*")&gt;0,COUNTIF(I1847,"14*")&gt;0,COUNTIF(J1847,"*14*")&gt;0,COUNTIF(I1847,"15*")&gt;0,COUNTIF(J1847,"*15*")&gt;0,COUNTIF(I1847,"16*")&gt;0,COUNTIF(J1847,"*16*")&gt;0,COUNTIF(I1847,"17*")&gt;0,COUNTIF(J1847,"*17*")&gt;0,COUNTIF(I1847,"18*")&gt;0,COUNTIF(J1847,"*18*")&gt;0,COUNTIF(I1847,"19*")&gt;0,COUNTIF(J1847,"*19*")&gt;0,COUNTIF(I1847,"20*")&gt;0,COUNTIF(J1847,"*20*")&gt;0,COUNTIF(I1847,"21*")&gt;0,COUNTIF(J1847,"*21*")&gt;0,COUNTIF(I1847,"22*")&gt;0,COUNTIF(J1847,"*22*")&gt;0,COUNTIF(I1847,"23*")&gt;0,COUNTIF(J1847,"*23*")&gt;0,COUNTIF(I1847,"24*")&gt;0,COUNTIF(J1847,"*24*")&gt;0,COUNTIF(I1847,"25*")&gt;0,COUNTIF(J1847,"*25*")&gt;0,COUNTIF(I1847,"26*")&gt;0,COUNTIF(J1847,"*26*")&gt;0,COUNTIF(I1847,"27*")&gt;0,COUNTIF(J1847,"*27*")&gt;0,COUNTIF(I1847,"28*")&gt;0,COUNTIF(J1847,"*28*")&gt;0,COUNTIF(I1847,"29*")&gt;0,COUNTIF(J1847,"*29*")&gt;0,COUNTIF(I1847,"30*")&gt;0,COUNTIF(J1847,"*30*")&gt;0,COUNTIF(I1847,"31*")&gt;0,COUNTIF(J1847,"*31*")&gt;0,COUNTIF(I1847,"32*")&gt;0,COUNTIF(J1847,"*32*")&gt;0,COUNTIF(I1847,"33*")&gt;0,COUNTIF(J1847,"*33*")&gt;0,COUNTIF(I1847,"41*")&gt;0,COUNTIF(J1847,"*41*")&gt;0,COUNTIF(I1847,"42*")&gt;0,COUNTIF(J1847,"*42*")&gt;0,COUNTIF(I1847,"43*")&gt;0,COUNTIF(J1847,"*43*")&gt;0,COUNTIF(I1847,"49*")&gt;0,COUNTIF(J1847,"*49*")&gt;0,COUNTIF(I1847,"52*")&gt;0,COUNTIF(J1847,"*52*")&gt;0,COUNTIF(I1847,"55*")&gt;0,COUNTIF(J1847,"*55*")&gt;0,COUNTIF(I1847,"56*")&gt;0,COUNTIF(J1847,"*56*")&gt;0,COUNTIF(I1847,"68*")&gt;0,COUNTIF(J1847,"*68*")&gt;0,COUNTIF(I1847,"78*")&gt;0,COUNTIF(J1847,"*78*")&gt;0,COUNTIF(I1847,"81*")&gt;0,COUNTIF(J1847,"*81*")&gt;0,COUNTIF(I1847,"82*")&gt;0,COUNTIF(J1847,"*82*")&gt;0,COUNTIF(I1847,"64*")&gt;0,COUNTIF(J1847,"*64*")&gt;0,COUNTIF(I1847,"65*")&gt;0,COUNTIF(J1847,"*65*")&gt;0,COUNTIF(I1847,"66*")&gt;0,COUNTIF(J1847,"*66*")&gt;0,COUNTIF(I1847,"61*")&gt;0,COUNTIF(J1847,"*61*")&gt;0,COUNTIF(I1847,"62*")&gt;0,COUNTIF(J1847,"*62*")&gt;0,COUNTIF(I1847,"63*")&gt;0,COUNTIF(J1847,"*63*")&gt;0,COUNTIF(I1847,"85*")&gt;0,COUNTIF(J1847,"*85*")&gt;0,COUNTIF(I1847,"86*")&gt;0,COUNTIF(J1847,"*86*")&gt;0),"Да","Нет"))</f>
        <v/>
      </c>
      <c r="M1847" s="13">
        <f>IF(OR(G1847="",L1847&lt;&gt;"Да"),"",IF(G1847&lt;=100,"До 100",IF(G1847&lt;=200,"До 200",IF(G1847&lt;=500,"До 500","Отдельное КП"))))</f>
        <v/>
      </c>
      <c r="N1847" s="15">
        <f>IF(OR(G1847="",L1847&lt;&gt;"Да"),"",IF(G1847&lt;=100,33600,IF(G1847&lt;=200,62400,IF(G1847&lt;=500,144000,""))))</f>
        <v/>
      </c>
      <c r="O1847" s="16">
        <f>IF(G1847="","",IF(G1847&lt;=15,"1–15",IF(G1847&lt;=30,"16–30",IF(G1847&lt;=50,"31–50",IF(G1847&lt;=100,"51–100",IF(G1847&lt;=150,"101–150",IF(G1847&lt;=200,"151–200",IF(G1847&lt;=500,"201–500","500+"))))))))</f>
        <v/>
      </c>
      <c r="P1847" s="16" t="inlineStr">
        <is>
          <t>Нет совпадения в предоставленной выгрузке ССЧР</t>
        </is>
      </c>
      <c r="Q1847" s="16" t="n"/>
      <c r="R1847" s="16">
        <f>HYPERLINK("https://checko.ru/search?query=3801001629","Чекко: проверить")</f>
        <v/>
      </c>
      <c r="S1847" t="n">
        <v>0</v>
      </c>
    </row>
    <row r="1848" ht="15" customHeight="1" s="24">
      <c r="A1848" s="13" t="n">
        <v>5000094392</v>
      </c>
      <c r="B1848" s="13" t="inlineStr">
        <is>
          <t>ГКПОУ "КБСХК"</t>
        </is>
      </c>
      <c r="C1848" s="13" t="n">
        <v>701002969</v>
      </c>
      <c r="D1848" s="13" t="n"/>
      <c r="E1848" s="13" t="inlineStr">
        <is>
          <t>Не определён</t>
        </is>
      </c>
      <c r="F1848" s="13" t="inlineStr">
        <is>
          <t>701002969</t>
        </is>
      </c>
      <c r="G1848" s="14" t="n"/>
      <c r="H1848" s="14" t="n"/>
      <c r="I1848" s="14" t="n"/>
      <c r="J1848" s="14" t="n"/>
      <c r="K1848" s="13">
        <f>IF(G1848="","",IF(G1848&gt;=22,"Да","Нет"))</f>
        <v/>
      </c>
      <c r="L1848" s="13">
        <f>IF(OR(I1848="",J1848=""),"Не определено",IF(OR(COUNTIF(I1848,"45*")&gt;0,COUNTIF(J1848,"*45*")&gt;0,COUNTIF(I1848,"46*")&gt;0,COUNTIF(J1848,"*46*")&gt;0,COUNTIF(I1848,"47*")&gt;0,COUNTIF(J1848,"*47*")&gt;0,COUNTIF(I1848,"10*")&gt;0,COUNTIF(J1848,"*10*")&gt;0,COUNTIF(I1848,"11*")&gt;0,COUNTIF(J1848,"*11*")&gt;0,COUNTIF(I1848,"12*")&gt;0,COUNTIF(J1848,"*12*")&gt;0,COUNTIF(I1848,"13*")&gt;0,COUNTIF(J1848,"*13*")&gt;0,COUNTIF(I1848,"14*")&gt;0,COUNTIF(J1848,"*14*")&gt;0,COUNTIF(I1848,"15*")&gt;0,COUNTIF(J1848,"*15*")&gt;0,COUNTIF(I1848,"16*")&gt;0,COUNTIF(J1848,"*16*")&gt;0,COUNTIF(I1848,"17*")&gt;0,COUNTIF(J1848,"*17*")&gt;0,COUNTIF(I1848,"18*")&gt;0,COUNTIF(J1848,"*18*")&gt;0,COUNTIF(I1848,"19*")&gt;0,COUNTIF(J1848,"*19*")&gt;0,COUNTIF(I1848,"20*")&gt;0,COUNTIF(J1848,"*20*")&gt;0,COUNTIF(I1848,"21*")&gt;0,COUNTIF(J1848,"*21*")&gt;0,COUNTIF(I1848,"22*")&gt;0,COUNTIF(J1848,"*22*")&gt;0,COUNTIF(I1848,"23*")&gt;0,COUNTIF(J1848,"*23*")&gt;0,COUNTIF(I1848,"24*")&gt;0,COUNTIF(J1848,"*24*")&gt;0,COUNTIF(I1848,"25*")&gt;0,COUNTIF(J1848,"*25*")&gt;0,COUNTIF(I1848,"26*")&gt;0,COUNTIF(J1848,"*26*")&gt;0,COUNTIF(I1848,"27*")&gt;0,COUNTIF(J1848,"*27*")&gt;0,COUNTIF(I1848,"28*")&gt;0,COUNTIF(J1848,"*28*")&gt;0,COUNTIF(I1848,"29*")&gt;0,COUNTIF(J1848,"*29*")&gt;0,COUNTIF(I1848,"30*")&gt;0,COUNTIF(J1848,"*30*")&gt;0,COUNTIF(I1848,"31*")&gt;0,COUNTIF(J1848,"*31*")&gt;0,COUNTIF(I1848,"32*")&gt;0,COUNTIF(J1848,"*32*")&gt;0,COUNTIF(I1848,"33*")&gt;0,COUNTIF(J1848,"*33*")&gt;0,COUNTIF(I1848,"41*")&gt;0,COUNTIF(J1848,"*41*")&gt;0,COUNTIF(I1848,"42*")&gt;0,COUNTIF(J1848,"*42*")&gt;0,COUNTIF(I1848,"43*")&gt;0,COUNTIF(J1848,"*43*")&gt;0,COUNTIF(I1848,"49*")&gt;0,COUNTIF(J1848,"*49*")&gt;0,COUNTIF(I1848,"52*")&gt;0,COUNTIF(J1848,"*52*")&gt;0,COUNTIF(I1848,"55*")&gt;0,COUNTIF(J1848,"*55*")&gt;0,COUNTIF(I1848,"56*")&gt;0,COUNTIF(J1848,"*56*")&gt;0,COUNTIF(I1848,"68*")&gt;0,COUNTIF(J1848,"*68*")&gt;0,COUNTIF(I1848,"78*")&gt;0,COUNTIF(J1848,"*78*")&gt;0,COUNTIF(I1848,"81*")&gt;0,COUNTIF(J1848,"*81*")&gt;0,COUNTIF(I1848,"82*")&gt;0,COUNTIF(J1848,"*82*")&gt;0,COUNTIF(I1848,"64*")&gt;0,COUNTIF(J1848,"*64*")&gt;0,COUNTIF(I1848,"65*")&gt;0,COUNTIF(J1848,"*65*")&gt;0,COUNTIF(I1848,"66*")&gt;0,COUNTIF(J1848,"*66*")&gt;0,COUNTIF(I1848,"61*")&gt;0,COUNTIF(J1848,"*61*")&gt;0,COUNTIF(I1848,"62*")&gt;0,COUNTIF(J1848,"*62*")&gt;0,COUNTIF(I1848,"63*")&gt;0,COUNTIF(J1848,"*63*")&gt;0,COUNTIF(I1848,"85*")&gt;0,COUNTIF(J1848,"*85*")&gt;0,COUNTIF(I1848,"86*")&gt;0,COUNTIF(J1848,"*86*")&gt;0),"Да","Нет"))</f>
        <v/>
      </c>
      <c r="M1848" s="13">
        <f>IF(OR(G1848="",L1848&lt;&gt;"Да"),"",IF(G1848&lt;=100,"До 100",IF(G1848&lt;=200,"До 200",IF(G1848&lt;=500,"До 500","Отдельное КП"))))</f>
        <v/>
      </c>
      <c r="N1848" s="15">
        <f>IF(OR(G1848="",L1848&lt;&gt;"Да"),"",IF(G1848&lt;=100,33600,IF(G1848&lt;=200,62400,IF(G1848&lt;=500,144000,""))))</f>
        <v/>
      </c>
      <c r="O1848" s="16">
        <f>IF(G1848="","",IF(G1848&lt;=15,"1–15",IF(G1848&lt;=30,"16–30",IF(G1848&lt;=50,"31–50",IF(G1848&lt;=100,"51–100",IF(G1848&lt;=150,"101–150",IF(G1848&lt;=200,"151–200",IF(G1848&lt;=500,"201–500","500+"))))))))</f>
        <v/>
      </c>
      <c r="P1848" s="16" t="inlineStr">
        <is>
          <t>Нет совпадения в предоставленной выгрузке ССЧР</t>
        </is>
      </c>
      <c r="Q1848" s="16" t="n"/>
      <c r="R1848" s="16">
        <f>HYPERLINK("https://checko.ru/search?query=3801001629","Чекко: проверить")</f>
        <v/>
      </c>
      <c r="S1848" t="n">
        <v>0</v>
      </c>
    </row>
    <row r="1849" ht="27.75" customHeight="1" s="24">
      <c r="A1849" s="13" t="n">
        <v>5000095093</v>
      </c>
      <c r="B1849" s="13" t="inlineStr">
        <is>
          <t>Местная администрация сельского поселения Малакановского Прохладненского</t>
        </is>
      </c>
      <c r="C1849" s="13" t="n">
        <v>716000643</v>
      </c>
      <c r="D1849" s="13" t="n"/>
      <c r="E1849" s="13" t="inlineStr">
        <is>
          <t>Не определён</t>
        </is>
      </c>
      <c r="F1849" s="13" t="inlineStr">
        <is>
          <t>716000643</t>
        </is>
      </c>
      <c r="G1849" s="14" t="n"/>
      <c r="H1849" s="14" t="n"/>
      <c r="I1849" s="14" t="n"/>
      <c r="J1849" s="14" t="n"/>
      <c r="K1849" s="13">
        <f>IF(G1849="","",IF(G1849&gt;=22,"Да","Нет"))</f>
        <v/>
      </c>
      <c r="L1849" s="13">
        <f>IF(OR(I1849="",J1849=""),"Не определено",IF(OR(COUNTIF(I1849,"45*")&gt;0,COUNTIF(J1849,"*45*")&gt;0,COUNTIF(I1849,"46*")&gt;0,COUNTIF(J1849,"*46*")&gt;0,COUNTIF(I1849,"47*")&gt;0,COUNTIF(J1849,"*47*")&gt;0,COUNTIF(I1849,"10*")&gt;0,COUNTIF(J1849,"*10*")&gt;0,COUNTIF(I1849,"11*")&gt;0,COUNTIF(J1849,"*11*")&gt;0,COUNTIF(I1849,"12*")&gt;0,COUNTIF(J1849,"*12*")&gt;0,COUNTIF(I1849,"13*")&gt;0,COUNTIF(J1849,"*13*")&gt;0,COUNTIF(I1849,"14*")&gt;0,COUNTIF(J1849,"*14*")&gt;0,COUNTIF(I1849,"15*")&gt;0,COUNTIF(J1849,"*15*")&gt;0,COUNTIF(I1849,"16*")&gt;0,COUNTIF(J1849,"*16*")&gt;0,COUNTIF(I1849,"17*")&gt;0,COUNTIF(J1849,"*17*")&gt;0,COUNTIF(I1849,"18*")&gt;0,COUNTIF(J1849,"*18*")&gt;0,COUNTIF(I1849,"19*")&gt;0,COUNTIF(J1849,"*19*")&gt;0,COUNTIF(I1849,"20*")&gt;0,COUNTIF(J1849,"*20*")&gt;0,COUNTIF(I1849,"21*")&gt;0,COUNTIF(J1849,"*21*")&gt;0,COUNTIF(I1849,"22*")&gt;0,COUNTIF(J1849,"*22*")&gt;0,COUNTIF(I1849,"23*")&gt;0,COUNTIF(J1849,"*23*")&gt;0,COUNTIF(I1849,"24*")&gt;0,COUNTIF(J1849,"*24*")&gt;0,COUNTIF(I1849,"25*")&gt;0,COUNTIF(J1849,"*25*")&gt;0,COUNTIF(I1849,"26*")&gt;0,COUNTIF(J1849,"*26*")&gt;0,COUNTIF(I1849,"27*")&gt;0,COUNTIF(J1849,"*27*")&gt;0,COUNTIF(I1849,"28*")&gt;0,COUNTIF(J1849,"*28*")&gt;0,COUNTIF(I1849,"29*")&gt;0,COUNTIF(J1849,"*29*")&gt;0,COUNTIF(I1849,"30*")&gt;0,COUNTIF(J1849,"*30*")&gt;0,COUNTIF(I1849,"31*")&gt;0,COUNTIF(J1849,"*31*")&gt;0,COUNTIF(I1849,"32*")&gt;0,COUNTIF(J1849,"*32*")&gt;0,COUNTIF(I1849,"33*")&gt;0,COUNTIF(J1849,"*33*")&gt;0,COUNTIF(I1849,"41*")&gt;0,COUNTIF(J1849,"*41*")&gt;0,COUNTIF(I1849,"42*")&gt;0,COUNTIF(J1849,"*42*")&gt;0,COUNTIF(I1849,"43*")&gt;0,COUNTIF(J1849,"*43*")&gt;0,COUNTIF(I1849,"49*")&gt;0,COUNTIF(J1849,"*49*")&gt;0,COUNTIF(I1849,"52*")&gt;0,COUNTIF(J1849,"*52*")&gt;0,COUNTIF(I1849,"55*")&gt;0,COUNTIF(J1849,"*55*")&gt;0,COUNTIF(I1849,"56*")&gt;0,COUNTIF(J1849,"*56*")&gt;0,COUNTIF(I1849,"68*")&gt;0,COUNTIF(J1849,"*68*")&gt;0,COUNTIF(I1849,"78*")&gt;0,COUNTIF(J1849,"*78*")&gt;0,COUNTIF(I1849,"81*")&gt;0,COUNTIF(J1849,"*81*")&gt;0,COUNTIF(I1849,"82*")&gt;0,COUNTIF(J1849,"*82*")&gt;0,COUNTIF(I1849,"64*")&gt;0,COUNTIF(J1849,"*64*")&gt;0,COUNTIF(I1849,"65*")&gt;0,COUNTIF(J1849,"*65*")&gt;0,COUNTIF(I1849,"66*")&gt;0,COUNTIF(J1849,"*66*")&gt;0,COUNTIF(I1849,"61*")&gt;0,COUNTIF(J1849,"*61*")&gt;0,COUNTIF(I1849,"62*")&gt;0,COUNTIF(J1849,"*62*")&gt;0,COUNTIF(I1849,"63*")&gt;0,COUNTIF(J1849,"*63*")&gt;0,COUNTIF(I1849,"85*")&gt;0,COUNTIF(J1849,"*85*")&gt;0,COUNTIF(I1849,"86*")&gt;0,COUNTIF(J1849,"*86*")&gt;0),"Да","Нет"))</f>
        <v/>
      </c>
      <c r="M1849" s="13">
        <f>IF(OR(G1849="",L1849&lt;&gt;"Да"),"",IF(G1849&lt;=100,"До 100",IF(G1849&lt;=200,"До 200",IF(G1849&lt;=500,"До 500","Отдельное КП"))))</f>
        <v/>
      </c>
      <c r="N1849" s="15">
        <f>IF(OR(G1849="",L1849&lt;&gt;"Да"),"",IF(G1849&lt;=100,33600,IF(G1849&lt;=200,62400,IF(G1849&lt;=500,144000,""))))</f>
        <v/>
      </c>
      <c r="O1849" s="16">
        <f>IF(G1849="","",IF(G1849&lt;=15,"1–15",IF(G1849&lt;=30,"16–30",IF(G1849&lt;=50,"31–50",IF(G1849&lt;=100,"51–100",IF(G1849&lt;=150,"101–150",IF(G1849&lt;=200,"151–200",IF(G1849&lt;=500,"201–500","500+"))))))))</f>
        <v/>
      </c>
      <c r="P1849" s="16" t="inlineStr">
        <is>
          <t>Нет совпадения в предоставленной выгрузке ССЧР</t>
        </is>
      </c>
      <c r="Q1849" s="16" t="n"/>
      <c r="R1849" s="16">
        <f>HYPERLINK("https://checko.ru/search?query=3801001629","Чекко: проверить")</f>
        <v/>
      </c>
      <c r="S1849" t="n">
        <v>0</v>
      </c>
    </row>
    <row r="1850" ht="15" customHeight="1" s="24">
      <c r="A1850" s="13" t="n">
        <v>5000094639</v>
      </c>
      <c r="B1850" s="13" t="inlineStr">
        <is>
          <t>МКОУ ООШ №1 С.П.ПЛАНОВСКОЕ</t>
        </is>
      </c>
      <c r="C1850" s="13" t="n">
        <v>705002328</v>
      </c>
      <c r="D1850" s="13" t="n"/>
      <c r="E1850" s="13" t="inlineStr">
        <is>
          <t>Не определён</t>
        </is>
      </c>
      <c r="F1850" s="13" t="inlineStr">
        <is>
          <t>705002328</t>
        </is>
      </c>
      <c r="G1850" s="14" t="n"/>
      <c r="H1850" s="14" t="n"/>
      <c r="I1850" s="14" t="n"/>
      <c r="J1850" s="14" t="n"/>
      <c r="K1850" s="13">
        <f>IF(G1850="","",IF(G1850&gt;=22,"Да","Нет"))</f>
        <v/>
      </c>
      <c r="L1850" s="13">
        <f>IF(OR(I1850="",J1850=""),"Не определено",IF(OR(COUNTIF(I1850,"45*")&gt;0,COUNTIF(J1850,"*45*")&gt;0,COUNTIF(I1850,"46*")&gt;0,COUNTIF(J1850,"*46*")&gt;0,COUNTIF(I1850,"47*")&gt;0,COUNTIF(J1850,"*47*")&gt;0,COUNTIF(I1850,"10*")&gt;0,COUNTIF(J1850,"*10*")&gt;0,COUNTIF(I1850,"11*")&gt;0,COUNTIF(J1850,"*11*")&gt;0,COUNTIF(I1850,"12*")&gt;0,COUNTIF(J1850,"*12*")&gt;0,COUNTIF(I1850,"13*")&gt;0,COUNTIF(J1850,"*13*")&gt;0,COUNTIF(I1850,"14*")&gt;0,COUNTIF(J1850,"*14*")&gt;0,COUNTIF(I1850,"15*")&gt;0,COUNTIF(J1850,"*15*")&gt;0,COUNTIF(I1850,"16*")&gt;0,COUNTIF(J1850,"*16*")&gt;0,COUNTIF(I1850,"17*")&gt;0,COUNTIF(J1850,"*17*")&gt;0,COUNTIF(I1850,"18*")&gt;0,COUNTIF(J1850,"*18*")&gt;0,COUNTIF(I1850,"19*")&gt;0,COUNTIF(J1850,"*19*")&gt;0,COUNTIF(I1850,"20*")&gt;0,COUNTIF(J1850,"*20*")&gt;0,COUNTIF(I1850,"21*")&gt;0,COUNTIF(J1850,"*21*")&gt;0,COUNTIF(I1850,"22*")&gt;0,COUNTIF(J1850,"*22*")&gt;0,COUNTIF(I1850,"23*")&gt;0,COUNTIF(J1850,"*23*")&gt;0,COUNTIF(I1850,"24*")&gt;0,COUNTIF(J1850,"*24*")&gt;0,COUNTIF(I1850,"25*")&gt;0,COUNTIF(J1850,"*25*")&gt;0,COUNTIF(I1850,"26*")&gt;0,COUNTIF(J1850,"*26*")&gt;0,COUNTIF(I1850,"27*")&gt;0,COUNTIF(J1850,"*27*")&gt;0,COUNTIF(I1850,"28*")&gt;0,COUNTIF(J1850,"*28*")&gt;0,COUNTIF(I1850,"29*")&gt;0,COUNTIF(J1850,"*29*")&gt;0,COUNTIF(I1850,"30*")&gt;0,COUNTIF(J1850,"*30*")&gt;0,COUNTIF(I1850,"31*")&gt;0,COUNTIF(J1850,"*31*")&gt;0,COUNTIF(I1850,"32*")&gt;0,COUNTIF(J1850,"*32*")&gt;0,COUNTIF(I1850,"33*")&gt;0,COUNTIF(J1850,"*33*")&gt;0,COUNTIF(I1850,"41*")&gt;0,COUNTIF(J1850,"*41*")&gt;0,COUNTIF(I1850,"42*")&gt;0,COUNTIF(J1850,"*42*")&gt;0,COUNTIF(I1850,"43*")&gt;0,COUNTIF(J1850,"*43*")&gt;0,COUNTIF(I1850,"49*")&gt;0,COUNTIF(J1850,"*49*")&gt;0,COUNTIF(I1850,"52*")&gt;0,COUNTIF(J1850,"*52*")&gt;0,COUNTIF(I1850,"55*")&gt;0,COUNTIF(J1850,"*55*")&gt;0,COUNTIF(I1850,"56*")&gt;0,COUNTIF(J1850,"*56*")&gt;0,COUNTIF(I1850,"68*")&gt;0,COUNTIF(J1850,"*68*")&gt;0,COUNTIF(I1850,"78*")&gt;0,COUNTIF(J1850,"*78*")&gt;0,COUNTIF(I1850,"81*")&gt;0,COUNTIF(J1850,"*81*")&gt;0,COUNTIF(I1850,"82*")&gt;0,COUNTIF(J1850,"*82*")&gt;0,COUNTIF(I1850,"64*")&gt;0,COUNTIF(J1850,"*64*")&gt;0,COUNTIF(I1850,"65*")&gt;0,COUNTIF(J1850,"*65*")&gt;0,COUNTIF(I1850,"66*")&gt;0,COUNTIF(J1850,"*66*")&gt;0,COUNTIF(I1850,"61*")&gt;0,COUNTIF(J1850,"*61*")&gt;0,COUNTIF(I1850,"62*")&gt;0,COUNTIF(J1850,"*62*")&gt;0,COUNTIF(I1850,"63*")&gt;0,COUNTIF(J1850,"*63*")&gt;0,COUNTIF(I1850,"85*")&gt;0,COUNTIF(J1850,"*85*")&gt;0,COUNTIF(I1850,"86*")&gt;0,COUNTIF(J1850,"*86*")&gt;0),"Да","Нет"))</f>
        <v/>
      </c>
      <c r="M1850" s="13">
        <f>IF(OR(G1850="",L1850&lt;&gt;"Да"),"",IF(G1850&lt;=100,"До 100",IF(G1850&lt;=200,"До 200",IF(G1850&lt;=500,"До 500","Отдельное КП"))))</f>
        <v/>
      </c>
      <c r="N1850" s="15">
        <f>IF(OR(G1850="",L1850&lt;&gt;"Да"),"",IF(G1850&lt;=100,33600,IF(G1850&lt;=200,62400,IF(G1850&lt;=500,144000,""))))</f>
        <v/>
      </c>
      <c r="O1850" s="16">
        <f>IF(G1850="","",IF(G1850&lt;=15,"1–15",IF(G1850&lt;=30,"16–30",IF(G1850&lt;=50,"31–50",IF(G1850&lt;=100,"51–100",IF(G1850&lt;=150,"101–150",IF(G1850&lt;=200,"151–200",IF(G1850&lt;=500,"201–500","500+"))))))))</f>
        <v/>
      </c>
      <c r="P1850" s="16" t="inlineStr">
        <is>
          <t>Нет совпадения в предоставленной выгрузке ССЧР</t>
        </is>
      </c>
      <c r="Q1850" s="16" t="n"/>
      <c r="R1850" s="16">
        <f>HYPERLINK("https://checko.ru/search?query=3801001629","Чекко: проверить")</f>
        <v/>
      </c>
      <c r="S1850" t="n">
        <v>0</v>
      </c>
    </row>
    <row r="1851" ht="41.25" customHeight="1" s="24">
      <c r="A1851" s="13" t="n">
        <v>5000075697</v>
      </c>
      <c r="B1851" s="13" t="inlineStr">
        <is>
          <t>Министерство экономического развития, промышленной политики и торговли Оренбургской области</t>
        </is>
      </c>
      <c r="C1851" s="13" t="n">
        <v>5610128360</v>
      </c>
      <c r="D1851" s="13" t="inlineStr">
        <is>
          <t>5610128360</t>
        </is>
      </c>
      <c r="E1851" s="13" t="inlineStr">
        <is>
          <t>ЮЛ РФ</t>
        </is>
      </c>
      <c r="F1851" s="13" t="n"/>
      <c r="G1851" s="14" t="n"/>
      <c r="H1851" s="14" t="n"/>
      <c r="I1851" s="14" t="n"/>
      <c r="J1851" s="14" t="n"/>
      <c r="K1851" s="53" t="inlineStr"/>
      <c r="L1851" s="53" t="inlineStr">
        <is>
          <t>Не определено</t>
        </is>
      </c>
      <c r="M1851" s="53" t="inlineStr"/>
      <c r="N1851" s="54" t="inlineStr"/>
      <c r="O1851" s="55" t="inlineStr"/>
      <c r="P1851" s="16" t="inlineStr">
        <is>
          <t>Требует обогащения</t>
        </is>
      </c>
      <c r="Q1851" s="16">
        <f>HYPERLINK("https://pb.nalog.ru/search.html?query=5610128360","ФНС: проверить")</f>
        <v/>
      </c>
      <c r="R1851" s="16">
        <f>HYPERLINK("https://checko.ru/search?query=3801001629","Чекко: проверить")</f>
        <v/>
      </c>
      <c r="S1851" t="n">
        <v>1</v>
      </c>
      <c r="T1851" s="35" t="inlineStr">
        <is>
          <t>4 — Не обогащён</t>
        </is>
      </c>
      <c r="U1851" s="35" t="inlineStr">
        <is>
          <t>Нет ОКВЭД/ССЧР</t>
        </is>
      </c>
      <c r="V1851" s="35" t="inlineStr">
        <is>
          <t>Не определено</t>
        </is>
      </c>
      <c r="W1851" s="35" t="inlineStr"/>
      <c r="X1851" s="35" t="inlineStr"/>
    </row>
    <row r="1852" ht="15" customHeight="1" s="24">
      <c r="A1852" s="13" t="n">
        <v>5000038529</v>
      </c>
      <c r="B1852" s="13" t="inlineStr">
        <is>
          <t>ОбГУ "МедиаЦентр"</t>
        </is>
      </c>
      <c r="C1852" s="13" t="n">
        <v>7325043842</v>
      </c>
      <c r="D1852" s="13" t="inlineStr">
        <is>
          <t>7325043842</t>
        </is>
      </c>
      <c r="E1852" s="13" t="inlineStr">
        <is>
          <t>ЮЛ РФ</t>
        </is>
      </c>
      <c r="F1852" s="13" t="n"/>
      <c r="G1852" s="14" t="n"/>
      <c r="H1852" s="14" t="n"/>
      <c r="I1852" s="14" t="n"/>
      <c r="J1852" s="14" t="n"/>
      <c r="K1852" s="53" t="inlineStr"/>
      <c r="L1852" s="53" t="inlineStr">
        <is>
          <t>Не определено</t>
        </is>
      </c>
      <c r="M1852" s="53" t="inlineStr"/>
      <c r="N1852" s="54" t="inlineStr"/>
      <c r="O1852" s="55" t="inlineStr"/>
      <c r="P1852" s="16" t="inlineStr">
        <is>
          <t>Требует обогащения</t>
        </is>
      </c>
      <c r="Q1852" s="16">
        <f>HYPERLINK("https://pb.nalog.ru/search.html?query=7325043842","ФНС: проверить")</f>
        <v/>
      </c>
      <c r="R1852" s="16">
        <f>HYPERLINK("https://checko.ru/search?query=3801001629","Чекко: проверить")</f>
        <v/>
      </c>
      <c r="S1852" t="n">
        <v>1</v>
      </c>
      <c r="T1852" s="35" t="inlineStr">
        <is>
          <t>4 — Не обогащён</t>
        </is>
      </c>
      <c r="U1852" s="35" t="inlineStr">
        <is>
          <t>Нет ОКВЭД/ССЧР</t>
        </is>
      </c>
      <c r="V1852" s="35" t="inlineStr">
        <is>
          <t>Не определено</t>
        </is>
      </c>
      <c r="W1852" s="35" t="inlineStr"/>
      <c r="X1852" s="35" t="inlineStr"/>
    </row>
    <row r="1853" ht="27.75" customHeight="1" s="24">
      <c r="A1853" s="13" t="n">
        <v>5000102988</v>
      </c>
      <c r="B1853" s="13" t="inlineStr">
        <is>
          <t>Отдел по Регулированию Контрактной Системы в Сфере Закупок Администрации Города Черемхово</t>
        </is>
      </c>
      <c r="C1853" s="13" t="n">
        <v>3801155330</v>
      </c>
      <c r="D1853" s="13" t="inlineStr">
        <is>
          <t>3801155330</t>
        </is>
      </c>
      <c r="E1853" s="13" t="inlineStr">
        <is>
          <t>ЮЛ РФ</t>
        </is>
      </c>
      <c r="F1853" s="13" t="n"/>
      <c r="G1853" s="14" t="n"/>
      <c r="H1853" s="14" t="n"/>
      <c r="I1853" s="14" t="n"/>
      <c r="J1853" s="14" t="n"/>
      <c r="K1853" s="53" t="inlineStr"/>
      <c r="L1853" s="53" t="inlineStr">
        <is>
          <t>Не определено</t>
        </is>
      </c>
      <c r="M1853" s="53" t="inlineStr"/>
      <c r="N1853" s="54" t="inlineStr"/>
      <c r="O1853" s="55" t="inlineStr"/>
      <c r="P1853" s="16" t="inlineStr">
        <is>
          <t>Требует обогащения</t>
        </is>
      </c>
      <c r="Q1853" s="16">
        <f>HYPERLINK("https://pb.nalog.ru/search.html?query=3801155330","ФНС: проверить")</f>
        <v/>
      </c>
      <c r="R1853" s="16">
        <f>HYPERLINK("https://checko.ru/search?query=3801001629","Чекко: проверить")</f>
        <v/>
      </c>
      <c r="S1853" t="n">
        <v>1</v>
      </c>
      <c r="T1853" s="35" t="inlineStr">
        <is>
          <t>4 — Не обогащён</t>
        </is>
      </c>
      <c r="U1853" s="35" t="inlineStr">
        <is>
          <t>Нет ОКВЭД/ССЧР</t>
        </is>
      </c>
      <c r="V1853" s="35" t="inlineStr">
        <is>
          <t>Не определено</t>
        </is>
      </c>
      <c r="W1853" s="35" t="inlineStr"/>
      <c r="X1853" s="35" t="inlineStr"/>
    </row>
    <row r="1854" ht="15" customHeight="1" s="24">
      <c r="A1854" s="13" t="n">
        <v>5000095031</v>
      </c>
      <c r="B1854" s="13" t="inlineStr">
        <is>
          <t>МКОУ "СОШ №31 Им. Нури Цагова"</t>
        </is>
      </c>
      <c r="C1854" s="13" t="n">
        <v>711039911</v>
      </c>
      <c r="D1854" s="13" t="n"/>
      <c r="E1854" s="13" t="inlineStr">
        <is>
          <t>Не определён</t>
        </is>
      </c>
      <c r="F1854" s="13" t="inlineStr">
        <is>
          <t>711039911</t>
        </is>
      </c>
      <c r="G1854" s="14" t="n"/>
      <c r="H1854" s="14" t="n"/>
      <c r="I1854" s="14" t="n"/>
      <c r="J1854" s="14" t="n"/>
      <c r="K1854" s="13">
        <f>IF(G1854="","",IF(G1854&gt;=22,"Да","Нет"))</f>
        <v/>
      </c>
      <c r="L1854" s="13">
        <f>IF(OR(I1854="",J1854=""),"Не определено",IF(OR(COUNTIF(I1854,"45*")&gt;0,COUNTIF(J1854,"*45*")&gt;0,COUNTIF(I1854,"46*")&gt;0,COUNTIF(J1854,"*46*")&gt;0,COUNTIF(I1854,"47*")&gt;0,COUNTIF(J1854,"*47*")&gt;0,COUNTIF(I1854,"10*")&gt;0,COUNTIF(J1854,"*10*")&gt;0,COUNTIF(I1854,"11*")&gt;0,COUNTIF(J1854,"*11*")&gt;0,COUNTIF(I1854,"12*")&gt;0,COUNTIF(J1854,"*12*")&gt;0,COUNTIF(I1854,"13*")&gt;0,COUNTIF(J1854,"*13*")&gt;0,COUNTIF(I1854,"14*")&gt;0,COUNTIF(J1854,"*14*")&gt;0,COUNTIF(I1854,"15*")&gt;0,COUNTIF(J1854,"*15*")&gt;0,COUNTIF(I1854,"16*")&gt;0,COUNTIF(J1854,"*16*")&gt;0,COUNTIF(I1854,"17*")&gt;0,COUNTIF(J1854,"*17*")&gt;0,COUNTIF(I1854,"18*")&gt;0,COUNTIF(J1854,"*18*")&gt;0,COUNTIF(I1854,"19*")&gt;0,COUNTIF(J1854,"*19*")&gt;0,COUNTIF(I1854,"20*")&gt;0,COUNTIF(J1854,"*20*")&gt;0,COUNTIF(I1854,"21*")&gt;0,COUNTIF(J1854,"*21*")&gt;0,COUNTIF(I1854,"22*")&gt;0,COUNTIF(J1854,"*22*")&gt;0,COUNTIF(I1854,"23*")&gt;0,COUNTIF(J1854,"*23*")&gt;0,COUNTIF(I1854,"24*")&gt;0,COUNTIF(J1854,"*24*")&gt;0,COUNTIF(I1854,"25*")&gt;0,COUNTIF(J1854,"*25*")&gt;0,COUNTIF(I1854,"26*")&gt;0,COUNTIF(J1854,"*26*")&gt;0,COUNTIF(I1854,"27*")&gt;0,COUNTIF(J1854,"*27*")&gt;0,COUNTIF(I1854,"28*")&gt;0,COUNTIF(J1854,"*28*")&gt;0,COUNTIF(I1854,"29*")&gt;0,COUNTIF(J1854,"*29*")&gt;0,COUNTIF(I1854,"30*")&gt;0,COUNTIF(J1854,"*30*")&gt;0,COUNTIF(I1854,"31*")&gt;0,COUNTIF(J1854,"*31*")&gt;0,COUNTIF(I1854,"32*")&gt;0,COUNTIF(J1854,"*32*")&gt;0,COUNTIF(I1854,"33*")&gt;0,COUNTIF(J1854,"*33*")&gt;0,COUNTIF(I1854,"41*")&gt;0,COUNTIF(J1854,"*41*")&gt;0,COUNTIF(I1854,"42*")&gt;0,COUNTIF(J1854,"*42*")&gt;0,COUNTIF(I1854,"43*")&gt;0,COUNTIF(J1854,"*43*")&gt;0,COUNTIF(I1854,"49*")&gt;0,COUNTIF(J1854,"*49*")&gt;0,COUNTIF(I1854,"52*")&gt;0,COUNTIF(J1854,"*52*")&gt;0,COUNTIF(I1854,"55*")&gt;0,COUNTIF(J1854,"*55*")&gt;0,COUNTIF(I1854,"56*")&gt;0,COUNTIF(J1854,"*56*")&gt;0,COUNTIF(I1854,"68*")&gt;0,COUNTIF(J1854,"*68*")&gt;0,COUNTIF(I1854,"78*")&gt;0,COUNTIF(J1854,"*78*")&gt;0,COUNTIF(I1854,"81*")&gt;0,COUNTIF(J1854,"*81*")&gt;0,COUNTIF(I1854,"82*")&gt;0,COUNTIF(J1854,"*82*")&gt;0,COUNTIF(I1854,"64*")&gt;0,COUNTIF(J1854,"*64*")&gt;0,COUNTIF(I1854,"65*")&gt;0,COUNTIF(J1854,"*65*")&gt;0,COUNTIF(I1854,"66*")&gt;0,COUNTIF(J1854,"*66*")&gt;0,COUNTIF(I1854,"61*")&gt;0,COUNTIF(J1854,"*61*")&gt;0,COUNTIF(I1854,"62*")&gt;0,COUNTIF(J1854,"*62*")&gt;0,COUNTIF(I1854,"63*")&gt;0,COUNTIF(J1854,"*63*")&gt;0,COUNTIF(I1854,"85*")&gt;0,COUNTIF(J1854,"*85*")&gt;0,COUNTIF(I1854,"86*")&gt;0,COUNTIF(J1854,"*86*")&gt;0),"Да","Нет"))</f>
        <v/>
      </c>
      <c r="M1854" s="13">
        <f>IF(OR(G1854="",L1854&lt;&gt;"Да"),"",IF(G1854&lt;=100,"До 100",IF(G1854&lt;=200,"До 200",IF(G1854&lt;=500,"До 500","Отдельное КП"))))</f>
        <v/>
      </c>
      <c r="N1854" s="15">
        <f>IF(OR(G1854="",L1854&lt;&gt;"Да"),"",IF(G1854&lt;=100,33600,IF(G1854&lt;=200,62400,IF(G1854&lt;=500,144000,""))))</f>
        <v/>
      </c>
      <c r="O1854" s="16">
        <f>IF(G1854="","",IF(G1854&lt;=15,"1–15",IF(G1854&lt;=30,"16–30",IF(G1854&lt;=50,"31–50",IF(G1854&lt;=100,"51–100",IF(G1854&lt;=150,"101–150",IF(G1854&lt;=200,"151–200",IF(G1854&lt;=500,"201–500","500+"))))))))</f>
        <v/>
      </c>
      <c r="P1854" s="16" t="inlineStr">
        <is>
          <t>Нет совпадения в предоставленной выгрузке ССЧР</t>
        </is>
      </c>
      <c r="Q1854" s="16" t="n"/>
      <c r="R1854" s="16">
        <f>HYPERLINK("https://checko.ru/search?query=3801001629","Чекко: проверить")</f>
        <v/>
      </c>
      <c r="S1854" t="n">
        <v>0</v>
      </c>
    </row>
    <row r="1855" ht="27.75" customHeight="1" s="24">
      <c r="A1855" s="13" t="n">
        <v>5000001523</v>
      </c>
      <c r="B1855" s="13" t="inlineStr">
        <is>
          <t>ОБГКУ "ЦЕНТР ТРАНСПОРТА ИРКУТСКОЙ ОБЛАСТИ"</t>
        </is>
      </c>
      <c r="C1855" s="13" t="n">
        <v>3808224462</v>
      </c>
      <c r="D1855" s="13" t="inlineStr">
        <is>
          <t>3808224462</t>
        </is>
      </c>
      <c r="E1855" s="13" t="inlineStr">
        <is>
          <t>ЮЛ РФ</t>
        </is>
      </c>
      <c r="F1855" s="13" t="n"/>
      <c r="G1855" s="14" t="n"/>
      <c r="H1855" s="14" t="n"/>
      <c r="I1855" s="14" t="n"/>
      <c r="J1855" s="14" t="n"/>
      <c r="K1855" s="53" t="inlineStr"/>
      <c r="L1855" s="53" t="inlineStr">
        <is>
          <t>Не определено</t>
        </is>
      </c>
      <c r="M1855" s="53" t="inlineStr"/>
      <c r="N1855" s="54" t="inlineStr"/>
      <c r="O1855" s="55" t="inlineStr"/>
      <c r="P1855" s="16" t="inlineStr">
        <is>
          <t>Требует обогащения</t>
        </is>
      </c>
      <c r="Q1855" s="16">
        <f>HYPERLINK("https://pb.nalog.ru/search.html?query=3808224462","ФНС: проверить")</f>
        <v/>
      </c>
      <c r="R1855" s="16">
        <f>HYPERLINK("https://checko.ru/search?query=3801001629","Чекко: проверить")</f>
        <v/>
      </c>
      <c r="S1855" t="n">
        <v>1</v>
      </c>
      <c r="T1855" s="35" t="inlineStr">
        <is>
          <t>4 — Не обогащён</t>
        </is>
      </c>
      <c r="U1855" s="35" t="inlineStr">
        <is>
          <t>Нет ОКВЭД/ССЧР</t>
        </is>
      </c>
      <c r="V1855" s="35" t="inlineStr">
        <is>
          <t>Не определено</t>
        </is>
      </c>
      <c r="W1855" s="35" t="inlineStr"/>
      <c r="X1855" s="35" t="inlineStr"/>
    </row>
    <row r="1856" ht="15" customHeight="1" s="24">
      <c r="A1856" s="13" t="n">
        <v>5000001475</v>
      </c>
      <c r="B1856" s="13" t="inlineStr">
        <is>
          <t>ОбГКУ «Молодёжный кадровый центр»</t>
        </is>
      </c>
      <c r="C1856" s="13" t="n">
        <v>3808065163</v>
      </c>
      <c r="D1856" s="13" t="inlineStr">
        <is>
          <t>3808065163</t>
        </is>
      </c>
      <c r="E1856" s="13" t="inlineStr">
        <is>
          <t>ЮЛ РФ</t>
        </is>
      </c>
      <c r="F1856" s="13" t="n"/>
      <c r="G1856" s="14" t="n"/>
      <c r="H1856" s="14" t="n"/>
      <c r="I1856" s="14" t="n"/>
      <c r="J1856" s="14" t="n"/>
      <c r="K1856" s="53" t="inlineStr"/>
      <c r="L1856" s="53" t="inlineStr">
        <is>
          <t>Не определено</t>
        </is>
      </c>
      <c r="M1856" s="53" t="inlineStr"/>
      <c r="N1856" s="54" t="inlineStr"/>
      <c r="O1856" s="55" t="inlineStr"/>
      <c r="P1856" s="16" t="inlineStr">
        <is>
          <t>Требует обогащения</t>
        </is>
      </c>
      <c r="Q1856" s="16">
        <f>HYPERLINK("https://pb.nalog.ru/search.html?query=3808065163","ФНС: проверить")</f>
        <v/>
      </c>
      <c r="R1856" s="16">
        <f>HYPERLINK("https://checko.ru/search?query=3801001629","Чекко: проверить")</f>
        <v/>
      </c>
      <c r="S1856" t="n">
        <v>1</v>
      </c>
      <c r="T1856" s="35" t="inlineStr">
        <is>
          <t>4 — Не обогащён</t>
        </is>
      </c>
      <c r="U1856" s="35" t="inlineStr">
        <is>
          <t>Нет ОКВЭД/ССЧР</t>
        </is>
      </c>
      <c r="V1856" s="35" t="inlineStr">
        <is>
          <t>Не определено</t>
        </is>
      </c>
      <c r="W1856" s="35" t="inlineStr"/>
      <c r="X1856" s="35" t="inlineStr"/>
    </row>
    <row r="1857" ht="15" customHeight="1" s="24">
      <c r="A1857" s="13" t="n">
        <v>5000008585</v>
      </c>
      <c r="B1857" s="13" t="inlineStr">
        <is>
          <t>УФССП России по Ивановской области</t>
        </is>
      </c>
      <c r="C1857" s="13" t="n">
        <v>3702065237</v>
      </c>
      <c r="D1857" s="13" t="inlineStr">
        <is>
          <t>3702065237</t>
        </is>
      </c>
      <c r="E1857" s="13" t="inlineStr">
        <is>
          <t>ЮЛ РФ</t>
        </is>
      </c>
      <c r="F1857" s="13" t="n"/>
      <c r="G1857" s="14" t="n"/>
      <c r="H1857" s="14" t="n"/>
      <c r="I1857" s="14" t="n"/>
      <c r="J1857" s="14" t="n"/>
      <c r="K1857" s="53" t="inlineStr"/>
      <c r="L1857" s="53" t="inlineStr">
        <is>
          <t>Не определено</t>
        </is>
      </c>
      <c r="M1857" s="53" t="inlineStr"/>
      <c r="N1857" s="54" t="inlineStr"/>
      <c r="O1857" s="55" t="inlineStr"/>
      <c r="P1857" s="16" t="inlineStr">
        <is>
          <t>Требует обогащения</t>
        </is>
      </c>
      <c r="Q1857" s="16">
        <f>HYPERLINK("https://pb.nalog.ru/search.html?query=3702065237","ФНС: проверить")</f>
        <v/>
      </c>
      <c r="R1857" s="16">
        <f>HYPERLINK("https://checko.ru/search?query=3801001629","Чекко: проверить")</f>
        <v/>
      </c>
      <c r="S1857" t="n">
        <v>1</v>
      </c>
      <c r="T1857" s="35" t="inlineStr">
        <is>
          <t>4 — Не обогащён</t>
        </is>
      </c>
      <c r="U1857" s="35" t="inlineStr">
        <is>
          <t>Нет ОКВЭД/ССЧР</t>
        </is>
      </c>
      <c r="V1857" s="35" t="inlineStr">
        <is>
          <t>Не определено</t>
        </is>
      </c>
      <c r="W1857" s="35" t="inlineStr"/>
      <c r="X1857" s="35" t="inlineStr"/>
    </row>
    <row r="1858" ht="27.75" customHeight="1" s="24">
      <c r="A1858" s="13" t="n">
        <v>5000001647</v>
      </c>
      <c r="B1858" s="13" t="inlineStr">
        <is>
          <t>ГБУЗ «Областная детская туберкулезная больница»</t>
        </is>
      </c>
      <c r="C1858" s="13" t="n">
        <v>3811052319</v>
      </c>
      <c r="D1858" s="13" t="inlineStr">
        <is>
          <t>3811052319</t>
        </is>
      </c>
      <c r="E1858" s="13" t="inlineStr">
        <is>
          <t>ЮЛ РФ</t>
        </is>
      </c>
      <c r="F1858" s="13" t="n"/>
      <c r="G1858" s="14" t="n"/>
      <c r="H1858" s="14" t="n"/>
      <c r="I1858" s="14" t="n"/>
      <c r="J1858" s="14" t="n"/>
      <c r="K1858" s="53" t="inlineStr"/>
      <c r="L1858" s="53" t="inlineStr">
        <is>
          <t>Не определено</t>
        </is>
      </c>
      <c r="M1858" s="53" t="inlineStr"/>
      <c r="N1858" s="54" t="inlineStr"/>
      <c r="O1858" s="55" t="inlineStr"/>
      <c r="P1858" s="16" t="inlineStr">
        <is>
          <t>Требует обогащения</t>
        </is>
      </c>
      <c r="Q1858" s="16">
        <f>HYPERLINK("https://pb.nalog.ru/search.html?query=3811052319","ФНС: проверить")</f>
        <v/>
      </c>
      <c r="R1858" s="16">
        <f>HYPERLINK("https://checko.ru/search?query=3801001629","Чекко: проверить")</f>
        <v/>
      </c>
      <c r="S1858" t="n">
        <v>1</v>
      </c>
      <c r="T1858" s="35" t="inlineStr">
        <is>
          <t>4 — Не обогащён</t>
        </is>
      </c>
      <c r="U1858" s="35" t="inlineStr">
        <is>
          <t>Нет ОКВЭД/ССЧР</t>
        </is>
      </c>
      <c r="V1858" s="35" t="inlineStr">
        <is>
          <t>Не определено</t>
        </is>
      </c>
      <c r="W1858" s="35" t="inlineStr"/>
      <c r="X1858" s="35" t="inlineStr"/>
    </row>
    <row r="1859" ht="27.75" customHeight="1" s="24">
      <c r="A1859" s="13" t="n">
        <v>5000001574</v>
      </c>
      <c r="B1859" s="13" t="inlineStr">
        <is>
          <t>ОГБУЗ Иркутский областной психоневрологический диспансер</t>
        </is>
      </c>
      <c r="C1859" s="13" t="n">
        <v>3811032111</v>
      </c>
      <c r="D1859" s="13" t="inlineStr">
        <is>
          <t>3811032111</t>
        </is>
      </c>
      <c r="E1859" s="13" t="inlineStr">
        <is>
          <t>ЮЛ РФ</t>
        </is>
      </c>
      <c r="F1859" s="13" t="n"/>
      <c r="G1859" s="14" t="n"/>
      <c r="H1859" s="14" t="n"/>
      <c r="I1859" s="14" t="n"/>
      <c r="J1859" s="14" t="n"/>
      <c r="K1859" s="53" t="inlineStr"/>
      <c r="L1859" s="53" t="inlineStr">
        <is>
          <t>Не определено</t>
        </is>
      </c>
      <c r="M1859" s="53" t="inlineStr"/>
      <c r="N1859" s="54" t="inlineStr"/>
      <c r="O1859" s="55" t="inlineStr"/>
      <c r="P1859" s="16" t="inlineStr">
        <is>
          <t>Требует обогащения</t>
        </is>
      </c>
      <c r="Q1859" s="16">
        <f>HYPERLINK("https://pb.nalog.ru/search.html?query=3811032111","ФНС: проверить")</f>
        <v/>
      </c>
      <c r="R1859" s="16">
        <f>HYPERLINK("https://checko.ru/search?query=3801001629","Чекко: проверить")</f>
        <v/>
      </c>
      <c r="S1859" t="n">
        <v>1</v>
      </c>
      <c r="T1859" s="35" t="inlineStr">
        <is>
          <t>4 — Не обогащён</t>
        </is>
      </c>
      <c r="U1859" s="35" t="inlineStr">
        <is>
          <t>Нет ОКВЭД/ССЧР</t>
        </is>
      </c>
      <c r="V1859" s="35" t="inlineStr">
        <is>
          <t>Не определено</t>
        </is>
      </c>
      <c r="W1859" s="35" t="inlineStr"/>
      <c r="X1859" s="35" t="inlineStr"/>
    </row>
    <row r="1860" ht="27.75" customHeight="1" s="24">
      <c r="A1860" s="13" t="n">
        <v>5000062536</v>
      </c>
      <c r="B1860" s="13" t="inlineStr">
        <is>
          <t>Министерство здравоохранения Ульяновской области</t>
        </is>
      </c>
      <c r="C1860" s="13" t="n">
        <v>7325000951</v>
      </c>
      <c r="D1860" s="13" t="inlineStr">
        <is>
          <t>7325000951</t>
        </is>
      </c>
      <c r="E1860" s="13" t="inlineStr">
        <is>
          <t>ЮЛ РФ</t>
        </is>
      </c>
      <c r="F1860" s="13" t="n"/>
      <c r="G1860" s="14" t="n"/>
      <c r="H1860" s="14" t="n"/>
      <c r="I1860" s="14" t="n"/>
      <c r="J1860" s="14" t="n"/>
      <c r="K1860" s="53" t="inlineStr"/>
      <c r="L1860" s="53" t="inlineStr">
        <is>
          <t>Не определено</t>
        </is>
      </c>
      <c r="M1860" s="53" t="inlineStr"/>
      <c r="N1860" s="54" t="inlineStr"/>
      <c r="O1860" s="55" t="inlineStr"/>
      <c r="P1860" s="16" t="inlineStr">
        <is>
          <t>Требует обогащения</t>
        </is>
      </c>
      <c r="Q1860" s="16">
        <f>HYPERLINK("https://pb.nalog.ru/search.html?query=7325000951","ФНС: проверить")</f>
        <v/>
      </c>
      <c r="R1860" s="16">
        <f>HYPERLINK("https://checko.ru/search?query=3801001629","Чекко: проверить")</f>
        <v/>
      </c>
      <c r="S1860" t="n">
        <v>1</v>
      </c>
      <c r="T1860" s="35" t="inlineStr">
        <is>
          <t>4 — Не обогащён</t>
        </is>
      </c>
      <c r="U1860" s="35" t="inlineStr">
        <is>
          <t>Нет ОКВЭД/ССЧР</t>
        </is>
      </c>
      <c r="V1860" s="35" t="inlineStr">
        <is>
          <t>Не определено</t>
        </is>
      </c>
      <c r="W1860" s="35" t="inlineStr"/>
      <c r="X1860" s="35" t="inlineStr"/>
    </row>
    <row r="1861" ht="15" customHeight="1" s="24">
      <c r="A1861" s="13" t="n">
        <v>5000001682</v>
      </c>
      <c r="B1861" s="13" t="inlineStr">
        <is>
          <t>ОГКУСО "ЦПД г. Усолье-Сибирское"</t>
        </is>
      </c>
      <c r="C1861" s="13" t="n">
        <v>3819007660</v>
      </c>
      <c r="D1861" s="13" t="inlineStr">
        <is>
          <t>3819007660</t>
        </is>
      </c>
      <c r="E1861" s="13" t="inlineStr">
        <is>
          <t>ЮЛ РФ</t>
        </is>
      </c>
      <c r="F1861" s="13" t="n"/>
      <c r="G1861" s="14" t="n"/>
      <c r="H1861" s="14" t="n"/>
      <c r="I1861" s="14" t="n"/>
      <c r="J1861" s="14" t="n"/>
      <c r="K1861" s="53" t="inlineStr"/>
      <c r="L1861" s="53" t="inlineStr">
        <is>
          <t>Не определено</t>
        </is>
      </c>
      <c r="M1861" s="53" t="inlineStr"/>
      <c r="N1861" s="54" t="inlineStr"/>
      <c r="O1861" s="55" t="inlineStr"/>
      <c r="P1861" s="16" t="inlineStr">
        <is>
          <t>Требует обогащения</t>
        </is>
      </c>
      <c r="Q1861" s="16">
        <f>HYPERLINK("https://pb.nalog.ru/search.html?query=3819007660","ФНС: проверить")</f>
        <v/>
      </c>
      <c r="R1861" s="16">
        <f>HYPERLINK("https://checko.ru/search?query=3801001629","Чекко: проверить")</f>
        <v/>
      </c>
      <c r="S1861" t="n">
        <v>1</v>
      </c>
      <c r="T1861" s="35" t="inlineStr">
        <is>
          <t>4 — Не обогащён</t>
        </is>
      </c>
      <c r="U1861" s="35" t="inlineStr">
        <is>
          <t>Нет ОКВЭД/ССЧР</t>
        </is>
      </c>
      <c r="V1861" s="35" t="inlineStr">
        <is>
          <t>Не определено</t>
        </is>
      </c>
      <c r="W1861" s="35" t="inlineStr"/>
      <c r="X1861" s="35" t="inlineStr"/>
    </row>
    <row r="1862" ht="15" customHeight="1" s="24">
      <c r="A1862" s="13" t="n">
        <v>5000008572</v>
      </c>
      <c r="B1862" s="13" t="inlineStr">
        <is>
          <t>УФССП России по Республике Хакасия</t>
        </is>
      </c>
      <c r="C1862" s="13" t="n">
        <v>1901065326</v>
      </c>
      <c r="D1862" s="13" t="inlineStr">
        <is>
          <t>1901065326</t>
        </is>
      </c>
      <c r="E1862" s="13" t="inlineStr">
        <is>
          <t>ЮЛ РФ</t>
        </is>
      </c>
      <c r="F1862" s="13" t="n"/>
      <c r="G1862" s="14" t="n"/>
      <c r="H1862" s="14" t="n"/>
      <c r="I1862" s="14" t="n"/>
      <c r="J1862" s="14" t="n"/>
      <c r="K1862" s="53" t="inlineStr"/>
      <c r="L1862" s="53" t="inlineStr">
        <is>
          <t>Не определено</t>
        </is>
      </c>
      <c r="M1862" s="53" t="inlineStr"/>
      <c r="N1862" s="54" t="inlineStr"/>
      <c r="O1862" s="55" t="inlineStr"/>
      <c r="P1862" s="16" t="inlineStr">
        <is>
          <t>Требует обогащения</t>
        </is>
      </c>
      <c r="Q1862" s="16">
        <f>HYPERLINK("https://pb.nalog.ru/search.html?query=1901065326","ФНС: проверить")</f>
        <v/>
      </c>
      <c r="R1862" s="16">
        <f>HYPERLINK("https://checko.ru/search?query=3801001629","Чекко: проверить")</f>
        <v/>
      </c>
      <c r="S1862" t="n">
        <v>1</v>
      </c>
      <c r="T1862" s="35" t="inlineStr">
        <is>
          <t>4 — Не обогащён</t>
        </is>
      </c>
      <c r="U1862" s="35" t="inlineStr">
        <is>
          <t>Нет ОКВЭД/ССЧР</t>
        </is>
      </c>
      <c r="V1862" s="35" t="inlineStr">
        <is>
          <t>Не определено</t>
        </is>
      </c>
      <c r="W1862" s="35" t="inlineStr"/>
      <c r="X1862" s="35" t="inlineStr"/>
    </row>
    <row r="1863" ht="15" customHeight="1" s="24">
      <c r="A1863" s="13" t="n">
        <v>5000106098</v>
      </c>
      <c r="B1863" s="13" t="inlineStr">
        <is>
          <t>ФГОУ СПО "Оренбургский аграрный колледж"</t>
        </is>
      </c>
      <c r="C1863" s="13" t="n">
        <v>5638005552</v>
      </c>
      <c r="D1863" s="13" t="inlineStr">
        <is>
          <t>5638005552</t>
        </is>
      </c>
      <c r="E1863" s="13" t="inlineStr">
        <is>
          <t>ЮЛ РФ</t>
        </is>
      </c>
      <c r="F1863" s="13" t="n"/>
      <c r="G1863" s="14" t="n"/>
      <c r="H1863" s="14" t="n"/>
      <c r="I1863" s="14" t="n"/>
      <c r="J1863" s="14" t="n"/>
      <c r="K1863" s="53" t="inlineStr"/>
      <c r="L1863" s="53" t="inlineStr">
        <is>
          <t>Не определено</t>
        </is>
      </c>
      <c r="M1863" s="53" t="inlineStr"/>
      <c r="N1863" s="54" t="inlineStr"/>
      <c r="O1863" s="55" t="inlineStr"/>
      <c r="P1863" s="16" t="inlineStr">
        <is>
          <t>Требует обогащения</t>
        </is>
      </c>
      <c r="Q1863" s="16">
        <f>HYPERLINK("https://pb.nalog.ru/search.html?query=5638005552","ФНС: проверить")</f>
        <v/>
      </c>
      <c r="R1863" s="16">
        <f>HYPERLINK("https://checko.ru/search?query=3801001629","Чекко: проверить")</f>
        <v/>
      </c>
      <c r="S1863" t="n">
        <v>1</v>
      </c>
      <c r="T1863" s="35" t="inlineStr">
        <is>
          <t>4 — Не обогащён</t>
        </is>
      </c>
      <c r="U1863" s="35" t="inlineStr">
        <is>
          <t>Нет ОКВЭД/ССЧР</t>
        </is>
      </c>
      <c r="V1863" s="35" t="inlineStr">
        <is>
          <t>Не определено</t>
        </is>
      </c>
      <c r="W1863" s="35" t="inlineStr"/>
      <c r="X1863" s="35" t="inlineStr"/>
    </row>
    <row r="1864" ht="15" customHeight="1" s="24">
      <c r="A1864" s="13" t="n">
        <v>5000001430</v>
      </c>
      <c r="B1864" s="13" t="inlineStr">
        <is>
          <t>ГОУ СПО Иркутский музыкальный колледж</t>
        </is>
      </c>
      <c r="C1864" s="13" t="n">
        <v>3808012122</v>
      </c>
      <c r="D1864" s="13" t="inlineStr">
        <is>
          <t>3808012122</t>
        </is>
      </c>
      <c r="E1864" s="13" t="inlineStr">
        <is>
          <t>ЮЛ РФ</t>
        </is>
      </c>
      <c r="F1864" s="13" t="n"/>
      <c r="G1864" s="14" t="n"/>
      <c r="H1864" s="14" t="n"/>
      <c r="I1864" s="14" t="n"/>
      <c r="J1864" s="14" t="n"/>
      <c r="K1864" s="53" t="inlineStr"/>
      <c r="L1864" s="53" t="inlineStr">
        <is>
          <t>Не определено</t>
        </is>
      </c>
      <c r="M1864" s="53" t="inlineStr"/>
      <c r="N1864" s="54" t="inlineStr"/>
      <c r="O1864" s="55" t="inlineStr"/>
      <c r="P1864" s="16" t="inlineStr">
        <is>
          <t>Требует обогащения</t>
        </is>
      </c>
      <c r="Q1864" s="16">
        <f>HYPERLINK("https://pb.nalog.ru/search.html?query=3808012122","ФНС: проверить")</f>
        <v/>
      </c>
      <c r="R1864" s="16">
        <f>HYPERLINK("https://checko.ru/search?query=3801001629","Чекко: проверить")</f>
        <v/>
      </c>
      <c r="S1864" t="n">
        <v>1</v>
      </c>
      <c r="T1864" s="35" t="inlineStr">
        <is>
          <t>4 — Не обогащён</t>
        </is>
      </c>
      <c r="U1864" s="35" t="inlineStr">
        <is>
          <t>Нет ОКВЭД/ССЧР</t>
        </is>
      </c>
      <c r="V1864" s="35" t="inlineStr">
        <is>
          <t>Не определено</t>
        </is>
      </c>
      <c r="W1864" s="35" t="inlineStr"/>
      <c r="X1864" s="35" t="inlineStr"/>
    </row>
    <row r="1865" ht="27.75" customHeight="1" s="24">
      <c r="A1865" s="13" t="n">
        <v>5000002273</v>
      </c>
      <c r="B1865" s="13" t="inlineStr">
        <is>
          <t>ОГБУ "Усольская станция по борьбе с болезнями животных"</t>
        </is>
      </c>
      <c r="C1865" s="13" t="n">
        <v>3819014097</v>
      </c>
      <c r="D1865" s="13" t="inlineStr">
        <is>
          <t>3819014097</t>
        </is>
      </c>
      <c r="E1865" s="13" t="inlineStr">
        <is>
          <t>ЮЛ РФ</t>
        </is>
      </c>
      <c r="F1865" s="13" t="n"/>
      <c r="G1865" s="14" t="n"/>
      <c r="H1865" s="14" t="n"/>
      <c r="I1865" s="14" t="n"/>
      <c r="J1865" s="14" t="n"/>
      <c r="K1865" s="53" t="inlineStr"/>
      <c r="L1865" s="53" t="inlineStr">
        <is>
          <t>Не определено</t>
        </is>
      </c>
      <c r="M1865" s="53" t="inlineStr"/>
      <c r="N1865" s="54" t="inlineStr"/>
      <c r="O1865" s="55" t="inlineStr"/>
      <c r="P1865" s="16" t="inlineStr">
        <is>
          <t>Требует обогащения</t>
        </is>
      </c>
      <c r="Q1865" s="16">
        <f>HYPERLINK("https://pb.nalog.ru/search.html?query=3819014097","ФНС: проверить")</f>
        <v/>
      </c>
      <c r="R1865" s="16">
        <f>HYPERLINK("https://checko.ru/search?query=3801001629","Чекко: проверить")</f>
        <v/>
      </c>
      <c r="S1865" t="n">
        <v>1</v>
      </c>
      <c r="T1865" s="35" t="inlineStr">
        <is>
          <t>4 — Не обогащён</t>
        </is>
      </c>
      <c r="U1865" s="35" t="inlineStr">
        <is>
          <t>Нет ОКВЭД/ССЧР</t>
        </is>
      </c>
      <c r="V1865" s="35" t="inlineStr">
        <is>
          <t>Не определено</t>
        </is>
      </c>
      <c r="W1865" s="35" t="inlineStr"/>
      <c r="X1865" s="35" t="inlineStr"/>
    </row>
    <row r="1866" ht="41.25" customHeight="1" s="24">
      <c r="A1866" s="13" t="n">
        <v>5000001880</v>
      </c>
      <c r="B1866" s="13" t="inlineStr">
        <is>
          <t>ГОКУ для детей и сирот, оставшихся без попечения родителей Слюдянский областной детский дом</t>
        </is>
      </c>
      <c r="C1866" s="13" t="n">
        <v>3837001485</v>
      </c>
      <c r="D1866" s="13" t="inlineStr">
        <is>
          <t>3837001485</t>
        </is>
      </c>
      <c r="E1866" s="13" t="inlineStr">
        <is>
          <t>ЮЛ РФ</t>
        </is>
      </c>
      <c r="F1866" s="13" t="n"/>
      <c r="G1866" s="14" t="n"/>
      <c r="H1866" s="14" t="n"/>
      <c r="I1866" s="14" t="n"/>
      <c r="J1866" s="14" t="n"/>
      <c r="K1866" s="53" t="inlineStr"/>
      <c r="L1866" s="53" t="inlineStr">
        <is>
          <t>Не определено</t>
        </is>
      </c>
      <c r="M1866" s="53" t="inlineStr"/>
      <c r="N1866" s="54" t="inlineStr"/>
      <c r="O1866" s="55" t="inlineStr"/>
      <c r="P1866" s="16" t="inlineStr">
        <is>
          <t>Требует обогащения</t>
        </is>
      </c>
      <c r="Q1866" s="16">
        <f>HYPERLINK("https://pb.nalog.ru/search.html?query=3837001485","ФНС: проверить")</f>
        <v/>
      </c>
      <c r="R1866" s="16">
        <f>HYPERLINK("https://checko.ru/search?query=3801001629","Чекко: проверить")</f>
        <v/>
      </c>
      <c r="S1866" t="n">
        <v>1</v>
      </c>
      <c r="T1866" s="35" t="inlineStr">
        <is>
          <t>4 — Не обогащён</t>
        </is>
      </c>
      <c r="U1866" s="35" t="inlineStr">
        <is>
          <t>Нет ОКВЭД/ССЧР</t>
        </is>
      </c>
      <c r="V1866" s="35" t="inlineStr">
        <is>
          <t>Не определено</t>
        </is>
      </c>
      <c r="W1866" s="35" t="inlineStr"/>
      <c r="X1866" s="35" t="inlineStr"/>
    </row>
    <row r="1867" ht="27.75" customHeight="1" s="24">
      <c r="A1867" s="13" t="n">
        <v>5000062513</v>
      </c>
      <c r="B1867" s="13" t="inlineStr">
        <is>
          <t>областной центр диагностики и консультирования «Развитие»</t>
        </is>
      </c>
      <c r="C1867" s="13" t="n">
        <v>7328502004</v>
      </c>
      <c r="D1867" s="13" t="inlineStr">
        <is>
          <t>7328502004</t>
        </is>
      </c>
      <c r="E1867" s="13" t="inlineStr">
        <is>
          <t>ЮЛ РФ</t>
        </is>
      </c>
      <c r="F1867" s="13" t="n"/>
      <c r="G1867" s="14" t="n"/>
      <c r="H1867" s="14" t="n"/>
      <c r="I1867" s="14" t="n"/>
      <c r="J1867" s="14" t="n"/>
      <c r="K1867" s="53" t="inlineStr"/>
      <c r="L1867" s="53" t="inlineStr">
        <is>
          <t>Не определено</t>
        </is>
      </c>
      <c r="M1867" s="53" t="inlineStr"/>
      <c r="N1867" s="54" t="inlineStr"/>
      <c r="O1867" s="55" t="inlineStr"/>
      <c r="P1867" s="16" t="inlineStr">
        <is>
          <t>Требует обогащения</t>
        </is>
      </c>
      <c r="Q1867" s="16">
        <f>HYPERLINK("https://pb.nalog.ru/search.html?query=7328502004","ФНС: проверить")</f>
        <v/>
      </c>
      <c r="R1867" s="16">
        <f>HYPERLINK("https://checko.ru/search?query=3801001629","Чекко: проверить")</f>
        <v/>
      </c>
      <c r="S1867" t="n">
        <v>1</v>
      </c>
      <c r="T1867" s="35" t="inlineStr">
        <is>
          <t>4 — Не обогащён</t>
        </is>
      </c>
      <c r="U1867" s="35" t="inlineStr">
        <is>
          <t>Нет ОКВЭД/ССЧР</t>
        </is>
      </c>
      <c r="V1867" s="35" t="inlineStr">
        <is>
          <t>Не определено</t>
        </is>
      </c>
      <c r="W1867" s="35" t="inlineStr"/>
      <c r="X1867" s="35" t="inlineStr"/>
    </row>
    <row r="1868" ht="27.75" customHeight="1" s="24">
      <c r="A1868" s="13" t="n">
        <v>5000001718</v>
      </c>
      <c r="B1868" s="13" t="inlineStr">
        <is>
          <t>ОбГКУ СО "Социально-реабилитационный центр для несовершеннолетних п. Забитуй"</t>
        </is>
      </c>
      <c r="C1868" s="13" t="n">
        <v>8501005011</v>
      </c>
      <c r="D1868" s="13" t="inlineStr">
        <is>
          <t>8501005011</t>
        </is>
      </c>
      <c r="E1868" s="13" t="inlineStr">
        <is>
          <t>ЮЛ РФ</t>
        </is>
      </c>
      <c r="F1868" s="13" t="n"/>
      <c r="G1868" s="14" t="n"/>
      <c r="H1868" s="14" t="n"/>
      <c r="I1868" s="14" t="n"/>
      <c r="J1868" s="14" t="n"/>
      <c r="K1868" s="53" t="inlineStr"/>
      <c r="L1868" s="53" t="inlineStr">
        <is>
          <t>Не определено</t>
        </is>
      </c>
      <c r="M1868" s="53" t="inlineStr"/>
      <c r="N1868" s="54" t="inlineStr"/>
      <c r="O1868" s="55" t="inlineStr"/>
      <c r="P1868" s="16" t="inlineStr">
        <is>
          <t>Требует обогащения</t>
        </is>
      </c>
      <c r="Q1868" s="16">
        <f>HYPERLINK("https://pb.nalog.ru/search.html?query=8501005011","ФНС: проверить")</f>
        <v/>
      </c>
      <c r="R1868" s="16">
        <f>HYPERLINK("https://checko.ru/search?query=3801001629","Чекко: проверить")</f>
        <v/>
      </c>
      <c r="S1868" t="n">
        <v>1</v>
      </c>
      <c r="T1868" s="35" t="inlineStr">
        <is>
          <t>4 — Не обогащён</t>
        </is>
      </c>
      <c r="U1868" s="35" t="inlineStr">
        <is>
          <t>Нет ОКВЭД/ССЧР</t>
        </is>
      </c>
      <c r="V1868" s="35" t="inlineStr">
        <is>
          <t>Не определено</t>
        </is>
      </c>
      <c r="W1868" s="35" t="inlineStr"/>
      <c r="X1868" s="35" t="inlineStr"/>
    </row>
    <row r="1869" ht="41.25" customHeight="1" s="24">
      <c r="A1869" s="13" t="n">
        <v>5000038502</v>
      </c>
      <c r="B1869" s="13" t="inlineStr">
        <is>
          <t>Областного государственного учреждения "Государственный архив новейшей истории Ульяновской области"</t>
        </is>
      </c>
      <c r="C1869" s="13" t="n">
        <v>7325068935</v>
      </c>
      <c r="D1869" s="13" t="inlineStr">
        <is>
          <t>7325068935</t>
        </is>
      </c>
      <c r="E1869" s="13" t="inlineStr">
        <is>
          <t>ЮЛ РФ</t>
        </is>
      </c>
      <c r="F1869" s="13" t="n"/>
      <c r="G1869" s="14" t="n"/>
      <c r="H1869" s="14" t="n"/>
      <c r="I1869" s="14" t="n"/>
      <c r="J1869" s="14" t="n"/>
      <c r="K1869" s="53" t="inlineStr"/>
      <c r="L1869" s="53" t="inlineStr">
        <is>
          <t>Не определено</t>
        </is>
      </c>
      <c r="M1869" s="53" t="inlineStr"/>
      <c r="N1869" s="54" t="inlineStr"/>
      <c r="O1869" s="55" t="inlineStr"/>
      <c r="P1869" s="16" t="inlineStr">
        <is>
          <t>Требует обогащения</t>
        </is>
      </c>
      <c r="Q1869" s="16">
        <f>HYPERLINK("https://pb.nalog.ru/search.html?query=7325068935","ФНС: проверить")</f>
        <v/>
      </c>
      <c r="R1869" s="16">
        <f>HYPERLINK("https://checko.ru/search?query=3801001629","Чекко: проверить")</f>
        <v/>
      </c>
      <c r="S1869" t="n">
        <v>1</v>
      </c>
      <c r="T1869" s="35" t="inlineStr">
        <is>
          <t>4 — Не обогащён</t>
        </is>
      </c>
      <c r="U1869" s="35" t="inlineStr">
        <is>
          <t>Нет ОКВЭД/ССЧР</t>
        </is>
      </c>
      <c r="V1869" s="35" t="inlineStr">
        <is>
          <t>Не определено</t>
        </is>
      </c>
      <c r="W1869" s="35" t="inlineStr"/>
      <c r="X1869" s="35" t="inlineStr"/>
    </row>
    <row r="1870" ht="68.25" customHeight="1" s="24">
      <c r="A1870" s="13" t="n">
        <v>5000106146</v>
      </c>
      <c r="B1870" s="13" t="inlineStr">
        <is>
          <t>МУНИЦИПАЛЬНОЕ БЮДЖЕТНОЕ ОБЩЕОБРАЗОВАТЕЛЬНОЕ УЧРЕЖДЕНИЕ "ГАМАЛЕЕВСКАЯ СРЕДНЯЯ ОБЩЕОБРАЗОВАТЕЛЬНАЯ ШКОЛА № 2 ИМЕНИ Н.С.ТРУБИНА" СОРОЧИНСКОГО ГОРОДСКОГО</t>
        </is>
      </c>
      <c r="C1870" s="13" t="n">
        <v>5647005397</v>
      </c>
      <c r="D1870" s="13" t="inlineStr">
        <is>
          <t>5647005397</t>
        </is>
      </c>
      <c r="E1870" s="13" t="inlineStr">
        <is>
          <t>ЮЛ РФ</t>
        </is>
      </c>
      <c r="F1870" s="13" t="n"/>
      <c r="G1870" s="14" t="n"/>
      <c r="H1870" s="14" t="n"/>
      <c r="I1870" s="14" t="n"/>
      <c r="J1870" s="14" t="n"/>
      <c r="K1870" s="53" t="inlineStr"/>
      <c r="L1870" s="53" t="inlineStr">
        <is>
          <t>Не определено</t>
        </is>
      </c>
      <c r="M1870" s="53" t="inlineStr"/>
      <c r="N1870" s="54" t="inlineStr"/>
      <c r="O1870" s="55" t="inlineStr"/>
      <c r="P1870" s="16" t="inlineStr">
        <is>
          <t>Требует обогащения</t>
        </is>
      </c>
      <c r="Q1870" s="16">
        <f>HYPERLINK("https://pb.nalog.ru/search.html?query=5647005397","ФНС: проверить")</f>
        <v/>
      </c>
      <c r="R1870" s="16">
        <f>HYPERLINK("https://checko.ru/search?query=3801001629","Чекко: проверить")</f>
        <v/>
      </c>
      <c r="S1870" t="n">
        <v>1</v>
      </c>
      <c r="T1870" s="35" t="inlineStr">
        <is>
          <t>4 — Не обогащён</t>
        </is>
      </c>
      <c r="U1870" s="35" t="inlineStr">
        <is>
          <t>Нет ОКВЭД/ССЧР</t>
        </is>
      </c>
      <c r="V1870" s="35" t="inlineStr">
        <is>
          <t>Не определено</t>
        </is>
      </c>
      <c r="W1870" s="35" t="inlineStr"/>
      <c r="X1870" s="35" t="inlineStr"/>
    </row>
    <row r="1871" ht="15" customHeight="1" s="24">
      <c r="A1871" s="13" t="n">
        <v>5000062578</v>
      </c>
      <c r="B1871" s="13" t="inlineStr">
        <is>
          <t>ОГКОУ "Школа-Интернат № 91"</t>
        </is>
      </c>
      <c r="C1871" s="13" t="n">
        <v>7327019852</v>
      </c>
      <c r="D1871" s="13" t="inlineStr">
        <is>
          <t>7327019852</t>
        </is>
      </c>
      <c r="E1871" s="13" t="inlineStr">
        <is>
          <t>ЮЛ РФ</t>
        </is>
      </c>
      <c r="F1871" s="13" t="n"/>
      <c r="G1871" s="14" t="n"/>
      <c r="H1871" s="14" t="n"/>
      <c r="I1871" s="14" t="n"/>
      <c r="J1871" s="14" t="n"/>
      <c r="K1871" s="53" t="inlineStr"/>
      <c r="L1871" s="53" t="inlineStr">
        <is>
          <t>Не определено</t>
        </is>
      </c>
      <c r="M1871" s="53" t="inlineStr"/>
      <c r="N1871" s="54" t="inlineStr"/>
      <c r="O1871" s="55" t="inlineStr"/>
      <c r="P1871" s="16" t="inlineStr">
        <is>
          <t>Требует обогащения</t>
        </is>
      </c>
      <c r="Q1871" s="16">
        <f>HYPERLINK("https://pb.nalog.ru/search.html?query=7327019852","ФНС: проверить")</f>
        <v/>
      </c>
      <c r="R1871" s="16">
        <f>HYPERLINK("https://checko.ru/search?query=3801001629","Чекко: проверить")</f>
        <v/>
      </c>
      <c r="S1871" t="n">
        <v>1</v>
      </c>
      <c r="T1871" s="35" t="inlineStr">
        <is>
          <t>4 — Не обогащён</t>
        </is>
      </c>
      <c r="U1871" s="35" t="inlineStr">
        <is>
          <t>Нет ОКВЭД/ССЧР</t>
        </is>
      </c>
      <c r="V1871" s="35" t="inlineStr">
        <is>
          <t>Не определено</t>
        </is>
      </c>
      <c r="W1871" s="35" t="inlineStr"/>
      <c r="X1871" s="35" t="inlineStr"/>
    </row>
    <row r="1872" ht="15" customHeight="1" s="24">
      <c r="A1872" s="13" t="n">
        <v>5000062520</v>
      </c>
      <c r="B1872" s="13" t="inlineStr">
        <is>
          <t>ОГБОУ НПО профессиональное училище №25</t>
        </is>
      </c>
      <c r="C1872" s="13" t="n">
        <v>7313001855</v>
      </c>
      <c r="D1872" s="13" t="inlineStr">
        <is>
          <t>7313001855</t>
        </is>
      </c>
      <c r="E1872" s="13" t="inlineStr">
        <is>
          <t>ЮЛ РФ</t>
        </is>
      </c>
      <c r="F1872" s="13" t="n"/>
      <c r="G1872" s="14" t="n"/>
      <c r="H1872" s="14" t="n"/>
      <c r="I1872" s="14" t="n"/>
      <c r="J1872" s="14" t="n"/>
      <c r="K1872" s="53" t="inlineStr"/>
      <c r="L1872" s="53" t="inlineStr">
        <is>
          <t>Не определено</t>
        </is>
      </c>
      <c r="M1872" s="53" t="inlineStr"/>
      <c r="N1872" s="54" t="inlineStr"/>
      <c r="O1872" s="55" t="inlineStr"/>
      <c r="P1872" s="16" t="inlineStr">
        <is>
          <t>Требует обогащения</t>
        </is>
      </c>
      <c r="Q1872" s="16">
        <f>HYPERLINK("https://pb.nalog.ru/search.html?query=7313001855","ФНС: проверить")</f>
        <v/>
      </c>
      <c r="R1872" s="16">
        <f>HYPERLINK("https://checko.ru/search?query=3801001629","Чекко: проверить")</f>
        <v/>
      </c>
      <c r="S1872" t="n">
        <v>1</v>
      </c>
      <c r="T1872" s="35" t="inlineStr">
        <is>
          <t>4 — Не обогащён</t>
        </is>
      </c>
      <c r="U1872" s="35" t="inlineStr">
        <is>
          <t>Нет ОКВЭД/ССЧР</t>
        </is>
      </c>
      <c r="V1872" s="35" t="inlineStr">
        <is>
          <t>Не определено</t>
        </is>
      </c>
      <c r="W1872" s="35" t="inlineStr"/>
      <c r="X1872" s="35" t="inlineStr"/>
    </row>
    <row r="1873" ht="15" customHeight="1" s="24">
      <c r="A1873" s="13" t="n">
        <v>5000008606</v>
      </c>
      <c r="B1873" s="13" t="inlineStr">
        <is>
          <t>УФССП России по Республике Дагестан</t>
        </is>
      </c>
      <c r="C1873" s="13" t="n">
        <v>560028672</v>
      </c>
      <c r="D1873" s="13" t="n"/>
      <c r="E1873" s="13" t="inlineStr">
        <is>
          <t>Не определён</t>
        </is>
      </c>
      <c r="F1873" s="13" t="inlineStr">
        <is>
          <t>560028672</t>
        </is>
      </c>
      <c r="G1873" s="14" t="n"/>
      <c r="H1873" s="14" t="n"/>
      <c r="I1873" s="14" t="n"/>
      <c r="J1873" s="14" t="n"/>
      <c r="K1873" s="13">
        <f>IF(G1873="","",IF(G1873&gt;=22,"Да","Нет"))</f>
        <v/>
      </c>
      <c r="L1873" s="13">
        <f>IF(OR(I1873="",J1873=""),"Не определено",IF(OR(COUNTIF(I1873,"45*")&gt;0,COUNTIF(J1873,"*45*")&gt;0,COUNTIF(I1873,"46*")&gt;0,COUNTIF(J1873,"*46*")&gt;0,COUNTIF(I1873,"47*")&gt;0,COUNTIF(J1873,"*47*")&gt;0,COUNTIF(I1873,"10*")&gt;0,COUNTIF(J1873,"*10*")&gt;0,COUNTIF(I1873,"11*")&gt;0,COUNTIF(J1873,"*11*")&gt;0,COUNTIF(I1873,"12*")&gt;0,COUNTIF(J1873,"*12*")&gt;0,COUNTIF(I1873,"13*")&gt;0,COUNTIF(J1873,"*13*")&gt;0,COUNTIF(I1873,"14*")&gt;0,COUNTIF(J1873,"*14*")&gt;0,COUNTIF(I1873,"15*")&gt;0,COUNTIF(J1873,"*15*")&gt;0,COUNTIF(I1873,"16*")&gt;0,COUNTIF(J1873,"*16*")&gt;0,COUNTIF(I1873,"17*")&gt;0,COUNTIF(J1873,"*17*")&gt;0,COUNTIF(I1873,"18*")&gt;0,COUNTIF(J1873,"*18*")&gt;0,COUNTIF(I1873,"19*")&gt;0,COUNTIF(J1873,"*19*")&gt;0,COUNTIF(I1873,"20*")&gt;0,COUNTIF(J1873,"*20*")&gt;0,COUNTIF(I1873,"21*")&gt;0,COUNTIF(J1873,"*21*")&gt;0,COUNTIF(I1873,"22*")&gt;0,COUNTIF(J1873,"*22*")&gt;0,COUNTIF(I1873,"23*")&gt;0,COUNTIF(J1873,"*23*")&gt;0,COUNTIF(I1873,"24*")&gt;0,COUNTIF(J1873,"*24*")&gt;0,COUNTIF(I1873,"25*")&gt;0,COUNTIF(J1873,"*25*")&gt;0,COUNTIF(I1873,"26*")&gt;0,COUNTIF(J1873,"*26*")&gt;0,COUNTIF(I1873,"27*")&gt;0,COUNTIF(J1873,"*27*")&gt;0,COUNTIF(I1873,"28*")&gt;0,COUNTIF(J1873,"*28*")&gt;0,COUNTIF(I1873,"29*")&gt;0,COUNTIF(J1873,"*29*")&gt;0,COUNTIF(I1873,"30*")&gt;0,COUNTIF(J1873,"*30*")&gt;0,COUNTIF(I1873,"31*")&gt;0,COUNTIF(J1873,"*31*")&gt;0,COUNTIF(I1873,"32*")&gt;0,COUNTIF(J1873,"*32*")&gt;0,COUNTIF(I1873,"33*")&gt;0,COUNTIF(J1873,"*33*")&gt;0,COUNTIF(I1873,"41*")&gt;0,COUNTIF(J1873,"*41*")&gt;0,COUNTIF(I1873,"42*")&gt;0,COUNTIF(J1873,"*42*")&gt;0,COUNTIF(I1873,"43*")&gt;0,COUNTIF(J1873,"*43*")&gt;0,COUNTIF(I1873,"49*")&gt;0,COUNTIF(J1873,"*49*")&gt;0,COUNTIF(I1873,"52*")&gt;0,COUNTIF(J1873,"*52*")&gt;0,COUNTIF(I1873,"55*")&gt;0,COUNTIF(J1873,"*55*")&gt;0,COUNTIF(I1873,"56*")&gt;0,COUNTIF(J1873,"*56*")&gt;0,COUNTIF(I1873,"68*")&gt;0,COUNTIF(J1873,"*68*")&gt;0,COUNTIF(I1873,"78*")&gt;0,COUNTIF(J1873,"*78*")&gt;0,COUNTIF(I1873,"81*")&gt;0,COUNTIF(J1873,"*81*")&gt;0,COUNTIF(I1873,"82*")&gt;0,COUNTIF(J1873,"*82*")&gt;0,COUNTIF(I1873,"64*")&gt;0,COUNTIF(J1873,"*64*")&gt;0,COUNTIF(I1873,"65*")&gt;0,COUNTIF(J1873,"*65*")&gt;0,COUNTIF(I1873,"66*")&gt;0,COUNTIF(J1873,"*66*")&gt;0,COUNTIF(I1873,"61*")&gt;0,COUNTIF(J1873,"*61*")&gt;0,COUNTIF(I1873,"62*")&gt;0,COUNTIF(J1873,"*62*")&gt;0,COUNTIF(I1873,"63*")&gt;0,COUNTIF(J1873,"*63*")&gt;0,COUNTIF(I1873,"85*")&gt;0,COUNTIF(J1873,"*85*")&gt;0,COUNTIF(I1873,"86*")&gt;0,COUNTIF(J1873,"*86*")&gt;0),"Да","Нет"))</f>
        <v/>
      </c>
      <c r="M1873" s="13">
        <f>IF(OR(G1873="",L1873&lt;&gt;"Да"),"",IF(G1873&lt;=100,"До 100",IF(G1873&lt;=200,"До 200",IF(G1873&lt;=500,"До 500","Отдельное КП"))))</f>
        <v/>
      </c>
      <c r="N1873" s="15">
        <f>IF(OR(G1873="",L1873&lt;&gt;"Да"),"",IF(G1873&lt;=100,33600,IF(G1873&lt;=200,62400,IF(G1873&lt;=500,144000,""))))</f>
        <v/>
      </c>
      <c r="O1873" s="16">
        <f>IF(G1873="","",IF(G1873&lt;=15,"1–15",IF(G1873&lt;=30,"16–30",IF(G1873&lt;=50,"31–50",IF(G1873&lt;=100,"51–100",IF(G1873&lt;=150,"101–150",IF(G1873&lt;=200,"151–200",IF(G1873&lt;=500,"201–500","500+"))))))))</f>
        <v/>
      </c>
      <c r="P1873" s="16" t="inlineStr">
        <is>
          <t>Нет совпадения в предоставленной выгрузке ССЧР</t>
        </is>
      </c>
      <c r="Q1873" s="16" t="n"/>
      <c r="R1873" s="16">
        <f>HYPERLINK("https://checko.ru/search?query=3801001629","Чекко: проверить")</f>
        <v/>
      </c>
      <c r="S1873" t="n">
        <v>0</v>
      </c>
    </row>
    <row r="1874" ht="15" customHeight="1" s="24">
      <c r="A1874" s="13" t="n">
        <v>5000095179</v>
      </c>
      <c r="B1874" s="13" t="inlineStr">
        <is>
          <t>ГУ "редакция газеты "Нальчик"</t>
        </is>
      </c>
      <c r="C1874" s="13" t="n">
        <v>721064378</v>
      </c>
      <c r="D1874" s="13" t="n"/>
      <c r="E1874" s="13" t="inlineStr">
        <is>
          <t>Не определён</t>
        </is>
      </c>
      <c r="F1874" s="13" t="inlineStr">
        <is>
          <t>721064378</t>
        </is>
      </c>
      <c r="G1874" s="14" t="n"/>
      <c r="H1874" s="14" t="n"/>
      <c r="I1874" s="14" t="n"/>
      <c r="J1874" s="14" t="n"/>
      <c r="K1874" s="13">
        <f>IF(G1874="","",IF(G1874&gt;=22,"Да","Нет"))</f>
        <v/>
      </c>
      <c r="L1874" s="13">
        <f>IF(OR(I1874="",J1874=""),"Не определено",IF(OR(COUNTIF(I1874,"45*")&gt;0,COUNTIF(J1874,"*45*")&gt;0,COUNTIF(I1874,"46*")&gt;0,COUNTIF(J1874,"*46*")&gt;0,COUNTIF(I1874,"47*")&gt;0,COUNTIF(J1874,"*47*")&gt;0,COUNTIF(I1874,"10*")&gt;0,COUNTIF(J1874,"*10*")&gt;0,COUNTIF(I1874,"11*")&gt;0,COUNTIF(J1874,"*11*")&gt;0,COUNTIF(I1874,"12*")&gt;0,COUNTIF(J1874,"*12*")&gt;0,COUNTIF(I1874,"13*")&gt;0,COUNTIF(J1874,"*13*")&gt;0,COUNTIF(I1874,"14*")&gt;0,COUNTIF(J1874,"*14*")&gt;0,COUNTIF(I1874,"15*")&gt;0,COUNTIF(J1874,"*15*")&gt;0,COUNTIF(I1874,"16*")&gt;0,COUNTIF(J1874,"*16*")&gt;0,COUNTIF(I1874,"17*")&gt;0,COUNTIF(J1874,"*17*")&gt;0,COUNTIF(I1874,"18*")&gt;0,COUNTIF(J1874,"*18*")&gt;0,COUNTIF(I1874,"19*")&gt;0,COUNTIF(J1874,"*19*")&gt;0,COUNTIF(I1874,"20*")&gt;0,COUNTIF(J1874,"*20*")&gt;0,COUNTIF(I1874,"21*")&gt;0,COUNTIF(J1874,"*21*")&gt;0,COUNTIF(I1874,"22*")&gt;0,COUNTIF(J1874,"*22*")&gt;0,COUNTIF(I1874,"23*")&gt;0,COUNTIF(J1874,"*23*")&gt;0,COUNTIF(I1874,"24*")&gt;0,COUNTIF(J1874,"*24*")&gt;0,COUNTIF(I1874,"25*")&gt;0,COUNTIF(J1874,"*25*")&gt;0,COUNTIF(I1874,"26*")&gt;0,COUNTIF(J1874,"*26*")&gt;0,COUNTIF(I1874,"27*")&gt;0,COUNTIF(J1874,"*27*")&gt;0,COUNTIF(I1874,"28*")&gt;0,COUNTIF(J1874,"*28*")&gt;0,COUNTIF(I1874,"29*")&gt;0,COUNTIF(J1874,"*29*")&gt;0,COUNTIF(I1874,"30*")&gt;0,COUNTIF(J1874,"*30*")&gt;0,COUNTIF(I1874,"31*")&gt;0,COUNTIF(J1874,"*31*")&gt;0,COUNTIF(I1874,"32*")&gt;0,COUNTIF(J1874,"*32*")&gt;0,COUNTIF(I1874,"33*")&gt;0,COUNTIF(J1874,"*33*")&gt;0,COUNTIF(I1874,"41*")&gt;0,COUNTIF(J1874,"*41*")&gt;0,COUNTIF(I1874,"42*")&gt;0,COUNTIF(J1874,"*42*")&gt;0,COUNTIF(I1874,"43*")&gt;0,COUNTIF(J1874,"*43*")&gt;0,COUNTIF(I1874,"49*")&gt;0,COUNTIF(J1874,"*49*")&gt;0,COUNTIF(I1874,"52*")&gt;0,COUNTIF(J1874,"*52*")&gt;0,COUNTIF(I1874,"55*")&gt;0,COUNTIF(J1874,"*55*")&gt;0,COUNTIF(I1874,"56*")&gt;0,COUNTIF(J1874,"*56*")&gt;0,COUNTIF(I1874,"68*")&gt;0,COUNTIF(J1874,"*68*")&gt;0,COUNTIF(I1874,"78*")&gt;0,COUNTIF(J1874,"*78*")&gt;0,COUNTIF(I1874,"81*")&gt;0,COUNTIF(J1874,"*81*")&gt;0,COUNTIF(I1874,"82*")&gt;0,COUNTIF(J1874,"*82*")&gt;0,COUNTIF(I1874,"64*")&gt;0,COUNTIF(J1874,"*64*")&gt;0,COUNTIF(I1874,"65*")&gt;0,COUNTIF(J1874,"*65*")&gt;0,COUNTIF(I1874,"66*")&gt;0,COUNTIF(J1874,"*66*")&gt;0,COUNTIF(I1874,"61*")&gt;0,COUNTIF(J1874,"*61*")&gt;0,COUNTIF(I1874,"62*")&gt;0,COUNTIF(J1874,"*62*")&gt;0,COUNTIF(I1874,"63*")&gt;0,COUNTIF(J1874,"*63*")&gt;0,COUNTIF(I1874,"85*")&gt;0,COUNTIF(J1874,"*85*")&gt;0,COUNTIF(I1874,"86*")&gt;0,COUNTIF(J1874,"*86*")&gt;0),"Да","Нет"))</f>
        <v/>
      </c>
      <c r="M1874" s="13">
        <f>IF(OR(G1874="",L1874&lt;&gt;"Да"),"",IF(G1874&lt;=100,"До 100",IF(G1874&lt;=200,"До 200",IF(G1874&lt;=500,"До 500","Отдельное КП"))))</f>
        <v/>
      </c>
      <c r="N1874" s="15">
        <f>IF(OR(G1874="",L1874&lt;&gt;"Да"),"",IF(G1874&lt;=100,33600,IF(G1874&lt;=200,62400,IF(G1874&lt;=500,144000,""))))</f>
        <v/>
      </c>
      <c r="O1874" s="16">
        <f>IF(G1874="","",IF(G1874&lt;=15,"1–15",IF(G1874&lt;=30,"16–30",IF(G1874&lt;=50,"31–50",IF(G1874&lt;=100,"51–100",IF(G1874&lt;=150,"101–150",IF(G1874&lt;=200,"151–200",IF(G1874&lt;=500,"201–500","500+"))))))))</f>
        <v/>
      </c>
      <c r="P1874" s="16" t="inlineStr">
        <is>
          <t>Нет совпадения в предоставленной выгрузке ССЧР</t>
        </is>
      </c>
      <c r="Q1874" s="16" t="n"/>
      <c r="R1874" s="16">
        <f>HYPERLINK("https://checko.ru/search?query=3801001629","Чекко: проверить")</f>
        <v/>
      </c>
      <c r="S1874" t="n">
        <v>0</v>
      </c>
    </row>
    <row r="1875" ht="15" customHeight="1" s="24">
      <c r="A1875" s="13" t="n">
        <v>5000008564</v>
      </c>
      <c r="B1875" s="13" t="inlineStr">
        <is>
          <t>УФССП России по Кемеровской области</t>
        </is>
      </c>
      <c r="C1875" s="13" t="n">
        <v>4205077474</v>
      </c>
      <c r="D1875" s="13" t="inlineStr">
        <is>
          <t>4205077474</t>
        </is>
      </c>
      <c r="E1875" s="13" t="inlineStr">
        <is>
          <t>ЮЛ РФ</t>
        </is>
      </c>
      <c r="F1875" s="13" t="n"/>
      <c r="G1875" s="14" t="n"/>
      <c r="H1875" s="14" t="n"/>
      <c r="I1875" s="14" t="n"/>
      <c r="J1875" s="14" t="n"/>
      <c r="K1875" s="53" t="inlineStr"/>
      <c r="L1875" s="53" t="inlineStr">
        <is>
          <t>Не определено</t>
        </is>
      </c>
      <c r="M1875" s="53" t="inlineStr"/>
      <c r="N1875" s="54" t="inlineStr"/>
      <c r="O1875" s="55" t="inlineStr"/>
      <c r="P1875" s="16" t="inlineStr">
        <is>
          <t>Требует обогащения</t>
        </is>
      </c>
      <c r="Q1875" s="16">
        <f>HYPERLINK("https://pb.nalog.ru/search.html?query=4205077474","ФНС: проверить")</f>
        <v/>
      </c>
      <c r="R1875" s="16">
        <f>HYPERLINK("https://checko.ru/search?query=3801001629","Чекко: проверить")</f>
        <v/>
      </c>
      <c r="S1875" t="n">
        <v>1</v>
      </c>
      <c r="T1875" s="35" t="inlineStr">
        <is>
          <t>4 — Не обогащён</t>
        </is>
      </c>
      <c r="U1875" s="35" t="inlineStr">
        <is>
          <t>Нет ОКВЭД/ССЧР</t>
        </is>
      </c>
      <c r="V1875" s="35" t="inlineStr">
        <is>
          <t>Не определено</t>
        </is>
      </c>
      <c r="W1875" s="35" t="inlineStr"/>
      <c r="X1875" s="35" t="inlineStr"/>
    </row>
    <row r="1876" ht="68.25" customHeight="1" s="24">
      <c r="A1876" s="13" t="n">
        <v>5000106187</v>
      </c>
      <c r="B1876" s="13" t="inlineStr">
        <is>
          <t>ГОСУДАРСТВЕННОЕ КАЗЕННОЕ УЧРЕЖДЕНИЕ ОРЕНБУРГСКОЙ ОБЛАСТИ "ЦЕНТР ПО МАТЕРИАЛЬНО-ТЕХНИЧЕСКОМУ И ХОЗЯЙСТВЕННОМУ ОБЕСПЕЧЕНИЮ ДЕЯТЕЛЬНОСТИ ОРГАНОВ И УЧРЕЖД</t>
        </is>
      </c>
      <c r="C1876" s="13" t="n">
        <v>5610219177</v>
      </c>
      <c r="D1876" s="13" t="inlineStr">
        <is>
          <t>5610219177</t>
        </is>
      </c>
      <c r="E1876" s="13" t="inlineStr">
        <is>
          <t>ЮЛ РФ</t>
        </is>
      </c>
      <c r="F1876" s="13" t="n"/>
      <c r="G1876" s="14" t="n"/>
      <c r="H1876" s="14" t="n"/>
      <c r="I1876" s="14" t="n"/>
      <c r="J1876" s="14" t="n"/>
      <c r="K1876" s="53" t="inlineStr"/>
      <c r="L1876" s="53" t="inlineStr">
        <is>
          <t>Не определено</t>
        </is>
      </c>
      <c r="M1876" s="53" t="inlineStr"/>
      <c r="N1876" s="54" t="inlineStr"/>
      <c r="O1876" s="55" t="inlineStr"/>
      <c r="P1876" s="16" t="inlineStr">
        <is>
          <t>Требует обогащения</t>
        </is>
      </c>
      <c r="Q1876" s="16">
        <f>HYPERLINK("https://pb.nalog.ru/search.html?query=5610219177","ФНС: проверить")</f>
        <v/>
      </c>
      <c r="R1876" s="16">
        <f>HYPERLINK("https://checko.ru/search?query=3801001629","Чекко: проверить")</f>
        <v/>
      </c>
      <c r="S1876" t="n">
        <v>1</v>
      </c>
      <c r="T1876" s="35" t="inlineStr">
        <is>
          <t>4 — Не обогащён</t>
        </is>
      </c>
      <c r="U1876" s="35" t="inlineStr">
        <is>
          <t>Нет ОКВЭД/ССЧР</t>
        </is>
      </c>
      <c r="V1876" s="35" t="inlineStr">
        <is>
          <t>Не определено</t>
        </is>
      </c>
      <c r="W1876" s="35" t="inlineStr"/>
      <c r="X1876" s="35" t="inlineStr"/>
    </row>
    <row r="1877" ht="81.75" customHeight="1" s="24">
      <c r="A1877" s="13" t="n">
        <v>5000106150</v>
      </c>
      <c r="B1877" s="13" t="inlineStr">
        <is>
          <t>МУНИЦИПАЛЬНОЕ БЮДЖЕТНОЕ ОБЩЕОБРАЗОВАТЕЛЬНОЕ УЧРЕЖДЕНИЕ "ТОЛКАЕВСКАЯ СРЕДНЯЯ ОБЩЕОБРАЗОВАТЕЛЬНАЯ ШКОЛА ИМЕНИ ДМИТРИЯ ГРЕЧУШКИНА" СОРОЧИНСКОГО ГОРОДСКОГ</t>
        </is>
      </c>
      <c r="C1877" s="13" t="n">
        <v>5647005439</v>
      </c>
      <c r="D1877" s="13" t="inlineStr">
        <is>
          <t>5647005439</t>
        </is>
      </c>
      <c r="E1877" s="13" t="inlineStr">
        <is>
          <t>ЮЛ РФ</t>
        </is>
      </c>
      <c r="F1877" s="13" t="n"/>
      <c r="G1877" s="14" t="n"/>
      <c r="H1877" s="14" t="n"/>
      <c r="I1877" s="14" t="n"/>
      <c r="J1877" s="14" t="n"/>
      <c r="K1877" s="53" t="inlineStr"/>
      <c r="L1877" s="53" t="inlineStr">
        <is>
          <t>Не определено</t>
        </is>
      </c>
      <c r="M1877" s="53" t="inlineStr"/>
      <c r="N1877" s="54" t="inlineStr"/>
      <c r="O1877" s="55" t="inlineStr"/>
      <c r="P1877" s="16" t="inlineStr">
        <is>
          <t>Требует обогащения</t>
        </is>
      </c>
      <c r="Q1877" s="16">
        <f>HYPERLINK("https://pb.nalog.ru/search.html?query=5647005439","ФНС: проверить")</f>
        <v/>
      </c>
      <c r="R1877" s="16">
        <f>HYPERLINK("https://checko.ru/search?query=3801001629","Чекко: проверить")</f>
        <v/>
      </c>
      <c r="S1877" t="n">
        <v>1</v>
      </c>
      <c r="T1877" s="35" t="inlineStr">
        <is>
          <t>4 — Не обогащён</t>
        </is>
      </c>
      <c r="U1877" s="35" t="inlineStr">
        <is>
          <t>Нет ОКВЭД/ССЧР</t>
        </is>
      </c>
      <c r="V1877" s="35" t="inlineStr">
        <is>
          <t>Не определено</t>
        </is>
      </c>
      <c r="W1877" s="35" t="inlineStr"/>
      <c r="X1877" s="35" t="inlineStr"/>
    </row>
    <row r="1878" ht="27.75" customHeight="1" s="24">
      <c r="A1878" s="13" t="n">
        <v>5000008577</v>
      </c>
      <c r="B1878" s="13" t="inlineStr">
        <is>
          <t>УФССП России по Карачаево-Черкесской Республике</t>
        </is>
      </c>
      <c r="C1878" s="13" t="n">
        <v>914000740</v>
      </c>
      <c r="D1878" s="13" t="n"/>
      <c r="E1878" s="13" t="inlineStr">
        <is>
          <t>Не определён</t>
        </is>
      </c>
      <c r="F1878" s="13" t="inlineStr">
        <is>
          <t>914000740</t>
        </is>
      </c>
      <c r="G1878" s="14" t="n"/>
      <c r="H1878" s="14" t="n"/>
      <c r="I1878" s="14" t="n"/>
      <c r="J1878" s="14" t="n"/>
      <c r="K1878" s="13">
        <f>IF(G1878="","",IF(G1878&gt;=22,"Да","Нет"))</f>
        <v/>
      </c>
      <c r="L1878" s="13">
        <f>IF(OR(I1878="",J1878=""),"Не определено",IF(OR(COUNTIF(I1878,"45*")&gt;0,COUNTIF(J1878,"*45*")&gt;0,COUNTIF(I1878,"46*")&gt;0,COUNTIF(J1878,"*46*")&gt;0,COUNTIF(I1878,"47*")&gt;0,COUNTIF(J1878,"*47*")&gt;0,COUNTIF(I1878,"10*")&gt;0,COUNTIF(J1878,"*10*")&gt;0,COUNTIF(I1878,"11*")&gt;0,COUNTIF(J1878,"*11*")&gt;0,COUNTIF(I1878,"12*")&gt;0,COUNTIF(J1878,"*12*")&gt;0,COUNTIF(I1878,"13*")&gt;0,COUNTIF(J1878,"*13*")&gt;0,COUNTIF(I1878,"14*")&gt;0,COUNTIF(J1878,"*14*")&gt;0,COUNTIF(I1878,"15*")&gt;0,COUNTIF(J1878,"*15*")&gt;0,COUNTIF(I1878,"16*")&gt;0,COUNTIF(J1878,"*16*")&gt;0,COUNTIF(I1878,"17*")&gt;0,COUNTIF(J1878,"*17*")&gt;0,COUNTIF(I1878,"18*")&gt;0,COUNTIF(J1878,"*18*")&gt;0,COUNTIF(I1878,"19*")&gt;0,COUNTIF(J1878,"*19*")&gt;0,COUNTIF(I1878,"20*")&gt;0,COUNTIF(J1878,"*20*")&gt;0,COUNTIF(I1878,"21*")&gt;0,COUNTIF(J1878,"*21*")&gt;0,COUNTIF(I1878,"22*")&gt;0,COUNTIF(J1878,"*22*")&gt;0,COUNTIF(I1878,"23*")&gt;0,COUNTIF(J1878,"*23*")&gt;0,COUNTIF(I1878,"24*")&gt;0,COUNTIF(J1878,"*24*")&gt;0,COUNTIF(I1878,"25*")&gt;0,COUNTIF(J1878,"*25*")&gt;0,COUNTIF(I1878,"26*")&gt;0,COUNTIF(J1878,"*26*")&gt;0,COUNTIF(I1878,"27*")&gt;0,COUNTIF(J1878,"*27*")&gt;0,COUNTIF(I1878,"28*")&gt;0,COUNTIF(J1878,"*28*")&gt;0,COUNTIF(I1878,"29*")&gt;0,COUNTIF(J1878,"*29*")&gt;0,COUNTIF(I1878,"30*")&gt;0,COUNTIF(J1878,"*30*")&gt;0,COUNTIF(I1878,"31*")&gt;0,COUNTIF(J1878,"*31*")&gt;0,COUNTIF(I1878,"32*")&gt;0,COUNTIF(J1878,"*32*")&gt;0,COUNTIF(I1878,"33*")&gt;0,COUNTIF(J1878,"*33*")&gt;0,COUNTIF(I1878,"41*")&gt;0,COUNTIF(J1878,"*41*")&gt;0,COUNTIF(I1878,"42*")&gt;0,COUNTIF(J1878,"*42*")&gt;0,COUNTIF(I1878,"43*")&gt;0,COUNTIF(J1878,"*43*")&gt;0,COUNTIF(I1878,"49*")&gt;0,COUNTIF(J1878,"*49*")&gt;0,COUNTIF(I1878,"52*")&gt;0,COUNTIF(J1878,"*52*")&gt;0,COUNTIF(I1878,"55*")&gt;0,COUNTIF(J1878,"*55*")&gt;0,COUNTIF(I1878,"56*")&gt;0,COUNTIF(J1878,"*56*")&gt;0,COUNTIF(I1878,"68*")&gt;0,COUNTIF(J1878,"*68*")&gt;0,COUNTIF(I1878,"78*")&gt;0,COUNTIF(J1878,"*78*")&gt;0,COUNTIF(I1878,"81*")&gt;0,COUNTIF(J1878,"*81*")&gt;0,COUNTIF(I1878,"82*")&gt;0,COUNTIF(J1878,"*82*")&gt;0,COUNTIF(I1878,"64*")&gt;0,COUNTIF(J1878,"*64*")&gt;0,COUNTIF(I1878,"65*")&gt;0,COUNTIF(J1878,"*65*")&gt;0,COUNTIF(I1878,"66*")&gt;0,COUNTIF(J1878,"*66*")&gt;0,COUNTIF(I1878,"61*")&gt;0,COUNTIF(J1878,"*61*")&gt;0,COUNTIF(I1878,"62*")&gt;0,COUNTIF(J1878,"*62*")&gt;0,COUNTIF(I1878,"63*")&gt;0,COUNTIF(J1878,"*63*")&gt;0,COUNTIF(I1878,"85*")&gt;0,COUNTIF(J1878,"*85*")&gt;0,COUNTIF(I1878,"86*")&gt;0,COUNTIF(J1878,"*86*")&gt;0),"Да","Нет"))</f>
        <v/>
      </c>
      <c r="M1878" s="13">
        <f>IF(OR(G1878="",L1878&lt;&gt;"Да"),"",IF(G1878&lt;=100,"До 100",IF(G1878&lt;=200,"До 200",IF(G1878&lt;=500,"До 500","Отдельное КП"))))</f>
        <v/>
      </c>
      <c r="N1878" s="15">
        <f>IF(OR(G1878="",L1878&lt;&gt;"Да"),"",IF(G1878&lt;=100,33600,IF(G1878&lt;=200,62400,IF(G1878&lt;=500,144000,""))))</f>
        <v/>
      </c>
      <c r="O1878" s="16">
        <f>IF(G1878="","",IF(G1878&lt;=15,"1–15",IF(G1878&lt;=30,"16–30",IF(G1878&lt;=50,"31–50",IF(G1878&lt;=100,"51–100",IF(G1878&lt;=150,"101–150",IF(G1878&lt;=200,"151–200",IF(G1878&lt;=500,"201–500","500+"))))))))</f>
        <v/>
      </c>
      <c r="P1878" s="16" t="inlineStr">
        <is>
          <t>Нет совпадения в предоставленной выгрузке ССЧР</t>
        </is>
      </c>
      <c r="Q1878" s="16" t="n"/>
      <c r="R1878" s="16">
        <f>HYPERLINK("https://checko.ru/search?query=3801001629","Чекко: проверить")</f>
        <v/>
      </c>
      <c r="S1878" t="n">
        <v>0</v>
      </c>
    </row>
    <row r="1879" ht="15" customHeight="1" s="24">
      <c r="A1879" s="13" t="n">
        <v>5000006316</v>
      </c>
      <c r="B1879" s="13" t="inlineStr">
        <is>
          <t>Агентство ветеринарии Ульяновской области</t>
        </is>
      </c>
      <c r="C1879" s="13" t="n">
        <v>7325096763</v>
      </c>
      <c r="D1879" s="13" t="inlineStr">
        <is>
          <t>7325096763</t>
        </is>
      </c>
      <c r="E1879" s="13" t="inlineStr">
        <is>
          <t>ЮЛ РФ</t>
        </is>
      </c>
      <c r="F1879" s="13" t="n"/>
      <c r="G1879" s="14" t="n"/>
      <c r="H1879" s="14" t="n"/>
      <c r="I1879" s="14" t="n"/>
      <c r="J1879" s="14" t="n"/>
      <c r="K1879" s="53" t="inlineStr"/>
      <c r="L1879" s="53" t="inlineStr">
        <is>
          <t>Не определено</t>
        </is>
      </c>
      <c r="M1879" s="53" t="inlineStr"/>
      <c r="N1879" s="54" t="inlineStr"/>
      <c r="O1879" s="55" t="inlineStr"/>
      <c r="P1879" s="16" t="inlineStr">
        <is>
          <t>Требует обогащения</t>
        </is>
      </c>
      <c r="Q1879" s="16">
        <f>HYPERLINK("https://pb.nalog.ru/search.html?query=7325096763","ФНС: проверить")</f>
        <v/>
      </c>
      <c r="R1879" s="16">
        <f>HYPERLINK("https://checko.ru/search?query=3801001629","Чекко: проверить")</f>
        <v/>
      </c>
      <c r="S1879" t="n">
        <v>1</v>
      </c>
      <c r="T1879" s="35" t="inlineStr">
        <is>
          <t>4 — Не обогащён</t>
        </is>
      </c>
      <c r="U1879" s="35" t="inlineStr">
        <is>
          <t>Нет ОКВЭД/ССЧР</t>
        </is>
      </c>
      <c r="V1879" s="35" t="inlineStr">
        <is>
          <t>Не определено</t>
        </is>
      </c>
      <c r="W1879" s="35" t="inlineStr"/>
      <c r="X1879" s="35" t="inlineStr"/>
    </row>
    <row r="1880" ht="68.25" customHeight="1" s="24">
      <c r="A1880" s="13" t="n">
        <v>5000106148</v>
      </c>
      <c r="B1880" s="13" t="inlineStr">
        <is>
          <t>МУНИЦИПАЛЬНОЕ БЮДЖЕТНОЕ ОБЩЕОБРАЗОВАТЕЛЬНОЕ УЧРЕЖДЕНИЕ "РОДИНСКАЯ СРЕДНЯЯ ОБЩЕОБРАЗОВАТЕЛЬНАЯ ШКОЛА" СОРОЧИНСКОГО ГОРОДСКОГО ОКРУГА ОРЕНБУРГСКОЙ ОБЛАС</t>
        </is>
      </c>
      <c r="C1880" s="13" t="n">
        <v>5647005277</v>
      </c>
      <c r="D1880" s="13" t="inlineStr">
        <is>
          <t>5647005277</t>
        </is>
      </c>
      <c r="E1880" s="13" t="inlineStr">
        <is>
          <t>ЮЛ РФ</t>
        </is>
      </c>
      <c r="F1880" s="13" t="n"/>
      <c r="G1880" s="14" t="n"/>
      <c r="H1880" s="14" t="n"/>
      <c r="I1880" s="14" t="n"/>
      <c r="J1880" s="14" t="n"/>
      <c r="K1880" s="53" t="inlineStr"/>
      <c r="L1880" s="53" t="inlineStr">
        <is>
          <t>Не определено</t>
        </is>
      </c>
      <c r="M1880" s="53" t="inlineStr"/>
      <c r="N1880" s="54" t="inlineStr"/>
      <c r="O1880" s="55" t="inlineStr"/>
      <c r="P1880" s="16" t="inlineStr">
        <is>
          <t>Требует обогащения</t>
        </is>
      </c>
      <c r="Q1880" s="16">
        <f>HYPERLINK("https://pb.nalog.ru/search.html?query=5647005277","ФНС: проверить")</f>
        <v/>
      </c>
      <c r="R1880" s="16">
        <f>HYPERLINK("https://checko.ru/search?query=3801001629","Чекко: проверить")</f>
        <v/>
      </c>
      <c r="S1880" t="n">
        <v>1</v>
      </c>
      <c r="T1880" s="35" t="inlineStr">
        <is>
          <t>4 — Не обогащён</t>
        </is>
      </c>
      <c r="U1880" s="35" t="inlineStr">
        <is>
          <t>Нет ОКВЭД/ССЧР</t>
        </is>
      </c>
      <c r="V1880" s="35" t="inlineStr">
        <is>
          <t>Не определено</t>
        </is>
      </c>
      <c r="W1880" s="35" t="inlineStr"/>
      <c r="X1880" s="35" t="inlineStr"/>
    </row>
    <row r="1881" ht="81.75" customHeight="1" s="24">
      <c r="A1881" s="13" t="n">
        <v>5000106149</v>
      </c>
      <c r="B1881" s="13" t="inlineStr">
        <is>
          <t>МУНИЦИПАЛЬНОЕ БЮДЖЕТНОЕ ОБЩЕОБРАЗОВАТЕЛЬНОЕ УЧРЕЖДЕНИЕ "РОМАНОВСКАЯ ОСНОВНАЯ ОБЩЕОБРАЗОВАТЕЛЬНАЯ ШКОЛА" СОРОЧИНСКОГО ГОРОДСКОГО ОКРУГА ОРЕНБУРГСКОЙ ОБ</t>
        </is>
      </c>
      <c r="C1881" s="13" t="n">
        <v>5647005326</v>
      </c>
      <c r="D1881" s="13" t="inlineStr">
        <is>
          <t>5647005326</t>
        </is>
      </c>
      <c r="E1881" s="13" t="inlineStr">
        <is>
          <t>ЮЛ РФ</t>
        </is>
      </c>
      <c r="F1881" s="13" t="n"/>
      <c r="G1881" s="14" t="n"/>
      <c r="H1881" s="14" t="n"/>
      <c r="I1881" s="14" t="n"/>
      <c r="J1881" s="14" t="n"/>
      <c r="K1881" s="53" t="inlineStr"/>
      <c r="L1881" s="53" t="inlineStr">
        <is>
          <t>Не определено</t>
        </is>
      </c>
      <c r="M1881" s="53" t="inlineStr"/>
      <c r="N1881" s="54" t="inlineStr"/>
      <c r="O1881" s="55" t="inlineStr"/>
      <c r="P1881" s="16" t="inlineStr">
        <is>
          <t>Требует обогащения</t>
        </is>
      </c>
      <c r="Q1881" s="16">
        <f>HYPERLINK("https://pb.nalog.ru/search.html?query=5647005326","ФНС: проверить")</f>
        <v/>
      </c>
      <c r="R1881" s="16">
        <f>HYPERLINK("https://checko.ru/search?query=3801001629","Чекко: проверить")</f>
        <v/>
      </c>
      <c r="S1881" t="n">
        <v>1</v>
      </c>
      <c r="T1881" s="35" t="inlineStr">
        <is>
          <t>4 — Не обогащён</t>
        </is>
      </c>
      <c r="U1881" s="35" t="inlineStr">
        <is>
          <t>Нет ОКВЭД/ССЧР</t>
        </is>
      </c>
      <c r="V1881" s="35" t="inlineStr">
        <is>
          <t>Не определено</t>
        </is>
      </c>
      <c r="W1881" s="35" t="inlineStr"/>
      <c r="X1881" s="35" t="inlineStr"/>
    </row>
    <row r="1882" ht="15" customHeight="1" s="24">
      <c r="A1882" s="13" t="n">
        <v>5000106105</v>
      </c>
      <c r="B1882" s="13" t="inlineStr">
        <is>
          <t>ГУ "Шарлыкское лесничество"</t>
        </is>
      </c>
      <c r="C1882" s="13" t="n">
        <v>5651002600</v>
      </c>
      <c r="D1882" s="13" t="inlineStr">
        <is>
          <t>5651002600</t>
        </is>
      </c>
      <c r="E1882" s="13" t="inlineStr">
        <is>
          <t>ЮЛ РФ</t>
        </is>
      </c>
      <c r="F1882" s="13" t="n"/>
      <c r="G1882" s="14" t="n"/>
      <c r="H1882" s="14" t="n"/>
      <c r="I1882" s="14" t="n"/>
      <c r="J1882" s="14" t="n"/>
      <c r="K1882" s="53" t="inlineStr"/>
      <c r="L1882" s="53" t="inlineStr">
        <is>
          <t>Не определено</t>
        </is>
      </c>
      <c r="M1882" s="53" t="inlineStr"/>
      <c r="N1882" s="54" t="inlineStr"/>
      <c r="O1882" s="55" t="inlineStr"/>
      <c r="P1882" s="16" t="inlineStr">
        <is>
          <t>Требует обогащения</t>
        </is>
      </c>
      <c r="Q1882" s="16">
        <f>HYPERLINK("https://pb.nalog.ru/search.html?query=5651002600","ФНС: проверить")</f>
        <v/>
      </c>
      <c r="R1882" s="16">
        <f>HYPERLINK("https://checko.ru/search?query=3801001629","Чекко: проверить")</f>
        <v/>
      </c>
      <c r="S1882" t="n">
        <v>1</v>
      </c>
      <c r="T1882" s="35" t="inlineStr">
        <is>
          <t>4 — Не обогащён</t>
        </is>
      </c>
      <c r="U1882" s="35" t="inlineStr">
        <is>
          <t>Нет ОКВЭД/ССЧР</t>
        </is>
      </c>
      <c r="V1882" s="35" t="inlineStr">
        <is>
          <t>Не определено</t>
        </is>
      </c>
      <c r="W1882" s="35" t="inlineStr"/>
      <c r="X1882" s="35" t="inlineStr"/>
    </row>
    <row r="1883" ht="27.75" customHeight="1" s="24">
      <c r="A1883" s="13" t="n">
        <v>5000001524</v>
      </c>
      <c r="B1883" s="13" t="inlineStr">
        <is>
          <t>ГБУК Иркутской области «Региональный центр русского языка, фольклора и этнографии»</t>
        </is>
      </c>
      <c r="C1883" s="13" t="n">
        <v>3808224913</v>
      </c>
      <c r="D1883" s="13" t="inlineStr">
        <is>
          <t>3808224913</t>
        </is>
      </c>
      <c r="E1883" s="13" t="inlineStr">
        <is>
          <t>ЮЛ РФ</t>
        </is>
      </c>
      <c r="F1883" s="13" t="n"/>
      <c r="G1883" s="14" t="n"/>
      <c r="H1883" s="14" t="n"/>
      <c r="I1883" s="14" t="n"/>
      <c r="J1883" s="14" t="n"/>
      <c r="K1883" s="53" t="inlineStr"/>
      <c r="L1883" s="53" t="inlineStr">
        <is>
          <t>Не определено</t>
        </is>
      </c>
      <c r="M1883" s="53" t="inlineStr"/>
      <c r="N1883" s="54" t="inlineStr"/>
      <c r="O1883" s="55" t="inlineStr"/>
      <c r="P1883" s="16" t="inlineStr">
        <is>
          <t>Требует обогащения</t>
        </is>
      </c>
      <c r="Q1883" s="16">
        <f>HYPERLINK("https://pb.nalog.ru/search.html?query=3808224913","ФНС: проверить")</f>
        <v/>
      </c>
      <c r="R1883" s="16">
        <f>HYPERLINK("https://checko.ru/search?query=3801001629","Чекко: проверить")</f>
        <v/>
      </c>
      <c r="S1883" t="n">
        <v>1</v>
      </c>
      <c r="T1883" s="35" t="inlineStr">
        <is>
          <t>4 — Не обогащён</t>
        </is>
      </c>
      <c r="U1883" s="35" t="inlineStr">
        <is>
          <t>Нет ОКВЭД/ССЧР</t>
        </is>
      </c>
      <c r="V1883" s="35" t="inlineStr">
        <is>
          <t>Не определено</t>
        </is>
      </c>
      <c r="W1883" s="35" t="inlineStr"/>
      <c r="X1883" s="35" t="inlineStr"/>
    </row>
    <row r="1884" ht="15" customHeight="1" s="24">
      <c r="A1884" s="13" t="n">
        <v>5000095207</v>
      </c>
      <c r="B1884" s="13" t="inlineStr">
        <is>
          <t>Контрольно-счетная палата г.о. Нальчик</t>
        </is>
      </c>
      <c r="C1884" s="13" t="n">
        <v>725003249</v>
      </c>
      <c r="D1884" s="13" t="n"/>
      <c r="E1884" s="13" t="inlineStr">
        <is>
          <t>Не определён</t>
        </is>
      </c>
      <c r="F1884" s="13" t="inlineStr">
        <is>
          <t>725003249</t>
        </is>
      </c>
      <c r="G1884" s="14" t="n"/>
      <c r="H1884" s="14" t="n"/>
      <c r="I1884" s="14" t="n"/>
      <c r="J1884" s="14" t="n"/>
      <c r="K1884" s="13">
        <f>IF(G1884="","",IF(G1884&gt;=22,"Да","Нет"))</f>
        <v/>
      </c>
      <c r="L1884" s="13">
        <f>IF(OR(I1884="",J1884=""),"Не определено",IF(OR(COUNTIF(I1884,"45*")&gt;0,COUNTIF(J1884,"*45*")&gt;0,COUNTIF(I1884,"46*")&gt;0,COUNTIF(J1884,"*46*")&gt;0,COUNTIF(I1884,"47*")&gt;0,COUNTIF(J1884,"*47*")&gt;0,COUNTIF(I1884,"10*")&gt;0,COUNTIF(J1884,"*10*")&gt;0,COUNTIF(I1884,"11*")&gt;0,COUNTIF(J1884,"*11*")&gt;0,COUNTIF(I1884,"12*")&gt;0,COUNTIF(J1884,"*12*")&gt;0,COUNTIF(I1884,"13*")&gt;0,COUNTIF(J1884,"*13*")&gt;0,COUNTIF(I1884,"14*")&gt;0,COUNTIF(J1884,"*14*")&gt;0,COUNTIF(I1884,"15*")&gt;0,COUNTIF(J1884,"*15*")&gt;0,COUNTIF(I1884,"16*")&gt;0,COUNTIF(J1884,"*16*")&gt;0,COUNTIF(I1884,"17*")&gt;0,COUNTIF(J1884,"*17*")&gt;0,COUNTIF(I1884,"18*")&gt;0,COUNTIF(J1884,"*18*")&gt;0,COUNTIF(I1884,"19*")&gt;0,COUNTIF(J1884,"*19*")&gt;0,COUNTIF(I1884,"20*")&gt;0,COUNTIF(J1884,"*20*")&gt;0,COUNTIF(I1884,"21*")&gt;0,COUNTIF(J1884,"*21*")&gt;0,COUNTIF(I1884,"22*")&gt;0,COUNTIF(J1884,"*22*")&gt;0,COUNTIF(I1884,"23*")&gt;0,COUNTIF(J1884,"*23*")&gt;0,COUNTIF(I1884,"24*")&gt;0,COUNTIF(J1884,"*24*")&gt;0,COUNTIF(I1884,"25*")&gt;0,COUNTIF(J1884,"*25*")&gt;0,COUNTIF(I1884,"26*")&gt;0,COUNTIF(J1884,"*26*")&gt;0,COUNTIF(I1884,"27*")&gt;0,COUNTIF(J1884,"*27*")&gt;0,COUNTIF(I1884,"28*")&gt;0,COUNTIF(J1884,"*28*")&gt;0,COUNTIF(I1884,"29*")&gt;0,COUNTIF(J1884,"*29*")&gt;0,COUNTIF(I1884,"30*")&gt;0,COUNTIF(J1884,"*30*")&gt;0,COUNTIF(I1884,"31*")&gt;0,COUNTIF(J1884,"*31*")&gt;0,COUNTIF(I1884,"32*")&gt;0,COUNTIF(J1884,"*32*")&gt;0,COUNTIF(I1884,"33*")&gt;0,COUNTIF(J1884,"*33*")&gt;0,COUNTIF(I1884,"41*")&gt;0,COUNTIF(J1884,"*41*")&gt;0,COUNTIF(I1884,"42*")&gt;0,COUNTIF(J1884,"*42*")&gt;0,COUNTIF(I1884,"43*")&gt;0,COUNTIF(J1884,"*43*")&gt;0,COUNTIF(I1884,"49*")&gt;0,COUNTIF(J1884,"*49*")&gt;0,COUNTIF(I1884,"52*")&gt;0,COUNTIF(J1884,"*52*")&gt;0,COUNTIF(I1884,"55*")&gt;0,COUNTIF(J1884,"*55*")&gt;0,COUNTIF(I1884,"56*")&gt;0,COUNTIF(J1884,"*56*")&gt;0,COUNTIF(I1884,"68*")&gt;0,COUNTIF(J1884,"*68*")&gt;0,COUNTIF(I1884,"78*")&gt;0,COUNTIF(J1884,"*78*")&gt;0,COUNTIF(I1884,"81*")&gt;0,COUNTIF(J1884,"*81*")&gt;0,COUNTIF(I1884,"82*")&gt;0,COUNTIF(J1884,"*82*")&gt;0,COUNTIF(I1884,"64*")&gt;0,COUNTIF(J1884,"*64*")&gt;0,COUNTIF(I1884,"65*")&gt;0,COUNTIF(J1884,"*65*")&gt;0,COUNTIF(I1884,"66*")&gt;0,COUNTIF(J1884,"*66*")&gt;0,COUNTIF(I1884,"61*")&gt;0,COUNTIF(J1884,"*61*")&gt;0,COUNTIF(I1884,"62*")&gt;0,COUNTIF(J1884,"*62*")&gt;0,COUNTIF(I1884,"63*")&gt;0,COUNTIF(J1884,"*63*")&gt;0,COUNTIF(I1884,"85*")&gt;0,COUNTIF(J1884,"*85*")&gt;0,COUNTIF(I1884,"86*")&gt;0,COUNTIF(J1884,"*86*")&gt;0),"Да","Нет"))</f>
        <v/>
      </c>
      <c r="M1884" s="13">
        <f>IF(OR(G1884="",L1884&lt;&gt;"Да"),"",IF(G1884&lt;=100,"До 100",IF(G1884&lt;=200,"До 200",IF(G1884&lt;=500,"До 500","Отдельное КП"))))</f>
        <v/>
      </c>
      <c r="N1884" s="15">
        <f>IF(OR(G1884="",L1884&lt;&gt;"Да"),"",IF(G1884&lt;=100,33600,IF(G1884&lt;=200,62400,IF(G1884&lt;=500,144000,""))))</f>
        <v/>
      </c>
      <c r="O1884" s="16">
        <f>IF(G1884="","",IF(G1884&lt;=15,"1–15",IF(G1884&lt;=30,"16–30",IF(G1884&lt;=50,"31–50",IF(G1884&lt;=100,"51–100",IF(G1884&lt;=150,"101–150",IF(G1884&lt;=200,"151–200",IF(G1884&lt;=500,"201–500","500+"))))))))</f>
        <v/>
      </c>
      <c r="P1884" s="16" t="inlineStr">
        <is>
          <t>Нет совпадения в предоставленной выгрузке ССЧР</t>
        </is>
      </c>
      <c r="Q1884" s="16" t="n"/>
      <c r="R1884" s="16">
        <f>HYPERLINK("https://checko.ru/search?query=3801001629","Чекко: проверить")</f>
        <v/>
      </c>
      <c r="S1884" t="n">
        <v>0</v>
      </c>
    </row>
    <row r="1885" ht="27.75" customHeight="1" s="24">
      <c r="A1885" s="13" t="n">
        <v>5000106113</v>
      </c>
      <c r="B1885" s="13" t="inlineStr">
        <is>
          <t>Государственное учреждение "Ташлинское районное управление ветеринарии"</t>
        </is>
      </c>
      <c r="C1885" s="13" t="n">
        <v>5648003466</v>
      </c>
      <c r="D1885" s="13" t="inlineStr">
        <is>
          <t>5648003466</t>
        </is>
      </c>
      <c r="E1885" s="13" t="inlineStr">
        <is>
          <t>ЮЛ РФ</t>
        </is>
      </c>
      <c r="F1885" s="13" t="n"/>
      <c r="G1885" s="14" t="n"/>
      <c r="H1885" s="14" t="n"/>
      <c r="I1885" s="14" t="n"/>
      <c r="J1885" s="14" t="n"/>
      <c r="K1885" s="53" t="inlineStr"/>
      <c r="L1885" s="53" t="inlineStr">
        <is>
          <t>Не определено</t>
        </is>
      </c>
      <c r="M1885" s="53" t="inlineStr"/>
      <c r="N1885" s="54" t="inlineStr"/>
      <c r="O1885" s="55" t="inlineStr"/>
      <c r="P1885" s="16" t="inlineStr">
        <is>
          <t>Требует обогащения</t>
        </is>
      </c>
      <c r="Q1885" s="16">
        <f>HYPERLINK("https://pb.nalog.ru/search.html?query=5648003466","ФНС: проверить")</f>
        <v/>
      </c>
      <c r="R1885" s="16">
        <f>HYPERLINK("https://checko.ru/search?query=3801001629","Чекко: проверить")</f>
        <v/>
      </c>
      <c r="S1885" t="n">
        <v>1</v>
      </c>
      <c r="T1885" s="35" t="inlineStr">
        <is>
          <t>4 — Не обогащён</t>
        </is>
      </c>
      <c r="U1885" s="35" t="inlineStr">
        <is>
          <t>Нет ОКВЭД/ССЧР</t>
        </is>
      </c>
      <c r="V1885" s="35" t="inlineStr">
        <is>
          <t>Не определено</t>
        </is>
      </c>
      <c r="W1885" s="35" t="inlineStr"/>
      <c r="X1885" s="35" t="inlineStr"/>
    </row>
    <row r="1886" ht="15" customHeight="1" s="24">
      <c r="A1886" s="13" t="n">
        <v>5000001422</v>
      </c>
      <c r="B1886" s="13" t="inlineStr">
        <is>
          <t>ГУК «Иркутская областная детская</t>
        </is>
      </c>
      <c r="C1886" s="13" t="n">
        <v>3808003456</v>
      </c>
      <c r="D1886" s="13" t="inlineStr">
        <is>
          <t>3808003456</t>
        </is>
      </c>
      <c r="E1886" s="13" t="inlineStr">
        <is>
          <t>ЮЛ РФ</t>
        </is>
      </c>
      <c r="F1886" s="13" t="n"/>
      <c r="G1886" s="14" t="n"/>
      <c r="H1886" s="14" t="n"/>
      <c r="I1886" s="14" t="n"/>
      <c r="J1886" s="14" t="n"/>
      <c r="K1886" s="53" t="inlineStr"/>
      <c r="L1886" s="53" t="inlineStr">
        <is>
          <t>Не определено</t>
        </is>
      </c>
      <c r="M1886" s="53" t="inlineStr"/>
      <c r="N1886" s="54" t="inlineStr"/>
      <c r="O1886" s="55" t="inlineStr"/>
      <c r="P1886" s="16" t="inlineStr">
        <is>
          <t>Требует обогащения</t>
        </is>
      </c>
      <c r="Q1886" s="16">
        <f>HYPERLINK("https://pb.nalog.ru/search.html?query=3808003456","ФНС: проверить")</f>
        <v/>
      </c>
      <c r="R1886" s="16">
        <f>HYPERLINK("https://checko.ru/search?query=3801001629","Чекко: проверить")</f>
        <v/>
      </c>
      <c r="S1886" t="n">
        <v>1</v>
      </c>
      <c r="T1886" s="35" t="inlineStr">
        <is>
          <t>4 — Не обогащён</t>
        </is>
      </c>
      <c r="U1886" s="35" t="inlineStr">
        <is>
          <t>Нет ОКВЭД/ССЧР</t>
        </is>
      </c>
      <c r="V1886" s="35" t="inlineStr">
        <is>
          <t>Не определено</t>
        </is>
      </c>
      <c r="W1886" s="35" t="inlineStr"/>
      <c r="X1886" s="35" t="inlineStr"/>
    </row>
    <row r="1887" ht="41.25" customHeight="1" s="24">
      <c r="A1887" s="13" t="n">
        <v>5000002203</v>
      </c>
      <c r="B1887" s="13" t="inlineStr">
        <is>
          <t>ОБЛАСТНОЕ ГОСУДАРСТВЕННОЕ БЮДЖЕТНОЕ УЧРЕЖДЕНИЕ ЗДРАВООХРАНЕНИЯ "БОЛЬНИЦА Г. СВИРСКА"</t>
        </is>
      </c>
      <c r="C1887" s="13" t="n">
        <v>3820000620</v>
      </c>
      <c r="D1887" s="13" t="inlineStr">
        <is>
          <t>3820000620</t>
        </is>
      </c>
      <c r="E1887" s="13" t="inlineStr">
        <is>
          <t>ЮЛ РФ</t>
        </is>
      </c>
      <c r="F1887" s="13" t="n"/>
      <c r="G1887" s="14" t="n"/>
      <c r="H1887" s="14" t="n"/>
      <c r="I1887" s="14" t="n"/>
      <c r="J1887" s="14" t="n"/>
      <c r="K1887" s="53" t="inlineStr"/>
      <c r="L1887" s="53" t="inlineStr">
        <is>
          <t>Не определено</t>
        </is>
      </c>
      <c r="M1887" s="53" t="inlineStr"/>
      <c r="N1887" s="54" t="inlineStr"/>
      <c r="O1887" s="55" t="inlineStr"/>
      <c r="P1887" s="16" t="inlineStr">
        <is>
          <t>Требует обогащения</t>
        </is>
      </c>
      <c r="Q1887" s="16">
        <f>HYPERLINK("https://pb.nalog.ru/search.html?query=3820000620","ФНС: проверить")</f>
        <v/>
      </c>
      <c r="R1887" s="16">
        <f>HYPERLINK("https://checko.ru/search?query=3801001629","Чекко: проверить")</f>
        <v/>
      </c>
      <c r="S1887" t="n">
        <v>1</v>
      </c>
      <c r="T1887" s="35" t="inlineStr">
        <is>
          <t>4 — Не обогащён</t>
        </is>
      </c>
      <c r="U1887" s="35" t="inlineStr">
        <is>
          <t>Нет ОКВЭД/ССЧР</t>
        </is>
      </c>
      <c r="V1887" s="35" t="inlineStr">
        <is>
          <t>Не определено</t>
        </is>
      </c>
      <c r="W1887" s="35" t="inlineStr"/>
      <c r="X1887" s="35" t="inlineStr"/>
    </row>
    <row r="1888" ht="41.25" customHeight="1" s="24">
      <c r="A1888" s="13" t="n">
        <v>5000062554</v>
      </c>
      <c r="B1888" s="13" t="inlineStr">
        <is>
          <t>ОБЛАСТНОЕ ГОСУДАРСТВЕННОЕ КАЗЁННОЕ УЧРЕЖДЕНИЕ СОЦИАЛЬНОГО ОБСЛУЖИВАНИЯ "СОЦИАЛЬНЫЙ ПРИЮТ ДЛЯ ДЕТЕЙ И</t>
        </is>
      </c>
      <c r="C1888" s="13" t="n">
        <v>7316002430</v>
      </c>
      <c r="D1888" s="13" t="inlineStr">
        <is>
          <t>7316002430</t>
        </is>
      </c>
      <c r="E1888" s="13" t="inlineStr">
        <is>
          <t>ЮЛ РФ</t>
        </is>
      </c>
      <c r="F1888" s="13" t="n"/>
      <c r="G1888" s="14" t="n"/>
      <c r="H1888" s="14" t="n"/>
      <c r="I1888" s="14" t="n"/>
      <c r="J1888" s="14" t="n"/>
      <c r="K1888" s="53" t="inlineStr"/>
      <c r="L1888" s="53" t="inlineStr">
        <is>
          <t>Не определено</t>
        </is>
      </c>
      <c r="M1888" s="53" t="inlineStr"/>
      <c r="N1888" s="54" t="inlineStr"/>
      <c r="O1888" s="55" t="inlineStr"/>
      <c r="P1888" s="16" t="inlineStr">
        <is>
          <t>Требует обогащения</t>
        </is>
      </c>
      <c r="Q1888" s="16">
        <f>HYPERLINK("https://pb.nalog.ru/search.html?query=7316002430","ФНС: проверить")</f>
        <v/>
      </c>
      <c r="R1888" s="16">
        <f>HYPERLINK("https://checko.ru/search?query=3801001629","Чекко: проверить")</f>
        <v/>
      </c>
      <c r="S1888" t="n">
        <v>1</v>
      </c>
      <c r="T1888" s="35" t="inlineStr">
        <is>
          <t>4 — Не обогащён</t>
        </is>
      </c>
      <c r="U1888" s="35" t="inlineStr">
        <is>
          <t>Нет ОКВЭД/ССЧР</t>
        </is>
      </c>
      <c r="V1888" s="35" t="inlineStr">
        <is>
          <t>Не определено</t>
        </is>
      </c>
      <c r="W1888" s="35" t="inlineStr"/>
      <c r="X1888" s="35" t="inlineStr"/>
    </row>
    <row r="1889" ht="15" customHeight="1" s="24">
      <c r="A1889" s="13" t="n">
        <v>5000062515</v>
      </c>
      <c r="B1889" s="13" t="inlineStr">
        <is>
          <t>ОбГУ СПО "Карсунский медицинский техникум"</t>
        </is>
      </c>
      <c r="C1889" s="13" t="n">
        <v>7307003050</v>
      </c>
      <c r="D1889" s="13" t="inlineStr">
        <is>
          <t>7307003050</t>
        </is>
      </c>
      <c r="E1889" s="13" t="inlineStr">
        <is>
          <t>ЮЛ РФ</t>
        </is>
      </c>
      <c r="F1889" s="13" t="n"/>
      <c r="G1889" s="14" t="n"/>
      <c r="H1889" s="14" t="n"/>
      <c r="I1889" s="14" t="n"/>
      <c r="J1889" s="14" t="n"/>
      <c r="K1889" s="53" t="inlineStr"/>
      <c r="L1889" s="53" t="inlineStr">
        <is>
          <t>Не определено</t>
        </is>
      </c>
      <c r="M1889" s="53" t="inlineStr"/>
      <c r="N1889" s="54" t="inlineStr"/>
      <c r="O1889" s="55" t="inlineStr"/>
      <c r="P1889" s="16" t="inlineStr">
        <is>
          <t>Требует обогащения</t>
        </is>
      </c>
      <c r="Q1889" s="16">
        <f>HYPERLINK("https://pb.nalog.ru/search.html?query=7307003050","ФНС: проверить")</f>
        <v/>
      </c>
      <c r="R1889" s="16">
        <f>HYPERLINK("https://checko.ru/search?query=3801001629","Чекко: проверить")</f>
        <v/>
      </c>
      <c r="S1889" t="n">
        <v>1</v>
      </c>
      <c r="T1889" s="35" t="inlineStr">
        <is>
          <t>4 — Не обогащён</t>
        </is>
      </c>
      <c r="U1889" s="35" t="inlineStr">
        <is>
          <t>Нет ОКВЭД/ССЧР</t>
        </is>
      </c>
      <c r="V1889" s="35" t="inlineStr">
        <is>
          <t>Не определено</t>
        </is>
      </c>
      <c r="W1889" s="35" t="inlineStr"/>
      <c r="X1889" s="35" t="inlineStr"/>
    </row>
    <row r="1890" ht="41.25" customHeight="1" s="24">
      <c r="A1890" s="13" t="n">
        <v>5000106175</v>
      </c>
      <c r="B1890" s="13" t="inlineStr">
        <is>
          <t>АДМИНИСТРАЦИЯ МУНИЦИПАЛЬНОГО ОБРАЗОВАНИЯ ЯСНОПОЛЯНСКИЙ СЕЛЬСОВЕТ ТАШЛИНСКОГО РАЙОНА ОРЕНБУРГСКОЙ ОБЛАСТИ</t>
        </is>
      </c>
      <c r="C1890" s="13" t="n">
        <v>5648004188</v>
      </c>
      <c r="D1890" s="13" t="inlineStr">
        <is>
          <t>5648004188</t>
        </is>
      </c>
      <c r="E1890" s="13" t="inlineStr">
        <is>
          <t>ЮЛ РФ</t>
        </is>
      </c>
      <c r="F1890" s="13" t="n"/>
      <c r="G1890" s="14" t="n"/>
      <c r="H1890" s="14" t="n"/>
      <c r="I1890" s="14" t="n"/>
      <c r="J1890" s="14" t="n"/>
      <c r="K1890" s="53" t="inlineStr"/>
      <c r="L1890" s="53" t="inlineStr">
        <is>
          <t>Не определено</t>
        </is>
      </c>
      <c r="M1890" s="53" t="inlineStr"/>
      <c r="N1890" s="54" t="inlineStr"/>
      <c r="O1890" s="55" t="inlineStr"/>
      <c r="P1890" s="16" t="inlineStr">
        <is>
          <t>Требует обогащения</t>
        </is>
      </c>
      <c r="Q1890" s="16">
        <f>HYPERLINK("https://pb.nalog.ru/search.html?query=5648004188","ФНС: проверить")</f>
        <v/>
      </c>
      <c r="R1890" s="16">
        <f>HYPERLINK("https://checko.ru/search?query=3801001629","Чекко: проверить")</f>
        <v/>
      </c>
      <c r="S1890" t="n">
        <v>1</v>
      </c>
      <c r="T1890" s="35" t="inlineStr">
        <is>
          <t>4 — Не обогащён</t>
        </is>
      </c>
      <c r="U1890" s="35" t="inlineStr">
        <is>
          <t>Нет ОКВЭД/ССЧР</t>
        </is>
      </c>
      <c r="V1890" s="35" t="inlineStr">
        <is>
          <t>Не определено</t>
        </is>
      </c>
      <c r="W1890" s="35" t="inlineStr"/>
      <c r="X1890" s="35" t="inlineStr"/>
    </row>
    <row r="1891" ht="15" customHeight="1" s="24">
      <c r="A1891" s="13" t="n">
        <v>5000106085</v>
      </c>
      <c r="B1891" s="13" t="inlineStr">
        <is>
          <t>ГБУЗ "СЕВЕРНАЯ РБ"</t>
        </is>
      </c>
      <c r="C1891" s="13" t="n">
        <v>5645000202</v>
      </c>
      <c r="D1891" s="13" t="inlineStr">
        <is>
          <t>5645000202</t>
        </is>
      </c>
      <c r="E1891" s="13" t="inlineStr">
        <is>
          <t>ЮЛ РФ</t>
        </is>
      </c>
      <c r="F1891" s="13" t="n"/>
      <c r="G1891" s="14" t="n"/>
      <c r="H1891" s="14" t="n"/>
      <c r="I1891" s="14" t="n"/>
      <c r="J1891" s="14" t="n"/>
      <c r="K1891" s="53" t="inlineStr"/>
      <c r="L1891" s="53" t="inlineStr">
        <is>
          <t>Не определено</t>
        </is>
      </c>
      <c r="M1891" s="53" t="inlineStr"/>
      <c r="N1891" s="54" t="inlineStr"/>
      <c r="O1891" s="55" t="inlineStr"/>
      <c r="P1891" s="16" t="inlineStr">
        <is>
          <t>Требует обогащения</t>
        </is>
      </c>
      <c r="Q1891" s="16">
        <f>HYPERLINK("https://pb.nalog.ru/search.html?query=5645000202","ФНС: проверить")</f>
        <v/>
      </c>
      <c r="R1891" s="16">
        <f>HYPERLINK("https://checko.ru/search?query=3801001629","Чекко: проверить")</f>
        <v/>
      </c>
      <c r="S1891" t="n">
        <v>1</v>
      </c>
      <c r="T1891" s="35" t="inlineStr">
        <is>
          <t>4 — Не обогащён</t>
        </is>
      </c>
      <c r="U1891" s="35" t="inlineStr">
        <is>
          <t>Нет ОКВЭД/ССЧР</t>
        </is>
      </c>
      <c r="V1891" s="35" t="inlineStr">
        <is>
          <t>Не определено</t>
        </is>
      </c>
      <c r="W1891" s="35" t="inlineStr"/>
      <c r="X1891" s="35" t="inlineStr"/>
    </row>
    <row r="1892" ht="15" customHeight="1" s="24">
      <c r="A1892" s="13" t="n">
        <v>5000008581</v>
      </c>
      <c r="B1892" s="13" t="inlineStr">
        <is>
          <t>УФССП России по Республике Калмыкия</t>
        </is>
      </c>
      <c r="C1892" s="13" t="n">
        <v>814163082</v>
      </c>
      <c r="D1892" s="13" t="n"/>
      <c r="E1892" s="13" t="inlineStr">
        <is>
          <t>Не определён</t>
        </is>
      </c>
      <c r="F1892" s="13" t="inlineStr">
        <is>
          <t>814163082</t>
        </is>
      </c>
      <c r="G1892" s="14" t="n"/>
      <c r="H1892" s="14" t="n"/>
      <c r="I1892" s="14" t="n"/>
      <c r="J1892" s="14" t="n"/>
      <c r="K1892" s="13">
        <f>IF(G1892="","",IF(G1892&gt;=22,"Да","Нет"))</f>
        <v/>
      </c>
      <c r="L1892" s="13">
        <f>IF(OR(I1892="",J1892=""),"Не определено",IF(OR(COUNTIF(I1892,"45*")&gt;0,COUNTIF(J1892,"*45*")&gt;0,COUNTIF(I1892,"46*")&gt;0,COUNTIF(J1892,"*46*")&gt;0,COUNTIF(I1892,"47*")&gt;0,COUNTIF(J1892,"*47*")&gt;0,COUNTIF(I1892,"10*")&gt;0,COUNTIF(J1892,"*10*")&gt;0,COUNTIF(I1892,"11*")&gt;0,COUNTIF(J1892,"*11*")&gt;0,COUNTIF(I1892,"12*")&gt;0,COUNTIF(J1892,"*12*")&gt;0,COUNTIF(I1892,"13*")&gt;0,COUNTIF(J1892,"*13*")&gt;0,COUNTIF(I1892,"14*")&gt;0,COUNTIF(J1892,"*14*")&gt;0,COUNTIF(I1892,"15*")&gt;0,COUNTIF(J1892,"*15*")&gt;0,COUNTIF(I1892,"16*")&gt;0,COUNTIF(J1892,"*16*")&gt;0,COUNTIF(I1892,"17*")&gt;0,COUNTIF(J1892,"*17*")&gt;0,COUNTIF(I1892,"18*")&gt;0,COUNTIF(J1892,"*18*")&gt;0,COUNTIF(I1892,"19*")&gt;0,COUNTIF(J1892,"*19*")&gt;0,COUNTIF(I1892,"20*")&gt;0,COUNTIF(J1892,"*20*")&gt;0,COUNTIF(I1892,"21*")&gt;0,COUNTIF(J1892,"*21*")&gt;0,COUNTIF(I1892,"22*")&gt;0,COUNTIF(J1892,"*22*")&gt;0,COUNTIF(I1892,"23*")&gt;0,COUNTIF(J1892,"*23*")&gt;0,COUNTIF(I1892,"24*")&gt;0,COUNTIF(J1892,"*24*")&gt;0,COUNTIF(I1892,"25*")&gt;0,COUNTIF(J1892,"*25*")&gt;0,COUNTIF(I1892,"26*")&gt;0,COUNTIF(J1892,"*26*")&gt;0,COUNTIF(I1892,"27*")&gt;0,COUNTIF(J1892,"*27*")&gt;0,COUNTIF(I1892,"28*")&gt;0,COUNTIF(J1892,"*28*")&gt;0,COUNTIF(I1892,"29*")&gt;0,COUNTIF(J1892,"*29*")&gt;0,COUNTIF(I1892,"30*")&gt;0,COUNTIF(J1892,"*30*")&gt;0,COUNTIF(I1892,"31*")&gt;0,COUNTIF(J1892,"*31*")&gt;0,COUNTIF(I1892,"32*")&gt;0,COUNTIF(J1892,"*32*")&gt;0,COUNTIF(I1892,"33*")&gt;0,COUNTIF(J1892,"*33*")&gt;0,COUNTIF(I1892,"41*")&gt;0,COUNTIF(J1892,"*41*")&gt;0,COUNTIF(I1892,"42*")&gt;0,COUNTIF(J1892,"*42*")&gt;0,COUNTIF(I1892,"43*")&gt;0,COUNTIF(J1892,"*43*")&gt;0,COUNTIF(I1892,"49*")&gt;0,COUNTIF(J1892,"*49*")&gt;0,COUNTIF(I1892,"52*")&gt;0,COUNTIF(J1892,"*52*")&gt;0,COUNTIF(I1892,"55*")&gt;0,COUNTIF(J1892,"*55*")&gt;0,COUNTIF(I1892,"56*")&gt;0,COUNTIF(J1892,"*56*")&gt;0,COUNTIF(I1892,"68*")&gt;0,COUNTIF(J1892,"*68*")&gt;0,COUNTIF(I1892,"78*")&gt;0,COUNTIF(J1892,"*78*")&gt;0,COUNTIF(I1892,"81*")&gt;0,COUNTIF(J1892,"*81*")&gt;0,COUNTIF(I1892,"82*")&gt;0,COUNTIF(J1892,"*82*")&gt;0,COUNTIF(I1892,"64*")&gt;0,COUNTIF(J1892,"*64*")&gt;0,COUNTIF(I1892,"65*")&gt;0,COUNTIF(J1892,"*65*")&gt;0,COUNTIF(I1892,"66*")&gt;0,COUNTIF(J1892,"*66*")&gt;0,COUNTIF(I1892,"61*")&gt;0,COUNTIF(J1892,"*61*")&gt;0,COUNTIF(I1892,"62*")&gt;0,COUNTIF(J1892,"*62*")&gt;0,COUNTIF(I1892,"63*")&gt;0,COUNTIF(J1892,"*63*")&gt;0,COUNTIF(I1892,"85*")&gt;0,COUNTIF(J1892,"*85*")&gt;0,COUNTIF(I1892,"86*")&gt;0,COUNTIF(J1892,"*86*")&gt;0),"Да","Нет"))</f>
        <v/>
      </c>
      <c r="M1892" s="13">
        <f>IF(OR(G1892="",L1892&lt;&gt;"Да"),"",IF(G1892&lt;=100,"До 100",IF(G1892&lt;=200,"До 200",IF(G1892&lt;=500,"До 500","Отдельное КП"))))</f>
        <v/>
      </c>
      <c r="N1892" s="15">
        <f>IF(OR(G1892="",L1892&lt;&gt;"Да"),"",IF(G1892&lt;=100,33600,IF(G1892&lt;=200,62400,IF(G1892&lt;=500,144000,""))))</f>
        <v/>
      </c>
      <c r="O1892" s="16">
        <f>IF(G1892="","",IF(G1892&lt;=15,"1–15",IF(G1892&lt;=30,"16–30",IF(G1892&lt;=50,"31–50",IF(G1892&lt;=100,"51–100",IF(G1892&lt;=150,"101–150",IF(G1892&lt;=200,"151–200",IF(G1892&lt;=500,"201–500","500+"))))))))</f>
        <v/>
      </c>
      <c r="P1892" s="16" t="inlineStr">
        <is>
          <t>Нет совпадения в предоставленной выгрузке ССЧР</t>
        </is>
      </c>
      <c r="Q1892" s="16" t="n"/>
      <c r="R1892" s="16">
        <f>HYPERLINK("https://checko.ru/search?query=3801001629","Чекко: проверить")</f>
        <v/>
      </c>
      <c r="S1892" t="n">
        <v>0</v>
      </c>
    </row>
    <row r="1893" ht="27.75" customHeight="1" s="24">
      <c r="A1893" s="13" t="n">
        <v>5000062540</v>
      </c>
      <c r="B1893" s="13" t="inlineStr">
        <is>
          <t>ОГАУСО "Психоневрологический интернат в п.Приозерный"</t>
        </is>
      </c>
      <c r="C1893" s="13" t="n">
        <v>7304000630</v>
      </c>
      <c r="D1893" s="13" t="inlineStr">
        <is>
          <t>7304000630</t>
        </is>
      </c>
      <c r="E1893" s="13" t="inlineStr">
        <is>
          <t>ЮЛ РФ</t>
        </is>
      </c>
      <c r="F1893" s="13" t="n"/>
      <c r="G1893" s="14" t="n"/>
      <c r="H1893" s="14" t="n"/>
      <c r="I1893" s="14" t="n"/>
      <c r="J1893" s="14" t="n"/>
      <c r="K1893" s="53" t="inlineStr"/>
      <c r="L1893" s="53" t="inlineStr">
        <is>
          <t>Не определено</t>
        </is>
      </c>
      <c r="M1893" s="53" t="inlineStr"/>
      <c r="N1893" s="54" t="inlineStr"/>
      <c r="O1893" s="55" t="inlineStr"/>
      <c r="P1893" s="16" t="inlineStr">
        <is>
          <t>Требует обогащения</t>
        </is>
      </c>
      <c r="Q1893" s="16">
        <f>HYPERLINK("https://pb.nalog.ru/search.html?query=7304000630","ФНС: проверить")</f>
        <v/>
      </c>
      <c r="R1893" s="16">
        <f>HYPERLINK("https://checko.ru/search?query=3801001629","Чекко: проверить")</f>
        <v/>
      </c>
      <c r="S1893" t="n">
        <v>1</v>
      </c>
      <c r="T1893" s="35" t="inlineStr">
        <is>
          <t>4 — Не обогащён</t>
        </is>
      </c>
      <c r="U1893" s="35" t="inlineStr">
        <is>
          <t>Нет ОКВЭД/ССЧР</t>
        </is>
      </c>
      <c r="V1893" s="35" t="inlineStr">
        <is>
          <t>Не определено</t>
        </is>
      </c>
      <c r="W1893" s="35" t="inlineStr"/>
      <c r="X1893" s="35" t="inlineStr"/>
    </row>
    <row r="1894" ht="41.25" customHeight="1" s="24">
      <c r="A1894" s="13" t="n">
        <v>5000001381</v>
      </c>
      <c r="B1894" s="13" t="inlineStr">
        <is>
          <t>ОбГОУ для детей-сирот и детей, оставшихся без попечения родителей, специальная (коррекционная) школа-ин</t>
        </is>
      </c>
      <c r="C1894" s="13" t="n">
        <v>3803203331</v>
      </c>
      <c r="D1894" s="13" t="inlineStr">
        <is>
          <t>3803203331</t>
        </is>
      </c>
      <c r="E1894" s="13" t="inlineStr">
        <is>
          <t>ЮЛ РФ</t>
        </is>
      </c>
      <c r="F1894" s="13" t="n"/>
      <c r="G1894" s="14" t="n"/>
      <c r="H1894" s="14" t="n"/>
      <c r="I1894" s="14" t="n"/>
      <c r="J1894" s="14" t="n"/>
      <c r="K1894" s="53" t="inlineStr"/>
      <c r="L1894" s="53" t="inlineStr">
        <is>
          <t>Не определено</t>
        </is>
      </c>
      <c r="M1894" s="53" t="inlineStr"/>
      <c r="N1894" s="54" t="inlineStr"/>
      <c r="O1894" s="55" t="inlineStr"/>
      <c r="P1894" s="16" t="inlineStr">
        <is>
          <t>Требует обогащения</t>
        </is>
      </c>
      <c r="Q1894" s="16">
        <f>HYPERLINK("https://pb.nalog.ru/search.html?query=3803203331","ФНС: проверить")</f>
        <v/>
      </c>
      <c r="R1894" s="16">
        <f>HYPERLINK("https://checko.ru/search?query=3801001629","Чекко: проверить")</f>
        <v/>
      </c>
      <c r="S1894" t="n">
        <v>1</v>
      </c>
      <c r="T1894" s="35" t="inlineStr">
        <is>
          <t>4 — Не обогащён</t>
        </is>
      </c>
      <c r="U1894" s="35" t="inlineStr">
        <is>
          <t>Нет ОКВЭД/ССЧР</t>
        </is>
      </c>
      <c r="V1894" s="35" t="inlineStr">
        <is>
          <t>Не определено</t>
        </is>
      </c>
      <c r="W1894" s="35" t="inlineStr"/>
      <c r="X1894" s="35" t="inlineStr"/>
    </row>
    <row r="1895" ht="15" customHeight="1" s="24">
      <c r="A1895" s="13" t="n">
        <v>5000062642</v>
      </c>
      <c r="B1895" s="13" t="inlineStr">
        <is>
          <t>ГУ Здравоохранения Областной медицинский</t>
        </is>
      </c>
      <c r="C1895" s="13" t="n">
        <v>7325002959</v>
      </c>
      <c r="D1895" s="13" t="inlineStr">
        <is>
          <t>7325002959</t>
        </is>
      </c>
      <c r="E1895" s="13" t="inlineStr">
        <is>
          <t>ЮЛ РФ</t>
        </is>
      </c>
      <c r="F1895" s="13" t="n"/>
      <c r="G1895" s="14" t="n"/>
      <c r="H1895" s="14" t="n"/>
      <c r="I1895" s="14" t="n"/>
      <c r="J1895" s="14" t="n"/>
      <c r="K1895" s="53" t="inlineStr"/>
      <c r="L1895" s="53" t="inlineStr">
        <is>
          <t>Не определено</t>
        </is>
      </c>
      <c r="M1895" s="53" t="inlineStr"/>
      <c r="N1895" s="54" t="inlineStr"/>
      <c r="O1895" s="55" t="inlineStr"/>
      <c r="P1895" s="16" t="inlineStr">
        <is>
          <t>Требует обогащения</t>
        </is>
      </c>
      <c r="Q1895" s="16">
        <f>HYPERLINK("https://pb.nalog.ru/search.html?query=7325002959","ФНС: проверить")</f>
        <v/>
      </c>
      <c r="R1895" s="16">
        <f>HYPERLINK("https://checko.ru/search?query=3801001629","Чекко: проверить")</f>
        <v/>
      </c>
      <c r="S1895" t="n">
        <v>1</v>
      </c>
      <c r="T1895" s="35" t="inlineStr">
        <is>
          <t>4 — Не обогащён</t>
        </is>
      </c>
      <c r="U1895" s="35" t="inlineStr">
        <is>
          <t>Нет ОКВЭД/ССЧР</t>
        </is>
      </c>
      <c r="V1895" s="35" t="inlineStr">
        <is>
          <t>Не определено</t>
        </is>
      </c>
      <c r="W1895" s="35" t="inlineStr"/>
      <c r="X1895" s="35" t="inlineStr"/>
    </row>
    <row r="1896" ht="27.75" customHeight="1" s="24">
      <c r="A1896" s="13" t="n">
        <v>5000060622</v>
      </c>
      <c r="B1896" s="13" t="inlineStr">
        <is>
          <t>ОГКОУ Тагайс школа-интернат "Островок надежды"</t>
        </is>
      </c>
      <c r="C1896" s="13" t="n">
        <v>7309001820</v>
      </c>
      <c r="D1896" s="13" t="inlineStr">
        <is>
          <t>7309001820</t>
        </is>
      </c>
      <c r="E1896" s="13" t="inlineStr">
        <is>
          <t>ЮЛ РФ</t>
        </is>
      </c>
      <c r="F1896" s="13" t="n"/>
      <c r="G1896" s="14" t="n"/>
      <c r="H1896" s="14" t="n"/>
      <c r="I1896" s="14" t="n"/>
      <c r="J1896" s="14" t="n"/>
      <c r="K1896" s="53" t="inlineStr"/>
      <c r="L1896" s="53" t="inlineStr">
        <is>
          <t>Не определено</t>
        </is>
      </c>
      <c r="M1896" s="53" t="inlineStr"/>
      <c r="N1896" s="54" t="inlineStr"/>
      <c r="O1896" s="55" t="inlineStr"/>
      <c r="P1896" s="16" t="inlineStr">
        <is>
          <t>Требует обогащения</t>
        </is>
      </c>
      <c r="Q1896" s="16">
        <f>HYPERLINK("https://pb.nalog.ru/search.html?query=7309001820","ФНС: проверить")</f>
        <v/>
      </c>
      <c r="R1896" s="16">
        <f>HYPERLINK("https://checko.ru/search?query=3801001629","Чекко: проверить")</f>
        <v/>
      </c>
      <c r="S1896" t="n">
        <v>1</v>
      </c>
      <c r="T1896" s="35" t="inlineStr">
        <is>
          <t>4 — Не обогащён</t>
        </is>
      </c>
      <c r="U1896" s="35" t="inlineStr">
        <is>
          <t>Нет ОКВЭД/ССЧР</t>
        </is>
      </c>
      <c r="V1896" s="35" t="inlineStr">
        <is>
          <t>Не определено</t>
        </is>
      </c>
      <c r="W1896" s="35" t="inlineStr"/>
      <c r="X1896" s="35" t="inlineStr"/>
    </row>
    <row r="1897" ht="27.75" customHeight="1" s="24">
      <c r="A1897" s="13" t="n">
        <v>5000003703</v>
      </c>
      <c r="B1897" s="13" t="inlineStr">
        <is>
          <t>Областное ГБУ "Черемховская станция по борьбе с болезнями животных"</t>
        </is>
      </c>
      <c r="C1897" s="13" t="n">
        <v>3820009006</v>
      </c>
      <c r="D1897" s="13" t="inlineStr">
        <is>
          <t>3820009006</t>
        </is>
      </c>
      <c r="E1897" s="13" t="inlineStr">
        <is>
          <t>ЮЛ РФ</t>
        </is>
      </c>
      <c r="F1897" s="13" t="n"/>
      <c r="G1897" s="14" t="n"/>
      <c r="H1897" s="14" t="n"/>
      <c r="I1897" s="14" t="n"/>
      <c r="J1897" s="14" t="n"/>
      <c r="K1897" s="53" t="inlineStr"/>
      <c r="L1897" s="53" t="inlineStr">
        <is>
          <t>Не определено</t>
        </is>
      </c>
      <c r="M1897" s="53" t="inlineStr"/>
      <c r="N1897" s="54" t="inlineStr"/>
      <c r="O1897" s="55" t="inlineStr"/>
      <c r="P1897" s="16" t="inlineStr">
        <is>
          <t>Требует обогащения</t>
        </is>
      </c>
      <c r="Q1897" s="16">
        <f>HYPERLINK("https://pb.nalog.ru/search.html?query=3820009006","ФНС: проверить")</f>
        <v/>
      </c>
      <c r="R1897" s="16">
        <f>HYPERLINK("https://checko.ru/search?query=3801001629","Чекко: проверить")</f>
        <v/>
      </c>
      <c r="S1897" t="n">
        <v>1</v>
      </c>
      <c r="T1897" s="35" t="inlineStr">
        <is>
          <t>4 — Не обогащён</t>
        </is>
      </c>
      <c r="U1897" s="35" t="inlineStr">
        <is>
          <t>Нет ОКВЭД/ССЧР</t>
        </is>
      </c>
      <c r="V1897" s="35" t="inlineStr">
        <is>
          <t>Не определено</t>
        </is>
      </c>
      <c r="W1897" s="35" t="inlineStr"/>
      <c r="X1897" s="35" t="inlineStr"/>
    </row>
    <row r="1898" ht="41.25" customHeight="1" s="24">
      <c r="A1898" s="13" t="n">
        <v>5000001344</v>
      </c>
      <c r="B1898" s="13" t="inlineStr">
        <is>
          <t>ОБЛАСТНОЕ ГОСУДАРСТВЕННОЕ КАЗЕННОЕ УЧРЕЖДЕНИЕ ЗДРАВООХРАНЕНИЯ "АНГАРСКИЙ ОБЛАСТНОЙ СПЕЦИАЛИЗИРОВАННЫ</t>
        </is>
      </c>
      <c r="C1898" s="13" t="n">
        <v>3801018005</v>
      </c>
      <c r="D1898" s="13" t="inlineStr">
        <is>
          <t>3801018005</t>
        </is>
      </c>
      <c r="E1898" s="13" t="inlineStr">
        <is>
          <t>ЮЛ РФ</t>
        </is>
      </c>
      <c r="F1898" s="13" t="n"/>
      <c r="G1898" s="14" t="n"/>
      <c r="H1898" s="14" t="n"/>
      <c r="I1898" s="14" t="n"/>
      <c r="J1898" s="14" t="n"/>
      <c r="K1898" s="53" t="inlineStr"/>
      <c r="L1898" s="53" t="inlineStr">
        <is>
          <t>Не определено</t>
        </is>
      </c>
      <c r="M1898" s="53" t="inlineStr"/>
      <c r="N1898" s="54" t="inlineStr"/>
      <c r="O1898" s="55" t="inlineStr"/>
      <c r="P1898" s="16" t="inlineStr">
        <is>
          <t>Требует обогащения</t>
        </is>
      </c>
      <c r="Q1898" s="16">
        <f>HYPERLINK("https://pb.nalog.ru/search.html?query=3801018005","ФНС: проверить")</f>
        <v/>
      </c>
      <c r="R1898" s="16">
        <f>HYPERLINK("https://checko.ru/search?query=3801001629","Чекко: проверить")</f>
        <v/>
      </c>
      <c r="S1898" t="n">
        <v>1</v>
      </c>
      <c r="T1898" s="35" t="inlineStr">
        <is>
          <t>4 — Не обогащён</t>
        </is>
      </c>
      <c r="U1898" s="35" t="inlineStr">
        <is>
          <t>Нет ОКВЭД/ССЧР</t>
        </is>
      </c>
      <c r="V1898" s="35" t="inlineStr">
        <is>
          <t>Не определено</t>
        </is>
      </c>
      <c r="W1898" s="35" t="inlineStr"/>
      <c r="X1898" s="35" t="inlineStr"/>
    </row>
    <row r="1899" ht="41.25" customHeight="1" s="24">
      <c r="A1899" s="13" t="n">
        <v>5000001969</v>
      </c>
      <c r="B1899" s="13" t="inlineStr">
        <is>
          <t>ГОСУДАРСТВЕННОЕ БЮДЖЕТНОЕ УЧРЕЖДЕНИЕ ЗДРАВООХРАНЕНИЯ "ИРКУТСКОЕ ОБЛАСТНОЕ ПАТОЛОГОАНАТОМИЧЕСКОЕ БЮРО</t>
        </is>
      </c>
      <c r="C1899" s="13" t="n">
        <v>3812009404</v>
      </c>
      <c r="D1899" s="13" t="inlineStr">
        <is>
          <t>3812009404</t>
        </is>
      </c>
      <c r="E1899" s="13" t="inlineStr">
        <is>
          <t>ЮЛ РФ</t>
        </is>
      </c>
      <c r="F1899" s="13" t="n"/>
      <c r="G1899" s="14" t="n"/>
      <c r="H1899" s="14" t="n"/>
      <c r="I1899" s="14" t="n"/>
      <c r="J1899" s="14" t="n"/>
      <c r="K1899" s="53" t="inlineStr"/>
      <c r="L1899" s="53" t="inlineStr">
        <is>
          <t>Не определено</t>
        </is>
      </c>
      <c r="M1899" s="53" t="inlineStr"/>
      <c r="N1899" s="54" t="inlineStr"/>
      <c r="O1899" s="55" t="inlineStr"/>
      <c r="P1899" s="16" t="inlineStr">
        <is>
          <t>Требует обогащения</t>
        </is>
      </c>
      <c r="Q1899" s="16">
        <f>HYPERLINK("https://pb.nalog.ru/search.html?query=3812009404","ФНС: проверить")</f>
        <v/>
      </c>
      <c r="R1899" s="16">
        <f>HYPERLINK("https://checko.ru/search?query=3801001629","Чекко: проверить")</f>
        <v/>
      </c>
      <c r="S1899" t="n">
        <v>1</v>
      </c>
      <c r="T1899" s="35" t="inlineStr">
        <is>
          <t>4 — Не обогащён</t>
        </is>
      </c>
      <c r="U1899" s="35" t="inlineStr">
        <is>
          <t>Нет ОКВЭД/ССЧР</t>
        </is>
      </c>
      <c r="V1899" s="35" t="inlineStr">
        <is>
          <t>Не определено</t>
        </is>
      </c>
      <c r="W1899" s="35" t="inlineStr"/>
      <c r="X1899" s="35" t="inlineStr"/>
    </row>
    <row r="1900" ht="27.75" customHeight="1" s="24">
      <c r="A1900" s="13" t="n">
        <v>5000059189</v>
      </c>
      <c r="B1900" s="13" t="inlineStr">
        <is>
          <t>Агентство государственных закупок Ульяновской области</t>
        </is>
      </c>
      <c r="C1900" s="13" t="n">
        <v>7325169669</v>
      </c>
      <c r="D1900" s="13" t="inlineStr">
        <is>
          <t>7325169669</t>
        </is>
      </c>
      <c r="E1900" s="13" t="inlineStr">
        <is>
          <t>ЮЛ РФ</t>
        </is>
      </c>
      <c r="F1900" s="13" t="n"/>
      <c r="G1900" s="14" t="n"/>
      <c r="H1900" s="14" t="n"/>
      <c r="I1900" s="14" t="n"/>
      <c r="J1900" s="14" t="n"/>
      <c r="K1900" s="53" t="inlineStr"/>
      <c r="L1900" s="53" t="inlineStr">
        <is>
          <t>Не определено</t>
        </is>
      </c>
      <c r="M1900" s="53" t="inlineStr"/>
      <c r="N1900" s="54" t="inlineStr"/>
      <c r="O1900" s="55" t="inlineStr"/>
      <c r="P1900" s="16" t="inlineStr">
        <is>
          <t>Требует обогащения</t>
        </is>
      </c>
      <c r="Q1900" s="16">
        <f>HYPERLINK("https://pb.nalog.ru/search.html?query=7325169669","ФНС: проверить")</f>
        <v/>
      </c>
      <c r="R1900" s="16">
        <f>HYPERLINK("https://checko.ru/search?query=3801001629","Чекко: проверить")</f>
        <v/>
      </c>
      <c r="S1900" t="n">
        <v>1</v>
      </c>
      <c r="T1900" s="35" t="inlineStr">
        <is>
          <t>4 — Не обогащён</t>
        </is>
      </c>
      <c r="U1900" s="35" t="inlineStr">
        <is>
          <t>Нет ОКВЭД/ССЧР</t>
        </is>
      </c>
      <c r="V1900" s="35" t="inlineStr">
        <is>
          <t>Не определено</t>
        </is>
      </c>
      <c r="W1900" s="35" t="inlineStr"/>
      <c r="X1900" s="35" t="inlineStr"/>
    </row>
    <row r="1901" ht="15" customHeight="1" s="24">
      <c r="A1901" s="13" t="n">
        <v>5000094791</v>
      </c>
      <c r="B1901" s="13" t="inlineStr">
        <is>
          <t>МКОУ СОШ  с.п.Псыкод</t>
        </is>
      </c>
      <c r="C1901" s="13" t="n">
        <v>707011381</v>
      </c>
      <c r="D1901" s="13" t="n"/>
      <c r="E1901" s="13" t="inlineStr">
        <is>
          <t>Не определён</t>
        </is>
      </c>
      <c r="F1901" s="13" t="inlineStr">
        <is>
          <t>707011381</t>
        </is>
      </c>
      <c r="G1901" s="14" t="n"/>
      <c r="H1901" s="14" t="n"/>
      <c r="I1901" s="14" t="n"/>
      <c r="J1901" s="14" t="n"/>
      <c r="K1901" s="13">
        <f>IF(G1901="","",IF(G1901&gt;=22,"Да","Нет"))</f>
        <v/>
      </c>
      <c r="L1901" s="13">
        <f>IF(OR(I1901="",J1901=""),"Не определено",IF(OR(COUNTIF(I1901,"45*")&gt;0,COUNTIF(J1901,"*45*")&gt;0,COUNTIF(I1901,"46*")&gt;0,COUNTIF(J1901,"*46*")&gt;0,COUNTIF(I1901,"47*")&gt;0,COUNTIF(J1901,"*47*")&gt;0,COUNTIF(I1901,"10*")&gt;0,COUNTIF(J1901,"*10*")&gt;0,COUNTIF(I1901,"11*")&gt;0,COUNTIF(J1901,"*11*")&gt;0,COUNTIF(I1901,"12*")&gt;0,COUNTIF(J1901,"*12*")&gt;0,COUNTIF(I1901,"13*")&gt;0,COUNTIF(J1901,"*13*")&gt;0,COUNTIF(I1901,"14*")&gt;0,COUNTIF(J1901,"*14*")&gt;0,COUNTIF(I1901,"15*")&gt;0,COUNTIF(J1901,"*15*")&gt;0,COUNTIF(I1901,"16*")&gt;0,COUNTIF(J1901,"*16*")&gt;0,COUNTIF(I1901,"17*")&gt;0,COUNTIF(J1901,"*17*")&gt;0,COUNTIF(I1901,"18*")&gt;0,COUNTIF(J1901,"*18*")&gt;0,COUNTIF(I1901,"19*")&gt;0,COUNTIF(J1901,"*19*")&gt;0,COUNTIF(I1901,"20*")&gt;0,COUNTIF(J1901,"*20*")&gt;0,COUNTIF(I1901,"21*")&gt;0,COUNTIF(J1901,"*21*")&gt;0,COUNTIF(I1901,"22*")&gt;0,COUNTIF(J1901,"*22*")&gt;0,COUNTIF(I1901,"23*")&gt;0,COUNTIF(J1901,"*23*")&gt;0,COUNTIF(I1901,"24*")&gt;0,COUNTIF(J1901,"*24*")&gt;0,COUNTIF(I1901,"25*")&gt;0,COUNTIF(J1901,"*25*")&gt;0,COUNTIF(I1901,"26*")&gt;0,COUNTIF(J1901,"*26*")&gt;0,COUNTIF(I1901,"27*")&gt;0,COUNTIF(J1901,"*27*")&gt;0,COUNTIF(I1901,"28*")&gt;0,COUNTIF(J1901,"*28*")&gt;0,COUNTIF(I1901,"29*")&gt;0,COUNTIF(J1901,"*29*")&gt;0,COUNTIF(I1901,"30*")&gt;0,COUNTIF(J1901,"*30*")&gt;0,COUNTIF(I1901,"31*")&gt;0,COUNTIF(J1901,"*31*")&gt;0,COUNTIF(I1901,"32*")&gt;0,COUNTIF(J1901,"*32*")&gt;0,COUNTIF(I1901,"33*")&gt;0,COUNTIF(J1901,"*33*")&gt;0,COUNTIF(I1901,"41*")&gt;0,COUNTIF(J1901,"*41*")&gt;0,COUNTIF(I1901,"42*")&gt;0,COUNTIF(J1901,"*42*")&gt;0,COUNTIF(I1901,"43*")&gt;0,COUNTIF(J1901,"*43*")&gt;0,COUNTIF(I1901,"49*")&gt;0,COUNTIF(J1901,"*49*")&gt;0,COUNTIF(I1901,"52*")&gt;0,COUNTIF(J1901,"*52*")&gt;0,COUNTIF(I1901,"55*")&gt;0,COUNTIF(J1901,"*55*")&gt;0,COUNTIF(I1901,"56*")&gt;0,COUNTIF(J1901,"*56*")&gt;0,COUNTIF(I1901,"68*")&gt;0,COUNTIF(J1901,"*68*")&gt;0,COUNTIF(I1901,"78*")&gt;0,COUNTIF(J1901,"*78*")&gt;0,COUNTIF(I1901,"81*")&gt;0,COUNTIF(J1901,"*81*")&gt;0,COUNTIF(I1901,"82*")&gt;0,COUNTIF(J1901,"*82*")&gt;0,COUNTIF(I1901,"64*")&gt;0,COUNTIF(J1901,"*64*")&gt;0,COUNTIF(I1901,"65*")&gt;0,COUNTIF(J1901,"*65*")&gt;0,COUNTIF(I1901,"66*")&gt;0,COUNTIF(J1901,"*66*")&gt;0,COUNTIF(I1901,"61*")&gt;0,COUNTIF(J1901,"*61*")&gt;0,COUNTIF(I1901,"62*")&gt;0,COUNTIF(J1901,"*62*")&gt;0,COUNTIF(I1901,"63*")&gt;0,COUNTIF(J1901,"*63*")&gt;0,COUNTIF(I1901,"85*")&gt;0,COUNTIF(J1901,"*85*")&gt;0,COUNTIF(I1901,"86*")&gt;0,COUNTIF(J1901,"*86*")&gt;0),"Да","Нет"))</f>
        <v/>
      </c>
      <c r="M1901" s="13">
        <f>IF(OR(G1901="",L1901&lt;&gt;"Да"),"",IF(G1901&lt;=100,"До 100",IF(G1901&lt;=200,"До 200",IF(G1901&lt;=500,"До 500","Отдельное КП"))))</f>
        <v/>
      </c>
      <c r="N1901" s="15">
        <f>IF(OR(G1901="",L1901&lt;&gt;"Да"),"",IF(G1901&lt;=100,33600,IF(G1901&lt;=200,62400,IF(G1901&lt;=500,144000,""))))</f>
        <v/>
      </c>
      <c r="O1901" s="16">
        <f>IF(G1901="","",IF(G1901&lt;=15,"1–15",IF(G1901&lt;=30,"16–30",IF(G1901&lt;=50,"31–50",IF(G1901&lt;=100,"51–100",IF(G1901&lt;=150,"101–150",IF(G1901&lt;=200,"151–200",IF(G1901&lt;=500,"201–500","500+"))))))))</f>
        <v/>
      </c>
      <c r="P1901" s="16" t="inlineStr">
        <is>
          <t>Нет совпадения в предоставленной выгрузке ССЧР</t>
        </is>
      </c>
      <c r="Q1901" s="16" t="n"/>
      <c r="R1901" s="16">
        <f>HYPERLINK("https://checko.ru/search?query=3801001629","Чекко: проверить")</f>
        <v/>
      </c>
      <c r="S1901" t="n">
        <v>0</v>
      </c>
    </row>
    <row r="1902" ht="15" customHeight="1" s="24">
      <c r="A1902" s="13" t="n">
        <v>5000094785</v>
      </c>
      <c r="B1902" s="13" t="inlineStr">
        <is>
          <t>МКОУ НШДС №14 г.п.Нарткала</t>
        </is>
      </c>
      <c r="C1902" s="13" t="n">
        <v>707010860</v>
      </c>
      <c r="D1902" s="13" t="n"/>
      <c r="E1902" s="13" t="inlineStr">
        <is>
          <t>Не определён</t>
        </is>
      </c>
      <c r="F1902" s="13" t="inlineStr">
        <is>
          <t>707010860</t>
        </is>
      </c>
      <c r="G1902" s="14" t="n"/>
      <c r="H1902" s="14" t="n"/>
      <c r="I1902" s="14" t="n"/>
      <c r="J1902" s="14" t="n"/>
      <c r="K1902" s="13">
        <f>IF(G1902="","",IF(G1902&gt;=22,"Да","Нет"))</f>
        <v/>
      </c>
      <c r="L1902" s="13">
        <f>IF(OR(I1902="",J1902=""),"Не определено",IF(OR(COUNTIF(I1902,"45*")&gt;0,COUNTIF(J1902,"*45*")&gt;0,COUNTIF(I1902,"46*")&gt;0,COUNTIF(J1902,"*46*")&gt;0,COUNTIF(I1902,"47*")&gt;0,COUNTIF(J1902,"*47*")&gt;0,COUNTIF(I1902,"10*")&gt;0,COUNTIF(J1902,"*10*")&gt;0,COUNTIF(I1902,"11*")&gt;0,COUNTIF(J1902,"*11*")&gt;0,COUNTIF(I1902,"12*")&gt;0,COUNTIF(J1902,"*12*")&gt;0,COUNTIF(I1902,"13*")&gt;0,COUNTIF(J1902,"*13*")&gt;0,COUNTIF(I1902,"14*")&gt;0,COUNTIF(J1902,"*14*")&gt;0,COUNTIF(I1902,"15*")&gt;0,COUNTIF(J1902,"*15*")&gt;0,COUNTIF(I1902,"16*")&gt;0,COUNTIF(J1902,"*16*")&gt;0,COUNTIF(I1902,"17*")&gt;0,COUNTIF(J1902,"*17*")&gt;0,COUNTIF(I1902,"18*")&gt;0,COUNTIF(J1902,"*18*")&gt;0,COUNTIF(I1902,"19*")&gt;0,COUNTIF(J1902,"*19*")&gt;0,COUNTIF(I1902,"20*")&gt;0,COUNTIF(J1902,"*20*")&gt;0,COUNTIF(I1902,"21*")&gt;0,COUNTIF(J1902,"*21*")&gt;0,COUNTIF(I1902,"22*")&gt;0,COUNTIF(J1902,"*22*")&gt;0,COUNTIF(I1902,"23*")&gt;0,COUNTIF(J1902,"*23*")&gt;0,COUNTIF(I1902,"24*")&gt;0,COUNTIF(J1902,"*24*")&gt;0,COUNTIF(I1902,"25*")&gt;0,COUNTIF(J1902,"*25*")&gt;0,COUNTIF(I1902,"26*")&gt;0,COUNTIF(J1902,"*26*")&gt;0,COUNTIF(I1902,"27*")&gt;0,COUNTIF(J1902,"*27*")&gt;0,COUNTIF(I1902,"28*")&gt;0,COUNTIF(J1902,"*28*")&gt;0,COUNTIF(I1902,"29*")&gt;0,COUNTIF(J1902,"*29*")&gt;0,COUNTIF(I1902,"30*")&gt;0,COUNTIF(J1902,"*30*")&gt;0,COUNTIF(I1902,"31*")&gt;0,COUNTIF(J1902,"*31*")&gt;0,COUNTIF(I1902,"32*")&gt;0,COUNTIF(J1902,"*32*")&gt;0,COUNTIF(I1902,"33*")&gt;0,COUNTIF(J1902,"*33*")&gt;0,COUNTIF(I1902,"41*")&gt;0,COUNTIF(J1902,"*41*")&gt;0,COUNTIF(I1902,"42*")&gt;0,COUNTIF(J1902,"*42*")&gt;0,COUNTIF(I1902,"43*")&gt;0,COUNTIF(J1902,"*43*")&gt;0,COUNTIF(I1902,"49*")&gt;0,COUNTIF(J1902,"*49*")&gt;0,COUNTIF(I1902,"52*")&gt;0,COUNTIF(J1902,"*52*")&gt;0,COUNTIF(I1902,"55*")&gt;0,COUNTIF(J1902,"*55*")&gt;0,COUNTIF(I1902,"56*")&gt;0,COUNTIF(J1902,"*56*")&gt;0,COUNTIF(I1902,"68*")&gt;0,COUNTIF(J1902,"*68*")&gt;0,COUNTIF(I1902,"78*")&gt;0,COUNTIF(J1902,"*78*")&gt;0,COUNTIF(I1902,"81*")&gt;0,COUNTIF(J1902,"*81*")&gt;0,COUNTIF(I1902,"82*")&gt;0,COUNTIF(J1902,"*82*")&gt;0,COUNTIF(I1902,"64*")&gt;0,COUNTIF(J1902,"*64*")&gt;0,COUNTIF(I1902,"65*")&gt;0,COUNTIF(J1902,"*65*")&gt;0,COUNTIF(I1902,"66*")&gt;0,COUNTIF(J1902,"*66*")&gt;0,COUNTIF(I1902,"61*")&gt;0,COUNTIF(J1902,"*61*")&gt;0,COUNTIF(I1902,"62*")&gt;0,COUNTIF(J1902,"*62*")&gt;0,COUNTIF(I1902,"63*")&gt;0,COUNTIF(J1902,"*63*")&gt;0,COUNTIF(I1902,"85*")&gt;0,COUNTIF(J1902,"*85*")&gt;0,COUNTIF(I1902,"86*")&gt;0,COUNTIF(J1902,"*86*")&gt;0),"Да","Нет"))</f>
        <v/>
      </c>
      <c r="M1902" s="13">
        <f>IF(OR(G1902="",L1902&lt;&gt;"Да"),"",IF(G1902&lt;=100,"До 100",IF(G1902&lt;=200,"До 200",IF(G1902&lt;=500,"До 500","Отдельное КП"))))</f>
        <v/>
      </c>
      <c r="N1902" s="15">
        <f>IF(OR(G1902="",L1902&lt;&gt;"Да"),"",IF(G1902&lt;=100,33600,IF(G1902&lt;=200,62400,IF(G1902&lt;=500,144000,""))))</f>
        <v/>
      </c>
      <c r="O1902" s="16">
        <f>IF(G1902="","",IF(G1902&lt;=15,"1–15",IF(G1902&lt;=30,"16–30",IF(G1902&lt;=50,"31–50",IF(G1902&lt;=100,"51–100",IF(G1902&lt;=150,"101–150",IF(G1902&lt;=200,"151–200",IF(G1902&lt;=500,"201–500","500+"))))))))</f>
        <v/>
      </c>
      <c r="P1902" s="16" t="inlineStr">
        <is>
          <t>Нет совпадения в предоставленной выгрузке ССЧР</t>
        </is>
      </c>
      <c r="Q1902" s="16" t="n"/>
      <c r="R1902" s="16">
        <f>HYPERLINK("https://checko.ru/search?query=3801001629","Чекко: проверить")</f>
        <v/>
      </c>
      <c r="S1902" t="n">
        <v>0</v>
      </c>
    </row>
    <row r="1903" ht="27.75" customHeight="1" s="24">
      <c r="A1903" s="13" t="n">
        <v>5000075696</v>
      </c>
      <c r="B1903" s="13" t="inlineStr">
        <is>
          <t>Министерство природных ресурсов, экологии и имущественных отношений</t>
        </is>
      </c>
      <c r="C1903" s="13" t="n">
        <v>5610128378</v>
      </c>
      <c r="D1903" s="13" t="inlineStr">
        <is>
          <t>5610128378</t>
        </is>
      </c>
      <c r="E1903" s="13" t="inlineStr">
        <is>
          <t>ЮЛ РФ</t>
        </is>
      </c>
      <c r="F1903" s="13" t="n"/>
      <c r="G1903" s="14" t="n"/>
      <c r="H1903" s="14" t="n"/>
      <c r="I1903" s="14" t="n"/>
      <c r="J1903" s="14" t="n"/>
      <c r="K1903" s="53" t="inlineStr"/>
      <c r="L1903" s="53" t="inlineStr">
        <is>
          <t>Не определено</t>
        </is>
      </c>
      <c r="M1903" s="53" t="inlineStr"/>
      <c r="N1903" s="54" t="inlineStr"/>
      <c r="O1903" s="55" t="inlineStr"/>
      <c r="P1903" s="16" t="inlineStr">
        <is>
          <t>Требует обогащения</t>
        </is>
      </c>
      <c r="Q1903" s="16">
        <f>HYPERLINK("https://pb.nalog.ru/search.html?query=5610128378","ФНС: проверить")</f>
        <v/>
      </c>
      <c r="R1903" s="16">
        <f>HYPERLINK("https://checko.ru/search?query=3801001629","Чекко: проверить")</f>
        <v/>
      </c>
      <c r="S1903" t="n">
        <v>1</v>
      </c>
      <c r="T1903" s="35" t="inlineStr">
        <is>
          <t>4 — Не обогащён</t>
        </is>
      </c>
      <c r="U1903" s="35" t="inlineStr">
        <is>
          <t>Нет ОКВЭД/ССЧР</t>
        </is>
      </c>
      <c r="V1903" s="35" t="inlineStr">
        <is>
          <t>Не определено</t>
        </is>
      </c>
      <c r="W1903" s="35" t="inlineStr"/>
      <c r="X1903" s="35" t="inlineStr"/>
    </row>
    <row r="1904" ht="27.75" customHeight="1" s="24">
      <c r="A1904" s="13" t="n">
        <v>5000038485</v>
      </c>
      <c r="B1904" s="13" t="inlineStr">
        <is>
          <t>ОГБУ "Симбирский центр ветеринарной медицины"</t>
        </is>
      </c>
      <c r="C1904" s="13" t="n">
        <v>7325045977</v>
      </c>
      <c r="D1904" s="13" t="inlineStr">
        <is>
          <t>7325045977</t>
        </is>
      </c>
      <c r="E1904" s="13" t="inlineStr">
        <is>
          <t>ЮЛ РФ</t>
        </is>
      </c>
      <c r="F1904" s="13" t="n"/>
      <c r="G1904" s="14" t="n"/>
      <c r="H1904" s="14" t="n"/>
      <c r="I1904" s="14" t="n"/>
      <c r="J1904" s="14" t="n"/>
      <c r="K1904" s="53" t="inlineStr"/>
      <c r="L1904" s="53" t="inlineStr">
        <is>
          <t>Не определено</t>
        </is>
      </c>
      <c r="M1904" s="53" t="inlineStr"/>
      <c r="N1904" s="54" t="inlineStr"/>
      <c r="O1904" s="55" t="inlineStr"/>
      <c r="P1904" s="16" t="inlineStr">
        <is>
          <t>Требует обогащения</t>
        </is>
      </c>
      <c r="Q1904" s="16">
        <f>HYPERLINK("https://pb.nalog.ru/search.html?query=7325045977","ФНС: проверить")</f>
        <v/>
      </c>
      <c r="R1904" s="16">
        <f>HYPERLINK("https://checko.ru/search?query=3801001629","Чекко: проверить")</f>
        <v/>
      </c>
      <c r="S1904" t="n">
        <v>1</v>
      </c>
      <c r="T1904" s="35" t="inlineStr">
        <is>
          <t>4 — Не обогащён</t>
        </is>
      </c>
      <c r="U1904" s="35" t="inlineStr">
        <is>
          <t>Нет ОКВЭД/ССЧР</t>
        </is>
      </c>
      <c r="V1904" s="35" t="inlineStr">
        <is>
          <t>Не определено</t>
        </is>
      </c>
      <c r="W1904" s="35" t="inlineStr"/>
      <c r="X1904" s="35" t="inlineStr"/>
    </row>
    <row r="1905" ht="27.75" customHeight="1" s="24">
      <c r="A1905" s="13" t="n">
        <v>5000101686</v>
      </c>
      <c r="B1905" s="13" t="inlineStr">
        <is>
          <t>Государственное казенное учреждение Иркутской области "Усть-Ордынское лесничество"</t>
        </is>
      </c>
      <c r="C1905" s="13" t="n">
        <v>3849096675</v>
      </c>
      <c r="D1905" s="13" t="inlineStr">
        <is>
          <t>3849096675</t>
        </is>
      </c>
      <c r="E1905" s="13" t="inlineStr">
        <is>
          <t>ЮЛ РФ</t>
        </is>
      </c>
      <c r="F1905" s="13" t="n"/>
      <c r="G1905" s="14" t="n"/>
      <c r="H1905" s="14" t="n"/>
      <c r="I1905" s="14" t="n"/>
      <c r="J1905" s="14" t="n"/>
      <c r="K1905" s="53" t="inlineStr"/>
      <c r="L1905" s="53" t="inlineStr">
        <is>
          <t>Не определено</t>
        </is>
      </c>
      <c r="M1905" s="53" t="inlineStr"/>
      <c r="N1905" s="54" t="inlineStr"/>
      <c r="O1905" s="55" t="inlineStr"/>
      <c r="P1905" s="16" t="inlineStr">
        <is>
          <t>Требует обогащения</t>
        </is>
      </c>
      <c r="Q1905" s="16">
        <f>HYPERLINK("https://pb.nalog.ru/search.html?query=3849096675","ФНС: проверить")</f>
        <v/>
      </c>
      <c r="R1905" s="16">
        <f>HYPERLINK("https://checko.ru/search?query=3801001629","Чекко: проверить")</f>
        <v/>
      </c>
      <c r="S1905" t="n">
        <v>1</v>
      </c>
      <c r="T1905" s="35" t="inlineStr">
        <is>
          <t>4 — Не обогащён</t>
        </is>
      </c>
      <c r="U1905" s="35" t="inlineStr">
        <is>
          <t>Нет ОКВЭД/ССЧР</t>
        </is>
      </c>
      <c r="V1905" s="35" t="inlineStr">
        <is>
          <t>Не определено</t>
        </is>
      </c>
      <c r="W1905" s="35" t="inlineStr"/>
      <c r="X1905" s="35" t="inlineStr"/>
    </row>
    <row r="1906" ht="27.75" customHeight="1" s="24">
      <c r="A1906" s="13" t="n">
        <v>5000059193</v>
      </c>
      <c r="B1906" s="13" t="inlineStr">
        <is>
          <t>Агентство по Регулированию Цен и Тарифов Ульяновской Области</t>
        </is>
      </c>
      <c r="C1906" s="13" t="n">
        <v>7325169757</v>
      </c>
      <c r="D1906" s="13" t="inlineStr">
        <is>
          <t>7325169757</t>
        </is>
      </c>
      <c r="E1906" s="13" t="inlineStr">
        <is>
          <t>ЮЛ РФ</t>
        </is>
      </c>
      <c r="F1906" s="13" t="n"/>
      <c r="G1906" s="14" t="n"/>
      <c r="H1906" s="14" t="n"/>
      <c r="I1906" s="14" t="n"/>
      <c r="J1906" s="14" t="n"/>
      <c r="K1906" s="53" t="inlineStr"/>
      <c r="L1906" s="53" t="inlineStr">
        <is>
          <t>Не определено</t>
        </is>
      </c>
      <c r="M1906" s="53" t="inlineStr"/>
      <c r="N1906" s="54" t="inlineStr"/>
      <c r="O1906" s="55" t="inlineStr"/>
      <c r="P1906" s="16" t="inlineStr">
        <is>
          <t>Требует обогащения</t>
        </is>
      </c>
      <c r="Q1906" s="16">
        <f>HYPERLINK("https://pb.nalog.ru/search.html?query=7325169757","ФНС: проверить")</f>
        <v/>
      </c>
      <c r="R1906" s="16">
        <f>HYPERLINK("https://checko.ru/search?query=3801001629","Чекко: проверить")</f>
        <v/>
      </c>
      <c r="S1906" t="n">
        <v>1</v>
      </c>
      <c r="T1906" s="35" t="inlineStr">
        <is>
          <t>4 — Не обогащён</t>
        </is>
      </c>
      <c r="U1906" s="35" t="inlineStr">
        <is>
          <t>Нет ОКВЭД/ССЧР</t>
        </is>
      </c>
      <c r="V1906" s="35" t="inlineStr">
        <is>
          <t>Не определено</t>
        </is>
      </c>
      <c r="W1906" s="35" t="inlineStr"/>
      <c r="X1906" s="35" t="inlineStr"/>
    </row>
    <row r="1907" ht="15" customHeight="1" s="24">
      <c r="A1907" s="13" t="n">
        <v>5000095277</v>
      </c>
      <c r="B1907" s="13" t="inlineStr">
        <is>
          <t>ГБУ "КАББАЛКЛЕСХОЗ И ЛЕСНАЯ ОХРАНА"</t>
        </is>
      </c>
      <c r="C1907" s="13" t="n">
        <v>726013722</v>
      </c>
      <c r="D1907" s="13" t="n"/>
      <c r="E1907" s="13" t="inlineStr">
        <is>
          <t>Не определён</t>
        </is>
      </c>
      <c r="F1907" s="13" t="inlineStr">
        <is>
          <t>726013722</t>
        </is>
      </c>
      <c r="G1907" s="14" t="n"/>
      <c r="H1907" s="14" t="n"/>
      <c r="I1907" s="14" t="n"/>
      <c r="J1907" s="14" t="n"/>
      <c r="K1907" s="13">
        <f>IF(G1907="","",IF(G1907&gt;=22,"Да","Нет"))</f>
        <v/>
      </c>
      <c r="L1907" s="13">
        <f>IF(OR(I1907="",J1907=""),"Не определено",IF(OR(COUNTIF(I1907,"45*")&gt;0,COUNTIF(J1907,"*45*")&gt;0,COUNTIF(I1907,"46*")&gt;0,COUNTIF(J1907,"*46*")&gt;0,COUNTIF(I1907,"47*")&gt;0,COUNTIF(J1907,"*47*")&gt;0,COUNTIF(I1907,"10*")&gt;0,COUNTIF(J1907,"*10*")&gt;0,COUNTIF(I1907,"11*")&gt;0,COUNTIF(J1907,"*11*")&gt;0,COUNTIF(I1907,"12*")&gt;0,COUNTIF(J1907,"*12*")&gt;0,COUNTIF(I1907,"13*")&gt;0,COUNTIF(J1907,"*13*")&gt;0,COUNTIF(I1907,"14*")&gt;0,COUNTIF(J1907,"*14*")&gt;0,COUNTIF(I1907,"15*")&gt;0,COUNTIF(J1907,"*15*")&gt;0,COUNTIF(I1907,"16*")&gt;0,COUNTIF(J1907,"*16*")&gt;0,COUNTIF(I1907,"17*")&gt;0,COUNTIF(J1907,"*17*")&gt;0,COUNTIF(I1907,"18*")&gt;0,COUNTIF(J1907,"*18*")&gt;0,COUNTIF(I1907,"19*")&gt;0,COUNTIF(J1907,"*19*")&gt;0,COUNTIF(I1907,"20*")&gt;0,COUNTIF(J1907,"*20*")&gt;0,COUNTIF(I1907,"21*")&gt;0,COUNTIF(J1907,"*21*")&gt;0,COUNTIF(I1907,"22*")&gt;0,COUNTIF(J1907,"*22*")&gt;0,COUNTIF(I1907,"23*")&gt;0,COUNTIF(J1907,"*23*")&gt;0,COUNTIF(I1907,"24*")&gt;0,COUNTIF(J1907,"*24*")&gt;0,COUNTIF(I1907,"25*")&gt;0,COUNTIF(J1907,"*25*")&gt;0,COUNTIF(I1907,"26*")&gt;0,COUNTIF(J1907,"*26*")&gt;0,COUNTIF(I1907,"27*")&gt;0,COUNTIF(J1907,"*27*")&gt;0,COUNTIF(I1907,"28*")&gt;0,COUNTIF(J1907,"*28*")&gt;0,COUNTIF(I1907,"29*")&gt;0,COUNTIF(J1907,"*29*")&gt;0,COUNTIF(I1907,"30*")&gt;0,COUNTIF(J1907,"*30*")&gt;0,COUNTIF(I1907,"31*")&gt;0,COUNTIF(J1907,"*31*")&gt;0,COUNTIF(I1907,"32*")&gt;0,COUNTIF(J1907,"*32*")&gt;0,COUNTIF(I1907,"33*")&gt;0,COUNTIF(J1907,"*33*")&gt;0,COUNTIF(I1907,"41*")&gt;0,COUNTIF(J1907,"*41*")&gt;0,COUNTIF(I1907,"42*")&gt;0,COUNTIF(J1907,"*42*")&gt;0,COUNTIF(I1907,"43*")&gt;0,COUNTIF(J1907,"*43*")&gt;0,COUNTIF(I1907,"49*")&gt;0,COUNTIF(J1907,"*49*")&gt;0,COUNTIF(I1907,"52*")&gt;0,COUNTIF(J1907,"*52*")&gt;0,COUNTIF(I1907,"55*")&gt;0,COUNTIF(J1907,"*55*")&gt;0,COUNTIF(I1907,"56*")&gt;0,COUNTIF(J1907,"*56*")&gt;0,COUNTIF(I1907,"68*")&gt;0,COUNTIF(J1907,"*68*")&gt;0,COUNTIF(I1907,"78*")&gt;0,COUNTIF(J1907,"*78*")&gt;0,COUNTIF(I1907,"81*")&gt;0,COUNTIF(J1907,"*81*")&gt;0,COUNTIF(I1907,"82*")&gt;0,COUNTIF(J1907,"*82*")&gt;0,COUNTIF(I1907,"64*")&gt;0,COUNTIF(J1907,"*64*")&gt;0,COUNTIF(I1907,"65*")&gt;0,COUNTIF(J1907,"*65*")&gt;0,COUNTIF(I1907,"66*")&gt;0,COUNTIF(J1907,"*66*")&gt;0,COUNTIF(I1907,"61*")&gt;0,COUNTIF(J1907,"*61*")&gt;0,COUNTIF(I1907,"62*")&gt;0,COUNTIF(J1907,"*62*")&gt;0,COUNTIF(I1907,"63*")&gt;0,COUNTIF(J1907,"*63*")&gt;0,COUNTIF(I1907,"85*")&gt;0,COUNTIF(J1907,"*85*")&gt;0,COUNTIF(I1907,"86*")&gt;0,COUNTIF(J1907,"*86*")&gt;0),"Да","Нет"))</f>
        <v/>
      </c>
      <c r="M1907" s="13">
        <f>IF(OR(G1907="",L1907&lt;&gt;"Да"),"",IF(G1907&lt;=100,"До 100",IF(G1907&lt;=200,"До 200",IF(G1907&lt;=500,"До 500","Отдельное КП"))))</f>
        <v/>
      </c>
      <c r="N1907" s="15">
        <f>IF(OR(G1907="",L1907&lt;&gt;"Да"),"",IF(G1907&lt;=100,33600,IF(G1907&lt;=200,62400,IF(G1907&lt;=500,144000,""))))</f>
        <v/>
      </c>
      <c r="O1907" s="16">
        <f>IF(G1907="","",IF(G1907&lt;=15,"1–15",IF(G1907&lt;=30,"16–30",IF(G1907&lt;=50,"31–50",IF(G1907&lt;=100,"51–100",IF(G1907&lt;=150,"101–150",IF(G1907&lt;=200,"151–200",IF(G1907&lt;=500,"201–500","500+"))))))))</f>
        <v/>
      </c>
      <c r="P1907" s="16" t="inlineStr">
        <is>
          <t>Нет совпадения в предоставленной выгрузке ССЧР</t>
        </is>
      </c>
      <c r="Q1907" s="16" t="n"/>
      <c r="R1907" s="16">
        <f>HYPERLINK("https://checko.ru/search?query=3801001629","Чекко: проверить")</f>
        <v/>
      </c>
      <c r="S1907" t="n">
        <v>0</v>
      </c>
    </row>
    <row r="1908" ht="15" customHeight="1" s="24">
      <c r="A1908" s="13" t="n">
        <v>5000002574</v>
      </c>
      <c r="B1908" s="13" t="inlineStr">
        <is>
          <t>Правительство Иркутской области</t>
        </is>
      </c>
      <c r="C1908" s="13" t="n">
        <v>3808163259</v>
      </c>
      <c r="D1908" s="13" t="inlineStr">
        <is>
          <t>3808163259</t>
        </is>
      </c>
      <c r="E1908" s="13" t="inlineStr">
        <is>
          <t>ЮЛ РФ</t>
        </is>
      </c>
      <c r="F1908" s="13" t="n"/>
      <c r="G1908" s="14" t="n"/>
      <c r="H1908" s="14" t="n"/>
      <c r="I1908" s="14" t="n"/>
      <c r="J1908" s="14" t="n"/>
      <c r="K1908" s="53" t="inlineStr"/>
      <c r="L1908" s="53" t="inlineStr">
        <is>
          <t>Не определено</t>
        </is>
      </c>
      <c r="M1908" s="53" t="inlineStr"/>
      <c r="N1908" s="54" t="inlineStr"/>
      <c r="O1908" s="55" t="inlineStr"/>
      <c r="P1908" s="16" t="inlineStr">
        <is>
          <t>Требует обогащения</t>
        </is>
      </c>
      <c r="Q1908" s="16">
        <f>HYPERLINK("https://pb.nalog.ru/search.html?query=3808163259","ФНС: проверить")</f>
        <v/>
      </c>
      <c r="R1908" s="16">
        <f>HYPERLINK("https://checko.ru/search?query=3801001629","Чекко: проверить")</f>
        <v/>
      </c>
      <c r="S1908" t="n">
        <v>1</v>
      </c>
      <c r="T1908" s="35" t="inlineStr">
        <is>
          <t>4 — Не обогащён</t>
        </is>
      </c>
      <c r="U1908" s="35" t="inlineStr">
        <is>
          <t>Нет ОКВЭД/ССЧР</t>
        </is>
      </c>
      <c r="V1908" s="35" t="inlineStr">
        <is>
          <t>Не определено</t>
        </is>
      </c>
      <c r="W1908" s="35" t="inlineStr"/>
      <c r="X1908" s="35" t="inlineStr"/>
    </row>
    <row r="1909" ht="15" customHeight="1" s="24">
      <c r="A1909" s="13" t="n">
        <v>5000095209</v>
      </c>
      <c r="B1909" s="13" t="inlineStr">
        <is>
          <t>ГБУ КБР "Детский стадион"</t>
        </is>
      </c>
      <c r="C1909" s="13" t="n">
        <v>725004108</v>
      </c>
      <c r="D1909" s="13" t="n"/>
      <c r="E1909" s="13" t="inlineStr">
        <is>
          <t>Не определён</t>
        </is>
      </c>
      <c r="F1909" s="13" t="inlineStr">
        <is>
          <t>725004108</t>
        </is>
      </c>
      <c r="G1909" s="14" t="n"/>
      <c r="H1909" s="14" t="n"/>
      <c r="I1909" s="14" t="n"/>
      <c r="J1909" s="14" t="n"/>
      <c r="K1909" s="13">
        <f>IF(G1909="","",IF(G1909&gt;=22,"Да","Нет"))</f>
        <v/>
      </c>
      <c r="L1909" s="13">
        <f>IF(OR(I1909="",J1909=""),"Не определено",IF(OR(COUNTIF(I1909,"45*")&gt;0,COUNTIF(J1909,"*45*")&gt;0,COUNTIF(I1909,"46*")&gt;0,COUNTIF(J1909,"*46*")&gt;0,COUNTIF(I1909,"47*")&gt;0,COUNTIF(J1909,"*47*")&gt;0,COUNTIF(I1909,"10*")&gt;0,COUNTIF(J1909,"*10*")&gt;0,COUNTIF(I1909,"11*")&gt;0,COUNTIF(J1909,"*11*")&gt;0,COUNTIF(I1909,"12*")&gt;0,COUNTIF(J1909,"*12*")&gt;0,COUNTIF(I1909,"13*")&gt;0,COUNTIF(J1909,"*13*")&gt;0,COUNTIF(I1909,"14*")&gt;0,COUNTIF(J1909,"*14*")&gt;0,COUNTIF(I1909,"15*")&gt;0,COUNTIF(J1909,"*15*")&gt;0,COUNTIF(I1909,"16*")&gt;0,COUNTIF(J1909,"*16*")&gt;0,COUNTIF(I1909,"17*")&gt;0,COUNTIF(J1909,"*17*")&gt;0,COUNTIF(I1909,"18*")&gt;0,COUNTIF(J1909,"*18*")&gt;0,COUNTIF(I1909,"19*")&gt;0,COUNTIF(J1909,"*19*")&gt;0,COUNTIF(I1909,"20*")&gt;0,COUNTIF(J1909,"*20*")&gt;0,COUNTIF(I1909,"21*")&gt;0,COUNTIF(J1909,"*21*")&gt;0,COUNTIF(I1909,"22*")&gt;0,COUNTIF(J1909,"*22*")&gt;0,COUNTIF(I1909,"23*")&gt;0,COUNTIF(J1909,"*23*")&gt;0,COUNTIF(I1909,"24*")&gt;0,COUNTIF(J1909,"*24*")&gt;0,COUNTIF(I1909,"25*")&gt;0,COUNTIF(J1909,"*25*")&gt;0,COUNTIF(I1909,"26*")&gt;0,COUNTIF(J1909,"*26*")&gt;0,COUNTIF(I1909,"27*")&gt;0,COUNTIF(J1909,"*27*")&gt;0,COUNTIF(I1909,"28*")&gt;0,COUNTIF(J1909,"*28*")&gt;0,COUNTIF(I1909,"29*")&gt;0,COUNTIF(J1909,"*29*")&gt;0,COUNTIF(I1909,"30*")&gt;0,COUNTIF(J1909,"*30*")&gt;0,COUNTIF(I1909,"31*")&gt;0,COUNTIF(J1909,"*31*")&gt;0,COUNTIF(I1909,"32*")&gt;0,COUNTIF(J1909,"*32*")&gt;0,COUNTIF(I1909,"33*")&gt;0,COUNTIF(J1909,"*33*")&gt;0,COUNTIF(I1909,"41*")&gt;0,COUNTIF(J1909,"*41*")&gt;0,COUNTIF(I1909,"42*")&gt;0,COUNTIF(J1909,"*42*")&gt;0,COUNTIF(I1909,"43*")&gt;0,COUNTIF(J1909,"*43*")&gt;0,COUNTIF(I1909,"49*")&gt;0,COUNTIF(J1909,"*49*")&gt;0,COUNTIF(I1909,"52*")&gt;0,COUNTIF(J1909,"*52*")&gt;0,COUNTIF(I1909,"55*")&gt;0,COUNTIF(J1909,"*55*")&gt;0,COUNTIF(I1909,"56*")&gt;0,COUNTIF(J1909,"*56*")&gt;0,COUNTIF(I1909,"68*")&gt;0,COUNTIF(J1909,"*68*")&gt;0,COUNTIF(I1909,"78*")&gt;0,COUNTIF(J1909,"*78*")&gt;0,COUNTIF(I1909,"81*")&gt;0,COUNTIF(J1909,"*81*")&gt;0,COUNTIF(I1909,"82*")&gt;0,COUNTIF(J1909,"*82*")&gt;0,COUNTIF(I1909,"64*")&gt;0,COUNTIF(J1909,"*64*")&gt;0,COUNTIF(I1909,"65*")&gt;0,COUNTIF(J1909,"*65*")&gt;0,COUNTIF(I1909,"66*")&gt;0,COUNTIF(J1909,"*66*")&gt;0,COUNTIF(I1909,"61*")&gt;0,COUNTIF(J1909,"*61*")&gt;0,COUNTIF(I1909,"62*")&gt;0,COUNTIF(J1909,"*62*")&gt;0,COUNTIF(I1909,"63*")&gt;0,COUNTIF(J1909,"*63*")&gt;0,COUNTIF(I1909,"85*")&gt;0,COUNTIF(J1909,"*85*")&gt;0,COUNTIF(I1909,"86*")&gt;0,COUNTIF(J1909,"*86*")&gt;0),"Да","Нет"))</f>
        <v/>
      </c>
      <c r="M1909" s="13">
        <f>IF(OR(G1909="",L1909&lt;&gt;"Да"),"",IF(G1909&lt;=100,"До 100",IF(G1909&lt;=200,"До 200",IF(G1909&lt;=500,"До 500","Отдельное КП"))))</f>
        <v/>
      </c>
      <c r="N1909" s="15">
        <f>IF(OR(G1909="",L1909&lt;&gt;"Да"),"",IF(G1909&lt;=100,33600,IF(G1909&lt;=200,62400,IF(G1909&lt;=500,144000,""))))</f>
        <v/>
      </c>
      <c r="O1909" s="16">
        <f>IF(G1909="","",IF(G1909&lt;=15,"1–15",IF(G1909&lt;=30,"16–30",IF(G1909&lt;=50,"31–50",IF(G1909&lt;=100,"51–100",IF(G1909&lt;=150,"101–150",IF(G1909&lt;=200,"151–200",IF(G1909&lt;=500,"201–500","500+"))))))))</f>
        <v/>
      </c>
      <c r="P1909" s="16" t="inlineStr">
        <is>
          <t>Нет совпадения в предоставленной выгрузке ССЧР</t>
        </is>
      </c>
      <c r="Q1909" s="16" t="n"/>
      <c r="R1909" s="16">
        <f>HYPERLINK("https://checko.ru/search?query=3801001629","Чекко: проверить")</f>
        <v/>
      </c>
      <c r="S1909" t="n">
        <v>0</v>
      </c>
    </row>
    <row r="1910" ht="15" customHeight="1" s="24">
      <c r="A1910" s="13" t="n">
        <v>5000001522</v>
      </c>
      <c r="B1910" s="13" t="inlineStr">
        <is>
          <t>ГАУК ИО "Центр А.Вампилова"</t>
        </is>
      </c>
      <c r="C1910" s="13" t="n">
        <v>3808223839</v>
      </c>
      <c r="D1910" s="13" t="inlineStr">
        <is>
          <t>3808223839</t>
        </is>
      </c>
      <c r="E1910" s="13" t="inlineStr">
        <is>
          <t>ЮЛ РФ</t>
        </is>
      </c>
      <c r="F1910" s="13" t="n"/>
      <c r="G1910" s="14" t="n"/>
      <c r="H1910" s="14" t="n"/>
      <c r="I1910" s="14" t="n"/>
      <c r="J1910" s="14" t="n"/>
      <c r="K1910" s="53" t="inlineStr"/>
      <c r="L1910" s="53" t="inlineStr">
        <is>
          <t>Не определено</t>
        </is>
      </c>
      <c r="M1910" s="53" t="inlineStr"/>
      <c r="N1910" s="54" t="inlineStr"/>
      <c r="O1910" s="55" t="inlineStr"/>
      <c r="P1910" s="16" t="inlineStr">
        <is>
          <t>Требует обогащения</t>
        </is>
      </c>
      <c r="Q1910" s="16">
        <f>HYPERLINK("https://pb.nalog.ru/search.html?query=3808223839","ФНС: проверить")</f>
        <v/>
      </c>
      <c r="R1910" s="16">
        <f>HYPERLINK("https://checko.ru/search?query=3801001629","Чекко: проверить")</f>
        <v/>
      </c>
      <c r="S1910" t="n">
        <v>1</v>
      </c>
      <c r="T1910" s="35" t="inlineStr">
        <is>
          <t>4 — Не обогащён</t>
        </is>
      </c>
      <c r="U1910" s="35" t="inlineStr">
        <is>
          <t>Нет ОКВЭД/ССЧР</t>
        </is>
      </c>
      <c r="V1910" s="35" t="inlineStr">
        <is>
          <t>Не определено</t>
        </is>
      </c>
      <c r="W1910" s="35" t="inlineStr"/>
      <c r="X1910" s="35" t="inlineStr"/>
    </row>
    <row r="1911" ht="15" customHeight="1" s="24">
      <c r="A1911" s="13" t="n">
        <v>5000008566</v>
      </c>
      <c r="B1911" s="13" t="inlineStr">
        <is>
          <t>УФССП России по Томской области</t>
        </is>
      </c>
      <c r="C1911" s="13" t="n">
        <v>7017107820</v>
      </c>
      <c r="D1911" s="13" t="inlineStr">
        <is>
          <t>7017107820</t>
        </is>
      </c>
      <c r="E1911" s="13" t="inlineStr">
        <is>
          <t>ЮЛ РФ</t>
        </is>
      </c>
      <c r="F1911" s="13" t="n"/>
      <c r="G1911" s="14" t="n"/>
      <c r="H1911" s="14" t="n"/>
      <c r="I1911" s="14" t="n"/>
      <c r="J1911" s="14" t="n"/>
      <c r="K1911" s="53" t="inlineStr"/>
      <c r="L1911" s="53" t="inlineStr">
        <is>
          <t>Не определено</t>
        </is>
      </c>
      <c r="M1911" s="53" t="inlineStr"/>
      <c r="N1911" s="54" t="inlineStr"/>
      <c r="O1911" s="55" t="inlineStr"/>
      <c r="P1911" s="16" t="inlineStr">
        <is>
          <t>Требует обогащения</t>
        </is>
      </c>
      <c r="Q1911" s="16">
        <f>HYPERLINK("https://pb.nalog.ru/search.html?query=7017107820","ФНС: проверить")</f>
        <v/>
      </c>
      <c r="R1911" s="16">
        <f>HYPERLINK("https://checko.ru/search?query=3801001629","Чекко: проверить")</f>
        <v/>
      </c>
      <c r="S1911" t="n">
        <v>1</v>
      </c>
      <c r="T1911" s="35" t="inlineStr">
        <is>
          <t>4 — Не обогащён</t>
        </is>
      </c>
      <c r="U1911" s="35" t="inlineStr">
        <is>
          <t>Нет ОКВЭД/ССЧР</t>
        </is>
      </c>
      <c r="V1911" s="35" t="inlineStr">
        <is>
          <t>Не определено</t>
        </is>
      </c>
      <c r="W1911" s="35" t="inlineStr"/>
      <c r="X1911" s="35" t="inlineStr"/>
    </row>
    <row r="1912" ht="27.75" customHeight="1" s="24">
      <c r="A1912" s="13" t="n">
        <v>5000102658</v>
      </c>
      <c r="B1912" s="13" t="inlineStr">
        <is>
          <t>МБОУ Солонешенская средняя общеобразовательная школа</t>
        </is>
      </c>
      <c r="C1912" s="13" t="n">
        <v>2273003100</v>
      </c>
      <c r="D1912" s="13" t="inlineStr">
        <is>
          <t>2273003100</t>
        </is>
      </c>
      <c r="E1912" s="13" t="inlineStr">
        <is>
          <t>ЮЛ РФ</t>
        </is>
      </c>
      <c r="F1912" s="13" t="n"/>
      <c r="G1912" s="14" t="n"/>
      <c r="H1912" s="14" t="n"/>
      <c r="I1912" s="14" t="n"/>
      <c r="J1912" s="14" t="n"/>
      <c r="K1912" s="53" t="inlineStr"/>
      <c r="L1912" s="53" t="inlineStr">
        <is>
          <t>Не определено</t>
        </is>
      </c>
      <c r="M1912" s="53" t="inlineStr"/>
      <c r="N1912" s="54" t="inlineStr"/>
      <c r="O1912" s="55" t="inlineStr"/>
      <c r="P1912" s="16" t="inlineStr">
        <is>
          <t>Требует обогащения</t>
        </is>
      </c>
      <c r="Q1912" s="16">
        <f>HYPERLINK("https://pb.nalog.ru/search.html?query=2273003100","ФНС: проверить")</f>
        <v/>
      </c>
      <c r="R1912" s="16">
        <f>HYPERLINK("https://checko.ru/search?query=3801001629","Чекко: проверить")</f>
        <v/>
      </c>
      <c r="S1912" t="n">
        <v>1</v>
      </c>
      <c r="T1912" s="35" t="inlineStr">
        <is>
          <t>4 — Не обогащён</t>
        </is>
      </c>
      <c r="U1912" s="35" t="inlineStr">
        <is>
          <t>Нет ОКВЭД/ССЧР</t>
        </is>
      </c>
      <c r="V1912" s="35" t="inlineStr">
        <is>
          <t>Не определено</t>
        </is>
      </c>
      <c r="W1912" s="35" t="inlineStr"/>
      <c r="X1912" s="35" t="inlineStr"/>
    </row>
    <row r="1913" ht="27.75" customHeight="1" s="24">
      <c r="A1913" s="13" t="n">
        <v>5000001912</v>
      </c>
      <c r="B1913" s="13" t="inlineStr">
        <is>
          <t>ОГОУ "Специальная (коррекционная) школа-интернат №28"</t>
        </is>
      </c>
      <c r="C1913" s="13" t="n">
        <v>3816001572</v>
      </c>
      <c r="D1913" s="13" t="inlineStr">
        <is>
          <t>3816001572</t>
        </is>
      </c>
      <c r="E1913" s="13" t="inlineStr">
        <is>
          <t>ЮЛ РФ</t>
        </is>
      </c>
      <c r="F1913" s="13" t="n"/>
      <c r="G1913" s="14" t="n"/>
      <c r="H1913" s="14" t="n"/>
      <c r="I1913" s="14" t="n"/>
      <c r="J1913" s="14" t="n"/>
      <c r="K1913" s="53" t="inlineStr"/>
      <c r="L1913" s="53" t="inlineStr">
        <is>
          <t>Не определено</t>
        </is>
      </c>
      <c r="M1913" s="53" t="inlineStr"/>
      <c r="N1913" s="54" t="inlineStr"/>
      <c r="O1913" s="55" t="inlineStr"/>
      <c r="P1913" s="16" t="inlineStr">
        <is>
          <t>Требует обогащения</t>
        </is>
      </c>
      <c r="Q1913" s="16">
        <f>HYPERLINK("https://pb.nalog.ru/search.html?query=3816001572","ФНС: проверить")</f>
        <v/>
      </c>
      <c r="R1913" s="16">
        <f>HYPERLINK("https://checko.ru/search?query=3801001629","Чекко: проверить")</f>
        <v/>
      </c>
      <c r="S1913" t="n">
        <v>1</v>
      </c>
      <c r="T1913" s="35" t="inlineStr">
        <is>
          <t>4 — Не обогащён</t>
        </is>
      </c>
      <c r="U1913" s="35" t="inlineStr">
        <is>
          <t>Нет ОКВЭД/ССЧР</t>
        </is>
      </c>
      <c r="V1913" s="35" t="inlineStr">
        <is>
          <t>Не определено</t>
        </is>
      </c>
      <c r="W1913" s="35" t="inlineStr"/>
      <c r="X1913" s="35" t="inlineStr"/>
    </row>
    <row r="1914" ht="15" customHeight="1" s="24">
      <c r="A1914" s="13" t="n">
        <v>5000001968</v>
      </c>
      <c r="B1914" s="13" t="inlineStr">
        <is>
          <t>СДЮСШ ПО ХУДОЖЕСТВЕННОЙ ГИМНАСТИКЕ</t>
        </is>
      </c>
      <c r="C1914" s="13" t="n">
        <v>3811161702</v>
      </c>
      <c r="D1914" s="13" t="inlineStr">
        <is>
          <t>3811161702</t>
        </is>
      </c>
      <c r="E1914" s="13" t="inlineStr">
        <is>
          <t>ЮЛ РФ</t>
        </is>
      </c>
      <c r="F1914" s="13" t="n"/>
      <c r="G1914" s="14" t="n"/>
      <c r="H1914" s="14" t="n"/>
      <c r="I1914" s="14" t="n"/>
      <c r="J1914" s="14" t="n"/>
      <c r="K1914" s="53" t="inlineStr"/>
      <c r="L1914" s="53" t="inlineStr">
        <is>
          <t>Не определено</t>
        </is>
      </c>
      <c r="M1914" s="53" t="inlineStr"/>
      <c r="N1914" s="54" t="inlineStr"/>
      <c r="O1914" s="55" t="inlineStr"/>
      <c r="P1914" s="16" t="inlineStr">
        <is>
          <t>Требует обогащения</t>
        </is>
      </c>
      <c r="Q1914" s="16">
        <f>HYPERLINK("https://pb.nalog.ru/search.html?query=3811161702","ФНС: проверить")</f>
        <v/>
      </c>
      <c r="R1914" s="16">
        <f>HYPERLINK("https://checko.ru/search?query=3801001629","Чекко: проверить")</f>
        <v/>
      </c>
      <c r="S1914" t="n">
        <v>1</v>
      </c>
      <c r="T1914" s="35" t="inlineStr">
        <is>
          <t>4 — Не обогащён</t>
        </is>
      </c>
      <c r="U1914" s="35" t="inlineStr">
        <is>
          <t>Нет ОКВЭД/ССЧР</t>
        </is>
      </c>
      <c r="V1914" s="35" t="inlineStr">
        <is>
          <t>Не определено</t>
        </is>
      </c>
      <c r="W1914" s="35" t="inlineStr"/>
      <c r="X1914" s="35" t="inlineStr"/>
    </row>
    <row r="1915" ht="41.25" customHeight="1" s="24">
      <c r="A1915" s="13" t="n">
        <v>5000062594</v>
      </c>
      <c r="B1915" s="13" t="inlineStr">
        <is>
          <t>ГОСУДАРСТВЕННОЕ УЧРЕЖДЕНИЕ ЗДРАВООХРАНЕНИЯ НОВО-МАЙНСКАЯ ГОРОДСКАЯ БОЛЬНИЦА</t>
        </is>
      </c>
      <c r="C1915" s="13" t="n">
        <v>7310004061</v>
      </c>
      <c r="D1915" s="13" t="inlineStr">
        <is>
          <t>7310004061</t>
        </is>
      </c>
      <c r="E1915" s="13" t="inlineStr">
        <is>
          <t>ЮЛ РФ</t>
        </is>
      </c>
      <c r="F1915" s="13" t="n"/>
      <c r="G1915" s="14" t="n"/>
      <c r="H1915" s="14" t="n"/>
      <c r="I1915" s="14" t="n"/>
      <c r="J1915" s="14" t="n"/>
      <c r="K1915" s="53" t="inlineStr"/>
      <c r="L1915" s="53" t="inlineStr">
        <is>
          <t>Не определено</t>
        </is>
      </c>
      <c r="M1915" s="53" t="inlineStr"/>
      <c r="N1915" s="54" t="inlineStr"/>
      <c r="O1915" s="55" t="inlineStr"/>
      <c r="P1915" s="16" t="inlineStr">
        <is>
          <t>Требует обогащения</t>
        </is>
      </c>
      <c r="Q1915" s="16">
        <f>HYPERLINK("https://pb.nalog.ru/search.html?query=7310004061","ФНС: проверить")</f>
        <v/>
      </c>
      <c r="R1915" s="16">
        <f>HYPERLINK("https://checko.ru/search?query=3801001629","Чекко: проверить")</f>
        <v/>
      </c>
      <c r="S1915" t="n">
        <v>1</v>
      </c>
      <c r="T1915" s="35" t="inlineStr">
        <is>
          <t>4 — Не обогащён</t>
        </is>
      </c>
      <c r="U1915" s="35" t="inlineStr">
        <is>
          <t>Нет ОКВЭД/ССЧР</t>
        </is>
      </c>
      <c r="V1915" s="35" t="inlineStr">
        <is>
          <t>Не определено</t>
        </is>
      </c>
      <c r="W1915" s="35" t="inlineStr"/>
      <c r="X1915" s="35" t="inlineStr"/>
    </row>
    <row r="1916" ht="27.75" customHeight="1" s="24">
      <c r="A1916" s="13" t="n">
        <v>5000062525</v>
      </c>
      <c r="B1916" s="13" t="inlineStr">
        <is>
          <t>ОГБОУ СПО Ульяновский техникум железнодорожного техникума</t>
        </is>
      </c>
      <c r="C1916" s="13" t="n">
        <v>7326017080</v>
      </c>
      <c r="D1916" s="13" t="inlineStr">
        <is>
          <t>7326017080</t>
        </is>
      </c>
      <c r="E1916" s="13" t="inlineStr">
        <is>
          <t>ЮЛ РФ</t>
        </is>
      </c>
      <c r="F1916" s="13" t="n"/>
      <c r="G1916" s="14" t="n"/>
      <c r="H1916" s="14" t="n"/>
      <c r="I1916" s="14" t="n"/>
      <c r="J1916" s="14" t="n"/>
      <c r="K1916" s="53" t="inlineStr"/>
      <c r="L1916" s="53" t="inlineStr">
        <is>
          <t>Не определено</t>
        </is>
      </c>
      <c r="M1916" s="53" t="inlineStr"/>
      <c r="N1916" s="54" t="inlineStr"/>
      <c r="O1916" s="55" t="inlineStr"/>
      <c r="P1916" s="16" t="inlineStr">
        <is>
          <t>Требует обогащения</t>
        </is>
      </c>
      <c r="Q1916" s="16">
        <f>HYPERLINK("https://pb.nalog.ru/search.html?query=7326017080","ФНС: проверить")</f>
        <v/>
      </c>
      <c r="R1916" s="16">
        <f>HYPERLINK("https://checko.ru/search?query=3801001629","Чекко: проверить")</f>
        <v/>
      </c>
      <c r="S1916" t="n">
        <v>1</v>
      </c>
      <c r="T1916" s="35" t="inlineStr">
        <is>
          <t>4 — Не обогащён</t>
        </is>
      </c>
      <c r="U1916" s="35" t="inlineStr">
        <is>
          <t>Нет ОКВЭД/ССЧР</t>
        </is>
      </c>
      <c r="V1916" s="35" t="inlineStr">
        <is>
          <t>Не определено</t>
        </is>
      </c>
      <c r="W1916" s="35" t="inlineStr"/>
      <c r="X1916" s="35" t="inlineStr"/>
    </row>
    <row r="1917" ht="27.75" customHeight="1" s="24">
      <c r="A1917" s="13" t="n">
        <v>5000001361</v>
      </c>
      <c r="B1917" s="13" t="inlineStr">
        <is>
          <t>ОГСКОУ «Специальная (коррекционная) общеобразовательная школа г. Бодайбо»</t>
        </is>
      </c>
      <c r="C1917" s="13" t="n">
        <v>3802002093</v>
      </c>
      <c r="D1917" s="13" t="inlineStr">
        <is>
          <t>3802002093</t>
        </is>
      </c>
      <c r="E1917" s="13" t="inlineStr">
        <is>
          <t>ЮЛ РФ</t>
        </is>
      </c>
      <c r="F1917" s="13" t="n"/>
      <c r="G1917" s="14" t="n"/>
      <c r="H1917" s="14" t="n"/>
      <c r="I1917" s="14" t="n"/>
      <c r="J1917" s="14" t="n"/>
      <c r="K1917" s="53" t="inlineStr"/>
      <c r="L1917" s="53" t="inlineStr">
        <is>
          <t>Не определено</t>
        </is>
      </c>
      <c r="M1917" s="53" t="inlineStr"/>
      <c r="N1917" s="54" t="inlineStr"/>
      <c r="O1917" s="55" t="inlineStr"/>
      <c r="P1917" s="16" t="inlineStr">
        <is>
          <t>Требует обогащения</t>
        </is>
      </c>
      <c r="Q1917" s="16">
        <f>HYPERLINK("https://pb.nalog.ru/search.html?query=3802002093","ФНС: проверить")</f>
        <v/>
      </c>
      <c r="R1917" s="16">
        <f>HYPERLINK("https://checko.ru/search?query=3801001629","Чекко: проверить")</f>
        <v/>
      </c>
      <c r="S1917" t="n">
        <v>1</v>
      </c>
      <c r="T1917" s="35" t="inlineStr">
        <is>
          <t>4 — Не обогащён</t>
        </is>
      </c>
      <c r="U1917" s="35" t="inlineStr">
        <is>
          <t>Нет ОКВЭД/ССЧР</t>
        </is>
      </c>
      <c r="V1917" s="35" t="inlineStr">
        <is>
          <t>Не определено</t>
        </is>
      </c>
      <c r="W1917" s="35" t="inlineStr"/>
      <c r="X1917" s="35" t="inlineStr"/>
    </row>
    <row r="1918" ht="41.25" customHeight="1" s="24">
      <c r="A1918" s="13" t="n">
        <v>5000001987</v>
      </c>
      <c r="B1918" s="13" t="inlineStr">
        <is>
          <t>ОБЛАСТНОЕ ГОСУДАРСТВЕННОЕ БЮДЖЕТНОЕ УЧРЕЖДЕНИЕ ЗДРАВООХРАНЕНИЯ "ТУЛУНСКАЯ ГОРОДСКАЯ БОЛЬНИЦА"</t>
        </is>
      </c>
      <c r="C1918" s="13" t="n">
        <v>3816001364</v>
      </c>
      <c r="D1918" s="13" t="inlineStr">
        <is>
          <t>3816001364</t>
        </is>
      </c>
      <c r="E1918" s="13" t="inlineStr">
        <is>
          <t>ЮЛ РФ</t>
        </is>
      </c>
      <c r="F1918" s="13" t="n"/>
      <c r="G1918" s="14" t="n"/>
      <c r="H1918" s="14" t="n"/>
      <c r="I1918" s="14" t="n"/>
      <c r="J1918" s="14" t="n"/>
      <c r="K1918" s="53" t="inlineStr"/>
      <c r="L1918" s="53" t="inlineStr">
        <is>
          <t>Не определено</t>
        </is>
      </c>
      <c r="M1918" s="53" t="inlineStr"/>
      <c r="N1918" s="54" t="inlineStr"/>
      <c r="O1918" s="55" t="inlineStr"/>
      <c r="P1918" s="16" t="inlineStr">
        <is>
          <t>Требует обогащения</t>
        </is>
      </c>
      <c r="Q1918" s="16">
        <f>HYPERLINK("https://pb.nalog.ru/search.html?query=3816001364","ФНС: проверить")</f>
        <v/>
      </c>
      <c r="R1918" s="16">
        <f>HYPERLINK("https://checko.ru/search?query=3801001629","Чекко: проверить")</f>
        <v/>
      </c>
      <c r="S1918" t="n">
        <v>1</v>
      </c>
      <c r="T1918" s="35" t="inlineStr">
        <is>
          <t>4 — Не обогащён</t>
        </is>
      </c>
      <c r="U1918" s="35" t="inlineStr">
        <is>
          <t>Нет ОКВЭД/ССЧР</t>
        </is>
      </c>
      <c r="V1918" s="35" t="inlineStr">
        <is>
          <t>Не определено</t>
        </is>
      </c>
      <c r="W1918" s="35" t="inlineStr"/>
      <c r="X1918" s="35" t="inlineStr"/>
    </row>
    <row r="1919" ht="27.75" customHeight="1" s="24">
      <c r="A1919" s="13" t="n">
        <v>5000036245</v>
      </c>
      <c r="B1919" s="13" t="inlineStr">
        <is>
          <t>Областное автономное учреждение "Редакция газеты" Искра"</t>
        </is>
      </c>
      <c r="C1919" s="13" t="n">
        <v>7311007080</v>
      </c>
      <c r="D1919" s="13" t="inlineStr">
        <is>
          <t>7311007080</t>
        </is>
      </c>
      <c r="E1919" s="13" t="inlineStr">
        <is>
          <t>ЮЛ РФ</t>
        </is>
      </c>
      <c r="F1919" s="13" t="n"/>
      <c r="G1919" s="14" t="n"/>
      <c r="H1919" s="14" t="n"/>
      <c r="I1919" s="14" t="n"/>
      <c r="J1919" s="14" t="n"/>
      <c r="K1919" s="53" t="inlineStr"/>
      <c r="L1919" s="53" t="inlineStr">
        <is>
          <t>Не определено</t>
        </is>
      </c>
      <c r="M1919" s="53" t="inlineStr"/>
      <c r="N1919" s="54" t="inlineStr"/>
      <c r="O1919" s="55" t="inlineStr"/>
      <c r="P1919" s="16" t="inlineStr">
        <is>
          <t>Требует обогащения</t>
        </is>
      </c>
      <c r="Q1919" s="16">
        <f>HYPERLINK("https://pb.nalog.ru/search.html?query=7311007080","ФНС: проверить")</f>
        <v/>
      </c>
      <c r="R1919" s="16">
        <f>HYPERLINK("https://checko.ru/search?query=3801001629","Чекко: проверить")</f>
        <v/>
      </c>
      <c r="S1919" t="n">
        <v>1</v>
      </c>
      <c r="T1919" s="35" t="inlineStr">
        <is>
          <t>4 — Не обогащён</t>
        </is>
      </c>
      <c r="U1919" s="35" t="inlineStr">
        <is>
          <t>Нет ОКВЭД/ССЧР</t>
        </is>
      </c>
      <c r="V1919" s="35" t="inlineStr">
        <is>
          <t>Не определено</t>
        </is>
      </c>
      <c r="W1919" s="35" t="inlineStr"/>
      <c r="X1919" s="35" t="inlineStr"/>
    </row>
    <row r="1920" ht="15" customHeight="1" s="24">
      <c r="A1920" s="13" t="n">
        <v>5000094801</v>
      </c>
      <c r="B1920" s="13" t="inlineStr">
        <is>
          <t>МКОУ СОШ  с.п.Черная Речка</t>
        </is>
      </c>
      <c r="C1920" s="13" t="n">
        <v>707011575</v>
      </c>
      <c r="D1920" s="13" t="n"/>
      <c r="E1920" s="13" t="inlineStr">
        <is>
          <t>Не определён</t>
        </is>
      </c>
      <c r="F1920" s="13" t="inlineStr">
        <is>
          <t>707011575</t>
        </is>
      </c>
      <c r="G1920" s="14" t="n"/>
      <c r="H1920" s="14" t="n"/>
      <c r="I1920" s="14" t="n"/>
      <c r="J1920" s="14" t="n"/>
      <c r="K1920" s="13">
        <f>IF(G1920="","",IF(G1920&gt;=22,"Да","Нет"))</f>
        <v/>
      </c>
      <c r="L1920" s="13">
        <f>IF(OR(I1920="",J1920=""),"Не определено",IF(OR(COUNTIF(I1920,"45*")&gt;0,COUNTIF(J1920,"*45*")&gt;0,COUNTIF(I1920,"46*")&gt;0,COUNTIF(J1920,"*46*")&gt;0,COUNTIF(I1920,"47*")&gt;0,COUNTIF(J1920,"*47*")&gt;0,COUNTIF(I1920,"10*")&gt;0,COUNTIF(J1920,"*10*")&gt;0,COUNTIF(I1920,"11*")&gt;0,COUNTIF(J1920,"*11*")&gt;0,COUNTIF(I1920,"12*")&gt;0,COUNTIF(J1920,"*12*")&gt;0,COUNTIF(I1920,"13*")&gt;0,COUNTIF(J1920,"*13*")&gt;0,COUNTIF(I1920,"14*")&gt;0,COUNTIF(J1920,"*14*")&gt;0,COUNTIF(I1920,"15*")&gt;0,COUNTIF(J1920,"*15*")&gt;0,COUNTIF(I1920,"16*")&gt;0,COUNTIF(J1920,"*16*")&gt;0,COUNTIF(I1920,"17*")&gt;0,COUNTIF(J1920,"*17*")&gt;0,COUNTIF(I1920,"18*")&gt;0,COUNTIF(J1920,"*18*")&gt;0,COUNTIF(I1920,"19*")&gt;0,COUNTIF(J1920,"*19*")&gt;0,COUNTIF(I1920,"20*")&gt;0,COUNTIF(J1920,"*20*")&gt;0,COUNTIF(I1920,"21*")&gt;0,COUNTIF(J1920,"*21*")&gt;0,COUNTIF(I1920,"22*")&gt;0,COUNTIF(J1920,"*22*")&gt;0,COUNTIF(I1920,"23*")&gt;0,COUNTIF(J1920,"*23*")&gt;0,COUNTIF(I1920,"24*")&gt;0,COUNTIF(J1920,"*24*")&gt;0,COUNTIF(I1920,"25*")&gt;0,COUNTIF(J1920,"*25*")&gt;0,COUNTIF(I1920,"26*")&gt;0,COUNTIF(J1920,"*26*")&gt;0,COUNTIF(I1920,"27*")&gt;0,COUNTIF(J1920,"*27*")&gt;0,COUNTIF(I1920,"28*")&gt;0,COUNTIF(J1920,"*28*")&gt;0,COUNTIF(I1920,"29*")&gt;0,COUNTIF(J1920,"*29*")&gt;0,COUNTIF(I1920,"30*")&gt;0,COUNTIF(J1920,"*30*")&gt;0,COUNTIF(I1920,"31*")&gt;0,COUNTIF(J1920,"*31*")&gt;0,COUNTIF(I1920,"32*")&gt;0,COUNTIF(J1920,"*32*")&gt;0,COUNTIF(I1920,"33*")&gt;0,COUNTIF(J1920,"*33*")&gt;0,COUNTIF(I1920,"41*")&gt;0,COUNTIF(J1920,"*41*")&gt;0,COUNTIF(I1920,"42*")&gt;0,COUNTIF(J1920,"*42*")&gt;0,COUNTIF(I1920,"43*")&gt;0,COUNTIF(J1920,"*43*")&gt;0,COUNTIF(I1920,"49*")&gt;0,COUNTIF(J1920,"*49*")&gt;0,COUNTIF(I1920,"52*")&gt;0,COUNTIF(J1920,"*52*")&gt;0,COUNTIF(I1920,"55*")&gt;0,COUNTIF(J1920,"*55*")&gt;0,COUNTIF(I1920,"56*")&gt;0,COUNTIF(J1920,"*56*")&gt;0,COUNTIF(I1920,"68*")&gt;0,COUNTIF(J1920,"*68*")&gt;0,COUNTIF(I1920,"78*")&gt;0,COUNTIF(J1920,"*78*")&gt;0,COUNTIF(I1920,"81*")&gt;0,COUNTIF(J1920,"*81*")&gt;0,COUNTIF(I1920,"82*")&gt;0,COUNTIF(J1920,"*82*")&gt;0,COUNTIF(I1920,"64*")&gt;0,COUNTIF(J1920,"*64*")&gt;0,COUNTIF(I1920,"65*")&gt;0,COUNTIF(J1920,"*65*")&gt;0,COUNTIF(I1920,"66*")&gt;0,COUNTIF(J1920,"*66*")&gt;0,COUNTIF(I1920,"61*")&gt;0,COUNTIF(J1920,"*61*")&gt;0,COUNTIF(I1920,"62*")&gt;0,COUNTIF(J1920,"*62*")&gt;0,COUNTIF(I1920,"63*")&gt;0,COUNTIF(J1920,"*63*")&gt;0,COUNTIF(I1920,"85*")&gt;0,COUNTIF(J1920,"*85*")&gt;0,COUNTIF(I1920,"86*")&gt;0,COUNTIF(J1920,"*86*")&gt;0),"Да","Нет"))</f>
        <v/>
      </c>
      <c r="M1920" s="13">
        <f>IF(OR(G1920="",L1920&lt;&gt;"Да"),"",IF(G1920&lt;=100,"До 100",IF(G1920&lt;=200,"До 200",IF(G1920&lt;=500,"До 500","Отдельное КП"))))</f>
        <v/>
      </c>
      <c r="N1920" s="15">
        <f>IF(OR(G1920="",L1920&lt;&gt;"Да"),"",IF(G1920&lt;=100,33600,IF(G1920&lt;=200,62400,IF(G1920&lt;=500,144000,""))))</f>
        <v/>
      </c>
      <c r="O1920" s="16">
        <f>IF(G1920="","",IF(G1920&lt;=15,"1–15",IF(G1920&lt;=30,"16–30",IF(G1920&lt;=50,"31–50",IF(G1920&lt;=100,"51–100",IF(G1920&lt;=150,"101–150",IF(G1920&lt;=200,"151–200",IF(G1920&lt;=500,"201–500","500+"))))))))</f>
        <v/>
      </c>
      <c r="P1920" s="16" t="inlineStr">
        <is>
          <t>Нет совпадения в предоставленной выгрузке ССЧР</t>
        </is>
      </c>
      <c r="Q1920" s="16" t="n"/>
      <c r="R1920" s="16">
        <f>HYPERLINK("https://checko.ru/search?query=3801001629","Чекко: проверить")</f>
        <v/>
      </c>
      <c r="S1920" t="n">
        <v>0</v>
      </c>
    </row>
    <row r="1921" ht="15" customHeight="1" s="24">
      <c r="A1921" s="13" t="n">
        <v>5000094798</v>
      </c>
      <c r="B1921" s="13" t="inlineStr">
        <is>
          <t>МКОУ СОШ №3 с.п.Псыгансу</t>
        </is>
      </c>
      <c r="C1921" s="13" t="n">
        <v>707011529</v>
      </c>
      <c r="D1921" s="13" t="n"/>
      <c r="E1921" s="13" t="inlineStr">
        <is>
          <t>Не определён</t>
        </is>
      </c>
      <c r="F1921" s="13" t="inlineStr">
        <is>
          <t>707011529</t>
        </is>
      </c>
      <c r="G1921" s="14" t="n"/>
      <c r="H1921" s="14" t="n"/>
      <c r="I1921" s="14" t="n"/>
      <c r="J1921" s="14" t="n"/>
      <c r="K1921" s="13">
        <f>IF(G1921="","",IF(G1921&gt;=22,"Да","Нет"))</f>
        <v/>
      </c>
      <c r="L1921" s="13">
        <f>IF(OR(I1921="",J1921=""),"Не определено",IF(OR(COUNTIF(I1921,"45*")&gt;0,COUNTIF(J1921,"*45*")&gt;0,COUNTIF(I1921,"46*")&gt;0,COUNTIF(J1921,"*46*")&gt;0,COUNTIF(I1921,"47*")&gt;0,COUNTIF(J1921,"*47*")&gt;0,COUNTIF(I1921,"10*")&gt;0,COUNTIF(J1921,"*10*")&gt;0,COUNTIF(I1921,"11*")&gt;0,COUNTIF(J1921,"*11*")&gt;0,COUNTIF(I1921,"12*")&gt;0,COUNTIF(J1921,"*12*")&gt;0,COUNTIF(I1921,"13*")&gt;0,COUNTIF(J1921,"*13*")&gt;0,COUNTIF(I1921,"14*")&gt;0,COUNTIF(J1921,"*14*")&gt;0,COUNTIF(I1921,"15*")&gt;0,COUNTIF(J1921,"*15*")&gt;0,COUNTIF(I1921,"16*")&gt;0,COUNTIF(J1921,"*16*")&gt;0,COUNTIF(I1921,"17*")&gt;0,COUNTIF(J1921,"*17*")&gt;0,COUNTIF(I1921,"18*")&gt;0,COUNTIF(J1921,"*18*")&gt;0,COUNTIF(I1921,"19*")&gt;0,COUNTIF(J1921,"*19*")&gt;0,COUNTIF(I1921,"20*")&gt;0,COUNTIF(J1921,"*20*")&gt;0,COUNTIF(I1921,"21*")&gt;0,COUNTIF(J1921,"*21*")&gt;0,COUNTIF(I1921,"22*")&gt;0,COUNTIF(J1921,"*22*")&gt;0,COUNTIF(I1921,"23*")&gt;0,COUNTIF(J1921,"*23*")&gt;0,COUNTIF(I1921,"24*")&gt;0,COUNTIF(J1921,"*24*")&gt;0,COUNTIF(I1921,"25*")&gt;0,COUNTIF(J1921,"*25*")&gt;0,COUNTIF(I1921,"26*")&gt;0,COUNTIF(J1921,"*26*")&gt;0,COUNTIF(I1921,"27*")&gt;0,COUNTIF(J1921,"*27*")&gt;0,COUNTIF(I1921,"28*")&gt;0,COUNTIF(J1921,"*28*")&gt;0,COUNTIF(I1921,"29*")&gt;0,COUNTIF(J1921,"*29*")&gt;0,COUNTIF(I1921,"30*")&gt;0,COUNTIF(J1921,"*30*")&gt;0,COUNTIF(I1921,"31*")&gt;0,COUNTIF(J1921,"*31*")&gt;0,COUNTIF(I1921,"32*")&gt;0,COUNTIF(J1921,"*32*")&gt;0,COUNTIF(I1921,"33*")&gt;0,COUNTIF(J1921,"*33*")&gt;0,COUNTIF(I1921,"41*")&gt;0,COUNTIF(J1921,"*41*")&gt;0,COUNTIF(I1921,"42*")&gt;0,COUNTIF(J1921,"*42*")&gt;0,COUNTIF(I1921,"43*")&gt;0,COUNTIF(J1921,"*43*")&gt;0,COUNTIF(I1921,"49*")&gt;0,COUNTIF(J1921,"*49*")&gt;0,COUNTIF(I1921,"52*")&gt;0,COUNTIF(J1921,"*52*")&gt;0,COUNTIF(I1921,"55*")&gt;0,COUNTIF(J1921,"*55*")&gt;0,COUNTIF(I1921,"56*")&gt;0,COUNTIF(J1921,"*56*")&gt;0,COUNTIF(I1921,"68*")&gt;0,COUNTIF(J1921,"*68*")&gt;0,COUNTIF(I1921,"78*")&gt;0,COUNTIF(J1921,"*78*")&gt;0,COUNTIF(I1921,"81*")&gt;0,COUNTIF(J1921,"*81*")&gt;0,COUNTIF(I1921,"82*")&gt;0,COUNTIF(J1921,"*82*")&gt;0,COUNTIF(I1921,"64*")&gt;0,COUNTIF(J1921,"*64*")&gt;0,COUNTIF(I1921,"65*")&gt;0,COUNTIF(J1921,"*65*")&gt;0,COUNTIF(I1921,"66*")&gt;0,COUNTIF(J1921,"*66*")&gt;0,COUNTIF(I1921,"61*")&gt;0,COUNTIF(J1921,"*61*")&gt;0,COUNTIF(I1921,"62*")&gt;0,COUNTIF(J1921,"*62*")&gt;0,COUNTIF(I1921,"63*")&gt;0,COUNTIF(J1921,"*63*")&gt;0,COUNTIF(I1921,"85*")&gt;0,COUNTIF(J1921,"*85*")&gt;0,COUNTIF(I1921,"86*")&gt;0,COUNTIF(J1921,"*86*")&gt;0),"Да","Нет"))</f>
        <v/>
      </c>
      <c r="M1921" s="13">
        <f>IF(OR(G1921="",L1921&lt;&gt;"Да"),"",IF(G1921&lt;=100,"До 100",IF(G1921&lt;=200,"До 200",IF(G1921&lt;=500,"До 500","Отдельное КП"))))</f>
        <v/>
      </c>
      <c r="N1921" s="15">
        <f>IF(OR(G1921="",L1921&lt;&gt;"Да"),"",IF(G1921&lt;=100,33600,IF(G1921&lt;=200,62400,IF(G1921&lt;=500,144000,""))))</f>
        <v/>
      </c>
      <c r="O1921" s="16">
        <f>IF(G1921="","",IF(G1921&lt;=15,"1–15",IF(G1921&lt;=30,"16–30",IF(G1921&lt;=50,"31–50",IF(G1921&lt;=100,"51–100",IF(G1921&lt;=150,"101–150",IF(G1921&lt;=200,"151–200",IF(G1921&lt;=500,"201–500","500+"))))))))</f>
        <v/>
      </c>
      <c r="P1921" s="16" t="inlineStr">
        <is>
          <t>Нет совпадения в предоставленной выгрузке ССЧР</t>
        </is>
      </c>
      <c r="Q1921" s="16" t="n"/>
      <c r="R1921" s="16">
        <f>HYPERLINK("https://checko.ru/search?query=3801001629","Чекко: проверить")</f>
        <v/>
      </c>
      <c r="S1921" t="n">
        <v>0</v>
      </c>
    </row>
    <row r="1922" ht="15" customHeight="1" s="24">
      <c r="A1922" s="13" t="n">
        <v>5000094800</v>
      </c>
      <c r="B1922" s="13" t="inlineStr">
        <is>
          <t>МКОУ СОШ №1 с.п.Псыгансу</t>
        </is>
      </c>
      <c r="C1922" s="13" t="n">
        <v>707011568</v>
      </c>
      <c r="D1922" s="13" t="n"/>
      <c r="E1922" s="13" t="inlineStr">
        <is>
          <t>Не определён</t>
        </is>
      </c>
      <c r="F1922" s="13" t="inlineStr">
        <is>
          <t>707011568</t>
        </is>
      </c>
      <c r="G1922" s="14" t="n"/>
      <c r="H1922" s="14" t="n"/>
      <c r="I1922" s="14" t="n"/>
      <c r="J1922" s="14" t="n"/>
      <c r="K1922" s="13">
        <f>IF(G1922="","",IF(G1922&gt;=22,"Да","Нет"))</f>
        <v/>
      </c>
      <c r="L1922" s="13">
        <f>IF(OR(I1922="",J1922=""),"Не определено",IF(OR(COUNTIF(I1922,"45*")&gt;0,COUNTIF(J1922,"*45*")&gt;0,COUNTIF(I1922,"46*")&gt;0,COUNTIF(J1922,"*46*")&gt;0,COUNTIF(I1922,"47*")&gt;0,COUNTIF(J1922,"*47*")&gt;0,COUNTIF(I1922,"10*")&gt;0,COUNTIF(J1922,"*10*")&gt;0,COUNTIF(I1922,"11*")&gt;0,COUNTIF(J1922,"*11*")&gt;0,COUNTIF(I1922,"12*")&gt;0,COUNTIF(J1922,"*12*")&gt;0,COUNTIF(I1922,"13*")&gt;0,COUNTIF(J1922,"*13*")&gt;0,COUNTIF(I1922,"14*")&gt;0,COUNTIF(J1922,"*14*")&gt;0,COUNTIF(I1922,"15*")&gt;0,COUNTIF(J1922,"*15*")&gt;0,COUNTIF(I1922,"16*")&gt;0,COUNTIF(J1922,"*16*")&gt;0,COUNTIF(I1922,"17*")&gt;0,COUNTIF(J1922,"*17*")&gt;0,COUNTIF(I1922,"18*")&gt;0,COUNTIF(J1922,"*18*")&gt;0,COUNTIF(I1922,"19*")&gt;0,COUNTIF(J1922,"*19*")&gt;0,COUNTIF(I1922,"20*")&gt;0,COUNTIF(J1922,"*20*")&gt;0,COUNTIF(I1922,"21*")&gt;0,COUNTIF(J1922,"*21*")&gt;0,COUNTIF(I1922,"22*")&gt;0,COUNTIF(J1922,"*22*")&gt;0,COUNTIF(I1922,"23*")&gt;0,COUNTIF(J1922,"*23*")&gt;0,COUNTIF(I1922,"24*")&gt;0,COUNTIF(J1922,"*24*")&gt;0,COUNTIF(I1922,"25*")&gt;0,COUNTIF(J1922,"*25*")&gt;0,COUNTIF(I1922,"26*")&gt;0,COUNTIF(J1922,"*26*")&gt;0,COUNTIF(I1922,"27*")&gt;0,COUNTIF(J1922,"*27*")&gt;0,COUNTIF(I1922,"28*")&gt;0,COUNTIF(J1922,"*28*")&gt;0,COUNTIF(I1922,"29*")&gt;0,COUNTIF(J1922,"*29*")&gt;0,COUNTIF(I1922,"30*")&gt;0,COUNTIF(J1922,"*30*")&gt;0,COUNTIF(I1922,"31*")&gt;0,COUNTIF(J1922,"*31*")&gt;0,COUNTIF(I1922,"32*")&gt;0,COUNTIF(J1922,"*32*")&gt;0,COUNTIF(I1922,"33*")&gt;0,COUNTIF(J1922,"*33*")&gt;0,COUNTIF(I1922,"41*")&gt;0,COUNTIF(J1922,"*41*")&gt;0,COUNTIF(I1922,"42*")&gt;0,COUNTIF(J1922,"*42*")&gt;0,COUNTIF(I1922,"43*")&gt;0,COUNTIF(J1922,"*43*")&gt;0,COUNTIF(I1922,"49*")&gt;0,COUNTIF(J1922,"*49*")&gt;0,COUNTIF(I1922,"52*")&gt;0,COUNTIF(J1922,"*52*")&gt;0,COUNTIF(I1922,"55*")&gt;0,COUNTIF(J1922,"*55*")&gt;0,COUNTIF(I1922,"56*")&gt;0,COUNTIF(J1922,"*56*")&gt;0,COUNTIF(I1922,"68*")&gt;0,COUNTIF(J1922,"*68*")&gt;0,COUNTIF(I1922,"78*")&gt;0,COUNTIF(J1922,"*78*")&gt;0,COUNTIF(I1922,"81*")&gt;0,COUNTIF(J1922,"*81*")&gt;0,COUNTIF(I1922,"82*")&gt;0,COUNTIF(J1922,"*82*")&gt;0,COUNTIF(I1922,"64*")&gt;0,COUNTIF(J1922,"*64*")&gt;0,COUNTIF(I1922,"65*")&gt;0,COUNTIF(J1922,"*65*")&gt;0,COUNTIF(I1922,"66*")&gt;0,COUNTIF(J1922,"*66*")&gt;0,COUNTIF(I1922,"61*")&gt;0,COUNTIF(J1922,"*61*")&gt;0,COUNTIF(I1922,"62*")&gt;0,COUNTIF(J1922,"*62*")&gt;0,COUNTIF(I1922,"63*")&gt;0,COUNTIF(J1922,"*63*")&gt;0,COUNTIF(I1922,"85*")&gt;0,COUNTIF(J1922,"*85*")&gt;0,COUNTIF(I1922,"86*")&gt;0,COUNTIF(J1922,"*86*")&gt;0),"Да","Нет"))</f>
        <v/>
      </c>
      <c r="M1922" s="13">
        <f>IF(OR(G1922="",L1922&lt;&gt;"Да"),"",IF(G1922&lt;=100,"До 100",IF(G1922&lt;=200,"До 200",IF(G1922&lt;=500,"До 500","Отдельное КП"))))</f>
        <v/>
      </c>
      <c r="N1922" s="15">
        <f>IF(OR(G1922="",L1922&lt;&gt;"Да"),"",IF(G1922&lt;=100,33600,IF(G1922&lt;=200,62400,IF(G1922&lt;=500,144000,""))))</f>
        <v/>
      </c>
      <c r="O1922" s="16">
        <f>IF(G1922="","",IF(G1922&lt;=15,"1–15",IF(G1922&lt;=30,"16–30",IF(G1922&lt;=50,"31–50",IF(G1922&lt;=100,"51–100",IF(G1922&lt;=150,"101–150",IF(G1922&lt;=200,"151–200",IF(G1922&lt;=500,"201–500","500+"))))))))</f>
        <v/>
      </c>
      <c r="P1922" s="16" t="inlineStr">
        <is>
          <t>Нет совпадения в предоставленной выгрузке ССЧР</t>
        </is>
      </c>
      <c r="Q1922" s="16" t="n"/>
      <c r="R1922" s="16">
        <f>HYPERLINK("https://checko.ru/search?query=3801001629","Чекко: проверить")</f>
        <v/>
      </c>
      <c r="S1922" t="n">
        <v>0</v>
      </c>
    </row>
    <row r="1923" ht="15" customHeight="1" s="24">
      <c r="A1923" s="13" t="n">
        <v>5000094815</v>
      </c>
      <c r="B1923" s="13" t="inlineStr">
        <is>
          <t>МКОУ СОШ  с.п.Псынабо</t>
        </is>
      </c>
      <c r="C1923" s="13" t="n">
        <v>707011776</v>
      </c>
      <c r="D1923" s="13" t="n"/>
      <c r="E1923" s="13" t="inlineStr">
        <is>
          <t>Не определён</t>
        </is>
      </c>
      <c r="F1923" s="13" t="inlineStr">
        <is>
          <t>707011776</t>
        </is>
      </c>
      <c r="G1923" s="14" t="n"/>
      <c r="H1923" s="14" t="n"/>
      <c r="I1923" s="14" t="n"/>
      <c r="J1923" s="14" t="n"/>
      <c r="K1923" s="13">
        <f>IF(G1923="","",IF(G1923&gt;=22,"Да","Нет"))</f>
        <v/>
      </c>
      <c r="L1923" s="13">
        <f>IF(OR(I1923="",J1923=""),"Не определено",IF(OR(COUNTIF(I1923,"45*")&gt;0,COUNTIF(J1923,"*45*")&gt;0,COUNTIF(I1923,"46*")&gt;0,COUNTIF(J1923,"*46*")&gt;0,COUNTIF(I1923,"47*")&gt;0,COUNTIF(J1923,"*47*")&gt;0,COUNTIF(I1923,"10*")&gt;0,COUNTIF(J1923,"*10*")&gt;0,COUNTIF(I1923,"11*")&gt;0,COUNTIF(J1923,"*11*")&gt;0,COUNTIF(I1923,"12*")&gt;0,COUNTIF(J1923,"*12*")&gt;0,COUNTIF(I1923,"13*")&gt;0,COUNTIF(J1923,"*13*")&gt;0,COUNTIF(I1923,"14*")&gt;0,COUNTIF(J1923,"*14*")&gt;0,COUNTIF(I1923,"15*")&gt;0,COUNTIF(J1923,"*15*")&gt;0,COUNTIF(I1923,"16*")&gt;0,COUNTIF(J1923,"*16*")&gt;0,COUNTIF(I1923,"17*")&gt;0,COUNTIF(J1923,"*17*")&gt;0,COUNTIF(I1923,"18*")&gt;0,COUNTIF(J1923,"*18*")&gt;0,COUNTIF(I1923,"19*")&gt;0,COUNTIF(J1923,"*19*")&gt;0,COUNTIF(I1923,"20*")&gt;0,COUNTIF(J1923,"*20*")&gt;0,COUNTIF(I1923,"21*")&gt;0,COUNTIF(J1923,"*21*")&gt;0,COUNTIF(I1923,"22*")&gt;0,COUNTIF(J1923,"*22*")&gt;0,COUNTIF(I1923,"23*")&gt;0,COUNTIF(J1923,"*23*")&gt;0,COUNTIF(I1923,"24*")&gt;0,COUNTIF(J1923,"*24*")&gt;0,COUNTIF(I1923,"25*")&gt;0,COUNTIF(J1923,"*25*")&gt;0,COUNTIF(I1923,"26*")&gt;0,COUNTIF(J1923,"*26*")&gt;0,COUNTIF(I1923,"27*")&gt;0,COUNTIF(J1923,"*27*")&gt;0,COUNTIF(I1923,"28*")&gt;0,COUNTIF(J1923,"*28*")&gt;0,COUNTIF(I1923,"29*")&gt;0,COUNTIF(J1923,"*29*")&gt;0,COUNTIF(I1923,"30*")&gt;0,COUNTIF(J1923,"*30*")&gt;0,COUNTIF(I1923,"31*")&gt;0,COUNTIF(J1923,"*31*")&gt;0,COUNTIF(I1923,"32*")&gt;0,COUNTIF(J1923,"*32*")&gt;0,COUNTIF(I1923,"33*")&gt;0,COUNTIF(J1923,"*33*")&gt;0,COUNTIF(I1923,"41*")&gt;0,COUNTIF(J1923,"*41*")&gt;0,COUNTIF(I1923,"42*")&gt;0,COUNTIF(J1923,"*42*")&gt;0,COUNTIF(I1923,"43*")&gt;0,COUNTIF(J1923,"*43*")&gt;0,COUNTIF(I1923,"49*")&gt;0,COUNTIF(J1923,"*49*")&gt;0,COUNTIF(I1923,"52*")&gt;0,COUNTIF(J1923,"*52*")&gt;0,COUNTIF(I1923,"55*")&gt;0,COUNTIF(J1923,"*55*")&gt;0,COUNTIF(I1923,"56*")&gt;0,COUNTIF(J1923,"*56*")&gt;0,COUNTIF(I1923,"68*")&gt;0,COUNTIF(J1923,"*68*")&gt;0,COUNTIF(I1923,"78*")&gt;0,COUNTIF(J1923,"*78*")&gt;0,COUNTIF(I1923,"81*")&gt;0,COUNTIF(J1923,"*81*")&gt;0,COUNTIF(I1923,"82*")&gt;0,COUNTIF(J1923,"*82*")&gt;0,COUNTIF(I1923,"64*")&gt;0,COUNTIF(J1923,"*64*")&gt;0,COUNTIF(I1923,"65*")&gt;0,COUNTIF(J1923,"*65*")&gt;0,COUNTIF(I1923,"66*")&gt;0,COUNTIF(J1923,"*66*")&gt;0,COUNTIF(I1923,"61*")&gt;0,COUNTIF(J1923,"*61*")&gt;0,COUNTIF(I1923,"62*")&gt;0,COUNTIF(J1923,"*62*")&gt;0,COUNTIF(I1923,"63*")&gt;0,COUNTIF(J1923,"*63*")&gt;0,COUNTIF(I1923,"85*")&gt;0,COUNTIF(J1923,"*85*")&gt;0,COUNTIF(I1923,"86*")&gt;0,COUNTIF(J1923,"*86*")&gt;0),"Да","Нет"))</f>
        <v/>
      </c>
      <c r="M1923" s="13">
        <f>IF(OR(G1923="",L1923&lt;&gt;"Да"),"",IF(G1923&lt;=100,"До 100",IF(G1923&lt;=200,"До 200",IF(G1923&lt;=500,"До 500","Отдельное КП"))))</f>
        <v/>
      </c>
      <c r="N1923" s="15">
        <f>IF(OR(G1923="",L1923&lt;&gt;"Да"),"",IF(G1923&lt;=100,33600,IF(G1923&lt;=200,62400,IF(G1923&lt;=500,144000,""))))</f>
        <v/>
      </c>
      <c r="O1923" s="16">
        <f>IF(G1923="","",IF(G1923&lt;=15,"1–15",IF(G1923&lt;=30,"16–30",IF(G1923&lt;=50,"31–50",IF(G1923&lt;=100,"51–100",IF(G1923&lt;=150,"101–150",IF(G1923&lt;=200,"151–200",IF(G1923&lt;=500,"201–500","500+"))))))))</f>
        <v/>
      </c>
      <c r="P1923" s="16" t="inlineStr">
        <is>
          <t>Нет совпадения в предоставленной выгрузке ССЧР</t>
        </is>
      </c>
      <c r="Q1923" s="16" t="n"/>
      <c r="R1923" s="16">
        <f>HYPERLINK("https://checko.ru/search?query=3801001629","Чекко: проверить")</f>
        <v/>
      </c>
      <c r="S1923" t="n">
        <v>0</v>
      </c>
    </row>
    <row r="1924" ht="15" customHeight="1" s="24">
      <c r="A1924" s="13" t="n">
        <v>5000094809</v>
      </c>
      <c r="B1924" s="13" t="inlineStr">
        <is>
          <t>МКОУ СОШ  с.п.Шитхала</t>
        </is>
      </c>
      <c r="C1924" s="13" t="n">
        <v>707011656</v>
      </c>
      <c r="D1924" s="13" t="n"/>
      <c r="E1924" s="13" t="inlineStr">
        <is>
          <t>Не определён</t>
        </is>
      </c>
      <c r="F1924" s="13" t="inlineStr">
        <is>
          <t>707011656</t>
        </is>
      </c>
      <c r="G1924" s="14" t="n"/>
      <c r="H1924" s="14" t="n"/>
      <c r="I1924" s="14" t="n"/>
      <c r="J1924" s="14" t="n"/>
      <c r="K1924" s="13">
        <f>IF(G1924="","",IF(G1924&gt;=22,"Да","Нет"))</f>
        <v/>
      </c>
      <c r="L1924" s="13">
        <f>IF(OR(I1924="",J1924=""),"Не определено",IF(OR(COUNTIF(I1924,"45*")&gt;0,COUNTIF(J1924,"*45*")&gt;0,COUNTIF(I1924,"46*")&gt;0,COUNTIF(J1924,"*46*")&gt;0,COUNTIF(I1924,"47*")&gt;0,COUNTIF(J1924,"*47*")&gt;0,COUNTIF(I1924,"10*")&gt;0,COUNTIF(J1924,"*10*")&gt;0,COUNTIF(I1924,"11*")&gt;0,COUNTIF(J1924,"*11*")&gt;0,COUNTIF(I1924,"12*")&gt;0,COUNTIF(J1924,"*12*")&gt;0,COUNTIF(I1924,"13*")&gt;0,COUNTIF(J1924,"*13*")&gt;0,COUNTIF(I1924,"14*")&gt;0,COUNTIF(J1924,"*14*")&gt;0,COUNTIF(I1924,"15*")&gt;0,COUNTIF(J1924,"*15*")&gt;0,COUNTIF(I1924,"16*")&gt;0,COUNTIF(J1924,"*16*")&gt;0,COUNTIF(I1924,"17*")&gt;0,COUNTIF(J1924,"*17*")&gt;0,COUNTIF(I1924,"18*")&gt;0,COUNTIF(J1924,"*18*")&gt;0,COUNTIF(I1924,"19*")&gt;0,COUNTIF(J1924,"*19*")&gt;0,COUNTIF(I1924,"20*")&gt;0,COUNTIF(J1924,"*20*")&gt;0,COUNTIF(I1924,"21*")&gt;0,COUNTIF(J1924,"*21*")&gt;0,COUNTIF(I1924,"22*")&gt;0,COUNTIF(J1924,"*22*")&gt;0,COUNTIF(I1924,"23*")&gt;0,COUNTIF(J1924,"*23*")&gt;0,COUNTIF(I1924,"24*")&gt;0,COUNTIF(J1924,"*24*")&gt;0,COUNTIF(I1924,"25*")&gt;0,COUNTIF(J1924,"*25*")&gt;0,COUNTIF(I1924,"26*")&gt;0,COUNTIF(J1924,"*26*")&gt;0,COUNTIF(I1924,"27*")&gt;0,COUNTIF(J1924,"*27*")&gt;0,COUNTIF(I1924,"28*")&gt;0,COUNTIF(J1924,"*28*")&gt;0,COUNTIF(I1924,"29*")&gt;0,COUNTIF(J1924,"*29*")&gt;0,COUNTIF(I1924,"30*")&gt;0,COUNTIF(J1924,"*30*")&gt;0,COUNTIF(I1924,"31*")&gt;0,COUNTIF(J1924,"*31*")&gt;0,COUNTIF(I1924,"32*")&gt;0,COUNTIF(J1924,"*32*")&gt;0,COUNTIF(I1924,"33*")&gt;0,COUNTIF(J1924,"*33*")&gt;0,COUNTIF(I1924,"41*")&gt;0,COUNTIF(J1924,"*41*")&gt;0,COUNTIF(I1924,"42*")&gt;0,COUNTIF(J1924,"*42*")&gt;0,COUNTIF(I1924,"43*")&gt;0,COUNTIF(J1924,"*43*")&gt;0,COUNTIF(I1924,"49*")&gt;0,COUNTIF(J1924,"*49*")&gt;0,COUNTIF(I1924,"52*")&gt;0,COUNTIF(J1924,"*52*")&gt;0,COUNTIF(I1924,"55*")&gt;0,COUNTIF(J1924,"*55*")&gt;0,COUNTIF(I1924,"56*")&gt;0,COUNTIF(J1924,"*56*")&gt;0,COUNTIF(I1924,"68*")&gt;0,COUNTIF(J1924,"*68*")&gt;0,COUNTIF(I1924,"78*")&gt;0,COUNTIF(J1924,"*78*")&gt;0,COUNTIF(I1924,"81*")&gt;0,COUNTIF(J1924,"*81*")&gt;0,COUNTIF(I1924,"82*")&gt;0,COUNTIF(J1924,"*82*")&gt;0,COUNTIF(I1924,"64*")&gt;0,COUNTIF(J1924,"*64*")&gt;0,COUNTIF(I1924,"65*")&gt;0,COUNTIF(J1924,"*65*")&gt;0,COUNTIF(I1924,"66*")&gt;0,COUNTIF(J1924,"*66*")&gt;0,COUNTIF(I1924,"61*")&gt;0,COUNTIF(J1924,"*61*")&gt;0,COUNTIF(I1924,"62*")&gt;0,COUNTIF(J1924,"*62*")&gt;0,COUNTIF(I1924,"63*")&gt;0,COUNTIF(J1924,"*63*")&gt;0,COUNTIF(I1924,"85*")&gt;0,COUNTIF(J1924,"*85*")&gt;0,COUNTIF(I1924,"86*")&gt;0,COUNTIF(J1924,"*86*")&gt;0),"Да","Нет"))</f>
        <v/>
      </c>
      <c r="M1924" s="13">
        <f>IF(OR(G1924="",L1924&lt;&gt;"Да"),"",IF(G1924&lt;=100,"До 100",IF(G1924&lt;=200,"До 200",IF(G1924&lt;=500,"До 500","Отдельное КП"))))</f>
        <v/>
      </c>
      <c r="N1924" s="15">
        <f>IF(OR(G1924="",L1924&lt;&gt;"Да"),"",IF(G1924&lt;=100,33600,IF(G1924&lt;=200,62400,IF(G1924&lt;=500,144000,""))))</f>
        <v/>
      </c>
      <c r="O1924" s="16">
        <f>IF(G1924="","",IF(G1924&lt;=15,"1–15",IF(G1924&lt;=30,"16–30",IF(G1924&lt;=50,"31–50",IF(G1924&lt;=100,"51–100",IF(G1924&lt;=150,"101–150",IF(G1924&lt;=200,"151–200",IF(G1924&lt;=500,"201–500","500+"))))))))</f>
        <v/>
      </c>
      <c r="P1924" s="16" t="inlineStr">
        <is>
          <t>Нет совпадения в предоставленной выгрузке ССЧР</t>
        </is>
      </c>
      <c r="Q1924" s="16" t="n"/>
      <c r="R1924" s="16">
        <f>HYPERLINK("https://checko.ru/search?query=3801001629","Чекко: проверить")</f>
        <v/>
      </c>
      <c r="S1924" t="n">
        <v>0</v>
      </c>
    </row>
    <row r="1925" ht="15" customHeight="1" s="24">
      <c r="A1925" s="13" t="n">
        <v>5000094786</v>
      </c>
      <c r="B1925" s="13" t="inlineStr">
        <is>
          <t>МКОУ НШДС №5 г.п.Нарткала</t>
        </is>
      </c>
      <c r="C1925" s="13" t="n">
        <v>707010878</v>
      </c>
      <c r="D1925" s="13" t="n"/>
      <c r="E1925" s="13" t="inlineStr">
        <is>
          <t>Не определён</t>
        </is>
      </c>
      <c r="F1925" s="13" t="inlineStr">
        <is>
          <t>707010878</t>
        </is>
      </c>
      <c r="G1925" s="14" t="n"/>
      <c r="H1925" s="14" t="n"/>
      <c r="I1925" s="14" t="n"/>
      <c r="J1925" s="14" t="n"/>
      <c r="K1925" s="13">
        <f>IF(G1925="","",IF(G1925&gt;=22,"Да","Нет"))</f>
        <v/>
      </c>
      <c r="L1925" s="13">
        <f>IF(OR(I1925="",J1925=""),"Не определено",IF(OR(COUNTIF(I1925,"45*")&gt;0,COUNTIF(J1925,"*45*")&gt;0,COUNTIF(I1925,"46*")&gt;0,COUNTIF(J1925,"*46*")&gt;0,COUNTIF(I1925,"47*")&gt;0,COUNTIF(J1925,"*47*")&gt;0,COUNTIF(I1925,"10*")&gt;0,COUNTIF(J1925,"*10*")&gt;0,COUNTIF(I1925,"11*")&gt;0,COUNTIF(J1925,"*11*")&gt;0,COUNTIF(I1925,"12*")&gt;0,COUNTIF(J1925,"*12*")&gt;0,COUNTIF(I1925,"13*")&gt;0,COUNTIF(J1925,"*13*")&gt;0,COUNTIF(I1925,"14*")&gt;0,COUNTIF(J1925,"*14*")&gt;0,COUNTIF(I1925,"15*")&gt;0,COUNTIF(J1925,"*15*")&gt;0,COUNTIF(I1925,"16*")&gt;0,COUNTIF(J1925,"*16*")&gt;0,COUNTIF(I1925,"17*")&gt;0,COUNTIF(J1925,"*17*")&gt;0,COUNTIF(I1925,"18*")&gt;0,COUNTIF(J1925,"*18*")&gt;0,COUNTIF(I1925,"19*")&gt;0,COUNTIF(J1925,"*19*")&gt;0,COUNTIF(I1925,"20*")&gt;0,COUNTIF(J1925,"*20*")&gt;0,COUNTIF(I1925,"21*")&gt;0,COUNTIF(J1925,"*21*")&gt;0,COUNTIF(I1925,"22*")&gt;0,COUNTIF(J1925,"*22*")&gt;0,COUNTIF(I1925,"23*")&gt;0,COUNTIF(J1925,"*23*")&gt;0,COUNTIF(I1925,"24*")&gt;0,COUNTIF(J1925,"*24*")&gt;0,COUNTIF(I1925,"25*")&gt;0,COUNTIF(J1925,"*25*")&gt;0,COUNTIF(I1925,"26*")&gt;0,COUNTIF(J1925,"*26*")&gt;0,COUNTIF(I1925,"27*")&gt;0,COUNTIF(J1925,"*27*")&gt;0,COUNTIF(I1925,"28*")&gt;0,COUNTIF(J1925,"*28*")&gt;0,COUNTIF(I1925,"29*")&gt;0,COUNTIF(J1925,"*29*")&gt;0,COUNTIF(I1925,"30*")&gt;0,COUNTIF(J1925,"*30*")&gt;0,COUNTIF(I1925,"31*")&gt;0,COUNTIF(J1925,"*31*")&gt;0,COUNTIF(I1925,"32*")&gt;0,COUNTIF(J1925,"*32*")&gt;0,COUNTIF(I1925,"33*")&gt;0,COUNTIF(J1925,"*33*")&gt;0,COUNTIF(I1925,"41*")&gt;0,COUNTIF(J1925,"*41*")&gt;0,COUNTIF(I1925,"42*")&gt;0,COUNTIF(J1925,"*42*")&gt;0,COUNTIF(I1925,"43*")&gt;0,COUNTIF(J1925,"*43*")&gt;0,COUNTIF(I1925,"49*")&gt;0,COUNTIF(J1925,"*49*")&gt;0,COUNTIF(I1925,"52*")&gt;0,COUNTIF(J1925,"*52*")&gt;0,COUNTIF(I1925,"55*")&gt;0,COUNTIF(J1925,"*55*")&gt;0,COUNTIF(I1925,"56*")&gt;0,COUNTIF(J1925,"*56*")&gt;0,COUNTIF(I1925,"68*")&gt;0,COUNTIF(J1925,"*68*")&gt;0,COUNTIF(I1925,"78*")&gt;0,COUNTIF(J1925,"*78*")&gt;0,COUNTIF(I1925,"81*")&gt;0,COUNTIF(J1925,"*81*")&gt;0,COUNTIF(I1925,"82*")&gt;0,COUNTIF(J1925,"*82*")&gt;0,COUNTIF(I1925,"64*")&gt;0,COUNTIF(J1925,"*64*")&gt;0,COUNTIF(I1925,"65*")&gt;0,COUNTIF(J1925,"*65*")&gt;0,COUNTIF(I1925,"66*")&gt;0,COUNTIF(J1925,"*66*")&gt;0,COUNTIF(I1925,"61*")&gt;0,COUNTIF(J1925,"*61*")&gt;0,COUNTIF(I1925,"62*")&gt;0,COUNTIF(J1925,"*62*")&gt;0,COUNTIF(I1925,"63*")&gt;0,COUNTIF(J1925,"*63*")&gt;0,COUNTIF(I1925,"85*")&gt;0,COUNTIF(J1925,"*85*")&gt;0,COUNTIF(I1925,"86*")&gt;0,COUNTIF(J1925,"*86*")&gt;0),"Да","Нет"))</f>
        <v/>
      </c>
      <c r="M1925" s="13">
        <f>IF(OR(G1925="",L1925&lt;&gt;"Да"),"",IF(G1925&lt;=100,"До 100",IF(G1925&lt;=200,"До 200",IF(G1925&lt;=500,"До 500","Отдельное КП"))))</f>
        <v/>
      </c>
      <c r="N1925" s="15">
        <f>IF(OR(G1925="",L1925&lt;&gt;"Да"),"",IF(G1925&lt;=100,33600,IF(G1925&lt;=200,62400,IF(G1925&lt;=500,144000,""))))</f>
        <v/>
      </c>
      <c r="O1925" s="16">
        <f>IF(G1925="","",IF(G1925&lt;=15,"1–15",IF(G1925&lt;=30,"16–30",IF(G1925&lt;=50,"31–50",IF(G1925&lt;=100,"51–100",IF(G1925&lt;=150,"101–150",IF(G1925&lt;=200,"151–200",IF(G1925&lt;=500,"201–500","500+"))))))))</f>
        <v/>
      </c>
      <c r="P1925" s="16" t="inlineStr">
        <is>
          <t>Нет совпадения в предоставленной выгрузке ССЧР</t>
        </is>
      </c>
      <c r="Q1925" s="16" t="n"/>
      <c r="R1925" s="16">
        <f>HYPERLINK("https://checko.ru/search?query=3801001629","Чекко: проверить")</f>
        <v/>
      </c>
      <c r="S1925" t="n">
        <v>0</v>
      </c>
    </row>
    <row r="1926" ht="27.75" customHeight="1" s="24">
      <c r="A1926" s="13" t="n">
        <v>5000001419</v>
      </c>
      <c r="B1926" s="13" t="inlineStr">
        <is>
          <t>Иркутский областной музыкальный театр им. М. Загурского</t>
        </is>
      </c>
      <c r="C1926" s="13" t="n">
        <v>3807002234</v>
      </c>
      <c r="D1926" s="13" t="inlineStr">
        <is>
          <t>3807002234</t>
        </is>
      </c>
      <c r="E1926" s="13" t="inlineStr">
        <is>
          <t>ЮЛ РФ</t>
        </is>
      </c>
      <c r="F1926" s="13" t="n"/>
      <c r="G1926" s="14" t="n"/>
      <c r="H1926" s="14" t="n"/>
      <c r="I1926" s="14" t="n"/>
      <c r="J1926" s="14" t="n"/>
      <c r="K1926" s="53" t="inlineStr"/>
      <c r="L1926" s="53" t="inlineStr">
        <is>
          <t>Не определено</t>
        </is>
      </c>
      <c r="M1926" s="53" t="inlineStr"/>
      <c r="N1926" s="54" t="inlineStr"/>
      <c r="O1926" s="55" t="inlineStr"/>
      <c r="P1926" s="16" t="inlineStr">
        <is>
          <t>Требует обогащения</t>
        </is>
      </c>
      <c r="Q1926" s="16">
        <f>HYPERLINK("https://pb.nalog.ru/search.html?query=3807002234","ФНС: проверить")</f>
        <v/>
      </c>
      <c r="R1926" s="16">
        <f>HYPERLINK("https://checko.ru/search?query=3801001629","Чекко: проверить")</f>
        <v/>
      </c>
      <c r="S1926" t="n">
        <v>1</v>
      </c>
      <c r="T1926" s="35" t="inlineStr">
        <is>
          <t>4 — Не обогащён</t>
        </is>
      </c>
      <c r="U1926" s="35" t="inlineStr">
        <is>
          <t>Нет ОКВЭД/ССЧР</t>
        </is>
      </c>
      <c r="V1926" s="35" t="inlineStr">
        <is>
          <t>Не определено</t>
        </is>
      </c>
      <c r="W1926" s="35" t="inlineStr"/>
      <c r="X1926" s="35" t="inlineStr"/>
    </row>
    <row r="1927" ht="27.75" customHeight="1" s="24">
      <c r="A1927" s="13" t="n">
        <v>5000001726</v>
      </c>
      <c r="B1927" s="13" t="inlineStr">
        <is>
          <t>ОбГКУ СО "Центр Помощи Детям, Оставшимся Без Попечения Родителей, Заларинского Района"</t>
        </is>
      </c>
      <c r="C1927" s="13" t="n">
        <v>3825002300</v>
      </c>
      <c r="D1927" s="13" t="inlineStr">
        <is>
          <t>3825002300</t>
        </is>
      </c>
      <c r="E1927" s="13" t="inlineStr">
        <is>
          <t>ЮЛ РФ</t>
        </is>
      </c>
      <c r="F1927" s="13" t="n"/>
      <c r="G1927" s="14" t="n"/>
      <c r="H1927" s="14" t="n"/>
      <c r="I1927" s="14" t="n"/>
      <c r="J1927" s="14" t="n"/>
      <c r="K1927" s="53" t="inlineStr"/>
      <c r="L1927" s="53" t="inlineStr">
        <is>
          <t>Не определено</t>
        </is>
      </c>
      <c r="M1927" s="53" t="inlineStr"/>
      <c r="N1927" s="54" t="inlineStr"/>
      <c r="O1927" s="55" t="inlineStr"/>
      <c r="P1927" s="16" t="inlineStr">
        <is>
          <t>Требует обогащения</t>
        </is>
      </c>
      <c r="Q1927" s="16">
        <f>HYPERLINK("https://pb.nalog.ru/search.html?query=3825002300","ФНС: проверить")</f>
        <v/>
      </c>
      <c r="R1927" s="16">
        <f>HYPERLINK("https://checko.ru/search?query=3801001629","Чекко: проверить")</f>
        <v/>
      </c>
      <c r="S1927" t="n">
        <v>1</v>
      </c>
      <c r="T1927" s="35" t="inlineStr">
        <is>
          <t>4 — Не обогащён</t>
        </is>
      </c>
      <c r="U1927" s="35" t="inlineStr">
        <is>
          <t>Нет ОКВЭД/ССЧР</t>
        </is>
      </c>
      <c r="V1927" s="35" t="inlineStr">
        <is>
          <t>Не определено</t>
        </is>
      </c>
      <c r="W1927" s="35" t="inlineStr"/>
      <c r="X1927" s="35" t="inlineStr"/>
    </row>
    <row r="1928" ht="15" customHeight="1" s="24">
      <c r="A1928" s="13" t="n">
        <v>5000001978</v>
      </c>
      <c r="B1928" s="13" t="inlineStr">
        <is>
          <t>ОГОКУ ДОД Иркутская ДЮСШ «Атланты»</t>
        </is>
      </c>
      <c r="C1928" s="13" t="n">
        <v>3812069555</v>
      </c>
      <c r="D1928" s="13" t="inlineStr">
        <is>
          <t>3812069555</t>
        </is>
      </c>
      <c r="E1928" s="13" t="inlineStr">
        <is>
          <t>ЮЛ РФ</t>
        </is>
      </c>
      <c r="F1928" s="13" t="n"/>
      <c r="G1928" s="14" t="n"/>
      <c r="H1928" s="14" t="n"/>
      <c r="I1928" s="14" t="n"/>
      <c r="J1928" s="14" t="n"/>
      <c r="K1928" s="53" t="inlineStr"/>
      <c r="L1928" s="53" t="inlineStr">
        <is>
          <t>Не определено</t>
        </is>
      </c>
      <c r="M1928" s="53" t="inlineStr"/>
      <c r="N1928" s="54" t="inlineStr"/>
      <c r="O1928" s="55" t="inlineStr"/>
      <c r="P1928" s="16" t="inlineStr">
        <is>
          <t>Требует обогащения</t>
        </is>
      </c>
      <c r="Q1928" s="16">
        <f>HYPERLINK("https://pb.nalog.ru/search.html?query=3812069555","ФНС: проверить")</f>
        <v/>
      </c>
      <c r="R1928" s="16">
        <f>HYPERLINK("https://checko.ru/search?query=3801001629","Чекко: проверить")</f>
        <v/>
      </c>
      <c r="S1928" t="n">
        <v>1</v>
      </c>
      <c r="T1928" s="35" t="inlineStr">
        <is>
          <t>4 — Не обогащён</t>
        </is>
      </c>
      <c r="U1928" s="35" t="inlineStr">
        <is>
          <t>Нет ОКВЭД/ССЧР</t>
        </is>
      </c>
      <c r="V1928" s="35" t="inlineStr">
        <is>
          <t>Не определено</t>
        </is>
      </c>
      <c r="W1928" s="35" t="inlineStr"/>
      <c r="X1928" s="35" t="inlineStr"/>
    </row>
    <row r="1929" ht="15" customHeight="1" s="24">
      <c r="A1929" s="13" t="n">
        <v>5000001959</v>
      </c>
      <c r="B1929" s="13" t="inlineStr">
        <is>
          <t>ОГОУ НПО ПУ №57 п. Бохан</t>
        </is>
      </c>
      <c r="C1929" s="13" t="n">
        <v>8503002016</v>
      </c>
      <c r="D1929" s="13" t="inlineStr">
        <is>
          <t>8503002016</t>
        </is>
      </c>
      <c r="E1929" s="13" t="inlineStr">
        <is>
          <t>ЮЛ РФ</t>
        </is>
      </c>
      <c r="F1929" s="13" t="n"/>
      <c r="G1929" s="14" t="n"/>
      <c r="H1929" s="14" t="n"/>
      <c r="I1929" s="14" t="n"/>
      <c r="J1929" s="14" t="n"/>
      <c r="K1929" s="53" t="inlineStr"/>
      <c r="L1929" s="53" t="inlineStr">
        <is>
          <t>Не определено</t>
        </is>
      </c>
      <c r="M1929" s="53" t="inlineStr"/>
      <c r="N1929" s="54" t="inlineStr"/>
      <c r="O1929" s="55" t="inlineStr"/>
      <c r="P1929" s="16" t="inlineStr">
        <is>
          <t>Требует обогащения</t>
        </is>
      </c>
      <c r="Q1929" s="16">
        <f>HYPERLINK("https://pb.nalog.ru/search.html?query=8503002016","ФНС: проверить")</f>
        <v/>
      </c>
      <c r="R1929" s="16">
        <f>HYPERLINK("https://checko.ru/search?query=3801001629","Чекко: проверить")</f>
        <v/>
      </c>
      <c r="S1929" t="n">
        <v>1</v>
      </c>
      <c r="T1929" s="35" t="inlineStr">
        <is>
          <t>4 — Не обогащён</t>
        </is>
      </c>
      <c r="U1929" s="35" t="inlineStr">
        <is>
          <t>Нет ОКВЭД/ССЧР</t>
        </is>
      </c>
      <c r="V1929" s="35" t="inlineStr">
        <is>
          <t>Не определено</t>
        </is>
      </c>
      <c r="W1929" s="35" t="inlineStr"/>
      <c r="X1929" s="35" t="inlineStr"/>
    </row>
    <row r="1930" ht="15" customHeight="1" s="24">
      <c r="A1930" s="13" t="n">
        <v>5000094756</v>
      </c>
      <c r="B1930" s="13" t="inlineStr">
        <is>
          <t>МКОУ "Прогимназия №1" г.п.Нарткала</t>
        </is>
      </c>
      <c r="C1930" s="13" t="n">
        <v>707005589</v>
      </c>
      <c r="D1930" s="13" t="n"/>
      <c r="E1930" s="13" t="inlineStr">
        <is>
          <t>Не определён</t>
        </is>
      </c>
      <c r="F1930" s="13" t="inlineStr">
        <is>
          <t>707005589</t>
        </is>
      </c>
      <c r="G1930" s="14" t="n"/>
      <c r="H1930" s="14" t="n"/>
      <c r="I1930" s="14" t="n"/>
      <c r="J1930" s="14" t="n"/>
      <c r="K1930" s="13">
        <f>IF(G1930="","",IF(G1930&gt;=22,"Да","Нет"))</f>
        <v/>
      </c>
      <c r="L1930" s="13">
        <f>IF(OR(I1930="",J1930=""),"Не определено",IF(OR(COUNTIF(I1930,"45*")&gt;0,COUNTIF(J1930,"*45*")&gt;0,COUNTIF(I1930,"46*")&gt;0,COUNTIF(J1930,"*46*")&gt;0,COUNTIF(I1930,"47*")&gt;0,COUNTIF(J1930,"*47*")&gt;0,COUNTIF(I1930,"10*")&gt;0,COUNTIF(J1930,"*10*")&gt;0,COUNTIF(I1930,"11*")&gt;0,COUNTIF(J1930,"*11*")&gt;0,COUNTIF(I1930,"12*")&gt;0,COUNTIF(J1930,"*12*")&gt;0,COUNTIF(I1930,"13*")&gt;0,COUNTIF(J1930,"*13*")&gt;0,COUNTIF(I1930,"14*")&gt;0,COUNTIF(J1930,"*14*")&gt;0,COUNTIF(I1930,"15*")&gt;0,COUNTIF(J1930,"*15*")&gt;0,COUNTIF(I1930,"16*")&gt;0,COUNTIF(J1930,"*16*")&gt;0,COUNTIF(I1930,"17*")&gt;0,COUNTIF(J1930,"*17*")&gt;0,COUNTIF(I1930,"18*")&gt;0,COUNTIF(J1930,"*18*")&gt;0,COUNTIF(I1930,"19*")&gt;0,COUNTIF(J1930,"*19*")&gt;0,COUNTIF(I1930,"20*")&gt;0,COUNTIF(J1930,"*20*")&gt;0,COUNTIF(I1930,"21*")&gt;0,COUNTIF(J1930,"*21*")&gt;0,COUNTIF(I1930,"22*")&gt;0,COUNTIF(J1930,"*22*")&gt;0,COUNTIF(I1930,"23*")&gt;0,COUNTIF(J1930,"*23*")&gt;0,COUNTIF(I1930,"24*")&gt;0,COUNTIF(J1930,"*24*")&gt;0,COUNTIF(I1930,"25*")&gt;0,COUNTIF(J1930,"*25*")&gt;0,COUNTIF(I1930,"26*")&gt;0,COUNTIF(J1930,"*26*")&gt;0,COUNTIF(I1930,"27*")&gt;0,COUNTIF(J1930,"*27*")&gt;0,COUNTIF(I1930,"28*")&gt;0,COUNTIF(J1930,"*28*")&gt;0,COUNTIF(I1930,"29*")&gt;0,COUNTIF(J1930,"*29*")&gt;0,COUNTIF(I1930,"30*")&gt;0,COUNTIF(J1930,"*30*")&gt;0,COUNTIF(I1930,"31*")&gt;0,COUNTIF(J1930,"*31*")&gt;0,COUNTIF(I1930,"32*")&gt;0,COUNTIF(J1930,"*32*")&gt;0,COUNTIF(I1930,"33*")&gt;0,COUNTIF(J1930,"*33*")&gt;0,COUNTIF(I1930,"41*")&gt;0,COUNTIF(J1930,"*41*")&gt;0,COUNTIF(I1930,"42*")&gt;0,COUNTIF(J1930,"*42*")&gt;0,COUNTIF(I1930,"43*")&gt;0,COUNTIF(J1930,"*43*")&gt;0,COUNTIF(I1930,"49*")&gt;0,COUNTIF(J1930,"*49*")&gt;0,COUNTIF(I1930,"52*")&gt;0,COUNTIF(J1930,"*52*")&gt;0,COUNTIF(I1930,"55*")&gt;0,COUNTIF(J1930,"*55*")&gt;0,COUNTIF(I1930,"56*")&gt;0,COUNTIF(J1930,"*56*")&gt;0,COUNTIF(I1930,"68*")&gt;0,COUNTIF(J1930,"*68*")&gt;0,COUNTIF(I1930,"78*")&gt;0,COUNTIF(J1930,"*78*")&gt;0,COUNTIF(I1930,"81*")&gt;0,COUNTIF(J1930,"*81*")&gt;0,COUNTIF(I1930,"82*")&gt;0,COUNTIF(J1930,"*82*")&gt;0,COUNTIF(I1930,"64*")&gt;0,COUNTIF(J1930,"*64*")&gt;0,COUNTIF(I1930,"65*")&gt;0,COUNTIF(J1930,"*65*")&gt;0,COUNTIF(I1930,"66*")&gt;0,COUNTIF(J1930,"*66*")&gt;0,COUNTIF(I1930,"61*")&gt;0,COUNTIF(J1930,"*61*")&gt;0,COUNTIF(I1930,"62*")&gt;0,COUNTIF(J1930,"*62*")&gt;0,COUNTIF(I1930,"63*")&gt;0,COUNTIF(J1930,"*63*")&gt;0,COUNTIF(I1930,"85*")&gt;0,COUNTIF(J1930,"*85*")&gt;0,COUNTIF(I1930,"86*")&gt;0,COUNTIF(J1930,"*86*")&gt;0),"Да","Нет"))</f>
        <v/>
      </c>
      <c r="M1930" s="13">
        <f>IF(OR(G1930="",L1930&lt;&gt;"Да"),"",IF(G1930&lt;=100,"До 100",IF(G1930&lt;=200,"До 200",IF(G1930&lt;=500,"До 500","Отдельное КП"))))</f>
        <v/>
      </c>
      <c r="N1930" s="15">
        <f>IF(OR(G1930="",L1930&lt;&gt;"Да"),"",IF(G1930&lt;=100,33600,IF(G1930&lt;=200,62400,IF(G1930&lt;=500,144000,""))))</f>
        <v/>
      </c>
      <c r="O1930" s="16">
        <f>IF(G1930="","",IF(G1930&lt;=15,"1–15",IF(G1930&lt;=30,"16–30",IF(G1930&lt;=50,"31–50",IF(G1930&lt;=100,"51–100",IF(G1930&lt;=150,"101–150",IF(G1930&lt;=200,"151–200",IF(G1930&lt;=500,"201–500","500+"))))))))</f>
        <v/>
      </c>
      <c r="P1930" s="16" t="inlineStr">
        <is>
          <t>Нет совпадения в предоставленной выгрузке ССЧР</t>
        </is>
      </c>
      <c r="Q1930" s="16" t="n"/>
      <c r="R1930" s="16">
        <f>HYPERLINK("https://checko.ru/search?query=3801001629","Чекко: проверить")</f>
        <v/>
      </c>
      <c r="S1930" t="n">
        <v>0</v>
      </c>
    </row>
    <row r="1931" ht="15" customHeight="1" s="24">
      <c r="A1931" s="13" t="n">
        <v>5000086348</v>
      </c>
      <c r="B1931" s="13" t="inlineStr">
        <is>
          <t>ОГБУ «Дирекция по ООПТ Иркутской области»</t>
        </is>
      </c>
      <c r="C1931" s="13" t="n">
        <v>3808275996</v>
      </c>
      <c r="D1931" s="13" t="inlineStr">
        <is>
          <t>3808275996</t>
        </is>
      </c>
      <c r="E1931" s="13" t="inlineStr">
        <is>
          <t>ЮЛ РФ</t>
        </is>
      </c>
      <c r="F1931" s="13" t="n"/>
      <c r="G1931" s="14" t="n"/>
      <c r="H1931" s="14" t="n"/>
      <c r="I1931" s="14" t="n"/>
      <c r="J1931" s="14" t="n"/>
      <c r="K1931" s="53" t="inlineStr"/>
      <c r="L1931" s="53" t="inlineStr">
        <is>
          <t>Не определено</t>
        </is>
      </c>
      <c r="M1931" s="53" t="inlineStr"/>
      <c r="N1931" s="54" t="inlineStr"/>
      <c r="O1931" s="55" t="inlineStr"/>
      <c r="P1931" s="16" t="inlineStr">
        <is>
          <t>Требует обогащения</t>
        </is>
      </c>
      <c r="Q1931" s="16">
        <f>HYPERLINK("https://pb.nalog.ru/search.html?query=3808275996","ФНС: проверить")</f>
        <v/>
      </c>
      <c r="R1931" s="16">
        <f>HYPERLINK("https://checko.ru/search?query=3801001629","Чекко: проверить")</f>
        <v/>
      </c>
      <c r="S1931" t="n">
        <v>1</v>
      </c>
      <c r="T1931" s="35" t="inlineStr">
        <is>
          <t>4 — Не обогащён</t>
        </is>
      </c>
      <c r="U1931" s="35" t="inlineStr">
        <is>
          <t>Нет ОКВЭД/ССЧР</t>
        </is>
      </c>
      <c r="V1931" s="35" t="inlineStr">
        <is>
          <t>Не определено</t>
        </is>
      </c>
      <c r="W1931" s="35" t="inlineStr"/>
      <c r="X1931" s="35" t="inlineStr"/>
    </row>
    <row r="1932" ht="27.75" customHeight="1" s="24">
      <c r="A1932" s="13" t="n">
        <v>5000086349</v>
      </c>
      <c r="B1932" s="13" t="inlineStr">
        <is>
          <t>Служба по охране и использованию объектов животного мира ИО</t>
        </is>
      </c>
      <c r="C1932" s="13" t="n">
        <v>3808275989</v>
      </c>
      <c r="D1932" s="13" t="inlineStr">
        <is>
          <t>3808275989</t>
        </is>
      </c>
      <c r="E1932" s="13" t="inlineStr">
        <is>
          <t>ЮЛ РФ</t>
        </is>
      </c>
      <c r="F1932" s="13" t="n"/>
      <c r="G1932" s="14" t="n"/>
      <c r="H1932" s="14" t="n"/>
      <c r="I1932" s="14" t="n"/>
      <c r="J1932" s="14" t="n"/>
      <c r="K1932" s="53" t="inlineStr"/>
      <c r="L1932" s="53" t="inlineStr">
        <is>
          <t>Не определено</t>
        </is>
      </c>
      <c r="M1932" s="53" t="inlineStr"/>
      <c r="N1932" s="54" t="inlineStr"/>
      <c r="O1932" s="55" t="inlineStr"/>
      <c r="P1932" s="16" t="inlineStr">
        <is>
          <t>Требует обогащения</t>
        </is>
      </c>
      <c r="Q1932" s="16">
        <f>HYPERLINK("https://pb.nalog.ru/search.html?query=3808275989","ФНС: проверить")</f>
        <v/>
      </c>
      <c r="R1932" s="16">
        <f>HYPERLINK("https://checko.ru/search?query=3801001629","Чекко: проверить")</f>
        <v/>
      </c>
      <c r="S1932" t="n">
        <v>1</v>
      </c>
      <c r="T1932" s="35" t="inlineStr">
        <is>
          <t>4 — Не обогащён</t>
        </is>
      </c>
      <c r="U1932" s="35" t="inlineStr">
        <is>
          <t>Нет ОКВЭД/ССЧР</t>
        </is>
      </c>
      <c r="V1932" s="35" t="inlineStr">
        <is>
          <t>Не определено</t>
        </is>
      </c>
      <c r="W1932" s="35" t="inlineStr"/>
      <c r="X1932" s="35" t="inlineStr"/>
    </row>
    <row r="1933" ht="15" customHeight="1" s="24">
      <c r="A1933" s="13" t="n">
        <v>5000094825</v>
      </c>
      <c r="B1933" s="13" t="inlineStr">
        <is>
          <t>КУЭФ ЛЕСКЕНСКОГО РАЙОНА</t>
        </is>
      </c>
      <c r="C1933" s="13" t="n">
        <v>707012850</v>
      </c>
      <c r="D1933" s="13" t="n"/>
      <c r="E1933" s="13" t="inlineStr">
        <is>
          <t>Не определён</t>
        </is>
      </c>
      <c r="F1933" s="13" t="inlineStr">
        <is>
          <t>707012850</t>
        </is>
      </c>
      <c r="G1933" s="14" t="n"/>
      <c r="H1933" s="14" t="n"/>
      <c r="I1933" s="14" t="n"/>
      <c r="J1933" s="14" t="n"/>
      <c r="K1933" s="13">
        <f>IF(G1933="","",IF(G1933&gt;=22,"Да","Нет"))</f>
        <v/>
      </c>
      <c r="L1933" s="13">
        <f>IF(OR(I1933="",J1933=""),"Не определено",IF(OR(COUNTIF(I1933,"45*")&gt;0,COUNTIF(J1933,"*45*")&gt;0,COUNTIF(I1933,"46*")&gt;0,COUNTIF(J1933,"*46*")&gt;0,COUNTIF(I1933,"47*")&gt;0,COUNTIF(J1933,"*47*")&gt;0,COUNTIF(I1933,"10*")&gt;0,COUNTIF(J1933,"*10*")&gt;0,COUNTIF(I1933,"11*")&gt;0,COUNTIF(J1933,"*11*")&gt;0,COUNTIF(I1933,"12*")&gt;0,COUNTIF(J1933,"*12*")&gt;0,COUNTIF(I1933,"13*")&gt;0,COUNTIF(J1933,"*13*")&gt;0,COUNTIF(I1933,"14*")&gt;0,COUNTIF(J1933,"*14*")&gt;0,COUNTIF(I1933,"15*")&gt;0,COUNTIF(J1933,"*15*")&gt;0,COUNTIF(I1933,"16*")&gt;0,COUNTIF(J1933,"*16*")&gt;0,COUNTIF(I1933,"17*")&gt;0,COUNTIF(J1933,"*17*")&gt;0,COUNTIF(I1933,"18*")&gt;0,COUNTIF(J1933,"*18*")&gt;0,COUNTIF(I1933,"19*")&gt;0,COUNTIF(J1933,"*19*")&gt;0,COUNTIF(I1933,"20*")&gt;0,COUNTIF(J1933,"*20*")&gt;0,COUNTIF(I1933,"21*")&gt;0,COUNTIF(J1933,"*21*")&gt;0,COUNTIF(I1933,"22*")&gt;0,COUNTIF(J1933,"*22*")&gt;0,COUNTIF(I1933,"23*")&gt;0,COUNTIF(J1933,"*23*")&gt;0,COUNTIF(I1933,"24*")&gt;0,COUNTIF(J1933,"*24*")&gt;0,COUNTIF(I1933,"25*")&gt;0,COUNTIF(J1933,"*25*")&gt;0,COUNTIF(I1933,"26*")&gt;0,COUNTIF(J1933,"*26*")&gt;0,COUNTIF(I1933,"27*")&gt;0,COUNTIF(J1933,"*27*")&gt;0,COUNTIF(I1933,"28*")&gt;0,COUNTIF(J1933,"*28*")&gt;0,COUNTIF(I1933,"29*")&gt;0,COUNTIF(J1933,"*29*")&gt;0,COUNTIF(I1933,"30*")&gt;0,COUNTIF(J1933,"*30*")&gt;0,COUNTIF(I1933,"31*")&gt;0,COUNTIF(J1933,"*31*")&gt;0,COUNTIF(I1933,"32*")&gt;0,COUNTIF(J1933,"*32*")&gt;0,COUNTIF(I1933,"33*")&gt;0,COUNTIF(J1933,"*33*")&gt;0,COUNTIF(I1933,"41*")&gt;0,COUNTIF(J1933,"*41*")&gt;0,COUNTIF(I1933,"42*")&gt;0,COUNTIF(J1933,"*42*")&gt;0,COUNTIF(I1933,"43*")&gt;0,COUNTIF(J1933,"*43*")&gt;0,COUNTIF(I1933,"49*")&gt;0,COUNTIF(J1933,"*49*")&gt;0,COUNTIF(I1933,"52*")&gt;0,COUNTIF(J1933,"*52*")&gt;0,COUNTIF(I1933,"55*")&gt;0,COUNTIF(J1933,"*55*")&gt;0,COUNTIF(I1933,"56*")&gt;0,COUNTIF(J1933,"*56*")&gt;0,COUNTIF(I1933,"68*")&gt;0,COUNTIF(J1933,"*68*")&gt;0,COUNTIF(I1933,"78*")&gt;0,COUNTIF(J1933,"*78*")&gt;0,COUNTIF(I1933,"81*")&gt;0,COUNTIF(J1933,"*81*")&gt;0,COUNTIF(I1933,"82*")&gt;0,COUNTIF(J1933,"*82*")&gt;0,COUNTIF(I1933,"64*")&gt;0,COUNTIF(J1933,"*64*")&gt;0,COUNTIF(I1933,"65*")&gt;0,COUNTIF(J1933,"*65*")&gt;0,COUNTIF(I1933,"66*")&gt;0,COUNTIF(J1933,"*66*")&gt;0,COUNTIF(I1933,"61*")&gt;0,COUNTIF(J1933,"*61*")&gt;0,COUNTIF(I1933,"62*")&gt;0,COUNTIF(J1933,"*62*")&gt;0,COUNTIF(I1933,"63*")&gt;0,COUNTIF(J1933,"*63*")&gt;0,COUNTIF(I1933,"85*")&gt;0,COUNTIF(J1933,"*85*")&gt;0,COUNTIF(I1933,"86*")&gt;0,COUNTIF(J1933,"*86*")&gt;0),"Да","Нет"))</f>
        <v/>
      </c>
      <c r="M1933" s="13">
        <f>IF(OR(G1933="",L1933&lt;&gt;"Да"),"",IF(G1933&lt;=100,"До 100",IF(G1933&lt;=200,"До 200",IF(G1933&lt;=500,"До 500","Отдельное КП"))))</f>
        <v/>
      </c>
      <c r="N1933" s="15">
        <f>IF(OR(G1933="",L1933&lt;&gt;"Да"),"",IF(G1933&lt;=100,33600,IF(G1933&lt;=200,62400,IF(G1933&lt;=500,144000,""))))</f>
        <v/>
      </c>
      <c r="O1933" s="16">
        <f>IF(G1933="","",IF(G1933&lt;=15,"1–15",IF(G1933&lt;=30,"16–30",IF(G1933&lt;=50,"31–50",IF(G1933&lt;=100,"51–100",IF(G1933&lt;=150,"101–150",IF(G1933&lt;=200,"151–200",IF(G1933&lt;=500,"201–500","500+"))))))))</f>
        <v/>
      </c>
      <c r="P1933" s="16" t="inlineStr">
        <is>
          <t>Нет совпадения в предоставленной выгрузке ССЧР</t>
        </is>
      </c>
      <c r="Q1933" s="16" t="n"/>
      <c r="R1933" s="16">
        <f>HYPERLINK("https://checko.ru/search?query=3801001629","Чекко: проверить")</f>
        <v/>
      </c>
      <c r="S1933" t="n">
        <v>0</v>
      </c>
    </row>
    <row r="1934" ht="27.75" customHeight="1" s="24">
      <c r="A1934" s="13" t="n">
        <v>5000062526</v>
      </c>
      <c r="B1934" s="13" t="inlineStr">
        <is>
          <t>Ульяновский техникум отраслевых технологий и дизайна</t>
        </is>
      </c>
      <c r="C1934" s="13" t="n">
        <v>7325002282</v>
      </c>
      <c r="D1934" s="13" t="inlineStr">
        <is>
          <t>7325002282</t>
        </is>
      </c>
      <c r="E1934" s="13" t="inlineStr">
        <is>
          <t>ЮЛ РФ</t>
        </is>
      </c>
      <c r="F1934" s="13" t="n"/>
      <c r="G1934" s="14" t="n"/>
      <c r="H1934" s="14" t="n"/>
      <c r="I1934" s="14" t="n"/>
      <c r="J1934" s="14" t="n"/>
      <c r="K1934" s="53" t="inlineStr"/>
      <c r="L1934" s="53" t="inlineStr">
        <is>
          <t>Не определено</t>
        </is>
      </c>
      <c r="M1934" s="53" t="inlineStr"/>
      <c r="N1934" s="54" t="inlineStr"/>
      <c r="O1934" s="55" t="inlineStr"/>
      <c r="P1934" s="16" t="inlineStr">
        <is>
          <t>Требует обогащения</t>
        </is>
      </c>
      <c r="Q1934" s="16">
        <f>HYPERLINK("https://pb.nalog.ru/search.html?query=7325002282","ФНС: проверить")</f>
        <v/>
      </c>
      <c r="R1934" s="16">
        <f>HYPERLINK("https://checko.ru/search?query=3801001629","Чекко: проверить")</f>
        <v/>
      </c>
      <c r="S1934" t="n">
        <v>1</v>
      </c>
      <c r="T1934" s="35" t="inlineStr">
        <is>
          <t>4 — Не обогащён</t>
        </is>
      </c>
      <c r="U1934" s="35" t="inlineStr">
        <is>
          <t>Нет ОКВЭД/ССЧР</t>
        </is>
      </c>
      <c r="V1934" s="35" t="inlineStr">
        <is>
          <t>Не определено</t>
        </is>
      </c>
      <c r="W1934" s="35" t="inlineStr"/>
      <c r="X1934" s="35" t="inlineStr"/>
    </row>
    <row r="1935" ht="27.75" customHeight="1" s="24">
      <c r="A1935" s="13" t="n">
        <v>5000095006</v>
      </c>
      <c r="B1935" s="13" t="inlineStr">
        <is>
          <t>ГБПОУ "КАБАРДИНО-БАЛКАРСКИЙ АВТОМОБИЛЬНО-ДОРОЖНЫЙ КОЛЛЕДЖ"</t>
        </is>
      </c>
      <c r="C1935" s="13" t="n">
        <v>711037142</v>
      </c>
      <c r="D1935" s="13" t="n"/>
      <c r="E1935" s="13" t="inlineStr">
        <is>
          <t>Не определён</t>
        </is>
      </c>
      <c r="F1935" s="13" t="inlineStr">
        <is>
          <t>711037142</t>
        </is>
      </c>
      <c r="G1935" s="14" t="n"/>
      <c r="H1935" s="14" t="n"/>
      <c r="I1935" s="14" t="n"/>
      <c r="J1935" s="14" t="n"/>
      <c r="K1935" s="13">
        <f>IF(G1935="","",IF(G1935&gt;=22,"Да","Нет"))</f>
        <v/>
      </c>
      <c r="L1935" s="13">
        <f>IF(OR(I1935="",J1935=""),"Не определено",IF(OR(COUNTIF(I1935,"45*")&gt;0,COUNTIF(J1935,"*45*")&gt;0,COUNTIF(I1935,"46*")&gt;0,COUNTIF(J1935,"*46*")&gt;0,COUNTIF(I1935,"47*")&gt;0,COUNTIF(J1935,"*47*")&gt;0,COUNTIF(I1935,"10*")&gt;0,COUNTIF(J1935,"*10*")&gt;0,COUNTIF(I1935,"11*")&gt;0,COUNTIF(J1935,"*11*")&gt;0,COUNTIF(I1935,"12*")&gt;0,COUNTIF(J1935,"*12*")&gt;0,COUNTIF(I1935,"13*")&gt;0,COUNTIF(J1935,"*13*")&gt;0,COUNTIF(I1935,"14*")&gt;0,COUNTIF(J1935,"*14*")&gt;0,COUNTIF(I1935,"15*")&gt;0,COUNTIF(J1935,"*15*")&gt;0,COUNTIF(I1935,"16*")&gt;0,COUNTIF(J1935,"*16*")&gt;0,COUNTIF(I1935,"17*")&gt;0,COUNTIF(J1935,"*17*")&gt;0,COUNTIF(I1935,"18*")&gt;0,COUNTIF(J1935,"*18*")&gt;0,COUNTIF(I1935,"19*")&gt;0,COUNTIF(J1935,"*19*")&gt;0,COUNTIF(I1935,"20*")&gt;0,COUNTIF(J1935,"*20*")&gt;0,COUNTIF(I1935,"21*")&gt;0,COUNTIF(J1935,"*21*")&gt;0,COUNTIF(I1935,"22*")&gt;0,COUNTIF(J1935,"*22*")&gt;0,COUNTIF(I1935,"23*")&gt;0,COUNTIF(J1935,"*23*")&gt;0,COUNTIF(I1935,"24*")&gt;0,COUNTIF(J1935,"*24*")&gt;0,COUNTIF(I1935,"25*")&gt;0,COUNTIF(J1935,"*25*")&gt;0,COUNTIF(I1935,"26*")&gt;0,COUNTIF(J1935,"*26*")&gt;0,COUNTIF(I1935,"27*")&gt;0,COUNTIF(J1935,"*27*")&gt;0,COUNTIF(I1935,"28*")&gt;0,COUNTIF(J1935,"*28*")&gt;0,COUNTIF(I1935,"29*")&gt;0,COUNTIF(J1935,"*29*")&gt;0,COUNTIF(I1935,"30*")&gt;0,COUNTIF(J1935,"*30*")&gt;0,COUNTIF(I1935,"31*")&gt;0,COUNTIF(J1935,"*31*")&gt;0,COUNTIF(I1935,"32*")&gt;0,COUNTIF(J1935,"*32*")&gt;0,COUNTIF(I1935,"33*")&gt;0,COUNTIF(J1935,"*33*")&gt;0,COUNTIF(I1935,"41*")&gt;0,COUNTIF(J1935,"*41*")&gt;0,COUNTIF(I1935,"42*")&gt;0,COUNTIF(J1935,"*42*")&gt;0,COUNTIF(I1935,"43*")&gt;0,COUNTIF(J1935,"*43*")&gt;0,COUNTIF(I1935,"49*")&gt;0,COUNTIF(J1935,"*49*")&gt;0,COUNTIF(I1935,"52*")&gt;0,COUNTIF(J1935,"*52*")&gt;0,COUNTIF(I1935,"55*")&gt;0,COUNTIF(J1935,"*55*")&gt;0,COUNTIF(I1935,"56*")&gt;0,COUNTIF(J1935,"*56*")&gt;0,COUNTIF(I1935,"68*")&gt;0,COUNTIF(J1935,"*68*")&gt;0,COUNTIF(I1935,"78*")&gt;0,COUNTIF(J1935,"*78*")&gt;0,COUNTIF(I1935,"81*")&gt;0,COUNTIF(J1935,"*81*")&gt;0,COUNTIF(I1935,"82*")&gt;0,COUNTIF(J1935,"*82*")&gt;0,COUNTIF(I1935,"64*")&gt;0,COUNTIF(J1935,"*64*")&gt;0,COUNTIF(I1935,"65*")&gt;0,COUNTIF(J1935,"*65*")&gt;0,COUNTIF(I1935,"66*")&gt;0,COUNTIF(J1935,"*66*")&gt;0,COUNTIF(I1935,"61*")&gt;0,COUNTIF(J1935,"*61*")&gt;0,COUNTIF(I1935,"62*")&gt;0,COUNTIF(J1935,"*62*")&gt;0,COUNTIF(I1935,"63*")&gt;0,COUNTIF(J1935,"*63*")&gt;0,COUNTIF(I1935,"85*")&gt;0,COUNTIF(J1935,"*85*")&gt;0,COUNTIF(I1935,"86*")&gt;0,COUNTIF(J1935,"*86*")&gt;0),"Да","Нет"))</f>
        <v/>
      </c>
      <c r="M1935" s="13">
        <f>IF(OR(G1935="",L1935&lt;&gt;"Да"),"",IF(G1935&lt;=100,"До 100",IF(G1935&lt;=200,"До 200",IF(G1935&lt;=500,"До 500","Отдельное КП"))))</f>
        <v/>
      </c>
      <c r="N1935" s="15">
        <f>IF(OR(G1935="",L1935&lt;&gt;"Да"),"",IF(G1935&lt;=100,33600,IF(G1935&lt;=200,62400,IF(G1935&lt;=500,144000,""))))</f>
        <v/>
      </c>
      <c r="O1935" s="16">
        <f>IF(G1935="","",IF(G1935&lt;=15,"1–15",IF(G1935&lt;=30,"16–30",IF(G1935&lt;=50,"31–50",IF(G1935&lt;=100,"51–100",IF(G1935&lt;=150,"101–150",IF(G1935&lt;=200,"151–200",IF(G1935&lt;=500,"201–500","500+"))))))))</f>
        <v/>
      </c>
      <c r="P1935" s="16" t="inlineStr">
        <is>
          <t>Нет совпадения в предоставленной выгрузке ССЧР</t>
        </is>
      </c>
      <c r="Q1935" s="16" t="n"/>
      <c r="R1935" s="16">
        <f>HYPERLINK("https://checko.ru/search?query=3801001629","Чекко: проверить")</f>
        <v/>
      </c>
      <c r="S1935" t="n">
        <v>0</v>
      </c>
    </row>
    <row r="1936" ht="68.25" customHeight="1" s="24">
      <c r="A1936" s="13" t="n">
        <v>5000081936</v>
      </c>
      <c r="B1936" s="13" t="inlineStr">
        <is>
          <t>МУНИЦИПАЛЬНОЕ КАЗЕННОЕ УЧРЕЖДЕНИЕ ДОПОЛНИТЕЛЬНОГО ОБРАЗОВАНИЯ "ДЕТСКАЯ ШКОЛА ИСКУССТВ СЕЛЬСКОГО ПОСЕЛЕНИЯ УЧЕБНОГО ПРОХЛАДНЕНСКОГО МУНИЦИПАЛЬНОГО РАЙО</t>
        </is>
      </c>
      <c r="C1936" s="13" t="n">
        <v>716002513</v>
      </c>
      <c r="D1936" s="13" t="n"/>
      <c r="E1936" s="13" t="inlineStr">
        <is>
          <t>Не определён</t>
        </is>
      </c>
      <c r="F1936" s="13" t="inlineStr">
        <is>
          <t>716002513</t>
        </is>
      </c>
      <c r="G1936" s="14" t="n"/>
      <c r="H1936" s="14" t="n"/>
      <c r="I1936" s="14" t="n"/>
      <c r="J1936" s="14" t="n"/>
      <c r="K1936" s="13">
        <f>IF(G1936="","",IF(G1936&gt;=22,"Да","Нет"))</f>
        <v/>
      </c>
      <c r="L1936" s="13">
        <f>IF(OR(I1936="",J1936=""),"Не определено",IF(OR(COUNTIF(I1936,"45*")&gt;0,COUNTIF(J1936,"*45*")&gt;0,COUNTIF(I1936,"46*")&gt;0,COUNTIF(J1936,"*46*")&gt;0,COUNTIF(I1936,"47*")&gt;0,COUNTIF(J1936,"*47*")&gt;0,COUNTIF(I1936,"10*")&gt;0,COUNTIF(J1936,"*10*")&gt;0,COUNTIF(I1936,"11*")&gt;0,COUNTIF(J1936,"*11*")&gt;0,COUNTIF(I1936,"12*")&gt;0,COUNTIF(J1936,"*12*")&gt;0,COUNTIF(I1936,"13*")&gt;0,COUNTIF(J1936,"*13*")&gt;0,COUNTIF(I1936,"14*")&gt;0,COUNTIF(J1936,"*14*")&gt;0,COUNTIF(I1936,"15*")&gt;0,COUNTIF(J1936,"*15*")&gt;0,COUNTIF(I1936,"16*")&gt;0,COUNTIF(J1936,"*16*")&gt;0,COUNTIF(I1936,"17*")&gt;0,COUNTIF(J1936,"*17*")&gt;0,COUNTIF(I1936,"18*")&gt;0,COUNTIF(J1936,"*18*")&gt;0,COUNTIF(I1936,"19*")&gt;0,COUNTIF(J1936,"*19*")&gt;0,COUNTIF(I1936,"20*")&gt;0,COUNTIF(J1936,"*20*")&gt;0,COUNTIF(I1936,"21*")&gt;0,COUNTIF(J1936,"*21*")&gt;0,COUNTIF(I1936,"22*")&gt;0,COUNTIF(J1936,"*22*")&gt;0,COUNTIF(I1936,"23*")&gt;0,COUNTIF(J1936,"*23*")&gt;0,COUNTIF(I1936,"24*")&gt;0,COUNTIF(J1936,"*24*")&gt;0,COUNTIF(I1936,"25*")&gt;0,COUNTIF(J1936,"*25*")&gt;0,COUNTIF(I1936,"26*")&gt;0,COUNTIF(J1936,"*26*")&gt;0,COUNTIF(I1936,"27*")&gt;0,COUNTIF(J1936,"*27*")&gt;0,COUNTIF(I1936,"28*")&gt;0,COUNTIF(J1936,"*28*")&gt;0,COUNTIF(I1936,"29*")&gt;0,COUNTIF(J1936,"*29*")&gt;0,COUNTIF(I1936,"30*")&gt;0,COUNTIF(J1936,"*30*")&gt;0,COUNTIF(I1936,"31*")&gt;0,COUNTIF(J1936,"*31*")&gt;0,COUNTIF(I1936,"32*")&gt;0,COUNTIF(J1936,"*32*")&gt;0,COUNTIF(I1936,"33*")&gt;0,COUNTIF(J1936,"*33*")&gt;0,COUNTIF(I1936,"41*")&gt;0,COUNTIF(J1936,"*41*")&gt;0,COUNTIF(I1936,"42*")&gt;0,COUNTIF(J1936,"*42*")&gt;0,COUNTIF(I1936,"43*")&gt;0,COUNTIF(J1936,"*43*")&gt;0,COUNTIF(I1936,"49*")&gt;0,COUNTIF(J1936,"*49*")&gt;0,COUNTIF(I1936,"52*")&gt;0,COUNTIF(J1936,"*52*")&gt;0,COUNTIF(I1936,"55*")&gt;0,COUNTIF(J1936,"*55*")&gt;0,COUNTIF(I1936,"56*")&gt;0,COUNTIF(J1936,"*56*")&gt;0,COUNTIF(I1936,"68*")&gt;0,COUNTIF(J1936,"*68*")&gt;0,COUNTIF(I1936,"78*")&gt;0,COUNTIF(J1936,"*78*")&gt;0,COUNTIF(I1936,"81*")&gt;0,COUNTIF(J1936,"*81*")&gt;0,COUNTIF(I1936,"82*")&gt;0,COUNTIF(J1936,"*82*")&gt;0,COUNTIF(I1936,"64*")&gt;0,COUNTIF(J1936,"*64*")&gt;0,COUNTIF(I1936,"65*")&gt;0,COUNTIF(J1936,"*65*")&gt;0,COUNTIF(I1936,"66*")&gt;0,COUNTIF(J1936,"*66*")&gt;0,COUNTIF(I1936,"61*")&gt;0,COUNTIF(J1936,"*61*")&gt;0,COUNTIF(I1936,"62*")&gt;0,COUNTIF(J1936,"*62*")&gt;0,COUNTIF(I1936,"63*")&gt;0,COUNTIF(J1936,"*63*")&gt;0,COUNTIF(I1936,"85*")&gt;0,COUNTIF(J1936,"*85*")&gt;0,COUNTIF(I1936,"86*")&gt;0,COUNTIF(J1936,"*86*")&gt;0),"Да","Нет"))</f>
        <v/>
      </c>
      <c r="M1936" s="13">
        <f>IF(OR(G1936="",L1936&lt;&gt;"Да"),"",IF(G1936&lt;=100,"До 100",IF(G1936&lt;=200,"До 200",IF(G1936&lt;=500,"До 500","Отдельное КП"))))</f>
        <v/>
      </c>
      <c r="N1936" s="15">
        <f>IF(OR(G1936="",L1936&lt;&gt;"Да"),"",IF(G1936&lt;=100,33600,IF(G1936&lt;=200,62400,IF(G1936&lt;=500,144000,""))))</f>
        <v/>
      </c>
      <c r="O1936" s="16">
        <f>IF(G1936="","",IF(G1936&lt;=15,"1–15",IF(G1936&lt;=30,"16–30",IF(G1936&lt;=50,"31–50",IF(G1936&lt;=100,"51–100",IF(G1936&lt;=150,"101–150",IF(G1936&lt;=200,"151–200",IF(G1936&lt;=500,"201–500","500+"))))))))</f>
        <v/>
      </c>
      <c r="P1936" s="16" t="inlineStr">
        <is>
          <t>Нет совпадения в предоставленной выгрузке ССЧР</t>
        </is>
      </c>
      <c r="Q1936" s="16" t="n"/>
      <c r="R1936" s="16">
        <f>HYPERLINK("https://checko.ru/search?query=3801001629","Чекко: проверить")</f>
        <v/>
      </c>
      <c r="S1936" t="n">
        <v>0</v>
      </c>
    </row>
    <row r="1937" ht="68.25" customHeight="1" s="24">
      <c r="A1937" s="13" t="n">
        <v>5000081937</v>
      </c>
      <c r="B1937" s="13" t="inlineStr">
        <is>
          <t>МУНИЦИПАЛЬНОЕ КАЗЕННОЕ УЧРЕЖДЕНИЕ ДОПОЛНИТЕЛЬНОГО ОБРАЗОВАНИЯ "ДЕТСКАЯ ШКОЛА ИСКУССТВ СЕЛЬСКОГО ПОСЕЛЕНИЯ СТАНИЦЫ СОЛДАТСКОЙ ПРОХЛАДНЕНСКОГО МУНИЦИПАЛ</t>
        </is>
      </c>
      <c r="C1937" s="13" t="n">
        <v>716002552</v>
      </c>
      <c r="D1937" s="13" t="n"/>
      <c r="E1937" s="13" t="inlineStr">
        <is>
          <t>Не определён</t>
        </is>
      </c>
      <c r="F1937" s="13" t="inlineStr">
        <is>
          <t>716002552</t>
        </is>
      </c>
      <c r="G1937" s="14" t="n"/>
      <c r="H1937" s="14" t="n"/>
      <c r="I1937" s="14" t="n"/>
      <c r="J1937" s="14" t="n"/>
      <c r="K1937" s="13">
        <f>IF(G1937="","",IF(G1937&gt;=22,"Да","Нет"))</f>
        <v/>
      </c>
      <c r="L1937" s="13">
        <f>IF(OR(I1937="",J1937=""),"Не определено",IF(OR(COUNTIF(I1937,"45*")&gt;0,COUNTIF(J1937,"*45*")&gt;0,COUNTIF(I1937,"46*")&gt;0,COUNTIF(J1937,"*46*")&gt;0,COUNTIF(I1937,"47*")&gt;0,COUNTIF(J1937,"*47*")&gt;0,COUNTIF(I1937,"10*")&gt;0,COUNTIF(J1937,"*10*")&gt;0,COUNTIF(I1937,"11*")&gt;0,COUNTIF(J1937,"*11*")&gt;0,COUNTIF(I1937,"12*")&gt;0,COUNTIF(J1937,"*12*")&gt;0,COUNTIF(I1937,"13*")&gt;0,COUNTIF(J1937,"*13*")&gt;0,COUNTIF(I1937,"14*")&gt;0,COUNTIF(J1937,"*14*")&gt;0,COUNTIF(I1937,"15*")&gt;0,COUNTIF(J1937,"*15*")&gt;0,COUNTIF(I1937,"16*")&gt;0,COUNTIF(J1937,"*16*")&gt;0,COUNTIF(I1937,"17*")&gt;0,COUNTIF(J1937,"*17*")&gt;0,COUNTIF(I1937,"18*")&gt;0,COUNTIF(J1937,"*18*")&gt;0,COUNTIF(I1937,"19*")&gt;0,COUNTIF(J1937,"*19*")&gt;0,COUNTIF(I1937,"20*")&gt;0,COUNTIF(J1937,"*20*")&gt;0,COUNTIF(I1937,"21*")&gt;0,COUNTIF(J1937,"*21*")&gt;0,COUNTIF(I1937,"22*")&gt;0,COUNTIF(J1937,"*22*")&gt;0,COUNTIF(I1937,"23*")&gt;0,COUNTIF(J1937,"*23*")&gt;0,COUNTIF(I1937,"24*")&gt;0,COUNTIF(J1937,"*24*")&gt;0,COUNTIF(I1937,"25*")&gt;0,COUNTIF(J1937,"*25*")&gt;0,COUNTIF(I1937,"26*")&gt;0,COUNTIF(J1937,"*26*")&gt;0,COUNTIF(I1937,"27*")&gt;0,COUNTIF(J1937,"*27*")&gt;0,COUNTIF(I1937,"28*")&gt;0,COUNTIF(J1937,"*28*")&gt;0,COUNTIF(I1937,"29*")&gt;0,COUNTIF(J1937,"*29*")&gt;0,COUNTIF(I1937,"30*")&gt;0,COUNTIF(J1937,"*30*")&gt;0,COUNTIF(I1937,"31*")&gt;0,COUNTIF(J1937,"*31*")&gt;0,COUNTIF(I1937,"32*")&gt;0,COUNTIF(J1937,"*32*")&gt;0,COUNTIF(I1937,"33*")&gt;0,COUNTIF(J1937,"*33*")&gt;0,COUNTIF(I1937,"41*")&gt;0,COUNTIF(J1937,"*41*")&gt;0,COUNTIF(I1937,"42*")&gt;0,COUNTIF(J1937,"*42*")&gt;0,COUNTIF(I1937,"43*")&gt;0,COUNTIF(J1937,"*43*")&gt;0,COUNTIF(I1937,"49*")&gt;0,COUNTIF(J1937,"*49*")&gt;0,COUNTIF(I1937,"52*")&gt;0,COUNTIF(J1937,"*52*")&gt;0,COUNTIF(I1937,"55*")&gt;0,COUNTIF(J1937,"*55*")&gt;0,COUNTIF(I1937,"56*")&gt;0,COUNTIF(J1937,"*56*")&gt;0,COUNTIF(I1937,"68*")&gt;0,COUNTIF(J1937,"*68*")&gt;0,COUNTIF(I1937,"78*")&gt;0,COUNTIF(J1937,"*78*")&gt;0,COUNTIF(I1937,"81*")&gt;0,COUNTIF(J1937,"*81*")&gt;0,COUNTIF(I1937,"82*")&gt;0,COUNTIF(J1937,"*82*")&gt;0,COUNTIF(I1937,"64*")&gt;0,COUNTIF(J1937,"*64*")&gt;0,COUNTIF(I1937,"65*")&gt;0,COUNTIF(J1937,"*65*")&gt;0,COUNTIF(I1937,"66*")&gt;0,COUNTIF(J1937,"*66*")&gt;0,COUNTIF(I1937,"61*")&gt;0,COUNTIF(J1937,"*61*")&gt;0,COUNTIF(I1937,"62*")&gt;0,COUNTIF(J1937,"*62*")&gt;0,COUNTIF(I1937,"63*")&gt;0,COUNTIF(J1937,"*63*")&gt;0,COUNTIF(I1937,"85*")&gt;0,COUNTIF(J1937,"*85*")&gt;0,COUNTIF(I1937,"86*")&gt;0,COUNTIF(J1937,"*86*")&gt;0),"Да","Нет"))</f>
        <v/>
      </c>
      <c r="M1937" s="13">
        <f>IF(OR(G1937="",L1937&lt;&gt;"Да"),"",IF(G1937&lt;=100,"До 100",IF(G1937&lt;=200,"До 200",IF(G1937&lt;=500,"До 500","Отдельное КП"))))</f>
        <v/>
      </c>
      <c r="N1937" s="15">
        <f>IF(OR(G1937="",L1937&lt;&gt;"Да"),"",IF(G1937&lt;=100,33600,IF(G1937&lt;=200,62400,IF(G1937&lt;=500,144000,""))))</f>
        <v/>
      </c>
      <c r="O1937" s="16">
        <f>IF(G1937="","",IF(G1937&lt;=15,"1–15",IF(G1937&lt;=30,"16–30",IF(G1937&lt;=50,"31–50",IF(G1937&lt;=100,"51–100",IF(G1937&lt;=150,"101–150",IF(G1937&lt;=200,"151–200",IF(G1937&lt;=500,"201–500","500+"))))))))</f>
        <v/>
      </c>
      <c r="P1937" s="16" t="inlineStr">
        <is>
          <t>Нет совпадения в предоставленной выгрузке ССЧР</t>
        </is>
      </c>
      <c r="Q1937" s="16" t="n"/>
      <c r="R1937" s="16">
        <f>HYPERLINK("https://checko.ru/search?query=3801001629","Чекко: проверить")</f>
        <v/>
      </c>
      <c r="S1937" t="n">
        <v>0</v>
      </c>
    </row>
    <row r="1938" ht="27.75" customHeight="1" s="24">
      <c r="A1938" s="13" t="n">
        <v>5000081938</v>
      </c>
      <c r="B1938" s="13" t="inlineStr">
        <is>
          <t>МУНИЦИПАЛЬНОЕ КАЗЕННОЕ УЧРЕЖДЕНИЕ РЕДАКЦИЯ ГАЗЕТЫ "ПРОХЛАДНЕНСКИЕ ИЗВЕСТИЯ"</t>
        </is>
      </c>
      <c r="C1938" s="13" t="n">
        <v>704001770</v>
      </c>
      <c r="D1938" s="13" t="n"/>
      <c r="E1938" s="13" t="inlineStr">
        <is>
          <t>Не определён</t>
        </is>
      </c>
      <c r="F1938" s="13" t="inlineStr">
        <is>
          <t>704001770</t>
        </is>
      </c>
      <c r="G1938" s="14" t="n"/>
      <c r="H1938" s="14" t="n"/>
      <c r="I1938" s="14" t="n"/>
      <c r="J1938" s="14" t="n"/>
      <c r="K1938" s="13">
        <f>IF(G1938="","",IF(G1938&gt;=22,"Да","Нет"))</f>
        <v/>
      </c>
      <c r="L1938" s="13">
        <f>IF(OR(I1938="",J1938=""),"Не определено",IF(OR(COUNTIF(I1938,"45*")&gt;0,COUNTIF(J1938,"*45*")&gt;0,COUNTIF(I1938,"46*")&gt;0,COUNTIF(J1938,"*46*")&gt;0,COUNTIF(I1938,"47*")&gt;0,COUNTIF(J1938,"*47*")&gt;0,COUNTIF(I1938,"10*")&gt;0,COUNTIF(J1938,"*10*")&gt;0,COUNTIF(I1938,"11*")&gt;0,COUNTIF(J1938,"*11*")&gt;0,COUNTIF(I1938,"12*")&gt;0,COUNTIF(J1938,"*12*")&gt;0,COUNTIF(I1938,"13*")&gt;0,COUNTIF(J1938,"*13*")&gt;0,COUNTIF(I1938,"14*")&gt;0,COUNTIF(J1938,"*14*")&gt;0,COUNTIF(I1938,"15*")&gt;0,COUNTIF(J1938,"*15*")&gt;0,COUNTIF(I1938,"16*")&gt;0,COUNTIF(J1938,"*16*")&gt;0,COUNTIF(I1938,"17*")&gt;0,COUNTIF(J1938,"*17*")&gt;0,COUNTIF(I1938,"18*")&gt;0,COUNTIF(J1938,"*18*")&gt;0,COUNTIF(I1938,"19*")&gt;0,COUNTIF(J1938,"*19*")&gt;0,COUNTIF(I1938,"20*")&gt;0,COUNTIF(J1938,"*20*")&gt;0,COUNTIF(I1938,"21*")&gt;0,COUNTIF(J1938,"*21*")&gt;0,COUNTIF(I1938,"22*")&gt;0,COUNTIF(J1938,"*22*")&gt;0,COUNTIF(I1938,"23*")&gt;0,COUNTIF(J1938,"*23*")&gt;0,COUNTIF(I1938,"24*")&gt;0,COUNTIF(J1938,"*24*")&gt;0,COUNTIF(I1938,"25*")&gt;0,COUNTIF(J1938,"*25*")&gt;0,COUNTIF(I1938,"26*")&gt;0,COUNTIF(J1938,"*26*")&gt;0,COUNTIF(I1938,"27*")&gt;0,COUNTIF(J1938,"*27*")&gt;0,COUNTIF(I1938,"28*")&gt;0,COUNTIF(J1938,"*28*")&gt;0,COUNTIF(I1938,"29*")&gt;0,COUNTIF(J1938,"*29*")&gt;0,COUNTIF(I1938,"30*")&gt;0,COUNTIF(J1938,"*30*")&gt;0,COUNTIF(I1938,"31*")&gt;0,COUNTIF(J1938,"*31*")&gt;0,COUNTIF(I1938,"32*")&gt;0,COUNTIF(J1938,"*32*")&gt;0,COUNTIF(I1938,"33*")&gt;0,COUNTIF(J1938,"*33*")&gt;0,COUNTIF(I1938,"41*")&gt;0,COUNTIF(J1938,"*41*")&gt;0,COUNTIF(I1938,"42*")&gt;0,COUNTIF(J1938,"*42*")&gt;0,COUNTIF(I1938,"43*")&gt;0,COUNTIF(J1938,"*43*")&gt;0,COUNTIF(I1938,"49*")&gt;0,COUNTIF(J1938,"*49*")&gt;0,COUNTIF(I1938,"52*")&gt;0,COUNTIF(J1938,"*52*")&gt;0,COUNTIF(I1938,"55*")&gt;0,COUNTIF(J1938,"*55*")&gt;0,COUNTIF(I1938,"56*")&gt;0,COUNTIF(J1938,"*56*")&gt;0,COUNTIF(I1938,"68*")&gt;0,COUNTIF(J1938,"*68*")&gt;0,COUNTIF(I1938,"78*")&gt;0,COUNTIF(J1938,"*78*")&gt;0,COUNTIF(I1938,"81*")&gt;0,COUNTIF(J1938,"*81*")&gt;0,COUNTIF(I1938,"82*")&gt;0,COUNTIF(J1938,"*82*")&gt;0,COUNTIF(I1938,"64*")&gt;0,COUNTIF(J1938,"*64*")&gt;0,COUNTIF(I1938,"65*")&gt;0,COUNTIF(J1938,"*65*")&gt;0,COUNTIF(I1938,"66*")&gt;0,COUNTIF(J1938,"*66*")&gt;0,COUNTIF(I1938,"61*")&gt;0,COUNTIF(J1938,"*61*")&gt;0,COUNTIF(I1938,"62*")&gt;0,COUNTIF(J1938,"*62*")&gt;0,COUNTIF(I1938,"63*")&gt;0,COUNTIF(J1938,"*63*")&gt;0,COUNTIF(I1938,"85*")&gt;0,COUNTIF(J1938,"*85*")&gt;0,COUNTIF(I1938,"86*")&gt;0,COUNTIF(J1938,"*86*")&gt;0),"Да","Нет"))</f>
        <v/>
      </c>
      <c r="M1938" s="13">
        <f>IF(OR(G1938="",L1938&lt;&gt;"Да"),"",IF(G1938&lt;=100,"До 100",IF(G1938&lt;=200,"До 200",IF(G1938&lt;=500,"До 500","Отдельное КП"))))</f>
        <v/>
      </c>
      <c r="N1938" s="15">
        <f>IF(OR(G1938="",L1938&lt;&gt;"Да"),"",IF(G1938&lt;=100,33600,IF(G1938&lt;=200,62400,IF(G1938&lt;=500,144000,""))))</f>
        <v/>
      </c>
      <c r="O1938" s="16">
        <f>IF(G1938="","",IF(G1938&lt;=15,"1–15",IF(G1938&lt;=30,"16–30",IF(G1938&lt;=50,"31–50",IF(G1938&lt;=100,"51–100",IF(G1938&lt;=150,"101–150",IF(G1938&lt;=200,"151–200",IF(G1938&lt;=500,"201–500","500+"))))))))</f>
        <v/>
      </c>
      <c r="P1938" s="16" t="inlineStr">
        <is>
          <t>Нет совпадения в предоставленной выгрузке ССЧР</t>
        </is>
      </c>
      <c r="Q1938" s="16" t="n"/>
      <c r="R1938" s="16">
        <f>HYPERLINK("https://checko.ru/search?query=3801001629","Чекко: проверить")</f>
        <v/>
      </c>
      <c r="S1938" t="n">
        <v>0</v>
      </c>
    </row>
    <row r="1939" ht="68.25" customHeight="1" s="24">
      <c r="A1939" s="13" t="n">
        <v>5000081939</v>
      </c>
      <c r="B1939" s="13" t="inlineStr">
        <is>
          <t>МУНИЦИПАЛЬНОЕ КАЗЕННОЕ УЧРЕЖДЕНИЕ "УПРАВЛЕНИЕ ОБРАЗОВАНИЯ МЕСТНОЙ АДМИНИСТРАЦИИ ПРОХЛАДНЕНСКОГО МУНИЦИПАЛЬНОГО РАЙОНА КАБАРДИНО-БАЛКАРСКОЙ РЕСПУБЛИКИ"</t>
        </is>
      </c>
      <c r="C1939" s="13" t="n">
        <v>704001949</v>
      </c>
      <c r="D1939" s="13" t="n"/>
      <c r="E1939" s="13" t="inlineStr">
        <is>
          <t>Не определён</t>
        </is>
      </c>
      <c r="F1939" s="13" t="inlineStr">
        <is>
          <t>704001949</t>
        </is>
      </c>
      <c r="G1939" s="14" t="n"/>
      <c r="H1939" s="14" t="n"/>
      <c r="I1939" s="14" t="n"/>
      <c r="J1939" s="14" t="n"/>
      <c r="K1939" s="13">
        <f>IF(G1939="","",IF(G1939&gt;=22,"Да","Нет"))</f>
        <v/>
      </c>
      <c r="L1939" s="13">
        <f>IF(OR(I1939="",J1939=""),"Не определено",IF(OR(COUNTIF(I1939,"45*")&gt;0,COUNTIF(J1939,"*45*")&gt;0,COUNTIF(I1939,"46*")&gt;0,COUNTIF(J1939,"*46*")&gt;0,COUNTIF(I1939,"47*")&gt;0,COUNTIF(J1939,"*47*")&gt;0,COUNTIF(I1939,"10*")&gt;0,COUNTIF(J1939,"*10*")&gt;0,COUNTIF(I1939,"11*")&gt;0,COUNTIF(J1939,"*11*")&gt;0,COUNTIF(I1939,"12*")&gt;0,COUNTIF(J1939,"*12*")&gt;0,COUNTIF(I1939,"13*")&gt;0,COUNTIF(J1939,"*13*")&gt;0,COUNTIF(I1939,"14*")&gt;0,COUNTIF(J1939,"*14*")&gt;0,COUNTIF(I1939,"15*")&gt;0,COUNTIF(J1939,"*15*")&gt;0,COUNTIF(I1939,"16*")&gt;0,COUNTIF(J1939,"*16*")&gt;0,COUNTIF(I1939,"17*")&gt;0,COUNTIF(J1939,"*17*")&gt;0,COUNTIF(I1939,"18*")&gt;0,COUNTIF(J1939,"*18*")&gt;0,COUNTIF(I1939,"19*")&gt;0,COUNTIF(J1939,"*19*")&gt;0,COUNTIF(I1939,"20*")&gt;0,COUNTIF(J1939,"*20*")&gt;0,COUNTIF(I1939,"21*")&gt;0,COUNTIF(J1939,"*21*")&gt;0,COUNTIF(I1939,"22*")&gt;0,COUNTIF(J1939,"*22*")&gt;0,COUNTIF(I1939,"23*")&gt;0,COUNTIF(J1939,"*23*")&gt;0,COUNTIF(I1939,"24*")&gt;0,COUNTIF(J1939,"*24*")&gt;0,COUNTIF(I1939,"25*")&gt;0,COUNTIF(J1939,"*25*")&gt;0,COUNTIF(I1939,"26*")&gt;0,COUNTIF(J1939,"*26*")&gt;0,COUNTIF(I1939,"27*")&gt;0,COUNTIF(J1939,"*27*")&gt;0,COUNTIF(I1939,"28*")&gt;0,COUNTIF(J1939,"*28*")&gt;0,COUNTIF(I1939,"29*")&gt;0,COUNTIF(J1939,"*29*")&gt;0,COUNTIF(I1939,"30*")&gt;0,COUNTIF(J1939,"*30*")&gt;0,COUNTIF(I1939,"31*")&gt;0,COUNTIF(J1939,"*31*")&gt;0,COUNTIF(I1939,"32*")&gt;0,COUNTIF(J1939,"*32*")&gt;0,COUNTIF(I1939,"33*")&gt;0,COUNTIF(J1939,"*33*")&gt;0,COUNTIF(I1939,"41*")&gt;0,COUNTIF(J1939,"*41*")&gt;0,COUNTIF(I1939,"42*")&gt;0,COUNTIF(J1939,"*42*")&gt;0,COUNTIF(I1939,"43*")&gt;0,COUNTIF(J1939,"*43*")&gt;0,COUNTIF(I1939,"49*")&gt;0,COUNTIF(J1939,"*49*")&gt;0,COUNTIF(I1939,"52*")&gt;0,COUNTIF(J1939,"*52*")&gt;0,COUNTIF(I1939,"55*")&gt;0,COUNTIF(J1939,"*55*")&gt;0,COUNTIF(I1939,"56*")&gt;0,COUNTIF(J1939,"*56*")&gt;0,COUNTIF(I1939,"68*")&gt;0,COUNTIF(J1939,"*68*")&gt;0,COUNTIF(I1939,"78*")&gt;0,COUNTIF(J1939,"*78*")&gt;0,COUNTIF(I1939,"81*")&gt;0,COUNTIF(J1939,"*81*")&gt;0,COUNTIF(I1939,"82*")&gt;0,COUNTIF(J1939,"*82*")&gt;0,COUNTIF(I1939,"64*")&gt;0,COUNTIF(J1939,"*64*")&gt;0,COUNTIF(I1939,"65*")&gt;0,COUNTIF(J1939,"*65*")&gt;0,COUNTIF(I1939,"66*")&gt;0,COUNTIF(J1939,"*66*")&gt;0,COUNTIF(I1939,"61*")&gt;0,COUNTIF(J1939,"*61*")&gt;0,COUNTIF(I1939,"62*")&gt;0,COUNTIF(J1939,"*62*")&gt;0,COUNTIF(I1939,"63*")&gt;0,COUNTIF(J1939,"*63*")&gt;0,COUNTIF(I1939,"85*")&gt;0,COUNTIF(J1939,"*85*")&gt;0,COUNTIF(I1939,"86*")&gt;0,COUNTIF(J1939,"*86*")&gt;0),"Да","Нет"))</f>
        <v/>
      </c>
      <c r="M1939" s="13">
        <f>IF(OR(G1939="",L1939&lt;&gt;"Да"),"",IF(G1939&lt;=100,"До 100",IF(G1939&lt;=200,"До 200",IF(G1939&lt;=500,"До 500","Отдельное КП"))))</f>
        <v/>
      </c>
      <c r="N1939" s="15">
        <f>IF(OR(G1939="",L1939&lt;&gt;"Да"),"",IF(G1939&lt;=100,33600,IF(G1939&lt;=200,62400,IF(G1939&lt;=500,144000,""))))</f>
        <v/>
      </c>
      <c r="O1939" s="16">
        <f>IF(G1939="","",IF(G1939&lt;=15,"1–15",IF(G1939&lt;=30,"16–30",IF(G1939&lt;=50,"31–50",IF(G1939&lt;=100,"51–100",IF(G1939&lt;=150,"101–150",IF(G1939&lt;=200,"151–200",IF(G1939&lt;=500,"201–500","500+"))))))))</f>
        <v/>
      </c>
      <c r="P1939" s="16" t="inlineStr">
        <is>
          <t>Нет совпадения в предоставленной выгрузке ССЧР</t>
        </is>
      </c>
      <c r="Q1939" s="16" t="n"/>
      <c r="R1939" s="16">
        <f>HYPERLINK("https://checko.ru/search?query=3801001629","Чекко: проверить")</f>
        <v/>
      </c>
      <c r="S1939" t="n">
        <v>0</v>
      </c>
    </row>
    <row r="1940" ht="54.75" customHeight="1" s="24">
      <c r="A1940" s="13" t="n">
        <v>5000081940</v>
      </c>
      <c r="B1940" s="13" t="inlineStr">
        <is>
          <t>МУНИЦИПАЛЬНОЕ КАЗЕННОЕ УЧРЕЖДЕНИЕ СПОРТИВНАЯ ШКОЛА "КОЛОС" ПРОХЛАДНЕНСКОГО МУНИЦИПАЛЬНОГО РАЙОНА КАБАРДИНО-БАЛКАРСКОЙ РЕСПУБЛИКИ</t>
        </is>
      </c>
      <c r="C1940" s="13" t="n">
        <v>716000604</v>
      </c>
      <c r="D1940" s="13" t="n"/>
      <c r="E1940" s="13" t="inlineStr">
        <is>
          <t>Не определён</t>
        </is>
      </c>
      <c r="F1940" s="13" t="inlineStr">
        <is>
          <t>716000604</t>
        </is>
      </c>
      <c r="G1940" s="14" t="n"/>
      <c r="H1940" s="14" t="n"/>
      <c r="I1940" s="14" t="n"/>
      <c r="J1940" s="14" t="n"/>
      <c r="K1940" s="13">
        <f>IF(G1940="","",IF(G1940&gt;=22,"Да","Нет"))</f>
        <v/>
      </c>
      <c r="L1940" s="13">
        <f>IF(OR(I1940="",J1940=""),"Не определено",IF(OR(COUNTIF(I1940,"45*")&gt;0,COUNTIF(J1940,"*45*")&gt;0,COUNTIF(I1940,"46*")&gt;0,COUNTIF(J1940,"*46*")&gt;0,COUNTIF(I1940,"47*")&gt;0,COUNTIF(J1940,"*47*")&gt;0,COUNTIF(I1940,"10*")&gt;0,COUNTIF(J1940,"*10*")&gt;0,COUNTIF(I1940,"11*")&gt;0,COUNTIF(J1940,"*11*")&gt;0,COUNTIF(I1940,"12*")&gt;0,COUNTIF(J1940,"*12*")&gt;0,COUNTIF(I1940,"13*")&gt;0,COUNTIF(J1940,"*13*")&gt;0,COUNTIF(I1940,"14*")&gt;0,COUNTIF(J1940,"*14*")&gt;0,COUNTIF(I1940,"15*")&gt;0,COUNTIF(J1940,"*15*")&gt;0,COUNTIF(I1940,"16*")&gt;0,COUNTIF(J1940,"*16*")&gt;0,COUNTIF(I1940,"17*")&gt;0,COUNTIF(J1940,"*17*")&gt;0,COUNTIF(I1940,"18*")&gt;0,COUNTIF(J1940,"*18*")&gt;0,COUNTIF(I1940,"19*")&gt;0,COUNTIF(J1940,"*19*")&gt;0,COUNTIF(I1940,"20*")&gt;0,COUNTIF(J1940,"*20*")&gt;0,COUNTIF(I1940,"21*")&gt;0,COUNTIF(J1940,"*21*")&gt;0,COUNTIF(I1940,"22*")&gt;0,COUNTIF(J1940,"*22*")&gt;0,COUNTIF(I1940,"23*")&gt;0,COUNTIF(J1940,"*23*")&gt;0,COUNTIF(I1940,"24*")&gt;0,COUNTIF(J1940,"*24*")&gt;0,COUNTIF(I1940,"25*")&gt;0,COUNTIF(J1940,"*25*")&gt;0,COUNTIF(I1940,"26*")&gt;0,COUNTIF(J1940,"*26*")&gt;0,COUNTIF(I1940,"27*")&gt;0,COUNTIF(J1940,"*27*")&gt;0,COUNTIF(I1940,"28*")&gt;0,COUNTIF(J1940,"*28*")&gt;0,COUNTIF(I1940,"29*")&gt;0,COUNTIF(J1940,"*29*")&gt;0,COUNTIF(I1940,"30*")&gt;0,COUNTIF(J1940,"*30*")&gt;0,COUNTIF(I1940,"31*")&gt;0,COUNTIF(J1940,"*31*")&gt;0,COUNTIF(I1940,"32*")&gt;0,COUNTIF(J1940,"*32*")&gt;0,COUNTIF(I1940,"33*")&gt;0,COUNTIF(J1940,"*33*")&gt;0,COUNTIF(I1940,"41*")&gt;0,COUNTIF(J1940,"*41*")&gt;0,COUNTIF(I1940,"42*")&gt;0,COUNTIF(J1940,"*42*")&gt;0,COUNTIF(I1940,"43*")&gt;0,COUNTIF(J1940,"*43*")&gt;0,COUNTIF(I1940,"49*")&gt;0,COUNTIF(J1940,"*49*")&gt;0,COUNTIF(I1940,"52*")&gt;0,COUNTIF(J1940,"*52*")&gt;0,COUNTIF(I1940,"55*")&gt;0,COUNTIF(J1940,"*55*")&gt;0,COUNTIF(I1940,"56*")&gt;0,COUNTIF(J1940,"*56*")&gt;0,COUNTIF(I1940,"68*")&gt;0,COUNTIF(J1940,"*68*")&gt;0,COUNTIF(I1940,"78*")&gt;0,COUNTIF(J1940,"*78*")&gt;0,COUNTIF(I1940,"81*")&gt;0,COUNTIF(J1940,"*81*")&gt;0,COUNTIF(I1940,"82*")&gt;0,COUNTIF(J1940,"*82*")&gt;0,COUNTIF(I1940,"64*")&gt;0,COUNTIF(J1940,"*64*")&gt;0,COUNTIF(I1940,"65*")&gt;0,COUNTIF(J1940,"*65*")&gt;0,COUNTIF(I1940,"66*")&gt;0,COUNTIF(J1940,"*66*")&gt;0,COUNTIF(I1940,"61*")&gt;0,COUNTIF(J1940,"*61*")&gt;0,COUNTIF(I1940,"62*")&gt;0,COUNTIF(J1940,"*62*")&gt;0,COUNTIF(I1940,"63*")&gt;0,COUNTIF(J1940,"*63*")&gt;0,COUNTIF(I1940,"85*")&gt;0,COUNTIF(J1940,"*85*")&gt;0,COUNTIF(I1940,"86*")&gt;0,COUNTIF(J1940,"*86*")&gt;0),"Да","Нет"))</f>
        <v/>
      </c>
      <c r="M1940" s="13">
        <f>IF(OR(G1940="",L1940&lt;&gt;"Да"),"",IF(G1940&lt;=100,"До 100",IF(G1940&lt;=200,"До 200",IF(G1940&lt;=500,"До 500","Отдельное КП"))))</f>
        <v/>
      </c>
      <c r="N1940" s="15">
        <f>IF(OR(G1940="",L1940&lt;&gt;"Да"),"",IF(G1940&lt;=100,33600,IF(G1940&lt;=200,62400,IF(G1940&lt;=500,144000,""))))</f>
        <v/>
      </c>
      <c r="O1940" s="16">
        <f>IF(G1940="","",IF(G1940&lt;=15,"1–15",IF(G1940&lt;=30,"16–30",IF(G1940&lt;=50,"31–50",IF(G1940&lt;=100,"51–100",IF(G1940&lt;=150,"101–150",IF(G1940&lt;=200,"151–200",IF(G1940&lt;=500,"201–500","500+"))))))))</f>
        <v/>
      </c>
      <c r="P1940" s="16" t="inlineStr">
        <is>
          <t>Нет совпадения в предоставленной выгрузке ССЧР</t>
        </is>
      </c>
      <c r="Q1940" s="16" t="n"/>
      <c r="R1940" s="16">
        <f>HYPERLINK("https://checko.ru/search?query=3801001629","Чекко: проверить")</f>
        <v/>
      </c>
      <c r="S1940" t="n">
        <v>0</v>
      </c>
    </row>
    <row r="1941" ht="68.25" customHeight="1" s="24">
      <c r="A1941" s="13" t="n">
        <v>5000081941</v>
      </c>
      <c r="B1941" s="13" t="inlineStr">
        <is>
          <t>МУНИЦИПАЛЬНОЕ БЮДЖЕТНОЕ УЧРЕЖДЕНИЕ ДОПОЛНИТЕЛЬНОГО ОБРАЗОВАНИЯ "РАЙОННЫЙ ЦЕНТР ДЕТСКОГО ТВОРЧЕСТВА" ПРОХЛАДНЕНСКОГО МУНИЦИПАЛЬНОГО РАЙОНА КАБАРДИНО-БА</t>
        </is>
      </c>
      <c r="C1941" s="13" t="n">
        <v>716001414</v>
      </c>
      <c r="D1941" s="13" t="n"/>
      <c r="E1941" s="13" t="inlineStr">
        <is>
          <t>Не определён</t>
        </is>
      </c>
      <c r="F1941" s="13" t="inlineStr">
        <is>
          <t>716001414</t>
        </is>
      </c>
      <c r="G1941" s="14" t="n"/>
      <c r="H1941" s="14" t="n"/>
      <c r="I1941" s="14" t="n"/>
      <c r="J1941" s="14" t="n"/>
      <c r="K1941" s="13">
        <f>IF(G1941="","",IF(G1941&gt;=22,"Да","Нет"))</f>
        <v/>
      </c>
      <c r="L1941" s="13">
        <f>IF(OR(I1941="",J1941=""),"Не определено",IF(OR(COUNTIF(I1941,"45*")&gt;0,COUNTIF(J1941,"*45*")&gt;0,COUNTIF(I1941,"46*")&gt;0,COUNTIF(J1941,"*46*")&gt;0,COUNTIF(I1941,"47*")&gt;0,COUNTIF(J1941,"*47*")&gt;0,COUNTIF(I1941,"10*")&gt;0,COUNTIF(J1941,"*10*")&gt;0,COUNTIF(I1941,"11*")&gt;0,COUNTIF(J1941,"*11*")&gt;0,COUNTIF(I1941,"12*")&gt;0,COUNTIF(J1941,"*12*")&gt;0,COUNTIF(I1941,"13*")&gt;0,COUNTIF(J1941,"*13*")&gt;0,COUNTIF(I1941,"14*")&gt;0,COUNTIF(J1941,"*14*")&gt;0,COUNTIF(I1941,"15*")&gt;0,COUNTIF(J1941,"*15*")&gt;0,COUNTIF(I1941,"16*")&gt;0,COUNTIF(J1941,"*16*")&gt;0,COUNTIF(I1941,"17*")&gt;0,COUNTIF(J1941,"*17*")&gt;0,COUNTIF(I1941,"18*")&gt;0,COUNTIF(J1941,"*18*")&gt;0,COUNTIF(I1941,"19*")&gt;0,COUNTIF(J1941,"*19*")&gt;0,COUNTIF(I1941,"20*")&gt;0,COUNTIF(J1941,"*20*")&gt;0,COUNTIF(I1941,"21*")&gt;0,COUNTIF(J1941,"*21*")&gt;0,COUNTIF(I1941,"22*")&gt;0,COUNTIF(J1941,"*22*")&gt;0,COUNTIF(I1941,"23*")&gt;0,COUNTIF(J1941,"*23*")&gt;0,COUNTIF(I1941,"24*")&gt;0,COUNTIF(J1941,"*24*")&gt;0,COUNTIF(I1941,"25*")&gt;0,COUNTIF(J1941,"*25*")&gt;0,COUNTIF(I1941,"26*")&gt;0,COUNTIF(J1941,"*26*")&gt;0,COUNTIF(I1941,"27*")&gt;0,COUNTIF(J1941,"*27*")&gt;0,COUNTIF(I1941,"28*")&gt;0,COUNTIF(J1941,"*28*")&gt;0,COUNTIF(I1941,"29*")&gt;0,COUNTIF(J1941,"*29*")&gt;0,COUNTIF(I1941,"30*")&gt;0,COUNTIF(J1941,"*30*")&gt;0,COUNTIF(I1941,"31*")&gt;0,COUNTIF(J1941,"*31*")&gt;0,COUNTIF(I1941,"32*")&gt;0,COUNTIF(J1941,"*32*")&gt;0,COUNTIF(I1941,"33*")&gt;0,COUNTIF(J1941,"*33*")&gt;0,COUNTIF(I1941,"41*")&gt;0,COUNTIF(J1941,"*41*")&gt;0,COUNTIF(I1941,"42*")&gt;0,COUNTIF(J1941,"*42*")&gt;0,COUNTIF(I1941,"43*")&gt;0,COUNTIF(J1941,"*43*")&gt;0,COUNTIF(I1941,"49*")&gt;0,COUNTIF(J1941,"*49*")&gt;0,COUNTIF(I1941,"52*")&gt;0,COUNTIF(J1941,"*52*")&gt;0,COUNTIF(I1941,"55*")&gt;0,COUNTIF(J1941,"*55*")&gt;0,COUNTIF(I1941,"56*")&gt;0,COUNTIF(J1941,"*56*")&gt;0,COUNTIF(I1941,"68*")&gt;0,COUNTIF(J1941,"*68*")&gt;0,COUNTIF(I1941,"78*")&gt;0,COUNTIF(J1941,"*78*")&gt;0,COUNTIF(I1941,"81*")&gt;0,COUNTIF(J1941,"*81*")&gt;0,COUNTIF(I1941,"82*")&gt;0,COUNTIF(J1941,"*82*")&gt;0,COUNTIF(I1941,"64*")&gt;0,COUNTIF(J1941,"*64*")&gt;0,COUNTIF(I1941,"65*")&gt;0,COUNTIF(J1941,"*65*")&gt;0,COUNTIF(I1941,"66*")&gt;0,COUNTIF(J1941,"*66*")&gt;0,COUNTIF(I1941,"61*")&gt;0,COUNTIF(J1941,"*61*")&gt;0,COUNTIF(I1941,"62*")&gt;0,COUNTIF(J1941,"*62*")&gt;0,COUNTIF(I1941,"63*")&gt;0,COUNTIF(J1941,"*63*")&gt;0,COUNTIF(I1941,"85*")&gt;0,COUNTIF(J1941,"*85*")&gt;0,COUNTIF(I1941,"86*")&gt;0,COUNTIF(J1941,"*86*")&gt;0),"Да","Нет"))</f>
        <v/>
      </c>
      <c r="M1941" s="13">
        <f>IF(OR(G1941="",L1941&lt;&gt;"Да"),"",IF(G1941&lt;=100,"До 100",IF(G1941&lt;=200,"До 200",IF(G1941&lt;=500,"До 500","Отдельное КП"))))</f>
        <v/>
      </c>
      <c r="N1941" s="15">
        <f>IF(OR(G1941="",L1941&lt;&gt;"Да"),"",IF(G1941&lt;=100,33600,IF(G1941&lt;=200,62400,IF(G1941&lt;=500,144000,""))))</f>
        <v/>
      </c>
      <c r="O1941" s="16">
        <f>IF(G1941="","",IF(G1941&lt;=15,"1–15",IF(G1941&lt;=30,"16–30",IF(G1941&lt;=50,"31–50",IF(G1941&lt;=100,"51–100",IF(G1941&lt;=150,"101–150",IF(G1941&lt;=200,"151–200",IF(G1941&lt;=500,"201–500","500+"))))))))</f>
        <v/>
      </c>
      <c r="P1941" s="16" t="inlineStr">
        <is>
          <t>Нет совпадения в предоставленной выгрузке ССЧР</t>
        </is>
      </c>
      <c r="Q1941" s="16" t="n"/>
      <c r="R1941" s="16">
        <f>HYPERLINK("https://checko.ru/search?query=3801001629","Чекко: проверить")</f>
        <v/>
      </c>
      <c r="S1941" t="n">
        <v>0</v>
      </c>
    </row>
    <row r="1942" ht="41.25" customHeight="1" s="24">
      <c r="A1942" s="13" t="n">
        <v>5000081942</v>
      </c>
      <c r="B1942" s="13" t="inlineStr">
        <is>
          <t>СОВЕТ МЕСТНОГО САМОУПРАВЛЕНИЯ ПРОХЛАДНЕНСКОГО МУНИЦИПАЛЬНОГО РАЙОНА КАБАРДИНО-БАЛКАРСКОЙ РЕСПУБЛИКИ</t>
        </is>
      </c>
      <c r="C1942" s="13" t="n">
        <v>716004800</v>
      </c>
      <c r="D1942" s="13" t="n"/>
      <c r="E1942" s="13" t="inlineStr">
        <is>
          <t>Не определён</t>
        </is>
      </c>
      <c r="F1942" s="13" t="inlineStr">
        <is>
          <t>716004800</t>
        </is>
      </c>
      <c r="G1942" s="14" t="n"/>
      <c r="H1942" s="14" t="n"/>
      <c r="I1942" s="14" t="n"/>
      <c r="J1942" s="14" t="n"/>
      <c r="K1942" s="13">
        <f>IF(G1942="","",IF(G1942&gt;=22,"Да","Нет"))</f>
        <v/>
      </c>
      <c r="L1942" s="13">
        <f>IF(OR(I1942="",J1942=""),"Не определено",IF(OR(COUNTIF(I1942,"45*")&gt;0,COUNTIF(J1942,"*45*")&gt;0,COUNTIF(I1942,"46*")&gt;0,COUNTIF(J1942,"*46*")&gt;0,COUNTIF(I1942,"47*")&gt;0,COUNTIF(J1942,"*47*")&gt;0,COUNTIF(I1942,"10*")&gt;0,COUNTIF(J1942,"*10*")&gt;0,COUNTIF(I1942,"11*")&gt;0,COUNTIF(J1942,"*11*")&gt;0,COUNTIF(I1942,"12*")&gt;0,COUNTIF(J1942,"*12*")&gt;0,COUNTIF(I1942,"13*")&gt;0,COUNTIF(J1942,"*13*")&gt;0,COUNTIF(I1942,"14*")&gt;0,COUNTIF(J1942,"*14*")&gt;0,COUNTIF(I1942,"15*")&gt;0,COUNTIF(J1942,"*15*")&gt;0,COUNTIF(I1942,"16*")&gt;0,COUNTIF(J1942,"*16*")&gt;0,COUNTIF(I1942,"17*")&gt;0,COUNTIF(J1942,"*17*")&gt;0,COUNTIF(I1942,"18*")&gt;0,COUNTIF(J1942,"*18*")&gt;0,COUNTIF(I1942,"19*")&gt;0,COUNTIF(J1942,"*19*")&gt;0,COUNTIF(I1942,"20*")&gt;0,COUNTIF(J1942,"*20*")&gt;0,COUNTIF(I1942,"21*")&gt;0,COUNTIF(J1942,"*21*")&gt;0,COUNTIF(I1942,"22*")&gt;0,COUNTIF(J1942,"*22*")&gt;0,COUNTIF(I1942,"23*")&gt;0,COUNTIF(J1942,"*23*")&gt;0,COUNTIF(I1942,"24*")&gt;0,COUNTIF(J1942,"*24*")&gt;0,COUNTIF(I1942,"25*")&gt;0,COUNTIF(J1942,"*25*")&gt;0,COUNTIF(I1942,"26*")&gt;0,COUNTIF(J1942,"*26*")&gt;0,COUNTIF(I1942,"27*")&gt;0,COUNTIF(J1942,"*27*")&gt;0,COUNTIF(I1942,"28*")&gt;0,COUNTIF(J1942,"*28*")&gt;0,COUNTIF(I1942,"29*")&gt;0,COUNTIF(J1942,"*29*")&gt;0,COUNTIF(I1942,"30*")&gt;0,COUNTIF(J1942,"*30*")&gt;0,COUNTIF(I1942,"31*")&gt;0,COUNTIF(J1942,"*31*")&gt;0,COUNTIF(I1942,"32*")&gt;0,COUNTIF(J1942,"*32*")&gt;0,COUNTIF(I1942,"33*")&gt;0,COUNTIF(J1942,"*33*")&gt;0,COUNTIF(I1942,"41*")&gt;0,COUNTIF(J1942,"*41*")&gt;0,COUNTIF(I1942,"42*")&gt;0,COUNTIF(J1942,"*42*")&gt;0,COUNTIF(I1942,"43*")&gt;0,COUNTIF(J1942,"*43*")&gt;0,COUNTIF(I1942,"49*")&gt;0,COUNTIF(J1942,"*49*")&gt;0,COUNTIF(I1942,"52*")&gt;0,COUNTIF(J1942,"*52*")&gt;0,COUNTIF(I1942,"55*")&gt;0,COUNTIF(J1942,"*55*")&gt;0,COUNTIF(I1942,"56*")&gt;0,COUNTIF(J1942,"*56*")&gt;0,COUNTIF(I1942,"68*")&gt;0,COUNTIF(J1942,"*68*")&gt;0,COUNTIF(I1942,"78*")&gt;0,COUNTIF(J1942,"*78*")&gt;0,COUNTIF(I1942,"81*")&gt;0,COUNTIF(J1942,"*81*")&gt;0,COUNTIF(I1942,"82*")&gt;0,COUNTIF(J1942,"*82*")&gt;0,COUNTIF(I1942,"64*")&gt;0,COUNTIF(J1942,"*64*")&gt;0,COUNTIF(I1942,"65*")&gt;0,COUNTIF(J1942,"*65*")&gt;0,COUNTIF(I1942,"66*")&gt;0,COUNTIF(J1942,"*66*")&gt;0,COUNTIF(I1942,"61*")&gt;0,COUNTIF(J1942,"*61*")&gt;0,COUNTIF(I1942,"62*")&gt;0,COUNTIF(J1942,"*62*")&gt;0,COUNTIF(I1942,"63*")&gt;0,COUNTIF(J1942,"*63*")&gt;0,COUNTIF(I1942,"85*")&gt;0,COUNTIF(J1942,"*85*")&gt;0,COUNTIF(I1942,"86*")&gt;0,COUNTIF(J1942,"*86*")&gt;0),"Да","Нет"))</f>
        <v/>
      </c>
      <c r="M1942" s="13">
        <f>IF(OR(G1942="",L1942&lt;&gt;"Да"),"",IF(G1942&lt;=100,"До 100",IF(G1942&lt;=200,"До 200",IF(G1942&lt;=500,"До 500","Отдельное КП"))))</f>
        <v/>
      </c>
      <c r="N1942" s="15">
        <f>IF(OR(G1942="",L1942&lt;&gt;"Да"),"",IF(G1942&lt;=100,33600,IF(G1942&lt;=200,62400,IF(G1942&lt;=500,144000,""))))</f>
        <v/>
      </c>
      <c r="O1942" s="16">
        <f>IF(G1942="","",IF(G1942&lt;=15,"1–15",IF(G1942&lt;=30,"16–30",IF(G1942&lt;=50,"31–50",IF(G1942&lt;=100,"51–100",IF(G1942&lt;=150,"101–150",IF(G1942&lt;=200,"151–200",IF(G1942&lt;=500,"201–500","500+"))))))))</f>
        <v/>
      </c>
      <c r="P1942" s="16" t="inlineStr">
        <is>
          <t>Нет совпадения в предоставленной выгрузке ССЧР</t>
        </is>
      </c>
      <c r="Q1942" s="16" t="n"/>
      <c r="R1942" s="16">
        <f>HYPERLINK("https://checko.ru/search?query=3801001629","Чекко: проверить")</f>
        <v/>
      </c>
      <c r="S1942" t="n">
        <v>0</v>
      </c>
    </row>
    <row r="1943" ht="15" customHeight="1" s="24">
      <c r="A1943" s="13" t="n">
        <v>5000082869</v>
      </c>
      <c r="B1943" s="13" t="inlineStr">
        <is>
          <t>ОГКУ «ЕЦО в сфере ветеринарии»</t>
        </is>
      </c>
      <c r="C1943" s="13" t="n">
        <v>3849083980</v>
      </c>
      <c r="D1943" s="13" t="inlineStr">
        <is>
          <t>3849083980</t>
        </is>
      </c>
      <c r="E1943" s="13" t="inlineStr">
        <is>
          <t>ЮЛ РФ</t>
        </is>
      </c>
      <c r="F1943" s="13" t="n"/>
      <c r="G1943" s="14" t="n"/>
      <c r="H1943" s="14" t="n"/>
      <c r="I1943" s="14" t="n"/>
      <c r="J1943" s="14" t="n"/>
      <c r="K1943" s="53" t="inlineStr"/>
      <c r="L1943" s="53" t="inlineStr">
        <is>
          <t>Не определено</t>
        </is>
      </c>
      <c r="M1943" s="53" t="inlineStr"/>
      <c r="N1943" s="54" t="inlineStr"/>
      <c r="O1943" s="55" t="inlineStr"/>
      <c r="P1943" s="16" t="inlineStr">
        <is>
          <t>Требует обогащения</t>
        </is>
      </c>
      <c r="Q1943" s="16">
        <f>HYPERLINK("https://pb.nalog.ru/search.html?query=3849083980","ФНС: проверить")</f>
        <v/>
      </c>
      <c r="R1943" s="16">
        <f>HYPERLINK("https://checko.ru/search?query=3801001629","Чекко: проверить")</f>
        <v/>
      </c>
      <c r="S1943" t="n">
        <v>1</v>
      </c>
      <c r="T1943" s="35" t="inlineStr">
        <is>
          <t>4 — Не обогащён</t>
        </is>
      </c>
      <c r="U1943" s="35" t="inlineStr">
        <is>
          <t>Нет ОКВЭД/ССЧР</t>
        </is>
      </c>
      <c r="V1943" s="35" t="inlineStr">
        <is>
          <t>Не определено</t>
        </is>
      </c>
      <c r="W1943" s="35" t="inlineStr"/>
      <c r="X1943" s="35" t="inlineStr"/>
    </row>
    <row r="1944" ht="54.75" customHeight="1" s="24">
      <c r="A1944" s="13" t="n">
        <v>5000081908</v>
      </c>
      <c r="B1944" s="13" t="inlineStr">
        <is>
          <t>МУНИЦИПАЛЬНОЕ БЮДЖЕТНОЕ УЧРЕЖДЕНИЕ ДОПОЛНИТЕЛЬНОГО ОБРАЗОВАНИЯ "ДЕТСКАЯ ШКОЛА ИСКУССТВ МЕСТНОЙ АДМИНИСТРАЦИИ ГОРОДСКОГО ОКРУГА ПРОХЛАДНЫЙ КБР"</t>
        </is>
      </c>
      <c r="C1944" s="13" t="n">
        <v>709005930</v>
      </c>
      <c r="D1944" s="13" t="n"/>
      <c r="E1944" s="13" t="inlineStr">
        <is>
          <t>Не определён</t>
        </is>
      </c>
      <c r="F1944" s="13" t="inlineStr">
        <is>
          <t>709005930</t>
        </is>
      </c>
      <c r="G1944" s="14" t="n"/>
      <c r="H1944" s="14" t="n"/>
      <c r="I1944" s="14" t="n"/>
      <c r="J1944" s="14" t="n"/>
      <c r="K1944" s="13">
        <f>IF(G1944="","",IF(G1944&gt;=22,"Да","Нет"))</f>
        <v/>
      </c>
      <c r="L1944" s="13">
        <f>IF(OR(I1944="",J1944=""),"Не определено",IF(OR(COUNTIF(I1944,"45*")&gt;0,COUNTIF(J1944,"*45*")&gt;0,COUNTIF(I1944,"46*")&gt;0,COUNTIF(J1944,"*46*")&gt;0,COUNTIF(I1944,"47*")&gt;0,COUNTIF(J1944,"*47*")&gt;0,COUNTIF(I1944,"10*")&gt;0,COUNTIF(J1944,"*10*")&gt;0,COUNTIF(I1944,"11*")&gt;0,COUNTIF(J1944,"*11*")&gt;0,COUNTIF(I1944,"12*")&gt;0,COUNTIF(J1944,"*12*")&gt;0,COUNTIF(I1944,"13*")&gt;0,COUNTIF(J1944,"*13*")&gt;0,COUNTIF(I1944,"14*")&gt;0,COUNTIF(J1944,"*14*")&gt;0,COUNTIF(I1944,"15*")&gt;0,COUNTIF(J1944,"*15*")&gt;0,COUNTIF(I1944,"16*")&gt;0,COUNTIF(J1944,"*16*")&gt;0,COUNTIF(I1944,"17*")&gt;0,COUNTIF(J1944,"*17*")&gt;0,COUNTIF(I1944,"18*")&gt;0,COUNTIF(J1944,"*18*")&gt;0,COUNTIF(I1944,"19*")&gt;0,COUNTIF(J1944,"*19*")&gt;0,COUNTIF(I1944,"20*")&gt;0,COUNTIF(J1944,"*20*")&gt;0,COUNTIF(I1944,"21*")&gt;0,COUNTIF(J1944,"*21*")&gt;0,COUNTIF(I1944,"22*")&gt;0,COUNTIF(J1944,"*22*")&gt;0,COUNTIF(I1944,"23*")&gt;0,COUNTIF(J1944,"*23*")&gt;0,COUNTIF(I1944,"24*")&gt;0,COUNTIF(J1944,"*24*")&gt;0,COUNTIF(I1944,"25*")&gt;0,COUNTIF(J1944,"*25*")&gt;0,COUNTIF(I1944,"26*")&gt;0,COUNTIF(J1944,"*26*")&gt;0,COUNTIF(I1944,"27*")&gt;0,COUNTIF(J1944,"*27*")&gt;0,COUNTIF(I1944,"28*")&gt;0,COUNTIF(J1944,"*28*")&gt;0,COUNTIF(I1944,"29*")&gt;0,COUNTIF(J1944,"*29*")&gt;0,COUNTIF(I1944,"30*")&gt;0,COUNTIF(J1944,"*30*")&gt;0,COUNTIF(I1944,"31*")&gt;0,COUNTIF(J1944,"*31*")&gt;0,COUNTIF(I1944,"32*")&gt;0,COUNTIF(J1944,"*32*")&gt;0,COUNTIF(I1944,"33*")&gt;0,COUNTIF(J1944,"*33*")&gt;0,COUNTIF(I1944,"41*")&gt;0,COUNTIF(J1944,"*41*")&gt;0,COUNTIF(I1944,"42*")&gt;0,COUNTIF(J1944,"*42*")&gt;0,COUNTIF(I1944,"43*")&gt;0,COUNTIF(J1944,"*43*")&gt;0,COUNTIF(I1944,"49*")&gt;0,COUNTIF(J1944,"*49*")&gt;0,COUNTIF(I1944,"52*")&gt;0,COUNTIF(J1944,"*52*")&gt;0,COUNTIF(I1944,"55*")&gt;0,COUNTIF(J1944,"*55*")&gt;0,COUNTIF(I1944,"56*")&gt;0,COUNTIF(J1944,"*56*")&gt;0,COUNTIF(I1944,"68*")&gt;0,COUNTIF(J1944,"*68*")&gt;0,COUNTIF(I1944,"78*")&gt;0,COUNTIF(J1944,"*78*")&gt;0,COUNTIF(I1944,"81*")&gt;0,COUNTIF(J1944,"*81*")&gt;0,COUNTIF(I1944,"82*")&gt;0,COUNTIF(J1944,"*82*")&gt;0,COUNTIF(I1944,"64*")&gt;0,COUNTIF(J1944,"*64*")&gt;0,COUNTIF(I1944,"65*")&gt;0,COUNTIF(J1944,"*65*")&gt;0,COUNTIF(I1944,"66*")&gt;0,COUNTIF(J1944,"*66*")&gt;0,COUNTIF(I1944,"61*")&gt;0,COUNTIF(J1944,"*61*")&gt;0,COUNTIF(I1944,"62*")&gt;0,COUNTIF(J1944,"*62*")&gt;0,COUNTIF(I1944,"63*")&gt;0,COUNTIF(J1944,"*63*")&gt;0,COUNTIF(I1944,"85*")&gt;0,COUNTIF(J1944,"*85*")&gt;0,COUNTIF(I1944,"86*")&gt;0,COUNTIF(J1944,"*86*")&gt;0),"Да","Нет"))</f>
        <v/>
      </c>
      <c r="M1944" s="13">
        <f>IF(OR(G1944="",L1944&lt;&gt;"Да"),"",IF(G1944&lt;=100,"До 100",IF(G1944&lt;=200,"До 200",IF(G1944&lt;=500,"До 500","Отдельное КП"))))</f>
        <v/>
      </c>
      <c r="N1944" s="15">
        <f>IF(OR(G1944="",L1944&lt;&gt;"Да"),"",IF(G1944&lt;=100,33600,IF(G1944&lt;=200,62400,IF(G1944&lt;=500,144000,""))))</f>
        <v/>
      </c>
      <c r="O1944" s="16">
        <f>IF(G1944="","",IF(G1944&lt;=15,"1–15",IF(G1944&lt;=30,"16–30",IF(G1944&lt;=50,"31–50",IF(G1944&lt;=100,"51–100",IF(G1944&lt;=150,"101–150",IF(G1944&lt;=200,"151–200",IF(G1944&lt;=500,"201–500","500+"))))))))</f>
        <v/>
      </c>
      <c r="P1944" s="16" t="inlineStr">
        <is>
          <t>Нет совпадения в предоставленной выгрузке ССЧР</t>
        </is>
      </c>
      <c r="Q1944" s="16" t="n"/>
      <c r="R1944" s="16">
        <f>HYPERLINK("https://checko.ru/search?query=3801001629","Чекко: проверить")</f>
        <v/>
      </c>
      <c r="S1944" t="n">
        <v>0</v>
      </c>
    </row>
    <row r="1945" ht="54.75" customHeight="1" s="24">
      <c r="A1945" s="13" t="n">
        <v>5000081909</v>
      </c>
      <c r="B1945" s="13" t="inlineStr">
        <is>
          <t>МУНИЦИПАЛЬНАЯ ОРГАНИЗАЦИЯ ДОПОЛНИТЕЛЬНОГО ОБРАЗОВАНИЯ "ДЕТСКАЯ ХУДОЖЕСТВЕННАЯ ШКОЛА ГОРОДСКОГО ОКРУГА ПРОХЛАДНЫЙ"</t>
        </is>
      </c>
      <c r="C1945" s="13" t="n">
        <v>709005947</v>
      </c>
      <c r="D1945" s="13" t="n"/>
      <c r="E1945" s="13" t="inlineStr">
        <is>
          <t>Не определён</t>
        </is>
      </c>
      <c r="F1945" s="13" t="inlineStr">
        <is>
          <t>709005947</t>
        </is>
      </c>
      <c r="G1945" s="14" t="n"/>
      <c r="H1945" s="14" t="n"/>
      <c r="I1945" s="14" t="n"/>
      <c r="J1945" s="14" t="n"/>
      <c r="K1945" s="13">
        <f>IF(G1945="","",IF(G1945&gt;=22,"Да","Нет"))</f>
        <v/>
      </c>
      <c r="L1945" s="13">
        <f>IF(OR(I1945="",J1945=""),"Не определено",IF(OR(COUNTIF(I1945,"45*")&gt;0,COUNTIF(J1945,"*45*")&gt;0,COUNTIF(I1945,"46*")&gt;0,COUNTIF(J1945,"*46*")&gt;0,COUNTIF(I1945,"47*")&gt;0,COUNTIF(J1945,"*47*")&gt;0,COUNTIF(I1945,"10*")&gt;0,COUNTIF(J1945,"*10*")&gt;0,COUNTIF(I1945,"11*")&gt;0,COUNTIF(J1945,"*11*")&gt;0,COUNTIF(I1945,"12*")&gt;0,COUNTIF(J1945,"*12*")&gt;0,COUNTIF(I1945,"13*")&gt;0,COUNTIF(J1945,"*13*")&gt;0,COUNTIF(I1945,"14*")&gt;0,COUNTIF(J1945,"*14*")&gt;0,COUNTIF(I1945,"15*")&gt;0,COUNTIF(J1945,"*15*")&gt;0,COUNTIF(I1945,"16*")&gt;0,COUNTIF(J1945,"*16*")&gt;0,COUNTIF(I1945,"17*")&gt;0,COUNTIF(J1945,"*17*")&gt;0,COUNTIF(I1945,"18*")&gt;0,COUNTIF(J1945,"*18*")&gt;0,COUNTIF(I1945,"19*")&gt;0,COUNTIF(J1945,"*19*")&gt;0,COUNTIF(I1945,"20*")&gt;0,COUNTIF(J1945,"*20*")&gt;0,COUNTIF(I1945,"21*")&gt;0,COUNTIF(J1945,"*21*")&gt;0,COUNTIF(I1945,"22*")&gt;0,COUNTIF(J1945,"*22*")&gt;0,COUNTIF(I1945,"23*")&gt;0,COUNTIF(J1945,"*23*")&gt;0,COUNTIF(I1945,"24*")&gt;0,COUNTIF(J1945,"*24*")&gt;0,COUNTIF(I1945,"25*")&gt;0,COUNTIF(J1945,"*25*")&gt;0,COUNTIF(I1945,"26*")&gt;0,COUNTIF(J1945,"*26*")&gt;0,COUNTIF(I1945,"27*")&gt;0,COUNTIF(J1945,"*27*")&gt;0,COUNTIF(I1945,"28*")&gt;0,COUNTIF(J1945,"*28*")&gt;0,COUNTIF(I1945,"29*")&gt;0,COUNTIF(J1945,"*29*")&gt;0,COUNTIF(I1945,"30*")&gt;0,COUNTIF(J1945,"*30*")&gt;0,COUNTIF(I1945,"31*")&gt;0,COUNTIF(J1945,"*31*")&gt;0,COUNTIF(I1945,"32*")&gt;0,COUNTIF(J1945,"*32*")&gt;0,COUNTIF(I1945,"33*")&gt;0,COUNTIF(J1945,"*33*")&gt;0,COUNTIF(I1945,"41*")&gt;0,COUNTIF(J1945,"*41*")&gt;0,COUNTIF(I1945,"42*")&gt;0,COUNTIF(J1945,"*42*")&gt;0,COUNTIF(I1945,"43*")&gt;0,COUNTIF(J1945,"*43*")&gt;0,COUNTIF(I1945,"49*")&gt;0,COUNTIF(J1945,"*49*")&gt;0,COUNTIF(I1945,"52*")&gt;0,COUNTIF(J1945,"*52*")&gt;0,COUNTIF(I1945,"55*")&gt;0,COUNTIF(J1945,"*55*")&gt;0,COUNTIF(I1945,"56*")&gt;0,COUNTIF(J1945,"*56*")&gt;0,COUNTIF(I1945,"68*")&gt;0,COUNTIF(J1945,"*68*")&gt;0,COUNTIF(I1945,"78*")&gt;0,COUNTIF(J1945,"*78*")&gt;0,COUNTIF(I1945,"81*")&gt;0,COUNTIF(J1945,"*81*")&gt;0,COUNTIF(I1945,"82*")&gt;0,COUNTIF(J1945,"*82*")&gt;0,COUNTIF(I1945,"64*")&gt;0,COUNTIF(J1945,"*64*")&gt;0,COUNTIF(I1945,"65*")&gt;0,COUNTIF(J1945,"*65*")&gt;0,COUNTIF(I1945,"66*")&gt;0,COUNTIF(J1945,"*66*")&gt;0,COUNTIF(I1945,"61*")&gt;0,COUNTIF(J1945,"*61*")&gt;0,COUNTIF(I1945,"62*")&gt;0,COUNTIF(J1945,"*62*")&gt;0,COUNTIF(I1945,"63*")&gt;0,COUNTIF(J1945,"*63*")&gt;0,COUNTIF(I1945,"85*")&gt;0,COUNTIF(J1945,"*85*")&gt;0,COUNTIF(I1945,"86*")&gt;0,COUNTIF(J1945,"*86*")&gt;0),"Да","Нет"))</f>
        <v/>
      </c>
      <c r="M1945" s="13">
        <f>IF(OR(G1945="",L1945&lt;&gt;"Да"),"",IF(G1945&lt;=100,"До 100",IF(G1945&lt;=200,"До 200",IF(G1945&lt;=500,"До 500","Отдельное КП"))))</f>
        <v/>
      </c>
      <c r="N1945" s="15">
        <f>IF(OR(G1945="",L1945&lt;&gt;"Да"),"",IF(G1945&lt;=100,33600,IF(G1945&lt;=200,62400,IF(G1945&lt;=500,144000,""))))</f>
        <v/>
      </c>
      <c r="O1945" s="16">
        <f>IF(G1945="","",IF(G1945&lt;=15,"1–15",IF(G1945&lt;=30,"16–30",IF(G1945&lt;=50,"31–50",IF(G1945&lt;=100,"51–100",IF(G1945&lt;=150,"101–150",IF(G1945&lt;=200,"151–200",IF(G1945&lt;=500,"201–500","500+"))))))))</f>
        <v/>
      </c>
      <c r="P1945" s="16" t="inlineStr">
        <is>
          <t>Нет совпадения в предоставленной выгрузке ССЧР</t>
        </is>
      </c>
      <c r="Q1945" s="16" t="n"/>
      <c r="R1945" s="16">
        <f>HYPERLINK("https://checko.ru/search?query=3801001629","Чекко: проверить")</f>
        <v/>
      </c>
      <c r="S1945" t="n">
        <v>0</v>
      </c>
    </row>
    <row r="1946" ht="54.75" customHeight="1" s="24">
      <c r="A1946" s="13" t="n">
        <v>5000081910</v>
      </c>
      <c r="B1946" s="13" t="inlineStr">
        <is>
          <t>МУНИЦИПАЛЬНОЕ КАЗЕННОЕ УЧРЕЖДЕНИЕ "ДОМ КУЛЬТУРЫ "ВОСТОРГ" МЕСТНОЙ АДМИНИСТРАЦИИ ГОРОДСКОГО ОКРУГА ПРОХЛАДНЫЙ КБР"</t>
        </is>
      </c>
      <c r="C1946" s="13" t="n">
        <v>716004750</v>
      </c>
      <c r="D1946" s="13" t="n"/>
      <c r="E1946" s="13" t="inlineStr">
        <is>
          <t>Не определён</t>
        </is>
      </c>
      <c r="F1946" s="13" t="inlineStr">
        <is>
          <t>716004750</t>
        </is>
      </c>
      <c r="G1946" s="14" t="n"/>
      <c r="H1946" s="14" t="n"/>
      <c r="I1946" s="14" t="n"/>
      <c r="J1946" s="14" t="n"/>
      <c r="K1946" s="13">
        <f>IF(G1946="","",IF(G1946&gt;=22,"Да","Нет"))</f>
        <v/>
      </c>
      <c r="L1946" s="13">
        <f>IF(OR(I1946="",J1946=""),"Не определено",IF(OR(COUNTIF(I1946,"45*")&gt;0,COUNTIF(J1946,"*45*")&gt;0,COUNTIF(I1946,"46*")&gt;0,COUNTIF(J1946,"*46*")&gt;0,COUNTIF(I1946,"47*")&gt;0,COUNTIF(J1946,"*47*")&gt;0,COUNTIF(I1946,"10*")&gt;0,COUNTIF(J1946,"*10*")&gt;0,COUNTIF(I1946,"11*")&gt;0,COUNTIF(J1946,"*11*")&gt;0,COUNTIF(I1946,"12*")&gt;0,COUNTIF(J1946,"*12*")&gt;0,COUNTIF(I1946,"13*")&gt;0,COUNTIF(J1946,"*13*")&gt;0,COUNTIF(I1946,"14*")&gt;0,COUNTIF(J1946,"*14*")&gt;0,COUNTIF(I1946,"15*")&gt;0,COUNTIF(J1946,"*15*")&gt;0,COUNTIF(I1946,"16*")&gt;0,COUNTIF(J1946,"*16*")&gt;0,COUNTIF(I1946,"17*")&gt;0,COUNTIF(J1946,"*17*")&gt;0,COUNTIF(I1946,"18*")&gt;0,COUNTIF(J1946,"*18*")&gt;0,COUNTIF(I1946,"19*")&gt;0,COUNTIF(J1946,"*19*")&gt;0,COUNTIF(I1946,"20*")&gt;0,COUNTIF(J1946,"*20*")&gt;0,COUNTIF(I1946,"21*")&gt;0,COUNTIF(J1946,"*21*")&gt;0,COUNTIF(I1946,"22*")&gt;0,COUNTIF(J1946,"*22*")&gt;0,COUNTIF(I1946,"23*")&gt;0,COUNTIF(J1946,"*23*")&gt;0,COUNTIF(I1946,"24*")&gt;0,COUNTIF(J1946,"*24*")&gt;0,COUNTIF(I1946,"25*")&gt;0,COUNTIF(J1946,"*25*")&gt;0,COUNTIF(I1946,"26*")&gt;0,COUNTIF(J1946,"*26*")&gt;0,COUNTIF(I1946,"27*")&gt;0,COUNTIF(J1946,"*27*")&gt;0,COUNTIF(I1946,"28*")&gt;0,COUNTIF(J1946,"*28*")&gt;0,COUNTIF(I1946,"29*")&gt;0,COUNTIF(J1946,"*29*")&gt;0,COUNTIF(I1946,"30*")&gt;0,COUNTIF(J1946,"*30*")&gt;0,COUNTIF(I1946,"31*")&gt;0,COUNTIF(J1946,"*31*")&gt;0,COUNTIF(I1946,"32*")&gt;0,COUNTIF(J1946,"*32*")&gt;0,COUNTIF(I1946,"33*")&gt;0,COUNTIF(J1946,"*33*")&gt;0,COUNTIF(I1946,"41*")&gt;0,COUNTIF(J1946,"*41*")&gt;0,COUNTIF(I1946,"42*")&gt;0,COUNTIF(J1946,"*42*")&gt;0,COUNTIF(I1946,"43*")&gt;0,COUNTIF(J1946,"*43*")&gt;0,COUNTIF(I1946,"49*")&gt;0,COUNTIF(J1946,"*49*")&gt;0,COUNTIF(I1946,"52*")&gt;0,COUNTIF(J1946,"*52*")&gt;0,COUNTIF(I1946,"55*")&gt;0,COUNTIF(J1946,"*55*")&gt;0,COUNTIF(I1946,"56*")&gt;0,COUNTIF(J1946,"*56*")&gt;0,COUNTIF(I1946,"68*")&gt;0,COUNTIF(J1946,"*68*")&gt;0,COUNTIF(I1946,"78*")&gt;0,COUNTIF(J1946,"*78*")&gt;0,COUNTIF(I1946,"81*")&gt;0,COUNTIF(J1946,"*81*")&gt;0,COUNTIF(I1946,"82*")&gt;0,COUNTIF(J1946,"*82*")&gt;0,COUNTIF(I1946,"64*")&gt;0,COUNTIF(J1946,"*64*")&gt;0,COUNTIF(I1946,"65*")&gt;0,COUNTIF(J1946,"*65*")&gt;0,COUNTIF(I1946,"66*")&gt;0,COUNTIF(J1946,"*66*")&gt;0,COUNTIF(I1946,"61*")&gt;0,COUNTIF(J1946,"*61*")&gt;0,COUNTIF(I1946,"62*")&gt;0,COUNTIF(J1946,"*62*")&gt;0,COUNTIF(I1946,"63*")&gt;0,COUNTIF(J1946,"*63*")&gt;0,COUNTIF(I1946,"85*")&gt;0,COUNTIF(J1946,"*85*")&gt;0,COUNTIF(I1946,"86*")&gt;0,COUNTIF(J1946,"*86*")&gt;0),"Да","Нет"))</f>
        <v/>
      </c>
      <c r="M1946" s="13">
        <f>IF(OR(G1946="",L1946&lt;&gt;"Да"),"",IF(G1946&lt;=100,"До 100",IF(G1946&lt;=200,"До 200",IF(G1946&lt;=500,"До 500","Отдельное КП"))))</f>
        <v/>
      </c>
      <c r="N1946" s="15">
        <f>IF(OR(G1946="",L1946&lt;&gt;"Да"),"",IF(G1946&lt;=100,33600,IF(G1946&lt;=200,62400,IF(G1946&lt;=500,144000,""))))</f>
        <v/>
      </c>
      <c r="O1946" s="16">
        <f>IF(G1946="","",IF(G1946&lt;=15,"1–15",IF(G1946&lt;=30,"16–30",IF(G1946&lt;=50,"31–50",IF(G1946&lt;=100,"51–100",IF(G1946&lt;=150,"101–150",IF(G1946&lt;=200,"151–200",IF(G1946&lt;=500,"201–500","500+"))))))))</f>
        <v/>
      </c>
      <c r="P1946" s="16" t="inlineStr">
        <is>
          <t>Нет совпадения в предоставленной выгрузке ССЧР</t>
        </is>
      </c>
      <c r="Q1946" s="16" t="n"/>
      <c r="R1946" s="16">
        <f>HYPERLINK("https://checko.ru/search?query=3801001629","Чекко: проверить")</f>
        <v/>
      </c>
      <c r="S1946" t="n">
        <v>0</v>
      </c>
    </row>
    <row r="1947" ht="54.75" customHeight="1" s="24">
      <c r="A1947" s="13" t="n">
        <v>5000081911</v>
      </c>
      <c r="B1947" s="13" t="inlineStr">
        <is>
          <t>МУНИЦИПАЛЬНОЕ БЮДЖЕТНОЕ УЧРЕЖДЕНИЕ "ГОРОДСКОЙ ДВОРЕЦ КУЛЬТУРЫ МЕСТНОЙ АДМИНИСТРАЦИИ ГОРОДСКОГО ОКРУГА ПРОХЛАДНЫЙ КБР"</t>
        </is>
      </c>
      <c r="C1947" s="13" t="n">
        <v>716004743</v>
      </c>
      <c r="D1947" s="13" t="n"/>
      <c r="E1947" s="13" t="inlineStr">
        <is>
          <t>Не определён</t>
        </is>
      </c>
      <c r="F1947" s="13" t="inlineStr">
        <is>
          <t>716004743</t>
        </is>
      </c>
      <c r="G1947" s="14" t="n"/>
      <c r="H1947" s="14" t="n"/>
      <c r="I1947" s="14" t="n"/>
      <c r="J1947" s="14" t="n"/>
      <c r="K1947" s="13">
        <f>IF(G1947="","",IF(G1947&gt;=22,"Да","Нет"))</f>
        <v/>
      </c>
      <c r="L1947" s="13">
        <f>IF(OR(I1947="",J1947=""),"Не определено",IF(OR(COUNTIF(I1947,"45*")&gt;0,COUNTIF(J1947,"*45*")&gt;0,COUNTIF(I1947,"46*")&gt;0,COUNTIF(J1947,"*46*")&gt;0,COUNTIF(I1947,"47*")&gt;0,COUNTIF(J1947,"*47*")&gt;0,COUNTIF(I1947,"10*")&gt;0,COUNTIF(J1947,"*10*")&gt;0,COUNTIF(I1947,"11*")&gt;0,COUNTIF(J1947,"*11*")&gt;0,COUNTIF(I1947,"12*")&gt;0,COUNTIF(J1947,"*12*")&gt;0,COUNTIF(I1947,"13*")&gt;0,COUNTIF(J1947,"*13*")&gt;0,COUNTIF(I1947,"14*")&gt;0,COUNTIF(J1947,"*14*")&gt;0,COUNTIF(I1947,"15*")&gt;0,COUNTIF(J1947,"*15*")&gt;0,COUNTIF(I1947,"16*")&gt;0,COUNTIF(J1947,"*16*")&gt;0,COUNTIF(I1947,"17*")&gt;0,COUNTIF(J1947,"*17*")&gt;0,COUNTIF(I1947,"18*")&gt;0,COUNTIF(J1947,"*18*")&gt;0,COUNTIF(I1947,"19*")&gt;0,COUNTIF(J1947,"*19*")&gt;0,COUNTIF(I1947,"20*")&gt;0,COUNTIF(J1947,"*20*")&gt;0,COUNTIF(I1947,"21*")&gt;0,COUNTIF(J1947,"*21*")&gt;0,COUNTIF(I1947,"22*")&gt;0,COUNTIF(J1947,"*22*")&gt;0,COUNTIF(I1947,"23*")&gt;0,COUNTIF(J1947,"*23*")&gt;0,COUNTIF(I1947,"24*")&gt;0,COUNTIF(J1947,"*24*")&gt;0,COUNTIF(I1947,"25*")&gt;0,COUNTIF(J1947,"*25*")&gt;0,COUNTIF(I1947,"26*")&gt;0,COUNTIF(J1947,"*26*")&gt;0,COUNTIF(I1947,"27*")&gt;0,COUNTIF(J1947,"*27*")&gt;0,COUNTIF(I1947,"28*")&gt;0,COUNTIF(J1947,"*28*")&gt;0,COUNTIF(I1947,"29*")&gt;0,COUNTIF(J1947,"*29*")&gt;0,COUNTIF(I1947,"30*")&gt;0,COUNTIF(J1947,"*30*")&gt;0,COUNTIF(I1947,"31*")&gt;0,COUNTIF(J1947,"*31*")&gt;0,COUNTIF(I1947,"32*")&gt;0,COUNTIF(J1947,"*32*")&gt;0,COUNTIF(I1947,"33*")&gt;0,COUNTIF(J1947,"*33*")&gt;0,COUNTIF(I1947,"41*")&gt;0,COUNTIF(J1947,"*41*")&gt;0,COUNTIF(I1947,"42*")&gt;0,COUNTIF(J1947,"*42*")&gt;0,COUNTIF(I1947,"43*")&gt;0,COUNTIF(J1947,"*43*")&gt;0,COUNTIF(I1947,"49*")&gt;0,COUNTIF(J1947,"*49*")&gt;0,COUNTIF(I1947,"52*")&gt;0,COUNTIF(J1947,"*52*")&gt;0,COUNTIF(I1947,"55*")&gt;0,COUNTIF(J1947,"*55*")&gt;0,COUNTIF(I1947,"56*")&gt;0,COUNTIF(J1947,"*56*")&gt;0,COUNTIF(I1947,"68*")&gt;0,COUNTIF(J1947,"*68*")&gt;0,COUNTIF(I1947,"78*")&gt;0,COUNTIF(J1947,"*78*")&gt;0,COUNTIF(I1947,"81*")&gt;0,COUNTIF(J1947,"*81*")&gt;0,COUNTIF(I1947,"82*")&gt;0,COUNTIF(J1947,"*82*")&gt;0,COUNTIF(I1947,"64*")&gt;0,COUNTIF(J1947,"*64*")&gt;0,COUNTIF(I1947,"65*")&gt;0,COUNTIF(J1947,"*65*")&gt;0,COUNTIF(I1947,"66*")&gt;0,COUNTIF(J1947,"*66*")&gt;0,COUNTIF(I1947,"61*")&gt;0,COUNTIF(J1947,"*61*")&gt;0,COUNTIF(I1947,"62*")&gt;0,COUNTIF(J1947,"*62*")&gt;0,COUNTIF(I1947,"63*")&gt;0,COUNTIF(J1947,"*63*")&gt;0,COUNTIF(I1947,"85*")&gt;0,COUNTIF(J1947,"*85*")&gt;0,COUNTIF(I1947,"86*")&gt;0,COUNTIF(J1947,"*86*")&gt;0),"Да","Нет"))</f>
        <v/>
      </c>
      <c r="M1947" s="13">
        <f>IF(OR(G1947="",L1947&lt;&gt;"Да"),"",IF(G1947&lt;=100,"До 100",IF(G1947&lt;=200,"До 200",IF(G1947&lt;=500,"До 500","Отдельное КП"))))</f>
        <v/>
      </c>
      <c r="N1947" s="15">
        <f>IF(OR(G1947="",L1947&lt;&gt;"Да"),"",IF(G1947&lt;=100,33600,IF(G1947&lt;=200,62400,IF(G1947&lt;=500,144000,""))))</f>
        <v/>
      </c>
      <c r="O1947" s="16">
        <f>IF(G1947="","",IF(G1947&lt;=15,"1–15",IF(G1947&lt;=30,"16–30",IF(G1947&lt;=50,"31–50",IF(G1947&lt;=100,"51–100",IF(G1947&lt;=150,"101–150",IF(G1947&lt;=200,"151–200",IF(G1947&lt;=500,"201–500","500+"))))))))</f>
        <v/>
      </c>
      <c r="P1947" s="16" t="inlineStr">
        <is>
          <t>Нет совпадения в предоставленной выгрузке ССЧР</t>
        </is>
      </c>
      <c r="Q1947" s="16" t="n"/>
      <c r="R1947" s="16">
        <f>HYPERLINK("https://checko.ru/search?query=3801001629","Чекко: проверить")</f>
        <v/>
      </c>
      <c r="S1947" t="n">
        <v>0</v>
      </c>
    </row>
    <row r="1948" ht="54.75" customHeight="1" s="24">
      <c r="A1948" s="13" t="n">
        <v>5000081912</v>
      </c>
      <c r="B1948" s="13" t="inlineStr">
        <is>
          <t>МУНИЦИПАЛЬНОЕ УЧРЕЖДЕНИЕ "УПРАВЛЕНИЕ ОБРАЗОВАНИЯ МЕСТНОЙ АДМИНИСТРАЦИИ ГОРОДСКОГО ОКРУГА ПРОХЛАДНЫЙ КАБАРДИНО-БАЛКАРСКОЙ РЕСПУБЛИКИ"</t>
        </is>
      </c>
      <c r="C1948" s="13" t="n">
        <v>709004510</v>
      </c>
      <c r="D1948" s="13" t="n"/>
      <c r="E1948" s="13" t="inlineStr">
        <is>
          <t>Не определён</t>
        </is>
      </c>
      <c r="F1948" s="13" t="inlineStr">
        <is>
          <t>709004510</t>
        </is>
      </c>
      <c r="G1948" s="14" t="n"/>
      <c r="H1948" s="14" t="n"/>
      <c r="I1948" s="14" t="n"/>
      <c r="J1948" s="14" t="n"/>
      <c r="K1948" s="13">
        <f>IF(G1948="","",IF(G1948&gt;=22,"Да","Нет"))</f>
        <v/>
      </c>
      <c r="L1948" s="13">
        <f>IF(OR(I1948="",J1948=""),"Не определено",IF(OR(COUNTIF(I1948,"45*")&gt;0,COUNTIF(J1948,"*45*")&gt;0,COUNTIF(I1948,"46*")&gt;0,COUNTIF(J1948,"*46*")&gt;0,COUNTIF(I1948,"47*")&gt;0,COUNTIF(J1948,"*47*")&gt;0,COUNTIF(I1948,"10*")&gt;0,COUNTIF(J1948,"*10*")&gt;0,COUNTIF(I1948,"11*")&gt;0,COUNTIF(J1948,"*11*")&gt;0,COUNTIF(I1948,"12*")&gt;0,COUNTIF(J1948,"*12*")&gt;0,COUNTIF(I1948,"13*")&gt;0,COUNTIF(J1948,"*13*")&gt;0,COUNTIF(I1948,"14*")&gt;0,COUNTIF(J1948,"*14*")&gt;0,COUNTIF(I1948,"15*")&gt;0,COUNTIF(J1948,"*15*")&gt;0,COUNTIF(I1948,"16*")&gt;0,COUNTIF(J1948,"*16*")&gt;0,COUNTIF(I1948,"17*")&gt;0,COUNTIF(J1948,"*17*")&gt;0,COUNTIF(I1948,"18*")&gt;0,COUNTIF(J1948,"*18*")&gt;0,COUNTIF(I1948,"19*")&gt;0,COUNTIF(J1948,"*19*")&gt;0,COUNTIF(I1948,"20*")&gt;0,COUNTIF(J1948,"*20*")&gt;0,COUNTIF(I1948,"21*")&gt;0,COUNTIF(J1948,"*21*")&gt;0,COUNTIF(I1948,"22*")&gt;0,COUNTIF(J1948,"*22*")&gt;0,COUNTIF(I1948,"23*")&gt;0,COUNTIF(J1948,"*23*")&gt;0,COUNTIF(I1948,"24*")&gt;0,COUNTIF(J1948,"*24*")&gt;0,COUNTIF(I1948,"25*")&gt;0,COUNTIF(J1948,"*25*")&gt;0,COUNTIF(I1948,"26*")&gt;0,COUNTIF(J1948,"*26*")&gt;0,COUNTIF(I1948,"27*")&gt;0,COUNTIF(J1948,"*27*")&gt;0,COUNTIF(I1948,"28*")&gt;0,COUNTIF(J1948,"*28*")&gt;0,COUNTIF(I1948,"29*")&gt;0,COUNTIF(J1948,"*29*")&gt;0,COUNTIF(I1948,"30*")&gt;0,COUNTIF(J1948,"*30*")&gt;0,COUNTIF(I1948,"31*")&gt;0,COUNTIF(J1948,"*31*")&gt;0,COUNTIF(I1948,"32*")&gt;0,COUNTIF(J1948,"*32*")&gt;0,COUNTIF(I1948,"33*")&gt;0,COUNTIF(J1948,"*33*")&gt;0,COUNTIF(I1948,"41*")&gt;0,COUNTIF(J1948,"*41*")&gt;0,COUNTIF(I1948,"42*")&gt;0,COUNTIF(J1948,"*42*")&gt;0,COUNTIF(I1948,"43*")&gt;0,COUNTIF(J1948,"*43*")&gt;0,COUNTIF(I1948,"49*")&gt;0,COUNTIF(J1948,"*49*")&gt;0,COUNTIF(I1948,"52*")&gt;0,COUNTIF(J1948,"*52*")&gt;0,COUNTIF(I1948,"55*")&gt;0,COUNTIF(J1948,"*55*")&gt;0,COUNTIF(I1948,"56*")&gt;0,COUNTIF(J1948,"*56*")&gt;0,COUNTIF(I1948,"68*")&gt;0,COUNTIF(J1948,"*68*")&gt;0,COUNTIF(I1948,"78*")&gt;0,COUNTIF(J1948,"*78*")&gt;0,COUNTIF(I1948,"81*")&gt;0,COUNTIF(J1948,"*81*")&gt;0,COUNTIF(I1948,"82*")&gt;0,COUNTIF(J1948,"*82*")&gt;0,COUNTIF(I1948,"64*")&gt;0,COUNTIF(J1948,"*64*")&gt;0,COUNTIF(I1948,"65*")&gt;0,COUNTIF(J1948,"*65*")&gt;0,COUNTIF(I1948,"66*")&gt;0,COUNTIF(J1948,"*66*")&gt;0,COUNTIF(I1948,"61*")&gt;0,COUNTIF(J1948,"*61*")&gt;0,COUNTIF(I1948,"62*")&gt;0,COUNTIF(J1948,"*62*")&gt;0,COUNTIF(I1948,"63*")&gt;0,COUNTIF(J1948,"*63*")&gt;0,COUNTIF(I1948,"85*")&gt;0,COUNTIF(J1948,"*85*")&gt;0,COUNTIF(I1948,"86*")&gt;0,COUNTIF(J1948,"*86*")&gt;0),"Да","Нет"))</f>
        <v/>
      </c>
      <c r="M1948" s="13">
        <f>IF(OR(G1948="",L1948&lt;&gt;"Да"),"",IF(G1948&lt;=100,"До 100",IF(G1948&lt;=200,"До 200",IF(G1948&lt;=500,"До 500","Отдельное КП"))))</f>
        <v/>
      </c>
      <c r="N1948" s="15">
        <f>IF(OR(G1948="",L1948&lt;&gt;"Да"),"",IF(G1948&lt;=100,33600,IF(G1948&lt;=200,62400,IF(G1948&lt;=500,144000,""))))</f>
        <v/>
      </c>
      <c r="O1948" s="16">
        <f>IF(G1948="","",IF(G1948&lt;=15,"1–15",IF(G1948&lt;=30,"16–30",IF(G1948&lt;=50,"31–50",IF(G1948&lt;=100,"51–100",IF(G1948&lt;=150,"101–150",IF(G1948&lt;=200,"151–200",IF(G1948&lt;=500,"201–500","500+"))))))))</f>
        <v/>
      </c>
      <c r="P1948" s="16" t="inlineStr">
        <is>
          <t>Нет совпадения в предоставленной выгрузке ССЧР</t>
        </is>
      </c>
      <c r="Q1948" s="16" t="n"/>
      <c r="R1948" s="16">
        <f>HYPERLINK("https://checko.ru/search?query=3801001629","Чекко: проверить")</f>
        <v/>
      </c>
      <c r="S1948" t="n">
        <v>0</v>
      </c>
    </row>
    <row r="1949" ht="54.75" customHeight="1" s="24">
      <c r="A1949" s="13" t="n">
        <v>5000081913</v>
      </c>
      <c r="B1949" s="13" t="inlineStr">
        <is>
          <t>МУНИЦИПАЛЬНОЕ БЮДЖЕТНОЕ УЧРЕЖДЕНИЕ "СПОРТИВНАЯ ШКОЛА ОЛИМПИЙСКОГО РЕЗЕРВА ПО ЛЕГКОЙ АТЛЕТИКЕ ИМЕНИ ОЛИМПИЙСКОЙ ЧЕМПИОНКИ М.А. ЛАСИЦКЕНЕ"</t>
        </is>
      </c>
      <c r="C1949" s="13" t="n">
        <v>716000820</v>
      </c>
      <c r="D1949" s="13" t="n"/>
      <c r="E1949" s="13" t="inlineStr">
        <is>
          <t>Не определён</t>
        </is>
      </c>
      <c r="F1949" s="13" t="inlineStr">
        <is>
          <t>716000820</t>
        </is>
      </c>
      <c r="G1949" s="14" t="n"/>
      <c r="H1949" s="14" t="n"/>
      <c r="I1949" s="14" t="n"/>
      <c r="J1949" s="14" t="n"/>
      <c r="K1949" s="13">
        <f>IF(G1949="","",IF(G1949&gt;=22,"Да","Нет"))</f>
        <v/>
      </c>
      <c r="L1949" s="13">
        <f>IF(OR(I1949="",J1949=""),"Не определено",IF(OR(COUNTIF(I1949,"45*")&gt;0,COUNTIF(J1949,"*45*")&gt;0,COUNTIF(I1949,"46*")&gt;0,COUNTIF(J1949,"*46*")&gt;0,COUNTIF(I1949,"47*")&gt;0,COUNTIF(J1949,"*47*")&gt;0,COUNTIF(I1949,"10*")&gt;0,COUNTIF(J1949,"*10*")&gt;0,COUNTIF(I1949,"11*")&gt;0,COUNTIF(J1949,"*11*")&gt;0,COUNTIF(I1949,"12*")&gt;0,COUNTIF(J1949,"*12*")&gt;0,COUNTIF(I1949,"13*")&gt;0,COUNTIF(J1949,"*13*")&gt;0,COUNTIF(I1949,"14*")&gt;0,COUNTIF(J1949,"*14*")&gt;0,COUNTIF(I1949,"15*")&gt;0,COUNTIF(J1949,"*15*")&gt;0,COUNTIF(I1949,"16*")&gt;0,COUNTIF(J1949,"*16*")&gt;0,COUNTIF(I1949,"17*")&gt;0,COUNTIF(J1949,"*17*")&gt;0,COUNTIF(I1949,"18*")&gt;0,COUNTIF(J1949,"*18*")&gt;0,COUNTIF(I1949,"19*")&gt;0,COUNTIF(J1949,"*19*")&gt;0,COUNTIF(I1949,"20*")&gt;0,COUNTIF(J1949,"*20*")&gt;0,COUNTIF(I1949,"21*")&gt;0,COUNTIF(J1949,"*21*")&gt;0,COUNTIF(I1949,"22*")&gt;0,COUNTIF(J1949,"*22*")&gt;0,COUNTIF(I1949,"23*")&gt;0,COUNTIF(J1949,"*23*")&gt;0,COUNTIF(I1949,"24*")&gt;0,COUNTIF(J1949,"*24*")&gt;0,COUNTIF(I1949,"25*")&gt;0,COUNTIF(J1949,"*25*")&gt;0,COUNTIF(I1949,"26*")&gt;0,COUNTIF(J1949,"*26*")&gt;0,COUNTIF(I1949,"27*")&gt;0,COUNTIF(J1949,"*27*")&gt;0,COUNTIF(I1949,"28*")&gt;0,COUNTIF(J1949,"*28*")&gt;0,COUNTIF(I1949,"29*")&gt;0,COUNTIF(J1949,"*29*")&gt;0,COUNTIF(I1949,"30*")&gt;0,COUNTIF(J1949,"*30*")&gt;0,COUNTIF(I1949,"31*")&gt;0,COUNTIF(J1949,"*31*")&gt;0,COUNTIF(I1949,"32*")&gt;0,COUNTIF(J1949,"*32*")&gt;0,COUNTIF(I1949,"33*")&gt;0,COUNTIF(J1949,"*33*")&gt;0,COUNTIF(I1949,"41*")&gt;0,COUNTIF(J1949,"*41*")&gt;0,COUNTIF(I1949,"42*")&gt;0,COUNTIF(J1949,"*42*")&gt;0,COUNTIF(I1949,"43*")&gt;0,COUNTIF(J1949,"*43*")&gt;0,COUNTIF(I1949,"49*")&gt;0,COUNTIF(J1949,"*49*")&gt;0,COUNTIF(I1949,"52*")&gt;0,COUNTIF(J1949,"*52*")&gt;0,COUNTIF(I1949,"55*")&gt;0,COUNTIF(J1949,"*55*")&gt;0,COUNTIF(I1949,"56*")&gt;0,COUNTIF(J1949,"*56*")&gt;0,COUNTIF(I1949,"68*")&gt;0,COUNTIF(J1949,"*68*")&gt;0,COUNTIF(I1949,"78*")&gt;0,COUNTIF(J1949,"*78*")&gt;0,COUNTIF(I1949,"81*")&gt;0,COUNTIF(J1949,"*81*")&gt;0,COUNTIF(I1949,"82*")&gt;0,COUNTIF(J1949,"*82*")&gt;0,COUNTIF(I1949,"64*")&gt;0,COUNTIF(J1949,"*64*")&gt;0,COUNTIF(I1949,"65*")&gt;0,COUNTIF(J1949,"*65*")&gt;0,COUNTIF(I1949,"66*")&gt;0,COUNTIF(J1949,"*66*")&gt;0,COUNTIF(I1949,"61*")&gt;0,COUNTIF(J1949,"*61*")&gt;0,COUNTIF(I1949,"62*")&gt;0,COUNTIF(J1949,"*62*")&gt;0,COUNTIF(I1949,"63*")&gt;0,COUNTIF(J1949,"*63*")&gt;0,COUNTIF(I1949,"85*")&gt;0,COUNTIF(J1949,"*85*")&gt;0,COUNTIF(I1949,"86*")&gt;0,COUNTIF(J1949,"*86*")&gt;0),"Да","Нет"))</f>
        <v/>
      </c>
      <c r="M1949" s="13">
        <f>IF(OR(G1949="",L1949&lt;&gt;"Да"),"",IF(G1949&lt;=100,"До 100",IF(G1949&lt;=200,"До 200",IF(G1949&lt;=500,"До 500","Отдельное КП"))))</f>
        <v/>
      </c>
      <c r="N1949" s="15">
        <f>IF(OR(G1949="",L1949&lt;&gt;"Да"),"",IF(G1949&lt;=100,33600,IF(G1949&lt;=200,62400,IF(G1949&lt;=500,144000,""))))</f>
        <v/>
      </c>
      <c r="O1949" s="16">
        <f>IF(G1949="","",IF(G1949&lt;=15,"1–15",IF(G1949&lt;=30,"16–30",IF(G1949&lt;=50,"31–50",IF(G1949&lt;=100,"51–100",IF(G1949&lt;=150,"101–150",IF(G1949&lt;=200,"151–200",IF(G1949&lt;=500,"201–500","500+"))))))))</f>
        <v/>
      </c>
      <c r="P1949" s="16" t="inlineStr">
        <is>
          <t>Нет совпадения в предоставленной выгрузке ССЧР</t>
        </is>
      </c>
      <c r="Q1949" s="16" t="n"/>
      <c r="R1949" s="16">
        <f>HYPERLINK("https://checko.ru/search?query=3801001629","Чекко: проверить")</f>
        <v/>
      </c>
      <c r="S1949" t="n">
        <v>0</v>
      </c>
    </row>
    <row r="1950" ht="27.75" customHeight="1" s="24">
      <c r="A1950" s="13" t="n">
        <v>5000081914</v>
      </c>
      <c r="B1950" s="13" t="inlineStr">
        <is>
          <t>МУНИЦИПАЛЬНОЕ БЮДЖЕТНОЕ УЧРЕЖДЕНИЕ "СПОРТИВНАЯ ШКОЛА №2"</t>
        </is>
      </c>
      <c r="C1950" s="13" t="n">
        <v>716000795</v>
      </c>
      <c r="D1950" s="13" t="n"/>
      <c r="E1950" s="13" t="inlineStr">
        <is>
          <t>Не определён</t>
        </is>
      </c>
      <c r="F1950" s="13" t="inlineStr">
        <is>
          <t>716000795</t>
        </is>
      </c>
      <c r="G1950" s="14" t="n"/>
      <c r="H1950" s="14" t="n"/>
      <c r="I1950" s="14" t="n"/>
      <c r="J1950" s="14" t="n"/>
      <c r="K1950" s="13">
        <f>IF(G1950="","",IF(G1950&gt;=22,"Да","Нет"))</f>
        <v/>
      </c>
      <c r="L1950" s="13">
        <f>IF(OR(I1950="",J1950=""),"Не определено",IF(OR(COUNTIF(I1950,"45*")&gt;0,COUNTIF(J1950,"*45*")&gt;0,COUNTIF(I1950,"46*")&gt;0,COUNTIF(J1950,"*46*")&gt;0,COUNTIF(I1950,"47*")&gt;0,COUNTIF(J1950,"*47*")&gt;0,COUNTIF(I1950,"10*")&gt;0,COUNTIF(J1950,"*10*")&gt;0,COUNTIF(I1950,"11*")&gt;0,COUNTIF(J1950,"*11*")&gt;0,COUNTIF(I1950,"12*")&gt;0,COUNTIF(J1950,"*12*")&gt;0,COUNTIF(I1950,"13*")&gt;0,COUNTIF(J1950,"*13*")&gt;0,COUNTIF(I1950,"14*")&gt;0,COUNTIF(J1950,"*14*")&gt;0,COUNTIF(I1950,"15*")&gt;0,COUNTIF(J1950,"*15*")&gt;0,COUNTIF(I1950,"16*")&gt;0,COUNTIF(J1950,"*16*")&gt;0,COUNTIF(I1950,"17*")&gt;0,COUNTIF(J1950,"*17*")&gt;0,COUNTIF(I1950,"18*")&gt;0,COUNTIF(J1950,"*18*")&gt;0,COUNTIF(I1950,"19*")&gt;0,COUNTIF(J1950,"*19*")&gt;0,COUNTIF(I1950,"20*")&gt;0,COUNTIF(J1950,"*20*")&gt;0,COUNTIF(I1950,"21*")&gt;0,COUNTIF(J1950,"*21*")&gt;0,COUNTIF(I1950,"22*")&gt;0,COUNTIF(J1950,"*22*")&gt;0,COUNTIF(I1950,"23*")&gt;0,COUNTIF(J1950,"*23*")&gt;0,COUNTIF(I1950,"24*")&gt;0,COUNTIF(J1950,"*24*")&gt;0,COUNTIF(I1950,"25*")&gt;0,COUNTIF(J1950,"*25*")&gt;0,COUNTIF(I1950,"26*")&gt;0,COUNTIF(J1950,"*26*")&gt;0,COUNTIF(I1950,"27*")&gt;0,COUNTIF(J1950,"*27*")&gt;0,COUNTIF(I1950,"28*")&gt;0,COUNTIF(J1950,"*28*")&gt;0,COUNTIF(I1950,"29*")&gt;0,COUNTIF(J1950,"*29*")&gt;0,COUNTIF(I1950,"30*")&gt;0,COUNTIF(J1950,"*30*")&gt;0,COUNTIF(I1950,"31*")&gt;0,COUNTIF(J1950,"*31*")&gt;0,COUNTIF(I1950,"32*")&gt;0,COUNTIF(J1950,"*32*")&gt;0,COUNTIF(I1950,"33*")&gt;0,COUNTIF(J1950,"*33*")&gt;0,COUNTIF(I1950,"41*")&gt;0,COUNTIF(J1950,"*41*")&gt;0,COUNTIF(I1950,"42*")&gt;0,COUNTIF(J1950,"*42*")&gt;0,COUNTIF(I1950,"43*")&gt;0,COUNTIF(J1950,"*43*")&gt;0,COUNTIF(I1950,"49*")&gt;0,COUNTIF(J1950,"*49*")&gt;0,COUNTIF(I1950,"52*")&gt;0,COUNTIF(J1950,"*52*")&gt;0,COUNTIF(I1950,"55*")&gt;0,COUNTIF(J1950,"*55*")&gt;0,COUNTIF(I1950,"56*")&gt;0,COUNTIF(J1950,"*56*")&gt;0,COUNTIF(I1950,"68*")&gt;0,COUNTIF(J1950,"*68*")&gt;0,COUNTIF(I1950,"78*")&gt;0,COUNTIF(J1950,"*78*")&gt;0,COUNTIF(I1950,"81*")&gt;0,COUNTIF(J1950,"*81*")&gt;0,COUNTIF(I1950,"82*")&gt;0,COUNTIF(J1950,"*82*")&gt;0,COUNTIF(I1950,"64*")&gt;0,COUNTIF(J1950,"*64*")&gt;0,COUNTIF(I1950,"65*")&gt;0,COUNTIF(J1950,"*65*")&gt;0,COUNTIF(I1950,"66*")&gt;0,COUNTIF(J1950,"*66*")&gt;0,COUNTIF(I1950,"61*")&gt;0,COUNTIF(J1950,"*61*")&gt;0,COUNTIF(I1950,"62*")&gt;0,COUNTIF(J1950,"*62*")&gt;0,COUNTIF(I1950,"63*")&gt;0,COUNTIF(J1950,"*63*")&gt;0,COUNTIF(I1950,"85*")&gt;0,COUNTIF(J1950,"*85*")&gt;0,COUNTIF(I1950,"86*")&gt;0,COUNTIF(J1950,"*86*")&gt;0),"Да","Нет"))</f>
        <v/>
      </c>
      <c r="M1950" s="13">
        <f>IF(OR(G1950="",L1950&lt;&gt;"Да"),"",IF(G1950&lt;=100,"До 100",IF(G1950&lt;=200,"До 200",IF(G1950&lt;=500,"До 500","Отдельное КП"))))</f>
        <v/>
      </c>
      <c r="N1950" s="15">
        <f>IF(OR(G1950="",L1950&lt;&gt;"Да"),"",IF(G1950&lt;=100,33600,IF(G1950&lt;=200,62400,IF(G1950&lt;=500,144000,""))))</f>
        <v/>
      </c>
      <c r="O1950" s="16">
        <f>IF(G1950="","",IF(G1950&lt;=15,"1–15",IF(G1950&lt;=30,"16–30",IF(G1950&lt;=50,"31–50",IF(G1950&lt;=100,"51–100",IF(G1950&lt;=150,"101–150",IF(G1950&lt;=200,"151–200",IF(G1950&lt;=500,"201–500","500+"))))))))</f>
        <v/>
      </c>
      <c r="P1950" s="16" t="inlineStr">
        <is>
          <t>Нет совпадения в предоставленной выгрузке ССЧР</t>
        </is>
      </c>
      <c r="Q1950" s="16" t="n"/>
      <c r="R1950" s="16">
        <f>HYPERLINK("https://checko.ru/search?query=3801001629","Чекко: проверить")</f>
        <v/>
      </c>
      <c r="S1950" t="n">
        <v>0</v>
      </c>
    </row>
    <row r="1951" ht="68.25" customHeight="1" s="24">
      <c r="A1951" s="13" t="n">
        <v>5000081915</v>
      </c>
      <c r="B1951" s="13" t="inlineStr">
        <is>
          <t>МУНИЦИПАЛЬНОЕ УЧРЕЖДЕНИЕ ДОПОЛНИТЕЛЬНОГО ОБРАЗОВАНИЯ "ЦЕНТР ДЕТСКОГО ТВОРЧЕСТВА" ГОРОДСКОГО ОКРУГА ПРОХЛАДНЫЙ КАБАРДИНО-БАЛКАРСКОЙ РЕСПУБЛИКИ</t>
        </is>
      </c>
      <c r="C1951" s="13" t="n">
        <v>716000844</v>
      </c>
      <c r="D1951" s="13" t="n"/>
      <c r="E1951" s="13" t="inlineStr">
        <is>
          <t>Не определён</t>
        </is>
      </c>
      <c r="F1951" s="13" t="inlineStr">
        <is>
          <t>716000844</t>
        </is>
      </c>
      <c r="G1951" s="14" t="n"/>
      <c r="H1951" s="14" t="n"/>
      <c r="I1951" s="14" t="n"/>
      <c r="J1951" s="14" t="n"/>
      <c r="K1951" s="13">
        <f>IF(G1951="","",IF(G1951&gt;=22,"Да","Нет"))</f>
        <v/>
      </c>
      <c r="L1951" s="13">
        <f>IF(OR(I1951="",J1951=""),"Не определено",IF(OR(COUNTIF(I1951,"45*")&gt;0,COUNTIF(J1951,"*45*")&gt;0,COUNTIF(I1951,"46*")&gt;0,COUNTIF(J1951,"*46*")&gt;0,COUNTIF(I1951,"47*")&gt;0,COUNTIF(J1951,"*47*")&gt;0,COUNTIF(I1951,"10*")&gt;0,COUNTIF(J1951,"*10*")&gt;0,COUNTIF(I1951,"11*")&gt;0,COUNTIF(J1951,"*11*")&gt;0,COUNTIF(I1951,"12*")&gt;0,COUNTIF(J1951,"*12*")&gt;0,COUNTIF(I1951,"13*")&gt;0,COUNTIF(J1951,"*13*")&gt;0,COUNTIF(I1951,"14*")&gt;0,COUNTIF(J1951,"*14*")&gt;0,COUNTIF(I1951,"15*")&gt;0,COUNTIF(J1951,"*15*")&gt;0,COUNTIF(I1951,"16*")&gt;0,COUNTIF(J1951,"*16*")&gt;0,COUNTIF(I1951,"17*")&gt;0,COUNTIF(J1951,"*17*")&gt;0,COUNTIF(I1951,"18*")&gt;0,COUNTIF(J1951,"*18*")&gt;0,COUNTIF(I1951,"19*")&gt;0,COUNTIF(J1951,"*19*")&gt;0,COUNTIF(I1951,"20*")&gt;0,COUNTIF(J1951,"*20*")&gt;0,COUNTIF(I1951,"21*")&gt;0,COUNTIF(J1951,"*21*")&gt;0,COUNTIF(I1951,"22*")&gt;0,COUNTIF(J1951,"*22*")&gt;0,COUNTIF(I1951,"23*")&gt;0,COUNTIF(J1951,"*23*")&gt;0,COUNTIF(I1951,"24*")&gt;0,COUNTIF(J1951,"*24*")&gt;0,COUNTIF(I1951,"25*")&gt;0,COUNTIF(J1951,"*25*")&gt;0,COUNTIF(I1951,"26*")&gt;0,COUNTIF(J1951,"*26*")&gt;0,COUNTIF(I1951,"27*")&gt;0,COUNTIF(J1951,"*27*")&gt;0,COUNTIF(I1951,"28*")&gt;0,COUNTIF(J1951,"*28*")&gt;0,COUNTIF(I1951,"29*")&gt;0,COUNTIF(J1951,"*29*")&gt;0,COUNTIF(I1951,"30*")&gt;0,COUNTIF(J1951,"*30*")&gt;0,COUNTIF(I1951,"31*")&gt;0,COUNTIF(J1951,"*31*")&gt;0,COUNTIF(I1951,"32*")&gt;0,COUNTIF(J1951,"*32*")&gt;0,COUNTIF(I1951,"33*")&gt;0,COUNTIF(J1951,"*33*")&gt;0,COUNTIF(I1951,"41*")&gt;0,COUNTIF(J1951,"*41*")&gt;0,COUNTIF(I1951,"42*")&gt;0,COUNTIF(J1951,"*42*")&gt;0,COUNTIF(I1951,"43*")&gt;0,COUNTIF(J1951,"*43*")&gt;0,COUNTIF(I1951,"49*")&gt;0,COUNTIF(J1951,"*49*")&gt;0,COUNTIF(I1951,"52*")&gt;0,COUNTIF(J1951,"*52*")&gt;0,COUNTIF(I1951,"55*")&gt;0,COUNTIF(J1951,"*55*")&gt;0,COUNTIF(I1951,"56*")&gt;0,COUNTIF(J1951,"*56*")&gt;0,COUNTIF(I1951,"68*")&gt;0,COUNTIF(J1951,"*68*")&gt;0,COUNTIF(I1951,"78*")&gt;0,COUNTIF(J1951,"*78*")&gt;0,COUNTIF(I1951,"81*")&gt;0,COUNTIF(J1951,"*81*")&gt;0,COUNTIF(I1951,"82*")&gt;0,COUNTIF(J1951,"*82*")&gt;0,COUNTIF(I1951,"64*")&gt;0,COUNTIF(J1951,"*64*")&gt;0,COUNTIF(I1951,"65*")&gt;0,COUNTIF(J1951,"*65*")&gt;0,COUNTIF(I1951,"66*")&gt;0,COUNTIF(J1951,"*66*")&gt;0,COUNTIF(I1951,"61*")&gt;0,COUNTIF(J1951,"*61*")&gt;0,COUNTIF(I1951,"62*")&gt;0,COUNTIF(J1951,"*62*")&gt;0,COUNTIF(I1951,"63*")&gt;0,COUNTIF(J1951,"*63*")&gt;0,COUNTIF(I1951,"85*")&gt;0,COUNTIF(J1951,"*85*")&gt;0,COUNTIF(I1951,"86*")&gt;0,COUNTIF(J1951,"*86*")&gt;0),"Да","Нет"))</f>
        <v/>
      </c>
      <c r="M1951" s="13">
        <f>IF(OR(G1951="",L1951&lt;&gt;"Да"),"",IF(G1951&lt;=100,"До 100",IF(G1951&lt;=200,"До 200",IF(G1951&lt;=500,"До 500","Отдельное КП"))))</f>
        <v/>
      </c>
      <c r="N1951" s="15">
        <f>IF(OR(G1951="",L1951&lt;&gt;"Да"),"",IF(G1951&lt;=100,33600,IF(G1951&lt;=200,62400,IF(G1951&lt;=500,144000,""))))</f>
        <v/>
      </c>
      <c r="O1951" s="16">
        <f>IF(G1951="","",IF(G1951&lt;=15,"1–15",IF(G1951&lt;=30,"16–30",IF(G1951&lt;=50,"31–50",IF(G1951&lt;=100,"51–100",IF(G1951&lt;=150,"101–150",IF(G1951&lt;=200,"151–200",IF(G1951&lt;=500,"201–500","500+"))))))))</f>
        <v/>
      </c>
      <c r="P1951" s="16" t="inlineStr">
        <is>
          <t>Нет совпадения в предоставленной выгрузке ССЧР</t>
        </is>
      </c>
      <c r="Q1951" s="16" t="n"/>
      <c r="R1951" s="16">
        <f>HYPERLINK("https://checko.ru/search?query=3801001629","Чекко: проверить")</f>
        <v/>
      </c>
      <c r="S1951" t="n">
        <v>0</v>
      </c>
    </row>
    <row r="1952" ht="68.25" customHeight="1" s="24">
      <c r="A1952" s="13" t="n">
        <v>5000081916</v>
      </c>
      <c r="B1952" s="13" t="inlineStr">
        <is>
          <t>МУНИЦИПАЛЬНАЯ ОРГАНИЗАЦИЯ ДОПОЛНИТЕЛЬНОГО ОБРАЗОВАНИЯ "СТАНЦИЯ ЮНЫХ ТЕХНИКОВ" ГОРОДСКОГО ОКРУГА ПРОХЛАДНЫЙ КАБАРДИНО-БАЛКАРСКОЙ РЕСПУБЛИКИ</t>
        </is>
      </c>
      <c r="C1952" s="13" t="n">
        <v>716000812</v>
      </c>
      <c r="D1952" s="13" t="n"/>
      <c r="E1952" s="13" t="inlineStr">
        <is>
          <t>Не определён</t>
        </is>
      </c>
      <c r="F1952" s="13" t="inlineStr">
        <is>
          <t>716000812</t>
        </is>
      </c>
      <c r="G1952" s="14" t="n"/>
      <c r="H1952" s="14" t="n"/>
      <c r="I1952" s="14" t="n"/>
      <c r="J1952" s="14" t="n"/>
      <c r="K1952" s="13">
        <f>IF(G1952="","",IF(G1952&gt;=22,"Да","Нет"))</f>
        <v/>
      </c>
      <c r="L1952" s="13">
        <f>IF(OR(I1952="",J1952=""),"Не определено",IF(OR(COUNTIF(I1952,"45*")&gt;0,COUNTIF(J1952,"*45*")&gt;0,COUNTIF(I1952,"46*")&gt;0,COUNTIF(J1952,"*46*")&gt;0,COUNTIF(I1952,"47*")&gt;0,COUNTIF(J1952,"*47*")&gt;0,COUNTIF(I1952,"10*")&gt;0,COUNTIF(J1952,"*10*")&gt;0,COUNTIF(I1952,"11*")&gt;0,COUNTIF(J1952,"*11*")&gt;0,COUNTIF(I1952,"12*")&gt;0,COUNTIF(J1952,"*12*")&gt;0,COUNTIF(I1952,"13*")&gt;0,COUNTIF(J1952,"*13*")&gt;0,COUNTIF(I1952,"14*")&gt;0,COUNTIF(J1952,"*14*")&gt;0,COUNTIF(I1952,"15*")&gt;0,COUNTIF(J1952,"*15*")&gt;0,COUNTIF(I1952,"16*")&gt;0,COUNTIF(J1952,"*16*")&gt;0,COUNTIF(I1952,"17*")&gt;0,COUNTIF(J1952,"*17*")&gt;0,COUNTIF(I1952,"18*")&gt;0,COUNTIF(J1952,"*18*")&gt;0,COUNTIF(I1952,"19*")&gt;0,COUNTIF(J1952,"*19*")&gt;0,COUNTIF(I1952,"20*")&gt;0,COUNTIF(J1952,"*20*")&gt;0,COUNTIF(I1952,"21*")&gt;0,COUNTIF(J1952,"*21*")&gt;0,COUNTIF(I1952,"22*")&gt;0,COUNTIF(J1952,"*22*")&gt;0,COUNTIF(I1952,"23*")&gt;0,COUNTIF(J1952,"*23*")&gt;0,COUNTIF(I1952,"24*")&gt;0,COUNTIF(J1952,"*24*")&gt;0,COUNTIF(I1952,"25*")&gt;0,COUNTIF(J1952,"*25*")&gt;0,COUNTIF(I1952,"26*")&gt;0,COUNTIF(J1952,"*26*")&gt;0,COUNTIF(I1952,"27*")&gt;0,COUNTIF(J1952,"*27*")&gt;0,COUNTIF(I1952,"28*")&gt;0,COUNTIF(J1952,"*28*")&gt;0,COUNTIF(I1952,"29*")&gt;0,COUNTIF(J1952,"*29*")&gt;0,COUNTIF(I1952,"30*")&gt;0,COUNTIF(J1952,"*30*")&gt;0,COUNTIF(I1952,"31*")&gt;0,COUNTIF(J1952,"*31*")&gt;0,COUNTIF(I1952,"32*")&gt;0,COUNTIF(J1952,"*32*")&gt;0,COUNTIF(I1952,"33*")&gt;0,COUNTIF(J1952,"*33*")&gt;0,COUNTIF(I1952,"41*")&gt;0,COUNTIF(J1952,"*41*")&gt;0,COUNTIF(I1952,"42*")&gt;0,COUNTIF(J1952,"*42*")&gt;0,COUNTIF(I1952,"43*")&gt;0,COUNTIF(J1952,"*43*")&gt;0,COUNTIF(I1952,"49*")&gt;0,COUNTIF(J1952,"*49*")&gt;0,COUNTIF(I1952,"52*")&gt;0,COUNTIF(J1952,"*52*")&gt;0,COUNTIF(I1952,"55*")&gt;0,COUNTIF(J1952,"*55*")&gt;0,COUNTIF(I1952,"56*")&gt;0,COUNTIF(J1952,"*56*")&gt;0,COUNTIF(I1952,"68*")&gt;0,COUNTIF(J1952,"*68*")&gt;0,COUNTIF(I1952,"78*")&gt;0,COUNTIF(J1952,"*78*")&gt;0,COUNTIF(I1952,"81*")&gt;0,COUNTIF(J1952,"*81*")&gt;0,COUNTIF(I1952,"82*")&gt;0,COUNTIF(J1952,"*82*")&gt;0,COUNTIF(I1952,"64*")&gt;0,COUNTIF(J1952,"*64*")&gt;0,COUNTIF(I1952,"65*")&gt;0,COUNTIF(J1952,"*65*")&gt;0,COUNTIF(I1952,"66*")&gt;0,COUNTIF(J1952,"*66*")&gt;0,COUNTIF(I1952,"61*")&gt;0,COUNTIF(J1952,"*61*")&gt;0,COUNTIF(I1952,"62*")&gt;0,COUNTIF(J1952,"*62*")&gt;0,COUNTIF(I1952,"63*")&gt;0,COUNTIF(J1952,"*63*")&gt;0,COUNTIF(I1952,"85*")&gt;0,COUNTIF(J1952,"*85*")&gt;0,COUNTIF(I1952,"86*")&gt;0,COUNTIF(J1952,"*86*")&gt;0),"Да","Нет"))</f>
        <v/>
      </c>
      <c r="M1952" s="13">
        <f>IF(OR(G1952="",L1952&lt;&gt;"Да"),"",IF(G1952&lt;=100,"До 100",IF(G1952&lt;=200,"До 200",IF(G1952&lt;=500,"До 500","Отдельное КП"))))</f>
        <v/>
      </c>
      <c r="N1952" s="15">
        <f>IF(OR(G1952="",L1952&lt;&gt;"Да"),"",IF(G1952&lt;=100,33600,IF(G1952&lt;=200,62400,IF(G1952&lt;=500,144000,""))))</f>
        <v/>
      </c>
      <c r="O1952" s="16">
        <f>IF(G1952="","",IF(G1952&lt;=15,"1–15",IF(G1952&lt;=30,"16–30",IF(G1952&lt;=50,"31–50",IF(G1952&lt;=100,"51–100",IF(G1952&lt;=150,"101–150",IF(G1952&lt;=200,"151–200",IF(G1952&lt;=500,"201–500","500+"))))))))</f>
        <v/>
      </c>
      <c r="P1952" s="16" t="inlineStr">
        <is>
          <t>Нет совпадения в предоставленной выгрузке ССЧР</t>
        </is>
      </c>
      <c r="Q1952" s="16" t="n"/>
      <c r="R1952" s="16">
        <f>HYPERLINK("https://checko.ru/search?query=3801001629","Чекко: проверить")</f>
        <v/>
      </c>
      <c r="S1952" t="n">
        <v>0</v>
      </c>
    </row>
    <row r="1953" ht="68.25" customHeight="1" s="24">
      <c r="A1953" s="13" t="n">
        <v>5000081917</v>
      </c>
      <c r="B1953" s="13" t="inlineStr">
        <is>
          <t>МУНИЦИПАЛЬНАЯ ОРГАНИЗАЦИЯ ДОПОЛНИТЕЛЬНОГО ОБРАЗОВАНИЯ "СТАНЦИЯ ЮНЫХ НАТУРАЛИСТОВ" ГОРОДСКОГО ОКРУГА ПРОХЛАДНЫЙ КАБАРДИНО-БАЛКАРСКОЙ РЕСПУБЛИКИ</t>
        </is>
      </c>
      <c r="C1953" s="13" t="n">
        <v>716000837</v>
      </c>
      <c r="D1953" s="13" t="n"/>
      <c r="E1953" s="13" t="inlineStr">
        <is>
          <t>Не определён</t>
        </is>
      </c>
      <c r="F1953" s="13" t="inlineStr">
        <is>
          <t>716000837</t>
        </is>
      </c>
      <c r="G1953" s="14" t="n"/>
      <c r="H1953" s="14" t="n"/>
      <c r="I1953" s="14" t="n"/>
      <c r="J1953" s="14" t="n"/>
      <c r="K1953" s="13">
        <f>IF(G1953="","",IF(G1953&gt;=22,"Да","Нет"))</f>
        <v/>
      </c>
      <c r="L1953" s="13">
        <f>IF(OR(I1953="",J1953=""),"Не определено",IF(OR(COUNTIF(I1953,"45*")&gt;0,COUNTIF(J1953,"*45*")&gt;0,COUNTIF(I1953,"46*")&gt;0,COUNTIF(J1953,"*46*")&gt;0,COUNTIF(I1953,"47*")&gt;0,COUNTIF(J1953,"*47*")&gt;0,COUNTIF(I1953,"10*")&gt;0,COUNTIF(J1953,"*10*")&gt;0,COUNTIF(I1953,"11*")&gt;0,COUNTIF(J1953,"*11*")&gt;0,COUNTIF(I1953,"12*")&gt;0,COUNTIF(J1953,"*12*")&gt;0,COUNTIF(I1953,"13*")&gt;0,COUNTIF(J1953,"*13*")&gt;0,COUNTIF(I1953,"14*")&gt;0,COUNTIF(J1953,"*14*")&gt;0,COUNTIF(I1953,"15*")&gt;0,COUNTIF(J1953,"*15*")&gt;0,COUNTIF(I1953,"16*")&gt;0,COUNTIF(J1953,"*16*")&gt;0,COUNTIF(I1953,"17*")&gt;0,COUNTIF(J1953,"*17*")&gt;0,COUNTIF(I1953,"18*")&gt;0,COUNTIF(J1953,"*18*")&gt;0,COUNTIF(I1953,"19*")&gt;0,COUNTIF(J1953,"*19*")&gt;0,COUNTIF(I1953,"20*")&gt;0,COUNTIF(J1953,"*20*")&gt;0,COUNTIF(I1953,"21*")&gt;0,COUNTIF(J1953,"*21*")&gt;0,COUNTIF(I1953,"22*")&gt;0,COUNTIF(J1953,"*22*")&gt;0,COUNTIF(I1953,"23*")&gt;0,COUNTIF(J1953,"*23*")&gt;0,COUNTIF(I1953,"24*")&gt;0,COUNTIF(J1953,"*24*")&gt;0,COUNTIF(I1953,"25*")&gt;0,COUNTIF(J1953,"*25*")&gt;0,COUNTIF(I1953,"26*")&gt;0,COUNTIF(J1953,"*26*")&gt;0,COUNTIF(I1953,"27*")&gt;0,COUNTIF(J1953,"*27*")&gt;0,COUNTIF(I1953,"28*")&gt;0,COUNTIF(J1953,"*28*")&gt;0,COUNTIF(I1953,"29*")&gt;0,COUNTIF(J1953,"*29*")&gt;0,COUNTIF(I1953,"30*")&gt;0,COUNTIF(J1953,"*30*")&gt;0,COUNTIF(I1953,"31*")&gt;0,COUNTIF(J1953,"*31*")&gt;0,COUNTIF(I1953,"32*")&gt;0,COUNTIF(J1953,"*32*")&gt;0,COUNTIF(I1953,"33*")&gt;0,COUNTIF(J1953,"*33*")&gt;0,COUNTIF(I1953,"41*")&gt;0,COUNTIF(J1953,"*41*")&gt;0,COUNTIF(I1953,"42*")&gt;0,COUNTIF(J1953,"*42*")&gt;0,COUNTIF(I1953,"43*")&gt;0,COUNTIF(J1953,"*43*")&gt;0,COUNTIF(I1953,"49*")&gt;0,COUNTIF(J1953,"*49*")&gt;0,COUNTIF(I1953,"52*")&gt;0,COUNTIF(J1953,"*52*")&gt;0,COUNTIF(I1953,"55*")&gt;0,COUNTIF(J1953,"*55*")&gt;0,COUNTIF(I1953,"56*")&gt;0,COUNTIF(J1953,"*56*")&gt;0,COUNTIF(I1953,"68*")&gt;0,COUNTIF(J1953,"*68*")&gt;0,COUNTIF(I1953,"78*")&gt;0,COUNTIF(J1953,"*78*")&gt;0,COUNTIF(I1953,"81*")&gt;0,COUNTIF(J1953,"*81*")&gt;0,COUNTIF(I1953,"82*")&gt;0,COUNTIF(J1953,"*82*")&gt;0,COUNTIF(I1953,"64*")&gt;0,COUNTIF(J1953,"*64*")&gt;0,COUNTIF(I1953,"65*")&gt;0,COUNTIF(J1953,"*65*")&gt;0,COUNTIF(I1953,"66*")&gt;0,COUNTIF(J1953,"*66*")&gt;0,COUNTIF(I1953,"61*")&gt;0,COUNTIF(J1953,"*61*")&gt;0,COUNTIF(I1953,"62*")&gt;0,COUNTIF(J1953,"*62*")&gt;0,COUNTIF(I1953,"63*")&gt;0,COUNTIF(J1953,"*63*")&gt;0,COUNTIF(I1953,"85*")&gt;0,COUNTIF(J1953,"*85*")&gt;0,COUNTIF(I1953,"86*")&gt;0,COUNTIF(J1953,"*86*")&gt;0),"Да","Нет"))</f>
        <v/>
      </c>
      <c r="M1953" s="13">
        <f>IF(OR(G1953="",L1953&lt;&gt;"Да"),"",IF(G1953&lt;=100,"До 100",IF(G1953&lt;=200,"До 200",IF(G1953&lt;=500,"До 500","Отдельное КП"))))</f>
        <v/>
      </c>
      <c r="N1953" s="15">
        <f>IF(OR(G1953="",L1953&lt;&gt;"Да"),"",IF(G1953&lt;=100,33600,IF(G1953&lt;=200,62400,IF(G1953&lt;=500,144000,""))))</f>
        <v/>
      </c>
      <c r="O1953" s="16">
        <f>IF(G1953="","",IF(G1953&lt;=15,"1–15",IF(G1953&lt;=30,"16–30",IF(G1953&lt;=50,"31–50",IF(G1953&lt;=100,"51–100",IF(G1953&lt;=150,"101–150",IF(G1953&lt;=200,"151–200",IF(G1953&lt;=500,"201–500","500+"))))))))</f>
        <v/>
      </c>
      <c r="P1953" s="16" t="inlineStr">
        <is>
          <t>Нет совпадения в предоставленной выгрузке ССЧР</t>
        </is>
      </c>
      <c r="Q1953" s="16" t="n"/>
      <c r="R1953" s="16">
        <f>HYPERLINK("https://checko.ru/search?query=3801001629","Чекко: проверить")</f>
        <v/>
      </c>
      <c r="S1953" t="n">
        <v>0</v>
      </c>
    </row>
    <row r="1954" ht="68.25" customHeight="1" s="24">
      <c r="A1954" s="13" t="n">
        <v>5000081918</v>
      </c>
      <c r="B1954" s="13" t="inlineStr">
        <is>
          <t>МУНИЦИПАЛЬНАЯ ОРГАНИЗАЦИЯ ДОПОЛНИТЕЛЬНОГО ОБРАЗОВАНИЯ "ЦЕНТР ДОПОЛНИТЕЛЬНОГО ОБРАЗОВАНИЯ" ГОРОДСКОГО ОКРУГА ПРОХЛАДНЫЙ КАБАРДИНО-БАЛКАРСКОЙ РЕСПУБЛИКИ</t>
        </is>
      </c>
      <c r="C1954" s="13" t="n">
        <v>716000805</v>
      </c>
      <c r="D1954" s="13" t="n"/>
      <c r="E1954" s="13" t="inlineStr">
        <is>
          <t>Не определён</t>
        </is>
      </c>
      <c r="F1954" s="13" t="inlineStr">
        <is>
          <t>716000805</t>
        </is>
      </c>
      <c r="G1954" s="14" t="n"/>
      <c r="H1954" s="14" t="n"/>
      <c r="I1954" s="14" t="n"/>
      <c r="J1954" s="14" t="n"/>
      <c r="K1954" s="13">
        <f>IF(G1954="","",IF(G1954&gt;=22,"Да","Нет"))</f>
        <v/>
      </c>
      <c r="L1954" s="13">
        <f>IF(OR(I1954="",J1954=""),"Не определено",IF(OR(COUNTIF(I1954,"45*")&gt;0,COUNTIF(J1954,"*45*")&gt;0,COUNTIF(I1954,"46*")&gt;0,COUNTIF(J1954,"*46*")&gt;0,COUNTIF(I1954,"47*")&gt;0,COUNTIF(J1954,"*47*")&gt;0,COUNTIF(I1954,"10*")&gt;0,COUNTIF(J1954,"*10*")&gt;0,COUNTIF(I1954,"11*")&gt;0,COUNTIF(J1954,"*11*")&gt;0,COUNTIF(I1954,"12*")&gt;0,COUNTIF(J1954,"*12*")&gt;0,COUNTIF(I1954,"13*")&gt;0,COUNTIF(J1954,"*13*")&gt;0,COUNTIF(I1954,"14*")&gt;0,COUNTIF(J1954,"*14*")&gt;0,COUNTIF(I1954,"15*")&gt;0,COUNTIF(J1954,"*15*")&gt;0,COUNTIF(I1954,"16*")&gt;0,COUNTIF(J1954,"*16*")&gt;0,COUNTIF(I1954,"17*")&gt;0,COUNTIF(J1954,"*17*")&gt;0,COUNTIF(I1954,"18*")&gt;0,COUNTIF(J1954,"*18*")&gt;0,COUNTIF(I1954,"19*")&gt;0,COUNTIF(J1954,"*19*")&gt;0,COUNTIF(I1954,"20*")&gt;0,COUNTIF(J1954,"*20*")&gt;0,COUNTIF(I1954,"21*")&gt;0,COUNTIF(J1954,"*21*")&gt;0,COUNTIF(I1954,"22*")&gt;0,COUNTIF(J1954,"*22*")&gt;0,COUNTIF(I1954,"23*")&gt;0,COUNTIF(J1954,"*23*")&gt;0,COUNTIF(I1954,"24*")&gt;0,COUNTIF(J1954,"*24*")&gt;0,COUNTIF(I1954,"25*")&gt;0,COUNTIF(J1954,"*25*")&gt;0,COUNTIF(I1954,"26*")&gt;0,COUNTIF(J1954,"*26*")&gt;0,COUNTIF(I1954,"27*")&gt;0,COUNTIF(J1954,"*27*")&gt;0,COUNTIF(I1954,"28*")&gt;0,COUNTIF(J1954,"*28*")&gt;0,COUNTIF(I1954,"29*")&gt;0,COUNTIF(J1954,"*29*")&gt;0,COUNTIF(I1954,"30*")&gt;0,COUNTIF(J1954,"*30*")&gt;0,COUNTIF(I1954,"31*")&gt;0,COUNTIF(J1954,"*31*")&gt;0,COUNTIF(I1954,"32*")&gt;0,COUNTIF(J1954,"*32*")&gt;0,COUNTIF(I1954,"33*")&gt;0,COUNTIF(J1954,"*33*")&gt;0,COUNTIF(I1954,"41*")&gt;0,COUNTIF(J1954,"*41*")&gt;0,COUNTIF(I1954,"42*")&gt;0,COUNTIF(J1954,"*42*")&gt;0,COUNTIF(I1954,"43*")&gt;0,COUNTIF(J1954,"*43*")&gt;0,COUNTIF(I1954,"49*")&gt;0,COUNTIF(J1954,"*49*")&gt;0,COUNTIF(I1954,"52*")&gt;0,COUNTIF(J1954,"*52*")&gt;0,COUNTIF(I1954,"55*")&gt;0,COUNTIF(J1954,"*55*")&gt;0,COUNTIF(I1954,"56*")&gt;0,COUNTIF(J1954,"*56*")&gt;0,COUNTIF(I1954,"68*")&gt;0,COUNTIF(J1954,"*68*")&gt;0,COUNTIF(I1954,"78*")&gt;0,COUNTIF(J1954,"*78*")&gt;0,COUNTIF(I1954,"81*")&gt;0,COUNTIF(J1954,"*81*")&gt;0,COUNTIF(I1954,"82*")&gt;0,COUNTIF(J1954,"*82*")&gt;0,COUNTIF(I1954,"64*")&gt;0,COUNTIF(J1954,"*64*")&gt;0,COUNTIF(I1954,"65*")&gt;0,COUNTIF(J1954,"*65*")&gt;0,COUNTIF(I1954,"66*")&gt;0,COUNTIF(J1954,"*66*")&gt;0,COUNTIF(I1954,"61*")&gt;0,COUNTIF(J1954,"*61*")&gt;0,COUNTIF(I1954,"62*")&gt;0,COUNTIF(J1954,"*62*")&gt;0,COUNTIF(I1954,"63*")&gt;0,COUNTIF(J1954,"*63*")&gt;0,COUNTIF(I1954,"85*")&gt;0,COUNTIF(J1954,"*85*")&gt;0,COUNTIF(I1954,"86*")&gt;0,COUNTIF(J1954,"*86*")&gt;0),"Да","Нет"))</f>
        <v/>
      </c>
      <c r="M1954" s="13">
        <f>IF(OR(G1954="",L1954&lt;&gt;"Да"),"",IF(G1954&lt;=100,"До 100",IF(G1954&lt;=200,"До 200",IF(G1954&lt;=500,"До 500","Отдельное КП"))))</f>
        <v/>
      </c>
      <c r="N1954" s="15">
        <f>IF(OR(G1954="",L1954&lt;&gt;"Да"),"",IF(G1954&lt;=100,33600,IF(G1954&lt;=200,62400,IF(G1954&lt;=500,144000,""))))</f>
        <v/>
      </c>
      <c r="O1954" s="16">
        <f>IF(G1954="","",IF(G1954&lt;=15,"1–15",IF(G1954&lt;=30,"16–30",IF(G1954&lt;=50,"31–50",IF(G1954&lt;=100,"51–100",IF(G1954&lt;=150,"101–150",IF(G1954&lt;=200,"151–200",IF(G1954&lt;=500,"201–500","500+"))))))))</f>
        <v/>
      </c>
      <c r="P1954" s="16" t="inlineStr">
        <is>
          <t>Нет совпадения в предоставленной выгрузке ССЧР</t>
        </is>
      </c>
      <c r="Q1954" s="16" t="n"/>
      <c r="R1954" s="16">
        <f>HYPERLINK("https://checko.ru/search?query=3801001629","Чекко: проверить")</f>
        <v/>
      </c>
      <c r="S1954" t="n">
        <v>0</v>
      </c>
    </row>
    <row r="1955" ht="27.75" customHeight="1" s="24">
      <c r="A1955" s="13" t="n">
        <v>5000081919</v>
      </c>
      <c r="B1955" s="13" t="inlineStr">
        <is>
          <t>МБОУ "СРЕДНЯЯ ОБЩЕОБРАЗОВАТЕЛЬНАЯ ШКОЛА №1"</t>
        </is>
      </c>
      <c r="C1955" s="13" t="n">
        <v>709005954</v>
      </c>
      <c r="D1955" s="13" t="n"/>
      <c r="E1955" s="13" t="inlineStr">
        <is>
          <t>Не определён</t>
        </is>
      </c>
      <c r="F1955" s="13" t="inlineStr">
        <is>
          <t>709005954</t>
        </is>
      </c>
      <c r="G1955" s="14" t="n"/>
      <c r="H1955" s="14" t="n"/>
      <c r="I1955" s="14" t="n"/>
      <c r="J1955" s="14" t="n"/>
      <c r="K1955" s="13">
        <f>IF(G1955="","",IF(G1955&gt;=22,"Да","Нет"))</f>
        <v/>
      </c>
      <c r="L1955" s="13">
        <f>IF(OR(I1955="",J1955=""),"Не определено",IF(OR(COUNTIF(I1955,"45*")&gt;0,COUNTIF(J1955,"*45*")&gt;0,COUNTIF(I1955,"46*")&gt;0,COUNTIF(J1955,"*46*")&gt;0,COUNTIF(I1955,"47*")&gt;0,COUNTIF(J1955,"*47*")&gt;0,COUNTIF(I1955,"10*")&gt;0,COUNTIF(J1955,"*10*")&gt;0,COUNTIF(I1955,"11*")&gt;0,COUNTIF(J1955,"*11*")&gt;0,COUNTIF(I1955,"12*")&gt;0,COUNTIF(J1955,"*12*")&gt;0,COUNTIF(I1955,"13*")&gt;0,COUNTIF(J1955,"*13*")&gt;0,COUNTIF(I1955,"14*")&gt;0,COUNTIF(J1955,"*14*")&gt;0,COUNTIF(I1955,"15*")&gt;0,COUNTIF(J1955,"*15*")&gt;0,COUNTIF(I1955,"16*")&gt;0,COUNTIF(J1955,"*16*")&gt;0,COUNTIF(I1955,"17*")&gt;0,COUNTIF(J1955,"*17*")&gt;0,COUNTIF(I1955,"18*")&gt;0,COUNTIF(J1955,"*18*")&gt;0,COUNTIF(I1955,"19*")&gt;0,COUNTIF(J1955,"*19*")&gt;0,COUNTIF(I1955,"20*")&gt;0,COUNTIF(J1955,"*20*")&gt;0,COUNTIF(I1955,"21*")&gt;0,COUNTIF(J1955,"*21*")&gt;0,COUNTIF(I1955,"22*")&gt;0,COUNTIF(J1955,"*22*")&gt;0,COUNTIF(I1955,"23*")&gt;0,COUNTIF(J1955,"*23*")&gt;0,COUNTIF(I1955,"24*")&gt;0,COUNTIF(J1955,"*24*")&gt;0,COUNTIF(I1955,"25*")&gt;0,COUNTIF(J1955,"*25*")&gt;0,COUNTIF(I1955,"26*")&gt;0,COUNTIF(J1955,"*26*")&gt;0,COUNTIF(I1955,"27*")&gt;0,COUNTIF(J1955,"*27*")&gt;0,COUNTIF(I1955,"28*")&gt;0,COUNTIF(J1955,"*28*")&gt;0,COUNTIF(I1955,"29*")&gt;0,COUNTIF(J1955,"*29*")&gt;0,COUNTIF(I1955,"30*")&gt;0,COUNTIF(J1955,"*30*")&gt;0,COUNTIF(I1955,"31*")&gt;0,COUNTIF(J1955,"*31*")&gt;0,COUNTIF(I1955,"32*")&gt;0,COUNTIF(J1955,"*32*")&gt;0,COUNTIF(I1955,"33*")&gt;0,COUNTIF(J1955,"*33*")&gt;0,COUNTIF(I1955,"41*")&gt;0,COUNTIF(J1955,"*41*")&gt;0,COUNTIF(I1955,"42*")&gt;0,COUNTIF(J1955,"*42*")&gt;0,COUNTIF(I1955,"43*")&gt;0,COUNTIF(J1955,"*43*")&gt;0,COUNTIF(I1955,"49*")&gt;0,COUNTIF(J1955,"*49*")&gt;0,COUNTIF(I1955,"52*")&gt;0,COUNTIF(J1955,"*52*")&gt;0,COUNTIF(I1955,"55*")&gt;0,COUNTIF(J1955,"*55*")&gt;0,COUNTIF(I1955,"56*")&gt;0,COUNTIF(J1955,"*56*")&gt;0,COUNTIF(I1955,"68*")&gt;0,COUNTIF(J1955,"*68*")&gt;0,COUNTIF(I1955,"78*")&gt;0,COUNTIF(J1955,"*78*")&gt;0,COUNTIF(I1955,"81*")&gt;0,COUNTIF(J1955,"*81*")&gt;0,COUNTIF(I1955,"82*")&gt;0,COUNTIF(J1955,"*82*")&gt;0,COUNTIF(I1955,"64*")&gt;0,COUNTIF(J1955,"*64*")&gt;0,COUNTIF(I1955,"65*")&gt;0,COUNTIF(J1955,"*65*")&gt;0,COUNTIF(I1955,"66*")&gt;0,COUNTIF(J1955,"*66*")&gt;0,COUNTIF(I1955,"61*")&gt;0,COUNTIF(J1955,"*61*")&gt;0,COUNTIF(I1955,"62*")&gt;0,COUNTIF(J1955,"*62*")&gt;0,COUNTIF(I1955,"63*")&gt;0,COUNTIF(J1955,"*63*")&gt;0,COUNTIF(I1955,"85*")&gt;0,COUNTIF(J1955,"*85*")&gt;0,COUNTIF(I1955,"86*")&gt;0,COUNTIF(J1955,"*86*")&gt;0),"Да","Нет"))</f>
        <v/>
      </c>
      <c r="M1955" s="13">
        <f>IF(OR(G1955="",L1955&lt;&gt;"Да"),"",IF(G1955&lt;=100,"До 100",IF(G1955&lt;=200,"До 200",IF(G1955&lt;=500,"До 500","Отдельное КП"))))</f>
        <v/>
      </c>
      <c r="N1955" s="15">
        <f>IF(OR(G1955="",L1955&lt;&gt;"Да"),"",IF(G1955&lt;=100,33600,IF(G1955&lt;=200,62400,IF(G1955&lt;=500,144000,""))))</f>
        <v/>
      </c>
      <c r="O1955" s="16">
        <f>IF(G1955="","",IF(G1955&lt;=15,"1–15",IF(G1955&lt;=30,"16–30",IF(G1955&lt;=50,"31–50",IF(G1955&lt;=100,"51–100",IF(G1955&lt;=150,"101–150",IF(G1955&lt;=200,"151–200",IF(G1955&lt;=500,"201–500","500+"))))))))</f>
        <v/>
      </c>
      <c r="P1955" s="16" t="inlineStr">
        <is>
          <t>Нет совпадения в предоставленной выгрузке ССЧР</t>
        </is>
      </c>
      <c r="Q1955" s="16" t="n"/>
      <c r="R1955" s="16">
        <f>HYPERLINK("https://checko.ru/search?query=3801001629","Чекко: проверить")</f>
        <v/>
      </c>
      <c r="S1955" t="n">
        <v>0</v>
      </c>
    </row>
    <row r="1956" ht="54.75" customHeight="1" s="24">
      <c r="A1956" s="13" t="n">
        <v>5000081920</v>
      </c>
      <c r="B1956" s="13" t="inlineStr">
        <is>
          <t>МУНИЦИПАЛЬНОЕ БЮДЖЕТНОЕ ОБЩЕОБРАЗОВАТЕЛЬНОЕ УЧРЕЖДЕНИЕ "ГИМНАЗИЯ №2 ИМЕНИ ГЕРОЯ СОВЕТСКОГО СОЮЗА НИКОЛАЯ МАТВЕЕВИЧА ДИДЕНКО"</t>
        </is>
      </c>
      <c r="C1956" s="13" t="n">
        <v>709005979</v>
      </c>
      <c r="D1956" s="13" t="n"/>
      <c r="E1956" s="13" t="inlineStr">
        <is>
          <t>Не определён</t>
        </is>
      </c>
      <c r="F1956" s="13" t="inlineStr">
        <is>
          <t>709005979</t>
        </is>
      </c>
      <c r="G1956" s="14" t="n"/>
      <c r="H1956" s="14" t="n"/>
      <c r="I1956" s="14" t="n"/>
      <c r="J1956" s="14" t="n"/>
      <c r="K1956" s="13">
        <f>IF(G1956="","",IF(G1956&gt;=22,"Да","Нет"))</f>
        <v/>
      </c>
      <c r="L1956" s="13">
        <f>IF(OR(I1956="",J1956=""),"Не определено",IF(OR(COUNTIF(I1956,"45*")&gt;0,COUNTIF(J1956,"*45*")&gt;0,COUNTIF(I1956,"46*")&gt;0,COUNTIF(J1956,"*46*")&gt;0,COUNTIF(I1956,"47*")&gt;0,COUNTIF(J1956,"*47*")&gt;0,COUNTIF(I1956,"10*")&gt;0,COUNTIF(J1956,"*10*")&gt;0,COUNTIF(I1956,"11*")&gt;0,COUNTIF(J1956,"*11*")&gt;0,COUNTIF(I1956,"12*")&gt;0,COUNTIF(J1956,"*12*")&gt;0,COUNTIF(I1956,"13*")&gt;0,COUNTIF(J1956,"*13*")&gt;0,COUNTIF(I1956,"14*")&gt;0,COUNTIF(J1956,"*14*")&gt;0,COUNTIF(I1956,"15*")&gt;0,COUNTIF(J1956,"*15*")&gt;0,COUNTIF(I1956,"16*")&gt;0,COUNTIF(J1956,"*16*")&gt;0,COUNTIF(I1956,"17*")&gt;0,COUNTIF(J1956,"*17*")&gt;0,COUNTIF(I1956,"18*")&gt;0,COUNTIF(J1956,"*18*")&gt;0,COUNTIF(I1956,"19*")&gt;0,COUNTIF(J1956,"*19*")&gt;0,COUNTIF(I1956,"20*")&gt;0,COUNTIF(J1956,"*20*")&gt;0,COUNTIF(I1956,"21*")&gt;0,COUNTIF(J1956,"*21*")&gt;0,COUNTIF(I1956,"22*")&gt;0,COUNTIF(J1956,"*22*")&gt;0,COUNTIF(I1956,"23*")&gt;0,COUNTIF(J1956,"*23*")&gt;0,COUNTIF(I1956,"24*")&gt;0,COUNTIF(J1956,"*24*")&gt;0,COUNTIF(I1956,"25*")&gt;0,COUNTIF(J1956,"*25*")&gt;0,COUNTIF(I1956,"26*")&gt;0,COUNTIF(J1956,"*26*")&gt;0,COUNTIF(I1956,"27*")&gt;0,COUNTIF(J1956,"*27*")&gt;0,COUNTIF(I1956,"28*")&gt;0,COUNTIF(J1956,"*28*")&gt;0,COUNTIF(I1956,"29*")&gt;0,COUNTIF(J1956,"*29*")&gt;0,COUNTIF(I1956,"30*")&gt;0,COUNTIF(J1956,"*30*")&gt;0,COUNTIF(I1956,"31*")&gt;0,COUNTIF(J1956,"*31*")&gt;0,COUNTIF(I1956,"32*")&gt;0,COUNTIF(J1956,"*32*")&gt;0,COUNTIF(I1956,"33*")&gt;0,COUNTIF(J1956,"*33*")&gt;0,COUNTIF(I1956,"41*")&gt;0,COUNTIF(J1956,"*41*")&gt;0,COUNTIF(I1956,"42*")&gt;0,COUNTIF(J1956,"*42*")&gt;0,COUNTIF(I1956,"43*")&gt;0,COUNTIF(J1956,"*43*")&gt;0,COUNTIF(I1956,"49*")&gt;0,COUNTIF(J1956,"*49*")&gt;0,COUNTIF(I1956,"52*")&gt;0,COUNTIF(J1956,"*52*")&gt;0,COUNTIF(I1956,"55*")&gt;0,COUNTIF(J1956,"*55*")&gt;0,COUNTIF(I1956,"56*")&gt;0,COUNTIF(J1956,"*56*")&gt;0,COUNTIF(I1956,"68*")&gt;0,COUNTIF(J1956,"*68*")&gt;0,COUNTIF(I1956,"78*")&gt;0,COUNTIF(J1956,"*78*")&gt;0,COUNTIF(I1956,"81*")&gt;0,COUNTIF(J1956,"*81*")&gt;0,COUNTIF(I1956,"82*")&gt;0,COUNTIF(J1956,"*82*")&gt;0,COUNTIF(I1956,"64*")&gt;0,COUNTIF(J1956,"*64*")&gt;0,COUNTIF(I1956,"65*")&gt;0,COUNTIF(J1956,"*65*")&gt;0,COUNTIF(I1956,"66*")&gt;0,COUNTIF(J1956,"*66*")&gt;0,COUNTIF(I1956,"61*")&gt;0,COUNTIF(J1956,"*61*")&gt;0,COUNTIF(I1956,"62*")&gt;0,COUNTIF(J1956,"*62*")&gt;0,COUNTIF(I1956,"63*")&gt;0,COUNTIF(J1956,"*63*")&gt;0,COUNTIF(I1956,"85*")&gt;0,COUNTIF(J1956,"*85*")&gt;0,COUNTIF(I1956,"86*")&gt;0,COUNTIF(J1956,"*86*")&gt;0),"Да","Нет"))</f>
        <v/>
      </c>
      <c r="M1956" s="13">
        <f>IF(OR(G1956="",L1956&lt;&gt;"Да"),"",IF(G1956&lt;=100,"До 100",IF(G1956&lt;=200,"До 200",IF(G1956&lt;=500,"До 500","Отдельное КП"))))</f>
        <v/>
      </c>
      <c r="N1956" s="15">
        <f>IF(OR(G1956="",L1956&lt;&gt;"Да"),"",IF(G1956&lt;=100,33600,IF(G1956&lt;=200,62400,IF(G1956&lt;=500,144000,""))))</f>
        <v/>
      </c>
      <c r="O1956" s="16">
        <f>IF(G1956="","",IF(G1956&lt;=15,"1–15",IF(G1956&lt;=30,"16–30",IF(G1956&lt;=50,"31–50",IF(G1956&lt;=100,"51–100",IF(G1956&lt;=150,"101–150",IF(G1956&lt;=200,"151–200",IF(G1956&lt;=500,"201–500","500+"))))))))</f>
        <v/>
      </c>
      <c r="P1956" s="16" t="inlineStr">
        <is>
          <t>Нет совпадения в предоставленной выгрузке ССЧР</t>
        </is>
      </c>
      <c r="Q1956" s="16" t="n"/>
      <c r="R1956" s="16">
        <f>HYPERLINK("https://checko.ru/search?query=3801001629","Чекко: проверить")</f>
        <v/>
      </c>
      <c r="S1956" t="n">
        <v>0</v>
      </c>
    </row>
    <row r="1957" ht="41.25" customHeight="1" s="24">
      <c r="A1957" s="13" t="n">
        <v>5000081921</v>
      </c>
      <c r="B1957" s="13" t="inlineStr">
        <is>
          <t>МУНИЦИПАЛЬНОЕ БЮДЖЕТНОЕ ОБЩЕОБРАЗОВАТЕЛЬНОЕ УЧРЕЖДЕНИЕ "ЛИЦЕЙ № 3"</t>
        </is>
      </c>
      <c r="C1957" s="13" t="n">
        <v>709005961</v>
      </c>
      <c r="D1957" s="13" t="n"/>
      <c r="E1957" s="13" t="inlineStr">
        <is>
          <t>Не определён</t>
        </is>
      </c>
      <c r="F1957" s="13" t="inlineStr">
        <is>
          <t>709005961</t>
        </is>
      </c>
      <c r="G1957" s="14" t="n"/>
      <c r="H1957" s="14" t="n"/>
      <c r="I1957" s="14" t="n"/>
      <c r="J1957" s="14" t="n"/>
      <c r="K1957" s="13">
        <f>IF(G1957="","",IF(G1957&gt;=22,"Да","Нет"))</f>
        <v/>
      </c>
      <c r="L1957" s="13">
        <f>IF(OR(I1957="",J1957=""),"Не определено",IF(OR(COUNTIF(I1957,"45*")&gt;0,COUNTIF(J1957,"*45*")&gt;0,COUNTIF(I1957,"46*")&gt;0,COUNTIF(J1957,"*46*")&gt;0,COUNTIF(I1957,"47*")&gt;0,COUNTIF(J1957,"*47*")&gt;0,COUNTIF(I1957,"10*")&gt;0,COUNTIF(J1957,"*10*")&gt;0,COUNTIF(I1957,"11*")&gt;0,COUNTIF(J1957,"*11*")&gt;0,COUNTIF(I1957,"12*")&gt;0,COUNTIF(J1957,"*12*")&gt;0,COUNTIF(I1957,"13*")&gt;0,COUNTIF(J1957,"*13*")&gt;0,COUNTIF(I1957,"14*")&gt;0,COUNTIF(J1957,"*14*")&gt;0,COUNTIF(I1957,"15*")&gt;0,COUNTIF(J1957,"*15*")&gt;0,COUNTIF(I1957,"16*")&gt;0,COUNTIF(J1957,"*16*")&gt;0,COUNTIF(I1957,"17*")&gt;0,COUNTIF(J1957,"*17*")&gt;0,COUNTIF(I1957,"18*")&gt;0,COUNTIF(J1957,"*18*")&gt;0,COUNTIF(I1957,"19*")&gt;0,COUNTIF(J1957,"*19*")&gt;0,COUNTIF(I1957,"20*")&gt;0,COUNTIF(J1957,"*20*")&gt;0,COUNTIF(I1957,"21*")&gt;0,COUNTIF(J1957,"*21*")&gt;0,COUNTIF(I1957,"22*")&gt;0,COUNTIF(J1957,"*22*")&gt;0,COUNTIF(I1957,"23*")&gt;0,COUNTIF(J1957,"*23*")&gt;0,COUNTIF(I1957,"24*")&gt;0,COUNTIF(J1957,"*24*")&gt;0,COUNTIF(I1957,"25*")&gt;0,COUNTIF(J1957,"*25*")&gt;0,COUNTIF(I1957,"26*")&gt;0,COUNTIF(J1957,"*26*")&gt;0,COUNTIF(I1957,"27*")&gt;0,COUNTIF(J1957,"*27*")&gt;0,COUNTIF(I1957,"28*")&gt;0,COUNTIF(J1957,"*28*")&gt;0,COUNTIF(I1957,"29*")&gt;0,COUNTIF(J1957,"*29*")&gt;0,COUNTIF(I1957,"30*")&gt;0,COUNTIF(J1957,"*30*")&gt;0,COUNTIF(I1957,"31*")&gt;0,COUNTIF(J1957,"*31*")&gt;0,COUNTIF(I1957,"32*")&gt;0,COUNTIF(J1957,"*32*")&gt;0,COUNTIF(I1957,"33*")&gt;0,COUNTIF(J1957,"*33*")&gt;0,COUNTIF(I1957,"41*")&gt;0,COUNTIF(J1957,"*41*")&gt;0,COUNTIF(I1957,"42*")&gt;0,COUNTIF(J1957,"*42*")&gt;0,COUNTIF(I1957,"43*")&gt;0,COUNTIF(J1957,"*43*")&gt;0,COUNTIF(I1957,"49*")&gt;0,COUNTIF(J1957,"*49*")&gt;0,COUNTIF(I1957,"52*")&gt;0,COUNTIF(J1957,"*52*")&gt;0,COUNTIF(I1957,"55*")&gt;0,COUNTIF(J1957,"*55*")&gt;0,COUNTIF(I1957,"56*")&gt;0,COUNTIF(J1957,"*56*")&gt;0,COUNTIF(I1957,"68*")&gt;0,COUNTIF(J1957,"*68*")&gt;0,COUNTIF(I1957,"78*")&gt;0,COUNTIF(J1957,"*78*")&gt;0,COUNTIF(I1957,"81*")&gt;0,COUNTIF(J1957,"*81*")&gt;0,COUNTIF(I1957,"82*")&gt;0,COUNTIF(J1957,"*82*")&gt;0,COUNTIF(I1957,"64*")&gt;0,COUNTIF(J1957,"*64*")&gt;0,COUNTIF(I1957,"65*")&gt;0,COUNTIF(J1957,"*65*")&gt;0,COUNTIF(I1957,"66*")&gt;0,COUNTIF(J1957,"*66*")&gt;0,COUNTIF(I1957,"61*")&gt;0,COUNTIF(J1957,"*61*")&gt;0,COUNTIF(I1957,"62*")&gt;0,COUNTIF(J1957,"*62*")&gt;0,COUNTIF(I1957,"63*")&gt;0,COUNTIF(J1957,"*63*")&gt;0,COUNTIF(I1957,"85*")&gt;0,COUNTIF(J1957,"*85*")&gt;0,COUNTIF(I1957,"86*")&gt;0,COUNTIF(J1957,"*86*")&gt;0),"Да","Нет"))</f>
        <v/>
      </c>
      <c r="M1957" s="13">
        <f>IF(OR(G1957="",L1957&lt;&gt;"Да"),"",IF(G1957&lt;=100,"До 100",IF(G1957&lt;=200,"До 200",IF(G1957&lt;=500,"До 500","Отдельное КП"))))</f>
        <v/>
      </c>
      <c r="N1957" s="15">
        <f>IF(OR(G1957="",L1957&lt;&gt;"Да"),"",IF(G1957&lt;=100,33600,IF(G1957&lt;=200,62400,IF(G1957&lt;=500,144000,""))))</f>
        <v/>
      </c>
      <c r="O1957" s="16">
        <f>IF(G1957="","",IF(G1957&lt;=15,"1–15",IF(G1957&lt;=30,"16–30",IF(G1957&lt;=50,"31–50",IF(G1957&lt;=100,"51–100",IF(G1957&lt;=150,"101–150",IF(G1957&lt;=200,"151–200",IF(G1957&lt;=500,"201–500","500+"))))))))</f>
        <v/>
      </c>
      <c r="P1957" s="16" t="inlineStr">
        <is>
          <t>Нет совпадения в предоставленной выгрузке ССЧР</t>
        </is>
      </c>
      <c r="Q1957" s="16" t="n"/>
      <c r="R1957" s="16">
        <f>HYPERLINK("https://checko.ru/search?query=3801001629","Чекко: проверить")</f>
        <v/>
      </c>
      <c r="S1957" t="n">
        <v>0</v>
      </c>
    </row>
    <row r="1958" ht="54.75" customHeight="1" s="24">
      <c r="A1958" s="13" t="n">
        <v>5000081922</v>
      </c>
      <c r="B1958" s="13" t="inlineStr">
        <is>
          <t>МУНИЦИПАЛЬНОЕ БЮДЖЕТНОЕ ОБЩЕОБРАЗОВАТЕЛЬНОЕ УЧРЕЖДЕНИЕ "СРЕДНЯЯ ОБЩЕОБРАЗОВАТЕЛЬНАЯ ШКОЛА № 4 ИМЕНИ А.Г. ГОЛОВКО"</t>
        </is>
      </c>
      <c r="C1958" s="13" t="n">
        <v>709006027</v>
      </c>
      <c r="D1958" s="13" t="n"/>
      <c r="E1958" s="13" t="inlineStr">
        <is>
          <t>Не определён</t>
        </is>
      </c>
      <c r="F1958" s="13" t="inlineStr">
        <is>
          <t>709006027</t>
        </is>
      </c>
      <c r="G1958" s="14" t="n"/>
      <c r="H1958" s="14" t="n"/>
      <c r="I1958" s="14" t="n"/>
      <c r="J1958" s="14" t="n"/>
      <c r="K1958" s="13">
        <f>IF(G1958="","",IF(G1958&gt;=22,"Да","Нет"))</f>
        <v/>
      </c>
      <c r="L1958" s="13">
        <f>IF(OR(I1958="",J1958=""),"Не определено",IF(OR(COUNTIF(I1958,"45*")&gt;0,COUNTIF(J1958,"*45*")&gt;0,COUNTIF(I1958,"46*")&gt;0,COUNTIF(J1958,"*46*")&gt;0,COUNTIF(I1958,"47*")&gt;0,COUNTIF(J1958,"*47*")&gt;0,COUNTIF(I1958,"10*")&gt;0,COUNTIF(J1958,"*10*")&gt;0,COUNTIF(I1958,"11*")&gt;0,COUNTIF(J1958,"*11*")&gt;0,COUNTIF(I1958,"12*")&gt;0,COUNTIF(J1958,"*12*")&gt;0,COUNTIF(I1958,"13*")&gt;0,COUNTIF(J1958,"*13*")&gt;0,COUNTIF(I1958,"14*")&gt;0,COUNTIF(J1958,"*14*")&gt;0,COUNTIF(I1958,"15*")&gt;0,COUNTIF(J1958,"*15*")&gt;0,COUNTIF(I1958,"16*")&gt;0,COUNTIF(J1958,"*16*")&gt;0,COUNTIF(I1958,"17*")&gt;0,COUNTIF(J1958,"*17*")&gt;0,COUNTIF(I1958,"18*")&gt;0,COUNTIF(J1958,"*18*")&gt;0,COUNTIF(I1958,"19*")&gt;0,COUNTIF(J1958,"*19*")&gt;0,COUNTIF(I1958,"20*")&gt;0,COUNTIF(J1958,"*20*")&gt;0,COUNTIF(I1958,"21*")&gt;0,COUNTIF(J1958,"*21*")&gt;0,COUNTIF(I1958,"22*")&gt;0,COUNTIF(J1958,"*22*")&gt;0,COUNTIF(I1958,"23*")&gt;0,COUNTIF(J1958,"*23*")&gt;0,COUNTIF(I1958,"24*")&gt;0,COUNTIF(J1958,"*24*")&gt;0,COUNTIF(I1958,"25*")&gt;0,COUNTIF(J1958,"*25*")&gt;0,COUNTIF(I1958,"26*")&gt;0,COUNTIF(J1958,"*26*")&gt;0,COUNTIF(I1958,"27*")&gt;0,COUNTIF(J1958,"*27*")&gt;0,COUNTIF(I1958,"28*")&gt;0,COUNTIF(J1958,"*28*")&gt;0,COUNTIF(I1958,"29*")&gt;0,COUNTIF(J1958,"*29*")&gt;0,COUNTIF(I1958,"30*")&gt;0,COUNTIF(J1958,"*30*")&gt;0,COUNTIF(I1958,"31*")&gt;0,COUNTIF(J1958,"*31*")&gt;0,COUNTIF(I1958,"32*")&gt;0,COUNTIF(J1958,"*32*")&gt;0,COUNTIF(I1958,"33*")&gt;0,COUNTIF(J1958,"*33*")&gt;0,COUNTIF(I1958,"41*")&gt;0,COUNTIF(J1958,"*41*")&gt;0,COUNTIF(I1958,"42*")&gt;0,COUNTIF(J1958,"*42*")&gt;0,COUNTIF(I1958,"43*")&gt;0,COUNTIF(J1958,"*43*")&gt;0,COUNTIF(I1958,"49*")&gt;0,COUNTIF(J1958,"*49*")&gt;0,COUNTIF(I1958,"52*")&gt;0,COUNTIF(J1958,"*52*")&gt;0,COUNTIF(I1958,"55*")&gt;0,COUNTIF(J1958,"*55*")&gt;0,COUNTIF(I1958,"56*")&gt;0,COUNTIF(J1958,"*56*")&gt;0,COUNTIF(I1958,"68*")&gt;0,COUNTIF(J1958,"*68*")&gt;0,COUNTIF(I1958,"78*")&gt;0,COUNTIF(J1958,"*78*")&gt;0,COUNTIF(I1958,"81*")&gt;0,COUNTIF(J1958,"*81*")&gt;0,COUNTIF(I1958,"82*")&gt;0,COUNTIF(J1958,"*82*")&gt;0,COUNTIF(I1958,"64*")&gt;0,COUNTIF(J1958,"*64*")&gt;0,COUNTIF(I1958,"65*")&gt;0,COUNTIF(J1958,"*65*")&gt;0,COUNTIF(I1958,"66*")&gt;0,COUNTIF(J1958,"*66*")&gt;0,COUNTIF(I1958,"61*")&gt;0,COUNTIF(J1958,"*61*")&gt;0,COUNTIF(I1958,"62*")&gt;0,COUNTIF(J1958,"*62*")&gt;0,COUNTIF(I1958,"63*")&gt;0,COUNTIF(J1958,"*63*")&gt;0,COUNTIF(I1958,"85*")&gt;0,COUNTIF(J1958,"*85*")&gt;0,COUNTIF(I1958,"86*")&gt;0,COUNTIF(J1958,"*86*")&gt;0),"Да","Нет"))</f>
        <v/>
      </c>
      <c r="M1958" s="13">
        <f>IF(OR(G1958="",L1958&lt;&gt;"Да"),"",IF(G1958&lt;=100,"До 100",IF(G1958&lt;=200,"До 200",IF(G1958&lt;=500,"До 500","Отдельное КП"))))</f>
        <v/>
      </c>
      <c r="N1958" s="15">
        <f>IF(OR(G1958="",L1958&lt;&gt;"Да"),"",IF(G1958&lt;=100,33600,IF(G1958&lt;=200,62400,IF(G1958&lt;=500,144000,""))))</f>
        <v/>
      </c>
      <c r="O1958" s="16">
        <f>IF(G1958="","",IF(G1958&lt;=15,"1–15",IF(G1958&lt;=30,"16–30",IF(G1958&lt;=50,"31–50",IF(G1958&lt;=100,"51–100",IF(G1958&lt;=150,"101–150",IF(G1958&lt;=200,"151–200",IF(G1958&lt;=500,"201–500","500+"))))))))</f>
        <v/>
      </c>
      <c r="P1958" s="16" t="inlineStr">
        <is>
          <t>Нет совпадения в предоставленной выгрузке ССЧР</t>
        </is>
      </c>
      <c r="Q1958" s="16" t="n"/>
      <c r="R1958" s="16">
        <f>HYPERLINK("https://checko.ru/search?query=3801001629","Чекко: проверить")</f>
        <v/>
      </c>
      <c r="S1958" t="n">
        <v>0</v>
      </c>
    </row>
    <row r="1959" ht="68.25" customHeight="1" s="24">
      <c r="A1959" s="13" t="n">
        <v>5000081923</v>
      </c>
      <c r="B1959" s="13" t="inlineStr">
        <is>
          <t>МУНИЦИПАЛЬНОЕ БЮДЖЕТНОЕ ОБЩЕОБРАЗОВАТЕЛЬНОЕ УЧРЕЖДЕНИЕ "СРЕДНЯЯ ОБЩЕОБРАЗОВАТЕЛЬНАЯ ШКОЛА №5 ИМЕНИ ГЕРОЯ СОВЕТСКОГО СОЮЗА ВИКТОРА КУЗЬМИЧА БОЙЧЕНКО"</t>
        </is>
      </c>
      <c r="C1959" s="13" t="n">
        <v>709006010</v>
      </c>
      <c r="D1959" s="13" t="n"/>
      <c r="E1959" s="13" t="inlineStr">
        <is>
          <t>Не определён</t>
        </is>
      </c>
      <c r="F1959" s="13" t="inlineStr">
        <is>
          <t>709006010</t>
        </is>
      </c>
      <c r="G1959" s="14" t="n"/>
      <c r="H1959" s="14" t="n"/>
      <c r="I1959" s="14" t="n"/>
      <c r="J1959" s="14" t="n"/>
      <c r="K1959" s="13">
        <f>IF(G1959="","",IF(G1959&gt;=22,"Да","Нет"))</f>
        <v/>
      </c>
      <c r="L1959" s="13">
        <f>IF(OR(I1959="",J1959=""),"Не определено",IF(OR(COUNTIF(I1959,"45*")&gt;0,COUNTIF(J1959,"*45*")&gt;0,COUNTIF(I1959,"46*")&gt;0,COUNTIF(J1959,"*46*")&gt;0,COUNTIF(I1959,"47*")&gt;0,COUNTIF(J1959,"*47*")&gt;0,COUNTIF(I1959,"10*")&gt;0,COUNTIF(J1959,"*10*")&gt;0,COUNTIF(I1959,"11*")&gt;0,COUNTIF(J1959,"*11*")&gt;0,COUNTIF(I1959,"12*")&gt;0,COUNTIF(J1959,"*12*")&gt;0,COUNTIF(I1959,"13*")&gt;0,COUNTIF(J1959,"*13*")&gt;0,COUNTIF(I1959,"14*")&gt;0,COUNTIF(J1959,"*14*")&gt;0,COUNTIF(I1959,"15*")&gt;0,COUNTIF(J1959,"*15*")&gt;0,COUNTIF(I1959,"16*")&gt;0,COUNTIF(J1959,"*16*")&gt;0,COUNTIF(I1959,"17*")&gt;0,COUNTIF(J1959,"*17*")&gt;0,COUNTIF(I1959,"18*")&gt;0,COUNTIF(J1959,"*18*")&gt;0,COUNTIF(I1959,"19*")&gt;0,COUNTIF(J1959,"*19*")&gt;0,COUNTIF(I1959,"20*")&gt;0,COUNTIF(J1959,"*20*")&gt;0,COUNTIF(I1959,"21*")&gt;0,COUNTIF(J1959,"*21*")&gt;0,COUNTIF(I1959,"22*")&gt;0,COUNTIF(J1959,"*22*")&gt;0,COUNTIF(I1959,"23*")&gt;0,COUNTIF(J1959,"*23*")&gt;0,COUNTIF(I1959,"24*")&gt;0,COUNTIF(J1959,"*24*")&gt;0,COUNTIF(I1959,"25*")&gt;0,COUNTIF(J1959,"*25*")&gt;0,COUNTIF(I1959,"26*")&gt;0,COUNTIF(J1959,"*26*")&gt;0,COUNTIF(I1959,"27*")&gt;0,COUNTIF(J1959,"*27*")&gt;0,COUNTIF(I1959,"28*")&gt;0,COUNTIF(J1959,"*28*")&gt;0,COUNTIF(I1959,"29*")&gt;0,COUNTIF(J1959,"*29*")&gt;0,COUNTIF(I1959,"30*")&gt;0,COUNTIF(J1959,"*30*")&gt;0,COUNTIF(I1959,"31*")&gt;0,COUNTIF(J1959,"*31*")&gt;0,COUNTIF(I1959,"32*")&gt;0,COUNTIF(J1959,"*32*")&gt;0,COUNTIF(I1959,"33*")&gt;0,COUNTIF(J1959,"*33*")&gt;0,COUNTIF(I1959,"41*")&gt;0,COUNTIF(J1959,"*41*")&gt;0,COUNTIF(I1959,"42*")&gt;0,COUNTIF(J1959,"*42*")&gt;0,COUNTIF(I1959,"43*")&gt;0,COUNTIF(J1959,"*43*")&gt;0,COUNTIF(I1959,"49*")&gt;0,COUNTIF(J1959,"*49*")&gt;0,COUNTIF(I1959,"52*")&gt;0,COUNTIF(J1959,"*52*")&gt;0,COUNTIF(I1959,"55*")&gt;0,COUNTIF(J1959,"*55*")&gt;0,COUNTIF(I1959,"56*")&gt;0,COUNTIF(J1959,"*56*")&gt;0,COUNTIF(I1959,"68*")&gt;0,COUNTIF(J1959,"*68*")&gt;0,COUNTIF(I1959,"78*")&gt;0,COUNTIF(J1959,"*78*")&gt;0,COUNTIF(I1959,"81*")&gt;0,COUNTIF(J1959,"*81*")&gt;0,COUNTIF(I1959,"82*")&gt;0,COUNTIF(J1959,"*82*")&gt;0,COUNTIF(I1959,"64*")&gt;0,COUNTIF(J1959,"*64*")&gt;0,COUNTIF(I1959,"65*")&gt;0,COUNTIF(J1959,"*65*")&gt;0,COUNTIF(I1959,"66*")&gt;0,COUNTIF(J1959,"*66*")&gt;0,COUNTIF(I1959,"61*")&gt;0,COUNTIF(J1959,"*61*")&gt;0,COUNTIF(I1959,"62*")&gt;0,COUNTIF(J1959,"*62*")&gt;0,COUNTIF(I1959,"63*")&gt;0,COUNTIF(J1959,"*63*")&gt;0,COUNTIF(I1959,"85*")&gt;0,COUNTIF(J1959,"*85*")&gt;0,COUNTIF(I1959,"86*")&gt;0,COUNTIF(J1959,"*86*")&gt;0),"Да","Нет"))</f>
        <v/>
      </c>
      <c r="M1959" s="13">
        <f>IF(OR(G1959="",L1959&lt;&gt;"Да"),"",IF(G1959&lt;=100,"До 100",IF(G1959&lt;=200,"До 200",IF(G1959&lt;=500,"До 500","Отдельное КП"))))</f>
        <v/>
      </c>
      <c r="N1959" s="15">
        <f>IF(OR(G1959="",L1959&lt;&gt;"Да"),"",IF(G1959&lt;=100,33600,IF(G1959&lt;=200,62400,IF(G1959&lt;=500,144000,""))))</f>
        <v/>
      </c>
      <c r="O1959" s="16">
        <f>IF(G1959="","",IF(G1959&lt;=15,"1–15",IF(G1959&lt;=30,"16–30",IF(G1959&lt;=50,"31–50",IF(G1959&lt;=100,"51–100",IF(G1959&lt;=150,"101–150",IF(G1959&lt;=200,"151–200",IF(G1959&lt;=500,"201–500","500+"))))))))</f>
        <v/>
      </c>
      <c r="P1959" s="16" t="inlineStr">
        <is>
          <t>Нет совпадения в предоставленной выгрузке ССЧР</t>
        </is>
      </c>
      <c r="Q1959" s="16" t="n"/>
      <c r="R1959" s="16">
        <f>HYPERLINK("https://checko.ru/search?query=3801001629","Чекко: проверить")</f>
        <v/>
      </c>
      <c r="S1959" t="n">
        <v>0</v>
      </c>
    </row>
    <row r="1960" ht="41.25" customHeight="1" s="24">
      <c r="A1960" s="13" t="n">
        <v>5000081924</v>
      </c>
      <c r="B1960" s="13" t="inlineStr">
        <is>
          <t>МУНИЦИПАЛЬНОЕ БЮДЖЕТНОЕ ОБЩЕОБРАЗОВАТЕЛЬНОЕ УЧРЕЖДЕНИЕ "ГИМНАЗИЯ №6"</t>
        </is>
      </c>
      <c r="C1960" s="13" t="n">
        <v>709006041</v>
      </c>
      <c r="D1960" s="13" t="n"/>
      <c r="E1960" s="13" t="inlineStr">
        <is>
          <t>Не определён</t>
        </is>
      </c>
      <c r="F1960" s="13" t="inlineStr">
        <is>
          <t>709006041</t>
        </is>
      </c>
      <c r="G1960" s="14" t="n"/>
      <c r="H1960" s="14" t="n"/>
      <c r="I1960" s="14" t="n"/>
      <c r="J1960" s="14" t="n"/>
      <c r="K1960" s="13">
        <f>IF(G1960="","",IF(G1960&gt;=22,"Да","Нет"))</f>
        <v/>
      </c>
      <c r="L1960" s="13">
        <f>IF(OR(I1960="",J1960=""),"Не определено",IF(OR(COUNTIF(I1960,"45*")&gt;0,COUNTIF(J1960,"*45*")&gt;0,COUNTIF(I1960,"46*")&gt;0,COUNTIF(J1960,"*46*")&gt;0,COUNTIF(I1960,"47*")&gt;0,COUNTIF(J1960,"*47*")&gt;0,COUNTIF(I1960,"10*")&gt;0,COUNTIF(J1960,"*10*")&gt;0,COUNTIF(I1960,"11*")&gt;0,COUNTIF(J1960,"*11*")&gt;0,COUNTIF(I1960,"12*")&gt;0,COUNTIF(J1960,"*12*")&gt;0,COUNTIF(I1960,"13*")&gt;0,COUNTIF(J1960,"*13*")&gt;0,COUNTIF(I1960,"14*")&gt;0,COUNTIF(J1960,"*14*")&gt;0,COUNTIF(I1960,"15*")&gt;0,COUNTIF(J1960,"*15*")&gt;0,COUNTIF(I1960,"16*")&gt;0,COUNTIF(J1960,"*16*")&gt;0,COUNTIF(I1960,"17*")&gt;0,COUNTIF(J1960,"*17*")&gt;0,COUNTIF(I1960,"18*")&gt;0,COUNTIF(J1960,"*18*")&gt;0,COUNTIF(I1960,"19*")&gt;0,COUNTIF(J1960,"*19*")&gt;0,COUNTIF(I1960,"20*")&gt;0,COUNTIF(J1960,"*20*")&gt;0,COUNTIF(I1960,"21*")&gt;0,COUNTIF(J1960,"*21*")&gt;0,COUNTIF(I1960,"22*")&gt;0,COUNTIF(J1960,"*22*")&gt;0,COUNTIF(I1960,"23*")&gt;0,COUNTIF(J1960,"*23*")&gt;0,COUNTIF(I1960,"24*")&gt;0,COUNTIF(J1960,"*24*")&gt;0,COUNTIF(I1960,"25*")&gt;0,COUNTIF(J1960,"*25*")&gt;0,COUNTIF(I1960,"26*")&gt;0,COUNTIF(J1960,"*26*")&gt;0,COUNTIF(I1960,"27*")&gt;0,COUNTIF(J1960,"*27*")&gt;0,COUNTIF(I1960,"28*")&gt;0,COUNTIF(J1960,"*28*")&gt;0,COUNTIF(I1960,"29*")&gt;0,COUNTIF(J1960,"*29*")&gt;0,COUNTIF(I1960,"30*")&gt;0,COUNTIF(J1960,"*30*")&gt;0,COUNTIF(I1960,"31*")&gt;0,COUNTIF(J1960,"*31*")&gt;0,COUNTIF(I1960,"32*")&gt;0,COUNTIF(J1960,"*32*")&gt;0,COUNTIF(I1960,"33*")&gt;0,COUNTIF(J1960,"*33*")&gt;0,COUNTIF(I1960,"41*")&gt;0,COUNTIF(J1960,"*41*")&gt;0,COUNTIF(I1960,"42*")&gt;0,COUNTIF(J1960,"*42*")&gt;0,COUNTIF(I1960,"43*")&gt;0,COUNTIF(J1960,"*43*")&gt;0,COUNTIF(I1960,"49*")&gt;0,COUNTIF(J1960,"*49*")&gt;0,COUNTIF(I1960,"52*")&gt;0,COUNTIF(J1960,"*52*")&gt;0,COUNTIF(I1960,"55*")&gt;0,COUNTIF(J1960,"*55*")&gt;0,COUNTIF(I1960,"56*")&gt;0,COUNTIF(J1960,"*56*")&gt;0,COUNTIF(I1960,"68*")&gt;0,COUNTIF(J1960,"*68*")&gt;0,COUNTIF(I1960,"78*")&gt;0,COUNTIF(J1960,"*78*")&gt;0,COUNTIF(I1960,"81*")&gt;0,COUNTIF(J1960,"*81*")&gt;0,COUNTIF(I1960,"82*")&gt;0,COUNTIF(J1960,"*82*")&gt;0,COUNTIF(I1960,"64*")&gt;0,COUNTIF(J1960,"*64*")&gt;0,COUNTIF(I1960,"65*")&gt;0,COUNTIF(J1960,"*65*")&gt;0,COUNTIF(I1960,"66*")&gt;0,COUNTIF(J1960,"*66*")&gt;0,COUNTIF(I1960,"61*")&gt;0,COUNTIF(J1960,"*61*")&gt;0,COUNTIF(I1960,"62*")&gt;0,COUNTIF(J1960,"*62*")&gt;0,COUNTIF(I1960,"63*")&gt;0,COUNTIF(J1960,"*63*")&gt;0,COUNTIF(I1960,"85*")&gt;0,COUNTIF(J1960,"*85*")&gt;0,COUNTIF(I1960,"86*")&gt;0,COUNTIF(J1960,"*86*")&gt;0),"Да","Нет"))</f>
        <v/>
      </c>
      <c r="M1960" s="13">
        <f>IF(OR(G1960="",L1960&lt;&gt;"Да"),"",IF(G1960&lt;=100,"До 100",IF(G1960&lt;=200,"До 200",IF(G1960&lt;=500,"До 500","Отдельное КП"))))</f>
        <v/>
      </c>
      <c r="N1960" s="15">
        <f>IF(OR(G1960="",L1960&lt;&gt;"Да"),"",IF(G1960&lt;=100,33600,IF(G1960&lt;=200,62400,IF(G1960&lt;=500,144000,""))))</f>
        <v/>
      </c>
      <c r="O1960" s="16">
        <f>IF(G1960="","",IF(G1960&lt;=15,"1–15",IF(G1960&lt;=30,"16–30",IF(G1960&lt;=50,"31–50",IF(G1960&lt;=100,"51–100",IF(G1960&lt;=150,"101–150",IF(G1960&lt;=200,"151–200",IF(G1960&lt;=500,"201–500","500+"))))))))</f>
        <v/>
      </c>
      <c r="P1960" s="16" t="inlineStr">
        <is>
          <t>Нет совпадения в предоставленной выгрузке ССЧР</t>
        </is>
      </c>
      <c r="Q1960" s="16" t="n"/>
      <c r="R1960" s="16">
        <f>HYPERLINK("https://checko.ru/search?query=3801001629","Чекко: проверить")</f>
        <v/>
      </c>
      <c r="S1960" t="n">
        <v>0</v>
      </c>
    </row>
    <row r="1961" ht="54.75" customHeight="1" s="24">
      <c r="A1961" s="13" t="n">
        <v>5000081925</v>
      </c>
      <c r="B1961" s="13" t="inlineStr">
        <is>
          <t>МУНИЦИПАЛЬНОЕ БЮДЖЕТНОЕ ОБЩЕОБРАЗОВАТЕЛЬНОЕ УЧРЕЖДЕНИЕ "СРЕДНЯЯ ОБЩЕОБРАЗОВАТЕЛЬНАЯ ШКОЛА №8 ИМЕНИ А.С.ПУШКИНА"</t>
        </is>
      </c>
      <c r="C1961" s="13" t="n">
        <v>709005993</v>
      </c>
      <c r="D1961" s="13" t="n"/>
      <c r="E1961" s="13" t="inlineStr">
        <is>
          <t>Не определён</t>
        </is>
      </c>
      <c r="F1961" s="13" t="inlineStr">
        <is>
          <t>709005993</t>
        </is>
      </c>
      <c r="G1961" s="14" t="n"/>
      <c r="H1961" s="14" t="n"/>
      <c r="I1961" s="14" t="n"/>
      <c r="J1961" s="14" t="n"/>
      <c r="K1961" s="13">
        <f>IF(G1961="","",IF(G1961&gt;=22,"Да","Нет"))</f>
        <v/>
      </c>
      <c r="L1961" s="13">
        <f>IF(OR(I1961="",J1961=""),"Не определено",IF(OR(COUNTIF(I1961,"45*")&gt;0,COUNTIF(J1961,"*45*")&gt;0,COUNTIF(I1961,"46*")&gt;0,COUNTIF(J1961,"*46*")&gt;0,COUNTIF(I1961,"47*")&gt;0,COUNTIF(J1961,"*47*")&gt;0,COUNTIF(I1961,"10*")&gt;0,COUNTIF(J1961,"*10*")&gt;0,COUNTIF(I1961,"11*")&gt;0,COUNTIF(J1961,"*11*")&gt;0,COUNTIF(I1961,"12*")&gt;0,COUNTIF(J1961,"*12*")&gt;0,COUNTIF(I1961,"13*")&gt;0,COUNTIF(J1961,"*13*")&gt;0,COUNTIF(I1961,"14*")&gt;0,COUNTIF(J1961,"*14*")&gt;0,COUNTIF(I1961,"15*")&gt;0,COUNTIF(J1961,"*15*")&gt;0,COUNTIF(I1961,"16*")&gt;0,COUNTIF(J1961,"*16*")&gt;0,COUNTIF(I1961,"17*")&gt;0,COUNTIF(J1961,"*17*")&gt;0,COUNTIF(I1961,"18*")&gt;0,COUNTIF(J1961,"*18*")&gt;0,COUNTIF(I1961,"19*")&gt;0,COUNTIF(J1961,"*19*")&gt;0,COUNTIF(I1961,"20*")&gt;0,COUNTIF(J1961,"*20*")&gt;0,COUNTIF(I1961,"21*")&gt;0,COUNTIF(J1961,"*21*")&gt;0,COUNTIF(I1961,"22*")&gt;0,COUNTIF(J1961,"*22*")&gt;0,COUNTIF(I1961,"23*")&gt;0,COUNTIF(J1961,"*23*")&gt;0,COUNTIF(I1961,"24*")&gt;0,COUNTIF(J1961,"*24*")&gt;0,COUNTIF(I1961,"25*")&gt;0,COUNTIF(J1961,"*25*")&gt;0,COUNTIF(I1961,"26*")&gt;0,COUNTIF(J1961,"*26*")&gt;0,COUNTIF(I1961,"27*")&gt;0,COUNTIF(J1961,"*27*")&gt;0,COUNTIF(I1961,"28*")&gt;0,COUNTIF(J1961,"*28*")&gt;0,COUNTIF(I1961,"29*")&gt;0,COUNTIF(J1961,"*29*")&gt;0,COUNTIF(I1961,"30*")&gt;0,COUNTIF(J1961,"*30*")&gt;0,COUNTIF(I1961,"31*")&gt;0,COUNTIF(J1961,"*31*")&gt;0,COUNTIF(I1961,"32*")&gt;0,COUNTIF(J1961,"*32*")&gt;0,COUNTIF(I1961,"33*")&gt;0,COUNTIF(J1961,"*33*")&gt;0,COUNTIF(I1961,"41*")&gt;0,COUNTIF(J1961,"*41*")&gt;0,COUNTIF(I1961,"42*")&gt;0,COUNTIF(J1961,"*42*")&gt;0,COUNTIF(I1961,"43*")&gt;0,COUNTIF(J1961,"*43*")&gt;0,COUNTIF(I1961,"49*")&gt;0,COUNTIF(J1961,"*49*")&gt;0,COUNTIF(I1961,"52*")&gt;0,COUNTIF(J1961,"*52*")&gt;0,COUNTIF(I1961,"55*")&gt;0,COUNTIF(J1961,"*55*")&gt;0,COUNTIF(I1961,"56*")&gt;0,COUNTIF(J1961,"*56*")&gt;0,COUNTIF(I1961,"68*")&gt;0,COUNTIF(J1961,"*68*")&gt;0,COUNTIF(I1961,"78*")&gt;0,COUNTIF(J1961,"*78*")&gt;0,COUNTIF(I1961,"81*")&gt;0,COUNTIF(J1961,"*81*")&gt;0,COUNTIF(I1961,"82*")&gt;0,COUNTIF(J1961,"*82*")&gt;0,COUNTIF(I1961,"64*")&gt;0,COUNTIF(J1961,"*64*")&gt;0,COUNTIF(I1961,"65*")&gt;0,COUNTIF(J1961,"*65*")&gt;0,COUNTIF(I1961,"66*")&gt;0,COUNTIF(J1961,"*66*")&gt;0,COUNTIF(I1961,"61*")&gt;0,COUNTIF(J1961,"*61*")&gt;0,COUNTIF(I1961,"62*")&gt;0,COUNTIF(J1961,"*62*")&gt;0,COUNTIF(I1961,"63*")&gt;0,COUNTIF(J1961,"*63*")&gt;0,COUNTIF(I1961,"85*")&gt;0,COUNTIF(J1961,"*85*")&gt;0,COUNTIF(I1961,"86*")&gt;0,COUNTIF(J1961,"*86*")&gt;0),"Да","Нет"))</f>
        <v/>
      </c>
      <c r="M1961" s="13">
        <f>IF(OR(G1961="",L1961&lt;&gt;"Да"),"",IF(G1961&lt;=100,"До 100",IF(G1961&lt;=200,"До 200",IF(G1961&lt;=500,"До 500","Отдельное КП"))))</f>
        <v/>
      </c>
      <c r="N1961" s="15">
        <f>IF(OR(G1961="",L1961&lt;&gt;"Да"),"",IF(G1961&lt;=100,33600,IF(G1961&lt;=200,62400,IF(G1961&lt;=500,144000,""))))</f>
        <v/>
      </c>
      <c r="O1961" s="16">
        <f>IF(G1961="","",IF(G1961&lt;=15,"1–15",IF(G1961&lt;=30,"16–30",IF(G1961&lt;=50,"31–50",IF(G1961&lt;=100,"51–100",IF(G1961&lt;=150,"101–150",IF(G1961&lt;=200,"151–200",IF(G1961&lt;=500,"201–500","500+"))))))))</f>
        <v/>
      </c>
      <c r="P1961" s="16" t="inlineStr">
        <is>
          <t>Нет совпадения в предоставленной выгрузке ССЧР</t>
        </is>
      </c>
      <c r="Q1961" s="16" t="n"/>
      <c r="R1961" s="16">
        <f>HYPERLINK("https://checko.ru/search?query=3801001629","Чекко: проверить")</f>
        <v/>
      </c>
      <c r="S1961" t="n">
        <v>0</v>
      </c>
    </row>
    <row r="1962" ht="41.25" customHeight="1" s="24">
      <c r="A1962" s="13" t="n">
        <v>5000081926</v>
      </c>
      <c r="B1962" s="13" t="inlineStr">
        <is>
          <t>МУНИЦИПАЛЬНОЕ КАЗЕННОЕ ОБЩЕОБРАЗОВАТЕЛЬНОЕ УЧРЕЖДЕНИЕ "СРЕДНЯЯ ОБЩЕОБРАЗОВАТЕЛЬНАЯ ШКОЛА №11"</t>
        </is>
      </c>
      <c r="C1962" s="13" t="n">
        <v>709005986</v>
      </c>
      <c r="D1962" s="13" t="n"/>
      <c r="E1962" s="13" t="inlineStr">
        <is>
          <t>Не определён</t>
        </is>
      </c>
      <c r="F1962" s="13" t="inlineStr">
        <is>
          <t>709005986</t>
        </is>
      </c>
      <c r="G1962" s="14" t="n"/>
      <c r="H1962" s="14" t="n"/>
      <c r="I1962" s="14" t="n"/>
      <c r="J1962" s="14" t="n"/>
      <c r="K1962" s="13">
        <f>IF(G1962="","",IF(G1962&gt;=22,"Да","Нет"))</f>
        <v/>
      </c>
      <c r="L1962" s="13">
        <f>IF(OR(I1962="",J1962=""),"Не определено",IF(OR(COUNTIF(I1962,"45*")&gt;0,COUNTIF(J1962,"*45*")&gt;0,COUNTIF(I1962,"46*")&gt;0,COUNTIF(J1962,"*46*")&gt;0,COUNTIF(I1962,"47*")&gt;0,COUNTIF(J1962,"*47*")&gt;0,COUNTIF(I1962,"10*")&gt;0,COUNTIF(J1962,"*10*")&gt;0,COUNTIF(I1962,"11*")&gt;0,COUNTIF(J1962,"*11*")&gt;0,COUNTIF(I1962,"12*")&gt;0,COUNTIF(J1962,"*12*")&gt;0,COUNTIF(I1962,"13*")&gt;0,COUNTIF(J1962,"*13*")&gt;0,COUNTIF(I1962,"14*")&gt;0,COUNTIF(J1962,"*14*")&gt;0,COUNTIF(I1962,"15*")&gt;0,COUNTIF(J1962,"*15*")&gt;0,COUNTIF(I1962,"16*")&gt;0,COUNTIF(J1962,"*16*")&gt;0,COUNTIF(I1962,"17*")&gt;0,COUNTIF(J1962,"*17*")&gt;0,COUNTIF(I1962,"18*")&gt;0,COUNTIF(J1962,"*18*")&gt;0,COUNTIF(I1962,"19*")&gt;0,COUNTIF(J1962,"*19*")&gt;0,COUNTIF(I1962,"20*")&gt;0,COUNTIF(J1962,"*20*")&gt;0,COUNTIF(I1962,"21*")&gt;0,COUNTIF(J1962,"*21*")&gt;0,COUNTIF(I1962,"22*")&gt;0,COUNTIF(J1962,"*22*")&gt;0,COUNTIF(I1962,"23*")&gt;0,COUNTIF(J1962,"*23*")&gt;0,COUNTIF(I1962,"24*")&gt;0,COUNTIF(J1962,"*24*")&gt;0,COUNTIF(I1962,"25*")&gt;0,COUNTIF(J1962,"*25*")&gt;0,COUNTIF(I1962,"26*")&gt;0,COUNTIF(J1962,"*26*")&gt;0,COUNTIF(I1962,"27*")&gt;0,COUNTIF(J1962,"*27*")&gt;0,COUNTIF(I1962,"28*")&gt;0,COUNTIF(J1962,"*28*")&gt;0,COUNTIF(I1962,"29*")&gt;0,COUNTIF(J1962,"*29*")&gt;0,COUNTIF(I1962,"30*")&gt;0,COUNTIF(J1962,"*30*")&gt;0,COUNTIF(I1962,"31*")&gt;0,COUNTIF(J1962,"*31*")&gt;0,COUNTIF(I1962,"32*")&gt;0,COUNTIF(J1962,"*32*")&gt;0,COUNTIF(I1962,"33*")&gt;0,COUNTIF(J1962,"*33*")&gt;0,COUNTIF(I1962,"41*")&gt;0,COUNTIF(J1962,"*41*")&gt;0,COUNTIF(I1962,"42*")&gt;0,COUNTIF(J1962,"*42*")&gt;0,COUNTIF(I1962,"43*")&gt;0,COUNTIF(J1962,"*43*")&gt;0,COUNTIF(I1962,"49*")&gt;0,COUNTIF(J1962,"*49*")&gt;0,COUNTIF(I1962,"52*")&gt;0,COUNTIF(J1962,"*52*")&gt;0,COUNTIF(I1962,"55*")&gt;0,COUNTIF(J1962,"*55*")&gt;0,COUNTIF(I1962,"56*")&gt;0,COUNTIF(J1962,"*56*")&gt;0,COUNTIF(I1962,"68*")&gt;0,COUNTIF(J1962,"*68*")&gt;0,COUNTIF(I1962,"78*")&gt;0,COUNTIF(J1962,"*78*")&gt;0,COUNTIF(I1962,"81*")&gt;0,COUNTIF(J1962,"*81*")&gt;0,COUNTIF(I1962,"82*")&gt;0,COUNTIF(J1962,"*82*")&gt;0,COUNTIF(I1962,"64*")&gt;0,COUNTIF(J1962,"*64*")&gt;0,COUNTIF(I1962,"65*")&gt;0,COUNTIF(J1962,"*65*")&gt;0,COUNTIF(I1962,"66*")&gt;0,COUNTIF(J1962,"*66*")&gt;0,COUNTIF(I1962,"61*")&gt;0,COUNTIF(J1962,"*61*")&gt;0,COUNTIF(I1962,"62*")&gt;0,COUNTIF(J1962,"*62*")&gt;0,COUNTIF(I1962,"63*")&gt;0,COUNTIF(J1962,"*63*")&gt;0,COUNTIF(I1962,"85*")&gt;0,COUNTIF(J1962,"*85*")&gt;0,COUNTIF(I1962,"86*")&gt;0,COUNTIF(J1962,"*86*")&gt;0),"Да","Нет"))</f>
        <v/>
      </c>
      <c r="M1962" s="13">
        <f>IF(OR(G1962="",L1962&lt;&gt;"Да"),"",IF(G1962&lt;=100,"До 100",IF(G1962&lt;=200,"До 200",IF(G1962&lt;=500,"До 500","Отдельное КП"))))</f>
        <v/>
      </c>
      <c r="N1962" s="15">
        <f>IF(OR(G1962="",L1962&lt;&gt;"Да"),"",IF(G1962&lt;=100,33600,IF(G1962&lt;=200,62400,IF(G1962&lt;=500,144000,""))))</f>
        <v/>
      </c>
      <c r="O1962" s="16">
        <f>IF(G1962="","",IF(G1962&lt;=15,"1–15",IF(G1962&lt;=30,"16–30",IF(G1962&lt;=50,"31–50",IF(G1962&lt;=100,"51–100",IF(G1962&lt;=150,"101–150",IF(G1962&lt;=200,"151–200",IF(G1962&lt;=500,"201–500","500+"))))))))</f>
        <v/>
      </c>
      <c r="P1962" s="16" t="inlineStr">
        <is>
          <t>Нет совпадения в предоставленной выгрузке ССЧР</t>
        </is>
      </c>
      <c r="Q1962" s="16" t="n"/>
      <c r="R1962" s="16">
        <f>HYPERLINK("https://checko.ru/search?query=3801001629","Чекко: проверить")</f>
        <v/>
      </c>
      <c r="S1962" t="n">
        <v>0</v>
      </c>
    </row>
    <row r="1963" ht="68.25" customHeight="1" s="24">
      <c r="A1963" s="13" t="n">
        <v>5000081927</v>
      </c>
      <c r="B1963" s="13" t="inlineStr">
        <is>
          <t>МУНИЦИПАЛЬНОЕ КАЗЕННОЕ ОБЩЕОБРАЗОВАТЕЛЬНОЕ УЧРЕЖДЕНИЕ "СРЕДНЯЯ ОБЩЕОБРАЗОВАТЕЛЬНАЯ ШКОЛА №42" ГОРОДА ПРОХЛАДНОГО КАБАРДИНО-БАЛКАРСКОЙ РЕСПУБЛИКИ</t>
        </is>
      </c>
      <c r="C1963" s="13" t="n">
        <v>709006034</v>
      </c>
      <c r="D1963" s="13" t="n"/>
      <c r="E1963" s="13" t="inlineStr">
        <is>
          <t>Не определён</t>
        </is>
      </c>
      <c r="F1963" s="13" t="inlineStr">
        <is>
          <t>709006034</t>
        </is>
      </c>
      <c r="G1963" s="14" t="n"/>
      <c r="H1963" s="14" t="n"/>
      <c r="I1963" s="14" t="n"/>
      <c r="J1963" s="14" t="n"/>
      <c r="K1963" s="13">
        <f>IF(G1963="","",IF(G1963&gt;=22,"Да","Нет"))</f>
        <v/>
      </c>
      <c r="L1963" s="13">
        <f>IF(OR(I1963="",J1963=""),"Не определено",IF(OR(COUNTIF(I1963,"45*")&gt;0,COUNTIF(J1963,"*45*")&gt;0,COUNTIF(I1963,"46*")&gt;0,COUNTIF(J1963,"*46*")&gt;0,COUNTIF(I1963,"47*")&gt;0,COUNTIF(J1963,"*47*")&gt;0,COUNTIF(I1963,"10*")&gt;0,COUNTIF(J1963,"*10*")&gt;0,COUNTIF(I1963,"11*")&gt;0,COUNTIF(J1963,"*11*")&gt;0,COUNTIF(I1963,"12*")&gt;0,COUNTIF(J1963,"*12*")&gt;0,COUNTIF(I1963,"13*")&gt;0,COUNTIF(J1963,"*13*")&gt;0,COUNTIF(I1963,"14*")&gt;0,COUNTIF(J1963,"*14*")&gt;0,COUNTIF(I1963,"15*")&gt;0,COUNTIF(J1963,"*15*")&gt;0,COUNTIF(I1963,"16*")&gt;0,COUNTIF(J1963,"*16*")&gt;0,COUNTIF(I1963,"17*")&gt;0,COUNTIF(J1963,"*17*")&gt;0,COUNTIF(I1963,"18*")&gt;0,COUNTIF(J1963,"*18*")&gt;0,COUNTIF(I1963,"19*")&gt;0,COUNTIF(J1963,"*19*")&gt;0,COUNTIF(I1963,"20*")&gt;0,COUNTIF(J1963,"*20*")&gt;0,COUNTIF(I1963,"21*")&gt;0,COUNTIF(J1963,"*21*")&gt;0,COUNTIF(I1963,"22*")&gt;0,COUNTIF(J1963,"*22*")&gt;0,COUNTIF(I1963,"23*")&gt;0,COUNTIF(J1963,"*23*")&gt;0,COUNTIF(I1963,"24*")&gt;0,COUNTIF(J1963,"*24*")&gt;0,COUNTIF(I1963,"25*")&gt;0,COUNTIF(J1963,"*25*")&gt;0,COUNTIF(I1963,"26*")&gt;0,COUNTIF(J1963,"*26*")&gt;0,COUNTIF(I1963,"27*")&gt;0,COUNTIF(J1963,"*27*")&gt;0,COUNTIF(I1963,"28*")&gt;0,COUNTIF(J1963,"*28*")&gt;0,COUNTIF(I1963,"29*")&gt;0,COUNTIF(J1963,"*29*")&gt;0,COUNTIF(I1963,"30*")&gt;0,COUNTIF(J1963,"*30*")&gt;0,COUNTIF(I1963,"31*")&gt;0,COUNTIF(J1963,"*31*")&gt;0,COUNTIF(I1963,"32*")&gt;0,COUNTIF(J1963,"*32*")&gt;0,COUNTIF(I1963,"33*")&gt;0,COUNTIF(J1963,"*33*")&gt;0,COUNTIF(I1963,"41*")&gt;0,COUNTIF(J1963,"*41*")&gt;0,COUNTIF(I1963,"42*")&gt;0,COUNTIF(J1963,"*42*")&gt;0,COUNTIF(I1963,"43*")&gt;0,COUNTIF(J1963,"*43*")&gt;0,COUNTIF(I1963,"49*")&gt;0,COUNTIF(J1963,"*49*")&gt;0,COUNTIF(I1963,"52*")&gt;0,COUNTIF(J1963,"*52*")&gt;0,COUNTIF(I1963,"55*")&gt;0,COUNTIF(J1963,"*55*")&gt;0,COUNTIF(I1963,"56*")&gt;0,COUNTIF(J1963,"*56*")&gt;0,COUNTIF(I1963,"68*")&gt;0,COUNTIF(J1963,"*68*")&gt;0,COUNTIF(I1963,"78*")&gt;0,COUNTIF(J1963,"*78*")&gt;0,COUNTIF(I1963,"81*")&gt;0,COUNTIF(J1963,"*81*")&gt;0,COUNTIF(I1963,"82*")&gt;0,COUNTIF(J1963,"*82*")&gt;0,COUNTIF(I1963,"64*")&gt;0,COUNTIF(J1963,"*64*")&gt;0,COUNTIF(I1963,"65*")&gt;0,COUNTIF(J1963,"*65*")&gt;0,COUNTIF(I1963,"66*")&gt;0,COUNTIF(J1963,"*66*")&gt;0,COUNTIF(I1963,"61*")&gt;0,COUNTIF(J1963,"*61*")&gt;0,COUNTIF(I1963,"62*")&gt;0,COUNTIF(J1963,"*62*")&gt;0,COUNTIF(I1963,"63*")&gt;0,COUNTIF(J1963,"*63*")&gt;0,COUNTIF(I1963,"85*")&gt;0,COUNTIF(J1963,"*85*")&gt;0,COUNTIF(I1963,"86*")&gt;0,COUNTIF(J1963,"*86*")&gt;0),"Да","Нет"))</f>
        <v/>
      </c>
      <c r="M1963" s="13">
        <f>IF(OR(G1963="",L1963&lt;&gt;"Да"),"",IF(G1963&lt;=100,"До 100",IF(G1963&lt;=200,"До 200",IF(G1963&lt;=500,"До 500","Отдельное КП"))))</f>
        <v/>
      </c>
      <c r="N1963" s="15">
        <f>IF(OR(G1963="",L1963&lt;&gt;"Да"),"",IF(G1963&lt;=100,33600,IF(G1963&lt;=200,62400,IF(G1963&lt;=500,144000,""))))</f>
        <v/>
      </c>
      <c r="O1963" s="16">
        <f>IF(G1963="","",IF(G1963&lt;=15,"1–15",IF(G1963&lt;=30,"16–30",IF(G1963&lt;=50,"31–50",IF(G1963&lt;=100,"51–100",IF(G1963&lt;=150,"101–150",IF(G1963&lt;=200,"151–200",IF(G1963&lt;=500,"201–500","500+"))))))))</f>
        <v/>
      </c>
      <c r="P1963" s="16" t="inlineStr">
        <is>
          <t>Нет совпадения в предоставленной выгрузке ССЧР</t>
        </is>
      </c>
      <c r="Q1963" s="16" t="n"/>
      <c r="R1963" s="16">
        <f>HYPERLINK("https://checko.ru/search?query=3801001629","Чекко: проверить")</f>
        <v/>
      </c>
      <c r="S1963" t="n">
        <v>0</v>
      </c>
    </row>
    <row r="1964" ht="68.25" customHeight="1" s="24">
      <c r="A1964" s="13" t="n">
        <v>5000081928</v>
      </c>
      <c r="B1964" s="13" t="inlineStr">
        <is>
          <t>МУНИЦИПАЛЬНОЕ БЮДЖЕТНОЕ ОБЩЕОБРАЗОВАТЕЛЬНОЕ УЧРЕЖДЕНИЕ"СРЕДНЯЯ ОБЩЕОБРАЗОВАТЕЛЬНАЯ ШКОЛА №102 ИМЕНИ А.В.КРЕСТЬЯНИНОВА" ГОРОДСКОГО ОКРУГА ПРОХЛАДНЫЙ КБ</t>
        </is>
      </c>
      <c r="C1964" s="13" t="n">
        <v>709006002</v>
      </c>
      <c r="D1964" s="13" t="n"/>
      <c r="E1964" s="13" t="inlineStr">
        <is>
          <t>Не определён</t>
        </is>
      </c>
      <c r="F1964" s="13" t="inlineStr">
        <is>
          <t>709006002</t>
        </is>
      </c>
      <c r="G1964" s="14" t="n"/>
      <c r="H1964" s="14" t="n"/>
      <c r="I1964" s="14" t="n"/>
      <c r="J1964" s="14" t="n"/>
      <c r="K1964" s="13">
        <f>IF(G1964="","",IF(G1964&gt;=22,"Да","Нет"))</f>
        <v/>
      </c>
      <c r="L1964" s="13">
        <f>IF(OR(I1964="",J1964=""),"Не определено",IF(OR(COUNTIF(I1964,"45*")&gt;0,COUNTIF(J1964,"*45*")&gt;0,COUNTIF(I1964,"46*")&gt;0,COUNTIF(J1964,"*46*")&gt;0,COUNTIF(I1964,"47*")&gt;0,COUNTIF(J1964,"*47*")&gt;0,COUNTIF(I1964,"10*")&gt;0,COUNTIF(J1964,"*10*")&gt;0,COUNTIF(I1964,"11*")&gt;0,COUNTIF(J1964,"*11*")&gt;0,COUNTIF(I1964,"12*")&gt;0,COUNTIF(J1964,"*12*")&gt;0,COUNTIF(I1964,"13*")&gt;0,COUNTIF(J1964,"*13*")&gt;0,COUNTIF(I1964,"14*")&gt;0,COUNTIF(J1964,"*14*")&gt;0,COUNTIF(I1964,"15*")&gt;0,COUNTIF(J1964,"*15*")&gt;0,COUNTIF(I1964,"16*")&gt;0,COUNTIF(J1964,"*16*")&gt;0,COUNTIF(I1964,"17*")&gt;0,COUNTIF(J1964,"*17*")&gt;0,COUNTIF(I1964,"18*")&gt;0,COUNTIF(J1964,"*18*")&gt;0,COUNTIF(I1964,"19*")&gt;0,COUNTIF(J1964,"*19*")&gt;0,COUNTIF(I1964,"20*")&gt;0,COUNTIF(J1964,"*20*")&gt;0,COUNTIF(I1964,"21*")&gt;0,COUNTIF(J1964,"*21*")&gt;0,COUNTIF(I1964,"22*")&gt;0,COUNTIF(J1964,"*22*")&gt;0,COUNTIF(I1964,"23*")&gt;0,COUNTIF(J1964,"*23*")&gt;0,COUNTIF(I1964,"24*")&gt;0,COUNTIF(J1964,"*24*")&gt;0,COUNTIF(I1964,"25*")&gt;0,COUNTIF(J1964,"*25*")&gt;0,COUNTIF(I1964,"26*")&gt;0,COUNTIF(J1964,"*26*")&gt;0,COUNTIF(I1964,"27*")&gt;0,COUNTIF(J1964,"*27*")&gt;0,COUNTIF(I1964,"28*")&gt;0,COUNTIF(J1964,"*28*")&gt;0,COUNTIF(I1964,"29*")&gt;0,COUNTIF(J1964,"*29*")&gt;0,COUNTIF(I1964,"30*")&gt;0,COUNTIF(J1964,"*30*")&gt;0,COUNTIF(I1964,"31*")&gt;0,COUNTIF(J1964,"*31*")&gt;0,COUNTIF(I1964,"32*")&gt;0,COUNTIF(J1964,"*32*")&gt;0,COUNTIF(I1964,"33*")&gt;0,COUNTIF(J1964,"*33*")&gt;0,COUNTIF(I1964,"41*")&gt;0,COUNTIF(J1964,"*41*")&gt;0,COUNTIF(I1964,"42*")&gt;0,COUNTIF(J1964,"*42*")&gt;0,COUNTIF(I1964,"43*")&gt;0,COUNTIF(J1964,"*43*")&gt;0,COUNTIF(I1964,"49*")&gt;0,COUNTIF(J1964,"*49*")&gt;0,COUNTIF(I1964,"52*")&gt;0,COUNTIF(J1964,"*52*")&gt;0,COUNTIF(I1964,"55*")&gt;0,COUNTIF(J1964,"*55*")&gt;0,COUNTIF(I1964,"56*")&gt;0,COUNTIF(J1964,"*56*")&gt;0,COUNTIF(I1964,"68*")&gt;0,COUNTIF(J1964,"*68*")&gt;0,COUNTIF(I1964,"78*")&gt;0,COUNTIF(J1964,"*78*")&gt;0,COUNTIF(I1964,"81*")&gt;0,COUNTIF(J1964,"*81*")&gt;0,COUNTIF(I1964,"82*")&gt;0,COUNTIF(J1964,"*82*")&gt;0,COUNTIF(I1964,"64*")&gt;0,COUNTIF(J1964,"*64*")&gt;0,COUNTIF(I1964,"65*")&gt;0,COUNTIF(J1964,"*65*")&gt;0,COUNTIF(I1964,"66*")&gt;0,COUNTIF(J1964,"*66*")&gt;0,COUNTIF(I1964,"61*")&gt;0,COUNTIF(J1964,"*61*")&gt;0,COUNTIF(I1964,"62*")&gt;0,COUNTIF(J1964,"*62*")&gt;0,COUNTIF(I1964,"63*")&gt;0,COUNTIF(J1964,"*63*")&gt;0,COUNTIF(I1964,"85*")&gt;0,COUNTIF(J1964,"*85*")&gt;0,COUNTIF(I1964,"86*")&gt;0,COUNTIF(J1964,"*86*")&gt;0),"Да","Нет"))</f>
        <v/>
      </c>
      <c r="M1964" s="13">
        <f>IF(OR(G1964="",L1964&lt;&gt;"Да"),"",IF(G1964&lt;=100,"До 100",IF(G1964&lt;=200,"До 200",IF(G1964&lt;=500,"До 500","Отдельное КП"))))</f>
        <v/>
      </c>
      <c r="N1964" s="15">
        <f>IF(OR(G1964="",L1964&lt;&gt;"Да"),"",IF(G1964&lt;=100,33600,IF(G1964&lt;=200,62400,IF(G1964&lt;=500,144000,""))))</f>
        <v/>
      </c>
      <c r="O1964" s="16">
        <f>IF(G1964="","",IF(G1964&lt;=15,"1–15",IF(G1964&lt;=30,"16–30",IF(G1964&lt;=50,"31–50",IF(G1964&lt;=100,"51–100",IF(G1964&lt;=150,"101–150",IF(G1964&lt;=200,"151–200",IF(G1964&lt;=500,"201–500","500+"))))))))</f>
        <v/>
      </c>
      <c r="P1964" s="16" t="inlineStr">
        <is>
          <t>Нет совпадения в предоставленной выгрузке ССЧР</t>
        </is>
      </c>
      <c r="Q1964" s="16" t="n"/>
      <c r="R1964" s="16">
        <f>HYPERLINK("https://checko.ru/search?query=3801001629","Чекко: проверить")</f>
        <v/>
      </c>
      <c r="S1964" t="n">
        <v>0</v>
      </c>
    </row>
    <row r="1965" ht="41.25" customHeight="1" s="24">
      <c r="A1965" s="13" t="n">
        <v>5000081929</v>
      </c>
      <c r="B1965" s="13" t="inlineStr">
        <is>
          <t>МУНИЦИПАЛЬНОЕ УЧРЕЖДЕНИЕ "УПРАВЛЕНИЕ ЖИЛИЩНО-КОММУНАЛЬНОГО ХОЗЯЙСТВА ГОРОДСКОГО ОКРУГА ПРОХЛАДНЫЙ КБР"</t>
        </is>
      </c>
      <c r="C1965" s="13" t="n">
        <v>709004693</v>
      </c>
      <c r="D1965" s="13" t="n"/>
      <c r="E1965" s="13" t="inlineStr">
        <is>
          <t>Не определён</t>
        </is>
      </c>
      <c r="F1965" s="13" t="inlineStr">
        <is>
          <t>709004693</t>
        </is>
      </c>
      <c r="G1965" s="14" t="n"/>
      <c r="H1965" s="14" t="n"/>
      <c r="I1965" s="14" t="n"/>
      <c r="J1965" s="14" t="n"/>
      <c r="K1965" s="13">
        <f>IF(G1965="","",IF(G1965&gt;=22,"Да","Нет"))</f>
        <v/>
      </c>
      <c r="L1965" s="13">
        <f>IF(OR(I1965="",J1965=""),"Не определено",IF(OR(COUNTIF(I1965,"45*")&gt;0,COUNTIF(J1965,"*45*")&gt;0,COUNTIF(I1965,"46*")&gt;0,COUNTIF(J1965,"*46*")&gt;0,COUNTIF(I1965,"47*")&gt;0,COUNTIF(J1965,"*47*")&gt;0,COUNTIF(I1965,"10*")&gt;0,COUNTIF(J1965,"*10*")&gt;0,COUNTIF(I1965,"11*")&gt;0,COUNTIF(J1965,"*11*")&gt;0,COUNTIF(I1965,"12*")&gt;0,COUNTIF(J1965,"*12*")&gt;0,COUNTIF(I1965,"13*")&gt;0,COUNTIF(J1965,"*13*")&gt;0,COUNTIF(I1965,"14*")&gt;0,COUNTIF(J1965,"*14*")&gt;0,COUNTIF(I1965,"15*")&gt;0,COUNTIF(J1965,"*15*")&gt;0,COUNTIF(I1965,"16*")&gt;0,COUNTIF(J1965,"*16*")&gt;0,COUNTIF(I1965,"17*")&gt;0,COUNTIF(J1965,"*17*")&gt;0,COUNTIF(I1965,"18*")&gt;0,COUNTIF(J1965,"*18*")&gt;0,COUNTIF(I1965,"19*")&gt;0,COUNTIF(J1965,"*19*")&gt;0,COUNTIF(I1965,"20*")&gt;0,COUNTIF(J1965,"*20*")&gt;0,COUNTIF(I1965,"21*")&gt;0,COUNTIF(J1965,"*21*")&gt;0,COUNTIF(I1965,"22*")&gt;0,COUNTIF(J1965,"*22*")&gt;0,COUNTIF(I1965,"23*")&gt;0,COUNTIF(J1965,"*23*")&gt;0,COUNTIF(I1965,"24*")&gt;0,COUNTIF(J1965,"*24*")&gt;0,COUNTIF(I1965,"25*")&gt;0,COUNTIF(J1965,"*25*")&gt;0,COUNTIF(I1965,"26*")&gt;0,COUNTIF(J1965,"*26*")&gt;0,COUNTIF(I1965,"27*")&gt;0,COUNTIF(J1965,"*27*")&gt;0,COUNTIF(I1965,"28*")&gt;0,COUNTIF(J1965,"*28*")&gt;0,COUNTIF(I1965,"29*")&gt;0,COUNTIF(J1965,"*29*")&gt;0,COUNTIF(I1965,"30*")&gt;0,COUNTIF(J1965,"*30*")&gt;0,COUNTIF(I1965,"31*")&gt;0,COUNTIF(J1965,"*31*")&gt;0,COUNTIF(I1965,"32*")&gt;0,COUNTIF(J1965,"*32*")&gt;0,COUNTIF(I1965,"33*")&gt;0,COUNTIF(J1965,"*33*")&gt;0,COUNTIF(I1965,"41*")&gt;0,COUNTIF(J1965,"*41*")&gt;0,COUNTIF(I1965,"42*")&gt;0,COUNTIF(J1965,"*42*")&gt;0,COUNTIF(I1965,"43*")&gt;0,COUNTIF(J1965,"*43*")&gt;0,COUNTIF(I1965,"49*")&gt;0,COUNTIF(J1965,"*49*")&gt;0,COUNTIF(I1965,"52*")&gt;0,COUNTIF(J1965,"*52*")&gt;0,COUNTIF(I1965,"55*")&gt;0,COUNTIF(J1965,"*55*")&gt;0,COUNTIF(I1965,"56*")&gt;0,COUNTIF(J1965,"*56*")&gt;0,COUNTIF(I1965,"68*")&gt;0,COUNTIF(J1965,"*68*")&gt;0,COUNTIF(I1965,"78*")&gt;0,COUNTIF(J1965,"*78*")&gt;0,COUNTIF(I1965,"81*")&gt;0,COUNTIF(J1965,"*81*")&gt;0,COUNTIF(I1965,"82*")&gt;0,COUNTIF(J1965,"*82*")&gt;0,COUNTIF(I1965,"64*")&gt;0,COUNTIF(J1965,"*64*")&gt;0,COUNTIF(I1965,"65*")&gt;0,COUNTIF(J1965,"*65*")&gt;0,COUNTIF(I1965,"66*")&gt;0,COUNTIF(J1965,"*66*")&gt;0,COUNTIF(I1965,"61*")&gt;0,COUNTIF(J1965,"*61*")&gt;0,COUNTIF(I1965,"62*")&gt;0,COUNTIF(J1965,"*62*")&gt;0,COUNTIF(I1965,"63*")&gt;0,COUNTIF(J1965,"*63*")&gt;0,COUNTIF(I1965,"85*")&gt;0,COUNTIF(J1965,"*85*")&gt;0,COUNTIF(I1965,"86*")&gt;0,COUNTIF(J1965,"*86*")&gt;0),"Да","Нет"))</f>
        <v/>
      </c>
      <c r="M1965" s="13">
        <f>IF(OR(G1965="",L1965&lt;&gt;"Да"),"",IF(G1965&lt;=100,"До 100",IF(G1965&lt;=200,"До 200",IF(G1965&lt;=500,"До 500","Отдельное КП"))))</f>
        <v/>
      </c>
      <c r="N1965" s="15">
        <f>IF(OR(G1965="",L1965&lt;&gt;"Да"),"",IF(G1965&lt;=100,33600,IF(G1965&lt;=200,62400,IF(G1965&lt;=500,144000,""))))</f>
        <v/>
      </c>
      <c r="O1965" s="16">
        <f>IF(G1965="","",IF(G1965&lt;=15,"1–15",IF(G1965&lt;=30,"16–30",IF(G1965&lt;=50,"31–50",IF(G1965&lt;=100,"51–100",IF(G1965&lt;=150,"101–150",IF(G1965&lt;=200,"151–200",IF(G1965&lt;=500,"201–500","500+"))))))))</f>
        <v/>
      </c>
      <c r="P1965" s="16" t="inlineStr">
        <is>
          <t>Нет совпадения в предоставленной выгрузке ССЧР</t>
        </is>
      </c>
      <c r="Q1965" s="16" t="n"/>
      <c r="R1965" s="16">
        <f>HYPERLINK("https://checko.ru/search?query=3801001629","Чекко: проверить")</f>
        <v/>
      </c>
      <c r="S1965" t="n">
        <v>0</v>
      </c>
    </row>
    <row r="1966" ht="41.25" customHeight="1" s="24">
      <c r="A1966" s="13" t="n">
        <v>5000081931</v>
      </c>
      <c r="B1966" s="13" t="inlineStr">
        <is>
          <t>МУНИЦИПАЛЬНОЕ КАЗЕННОЕ УЧРЕЖДЕНИЕ КУЛЬТУРЫ "БИБЛИОТЕКА ИМ. В.В. МАЯКОВСКОГО ГОРОДСКОГО ОКРУГА ПРОХЛАДНЫЙ КБР"</t>
        </is>
      </c>
      <c r="C1966" s="13" t="n">
        <v>716010666</v>
      </c>
      <c r="D1966" s="13" t="n"/>
      <c r="E1966" s="13" t="inlineStr">
        <is>
          <t>Не определён</t>
        </is>
      </c>
      <c r="F1966" s="13" t="inlineStr">
        <is>
          <t>716010666</t>
        </is>
      </c>
      <c r="G1966" s="14" t="n"/>
      <c r="H1966" s="14" t="n"/>
      <c r="I1966" s="14" t="n"/>
      <c r="J1966" s="14" t="n"/>
      <c r="K1966" s="13">
        <f>IF(G1966="","",IF(G1966&gt;=22,"Да","Нет"))</f>
        <v/>
      </c>
      <c r="L1966" s="13">
        <f>IF(OR(I1966="",J1966=""),"Не определено",IF(OR(COUNTIF(I1966,"45*")&gt;0,COUNTIF(J1966,"*45*")&gt;0,COUNTIF(I1966,"46*")&gt;0,COUNTIF(J1966,"*46*")&gt;0,COUNTIF(I1966,"47*")&gt;0,COUNTIF(J1966,"*47*")&gt;0,COUNTIF(I1966,"10*")&gt;0,COUNTIF(J1966,"*10*")&gt;0,COUNTIF(I1966,"11*")&gt;0,COUNTIF(J1966,"*11*")&gt;0,COUNTIF(I1966,"12*")&gt;0,COUNTIF(J1966,"*12*")&gt;0,COUNTIF(I1966,"13*")&gt;0,COUNTIF(J1966,"*13*")&gt;0,COUNTIF(I1966,"14*")&gt;0,COUNTIF(J1966,"*14*")&gt;0,COUNTIF(I1966,"15*")&gt;0,COUNTIF(J1966,"*15*")&gt;0,COUNTIF(I1966,"16*")&gt;0,COUNTIF(J1966,"*16*")&gt;0,COUNTIF(I1966,"17*")&gt;0,COUNTIF(J1966,"*17*")&gt;0,COUNTIF(I1966,"18*")&gt;0,COUNTIF(J1966,"*18*")&gt;0,COUNTIF(I1966,"19*")&gt;0,COUNTIF(J1966,"*19*")&gt;0,COUNTIF(I1966,"20*")&gt;0,COUNTIF(J1966,"*20*")&gt;0,COUNTIF(I1966,"21*")&gt;0,COUNTIF(J1966,"*21*")&gt;0,COUNTIF(I1966,"22*")&gt;0,COUNTIF(J1966,"*22*")&gt;0,COUNTIF(I1966,"23*")&gt;0,COUNTIF(J1966,"*23*")&gt;0,COUNTIF(I1966,"24*")&gt;0,COUNTIF(J1966,"*24*")&gt;0,COUNTIF(I1966,"25*")&gt;0,COUNTIF(J1966,"*25*")&gt;0,COUNTIF(I1966,"26*")&gt;0,COUNTIF(J1966,"*26*")&gt;0,COUNTIF(I1966,"27*")&gt;0,COUNTIF(J1966,"*27*")&gt;0,COUNTIF(I1966,"28*")&gt;0,COUNTIF(J1966,"*28*")&gt;0,COUNTIF(I1966,"29*")&gt;0,COUNTIF(J1966,"*29*")&gt;0,COUNTIF(I1966,"30*")&gt;0,COUNTIF(J1966,"*30*")&gt;0,COUNTIF(I1966,"31*")&gt;0,COUNTIF(J1966,"*31*")&gt;0,COUNTIF(I1966,"32*")&gt;0,COUNTIF(J1966,"*32*")&gt;0,COUNTIF(I1966,"33*")&gt;0,COUNTIF(J1966,"*33*")&gt;0,COUNTIF(I1966,"41*")&gt;0,COUNTIF(J1966,"*41*")&gt;0,COUNTIF(I1966,"42*")&gt;0,COUNTIF(J1966,"*42*")&gt;0,COUNTIF(I1966,"43*")&gt;0,COUNTIF(J1966,"*43*")&gt;0,COUNTIF(I1966,"49*")&gt;0,COUNTIF(J1966,"*49*")&gt;0,COUNTIF(I1966,"52*")&gt;0,COUNTIF(J1966,"*52*")&gt;0,COUNTIF(I1966,"55*")&gt;0,COUNTIF(J1966,"*55*")&gt;0,COUNTIF(I1966,"56*")&gt;0,COUNTIF(J1966,"*56*")&gt;0,COUNTIF(I1966,"68*")&gt;0,COUNTIF(J1966,"*68*")&gt;0,COUNTIF(I1966,"78*")&gt;0,COUNTIF(J1966,"*78*")&gt;0,COUNTIF(I1966,"81*")&gt;0,COUNTIF(J1966,"*81*")&gt;0,COUNTIF(I1966,"82*")&gt;0,COUNTIF(J1966,"*82*")&gt;0,COUNTIF(I1966,"64*")&gt;0,COUNTIF(J1966,"*64*")&gt;0,COUNTIF(I1966,"65*")&gt;0,COUNTIF(J1966,"*65*")&gt;0,COUNTIF(I1966,"66*")&gt;0,COUNTIF(J1966,"*66*")&gt;0,COUNTIF(I1966,"61*")&gt;0,COUNTIF(J1966,"*61*")&gt;0,COUNTIF(I1966,"62*")&gt;0,COUNTIF(J1966,"*62*")&gt;0,COUNTIF(I1966,"63*")&gt;0,COUNTIF(J1966,"*63*")&gt;0,COUNTIF(I1966,"85*")&gt;0,COUNTIF(J1966,"*85*")&gt;0,COUNTIF(I1966,"86*")&gt;0,COUNTIF(J1966,"*86*")&gt;0),"Да","Нет"))</f>
        <v/>
      </c>
      <c r="M1966" s="13">
        <f>IF(OR(G1966="",L1966&lt;&gt;"Да"),"",IF(G1966&lt;=100,"До 100",IF(G1966&lt;=200,"До 200",IF(G1966&lt;=500,"До 500","Отдельное КП"))))</f>
        <v/>
      </c>
      <c r="N1966" s="15">
        <f>IF(OR(G1966="",L1966&lt;&gt;"Да"),"",IF(G1966&lt;=100,33600,IF(G1966&lt;=200,62400,IF(G1966&lt;=500,144000,""))))</f>
        <v/>
      </c>
      <c r="O1966" s="16">
        <f>IF(G1966="","",IF(G1966&lt;=15,"1–15",IF(G1966&lt;=30,"16–30",IF(G1966&lt;=50,"31–50",IF(G1966&lt;=100,"51–100",IF(G1966&lt;=150,"101–150",IF(G1966&lt;=200,"151–200",IF(G1966&lt;=500,"201–500","500+"))))))))</f>
        <v/>
      </c>
      <c r="P1966" s="16" t="inlineStr">
        <is>
          <t>Нет совпадения в предоставленной выгрузке ССЧР</t>
        </is>
      </c>
      <c r="Q1966" s="16" t="n"/>
      <c r="R1966" s="16">
        <f>HYPERLINK("https://checko.ru/search?query=3801001629","Чекко: проверить")</f>
        <v/>
      </c>
      <c r="S1966" t="n">
        <v>0</v>
      </c>
    </row>
    <row r="1967" ht="54.75" customHeight="1" s="24">
      <c r="A1967" s="13" t="n">
        <v>5000081932</v>
      </c>
      <c r="B1967" s="13" t="inlineStr">
        <is>
          <t>МУНИЦИПАЛЬНОЕ БЮДЖЕТНОЕ УЧРЕЖДЕНИЕ СПОРТА "СПОРТИВНО-ОЗДОРОВИТЕЛЬНЫЙ ЦЕНТР "ОЛИМП" ГОРОДСКОГО ОКРУГА ПРОХЛАДНЫЙ КБР</t>
        </is>
      </c>
      <c r="C1967" s="13" t="n">
        <v>716012720</v>
      </c>
      <c r="D1967" s="13" t="n"/>
      <c r="E1967" s="13" t="inlineStr">
        <is>
          <t>Не определён</t>
        </is>
      </c>
      <c r="F1967" s="13" t="inlineStr">
        <is>
          <t>716012720</t>
        </is>
      </c>
      <c r="G1967" s="14" t="n"/>
      <c r="H1967" s="14" t="n"/>
      <c r="I1967" s="14" t="n"/>
      <c r="J1967" s="14" t="n"/>
      <c r="K1967" s="13">
        <f>IF(G1967="","",IF(G1967&gt;=22,"Да","Нет"))</f>
        <v/>
      </c>
      <c r="L1967" s="13">
        <f>IF(OR(I1967="",J1967=""),"Не определено",IF(OR(COUNTIF(I1967,"45*")&gt;0,COUNTIF(J1967,"*45*")&gt;0,COUNTIF(I1967,"46*")&gt;0,COUNTIF(J1967,"*46*")&gt;0,COUNTIF(I1967,"47*")&gt;0,COUNTIF(J1967,"*47*")&gt;0,COUNTIF(I1967,"10*")&gt;0,COUNTIF(J1967,"*10*")&gt;0,COUNTIF(I1967,"11*")&gt;0,COUNTIF(J1967,"*11*")&gt;0,COUNTIF(I1967,"12*")&gt;0,COUNTIF(J1967,"*12*")&gt;0,COUNTIF(I1967,"13*")&gt;0,COUNTIF(J1967,"*13*")&gt;0,COUNTIF(I1967,"14*")&gt;0,COUNTIF(J1967,"*14*")&gt;0,COUNTIF(I1967,"15*")&gt;0,COUNTIF(J1967,"*15*")&gt;0,COUNTIF(I1967,"16*")&gt;0,COUNTIF(J1967,"*16*")&gt;0,COUNTIF(I1967,"17*")&gt;0,COUNTIF(J1967,"*17*")&gt;0,COUNTIF(I1967,"18*")&gt;0,COUNTIF(J1967,"*18*")&gt;0,COUNTIF(I1967,"19*")&gt;0,COUNTIF(J1967,"*19*")&gt;0,COUNTIF(I1967,"20*")&gt;0,COUNTIF(J1967,"*20*")&gt;0,COUNTIF(I1967,"21*")&gt;0,COUNTIF(J1967,"*21*")&gt;0,COUNTIF(I1967,"22*")&gt;0,COUNTIF(J1967,"*22*")&gt;0,COUNTIF(I1967,"23*")&gt;0,COUNTIF(J1967,"*23*")&gt;0,COUNTIF(I1967,"24*")&gt;0,COUNTIF(J1967,"*24*")&gt;0,COUNTIF(I1967,"25*")&gt;0,COUNTIF(J1967,"*25*")&gt;0,COUNTIF(I1967,"26*")&gt;0,COUNTIF(J1967,"*26*")&gt;0,COUNTIF(I1967,"27*")&gt;0,COUNTIF(J1967,"*27*")&gt;0,COUNTIF(I1967,"28*")&gt;0,COUNTIF(J1967,"*28*")&gt;0,COUNTIF(I1967,"29*")&gt;0,COUNTIF(J1967,"*29*")&gt;0,COUNTIF(I1967,"30*")&gt;0,COUNTIF(J1967,"*30*")&gt;0,COUNTIF(I1967,"31*")&gt;0,COUNTIF(J1967,"*31*")&gt;0,COUNTIF(I1967,"32*")&gt;0,COUNTIF(J1967,"*32*")&gt;0,COUNTIF(I1967,"33*")&gt;0,COUNTIF(J1967,"*33*")&gt;0,COUNTIF(I1967,"41*")&gt;0,COUNTIF(J1967,"*41*")&gt;0,COUNTIF(I1967,"42*")&gt;0,COUNTIF(J1967,"*42*")&gt;0,COUNTIF(I1967,"43*")&gt;0,COUNTIF(J1967,"*43*")&gt;0,COUNTIF(I1967,"49*")&gt;0,COUNTIF(J1967,"*49*")&gt;0,COUNTIF(I1967,"52*")&gt;0,COUNTIF(J1967,"*52*")&gt;0,COUNTIF(I1967,"55*")&gt;0,COUNTIF(J1967,"*55*")&gt;0,COUNTIF(I1967,"56*")&gt;0,COUNTIF(J1967,"*56*")&gt;0,COUNTIF(I1967,"68*")&gt;0,COUNTIF(J1967,"*68*")&gt;0,COUNTIF(I1967,"78*")&gt;0,COUNTIF(J1967,"*78*")&gt;0,COUNTIF(I1967,"81*")&gt;0,COUNTIF(J1967,"*81*")&gt;0,COUNTIF(I1967,"82*")&gt;0,COUNTIF(J1967,"*82*")&gt;0,COUNTIF(I1967,"64*")&gt;0,COUNTIF(J1967,"*64*")&gt;0,COUNTIF(I1967,"65*")&gt;0,COUNTIF(J1967,"*65*")&gt;0,COUNTIF(I1967,"66*")&gt;0,COUNTIF(J1967,"*66*")&gt;0,COUNTIF(I1967,"61*")&gt;0,COUNTIF(J1967,"*61*")&gt;0,COUNTIF(I1967,"62*")&gt;0,COUNTIF(J1967,"*62*")&gt;0,COUNTIF(I1967,"63*")&gt;0,COUNTIF(J1967,"*63*")&gt;0,COUNTIF(I1967,"85*")&gt;0,COUNTIF(J1967,"*85*")&gt;0,COUNTIF(I1967,"86*")&gt;0,COUNTIF(J1967,"*86*")&gt;0),"Да","Нет"))</f>
        <v/>
      </c>
      <c r="M1967" s="13">
        <f>IF(OR(G1967="",L1967&lt;&gt;"Да"),"",IF(G1967&lt;=100,"До 100",IF(G1967&lt;=200,"До 200",IF(G1967&lt;=500,"До 500","Отдельное КП"))))</f>
        <v/>
      </c>
      <c r="N1967" s="15">
        <f>IF(OR(G1967="",L1967&lt;&gt;"Да"),"",IF(G1967&lt;=100,33600,IF(G1967&lt;=200,62400,IF(G1967&lt;=500,144000,""))))</f>
        <v/>
      </c>
      <c r="O1967" s="16">
        <f>IF(G1967="","",IF(G1967&lt;=15,"1–15",IF(G1967&lt;=30,"16–30",IF(G1967&lt;=50,"31–50",IF(G1967&lt;=100,"51–100",IF(G1967&lt;=150,"101–150",IF(G1967&lt;=200,"151–200",IF(G1967&lt;=500,"201–500","500+"))))))))</f>
        <v/>
      </c>
      <c r="P1967" s="16" t="inlineStr">
        <is>
          <t>Нет совпадения в предоставленной выгрузке ССЧР</t>
        </is>
      </c>
      <c r="Q1967" s="16" t="n"/>
      <c r="R1967" s="16">
        <f>HYPERLINK("https://checko.ru/search?query=3801001629","Чекко: проверить")</f>
        <v/>
      </c>
      <c r="S1967" t="n">
        <v>0</v>
      </c>
    </row>
    <row r="1968" ht="41.25" customHeight="1" s="24">
      <c r="A1968" s="13" t="n">
        <v>5000081933</v>
      </c>
      <c r="B1968" s="13" t="inlineStr">
        <is>
          <t>КОНТРОЛЬНО-СЧЕТНАЯ ПАЛАТА ГОРОДСКОГО ОКРУГА ПРОХЛАДНЫЙ КАБАРДИНО-БАЛКАРСКОЙ РЕСПУБЛИКИ</t>
        </is>
      </c>
      <c r="C1968" s="13" t="n">
        <v>716009090</v>
      </c>
      <c r="D1968" s="13" t="n"/>
      <c r="E1968" s="13" t="inlineStr">
        <is>
          <t>Не определён</t>
        </is>
      </c>
      <c r="F1968" s="13" t="inlineStr">
        <is>
          <t>716009090</t>
        </is>
      </c>
      <c r="G1968" s="14" t="n"/>
      <c r="H1968" s="14" t="n"/>
      <c r="I1968" s="14" t="n"/>
      <c r="J1968" s="14" t="n"/>
      <c r="K1968" s="13">
        <f>IF(G1968="","",IF(G1968&gt;=22,"Да","Нет"))</f>
        <v/>
      </c>
      <c r="L1968" s="13">
        <f>IF(OR(I1968="",J1968=""),"Не определено",IF(OR(COUNTIF(I1968,"45*")&gt;0,COUNTIF(J1968,"*45*")&gt;0,COUNTIF(I1968,"46*")&gt;0,COUNTIF(J1968,"*46*")&gt;0,COUNTIF(I1968,"47*")&gt;0,COUNTIF(J1968,"*47*")&gt;0,COUNTIF(I1968,"10*")&gt;0,COUNTIF(J1968,"*10*")&gt;0,COUNTIF(I1968,"11*")&gt;0,COUNTIF(J1968,"*11*")&gt;0,COUNTIF(I1968,"12*")&gt;0,COUNTIF(J1968,"*12*")&gt;0,COUNTIF(I1968,"13*")&gt;0,COUNTIF(J1968,"*13*")&gt;0,COUNTIF(I1968,"14*")&gt;0,COUNTIF(J1968,"*14*")&gt;0,COUNTIF(I1968,"15*")&gt;0,COUNTIF(J1968,"*15*")&gt;0,COUNTIF(I1968,"16*")&gt;0,COUNTIF(J1968,"*16*")&gt;0,COUNTIF(I1968,"17*")&gt;0,COUNTIF(J1968,"*17*")&gt;0,COUNTIF(I1968,"18*")&gt;0,COUNTIF(J1968,"*18*")&gt;0,COUNTIF(I1968,"19*")&gt;0,COUNTIF(J1968,"*19*")&gt;0,COUNTIF(I1968,"20*")&gt;0,COUNTIF(J1968,"*20*")&gt;0,COUNTIF(I1968,"21*")&gt;0,COUNTIF(J1968,"*21*")&gt;0,COUNTIF(I1968,"22*")&gt;0,COUNTIF(J1968,"*22*")&gt;0,COUNTIF(I1968,"23*")&gt;0,COUNTIF(J1968,"*23*")&gt;0,COUNTIF(I1968,"24*")&gt;0,COUNTIF(J1968,"*24*")&gt;0,COUNTIF(I1968,"25*")&gt;0,COUNTIF(J1968,"*25*")&gt;0,COUNTIF(I1968,"26*")&gt;0,COUNTIF(J1968,"*26*")&gt;0,COUNTIF(I1968,"27*")&gt;0,COUNTIF(J1968,"*27*")&gt;0,COUNTIF(I1968,"28*")&gt;0,COUNTIF(J1968,"*28*")&gt;0,COUNTIF(I1968,"29*")&gt;0,COUNTIF(J1968,"*29*")&gt;0,COUNTIF(I1968,"30*")&gt;0,COUNTIF(J1968,"*30*")&gt;0,COUNTIF(I1968,"31*")&gt;0,COUNTIF(J1968,"*31*")&gt;0,COUNTIF(I1968,"32*")&gt;0,COUNTIF(J1968,"*32*")&gt;0,COUNTIF(I1968,"33*")&gt;0,COUNTIF(J1968,"*33*")&gt;0,COUNTIF(I1968,"41*")&gt;0,COUNTIF(J1968,"*41*")&gt;0,COUNTIF(I1968,"42*")&gt;0,COUNTIF(J1968,"*42*")&gt;0,COUNTIF(I1968,"43*")&gt;0,COUNTIF(J1968,"*43*")&gt;0,COUNTIF(I1968,"49*")&gt;0,COUNTIF(J1968,"*49*")&gt;0,COUNTIF(I1968,"52*")&gt;0,COUNTIF(J1968,"*52*")&gt;0,COUNTIF(I1968,"55*")&gt;0,COUNTIF(J1968,"*55*")&gt;0,COUNTIF(I1968,"56*")&gt;0,COUNTIF(J1968,"*56*")&gt;0,COUNTIF(I1968,"68*")&gt;0,COUNTIF(J1968,"*68*")&gt;0,COUNTIF(I1968,"78*")&gt;0,COUNTIF(J1968,"*78*")&gt;0,COUNTIF(I1968,"81*")&gt;0,COUNTIF(J1968,"*81*")&gt;0,COUNTIF(I1968,"82*")&gt;0,COUNTIF(J1968,"*82*")&gt;0,COUNTIF(I1968,"64*")&gt;0,COUNTIF(J1968,"*64*")&gt;0,COUNTIF(I1968,"65*")&gt;0,COUNTIF(J1968,"*65*")&gt;0,COUNTIF(I1968,"66*")&gt;0,COUNTIF(J1968,"*66*")&gt;0,COUNTIF(I1968,"61*")&gt;0,COUNTIF(J1968,"*61*")&gt;0,COUNTIF(I1968,"62*")&gt;0,COUNTIF(J1968,"*62*")&gt;0,COUNTIF(I1968,"63*")&gt;0,COUNTIF(J1968,"*63*")&gt;0,COUNTIF(I1968,"85*")&gt;0,COUNTIF(J1968,"*85*")&gt;0,COUNTIF(I1968,"86*")&gt;0,COUNTIF(J1968,"*86*")&gt;0),"Да","Нет"))</f>
        <v/>
      </c>
      <c r="M1968" s="13">
        <f>IF(OR(G1968="",L1968&lt;&gt;"Да"),"",IF(G1968&lt;=100,"До 100",IF(G1968&lt;=200,"До 200",IF(G1968&lt;=500,"До 500","Отдельное КП"))))</f>
        <v/>
      </c>
      <c r="N1968" s="15">
        <f>IF(OR(G1968="",L1968&lt;&gt;"Да"),"",IF(G1968&lt;=100,33600,IF(G1968&lt;=200,62400,IF(G1968&lt;=500,144000,""))))</f>
        <v/>
      </c>
      <c r="O1968" s="16">
        <f>IF(G1968="","",IF(G1968&lt;=15,"1–15",IF(G1968&lt;=30,"16–30",IF(G1968&lt;=50,"31–50",IF(G1968&lt;=100,"51–100",IF(G1968&lt;=150,"101–150",IF(G1968&lt;=200,"151–200",IF(G1968&lt;=500,"201–500","500+"))))))))</f>
        <v/>
      </c>
      <c r="P1968" s="16" t="inlineStr">
        <is>
          <t>Нет совпадения в предоставленной выгрузке ССЧР</t>
        </is>
      </c>
      <c r="Q1968" s="16" t="n"/>
      <c r="R1968" s="16">
        <f>HYPERLINK("https://checko.ru/search?query=3801001629","Чекко: проверить")</f>
        <v/>
      </c>
      <c r="S1968" t="n">
        <v>0</v>
      </c>
    </row>
    <row r="1969" ht="41.25" customHeight="1" s="24">
      <c r="A1969" s="13" t="n">
        <v>5000081934</v>
      </c>
      <c r="B1969" s="13" t="inlineStr">
        <is>
          <t>СОВЕТ МЕСТНОГО САМОУПРАВЛЕНИЯ ГОРОДСКОГО ОКРУГА ПРОХЛАДНЫЙ КАБАРДИНО-БАЛКАРСКОЙ РЕСПУБЛИКИ</t>
        </is>
      </c>
      <c r="C1969" s="13" t="n">
        <v>716003820</v>
      </c>
      <c r="D1969" s="13" t="n"/>
      <c r="E1969" s="13" t="inlineStr">
        <is>
          <t>Не определён</t>
        </is>
      </c>
      <c r="F1969" s="13" t="inlineStr">
        <is>
          <t>716003820</t>
        </is>
      </c>
      <c r="G1969" s="14" t="n"/>
      <c r="H1969" s="14" t="n"/>
      <c r="I1969" s="14" t="n"/>
      <c r="J1969" s="14" t="n"/>
      <c r="K1969" s="13">
        <f>IF(G1969="","",IF(G1969&gt;=22,"Да","Нет"))</f>
        <v/>
      </c>
      <c r="L1969" s="13">
        <f>IF(OR(I1969="",J1969=""),"Не определено",IF(OR(COUNTIF(I1969,"45*")&gt;0,COUNTIF(J1969,"*45*")&gt;0,COUNTIF(I1969,"46*")&gt;0,COUNTIF(J1969,"*46*")&gt;0,COUNTIF(I1969,"47*")&gt;0,COUNTIF(J1969,"*47*")&gt;0,COUNTIF(I1969,"10*")&gt;0,COUNTIF(J1969,"*10*")&gt;0,COUNTIF(I1969,"11*")&gt;0,COUNTIF(J1969,"*11*")&gt;0,COUNTIF(I1969,"12*")&gt;0,COUNTIF(J1969,"*12*")&gt;0,COUNTIF(I1969,"13*")&gt;0,COUNTIF(J1969,"*13*")&gt;0,COUNTIF(I1969,"14*")&gt;0,COUNTIF(J1969,"*14*")&gt;0,COUNTIF(I1969,"15*")&gt;0,COUNTIF(J1969,"*15*")&gt;0,COUNTIF(I1969,"16*")&gt;0,COUNTIF(J1969,"*16*")&gt;0,COUNTIF(I1969,"17*")&gt;0,COUNTIF(J1969,"*17*")&gt;0,COUNTIF(I1969,"18*")&gt;0,COUNTIF(J1969,"*18*")&gt;0,COUNTIF(I1969,"19*")&gt;0,COUNTIF(J1969,"*19*")&gt;0,COUNTIF(I1969,"20*")&gt;0,COUNTIF(J1969,"*20*")&gt;0,COUNTIF(I1969,"21*")&gt;0,COUNTIF(J1969,"*21*")&gt;0,COUNTIF(I1969,"22*")&gt;0,COUNTIF(J1969,"*22*")&gt;0,COUNTIF(I1969,"23*")&gt;0,COUNTIF(J1969,"*23*")&gt;0,COUNTIF(I1969,"24*")&gt;0,COUNTIF(J1969,"*24*")&gt;0,COUNTIF(I1969,"25*")&gt;0,COUNTIF(J1969,"*25*")&gt;0,COUNTIF(I1969,"26*")&gt;0,COUNTIF(J1969,"*26*")&gt;0,COUNTIF(I1969,"27*")&gt;0,COUNTIF(J1969,"*27*")&gt;0,COUNTIF(I1969,"28*")&gt;0,COUNTIF(J1969,"*28*")&gt;0,COUNTIF(I1969,"29*")&gt;0,COUNTIF(J1969,"*29*")&gt;0,COUNTIF(I1969,"30*")&gt;0,COUNTIF(J1969,"*30*")&gt;0,COUNTIF(I1969,"31*")&gt;0,COUNTIF(J1969,"*31*")&gt;0,COUNTIF(I1969,"32*")&gt;0,COUNTIF(J1969,"*32*")&gt;0,COUNTIF(I1969,"33*")&gt;0,COUNTIF(J1969,"*33*")&gt;0,COUNTIF(I1969,"41*")&gt;0,COUNTIF(J1969,"*41*")&gt;0,COUNTIF(I1969,"42*")&gt;0,COUNTIF(J1969,"*42*")&gt;0,COUNTIF(I1969,"43*")&gt;0,COUNTIF(J1969,"*43*")&gt;0,COUNTIF(I1969,"49*")&gt;0,COUNTIF(J1969,"*49*")&gt;0,COUNTIF(I1969,"52*")&gt;0,COUNTIF(J1969,"*52*")&gt;0,COUNTIF(I1969,"55*")&gt;0,COUNTIF(J1969,"*55*")&gt;0,COUNTIF(I1969,"56*")&gt;0,COUNTIF(J1969,"*56*")&gt;0,COUNTIF(I1969,"68*")&gt;0,COUNTIF(J1969,"*68*")&gt;0,COUNTIF(I1969,"78*")&gt;0,COUNTIF(J1969,"*78*")&gt;0,COUNTIF(I1969,"81*")&gt;0,COUNTIF(J1969,"*81*")&gt;0,COUNTIF(I1969,"82*")&gt;0,COUNTIF(J1969,"*82*")&gt;0,COUNTIF(I1969,"64*")&gt;0,COUNTIF(J1969,"*64*")&gt;0,COUNTIF(I1969,"65*")&gt;0,COUNTIF(J1969,"*65*")&gt;0,COUNTIF(I1969,"66*")&gt;0,COUNTIF(J1969,"*66*")&gt;0,COUNTIF(I1969,"61*")&gt;0,COUNTIF(J1969,"*61*")&gt;0,COUNTIF(I1969,"62*")&gt;0,COUNTIF(J1969,"*62*")&gt;0,COUNTIF(I1969,"63*")&gt;0,COUNTIF(J1969,"*63*")&gt;0,COUNTIF(I1969,"85*")&gt;0,COUNTIF(J1969,"*85*")&gt;0,COUNTIF(I1969,"86*")&gt;0,COUNTIF(J1969,"*86*")&gt;0),"Да","Нет"))</f>
        <v/>
      </c>
      <c r="M1969" s="13">
        <f>IF(OR(G1969="",L1969&lt;&gt;"Да"),"",IF(G1969&lt;=100,"До 100",IF(G1969&lt;=200,"До 200",IF(G1969&lt;=500,"До 500","Отдельное КП"))))</f>
        <v/>
      </c>
      <c r="N1969" s="15">
        <f>IF(OR(G1969="",L1969&lt;&gt;"Да"),"",IF(G1969&lt;=100,33600,IF(G1969&lt;=200,62400,IF(G1969&lt;=500,144000,""))))</f>
        <v/>
      </c>
      <c r="O1969" s="16">
        <f>IF(G1969="","",IF(G1969&lt;=15,"1–15",IF(G1969&lt;=30,"16–30",IF(G1969&lt;=50,"31–50",IF(G1969&lt;=100,"51–100",IF(G1969&lt;=150,"101–150",IF(G1969&lt;=200,"151–200",IF(G1969&lt;=500,"201–500","500+"))))))))</f>
        <v/>
      </c>
      <c r="P1969" s="16" t="inlineStr">
        <is>
          <t>Нет совпадения в предоставленной выгрузке ССЧР</t>
        </is>
      </c>
      <c r="Q1969" s="16" t="n"/>
      <c r="R1969" s="16">
        <f>HYPERLINK("https://checko.ru/search?query=3801001629","Чекко: проверить")</f>
        <v/>
      </c>
      <c r="S1969" t="n">
        <v>0</v>
      </c>
    </row>
    <row r="1970" ht="68.25" customHeight="1" s="24">
      <c r="A1970" s="13" t="n">
        <v>5000081935</v>
      </c>
      <c r="B1970" s="13" t="inlineStr">
        <is>
          <t>МУНИЦИПАЛЬНОЕ КАЗЕННОЕ УЧРЕЖДЕНИЕ ДОПОЛНИТЕЛЬНОГО ОБРАЗОВАНИЯ "ДЕТСКАЯ ШКОЛА ИСКУССТВ СЕЛЬСКОГО ПОСЕЛЕНИЯ ПРОЛЕТАРСКОГО ПРОХЛАДНЕНСКОГО МУНИЦИПАЛЬНОГО</t>
        </is>
      </c>
      <c r="C1970" s="13" t="n">
        <v>716002619</v>
      </c>
      <c r="D1970" s="13" t="n"/>
      <c r="E1970" s="13" t="inlineStr">
        <is>
          <t>Не определён</t>
        </is>
      </c>
      <c r="F1970" s="13" t="inlineStr">
        <is>
          <t>716002619</t>
        </is>
      </c>
      <c r="G1970" s="14" t="n"/>
      <c r="H1970" s="14" t="n"/>
      <c r="I1970" s="14" t="n"/>
      <c r="J1970" s="14" t="n"/>
      <c r="K1970" s="13">
        <f>IF(G1970="","",IF(G1970&gt;=22,"Да","Нет"))</f>
        <v/>
      </c>
      <c r="L1970" s="13">
        <f>IF(OR(I1970="",J1970=""),"Не определено",IF(OR(COUNTIF(I1970,"45*")&gt;0,COUNTIF(J1970,"*45*")&gt;0,COUNTIF(I1970,"46*")&gt;0,COUNTIF(J1970,"*46*")&gt;0,COUNTIF(I1970,"47*")&gt;0,COUNTIF(J1970,"*47*")&gt;0,COUNTIF(I1970,"10*")&gt;0,COUNTIF(J1970,"*10*")&gt;0,COUNTIF(I1970,"11*")&gt;0,COUNTIF(J1970,"*11*")&gt;0,COUNTIF(I1970,"12*")&gt;0,COUNTIF(J1970,"*12*")&gt;0,COUNTIF(I1970,"13*")&gt;0,COUNTIF(J1970,"*13*")&gt;0,COUNTIF(I1970,"14*")&gt;0,COUNTIF(J1970,"*14*")&gt;0,COUNTIF(I1970,"15*")&gt;0,COUNTIF(J1970,"*15*")&gt;0,COUNTIF(I1970,"16*")&gt;0,COUNTIF(J1970,"*16*")&gt;0,COUNTIF(I1970,"17*")&gt;0,COUNTIF(J1970,"*17*")&gt;0,COUNTIF(I1970,"18*")&gt;0,COUNTIF(J1970,"*18*")&gt;0,COUNTIF(I1970,"19*")&gt;0,COUNTIF(J1970,"*19*")&gt;0,COUNTIF(I1970,"20*")&gt;0,COUNTIF(J1970,"*20*")&gt;0,COUNTIF(I1970,"21*")&gt;0,COUNTIF(J1970,"*21*")&gt;0,COUNTIF(I1970,"22*")&gt;0,COUNTIF(J1970,"*22*")&gt;0,COUNTIF(I1970,"23*")&gt;0,COUNTIF(J1970,"*23*")&gt;0,COUNTIF(I1970,"24*")&gt;0,COUNTIF(J1970,"*24*")&gt;0,COUNTIF(I1970,"25*")&gt;0,COUNTIF(J1970,"*25*")&gt;0,COUNTIF(I1970,"26*")&gt;0,COUNTIF(J1970,"*26*")&gt;0,COUNTIF(I1970,"27*")&gt;0,COUNTIF(J1970,"*27*")&gt;0,COUNTIF(I1970,"28*")&gt;0,COUNTIF(J1970,"*28*")&gt;0,COUNTIF(I1970,"29*")&gt;0,COUNTIF(J1970,"*29*")&gt;0,COUNTIF(I1970,"30*")&gt;0,COUNTIF(J1970,"*30*")&gt;0,COUNTIF(I1970,"31*")&gt;0,COUNTIF(J1970,"*31*")&gt;0,COUNTIF(I1970,"32*")&gt;0,COUNTIF(J1970,"*32*")&gt;0,COUNTIF(I1970,"33*")&gt;0,COUNTIF(J1970,"*33*")&gt;0,COUNTIF(I1970,"41*")&gt;0,COUNTIF(J1970,"*41*")&gt;0,COUNTIF(I1970,"42*")&gt;0,COUNTIF(J1970,"*42*")&gt;0,COUNTIF(I1970,"43*")&gt;0,COUNTIF(J1970,"*43*")&gt;0,COUNTIF(I1970,"49*")&gt;0,COUNTIF(J1970,"*49*")&gt;0,COUNTIF(I1970,"52*")&gt;0,COUNTIF(J1970,"*52*")&gt;0,COUNTIF(I1970,"55*")&gt;0,COUNTIF(J1970,"*55*")&gt;0,COUNTIF(I1970,"56*")&gt;0,COUNTIF(J1970,"*56*")&gt;0,COUNTIF(I1970,"68*")&gt;0,COUNTIF(J1970,"*68*")&gt;0,COUNTIF(I1970,"78*")&gt;0,COUNTIF(J1970,"*78*")&gt;0,COUNTIF(I1970,"81*")&gt;0,COUNTIF(J1970,"*81*")&gt;0,COUNTIF(I1970,"82*")&gt;0,COUNTIF(J1970,"*82*")&gt;0,COUNTIF(I1970,"64*")&gt;0,COUNTIF(J1970,"*64*")&gt;0,COUNTIF(I1970,"65*")&gt;0,COUNTIF(J1970,"*65*")&gt;0,COUNTIF(I1970,"66*")&gt;0,COUNTIF(J1970,"*66*")&gt;0,COUNTIF(I1970,"61*")&gt;0,COUNTIF(J1970,"*61*")&gt;0,COUNTIF(I1970,"62*")&gt;0,COUNTIF(J1970,"*62*")&gt;0,COUNTIF(I1970,"63*")&gt;0,COUNTIF(J1970,"*63*")&gt;0,COUNTIF(I1970,"85*")&gt;0,COUNTIF(J1970,"*85*")&gt;0,COUNTIF(I1970,"86*")&gt;0,COUNTIF(J1970,"*86*")&gt;0),"Да","Нет"))</f>
        <v/>
      </c>
      <c r="M1970" s="13">
        <f>IF(OR(G1970="",L1970&lt;&gt;"Да"),"",IF(G1970&lt;=100,"До 100",IF(G1970&lt;=200,"До 200",IF(G1970&lt;=500,"До 500","Отдельное КП"))))</f>
        <v/>
      </c>
      <c r="N1970" s="15">
        <f>IF(OR(G1970="",L1970&lt;&gt;"Да"),"",IF(G1970&lt;=100,33600,IF(G1970&lt;=200,62400,IF(G1970&lt;=500,144000,""))))</f>
        <v/>
      </c>
      <c r="O1970" s="16">
        <f>IF(G1970="","",IF(G1970&lt;=15,"1–15",IF(G1970&lt;=30,"16–30",IF(G1970&lt;=50,"31–50",IF(G1970&lt;=100,"51–100",IF(G1970&lt;=150,"101–150",IF(G1970&lt;=200,"151–200",IF(G1970&lt;=500,"201–500","500+"))))))))</f>
        <v/>
      </c>
      <c r="P1970" s="16" t="inlineStr">
        <is>
          <t>Нет совпадения в предоставленной выгрузке ССЧР</t>
        </is>
      </c>
      <c r="Q1970" s="16" t="n"/>
      <c r="R1970" s="16">
        <f>HYPERLINK("https://checko.ru/search?query=3801001629","Чекко: проверить")</f>
        <v/>
      </c>
      <c r="S1970" t="n">
        <v>0</v>
      </c>
    </row>
    <row r="1971" ht="54.75" customHeight="1" s="24">
      <c r="A1971" s="13" t="n">
        <v>5000081943</v>
      </c>
      <c r="B1971" s="13" t="inlineStr">
        <is>
          <t>МУНИЦИПАЛЬНОЕ УЧРЕЖДЕНИЕ "КОНТРОЛЬНО-СЧЕТНАЯ ПАЛАТА ПРОХЛАДНЕНСКОГО МУНИЦИПАЛЬНОГО РАЙОНА КАБАРДИНО-БАЛКАРСКОЙ РЕСПУБЛИКИ"</t>
        </is>
      </c>
      <c r="C1971" s="13" t="n">
        <v>716008593</v>
      </c>
      <c r="D1971" s="13" t="n"/>
      <c r="E1971" s="13" t="inlineStr">
        <is>
          <t>Не определён</t>
        </is>
      </c>
      <c r="F1971" s="13" t="inlineStr">
        <is>
          <t>716008593</t>
        </is>
      </c>
      <c r="G1971" s="14" t="n"/>
      <c r="H1971" s="14" t="n"/>
      <c r="I1971" s="14" t="n"/>
      <c r="J1971" s="14" t="n"/>
      <c r="K1971" s="13">
        <f>IF(G1971="","",IF(G1971&gt;=22,"Да","Нет"))</f>
        <v/>
      </c>
      <c r="L1971" s="13">
        <f>IF(OR(I1971="",J1971=""),"Не определено",IF(OR(COUNTIF(I1971,"45*")&gt;0,COUNTIF(J1971,"*45*")&gt;0,COUNTIF(I1971,"46*")&gt;0,COUNTIF(J1971,"*46*")&gt;0,COUNTIF(I1971,"47*")&gt;0,COUNTIF(J1971,"*47*")&gt;0,COUNTIF(I1971,"10*")&gt;0,COUNTIF(J1971,"*10*")&gt;0,COUNTIF(I1971,"11*")&gt;0,COUNTIF(J1971,"*11*")&gt;0,COUNTIF(I1971,"12*")&gt;0,COUNTIF(J1971,"*12*")&gt;0,COUNTIF(I1971,"13*")&gt;0,COUNTIF(J1971,"*13*")&gt;0,COUNTIF(I1971,"14*")&gt;0,COUNTIF(J1971,"*14*")&gt;0,COUNTIF(I1971,"15*")&gt;0,COUNTIF(J1971,"*15*")&gt;0,COUNTIF(I1971,"16*")&gt;0,COUNTIF(J1971,"*16*")&gt;0,COUNTIF(I1971,"17*")&gt;0,COUNTIF(J1971,"*17*")&gt;0,COUNTIF(I1971,"18*")&gt;0,COUNTIF(J1971,"*18*")&gt;0,COUNTIF(I1971,"19*")&gt;0,COUNTIF(J1971,"*19*")&gt;0,COUNTIF(I1971,"20*")&gt;0,COUNTIF(J1971,"*20*")&gt;0,COUNTIF(I1971,"21*")&gt;0,COUNTIF(J1971,"*21*")&gt;0,COUNTIF(I1971,"22*")&gt;0,COUNTIF(J1971,"*22*")&gt;0,COUNTIF(I1971,"23*")&gt;0,COUNTIF(J1971,"*23*")&gt;0,COUNTIF(I1971,"24*")&gt;0,COUNTIF(J1971,"*24*")&gt;0,COUNTIF(I1971,"25*")&gt;0,COUNTIF(J1971,"*25*")&gt;0,COUNTIF(I1971,"26*")&gt;0,COUNTIF(J1971,"*26*")&gt;0,COUNTIF(I1971,"27*")&gt;0,COUNTIF(J1971,"*27*")&gt;0,COUNTIF(I1971,"28*")&gt;0,COUNTIF(J1971,"*28*")&gt;0,COUNTIF(I1971,"29*")&gt;0,COUNTIF(J1971,"*29*")&gt;0,COUNTIF(I1971,"30*")&gt;0,COUNTIF(J1971,"*30*")&gt;0,COUNTIF(I1971,"31*")&gt;0,COUNTIF(J1971,"*31*")&gt;0,COUNTIF(I1971,"32*")&gt;0,COUNTIF(J1971,"*32*")&gt;0,COUNTIF(I1971,"33*")&gt;0,COUNTIF(J1971,"*33*")&gt;0,COUNTIF(I1971,"41*")&gt;0,COUNTIF(J1971,"*41*")&gt;0,COUNTIF(I1971,"42*")&gt;0,COUNTIF(J1971,"*42*")&gt;0,COUNTIF(I1971,"43*")&gt;0,COUNTIF(J1971,"*43*")&gt;0,COUNTIF(I1971,"49*")&gt;0,COUNTIF(J1971,"*49*")&gt;0,COUNTIF(I1971,"52*")&gt;0,COUNTIF(J1971,"*52*")&gt;0,COUNTIF(I1971,"55*")&gt;0,COUNTIF(J1971,"*55*")&gt;0,COUNTIF(I1971,"56*")&gt;0,COUNTIF(J1971,"*56*")&gt;0,COUNTIF(I1971,"68*")&gt;0,COUNTIF(J1971,"*68*")&gt;0,COUNTIF(I1971,"78*")&gt;0,COUNTIF(J1971,"*78*")&gt;0,COUNTIF(I1971,"81*")&gt;0,COUNTIF(J1971,"*81*")&gt;0,COUNTIF(I1971,"82*")&gt;0,COUNTIF(J1971,"*82*")&gt;0,COUNTIF(I1971,"64*")&gt;0,COUNTIF(J1971,"*64*")&gt;0,COUNTIF(I1971,"65*")&gt;0,COUNTIF(J1971,"*65*")&gt;0,COUNTIF(I1971,"66*")&gt;0,COUNTIF(J1971,"*66*")&gt;0,COUNTIF(I1971,"61*")&gt;0,COUNTIF(J1971,"*61*")&gt;0,COUNTIF(I1971,"62*")&gt;0,COUNTIF(J1971,"*62*")&gt;0,COUNTIF(I1971,"63*")&gt;0,COUNTIF(J1971,"*63*")&gt;0,COUNTIF(I1971,"85*")&gt;0,COUNTIF(J1971,"*85*")&gt;0,COUNTIF(I1971,"86*")&gt;0,COUNTIF(J1971,"*86*")&gt;0),"Да","Нет"))</f>
        <v/>
      </c>
      <c r="M1971" s="13">
        <f>IF(OR(G1971="",L1971&lt;&gt;"Да"),"",IF(G1971&lt;=100,"До 100",IF(G1971&lt;=200,"До 200",IF(G1971&lt;=500,"До 500","Отдельное КП"))))</f>
        <v/>
      </c>
      <c r="N1971" s="15">
        <f>IF(OR(G1971="",L1971&lt;&gt;"Да"),"",IF(G1971&lt;=100,33600,IF(G1971&lt;=200,62400,IF(G1971&lt;=500,144000,""))))</f>
        <v/>
      </c>
      <c r="O1971" s="16">
        <f>IF(G1971="","",IF(G1971&lt;=15,"1–15",IF(G1971&lt;=30,"16–30",IF(G1971&lt;=50,"31–50",IF(G1971&lt;=100,"51–100",IF(G1971&lt;=150,"101–150",IF(G1971&lt;=200,"151–200",IF(G1971&lt;=500,"201–500","500+"))))))))</f>
        <v/>
      </c>
      <c r="P1971" s="16" t="inlineStr">
        <is>
          <t>Нет совпадения в предоставленной выгрузке ССЧР</t>
        </is>
      </c>
      <c r="Q1971" s="16" t="n"/>
      <c r="R1971" s="16">
        <f>HYPERLINK("https://checko.ru/search?query=3801001629","Чекко: проверить")</f>
        <v/>
      </c>
      <c r="S1971" t="n">
        <v>0</v>
      </c>
    </row>
    <row r="1972" ht="41.25" customHeight="1" s="24">
      <c r="A1972" s="13" t="n">
        <v>5000081945</v>
      </c>
      <c r="B1972" s="13" t="inlineStr">
        <is>
          <t>МЕСТНАЯ АДМИНИСТРАЦИЯ ПРОХЛАДНЕНСКОГО МУНИЦИПАЛЬНОГО РАЙОНА КАБАРДИНО-БАЛКАРСКОЙ РЕСПУБЛИКИ</t>
        </is>
      </c>
      <c r="C1972" s="13" t="n">
        <v>704001917</v>
      </c>
      <c r="D1972" s="13" t="n"/>
      <c r="E1972" s="13" t="inlineStr">
        <is>
          <t>Не определён</t>
        </is>
      </c>
      <c r="F1972" s="13" t="inlineStr">
        <is>
          <t>704001917</t>
        </is>
      </c>
      <c r="G1972" s="14" t="n"/>
      <c r="H1972" s="14" t="n"/>
      <c r="I1972" s="14" t="n"/>
      <c r="J1972" s="14" t="n"/>
      <c r="K1972" s="13">
        <f>IF(G1972="","",IF(G1972&gt;=22,"Да","Нет"))</f>
        <v/>
      </c>
      <c r="L1972" s="13">
        <f>IF(OR(I1972="",J1972=""),"Не определено",IF(OR(COUNTIF(I1972,"45*")&gt;0,COUNTIF(J1972,"*45*")&gt;0,COUNTIF(I1972,"46*")&gt;0,COUNTIF(J1972,"*46*")&gt;0,COUNTIF(I1972,"47*")&gt;0,COUNTIF(J1972,"*47*")&gt;0,COUNTIF(I1972,"10*")&gt;0,COUNTIF(J1972,"*10*")&gt;0,COUNTIF(I1972,"11*")&gt;0,COUNTIF(J1972,"*11*")&gt;0,COUNTIF(I1972,"12*")&gt;0,COUNTIF(J1972,"*12*")&gt;0,COUNTIF(I1972,"13*")&gt;0,COUNTIF(J1972,"*13*")&gt;0,COUNTIF(I1972,"14*")&gt;0,COUNTIF(J1972,"*14*")&gt;0,COUNTIF(I1972,"15*")&gt;0,COUNTIF(J1972,"*15*")&gt;0,COUNTIF(I1972,"16*")&gt;0,COUNTIF(J1972,"*16*")&gt;0,COUNTIF(I1972,"17*")&gt;0,COUNTIF(J1972,"*17*")&gt;0,COUNTIF(I1972,"18*")&gt;0,COUNTIF(J1972,"*18*")&gt;0,COUNTIF(I1972,"19*")&gt;0,COUNTIF(J1972,"*19*")&gt;0,COUNTIF(I1972,"20*")&gt;0,COUNTIF(J1972,"*20*")&gt;0,COUNTIF(I1972,"21*")&gt;0,COUNTIF(J1972,"*21*")&gt;0,COUNTIF(I1972,"22*")&gt;0,COUNTIF(J1972,"*22*")&gt;0,COUNTIF(I1972,"23*")&gt;0,COUNTIF(J1972,"*23*")&gt;0,COUNTIF(I1972,"24*")&gt;0,COUNTIF(J1972,"*24*")&gt;0,COUNTIF(I1972,"25*")&gt;0,COUNTIF(J1972,"*25*")&gt;0,COUNTIF(I1972,"26*")&gt;0,COUNTIF(J1972,"*26*")&gt;0,COUNTIF(I1972,"27*")&gt;0,COUNTIF(J1972,"*27*")&gt;0,COUNTIF(I1972,"28*")&gt;0,COUNTIF(J1972,"*28*")&gt;0,COUNTIF(I1972,"29*")&gt;0,COUNTIF(J1972,"*29*")&gt;0,COUNTIF(I1972,"30*")&gt;0,COUNTIF(J1972,"*30*")&gt;0,COUNTIF(I1972,"31*")&gt;0,COUNTIF(J1972,"*31*")&gt;0,COUNTIF(I1972,"32*")&gt;0,COUNTIF(J1972,"*32*")&gt;0,COUNTIF(I1972,"33*")&gt;0,COUNTIF(J1972,"*33*")&gt;0,COUNTIF(I1972,"41*")&gt;0,COUNTIF(J1972,"*41*")&gt;0,COUNTIF(I1972,"42*")&gt;0,COUNTIF(J1972,"*42*")&gt;0,COUNTIF(I1972,"43*")&gt;0,COUNTIF(J1972,"*43*")&gt;0,COUNTIF(I1972,"49*")&gt;0,COUNTIF(J1972,"*49*")&gt;0,COUNTIF(I1972,"52*")&gt;0,COUNTIF(J1972,"*52*")&gt;0,COUNTIF(I1972,"55*")&gt;0,COUNTIF(J1972,"*55*")&gt;0,COUNTIF(I1972,"56*")&gt;0,COUNTIF(J1972,"*56*")&gt;0,COUNTIF(I1972,"68*")&gt;0,COUNTIF(J1972,"*68*")&gt;0,COUNTIF(I1972,"78*")&gt;0,COUNTIF(J1972,"*78*")&gt;0,COUNTIF(I1972,"81*")&gt;0,COUNTIF(J1972,"*81*")&gt;0,COUNTIF(I1972,"82*")&gt;0,COUNTIF(J1972,"*82*")&gt;0,COUNTIF(I1972,"64*")&gt;0,COUNTIF(J1972,"*64*")&gt;0,COUNTIF(I1972,"65*")&gt;0,COUNTIF(J1972,"*65*")&gt;0,COUNTIF(I1972,"66*")&gt;0,COUNTIF(J1972,"*66*")&gt;0,COUNTIF(I1972,"61*")&gt;0,COUNTIF(J1972,"*61*")&gt;0,COUNTIF(I1972,"62*")&gt;0,COUNTIF(J1972,"*62*")&gt;0,COUNTIF(I1972,"63*")&gt;0,COUNTIF(J1972,"*63*")&gt;0,COUNTIF(I1972,"85*")&gt;0,COUNTIF(J1972,"*85*")&gt;0,COUNTIF(I1972,"86*")&gt;0,COUNTIF(J1972,"*86*")&gt;0),"Да","Нет"))</f>
        <v/>
      </c>
      <c r="M1972" s="13">
        <f>IF(OR(G1972="",L1972&lt;&gt;"Да"),"",IF(G1972&lt;=100,"До 100",IF(G1972&lt;=200,"До 200",IF(G1972&lt;=500,"До 500","Отдельное КП"))))</f>
        <v/>
      </c>
      <c r="N1972" s="15">
        <f>IF(OR(G1972="",L1972&lt;&gt;"Да"),"",IF(G1972&lt;=100,33600,IF(G1972&lt;=200,62400,IF(G1972&lt;=500,144000,""))))</f>
        <v/>
      </c>
      <c r="O1972" s="16">
        <f>IF(G1972="","",IF(G1972&lt;=15,"1–15",IF(G1972&lt;=30,"16–30",IF(G1972&lt;=50,"31–50",IF(G1972&lt;=100,"51–100",IF(G1972&lt;=150,"101–150",IF(G1972&lt;=200,"151–200",IF(G1972&lt;=500,"201–500","500+"))))))))</f>
        <v/>
      </c>
      <c r="P1972" s="16" t="inlineStr">
        <is>
          <t>Нет совпадения в предоставленной выгрузке ССЧР</t>
        </is>
      </c>
      <c r="Q1972" s="16" t="n"/>
      <c r="R1972" s="16">
        <f>HYPERLINK("https://checko.ru/search?query=3801001629","Чекко: проверить")</f>
        <v/>
      </c>
      <c r="S1972" t="n">
        <v>0</v>
      </c>
    </row>
    <row r="1973" ht="27.75" customHeight="1" s="24">
      <c r="A1973" s="13" t="n">
        <v>5000081398</v>
      </c>
      <c r="B1973" s="13" t="inlineStr">
        <is>
          <t>Министерство по регулированию контрактной системы в сфере закупок Иркутской Области</t>
        </is>
      </c>
      <c r="C1973" s="13" t="n">
        <v>3808131923</v>
      </c>
      <c r="D1973" s="13" t="inlineStr">
        <is>
          <t>3808131923</t>
        </is>
      </c>
      <c r="E1973" s="13" t="inlineStr">
        <is>
          <t>ЮЛ РФ</t>
        </is>
      </c>
      <c r="F1973" s="13" t="n"/>
      <c r="G1973" s="14" t="n"/>
      <c r="H1973" s="14" t="n"/>
      <c r="I1973" s="14" t="n"/>
      <c r="J1973" s="14" t="n"/>
      <c r="K1973" s="53" t="inlineStr"/>
      <c r="L1973" s="53" t="inlineStr">
        <is>
          <t>Не определено</t>
        </is>
      </c>
      <c r="M1973" s="53" t="inlineStr"/>
      <c r="N1973" s="54" t="inlineStr"/>
      <c r="O1973" s="55" t="inlineStr"/>
      <c r="P1973" s="16" t="inlineStr">
        <is>
          <t>Требует обогащения</t>
        </is>
      </c>
      <c r="Q1973" s="16">
        <f>HYPERLINK("https://pb.nalog.ru/search.html?query=3808131923","ФНС: проверить")</f>
        <v/>
      </c>
      <c r="R1973" s="16">
        <f>HYPERLINK("https://checko.ru/search?query=3801001629","Чекко: проверить")</f>
        <v/>
      </c>
      <c r="S1973" t="n">
        <v>1</v>
      </c>
      <c r="T1973" s="35" t="inlineStr">
        <is>
          <t>4 — Не обогащён</t>
        </is>
      </c>
      <c r="U1973" s="35" t="inlineStr">
        <is>
          <t>Нет ОКВЭД/ССЧР</t>
        </is>
      </c>
      <c r="V1973" s="35" t="inlineStr">
        <is>
          <t>Не определено</t>
        </is>
      </c>
      <c r="W1973" s="35" t="inlineStr"/>
      <c r="X1973" s="35" t="inlineStr"/>
    </row>
    <row r="1974" ht="27.75" customHeight="1" s="24">
      <c r="A1974" s="13" t="n">
        <v>5000062518</v>
      </c>
      <c r="B1974" s="13" t="inlineStr">
        <is>
          <t>ОГОУ СПО технологический техникум р.п.Кузоватово</t>
        </is>
      </c>
      <c r="C1974" s="13" t="n">
        <v>7308003374</v>
      </c>
      <c r="D1974" s="13" t="inlineStr">
        <is>
          <t>7308003374</t>
        </is>
      </c>
      <c r="E1974" s="13" t="inlineStr">
        <is>
          <t>ЮЛ РФ</t>
        </is>
      </c>
      <c r="F1974" s="13" t="n"/>
      <c r="G1974" s="14" t="n"/>
      <c r="H1974" s="14" t="n"/>
      <c r="I1974" s="14" t="n"/>
      <c r="J1974" s="14" t="n"/>
      <c r="K1974" s="53" t="inlineStr"/>
      <c r="L1974" s="53" t="inlineStr">
        <is>
          <t>Не определено</t>
        </is>
      </c>
      <c r="M1974" s="53" t="inlineStr"/>
      <c r="N1974" s="54" t="inlineStr"/>
      <c r="O1974" s="55" t="inlineStr"/>
      <c r="P1974" s="16" t="inlineStr">
        <is>
          <t>Требует обогащения</t>
        </is>
      </c>
      <c r="Q1974" s="16">
        <f>HYPERLINK("https://pb.nalog.ru/search.html?query=7308003374","ФНС: проверить")</f>
        <v/>
      </c>
      <c r="R1974" s="16">
        <f>HYPERLINK("https://checko.ru/search?query=3801001629","Чекко: проверить")</f>
        <v/>
      </c>
      <c r="S1974" t="n">
        <v>1</v>
      </c>
      <c r="T1974" s="35" t="inlineStr">
        <is>
          <t>4 — Не обогащён</t>
        </is>
      </c>
      <c r="U1974" s="35" t="inlineStr">
        <is>
          <t>Нет ОКВЭД/ССЧР</t>
        </is>
      </c>
      <c r="V1974" s="35" t="inlineStr">
        <is>
          <t>Не определено</t>
        </is>
      </c>
      <c r="W1974" s="35" t="inlineStr"/>
      <c r="X1974" s="35" t="inlineStr"/>
    </row>
    <row r="1975" ht="15" customHeight="1" s="24">
      <c r="A1975" s="13" t="n">
        <v>5000088339</v>
      </c>
      <c r="B1975" s="13" t="inlineStr">
        <is>
          <t>ОГАОУ "ЛИЦЕЙ НАНОТЕХНОЛГИЙ"</t>
        </is>
      </c>
      <c r="C1975" s="13" t="n">
        <v>7329036860</v>
      </c>
      <c r="D1975" s="13" t="inlineStr">
        <is>
          <t>7329036860</t>
        </is>
      </c>
      <c r="E1975" s="13" t="inlineStr">
        <is>
          <t>ЮЛ РФ</t>
        </is>
      </c>
      <c r="F1975" s="13" t="n"/>
      <c r="G1975" s="14" t="n"/>
      <c r="H1975" s="14" t="n"/>
      <c r="I1975" s="14" t="n"/>
      <c r="J1975" s="14" t="n"/>
      <c r="K1975" s="53" t="inlineStr"/>
      <c r="L1975" s="53" t="inlineStr">
        <is>
          <t>Не определено</t>
        </is>
      </c>
      <c r="M1975" s="53" t="inlineStr"/>
      <c r="N1975" s="54" t="inlineStr"/>
      <c r="O1975" s="55" t="inlineStr"/>
      <c r="P1975" s="16" t="inlineStr">
        <is>
          <t>Требует обогащения</t>
        </is>
      </c>
      <c r="Q1975" s="16">
        <f>HYPERLINK("https://pb.nalog.ru/search.html?query=7329036860","ФНС: проверить")</f>
        <v/>
      </c>
      <c r="R1975" s="16">
        <f>HYPERLINK("https://checko.ru/search?query=3801001629","Чекко: проверить")</f>
        <v/>
      </c>
      <c r="S1975" t="n">
        <v>1</v>
      </c>
      <c r="T1975" s="35" t="inlineStr">
        <is>
          <t>4 — Не обогащён</t>
        </is>
      </c>
      <c r="U1975" s="35" t="inlineStr">
        <is>
          <t>Нет ОКВЭД/ССЧР</t>
        </is>
      </c>
      <c r="V1975" s="35" t="inlineStr">
        <is>
          <t>Не определено</t>
        </is>
      </c>
      <c r="W1975" s="35" t="inlineStr"/>
      <c r="X1975" s="35" t="inlineStr"/>
    </row>
    <row r="1976" ht="15" customHeight="1" s="24">
      <c r="A1976" s="13" t="n">
        <v>5000100368</v>
      </c>
      <c r="B1976" s="13" t="inlineStr">
        <is>
          <t>ГКУ "РКЦСОН" МТ И СЗ КБР</t>
        </is>
      </c>
      <c r="C1976" s="13" t="n">
        <v>700011015</v>
      </c>
      <c r="D1976" s="13" t="n"/>
      <c r="E1976" s="13" t="inlineStr">
        <is>
          <t>Не определён</t>
        </is>
      </c>
      <c r="F1976" s="13" t="inlineStr">
        <is>
          <t>700011015</t>
        </is>
      </c>
      <c r="G1976" s="14" t="n"/>
      <c r="H1976" s="14" t="n"/>
      <c r="I1976" s="14" t="n"/>
      <c r="J1976" s="14" t="n"/>
      <c r="K1976" s="13">
        <f>IF(G1976="","",IF(G1976&gt;=22,"Да","Нет"))</f>
        <v/>
      </c>
      <c r="L1976" s="13">
        <f>IF(OR(I1976="",J1976=""),"Не определено",IF(OR(COUNTIF(I1976,"45*")&gt;0,COUNTIF(J1976,"*45*")&gt;0,COUNTIF(I1976,"46*")&gt;0,COUNTIF(J1976,"*46*")&gt;0,COUNTIF(I1976,"47*")&gt;0,COUNTIF(J1976,"*47*")&gt;0,COUNTIF(I1976,"10*")&gt;0,COUNTIF(J1976,"*10*")&gt;0,COUNTIF(I1976,"11*")&gt;0,COUNTIF(J1976,"*11*")&gt;0,COUNTIF(I1976,"12*")&gt;0,COUNTIF(J1976,"*12*")&gt;0,COUNTIF(I1976,"13*")&gt;0,COUNTIF(J1976,"*13*")&gt;0,COUNTIF(I1976,"14*")&gt;0,COUNTIF(J1976,"*14*")&gt;0,COUNTIF(I1976,"15*")&gt;0,COUNTIF(J1976,"*15*")&gt;0,COUNTIF(I1976,"16*")&gt;0,COUNTIF(J1976,"*16*")&gt;0,COUNTIF(I1976,"17*")&gt;0,COUNTIF(J1976,"*17*")&gt;0,COUNTIF(I1976,"18*")&gt;0,COUNTIF(J1976,"*18*")&gt;0,COUNTIF(I1976,"19*")&gt;0,COUNTIF(J1976,"*19*")&gt;0,COUNTIF(I1976,"20*")&gt;0,COUNTIF(J1976,"*20*")&gt;0,COUNTIF(I1976,"21*")&gt;0,COUNTIF(J1976,"*21*")&gt;0,COUNTIF(I1976,"22*")&gt;0,COUNTIF(J1976,"*22*")&gt;0,COUNTIF(I1976,"23*")&gt;0,COUNTIF(J1976,"*23*")&gt;0,COUNTIF(I1976,"24*")&gt;0,COUNTIF(J1976,"*24*")&gt;0,COUNTIF(I1976,"25*")&gt;0,COUNTIF(J1976,"*25*")&gt;0,COUNTIF(I1976,"26*")&gt;0,COUNTIF(J1976,"*26*")&gt;0,COUNTIF(I1976,"27*")&gt;0,COUNTIF(J1976,"*27*")&gt;0,COUNTIF(I1976,"28*")&gt;0,COUNTIF(J1976,"*28*")&gt;0,COUNTIF(I1976,"29*")&gt;0,COUNTIF(J1976,"*29*")&gt;0,COUNTIF(I1976,"30*")&gt;0,COUNTIF(J1976,"*30*")&gt;0,COUNTIF(I1976,"31*")&gt;0,COUNTIF(J1976,"*31*")&gt;0,COUNTIF(I1976,"32*")&gt;0,COUNTIF(J1976,"*32*")&gt;0,COUNTIF(I1976,"33*")&gt;0,COUNTIF(J1976,"*33*")&gt;0,COUNTIF(I1976,"41*")&gt;0,COUNTIF(J1976,"*41*")&gt;0,COUNTIF(I1976,"42*")&gt;0,COUNTIF(J1976,"*42*")&gt;0,COUNTIF(I1976,"43*")&gt;0,COUNTIF(J1976,"*43*")&gt;0,COUNTIF(I1976,"49*")&gt;0,COUNTIF(J1976,"*49*")&gt;0,COUNTIF(I1976,"52*")&gt;0,COUNTIF(J1976,"*52*")&gt;0,COUNTIF(I1976,"55*")&gt;0,COUNTIF(J1976,"*55*")&gt;0,COUNTIF(I1976,"56*")&gt;0,COUNTIF(J1976,"*56*")&gt;0,COUNTIF(I1976,"68*")&gt;0,COUNTIF(J1976,"*68*")&gt;0,COUNTIF(I1976,"78*")&gt;0,COUNTIF(J1976,"*78*")&gt;0,COUNTIF(I1976,"81*")&gt;0,COUNTIF(J1976,"*81*")&gt;0,COUNTIF(I1976,"82*")&gt;0,COUNTIF(J1976,"*82*")&gt;0,COUNTIF(I1976,"64*")&gt;0,COUNTIF(J1976,"*64*")&gt;0,COUNTIF(I1976,"65*")&gt;0,COUNTIF(J1976,"*65*")&gt;0,COUNTIF(I1976,"66*")&gt;0,COUNTIF(J1976,"*66*")&gt;0,COUNTIF(I1976,"61*")&gt;0,COUNTIF(J1976,"*61*")&gt;0,COUNTIF(I1976,"62*")&gt;0,COUNTIF(J1976,"*62*")&gt;0,COUNTIF(I1976,"63*")&gt;0,COUNTIF(J1976,"*63*")&gt;0,COUNTIF(I1976,"85*")&gt;0,COUNTIF(J1976,"*85*")&gt;0,COUNTIF(I1976,"86*")&gt;0,COUNTIF(J1976,"*86*")&gt;0),"Да","Нет"))</f>
        <v/>
      </c>
      <c r="M1976" s="13">
        <f>IF(OR(G1976="",L1976&lt;&gt;"Да"),"",IF(G1976&lt;=100,"До 100",IF(G1976&lt;=200,"До 200",IF(G1976&lt;=500,"До 500","Отдельное КП"))))</f>
        <v/>
      </c>
      <c r="N1976" s="15">
        <f>IF(OR(G1976="",L1976&lt;&gt;"Да"),"",IF(G1976&lt;=100,33600,IF(G1976&lt;=200,62400,IF(G1976&lt;=500,144000,""))))</f>
        <v/>
      </c>
      <c r="O1976" s="16">
        <f>IF(G1976="","",IF(G1976&lt;=15,"1–15",IF(G1976&lt;=30,"16–30",IF(G1976&lt;=50,"31–50",IF(G1976&lt;=100,"51–100",IF(G1976&lt;=150,"101–150",IF(G1976&lt;=200,"151–200",IF(G1976&lt;=500,"201–500","500+"))))))))</f>
        <v/>
      </c>
      <c r="P1976" s="16" t="inlineStr">
        <is>
          <t>Нет совпадения в предоставленной выгрузке ССЧР</t>
        </is>
      </c>
      <c r="Q1976" s="16" t="n"/>
      <c r="R1976" s="16">
        <f>HYPERLINK("https://checko.ru/search?query=3801001629","Чекко: проверить")</f>
        <v/>
      </c>
      <c r="S1976" t="n">
        <v>0</v>
      </c>
    </row>
    <row r="1977" ht="15" customHeight="1" s="24">
      <c r="A1977" s="13" t="n">
        <v>5000094389</v>
      </c>
      <c r="B1977" s="13" t="inlineStr">
        <is>
          <t>Минмолодежи КБР</t>
        </is>
      </c>
      <c r="C1977" s="13" t="n">
        <v>700005036</v>
      </c>
      <c r="D1977" s="13" t="n"/>
      <c r="E1977" s="13" t="inlineStr">
        <is>
          <t>Не определён</t>
        </is>
      </c>
      <c r="F1977" s="13" t="inlineStr">
        <is>
          <t>700005036</t>
        </is>
      </c>
      <c r="G1977" s="14" t="n"/>
      <c r="H1977" s="14" t="n"/>
      <c r="I1977" s="14" t="n"/>
      <c r="J1977" s="14" t="n"/>
      <c r="K1977" s="13">
        <f>IF(G1977="","",IF(G1977&gt;=22,"Да","Нет"))</f>
        <v/>
      </c>
      <c r="L1977" s="13">
        <f>IF(OR(I1977="",J1977=""),"Не определено",IF(OR(COUNTIF(I1977,"45*")&gt;0,COUNTIF(J1977,"*45*")&gt;0,COUNTIF(I1977,"46*")&gt;0,COUNTIF(J1977,"*46*")&gt;0,COUNTIF(I1977,"47*")&gt;0,COUNTIF(J1977,"*47*")&gt;0,COUNTIF(I1977,"10*")&gt;0,COUNTIF(J1977,"*10*")&gt;0,COUNTIF(I1977,"11*")&gt;0,COUNTIF(J1977,"*11*")&gt;0,COUNTIF(I1977,"12*")&gt;0,COUNTIF(J1977,"*12*")&gt;0,COUNTIF(I1977,"13*")&gt;0,COUNTIF(J1977,"*13*")&gt;0,COUNTIF(I1977,"14*")&gt;0,COUNTIF(J1977,"*14*")&gt;0,COUNTIF(I1977,"15*")&gt;0,COUNTIF(J1977,"*15*")&gt;0,COUNTIF(I1977,"16*")&gt;0,COUNTIF(J1977,"*16*")&gt;0,COUNTIF(I1977,"17*")&gt;0,COUNTIF(J1977,"*17*")&gt;0,COUNTIF(I1977,"18*")&gt;0,COUNTIF(J1977,"*18*")&gt;0,COUNTIF(I1977,"19*")&gt;0,COUNTIF(J1977,"*19*")&gt;0,COUNTIF(I1977,"20*")&gt;0,COUNTIF(J1977,"*20*")&gt;0,COUNTIF(I1977,"21*")&gt;0,COUNTIF(J1977,"*21*")&gt;0,COUNTIF(I1977,"22*")&gt;0,COUNTIF(J1977,"*22*")&gt;0,COUNTIF(I1977,"23*")&gt;0,COUNTIF(J1977,"*23*")&gt;0,COUNTIF(I1977,"24*")&gt;0,COUNTIF(J1977,"*24*")&gt;0,COUNTIF(I1977,"25*")&gt;0,COUNTIF(J1977,"*25*")&gt;0,COUNTIF(I1977,"26*")&gt;0,COUNTIF(J1977,"*26*")&gt;0,COUNTIF(I1977,"27*")&gt;0,COUNTIF(J1977,"*27*")&gt;0,COUNTIF(I1977,"28*")&gt;0,COUNTIF(J1977,"*28*")&gt;0,COUNTIF(I1977,"29*")&gt;0,COUNTIF(J1977,"*29*")&gt;0,COUNTIF(I1977,"30*")&gt;0,COUNTIF(J1977,"*30*")&gt;0,COUNTIF(I1977,"31*")&gt;0,COUNTIF(J1977,"*31*")&gt;0,COUNTIF(I1977,"32*")&gt;0,COUNTIF(J1977,"*32*")&gt;0,COUNTIF(I1977,"33*")&gt;0,COUNTIF(J1977,"*33*")&gt;0,COUNTIF(I1977,"41*")&gt;0,COUNTIF(J1977,"*41*")&gt;0,COUNTIF(I1977,"42*")&gt;0,COUNTIF(J1977,"*42*")&gt;0,COUNTIF(I1977,"43*")&gt;0,COUNTIF(J1977,"*43*")&gt;0,COUNTIF(I1977,"49*")&gt;0,COUNTIF(J1977,"*49*")&gt;0,COUNTIF(I1977,"52*")&gt;0,COUNTIF(J1977,"*52*")&gt;0,COUNTIF(I1977,"55*")&gt;0,COUNTIF(J1977,"*55*")&gt;0,COUNTIF(I1977,"56*")&gt;0,COUNTIF(J1977,"*56*")&gt;0,COUNTIF(I1977,"68*")&gt;0,COUNTIF(J1977,"*68*")&gt;0,COUNTIF(I1977,"78*")&gt;0,COUNTIF(J1977,"*78*")&gt;0,COUNTIF(I1977,"81*")&gt;0,COUNTIF(J1977,"*81*")&gt;0,COUNTIF(I1977,"82*")&gt;0,COUNTIF(J1977,"*82*")&gt;0,COUNTIF(I1977,"64*")&gt;0,COUNTIF(J1977,"*64*")&gt;0,COUNTIF(I1977,"65*")&gt;0,COUNTIF(J1977,"*65*")&gt;0,COUNTIF(I1977,"66*")&gt;0,COUNTIF(J1977,"*66*")&gt;0,COUNTIF(I1977,"61*")&gt;0,COUNTIF(J1977,"*61*")&gt;0,COUNTIF(I1977,"62*")&gt;0,COUNTIF(J1977,"*62*")&gt;0,COUNTIF(I1977,"63*")&gt;0,COUNTIF(J1977,"*63*")&gt;0,COUNTIF(I1977,"85*")&gt;0,COUNTIF(J1977,"*85*")&gt;0,COUNTIF(I1977,"86*")&gt;0,COUNTIF(J1977,"*86*")&gt;0),"Да","Нет"))</f>
        <v/>
      </c>
      <c r="M1977" s="13">
        <f>IF(OR(G1977="",L1977&lt;&gt;"Да"),"",IF(G1977&lt;=100,"До 100",IF(G1977&lt;=200,"До 200",IF(G1977&lt;=500,"До 500","Отдельное КП"))))</f>
        <v/>
      </c>
      <c r="N1977" s="15">
        <f>IF(OR(G1977="",L1977&lt;&gt;"Да"),"",IF(G1977&lt;=100,33600,IF(G1977&lt;=200,62400,IF(G1977&lt;=500,144000,""))))</f>
        <v/>
      </c>
      <c r="O1977" s="16">
        <f>IF(G1977="","",IF(G1977&lt;=15,"1–15",IF(G1977&lt;=30,"16–30",IF(G1977&lt;=50,"31–50",IF(G1977&lt;=100,"51–100",IF(G1977&lt;=150,"101–150",IF(G1977&lt;=200,"151–200",IF(G1977&lt;=500,"201–500","500+"))))))))</f>
        <v/>
      </c>
      <c r="P1977" s="16" t="inlineStr">
        <is>
          <t>Нет совпадения в предоставленной выгрузке ССЧР</t>
        </is>
      </c>
      <c r="Q1977" s="16" t="n"/>
      <c r="R1977" s="16">
        <f>HYPERLINK("https://checko.ru/search?query=3801001629","Чекко: проверить")</f>
        <v/>
      </c>
      <c r="S1977" t="n">
        <v>0</v>
      </c>
    </row>
    <row r="1978" ht="15" customHeight="1" s="24">
      <c r="A1978" s="13" t="n">
        <v>5000094431</v>
      </c>
      <c r="B1978" s="13" t="inlineStr">
        <is>
          <t>Местная администрация с.п. Баксаненок</t>
        </is>
      </c>
      <c r="C1978" s="13" t="n">
        <v>701004814</v>
      </c>
      <c r="D1978" s="13" t="n"/>
      <c r="E1978" s="13" t="inlineStr">
        <is>
          <t>Не определён</t>
        </is>
      </c>
      <c r="F1978" s="13" t="inlineStr">
        <is>
          <t>701004814</t>
        </is>
      </c>
      <c r="G1978" s="14" t="n"/>
      <c r="H1978" s="14" t="n"/>
      <c r="I1978" s="14" t="n"/>
      <c r="J1978" s="14" t="n"/>
      <c r="K1978" s="13">
        <f>IF(G1978="","",IF(G1978&gt;=22,"Да","Нет"))</f>
        <v/>
      </c>
      <c r="L1978" s="13">
        <f>IF(OR(I1978="",J1978=""),"Не определено",IF(OR(COUNTIF(I1978,"45*")&gt;0,COUNTIF(J1978,"*45*")&gt;0,COUNTIF(I1978,"46*")&gt;0,COUNTIF(J1978,"*46*")&gt;0,COUNTIF(I1978,"47*")&gt;0,COUNTIF(J1978,"*47*")&gt;0,COUNTIF(I1978,"10*")&gt;0,COUNTIF(J1978,"*10*")&gt;0,COUNTIF(I1978,"11*")&gt;0,COUNTIF(J1978,"*11*")&gt;0,COUNTIF(I1978,"12*")&gt;0,COUNTIF(J1978,"*12*")&gt;0,COUNTIF(I1978,"13*")&gt;0,COUNTIF(J1978,"*13*")&gt;0,COUNTIF(I1978,"14*")&gt;0,COUNTIF(J1978,"*14*")&gt;0,COUNTIF(I1978,"15*")&gt;0,COUNTIF(J1978,"*15*")&gt;0,COUNTIF(I1978,"16*")&gt;0,COUNTIF(J1978,"*16*")&gt;0,COUNTIF(I1978,"17*")&gt;0,COUNTIF(J1978,"*17*")&gt;0,COUNTIF(I1978,"18*")&gt;0,COUNTIF(J1978,"*18*")&gt;0,COUNTIF(I1978,"19*")&gt;0,COUNTIF(J1978,"*19*")&gt;0,COUNTIF(I1978,"20*")&gt;0,COUNTIF(J1978,"*20*")&gt;0,COUNTIF(I1978,"21*")&gt;0,COUNTIF(J1978,"*21*")&gt;0,COUNTIF(I1978,"22*")&gt;0,COUNTIF(J1978,"*22*")&gt;0,COUNTIF(I1978,"23*")&gt;0,COUNTIF(J1978,"*23*")&gt;0,COUNTIF(I1978,"24*")&gt;0,COUNTIF(J1978,"*24*")&gt;0,COUNTIF(I1978,"25*")&gt;0,COUNTIF(J1978,"*25*")&gt;0,COUNTIF(I1978,"26*")&gt;0,COUNTIF(J1978,"*26*")&gt;0,COUNTIF(I1978,"27*")&gt;0,COUNTIF(J1978,"*27*")&gt;0,COUNTIF(I1978,"28*")&gt;0,COUNTIF(J1978,"*28*")&gt;0,COUNTIF(I1978,"29*")&gt;0,COUNTIF(J1978,"*29*")&gt;0,COUNTIF(I1978,"30*")&gt;0,COUNTIF(J1978,"*30*")&gt;0,COUNTIF(I1978,"31*")&gt;0,COUNTIF(J1978,"*31*")&gt;0,COUNTIF(I1978,"32*")&gt;0,COUNTIF(J1978,"*32*")&gt;0,COUNTIF(I1978,"33*")&gt;0,COUNTIF(J1978,"*33*")&gt;0,COUNTIF(I1978,"41*")&gt;0,COUNTIF(J1978,"*41*")&gt;0,COUNTIF(I1978,"42*")&gt;0,COUNTIF(J1978,"*42*")&gt;0,COUNTIF(I1978,"43*")&gt;0,COUNTIF(J1978,"*43*")&gt;0,COUNTIF(I1978,"49*")&gt;0,COUNTIF(J1978,"*49*")&gt;0,COUNTIF(I1978,"52*")&gt;0,COUNTIF(J1978,"*52*")&gt;0,COUNTIF(I1978,"55*")&gt;0,COUNTIF(J1978,"*55*")&gt;0,COUNTIF(I1978,"56*")&gt;0,COUNTIF(J1978,"*56*")&gt;0,COUNTIF(I1978,"68*")&gt;0,COUNTIF(J1978,"*68*")&gt;0,COUNTIF(I1978,"78*")&gt;0,COUNTIF(J1978,"*78*")&gt;0,COUNTIF(I1978,"81*")&gt;0,COUNTIF(J1978,"*81*")&gt;0,COUNTIF(I1978,"82*")&gt;0,COUNTIF(J1978,"*82*")&gt;0,COUNTIF(I1978,"64*")&gt;0,COUNTIF(J1978,"*64*")&gt;0,COUNTIF(I1978,"65*")&gt;0,COUNTIF(J1978,"*65*")&gt;0,COUNTIF(I1978,"66*")&gt;0,COUNTIF(J1978,"*66*")&gt;0,COUNTIF(I1978,"61*")&gt;0,COUNTIF(J1978,"*61*")&gt;0,COUNTIF(I1978,"62*")&gt;0,COUNTIF(J1978,"*62*")&gt;0,COUNTIF(I1978,"63*")&gt;0,COUNTIF(J1978,"*63*")&gt;0,COUNTIF(I1978,"85*")&gt;0,COUNTIF(J1978,"*85*")&gt;0,COUNTIF(I1978,"86*")&gt;0,COUNTIF(J1978,"*86*")&gt;0),"Да","Нет"))</f>
        <v/>
      </c>
      <c r="M1978" s="13">
        <f>IF(OR(G1978="",L1978&lt;&gt;"Да"),"",IF(G1978&lt;=100,"До 100",IF(G1978&lt;=200,"До 200",IF(G1978&lt;=500,"До 500","Отдельное КП"))))</f>
        <v/>
      </c>
      <c r="N1978" s="15">
        <f>IF(OR(G1978="",L1978&lt;&gt;"Да"),"",IF(G1978&lt;=100,33600,IF(G1978&lt;=200,62400,IF(G1978&lt;=500,144000,""))))</f>
        <v/>
      </c>
      <c r="O1978" s="16">
        <f>IF(G1978="","",IF(G1978&lt;=15,"1–15",IF(G1978&lt;=30,"16–30",IF(G1978&lt;=50,"31–50",IF(G1978&lt;=100,"51–100",IF(G1978&lt;=150,"101–150",IF(G1978&lt;=200,"151–200",IF(G1978&lt;=500,"201–500","500+"))))))))</f>
        <v/>
      </c>
      <c r="P1978" s="16" t="inlineStr">
        <is>
          <t>Нет совпадения в предоставленной выгрузке ССЧР</t>
        </is>
      </c>
      <c r="Q1978" s="16" t="n"/>
      <c r="R1978" s="16">
        <f>HYPERLINK("https://checko.ru/search?query=3801001629","Чекко: проверить")</f>
        <v/>
      </c>
      <c r="S1978" t="n">
        <v>0</v>
      </c>
    </row>
    <row r="1979" ht="15" customHeight="1" s="24">
      <c r="A1979" s="13" t="n">
        <v>5000094432</v>
      </c>
      <c r="B1979" s="13" t="inlineStr">
        <is>
          <t>МКОУ СОШ №3 с.п. Н.Куркужин</t>
        </is>
      </c>
      <c r="C1979" s="13" t="n">
        <v>701004839</v>
      </c>
      <c r="D1979" s="13" t="n"/>
      <c r="E1979" s="13" t="inlineStr">
        <is>
          <t>Не определён</t>
        </is>
      </c>
      <c r="F1979" s="13" t="inlineStr">
        <is>
          <t>701004839</t>
        </is>
      </c>
      <c r="G1979" s="14" t="n"/>
      <c r="H1979" s="14" t="n"/>
      <c r="I1979" s="14" t="n"/>
      <c r="J1979" s="14" t="n"/>
      <c r="K1979" s="13">
        <f>IF(G1979="","",IF(G1979&gt;=22,"Да","Нет"))</f>
        <v/>
      </c>
      <c r="L1979" s="13">
        <f>IF(OR(I1979="",J1979=""),"Не определено",IF(OR(COUNTIF(I1979,"45*")&gt;0,COUNTIF(J1979,"*45*")&gt;0,COUNTIF(I1979,"46*")&gt;0,COUNTIF(J1979,"*46*")&gt;0,COUNTIF(I1979,"47*")&gt;0,COUNTIF(J1979,"*47*")&gt;0,COUNTIF(I1979,"10*")&gt;0,COUNTIF(J1979,"*10*")&gt;0,COUNTIF(I1979,"11*")&gt;0,COUNTIF(J1979,"*11*")&gt;0,COUNTIF(I1979,"12*")&gt;0,COUNTIF(J1979,"*12*")&gt;0,COUNTIF(I1979,"13*")&gt;0,COUNTIF(J1979,"*13*")&gt;0,COUNTIF(I1979,"14*")&gt;0,COUNTIF(J1979,"*14*")&gt;0,COUNTIF(I1979,"15*")&gt;0,COUNTIF(J1979,"*15*")&gt;0,COUNTIF(I1979,"16*")&gt;0,COUNTIF(J1979,"*16*")&gt;0,COUNTIF(I1979,"17*")&gt;0,COUNTIF(J1979,"*17*")&gt;0,COUNTIF(I1979,"18*")&gt;0,COUNTIF(J1979,"*18*")&gt;0,COUNTIF(I1979,"19*")&gt;0,COUNTIF(J1979,"*19*")&gt;0,COUNTIF(I1979,"20*")&gt;0,COUNTIF(J1979,"*20*")&gt;0,COUNTIF(I1979,"21*")&gt;0,COUNTIF(J1979,"*21*")&gt;0,COUNTIF(I1979,"22*")&gt;0,COUNTIF(J1979,"*22*")&gt;0,COUNTIF(I1979,"23*")&gt;0,COUNTIF(J1979,"*23*")&gt;0,COUNTIF(I1979,"24*")&gt;0,COUNTIF(J1979,"*24*")&gt;0,COUNTIF(I1979,"25*")&gt;0,COUNTIF(J1979,"*25*")&gt;0,COUNTIF(I1979,"26*")&gt;0,COUNTIF(J1979,"*26*")&gt;0,COUNTIF(I1979,"27*")&gt;0,COUNTIF(J1979,"*27*")&gt;0,COUNTIF(I1979,"28*")&gt;0,COUNTIF(J1979,"*28*")&gt;0,COUNTIF(I1979,"29*")&gt;0,COUNTIF(J1979,"*29*")&gt;0,COUNTIF(I1979,"30*")&gt;0,COUNTIF(J1979,"*30*")&gt;0,COUNTIF(I1979,"31*")&gt;0,COUNTIF(J1979,"*31*")&gt;0,COUNTIF(I1979,"32*")&gt;0,COUNTIF(J1979,"*32*")&gt;0,COUNTIF(I1979,"33*")&gt;0,COUNTIF(J1979,"*33*")&gt;0,COUNTIF(I1979,"41*")&gt;0,COUNTIF(J1979,"*41*")&gt;0,COUNTIF(I1979,"42*")&gt;0,COUNTIF(J1979,"*42*")&gt;0,COUNTIF(I1979,"43*")&gt;0,COUNTIF(J1979,"*43*")&gt;0,COUNTIF(I1979,"49*")&gt;0,COUNTIF(J1979,"*49*")&gt;0,COUNTIF(I1979,"52*")&gt;0,COUNTIF(J1979,"*52*")&gt;0,COUNTIF(I1979,"55*")&gt;0,COUNTIF(J1979,"*55*")&gt;0,COUNTIF(I1979,"56*")&gt;0,COUNTIF(J1979,"*56*")&gt;0,COUNTIF(I1979,"68*")&gt;0,COUNTIF(J1979,"*68*")&gt;0,COUNTIF(I1979,"78*")&gt;0,COUNTIF(J1979,"*78*")&gt;0,COUNTIF(I1979,"81*")&gt;0,COUNTIF(J1979,"*81*")&gt;0,COUNTIF(I1979,"82*")&gt;0,COUNTIF(J1979,"*82*")&gt;0,COUNTIF(I1979,"64*")&gt;0,COUNTIF(J1979,"*64*")&gt;0,COUNTIF(I1979,"65*")&gt;0,COUNTIF(J1979,"*65*")&gt;0,COUNTIF(I1979,"66*")&gt;0,COUNTIF(J1979,"*66*")&gt;0,COUNTIF(I1979,"61*")&gt;0,COUNTIF(J1979,"*61*")&gt;0,COUNTIF(I1979,"62*")&gt;0,COUNTIF(J1979,"*62*")&gt;0,COUNTIF(I1979,"63*")&gt;0,COUNTIF(J1979,"*63*")&gt;0,COUNTIF(I1979,"85*")&gt;0,COUNTIF(J1979,"*85*")&gt;0,COUNTIF(I1979,"86*")&gt;0,COUNTIF(J1979,"*86*")&gt;0),"Да","Нет"))</f>
        <v/>
      </c>
      <c r="M1979" s="13">
        <f>IF(OR(G1979="",L1979&lt;&gt;"Да"),"",IF(G1979&lt;=100,"До 100",IF(G1979&lt;=200,"До 200",IF(G1979&lt;=500,"До 500","Отдельное КП"))))</f>
        <v/>
      </c>
      <c r="N1979" s="15">
        <f>IF(OR(G1979="",L1979&lt;&gt;"Да"),"",IF(G1979&lt;=100,33600,IF(G1979&lt;=200,62400,IF(G1979&lt;=500,144000,""))))</f>
        <v/>
      </c>
      <c r="O1979" s="16">
        <f>IF(G1979="","",IF(G1979&lt;=15,"1–15",IF(G1979&lt;=30,"16–30",IF(G1979&lt;=50,"31–50",IF(G1979&lt;=100,"51–100",IF(G1979&lt;=150,"101–150",IF(G1979&lt;=200,"151–200",IF(G1979&lt;=500,"201–500","500+"))))))))</f>
        <v/>
      </c>
      <c r="P1979" s="16" t="inlineStr">
        <is>
          <t>Нет совпадения в предоставленной выгрузке ССЧР</t>
        </is>
      </c>
      <c r="Q1979" s="16" t="n"/>
      <c r="R1979" s="16">
        <f>HYPERLINK("https://checko.ru/search?query=3801001629","Чекко: проверить")</f>
        <v/>
      </c>
      <c r="S1979" t="n">
        <v>0</v>
      </c>
    </row>
    <row r="1980" ht="15" customHeight="1" s="24">
      <c r="A1980" s="13" t="n">
        <v>5000094433</v>
      </c>
      <c r="B1980" s="13" t="inlineStr">
        <is>
          <t>МКОУ СОШ №2 с.п. В.Куркужин</t>
        </is>
      </c>
      <c r="C1980" s="13" t="n">
        <v>701004846</v>
      </c>
      <c r="D1980" s="13" t="n"/>
      <c r="E1980" s="13" t="inlineStr">
        <is>
          <t>Не определён</t>
        </is>
      </c>
      <c r="F1980" s="13" t="inlineStr">
        <is>
          <t>701004846</t>
        </is>
      </c>
      <c r="G1980" s="14" t="n"/>
      <c r="H1980" s="14" t="n"/>
      <c r="I1980" s="14" t="n"/>
      <c r="J1980" s="14" t="n"/>
      <c r="K1980" s="13">
        <f>IF(G1980="","",IF(G1980&gt;=22,"Да","Нет"))</f>
        <v/>
      </c>
      <c r="L1980" s="13">
        <f>IF(OR(I1980="",J1980=""),"Не определено",IF(OR(COUNTIF(I1980,"45*")&gt;0,COUNTIF(J1980,"*45*")&gt;0,COUNTIF(I1980,"46*")&gt;0,COUNTIF(J1980,"*46*")&gt;0,COUNTIF(I1980,"47*")&gt;0,COUNTIF(J1980,"*47*")&gt;0,COUNTIF(I1980,"10*")&gt;0,COUNTIF(J1980,"*10*")&gt;0,COUNTIF(I1980,"11*")&gt;0,COUNTIF(J1980,"*11*")&gt;0,COUNTIF(I1980,"12*")&gt;0,COUNTIF(J1980,"*12*")&gt;0,COUNTIF(I1980,"13*")&gt;0,COUNTIF(J1980,"*13*")&gt;0,COUNTIF(I1980,"14*")&gt;0,COUNTIF(J1980,"*14*")&gt;0,COUNTIF(I1980,"15*")&gt;0,COUNTIF(J1980,"*15*")&gt;0,COUNTIF(I1980,"16*")&gt;0,COUNTIF(J1980,"*16*")&gt;0,COUNTIF(I1980,"17*")&gt;0,COUNTIF(J1980,"*17*")&gt;0,COUNTIF(I1980,"18*")&gt;0,COUNTIF(J1980,"*18*")&gt;0,COUNTIF(I1980,"19*")&gt;0,COUNTIF(J1980,"*19*")&gt;0,COUNTIF(I1980,"20*")&gt;0,COUNTIF(J1980,"*20*")&gt;0,COUNTIF(I1980,"21*")&gt;0,COUNTIF(J1980,"*21*")&gt;0,COUNTIF(I1980,"22*")&gt;0,COUNTIF(J1980,"*22*")&gt;0,COUNTIF(I1980,"23*")&gt;0,COUNTIF(J1980,"*23*")&gt;0,COUNTIF(I1980,"24*")&gt;0,COUNTIF(J1980,"*24*")&gt;0,COUNTIF(I1980,"25*")&gt;0,COUNTIF(J1980,"*25*")&gt;0,COUNTIF(I1980,"26*")&gt;0,COUNTIF(J1980,"*26*")&gt;0,COUNTIF(I1980,"27*")&gt;0,COUNTIF(J1980,"*27*")&gt;0,COUNTIF(I1980,"28*")&gt;0,COUNTIF(J1980,"*28*")&gt;0,COUNTIF(I1980,"29*")&gt;0,COUNTIF(J1980,"*29*")&gt;0,COUNTIF(I1980,"30*")&gt;0,COUNTIF(J1980,"*30*")&gt;0,COUNTIF(I1980,"31*")&gt;0,COUNTIF(J1980,"*31*")&gt;0,COUNTIF(I1980,"32*")&gt;0,COUNTIF(J1980,"*32*")&gt;0,COUNTIF(I1980,"33*")&gt;0,COUNTIF(J1980,"*33*")&gt;0,COUNTIF(I1980,"41*")&gt;0,COUNTIF(J1980,"*41*")&gt;0,COUNTIF(I1980,"42*")&gt;0,COUNTIF(J1980,"*42*")&gt;0,COUNTIF(I1980,"43*")&gt;0,COUNTIF(J1980,"*43*")&gt;0,COUNTIF(I1980,"49*")&gt;0,COUNTIF(J1980,"*49*")&gt;0,COUNTIF(I1980,"52*")&gt;0,COUNTIF(J1980,"*52*")&gt;0,COUNTIF(I1980,"55*")&gt;0,COUNTIF(J1980,"*55*")&gt;0,COUNTIF(I1980,"56*")&gt;0,COUNTIF(J1980,"*56*")&gt;0,COUNTIF(I1980,"68*")&gt;0,COUNTIF(J1980,"*68*")&gt;0,COUNTIF(I1980,"78*")&gt;0,COUNTIF(J1980,"*78*")&gt;0,COUNTIF(I1980,"81*")&gt;0,COUNTIF(J1980,"*81*")&gt;0,COUNTIF(I1980,"82*")&gt;0,COUNTIF(J1980,"*82*")&gt;0,COUNTIF(I1980,"64*")&gt;0,COUNTIF(J1980,"*64*")&gt;0,COUNTIF(I1980,"65*")&gt;0,COUNTIF(J1980,"*65*")&gt;0,COUNTIF(I1980,"66*")&gt;0,COUNTIF(J1980,"*66*")&gt;0,COUNTIF(I1980,"61*")&gt;0,COUNTIF(J1980,"*61*")&gt;0,COUNTIF(I1980,"62*")&gt;0,COUNTIF(J1980,"*62*")&gt;0,COUNTIF(I1980,"63*")&gt;0,COUNTIF(J1980,"*63*")&gt;0,COUNTIF(I1980,"85*")&gt;0,COUNTIF(J1980,"*85*")&gt;0,COUNTIF(I1980,"86*")&gt;0,COUNTIF(J1980,"*86*")&gt;0),"Да","Нет"))</f>
        <v/>
      </c>
      <c r="M1980" s="13">
        <f>IF(OR(G1980="",L1980&lt;&gt;"Да"),"",IF(G1980&lt;=100,"До 100",IF(G1980&lt;=200,"До 200",IF(G1980&lt;=500,"До 500","Отдельное КП"))))</f>
        <v/>
      </c>
      <c r="N1980" s="15">
        <f>IF(OR(G1980="",L1980&lt;&gt;"Да"),"",IF(G1980&lt;=100,33600,IF(G1980&lt;=200,62400,IF(G1980&lt;=500,144000,""))))</f>
        <v/>
      </c>
      <c r="O1980" s="16">
        <f>IF(G1980="","",IF(G1980&lt;=15,"1–15",IF(G1980&lt;=30,"16–30",IF(G1980&lt;=50,"31–50",IF(G1980&lt;=100,"51–100",IF(G1980&lt;=150,"101–150",IF(G1980&lt;=200,"151–200",IF(G1980&lt;=500,"201–500","500+"))))))))</f>
        <v/>
      </c>
      <c r="P1980" s="16" t="inlineStr">
        <is>
          <t>Нет совпадения в предоставленной выгрузке ССЧР</t>
        </is>
      </c>
      <c r="Q1980" s="16" t="n"/>
      <c r="R1980" s="16">
        <f>HYPERLINK("https://checko.ru/search?query=3801001629","Чекко: проверить")</f>
        <v/>
      </c>
      <c r="S1980" t="n">
        <v>0</v>
      </c>
    </row>
    <row r="1981" ht="15" customHeight="1" s="24">
      <c r="A1981" s="13" t="n">
        <v>5000094434</v>
      </c>
      <c r="B1981" s="13" t="inlineStr">
        <is>
          <t>МОУ "СОШ им. В.М.Кокова" с.п. Кишпек</t>
        </is>
      </c>
      <c r="C1981" s="13" t="n">
        <v>701004853</v>
      </c>
      <c r="D1981" s="13" t="n"/>
      <c r="E1981" s="13" t="inlineStr">
        <is>
          <t>Не определён</t>
        </is>
      </c>
      <c r="F1981" s="13" t="inlineStr">
        <is>
          <t>701004853</t>
        </is>
      </c>
      <c r="G1981" s="14" t="n"/>
      <c r="H1981" s="14" t="n"/>
      <c r="I1981" s="14" t="n"/>
      <c r="J1981" s="14" t="n"/>
      <c r="K1981" s="13">
        <f>IF(G1981="","",IF(G1981&gt;=22,"Да","Нет"))</f>
        <v/>
      </c>
      <c r="L1981" s="13">
        <f>IF(OR(I1981="",J1981=""),"Не определено",IF(OR(COUNTIF(I1981,"45*")&gt;0,COUNTIF(J1981,"*45*")&gt;0,COUNTIF(I1981,"46*")&gt;0,COUNTIF(J1981,"*46*")&gt;0,COUNTIF(I1981,"47*")&gt;0,COUNTIF(J1981,"*47*")&gt;0,COUNTIF(I1981,"10*")&gt;0,COUNTIF(J1981,"*10*")&gt;0,COUNTIF(I1981,"11*")&gt;0,COUNTIF(J1981,"*11*")&gt;0,COUNTIF(I1981,"12*")&gt;0,COUNTIF(J1981,"*12*")&gt;0,COUNTIF(I1981,"13*")&gt;0,COUNTIF(J1981,"*13*")&gt;0,COUNTIF(I1981,"14*")&gt;0,COUNTIF(J1981,"*14*")&gt;0,COUNTIF(I1981,"15*")&gt;0,COUNTIF(J1981,"*15*")&gt;0,COUNTIF(I1981,"16*")&gt;0,COUNTIF(J1981,"*16*")&gt;0,COUNTIF(I1981,"17*")&gt;0,COUNTIF(J1981,"*17*")&gt;0,COUNTIF(I1981,"18*")&gt;0,COUNTIF(J1981,"*18*")&gt;0,COUNTIF(I1981,"19*")&gt;0,COUNTIF(J1981,"*19*")&gt;0,COUNTIF(I1981,"20*")&gt;0,COUNTIF(J1981,"*20*")&gt;0,COUNTIF(I1981,"21*")&gt;0,COUNTIF(J1981,"*21*")&gt;0,COUNTIF(I1981,"22*")&gt;0,COUNTIF(J1981,"*22*")&gt;0,COUNTIF(I1981,"23*")&gt;0,COUNTIF(J1981,"*23*")&gt;0,COUNTIF(I1981,"24*")&gt;0,COUNTIF(J1981,"*24*")&gt;0,COUNTIF(I1981,"25*")&gt;0,COUNTIF(J1981,"*25*")&gt;0,COUNTIF(I1981,"26*")&gt;0,COUNTIF(J1981,"*26*")&gt;0,COUNTIF(I1981,"27*")&gt;0,COUNTIF(J1981,"*27*")&gt;0,COUNTIF(I1981,"28*")&gt;0,COUNTIF(J1981,"*28*")&gt;0,COUNTIF(I1981,"29*")&gt;0,COUNTIF(J1981,"*29*")&gt;0,COUNTIF(I1981,"30*")&gt;0,COUNTIF(J1981,"*30*")&gt;0,COUNTIF(I1981,"31*")&gt;0,COUNTIF(J1981,"*31*")&gt;0,COUNTIF(I1981,"32*")&gt;0,COUNTIF(J1981,"*32*")&gt;0,COUNTIF(I1981,"33*")&gt;0,COUNTIF(J1981,"*33*")&gt;0,COUNTIF(I1981,"41*")&gt;0,COUNTIF(J1981,"*41*")&gt;0,COUNTIF(I1981,"42*")&gt;0,COUNTIF(J1981,"*42*")&gt;0,COUNTIF(I1981,"43*")&gt;0,COUNTIF(J1981,"*43*")&gt;0,COUNTIF(I1981,"49*")&gt;0,COUNTIF(J1981,"*49*")&gt;0,COUNTIF(I1981,"52*")&gt;0,COUNTIF(J1981,"*52*")&gt;0,COUNTIF(I1981,"55*")&gt;0,COUNTIF(J1981,"*55*")&gt;0,COUNTIF(I1981,"56*")&gt;0,COUNTIF(J1981,"*56*")&gt;0,COUNTIF(I1981,"68*")&gt;0,COUNTIF(J1981,"*68*")&gt;0,COUNTIF(I1981,"78*")&gt;0,COUNTIF(J1981,"*78*")&gt;0,COUNTIF(I1981,"81*")&gt;0,COUNTIF(J1981,"*81*")&gt;0,COUNTIF(I1981,"82*")&gt;0,COUNTIF(J1981,"*82*")&gt;0,COUNTIF(I1981,"64*")&gt;0,COUNTIF(J1981,"*64*")&gt;0,COUNTIF(I1981,"65*")&gt;0,COUNTIF(J1981,"*65*")&gt;0,COUNTIF(I1981,"66*")&gt;0,COUNTIF(J1981,"*66*")&gt;0,COUNTIF(I1981,"61*")&gt;0,COUNTIF(J1981,"*61*")&gt;0,COUNTIF(I1981,"62*")&gt;0,COUNTIF(J1981,"*62*")&gt;0,COUNTIF(I1981,"63*")&gt;0,COUNTIF(J1981,"*63*")&gt;0,COUNTIF(I1981,"85*")&gt;0,COUNTIF(J1981,"*85*")&gt;0,COUNTIF(I1981,"86*")&gt;0,COUNTIF(J1981,"*86*")&gt;0),"Да","Нет"))</f>
        <v/>
      </c>
      <c r="M1981" s="13">
        <f>IF(OR(G1981="",L1981&lt;&gt;"Да"),"",IF(G1981&lt;=100,"До 100",IF(G1981&lt;=200,"До 200",IF(G1981&lt;=500,"До 500","Отдельное КП"))))</f>
        <v/>
      </c>
      <c r="N1981" s="15">
        <f>IF(OR(G1981="",L1981&lt;&gt;"Да"),"",IF(G1981&lt;=100,33600,IF(G1981&lt;=200,62400,IF(G1981&lt;=500,144000,""))))</f>
        <v/>
      </c>
      <c r="O1981" s="16">
        <f>IF(G1981="","",IF(G1981&lt;=15,"1–15",IF(G1981&lt;=30,"16–30",IF(G1981&lt;=50,"31–50",IF(G1981&lt;=100,"51–100",IF(G1981&lt;=150,"101–150",IF(G1981&lt;=200,"151–200",IF(G1981&lt;=500,"201–500","500+"))))))))</f>
        <v/>
      </c>
      <c r="P1981" s="16" t="inlineStr">
        <is>
          <t>Нет совпадения в предоставленной выгрузке ССЧР</t>
        </is>
      </c>
      <c r="Q1981" s="16" t="n"/>
      <c r="R1981" s="16">
        <f>HYPERLINK("https://checko.ru/search?query=3801001629","Чекко: проверить")</f>
        <v/>
      </c>
      <c r="S1981" t="n">
        <v>0</v>
      </c>
    </row>
    <row r="1982" ht="15" customHeight="1" s="24">
      <c r="A1982" s="13" t="n">
        <v>5000094435</v>
      </c>
      <c r="B1982" s="13" t="inlineStr">
        <is>
          <t>МОУ "СОШ №2" с.п. Баксаненок</t>
        </is>
      </c>
      <c r="C1982" s="13" t="n">
        <v>701004860</v>
      </c>
      <c r="D1982" s="13" t="n"/>
      <c r="E1982" s="13" t="inlineStr">
        <is>
          <t>Не определён</t>
        </is>
      </c>
      <c r="F1982" s="13" t="inlineStr">
        <is>
          <t>701004860</t>
        </is>
      </c>
      <c r="G1982" s="14" t="n"/>
      <c r="H1982" s="14" t="n"/>
      <c r="I1982" s="14" t="n"/>
      <c r="J1982" s="14" t="n"/>
      <c r="K1982" s="13">
        <f>IF(G1982="","",IF(G1982&gt;=22,"Да","Нет"))</f>
        <v/>
      </c>
      <c r="L1982" s="13">
        <f>IF(OR(I1982="",J1982=""),"Не определено",IF(OR(COUNTIF(I1982,"45*")&gt;0,COUNTIF(J1982,"*45*")&gt;0,COUNTIF(I1982,"46*")&gt;0,COUNTIF(J1982,"*46*")&gt;0,COUNTIF(I1982,"47*")&gt;0,COUNTIF(J1982,"*47*")&gt;0,COUNTIF(I1982,"10*")&gt;0,COUNTIF(J1982,"*10*")&gt;0,COUNTIF(I1982,"11*")&gt;0,COUNTIF(J1982,"*11*")&gt;0,COUNTIF(I1982,"12*")&gt;0,COUNTIF(J1982,"*12*")&gt;0,COUNTIF(I1982,"13*")&gt;0,COUNTIF(J1982,"*13*")&gt;0,COUNTIF(I1982,"14*")&gt;0,COUNTIF(J1982,"*14*")&gt;0,COUNTIF(I1982,"15*")&gt;0,COUNTIF(J1982,"*15*")&gt;0,COUNTIF(I1982,"16*")&gt;0,COUNTIF(J1982,"*16*")&gt;0,COUNTIF(I1982,"17*")&gt;0,COUNTIF(J1982,"*17*")&gt;0,COUNTIF(I1982,"18*")&gt;0,COUNTIF(J1982,"*18*")&gt;0,COUNTIF(I1982,"19*")&gt;0,COUNTIF(J1982,"*19*")&gt;0,COUNTIF(I1982,"20*")&gt;0,COUNTIF(J1982,"*20*")&gt;0,COUNTIF(I1982,"21*")&gt;0,COUNTIF(J1982,"*21*")&gt;0,COUNTIF(I1982,"22*")&gt;0,COUNTIF(J1982,"*22*")&gt;0,COUNTIF(I1982,"23*")&gt;0,COUNTIF(J1982,"*23*")&gt;0,COUNTIF(I1982,"24*")&gt;0,COUNTIF(J1982,"*24*")&gt;0,COUNTIF(I1982,"25*")&gt;0,COUNTIF(J1982,"*25*")&gt;0,COUNTIF(I1982,"26*")&gt;0,COUNTIF(J1982,"*26*")&gt;0,COUNTIF(I1982,"27*")&gt;0,COUNTIF(J1982,"*27*")&gt;0,COUNTIF(I1982,"28*")&gt;0,COUNTIF(J1982,"*28*")&gt;0,COUNTIF(I1982,"29*")&gt;0,COUNTIF(J1982,"*29*")&gt;0,COUNTIF(I1982,"30*")&gt;0,COUNTIF(J1982,"*30*")&gt;0,COUNTIF(I1982,"31*")&gt;0,COUNTIF(J1982,"*31*")&gt;0,COUNTIF(I1982,"32*")&gt;0,COUNTIF(J1982,"*32*")&gt;0,COUNTIF(I1982,"33*")&gt;0,COUNTIF(J1982,"*33*")&gt;0,COUNTIF(I1982,"41*")&gt;0,COUNTIF(J1982,"*41*")&gt;0,COUNTIF(I1982,"42*")&gt;0,COUNTIF(J1982,"*42*")&gt;0,COUNTIF(I1982,"43*")&gt;0,COUNTIF(J1982,"*43*")&gt;0,COUNTIF(I1982,"49*")&gt;0,COUNTIF(J1982,"*49*")&gt;0,COUNTIF(I1982,"52*")&gt;0,COUNTIF(J1982,"*52*")&gt;0,COUNTIF(I1982,"55*")&gt;0,COUNTIF(J1982,"*55*")&gt;0,COUNTIF(I1982,"56*")&gt;0,COUNTIF(J1982,"*56*")&gt;0,COUNTIF(I1982,"68*")&gt;0,COUNTIF(J1982,"*68*")&gt;0,COUNTIF(I1982,"78*")&gt;0,COUNTIF(J1982,"*78*")&gt;0,COUNTIF(I1982,"81*")&gt;0,COUNTIF(J1982,"*81*")&gt;0,COUNTIF(I1982,"82*")&gt;0,COUNTIF(J1982,"*82*")&gt;0,COUNTIF(I1982,"64*")&gt;0,COUNTIF(J1982,"*64*")&gt;0,COUNTIF(I1982,"65*")&gt;0,COUNTIF(J1982,"*65*")&gt;0,COUNTIF(I1982,"66*")&gt;0,COUNTIF(J1982,"*66*")&gt;0,COUNTIF(I1982,"61*")&gt;0,COUNTIF(J1982,"*61*")&gt;0,COUNTIF(I1982,"62*")&gt;0,COUNTIF(J1982,"*62*")&gt;0,COUNTIF(I1982,"63*")&gt;0,COUNTIF(J1982,"*63*")&gt;0,COUNTIF(I1982,"85*")&gt;0,COUNTIF(J1982,"*85*")&gt;0,COUNTIF(I1982,"86*")&gt;0,COUNTIF(J1982,"*86*")&gt;0),"Да","Нет"))</f>
        <v/>
      </c>
      <c r="M1982" s="13">
        <f>IF(OR(G1982="",L1982&lt;&gt;"Да"),"",IF(G1982&lt;=100,"До 100",IF(G1982&lt;=200,"До 200",IF(G1982&lt;=500,"До 500","Отдельное КП"))))</f>
        <v/>
      </c>
      <c r="N1982" s="15">
        <f>IF(OR(G1982="",L1982&lt;&gt;"Да"),"",IF(G1982&lt;=100,33600,IF(G1982&lt;=200,62400,IF(G1982&lt;=500,144000,""))))</f>
        <v/>
      </c>
      <c r="O1982" s="16">
        <f>IF(G1982="","",IF(G1982&lt;=15,"1–15",IF(G1982&lt;=30,"16–30",IF(G1982&lt;=50,"31–50",IF(G1982&lt;=100,"51–100",IF(G1982&lt;=150,"101–150",IF(G1982&lt;=200,"151–200",IF(G1982&lt;=500,"201–500","500+"))))))))</f>
        <v/>
      </c>
      <c r="P1982" s="16" t="inlineStr">
        <is>
          <t>Нет совпадения в предоставленной выгрузке ССЧР</t>
        </is>
      </c>
      <c r="Q1982" s="16" t="n"/>
      <c r="R1982" s="16">
        <f>HYPERLINK("https://checko.ru/search?query=3801001629","Чекко: проверить")</f>
        <v/>
      </c>
      <c r="S1982" t="n">
        <v>0</v>
      </c>
    </row>
    <row r="1983" ht="15" customHeight="1" s="24">
      <c r="A1983" s="13" t="n">
        <v>5000094436</v>
      </c>
      <c r="B1983" s="13" t="inlineStr">
        <is>
          <t>МКОУ "СОШ №8 им. В.М. Кокова г. Баксана"</t>
        </is>
      </c>
      <c r="C1983" s="13" t="n">
        <v>701004885</v>
      </c>
      <c r="D1983" s="13" t="n"/>
      <c r="E1983" s="13" t="inlineStr">
        <is>
          <t>Не определён</t>
        </is>
      </c>
      <c r="F1983" s="13" t="inlineStr">
        <is>
          <t>701004885</t>
        </is>
      </c>
      <c r="G1983" s="14" t="n"/>
      <c r="H1983" s="14" t="n"/>
      <c r="I1983" s="14" t="n"/>
      <c r="J1983" s="14" t="n"/>
      <c r="K1983" s="13">
        <f>IF(G1983="","",IF(G1983&gt;=22,"Да","Нет"))</f>
        <v/>
      </c>
      <c r="L1983" s="13">
        <f>IF(OR(I1983="",J1983=""),"Не определено",IF(OR(COUNTIF(I1983,"45*")&gt;0,COUNTIF(J1983,"*45*")&gt;0,COUNTIF(I1983,"46*")&gt;0,COUNTIF(J1983,"*46*")&gt;0,COUNTIF(I1983,"47*")&gt;0,COUNTIF(J1983,"*47*")&gt;0,COUNTIF(I1983,"10*")&gt;0,COUNTIF(J1983,"*10*")&gt;0,COUNTIF(I1983,"11*")&gt;0,COUNTIF(J1983,"*11*")&gt;0,COUNTIF(I1983,"12*")&gt;0,COUNTIF(J1983,"*12*")&gt;0,COUNTIF(I1983,"13*")&gt;0,COUNTIF(J1983,"*13*")&gt;0,COUNTIF(I1983,"14*")&gt;0,COUNTIF(J1983,"*14*")&gt;0,COUNTIF(I1983,"15*")&gt;0,COUNTIF(J1983,"*15*")&gt;0,COUNTIF(I1983,"16*")&gt;0,COUNTIF(J1983,"*16*")&gt;0,COUNTIF(I1983,"17*")&gt;0,COUNTIF(J1983,"*17*")&gt;0,COUNTIF(I1983,"18*")&gt;0,COUNTIF(J1983,"*18*")&gt;0,COUNTIF(I1983,"19*")&gt;0,COUNTIF(J1983,"*19*")&gt;0,COUNTIF(I1983,"20*")&gt;0,COUNTIF(J1983,"*20*")&gt;0,COUNTIF(I1983,"21*")&gt;0,COUNTIF(J1983,"*21*")&gt;0,COUNTIF(I1983,"22*")&gt;0,COUNTIF(J1983,"*22*")&gt;0,COUNTIF(I1983,"23*")&gt;0,COUNTIF(J1983,"*23*")&gt;0,COUNTIF(I1983,"24*")&gt;0,COUNTIF(J1983,"*24*")&gt;0,COUNTIF(I1983,"25*")&gt;0,COUNTIF(J1983,"*25*")&gt;0,COUNTIF(I1983,"26*")&gt;0,COUNTIF(J1983,"*26*")&gt;0,COUNTIF(I1983,"27*")&gt;0,COUNTIF(J1983,"*27*")&gt;0,COUNTIF(I1983,"28*")&gt;0,COUNTIF(J1983,"*28*")&gt;0,COUNTIF(I1983,"29*")&gt;0,COUNTIF(J1983,"*29*")&gt;0,COUNTIF(I1983,"30*")&gt;0,COUNTIF(J1983,"*30*")&gt;0,COUNTIF(I1983,"31*")&gt;0,COUNTIF(J1983,"*31*")&gt;0,COUNTIF(I1983,"32*")&gt;0,COUNTIF(J1983,"*32*")&gt;0,COUNTIF(I1983,"33*")&gt;0,COUNTIF(J1983,"*33*")&gt;0,COUNTIF(I1983,"41*")&gt;0,COUNTIF(J1983,"*41*")&gt;0,COUNTIF(I1983,"42*")&gt;0,COUNTIF(J1983,"*42*")&gt;0,COUNTIF(I1983,"43*")&gt;0,COUNTIF(J1983,"*43*")&gt;0,COUNTIF(I1983,"49*")&gt;0,COUNTIF(J1983,"*49*")&gt;0,COUNTIF(I1983,"52*")&gt;0,COUNTIF(J1983,"*52*")&gt;0,COUNTIF(I1983,"55*")&gt;0,COUNTIF(J1983,"*55*")&gt;0,COUNTIF(I1983,"56*")&gt;0,COUNTIF(J1983,"*56*")&gt;0,COUNTIF(I1983,"68*")&gt;0,COUNTIF(J1983,"*68*")&gt;0,COUNTIF(I1983,"78*")&gt;0,COUNTIF(J1983,"*78*")&gt;0,COUNTIF(I1983,"81*")&gt;0,COUNTIF(J1983,"*81*")&gt;0,COUNTIF(I1983,"82*")&gt;0,COUNTIF(J1983,"*82*")&gt;0,COUNTIF(I1983,"64*")&gt;0,COUNTIF(J1983,"*64*")&gt;0,COUNTIF(I1983,"65*")&gt;0,COUNTIF(J1983,"*65*")&gt;0,COUNTIF(I1983,"66*")&gt;0,COUNTIF(J1983,"*66*")&gt;0,COUNTIF(I1983,"61*")&gt;0,COUNTIF(J1983,"*61*")&gt;0,COUNTIF(I1983,"62*")&gt;0,COUNTIF(J1983,"*62*")&gt;0,COUNTIF(I1983,"63*")&gt;0,COUNTIF(J1983,"*63*")&gt;0,COUNTIF(I1983,"85*")&gt;0,COUNTIF(J1983,"*85*")&gt;0,COUNTIF(I1983,"86*")&gt;0,COUNTIF(J1983,"*86*")&gt;0),"Да","Нет"))</f>
        <v/>
      </c>
      <c r="M1983" s="13">
        <f>IF(OR(G1983="",L1983&lt;&gt;"Да"),"",IF(G1983&lt;=100,"До 100",IF(G1983&lt;=200,"До 200",IF(G1983&lt;=500,"До 500","Отдельное КП"))))</f>
        <v/>
      </c>
      <c r="N1983" s="15">
        <f>IF(OR(G1983="",L1983&lt;&gt;"Да"),"",IF(G1983&lt;=100,33600,IF(G1983&lt;=200,62400,IF(G1983&lt;=500,144000,""))))</f>
        <v/>
      </c>
      <c r="O1983" s="16">
        <f>IF(G1983="","",IF(G1983&lt;=15,"1–15",IF(G1983&lt;=30,"16–30",IF(G1983&lt;=50,"31–50",IF(G1983&lt;=100,"51–100",IF(G1983&lt;=150,"101–150",IF(G1983&lt;=200,"151–200",IF(G1983&lt;=500,"201–500","500+"))))))))</f>
        <v/>
      </c>
      <c r="P1983" s="16" t="inlineStr">
        <is>
          <t>Нет совпадения в предоставленной выгрузке ССЧР</t>
        </is>
      </c>
      <c r="Q1983" s="16" t="n"/>
      <c r="R1983" s="16">
        <f>HYPERLINK("https://checko.ru/search?query=3801001629","Чекко: проверить")</f>
        <v/>
      </c>
      <c r="S1983" t="n">
        <v>0</v>
      </c>
    </row>
    <row r="1984" ht="15" customHeight="1" s="24">
      <c r="A1984" s="13" t="n">
        <v>5000094390</v>
      </c>
      <c r="B1984" s="13" t="inlineStr">
        <is>
          <t>Редакция "Баксанский Вестник"</t>
        </is>
      </c>
      <c r="C1984" s="13" t="n">
        <v>701000182</v>
      </c>
      <c r="D1984" s="13" t="n"/>
      <c r="E1984" s="13" t="inlineStr">
        <is>
          <t>Не определён</t>
        </is>
      </c>
      <c r="F1984" s="13" t="inlineStr">
        <is>
          <t>701000182</t>
        </is>
      </c>
      <c r="G1984" s="14" t="n"/>
      <c r="H1984" s="14" t="n"/>
      <c r="I1984" s="14" t="n"/>
      <c r="J1984" s="14" t="n"/>
      <c r="K1984" s="13">
        <f>IF(G1984="","",IF(G1984&gt;=22,"Да","Нет"))</f>
        <v/>
      </c>
      <c r="L1984" s="13">
        <f>IF(OR(I1984="",J1984=""),"Не определено",IF(OR(COUNTIF(I1984,"45*")&gt;0,COUNTIF(J1984,"*45*")&gt;0,COUNTIF(I1984,"46*")&gt;0,COUNTIF(J1984,"*46*")&gt;0,COUNTIF(I1984,"47*")&gt;0,COUNTIF(J1984,"*47*")&gt;0,COUNTIF(I1984,"10*")&gt;0,COUNTIF(J1984,"*10*")&gt;0,COUNTIF(I1984,"11*")&gt;0,COUNTIF(J1984,"*11*")&gt;0,COUNTIF(I1984,"12*")&gt;0,COUNTIF(J1984,"*12*")&gt;0,COUNTIF(I1984,"13*")&gt;0,COUNTIF(J1984,"*13*")&gt;0,COUNTIF(I1984,"14*")&gt;0,COUNTIF(J1984,"*14*")&gt;0,COUNTIF(I1984,"15*")&gt;0,COUNTIF(J1984,"*15*")&gt;0,COUNTIF(I1984,"16*")&gt;0,COUNTIF(J1984,"*16*")&gt;0,COUNTIF(I1984,"17*")&gt;0,COUNTIF(J1984,"*17*")&gt;0,COUNTIF(I1984,"18*")&gt;0,COUNTIF(J1984,"*18*")&gt;0,COUNTIF(I1984,"19*")&gt;0,COUNTIF(J1984,"*19*")&gt;0,COUNTIF(I1984,"20*")&gt;0,COUNTIF(J1984,"*20*")&gt;0,COUNTIF(I1984,"21*")&gt;0,COUNTIF(J1984,"*21*")&gt;0,COUNTIF(I1984,"22*")&gt;0,COUNTIF(J1984,"*22*")&gt;0,COUNTIF(I1984,"23*")&gt;0,COUNTIF(J1984,"*23*")&gt;0,COUNTIF(I1984,"24*")&gt;0,COUNTIF(J1984,"*24*")&gt;0,COUNTIF(I1984,"25*")&gt;0,COUNTIF(J1984,"*25*")&gt;0,COUNTIF(I1984,"26*")&gt;0,COUNTIF(J1984,"*26*")&gt;0,COUNTIF(I1984,"27*")&gt;0,COUNTIF(J1984,"*27*")&gt;0,COUNTIF(I1984,"28*")&gt;0,COUNTIF(J1984,"*28*")&gt;0,COUNTIF(I1984,"29*")&gt;0,COUNTIF(J1984,"*29*")&gt;0,COUNTIF(I1984,"30*")&gt;0,COUNTIF(J1984,"*30*")&gt;0,COUNTIF(I1984,"31*")&gt;0,COUNTIF(J1984,"*31*")&gt;0,COUNTIF(I1984,"32*")&gt;0,COUNTIF(J1984,"*32*")&gt;0,COUNTIF(I1984,"33*")&gt;0,COUNTIF(J1984,"*33*")&gt;0,COUNTIF(I1984,"41*")&gt;0,COUNTIF(J1984,"*41*")&gt;0,COUNTIF(I1984,"42*")&gt;0,COUNTIF(J1984,"*42*")&gt;0,COUNTIF(I1984,"43*")&gt;0,COUNTIF(J1984,"*43*")&gt;0,COUNTIF(I1984,"49*")&gt;0,COUNTIF(J1984,"*49*")&gt;0,COUNTIF(I1984,"52*")&gt;0,COUNTIF(J1984,"*52*")&gt;0,COUNTIF(I1984,"55*")&gt;0,COUNTIF(J1984,"*55*")&gt;0,COUNTIF(I1984,"56*")&gt;0,COUNTIF(J1984,"*56*")&gt;0,COUNTIF(I1984,"68*")&gt;0,COUNTIF(J1984,"*68*")&gt;0,COUNTIF(I1984,"78*")&gt;0,COUNTIF(J1984,"*78*")&gt;0,COUNTIF(I1984,"81*")&gt;0,COUNTIF(J1984,"*81*")&gt;0,COUNTIF(I1984,"82*")&gt;0,COUNTIF(J1984,"*82*")&gt;0,COUNTIF(I1984,"64*")&gt;0,COUNTIF(J1984,"*64*")&gt;0,COUNTIF(I1984,"65*")&gt;0,COUNTIF(J1984,"*65*")&gt;0,COUNTIF(I1984,"66*")&gt;0,COUNTIF(J1984,"*66*")&gt;0,COUNTIF(I1984,"61*")&gt;0,COUNTIF(J1984,"*61*")&gt;0,COUNTIF(I1984,"62*")&gt;0,COUNTIF(J1984,"*62*")&gt;0,COUNTIF(I1984,"63*")&gt;0,COUNTIF(J1984,"*63*")&gt;0,COUNTIF(I1984,"85*")&gt;0,COUNTIF(J1984,"*85*")&gt;0,COUNTIF(I1984,"86*")&gt;0,COUNTIF(J1984,"*86*")&gt;0),"Да","Нет"))</f>
        <v/>
      </c>
      <c r="M1984" s="13">
        <f>IF(OR(G1984="",L1984&lt;&gt;"Да"),"",IF(G1984&lt;=100,"До 100",IF(G1984&lt;=200,"До 200",IF(G1984&lt;=500,"До 500","Отдельное КП"))))</f>
        <v/>
      </c>
      <c r="N1984" s="15">
        <f>IF(OR(G1984="",L1984&lt;&gt;"Да"),"",IF(G1984&lt;=100,33600,IF(G1984&lt;=200,62400,IF(G1984&lt;=500,144000,""))))</f>
        <v/>
      </c>
      <c r="O1984" s="16">
        <f>IF(G1984="","",IF(G1984&lt;=15,"1–15",IF(G1984&lt;=30,"16–30",IF(G1984&lt;=50,"31–50",IF(G1984&lt;=100,"51–100",IF(G1984&lt;=150,"101–150",IF(G1984&lt;=200,"151–200",IF(G1984&lt;=500,"201–500","500+"))))))))</f>
        <v/>
      </c>
      <c r="P1984" s="16" t="inlineStr">
        <is>
          <t>Нет совпадения в предоставленной выгрузке ССЧР</t>
        </is>
      </c>
      <c r="Q1984" s="16" t="n"/>
      <c r="R1984" s="16">
        <f>HYPERLINK("https://checko.ru/search?query=3801001629","Чекко: проверить")</f>
        <v/>
      </c>
      <c r="S1984" t="n">
        <v>0</v>
      </c>
    </row>
    <row r="1985" ht="54.75" customHeight="1" s="24">
      <c r="A1985" s="13" t="n">
        <v>5000093968</v>
      </c>
      <c r="B1985" s="13" t="inlineStr">
        <is>
          <t>Государственное автономное нетиповое учреждение дополнительного образования иркутской области «Региональный центр выявления и поддержки одаренных дете</t>
        </is>
      </c>
      <c r="C1985" s="13" t="n">
        <v>3849092293</v>
      </c>
      <c r="D1985" s="13" t="inlineStr">
        <is>
          <t>3849092293</t>
        </is>
      </c>
      <c r="E1985" s="13" t="inlineStr">
        <is>
          <t>ЮЛ РФ</t>
        </is>
      </c>
      <c r="F1985" s="13" t="n"/>
      <c r="G1985" s="14" t="n"/>
      <c r="H1985" s="14" t="n"/>
      <c r="I1985" s="14" t="n"/>
      <c r="J1985" s="14" t="n"/>
      <c r="K1985" s="53" t="inlineStr"/>
      <c r="L1985" s="53" t="inlineStr">
        <is>
          <t>Не определено</t>
        </is>
      </c>
      <c r="M1985" s="53" t="inlineStr"/>
      <c r="N1985" s="54" t="inlineStr"/>
      <c r="O1985" s="55" t="inlineStr"/>
      <c r="P1985" s="16" t="inlineStr">
        <is>
          <t>Требует обогащения</t>
        </is>
      </c>
      <c r="Q1985" s="16">
        <f>HYPERLINK("https://pb.nalog.ru/search.html?query=3849092293","ФНС: проверить")</f>
        <v/>
      </c>
      <c r="R1985" s="16">
        <f>HYPERLINK("https://checko.ru/search?query=3801001629","Чекко: проверить")</f>
        <v/>
      </c>
      <c r="S1985" t="n">
        <v>1</v>
      </c>
      <c r="T1985" s="35" t="inlineStr">
        <is>
          <t>4 — Не обогащён</t>
        </is>
      </c>
      <c r="U1985" s="35" t="inlineStr">
        <is>
          <t>Нет ОКВЭД/ССЧР</t>
        </is>
      </c>
      <c r="V1985" s="35" t="inlineStr">
        <is>
          <t>Не определено</t>
        </is>
      </c>
      <c r="W1985" s="35" t="inlineStr"/>
      <c r="X1985" s="35" t="inlineStr"/>
    </row>
    <row r="1986" ht="41.25" customHeight="1" s="24">
      <c r="A1986" s="13" t="n">
        <v>5000093152</v>
      </c>
      <c r="B1986" s="13" t="inlineStr">
        <is>
          <t>ОГБУ "ДИРЕКЦИЯ ОСОБО ОХРАНЯЕМЫХ ПРИРОДНЫХ ТЕРРИТОРИЙ УЛЬЯНОВСКОЙ ОБЛАСТИ"</t>
        </is>
      </c>
      <c r="C1986" s="13" t="n">
        <v>7300005972</v>
      </c>
      <c r="D1986" s="13" t="inlineStr">
        <is>
          <t>7300005972</t>
        </is>
      </c>
      <c r="E1986" s="13" t="inlineStr">
        <is>
          <t>ЮЛ РФ</t>
        </is>
      </c>
      <c r="F1986" s="13" t="n"/>
      <c r="G1986" s="14" t="n"/>
      <c r="H1986" s="14" t="n"/>
      <c r="I1986" s="14" t="n"/>
      <c r="J1986" s="14" t="n"/>
      <c r="K1986" s="53" t="inlineStr"/>
      <c r="L1986" s="53" t="inlineStr">
        <is>
          <t>Не определено</t>
        </is>
      </c>
      <c r="M1986" s="53" t="inlineStr"/>
      <c r="N1986" s="54" t="inlineStr"/>
      <c r="O1986" s="55" t="inlineStr"/>
      <c r="P1986" s="16" t="inlineStr">
        <is>
          <t>Требует обогащения</t>
        </is>
      </c>
      <c r="Q1986" s="16">
        <f>HYPERLINK("https://pb.nalog.ru/search.html?query=7300005972","ФНС: проверить")</f>
        <v/>
      </c>
      <c r="R1986" s="16">
        <f>HYPERLINK("https://checko.ru/search?query=3801001629","Чекко: проверить")</f>
        <v/>
      </c>
      <c r="S1986" t="n">
        <v>1</v>
      </c>
      <c r="T1986" s="35" t="inlineStr">
        <is>
          <t>4 — Не обогащён</t>
        </is>
      </c>
      <c r="U1986" s="35" t="inlineStr">
        <is>
          <t>Нет ОКВЭД/ССЧР</t>
        </is>
      </c>
      <c r="V1986" s="35" t="inlineStr">
        <is>
          <t>Не определено</t>
        </is>
      </c>
      <c r="W1986" s="35" t="inlineStr"/>
      <c r="X1986" s="35" t="inlineStr"/>
    </row>
    <row r="1987" ht="41.25" customHeight="1" s="24">
      <c r="A1987" s="13" t="n">
        <v>5000094050</v>
      </c>
      <c r="B1987" s="13" t="inlineStr">
        <is>
          <t>МКУ "ХОЗЯЙСТВЕННО-ЭКСПЛУАТАЦИОННОЕ УПРАВЛЕНИЕ АДМИНИСТРАЦИИ ГОРОДА ЧЕРЕМХОВО"</t>
        </is>
      </c>
      <c r="C1987" s="13" t="n">
        <v>3820013323</v>
      </c>
      <c r="D1987" s="13" t="inlineStr">
        <is>
          <t>3820013323</t>
        </is>
      </c>
      <c r="E1987" s="13" t="inlineStr">
        <is>
          <t>ЮЛ РФ</t>
        </is>
      </c>
      <c r="F1987" s="13" t="n"/>
      <c r="G1987" s="14" t="n"/>
      <c r="H1987" s="14" t="n"/>
      <c r="I1987" s="14" t="n"/>
      <c r="J1987" s="14" t="n"/>
      <c r="K1987" s="53" t="inlineStr"/>
      <c r="L1987" s="53" t="inlineStr">
        <is>
          <t>Не определено</t>
        </is>
      </c>
      <c r="M1987" s="53" t="inlineStr"/>
      <c r="N1987" s="54" t="inlineStr"/>
      <c r="O1987" s="55" t="inlineStr"/>
      <c r="P1987" s="16" t="inlineStr">
        <is>
          <t>Требует обогащения</t>
        </is>
      </c>
      <c r="Q1987" s="16">
        <f>HYPERLINK("https://pb.nalog.ru/search.html?query=3820013323","ФНС: проверить")</f>
        <v/>
      </c>
      <c r="R1987" s="16">
        <f>HYPERLINK("https://checko.ru/search?query=3801001629","Чекко: проверить")</f>
        <v/>
      </c>
      <c r="S1987" t="n">
        <v>1</v>
      </c>
      <c r="T1987" s="35" t="inlineStr">
        <is>
          <t>4 — Не обогащён</t>
        </is>
      </c>
      <c r="U1987" s="35" t="inlineStr">
        <is>
          <t>Нет ОКВЭД/ССЧР</t>
        </is>
      </c>
      <c r="V1987" s="35" t="inlineStr">
        <is>
          <t>Не определено</t>
        </is>
      </c>
      <c r="W1987" s="35" t="inlineStr"/>
      <c r="X1987" s="35" t="inlineStr"/>
    </row>
    <row r="1988" ht="27.75" customHeight="1" s="24">
      <c r="A1988" s="13" t="n">
        <v>5000094051</v>
      </c>
      <c r="B1988" s="13" t="inlineStr">
        <is>
          <t>МКУ "ЕДИНАЯ ДЕЖУРНАЯ ДИСПЕТЧЕРСКАЯ СЛУЖБА ГОРОДА ЧЕРЕМХОВО"</t>
        </is>
      </c>
      <c r="C1988" s="13" t="n">
        <v>3851021204</v>
      </c>
      <c r="D1988" s="13" t="inlineStr">
        <is>
          <t>3851021204</t>
        </is>
      </c>
      <c r="E1988" s="13" t="inlineStr">
        <is>
          <t>ЮЛ РФ</t>
        </is>
      </c>
      <c r="F1988" s="13" t="n"/>
      <c r="G1988" s="14" t="n"/>
      <c r="H1988" s="14" t="n"/>
      <c r="I1988" s="14" t="n"/>
      <c r="J1988" s="14" t="n"/>
      <c r="K1988" s="53" t="inlineStr"/>
      <c r="L1988" s="53" t="inlineStr">
        <is>
          <t>Не определено</t>
        </is>
      </c>
      <c r="M1988" s="53" t="inlineStr"/>
      <c r="N1988" s="54" t="inlineStr"/>
      <c r="O1988" s="55" t="inlineStr"/>
      <c r="P1988" s="16" t="inlineStr">
        <is>
          <t>Требует обогащения</t>
        </is>
      </c>
      <c r="Q1988" s="16">
        <f>HYPERLINK("https://pb.nalog.ru/search.html?query=3851021204","ФНС: проверить")</f>
        <v/>
      </c>
      <c r="R1988" s="16">
        <f>HYPERLINK("https://checko.ru/search?query=3801001629","Чекко: проверить")</f>
        <v/>
      </c>
      <c r="S1988" t="n">
        <v>1</v>
      </c>
      <c r="T1988" s="35" t="inlineStr">
        <is>
          <t>4 — Не обогащён</t>
        </is>
      </c>
      <c r="U1988" s="35" t="inlineStr">
        <is>
          <t>Нет ОКВЭД/ССЧР</t>
        </is>
      </c>
      <c r="V1988" s="35" t="inlineStr">
        <is>
          <t>Не определено</t>
        </is>
      </c>
      <c r="W1988" s="35" t="inlineStr"/>
      <c r="X1988" s="35" t="inlineStr"/>
    </row>
    <row r="1989" ht="15" customHeight="1" s="24">
      <c r="A1989" s="13" t="n">
        <v>5000106070</v>
      </c>
      <c r="B1989" s="13" t="inlineStr">
        <is>
          <t>ГКУ "ЦЕНТР РАЗМЕЩЕНИЯ РЕКЛАМЫ И НТО"</t>
        </is>
      </c>
      <c r="C1989" s="13" t="n">
        <v>5610247985</v>
      </c>
      <c r="D1989" s="13" t="inlineStr">
        <is>
          <t>5610247985</t>
        </is>
      </c>
      <c r="E1989" s="13" t="inlineStr">
        <is>
          <t>ЮЛ РФ</t>
        </is>
      </c>
      <c r="F1989" s="13" t="n"/>
      <c r="G1989" s="14" t="n"/>
      <c r="H1989" s="14" t="n"/>
      <c r="I1989" s="14" t="n"/>
      <c r="J1989" s="14" t="n"/>
      <c r="K1989" s="53" t="inlineStr"/>
      <c r="L1989" s="53" t="inlineStr">
        <is>
          <t>Не определено</t>
        </is>
      </c>
      <c r="M1989" s="53" t="inlineStr"/>
      <c r="N1989" s="54" t="inlineStr"/>
      <c r="O1989" s="55" t="inlineStr"/>
      <c r="P1989" s="16" t="inlineStr">
        <is>
          <t>Требует обогащения</t>
        </is>
      </c>
      <c r="Q1989" s="16">
        <f>HYPERLINK("https://pb.nalog.ru/search.html?query=5610247985","ФНС: проверить")</f>
        <v/>
      </c>
      <c r="R1989" s="16">
        <f>HYPERLINK("https://checko.ru/search?query=3801001629","Чекко: проверить")</f>
        <v/>
      </c>
      <c r="S1989" t="n">
        <v>1</v>
      </c>
      <c r="T1989" s="35" t="inlineStr">
        <is>
          <t>4 — Не обогащён</t>
        </is>
      </c>
      <c r="U1989" s="35" t="inlineStr">
        <is>
          <t>Нет ОКВЭД/ССЧР</t>
        </is>
      </c>
      <c r="V1989" s="35" t="inlineStr">
        <is>
          <t>Не определено</t>
        </is>
      </c>
      <c r="W1989" s="35" t="inlineStr"/>
      <c r="X1989" s="35" t="inlineStr"/>
    </row>
    <row r="1990" ht="41.25" customHeight="1" s="24">
      <c r="A1990" s="13" t="n">
        <v>5000095306</v>
      </c>
      <c r="B1990" s="13" t="inlineStr">
        <is>
          <t>МКУ "УПРАВЛЕНИЕ БУХГАЛТЕРСКОГО УЧЕТА УЧРЕЖДЕНИЙ ПРОХЛАДНЕНСКОГО МУНИЦИПАЛЬНОГО РАЙОНА КБР"</t>
        </is>
      </c>
      <c r="C1990" s="13" t="n">
        <v>716007448</v>
      </c>
      <c r="D1990" s="13" t="n"/>
      <c r="E1990" s="13" t="inlineStr">
        <is>
          <t>Не определён</t>
        </is>
      </c>
      <c r="F1990" s="13" t="inlineStr">
        <is>
          <t>716007448</t>
        </is>
      </c>
      <c r="G1990" s="14" t="n"/>
      <c r="H1990" s="14" t="n"/>
      <c r="I1990" s="14" t="n"/>
      <c r="J1990" s="14" t="n"/>
      <c r="K1990" s="13">
        <f>IF(G1990="","",IF(G1990&gt;=22,"Да","Нет"))</f>
        <v/>
      </c>
      <c r="L1990" s="13">
        <f>IF(OR(I1990="",J1990=""),"Не определено",IF(OR(COUNTIF(I1990,"45*")&gt;0,COUNTIF(J1990,"*45*")&gt;0,COUNTIF(I1990,"46*")&gt;0,COUNTIF(J1990,"*46*")&gt;0,COUNTIF(I1990,"47*")&gt;0,COUNTIF(J1990,"*47*")&gt;0,COUNTIF(I1990,"10*")&gt;0,COUNTIF(J1990,"*10*")&gt;0,COUNTIF(I1990,"11*")&gt;0,COUNTIF(J1990,"*11*")&gt;0,COUNTIF(I1990,"12*")&gt;0,COUNTIF(J1990,"*12*")&gt;0,COUNTIF(I1990,"13*")&gt;0,COUNTIF(J1990,"*13*")&gt;0,COUNTIF(I1990,"14*")&gt;0,COUNTIF(J1990,"*14*")&gt;0,COUNTIF(I1990,"15*")&gt;0,COUNTIF(J1990,"*15*")&gt;0,COUNTIF(I1990,"16*")&gt;0,COUNTIF(J1990,"*16*")&gt;0,COUNTIF(I1990,"17*")&gt;0,COUNTIF(J1990,"*17*")&gt;0,COUNTIF(I1990,"18*")&gt;0,COUNTIF(J1990,"*18*")&gt;0,COUNTIF(I1990,"19*")&gt;0,COUNTIF(J1990,"*19*")&gt;0,COUNTIF(I1990,"20*")&gt;0,COUNTIF(J1990,"*20*")&gt;0,COUNTIF(I1990,"21*")&gt;0,COUNTIF(J1990,"*21*")&gt;0,COUNTIF(I1990,"22*")&gt;0,COUNTIF(J1990,"*22*")&gt;0,COUNTIF(I1990,"23*")&gt;0,COUNTIF(J1990,"*23*")&gt;0,COUNTIF(I1990,"24*")&gt;0,COUNTIF(J1990,"*24*")&gt;0,COUNTIF(I1990,"25*")&gt;0,COUNTIF(J1990,"*25*")&gt;0,COUNTIF(I1990,"26*")&gt;0,COUNTIF(J1990,"*26*")&gt;0,COUNTIF(I1990,"27*")&gt;0,COUNTIF(J1990,"*27*")&gt;0,COUNTIF(I1990,"28*")&gt;0,COUNTIF(J1990,"*28*")&gt;0,COUNTIF(I1990,"29*")&gt;0,COUNTIF(J1990,"*29*")&gt;0,COUNTIF(I1990,"30*")&gt;0,COUNTIF(J1990,"*30*")&gt;0,COUNTIF(I1990,"31*")&gt;0,COUNTIF(J1990,"*31*")&gt;0,COUNTIF(I1990,"32*")&gt;0,COUNTIF(J1990,"*32*")&gt;0,COUNTIF(I1990,"33*")&gt;0,COUNTIF(J1990,"*33*")&gt;0,COUNTIF(I1990,"41*")&gt;0,COUNTIF(J1990,"*41*")&gt;0,COUNTIF(I1990,"42*")&gt;0,COUNTIF(J1990,"*42*")&gt;0,COUNTIF(I1990,"43*")&gt;0,COUNTIF(J1990,"*43*")&gt;0,COUNTIF(I1990,"49*")&gt;0,COUNTIF(J1990,"*49*")&gt;0,COUNTIF(I1990,"52*")&gt;0,COUNTIF(J1990,"*52*")&gt;0,COUNTIF(I1990,"55*")&gt;0,COUNTIF(J1990,"*55*")&gt;0,COUNTIF(I1990,"56*")&gt;0,COUNTIF(J1990,"*56*")&gt;0,COUNTIF(I1990,"68*")&gt;0,COUNTIF(J1990,"*68*")&gt;0,COUNTIF(I1990,"78*")&gt;0,COUNTIF(J1990,"*78*")&gt;0,COUNTIF(I1990,"81*")&gt;0,COUNTIF(J1990,"*81*")&gt;0,COUNTIF(I1990,"82*")&gt;0,COUNTIF(J1990,"*82*")&gt;0,COUNTIF(I1990,"64*")&gt;0,COUNTIF(J1990,"*64*")&gt;0,COUNTIF(I1990,"65*")&gt;0,COUNTIF(J1990,"*65*")&gt;0,COUNTIF(I1990,"66*")&gt;0,COUNTIF(J1990,"*66*")&gt;0,COUNTIF(I1990,"61*")&gt;0,COUNTIF(J1990,"*61*")&gt;0,COUNTIF(I1990,"62*")&gt;0,COUNTIF(J1990,"*62*")&gt;0,COUNTIF(I1990,"63*")&gt;0,COUNTIF(J1990,"*63*")&gt;0,COUNTIF(I1990,"85*")&gt;0,COUNTIF(J1990,"*85*")&gt;0,COUNTIF(I1990,"86*")&gt;0,COUNTIF(J1990,"*86*")&gt;0),"Да","Нет"))</f>
        <v/>
      </c>
      <c r="M1990" s="13">
        <f>IF(OR(G1990="",L1990&lt;&gt;"Да"),"",IF(G1990&lt;=100,"До 100",IF(G1990&lt;=200,"До 200",IF(G1990&lt;=500,"До 500","Отдельное КП"))))</f>
        <v/>
      </c>
      <c r="N1990" s="15">
        <f>IF(OR(G1990="",L1990&lt;&gt;"Да"),"",IF(G1990&lt;=100,33600,IF(G1990&lt;=200,62400,IF(G1990&lt;=500,144000,""))))</f>
        <v/>
      </c>
      <c r="O1990" s="16">
        <f>IF(G1990="","",IF(G1990&lt;=15,"1–15",IF(G1990&lt;=30,"16–30",IF(G1990&lt;=50,"31–50",IF(G1990&lt;=100,"51–100",IF(G1990&lt;=150,"101–150",IF(G1990&lt;=200,"151–200",IF(G1990&lt;=500,"201–500","500+"))))))))</f>
        <v/>
      </c>
      <c r="P1990" s="16" t="inlineStr">
        <is>
          <t>Нет совпадения в предоставленной выгрузке ССЧР</t>
        </is>
      </c>
      <c r="Q1990" s="16" t="n"/>
      <c r="R1990" s="16">
        <f>HYPERLINK("https://checko.ru/search?query=3801001629","Чекко: проверить")</f>
        <v/>
      </c>
      <c r="S1990" t="n">
        <v>0</v>
      </c>
    </row>
    <row r="1991" ht="41.25" customHeight="1" s="24">
      <c r="A1991" s="13" t="n">
        <v>5000098017</v>
      </c>
      <c r="B1991" s="13" t="inlineStr">
        <is>
          <t>ОбГБУ Управление Социальной Защиты и Социального Обслуживания Населения по Киренскому Району и Катангскому</t>
        </is>
      </c>
      <c r="C1991" s="13" t="n">
        <v>3808282601</v>
      </c>
      <c r="D1991" s="13" t="inlineStr">
        <is>
          <t>3808282601</t>
        </is>
      </c>
      <c r="E1991" s="13" t="inlineStr">
        <is>
          <t>ЮЛ РФ</t>
        </is>
      </c>
      <c r="F1991" s="13" t="n"/>
      <c r="G1991" s="14" t="n"/>
      <c r="H1991" s="14" t="n"/>
      <c r="I1991" s="14" t="n"/>
      <c r="J1991" s="14" t="n"/>
      <c r="K1991" s="53" t="inlineStr"/>
      <c r="L1991" s="53" t="inlineStr">
        <is>
          <t>Не определено</t>
        </is>
      </c>
      <c r="M1991" s="53" t="inlineStr"/>
      <c r="N1991" s="54" t="inlineStr"/>
      <c r="O1991" s="55" t="inlineStr"/>
      <c r="P1991" s="16" t="inlineStr">
        <is>
          <t>Требует обогащения</t>
        </is>
      </c>
      <c r="Q1991" s="16">
        <f>HYPERLINK("https://pb.nalog.ru/search.html?query=3808282601","ФНС: проверить")</f>
        <v/>
      </c>
      <c r="R1991" s="16">
        <f>HYPERLINK("https://checko.ru/search?query=3801001629","Чекко: проверить")</f>
        <v/>
      </c>
      <c r="S1991" t="n">
        <v>1</v>
      </c>
      <c r="T1991" s="35" t="inlineStr">
        <is>
          <t>4 — Не обогащён</t>
        </is>
      </c>
      <c r="U1991" s="35" t="inlineStr">
        <is>
          <t>Нет ОКВЭД/ССЧР</t>
        </is>
      </c>
      <c r="V1991" s="35" t="inlineStr">
        <is>
          <t>Не определено</t>
        </is>
      </c>
      <c r="W1991" s="35" t="inlineStr"/>
      <c r="X1991" s="35" t="inlineStr"/>
    </row>
    <row r="1992" ht="41.25" customHeight="1" s="24">
      <c r="A1992" s="13" t="n">
        <v>5000098018</v>
      </c>
      <c r="B1992" s="13" t="inlineStr">
        <is>
          <t>ОбГБУ "Управление Социальной Защиты и Социального Обслуживания Населения по Усть-Кутскому Району"</t>
        </is>
      </c>
      <c r="C1992" s="13" t="n">
        <v>3808282489</v>
      </c>
      <c r="D1992" s="13" t="inlineStr">
        <is>
          <t>3808282489</t>
        </is>
      </c>
      <c r="E1992" s="13" t="inlineStr">
        <is>
          <t>ЮЛ РФ</t>
        </is>
      </c>
      <c r="F1992" s="13" t="n"/>
      <c r="G1992" s="14" t="n"/>
      <c r="H1992" s="14" t="n"/>
      <c r="I1992" s="14" t="n"/>
      <c r="J1992" s="14" t="n"/>
      <c r="K1992" s="53" t="inlineStr"/>
      <c r="L1992" s="53" t="inlineStr">
        <is>
          <t>Не определено</t>
        </is>
      </c>
      <c r="M1992" s="53" t="inlineStr"/>
      <c r="N1992" s="54" t="inlineStr"/>
      <c r="O1992" s="55" t="inlineStr"/>
      <c r="P1992" s="16" t="inlineStr">
        <is>
          <t>Требует обогащения</t>
        </is>
      </c>
      <c r="Q1992" s="16">
        <f>HYPERLINK("https://pb.nalog.ru/search.html?query=3808282489","ФНС: проверить")</f>
        <v/>
      </c>
      <c r="R1992" s="16">
        <f>HYPERLINK("https://checko.ru/search?query=3801001629","Чекко: проверить")</f>
        <v/>
      </c>
      <c r="S1992" t="n">
        <v>1</v>
      </c>
      <c r="T1992" s="35" t="inlineStr">
        <is>
          <t>4 — Не обогащён</t>
        </is>
      </c>
      <c r="U1992" s="35" t="inlineStr">
        <is>
          <t>Нет ОКВЭД/ССЧР</t>
        </is>
      </c>
      <c r="V1992" s="35" t="inlineStr">
        <is>
          <t>Не определено</t>
        </is>
      </c>
      <c r="W1992" s="35" t="inlineStr"/>
      <c r="X1992" s="35" t="inlineStr"/>
    </row>
    <row r="1993" ht="15" customHeight="1" s="24">
      <c r="A1993" s="13" t="n">
        <v>5000098019</v>
      </c>
      <c r="B1993" s="13" t="inlineStr">
        <is>
          <t>ОбГКУ "Кадровый Центр Иркутской Области"</t>
        </is>
      </c>
      <c r="C1993" s="13" t="n">
        <v>3808282094</v>
      </c>
      <c r="D1993" s="13" t="inlineStr">
        <is>
          <t>3808282094</t>
        </is>
      </c>
      <c r="E1993" s="13" t="inlineStr">
        <is>
          <t>ЮЛ РФ</t>
        </is>
      </c>
      <c r="F1993" s="13" t="n"/>
      <c r="G1993" s="14" t="n"/>
      <c r="H1993" s="14" t="n"/>
      <c r="I1993" s="14" t="n"/>
      <c r="J1993" s="14" t="n"/>
      <c r="K1993" s="53" t="inlineStr"/>
      <c r="L1993" s="53" t="inlineStr">
        <is>
          <t>Не определено</t>
        </is>
      </c>
      <c r="M1993" s="53" t="inlineStr"/>
      <c r="N1993" s="54" t="inlineStr"/>
      <c r="O1993" s="55" t="inlineStr"/>
      <c r="P1993" s="16" t="inlineStr">
        <is>
          <t>Требует обогащения</t>
        </is>
      </c>
      <c r="Q1993" s="16">
        <f>HYPERLINK("https://pb.nalog.ru/search.html?query=3808282094","ФНС: проверить")</f>
        <v/>
      </c>
      <c r="R1993" s="16">
        <f>HYPERLINK("https://checko.ru/search?query=3801001629","Чекко: проверить")</f>
        <v/>
      </c>
      <c r="S1993" t="n">
        <v>1</v>
      </c>
      <c r="T1993" s="35" t="inlineStr">
        <is>
          <t>4 — Не обогащён</t>
        </is>
      </c>
      <c r="U1993" s="35" t="inlineStr">
        <is>
          <t>Нет ОКВЭД/ССЧР</t>
        </is>
      </c>
      <c r="V1993" s="35" t="inlineStr">
        <is>
          <t>Не определено</t>
        </is>
      </c>
      <c r="W1993" s="35" t="inlineStr"/>
      <c r="X1993" s="35" t="inlineStr"/>
    </row>
    <row r="1994" ht="41.25" customHeight="1" s="24">
      <c r="A1994" s="13" t="n">
        <v>5000098014</v>
      </c>
      <c r="B1994" s="13" t="inlineStr">
        <is>
          <t>ОбГБУ «Управление социальной защиты и социального обеспечения населения Боханского района»</t>
        </is>
      </c>
      <c r="C1994" s="13" t="n">
        <v>3849094607</v>
      </c>
      <c r="D1994" s="13" t="inlineStr">
        <is>
          <t>3849094607</t>
        </is>
      </c>
      <c r="E1994" s="13" t="inlineStr">
        <is>
          <t>ЮЛ РФ</t>
        </is>
      </c>
      <c r="F1994" s="13" t="n"/>
      <c r="G1994" s="14" t="n"/>
      <c r="H1994" s="14" t="n"/>
      <c r="I1994" s="14" t="n"/>
      <c r="J1994" s="14" t="n"/>
      <c r="K1994" s="53" t="inlineStr"/>
      <c r="L1994" s="53" t="inlineStr">
        <is>
          <t>Не определено</t>
        </is>
      </c>
      <c r="M1994" s="53" t="inlineStr"/>
      <c r="N1994" s="54" t="inlineStr"/>
      <c r="O1994" s="55" t="inlineStr"/>
      <c r="P1994" s="16" t="inlineStr">
        <is>
          <t>Требует обогащения</t>
        </is>
      </c>
      <c r="Q1994" s="16">
        <f>HYPERLINK("https://pb.nalog.ru/search.html?query=3849094607","ФНС: проверить")</f>
        <v/>
      </c>
      <c r="R1994" s="16">
        <f>HYPERLINK("https://checko.ru/search?query=3801001629","Чекко: проверить")</f>
        <v/>
      </c>
      <c r="S1994" t="n">
        <v>1</v>
      </c>
      <c r="T1994" s="35" t="inlineStr">
        <is>
          <t>4 — Не обогащён</t>
        </is>
      </c>
      <c r="U1994" s="35" t="inlineStr">
        <is>
          <t>Нет ОКВЭД/ССЧР</t>
        </is>
      </c>
      <c r="V1994" s="35" t="inlineStr">
        <is>
          <t>Не определено</t>
        </is>
      </c>
      <c r="W1994" s="35" t="inlineStr"/>
      <c r="X1994" s="35" t="inlineStr"/>
    </row>
    <row r="1995" ht="41.25" customHeight="1" s="24">
      <c r="A1995" s="13" t="n">
        <v>5000098015</v>
      </c>
      <c r="B1995" s="13" t="inlineStr">
        <is>
          <t>ОбГБУ «Управление социальной защиты и социального обслуживания населения по Качугскому району»</t>
        </is>
      </c>
      <c r="C1995" s="13" t="n">
        <v>3808282062</v>
      </c>
      <c r="D1995" s="13" t="inlineStr">
        <is>
          <t>3808282062</t>
        </is>
      </c>
      <c r="E1995" s="13" t="inlineStr">
        <is>
          <t>ЮЛ РФ</t>
        </is>
      </c>
      <c r="F1995" s="13" t="n"/>
      <c r="G1995" s="14" t="n"/>
      <c r="H1995" s="14" t="n"/>
      <c r="I1995" s="14" t="n"/>
      <c r="J1995" s="14" t="n"/>
      <c r="K1995" s="53" t="inlineStr"/>
      <c r="L1995" s="53" t="inlineStr">
        <is>
          <t>Не определено</t>
        </is>
      </c>
      <c r="M1995" s="53" t="inlineStr"/>
      <c r="N1995" s="54" t="inlineStr"/>
      <c r="O1995" s="55" t="inlineStr"/>
      <c r="P1995" s="16" t="inlineStr">
        <is>
          <t>Требует обогащения</t>
        </is>
      </c>
      <c r="Q1995" s="16">
        <f>HYPERLINK("https://pb.nalog.ru/search.html?query=3808282062","ФНС: проверить")</f>
        <v/>
      </c>
      <c r="R1995" s="16">
        <f>HYPERLINK("https://checko.ru/search?query=3801001629","Чекко: проверить")</f>
        <v/>
      </c>
      <c r="S1995" t="n">
        <v>1</v>
      </c>
      <c r="T1995" s="35" t="inlineStr">
        <is>
          <t>4 — Не обогащён</t>
        </is>
      </c>
      <c r="U1995" s="35" t="inlineStr">
        <is>
          <t>Нет ОКВЭД/ССЧР</t>
        </is>
      </c>
      <c r="V1995" s="35" t="inlineStr">
        <is>
          <t>Не определено</t>
        </is>
      </c>
      <c r="W1995" s="35" t="inlineStr"/>
      <c r="X1995" s="35" t="inlineStr"/>
    </row>
    <row r="1996" ht="41.25" customHeight="1" s="24">
      <c r="A1996" s="13" t="n">
        <v>5000098016</v>
      </c>
      <c r="B1996" s="13" t="inlineStr">
        <is>
          <t>ОбГБУ «Управление социальной защиты и социального обслуживания населения по Нукутскому району»</t>
        </is>
      </c>
      <c r="C1996" s="13" t="n">
        <v>3801159013</v>
      </c>
      <c r="D1996" s="13" t="inlineStr">
        <is>
          <t>3801159013</t>
        </is>
      </c>
      <c r="E1996" s="13" t="inlineStr">
        <is>
          <t>ЮЛ РФ</t>
        </is>
      </c>
      <c r="F1996" s="13" t="n"/>
      <c r="G1996" s="14" t="n"/>
      <c r="H1996" s="14" t="n"/>
      <c r="I1996" s="14" t="n"/>
      <c r="J1996" s="14" t="n"/>
      <c r="K1996" s="53" t="inlineStr"/>
      <c r="L1996" s="53" t="inlineStr">
        <is>
          <t>Не определено</t>
        </is>
      </c>
      <c r="M1996" s="53" t="inlineStr"/>
      <c r="N1996" s="54" t="inlineStr"/>
      <c r="O1996" s="55" t="inlineStr"/>
      <c r="P1996" s="16" t="inlineStr">
        <is>
          <t>Требует обогащения</t>
        </is>
      </c>
      <c r="Q1996" s="16">
        <f>HYPERLINK("https://pb.nalog.ru/search.html?query=3801159013","ФНС: проверить")</f>
        <v/>
      </c>
      <c r="R1996" s="16">
        <f>HYPERLINK("https://checko.ru/search?query=3801001629","Чекко: проверить")</f>
        <v/>
      </c>
      <c r="S1996" t="n">
        <v>1</v>
      </c>
      <c r="T1996" s="35" t="inlineStr">
        <is>
          <t>4 — Не обогащён</t>
        </is>
      </c>
      <c r="U1996" s="35" t="inlineStr">
        <is>
          <t>Нет ОКВЭД/ССЧР</t>
        </is>
      </c>
      <c r="V1996" s="35" t="inlineStr">
        <is>
          <t>Не определено</t>
        </is>
      </c>
      <c r="W1996" s="35" t="inlineStr"/>
      <c r="X1996" s="35" t="inlineStr"/>
    </row>
    <row r="1997" ht="15" customHeight="1" s="24">
      <c r="A1997" s="13" t="n">
        <v>5000097410</v>
      </c>
      <c r="B1997" s="13" t="inlineStr">
        <is>
          <t>МКУ "ЦБУОУ УМР КБР"</t>
        </is>
      </c>
      <c r="C1997" s="13" t="n">
        <v>700007562</v>
      </c>
      <c r="D1997" s="13" t="n"/>
      <c r="E1997" s="13" t="inlineStr">
        <is>
          <t>Не определён</t>
        </is>
      </c>
      <c r="F1997" s="13" t="inlineStr">
        <is>
          <t>700007562</t>
        </is>
      </c>
      <c r="G1997" s="14" t="n"/>
      <c r="H1997" s="14" t="n"/>
      <c r="I1997" s="14" t="n"/>
      <c r="J1997" s="14" t="n"/>
      <c r="K1997" s="13">
        <f>IF(G1997="","",IF(G1997&gt;=22,"Да","Нет"))</f>
        <v/>
      </c>
      <c r="L1997" s="13">
        <f>IF(OR(I1997="",J1997=""),"Не определено",IF(OR(COUNTIF(I1997,"45*")&gt;0,COUNTIF(J1997,"*45*")&gt;0,COUNTIF(I1997,"46*")&gt;0,COUNTIF(J1997,"*46*")&gt;0,COUNTIF(I1997,"47*")&gt;0,COUNTIF(J1997,"*47*")&gt;0,COUNTIF(I1997,"10*")&gt;0,COUNTIF(J1997,"*10*")&gt;0,COUNTIF(I1997,"11*")&gt;0,COUNTIF(J1997,"*11*")&gt;0,COUNTIF(I1997,"12*")&gt;0,COUNTIF(J1997,"*12*")&gt;0,COUNTIF(I1997,"13*")&gt;0,COUNTIF(J1997,"*13*")&gt;0,COUNTIF(I1997,"14*")&gt;0,COUNTIF(J1997,"*14*")&gt;0,COUNTIF(I1997,"15*")&gt;0,COUNTIF(J1997,"*15*")&gt;0,COUNTIF(I1997,"16*")&gt;0,COUNTIF(J1997,"*16*")&gt;0,COUNTIF(I1997,"17*")&gt;0,COUNTIF(J1997,"*17*")&gt;0,COUNTIF(I1997,"18*")&gt;0,COUNTIF(J1997,"*18*")&gt;0,COUNTIF(I1997,"19*")&gt;0,COUNTIF(J1997,"*19*")&gt;0,COUNTIF(I1997,"20*")&gt;0,COUNTIF(J1997,"*20*")&gt;0,COUNTIF(I1997,"21*")&gt;0,COUNTIF(J1997,"*21*")&gt;0,COUNTIF(I1997,"22*")&gt;0,COUNTIF(J1997,"*22*")&gt;0,COUNTIF(I1997,"23*")&gt;0,COUNTIF(J1997,"*23*")&gt;0,COUNTIF(I1997,"24*")&gt;0,COUNTIF(J1997,"*24*")&gt;0,COUNTIF(I1997,"25*")&gt;0,COUNTIF(J1997,"*25*")&gt;0,COUNTIF(I1997,"26*")&gt;0,COUNTIF(J1997,"*26*")&gt;0,COUNTIF(I1997,"27*")&gt;0,COUNTIF(J1997,"*27*")&gt;0,COUNTIF(I1997,"28*")&gt;0,COUNTIF(J1997,"*28*")&gt;0,COUNTIF(I1997,"29*")&gt;0,COUNTIF(J1997,"*29*")&gt;0,COUNTIF(I1997,"30*")&gt;0,COUNTIF(J1997,"*30*")&gt;0,COUNTIF(I1997,"31*")&gt;0,COUNTIF(J1997,"*31*")&gt;0,COUNTIF(I1997,"32*")&gt;0,COUNTIF(J1997,"*32*")&gt;0,COUNTIF(I1997,"33*")&gt;0,COUNTIF(J1997,"*33*")&gt;0,COUNTIF(I1997,"41*")&gt;0,COUNTIF(J1997,"*41*")&gt;0,COUNTIF(I1997,"42*")&gt;0,COUNTIF(J1997,"*42*")&gt;0,COUNTIF(I1997,"43*")&gt;0,COUNTIF(J1997,"*43*")&gt;0,COUNTIF(I1997,"49*")&gt;0,COUNTIF(J1997,"*49*")&gt;0,COUNTIF(I1997,"52*")&gt;0,COUNTIF(J1997,"*52*")&gt;0,COUNTIF(I1997,"55*")&gt;0,COUNTIF(J1997,"*55*")&gt;0,COUNTIF(I1997,"56*")&gt;0,COUNTIF(J1997,"*56*")&gt;0,COUNTIF(I1997,"68*")&gt;0,COUNTIF(J1997,"*68*")&gt;0,COUNTIF(I1997,"78*")&gt;0,COUNTIF(J1997,"*78*")&gt;0,COUNTIF(I1997,"81*")&gt;0,COUNTIF(J1997,"*81*")&gt;0,COUNTIF(I1997,"82*")&gt;0,COUNTIF(J1997,"*82*")&gt;0,COUNTIF(I1997,"64*")&gt;0,COUNTIF(J1997,"*64*")&gt;0,COUNTIF(I1997,"65*")&gt;0,COUNTIF(J1997,"*65*")&gt;0,COUNTIF(I1997,"66*")&gt;0,COUNTIF(J1997,"*66*")&gt;0,COUNTIF(I1997,"61*")&gt;0,COUNTIF(J1997,"*61*")&gt;0,COUNTIF(I1997,"62*")&gt;0,COUNTIF(J1997,"*62*")&gt;0,COUNTIF(I1997,"63*")&gt;0,COUNTIF(J1997,"*63*")&gt;0,COUNTIF(I1997,"85*")&gt;0,COUNTIF(J1997,"*85*")&gt;0,COUNTIF(I1997,"86*")&gt;0,COUNTIF(J1997,"*86*")&gt;0),"Да","Нет"))</f>
        <v/>
      </c>
      <c r="M1997" s="13">
        <f>IF(OR(G1997="",L1997&lt;&gt;"Да"),"",IF(G1997&lt;=100,"До 100",IF(G1997&lt;=200,"До 200",IF(G1997&lt;=500,"До 500","Отдельное КП"))))</f>
        <v/>
      </c>
      <c r="N1997" s="15">
        <f>IF(OR(G1997="",L1997&lt;&gt;"Да"),"",IF(G1997&lt;=100,33600,IF(G1997&lt;=200,62400,IF(G1997&lt;=500,144000,""))))</f>
        <v/>
      </c>
      <c r="O1997" s="16">
        <f>IF(G1997="","",IF(G1997&lt;=15,"1–15",IF(G1997&lt;=30,"16–30",IF(G1997&lt;=50,"31–50",IF(G1997&lt;=100,"51–100",IF(G1997&lt;=150,"101–150",IF(G1997&lt;=200,"151–200",IF(G1997&lt;=500,"201–500","500+"))))))))</f>
        <v/>
      </c>
      <c r="P1997" s="16" t="inlineStr">
        <is>
          <t>Нет совпадения в предоставленной выгрузке ССЧР</t>
        </is>
      </c>
      <c r="Q1997" s="16" t="n"/>
      <c r="R1997" s="16">
        <f>HYPERLINK("https://checko.ru/search?query=3801001629","Чекко: проверить")</f>
        <v/>
      </c>
      <c r="S1997" t="n">
        <v>0</v>
      </c>
    </row>
    <row r="1998" ht="27.75" customHeight="1" s="24">
      <c r="A1998" s="13" t="n">
        <v>5000097411</v>
      </c>
      <c r="B1998" s="13" t="inlineStr">
        <is>
          <t>МБУ "ЦЕНТР КУЛЬТУРНОГО РАЗВИТИЯ" Г.О. НАЛЬЧИК</t>
        </is>
      </c>
      <c r="C1998" s="13" t="n">
        <v>700008647</v>
      </c>
      <c r="D1998" s="13" t="n"/>
      <c r="E1998" s="13" t="inlineStr">
        <is>
          <t>Не определён</t>
        </is>
      </c>
      <c r="F1998" s="13" t="inlineStr">
        <is>
          <t>700008647</t>
        </is>
      </c>
      <c r="G1998" s="14" t="n"/>
      <c r="H1998" s="14" t="n"/>
      <c r="I1998" s="14" t="n"/>
      <c r="J1998" s="14" t="n"/>
      <c r="K1998" s="13">
        <f>IF(G1998="","",IF(G1998&gt;=22,"Да","Нет"))</f>
        <v/>
      </c>
      <c r="L1998" s="13">
        <f>IF(OR(I1998="",J1998=""),"Не определено",IF(OR(COUNTIF(I1998,"45*")&gt;0,COUNTIF(J1998,"*45*")&gt;0,COUNTIF(I1998,"46*")&gt;0,COUNTIF(J1998,"*46*")&gt;0,COUNTIF(I1998,"47*")&gt;0,COUNTIF(J1998,"*47*")&gt;0,COUNTIF(I1998,"10*")&gt;0,COUNTIF(J1998,"*10*")&gt;0,COUNTIF(I1998,"11*")&gt;0,COUNTIF(J1998,"*11*")&gt;0,COUNTIF(I1998,"12*")&gt;0,COUNTIF(J1998,"*12*")&gt;0,COUNTIF(I1998,"13*")&gt;0,COUNTIF(J1998,"*13*")&gt;0,COUNTIF(I1998,"14*")&gt;0,COUNTIF(J1998,"*14*")&gt;0,COUNTIF(I1998,"15*")&gt;0,COUNTIF(J1998,"*15*")&gt;0,COUNTIF(I1998,"16*")&gt;0,COUNTIF(J1998,"*16*")&gt;0,COUNTIF(I1998,"17*")&gt;0,COUNTIF(J1998,"*17*")&gt;0,COUNTIF(I1998,"18*")&gt;0,COUNTIF(J1998,"*18*")&gt;0,COUNTIF(I1998,"19*")&gt;0,COUNTIF(J1998,"*19*")&gt;0,COUNTIF(I1998,"20*")&gt;0,COUNTIF(J1998,"*20*")&gt;0,COUNTIF(I1998,"21*")&gt;0,COUNTIF(J1998,"*21*")&gt;0,COUNTIF(I1998,"22*")&gt;0,COUNTIF(J1998,"*22*")&gt;0,COUNTIF(I1998,"23*")&gt;0,COUNTIF(J1998,"*23*")&gt;0,COUNTIF(I1998,"24*")&gt;0,COUNTIF(J1998,"*24*")&gt;0,COUNTIF(I1998,"25*")&gt;0,COUNTIF(J1998,"*25*")&gt;0,COUNTIF(I1998,"26*")&gt;0,COUNTIF(J1998,"*26*")&gt;0,COUNTIF(I1998,"27*")&gt;0,COUNTIF(J1998,"*27*")&gt;0,COUNTIF(I1998,"28*")&gt;0,COUNTIF(J1998,"*28*")&gt;0,COUNTIF(I1998,"29*")&gt;0,COUNTIF(J1998,"*29*")&gt;0,COUNTIF(I1998,"30*")&gt;0,COUNTIF(J1998,"*30*")&gt;0,COUNTIF(I1998,"31*")&gt;0,COUNTIF(J1998,"*31*")&gt;0,COUNTIF(I1998,"32*")&gt;0,COUNTIF(J1998,"*32*")&gt;0,COUNTIF(I1998,"33*")&gt;0,COUNTIF(J1998,"*33*")&gt;0,COUNTIF(I1998,"41*")&gt;0,COUNTIF(J1998,"*41*")&gt;0,COUNTIF(I1998,"42*")&gt;0,COUNTIF(J1998,"*42*")&gt;0,COUNTIF(I1998,"43*")&gt;0,COUNTIF(J1998,"*43*")&gt;0,COUNTIF(I1998,"49*")&gt;0,COUNTIF(J1998,"*49*")&gt;0,COUNTIF(I1998,"52*")&gt;0,COUNTIF(J1998,"*52*")&gt;0,COUNTIF(I1998,"55*")&gt;0,COUNTIF(J1998,"*55*")&gt;0,COUNTIF(I1998,"56*")&gt;0,COUNTIF(J1998,"*56*")&gt;0,COUNTIF(I1998,"68*")&gt;0,COUNTIF(J1998,"*68*")&gt;0,COUNTIF(I1998,"78*")&gt;0,COUNTIF(J1998,"*78*")&gt;0,COUNTIF(I1998,"81*")&gt;0,COUNTIF(J1998,"*81*")&gt;0,COUNTIF(I1998,"82*")&gt;0,COUNTIF(J1998,"*82*")&gt;0,COUNTIF(I1998,"64*")&gt;0,COUNTIF(J1998,"*64*")&gt;0,COUNTIF(I1998,"65*")&gt;0,COUNTIF(J1998,"*65*")&gt;0,COUNTIF(I1998,"66*")&gt;0,COUNTIF(J1998,"*66*")&gt;0,COUNTIF(I1998,"61*")&gt;0,COUNTIF(J1998,"*61*")&gt;0,COUNTIF(I1998,"62*")&gt;0,COUNTIF(J1998,"*62*")&gt;0,COUNTIF(I1998,"63*")&gt;0,COUNTIF(J1998,"*63*")&gt;0,COUNTIF(I1998,"85*")&gt;0,COUNTIF(J1998,"*85*")&gt;0,COUNTIF(I1998,"86*")&gt;0,COUNTIF(J1998,"*86*")&gt;0),"Да","Нет"))</f>
        <v/>
      </c>
      <c r="M1998" s="13">
        <f>IF(OR(G1998="",L1998&lt;&gt;"Да"),"",IF(G1998&lt;=100,"До 100",IF(G1998&lt;=200,"До 200",IF(G1998&lt;=500,"До 500","Отдельное КП"))))</f>
        <v/>
      </c>
      <c r="N1998" s="15">
        <f>IF(OR(G1998="",L1998&lt;&gt;"Да"),"",IF(G1998&lt;=100,33600,IF(G1998&lt;=200,62400,IF(G1998&lt;=500,144000,""))))</f>
        <v/>
      </c>
      <c r="O1998" s="16">
        <f>IF(G1998="","",IF(G1998&lt;=15,"1–15",IF(G1998&lt;=30,"16–30",IF(G1998&lt;=50,"31–50",IF(G1998&lt;=100,"51–100",IF(G1998&lt;=150,"101–150",IF(G1998&lt;=200,"151–200",IF(G1998&lt;=500,"201–500","500+"))))))))</f>
        <v/>
      </c>
      <c r="P1998" s="16" t="inlineStr">
        <is>
          <t>Нет совпадения в предоставленной выгрузке ССЧР</t>
        </is>
      </c>
      <c r="Q1998" s="16" t="n"/>
      <c r="R1998" s="16">
        <f>HYPERLINK("https://checko.ru/search?query=3801001629","Чекко: проверить")</f>
        <v/>
      </c>
      <c r="S1998" t="n">
        <v>0</v>
      </c>
    </row>
    <row r="1999" ht="15" customHeight="1" s="24">
      <c r="A1999" s="13" t="n">
        <v>5000094437</v>
      </c>
      <c r="B1999" s="13" t="inlineStr">
        <is>
          <t>МОУ "СОШ №2" с.п. Исламей</t>
        </is>
      </c>
      <c r="C1999" s="13" t="n">
        <v>701004934</v>
      </c>
      <c r="D1999" s="13" t="n"/>
      <c r="E1999" s="13" t="inlineStr">
        <is>
          <t>Не определён</t>
        </is>
      </c>
      <c r="F1999" s="13" t="inlineStr">
        <is>
          <t>701004934</t>
        </is>
      </c>
      <c r="G1999" s="14" t="n"/>
      <c r="H1999" s="14" t="n"/>
      <c r="I1999" s="14" t="n"/>
      <c r="J1999" s="14" t="n"/>
      <c r="K1999" s="13">
        <f>IF(G1999="","",IF(G1999&gt;=22,"Да","Нет"))</f>
        <v/>
      </c>
      <c r="L1999" s="13">
        <f>IF(OR(I1999="",J1999=""),"Не определено",IF(OR(COUNTIF(I1999,"45*")&gt;0,COUNTIF(J1999,"*45*")&gt;0,COUNTIF(I1999,"46*")&gt;0,COUNTIF(J1999,"*46*")&gt;0,COUNTIF(I1999,"47*")&gt;0,COUNTIF(J1999,"*47*")&gt;0,COUNTIF(I1999,"10*")&gt;0,COUNTIF(J1999,"*10*")&gt;0,COUNTIF(I1999,"11*")&gt;0,COUNTIF(J1999,"*11*")&gt;0,COUNTIF(I1999,"12*")&gt;0,COUNTIF(J1999,"*12*")&gt;0,COUNTIF(I1999,"13*")&gt;0,COUNTIF(J1999,"*13*")&gt;0,COUNTIF(I1999,"14*")&gt;0,COUNTIF(J1999,"*14*")&gt;0,COUNTIF(I1999,"15*")&gt;0,COUNTIF(J1999,"*15*")&gt;0,COUNTIF(I1999,"16*")&gt;0,COUNTIF(J1999,"*16*")&gt;0,COUNTIF(I1999,"17*")&gt;0,COUNTIF(J1999,"*17*")&gt;0,COUNTIF(I1999,"18*")&gt;0,COUNTIF(J1999,"*18*")&gt;0,COUNTIF(I1999,"19*")&gt;0,COUNTIF(J1999,"*19*")&gt;0,COUNTIF(I1999,"20*")&gt;0,COUNTIF(J1999,"*20*")&gt;0,COUNTIF(I1999,"21*")&gt;0,COUNTIF(J1999,"*21*")&gt;0,COUNTIF(I1999,"22*")&gt;0,COUNTIF(J1999,"*22*")&gt;0,COUNTIF(I1999,"23*")&gt;0,COUNTIF(J1999,"*23*")&gt;0,COUNTIF(I1999,"24*")&gt;0,COUNTIF(J1999,"*24*")&gt;0,COUNTIF(I1999,"25*")&gt;0,COUNTIF(J1999,"*25*")&gt;0,COUNTIF(I1999,"26*")&gt;0,COUNTIF(J1999,"*26*")&gt;0,COUNTIF(I1999,"27*")&gt;0,COUNTIF(J1999,"*27*")&gt;0,COUNTIF(I1999,"28*")&gt;0,COUNTIF(J1999,"*28*")&gt;0,COUNTIF(I1999,"29*")&gt;0,COUNTIF(J1999,"*29*")&gt;0,COUNTIF(I1999,"30*")&gt;0,COUNTIF(J1999,"*30*")&gt;0,COUNTIF(I1999,"31*")&gt;0,COUNTIF(J1999,"*31*")&gt;0,COUNTIF(I1999,"32*")&gt;0,COUNTIF(J1999,"*32*")&gt;0,COUNTIF(I1999,"33*")&gt;0,COUNTIF(J1999,"*33*")&gt;0,COUNTIF(I1999,"41*")&gt;0,COUNTIF(J1999,"*41*")&gt;0,COUNTIF(I1999,"42*")&gt;0,COUNTIF(J1999,"*42*")&gt;0,COUNTIF(I1999,"43*")&gt;0,COUNTIF(J1999,"*43*")&gt;0,COUNTIF(I1999,"49*")&gt;0,COUNTIF(J1999,"*49*")&gt;0,COUNTIF(I1999,"52*")&gt;0,COUNTIF(J1999,"*52*")&gt;0,COUNTIF(I1999,"55*")&gt;0,COUNTIF(J1999,"*55*")&gt;0,COUNTIF(I1999,"56*")&gt;0,COUNTIF(J1999,"*56*")&gt;0,COUNTIF(I1999,"68*")&gt;0,COUNTIF(J1999,"*68*")&gt;0,COUNTIF(I1999,"78*")&gt;0,COUNTIF(J1999,"*78*")&gt;0,COUNTIF(I1999,"81*")&gt;0,COUNTIF(J1999,"*81*")&gt;0,COUNTIF(I1999,"82*")&gt;0,COUNTIF(J1999,"*82*")&gt;0,COUNTIF(I1999,"64*")&gt;0,COUNTIF(J1999,"*64*")&gt;0,COUNTIF(I1999,"65*")&gt;0,COUNTIF(J1999,"*65*")&gt;0,COUNTIF(I1999,"66*")&gt;0,COUNTIF(J1999,"*66*")&gt;0,COUNTIF(I1999,"61*")&gt;0,COUNTIF(J1999,"*61*")&gt;0,COUNTIF(I1999,"62*")&gt;0,COUNTIF(J1999,"*62*")&gt;0,COUNTIF(I1999,"63*")&gt;0,COUNTIF(J1999,"*63*")&gt;0,COUNTIF(I1999,"85*")&gt;0,COUNTIF(J1999,"*85*")&gt;0,COUNTIF(I1999,"86*")&gt;0,COUNTIF(J1999,"*86*")&gt;0),"Да","Нет"))</f>
        <v/>
      </c>
      <c r="M1999" s="13">
        <f>IF(OR(G1999="",L1999&lt;&gt;"Да"),"",IF(G1999&lt;=100,"До 100",IF(G1999&lt;=200,"До 200",IF(G1999&lt;=500,"До 500","Отдельное КП"))))</f>
        <v/>
      </c>
      <c r="N1999" s="15">
        <f>IF(OR(G1999="",L1999&lt;&gt;"Да"),"",IF(G1999&lt;=100,33600,IF(G1999&lt;=200,62400,IF(G1999&lt;=500,144000,""))))</f>
        <v/>
      </c>
      <c r="O1999" s="16">
        <f>IF(G1999="","",IF(G1999&lt;=15,"1–15",IF(G1999&lt;=30,"16–30",IF(G1999&lt;=50,"31–50",IF(G1999&lt;=100,"51–100",IF(G1999&lt;=150,"101–150",IF(G1999&lt;=200,"151–200",IF(G1999&lt;=500,"201–500","500+"))))))))</f>
        <v/>
      </c>
      <c r="P1999" s="16" t="inlineStr">
        <is>
          <t>Нет совпадения в предоставленной выгрузке ССЧР</t>
        </is>
      </c>
      <c r="Q1999" s="16" t="n"/>
      <c r="R1999" s="16">
        <f>HYPERLINK("https://checko.ru/search?query=3801001629","Чекко: проверить")</f>
        <v/>
      </c>
      <c r="S1999" t="n">
        <v>0</v>
      </c>
    </row>
    <row r="2000" ht="15" customHeight="1" s="24">
      <c r="A2000" s="13" t="n">
        <v>5000094438</v>
      </c>
      <c r="B2000" s="13" t="inlineStr">
        <is>
          <t>МКОУ "СОШ №1" с.п. Куба</t>
        </is>
      </c>
      <c r="C2000" s="13" t="n">
        <v>701004959</v>
      </c>
      <c r="D2000" s="13" t="n"/>
      <c r="E2000" s="13" t="inlineStr">
        <is>
          <t>Не определён</t>
        </is>
      </c>
      <c r="F2000" s="13" t="inlineStr">
        <is>
          <t>701004959</t>
        </is>
      </c>
      <c r="G2000" s="14" t="n"/>
      <c r="H2000" s="14" t="n"/>
      <c r="I2000" s="14" t="n"/>
      <c r="J2000" s="14" t="n"/>
      <c r="K2000" s="13">
        <f>IF(G2000="","",IF(G2000&gt;=22,"Да","Нет"))</f>
        <v/>
      </c>
      <c r="L2000" s="13">
        <f>IF(OR(I2000="",J2000=""),"Не определено",IF(OR(COUNTIF(I2000,"45*")&gt;0,COUNTIF(J2000,"*45*")&gt;0,COUNTIF(I2000,"46*")&gt;0,COUNTIF(J2000,"*46*")&gt;0,COUNTIF(I2000,"47*")&gt;0,COUNTIF(J2000,"*47*")&gt;0,COUNTIF(I2000,"10*")&gt;0,COUNTIF(J2000,"*10*")&gt;0,COUNTIF(I2000,"11*")&gt;0,COUNTIF(J2000,"*11*")&gt;0,COUNTIF(I2000,"12*")&gt;0,COUNTIF(J2000,"*12*")&gt;0,COUNTIF(I2000,"13*")&gt;0,COUNTIF(J2000,"*13*")&gt;0,COUNTIF(I2000,"14*")&gt;0,COUNTIF(J2000,"*14*")&gt;0,COUNTIF(I2000,"15*")&gt;0,COUNTIF(J2000,"*15*")&gt;0,COUNTIF(I2000,"16*")&gt;0,COUNTIF(J2000,"*16*")&gt;0,COUNTIF(I2000,"17*")&gt;0,COUNTIF(J2000,"*17*")&gt;0,COUNTIF(I2000,"18*")&gt;0,COUNTIF(J2000,"*18*")&gt;0,COUNTIF(I2000,"19*")&gt;0,COUNTIF(J2000,"*19*")&gt;0,COUNTIF(I2000,"20*")&gt;0,COUNTIF(J2000,"*20*")&gt;0,COUNTIF(I2000,"21*")&gt;0,COUNTIF(J2000,"*21*")&gt;0,COUNTIF(I2000,"22*")&gt;0,COUNTIF(J2000,"*22*")&gt;0,COUNTIF(I2000,"23*")&gt;0,COUNTIF(J2000,"*23*")&gt;0,COUNTIF(I2000,"24*")&gt;0,COUNTIF(J2000,"*24*")&gt;0,COUNTIF(I2000,"25*")&gt;0,COUNTIF(J2000,"*25*")&gt;0,COUNTIF(I2000,"26*")&gt;0,COUNTIF(J2000,"*26*")&gt;0,COUNTIF(I2000,"27*")&gt;0,COUNTIF(J2000,"*27*")&gt;0,COUNTIF(I2000,"28*")&gt;0,COUNTIF(J2000,"*28*")&gt;0,COUNTIF(I2000,"29*")&gt;0,COUNTIF(J2000,"*29*")&gt;0,COUNTIF(I2000,"30*")&gt;0,COUNTIF(J2000,"*30*")&gt;0,COUNTIF(I2000,"31*")&gt;0,COUNTIF(J2000,"*31*")&gt;0,COUNTIF(I2000,"32*")&gt;0,COUNTIF(J2000,"*32*")&gt;0,COUNTIF(I2000,"33*")&gt;0,COUNTIF(J2000,"*33*")&gt;0,COUNTIF(I2000,"41*")&gt;0,COUNTIF(J2000,"*41*")&gt;0,COUNTIF(I2000,"42*")&gt;0,COUNTIF(J2000,"*42*")&gt;0,COUNTIF(I2000,"43*")&gt;0,COUNTIF(J2000,"*43*")&gt;0,COUNTIF(I2000,"49*")&gt;0,COUNTIF(J2000,"*49*")&gt;0,COUNTIF(I2000,"52*")&gt;0,COUNTIF(J2000,"*52*")&gt;0,COUNTIF(I2000,"55*")&gt;0,COUNTIF(J2000,"*55*")&gt;0,COUNTIF(I2000,"56*")&gt;0,COUNTIF(J2000,"*56*")&gt;0,COUNTIF(I2000,"68*")&gt;0,COUNTIF(J2000,"*68*")&gt;0,COUNTIF(I2000,"78*")&gt;0,COUNTIF(J2000,"*78*")&gt;0,COUNTIF(I2000,"81*")&gt;0,COUNTIF(J2000,"*81*")&gt;0,COUNTIF(I2000,"82*")&gt;0,COUNTIF(J2000,"*82*")&gt;0,COUNTIF(I2000,"64*")&gt;0,COUNTIF(J2000,"*64*")&gt;0,COUNTIF(I2000,"65*")&gt;0,COUNTIF(J2000,"*65*")&gt;0,COUNTIF(I2000,"66*")&gt;0,COUNTIF(J2000,"*66*")&gt;0,COUNTIF(I2000,"61*")&gt;0,COUNTIF(J2000,"*61*")&gt;0,COUNTIF(I2000,"62*")&gt;0,COUNTIF(J2000,"*62*")&gt;0,COUNTIF(I2000,"63*")&gt;0,COUNTIF(J2000,"*63*")&gt;0,COUNTIF(I2000,"85*")&gt;0,COUNTIF(J2000,"*85*")&gt;0,COUNTIF(I2000,"86*")&gt;0,COUNTIF(J2000,"*86*")&gt;0),"Да","Нет"))</f>
        <v/>
      </c>
      <c r="M2000" s="13">
        <f>IF(OR(G2000="",L2000&lt;&gt;"Да"),"",IF(G2000&lt;=100,"До 100",IF(G2000&lt;=200,"До 200",IF(G2000&lt;=500,"До 500","Отдельное КП"))))</f>
        <v/>
      </c>
      <c r="N2000" s="15">
        <f>IF(OR(G2000="",L2000&lt;&gt;"Да"),"",IF(G2000&lt;=100,33600,IF(G2000&lt;=200,62400,IF(G2000&lt;=500,144000,""))))</f>
        <v/>
      </c>
      <c r="O2000" s="16">
        <f>IF(G2000="","",IF(G2000&lt;=15,"1–15",IF(G2000&lt;=30,"16–30",IF(G2000&lt;=50,"31–50",IF(G2000&lt;=100,"51–100",IF(G2000&lt;=150,"101–150",IF(G2000&lt;=200,"151–200",IF(G2000&lt;=500,"201–500","500+"))))))))</f>
        <v/>
      </c>
      <c r="P2000" s="16" t="inlineStr">
        <is>
          <t>Нет совпадения в предоставленной выгрузке ССЧР</t>
        </is>
      </c>
      <c r="Q2000" s="16" t="n"/>
      <c r="R2000" s="16">
        <f>HYPERLINK("https://checko.ru/search?query=3801001629","Чекко: проверить")</f>
        <v/>
      </c>
      <c r="S2000" t="n">
        <v>0</v>
      </c>
    </row>
    <row r="2001" ht="15" customHeight="1" s="24">
      <c r="A2001" s="13" t="n">
        <v>5000094439</v>
      </c>
      <c r="B2001" s="13" t="inlineStr">
        <is>
          <t>МКОУ "СОШ № 7 им. Мамхегова К.Х. г. Баксана"</t>
        </is>
      </c>
      <c r="C2001" s="13" t="n">
        <v>701004980</v>
      </c>
      <c r="D2001" s="13" t="n"/>
      <c r="E2001" s="13" t="inlineStr">
        <is>
          <t>Не определён</t>
        </is>
      </c>
      <c r="F2001" s="13" t="inlineStr">
        <is>
          <t>701004980</t>
        </is>
      </c>
      <c r="G2001" s="14" t="n"/>
      <c r="H2001" s="14" t="n"/>
      <c r="I2001" s="14" t="n"/>
      <c r="J2001" s="14" t="n"/>
      <c r="K2001" s="13">
        <f>IF(G2001="","",IF(G2001&gt;=22,"Да","Нет"))</f>
        <v/>
      </c>
      <c r="L2001" s="13">
        <f>IF(OR(I2001="",J2001=""),"Не определено",IF(OR(COUNTIF(I2001,"45*")&gt;0,COUNTIF(J2001,"*45*")&gt;0,COUNTIF(I2001,"46*")&gt;0,COUNTIF(J2001,"*46*")&gt;0,COUNTIF(I2001,"47*")&gt;0,COUNTIF(J2001,"*47*")&gt;0,COUNTIF(I2001,"10*")&gt;0,COUNTIF(J2001,"*10*")&gt;0,COUNTIF(I2001,"11*")&gt;0,COUNTIF(J2001,"*11*")&gt;0,COUNTIF(I2001,"12*")&gt;0,COUNTIF(J2001,"*12*")&gt;0,COUNTIF(I2001,"13*")&gt;0,COUNTIF(J2001,"*13*")&gt;0,COUNTIF(I2001,"14*")&gt;0,COUNTIF(J2001,"*14*")&gt;0,COUNTIF(I2001,"15*")&gt;0,COUNTIF(J2001,"*15*")&gt;0,COUNTIF(I2001,"16*")&gt;0,COUNTIF(J2001,"*16*")&gt;0,COUNTIF(I2001,"17*")&gt;0,COUNTIF(J2001,"*17*")&gt;0,COUNTIF(I2001,"18*")&gt;0,COUNTIF(J2001,"*18*")&gt;0,COUNTIF(I2001,"19*")&gt;0,COUNTIF(J2001,"*19*")&gt;0,COUNTIF(I2001,"20*")&gt;0,COUNTIF(J2001,"*20*")&gt;0,COUNTIF(I2001,"21*")&gt;0,COUNTIF(J2001,"*21*")&gt;0,COUNTIF(I2001,"22*")&gt;0,COUNTIF(J2001,"*22*")&gt;0,COUNTIF(I2001,"23*")&gt;0,COUNTIF(J2001,"*23*")&gt;0,COUNTIF(I2001,"24*")&gt;0,COUNTIF(J2001,"*24*")&gt;0,COUNTIF(I2001,"25*")&gt;0,COUNTIF(J2001,"*25*")&gt;0,COUNTIF(I2001,"26*")&gt;0,COUNTIF(J2001,"*26*")&gt;0,COUNTIF(I2001,"27*")&gt;0,COUNTIF(J2001,"*27*")&gt;0,COUNTIF(I2001,"28*")&gt;0,COUNTIF(J2001,"*28*")&gt;0,COUNTIF(I2001,"29*")&gt;0,COUNTIF(J2001,"*29*")&gt;0,COUNTIF(I2001,"30*")&gt;0,COUNTIF(J2001,"*30*")&gt;0,COUNTIF(I2001,"31*")&gt;0,COUNTIF(J2001,"*31*")&gt;0,COUNTIF(I2001,"32*")&gt;0,COUNTIF(J2001,"*32*")&gt;0,COUNTIF(I2001,"33*")&gt;0,COUNTIF(J2001,"*33*")&gt;0,COUNTIF(I2001,"41*")&gt;0,COUNTIF(J2001,"*41*")&gt;0,COUNTIF(I2001,"42*")&gt;0,COUNTIF(J2001,"*42*")&gt;0,COUNTIF(I2001,"43*")&gt;0,COUNTIF(J2001,"*43*")&gt;0,COUNTIF(I2001,"49*")&gt;0,COUNTIF(J2001,"*49*")&gt;0,COUNTIF(I2001,"52*")&gt;0,COUNTIF(J2001,"*52*")&gt;0,COUNTIF(I2001,"55*")&gt;0,COUNTIF(J2001,"*55*")&gt;0,COUNTIF(I2001,"56*")&gt;0,COUNTIF(J2001,"*56*")&gt;0,COUNTIF(I2001,"68*")&gt;0,COUNTIF(J2001,"*68*")&gt;0,COUNTIF(I2001,"78*")&gt;0,COUNTIF(J2001,"*78*")&gt;0,COUNTIF(I2001,"81*")&gt;0,COUNTIF(J2001,"*81*")&gt;0,COUNTIF(I2001,"82*")&gt;0,COUNTIF(J2001,"*82*")&gt;0,COUNTIF(I2001,"64*")&gt;0,COUNTIF(J2001,"*64*")&gt;0,COUNTIF(I2001,"65*")&gt;0,COUNTIF(J2001,"*65*")&gt;0,COUNTIF(I2001,"66*")&gt;0,COUNTIF(J2001,"*66*")&gt;0,COUNTIF(I2001,"61*")&gt;0,COUNTIF(J2001,"*61*")&gt;0,COUNTIF(I2001,"62*")&gt;0,COUNTIF(J2001,"*62*")&gt;0,COUNTIF(I2001,"63*")&gt;0,COUNTIF(J2001,"*63*")&gt;0,COUNTIF(I2001,"85*")&gt;0,COUNTIF(J2001,"*85*")&gt;0,COUNTIF(I2001,"86*")&gt;0,COUNTIF(J2001,"*86*")&gt;0),"Да","Нет"))</f>
        <v/>
      </c>
      <c r="M2001" s="13">
        <f>IF(OR(G2001="",L2001&lt;&gt;"Да"),"",IF(G2001&lt;=100,"До 100",IF(G2001&lt;=200,"До 200",IF(G2001&lt;=500,"До 500","Отдельное КП"))))</f>
        <v/>
      </c>
      <c r="N2001" s="15">
        <f>IF(OR(G2001="",L2001&lt;&gt;"Да"),"",IF(G2001&lt;=100,33600,IF(G2001&lt;=200,62400,IF(G2001&lt;=500,144000,""))))</f>
        <v/>
      </c>
      <c r="O2001" s="16">
        <f>IF(G2001="","",IF(G2001&lt;=15,"1–15",IF(G2001&lt;=30,"16–30",IF(G2001&lt;=50,"31–50",IF(G2001&lt;=100,"51–100",IF(G2001&lt;=150,"101–150",IF(G2001&lt;=200,"151–200",IF(G2001&lt;=500,"201–500","500+"))))))))</f>
        <v/>
      </c>
      <c r="P2001" s="16" t="inlineStr">
        <is>
          <t>Нет совпадения в предоставленной выгрузке ССЧР</t>
        </is>
      </c>
      <c r="Q2001" s="16" t="n"/>
      <c r="R2001" s="16">
        <f>HYPERLINK("https://checko.ru/search?query=3801001629","Чекко: проверить")</f>
        <v/>
      </c>
      <c r="S2001" t="n">
        <v>0</v>
      </c>
    </row>
    <row r="2002" ht="15" customHeight="1" s="24">
      <c r="A2002" s="13" t="n">
        <v>5000094441</v>
      </c>
      <c r="B2002" s="13" t="inlineStr">
        <is>
          <t>Местная администрация с.п.Жанхотеко</t>
        </is>
      </c>
      <c r="C2002" s="13" t="n">
        <v>701006498</v>
      </c>
      <c r="D2002" s="13" t="n"/>
      <c r="E2002" s="13" t="inlineStr">
        <is>
          <t>Не определён</t>
        </is>
      </c>
      <c r="F2002" s="13" t="inlineStr">
        <is>
          <t>701006498</t>
        </is>
      </c>
      <c r="G2002" s="14" t="n"/>
      <c r="H2002" s="14" t="n"/>
      <c r="I2002" s="14" t="n"/>
      <c r="J2002" s="14" t="n"/>
      <c r="K2002" s="13">
        <f>IF(G2002="","",IF(G2002&gt;=22,"Да","Нет"))</f>
        <v/>
      </c>
      <c r="L2002" s="13">
        <f>IF(OR(I2002="",J2002=""),"Не определено",IF(OR(COUNTIF(I2002,"45*")&gt;0,COUNTIF(J2002,"*45*")&gt;0,COUNTIF(I2002,"46*")&gt;0,COUNTIF(J2002,"*46*")&gt;0,COUNTIF(I2002,"47*")&gt;0,COUNTIF(J2002,"*47*")&gt;0,COUNTIF(I2002,"10*")&gt;0,COUNTIF(J2002,"*10*")&gt;0,COUNTIF(I2002,"11*")&gt;0,COUNTIF(J2002,"*11*")&gt;0,COUNTIF(I2002,"12*")&gt;0,COUNTIF(J2002,"*12*")&gt;0,COUNTIF(I2002,"13*")&gt;0,COUNTIF(J2002,"*13*")&gt;0,COUNTIF(I2002,"14*")&gt;0,COUNTIF(J2002,"*14*")&gt;0,COUNTIF(I2002,"15*")&gt;0,COUNTIF(J2002,"*15*")&gt;0,COUNTIF(I2002,"16*")&gt;0,COUNTIF(J2002,"*16*")&gt;0,COUNTIF(I2002,"17*")&gt;0,COUNTIF(J2002,"*17*")&gt;0,COUNTIF(I2002,"18*")&gt;0,COUNTIF(J2002,"*18*")&gt;0,COUNTIF(I2002,"19*")&gt;0,COUNTIF(J2002,"*19*")&gt;0,COUNTIF(I2002,"20*")&gt;0,COUNTIF(J2002,"*20*")&gt;0,COUNTIF(I2002,"21*")&gt;0,COUNTIF(J2002,"*21*")&gt;0,COUNTIF(I2002,"22*")&gt;0,COUNTIF(J2002,"*22*")&gt;0,COUNTIF(I2002,"23*")&gt;0,COUNTIF(J2002,"*23*")&gt;0,COUNTIF(I2002,"24*")&gt;0,COUNTIF(J2002,"*24*")&gt;0,COUNTIF(I2002,"25*")&gt;0,COUNTIF(J2002,"*25*")&gt;0,COUNTIF(I2002,"26*")&gt;0,COUNTIF(J2002,"*26*")&gt;0,COUNTIF(I2002,"27*")&gt;0,COUNTIF(J2002,"*27*")&gt;0,COUNTIF(I2002,"28*")&gt;0,COUNTIF(J2002,"*28*")&gt;0,COUNTIF(I2002,"29*")&gt;0,COUNTIF(J2002,"*29*")&gt;0,COUNTIF(I2002,"30*")&gt;0,COUNTIF(J2002,"*30*")&gt;0,COUNTIF(I2002,"31*")&gt;0,COUNTIF(J2002,"*31*")&gt;0,COUNTIF(I2002,"32*")&gt;0,COUNTIF(J2002,"*32*")&gt;0,COUNTIF(I2002,"33*")&gt;0,COUNTIF(J2002,"*33*")&gt;0,COUNTIF(I2002,"41*")&gt;0,COUNTIF(J2002,"*41*")&gt;0,COUNTIF(I2002,"42*")&gt;0,COUNTIF(J2002,"*42*")&gt;0,COUNTIF(I2002,"43*")&gt;0,COUNTIF(J2002,"*43*")&gt;0,COUNTIF(I2002,"49*")&gt;0,COUNTIF(J2002,"*49*")&gt;0,COUNTIF(I2002,"52*")&gt;0,COUNTIF(J2002,"*52*")&gt;0,COUNTIF(I2002,"55*")&gt;0,COUNTIF(J2002,"*55*")&gt;0,COUNTIF(I2002,"56*")&gt;0,COUNTIF(J2002,"*56*")&gt;0,COUNTIF(I2002,"68*")&gt;0,COUNTIF(J2002,"*68*")&gt;0,COUNTIF(I2002,"78*")&gt;0,COUNTIF(J2002,"*78*")&gt;0,COUNTIF(I2002,"81*")&gt;0,COUNTIF(J2002,"*81*")&gt;0,COUNTIF(I2002,"82*")&gt;0,COUNTIF(J2002,"*82*")&gt;0,COUNTIF(I2002,"64*")&gt;0,COUNTIF(J2002,"*64*")&gt;0,COUNTIF(I2002,"65*")&gt;0,COUNTIF(J2002,"*65*")&gt;0,COUNTIF(I2002,"66*")&gt;0,COUNTIF(J2002,"*66*")&gt;0,COUNTIF(I2002,"61*")&gt;0,COUNTIF(J2002,"*61*")&gt;0,COUNTIF(I2002,"62*")&gt;0,COUNTIF(J2002,"*62*")&gt;0,COUNTIF(I2002,"63*")&gt;0,COUNTIF(J2002,"*63*")&gt;0,COUNTIF(I2002,"85*")&gt;0,COUNTIF(J2002,"*85*")&gt;0,COUNTIF(I2002,"86*")&gt;0,COUNTIF(J2002,"*86*")&gt;0),"Да","Нет"))</f>
        <v/>
      </c>
      <c r="M2002" s="13">
        <f>IF(OR(G2002="",L2002&lt;&gt;"Да"),"",IF(G2002&lt;=100,"До 100",IF(G2002&lt;=200,"До 200",IF(G2002&lt;=500,"До 500","Отдельное КП"))))</f>
        <v/>
      </c>
      <c r="N2002" s="15">
        <f>IF(OR(G2002="",L2002&lt;&gt;"Да"),"",IF(G2002&lt;=100,33600,IF(G2002&lt;=200,62400,IF(G2002&lt;=500,144000,""))))</f>
        <v/>
      </c>
      <c r="O2002" s="16">
        <f>IF(G2002="","",IF(G2002&lt;=15,"1–15",IF(G2002&lt;=30,"16–30",IF(G2002&lt;=50,"31–50",IF(G2002&lt;=100,"51–100",IF(G2002&lt;=150,"101–150",IF(G2002&lt;=200,"151–200",IF(G2002&lt;=500,"201–500","500+"))))))))</f>
        <v/>
      </c>
      <c r="P2002" s="16" t="inlineStr">
        <is>
          <t>Нет совпадения в предоставленной выгрузке ССЧР</t>
        </is>
      </c>
      <c r="Q2002" s="16" t="n"/>
      <c r="R2002" s="16">
        <f>HYPERLINK("https://checko.ru/search?query=3801001629","Чекко: проверить")</f>
        <v/>
      </c>
      <c r="S2002" t="n">
        <v>0</v>
      </c>
    </row>
    <row r="2003" ht="15" customHeight="1" s="24">
      <c r="A2003" s="13" t="n">
        <v>5000094442</v>
      </c>
      <c r="B2003" s="13" t="inlineStr">
        <is>
          <t>МОУ "СОШ им. А.Х. Сижажева" с.п. Псычох</t>
        </is>
      </c>
      <c r="C2003" s="13" t="n">
        <v>701006755</v>
      </c>
      <c r="D2003" s="13" t="n"/>
      <c r="E2003" s="13" t="inlineStr">
        <is>
          <t>Не определён</t>
        </is>
      </c>
      <c r="F2003" s="13" t="inlineStr">
        <is>
          <t>701006755</t>
        </is>
      </c>
      <c r="G2003" s="14" t="n"/>
      <c r="H2003" s="14" t="n"/>
      <c r="I2003" s="14" t="n"/>
      <c r="J2003" s="14" t="n"/>
      <c r="K2003" s="13">
        <f>IF(G2003="","",IF(G2003&gt;=22,"Да","Нет"))</f>
        <v/>
      </c>
      <c r="L2003" s="13">
        <f>IF(OR(I2003="",J2003=""),"Не определено",IF(OR(COUNTIF(I2003,"45*")&gt;0,COUNTIF(J2003,"*45*")&gt;0,COUNTIF(I2003,"46*")&gt;0,COUNTIF(J2003,"*46*")&gt;0,COUNTIF(I2003,"47*")&gt;0,COUNTIF(J2003,"*47*")&gt;0,COUNTIF(I2003,"10*")&gt;0,COUNTIF(J2003,"*10*")&gt;0,COUNTIF(I2003,"11*")&gt;0,COUNTIF(J2003,"*11*")&gt;0,COUNTIF(I2003,"12*")&gt;0,COUNTIF(J2003,"*12*")&gt;0,COUNTIF(I2003,"13*")&gt;0,COUNTIF(J2003,"*13*")&gt;0,COUNTIF(I2003,"14*")&gt;0,COUNTIF(J2003,"*14*")&gt;0,COUNTIF(I2003,"15*")&gt;0,COUNTIF(J2003,"*15*")&gt;0,COUNTIF(I2003,"16*")&gt;0,COUNTIF(J2003,"*16*")&gt;0,COUNTIF(I2003,"17*")&gt;0,COUNTIF(J2003,"*17*")&gt;0,COUNTIF(I2003,"18*")&gt;0,COUNTIF(J2003,"*18*")&gt;0,COUNTIF(I2003,"19*")&gt;0,COUNTIF(J2003,"*19*")&gt;0,COUNTIF(I2003,"20*")&gt;0,COUNTIF(J2003,"*20*")&gt;0,COUNTIF(I2003,"21*")&gt;0,COUNTIF(J2003,"*21*")&gt;0,COUNTIF(I2003,"22*")&gt;0,COUNTIF(J2003,"*22*")&gt;0,COUNTIF(I2003,"23*")&gt;0,COUNTIF(J2003,"*23*")&gt;0,COUNTIF(I2003,"24*")&gt;0,COUNTIF(J2003,"*24*")&gt;0,COUNTIF(I2003,"25*")&gt;0,COUNTIF(J2003,"*25*")&gt;0,COUNTIF(I2003,"26*")&gt;0,COUNTIF(J2003,"*26*")&gt;0,COUNTIF(I2003,"27*")&gt;0,COUNTIF(J2003,"*27*")&gt;0,COUNTIF(I2003,"28*")&gt;0,COUNTIF(J2003,"*28*")&gt;0,COUNTIF(I2003,"29*")&gt;0,COUNTIF(J2003,"*29*")&gt;0,COUNTIF(I2003,"30*")&gt;0,COUNTIF(J2003,"*30*")&gt;0,COUNTIF(I2003,"31*")&gt;0,COUNTIF(J2003,"*31*")&gt;0,COUNTIF(I2003,"32*")&gt;0,COUNTIF(J2003,"*32*")&gt;0,COUNTIF(I2003,"33*")&gt;0,COUNTIF(J2003,"*33*")&gt;0,COUNTIF(I2003,"41*")&gt;0,COUNTIF(J2003,"*41*")&gt;0,COUNTIF(I2003,"42*")&gt;0,COUNTIF(J2003,"*42*")&gt;0,COUNTIF(I2003,"43*")&gt;0,COUNTIF(J2003,"*43*")&gt;0,COUNTIF(I2003,"49*")&gt;0,COUNTIF(J2003,"*49*")&gt;0,COUNTIF(I2003,"52*")&gt;0,COUNTIF(J2003,"*52*")&gt;0,COUNTIF(I2003,"55*")&gt;0,COUNTIF(J2003,"*55*")&gt;0,COUNTIF(I2003,"56*")&gt;0,COUNTIF(J2003,"*56*")&gt;0,COUNTIF(I2003,"68*")&gt;0,COUNTIF(J2003,"*68*")&gt;0,COUNTIF(I2003,"78*")&gt;0,COUNTIF(J2003,"*78*")&gt;0,COUNTIF(I2003,"81*")&gt;0,COUNTIF(J2003,"*81*")&gt;0,COUNTIF(I2003,"82*")&gt;0,COUNTIF(J2003,"*82*")&gt;0,COUNTIF(I2003,"64*")&gt;0,COUNTIF(J2003,"*64*")&gt;0,COUNTIF(I2003,"65*")&gt;0,COUNTIF(J2003,"*65*")&gt;0,COUNTIF(I2003,"66*")&gt;0,COUNTIF(J2003,"*66*")&gt;0,COUNTIF(I2003,"61*")&gt;0,COUNTIF(J2003,"*61*")&gt;0,COUNTIF(I2003,"62*")&gt;0,COUNTIF(J2003,"*62*")&gt;0,COUNTIF(I2003,"63*")&gt;0,COUNTIF(J2003,"*63*")&gt;0,COUNTIF(I2003,"85*")&gt;0,COUNTIF(J2003,"*85*")&gt;0,COUNTIF(I2003,"86*")&gt;0,COUNTIF(J2003,"*86*")&gt;0),"Да","Нет"))</f>
        <v/>
      </c>
      <c r="M2003" s="13">
        <f>IF(OR(G2003="",L2003&lt;&gt;"Да"),"",IF(G2003&lt;=100,"До 100",IF(G2003&lt;=200,"До 200",IF(G2003&lt;=500,"До 500","Отдельное КП"))))</f>
        <v/>
      </c>
      <c r="N2003" s="15">
        <f>IF(OR(G2003="",L2003&lt;&gt;"Да"),"",IF(G2003&lt;=100,33600,IF(G2003&lt;=200,62400,IF(G2003&lt;=500,144000,""))))</f>
        <v/>
      </c>
      <c r="O2003" s="16">
        <f>IF(G2003="","",IF(G2003&lt;=15,"1–15",IF(G2003&lt;=30,"16–30",IF(G2003&lt;=50,"31–50",IF(G2003&lt;=100,"51–100",IF(G2003&lt;=150,"101–150",IF(G2003&lt;=200,"151–200",IF(G2003&lt;=500,"201–500","500+"))))))))</f>
        <v/>
      </c>
      <c r="P2003" s="16" t="inlineStr">
        <is>
          <t>Нет совпадения в предоставленной выгрузке ССЧР</t>
        </is>
      </c>
      <c r="Q2003" s="16" t="n"/>
      <c r="R2003" s="16">
        <f>HYPERLINK("https://checko.ru/search?query=3801001629","Чекко: проверить")</f>
        <v/>
      </c>
      <c r="S2003" t="n">
        <v>0</v>
      </c>
    </row>
    <row r="2004" ht="15" customHeight="1" s="24">
      <c r="A2004" s="13" t="n">
        <v>5000094444</v>
      </c>
      <c r="B2004" s="13" t="inlineStr">
        <is>
          <t>МКОУ "Прогимназия №2 г. Баксана"</t>
        </is>
      </c>
      <c r="C2004" s="13" t="n">
        <v>701009097</v>
      </c>
      <c r="D2004" s="13" t="n"/>
      <c r="E2004" s="13" t="inlineStr">
        <is>
          <t>Не определён</t>
        </is>
      </c>
      <c r="F2004" s="13" t="inlineStr">
        <is>
          <t>701009097</t>
        </is>
      </c>
      <c r="G2004" s="14" t="n"/>
      <c r="H2004" s="14" t="n"/>
      <c r="I2004" s="14" t="n"/>
      <c r="J2004" s="14" t="n"/>
      <c r="K2004" s="13">
        <f>IF(G2004="","",IF(G2004&gt;=22,"Да","Нет"))</f>
        <v/>
      </c>
      <c r="L2004" s="13">
        <f>IF(OR(I2004="",J2004=""),"Не определено",IF(OR(COUNTIF(I2004,"45*")&gt;0,COUNTIF(J2004,"*45*")&gt;0,COUNTIF(I2004,"46*")&gt;0,COUNTIF(J2004,"*46*")&gt;0,COUNTIF(I2004,"47*")&gt;0,COUNTIF(J2004,"*47*")&gt;0,COUNTIF(I2004,"10*")&gt;0,COUNTIF(J2004,"*10*")&gt;0,COUNTIF(I2004,"11*")&gt;0,COUNTIF(J2004,"*11*")&gt;0,COUNTIF(I2004,"12*")&gt;0,COUNTIF(J2004,"*12*")&gt;0,COUNTIF(I2004,"13*")&gt;0,COUNTIF(J2004,"*13*")&gt;0,COUNTIF(I2004,"14*")&gt;0,COUNTIF(J2004,"*14*")&gt;0,COUNTIF(I2004,"15*")&gt;0,COUNTIF(J2004,"*15*")&gt;0,COUNTIF(I2004,"16*")&gt;0,COUNTIF(J2004,"*16*")&gt;0,COUNTIF(I2004,"17*")&gt;0,COUNTIF(J2004,"*17*")&gt;0,COUNTIF(I2004,"18*")&gt;0,COUNTIF(J2004,"*18*")&gt;0,COUNTIF(I2004,"19*")&gt;0,COUNTIF(J2004,"*19*")&gt;0,COUNTIF(I2004,"20*")&gt;0,COUNTIF(J2004,"*20*")&gt;0,COUNTIF(I2004,"21*")&gt;0,COUNTIF(J2004,"*21*")&gt;0,COUNTIF(I2004,"22*")&gt;0,COUNTIF(J2004,"*22*")&gt;0,COUNTIF(I2004,"23*")&gt;0,COUNTIF(J2004,"*23*")&gt;0,COUNTIF(I2004,"24*")&gt;0,COUNTIF(J2004,"*24*")&gt;0,COUNTIF(I2004,"25*")&gt;0,COUNTIF(J2004,"*25*")&gt;0,COUNTIF(I2004,"26*")&gt;0,COUNTIF(J2004,"*26*")&gt;0,COUNTIF(I2004,"27*")&gt;0,COUNTIF(J2004,"*27*")&gt;0,COUNTIF(I2004,"28*")&gt;0,COUNTIF(J2004,"*28*")&gt;0,COUNTIF(I2004,"29*")&gt;0,COUNTIF(J2004,"*29*")&gt;0,COUNTIF(I2004,"30*")&gt;0,COUNTIF(J2004,"*30*")&gt;0,COUNTIF(I2004,"31*")&gt;0,COUNTIF(J2004,"*31*")&gt;0,COUNTIF(I2004,"32*")&gt;0,COUNTIF(J2004,"*32*")&gt;0,COUNTIF(I2004,"33*")&gt;0,COUNTIF(J2004,"*33*")&gt;0,COUNTIF(I2004,"41*")&gt;0,COUNTIF(J2004,"*41*")&gt;0,COUNTIF(I2004,"42*")&gt;0,COUNTIF(J2004,"*42*")&gt;0,COUNTIF(I2004,"43*")&gt;0,COUNTIF(J2004,"*43*")&gt;0,COUNTIF(I2004,"49*")&gt;0,COUNTIF(J2004,"*49*")&gt;0,COUNTIF(I2004,"52*")&gt;0,COUNTIF(J2004,"*52*")&gt;0,COUNTIF(I2004,"55*")&gt;0,COUNTIF(J2004,"*55*")&gt;0,COUNTIF(I2004,"56*")&gt;0,COUNTIF(J2004,"*56*")&gt;0,COUNTIF(I2004,"68*")&gt;0,COUNTIF(J2004,"*68*")&gt;0,COUNTIF(I2004,"78*")&gt;0,COUNTIF(J2004,"*78*")&gt;0,COUNTIF(I2004,"81*")&gt;0,COUNTIF(J2004,"*81*")&gt;0,COUNTIF(I2004,"82*")&gt;0,COUNTIF(J2004,"*82*")&gt;0,COUNTIF(I2004,"64*")&gt;0,COUNTIF(J2004,"*64*")&gt;0,COUNTIF(I2004,"65*")&gt;0,COUNTIF(J2004,"*65*")&gt;0,COUNTIF(I2004,"66*")&gt;0,COUNTIF(J2004,"*66*")&gt;0,COUNTIF(I2004,"61*")&gt;0,COUNTIF(J2004,"*61*")&gt;0,COUNTIF(I2004,"62*")&gt;0,COUNTIF(J2004,"*62*")&gt;0,COUNTIF(I2004,"63*")&gt;0,COUNTIF(J2004,"*63*")&gt;0,COUNTIF(I2004,"85*")&gt;0,COUNTIF(J2004,"*85*")&gt;0,COUNTIF(I2004,"86*")&gt;0,COUNTIF(J2004,"*86*")&gt;0),"Да","Нет"))</f>
        <v/>
      </c>
      <c r="M2004" s="13">
        <f>IF(OR(G2004="",L2004&lt;&gt;"Да"),"",IF(G2004&lt;=100,"До 100",IF(G2004&lt;=200,"До 200",IF(G2004&lt;=500,"До 500","Отдельное КП"))))</f>
        <v/>
      </c>
      <c r="N2004" s="15">
        <f>IF(OR(G2004="",L2004&lt;&gt;"Да"),"",IF(G2004&lt;=100,33600,IF(G2004&lt;=200,62400,IF(G2004&lt;=500,144000,""))))</f>
        <v/>
      </c>
      <c r="O2004" s="16">
        <f>IF(G2004="","",IF(G2004&lt;=15,"1–15",IF(G2004&lt;=30,"16–30",IF(G2004&lt;=50,"31–50",IF(G2004&lt;=100,"51–100",IF(G2004&lt;=150,"101–150",IF(G2004&lt;=200,"151–200",IF(G2004&lt;=500,"201–500","500+"))))))))</f>
        <v/>
      </c>
      <c r="P2004" s="16" t="inlineStr">
        <is>
          <t>Нет совпадения в предоставленной выгрузке ССЧР</t>
        </is>
      </c>
      <c r="Q2004" s="16" t="n"/>
      <c r="R2004" s="16">
        <f>HYPERLINK("https://checko.ru/search?query=3801001629","Чекко: проверить")</f>
        <v/>
      </c>
      <c r="S2004" t="n">
        <v>0</v>
      </c>
    </row>
    <row r="2005" ht="15" customHeight="1" s="24">
      <c r="A2005" s="13" t="n">
        <v>5000094445</v>
      </c>
      <c r="B2005" s="13" t="inlineStr">
        <is>
          <t>МКОУ СОШ с.п. Кременчуг-Константиновское</t>
        </is>
      </c>
      <c r="C2005" s="13" t="n">
        <v>701009160</v>
      </c>
      <c r="D2005" s="13" t="n"/>
      <c r="E2005" s="13" t="inlineStr">
        <is>
          <t>Не определён</t>
        </is>
      </c>
      <c r="F2005" s="13" t="inlineStr">
        <is>
          <t>701009160</t>
        </is>
      </c>
      <c r="G2005" s="14" t="n"/>
      <c r="H2005" s="14" t="n"/>
      <c r="I2005" s="14" t="n"/>
      <c r="J2005" s="14" t="n"/>
      <c r="K2005" s="13">
        <f>IF(G2005="","",IF(G2005&gt;=22,"Да","Нет"))</f>
        <v/>
      </c>
      <c r="L2005" s="13">
        <f>IF(OR(I2005="",J2005=""),"Не определено",IF(OR(COUNTIF(I2005,"45*")&gt;0,COUNTIF(J2005,"*45*")&gt;0,COUNTIF(I2005,"46*")&gt;0,COUNTIF(J2005,"*46*")&gt;0,COUNTIF(I2005,"47*")&gt;0,COUNTIF(J2005,"*47*")&gt;0,COUNTIF(I2005,"10*")&gt;0,COUNTIF(J2005,"*10*")&gt;0,COUNTIF(I2005,"11*")&gt;0,COUNTIF(J2005,"*11*")&gt;0,COUNTIF(I2005,"12*")&gt;0,COUNTIF(J2005,"*12*")&gt;0,COUNTIF(I2005,"13*")&gt;0,COUNTIF(J2005,"*13*")&gt;0,COUNTIF(I2005,"14*")&gt;0,COUNTIF(J2005,"*14*")&gt;0,COUNTIF(I2005,"15*")&gt;0,COUNTIF(J2005,"*15*")&gt;0,COUNTIF(I2005,"16*")&gt;0,COUNTIF(J2005,"*16*")&gt;0,COUNTIF(I2005,"17*")&gt;0,COUNTIF(J2005,"*17*")&gt;0,COUNTIF(I2005,"18*")&gt;0,COUNTIF(J2005,"*18*")&gt;0,COUNTIF(I2005,"19*")&gt;0,COUNTIF(J2005,"*19*")&gt;0,COUNTIF(I2005,"20*")&gt;0,COUNTIF(J2005,"*20*")&gt;0,COUNTIF(I2005,"21*")&gt;0,COUNTIF(J2005,"*21*")&gt;0,COUNTIF(I2005,"22*")&gt;0,COUNTIF(J2005,"*22*")&gt;0,COUNTIF(I2005,"23*")&gt;0,COUNTIF(J2005,"*23*")&gt;0,COUNTIF(I2005,"24*")&gt;0,COUNTIF(J2005,"*24*")&gt;0,COUNTIF(I2005,"25*")&gt;0,COUNTIF(J2005,"*25*")&gt;0,COUNTIF(I2005,"26*")&gt;0,COUNTIF(J2005,"*26*")&gt;0,COUNTIF(I2005,"27*")&gt;0,COUNTIF(J2005,"*27*")&gt;0,COUNTIF(I2005,"28*")&gt;0,COUNTIF(J2005,"*28*")&gt;0,COUNTIF(I2005,"29*")&gt;0,COUNTIF(J2005,"*29*")&gt;0,COUNTIF(I2005,"30*")&gt;0,COUNTIF(J2005,"*30*")&gt;0,COUNTIF(I2005,"31*")&gt;0,COUNTIF(J2005,"*31*")&gt;0,COUNTIF(I2005,"32*")&gt;0,COUNTIF(J2005,"*32*")&gt;0,COUNTIF(I2005,"33*")&gt;0,COUNTIF(J2005,"*33*")&gt;0,COUNTIF(I2005,"41*")&gt;0,COUNTIF(J2005,"*41*")&gt;0,COUNTIF(I2005,"42*")&gt;0,COUNTIF(J2005,"*42*")&gt;0,COUNTIF(I2005,"43*")&gt;0,COUNTIF(J2005,"*43*")&gt;0,COUNTIF(I2005,"49*")&gt;0,COUNTIF(J2005,"*49*")&gt;0,COUNTIF(I2005,"52*")&gt;0,COUNTIF(J2005,"*52*")&gt;0,COUNTIF(I2005,"55*")&gt;0,COUNTIF(J2005,"*55*")&gt;0,COUNTIF(I2005,"56*")&gt;0,COUNTIF(J2005,"*56*")&gt;0,COUNTIF(I2005,"68*")&gt;0,COUNTIF(J2005,"*68*")&gt;0,COUNTIF(I2005,"78*")&gt;0,COUNTIF(J2005,"*78*")&gt;0,COUNTIF(I2005,"81*")&gt;0,COUNTIF(J2005,"*81*")&gt;0,COUNTIF(I2005,"82*")&gt;0,COUNTIF(J2005,"*82*")&gt;0,COUNTIF(I2005,"64*")&gt;0,COUNTIF(J2005,"*64*")&gt;0,COUNTIF(I2005,"65*")&gt;0,COUNTIF(J2005,"*65*")&gt;0,COUNTIF(I2005,"66*")&gt;0,COUNTIF(J2005,"*66*")&gt;0,COUNTIF(I2005,"61*")&gt;0,COUNTIF(J2005,"*61*")&gt;0,COUNTIF(I2005,"62*")&gt;0,COUNTIF(J2005,"*62*")&gt;0,COUNTIF(I2005,"63*")&gt;0,COUNTIF(J2005,"*63*")&gt;0,COUNTIF(I2005,"85*")&gt;0,COUNTIF(J2005,"*85*")&gt;0,COUNTIF(I2005,"86*")&gt;0,COUNTIF(J2005,"*86*")&gt;0),"Да","Нет"))</f>
        <v/>
      </c>
      <c r="M2005" s="13">
        <f>IF(OR(G2005="",L2005&lt;&gt;"Да"),"",IF(G2005&lt;=100,"До 100",IF(G2005&lt;=200,"До 200",IF(G2005&lt;=500,"До 500","Отдельное КП"))))</f>
        <v/>
      </c>
      <c r="N2005" s="15">
        <f>IF(OR(G2005="",L2005&lt;&gt;"Да"),"",IF(G2005&lt;=100,33600,IF(G2005&lt;=200,62400,IF(G2005&lt;=500,144000,""))))</f>
        <v/>
      </c>
      <c r="O2005" s="16">
        <f>IF(G2005="","",IF(G2005&lt;=15,"1–15",IF(G2005&lt;=30,"16–30",IF(G2005&lt;=50,"31–50",IF(G2005&lt;=100,"51–100",IF(G2005&lt;=150,"101–150",IF(G2005&lt;=200,"151–200",IF(G2005&lt;=500,"201–500","500+"))))))))</f>
        <v/>
      </c>
      <c r="P2005" s="16" t="inlineStr">
        <is>
          <t>Нет совпадения в предоставленной выгрузке ССЧР</t>
        </is>
      </c>
      <c r="Q2005" s="16" t="n"/>
      <c r="R2005" s="16">
        <f>HYPERLINK("https://checko.ru/search?query=3801001629","Чекко: проверить")</f>
        <v/>
      </c>
      <c r="S2005" t="n">
        <v>0</v>
      </c>
    </row>
    <row r="2006" ht="15" customHeight="1" s="24">
      <c r="A2006" s="13" t="n">
        <v>5000094446</v>
      </c>
      <c r="B2006" s="13" t="inlineStr">
        <is>
          <t>МКУДО " ДШИ № 1 г. Баксан КБР"</t>
        </is>
      </c>
      <c r="C2006" s="13" t="n">
        <v>701009386</v>
      </c>
      <c r="D2006" s="13" t="n"/>
      <c r="E2006" s="13" t="inlineStr">
        <is>
          <t>Не определён</t>
        </is>
      </c>
      <c r="F2006" s="13" t="inlineStr">
        <is>
          <t>701009386</t>
        </is>
      </c>
      <c r="G2006" s="14" t="n"/>
      <c r="H2006" s="14" t="n"/>
      <c r="I2006" s="14" t="n"/>
      <c r="J2006" s="14" t="n"/>
      <c r="K2006" s="13">
        <f>IF(G2006="","",IF(G2006&gt;=22,"Да","Нет"))</f>
        <v/>
      </c>
      <c r="L2006" s="13">
        <f>IF(OR(I2006="",J2006=""),"Не определено",IF(OR(COUNTIF(I2006,"45*")&gt;0,COUNTIF(J2006,"*45*")&gt;0,COUNTIF(I2006,"46*")&gt;0,COUNTIF(J2006,"*46*")&gt;0,COUNTIF(I2006,"47*")&gt;0,COUNTIF(J2006,"*47*")&gt;0,COUNTIF(I2006,"10*")&gt;0,COUNTIF(J2006,"*10*")&gt;0,COUNTIF(I2006,"11*")&gt;0,COUNTIF(J2006,"*11*")&gt;0,COUNTIF(I2006,"12*")&gt;0,COUNTIF(J2006,"*12*")&gt;0,COUNTIF(I2006,"13*")&gt;0,COUNTIF(J2006,"*13*")&gt;0,COUNTIF(I2006,"14*")&gt;0,COUNTIF(J2006,"*14*")&gt;0,COUNTIF(I2006,"15*")&gt;0,COUNTIF(J2006,"*15*")&gt;0,COUNTIF(I2006,"16*")&gt;0,COUNTIF(J2006,"*16*")&gt;0,COUNTIF(I2006,"17*")&gt;0,COUNTIF(J2006,"*17*")&gt;0,COUNTIF(I2006,"18*")&gt;0,COUNTIF(J2006,"*18*")&gt;0,COUNTIF(I2006,"19*")&gt;0,COUNTIF(J2006,"*19*")&gt;0,COUNTIF(I2006,"20*")&gt;0,COUNTIF(J2006,"*20*")&gt;0,COUNTIF(I2006,"21*")&gt;0,COUNTIF(J2006,"*21*")&gt;0,COUNTIF(I2006,"22*")&gt;0,COUNTIF(J2006,"*22*")&gt;0,COUNTIF(I2006,"23*")&gt;0,COUNTIF(J2006,"*23*")&gt;0,COUNTIF(I2006,"24*")&gt;0,COUNTIF(J2006,"*24*")&gt;0,COUNTIF(I2006,"25*")&gt;0,COUNTIF(J2006,"*25*")&gt;0,COUNTIF(I2006,"26*")&gt;0,COUNTIF(J2006,"*26*")&gt;0,COUNTIF(I2006,"27*")&gt;0,COUNTIF(J2006,"*27*")&gt;0,COUNTIF(I2006,"28*")&gt;0,COUNTIF(J2006,"*28*")&gt;0,COUNTIF(I2006,"29*")&gt;0,COUNTIF(J2006,"*29*")&gt;0,COUNTIF(I2006,"30*")&gt;0,COUNTIF(J2006,"*30*")&gt;0,COUNTIF(I2006,"31*")&gt;0,COUNTIF(J2006,"*31*")&gt;0,COUNTIF(I2006,"32*")&gt;0,COUNTIF(J2006,"*32*")&gt;0,COUNTIF(I2006,"33*")&gt;0,COUNTIF(J2006,"*33*")&gt;0,COUNTIF(I2006,"41*")&gt;0,COUNTIF(J2006,"*41*")&gt;0,COUNTIF(I2006,"42*")&gt;0,COUNTIF(J2006,"*42*")&gt;0,COUNTIF(I2006,"43*")&gt;0,COUNTIF(J2006,"*43*")&gt;0,COUNTIF(I2006,"49*")&gt;0,COUNTIF(J2006,"*49*")&gt;0,COUNTIF(I2006,"52*")&gt;0,COUNTIF(J2006,"*52*")&gt;0,COUNTIF(I2006,"55*")&gt;0,COUNTIF(J2006,"*55*")&gt;0,COUNTIF(I2006,"56*")&gt;0,COUNTIF(J2006,"*56*")&gt;0,COUNTIF(I2006,"68*")&gt;0,COUNTIF(J2006,"*68*")&gt;0,COUNTIF(I2006,"78*")&gt;0,COUNTIF(J2006,"*78*")&gt;0,COUNTIF(I2006,"81*")&gt;0,COUNTIF(J2006,"*81*")&gt;0,COUNTIF(I2006,"82*")&gt;0,COUNTIF(J2006,"*82*")&gt;0,COUNTIF(I2006,"64*")&gt;0,COUNTIF(J2006,"*64*")&gt;0,COUNTIF(I2006,"65*")&gt;0,COUNTIF(J2006,"*65*")&gt;0,COUNTIF(I2006,"66*")&gt;0,COUNTIF(J2006,"*66*")&gt;0,COUNTIF(I2006,"61*")&gt;0,COUNTIF(J2006,"*61*")&gt;0,COUNTIF(I2006,"62*")&gt;0,COUNTIF(J2006,"*62*")&gt;0,COUNTIF(I2006,"63*")&gt;0,COUNTIF(J2006,"*63*")&gt;0,COUNTIF(I2006,"85*")&gt;0,COUNTIF(J2006,"*85*")&gt;0,COUNTIF(I2006,"86*")&gt;0,COUNTIF(J2006,"*86*")&gt;0),"Да","Нет"))</f>
        <v/>
      </c>
      <c r="M2006" s="13">
        <f>IF(OR(G2006="",L2006&lt;&gt;"Да"),"",IF(G2006&lt;=100,"До 100",IF(G2006&lt;=200,"До 200",IF(G2006&lt;=500,"До 500","Отдельное КП"))))</f>
        <v/>
      </c>
      <c r="N2006" s="15">
        <f>IF(OR(G2006="",L2006&lt;&gt;"Да"),"",IF(G2006&lt;=100,33600,IF(G2006&lt;=200,62400,IF(G2006&lt;=500,144000,""))))</f>
        <v/>
      </c>
      <c r="O2006" s="16">
        <f>IF(G2006="","",IF(G2006&lt;=15,"1–15",IF(G2006&lt;=30,"16–30",IF(G2006&lt;=50,"31–50",IF(G2006&lt;=100,"51–100",IF(G2006&lt;=150,"101–150",IF(G2006&lt;=200,"151–200",IF(G2006&lt;=500,"201–500","500+"))))))))</f>
        <v/>
      </c>
      <c r="P2006" s="16" t="inlineStr">
        <is>
          <t>Нет совпадения в предоставленной выгрузке ССЧР</t>
        </is>
      </c>
      <c r="Q2006" s="16" t="n"/>
      <c r="R2006" s="16">
        <f>HYPERLINK("https://checko.ru/search?query=3801001629","Чекко: проверить")</f>
        <v/>
      </c>
      <c r="S2006" t="n">
        <v>0</v>
      </c>
    </row>
    <row r="2007" ht="15" customHeight="1" s="24">
      <c r="A2007" s="13" t="n">
        <v>5000094447</v>
      </c>
      <c r="B2007" s="13" t="inlineStr">
        <is>
          <t>МКОУ "Прогимназия №4 г. Баксана"</t>
        </is>
      </c>
      <c r="C2007" s="13" t="n">
        <v>701009509</v>
      </c>
      <c r="D2007" s="13" t="n"/>
      <c r="E2007" s="13" t="inlineStr">
        <is>
          <t>Не определён</t>
        </is>
      </c>
      <c r="F2007" s="13" t="inlineStr">
        <is>
          <t>701009509</t>
        </is>
      </c>
      <c r="G2007" s="14" t="n"/>
      <c r="H2007" s="14" t="n"/>
      <c r="I2007" s="14" t="n"/>
      <c r="J2007" s="14" t="n"/>
      <c r="K2007" s="13">
        <f>IF(G2007="","",IF(G2007&gt;=22,"Да","Нет"))</f>
        <v/>
      </c>
      <c r="L2007" s="13">
        <f>IF(OR(I2007="",J2007=""),"Не определено",IF(OR(COUNTIF(I2007,"45*")&gt;0,COUNTIF(J2007,"*45*")&gt;0,COUNTIF(I2007,"46*")&gt;0,COUNTIF(J2007,"*46*")&gt;0,COUNTIF(I2007,"47*")&gt;0,COUNTIF(J2007,"*47*")&gt;0,COUNTIF(I2007,"10*")&gt;0,COUNTIF(J2007,"*10*")&gt;0,COUNTIF(I2007,"11*")&gt;0,COUNTIF(J2007,"*11*")&gt;0,COUNTIF(I2007,"12*")&gt;0,COUNTIF(J2007,"*12*")&gt;0,COUNTIF(I2007,"13*")&gt;0,COUNTIF(J2007,"*13*")&gt;0,COUNTIF(I2007,"14*")&gt;0,COUNTIF(J2007,"*14*")&gt;0,COUNTIF(I2007,"15*")&gt;0,COUNTIF(J2007,"*15*")&gt;0,COUNTIF(I2007,"16*")&gt;0,COUNTIF(J2007,"*16*")&gt;0,COUNTIF(I2007,"17*")&gt;0,COUNTIF(J2007,"*17*")&gt;0,COUNTIF(I2007,"18*")&gt;0,COUNTIF(J2007,"*18*")&gt;0,COUNTIF(I2007,"19*")&gt;0,COUNTIF(J2007,"*19*")&gt;0,COUNTIF(I2007,"20*")&gt;0,COUNTIF(J2007,"*20*")&gt;0,COUNTIF(I2007,"21*")&gt;0,COUNTIF(J2007,"*21*")&gt;0,COUNTIF(I2007,"22*")&gt;0,COUNTIF(J2007,"*22*")&gt;0,COUNTIF(I2007,"23*")&gt;0,COUNTIF(J2007,"*23*")&gt;0,COUNTIF(I2007,"24*")&gt;0,COUNTIF(J2007,"*24*")&gt;0,COUNTIF(I2007,"25*")&gt;0,COUNTIF(J2007,"*25*")&gt;0,COUNTIF(I2007,"26*")&gt;0,COUNTIF(J2007,"*26*")&gt;0,COUNTIF(I2007,"27*")&gt;0,COUNTIF(J2007,"*27*")&gt;0,COUNTIF(I2007,"28*")&gt;0,COUNTIF(J2007,"*28*")&gt;0,COUNTIF(I2007,"29*")&gt;0,COUNTIF(J2007,"*29*")&gt;0,COUNTIF(I2007,"30*")&gt;0,COUNTIF(J2007,"*30*")&gt;0,COUNTIF(I2007,"31*")&gt;0,COUNTIF(J2007,"*31*")&gt;0,COUNTIF(I2007,"32*")&gt;0,COUNTIF(J2007,"*32*")&gt;0,COUNTIF(I2007,"33*")&gt;0,COUNTIF(J2007,"*33*")&gt;0,COUNTIF(I2007,"41*")&gt;0,COUNTIF(J2007,"*41*")&gt;0,COUNTIF(I2007,"42*")&gt;0,COUNTIF(J2007,"*42*")&gt;0,COUNTIF(I2007,"43*")&gt;0,COUNTIF(J2007,"*43*")&gt;0,COUNTIF(I2007,"49*")&gt;0,COUNTIF(J2007,"*49*")&gt;0,COUNTIF(I2007,"52*")&gt;0,COUNTIF(J2007,"*52*")&gt;0,COUNTIF(I2007,"55*")&gt;0,COUNTIF(J2007,"*55*")&gt;0,COUNTIF(I2007,"56*")&gt;0,COUNTIF(J2007,"*56*")&gt;0,COUNTIF(I2007,"68*")&gt;0,COUNTIF(J2007,"*68*")&gt;0,COUNTIF(I2007,"78*")&gt;0,COUNTIF(J2007,"*78*")&gt;0,COUNTIF(I2007,"81*")&gt;0,COUNTIF(J2007,"*81*")&gt;0,COUNTIF(I2007,"82*")&gt;0,COUNTIF(J2007,"*82*")&gt;0,COUNTIF(I2007,"64*")&gt;0,COUNTIF(J2007,"*64*")&gt;0,COUNTIF(I2007,"65*")&gt;0,COUNTIF(J2007,"*65*")&gt;0,COUNTIF(I2007,"66*")&gt;0,COUNTIF(J2007,"*66*")&gt;0,COUNTIF(I2007,"61*")&gt;0,COUNTIF(J2007,"*61*")&gt;0,COUNTIF(I2007,"62*")&gt;0,COUNTIF(J2007,"*62*")&gt;0,COUNTIF(I2007,"63*")&gt;0,COUNTIF(J2007,"*63*")&gt;0,COUNTIF(I2007,"85*")&gt;0,COUNTIF(J2007,"*85*")&gt;0,COUNTIF(I2007,"86*")&gt;0,COUNTIF(J2007,"*86*")&gt;0),"Да","Нет"))</f>
        <v/>
      </c>
      <c r="M2007" s="13">
        <f>IF(OR(G2007="",L2007&lt;&gt;"Да"),"",IF(G2007&lt;=100,"До 100",IF(G2007&lt;=200,"До 200",IF(G2007&lt;=500,"До 500","Отдельное КП"))))</f>
        <v/>
      </c>
      <c r="N2007" s="15">
        <f>IF(OR(G2007="",L2007&lt;&gt;"Да"),"",IF(G2007&lt;=100,33600,IF(G2007&lt;=200,62400,IF(G2007&lt;=500,144000,""))))</f>
        <v/>
      </c>
      <c r="O2007" s="16">
        <f>IF(G2007="","",IF(G2007&lt;=15,"1–15",IF(G2007&lt;=30,"16–30",IF(G2007&lt;=50,"31–50",IF(G2007&lt;=100,"51–100",IF(G2007&lt;=150,"101–150",IF(G2007&lt;=200,"151–200",IF(G2007&lt;=500,"201–500","500+"))))))))</f>
        <v/>
      </c>
      <c r="P2007" s="16" t="inlineStr">
        <is>
          <t>Нет совпадения в предоставленной выгрузке ССЧР</t>
        </is>
      </c>
      <c r="Q2007" s="16" t="n"/>
      <c r="R2007" s="16">
        <f>HYPERLINK("https://checko.ru/search?query=3801001629","Чекко: проверить")</f>
        <v/>
      </c>
      <c r="S2007" t="n">
        <v>0</v>
      </c>
    </row>
    <row r="2008" ht="15" customHeight="1" s="24">
      <c r="A2008" s="13" t="n">
        <v>5000094448</v>
      </c>
      <c r="B2008" s="13" t="inlineStr">
        <is>
          <t>МКУ ДО "ЦДТ г.о.Баксан"</t>
        </is>
      </c>
      <c r="C2008" s="13" t="n">
        <v>701009788</v>
      </c>
      <c r="D2008" s="13" t="n"/>
      <c r="E2008" s="13" t="inlineStr">
        <is>
          <t>Не определён</t>
        </is>
      </c>
      <c r="F2008" s="13" t="inlineStr">
        <is>
          <t>701009788</t>
        </is>
      </c>
      <c r="G2008" s="14" t="n"/>
      <c r="H2008" s="14" t="n"/>
      <c r="I2008" s="14" t="n"/>
      <c r="J2008" s="14" t="n"/>
      <c r="K2008" s="13">
        <f>IF(G2008="","",IF(G2008&gt;=22,"Да","Нет"))</f>
        <v/>
      </c>
      <c r="L2008" s="13">
        <f>IF(OR(I2008="",J2008=""),"Не определено",IF(OR(COUNTIF(I2008,"45*")&gt;0,COUNTIF(J2008,"*45*")&gt;0,COUNTIF(I2008,"46*")&gt;0,COUNTIF(J2008,"*46*")&gt;0,COUNTIF(I2008,"47*")&gt;0,COUNTIF(J2008,"*47*")&gt;0,COUNTIF(I2008,"10*")&gt;0,COUNTIF(J2008,"*10*")&gt;0,COUNTIF(I2008,"11*")&gt;0,COUNTIF(J2008,"*11*")&gt;0,COUNTIF(I2008,"12*")&gt;0,COUNTIF(J2008,"*12*")&gt;0,COUNTIF(I2008,"13*")&gt;0,COUNTIF(J2008,"*13*")&gt;0,COUNTIF(I2008,"14*")&gt;0,COUNTIF(J2008,"*14*")&gt;0,COUNTIF(I2008,"15*")&gt;0,COUNTIF(J2008,"*15*")&gt;0,COUNTIF(I2008,"16*")&gt;0,COUNTIF(J2008,"*16*")&gt;0,COUNTIF(I2008,"17*")&gt;0,COUNTIF(J2008,"*17*")&gt;0,COUNTIF(I2008,"18*")&gt;0,COUNTIF(J2008,"*18*")&gt;0,COUNTIF(I2008,"19*")&gt;0,COUNTIF(J2008,"*19*")&gt;0,COUNTIF(I2008,"20*")&gt;0,COUNTIF(J2008,"*20*")&gt;0,COUNTIF(I2008,"21*")&gt;0,COUNTIF(J2008,"*21*")&gt;0,COUNTIF(I2008,"22*")&gt;0,COUNTIF(J2008,"*22*")&gt;0,COUNTIF(I2008,"23*")&gt;0,COUNTIF(J2008,"*23*")&gt;0,COUNTIF(I2008,"24*")&gt;0,COUNTIF(J2008,"*24*")&gt;0,COUNTIF(I2008,"25*")&gt;0,COUNTIF(J2008,"*25*")&gt;0,COUNTIF(I2008,"26*")&gt;0,COUNTIF(J2008,"*26*")&gt;0,COUNTIF(I2008,"27*")&gt;0,COUNTIF(J2008,"*27*")&gt;0,COUNTIF(I2008,"28*")&gt;0,COUNTIF(J2008,"*28*")&gt;0,COUNTIF(I2008,"29*")&gt;0,COUNTIF(J2008,"*29*")&gt;0,COUNTIF(I2008,"30*")&gt;0,COUNTIF(J2008,"*30*")&gt;0,COUNTIF(I2008,"31*")&gt;0,COUNTIF(J2008,"*31*")&gt;0,COUNTIF(I2008,"32*")&gt;0,COUNTIF(J2008,"*32*")&gt;0,COUNTIF(I2008,"33*")&gt;0,COUNTIF(J2008,"*33*")&gt;0,COUNTIF(I2008,"41*")&gt;0,COUNTIF(J2008,"*41*")&gt;0,COUNTIF(I2008,"42*")&gt;0,COUNTIF(J2008,"*42*")&gt;0,COUNTIF(I2008,"43*")&gt;0,COUNTIF(J2008,"*43*")&gt;0,COUNTIF(I2008,"49*")&gt;0,COUNTIF(J2008,"*49*")&gt;0,COUNTIF(I2008,"52*")&gt;0,COUNTIF(J2008,"*52*")&gt;0,COUNTIF(I2008,"55*")&gt;0,COUNTIF(J2008,"*55*")&gt;0,COUNTIF(I2008,"56*")&gt;0,COUNTIF(J2008,"*56*")&gt;0,COUNTIF(I2008,"68*")&gt;0,COUNTIF(J2008,"*68*")&gt;0,COUNTIF(I2008,"78*")&gt;0,COUNTIF(J2008,"*78*")&gt;0,COUNTIF(I2008,"81*")&gt;0,COUNTIF(J2008,"*81*")&gt;0,COUNTIF(I2008,"82*")&gt;0,COUNTIF(J2008,"*82*")&gt;0,COUNTIF(I2008,"64*")&gt;0,COUNTIF(J2008,"*64*")&gt;0,COUNTIF(I2008,"65*")&gt;0,COUNTIF(J2008,"*65*")&gt;0,COUNTIF(I2008,"66*")&gt;0,COUNTIF(J2008,"*66*")&gt;0,COUNTIF(I2008,"61*")&gt;0,COUNTIF(J2008,"*61*")&gt;0,COUNTIF(I2008,"62*")&gt;0,COUNTIF(J2008,"*62*")&gt;0,COUNTIF(I2008,"63*")&gt;0,COUNTIF(J2008,"*63*")&gt;0,COUNTIF(I2008,"85*")&gt;0,COUNTIF(J2008,"*85*")&gt;0,COUNTIF(I2008,"86*")&gt;0,COUNTIF(J2008,"*86*")&gt;0),"Да","Нет"))</f>
        <v/>
      </c>
      <c r="M2008" s="13">
        <f>IF(OR(G2008="",L2008&lt;&gt;"Да"),"",IF(G2008&lt;=100,"До 100",IF(G2008&lt;=200,"До 200",IF(G2008&lt;=500,"До 500","Отдельное КП"))))</f>
        <v/>
      </c>
      <c r="N2008" s="15">
        <f>IF(OR(G2008="",L2008&lt;&gt;"Да"),"",IF(G2008&lt;=100,33600,IF(G2008&lt;=200,62400,IF(G2008&lt;=500,144000,""))))</f>
        <v/>
      </c>
      <c r="O2008" s="16">
        <f>IF(G2008="","",IF(G2008&lt;=15,"1–15",IF(G2008&lt;=30,"16–30",IF(G2008&lt;=50,"31–50",IF(G2008&lt;=100,"51–100",IF(G2008&lt;=150,"101–150",IF(G2008&lt;=200,"151–200",IF(G2008&lt;=500,"201–500","500+"))))))))</f>
        <v/>
      </c>
      <c r="P2008" s="16" t="inlineStr">
        <is>
          <t>Нет совпадения в предоставленной выгрузке ССЧР</t>
        </is>
      </c>
      <c r="Q2008" s="16" t="n"/>
      <c r="R2008" s="16">
        <f>HYPERLINK("https://checko.ru/search?query=3801001629","Чекко: проверить")</f>
        <v/>
      </c>
      <c r="S2008" t="n">
        <v>0</v>
      </c>
    </row>
    <row r="2009" ht="27.75" customHeight="1" s="24">
      <c r="A2009" s="13" t="n">
        <v>5000094449</v>
      </c>
      <c r="B2009" s="13" t="inlineStr">
        <is>
          <t>МКУ СШ № 1 Баксанского муниципального района"</t>
        </is>
      </c>
      <c r="C2009" s="13" t="n">
        <v>701010293</v>
      </c>
      <c r="D2009" s="13" t="n"/>
      <c r="E2009" s="13" t="inlineStr">
        <is>
          <t>Не определён</t>
        </is>
      </c>
      <c r="F2009" s="13" t="inlineStr">
        <is>
          <t>701010293</t>
        </is>
      </c>
      <c r="G2009" s="14" t="n"/>
      <c r="H2009" s="14" t="n"/>
      <c r="I2009" s="14" t="n"/>
      <c r="J2009" s="14" t="n"/>
      <c r="K2009" s="13">
        <f>IF(G2009="","",IF(G2009&gt;=22,"Да","Нет"))</f>
        <v/>
      </c>
      <c r="L2009" s="13">
        <f>IF(OR(I2009="",J2009=""),"Не определено",IF(OR(COUNTIF(I2009,"45*")&gt;0,COUNTIF(J2009,"*45*")&gt;0,COUNTIF(I2009,"46*")&gt;0,COUNTIF(J2009,"*46*")&gt;0,COUNTIF(I2009,"47*")&gt;0,COUNTIF(J2009,"*47*")&gt;0,COUNTIF(I2009,"10*")&gt;0,COUNTIF(J2009,"*10*")&gt;0,COUNTIF(I2009,"11*")&gt;0,COUNTIF(J2009,"*11*")&gt;0,COUNTIF(I2009,"12*")&gt;0,COUNTIF(J2009,"*12*")&gt;0,COUNTIF(I2009,"13*")&gt;0,COUNTIF(J2009,"*13*")&gt;0,COUNTIF(I2009,"14*")&gt;0,COUNTIF(J2009,"*14*")&gt;0,COUNTIF(I2009,"15*")&gt;0,COUNTIF(J2009,"*15*")&gt;0,COUNTIF(I2009,"16*")&gt;0,COUNTIF(J2009,"*16*")&gt;0,COUNTIF(I2009,"17*")&gt;0,COUNTIF(J2009,"*17*")&gt;0,COUNTIF(I2009,"18*")&gt;0,COUNTIF(J2009,"*18*")&gt;0,COUNTIF(I2009,"19*")&gt;0,COUNTIF(J2009,"*19*")&gt;0,COUNTIF(I2009,"20*")&gt;0,COUNTIF(J2009,"*20*")&gt;0,COUNTIF(I2009,"21*")&gt;0,COUNTIF(J2009,"*21*")&gt;0,COUNTIF(I2009,"22*")&gt;0,COUNTIF(J2009,"*22*")&gt;0,COUNTIF(I2009,"23*")&gt;0,COUNTIF(J2009,"*23*")&gt;0,COUNTIF(I2009,"24*")&gt;0,COUNTIF(J2009,"*24*")&gt;0,COUNTIF(I2009,"25*")&gt;0,COUNTIF(J2009,"*25*")&gt;0,COUNTIF(I2009,"26*")&gt;0,COUNTIF(J2009,"*26*")&gt;0,COUNTIF(I2009,"27*")&gt;0,COUNTIF(J2009,"*27*")&gt;0,COUNTIF(I2009,"28*")&gt;0,COUNTIF(J2009,"*28*")&gt;0,COUNTIF(I2009,"29*")&gt;0,COUNTIF(J2009,"*29*")&gt;0,COUNTIF(I2009,"30*")&gt;0,COUNTIF(J2009,"*30*")&gt;0,COUNTIF(I2009,"31*")&gt;0,COUNTIF(J2009,"*31*")&gt;0,COUNTIF(I2009,"32*")&gt;0,COUNTIF(J2009,"*32*")&gt;0,COUNTIF(I2009,"33*")&gt;0,COUNTIF(J2009,"*33*")&gt;0,COUNTIF(I2009,"41*")&gt;0,COUNTIF(J2009,"*41*")&gt;0,COUNTIF(I2009,"42*")&gt;0,COUNTIF(J2009,"*42*")&gt;0,COUNTIF(I2009,"43*")&gt;0,COUNTIF(J2009,"*43*")&gt;0,COUNTIF(I2009,"49*")&gt;0,COUNTIF(J2009,"*49*")&gt;0,COUNTIF(I2009,"52*")&gt;0,COUNTIF(J2009,"*52*")&gt;0,COUNTIF(I2009,"55*")&gt;0,COUNTIF(J2009,"*55*")&gt;0,COUNTIF(I2009,"56*")&gt;0,COUNTIF(J2009,"*56*")&gt;0,COUNTIF(I2009,"68*")&gt;0,COUNTIF(J2009,"*68*")&gt;0,COUNTIF(I2009,"78*")&gt;0,COUNTIF(J2009,"*78*")&gt;0,COUNTIF(I2009,"81*")&gt;0,COUNTIF(J2009,"*81*")&gt;0,COUNTIF(I2009,"82*")&gt;0,COUNTIF(J2009,"*82*")&gt;0,COUNTIF(I2009,"64*")&gt;0,COUNTIF(J2009,"*64*")&gt;0,COUNTIF(I2009,"65*")&gt;0,COUNTIF(J2009,"*65*")&gt;0,COUNTIF(I2009,"66*")&gt;0,COUNTIF(J2009,"*66*")&gt;0,COUNTIF(I2009,"61*")&gt;0,COUNTIF(J2009,"*61*")&gt;0,COUNTIF(I2009,"62*")&gt;0,COUNTIF(J2009,"*62*")&gt;0,COUNTIF(I2009,"63*")&gt;0,COUNTIF(J2009,"*63*")&gt;0,COUNTIF(I2009,"85*")&gt;0,COUNTIF(J2009,"*85*")&gt;0,COUNTIF(I2009,"86*")&gt;0,COUNTIF(J2009,"*86*")&gt;0),"Да","Нет"))</f>
        <v/>
      </c>
      <c r="M2009" s="13">
        <f>IF(OR(G2009="",L2009&lt;&gt;"Да"),"",IF(G2009&lt;=100,"До 100",IF(G2009&lt;=200,"До 200",IF(G2009&lt;=500,"До 500","Отдельное КП"))))</f>
        <v/>
      </c>
      <c r="N2009" s="15">
        <f>IF(OR(G2009="",L2009&lt;&gt;"Да"),"",IF(G2009&lt;=100,33600,IF(G2009&lt;=200,62400,IF(G2009&lt;=500,144000,""))))</f>
        <v/>
      </c>
      <c r="O2009" s="16">
        <f>IF(G2009="","",IF(G2009&lt;=15,"1–15",IF(G2009&lt;=30,"16–30",IF(G2009&lt;=50,"31–50",IF(G2009&lt;=100,"51–100",IF(G2009&lt;=150,"101–150",IF(G2009&lt;=200,"151–200",IF(G2009&lt;=500,"201–500","500+"))))))))</f>
        <v/>
      </c>
      <c r="P2009" s="16" t="inlineStr">
        <is>
          <t>Нет совпадения в предоставленной выгрузке ССЧР</t>
        </is>
      </c>
      <c r="Q2009" s="16" t="n"/>
      <c r="R2009" s="16">
        <f>HYPERLINK("https://checko.ru/search?query=3801001629","Чекко: проверить")</f>
        <v/>
      </c>
      <c r="S2009" t="n">
        <v>0</v>
      </c>
    </row>
    <row r="2010" ht="15" customHeight="1" s="24">
      <c r="A2010" s="13" t="n">
        <v>5000094450</v>
      </c>
      <c r="B2010" s="13" t="inlineStr">
        <is>
          <t>МКУ ФУ г.о. Баксан</t>
        </is>
      </c>
      <c r="C2010" s="13" t="n">
        <v>701010568</v>
      </c>
      <c r="D2010" s="13" t="n"/>
      <c r="E2010" s="13" t="inlineStr">
        <is>
          <t>Не определён</t>
        </is>
      </c>
      <c r="F2010" s="13" t="inlineStr">
        <is>
          <t>701010568</t>
        </is>
      </c>
      <c r="G2010" s="14" t="n"/>
      <c r="H2010" s="14" t="n"/>
      <c r="I2010" s="14" t="n"/>
      <c r="J2010" s="14" t="n"/>
      <c r="K2010" s="13">
        <f>IF(G2010="","",IF(G2010&gt;=22,"Да","Нет"))</f>
        <v/>
      </c>
      <c r="L2010" s="13">
        <f>IF(OR(I2010="",J2010=""),"Не определено",IF(OR(COUNTIF(I2010,"45*")&gt;0,COUNTIF(J2010,"*45*")&gt;0,COUNTIF(I2010,"46*")&gt;0,COUNTIF(J2010,"*46*")&gt;0,COUNTIF(I2010,"47*")&gt;0,COUNTIF(J2010,"*47*")&gt;0,COUNTIF(I2010,"10*")&gt;0,COUNTIF(J2010,"*10*")&gt;0,COUNTIF(I2010,"11*")&gt;0,COUNTIF(J2010,"*11*")&gt;0,COUNTIF(I2010,"12*")&gt;0,COUNTIF(J2010,"*12*")&gt;0,COUNTIF(I2010,"13*")&gt;0,COUNTIF(J2010,"*13*")&gt;0,COUNTIF(I2010,"14*")&gt;0,COUNTIF(J2010,"*14*")&gt;0,COUNTIF(I2010,"15*")&gt;0,COUNTIF(J2010,"*15*")&gt;0,COUNTIF(I2010,"16*")&gt;0,COUNTIF(J2010,"*16*")&gt;0,COUNTIF(I2010,"17*")&gt;0,COUNTIF(J2010,"*17*")&gt;0,COUNTIF(I2010,"18*")&gt;0,COUNTIF(J2010,"*18*")&gt;0,COUNTIF(I2010,"19*")&gt;0,COUNTIF(J2010,"*19*")&gt;0,COUNTIF(I2010,"20*")&gt;0,COUNTIF(J2010,"*20*")&gt;0,COUNTIF(I2010,"21*")&gt;0,COUNTIF(J2010,"*21*")&gt;0,COUNTIF(I2010,"22*")&gt;0,COUNTIF(J2010,"*22*")&gt;0,COUNTIF(I2010,"23*")&gt;0,COUNTIF(J2010,"*23*")&gt;0,COUNTIF(I2010,"24*")&gt;0,COUNTIF(J2010,"*24*")&gt;0,COUNTIF(I2010,"25*")&gt;0,COUNTIF(J2010,"*25*")&gt;0,COUNTIF(I2010,"26*")&gt;0,COUNTIF(J2010,"*26*")&gt;0,COUNTIF(I2010,"27*")&gt;0,COUNTIF(J2010,"*27*")&gt;0,COUNTIF(I2010,"28*")&gt;0,COUNTIF(J2010,"*28*")&gt;0,COUNTIF(I2010,"29*")&gt;0,COUNTIF(J2010,"*29*")&gt;0,COUNTIF(I2010,"30*")&gt;0,COUNTIF(J2010,"*30*")&gt;0,COUNTIF(I2010,"31*")&gt;0,COUNTIF(J2010,"*31*")&gt;0,COUNTIF(I2010,"32*")&gt;0,COUNTIF(J2010,"*32*")&gt;0,COUNTIF(I2010,"33*")&gt;0,COUNTIF(J2010,"*33*")&gt;0,COUNTIF(I2010,"41*")&gt;0,COUNTIF(J2010,"*41*")&gt;0,COUNTIF(I2010,"42*")&gt;0,COUNTIF(J2010,"*42*")&gt;0,COUNTIF(I2010,"43*")&gt;0,COUNTIF(J2010,"*43*")&gt;0,COUNTIF(I2010,"49*")&gt;0,COUNTIF(J2010,"*49*")&gt;0,COUNTIF(I2010,"52*")&gt;0,COUNTIF(J2010,"*52*")&gt;0,COUNTIF(I2010,"55*")&gt;0,COUNTIF(J2010,"*55*")&gt;0,COUNTIF(I2010,"56*")&gt;0,COUNTIF(J2010,"*56*")&gt;0,COUNTIF(I2010,"68*")&gt;0,COUNTIF(J2010,"*68*")&gt;0,COUNTIF(I2010,"78*")&gt;0,COUNTIF(J2010,"*78*")&gt;0,COUNTIF(I2010,"81*")&gt;0,COUNTIF(J2010,"*81*")&gt;0,COUNTIF(I2010,"82*")&gt;0,COUNTIF(J2010,"*82*")&gt;0,COUNTIF(I2010,"64*")&gt;0,COUNTIF(J2010,"*64*")&gt;0,COUNTIF(I2010,"65*")&gt;0,COUNTIF(J2010,"*65*")&gt;0,COUNTIF(I2010,"66*")&gt;0,COUNTIF(J2010,"*66*")&gt;0,COUNTIF(I2010,"61*")&gt;0,COUNTIF(J2010,"*61*")&gt;0,COUNTIF(I2010,"62*")&gt;0,COUNTIF(J2010,"*62*")&gt;0,COUNTIF(I2010,"63*")&gt;0,COUNTIF(J2010,"*63*")&gt;0,COUNTIF(I2010,"85*")&gt;0,COUNTIF(J2010,"*85*")&gt;0,COUNTIF(I2010,"86*")&gt;0,COUNTIF(J2010,"*86*")&gt;0),"Да","Нет"))</f>
        <v/>
      </c>
      <c r="M2010" s="13">
        <f>IF(OR(G2010="",L2010&lt;&gt;"Да"),"",IF(G2010&lt;=100,"До 100",IF(G2010&lt;=200,"До 200",IF(G2010&lt;=500,"До 500","Отдельное КП"))))</f>
        <v/>
      </c>
      <c r="N2010" s="15">
        <f>IF(OR(G2010="",L2010&lt;&gt;"Да"),"",IF(G2010&lt;=100,33600,IF(G2010&lt;=200,62400,IF(G2010&lt;=500,144000,""))))</f>
        <v/>
      </c>
      <c r="O2010" s="16">
        <f>IF(G2010="","",IF(G2010&lt;=15,"1–15",IF(G2010&lt;=30,"16–30",IF(G2010&lt;=50,"31–50",IF(G2010&lt;=100,"51–100",IF(G2010&lt;=150,"101–150",IF(G2010&lt;=200,"151–200",IF(G2010&lt;=500,"201–500","500+"))))))))</f>
        <v/>
      </c>
      <c r="P2010" s="16" t="inlineStr">
        <is>
          <t>Нет совпадения в предоставленной выгрузке ССЧР</t>
        </is>
      </c>
      <c r="Q2010" s="16" t="n"/>
      <c r="R2010" s="16">
        <f>HYPERLINK("https://checko.ru/search?query=3801001629","Чекко: проверить")</f>
        <v/>
      </c>
      <c r="S2010" t="n">
        <v>0</v>
      </c>
    </row>
    <row r="2011" ht="15" customHeight="1" s="24">
      <c r="A2011" s="13" t="n">
        <v>5000094452</v>
      </c>
      <c r="B2011" s="13" t="inlineStr">
        <is>
          <t>ГКУ "Баксанское лесничество"</t>
        </is>
      </c>
      <c r="C2011" s="13" t="n">
        <v>701010720</v>
      </c>
      <c r="D2011" s="13" t="n"/>
      <c r="E2011" s="13" t="inlineStr">
        <is>
          <t>Не определён</t>
        </is>
      </c>
      <c r="F2011" s="13" t="inlineStr">
        <is>
          <t>701010720</t>
        </is>
      </c>
      <c r="G2011" s="14" t="n"/>
      <c r="H2011" s="14" t="n"/>
      <c r="I2011" s="14" t="n"/>
      <c r="J2011" s="14" t="n"/>
      <c r="K2011" s="13">
        <f>IF(G2011="","",IF(G2011&gt;=22,"Да","Нет"))</f>
        <v/>
      </c>
      <c r="L2011" s="13">
        <f>IF(OR(I2011="",J2011=""),"Не определено",IF(OR(COUNTIF(I2011,"45*")&gt;0,COUNTIF(J2011,"*45*")&gt;0,COUNTIF(I2011,"46*")&gt;0,COUNTIF(J2011,"*46*")&gt;0,COUNTIF(I2011,"47*")&gt;0,COUNTIF(J2011,"*47*")&gt;0,COUNTIF(I2011,"10*")&gt;0,COUNTIF(J2011,"*10*")&gt;0,COUNTIF(I2011,"11*")&gt;0,COUNTIF(J2011,"*11*")&gt;0,COUNTIF(I2011,"12*")&gt;0,COUNTIF(J2011,"*12*")&gt;0,COUNTIF(I2011,"13*")&gt;0,COUNTIF(J2011,"*13*")&gt;0,COUNTIF(I2011,"14*")&gt;0,COUNTIF(J2011,"*14*")&gt;0,COUNTIF(I2011,"15*")&gt;0,COUNTIF(J2011,"*15*")&gt;0,COUNTIF(I2011,"16*")&gt;0,COUNTIF(J2011,"*16*")&gt;0,COUNTIF(I2011,"17*")&gt;0,COUNTIF(J2011,"*17*")&gt;0,COUNTIF(I2011,"18*")&gt;0,COUNTIF(J2011,"*18*")&gt;0,COUNTIF(I2011,"19*")&gt;0,COUNTIF(J2011,"*19*")&gt;0,COUNTIF(I2011,"20*")&gt;0,COUNTIF(J2011,"*20*")&gt;0,COUNTIF(I2011,"21*")&gt;0,COUNTIF(J2011,"*21*")&gt;0,COUNTIF(I2011,"22*")&gt;0,COUNTIF(J2011,"*22*")&gt;0,COUNTIF(I2011,"23*")&gt;0,COUNTIF(J2011,"*23*")&gt;0,COUNTIF(I2011,"24*")&gt;0,COUNTIF(J2011,"*24*")&gt;0,COUNTIF(I2011,"25*")&gt;0,COUNTIF(J2011,"*25*")&gt;0,COUNTIF(I2011,"26*")&gt;0,COUNTIF(J2011,"*26*")&gt;0,COUNTIF(I2011,"27*")&gt;0,COUNTIF(J2011,"*27*")&gt;0,COUNTIF(I2011,"28*")&gt;0,COUNTIF(J2011,"*28*")&gt;0,COUNTIF(I2011,"29*")&gt;0,COUNTIF(J2011,"*29*")&gt;0,COUNTIF(I2011,"30*")&gt;0,COUNTIF(J2011,"*30*")&gt;0,COUNTIF(I2011,"31*")&gt;0,COUNTIF(J2011,"*31*")&gt;0,COUNTIF(I2011,"32*")&gt;0,COUNTIF(J2011,"*32*")&gt;0,COUNTIF(I2011,"33*")&gt;0,COUNTIF(J2011,"*33*")&gt;0,COUNTIF(I2011,"41*")&gt;0,COUNTIF(J2011,"*41*")&gt;0,COUNTIF(I2011,"42*")&gt;0,COUNTIF(J2011,"*42*")&gt;0,COUNTIF(I2011,"43*")&gt;0,COUNTIF(J2011,"*43*")&gt;0,COUNTIF(I2011,"49*")&gt;0,COUNTIF(J2011,"*49*")&gt;0,COUNTIF(I2011,"52*")&gt;0,COUNTIF(J2011,"*52*")&gt;0,COUNTIF(I2011,"55*")&gt;0,COUNTIF(J2011,"*55*")&gt;0,COUNTIF(I2011,"56*")&gt;0,COUNTIF(J2011,"*56*")&gt;0,COUNTIF(I2011,"68*")&gt;0,COUNTIF(J2011,"*68*")&gt;0,COUNTIF(I2011,"78*")&gt;0,COUNTIF(J2011,"*78*")&gt;0,COUNTIF(I2011,"81*")&gt;0,COUNTIF(J2011,"*81*")&gt;0,COUNTIF(I2011,"82*")&gt;0,COUNTIF(J2011,"*82*")&gt;0,COUNTIF(I2011,"64*")&gt;0,COUNTIF(J2011,"*64*")&gt;0,COUNTIF(I2011,"65*")&gt;0,COUNTIF(J2011,"*65*")&gt;0,COUNTIF(I2011,"66*")&gt;0,COUNTIF(J2011,"*66*")&gt;0,COUNTIF(I2011,"61*")&gt;0,COUNTIF(J2011,"*61*")&gt;0,COUNTIF(I2011,"62*")&gt;0,COUNTIF(J2011,"*62*")&gt;0,COUNTIF(I2011,"63*")&gt;0,COUNTIF(J2011,"*63*")&gt;0,COUNTIF(I2011,"85*")&gt;0,COUNTIF(J2011,"*85*")&gt;0,COUNTIF(I2011,"86*")&gt;0,COUNTIF(J2011,"*86*")&gt;0),"Да","Нет"))</f>
        <v/>
      </c>
      <c r="M2011" s="13">
        <f>IF(OR(G2011="",L2011&lt;&gt;"Да"),"",IF(G2011&lt;=100,"До 100",IF(G2011&lt;=200,"До 200",IF(G2011&lt;=500,"До 500","Отдельное КП"))))</f>
        <v/>
      </c>
      <c r="N2011" s="15">
        <f>IF(OR(G2011="",L2011&lt;&gt;"Да"),"",IF(G2011&lt;=100,33600,IF(G2011&lt;=200,62400,IF(G2011&lt;=500,144000,""))))</f>
        <v/>
      </c>
      <c r="O2011" s="16">
        <f>IF(G2011="","",IF(G2011&lt;=15,"1–15",IF(G2011&lt;=30,"16–30",IF(G2011&lt;=50,"31–50",IF(G2011&lt;=100,"51–100",IF(G2011&lt;=150,"101–150",IF(G2011&lt;=200,"151–200",IF(G2011&lt;=500,"201–500","500+"))))))))</f>
        <v/>
      </c>
      <c r="P2011" s="16" t="inlineStr">
        <is>
          <t>Нет совпадения в предоставленной выгрузке ССЧР</t>
        </is>
      </c>
      <c r="Q2011" s="16" t="n"/>
      <c r="R2011" s="16">
        <f>HYPERLINK("https://checko.ru/search?query=3801001629","Чекко: проверить")</f>
        <v/>
      </c>
      <c r="S2011" t="n">
        <v>0</v>
      </c>
    </row>
    <row r="2012" ht="15" customHeight="1" s="24">
      <c r="A2012" s="13" t="n">
        <v>5000094551</v>
      </c>
      <c r="B2012" s="13" t="inlineStr">
        <is>
          <t>МКОУ "СОШ" с.п.Белокаменское</t>
        </is>
      </c>
      <c r="C2012" s="13" t="n">
        <v>702722744</v>
      </c>
      <c r="D2012" s="13" t="n"/>
      <c r="E2012" s="13" t="inlineStr">
        <is>
          <t>Не определён</t>
        </is>
      </c>
      <c r="F2012" s="13" t="inlineStr">
        <is>
          <t>702722744</t>
        </is>
      </c>
      <c r="G2012" s="14" t="n"/>
      <c r="H2012" s="14" t="n"/>
      <c r="I2012" s="14" t="n"/>
      <c r="J2012" s="14" t="n"/>
      <c r="K2012" s="13">
        <f>IF(G2012="","",IF(G2012&gt;=22,"Да","Нет"))</f>
        <v/>
      </c>
      <c r="L2012" s="13">
        <f>IF(OR(I2012="",J2012=""),"Не определено",IF(OR(COUNTIF(I2012,"45*")&gt;0,COUNTIF(J2012,"*45*")&gt;0,COUNTIF(I2012,"46*")&gt;0,COUNTIF(J2012,"*46*")&gt;0,COUNTIF(I2012,"47*")&gt;0,COUNTIF(J2012,"*47*")&gt;0,COUNTIF(I2012,"10*")&gt;0,COUNTIF(J2012,"*10*")&gt;0,COUNTIF(I2012,"11*")&gt;0,COUNTIF(J2012,"*11*")&gt;0,COUNTIF(I2012,"12*")&gt;0,COUNTIF(J2012,"*12*")&gt;0,COUNTIF(I2012,"13*")&gt;0,COUNTIF(J2012,"*13*")&gt;0,COUNTIF(I2012,"14*")&gt;0,COUNTIF(J2012,"*14*")&gt;0,COUNTIF(I2012,"15*")&gt;0,COUNTIF(J2012,"*15*")&gt;0,COUNTIF(I2012,"16*")&gt;0,COUNTIF(J2012,"*16*")&gt;0,COUNTIF(I2012,"17*")&gt;0,COUNTIF(J2012,"*17*")&gt;0,COUNTIF(I2012,"18*")&gt;0,COUNTIF(J2012,"*18*")&gt;0,COUNTIF(I2012,"19*")&gt;0,COUNTIF(J2012,"*19*")&gt;0,COUNTIF(I2012,"20*")&gt;0,COUNTIF(J2012,"*20*")&gt;0,COUNTIF(I2012,"21*")&gt;0,COUNTIF(J2012,"*21*")&gt;0,COUNTIF(I2012,"22*")&gt;0,COUNTIF(J2012,"*22*")&gt;0,COUNTIF(I2012,"23*")&gt;0,COUNTIF(J2012,"*23*")&gt;0,COUNTIF(I2012,"24*")&gt;0,COUNTIF(J2012,"*24*")&gt;0,COUNTIF(I2012,"25*")&gt;0,COUNTIF(J2012,"*25*")&gt;0,COUNTIF(I2012,"26*")&gt;0,COUNTIF(J2012,"*26*")&gt;0,COUNTIF(I2012,"27*")&gt;0,COUNTIF(J2012,"*27*")&gt;0,COUNTIF(I2012,"28*")&gt;0,COUNTIF(J2012,"*28*")&gt;0,COUNTIF(I2012,"29*")&gt;0,COUNTIF(J2012,"*29*")&gt;0,COUNTIF(I2012,"30*")&gt;0,COUNTIF(J2012,"*30*")&gt;0,COUNTIF(I2012,"31*")&gt;0,COUNTIF(J2012,"*31*")&gt;0,COUNTIF(I2012,"32*")&gt;0,COUNTIF(J2012,"*32*")&gt;0,COUNTIF(I2012,"33*")&gt;0,COUNTIF(J2012,"*33*")&gt;0,COUNTIF(I2012,"41*")&gt;0,COUNTIF(J2012,"*41*")&gt;0,COUNTIF(I2012,"42*")&gt;0,COUNTIF(J2012,"*42*")&gt;0,COUNTIF(I2012,"43*")&gt;0,COUNTIF(J2012,"*43*")&gt;0,COUNTIF(I2012,"49*")&gt;0,COUNTIF(J2012,"*49*")&gt;0,COUNTIF(I2012,"52*")&gt;0,COUNTIF(J2012,"*52*")&gt;0,COUNTIF(I2012,"55*")&gt;0,COUNTIF(J2012,"*55*")&gt;0,COUNTIF(I2012,"56*")&gt;0,COUNTIF(J2012,"*56*")&gt;0,COUNTIF(I2012,"68*")&gt;0,COUNTIF(J2012,"*68*")&gt;0,COUNTIF(I2012,"78*")&gt;0,COUNTIF(J2012,"*78*")&gt;0,COUNTIF(I2012,"81*")&gt;0,COUNTIF(J2012,"*81*")&gt;0,COUNTIF(I2012,"82*")&gt;0,COUNTIF(J2012,"*82*")&gt;0,COUNTIF(I2012,"64*")&gt;0,COUNTIF(J2012,"*64*")&gt;0,COUNTIF(I2012,"65*")&gt;0,COUNTIF(J2012,"*65*")&gt;0,COUNTIF(I2012,"66*")&gt;0,COUNTIF(J2012,"*66*")&gt;0,COUNTIF(I2012,"61*")&gt;0,COUNTIF(J2012,"*61*")&gt;0,COUNTIF(I2012,"62*")&gt;0,COUNTIF(J2012,"*62*")&gt;0,COUNTIF(I2012,"63*")&gt;0,COUNTIF(J2012,"*63*")&gt;0,COUNTIF(I2012,"85*")&gt;0,COUNTIF(J2012,"*85*")&gt;0,COUNTIF(I2012,"86*")&gt;0,COUNTIF(J2012,"*86*")&gt;0),"Да","Нет"))</f>
        <v/>
      </c>
      <c r="M2012" s="13">
        <f>IF(OR(G2012="",L2012&lt;&gt;"Да"),"",IF(G2012&lt;=100,"До 100",IF(G2012&lt;=200,"До 200",IF(G2012&lt;=500,"До 500","Отдельное КП"))))</f>
        <v/>
      </c>
      <c r="N2012" s="15">
        <f>IF(OR(G2012="",L2012&lt;&gt;"Да"),"",IF(G2012&lt;=100,33600,IF(G2012&lt;=200,62400,IF(G2012&lt;=500,144000,""))))</f>
        <v/>
      </c>
      <c r="O2012" s="16">
        <f>IF(G2012="","",IF(G2012&lt;=15,"1–15",IF(G2012&lt;=30,"16–30",IF(G2012&lt;=50,"31–50",IF(G2012&lt;=100,"51–100",IF(G2012&lt;=150,"101–150",IF(G2012&lt;=200,"151–200",IF(G2012&lt;=500,"201–500","500+"))))))))</f>
        <v/>
      </c>
      <c r="P2012" s="16" t="inlineStr">
        <is>
          <t>Нет совпадения в предоставленной выгрузке ССЧР</t>
        </is>
      </c>
      <c r="Q2012" s="16" t="n"/>
      <c r="R2012" s="16">
        <f>HYPERLINK("https://checko.ru/search?query=3801001629","Чекко: проверить")</f>
        <v/>
      </c>
      <c r="S2012" t="n">
        <v>0</v>
      </c>
    </row>
    <row r="2013" ht="15" customHeight="1" s="24">
      <c r="A2013" s="13" t="n">
        <v>5000094552</v>
      </c>
      <c r="B2013" s="13" t="inlineStr">
        <is>
          <t>МКОУ"СОШ"с.п.Этоко</t>
        </is>
      </c>
      <c r="C2013" s="13" t="n">
        <v>702722751</v>
      </c>
      <c r="D2013" s="13" t="n"/>
      <c r="E2013" s="13" t="inlineStr">
        <is>
          <t>Не определён</t>
        </is>
      </c>
      <c r="F2013" s="13" t="inlineStr">
        <is>
          <t>702722751</t>
        </is>
      </c>
      <c r="G2013" s="14" t="n"/>
      <c r="H2013" s="14" t="n"/>
      <c r="I2013" s="14" t="n"/>
      <c r="J2013" s="14" t="n"/>
      <c r="K2013" s="13">
        <f>IF(G2013="","",IF(G2013&gt;=22,"Да","Нет"))</f>
        <v/>
      </c>
      <c r="L2013" s="13">
        <f>IF(OR(I2013="",J2013=""),"Не определено",IF(OR(COUNTIF(I2013,"45*")&gt;0,COUNTIF(J2013,"*45*")&gt;0,COUNTIF(I2013,"46*")&gt;0,COUNTIF(J2013,"*46*")&gt;0,COUNTIF(I2013,"47*")&gt;0,COUNTIF(J2013,"*47*")&gt;0,COUNTIF(I2013,"10*")&gt;0,COUNTIF(J2013,"*10*")&gt;0,COUNTIF(I2013,"11*")&gt;0,COUNTIF(J2013,"*11*")&gt;0,COUNTIF(I2013,"12*")&gt;0,COUNTIF(J2013,"*12*")&gt;0,COUNTIF(I2013,"13*")&gt;0,COUNTIF(J2013,"*13*")&gt;0,COUNTIF(I2013,"14*")&gt;0,COUNTIF(J2013,"*14*")&gt;0,COUNTIF(I2013,"15*")&gt;0,COUNTIF(J2013,"*15*")&gt;0,COUNTIF(I2013,"16*")&gt;0,COUNTIF(J2013,"*16*")&gt;0,COUNTIF(I2013,"17*")&gt;0,COUNTIF(J2013,"*17*")&gt;0,COUNTIF(I2013,"18*")&gt;0,COUNTIF(J2013,"*18*")&gt;0,COUNTIF(I2013,"19*")&gt;0,COUNTIF(J2013,"*19*")&gt;0,COUNTIF(I2013,"20*")&gt;0,COUNTIF(J2013,"*20*")&gt;0,COUNTIF(I2013,"21*")&gt;0,COUNTIF(J2013,"*21*")&gt;0,COUNTIF(I2013,"22*")&gt;0,COUNTIF(J2013,"*22*")&gt;0,COUNTIF(I2013,"23*")&gt;0,COUNTIF(J2013,"*23*")&gt;0,COUNTIF(I2013,"24*")&gt;0,COUNTIF(J2013,"*24*")&gt;0,COUNTIF(I2013,"25*")&gt;0,COUNTIF(J2013,"*25*")&gt;0,COUNTIF(I2013,"26*")&gt;0,COUNTIF(J2013,"*26*")&gt;0,COUNTIF(I2013,"27*")&gt;0,COUNTIF(J2013,"*27*")&gt;0,COUNTIF(I2013,"28*")&gt;0,COUNTIF(J2013,"*28*")&gt;0,COUNTIF(I2013,"29*")&gt;0,COUNTIF(J2013,"*29*")&gt;0,COUNTIF(I2013,"30*")&gt;0,COUNTIF(J2013,"*30*")&gt;0,COUNTIF(I2013,"31*")&gt;0,COUNTIF(J2013,"*31*")&gt;0,COUNTIF(I2013,"32*")&gt;0,COUNTIF(J2013,"*32*")&gt;0,COUNTIF(I2013,"33*")&gt;0,COUNTIF(J2013,"*33*")&gt;0,COUNTIF(I2013,"41*")&gt;0,COUNTIF(J2013,"*41*")&gt;0,COUNTIF(I2013,"42*")&gt;0,COUNTIF(J2013,"*42*")&gt;0,COUNTIF(I2013,"43*")&gt;0,COUNTIF(J2013,"*43*")&gt;0,COUNTIF(I2013,"49*")&gt;0,COUNTIF(J2013,"*49*")&gt;0,COUNTIF(I2013,"52*")&gt;0,COUNTIF(J2013,"*52*")&gt;0,COUNTIF(I2013,"55*")&gt;0,COUNTIF(J2013,"*55*")&gt;0,COUNTIF(I2013,"56*")&gt;0,COUNTIF(J2013,"*56*")&gt;0,COUNTIF(I2013,"68*")&gt;0,COUNTIF(J2013,"*68*")&gt;0,COUNTIF(I2013,"78*")&gt;0,COUNTIF(J2013,"*78*")&gt;0,COUNTIF(I2013,"81*")&gt;0,COUNTIF(J2013,"*81*")&gt;0,COUNTIF(I2013,"82*")&gt;0,COUNTIF(J2013,"*82*")&gt;0,COUNTIF(I2013,"64*")&gt;0,COUNTIF(J2013,"*64*")&gt;0,COUNTIF(I2013,"65*")&gt;0,COUNTIF(J2013,"*65*")&gt;0,COUNTIF(I2013,"66*")&gt;0,COUNTIF(J2013,"*66*")&gt;0,COUNTIF(I2013,"61*")&gt;0,COUNTIF(J2013,"*61*")&gt;0,COUNTIF(I2013,"62*")&gt;0,COUNTIF(J2013,"*62*")&gt;0,COUNTIF(I2013,"63*")&gt;0,COUNTIF(J2013,"*63*")&gt;0,COUNTIF(I2013,"85*")&gt;0,COUNTIF(J2013,"*85*")&gt;0,COUNTIF(I2013,"86*")&gt;0,COUNTIF(J2013,"*86*")&gt;0),"Да","Нет"))</f>
        <v/>
      </c>
      <c r="M2013" s="13">
        <f>IF(OR(G2013="",L2013&lt;&gt;"Да"),"",IF(G2013&lt;=100,"До 100",IF(G2013&lt;=200,"До 200",IF(G2013&lt;=500,"До 500","Отдельное КП"))))</f>
        <v/>
      </c>
      <c r="N2013" s="15">
        <f>IF(OR(G2013="",L2013&lt;&gt;"Да"),"",IF(G2013&lt;=100,33600,IF(G2013&lt;=200,62400,IF(G2013&lt;=500,144000,""))))</f>
        <v/>
      </c>
      <c r="O2013" s="16">
        <f>IF(G2013="","",IF(G2013&lt;=15,"1–15",IF(G2013&lt;=30,"16–30",IF(G2013&lt;=50,"31–50",IF(G2013&lt;=100,"51–100",IF(G2013&lt;=150,"101–150",IF(G2013&lt;=200,"151–200",IF(G2013&lt;=500,"201–500","500+"))))))))</f>
        <v/>
      </c>
      <c r="P2013" s="16" t="inlineStr">
        <is>
          <t>Нет совпадения в предоставленной выгрузке ССЧР</t>
        </is>
      </c>
      <c r="Q2013" s="16" t="n"/>
      <c r="R2013" s="16">
        <f>HYPERLINK("https://checko.ru/search?query=3801001629","Чекко: проверить")</f>
        <v/>
      </c>
      <c r="S2013" t="n">
        <v>0</v>
      </c>
    </row>
    <row r="2014" ht="15" customHeight="1" s="24">
      <c r="A2014" s="13" t="n">
        <v>5000094455</v>
      </c>
      <c r="B2014" s="13" t="inlineStr">
        <is>
          <t>управление ИЗО г.о. Баксан</t>
        </is>
      </c>
      <c r="C2014" s="13" t="n">
        <v>701010790</v>
      </c>
      <c r="D2014" s="13" t="n"/>
      <c r="E2014" s="13" t="inlineStr">
        <is>
          <t>Не определён</t>
        </is>
      </c>
      <c r="F2014" s="13" t="inlineStr">
        <is>
          <t>701010790</t>
        </is>
      </c>
      <c r="G2014" s="14" t="n"/>
      <c r="H2014" s="14" t="n"/>
      <c r="I2014" s="14" t="n"/>
      <c r="J2014" s="14" t="n"/>
      <c r="K2014" s="13">
        <f>IF(G2014="","",IF(G2014&gt;=22,"Да","Нет"))</f>
        <v/>
      </c>
      <c r="L2014" s="13">
        <f>IF(OR(I2014="",J2014=""),"Не определено",IF(OR(COUNTIF(I2014,"45*")&gt;0,COUNTIF(J2014,"*45*")&gt;0,COUNTIF(I2014,"46*")&gt;0,COUNTIF(J2014,"*46*")&gt;0,COUNTIF(I2014,"47*")&gt;0,COUNTIF(J2014,"*47*")&gt;0,COUNTIF(I2014,"10*")&gt;0,COUNTIF(J2014,"*10*")&gt;0,COUNTIF(I2014,"11*")&gt;0,COUNTIF(J2014,"*11*")&gt;0,COUNTIF(I2014,"12*")&gt;0,COUNTIF(J2014,"*12*")&gt;0,COUNTIF(I2014,"13*")&gt;0,COUNTIF(J2014,"*13*")&gt;0,COUNTIF(I2014,"14*")&gt;0,COUNTIF(J2014,"*14*")&gt;0,COUNTIF(I2014,"15*")&gt;0,COUNTIF(J2014,"*15*")&gt;0,COUNTIF(I2014,"16*")&gt;0,COUNTIF(J2014,"*16*")&gt;0,COUNTIF(I2014,"17*")&gt;0,COUNTIF(J2014,"*17*")&gt;0,COUNTIF(I2014,"18*")&gt;0,COUNTIF(J2014,"*18*")&gt;0,COUNTIF(I2014,"19*")&gt;0,COUNTIF(J2014,"*19*")&gt;0,COUNTIF(I2014,"20*")&gt;0,COUNTIF(J2014,"*20*")&gt;0,COUNTIF(I2014,"21*")&gt;0,COUNTIF(J2014,"*21*")&gt;0,COUNTIF(I2014,"22*")&gt;0,COUNTIF(J2014,"*22*")&gt;0,COUNTIF(I2014,"23*")&gt;0,COUNTIF(J2014,"*23*")&gt;0,COUNTIF(I2014,"24*")&gt;0,COUNTIF(J2014,"*24*")&gt;0,COUNTIF(I2014,"25*")&gt;0,COUNTIF(J2014,"*25*")&gt;0,COUNTIF(I2014,"26*")&gt;0,COUNTIF(J2014,"*26*")&gt;0,COUNTIF(I2014,"27*")&gt;0,COUNTIF(J2014,"*27*")&gt;0,COUNTIF(I2014,"28*")&gt;0,COUNTIF(J2014,"*28*")&gt;0,COUNTIF(I2014,"29*")&gt;0,COUNTIF(J2014,"*29*")&gt;0,COUNTIF(I2014,"30*")&gt;0,COUNTIF(J2014,"*30*")&gt;0,COUNTIF(I2014,"31*")&gt;0,COUNTIF(J2014,"*31*")&gt;0,COUNTIF(I2014,"32*")&gt;0,COUNTIF(J2014,"*32*")&gt;0,COUNTIF(I2014,"33*")&gt;0,COUNTIF(J2014,"*33*")&gt;0,COUNTIF(I2014,"41*")&gt;0,COUNTIF(J2014,"*41*")&gt;0,COUNTIF(I2014,"42*")&gt;0,COUNTIF(J2014,"*42*")&gt;0,COUNTIF(I2014,"43*")&gt;0,COUNTIF(J2014,"*43*")&gt;0,COUNTIF(I2014,"49*")&gt;0,COUNTIF(J2014,"*49*")&gt;0,COUNTIF(I2014,"52*")&gt;0,COUNTIF(J2014,"*52*")&gt;0,COUNTIF(I2014,"55*")&gt;0,COUNTIF(J2014,"*55*")&gt;0,COUNTIF(I2014,"56*")&gt;0,COUNTIF(J2014,"*56*")&gt;0,COUNTIF(I2014,"68*")&gt;0,COUNTIF(J2014,"*68*")&gt;0,COUNTIF(I2014,"78*")&gt;0,COUNTIF(J2014,"*78*")&gt;0,COUNTIF(I2014,"81*")&gt;0,COUNTIF(J2014,"*81*")&gt;0,COUNTIF(I2014,"82*")&gt;0,COUNTIF(J2014,"*82*")&gt;0,COUNTIF(I2014,"64*")&gt;0,COUNTIF(J2014,"*64*")&gt;0,COUNTIF(I2014,"65*")&gt;0,COUNTIF(J2014,"*65*")&gt;0,COUNTIF(I2014,"66*")&gt;0,COUNTIF(J2014,"*66*")&gt;0,COUNTIF(I2014,"61*")&gt;0,COUNTIF(J2014,"*61*")&gt;0,COUNTIF(I2014,"62*")&gt;0,COUNTIF(J2014,"*62*")&gt;0,COUNTIF(I2014,"63*")&gt;0,COUNTIF(J2014,"*63*")&gt;0,COUNTIF(I2014,"85*")&gt;0,COUNTIF(J2014,"*85*")&gt;0,COUNTIF(I2014,"86*")&gt;0,COUNTIF(J2014,"*86*")&gt;0),"Да","Нет"))</f>
        <v/>
      </c>
      <c r="M2014" s="13">
        <f>IF(OR(G2014="",L2014&lt;&gt;"Да"),"",IF(G2014&lt;=100,"До 100",IF(G2014&lt;=200,"До 200",IF(G2014&lt;=500,"До 500","Отдельное КП"))))</f>
        <v/>
      </c>
      <c r="N2014" s="15">
        <f>IF(OR(G2014="",L2014&lt;&gt;"Да"),"",IF(G2014&lt;=100,33600,IF(G2014&lt;=200,62400,IF(G2014&lt;=500,144000,""))))</f>
        <v/>
      </c>
      <c r="O2014" s="16">
        <f>IF(G2014="","",IF(G2014&lt;=15,"1–15",IF(G2014&lt;=30,"16–30",IF(G2014&lt;=50,"31–50",IF(G2014&lt;=100,"51–100",IF(G2014&lt;=150,"101–150",IF(G2014&lt;=200,"151–200",IF(G2014&lt;=500,"201–500","500+"))))))))</f>
        <v/>
      </c>
      <c r="P2014" s="16" t="inlineStr">
        <is>
          <t>Нет совпадения в предоставленной выгрузке ССЧР</t>
        </is>
      </c>
      <c r="Q2014" s="16" t="n"/>
      <c r="R2014" s="16">
        <f>HYPERLINK("https://checko.ru/search?query=3801001629","Чекко: проверить")</f>
        <v/>
      </c>
      <c r="S2014" t="n">
        <v>0</v>
      </c>
    </row>
    <row r="2015" ht="15" customHeight="1" s="24">
      <c r="A2015" s="13" t="n">
        <v>5000094456</v>
      </c>
      <c r="B2015" s="13" t="inlineStr">
        <is>
          <t>МКУ "СШОР г.о. Баксан"</t>
        </is>
      </c>
      <c r="C2015" s="13" t="n">
        <v>701010832</v>
      </c>
      <c r="D2015" s="13" t="n"/>
      <c r="E2015" s="13" t="inlineStr">
        <is>
          <t>Не определён</t>
        </is>
      </c>
      <c r="F2015" s="13" t="inlineStr">
        <is>
          <t>701010832</t>
        </is>
      </c>
      <c r="G2015" s="14" t="n"/>
      <c r="H2015" s="14" t="n"/>
      <c r="I2015" s="14" t="n"/>
      <c r="J2015" s="14" t="n"/>
      <c r="K2015" s="13">
        <f>IF(G2015="","",IF(G2015&gt;=22,"Да","Нет"))</f>
        <v/>
      </c>
      <c r="L2015" s="13">
        <f>IF(OR(I2015="",J2015=""),"Не определено",IF(OR(COUNTIF(I2015,"45*")&gt;0,COUNTIF(J2015,"*45*")&gt;0,COUNTIF(I2015,"46*")&gt;0,COUNTIF(J2015,"*46*")&gt;0,COUNTIF(I2015,"47*")&gt;0,COUNTIF(J2015,"*47*")&gt;0,COUNTIF(I2015,"10*")&gt;0,COUNTIF(J2015,"*10*")&gt;0,COUNTIF(I2015,"11*")&gt;0,COUNTIF(J2015,"*11*")&gt;0,COUNTIF(I2015,"12*")&gt;0,COUNTIF(J2015,"*12*")&gt;0,COUNTIF(I2015,"13*")&gt;0,COUNTIF(J2015,"*13*")&gt;0,COUNTIF(I2015,"14*")&gt;0,COUNTIF(J2015,"*14*")&gt;0,COUNTIF(I2015,"15*")&gt;0,COUNTIF(J2015,"*15*")&gt;0,COUNTIF(I2015,"16*")&gt;0,COUNTIF(J2015,"*16*")&gt;0,COUNTIF(I2015,"17*")&gt;0,COUNTIF(J2015,"*17*")&gt;0,COUNTIF(I2015,"18*")&gt;0,COUNTIF(J2015,"*18*")&gt;0,COUNTIF(I2015,"19*")&gt;0,COUNTIF(J2015,"*19*")&gt;0,COUNTIF(I2015,"20*")&gt;0,COUNTIF(J2015,"*20*")&gt;0,COUNTIF(I2015,"21*")&gt;0,COUNTIF(J2015,"*21*")&gt;0,COUNTIF(I2015,"22*")&gt;0,COUNTIF(J2015,"*22*")&gt;0,COUNTIF(I2015,"23*")&gt;0,COUNTIF(J2015,"*23*")&gt;0,COUNTIF(I2015,"24*")&gt;0,COUNTIF(J2015,"*24*")&gt;0,COUNTIF(I2015,"25*")&gt;0,COUNTIF(J2015,"*25*")&gt;0,COUNTIF(I2015,"26*")&gt;0,COUNTIF(J2015,"*26*")&gt;0,COUNTIF(I2015,"27*")&gt;0,COUNTIF(J2015,"*27*")&gt;0,COUNTIF(I2015,"28*")&gt;0,COUNTIF(J2015,"*28*")&gt;0,COUNTIF(I2015,"29*")&gt;0,COUNTIF(J2015,"*29*")&gt;0,COUNTIF(I2015,"30*")&gt;0,COUNTIF(J2015,"*30*")&gt;0,COUNTIF(I2015,"31*")&gt;0,COUNTIF(J2015,"*31*")&gt;0,COUNTIF(I2015,"32*")&gt;0,COUNTIF(J2015,"*32*")&gt;0,COUNTIF(I2015,"33*")&gt;0,COUNTIF(J2015,"*33*")&gt;0,COUNTIF(I2015,"41*")&gt;0,COUNTIF(J2015,"*41*")&gt;0,COUNTIF(I2015,"42*")&gt;0,COUNTIF(J2015,"*42*")&gt;0,COUNTIF(I2015,"43*")&gt;0,COUNTIF(J2015,"*43*")&gt;0,COUNTIF(I2015,"49*")&gt;0,COUNTIF(J2015,"*49*")&gt;0,COUNTIF(I2015,"52*")&gt;0,COUNTIF(J2015,"*52*")&gt;0,COUNTIF(I2015,"55*")&gt;0,COUNTIF(J2015,"*55*")&gt;0,COUNTIF(I2015,"56*")&gt;0,COUNTIF(J2015,"*56*")&gt;0,COUNTIF(I2015,"68*")&gt;0,COUNTIF(J2015,"*68*")&gt;0,COUNTIF(I2015,"78*")&gt;0,COUNTIF(J2015,"*78*")&gt;0,COUNTIF(I2015,"81*")&gt;0,COUNTIF(J2015,"*81*")&gt;0,COUNTIF(I2015,"82*")&gt;0,COUNTIF(J2015,"*82*")&gt;0,COUNTIF(I2015,"64*")&gt;0,COUNTIF(J2015,"*64*")&gt;0,COUNTIF(I2015,"65*")&gt;0,COUNTIF(J2015,"*65*")&gt;0,COUNTIF(I2015,"66*")&gt;0,COUNTIF(J2015,"*66*")&gt;0,COUNTIF(I2015,"61*")&gt;0,COUNTIF(J2015,"*61*")&gt;0,COUNTIF(I2015,"62*")&gt;0,COUNTIF(J2015,"*62*")&gt;0,COUNTIF(I2015,"63*")&gt;0,COUNTIF(J2015,"*63*")&gt;0,COUNTIF(I2015,"85*")&gt;0,COUNTIF(J2015,"*85*")&gt;0,COUNTIF(I2015,"86*")&gt;0,COUNTIF(J2015,"*86*")&gt;0),"Да","Нет"))</f>
        <v/>
      </c>
      <c r="M2015" s="13">
        <f>IF(OR(G2015="",L2015&lt;&gt;"Да"),"",IF(G2015&lt;=100,"До 100",IF(G2015&lt;=200,"До 200",IF(G2015&lt;=500,"До 500","Отдельное КП"))))</f>
        <v/>
      </c>
      <c r="N2015" s="15">
        <f>IF(OR(G2015="",L2015&lt;&gt;"Да"),"",IF(G2015&lt;=100,33600,IF(G2015&lt;=200,62400,IF(G2015&lt;=500,144000,""))))</f>
        <v/>
      </c>
      <c r="O2015" s="16">
        <f>IF(G2015="","",IF(G2015&lt;=15,"1–15",IF(G2015&lt;=30,"16–30",IF(G2015&lt;=50,"31–50",IF(G2015&lt;=100,"51–100",IF(G2015&lt;=150,"101–150",IF(G2015&lt;=200,"151–200",IF(G2015&lt;=500,"201–500","500+"))))))))</f>
        <v/>
      </c>
      <c r="P2015" s="16" t="inlineStr">
        <is>
          <t>Нет совпадения в предоставленной выгрузке ССЧР</t>
        </is>
      </c>
      <c r="Q2015" s="16" t="n"/>
      <c r="R2015" s="16">
        <f>HYPERLINK("https://checko.ru/search?query=3801001629","Чекко: проверить")</f>
        <v/>
      </c>
      <c r="S2015" t="n">
        <v>0</v>
      </c>
    </row>
    <row r="2016" ht="15" customHeight="1" s="24">
      <c r="A2016" s="13" t="n">
        <v>5000094457</v>
      </c>
      <c r="B2016" s="13" t="inlineStr">
        <is>
          <t>МУ "Отдел культуры Баксанского района"</t>
        </is>
      </c>
      <c r="C2016" s="13" t="n">
        <v>701010920</v>
      </c>
      <c r="D2016" s="13" t="n"/>
      <c r="E2016" s="13" t="inlineStr">
        <is>
          <t>Не определён</t>
        </is>
      </c>
      <c r="F2016" s="13" t="inlineStr">
        <is>
          <t>701010920</t>
        </is>
      </c>
      <c r="G2016" s="14" t="n"/>
      <c r="H2016" s="14" t="n"/>
      <c r="I2016" s="14" t="n"/>
      <c r="J2016" s="14" t="n"/>
      <c r="K2016" s="13">
        <f>IF(G2016="","",IF(G2016&gt;=22,"Да","Нет"))</f>
        <v/>
      </c>
      <c r="L2016" s="13">
        <f>IF(OR(I2016="",J2016=""),"Не определено",IF(OR(COUNTIF(I2016,"45*")&gt;0,COUNTIF(J2016,"*45*")&gt;0,COUNTIF(I2016,"46*")&gt;0,COUNTIF(J2016,"*46*")&gt;0,COUNTIF(I2016,"47*")&gt;0,COUNTIF(J2016,"*47*")&gt;0,COUNTIF(I2016,"10*")&gt;0,COUNTIF(J2016,"*10*")&gt;0,COUNTIF(I2016,"11*")&gt;0,COUNTIF(J2016,"*11*")&gt;0,COUNTIF(I2016,"12*")&gt;0,COUNTIF(J2016,"*12*")&gt;0,COUNTIF(I2016,"13*")&gt;0,COUNTIF(J2016,"*13*")&gt;0,COUNTIF(I2016,"14*")&gt;0,COUNTIF(J2016,"*14*")&gt;0,COUNTIF(I2016,"15*")&gt;0,COUNTIF(J2016,"*15*")&gt;0,COUNTIF(I2016,"16*")&gt;0,COUNTIF(J2016,"*16*")&gt;0,COUNTIF(I2016,"17*")&gt;0,COUNTIF(J2016,"*17*")&gt;0,COUNTIF(I2016,"18*")&gt;0,COUNTIF(J2016,"*18*")&gt;0,COUNTIF(I2016,"19*")&gt;0,COUNTIF(J2016,"*19*")&gt;0,COUNTIF(I2016,"20*")&gt;0,COUNTIF(J2016,"*20*")&gt;0,COUNTIF(I2016,"21*")&gt;0,COUNTIF(J2016,"*21*")&gt;0,COUNTIF(I2016,"22*")&gt;0,COUNTIF(J2016,"*22*")&gt;0,COUNTIF(I2016,"23*")&gt;0,COUNTIF(J2016,"*23*")&gt;0,COUNTIF(I2016,"24*")&gt;0,COUNTIF(J2016,"*24*")&gt;0,COUNTIF(I2016,"25*")&gt;0,COUNTIF(J2016,"*25*")&gt;0,COUNTIF(I2016,"26*")&gt;0,COUNTIF(J2016,"*26*")&gt;0,COUNTIF(I2016,"27*")&gt;0,COUNTIF(J2016,"*27*")&gt;0,COUNTIF(I2016,"28*")&gt;0,COUNTIF(J2016,"*28*")&gt;0,COUNTIF(I2016,"29*")&gt;0,COUNTIF(J2016,"*29*")&gt;0,COUNTIF(I2016,"30*")&gt;0,COUNTIF(J2016,"*30*")&gt;0,COUNTIF(I2016,"31*")&gt;0,COUNTIF(J2016,"*31*")&gt;0,COUNTIF(I2016,"32*")&gt;0,COUNTIF(J2016,"*32*")&gt;0,COUNTIF(I2016,"33*")&gt;0,COUNTIF(J2016,"*33*")&gt;0,COUNTIF(I2016,"41*")&gt;0,COUNTIF(J2016,"*41*")&gt;0,COUNTIF(I2016,"42*")&gt;0,COUNTIF(J2016,"*42*")&gt;0,COUNTIF(I2016,"43*")&gt;0,COUNTIF(J2016,"*43*")&gt;0,COUNTIF(I2016,"49*")&gt;0,COUNTIF(J2016,"*49*")&gt;0,COUNTIF(I2016,"52*")&gt;0,COUNTIF(J2016,"*52*")&gt;0,COUNTIF(I2016,"55*")&gt;0,COUNTIF(J2016,"*55*")&gt;0,COUNTIF(I2016,"56*")&gt;0,COUNTIF(J2016,"*56*")&gt;0,COUNTIF(I2016,"68*")&gt;0,COUNTIF(J2016,"*68*")&gt;0,COUNTIF(I2016,"78*")&gt;0,COUNTIF(J2016,"*78*")&gt;0,COUNTIF(I2016,"81*")&gt;0,COUNTIF(J2016,"*81*")&gt;0,COUNTIF(I2016,"82*")&gt;0,COUNTIF(J2016,"*82*")&gt;0,COUNTIF(I2016,"64*")&gt;0,COUNTIF(J2016,"*64*")&gt;0,COUNTIF(I2016,"65*")&gt;0,COUNTIF(J2016,"*65*")&gt;0,COUNTIF(I2016,"66*")&gt;0,COUNTIF(J2016,"*66*")&gt;0,COUNTIF(I2016,"61*")&gt;0,COUNTIF(J2016,"*61*")&gt;0,COUNTIF(I2016,"62*")&gt;0,COUNTIF(J2016,"*62*")&gt;0,COUNTIF(I2016,"63*")&gt;0,COUNTIF(J2016,"*63*")&gt;0,COUNTIF(I2016,"85*")&gt;0,COUNTIF(J2016,"*85*")&gt;0,COUNTIF(I2016,"86*")&gt;0,COUNTIF(J2016,"*86*")&gt;0),"Да","Нет"))</f>
        <v/>
      </c>
      <c r="M2016" s="13">
        <f>IF(OR(G2016="",L2016&lt;&gt;"Да"),"",IF(G2016&lt;=100,"До 100",IF(G2016&lt;=200,"До 200",IF(G2016&lt;=500,"До 500","Отдельное КП"))))</f>
        <v/>
      </c>
      <c r="N2016" s="15">
        <f>IF(OR(G2016="",L2016&lt;&gt;"Да"),"",IF(G2016&lt;=100,33600,IF(G2016&lt;=200,62400,IF(G2016&lt;=500,144000,""))))</f>
        <v/>
      </c>
      <c r="O2016" s="16">
        <f>IF(G2016="","",IF(G2016&lt;=15,"1–15",IF(G2016&lt;=30,"16–30",IF(G2016&lt;=50,"31–50",IF(G2016&lt;=100,"51–100",IF(G2016&lt;=150,"101–150",IF(G2016&lt;=200,"151–200",IF(G2016&lt;=500,"201–500","500+"))))))))</f>
        <v/>
      </c>
      <c r="P2016" s="16" t="inlineStr">
        <is>
          <t>Нет совпадения в предоставленной выгрузке ССЧР</t>
        </is>
      </c>
      <c r="Q2016" s="16" t="n"/>
      <c r="R2016" s="16">
        <f>HYPERLINK("https://checko.ru/search?query=3801001629","Чекко: проверить")</f>
        <v/>
      </c>
      <c r="S2016" t="n">
        <v>0</v>
      </c>
    </row>
    <row r="2017" ht="27.75" customHeight="1" s="24">
      <c r="A2017" s="13" t="n">
        <v>5000094458</v>
      </c>
      <c r="B2017" s="13" t="inlineStr">
        <is>
          <t>МКУ ДО ЦДТ Баксанского муниципального района КБР</t>
        </is>
      </c>
      <c r="C2017" s="13" t="n">
        <v>701011096</v>
      </c>
      <c r="D2017" s="13" t="n"/>
      <c r="E2017" s="13" t="inlineStr">
        <is>
          <t>Не определён</t>
        </is>
      </c>
      <c r="F2017" s="13" t="inlineStr">
        <is>
          <t>701011096</t>
        </is>
      </c>
      <c r="G2017" s="14" t="n"/>
      <c r="H2017" s="14" t="n"/>
      <c r="I2017" s="14" t="n"/>
      <c r="J2017" s="14" t="n"/>
      <c r="K2017" s="13">
        <f>IF(G2017="","",IF(G2017&gt;=22,"Да","Нет"))</f>
        <v/>
      </c>
      <c r="L2017" s="13">
        <f>IF(OR(I2017="",J2017=""),"Не определено",IF(OR(COUNTIF(I2017,"45*")&gt;0,COUNTIF(J2017,"*45*")&gt;0,COUNTIF(I2017,"46*")&gt;0,COUNTIF(J2017,"*46*")&gt;0,COUNTIF(I2017,"47*")&gt;0,COUNTIF(J2017,"*47*")&gt;0,COUNTIF(I2017,"10*")&gt;0,COUNTIF(J2017,"*10*")&gt;0,COUNTIF(I2017,"11*")&gt;0,COUNTIF(J2017,"*11*")&gt;0,COUNTIF(I2017,"12*")&gt;0,COUNTIF(J2017,"*12*")&gt;0,COUNTIF(I2017,"13*")&gt;0,COUNTIF(J2017,"*13*")&gt;0,COUNTIF(I2017,"14*")&gt;0,COUNTIF(J2017,"*14*")&gt;0,COUNTIF(I2017,"15*")&gt;0,COUNTIF(J2017,"*15*")&gt;0,COUNTIF(I2017,"16*")&gt;0,COUNTIF(J2017,"*16*")&gt;0,COUNTIF(I2017,"17*")&gt;0,COUNTIF(J2017,"*17*")&gt;0,COUNTIF(I2017,"18*")&gt;0,COUNTIF(J2017,"*18*")&gt;0,COUNTIF(I2017,"19*")&gt;0,COUNTIF(J2017,"*19*")&gt;0,COUNTIF(I2017,"20*")&gt;0,COUNTIF(J2017,"*20*")&gt;0,COUNTIF(I2017,"21*")&gt;0,COUNTIF(J2017,"*21*")&gt;0,COUNTIF(I2017,"22*")&gt;0,COUNTIF(J2017,"*22*")&gt;0,COUNTIF(I2017,"23*")&gt;0,COUNTIF(J2017,"*23*")&gt;0,COUNTIF(I2017,"24*")&gt;0,COUNTIF(J2017,"*24*")&gt;0,COUNTIF(I2017,"25*")&gt;0,COUNTIF(J2017,"*25*")&gt;0,COUNTIF(I2017,"26*")&gt;0,COUNTIF(J2017,"*26*")&gt;0,COUNTIF(I2017,"27*")&gt;0,COUNTIF(J2017,"*27*")&gt;0,COUNTIF(I2017,"28*")&gt;0,COUNTIF(J2017,"*28*")&gt;0,COUNTIF(I2017,"29*")&gt;0,COUNTIF(J2017,"*29*")&gt;0,COUNTIF(I2017,"30*")&gt;0,COUNTIF(J2017,"*30*")&gt;0,COUNTIF(I2017,"31*")&gt;0,COUNTIF(J2017,"*31*")&gt;0,COUNTIF(I2017,"32*")&gt;0,COUNTIF(J2017,"*32*")&gt;0,COUNTIF(I2017,"33*")&gt;0,COUNTIF(J2017,"*33*")&gt;0,COUNTIF(I2017,"41*")&gt;0,COUNTIF(J2017,"*41*")&gt;0,COUNTIF(I2017,"42*")&gt;0,COUNTIF(J2017,"*42*")&gt;0,COUNTIF(I2017,"43*")&gt;0,COUNTIF(J2017,"*43*")&gt;0,COUNTIF(I2017,"49*")&gt;0,COUNTIF(J2017,"*49*")&gt;0,COUNTIF(I2017,"52*")&gt;0,COUNTIF(J2017,"*52*")&gt;0,COUNTIF(I2017,"55*")&gt;0,COUNTIF(J2017,"*55*")&gt;0,COUNTIF(I2017,"56*")&gt;0,COUNTIF(J2017,"*56*")&gt;0,COUNTIF(I2017,"68*")&gt;0,COUNTIF(J2017,"*68*")&gt;0,COUNTIF(I2017,"78*")&gt;0,COUNTIF(J2017,"*78*")&gt;0,COUNTIF(I2017,"81*")&gt;0,COUNTIF(J2017,"*81*")&gt;0,COUNTIF(I2017,"82*")&gt;0,COUNTIF(J2017,"*82*")&gt;0,COUNTIF(I2017,"64*")&gt;0,COUNTIF(J2017,"*64*")&gt;0,COUNTIF(I2017,"65*")&gt;0,COUNTIF(J2017,"*65*")&gt;0,COUNTIF(I2017,"66*")&gt;0,COUNTIF(J2017,"*66*")&gt;0,COUNTIF(I2017,"61*")&gt;0,COUNTIF(J2017,"*61*")&gt;0,COUNTIF(I2017,"62*")&gt;0,COUNTIF(J2017,"*62*")&gt;0,COUNTIF(I2017,"63*")&gt;0,COUNTIF(J2017,"*63*")&gt;0,COUNTIF(I2017,"85*")&gt;0,COUNTIF(J2017,"*85*")&gt;0,COUNTIF(I2017,"86*")&gt;0,COUNTIF(J2017,"*86*")&gt;0),"Да","Нет"))</f>
        <v/>
      </c>
      <c r="M2017" s="13">
        <f>IF(OR(G2017="",L2017&lt;&gt;"Да"),"",IF(G2017&lt;=100,"До 100",IF(G2017&lt;=200,"До 200",IF(G2017&lt;=500,"До 500","Отдельное КП"))))</f>
        <v/>
      </c>
      <c r="N2017" s="15">
        <f>IF(OR(G2017="",L2017&lt;&gt;"Да"),"",IF(G2017&lt;=100,33600,IF(G2017&lt;=200,62400,IF(G2017&lt;=500,144000,""))))</f>
        <v/>
      </c>
      <c r="O2017" s="16">
        <f>IF(G2017="","",IF(G2017&lt;=15,"1–15",IF(G2017&lt;=30,"16–30",IF(G2017&lt;=50,"31–50",IF(G2017&lt;=100,"51–100",IF(G2017&lt;=150,"101–150",IF(G2017&lt;=200,"151–200",IF(G2017&lt;=500,"201–500","500+"))))))))</f>
        <v/>
      </c>
      <c r="P2017" s="16" t="inlineStr">
        <is>
          <t>Нет совпадения в предоставленной выгрузке ССЧР</t>
        </is>
      </c>
      <c r="Q2017" s="16" t="n"/>
      <c r="R2017" s="16">
        <f>HYPERLINK("https://checko.ru/search?query=3801001629","Чекко: проверить")</f>
        <v/>
      </c>
      <c r="S2017" t="n">
        <v>0</v>
      </c>
    </row>
    <row r="2018" ht="15" customHeight="1" s="24">
      <c r="A2018" s="13" t="n">
        <v>5000094459</v>
      </c>
      <c r="B2018" s="13" t="inlineStr">
        <is>
          <t>МКУ "СШ им.А.Т.Шаова г.о.Баксан"</t>
        </is>
      </c>
      <c r="C2018" s="13" t="n">
        <v>701011473</v>
      </c>
      <c r="D2018" s="13" t="n"/>
      <c r="E2018" s="13" t="inlineStr">
        <is>
          <t>Не определён</t>
        </is>
      </c>
      <c r="F2018" s="13" t="inlineStr">
        <is>
          <t>701011473</t>
        </is>
      </c>
      <c r="G2018" s="14" t="n"/>
      <c r="H2018" s="14" t="n"/>
      <c r="I2018" s="14" t="n"/>
      <c r="J2018" s="14" t="n"/>
      <c r="K2018" s="13">
        <f>IF(G2018="","",IF(G2018&gt;=22,"Да","Нет"))</f>
        <v/>
      </c>
      <c r="L2018" s="13">
        <f>IF(OR(I2018="",J2018=""),"Не определено",IF(OR(COUNTIF(I2018,"45*")&gt;0,COUNTIF(J2018,"*45*")&gt;0,COUNTIF(I2018,"46*")&gt;0,COUNTIF(J2018,"*46*")&gt;0,COUNTIF(I2018,"47*")&gt;0,COUNTIF(J2018,"*47*")&gt;0,COUNTIF(I2018,"10*")&gt;0,COUNTIF(J2018,"*10*")&gt;0,COUNTIF(I2018,"11*")&gt;0,COUNTIF(J2018,"*11*")&gt;0,COUNTIF(I2018,"12*")&gt;0,COUNTIF(J2018,"*12*")&gt;0,COUNTIF(I2018,"13*")&gt;0,COUNTIF(J2018,"*13*")&gt;0,COUNTIF(I2018,"14*")&gt;0,COUNTIF(J2018,"*14*")&gt;0,COUNTIF(I2018,"15*")&gt;0,COUNTIF(J2018,"*15*")&gt;0,COUNTIF(I2018,"16*")&gt;0,COUNTIF(J2018,"*16*")&gt;0,COUNTIF(I2018,"17*")&gt;0,COUNTIF(J2018,"*17*")&gt;0,COUNTIF(I2018,"18*")&gt;0,COUNTIF(J2018,"*18*")&gt;0,COUNTIF(I2018,"19*")&gt;0,COUNTIF(J2018,"*19*")&gt;0,COUNTIF(I2018,"20*")&gt;0,COUNTIF(J2018,"*20*")&gt;0,COUNTIF(I2018,"21*")&gt;0,COUNTIF(J2018,"*21*")&gt;0,COUNTIF(I2018,"22*")&gt;0,COUNTIF(J2018,"*22*")&gt;0,COUNTIF(I2018,"23*")&gt;0,COUNTIF(J2018,"*23*")&gt;0,COUNTIF(I2018,"24*")&gt;0,COUNTIF(J2018,"*24*")&gt;0,COUNTIF(I2018,"25*")&gt;0,COUNTIF(J2018,"*25*")&gt;0,COUNTIF(I2018,"26*")&gt;0,COUNTIF(J2018,"*26*")&gt;0,COUNTIF(I2018,"27*")&gt;0,COUNTIF(J2018,"*27*")&gt;0,COUNTIF(I2018,"28*")&gt;0,COUNTIF(J2018,"*28*")&gt;0,COUNTIF(I2018,"29*")&gt;0,COUNTIF(J2018,"*29*")&gt;0,COUNTIF(I2018,"30*")&gt;0,COUNTIF(J2018,"*30*")&gt;0,COUNTIF(I2018,"31*")&gt;0,COUNTIF(J2018,"*31*")&gt;0,COUNTIF(I2018,"32*")&gt;0,COUNTIF(J2018,"*32*")&gt;0,COUNTIF(I2018,"33*")&gt;0,COUNTIF(J2018,"*33*")&gt;0,COUNTIF(I2018,"41*")&gt;0,COUNTIF(J2018,"*41*")&gt;0,COUNTIF(I2018,"42*")&gt;0,COUNTIF(J2018,"*42*")&gt;0,COUNTIF(I2018,"43*")&gt;0,COUNTIF(J2018,"*43*")&gt;0,COUNTIF(I2018,"49*")&gt;0,COUNTIF(J2018,"*49*")&gt;0,COUNTIF(I2018,"52*")&gt;0,COUNTIF(J2018,"*52*")&gt;0,COUNTIF(I2018,"55*")&gt;0,COUNTIF(J2018,"*55*")&gt;0,COUNTIF(I2018,"56*")&gt;0,COUNTIF(J2018,"*56*")&gt;0,COUNTIF(I2018,"68*")&gt;0,COUNTIF(J2018,"*68*")&gt;0,COUNTIF(I2018,"78*")&gt;0,COUNTIF(J2018,"*78*")&gt;0,COUNTIF(I2018,"81*")&gt;0,COUNTIF(J2018,"*81*")&gt;0,COUNTIF(I2018,"82*")&gt;0,COUNTIF(J2018,"*82*")&gt;0,COUNTIF(I2018,"64*")&gt;0,COUNTIF(J2018,"*64*")&gt;0,COUNTIF(I2018,"65*")&gt;0,COUNTIF(J2018,"*65*")&gt;0,COUNTIF(I2018,"66*")&gt;0,COUNTIF(J2018,"*66*")&gt;0,COUNTIF(I2018,"61*")&gt;0,COUNTIF(J2018,"*61*")&gt;0,COUNTIF(I2018,"62*")&gt;0,COUNTIF(J2018,"*62*")&gt;0,COUNTIF(I2018,"63*")&gt;0,COUNTIF(J2018,"*63*")&gt;0,COUNTIF(I2018,"85*")&gt;0,COUNTIF(J2018,"*85*")&gt;0,COUNTIF(I2018,"86*")&gt;0,COUNTIF(J2018,"*86*")&gt;0),"Да","Нет"))</f>
        <v/>
      </c>
      <c r="M2018" s="13">
        <f>IF(OR(G2018="",L2018&lt;&gt;"Да"),"",IF(G2018&lt;=100,"До 100",IF(G2018&lt;=200,"До 200",IF(G2018&lt;=500,"До 500","Отдельное КП"))))</f>
        <v/>
      </c>
      <c r="N2018" s="15">
        <f>IF(OR(G2018="",L2018&lt;&gt;"Да"),"",IF(G2018&lt;=100,33600,IF(G2018&lt;=200,62400,IF(G2018&lt;=500,144000,""))))</f>
        <v/>
      </c>
      <c r="O2018" s="16">
        <f>IF(G2018="","",IF(G2018&lt;=15,"1–15",IF(G2018&lt;=30,"16–30",IF(G2018&lt;=50,"31–50",IF(G2018&lt;=100,"51–100",IF(G2018&lt;=150,"101–150",IF(G2018&lt;=200,"151–200",IF(G2018&lt;=500,"201–500","500+"))))))))</f>
        <v/>
      </c>
      <c r="P2018" s="16" t="inlineStr">
        <is>
          <t>Нет совпадения в предоставленной выгрузке ССЧР</t>
        </is>
      </c>
      <c r="Q2018" s="16" t="n"/>
      <c r="R2018" s="16">
        <f>HYPERLINK("https://checko.ru/search?query=3801001629","Чекко: проверить")</f>
        <v/>
      </c>
      <c r="S2018" t="n">
        <v>0</v>
      </c>
    </row>
    <row r="2019" ht="15" customHeight="1" s="24">
      <c r="A2019" s="13" t="n">
        <v>5000094460</v>
      </c>
      <c r="B2019" s="13" t="inlineStr">
        <is>
          <t>МКУ "СШ им.Ж.А.Бифова г.о.Баксан"</t>
        </is>
      </c>
      <c r="C2019" s="13" t="n">
        <v>701011699</v>
      </c>
      <c r="D2019" s="13" t="n"/>
      <c r="E2019" s="13" t="inlineStr">
        <is>
          <t>Не определён</t>
        </is>
      </c>
      <c r="F2019" s="13" t="inlineStr">
        <is>
          <t>701011699</t>
        </is>
      </c>
      <c r="G2019" s="14" t="n"/>
      <c r="H2019" s="14" t="n"/>
      <c r="I2019" s="14" t="n"/>
      <c r="J2019" s="14" t="n"/>
      <c r="K2019" s="13">
        <f>IF(G2019="","",IF(G2019&gt;=22,"Да","Нет"))</f>
        <v/>
      </c>
      <c r="L2019" s="13">
        <f>IF(OR(I2019="",J2019=""),"Не определено",IF(OR(COUNTIF(I2019,"45*")&gt;0,COUNTIF(J2019,"*45*")&gt;0,COUNTIF(I2019,"46*")&gt;0,COUNTIF(J2019,"*46*")&gt;0,COUNTIF(I2019,"47*")&gt;0,COUNTIF(J2019,"*47*")&gt;0,COUNTIF(I2019,"10*")&gt;0,COUNTIF(J2019,"*10*")&gt;0,COUNTIF(I2019,"11*")&gt;0,COUNTIF(J2019,"*11*")&gt;0,COUNTIF(I2019,"12*")&gt;0,COUNTIF(J2019,"*12*")&gt;0,COUNTIF(I2019,"13*")&gt;0,COUNTIF(J2019,"*13*")&gt;0,COUNTIF(I2019,"14*")&gt;0,COUNTIF(J2019,"*14*")&gt;0,COUNTIF(I2019,"15*")&gt;0,COUNTIF(J2019,"*15*")&gt;0,COUNTIF(I2019,"16*")&gt;0,COUNTIF(J2019,"*16*")&gt;0,COUNTIF(I2019,"17*")&gt;0,COUNTIF(J2019,"*17*")&gt;0,COUNTIF(I2019,"18*")&gt;0,COUNTIF(J2019,"*18*")&gt;0,COUNTIF(I2019,"19*")&gt;0,COUNTIF(J2019,"*19*")&gt;0,COUNTIF(I2019,"20*")&gt;0,COUNTIF(J2019,"*20*")&gt;0,COUNTIF(I2019,"21*")&gt;0,COUNTIF(J2019,"*21*")&gt;0,COUNTIF(I2019,"22*")&gt;0,COUNTIF(J2019,"*22*")&gt;0,COUNTIF(I2019,"23*")&gt;0,COUNTIF(J2019,"*23*")&gt;0,COUNTIF(I2019,"24*")&gt;0,COUNTIF(J2019,"*24*")&gt;0,COUNTIF(I2019,"25*")&gt;0,COUNTIF(J2019,"*25*")&gt;0,COUNTIF(I2019,"26*")&gt;0,COUNTIF(J2019,"*26*")&gt;0,COUNTIF(I2019,"27*")&gt;0,COUNTIF(J2019,"*27*")&gt;0,COUNTIF(I2019,"28*")&gt;0,COUNTIF(J2019,"*28*")&gt;0,COUNTIF(I2019,"29*")&gt;0,COUNTIF(J2019,"*29*")&gt;0,COUNTIF(I2019,"30*")&gt;0,COUNTIF(J2019,"*30*")&gt;0,COUNTIF(I2019,"31*")&gt;0,COUNTIF(J2019,"*31*")&gt;0,COUNTIF(I2019,"32*")&gt;0,COUNTIF(J2019,"*32*")&gt;0,COUNTIF(I2019,"33*")&gt;0,COUNTIF(J2019,"*33*")&gt;0,COUNTIF(I2019,"41*")&gt;0,COUNTIF(J2019,"*41*")&gt;0,COUNTIF(I2019,"42*")&gt;0,COUNTIF(J2019,"*42*")&gt;0,COUNTIF(I2019,"43*")&gt;0,COUNTIF(J2019,"*43*")&gt;0,COUNTIF(I2019,"49*")&gt;0,COUNTIF(J2019,"*49*")&gt;0,COUNTIF(I2019,"52*")&gt;0,COUNTIF(J2019,"*52*")&gt;0,COUNTIF(I2019,"55*")&gt;0,COUNTIF(J2019,"*55*")&gt;0,COUNTIF(I2019,"56*")&gt;0,COUNTIF(J2019,"*56*")&gt;0,COUNTIF(I2019,"68*")&gt;0,COUNTIF(J2019,"*68*")&gt;0,COUNTIF(I2019,"78*")&gt;0,COUNTIF(J2019,"*78*")&gt;0,COUNTIF(I2019,"81*")&gt;0,COUNTIF(J2019,"*81*")&gt;0,COUNTIF(I2019,"82*")&gt;0,COUNTIF(J2019,"*82*")&gt;0,COUNTIF(I2019,"64*")&gt;0,COUNTIF(J2019,"*64*")&gt;0,COUNTIF(I2019,"65*")&gt;0,COUNTIF(J2019,"*65*")&gt;0,COUNTIF(I2019,"66*")&gt;0,COUNTIF(J2019,"*66*")&gt;0,COUNTIF(I2019,"61*")&gt;0,COUNTIF(J2019,"*61*")&gt;0,COUNTIF(I2019,"62*")&gt;0,COUNTIF(J2019,"*62*")&gt;0,COUNTIF(I2019,"63*")&gt;0,COUNTIF(J2019,"*63*")&gt;0,COUNTIF(I2019,"85*")&gt;0,COUNTIF(J2019,"*85*")&gt;0,COUNTIF(I2019,"86*")&gt;0,COUNTIF(J2019,"*86*")&gt;0),"Да","Нет"))</f>
        <v/>
      </c>
      <c r="M2019" s="13">
        <f>IF(OR(G2019="",L2019&lt;&gt;"Да"),"",IF(G2019&lt;=100,"До 100",IF(G2019&lt;=200,"До 200",IF(G2019&lt;=500,"До 500","Отдельное КП"))))</f>
        <v/>
      </c>
      <c r="N2019" s="15">
        <f>IF(OR(G2019="",L2019&lt;&gt;"Да"),"",IF(G2019&lt;=100,33600,IF(G2019&lt;=200,62400,IF(G2019&lt;=500,144000,""))))</f>
        <v/>
      </c>
      <c r="O2019" s="16">
        <f>IF(G2019="","",IF(G2019&lt;=15,"1–15",IF(G2019&lt;=30,"16–30",IF(G2019&lt;=50,"31–50",IF(G2019&lt;=100,"51–100",IF(G2019&lt;=150,"101–150",IF(G2019&lt;=200,"151–200",IF(G2019&lt;=500,"201–500","500+"))))))))</f>
        <v/>
      </c>
      <c r="P2019" s="16" t="inlineStr">
        <is>
          <t>Нет совпадения в предоставленной выгрузке ССЧР</t>
        </is>
      </c>
      <c r="Q2019" s="16" t="n"/>
      <c r="R2019" s="16">
        <f>HYPERLINK("https://checko.ru/search?query=3801001629","Чекко: проверить")</f>
        <v/>
      </c>
      <c r="S2019" t="n">
        <v>0</v>
      </c>
    </row>
    <row r="2020" ht="15" customHeight="1" s="24">
      <c r="A2020" s="13" t="n">
        <v>5000094461</v>
      </c>
      <c r="B2020" s="13" t="inlineStr">
        <is>
          <t>МКОУ СОШ №3 им. Р.Калмыкова г. Баксана</t>
        </is>
      </c>
      <c r="C2020" s="13" t="n">
        <v>701012460</v>
      </c>
      <c r="D2020" s="13" t="n"/>
      <c r="E2020" s="13" t="inlineStr">
        <is>
          <t>Не определён</t>
        </is>
      </c>
      <c r="F2020" s="13" t="inlineStr">
        <is>
          <t>701012460</t>
        </is>
      </c>
      <c r="G2020" s="14" t="n"/>
      <c r="H2020" s="14" t="n"/>
      <c r="I2020" s="14" t="n"/>
      <c r="J2020" s="14" t="n"/>
      <c r="K2020" s="13">
        <f>IF(G2020="","",IF(G2020&gt;=22,"Да","Нет"))</f>
        <v/>
      </c>
      <c r="L2020" s="13">
        <f>IF(OR(I2020="",J2020=""),"Не определено",IF(OR(COUNTIF(I2020,"45*")&gt;0,COUNTIF(J2020,"*45*")&gt;0,COUNTIF(I2020,"46*")&gt;0,COUNTIF(J2020,"*46*")&gt;0,COUNTIF(I2020,"47*")&gt;0,COUNTIF(J2020,"*47*")&gt;0,COUNTIF(I2020,"10*")&gt;0,COUNTIF(J2020,"*10*")&gt;0,COUNTIF(I2020,"11*")&gt;0,COUNTIF(J2020,"*11*")&gt;0,COUNTIF(I2020,"12*")&gt;0,COUNTIF(J2020,"*12*")&gt;0,COUNTIF(I2020,"13*")&gt;0,COUNTIF(J2020,"*13*")&gt;0,COUNTIF(I2020,"14*")&gt;0,COUNTIF(J2020,"*14*")&gt;0,COUNTIF(I2020,"15*")&gt;0,COUNTIF(J2020,"*15*")&gt;0,COUNTIF(I2020,"16*")&gt;0,COUNTIF(J2020,"*16*")&gt;0,COUNTIF(I2020,"17*")&gt;0,COUNTIF(J2020,"*17*")&gt;0,COUNTIF(I2020,"18*")&gt;0,COUNTIF(J2020,"*18*")&gt;0,COUNTIF(I2020,"19*")&gt;0,COUNTIF(J2020,"*19*")&gt;0,COUNTIF(I2020,"20*")&gt;0,COUNTIF(J2020,"*20*")&gt;0,COUNTIF(I2020,"21*")&gt;0,COUNTIF(J2020,"*21*")&gt;0,COUNTIF(I2020,"22*")&gt;0,COUNTIF(J2020,"*22*")&gt;0,COUNTIF(I2020,"23*")&gt;0,COUNTIF(J2020,"*23*")&gt;0,COUNTIF(I2020,"24*")&gt;0,COUNTIF(J2020,"*24*")&gt;0,COUNTIF(I2020,"25*")&gt;0,COUNTIF(J2020,"*25*")&gt;0,COUNTIF(I2020,"26*")&gt;0,COUNTIF(J2020,"*26*")&gt;0,COUNTIF(I2020,"27*")&gt;0,COUNTIF(J2020,"*27*")&gt;0,COUNTIF(I2020,"28*")&gt;0,COUNTIF(J2020,"*28*")&gt;0,COUNTIF(I2020,"29*")&gt;0,COUNTIF(J2020,"*29*")&gt;0,COUNTIF(I2020,"30*")&gt;0,COUNTIF(J2020,"*30*")&gt;0,COUNTIF(I2020,"31*")&gt;0,COUNTIF(J2020,"*31*")&gt;0,COUNTIF(I2020,"32*")&gt;0,COUNTIF(J2020,"*32*")&gt;0,COUNTIF(I2020,"33*")&gt;0,COUNTIF(J2020,"*33*")&gt;0,COUNTIF(I2020,"41*")&gt;0,COUNTIF(J2020,"*41*")&gt;0,COUNTIF(I2020,"42*")&gt;0,COUNTIF(J2020,"*42*")&gt;0,COUNTIF(I2020,"43*")&gt;0,COUNTIF(J2020,"*43*")&gt;0,COUNTIF(I2020,"49*")&gt;0,COUNTIF(J2020,"*49*")&gt;0,COUNTIF(I2020,"52*")&gt;0,COUNTIF(J2020,"*52*")&gt;0,COUNTIF(I2020,"55*")&gt;0,COUNTIF(J2020,"*55*")&gt;0,COUNTIF(I2020,"56*")&gt;0,COUNTIF(J2020,"*56*")&gt;0,COUNTIF(I2020,"68*")&gt;0,COUNTIF(J2020,"*68*")&gt;0,COUNTIF(I2020,"78*")&gt;0,COUNTIF(J2020,"*78*")&gt;0,COUNTIF(I2020,"81*")&gt;0,COUNTIF(J2020,"*81*")&gt;0,COUNTIF(I2020,"82*")&gt;0,COUNTIF(J2020,"*82*")&gt;0,COUNTIF(I2020,"64*")&gt;0,COUNTIF(J2020,"*64*")&gt;0,COUNTIF(I2020,"65*")&gt;0,COUNTIF(J2020,"*65*")&gt;0,COUNTIF(I2020,"66*")&gt;0,COUNTIF(J2020,"*66*")&gt;0,COUNTIF(I2020,"61*")&gt;0,COUNTIF(J2020,"*61*")&gt;0,COUNTIF(I2020,"62*")&gt;0,COUNTIF(J2020,"*62*")&gt;0,COUNTIF(I2020,"63*")&gt;0,COUNTIF(J2020,"*63*")&gt;0,COUNTIF(I2020,"85*")&gt;0,COUNTIF(J2020,"*85*")&gt;0,COUNTIF(I2020,"86*")&gt;0,COUNTIF(J2020,"*86*")&gt;0),"Да","Нет"))</f>
        <v/>
      </c>
      <c r="M2020" s="13">
        <f>IF(OR(G2020="",L2020&lt;&gt;"Да"),"",IF(G2020&lt;=100,"До 100",IF(G2020&lt;=200,"До 200",IF(G2020&lt;=500,"До 500","Отдельное КП"))))</f>
        <v/>
      </c>
      <c r="N2020" s="15">
        <f>IF(OR(G2020="",L2020&lt;&gt;"Да"),"",IF(G2020&lt;=100,33600,IF(G2020&lt;=200,62400,IF(G2020&lt;=500,144000,""))))</f>
        <v/>
      </c>
      <c r="O2020" s="16">
        <f>IF(G2020="","",IF(G2020&lt;=15,"1–15",IF(G2020&lt;=30,"16–30",IF(G2020&lt;=50,"31–50",IF(G2020&lt;=100,"51–100",IF(G2020&lt;=150,"101–150",IF(G2020&lt;=200,"151–200",IF(G2020&lt;=500,"201–500","500+"))))))))</f>
        <v/>
      </c>
      <c r="P2020" s="16" t="inlineStr">
        <is>
          <t>Нет совпадения в предоставленной выгрузке ССЧР</t>
        </is>
      </c>
      <c r="Q2020" s="16" t="n"/>
      <c r="R2020" s="16">
        <f>HYPERLINK("https://checko.ru/search?query=3801001629","Чекко: проверить")</f>
        <v/>
      </c>
      <c r="S2020" t="n">
        <v>0</v>
      </c>
    </row>
    <row r="2021" ht="27.75" customHeight="1" s="24">
      <c r="A2021" s="13" t="n">
        <v>5000094462</v>
      </c>
      <c r="B2021" s="13" t="inlineStr">
        <is>
          <t>МКОУ "СОШ №6 ИМ.М.Ю.ЛЕРМОНТОВА Г. Баксана"</t>
        </is>
      </c>
      <c r="C2021" s="13" t="n">
        <v>701012477</v>
      </c>
      <c r="D2021" s="13" t="n"/>
      <c r="E2021" s="13" t="inlineStr">
        <is>
          <t>Не определён</t>
        </is>
      </c>
      <c r="F2021" s="13" t="inlineStr">
        <is>
          <t>701012477</t>
        </is>
      </c>
      <c r="G2021" s="14" t="n"/>
      <c r="H2021" s="14" t="n"/>
      <c r="I2021" s="14" t="n"/>
      <c r="J2021" s="14" t="n"/>
      <c r="K2021" s="13">
        <f>IF(G2021="","",IF(G2021&gt;=22,"Да","Нет"))</f>
        <v/>
      </c>
      <c r="L2021" s="13">
        <f>IF(OR(I2021="",J2021=""),"Не определено",IF(OR(COUNTIF(I2021,"45*")&gt;0,COUNTIF(J2021,"*45*")&gt;0,COUNTIF(I2021,"46*")&gt;0,COUNTIF(J2021,"*46*")&gt;0,COUNTIF(I2021,"47*")&gt;0,COUNTIF(J2021,"*47*")&gt;0,COUNTIF(I2021,"10*")&gt;0,COUNTIF(J2021,"*10*")&gt;0,COUNTIF(I2021,"11*")&gt;0,COUNTIF(J2021,"*11*")&gt;0,COUNTIF(I2021,"12*")&gt;0,COUNTIF(J2021,"*12*")&gt;0,COUNTIF(I2021,"13*")&gt;0,COUNTIF(J2021,"*13*")&gt;0,COUNTIF(I2021,"14*")&gt;0,COUNTIF(J2021,"*14*")&gt;0,COUNTIF(I2021,"15*")&gt;0,COUNTIF(J2021,"*15*")&gt;0,COUNTIF(I2021,"16*")&gt;0,COUNTIF(J2021,"*16*")&gt;0,COUNTIF(I2021,"17*")&gt;0,COUNTIF(J2021,"*17*")&gt;0,COUNTIF(I2021,"18*")&gt;0,COUNTIF(J2021,"*18*")&gt;0,COUNTIF(I2021,"19*")&gt;0,COUNTIF(J2021,"*19*")&gt;0,COUNTIF(I2021,"20*")&gt;0,COUNTIF(J2021,"*20*")&gt;0,COUNTIF(I2021,"21*")&gt;0,COUNTIF(J2021,"*21*")&gt;0,COUNTIF(I2021,"22*")&gt;0,COUNTIF(J2021,"*22*")&gt;0,COUNTIF(I2021,"23*")&gt;0,COUNTIF(J2021,"*23*")&gt;0,COUNTIF(I2021,"24*")&gt;0,COUNTIF(J2021,"*24*")&gt;0,COUNTIF(I2021,"25*")&gt;0,COUNTIF(J2021,"*25*")&gt;0,COUNTIF(I2021,"26*")&gt;0,COUNTIF(J2021,"*26*")&gt;0,COUNTIF(I2021,"27*")&gt;0,COUNTIF(J2021,"*27*")&gt;0,COUNTIF(I2021,"28*")&gt;0,COUNTIF(J2021,"*28*")&gt;0,COUNTIF(I2021,"29*")&gt;0,COUNTIF(J2021,"*29*")&gt;0,COUNTIF(I2021,"30*")&gt;0,COUNTIF(J2021,"*30*")&gt;0,COUNTIF(I2021,"31*")&gt;0,COUNTIF(J2021,"*31*")&gt;0,COUNTIF(I2021,"32*")&gt;0,COUNTIF(J2021,"*32*")&gt;0,COUNTIF(I2021,"33*")&gt;0,COUNTIF(J2021,"*33*")&gt;0,COUNTIF(I2021,"41*")&gt;0,COUNTIF(J2021,"*41*")&gt;0,COUNTIF(I2021,"42*")&gt;0,COUNTIF(J2021,"*42*")&gt;0,COUNTIF(I2021,"43*")&gt;0,COUNTIF(J2021,"*43*")&gt;0,COUNTIF(I2021,"49*")&gt;0,COUNTIF(J2021,"*49*")&gt;0,COUNTIF(I2021,"52*")&gt;0,COUNTIF(J2021,"*52*")&gt;0,COUNTIF(I2021,"55*")&gt;0,COUNTIF(J2021,"*55*")&gt;0,COUNTIF(I2021,"56*")&gt;0,COUNTIF(J2021,"*56*")&gt;0,COUNTIF(I2021,"68*")&gt;0,COUNTIF(J2021,"*68*")&gt;0,COUNTIF(I2021,"78*")&gt;0,COUNTIF(J2021,"*78*")&gt;0,COUNTIF(I2021,"81*")&gt;0,COUNTIF(J2021,"*81*")&gt;0,COUNTIF(I2021,"82*")&gt;0,COUNTIF(J2021,"*82*")&gt;0,COUNTIF(I2021,"64*")&gt;0,COUNTIF(J2021,"*64*")&gt;0,COUNTIF(I2021,"65*")&gt;0,COUNTIF(J2021,"*65*")&gt;0,COUNTIF(I2021,"66*")&gt;0,COUNTIF(J2021,"*66*")&gt;0,COUNTIF(I2021,"61*")&gt;0,COUNTIF(J2021,"*61*")&gt;0,COUNTIF(I2021,"62*")&gt;0,COUNTIF(J2021,"*62*")&gt;0,COUNTIF(I2021,"63*")&gt;0,COUNTIF(J2021,"*63*")&gt;0,COUNTIF(I2021,"85*")&gt;0,COUNTIF(J2021,"*85*")&gt;0,COUNTIF(I2021,"86*")&gt;0,COUNTIF(J2021,"*86*")&gt;0),"Да","Нет"))</f>
        <v/>
      </c>
      <c r="M2021" s="13">
        <f>IF(OR(G2021="",L2021&lt;&gt;"Да"),"",IF(G2021&lt;=100,"До 100",IF(G2021&lt;=200,"До 200",IF(G2021&lt;=500,"До 500","Отдельное КП"))))</f>
        <v/>
      </c>
      <c r="N2021" s="15">
        <f>IF(OR(G2021="",L2021&lt;&gt;"Да"),"",IF(G2021&lt;=100,33600,IF(G2021&lt;=200,62400,IF(G2021&lt;=500,144000,""))))</f>
        <v/>
      </c>
      <c r="O2021" s="16">
        <f>IF(G2021="","",IF(G2021&lt;=15,"1–15",IF(G2021&lt;=30,"16–30",IF(G2021&lt;=50,"31–50",IF(G2021&lt;=100,"51–100",IF(G2021&lt;=150,"101–150",IF(G2021&lt;=200,"151–200",IF(G2021&lt;=500,"201–500","500+"))))))))</f>
        <v/>
      </c>
      <c r="P2021" s="16" t="inlineStr">
        <is>
          <t>Нет совпадения в предоставленной выгрузке ССЧР</t>
        </is>
      </c>
      <c r="Q2021" s="16" t="n"/>
      <c r="R2021" s="16">
        <f>HYPERLINK("https://checko.ru/search?query=3801001629","Чекко: проверить")</f>
        <v/>
      </c>
      <c r="S2021" t="n">
        <v>0</v>
      </c>
    </row>
    <row r="2022" ht="15" customHeight="1" s="24">
      <c r="A2022" s="13" t="n">
        <v>5000094463</v>
      </c>
      <c r="B2022" s="13" t="inlineStr">
        <is>
          <t>МКОУ "Прогимназия №5 г. Баксана"</t>
        </is>
      </c>
      <c r="C2022" s="13" t="n">
        <v>701012484</v>
      </c>
      <c r="D2022" s="13" t="n"/>
      <c r="E2022" s="13" t="inlineStr">
        <is>
          <t>Не определён</t>
        </is>
      </c>
      <c r="F2022" s="13" t="inlineStr">
        <is>
          <t>701012484</t>
        </is>
      </c>
      <c r="G2022" s="14" t="n"/>
      <c r="H2022" s="14" t="n"/>
      <c r="I2022" s="14" t="n"/>
      <c r="J2022" s="14" t="n"/>
      <c r="K2022" s="13">
        <f>IF(G2022="","",IF(G2022&gt;=22,"Да","Нет"))</f>
        <v/>
      </c>
      <c r="L2022" s="13">
        <f>IF(OR(I2022="",J2022=""),"Не определено",IF(OR(COUNTIF(I2022,"45*")&gt;0,COUNTIF(J2022,"*45*")&gt;0,COUNTIF(I2022,"46*")&gt;0,COUNTIF(J2022,"*46*")&gt;0,COUNTIF(I2022,"47*")&gt;0,COUNTIF(J2022,"*47*")&gt;0,COUNTIF(I2022,"10*")&gt;0,COUNTIF(J2022,"*10*")&gt;0,COUNTIF(I2022,"11*")&gt;0,COUNTIF(J2022,"*11*")&gt;0,COUNTIF(I2022,"12*")&gt;0,COUNTIF(J2022,"*12*")&gt;0,COUNTIF(I2022,"13*")&gt;0,COUNTIF(J2022,"*13*")&gt;0,COUNTIF(I2022,"14*")&gt;0,COUNTIF(J2022,"*14*")&gt;0,COUNTIF(I2022,"15*")&gt;0,COUNTIF(J2022,"*15*")&gt;0,COUNTIF(I2022,"16*")&gt;0,COUNTIF(J2022,"*16*")&gt;0,COUNTIF(I2022,"17*")&gt;0,COUNTIF(J2022,"*17*")&gt;0,COUNTIF(I2022,"18*")&gt;0,COUNTIF(J2022,"*18*")&gt;0,COUNTIF(I2022,"19*")&gt;0,COUNTIF(J2022,"*19*")&gt;0,COUNTIF(I2022,"20*")&gt;0,COUNTIF(J2022,"*20*")&gt;0,COUNTIF(I2022,"21*")&gt;0,COUNTIF(J2022,"*21*")&gt;0,COUNTIF(I2022,"22*")&gt;0,COUNTIF(J2022,"*22*")&gt;0,COUNTIF(I2022,"23*")&gt;0,COUNTIF(J2022,"*23*")&gt;0,COUNTIF(I2022,"24*")&gt;0,COUNTIF(J2022,"*24*")&gt;0,COUNTIF(I2022,"25*")&gt;0,COUNTIF(J2022,"*25*")&gt;0,COUNTIF(I2022,"26*")&gt;0,COUNTIF(J2022,"*26*")&gt;0,COUNTIF(I2022,"27*")&gt;0,COUNTIF(J2022,"*27*")&gt;0,COUNTIF(I2022,"28*")&gt;0,COUNTIF(J2022,"*28*")&gt;0,COUNTIF(I2022,"29*")&gt;0,COUNTIF(J2022,"*29*")&gt;0,COUNTIF(I2022,"30*")&gt;0,COUNTIF(J2022,"*30*")&gt;0,COUNTIF(I2022,"31*")&gt;0,COUNTIF(J2022,"*31*")&gt;0,COUNTIF(I2022,"32*")&gt;0,COUNTIF(J2022,"*32*")&gt;0,COUNTIF(I2022,"33*")&gt;0,COUNTIF(J2022,"*33*")&gt;0,COUNTIF(I2022,"41*")&gt;0,COUNTIF(J2022,"*41*")&gt;0,COUNTIF(I2022,"42*")&gt;0,COUNTIF(J2022,"*42*")&gt;0,COUNTIF(I2022,"43*")&gt;0,COUNTIF(J2022,"*43*")&gt;0,COUNTIF(I2022,"49*")&gt;0,COUNTIF(J2022,"*49*")&gt;0,COUNTIF(I2022,"52*")&gt;0,COUNTIF(J2022,"*52*")&gt;0,COUNTIF(I2022,"55*")&gt;0,COUNTIF(J2022,"*55*")&gt;0,COUNTIF(I2022,"56*")&gt;0,COUNTIF(J2022,"*56*")&gt;0,COUNTIF(I2022,"68*")&gt;0,COUNTIF(J2022,"*68*")&gt;0,COUNTIF(I2022,"78*")&gt;0,COUNTIF(J2022,"*78*")&gt;0,COUNTIF(I2022,"81*")&gt;0,COUNTIF(J2022,"*81*")&gt;0,COUNTIF(I2022,"82*")&gt;0,COUNTIF(J2022,"*82*")&gt;0,COUNTIF(I2022,"64*")&gt;0,COUNTIF(J2022,"*64*")&gt;0,COUNTIF(I2022,"65*")&gt;0,COUNTIF(J2022,"*65*")&gt;0,COUNTIF(I2022,"66*")&gt;0,COUNTIF(J2022,"*66*")&gt;0,COUNTIF(I2022,"61*")&gt;0,COUNTIF(J2022,"*61*")&gt;0,COUNTIF(I2022,"62*")&gt;0,COUNTIF(J2022,"*62*")&gt;0,COUNTIF(I2022,"63*")&gt;0,COUNTIF(J2022,"*63*")&gt;0,COUNTIF(I2022,"85*")&gt;0,COUNTIF(J2022,"*85*")&gt;0,COUNTIF(I2022,"86*")&gt;0,COUNTIF(J2022,"*86*")&gt;0),"Да","Нет"))</f>
        <v/>
      </c>
      <c r="M2022" s="13">
        <f>IF(OR(G2022="",L2022&lt;&gt;"Да"),"",IF(G2022&lt;=100,"До 100",IF(G2022&lt;=200,"До 200",IF(G2022&lt;=500,"До 500","Отдельное КП"))))</f>
        <v/>
      </c>
      <c r="N2022" s="15">
        <f>IF(OR(G2022="",L2022&lt;&gt;"Да"),"",IF(G2022&lt;=100,33600,IF(G2022&lt;=200,62400,IF(G2022&lt;=500,144000,""))))</f>
        <v/>
      </c>
      <c r="O2022" s="16">
        <f>IF(G2022="","",IF(G2022&lt;=15,"1–15",IF(G2022&lt;=30,"16–30",IF(G2022&lt;=50,"31–50",IF(G2022&lt;=100,"51–100",IF(G2022&lt;=150,"101–150",IF(G2022&lt;=200,"151–200",IF(G2022&lt;=500,"201–500","500+"))))))))</f>
        <v/>
      </c>
      <c r="P2022" s="16" t="inlineStr">
        <is>
          <t>Нет совпадения в предоставленной выгрузке ССЧР</t>
        </is>
      </c>
      <c r="Q2022" s="16" t="n"/>
      <c r="R2022" s="16">
        <f>HYPERLINK("https://checko.ru/search?query=3801001629","Чекко: проверить")</f>
        <v/>
      </c>
      <c r="S2022" t="n">
        <v>0</v>
      </c>
    </row>
    <row r="2023" ht="15" customHeight="1" s="24">
      <c r="A2023" s="13" t="n">
        <v>5000094464</v>
      </c>
      <c r="B2023" s="13" t="inlineStr">
        <is>
          <t>МКОУ "СОШ №1 им.Паштова С.А. г.Баксана"</t>
        </is>
      </c>
      <c r="C2023" s="13" t="n">
        <v>701012491</v>
      </c>
      <c r="D2023" s="13" t="n"/>
      <c r="E2023" s="13" t="inlineStr">
        <is>
          <t>Не определён</t>
        </is>
      </c>
      <c r="F2023" s="13" t="inlineStr">
        <is>
          <t>701012491</t>
        </is>
      </c>
      <c r="G2023" s="14" t="n"/>
      <c r="H2023" s="14" t="n"/>
      <c r="I2023" s="14" t="n"/>
      <c r="J2023" s="14" t="n"/>
      <c r="K2023" s="13">
        <f>IF(G2023="","",IF(G2023&gt;=22,"Да","Нет"))</f>
        <v/>
      </c>
      <c r="L2023" s="13">
        <f>IF(OR(I2023="",J2023=""),"Не определено",IF(OR(COUNTIF(I2023,"45*")&gt;0,COUNTIF(J2023,"*45*")&gt;0,COUNTIF(I2023,"46*")&gt;0,COUNTIF(J2023,"*46*")&gt;0,COUNTIF(I2023,"47*")&gt;0,COUNTIF(J2023,"*47*")&gt;0,COUNTIF(I2023,"10*")&gt;0,COUNTIF(J2023,"*10*")&gt;0,COUNTIF(I2023,"11*")&gt;0,COUNTIF(J2023,"*11*")&gt;0,COUNTIF(I2023,"12*")&gt;0,COUNTIF(J2023,"*12*")&gt;0,COUNTIF(I2023,"13*")&gt;0,COUNTIF(J2023,"*13*")&gt;0,COUNTIF(I2023,"14*")&gt;0,COUNTIF(J2023,"*14*")&gt;0,COUNTIF(I2023,"15*")&gt;0,COUNTIF(J2023,"*15*")&gt;0,COUNTIF(I2023,"16*")&gt;0,COUNTIF(J2023,"*16*")&gt;0,COUNTIF(I2023,"17*")&gt;0,COUNTIF(J2023,"*17*")&gt;0,COUNTIF(I2023,"18*")&gt;0,COUNTIF(J2023,"*18*")&gt;0,COUNTIF(I2023,"19*")&gt;0,COUNTIF(J2023,"*19*")&gt;0,COUNTIF(I2023,"20*")&gt;0,COUNTIF(J2023,"*20*")&gt;0,COUNTIF(I2023,"21*")&gt;0,COUNTIF(J2023,"*21*")&gt;0,COUNTIF(I2023,"22*")&gt;0,COUNTIF(J2023,"*22*")&gt;0,COUNTIF(I2023,"23*")&gt;0,COUNTIF(J2023,"*23*")&gt;0,COUNTIF(I2023,"24*")&gt;0,COUNTIF(J2023,"*24*")&gt;0,COUNTIF(I2023,"25*")&gt;0,COUNTIF(J2023,"*25*")&gt;0,COUNTIF(I2023,"26*")&gt;0,COUNTIF(J2023,"*26*")&gt;0,COUNTIF(I2023,"27*")&gt;0,COUNTIF(J2023,"*27*")&gt;0,COUNTIF(I2023,"28*")&gt;0,COUNTIF(J2023,"*28*")&gt;0,COUNTIF(I2023,"29*")&gt;0,COUNTIF(J2023,"*29*")&gt;0,COUNTIF(I2023,"30*")&gt;0,COUNTIF(J2023,"*30*")&gt;0,COUNTIF(I2023,"31*")&gt;0,COUNTIF(J2023,"*31*")&gt;0,COUNTIF(I2023,"32*")&gt;0,COUNTIF(J2023,"*32*")&gt;0,COUNTIF(I2023,"33*")&gt;0,COUNTIF(J2023,"*33*")&gt;0,COUNTIF(I2023,"41*")&gt;0,COUNTIF(J2023,"*41*")&gt;0,COUNTIF(I2023,"42*")&gt;0,COUNTIF(J2023,"*42*")&gt;0,COUNTIF(I2023,"43*")&gt;0,COUNTIF(J2023,"*43*")&gt;0,COUNTIF(I2023,"49*")&gt;0,COUNTIF(J2023,"*49*")&gt;0,COUNTIF(I2023,"52*")&gt;0,COUNTIF(J2023,"*52*")&gt;0,COUNTIF(I2023,"55*")&gt;0,COUNTIF(J2023,"*55*")&gt;0,COUNTIF(I2023,"56*")&gt;0,COUNTIF(J2023,"*56*")&gt;0,COUNTIF(I2023,"68*")&gt;0,COUNTIF(J2023,"*68*")&gt;0,COUNTIF(I2023,"78*")&gt;0,COUNTIF(J2023,"*78*")&gt;0,COUNTIF(I2023,"81*")&gt;0,COUNTIF(J2023,"*81*")&gt;0,COUNTIF(I2023,"82*")&gt;0,COUNTIF(J2023,"*82*")&gt;0,COUNTIF(I2023,"64*")&gt;0,COUNTIF(J2023,"*64*")&gt;0,COUNTIF(I2023,"65*")&gt;0,COUNTIF(J2023,"*65*")&gt;0,COUNTIF(I2023,"66*")&gt;0,COUNTIF(J2023,"*66*")&gt;0,COUNTIF(I2023,"61*")&gt;0,COUNTIF(J2023,"*61*")&gt;0,COUNTIF(I2023,"62*")&gt;0,COUNTIF(J2023,"*62*")&gt;0,COUNTIF(I2023,"63*")&gt;0,COUNTIF(J2023,"*63*")&gt;0,COUNTIF(I2023,"85*")&gt;0,COUNTIF(J2023,"*85*")&gt;0,COUNTIF(I2023,"86*")&gt;0,COUNTIF(J2023,"*86*")&gt;0),"Да","Нет"))</f>
        <v/>
      </c>
      <c r="M2023" s="13">
        <f>IF(OR(G2023="",L2023&lt;&gt;"Да"),"",IF(G2023&lt;=100,"До 100",IF(G2023&lt;=200,"До 200",IF(G2023&lt;=500,"До 500","Отдельное КП"))))</f>
        <v/>
      </c>
      <c r="N2023" s="15">
        <f>IF(OR(G2023="",L2023&lt;&gt;"Да"),"",IF(G2023&lt;=100,33600,IF(G2023&lt;=200,62400,IF(G2023&lt;=500,144000,""))))</f>
        <v/>
      </c>
      <c r="O2023" s="16">
        <f>IF(G2023="","",IF(G2023&lt;=15,"1–15",IF(G2023&lt;=30,"16–30",IF(G2023&lt;=50,"31–50",IF(G2023&lt;=100,"51–100",IF(G2023&lt;=150,"101–150",IF(G2023&lt;=200,"151–200",IF(G2023&lt;=500,"201–500","500+"))))))))</f>
        <v/>
      </c>
      <c r="P2023" s="16" t="inlineStr">
        <is>
          <t>Нет совпадения в предоставленной выгрузке ССЧР</t>
        </is>
      </c>
      <c r="Q2023" s="16" t="n"/>
      <c r="R2023" s="16">
        <f>HYPERLINK("https://checko.ru/search?query=3801001629","Чекко: проверить")</f>
        <v/>
      </c>
      <c r="S2023" t="n">
        <v>0</v>
      </c>
    </row>
    <row r="2024" ht="15" customHeight="1" s="24">
      <c r="A2024" s="13" t="n">
        <v>5000094465</v>
      </c>
      <c r="B2024" s="13" t="inlineStr">
        <is>
          <t>МКОУ "СОШ №4 им. М.А. Сижажева г. Баксана"</t>
        </is>
      </c>
      <c r="C2024" s="13" t="n">
        <v>701012519</v>
      </c>
      <c r="D2024" s="13" t="n"/>
      <c r="E2024" s="13" t="inlineStr">
        <is>
          <t>Не определён</t>
        </is>
      </c>
      <c r="F2024" s="13" t="inlineStr">
        <is>
          <t>701012519</t>
        </is>
      </c>
      <c r="G2024" s="14" t="n"/>
      <c r="H2024" s="14" t="n"/>
      <c r="I2024" s="14" t="n"/>
      <c r="J2024" s="14" t="n"/>
      <c r="K2024" s="13">
        <f>IF(G2024="","",IF(G2024&gt;=22,"Да","Нет"))</f>
        <v/>
      </c>
      <c r="L2024" s="13">
        <f>IF(OR(I2024="",J2024=""),"Не определено",IF(OR(COUNTIF(I2024,"45*")&gt;0,COUNTIF(J2024,"*45*")&gt;0,COUNTIF(I2024,"46*")&gt;0,COUNTIF(J2024,"*46*")&gt;0,COUNTIF(I2024,"47*")&gt;0,COUNTIF(J2024,"*47*")&gt;0,COUNTIF(I2024,"10*")&gt;0,COUNTIF(J2024,"*10*")&gt;0,COUNTIF(I2024,"11*")&gt;0,COUNTIF(J2024,"*11*")&gt;0,COUNTIF(I2024,"12*")&gt;0,COUNTIF(J2024,"*12*")&gt;0,COUNTIF(I2024,"13*")&gt;0,COUNTIF(J2024,"*13*")&gt;0,COUNTIF(I2024,"14*")&gt;0,COUNTIF(J2024,"*14*")&gt;0,COUNTIF(I2024,"15*")&gt;0,COUNTIF(J2024,"*15*")&gt;0,COUNTIF(I2024,"16*")&gt;0,COUNTIF(J2024,"*16*")&gt;0,COUNTIF(I2024,"17*")&gt;0,COUNTIF(J2024,"*17*")&gt;0,COUNTIF(I2024,"18*")&gt;0,COUNTIF(J2024,"*18*")&gt;0,COUNTIF(I2024,"19*")&gt;0,COUNTIF(J2024,"*19*")&gt;0,COUNTIF(I2024,"20*")&gt;0,COUNTIF(J2024,"*20*")&gt;0,COUNTIF(I2024,"21*")&gt;0,COUNTIF(J2024,"*21*")&gt;0,COUNTIF(I2024,"22*")&gt;0,COUNTIF(J2024,"*22*")&gt;0,COUNTIF(I2024,"23*")&gt;0,COUNTIF(J2024,"*23*")&gt;0,COUNTIF(I2024,"24*")&gt;0,COUNTIF(J2024,"*24*")&gt;0,COUNTIF(I2024,"25*")&gt;0,COUNTIF(J2024,"*25*")&gt;0,COUNTIF(I2024,"26*")&gt;0,COUNTIF(J2024,"*26*")&gt;0,COUNTIF(I2024,"27*")&gt;0,COUNTIF(J2024,"*27*")&gt;0,COUNTIF(I2024,"28*")&gt;0,COUNTIF(J2024,"*28*")&gt;0,COUNTIF(I2024,"29*")&gt;0,COUNTIF(J2024,"*29*")&gt;0,COUNTIF(I2024,"30*")&gt;0,COUNTIF(J2024,"*30*")&gt;0,COUNTIF(I2024,"31*")&gt;0,COUNTIF(J2024,"*31*")&gt;0,COUNTIF(I2024,"32*")&gt;0,COUNTIF(J2024,"*32*")&gt;0,COUNTIF(I2024,"33*")&gt;0,COUNTIF(J2024,"*33*")&gt;0,COUNTIF(I2024,"41*")&gt;0,COUNTIF(J2024,"*41*")&gt;0,COUNTIF(I2024,"42*")&gt;0,COUNTIF(J2024,"*42*")&gt;0,COUNTIF(I2024,"43*")&gt;0,COUNTIF(J2024,"*43*")&gt;0,COUNTIF(I2024,"49*")&gt;0,COUNTIF(J2024,"*49*")&gt;0,COUNTIF(I2024,"52*")&gt;0,COUNTIF(J2024,"*52*")&gt;0,COUNTIF(I2024,"55*")&gt;0,COUNTIF(J2024,"*55*")&gt;0,COUNTIF(I2024,"56*")&gt;0,COUNTIF(J2024,"*56*")&gt;0,COUNTIF(I2024,"68*")&gt;0,COUNTIF(J2024,"*68*")&gt;0,COUNTIF(I2024,"78*")&gt;0,COUNTIF(J2024,"*78*")&gt;0,COUNTIF(I2024,"81*")&gt;0,COUNTIF(J2024,"*81*")&gt;0,COUNTIF(I2024,"82*")&gt;0,COUNTIF(J2024,"*82*")&gt;0,COUNTIF(I2024,"64*")&gt;0,COUNTIF(J2024,"*64*")&gt;0,COUNTIF(I2024,"65*")&gt;0,COUNTIF(J2024,"*65*")&gt;0,COUNTIF(I2024,"66*")&gt;0,COUNTIF(J2024,"*66*")&gt;0,COUNTIF(I2024,"61*")&gt;0,COUNTIF(J2024,"*61*")&gt;0,COUNTIF(I2024,"62*")&gt;0,COUNTIF(J2024,"*62*")&gt;0,COUNTIF(I2024,"63*")&gt;0,COUNTIF(J2024,"*63*")&gt;0,COUNTIF(I2024,"85*")&gt;0,COUNTIF(J2024,"*85*")&gt;0,COUNTIF(I2024,"86*")&gt;0,COUNTIF(J2024,"*86*")&gt;0),"Да","Нет"))</f>
        <v/>
      </c>
      <c r="M2024" s="13">
        <f>IF(OR(G2024="",L2024&lt;&gt;"Да"),"",IF(G2024&lt;=100,"До 100",IF(G2024&lt;=200,"До 200",IF(G2024&lt;=500,"До 500","Отдельное КП"))))</f>
        <v/>
      </c>
      <c r="N2024" s="15">
        <f>IF(OR(G2024="",L2024&lt;&gt;"Да"),"",IF(G2024&lt;=100,33600,IF(G2024&lt;=200,62400,IF(G2024&lt;=500,144000,""))))</f>
        <v/>
      </c>
      <c r="O2024" s="16">
        <f>IF(G2024="","",IF(G2024&lt;=15,"1–15",IF(G2024&lt;=30,"16–30",IF(G2024&lt;=50,"31–50",IF(G2024&lt;=100,"51–100",IF(G2024&lt;=150,"101–150",IF(G2024&lt;=200,"151–200",IF(G2024&lt;=500,"201–500","500+"))))))))</f>
        <v/>
      </c>
      <c r="P2024" s="16" t="inlineStr">
        <is>
          <t>Нет совпадения в предоставленной выгрузке ССЧР</t>
        </is>
      </c>
      <c r="Q2024" s="16" t="n"/>
      <c r="R2024" s="16">
        <f>HYPERLINK("https://checko.ru/search?query=3801001629","Чекко: проверить")</f>
        <v/>
      </c>
      <c r="S2024" t="n">
        <v>0</v>
      </c>
    </row>
    <row r="2025" ht="15" customHeight="1" s="24">
      <c r="A2025" s="13" t="n">
        <v>5000094466</v>
      </c>
      <c r="B2025" s="13" t="inlineStr">
        <is>
          <t>МКУ "Отдел культуры" г.о. Баксан</t>
        </is>
      </c>
      <c r="C2025" s="13" t="n">
        <v>701013061</v>
      </c>
      <c r="D2025" s="13" t="n"/>
      <c r="E2025" s="13" t="inlineStr">
        <is>
          <t>Не определён</t>
        </is>
      </c>
      <c r="F2025" s="13" t="inlineStr">
        <is>
          <t>701013061</t>
        </is>
      </c>
      <c r="G2025" s="14" t="n"/>
      <c r="H2025" s="14" t="n"/>
      <c r="I2025" s="14" t="n"/>
      <c r="J2025" s="14" t="n"/>
      <c r="K2025" s="13">
        <f>IF(G2025="","",IF(G2025&gt;=22,"Да","Нет"))</f>
        <v/>
      </c>
      <c r="L2025" s="13">
        <f>IF(OR(I2025="",J2025=""),"Не определено",IF(OR(COUNTIF(I2025,"45*")&gt;0,COUNTIF(J2025,"*45*")&gt;0,COUNTIF(I2025,"46*")&gt;0,COUNTIF(J2025,"*46*")&gt;0,COUNTIF(I2025,"47*")&gt;0,COUNTIF(J2025,"*47*")&gt;0,COUNTIF(I2025,"10*")&gt;0,COUNTIF(J2025,"*10*")&gt;0,COUNTIF(I2025,"11*")&gt;0,COUNTIF(J2025,"*11*")&gt;0,COUNTIF(I2025,"12*")&gt;0,COUNTIF(J2025,"*12*")&gt;0,COUNTIF(I2025,"13*")&gt;0,COUNTIF(J2025,"*13*")&gt;0,COUNTIF(I2025,"14*")&gt;0,COUNTIF(J2025,"*14*")&gt;0,COUNTIF(I2025,"15*")&gt;0,COUNTIF(J2025,"*15*")&gt;0,COUNTIF(I2025,"16*")&gt;0,COUNTIF(J2025,"*16*")&gt;0,COUNTIF(I2025,"17*")&gt;0,COUNTIF(J2025,"*17*")&gt;0,COUNTIF(I2025,"18*")&gt;0,COUNTIF(J2025,"*18*")&gt;0,COUNTIF(I2025,"19*")&gt;0,COUNTIF(J2025,"*19*")&gt;0,COUNTIF(I2025,"20*")&gt;0,COUNTIF(J2025,"*20*")&gt;0,COUNTIF(I2025,"21*")&gt;0,COUNTIF(J2025,"*21*")&gt;0,COUNTIF(I2025,"22*")&gt;0,COUNTIF(J2025,"*22*")&gt;0,COUNTIF(I2025,"23*")&gt;0,COUNTIF(J2025,"*23*")&gt;0,COUNTIF(I2025,"24*")&gt;0,COUNTIF(J2025,"*24*")&gt;0,COUNTIF(I2025,"25*")&gt;0,COUNTIF(J2025,"*25*")&gt;0,COUNTIF(I2025,"26*")&gt;0,COUNTIF(J2025,"*26*")&gt;0,COUNTIF(I2025,"27*")&gt;0,COUNTIF(J2025,"*27*")&gt;0,COUNTIF(I2025,"28*")&gt;0,COUNTIF(J2025,"*28*")&gt;0,COUNTIF(I2025,"29*")&gt;0,COUNTIF(J2025,"*29*")&gt;0,COUNTIF(I2025,"30*")&gt;0,COUNTIF(J2025,"*30*")&gt;0,COUNTIF(I2025,"31*")&gt;0,COUNTIF(J2025,"*31*")&gt;0,COUNTIF(I2025,"32*")&gt;0,COUNTIF(J2025,"*32*")&gt;0,COUNTIF(I2025,"33*")&gt;0,COUNTIF(J2025,"*33*")&gt;0,COUNTIF(I2025,"41*")&gt;0,COUNTIF(J2025,"*41*")&gt;0,COUNTIF(I2025,"42*")&gt;0,COUNTIF(J2025,"*42*")&gt;0,COUNTIF(I2025,"43*")&gt;0,COUNTIF(J2025,"*43*")&gt;0,COUNTIF(I2025,"49*")&gt;0,COUNTIF(J2025,"*49*")&gt;0,COUNTIF(I2025,"52*")&gt;0,COUNTIF(J2025,"*52*")&gt;0,COUNTIF(I2025,"55*")&gt;0,COUNTIF(J2025,"*55*")&gt;0,COUNTIF(I2025,"56*")&gt;0,COUNTIF(J2025,"*56*")&gt;0,COUNTIF(I2025,"68*")&gt;0,COUNTIF(J2025,"*68*")&gt;0,COUNTIF(I2025,"78*")&gt;0,COUNTIF(J2025,"*78*")&gt;0,COUNTIF(I2025,"81*")&gt;0,COUNTIF(J2025,"*81*")&gt;0,COUNTIF(I2025,"82*")&gt;0,COUNTIF(J2025,"*82*")&gt;0,COUNTIF(I2025,"64*")&gt;0,COUNTIF(J2025,"*64*")&gt;0,COUNTIF(I2025,"65*")&gt;0,COUNTIF(J2025,"*65*")&gt;0,COUNTIF(I2025,"66*")&gt;0,COUNTIF(J2025,"*66*")&gt;0,COUNTIF(I2025,"61*")&gt;0,COUNTIF(J2025,"*61*")&gt;0,COUNTIF(I2025,"62*")&gt;0,COUNTIF(J2025,"*62*")&gt;0,COUNTIF(I2025,"63*")&gt;0,COUNTIF(J2025,"*63*")&gt;0,COUNTIF(I2025,"85*")&gt;0,COUNTIF(J2025,"*85*")&gt;0,COUNTIF(I2025,"86*")&gt;0,COUNTIF(J2025,"*86*")&gt;0),"Да","Нет"))</f>
        <v/>
      </c>
      <c r="M2025" s="13">
        <f>IF(OR(G2025="",L2025&lt;&gt;"Да"),"",IF(G2025&lt;=100,"До 100",IF(G2025&lt;=200,"До 200",IF(G2025&lt;=500,"До 500","Отдельное КП"))))</f>
        <v/>
      </c>
      <c r="N2025" s="15">
        <f>IF(OR(G2025="",L2025&lt;&gt;"Да"),"",IF(G2025&lt;=100,33600,IF(G2025&lt;=200,62400,IF(G2025&lt;=500,144000,""))))</f>
        <v/>
      </c>
      <c r="O2025" s="16">
        <f>IF(G2025="","",IF(G2025&lt;=15,"1–15",IF(G2025&lt;=30,"16–30",IF(G2025&lt;=50,"31–50",IF(G2025&lt;=100,"51–100",IF(G2025&lt;=150,"101–150",IF(G2025&lt;=200,"151–200",IF(G2025&lt;=500,"201–500","500+"))))))))</f>
        <v/>
      </c>
      <c r="P2025" s="16" t="inlineStr">
        <is>
          <t>Нет совпадения в предоставленной выгрузке ССЧР</t>
        </is>
      </c>
      <c r="Q2025" s="16" t="n"/>
      <c r="R2025" s="16">
        <f>HYPERLINK("https://checko.ru/search?query=3801001629","Чекко: проверить")</f>
        <v/>
      </c>
      <c r="S2025" t="n">
        <v>0</v>
      </c>
    </row>
    <row r="2026" ht="15" customHeight="1" s="24">
      <c r="A2026" s="13" t="n">
        <v>5000094467</v>
      </c>
      <c r="B2026" s="13" t="inlineStr">
        <is>
          <t>МОУ СОШ №4 с.п.Заюково</t>
        </is>
      </c>
      <c r="C2026" s="13" t="n">
        <v>701013833</v>
      </c>
      <c r="D2026" s="13" t="n"/>
      <c r="E2026" s="13" t="inlineStr">
        <is>
          <t>Не определён</t>
        </is>
      </c>
      <c r="F2026" s="13" t="inlineStr">
        <is>
          <t>701013833</t>
        </is>
      </c>
      <c r="G2026" s="14" t="n"/>
      <c r="H2026" s="14" t="n"/>
      <c r="I2026" s="14" t="n"/>
      <c r="J2026" s="14" t="n"/>
      <c r="K2026" s="13">
        <f>IF(G2026="","",IF(G2026&gt;=22,"Да","Нет"))</f>
        <v/>
      </c>
      <c r="L2026" s="13">
        <f>IF(OR(I2026="",J2026=""),"Не определено",IF(OR(COUNTIF(I2026,"45*")&gt;0,COUNTIF(J2026,"*45*")&gt;0,COUNTIF(I2026,"46*")&gt;0,COUNTIF(J2026,"*46*")&gt;0,COUNTIF(I2026,"47*")&gt;0,COUNTIF(J2026,"*47*")&gt;0,COUNTIF(I2026,"10*")&gt;0,COUNTIF(J2026,"*10*")&gt;0,COUNTIF(I2026,"11*")&gt;0,COUNTIF(J2026,"*11*")&gt;0,COUNTIF(I2026,"12*")&gt;0,COUNTIF(J2026,"*12*")&gt;0,COUNTIF(I2026,"13*")&gt;0,COUNTIF(J2026,"*13*")&gt;0,COUNTIF(I2026,"14*")&gt;0,COUNTIF(J2026,"*14*")&gt;0,COUNTIF(I2026,"15*")&gt;0,COUNTIF(J2026,"*15*")&gt;0,COUNTIF(I2026,"16*")&gt;0,COUNTIF(J2026,"*16*")&gt;0,COUNTIF(I2026,"17*")&gt;0,COUNTIF(J2026,"*17*")&gt;0,COUNTIF(I2026,"18*")&gt;0,COUNTIF(J2026,"*18*")&gt;0,COUNTIF(I2026,"19*")&gt;0,COUNTIF(J2026,"*19*")&gt;0,COUNTIF(I2026,"20*")&gt;0,COUNTIF(J2026,"*20*")&gt;0,COUNTIF(I2026,"21*")&gt;0,COUNTIF(J2026,"*21*")&gt;0,COUNTIF(I2026,"22*")&gt;0,COUNTIF(J2026,"*22*")&gt;0,COUNTIF(I2026,"23*")&gt;0,COUNTIF(J2026,"*23*")&gt;0,COUNTIF(I2026,"24*")&gt;0,COUNTIF(J2026,"*24*")&gt;0,COUNTIF(I2026,"25*")&gt;0,COUNTIF(J2026,"*25*")&gt;0,COUNTIF(I2026,"26*")&gt;0,COUNTIF(J2026,"*26*")&gt;0,COUNTIF(I2026,"27*")&gt;0,COUNTIF(J2026,"*27*")&gt;0,COUNTIF(I2026,"28*")&gt;0,COUNTIF(J2026,"*28*")&gt;0,COUNTIF(I2026,"29*")&gt;0,COUNTIF(J2026,"*29*")&gt;0,COUNTIF(I2026,"30*")&gt;0,COUNTIF(J2026,"*30*")&gt;0,COUNTIF(I2026,"31*")&gt;0,COUNTIF(J2026,"*31*")&gt;0,COUNTIF(I2026,"32*")&gt;0,COUNTIF(J2026,"*32*")&gt;0,COUNTIF(I2026,"33*")&gt;0,COUNTIF(J2026,"*33*")&gt;0,COUNTIF(I2026,"41*")&gt;0,COUNTIF(J2026,"*41*")&gt;0,COUNTIF(I2026,"42*")&gt;0,COUNTIF(J2026,"*42*")&gt;0,COUNTIF(I2026,"43*")&gt;0,COUNTIF(J2026,"*43*")&gt;0,COUNTIF(I2026,"49*")&gt;0,COUNTIF(J2026,"*49*")&gt;0,COUNTIF(I2026,"52*")&gt;0,COUNTIF(J2026,"*52*")&gt;0,COUNTIF(I2026,"55*")&gt;0,COUNTIF(J2026,"*55*")&gt;0,COUNTIF(I2026,"56*")&gt;0,COUNTIF(J2026,"*56*")&gt;0,COUNTIF(I2026,"68*")&gt;0,COUNTIF(J2026,"*68*")&gt;0,COUNTIF(I2026,"78*")&gt;0,COUNTIF(J2026,"*78*")&gt;0,COUNTIF(I2026,"81*")&gt;0,COUNTIF(J2026,"*81*")&gt;0,COUNTIF(I2026,"82*")&gt;0,COUNTIF(J2026,"*82*")&gt;0,COUNTIF(I2026,"64*")&gt;0,COUNTIF(J2026,"*64*")&gt;0,COUNTIF(I2026,"65*")&gt;0,COUNTIF(J2026,"*65*")&gt;0,COUNTIF(I2026,"66*")&gt;0,COUNTIF(J2026,"*66*")&gt;0,COUNTIF(I2026,"61*")&gt;0,COUNTIF(J2026,"*61*")&gt;0,COUNTIF(I2026,"62*")&gt;0,COUNTIF(J2026,"*62*")&gt;0,COUNTIF(I2026,"63*")&gt;0,COUNTIF(J2026,"*63*")&gt;0,COUNTIF(I2026,"85*")&gt;0,COUNTIF(J2026,"*85*")&gt;0,COUNTIF(I2026,"86*")&gt;0,COUNTIF(J2026,"*86*")&gt;0),"Да","Нет"))</f>
        <v/>
      </c>
      <c r="M2026" s="13">
        <f>IF(OR(G2026="",L2026&lt;&gt;"Да"),"",IF(G2026&lt;=100,"До 100",IF(G2026&lt;=200,"До 200",IF(G2026&lt;=500,"До 500","Отдельное КП"))))</f>
        <v/>
      </c>
      <c r="N2026" s="15">
        <f>IF(OR(G2026="",L2026&lt;&gt;"Да"),"",IF(G2026&lt;=100,33600,IF(G2026&lt;=200,62400,IF(G2026&lt;=500,144000,""))))</f>
        <v/>
      </c>
      <c r="O2026" s="16">
        <f>IF(G2026="","",IF(G2026&lt;=15,"1–15",IF(G2026&lt;=30,"16–30",IF(G2026&lt;=50,"31–50",IF(G2026&lt;=100,"51–100",IF(G2026&lt;=150,"101–150",IF(G2026&lt;=200,"151–200",IF(G2026&lt;=500,"201–500","500+"))))))))</f>
        <v/>
      </c>
      <c r="P2026" s="16" t="inlineStr">
        <is>
          <t>Нет совпадения в предоставленной выгрузке ССЧР</t>
        </is>
      </c>
      <c r="Q2026" s="16" t="n"/>
      <c r="R2026" s="16">
        <f>HYPERLINK("https://checko.ru/search?query=3801001629","Чекко: проверить")</f>
        <v/>
      </c>
      <c r="S2026" t="n">
        <v>0</v>
      </c>
    </row>
    <row r="2027" ht="27.75" customHeight="1" s="24">
      <c r="A2027" s="13" t="n">
        <v>5000094468</v>
      </c>
      <c r="B2027" s="13" t="inlineStr">
        <is>
          <t>МОУ "СОШ №3 им. Т.М.Катанчиева" с.п. Атажукино</t>
        </is>
      </c>
      <c r="C2027" s="13" t="n">
        <v>701013840</v>
      </c>
      <c r="D2027" s="13" t="n"/>
      <c r="E2027" s="13" t="inlineStr">
        <is>
          <t>Не определён</t>
        </is>
      </c>
      <c r="F2027" s="13" t="inlineStr">
        <is>
          <t>701013840</t>
        </is>
      </c>
      <c r="G2027" s="14" t="n"/>
      <c r="H2027" s="14" t="n"/>
      <c r="I2027" s="14" t="n"/>
      <c r="J2027" s="14" t="n"/>
      <c r="K2027" s="13">
        <f>IF(G2027="","",IF(G2027&gt;=22,"Да","Нет"))</f>
        <v/>
      </c>
      <c r="L2027" s="13">
        <f>IF(OR(I2027="",J2027=""),"Не определено",IF(OR(COUNTIF(I2027,"45*")&gt;0,COUNTIF(J2027,"*45*")&gt;0,COUNTIF(I2027,"46*")&gt;0,COUNTIF(J2027,"*46*")&gt;0,COUNTIF(I2027,"47*")&gt;0,COUNTIF(J2027,"*47*")&gt;0,COUNTIF(I2027,"10*")&gt;0,COUNTIF(J2027,"*10*")&gt;0,COUNTIF(I2027,"11*")&gt;0,COUNTIF(J2027,"*11*")&gt;0,COUNTIF(I2027,"12*")&gt;0,COUNTIF(J2027,"*12*")&gt;0,COUNTIF(I2027,"13*")&gt;0,COUNTIF(J2027,"*13*")&gt;0,COUNTIF(I2027,"14*")&gt;0,COUNTIF(J2027,"*14*")&gt;0,COUNTIF(I2027,"15*")&gt;0,COUNTIF(J2027,"*15*")&gt;0,COUNTIF(I2027,"16*")&gt;0,COUNTIF(J2027,"*16*")&gt;0,COUNTIF(I2027,"17*")&gt;0,COUNTIF(J2027,"*17*")&gt;0,COUNTIF(I2027,"18*")&gt;0,COUNTIF(J2027,"*18*")&gt;0,COUNTIF(I2027,"19*")&gt;0,COUNTIF(J2027,"*19*")&gt;0,COUNTIF(I2027,"20*")&gt;0,COUNTIF(J2027,"*20*")&gt;0,COUNTIF(I2027,"21*")&gt;0,COUNTIF(J2027,"*21*")&gt;0,COUNTIF(I2027,"22*")&gt;0,COUNTIF(J2027,"*22*")&gt;0,COUNTIF(I2027,"23*")&gt;0,COUNTIF(J2027,"*23*")&gt;0,COUNTIF(I2027,"24*")&gt;0,COUNTIF(J2027,"*24*")&gt;0,COUNTIF(I2027,"25*")&gt;0,COUNTIF(J2027,"*25*")&gt;0,COUNTIF(I2027,"26*")&gt;0,COUNTIF(J2027,"*26*")&gt;0,COUNTIF(I2027,"27*")&gt;0,COUNTIF(J2027,"*27*")&gt;0,COUNTIF(I2027,"28*")&gt;0,COUNTIF(J2027,"*28*")&gt;0,COUNTIF(I2027,"29*")&gt;0,COUNTIF(J2027,"*29*")&gt;0,COUNTIF(I2027,"30*")&gt;0,COUNTIF(J2027,"*30*")&gt;0,COUNTIF(I2027,"31*")&gt;0,COUNTIF(J2027,"*31*")&gt;0,COUNTIF(I2027,"32*")&gt;0,COUNTIF(J2027,"*32*")&gt;0,COUNTIF(I2027,"33*")&gt;0,COUNTIF(J2027,"*33*")&gt;0,COUNTIF(I2027,"41*")&gt;0,COUNTIF(J2027,"*41*")&gt;0,COUNTIF(I2027,"42*")&gt;0,COUNTIF(J2027,"*42*")&gt;0,COUNTIF(I2027,"43*")&gt;0,COUNTIF(J2027,"*43*")&gt;0,COUNTIF(I2027,"49*")&gt;0,COUNTIF(J2027,"*49*")&gt;0,COUNTIF(I2027,"52*")&gt;0,COUNTIF(J2027,"*52*")&gt;0,COUNTIF(I2027,"55*")&gt;0,COUNTIF(J2027,"*55*")&gt;0,COUNTIF(I2027,"56*")&gt;0,COUNTIF(J2027,"*56*")&gt;0,COUNTIF(I2027,"68*")&gt;0,COUNTIF(J2027,"*68*")&gt;0,COUNTIF(I2027,"78*")&gt;0,COUNTIF(J2027,"*78*")&gt;0,COUNTIF(I2027,"81*")&gt;0,COUNTIF(J2027,"*81*")&gt;0,COUNTIF(I2027,"82*")&gt;0,COUNTIF(J2027,"*82*")&gt;0,COUNTIF(I2027,"64*")&gt;0,COUNTIF(J2027,"*64*")&gt;0,COUNTIF(I2027,"65*")&gt;0,COUNTIF(J2027,"*65*")&gt;0,COUNTIF(I2027,"66*")&gt;0,COUNTIF(J2027,"*66*")&gt;0,COUNTIF(I2027,"61*")&gt;0,COUNTIF(J2027,"*61*")&gt;0,COUNTIF(I2027,"62*")&gt;0,COUNTIF(J2027,"*62*")&gt;0,COUNTIF(I2027,"63*")&gt;0,COUNTIF(J2027,"*63*")&gt;0,COUNTIF(I2027,"85*")&gt;0,COUNTIF(J2027,"*85*")&gt;0,COUNTIF(I2027,"86*")&gt;0,COUNTIF(J2027,"*86*")&gt;0),"Да","Нет"))</f>
        <v/>
      </c>
      <c r="M2027" s="13">
        <f>IF(OR(G2027="",L2027&lt;&gt;"Да"),"",IF(G2027&lt;=100,"До 100",IF(G2027&lt;=200,"До 200",IF(G2027&lt;=500,"До 500","Отдельное КП"))))</f>
        <v/>
      </c>
      <c r="N2027" s="15">
        <f>IF(OR(G2027="",L2027&lt;&gt;"Да"),"",IF(G2027&lt;=100,33600,IF(G2027&lt;=200,62400,IF(G2027&lt;=500,144000,""))))</f>
        <v/>
      </c>
      <c r="O2027" s="16">
        <f>IF(G2027="","",IF(G2027&lt;=15,"1–15",IF(G2027&lt;=30,"16–30",IF(G2027&lt;=50,"31–50",IF(G2027&lt;=100,"51–100",IF(G2027&lt;=150,"101–150",IF(G2027&lt;=200,"151–200",IF(G2027&lt;=500,"201–500","500+"))))))))</f>
        <v/>
      </c>
      <c r="P2027" s="16" t="inlineStr">
        <is>
          <t>Нет совпадения в предоставленной выгрузке ССЧР</t>
        </is>
      </c>
      <c r="Q2027" s="16" t="n"/>
      <c r="R2027" s="16">
        <f>HYPERLINK("https://checko.ru/search?query=3801001629","Чекко: проверить")</f>
        <v/>
      </c>
      <c r="S2027" t="n">
        <v>0</v>
      </c>
    </row>
    <row r="2028" ht="27.75" customHeight="1" s="24">
      <c r="A2028" s="13" t="n">
        <v>5000094469</v>
      </c>
      <c r="B2028" s="13" t="inlineStr">
        <is>
          <t>МКУ "Бизнес-Центр" Баксанского муниципального района</t>
        </is>
      </c>
      <c r="C2028" s="13" t="n">
        <v>701014467</v>
      </c>
      <c r="D2028" s="13" t="n"/>
      <c r="E2028" s="13" t="inlineStr">
        <is>
          <t>Не определён</t>
        </is>
      </c>
      <c r="F2028" s="13" t="inlineStr">
        <is>
          <t>701014467</t>
        </is>
      </c>
      <c r="G2028" s="14" t="n"/>
      <c r="H2028" s="14" t="n"/>
      <c r="I2028" s="14" t="n"/>
      <c r="J2028" s="14" t="n"/>
      <c r="K2028" s="13">
        <f>IF(G2028="","",IF(G2028&gt;=22,"Да","Нет"))</f>
        <v/>
      </c>
      <c r="L2028" s="13">
        <f>IF(OR(I2028="",J2028=""),"Не определено",IF(OR(COUNTIF(I2028,"45*")&gt;0,COUNTIF(J2028,"*45*")&gt;0,COUNTIF(I2028,"46*")&gt;0,COUNTIF(J2028,"*46*")&gt;0,COUNTIF(I2028,"47*")&gt;0,COUNTIF(J2028,"*47*")&gt;0,COUNTIF(I2028,"10*")&gt;0,COUNTIF(J2028,"*10*")&gt;0,COUNTIF(I2028,"11*")&gt;0,COUNTIF(J2028,"*11*")&gt;0,COUNTIF(I2028,"12*")&gt;0,COUNTIF(J2028,"*12*")&gt;0,COUNTIF(I2028,"13*")&gt;0,COUNTIF(J2028,"*13*")&gt;0,COUNTIF(I2028,"14*")&gt;0,COUNTIF(J2028,"*14*")&gt;0,COUNTIF(I2028,"15*")&gt;0,COUNTIF(J2028,"*15*")&gt;0,COUNTIF(I2028,"16*")&gt;0,COUNTIF(J2028,"*16*")&gt;0,COUNTIF(I2028,"17*")&gt;0,COUNTIF(J2028,"*17*")&gt;0,COUNTIF(I2028,"18*")&gt;0,COUNTIF(J2028,"*18*")&gt;0,COUNTIF(I2028,"19*")&gt;0,COUNTIF(J2028,"*19*")&gt;0,COUNTIF(I2028,"20*")&gt;0,COUNTIF(J2028,"*20*")&gt;0,COUNTIF(I2028,"21*")&gt;0,COUNTIF(J2028,"*21*")&gt;0,COUNTIF(I2028,"22*")&gt;0,COUNTIF(J2028,"*22*")&gt;0,COUNTIF(I2028,"23*")&gt;0,COUNTIF(J2028,"*23*")&gt;0,COUNTIF(I2028,"24*")&gt;0,COUNTIF(J2028,"*24*")&gt;0,COUNTIF(I2028,"25*")&gt;0,COUNTIF(J2028,"*25*")&gt;0,COUNTIF(I2028,"26*")&gt;0,COUNTIF(J2028,"*26*")&gt;0,COUNTIF(I2028,"27*")&gt;0,COUNTIF(J2028,"*27*")&gt;0,COUNTIF(I2028,"28*")&gt;0,COUNTIF(J2028,"*28*")&gt;0,COUNTIF(I2028,"29*")&gt;0,COUNTIF(J2028,"*29*")&gt;0,COUNTIF(I2028,"30*")&gt;0,COUNTIF(J2028,"*30*")&gt;0,COUNTIF(I2028,"31*")&gt;0,COUNTIF(J2028,"*31*")&gt;0,COUNTIF(I2028,"32*")&gt;0,COUNTIF(J2028,"*32*")&gt;0,COUNTIF(I2028,"33*")&gt;0,COUNTIF(J2028,"*33*")&gt;0,COUNTIF(I2028,"41*")&gt;0,COUNTIF(J2028,"*41*")&gt;0,COUNTIF(I2028,"42*")&gt;0,COUNTIF(J2028,"*42*")&gt;0,COUNTIF(I2028,"43*")&gt;0,COUNTIF(J2028,"*43*")&gt;0,COUNTIF(I2028,"49*")&gt;0,COUNTIF(J2028,"*49*")&gt;0,COUNTIF(I2028,"52*")&gt;0,COUNTIF(J2028,"*52*")&gt;0,COUNTIF(I2028,"55*")&gt;0,COUNTIF(J2028,"*55*")&gt;0,COUNTIF(I2028,"56*")&gt;0,COUNTIF(J2028,"*56*")&gt;0,COUNTIF(I2028,"68*")&gt;0,COUNTIF(J2028,"*68*")&gt;0,COUNTIF(I2028,"78*")&gt;0,COUNTIF(J2028,"*78*")&gt;0,COUNTIF(I2028,"81*")&gt;0,COUNTIF(J2028,"*81*")&gt;0,COUNTIF(I2028,"82*")&gt;0,COUNTIF(J2028,"*82*")&gt;0,COUNTIF(I2028,"64*")&gt;0,COUNTIF(J2028,"*64*")&gt;0,COUNTIF(I2028,"65*")&gt;0,COUNTIF(J2028,"*65*")&gt;0,COUNTIF(I2028,"66*")&gt;0,COUNTIF(J2028,"*66*")&gt;0,COUNTIF(I2028,"61*")&gt;0,COUNTIF(J2028,"*61*")&gt;0,COUNTIF(I2028,"62*")&gt;0,COUNTIF(J2028,"*62*")&gt;0,COUNTIF(I2028,"63*")&gt;0,COUNTIF(J2028,"*63*")&gt;0,COUNTIF(I2028,"85*")&gt;0,COUNTIF(J2028,"*85*")&gt;0,COUNTIF(I2028,"86*")&gt;0,COUNTIF(J2028,"*86*")&gt;0),"Да","Нет"))</f>
        <v/>
      </c>
      <c r="M2028" s="13">
        <f>IF(OR(G2028="",L2028&lt;&gt;"Да"),"",IF(G2028&lt;=100,"До 100",IF(G2028&lt;=200,"До 200",IF(G2028&lt;=500,"До 500","Отдельное КП"))))</f>
        <v/>
      </c>
      <c r="N2028" s="15">
        <f>IF(OR(G2028="",L2028&lt;&gt;"Да"),"",IF(G2028&lt;=100,33600,IF(G2028&lt;=200,62400,IF(G2028&lt;=500,144000,""))))</f>
        <v/>
      </c>
      <c r="O2028" s="16">
        <f>IF(G2028="","",IF(G2028&lt;=15,"1–15",IF(G2028&lt;=30,"16–30",IF(G2028&lt;=50,"31–50",IF(G2028&lt;=100,"51–100",IF(G2028&lt;=150,"101–150",IF(G2028&lt;=200,"151–200",IF(G2028&lt;=500,"201–500","500+"))))))))</f>
        <v/>
      </c>
      <c r="P2028" s="16" t="inlineStr">
        <is>
          <t>Нет совпадения в предоставленной выгрузке ССЧР</t>
        </is>
      </c>
      <c r="Q2028" s="16" t="n"/>
      <c r="R2028" s="16">
        <f>HYPERLINK("https://checko.ru/search?query=3801001629","Чекко: проверить")</f>
        <v/>
      </c>
      <c r="S2028" t="n">
        <v>0</v>
      </c>
    </row>
    <row r="2029" ht="27.75" customHeight="1" s="24">
      <c r="A2029" s="13" t="n">
        <v>5000094570</v>
      </c>
      <c r="B2029" s="13" t="inlineStr">
        <is>
          <t>МКОУ  "Лицей № 7 имени Шуры Козуб с.Ново-Ивановского"</t>
        </is>
      </c>
      <c r="C2029" s="13" t="n">
        <v>703002837</v>
      </c>
      <c r="D2029" s="13" t="n"/>
      <c r="E2029" s="13" t="inlineStr">
        <is>
          <t>Не определён</t>
        </is>
      </c>
      <c r="F2029" s="13" t="inlineStr">
        <is>
          <t>703002837</t>
        </is>
      </c>
      <c r="G2029" s="14" t="n"/>
      <c r="H2029" s="14" t="n"/>
      <c r="I2029" s="14" t="n"/>
      <c r="J2029" s="14" t="n"/>
      <c r="K2029" s="13">
        <f>IF(G2029="","",IF(G2029&gt;=22,"Да","Нет"))</f>
        <v/>
      </c>
      <c r="L2029" s="13">
        <f>IF(OR(I2029="",J2029=""),"Не определено",IF(OR(COUNTIF(I2029,"45*")&gt;0,COUNTIF(J2029,"*45*")&gt;0,COUNTIF(I2029,"46*")&gt;0,COUNTIF(J2029,"*46*")&gt;0,COUNTIF(I2029,"47*")&gt;0,COUNTIF(J2029,"*47*")&gt;0,COUNTIF(I2029,"10*")&gt;0,COUNTIF(J2029,"*10*")&gt;0,COUNTIF(I2029,"11*")&gt;0,COUNTIF(J2029,"*11*")&gt;0,COUNTIF(I2029,"12*")&gt;0,COUNTIF(J2029,"*12*")&gt;0,COUNTIF(I2029,"13*")&gt;0,COUNTIF(J2029,"*13*")&gt;0,COUNTIF(I2029,"14*")&gt;0,COUNTIF(J2029,"*14*")&gt;0,COUNTIF(I2029,"15*")&gt;0,COUNTIF(J2029,"*15*")&gt;0,COUNTIF(I2029,"16*")&gt;0,COUNTIF(J2029,"*16*")&gt;0,COUNTIF(I2029,"17*")&gt;0,COUNTIF(J2029,"*17*")&gt;0,COUNTIF(I2029,"18*")&gt;0,COUNTIF(J2029,"*18*")&gt;0,COUNTIF(I2029,"19*")&gt;0,COUNTIF(J2029,"*19*")&gt;0,COUNTIF(I2029,"20*")&gt;0,COUNTIF(J2029,"*20*")&gt;0,COUNTIF(I2029,"21*")&gt;0,COUNTIF(J2029,"*21*")&gt;0,COUNTIF(I2029,"22*")&gt;0,COUNTIF(J2029,"*22*")&gt;0,COUNTIF(I2029,"23*")&gt;0,COUNTIF(J2029,"*23*")&gt;0,COUNTIF(I2029,"24*")&gt;0,COUNTIF(J2029,"*24*")&gt;0,COUNTIF(I2029,"25*")&gt;0,COUNTIF(J2029,"*25*")&gt;0,COUNTIF(I2029,"26*")&gt;0,COUNTIF(J2029,"*26*")&gt;0,COUNTIF(I2029,"27*")&gt;0,COUNTIF(J2029,"*27*")&gt;0,COUNTIF(I2029,"28*")&gt;0,COUNTIF(J2029,"*28*")&gt;0,COUNTIF(I2029,"29*")&gt;0,COUNTIF(J2029,"*29*")&gt;0,COUNTIF(I2029,"30*")&gt;0,COUNTIF(J2029,"*30*")&gt;0,COUNTIF(I2029,"31*")&gt;0,COUNTIF(J2029,"*31*")&gt;0,COUNTIF(I2029,"32*")&gt;0,COUNTIF(J2029,"*32*")&gt;0,COUNTIF(I2029,"33*")&gt;0,COUNTIF(J2029,"*33*")&gt;0,COUNTIF(I2029,"41*")&gt;0,COUNTIF(J2029,"*41*")&gt;0,COUNTIF(I2029,"42*")&gt;0,COUNTIF(J2029,"*42*")&gt;0,COUNTIF(I2029,"43*")&gt;0,COUNTIF(J2029,"*43*")&gt;0,COUNTIF(I2029,"49*")&gt;0,COUNTIF(J2029,"*49*")&gt;0,COUNTIF(I2029,"52*")&gt;0,COUNTIF(J2029,"*52*")&gt;0,COUNTIF(I2029,"55*")&gt;0,COUNTIF(J2029,"*55*")&gt;0,COUNTIF(I2029,"56*")&gt;0,COUNTIF(J2029,"*56*")&gt;0,COUNTIF(I2029,"68*")&gt;0,COUNTIF(J2029,"*68*")&gt;0,COUNTIF(I2029,"78*")&gt;0,COUNTIF(J2029,"*78*")&gt;0,COUNTIF(I2029,"81*")&gt;0,COUNTIF(J2029,"*81*")&gt;0,COUNTIF(I2029,"82*")&gt;0,COUNTIF(J2029,"*82*")&gt;0,COUNTIF(I2029,"64*")&gt;0,COUNTIF(J2029,"*64*")&gt;0,COUNTIF(I2029,"65*")&gt;0,COUNTIF(J2029,"*65*")&gt;0,COUNTIF(I2029,"66*")&gt;0,COUNTIF(J2029,"*66*")&gt;0,COUNTIF(I2029,"61*")&gt;0,COUNTIF(J2029,"*61*")&gt;0,COUNTIF(I2029,"62*")&gt;0,COUNTIF(J2029,"*62*")&gt;0,COUNTIF(I2029,"63*")&gt;0,COUNTIF(J2029,"*63*")&gt;0,COUNTIF(I2029,"85*")&gt;0,COUNTIF(J2029,"*85*")&gt;0,COUNTIF(I2029,"86*")&gt;0,COUNTIF(J2029,"*86*")&gt;0),"Да","Нет"))</f>
        <v/>
      </c>
      <c r="M2029" s="13">
        <f>IF(OR(G2029="",L2029&lt;&gt;"Да"),"",IF(G2029&lt;=100,"До 100",IF(G2029&lt;=200,"До 200",IF(G2029&lt;=500,"До 500","Отдельное КП"))))</f>
        <v/>
      </c>
      <c r="N2029" s="15">
        <f>IF(OR(G2029="",L2029&lt;&gt;"Да"),"",IF(G2029&lt;=100,33600,IF(G2029&lt;=200,62400,IF(G2029&lt;=500,144000,""))))</f>
        <v/>
      </c>
      <c r="O2029" s="16">
        <f>IF(G2029="","",IF(G2029&lt;=15,"1–15",IF(G2029&lt;=30,"16–30",IF(G2029&lt;=50,"31–50",IF(G2029&lt;=100,"51–100",IF(G2029&lt;=150,"101–150",IF(G2029&lt;=200,"151–200",IF(G2029&lt;=500,"201–500","500+"))))))))</f>
        <v/>
      </c>
      <c r="P2029" s="16" t="inlineStr">
        <is>
          <t>Нет совпадения в предоставленной выгрузке ССЧР</t>
        </is>
      </c>
      <c r="Q2029" s="16" t="n"/>
      <c r="R2029" s="16">
        <f>HYPERLINK("https://checko.ru/search?query=3801001629","Чекко: проверить")</f>
        <v/>
      </c>
      <c r="S2029" t="n">
        <v>0</v>
      </c>
    </row>
    <row r="2030" ht="15" customHeight="1" s="24">
      <c r="A2030" s="13" t="n">
        <v>5000094572</v>
      </c>
      <c r="B2030" s="13" t="inlineStr">
        <is>
          <t>МКОУ СОШ № 8 ст. Котляревской</t>
        </is>
      </c>
      <c r="C2030" s="13" t="n">
        <v>703002883</v>
      </c>
      <c r="D2030" s="13" t="n"/>
      <c r="E2030" s="13" t="inlineStr">
        <is>
          <t>Не определён</t>
        </is>
      </c>
      <c r="F2030" s="13" t="inlineStr">
        <is>
          <t>703002883</t>
        </is>
      </c>
      <c r="G2030" s="14" t="n"/>
      <c r="H2030" s="14" t="n"/>
      <c r="I2030" s="14" t="n"/>
      <c r="J2030" s="14" t="n"/>
      <c r="K2030" s="13">
        <f>IF(G2030="","",IF(G2030&gt;=22,"Да","Нет"))</f>
        <v/>
      </c>
      <c r="L2030" s="13">
        <f>IF(OR(I2030="",J2030=""),"Не определено",IF(OR(COUNTIF(I2030,"45*")&gt;0,COUNTIF(J2030,"*45*")&gt;0,COUNTIF(I2030,"46*")&gt;0,COUNTIF(J2030,"*46*")&gt;0,COUNTIF(I2030,"47*")&gt;0,COUNTIF(J2030,"*47*")&gt;0,COUNTIF(I2030,"10*")&gt;0,COUNTIF(J2030,"*10*")&gt;0,COUNTIF(I2030,"11*")&gt;0,COUNTIF(J2030,"*11*")&gt;0,COUNTIF(I2030,"12*")&gt;0,COUNTIF(J2030,"*12*")&gt;0,COUNTIF(I2030,"13*")&gt;0,COUNTIF(J2030,"*13*")&gt;0,COUNTIF(I2030,"14*")&gt;0,COUNTIF(J2030,"*14*")&gt;0,COUNTIF(I2030,"15*")&gt;0,COUNTIF(J2030,"*15*")&gt;0,COUNTIF(I2030,"16*")&gt;0,COUNTIF(J2030,"*16*")&gt;0,COUNTIF(I2030,"17*")&gt;0,COUNTIF(J2030,"*17*")&gt;0,COUNTIF(I2030,"18*")&gt;0,COUNTIF(J2030,"*18*")&gt;0,COUNTIF(I2030,"19*")&gt;0,COUNTIF(J2030,"*19*")&gt;0,COUNTIF(I2030,"20*")&gt;0,COUNTIF(J2030,"*20*")&gt;0,COUNTIF(I2030,"21*")&gt;0,COUNTIF(J2030,"*21*")&gt;0,COUNTIF(I2030,"22*")&gt;0,COUNTIF(J2030,"*22*")&gt;0,COUNTIF(I2030,"23*")&gt;0,COUNTIF(J2030,"*23*")&gt;0,COUNTIF(I2030,"24*")&gt;0,COUNTIF(J2030,"*24*")&gt;0,COUNTIF(I2030,"25*")&gt;0,COUNTIF(J2030,"*25*")&gt;0,COUNTIF(I2030,"26*")&gt;0,COUNTIF(J2030,"*26*")&gt;0,COUNTIF(I2030,"27*")&gt;0,COUNTIF(J2030,"*27*")&gt;0,COUNTIF(I2030,"28*")&gt;0,COUNTIF(J2030,"*28*")&gt;0,COUNTIF(I2030,"29*")&gt;0,COUNTIF(J2030,"*29*")&gt;0,COUNTIF(I2030,"30*")&gt;0,COUNTIF(J2030,"*30*")&gt;0,COUNTIF(I2030,"31*")&gt;0,COUNTIF(J2030,"*31*")&gt;0,COUNTIF(I2030,"32*")&gt;0,COUNTIF(J2030,"*32*")&gt;0,COUNTIF(I2030,"33*")&gt;0,COUNTIF(J2030,"*33*")&gt;0,COUNTIF(I2030,"41*")&gt;0,COUNTIF(J2030,"*41*")&gt;0,COUNTIF(I2030,"42*")&gt;0,COUNTIF(J2030,"*42*")&gt;0,COUNTIF(I2030,"43*")&gt;0,COUNTIF(J2030,"*43*")&gt;0,COUNTIF(I2030,"49*")&gt;0,COUNTIF(J2030,"*49*")&gt;0,COUNTIF(I2030,"52*")&gt;0,COUNTIF(J2030,"*52*")&gt;0,COUNTIF(I2030,"55*")&gt;0,COUNTIF(J2030,"*55*")&gt;0,COUNTIF(I2030,"56*")&gt;0,COUNTIF(J2030,"*56*")&gt;0,COUNTIF(I2030,"68*")&gt;0,COUNTIF(J2030,"*68*")&gt;0,COUNTIF(I2030,"78*")&gt;0,COUNTIF(J2030,"*78*")&gt;0,COUNTIF(I2030,"81*")&gt;0,COUNTIF(J2030,"*81*")&gt;0,COUNTIF(I2030,"82*")&gt;0,COUNTIF(J2030,"*82*")&gt;0,COUNTIF(I2030,"64*")&gt;0,COUNTIF(J2030,"*64*")&gt;0,COUNTIF(I2030,"65*")&gt;0,COUNTIF(J2030,"*65*")&gt;0,COUNTIF(I2030,"66*")&gt;0,COUNTIF(J2030,"*66*")&gt;0,COUNTIF(I2030,"61*")&gt;0,COUNTIF(J2030,"*61*")&gt;0,COUNTIF(I2030,"62*")&gt;0,COUNTIF(J2030,"*62*")&gt;0,COUNTIF(I2030,"63*")&gt;0,COUNTIF(J2030,"*63*")&gt;0,COUNTIF(I2030,"85*")&gt;0,COUNTIF(J2030,"*85*")&gt;0,COUNTIF(I2030,"86*")&gt;0,COUNTIF(J2030,"*86*")&gt;0),"Да","Нет"))</f>
        <v/>
      </c>
      <c r="M2030" s="13">
        <f>IF(OR(G2030="",L2030&lt;&gt;"Да"),"",IF(G2030&lt;=100,"До 100",IF(G2030&lt;=200,"До 200",IF(G2030&lt;=500,"До 500","Отдельное КП"))))</f>
        <v/>
      </c>
      <c r="N2030" s="15">
        <f>IF(OR(G2030="",L2030&lt;&gt;"Да"),"",IF(G2030&lt;=100,33600,IF(G2030&lt;=200,62400,IF(G2030&lt;=500,144000,""))))</f>
        <v/>
      </c>
      <c r="O2030" s="16">
        <f>IF(G2030="","",IF(G2030&lt;=15,"1–15",IF(G2030&lt;=30,"16–30",IF(G2030&lt;=50,"31–50",IF(G2030&lt;=100,"51–100",IF(G2030&lt;=150,"101–150",IF(G2030&lt;=200,"151–200",IF(G2030&lt;=500,"201–500","500+"))))))))</f>
        <v/>
      </c>
      <c r="P2030" s="16" t="inlineStr">
        <is>
          <t>Нет совпадения в предоставленной выгрузке ССЧР</t>
        </is>
      </c>
      <c r="Q2030" s="16" t="n"/>
      <c r="R2030" s="16">
        <f>HYPERLINK("https://checko.ru/search?query=3801001629","Чекко: проверить")</f>
        <v/>
      </c>
      <c r="S2030" t="n">
        <v>0</v>
      </c>
    </row>
    <row r="2031" ht="15" customHeight="1" s="24">
      <c r="A2031" s="13" t="n">
        <v>5000094470</v>
      </c>
      <c r="B2031" s="13" t="inlineStr">
        <is>
          <t>МКОУ НШДС с.п.Баксаненок</t>
        </is>
      </c>
      <c r="C2031" s="13" t="n">
        <v>701014562</v>
      </c>
      <c r="D2031" s="13" t="n"/>
      <c r="E2031" s="13" t="inlineStr">
        <is>
          <t>Не определён</t>
        </is>
      </c>
      <c r="F2031" s="13" t="inlineStr">
        <is>
          <t>701014562</t>
        </is>
      </c>
      <c r="G2031" s="14" t="n"/>
      <c r="H2031" s="14" t="n"/>
      <c r="I2031" s="14" t="n"/>
      <c r="J2031" s="14" t="n"/>
      <c r="K2031" s="13">
        <f>IF(G2031="","",IF(G2031&gt;=22,"Да","Нет"))</f>
        <v/>
      </c>
      <c r="L2031" s="13">
        <f>IF(OR(I2031="",J2031=""),"Не определено",IF(OR(COUNTIF(I2031,"45*")&gt;0,COUNTIF(J2031,"*45*")&gt;0,COUNTIF(I2031,"46*")&gt;0,COUNTIF(J2031,"*46*")&gt;0,COUNTIF(I2031,"47*")&gt;0,COUNTIF(J2031,"*47*")&gt;0,COUNTIF(I2031,"10*")&gt;0,COUNTIF(J2031,"*10*")&gt;0,COUNTIF(I2031,"11*")&gt;0,COUNTIF(J2031,"*11*")&gt;0,COUNTIF(I2031,"12*")&gt;0,COUNTIF(J2031,"*12*")&gt;0,COUNTIF(I2031,"13*")&gt;0,COUNTIF(J2031,"*13*")&gt;0,COUNTIF(I2031,"14*")&gt;0,COUNTIF(J2031,"*14*")&gt;0,COUNTIF(I2031,"15*")&gt;0,COUNTIF(J2031,"*15*")&gt;0,COUNTIF(I2031,"16*")&gt;0,COUNTIF(J2031,"*16*")&gt;0,COUNTIF(I2031,"17*")&gt;0,COUNTIF(J2031,"*17*")&gt;0,COUNTIF(I2031,"18*")&gt;0,COUNTIF(J2031,"*18*")&gt;0,COUNTIF(I2031,"19*")&gt;0,COUNTIF(J2031,"*19*")&gt;0,COUNTIF(I2031,"20*")&gt;0,COUNTIF(J2031,"*20*")&gt;0,COUNTIF(I2031,"21*")&gt;0,COUNTIF(J2031,"*21*")&gt;0,COUNTIF(I2031,"22*")&gt;0,COUNTIF(J2031,"*22*")&gt;0,COUNTIF(I2031,"23*")&gt;0,COUNTIF(J2031,"*23*")&gt;0,COUNTIF(I2031,"24*")&gt;0,COUNTIF(J2031,"*24*")&gt;0,COUNTIF(I2031,"25*")&gt;0,COUNTIF(J2031,"*25*")&gt;0,COUNTIF(I2031,"26*")&gt;0,COUNTIF(J2031,"*26*")&gt;0,COUNTIF(I2031,"27*")&gt;0,COUNTIF(J2031,"*27*")&gt;0,COUNTIF(I2031,"28*")&gt;0,COUNTIF(J2031,"*28*")&gt;0,COUNTIF(I2031,"29*")&gt;0,COUNTIF(J2031,"*29*")&gt;0,COUNTIF(I2031,"30*")&gt;0,COUNTIF(J2031,"*30*")&gt;0,COUNTIF(I2031,"31*")&gt;0,COUNTIF(J2031,"*31*")&gt;0,COUNTIF(I2031,"32*")&gt;0,COUNTIF(J2031,"*32*")&gt;0,COUNTIF(I2031,"33*")&gt;0,COUNTIF(J2031,"*33*")&gt;0,COUNTIF(I2031,"41*")&gt;0,COUNTIF(J2031,"*41*")&gt;0,COUNTIF(I2031,"42*")&gt;0,COUNTIF(J2031,"*42*")&gt;0,COUNTIF(I2031,"43*")&gt;0,COUNTIF(J2031,"*43*")&gt;0,COUNTIF(I2031,"49*")&gt;0,COUNTIF(J2031,"*49*")&gt;0,COUNTIF(I2031,"52*")&gt;0,COUNTIF(J2031,"*52*")&gt;0,COUNTIF(I2031,"55*")&gt;0,COUNTIF(J2031,"*55*")&gt;0,COUNTIF(I2031,"56*")&gt;0,COUNTIF(J2031,"*56*")&gt;0,COUNTIF(I2031,"68*")&gt;0,COUNTIF(J2031,"*68*")&gt;0,COUNTIF(I2031,"78*")&gt;0,COUNTIF(J2031,"*78*")&gt;0,COUNTIF(I2031,"81*")&gt;0,COUNTIF(J2031,"*81*")&gt;0,COUNTIF(I2031,"82*")&gt;0,COUNTIF(J2031,"*82*")&gt;0,COUNTIF(I2031,"64*")&gt;0,COUNTIF(J2031,"*64*")&gt;0,COUNTIF(I2031,"65*")&gt;0,COUNTIF(J2031,"*65*")&gt;0,COUNTIF(I2031,"66*")&gt;0,COUNTIF(J2031,"*66*")&gt;0,COUNTIF(I2031,"61*")&gt;0,COUNTIF(J2031,"*61*")&gt;0,COUNTIF(I2031,"62*")&gt;0,COUNTIF(J2031,"*62*")&gt;0,COUNTIF(I2031,"63*")&gt;0,COUNTIF(J2031,"*63*")&gt;0,COUNTIF(I2031,"85*")&gt;0,COUNTIF(J2031,"*85*")&gt;0,COUNTIF(I2031,"86*")&gt;0,COUNTIF(J2031,"*86*")&gt;0),"Да","Нет"))</f>
        <v/>
      </c>
      <c r="M2031" s="13">
        <f>IF(OR(G2031="",L2031&lt;&gt;"Да"),"",IF(G2031&lt;=100,"До 100",IF(G2031&lt;=200,"До 200",IF(G2031&lt;=500,"До 500","Отдельное КП"))))</f>
        <v/>
      </c>
      <c r="N2031" s="15">
        <f>IF(OR(G2031="",L2031&lt;&gt;"Да"),"",IF(G2031&lt;=100,33600,IF(G2031&lt;=200,62400,IF(G2031&lt;=500,144000,""))))</f>
        <v/>
      </c>
      <c r="O2031" s="16">
        <f>IF(G2031="","",IF(G2031&lt;=15,"1–15",IF(G2031&lt;=30,"16–30",IF(G2031&lt;=50,"31–50",IF(G2031&lt;=100,"51–100",IF(G2031&lt;=150,"101–150",IF(G2031&lt;=200,"151–200",IF(G2031&lt;=500,"201–500","500+"))))))))</f>
        <v/>
      </c>
      <c r="P2031" s="16" t="inlineStr">
        <is>
          <t>Нет совпадения в предоставленной выгрузке ССЧР</t>
        </is>
      </c>
      <c r="Q2031" s="16" t="n"/>
      <c r="R2031" s="16">
        <f>HYPERLINK("https://checko.ru/search?query=3801001629","Чекко: проверить")</f>
        <v/>
      </c>
      <c r="S2031" t="n">
        <v>0</v>
      </c>
    </row>
    <row r="2032" ht="27.75" customHeight="1" s="24">
      <c r="A2032" s="13" t="n">
        <v>5000094471</v>
      </c>
      <c r="B2032" s="13" t="inlineStr">
        <is>
          <t>МКУ "СШ №3 Баксанского муниципального района"</t>
        </is>
      </c>
      <c r="C2032" s="13" t="n">
        <v>701015485</v>
      </c>
      <c r="D2032" s="13" t="n"/>
      <c r="E2032" s="13" t="inlineStr">
        <is>
          <t>Не определён</t>
        </is>
      </c>
      <c r="F2032" s="13" t="inlineStr">
        <is>
          <t>701015485</t>
        </is>
      </c>
      <c r="G2032" s="14" t="n"/>
      <c r="H2032" s="14" t="n"/>
      <c r="I2032" s="14" t="n"/>
      <c r="J2032" s="14" t="n"/>
      <c r="K2032" s="13">
        <f>IF(G2032="","",IF(G2032&gt;=22,"Да","Нет"))</f>
        <v/>
      </c>
      <c r="L2032" s="13">
        <f>IF(OR(I2032="",J2032=""),"Не определено",IF(OR(COUNTIF(I2032,"45*")&gt;0,COUNTIF(J2032,"*45*")&gt;0,COUNTIF(I2032,"46*")&gt;0,COUNTIF(J2032,"*46*")&gt;0,COUNTIF(I2032,"47*")&gt;0,COUNTIF(J2032,"*47*")&gt;0,COUNTIF(I2032,"10*")&gt;0,COUNTIF(J2032,"*10*")&gt;0,COUNTIF(I2032,"11*")&gt;0,COUNTIF(J2032,"*11*")&gt;0,COUNTIF(I2032,"12*")&gt;0,COUNTIF(J2032,"*12*")&gt;0,COUNTIF(I2032,"13*")&gt;0,COUNTIF(J2032,"*13*")&gt;0,COUNTIF(I2032,"14*")&gt;0,COUNTIF(J2032,"*14*")&gt;0,COUNTIF(I2032,"15*")&gt;0,COUNTIF(J2032,"*15*")&gt;0,COUNTIF(I2032,"16*")&gt;0,COUNTIF(J2032,"*16*")&gt;0,COUNTIF(I2032,"17*")&gt;0,COUNTIF(J2032,"*17*")&gt;0,COUNTIF(I2032,"18*")&gt;0,COUNTIF(J2032,"*18*")&gt;0,COUNTIF(I2032,"19*")&gt;0,COUNTIF(J2032,"*19*")&gt;0,COUNTIF(I2032,"20*")&gt;0,COUNTIF(J2032,"*20*")&gt;0,COUNTIF(I2032,"21*")&gt;0,COUNTIF(J2032,"*21*")&gt;0,COUNTIF(I2032,"22*")&gt;0,COUNTIF(J2032,"*22*")&gt;0,COUNTIF(I2032,"23*")&gt;0,COUNTIF(J2032,"*23*")&gt;0,COUNTIF(I2032,"24*")&gt;0,COUNTIF(J2032,"*24*")&gt;0,COUNTIF(I2032,"25*")&gt;0,COUNTIF(J2032,"*25*")&gt;0,COUNTIF(I2032,"26*")&gt;0,COUNTIF(J2032,"*26*")&gt;0,COUNTIF(I2032,"27*")&gt;0,COUNTIF(J2032,"*27*")&gt;0,COUNTIF(I2032,"28*")&gt;0,COUNTIF(J2032,"*28*")&gt;0,COUNTIF(I2032,"29*")&gt;0,COUNTIF(J2032,"*29*")&gt;0,COUNTIF(I2032,"30*")&gt;0,COUNTIF(J2032,"*30*")&gt;0,COUNTIF(I2032,"31*")&gt;0,COUNTIF(J2032,"*31*")&gt;0,COUNTIF(I2032,"32*")&gt;0,COUNTIF(J2032,"*32*")&gt;0,COUNTIF(I2032,"33*")&gt;0,COUNTIF(J2032,"*33*")&gt;0,COUNTIF(I2032,"41*")&gt;0,COUNTIF(J2032,"*41*")&gt;0,COUNTIF(I2032,"42*")&gt;0,COUNTIF(J2032,"*42*")&gt;0,COUNTIF(I2032,"43*")&gt;0,COUNTIF(J2032,"*43*")&gt;0,COUNTIF(I2032,"49*")&gt;0,COUNTIF(J2032,"*49*")&gt;0,COUNTIF(I2032,"52*")&gt;0,COUNTIF(J2032,"*52*")&gt;0,COUNTIF(I2032,"55*")&gt;0,COUNTIF(J2032,"*55*")&gt;0,COUNTIF(I2032,"56*")&gt;0,COUNTIF(J2032,"*56*")&gt;0,COUNTIF(I2032,"68*")&gt;0,COUNTIF(J2032,"*68*")&gt;0,COUNTIF(I2032,"78*")&gt;0,COUNTIF(J2032,"*78*")&gt;0,COUNTIF(I2032,"81*")&gt;0,COUNTIF(J2032,"*81*")&gt;0,COUNTIF(I2032,"82*")&gt;0,COUNTIF(J2032,"*82*")&gt;0,COUNTIF(I2032,"64*")&gt;0,COUNTIF(J2032,"*64*")&gt;0,COUNTIF(I2032,"65*")&gt;0,COUNTIF(J2032,"*65*")&gt;0,COUNTIF(I2032,"66*")&gt;0,COUNTIF(J2032,"*66*")&gt;0,COUNTIF(I2032,"61*")&gt;0,COUNTIF(J2032,"*61*")&gt;0,COUNTIF(I2032,"62*")&gt;0,COUNTIF(J2032,"*62*")&gt;0,COUNTIF(I2032,"63*")&gt;0,COUNTIF(J2032,"*63*")&gt;0,COUNTIF(I2032,"85*")&gt;0,COUNTIF(J2032,"*85*")&gt;0,COUNTIF(I2032,"86*")&gt;0,COUNTIF(J2032,"*86*")&gt;0),"Да","Нет"))</f>
        <v/>
      </c>
      <c r="M2032" s="13">
        <f>IF(OR(G2032="",L2032&lt;&gt;"Да"),"",IF(G2032&lt;=100,"До 100",IF(G2032&lt;=200,"До 200",IF(G2032&lt;=500,"До 500","Отдельное КП"))))</f>
        <v/>
      </c>
      <c r="N2032" s="15">
        <f>IF(OR(G2032="",L2032&lt;&gt;"Да"),"",IF(G2032&lt;=100,33600,IF(G2032&lt;=200,62400,IF(G2032&lt;=500,144000,""))))</f>
        <v/>
      </c>
      <c r="O2032" s="16">
        <f>IF(G2032="","",IF(G2032&lt;=15,"1–15",IF(G2032&lt;=30,"16–30",IF(G2032&lt;=50,"31–50",IF(G2032&lt;=100,"51–100",IF(G2032&lt;=150,"101–150",IF(G2032&lt;=200,"151–200",IF(G2032&lt;=500,"201–500","500+"))))))))</f>
        <v/>
      </c>
      <c r="P2032" s="16" t="inlineStr">
        <is>
          <t>Нет совпадения в предоставленной выгрузке ССЧР</t>
        </is>
      </c>
      <c r="Q2032" s="16" t="n"/>
      <c r="R2032" s="16">
        <f>HYPERLINK("https://checko.ru/search?query=3801001629","Чекко: проверить")</f>
        <v/>
      </c>
      <c r="S2032" t="n">
        <v>0</v>
      </c>
    </row>
    <row r="2033" ht="15" customHeight="1" s="24">
      <c r="A2033" s="13" t="n">
        <v>5000094472</v>
      </c>
      <c r="B2033" s="13" t="inlineStr">
        <is>
          <t>МУ ДО "ДШИ" с.п. Заюково</t>
        </is>
      </c>
      <c r="C2033" s="13" t="n">
        <v>701015541</v>
      </c>
      <c r="D2033" s="13" t="n"/>
      <c r="E2033" s="13" t="inlineStr">
        <is>
          <t>Не определён</t>
        </is>
      </c>
      <c r="F2033" s="13" t="inlineStr">
        <is>
          <t>701015541</t>
        </is>
      </c>
      <c r="G2033" s="14" t="n"/>
      <c r="H2033" s="14" t="n"/>
      <c r="I2033" s="14" t="n"/>
      <c r="J2033" s="14" t="n"/>
      <c r="K2033" s="13">
        <f>IF(G2033="","",IF(G2033&gt;=22,"Да","Нет"))</f>
        <v/>
      </c>
      <c r="L2033" s="13">
        <f>IF(OR(I2033="",J2033=""),"Не определено",IF(OR(COUNTIF(I2033,"45*")&gt;0,COUNTIF(J2033,"*45*")&gt;0,COUNTIF(I2033,"46*")&gt;0,COUNTIF(J2033,"*46*")&gt;0,COUNTIF(I2033,"47*")&gt;0,COUNTIF(J2033,"*47*")&gt;0,COUNTIF(I2033,"10*")&gt;0,COUNTIF(J2033,"*10*")&gt;0,COUNTIF(I2033,"11*")&gt;0,COUNTIF(J2033,"*11*")&gt;0,COUNTIF(I2033,"12*")&gt;0,COUNTIF(J2033,"*12*")&gt;0,COUNTIF(I2033,"13*")&gt;0,COUNTIF(J2033,"*13*")&gt;0,COUNTIF(I2033,"14*")&gt;0,COUNTIF(J2033,"*14*")&gt;0,COUNTIF(I2033,"15*")&gt;0,COUNTIF(J2033,"*15*")&gt;0,COUNTIF(I2033,"16*")&gt;0,COUNTIF(J2033,"*16*")&gt;0,COUNTIF(I2033,"17*")&gt;0,COUNTIF(J2033,"*17*")&gt;0,COUNTIF(I2033,"18*")&gt;0,COUNTIF(J2033,"*18*")&gt;0,COUNTIF(I2033,"19*")&gt;0,COUNTIF(J2033,"*19*")&gt;0,COUNTIF(I2033,"20*")&gt;0,COUNTIF(J2033,"*20*")&gt;0,COUNTIF(I2033,"21*")&gt;0,COUNTIF(J2033,"*21*")&gt;0,COUNTIF(I2033,"22*")&gt;0,COUNTIF(J2033,"*22*")&gt;0,COUNTIF(I2033,"23*")&gt;0,COUNTIF(J2033,"*23*")&gt;0,COUNTIF(I2033,"24*")&gt;0,COUNTIF(J2033,"*24*")&gt;0,COUNTIF(I2033,"25*")&gt;0,COUNTIF(J2033,"*25*")&gt;0,COUNTIF(I2033,"26*")&gt;0,COUNTIF(J2033,"*26*")&gt;0,COUNTIF(I2033,"27*")&gt;0,COUNTIF(J2033,"*27*")&gt;0,COUNTIF(I2033,"28*")&gt;0,COUNTIF(J2033,"*28*")&gt;0,COUNTIF(I2033,"29*")&gt;0,COUNTIF(J2033,"*29*")&gt;0,COUNTIF(I2033,"30*")&gt;0,COUNTIF(J2033,"*30*")&gt;0,COUNTIF(I2033,"31*")&gt;0,COUNTIF(J2033,"*31*")&gt;0,COUNTIF(I2033,"32*")&gt;0,COUNTIF(J2033,"*32*")&gt;0,COUNTIF(I2033,"33*")&gt;0,COUNTIF(J2033,"*33*")&gt;0,COUNTIF(I2033,"41*")&gt;0,COUNTIF(J2033,"*41*")&gt;0,COUNTIF(I2033,"42*")&gt;0,COUNTIF(J2033,"*42*")&gt;0,COUNTIF(I2033,"43*")&gt;0,COUNTIF(J2033,"*43*")&gt;0,COUNTIF(I2033,"49*")&gt;0,COUNTIF(J2033,"*49*")&gt;0,COUNTIF(I2033,"52*")&gt;0,COUNTIF(J2033,"*52*")&gt;0,COUNTIF(I2033,"55*")&gt;0,COUNTIF(J2033,"*55*")&gt;0,COUNTIF(I2033,"56*")&gt;0,COUNTIF(J2033,"*56*")&gt;0,COUNTIF(I2033,"68*")&gt;0,COUNTIF(J2033,"*68*")&gt;0,COUNTIF(I2033,"78*")&gt;0,COUNTIF(J2033,"*78*")&gt;0,COUNTIF(I2033,"81*")&gt;0,COUNTIF(J2033,"*81*")&gt;0,COUNTIF(I2033,"82*")&gt;0,COUNTIF(J2033,"*82*")&gt;0,COUNTIF(I2033,"64*")&gt;0,COUNTIF(J2033,"*64*")&gt;0,COUNTIF(I2033,"65*")&gt;0,COUNTIF(J2033,"*65*")&gt;0,COUNTIF(I2033,"66*")&gt;0,COUNTIF(J2033,"*66*")&gt;0,COUNTIF(I2033,"61*")&gt;0,COUNTIF(J2033,"*61*")&gt;0,COUNTIF(I2033,"62*")&gt;0,COUNTIF(J2033,"*62*")&gt;0,COUNTIF(I2033,"63*")&gt;0,COUNTIF(J2033,"*63*")&gt;0,COUNTIF(I2033,"85*")&gt;0,COUNTIF(J2033,"*85*")&gt;0,COUNTIF(I2033,"86*")&gt;0,COUNTIF(J2033,"*86*")&gt;0),"Да","Нет"))</f>
        <v/>
      </c>
      <c r="M2033" s="13">
        <f>IF(OR(G2033="",L2033&lt;&gt;"Да"),"",IF(G2033&lt;=100,"До 100",IF(G2033&lt;=200,"До 200",IF(G2033&lt;=500,"До 500","Отдельное КП"))))</f>
        <v/>
      </c>
      <c r="N2033" s="15">
        <f>IF(OR(G2033="",L2033&lt;&gt;"Да"),"",IF(G2033&lt;=100,33600,IF(G2033&lt;=200,62400,IF(G2033&lt;=500,144000,""))))</f>
        <v/>
      </c>
      <c r="O2033" s="16">
        <f>IF(G2033="","",IF(G2033&lt;=15,"1–15",IF(G2033&lt;=30,"16–30",IF(G2033&lt;=50,"31–50",IF(G2033&lt;=100,"51–100",IF(G2033&lt;=150,"101–150",IF(G2033&lt;=200,"151–200",IF(G2033&lt;=500,"201–500","500+"))))))))</f>
        <v/>
      </c>
      <c r="P2033" s="16" t="inlineStr">
        <is>
          <t>Нет совпадения в предоставленной выгрузке ССЧР</t>
        </is>
      </c>
      <c r="Q2033" s="16" t="n"/>
      <c r="R2033" s="16">
        <f>HYPERLINK("https://checko.ru/search?query=3801001629","Чекко: проверить")</f>
        <v/>
      </c>
      <c r="S2033" t="n">
        <v>0</v>
      </c>
    </row>
    <row r="2034" ht="15" customHeight="1" s="24">
      <c r="A2034" s="13" t="n">
        <v>5000094473</v>
      </c>
      <c r="B2034" s="13" t="inlineStr">
        <is>
          <t>МКОУ ДОД "ДШИ им.М.Кипова" с.п. Н.Куркужин</t>
        </is>
      </c>
      <c r="C2034" s="13" t="n">
        <v>701015630</v>
      </c>
      <c r="D2034" s="13" t="n"/>
      <c r="E2034" s="13" t="inlineStr">
        <is>
          <t>Не определён</t>
        </is>
      </c>
      <c r="F2034" s="13" t="inlineStr">
        <is>
          <t>701015630</t>
        </is>
      </c>
      <c r="G2034" s="14" t="n"/>
      <c r="H2034" s="14" t="n"/>
      <c r="I2034" s="14" t="n"/>
      <c r="J2034" s="14" t="n"/>
      <c r="K2034" s="13">
        <f>IF(G2034="","",IF(G2034&gt;=22,"Да","Нет"))</f>
        <v/>
      </c>
      <c r="L2034" s="13">
        <f>IF(OR(I2034="",J2034=""),"Не определено",IF(OR(COUNTIF(I2034,"45*")&gt;0,COUNTIF(J2034,"*45*")&gt;0,COUNTIF(I2034,"46*")&gt;0,COUNTIF(J2034,"*46*")&gt;0,COUNTIF(I2034,"47*")&gt;0,COUNTIF(J2034,"*47*")&gt;0,COUNTIF(I2034,"10*")&gt;0,COUNTIF(J2034,"*10*")&gt;0,COUNTIF(I2034,"11*")&gt;0,COUNTIF(J2034,"*11*")&gt;0,COUNTIF(I2034,"12*")&gt;0,COUNTIF(J2034,"*12*")&gt;0,COUNTIF(I2034,"13*")&gt;0,COUNTIF(J2034,"*13*")&gt;0,COUNTIF(I2034,"14*")&gt;0,COUNTIF(J2034,"*14*")&gt;0,COUNTIF(I2034,"15*")&gt;0,COUNTIF(J2034,"*15*")&gt;0,COUNTIF(I2034,"16*")&gt;0,COUNTIF(J2034,"*16*")&gt;0,COUNTIF(I2034,"17*")&gt;0,COUNTIF(J2034,"*17*")&gt;0,COUNTIF(I2034,"18*")&gt;0,COUNTIF(J2034,"*18*")&gt;0,COUNTIF(I2034,"19*")&gt;0,COUNTIF(J2034,"*19*")&gt;0,COUNTIF(I2034,"20*")&gt;0,COUNTIF(J2034,"*20*")&gt;0,COUNTIF(I2034,"21*")&gt;0,COUNTIF(J2034,"*21*")&gt;0,COUNTIF(I2034,"22*")&gt;0,COUNTIF(J2034,"*22*")&gt;0,COUNTIF(I2034,"23*")&gt;0,COUNTIF(J2034,"*23*")&gt;0,COUNTIF(I2034,"24*")&gt;0,COUNTIF(J2034,"*24*")&gt;0,COUNTIF(I2034,"25*")&gt;0,COUNTIF(J2034,"*25*")&gt;0,COUNTIF(I2034,"26*")&gt;0,COUNTIF(J2034,"*26*")&gt;0,COUNTIF(I2034,"27*")&gt;0,COUNTIF(J2034,"*27*")&gt;0,COUNTIF(I2034,"28*")&gt;0,COUNTIF(J2034,"*28*")&gt;0,COUNTIF(I2034,"29*")&gt;0,COUNTIF(J2034,"*29*")&gt;0,COUNTIF(I2034,"30*")&gt;0,COUNTIF(J2034,"*30*")&gt;0,COUNTIF(I2034,"31*")&gt;0,COUNTIF(J2034,"*31*")&gt;0,COUNTIF(I2034,"32*")&gt;0,COUNTIF(J2034,"*32*")&gt;0,COUNTIF(I2034,"33*")&gt;0,COUNTIF(J2034,"*33*")&gt;0,COUNTIF(I2034,"41*")&gt;0,COUNTIF(J2034,"*41*")&gt;0,COUNTIF(I2034,"42*")&gt;0,COUNTIF(J2034,"*42*")&gt;0,COUNTIF(I2034,"43*")&gt;0,COUNTIF(J2034,"*43*")&gt;0,COUNTIF(I2034,"49*")&gt;0,COUNTIF(J2034,"*49*")&gt;0,COUNTIF(I2034,"52*")&gt;0,COUNTIF(J2034,"*52*")&gt;0,COUNTIF(I2034,"55*")&gt;0,COUNTIF(J2034,"*55*")&gt;0,COUNTIF(I2034,"56*")&gt;0,COUNTIF(J2034,"*56*")&gt;0,COUNTIF(I2034,"68*")&gt;0,COUNTIF(J2034,"*68*")&gt;0,COUNTIF(I2034,"78*")&gt;0,COUNTIF(J2034,"*78*")&gt;0,COUNTIF(I2034,"81*")&gt;0,COUNTIF(J2034,"*81*")&gt;0,COUNTIF(I2034,"82*")&gt;0,COUNTIF(J2034,"*82*")&gt;0,COUNTIF(I2034,"64*")&gt;0,COUNTIF(J2034,"*64*")&gt;0,COUNTIF(I2034,"65*")&gt;0,COUNTIF(J2034,"*65*")&gt;0,COUNTIF(I2034,"66*")&gt;0,COUNTIF(J2034,"*66*")&gt;0,COUNTIF(I2034,"61*")&gt;0,COUNTIF(J2034,"*61*")&gt;0,COUNTIF(I2034,"62*")&gt;0,COUNTIF(J2034,"*62*")&gt;0,COUNTIF(I2034,"63*")&gt;0,COUNTIF(J2034,"*63*")&gt;0,COUNTIF(I2034,"85*")&gt;0,COUNTIF(J2034,"*85*")&gt;0,COUNTIF(I2034,"86*")&gt;0,COUNTIF(J2034,"*86*")&gt;0),"Да","Нет"))</f>
        <v/>
      </c>
      <c r="M2034" s="13">
        <f>IF(OR(G2034="",L2034&lt;&gt;"Да"),"",IF(G2034&lt;=100,"До 100",IF(G2034&lt;=200,"До 200",IF(G2034&lt;=500,"До 500","Отдельное КП"))))</f>
        <v/>
      </c>
      <c r="N2034" s="15">
        <f>IF(OR(G2034="",L2034&lt;&gt;"Да"),"",IF(G2034&lt;=100,33600,IF(G2034&lt;=200,62400,IF(G2034&lt;=500,144000,""))))</f>
        <v/>
      </c>
      <c r="O2034" s="16">
        <f>IF(G2034="","",IF(G2034&lt;=15,"1–15",IF(G2034&lt;=30,"16–30",IF(G2034&lt;=50,"31–50",IF(G2034&lt;=100,"51–100",IF(G2034&lt;=150,"101–150",IF(G2034&lt;=200,"151–200",IF(G2034&lt;=500,"201–500","500+"))))))))</f>
        <v/>
      </c>
      <c r="P2034" s="16" t="inlineStr">
        <is>
          <t>Нет совпадения в предоставленной выгрузке ССЧР</t>
        </is>
      </c>
      <c r="Q2034" s="16" t="n"/>
      <c r="R2034" s="16">
        <f>HYPERLINK("https://checko.ru/search?query=3801001629","Чекко: проверить")</f>
        <v/>
      </c>
      <c r="S2034" t="n">
        <v>0</v>
      </c>
    </row>
    <row r="2035" ht="15" customHeight="1" s="24">
      <c r="A2035" s="13" t="n">
        <v>5000094474</v>
      </c>
      <c r="B2035" s="13" t="inlineStr">
        <is>
          <t>МОУ НШДС с.п. Куба-Таба</t>
        </is>
      </c>
      <c r="C2035" s="13" t="n">
        <v>701015661</v>
      </c>
      <c r="D2035" s="13" t="n"/>
      <c r="E2035" s="13" t="inlineStr">
        <is>
          <t>Не определён</t>
        </is>
      </c>
      <c r="F2035" s="13" t="inlineStr">
        <is>
          <t>701015661</t>
        </is>
      </c>
      <c r="G2035" s="14" t="n"/>
      <c r="H2035" s="14" t="n"/>
      <c r="I2035" s="14" t="n"/>
      <c r="J2035" s="14" t="n"/>
      <c r="K2035" s="13">
        <f>IF(G2035="","",IF(G2035&gt;=22,"Да","Нет"))</f>
        <v/>
      </c>
      <c r="L2035" s="13">
        <f>IF(OR(I2035="",J2035=""),"Не определено",IF(OR(COUNTIF(I2035,"45*")&gt;0,COUNTIF(J2035,"*45*")&gt;0,COUNTIF(I2035,"46*")&gt;0,COUNTIF(J2035,"*46*")&gt;0,COUNTIF(I2035,"47*")&gt;0,COUNTIF(J2035,"*47*")&gt;0,COUNTIF(I2035,"10*")&gt;0,COUNTIF(J2035,"*10*")&gt;0,COUNTIF(I2035,"11*")&gt;0,COUNTIF(J2035,"*11*")&gt;0,COUNTIF(I2035,"12*")&gt;0,COUNTIF(J2035,"*12*")&gt;0,COUNTIF(I2035,"13*")&gt;0,COUNTIF(J2035,"*13*")&gt;0,COUNTIF(I2035,"14*")&gt;0,COUNTIF(J2035,"*14*")&gt;0,COUNTIF(I2035,"15*")&gt;0,COUNTIF(J2035,"*15*")&gt;0,COUNTIF(I2035,"16*")&gt;0,COUNTIF(J2035,"*16*")&gt;0,COUNTIF(I2035,"17*")&gt;0,COUNTIF(J2035,"*17*")&gt;0,COUNTIF(I2035,"18*")&gt;0,COUNTIF(J2035,"*18*")&gt;0,COUNTIF(I2035,"19*")&gt;0,COUNTIF(J2035,"*19*")&gt;0,COUNTIF(I2035,"20*")&gt;0,COUNTIF(J2035,"*20*")&gt;0,COUNTIF(I2035,"21*")&gt;0,COUNTIF(J2035,"*21*")&gt;0,COUNTIF(I2035,"22*")&gt;0,COUNTIF(J2035,"*22*")&gt;0,COUNTIF(I2035,"23*")&gt;0,COUNTIF(J2035,"*23*")&gt;0,COUNTIF(I2035,"24*")&gt;0,COUNTIF(J2035,"*24*")&gt;0,COUNTIF(I2035,"25*")&gt;0,COUNTIF(J2035,"*25*")&gt;0,COUNTIF(I2035,"26*")&gt;0,COUNTIF(J2035,"*26*")&gt;0,COUNTIF(I2035,"27*")&gt;0,COUNTIF(J2035,"*27*")&gt;0,COUNTIF(I2035,"28*")&gt;0,COUNTIF(J2035,"*28*")&gt;0,COUNTIF(I2035,"29*")&gt;0,COUNTIF(J2035,"*29*")&gt;0,COUNTIF(I2035,"30*")&gt;0,COUNTIF(J2035,"*30*")&gt;0,COUNTIF(I2035,"31*")&gt;0,COUNTIF(J2035,"*31*")&gt;0,COUNTIF(I2035,"32*")&gt;0,COUNTIF(J2035,"*32*")&gt;0,COUNTIF(I2035,"33*")&gt;0,COUNTIF(J2035,"*33*")&gt;0,COUNTIF(I2035,"41*")&gt;0,COUNTIF(J2035,"*41*")&gt;0,COUNTIF(I2035,"42*")&gt;0,COUNTIF(J2035,"*42*")&gt;0,COUNTIF(I2035,"43*")&gt;0,COUNTIF(J2035,"*43*")&gt;0,COUNTIF(I2035,"49*")&gt;0,COUNTIF(J2035,"*49*")&gt;0,COUNTIF(I2035,"52*")&gt;0,COUNTIF(J2035,"*52*")&gt;0,COUNTIF(I2035,"55*")&gt;0,COUNTIF(J2035,"*55*")&gt;0,COUNTIF(I2035,"56*")&gt;0,COUNTIF(J2035,"*56*")&gt;0,COUNTIF(I2035,"68*")&gt;0,COUNTIF(J2035,"*68*")&gt;0,COUNTIF(I2035,"78*")&gt;0,COUNTIF(J2035,"*78*")&gt;0,COUNTIF(I2035,"81*")&gt;0,COUNTIF(J2035,"*81*")&gt;0,COUNTIF(I2035,"82*")&gt;0,COUNTIF(J2035,"*82*")&gt;0,COUNTIF(I2035,"64*")&gt;0,COUNTIF(J2035,"*64*")&gt;0,COUNTIF(I2035,"65*")&gt;0,COUNTIF(J2035,"*65*")&gt;0,COUNTIF(I2035,"66*")&gt;0,COUNTIF(J2035,"*66*")&gt;0,COUNTIF(I2035,"61*")&gt;0,COUNTIF(J2035,"*61*")&gt;0,COUNTIF(I2035,"62*")&gt;0,COUNTIF(J2035,"*62*")&gt;0,COUNTIF(I2035,"63*")&gt;0,COUNTIF(J2035,"*63*")&gt;0,COUNTIF(I2035,"85*")&gt;0,COUNTIF(J2035,"*85*")&gt;0,COUNTIF(I2035,"86*")&gt;0,COUNTIF(J2035,"*86*")&gt;0),"Да","Нет"))</f>
        <v/>
      </c>
      <c r="M2035" s="13">
        <f>IF(OR(G2035="",L2035&lt;&gt;"Да"),"",IF(G2035&lt;=100,"До 100",IF(G2035&lt;=200,"До 200",IF(G2035&lt;=500,"До 500","Отдельное КП"))))</f>
        <v/>
      </c>
      <c r="N2035" s="15">
        <f>IF(OR(G2035="",L2035&lt;&gt;"Да"),"",IF(G2035&lt;=100,33600,IF(G2035&lt;=200,62400,IF(G2035&lt;=500,144000,""))))</f>
        <v/>
      </c>
      <c r="O2035" s="16">
        <f>IF(G2035="","",IF(G2035&lt;=15,"1–15",IF(G2035&lt;=30,"16–30",IF(G2035&lt;=50,"31–50",IF(G2035&lt;=100,"51–100",IF(G2035&lt;=150,"101–150",IF(G2035&lt;=200,"151–200",IF(G2035&lt;=500,"201–500","500+"))))))))</f>
        <v/>
      </c>
      <c r="P2035" s="16" t="inlineStr">
        <is>
          <t>Нет совпадения в предоставленной выгрузке ССЧР</t>
        </is>
      </c>
      <c r="Q2035" s="16" t="n"/>
      <c r="R2035" s="16">
        <f>HYPERLINK("https://checko.ru/search?query=3801001629","Чекко: проверить")</f>
        <v/>
      </c>
      <c r="S2035" t="n">
        <v>0</v>
      </c>
    </row>
    <row r="2036" ht="27.75" customHeight="1" s="24">
      <c r="A2036" s="13" t="n">
        <v>5000094476</v>
      </c>
      <c r="B2036" s="13" t="inlineStr">
        <is>
          <t>ГБОУ "КШИ№1 им. З.Х. Дикинова" Минпросвещения КБР</t>
        </is>
      </c>
      <c r="C2036" s="13" t="n">
        <v>701016062</v>
      </c>
      <c r="D2036" s="13" t="n"/>
      <c r="E2036" s="13" t="inlineStr">
        <is>
          <t>Не определён</t>
        </is>
      </c>
      <c r="F2036" s="13" t="inlineStr">
        <is>
          <t>701016062</t>
        </is>
      </c>
      <c r="G2036" s="14" t="n"/>
      <c r="H2036" s="14" t="n"/>
      <c r="I2036" s="14" t="n"/>
      <c r="J2036" s="14" t="n"/>
      <c r="K2036" s="13">
        <f>IF(G2036="","",IF(G2036&gt;=22,"Да","Нет"))</f>
        <v/>
      </c>
      <c r="L2036" s="13">
        <f>IF(OR(I2036="",J2036=""),"Не определено",IF(OR(COUNTIF(I2036,"45*")&gt;0,COUNTIF(J2036,"*45*")&gt;0,COUNTIF(I2036,"46*")&gt;0,COUNTIF(J2036,"*46*")&gt;0,COUNTIF(I2036,"47*")&gt;0,COUNTIF(J2036,"*47*")&gt;0,COUNTIF(I2036,"10*")&gt;0,COUNTIF(J2036,"*10*")&gt;0,COUNTIF(I2036,"11*")&gt;0,COUNTIF(J2036,"*11*")&gt;0,COUNTIF(I2036,"12*")&gt;0,COUNTIF(J2036,"*12*")&gt;0,COUNTIF(I2036,"13*")&gt;0,COUNTIF(J2036,"*13*")&gt;0,COUNTIF(I2036,"14*")&gt;0,COUNTIF(J2036,"*14*")&gt;0,COUNTIF(I2036,"15*")&gt;0,COUNTIF(J2036,"*15*")&gt;0,COUNTIF(I2036,"16*")&gt;0,COUNTIF(J2036,"*16*")&gt;0,COUNTIF(I2036,"17*")&gt;0,COUNTIF(J2036,"*17*")&gt;0,COUNTIF(I2036,"18*")&gt;0,COUNTIF(J2036,"*18*")&gt;0,COUNTIF(I2036,"19*")&gt;0,COUNTIF(J2036,"*19*")&gt;0,COUNTIF(I2036,"20*")&gt;0,COUNTIF(J2036,"*20*")&gt;0,COUNTIF(I2036,"21*")&gt;0,COUNTIF(J2036,"*21*")&gt;0,COUNTIF(I2036,"22*")&gt;0,COUNTIF(J2036,"*22*")&gt;0,COUNTIF(I2036,"23*")&gt;0,COUNTIF(J2036,"*23*")&gt;0,COUNTIF(I2036,"24*")&gt;0,COUNTIF(J2036,"*24*")&gt;0,COUNTIF(I2036,"25*")&gt;0,COUNTIF(J2036,"*25*")&gt;0,COUNTIF(I2036,"26*")&gt;0,COUNTIF(J2036,"*26*")&gt;0,COUNTIF(I2036,"27*")&gt;0,COUNTIF(J2036,"*27*")&gt;0,COUNTIF(I2036,"28*")&gt;0,COUNTIF(J2036,"*28*")&gt;0,COUNTIF(I2036,"29*")&gt;0,COUNTIF(J2036,"*29*")&gt;0,COUNTIF(I2036,"30*")&gt;0,COUNTIF(J2036,"*30*")&gt;0,COUNTIF(I2036,"31*")&gt;0,COUNTIF(J2036,"*31*")&gt;0,COUNTIF(I2036,"32*")&gt;0,COUNTIF(J2036,"*32*")&gt;0,COUNTIF(I2036,"33*")&gt;0,COUNTIF(J2036,"*33*")&gt;0,COUNTIF(I2036,"41*")&gt;0,COUNTIF(J2036,"*41*")&gt;0,COUNTIF(I2036,"42*")&gt;0,COUNTIF(J2036,"*42*")&gt;0,COUNTIF(I2036,"43*")&gt;0,COUNTIF(J2036,"*43*")&gt;0,COUNTIF(I2036,"49*")&gt;0,COUNTIF(J2036,"*49*")&gt;0,COUNTIF(I2036,"52*")&gt;0,COUNTIF(J2036,"*52*")&gt;0,COUNTIF(I2036,"55*")&gt;0,COUNTIF(J2036,"*55*")&gt;0,COUNTIF(I2036,"56*")&gt;0,COUNTIF(J2036,"*56*")&gt;0,COUNTIF(I2036,"68*")&gt;0,COUNTIF(J2036,"*68*")&gt;0,COUNTIF(I2036,"78*")&gt;0,COUNTIF(J2036,"*78*")&gt;0,COUNTIF(I2036,"81*")&gt;0,COUNTIF(J2036,"*81*")&gt;0,COUNTIF(I2036,"82*")&gt;0,COUNTIF(J2036,"*82*")&gt;0,COUNTIF(I2036,"64*")&gt;0,COUNTIF(J2036,"*64*")&gt;0,COUNTIF(I2036,"65*")&gt;0,COUNTIF(J2036,"*65*")&gt;0,COUNTIF(I2036,"66*")&gt;0,COUNTIF(J2036,"*66*")&gt;0,COUNTIF(I2036,"61*")&gt;0,COUNTIF(J2036,"*61*")&gt;0,COUNTIF(I2036,"62*")&gt;0,COUNTIF(J2036,"*62*")&gt;0,COUNTIF(I2036,"63*")&gt;0,COUNTIF(J2036,"*63*")&gt;0,COUNTIF(I2036,"85*")&gt;0,COUNTIF(J2036,"*85*")&gt;0,COUNTIF(I2036,"86*")&gt;0,COUNTIF(J2036,"*86*")&gt;0),"Да","Нет"))</f>
        <v/>
      </c>
      <c r="M2036" s="13">
        <f>IF(OR(G2036="",L2036&lt;&gt;"Да"),"",IF(G2036&lt;=100,"До 100",IF(G2036&lt;=200,"До 200",IF(G2036&lt;=500,"До 500","Отдельное КП"))))</f>
        <v/>
      </c>
      <c r="N2036" s="15">
        <f>IF(OR(G2036="",L2036&lt;&gt;"Да"),"",IF(G2036&lt;=100,33600,IF(G2036&lt;=200,62400,IF(G2036&lt;=500,144000,""))))</f>
        <v/>
      </c>
      <c r="O2036" s="16">
        <f>IF(G2036="","",IF(G2036&lt;=15,"1–15",IF(G2036&lt;=30,"16–30",IF(G2036&lt;=50,"31–50",IF(G2036&lt;=100,"51–100",IF(G2036&lt;=150,"101–150",IF(G2036&lt;=200,"151–200",IF(G2036&lt;=500,"201–500","500+"))))))))</f>
        <v/>
      </c>
      <c r="P2036" s="16" t="inlineStr">
        <is>
          <t>Нет совпадения в предоставленной выгрузке ССЧР</t>
        </is>
      </c>
      <c r="Q2036" s="16" t="n"/>
      <c r="R2036" s="16">
        <f>HYPERLINK("https://checko.ru/search?query=3801001629","Чекко: проверить")</f>
        <v/>
      </c>
      <c r="S2036" t="n">
        <v>0</v>
      </c>
    </row>
    <row r="2037" ht="27.75" customHeight="1" s="24">
      <c r="A2037" s="13" t="n">
        <v>5000094477</v>
      </c>
      <c r="B2037" s="13" t="inlineStr">
        <is>
          <t>МКУДО "ДШИ" Баксанского муниципального района</t>
        </is>
      </c>
      <c r="C2037" s="13" t="n">
        <v>701016249</v>
      </c>
      <c r="D2037" s="13" t="n"/>
      <c r="E2037" s="13" t="inlineStr">
        <is>
          <t>Не определён</t>
        </is>
      </c>
      <c r="F2037" s="13" t="inlineStr">
        <is>
          <t>701016249</t>
        </is>
      </c>
      <c r="G2037" s="14" t="n"/>
      <c r="H2037" s="14" t="n"/>
      <c r="I2037" s="14" t="n"/>
      <c r="J2037" s="14" t="n"/>
      <c r="K2037" s="13">
        <f>IF(G2037="","",IF(G2037&gt;=22,"Да","Нет"))</f>
        <v/>
      </c>
      <c r="L2037" s="13">
        <f>IF(OR(I2037="",J2037=""),"Не определено",IF(OR(COUNTIF(I2037,"45*")&gt;0,COUNTIF(J2037,"*45*")&gt;0,COUNTIF(I2037,"46*")&gt;0,COUNTIF(J2037,"*46*")&gt;0,COUNTIF(I2037,"47*")&gt;0,COUNTIF(J2037,"*47*")&gt;0,COUNTIF(I2037,"10*")&gt;0,COUNTIF(J2037,"*10*")&gt;0,COUNTIF(I2037,"11*")&gt;0,COUNTIF(J2037,"*11*")&gt;0,COUNTIF(I2037,"12*")&gt;0,COUNTIF(J2037,"*12*")&gt;0,COUNTIF(I2037,"13*")&gt;0,COUNTIF(J2037,"*13*")&gt;0,COUNTIF(I2037,"14*")&gt;0,COUNTIF(J2037,"*14*")&gt;0,COUNTIF(I2037,"15*")&gt;0,COUNTIF(J2037,"*15*")&gt;0,COUNTIF(I2037,"16*")&gt;0,COUNTIF(J2037,"*16*")&gt;0,COUNTIF(I2037,"17*")&gt;0,COUNTIF(J2037,"*17*")&gt;0,COUNTIF(I2037,"18*")&gt;0,COUNTIF(J2037,"*18*")&gt;0,COUNTIF(I2037,"19*")&gt;0,COUNTIF(J2037,"*19*")&gt;0,COUNTIF(I2037,"20*")&gt;0,COUNTIF(J2037,"*20*")&gt;0,COUNTIF(I2037,"21*")&gt;0,COUNTIF(J2037,"*21*")&gt;0,COUNTIF(I2037,"22*")&gt;0,COUNTIF(J2037,"*22*")&gt;0,COUNTIF(I2037,"23*")&gt;0,COUNTIF(J2037,"*23*")&gt;0,COUNTIF(I2037,"24*")&gt;0,COUNTIF(J2037,"*24*")&gt;0,COUNTIF(I2037,"25*")&gt;0,COUNTIF(J2037,"*25*")&gt;0,COUNTIF(I2037,"26*")&gt;0,COUNTIF(J2037,"*26*")&gt;0,COUNTIF(I2037,"27*")&gt;0,COUNTIF(J2037,"*27*")&gt;0,COUNTIF(I2037,"28*")&gt;0,COUNTIF(J2037,"*28*")&gt;0,COUNTIF(I2037,"29*")&gt;0,COUNTIF(J2037,"*29*")&gt;0,COUNTIF(I2037,"30*")&gt;0,COUNTIF(J2037,"*30*")&gt;0,COUNTIF(I2037,"31*")&gt;0,COUNTIF(J2037,"*31*")&gt;0,COUNTIF(I2037,"32*")&gt;0,COUNTIF(J2037,"*32*")&gt;0,COUNTIF(I2037,"33*")&gt;0,COUNTIF(J2037,"*33*")&gt;0,COUNTIF(I2037,"41*")&gt;0,COUNTIF(J2037,"*41*")&gt;0,COUNTIF(I2037,"42*")&gt;0,COUNTIF(J2037,"*42*")&gt;0,COUNTIF(I2037,"43*")&gt;0,COUNTIF(J2037,"*43*")&gt;0,COUNTIF(I2037,"49*")&gt;0,COUNTIF(J2037,"*49*")&gt;0,COUNTIF(I2037,"52*")&gt;0,COUNTIF(J2037,"*52*")&gt;0,COUNTIF(I2037,"55*")&gt;0,COUNTIF(J2037,"*55*")&gt;0,COUNTIF(I2037,"56*")&gt;0,COUNTIF(J2037,"*56*")&gt;0,COUNTIF(I2037,"68*")&gt;0,COUNTIF(J2037,"*68*")&gt;0,COUNTIF(I2037,"78*")&gt;0,COUNTIF(J2037,"*78*")&gt;0,COUNTIF(I2037,"81*")&gt;0,COUNTIF(J2037,"*81*")&gt;0,COUNTIF(I2037,"82*")&gt;0,COUNTIF(J2037,"*82*")&gt;0,COUNTIF(I2037,"64*")&gt;0,COUNTIF(J2037,"*64*")&gt;0,COUNTIF(I2037,"65*")&gt;0,COUNTIF(J2037,"*65*")&gt;0,COUNTIF(I2037,"66*")&gt;0,COUNTIF(J2037,"*66*")&gt;0,COUNTIF(I2037,"61*")&gt;0,COUNTIF(J2037,"*61*")&gt;0,COUNTIF(I2037,"62*")&gt;0,COUNTIF(J2037,"*62*")&gt;0,COUNTIF(I2037,"63*")&gt;0,COUNTIF(J2037,"*63*")&gt;0,COUNTIF(I2037,"85*")&gt;0,COUNTIF(J2037,"*85*")&gt;0,COUNTIF(I2037,"86*")&gt;0,COUNTIF(J2037,"*86*")&gt;0),"Да","Нет"))</f>
        <v/>
      </c>
      <c r="M2037" s="13">
        <f>IF(OR(G2037="",L2037&lt;&gt;"Да"),"",IF(G2037&lt;=100,"До 100",IF(G2037&lt;=200,"До 200",IF(G2037&lt;=500,"До 500","Отдельное КП"))))</f>
        <v/>
      </c>
      <c r="N2037" s="15">
        <f>IF(OR(G2037="",L2037&lt;&gt;"Да"),"",IF(G2037&lt;=100,33600,IF(G2037&lt;=200,62400,IF(G2037&lt;=500,144000,""))))</f>
        <v/>
      </c>
      <c r="O2037" s="16">
        <f>IF(G2037="","",IF(G2037&lt;=15,"1–15",IF(G2037&lt;=30,"16–30",IF(G2037&lt;=50,"31–50",IF(G2037&lt;=100,"51–100",IF(G2037&lt;=150,"101–150",IF(G2037&lt;=200,"151–200",IF(G2037&lt;=500,"201–500","500+"))))))))</f>
        <v/>
      </c>
      <c r="P2037" s="16" t="inlineStr">
        <is>
          <t>Нет совпадения в предоставленной выгрузке ССЧР</t>
        </is>
      </c>
      <c r="Q2037" s="16" t="n"/>
      <c r="R2037" s="16">
        <f>HYPERLINK("https://checko.ru/search?query=3801001629","Чекко: проверить")</f>
        <v/>
      </c>
      <c r="S2037" t="n">
        <v>0</v>
      </c>
    </row>
    <row r="2038" ht="15" customHeight="1" s="24">
      <c r="A2038" s="13" t="n">
        <v>5000094478</v>
      </c>
      <c r="B2038" s="13" t="inlineStr">
        <is>
          <t>МКУ "КДЦ" Баксанского муниципального района</t>
        </is>
      </c>
      <c r="C2038" s="13" t="n">
        <v>701017010</v>
      </c>
      <c r="D2038" s="13" t="n"/>
      <c r="E2038" s="13" t="inlineStr">
        <is>
          <t>Не определён</t>
        </is>
      </c>
      <c r="F2038" s="13" t="inlineStr">
        <is>
          <t>701017010</t>
        </is>
      </c>
      <c r="G2038" s="14" t="n"/>
      <c r="H2038" s="14" t="n"/>
      <c r="I2038" s="14" t="n"/>
      <c r="J2038" s="14" t="n"/>
      <c r="K2038" s="13">
        <f>IF(G2038="","",IF(G2038&gt;=22,"Да","Нет"))</f>
        <v/>
      </c>
      <c r="L2038" s="13">
        <f>IF(OR(I2038="",J2038=""),"Не определено",IF(OR(COUNTIF(I2038,"45*")&gt;0,COUNTIF(J2038,"*45*")&gt;0,COUNTIF(I2038,"46*")&gt;0,COUNTIF(J2038,"*46*")&gt;0,COUNTIF(I2038,"47*")&gt;0,COUNTIF(J2038,"*47*")&gt;0,COUNTIF(I2038,"10*")&gt;0,COUNTIF(J2038,"*10*")&gt;0,COUNTIF(I2038,"11*")&gt;0,COUNTIF(J2038,"*11*")&gt;0,COUNTIF(I2038,"12*")&gt;0,COUNTIF(J2038,"*12*")&gt;0,COUNTIF(I2038,"13*")&gt;0,COUNTIF(J2038,"*13*")&gt;0,COUNTIF(I2038,"14*")&gt;0,COUNTIF(J2038,"*14*")&gt;0,COUNTIF(I2038,"15*")&gt;0,COUNTIF(J2038,"*15*")&gt;0,COUNTIF(I2038,"16*")&gt;0,COUNTIF(J2038,"*16*")&gt;0,COUNTIF(I2038,"17*")&gt;0,COUNTIF(J2038,"*17*")&gt;0,COUNTIF(I2038,"18*")&gt;0,COUNTIF(J2038,"*18*")&gt;0,COUNTIF(I2038,"19*")&gt;0,COUNTIF(J2038,"*19*")&gt;0,COUNTIF(I2038,"20*")&gt;0,COUNTIF(J2038,"*20*")&gt;0,COUNTIF(I2038,"21*")&gt;0,COUNTIF(J2038,"*21*")&gt;0,COUNTIF(I2038,"22*")&gt;0,COUNTIF(J2038,"*22*")&gt;0,COUNTIF(I2038,"23*")&gt;0,COUNTIF(J2038,"*23*")&gt;0,COUNTIF(I2038,"24*")&gt;0,COUNTIF(J2038,"*24*")&gt;0,COUNTIF(I2038,"25*")&gt;0,COUNTIF(J2038,"*25*")&gt;0,COUNTIF(I2038,"26*")&gt;0,COUNTIF(J2038,"*26*")&gt;0,COUNTIF(I2038,"27*")&gt;0,COUNTIF(J2038,"*27*")&gt;0,COUNTIF(I2038,"28*")&gt;0,COUNTIF(J2038,"*28*")&gt;0,COUNTIF(I2038,"29*")&gt;0,COUNTIF(J2038,"*29*")&gt;0,COUNTIF(I2038,"30*")&gt;0,COUNTIF(J2038,"*30*")&gt;0,COUNTIF(I2038,"31*")&gt;0,COUNTIF(J2038,"*31*")&gt;0,COUNTIF(I2038,"32*")&gt;0,COUNTIF(J2038,"*32*")&gt;0,COUNTIF(I2038,"33*")&gt;0,COUNTIF(J2038,"*33*")&gt;0,COUNTIF(I2038,"41*")&gt;0,COUNTIF(J2038,"*41*")&gt;0,COUNTIF(I2038,"42*")&gt;0,COUNTIF(J2038,"*42*")&gt;0,COUNTIF(I2038,"43*")&gt;0,COUNTIF(J2038,"*43*")&gt;0,COUNTIF(I2038,"49*")&gt;0,COUNTIF(J2038,"*49*")&gt;0,COUNTIF(I2038,"52*")&gt;0,COUNTIF(J2038,"*52*")&gt;0,COUNTIF(I2038,"55*")&gt;0,COUNTIF(J2038,"*55*")&gt;0,COUNTIF(I2038,"56*")&gt;0,COUNTIF(J2038,"*56*")&gt;0,COUNTIF(I2038,"68*")&gt;0,COUNTIF(J2038,"*68*")&gt;0,COUNTIF(I2038,"78*")&gt;0,COUNTIF(J2038,"*78*")&gt;0,COUNTIF(I2038,"81*")&gt;0,COUNTIF(J2038,"*81*")&gt;0,COUNTIF(I2038,"82*")&gt;0,COUNTIF(J2038,"*82*")&gt;0,COUNTIF(I2038,"64*")&gt;0,COUNTIF(J2038,"*64*")&gt;0,COUNTIF(I2038,"65*")&gt;0,COUNTIF(J2038,"*65*")&gt;0,COUNTIF(I2038,"66*")&gt;0,COUNTIF(J2038,"*66*")&gt;0,COUNTIF(I2038,"61*")&gt;0,COUNTIF(J2038,"*61*")&gt;0,COUNTIF(I2038,"62*")&gt;0,COUNTIF(J2038,"*62*")&gt;0,COUNTIF(I2038,"63*")&gt;0,COUNTIF(J2038,"*63*")&gt;0,COUNTIF(I2038,"85*")&gt;0,COUNTIF(J2038,"*85*")&gt;0,COUNTIF(I2038,"86*")&gt;0,COUNTIF(J2038,"*86*")&gt;0),"Да","Нет"))</f>
        <v/>
      </c>
      <c r="M2038" s="13">
        <f>IF(OR(G2038="",L2038&lt;&gt;"Да"),"",IF(G2038&lt;=100,"До 100",IF(G2038&lt;=200,"До 200",IF(G2038&lt;=500,"До 500","Отдельное КП"))))</f>
        <v/>
      </c>
      <c r="N2038" s="15">
        <f>IF(OR(G2038="",L2038&lt;&gt;"Да"),"",IF(G2038&lt;=100,33600,IF(G2038&lt;=200,62400,IF(G2038&lt;=500,144000,""))))</f>
        <v/>
      </c>
      <c r="O2038" s="16">
        <f>IF(G2038="","",IF(G2038&lt;=15,"1–15",IF(G2038&lt;=30,"16–30",IF(G2038&lt;=50,"31–50",IF(G2038&lt;=100,"51–100",IF(G2038&lt;=150,"101–150",IF(G2038&lt;=200,"151–200",IF(G2038&lt;=500,"201–500","500+"))))))))</f>
        <v/>
      </c>
      <c r="P2038" s="16" t="inlineStr">
        <is>
          <t>Нет совпадения в предоставленной выгрузке ССЧР</t>
        </is>
      </c>
      <c r="Q2038" s="16" t="n"/>
      <c r="R2038" s="16">
        <f>HYPERLINK("https://checko.ru/search?query=3801001629","Чекко: проверить")</f>
        <v/>
      </c>
      <c r="S2038" t="n">
        <v>0</v>
      </c>
    </row>
    <row r="2039" ht="27.75" customHeight="1" s="24">
      <c r="A2039" s="13" t="n">
        <v>5000094480</v>
      </c>
      <c r="B2039" s="13" t="inlineStr">
        <is>
          <t>МКУ "СШ №2 Баксанского муниципального района"</t>
        </is>
      </c>
      <c r="C2039" s="13" t="n">
        <v>701110185</v>
      </c>
      <c r="D2039" s="13" t="n"/>
      <c r="E2039" s="13" t="inlineStr">
        <is>
          <t>Не определён</t>
        </is>
      </c>
      <c r="F2039" s="13" t="inlineStr">
        <is>
          <t>701110185</t>
        </is>
      </c>
      <c r="G2039" s="14" t="n"/>
      <c r="H2039" s="14" t="n"/>
      <c r="I2039" s="14" t="n"/>
      <c r="J2039" s="14" t="n"/>
      <c r="K2039" s="13">
        <f>IF(G2039="","",IF(G2039&gt;=22,"Да","Нет"))</f>
        <v/>
      </c>
      <c r="L2039" s="13">
        <f>IF(OR(I2039="",J2039=""),"Не определено",IF(OR(COUNTIF(I2039,"45*")&gt;0,COUNTIF(J2039,"*45*")&gt;0,COUNTIF(I2039,"46*")&gt;0,COUNTIF(J2039,"*46*")&gt;0,COUNTIF(I2039,"47*")&gt;0,COUNTIF(J2039,"*47*")&gt;0,COUNTIF(I2039,"10*")&gt;0,COUNTIF(J2039,"*10*")&gt;0,COUNTIF(I2039,"11*")&gt;0,COUNTIF(J2039,"*11*")&gt;0,COUNTIF(I2039,"12*")&gt;0,COUNTIF(J2039,"*12*")&gt;0,COUNTIF(I2039,"13*")&gt;0,COUNTIF(J2039,"*13*")&gt;0,COUNTIF(I2039,"14*")&gt;0,COUNTIF(J2039,"*14*")&gt;0,COUNTIF(I2039,"15*")&gt;0,COUNTIF(J2039,"*15*")&gt;0,COUNTIF(I2039,"16*")&gt;0,COUNTIF(J2039,"*16*")&gt;0,COUNTIF(I2039,"17*")&gt;0,COUNTIF(J2039,"*17*")&gt;0,COUNTIF(I2039,"18*")&gt;0,COUNTIF(J2039,"*18*")&gt;0,COUNTIF(I2039,"19*")&gt;0,COUNTIF(J2039,"*19*")&gt;0,COUNTIF(I2039,"20*")&gt;0,COUNTIF(J2039,"*20*")&gt;0,COUNTIF(I2039,"21*")&gt;0,COUNTIF(J2039,"*21*")&gt;0,COUNTIF(I2039,"22*")&gt;0,COUNTIF(J2039,"*22*")&gt;0,COUNTIF(I2039,"23*")&gt;0,COUNTIF(J2039,"*23*")&gt;0,COUNTIF(I2039,"24*")&gt;0,COUNTIF(J2039,"*24*")&gt;0,COUNTIF(I2039,"25*")&gt;0,COUNTIF(J2039,"*25*")&gt;0,COUNTIF(I2039,"26*")&gt;0,COUNTIF(J2039,"*26*")&gt;0,COUNTIF(I2039,"27*")&gt;0,COUNTIF(J2039,"*27*")&gt;0,COUNTIF(I2039,"28*")&gt;0,COUNTIF(J2039,"*28*")&gt;0,COUNTIF(I2039,"29*")&gt;0,COUNTIF(J2039,"*29*")&gt;0,COUNTIF(I2039,"30*")&gt;0,COUNTIF(J2039,"*30*")&gt;0,COUNTIF(I2039,"31*")&gt;0,COUNTIF(J2039,"*31*")&gt;0,COUNTIF(I2039,"32*")&gt;0,COUNTIF(J2039,"*32*")&gt;0,COUNTIF(I2039,"33*")&gt;0,COUNTIF(J2039,"*33*")&gt;0,COUNTIF(I2039,"41*")&gt;0,COUNTIF(J2039,"*41*")&gt;0,COUNTIF(I2039,"42*")&gt;0,COUNTIF(J2039,"*42*")&gt;0,COUNTIF(I2039,"43*")&gt;0,COUNTIF(J2039,"*43*")&gt;0,COUNTIF(I2039,"49*")&gt;0,COUNTIF(J2039,"*49*")&gt;0,COUNTIF(I2039,"52*")&gt;0,COUNTIF(J2039,"*52*")&gt;0,COUNTIF(I2039,"55*")&gt;0,COUNTIF(J2039,"*55*")&gt;0,COUNTIF(I2039,"56*")&gt;0,COUNTIF(J2039,"*56*")&gt;0,COUNTIF(I2039,"68*")&gt;0,COUNTIF(J2039,"*68*")&gt;0,COUNTIF(I2039,"78*")&gt;0,COUNTIF(J2039,"*78*")&gt;0,COUNTIF(I2039,"81*")&gt;0,COUNTIF(J2039,"*81*")&gt;0,COUNTIF(I2039,"82*")&gt;0,COUNTIF(J2039,"*82*")&gt;0,COUNTIF(I2039,"64*")&gt;0,COUNTIF(J2039,"*64*")&gt;0,COUNTIF(I2039,"65*")&gt;0,COUNTIF(J2039,"*65*")&gt;0,COUNTIF(I2039,"66*")&gt;0,COUNTIF(J2039,"*66*")&gt;0,COUNTIF(I2039,"61*")&gt;0,COUNTIF(J2039,"*61*")&gt;0,COUNTIF(I2039,"62*")&gt;0,COUNTIF(J2039,"*62*")&gt;0,COUNTIF(I2039,"63*")&gt;0,COUNTIF(J2039,"*63*")&gt;0,COUNTIF(I2039,"85*")&gt;0,COUNTIF(J2039,"*85*")&gt;0,COUNTIF(I2039,"86*")&gt;0,COUNTIF(J2039,"*86*")&gt;0),"Да","Нет"))</f>
        <v/>
      </c>
      <c r="M2039" s="13">
        <f>IF(OR(G2039="",L2039&lt;&gt;"Да"),"",IF(G2039&lt;=100,"До 100",IF(G2039&lt;=200,"До 200",IF(G2039&lt;=500,"До 500","Отдельное КП"))))</f>
        <v/>
      </c>
      <c r="N2039" s="15">
        <f>IF(OR(G2039="",L2039&lt;&gt;"Да"),"",IF(G2039&lt;=100,33600,IF(G2039&lt;=200,62400,IF(G2039&lt;=500,144000,""))))</f>
        <v/>
      </c>
      <c r="O2039" s="16">
        <f>IF(G2039="","",IF(G2039&lt;=15,"1–15",IF(G2039&lt;=30,"16–30",IF(G2039&lt;=50,"31–50",IF(G2039&lt;=100,"51–100",IF(G2039&lt;=150,"101–150",IF(G2039&lt;=200,"151–200",IF(G2039&lt;=500,"201–500","500+"))))))))</f>
        <v/>
      </c>
      <c r="P2039" s="16" t="inlineStr">
        <is>
          <t>Нет совпадения в предоставленной выгрузке ССЧР</t>
        </is>
      </c>
      <c r="Q2039" s="16" t="n"/>
      <c r="R2039" s="16">
        <f>HYPERLINK("https://checko.ru/search?query=3801001629","Чекко: проверить")</f>
        <v/>
      </c>
      <c r="S2039" t="n">
        <v>0</v>
      </c>
    </row>
    <row r="2040" ht="15" customHeight="1" s="24">
      <c r="A2040" s="13" t="n">
        <v>5000094481</v>
      </c>
      <c r="B2040" s="13" t="inlineStr">
        <is>
          <t>МОУ "Центр образования" с.п.Баксаненок</t>
        </is>
      </c>
      <c r="C2040" s="13" t="n">
        <v>701110604</v>
      </c>
      <c r="D2040" s="13" t="n"/>
      <c r="E2040" s="13" t="inlineStr">
        <is>
          <t>Не определён</t>
        </is>
      </c>
      <c r="F2040" s="13" t="inlineStr">
        <is>
          <t>701110604</t>
        </is>
      </c>
      <c r="G2040" s="14" t="n"/>
      <c r="H2040" s="14" t="n"/>
      <c r="I2040" s="14" t="n"/>
      <c r="J2040" s="14" t="n"/>
      <c r="K2040" s="13">
        <f>IF(G2040="","",IF(G2040&gt;=22,"Да","Нет"))</f>
        <v/>
      </c>
      <c r="L2040" s="13">
        <f>IF(OR(I2040="",J2040=""),"Не определено",IF(OR(COUNTIF(I2040,"45*")&gt;0,COUNTIF(J2040,"*45*")&gt;0,COUNTIF(I2040,"46*")&gt;0,COUNTIF(J2040,"*46*")&gt;0,COUNTIF(I2040,"47*")&gt;0,COUNTIF(J2040,"*47*")&gt;0,COUNTIF(I2040,"10*")&gt;0,COUNTIF(J2040,"*10*")&gt;0,COUNTIF(I2040,"11*")&gt;0,COUNTIF(J2040,"*11*")&gt;0,COUNTIF(I2040,"12*")&gt;0,COUNTIF(J2040,"*12*")&gt;0,COUNTIF(I2040,"13*")&gt;0,COUNTIF(J2040,"*13*")&gt;0,COUNTIF(I2040,"14*")&gt;0,COUNTIF(J2040,"*14*")&gt;0,COUNTIF(I2040,"15*")&gt;0,COUNTIF(J2040,"*15*")&gt;0,COUNTIF(I2040,"16*")&gt;0,COUNTIF(J2040,"*16*")&gt;0,COUNTIF(I2040,"17*")&gt;0,COUNTIF(J2040,"*17*")&gt;0,COUNTIF(I2040,"18*")&gt;0,COUNTIF(J2040,"*18*")&gt;0,COUNTIF(I2040,"19*")&gt;0,COUNTIF(J2040,"*19*")&gt;0,COUNTIF(I2040,"20*")&gt;0,COUNTIF(J2040,"*20*")&gt;0,COUNTIF(I2040,"21*")&gt;0,COUNTIF(J2040,"*21*")&gt;0,COUNTIF(I2040,"22*")&gt;0,COUNTIF(J2040,"*22*")&gt;0,COUNTIF(I2040,"23*")&gt;0,COUNTIF(J2040,"*23*")&gt;0,COUNTIF(I2040,"24*")&gt;0,COUNTIF(J2040,"*24*")&gt;0,COUNTIF(I2040,"25*")&gt;0,COUNTIF(J2040,"*25*")&gt;0,COUNTIF(I2040,"26*")&gt;0,COUNTIF(J2040,"*26*")&gt;0,COUNTIF(I2040,"27*")&gt;0,COUNTIF(J2040,"*27*")&gt;0,COUNTIF(I2040,"28*")&gt;0,COUNTIF(J2040,"*28*")&gt;0,COUNTIF(I2040,"29*")&gt;0,COUNTIF(J2040,"*29*")&gt;0,COUNTIF(I2040,"30*")&gt;0,COUNTIF(J2040,"*30*")&gt;0,COUNTIF(I2040,"31*")&gt;0,COUNTIF(J2040,"*31*")&gt;0,COUNTIF(I2040,"32*")&gt;0,COUNTIF(J2040,"*32*")&gt;0,COUNTIF(I2040,"33*")&gt;0,COUNTIF(J2040,"*33*")&gt;0,COUNTIF(I2040,"41*")&gt;0,COUNTIF(J2040,"*41*")&gt;0,COUNTIF(I2040,"42*")&gt;0,COUNTIF(J2040,"*42*")&gt;0,COUNTIF(I2040,"43*")&gt;0,COUNTIF(J2040,"*43*")&gt;0,COUNTIF(I2040,"49*")&gt;0,COUNTIF(J2040,"*49*")&gt;0,COUNTIF(I2040,"52*")&gt;0,COUNTIF(J2040,"*52*")&gt;0,COUNTIF(I2040,"55*")&gt;0,COUNTIF(J2040,"*55*")&gt;0,COUNTIF(I2040,"56*")&gt;0,COUNTIF(J2040,"*56*")&gt;0,COUNTIF(I2040,"68*")&gt;0,COUNTIF(J2040,"*68*")&gt;0,COUNTIF(I2040,"78*")&gt;0,COUNTIF(J2040,"*78*")&gt;0,COUNTIF(I2040,"81*")&gt;0,COUNTIF(J2040,"*81*")&gt;0,COUNTIF(I2040,"82*")&gt;0,COUNTIF(J2040,"*82*")&gt;0,COUNTIF(I2040,"64*")&gt;0,COUNTIF(J2040,"*64*")&gt;0,COUNTIF(I2040,"65*")&gt;0,COUNTIF(J2040,"*65*")&gt;0,COUNTIF(I2040,"66*")&gt;0,COUNTIF(J2040,"*66*")&gt;0,COUNTIF(I2040,"61*")&gt;0,COUNTIF(J2040,"*61*")&gt;0,COUNTIF(I2040,"62*")&gt;0,COUNTIF(J2040,"*62*")&gt;0,COUNTIF(I2040,"63*")&gt;0,COUNTIF(J2040,"*63*")&gt;0,COUNTIF(I2040,"85*")&gt;0,COUNTIF(J2040,"*85*")&gt;0,COUNTIF(I2040,"86*")&gt;0,COUNTIF(J2040,"*86*")&gt;0),"Да","Нет"))</f>
        <v/>
      </c>
      <c r="M2040" s="13">
        <f>IF(OR(G2040="",L2040&lt;&gt;"Да"),"",IF(G2040&lt;=100,"До 100",IF(G2040&lt;=200,"До 200",IF(G2040&lt;=500,"До 500","Отдельное КП"))))</f>
        <v/>
      </c>
      <c r="N2040" s="15">
        <f>IF(OR(G2040="",L2040&lt;&gt;"Да"),"",IF(G2040&lt;=100,33600,IF(G2040&lt;=200,62400,IF(G2040&lt;=500,144000,""))))</f>
        <v/>
      </c>
      <c r="O2040" s="16">
        <f>IF(G2040="","",IF(G2040&lt;=15,"1–15",IF(G2040&lt;=30,"16–30",IF(G2040&lt;=50,"31–50",IF(G2040&lt;=100,"51–100",IF(G2040&lt;=150,"101–150",IF(G2040&lt;=200,"151–200",IF(G2040&lt;=500,"201–500","500+"))))))))</f>
        <v/>
      </c>
      <c r="P2040" s="16" t="inlineStr">
        <is>
          <t>Нет совпадения в предоставленной выгрузке ССЧР</t>
        </is>
      </c>
      <c r="Q2040" s="16" t="n"/>
      <c r="R2040" s="16">
        <f>HYPERLINK("https://checko.ru/search?query=3801001629","Чекко: проверить")</f>
        <v/>
      </c>
      <c r="S2040" t="n">
        <v>0</v>
      </c>
    </row>
    <row r="2041" ht="15" customHeight="1" s="24">
      <c r="A2041" s="13" t="n">
        <v>5000094482</v>
      </c>
      <c r="B2041" s="13" t="inlineStr">
        <is>
          <t>МКОУ "СОШ №11 г.Баксана"</t>
        </is>
      </c>
      <c r="C2041" s="13" t="n">
        <v>701110869</v>
      </c>
      <c r="D2041" s="13" t="n"/>
      <c r="E2041" s="13" t="inlineStr">
        <is>
          <t>Не определён</t>
        </is>
      </c>
      <c r="F2041" s="13" t="inlineStr">
        <is>
          <t>701110869</t>
        </is>
      </c>
      <c r="G2041" s="14" t="n"/>
      <c r="H2041" s="14" t="n"/>
      <c r="I2041" s="14" t="n"/>
      <c r="J2041" s="14" t="n"/>
      <c r="K2041" s="13">
        <f>IF(G2041="","",IF(G2041&gt;=22,"Да","Нет"))</f>
        <v/>
      </c>
      <c r="L2041" s="13">
        <f>IF(OR(I2041="",J2041=""),"Не определено",IF(OR(COUNTIF(I2041,"45*")&gt;0,COUNTIF(J2041,"*45*")&gt;0,COUNTIF(I2041,"46*")&gt;0,COUNTIF(J2041,"*46*")&gt;0,COUNTIF(I2041,"47*")&gt;0,COUNTIF(J2041,"*47*")&gt;0,COUNTIF(I2041,"10*")&gt;0,COUNTIF(J2041,"*10*")&gt;0,COUNTIF(I2041,"11*")&gt;0,COUNTIF(J2041,"*11*")&gt;0,COUNTIF(I2041,"12*")&gt;0,COUNTIF(J2041,"*12*")&gt;0,COUNTIF(I2041,"13*")&gt;0,COUNTIF(J2041,"*13*")&gt;0,COUNTIF(I2041,"14*")&gt;0,COUNTIF(J2041,"*14*")&gt;0,COUNTIF(I2041,"15*")&gt;0,COUNTIF(J2041,"*15*")&gt;0,COUNTIF(I2041,"16*")&gt;0,COUNTIF(J2041,"*16*")&gt;0,COUNTIF(I2041,"17*")&gt;0,COUNTIF(J2041,"*17*")&gt;0,COUNTIF(I2041,"18*")&gt;0,COUNTIF(J2041,"*18*")&gt;0,COUNTIF(I2041,"19*")&gt;0,COUNTIF(J2041,"*19*")&gt;0,COUNTIF(I2041,"20*")&gt;0,COUNTIF(J2041,"*20*")&gt;0,COUNTIF(I2041,"21*")&gt;0,COUNTIF(J2041,"*21*")&gt;0,COUNTIF(I2041,"22*")&gt;0,COUNTIF(J2041,"*22*")&gt;0,COUNTIF(I2041,"23*")&gt;0,COUNTIF(J2041,"*23*")&gt;0,COUNTIF(I2041,"24*")&gt;0,COUNTIF(J2041,"*24*")&gt;0,COUNTIF(I2041,"25*")&gt;0,COUNTIF(J2041,"*25*")&gt;0,COUNTIF(I2041,"26*")&gt;0,COUNTIF(J2041,"*26*")&gt;0,COUNTIF(I2041,"27*")&gt;0,COUNTIF(J2041,"*27*")&gt;0,COUNTIF(I2041,"28*")&gt;0,COUNTIF(J2041,"*28*")&gt;0,COUNTIF(I2041,"29*")&gt;0,COUNTIF(J2041,"*29*")&gt;0,COUNTIF(I2041,"30*")&gt;0,COUNTIF(J2041,"*30*")&gt;0,COUNTIF(I2041,"31*")&gt;0,COUNTIF(J2041,"*31*")&gt;0,COUNTIF(I2041,"32*")&gt;0,COUNTIF(J2041,"*32*")&gt;0,COUNTIF(I2041,"33*")&gt;0,COUNTIF(J2041,"*33*")&gt;0,COUNTIF(I2041,"41*")&gt;0,COUNTIF(J2041,"*41*")&gt;0,COUNTIF(I2041,"42*")&gt;0,COUNTIF(J2041,"*42*")&gt;0,COUNTIF(I2041,"43*")&gt;0,COUNTIF(J2041,"*43*")&gt;0,COUNTIF(I2041,"49*")&gt;0,COUNTIF(J2041,"*49*")&gt;0,COUNTIF(I2041,"52*")&gt;0,COUNTIF(J2041,"*52*")&gt;0,COUNTIF(I2041,"55*")&gt;0,COUNTIF(J2041,"*55*")&gt;0,COUNTIF(I2041,"56*")&gt;0,COUNTIF(J2041,"*56*")&gt;0,COUNTIF(I2041,"68*")&gt;0,COUNTIF(J2041,"*68*")&gt;0,COUNTIF(I2041,"78*")&gt;0,COUNTIF(J2041,"*78*")&gt;0,COUNTIF(I2041,"81*")&gt;0,COUNTIF(J2041,"*81*")&gt;0,COUNTIF(I2041,"82*")&gt;0,COUNTIF(J2041,"*82*")&gt;0,COUNTIF(I2041,"64*")&gt;0,COUNTIF(J2041,"*64*")&gt;0,COUNTIF(I2041,"65*")&gt;0,COUNTIF(J2041,"*65*")&gt;0,COUNTIF(I2041,"66*")&gt;0,COUNTIF(J2041,"*66*")&gt;0,COUNTIF(I2041,"61*")&gt;0,COUNTIF(J2041,"*61*")&gt;0,COUNTIF(I2041,"62*")&gt;0,COUNTIF(J2041,"*62*")&gt;0,COUNTIF(I2041,"63*")&gt;0,COUNTIF(J2041,"*63*")&gt;0,COUNTIF(I2041,"85*")&gt;0,COUNTIF(J2041,"*85*")&gt;0,COUNTIF(I2041,"86*")&gt;0,COUNTIF(J2041,"*86*")&gt;0),"Да","Нет"))</f>
        <v/>
      </c>
      <c r="M2041" s="13">
        <f>IF(OR(G2041="",L2041&lt;&gt;"Да"),"",IF(G2041&lt;=100,"До 100",IF(G2041&lt;=200,"До 200",IF(G2041&lt;=500,"До 500","Отдельное КП"))))</f>
        <v/>
      </c>
      <c r="N2041" s="15">
        <f>IF(OR(G2041="",L2041&lt;&gt;"Да"),"",IF(G2041&lt;=100,33600,IF(G2041&lt;=200,62400,IF(G2041&lt;=500,144000,""))))</f>
        <v/>
      </c>
      <c r="O2041" s="16">
        <f>IF(G2041="","",IF(G2041&lt;=15,"1–15",IF(G2041&lt;=30,"16–30",IF(G2041&lt;=50,"31–50",IF(G2041&lt;=100,"51–100",IF(G2041&lt;=150,"101–150",IF(G2041&lt;=200,"151–200",IF(G2041&lt;=500,"201–500","500+"))))))))</f>
        <v/>
      </c>
      <c r="P2041" s="16" t="inlineStr">
        <is>
          <t>Нет совпадения в предоставленной выгрузке ССЧР</t>
        </is>
      </c>
      <c r="Q2041" s="16" t="n"/>
      <c r="R2041" s="16">
        <f>HYPERLINK("https://checko.ru/search?query=3801001629","Чекко: проверить")</f>
        <v/>
      </c>
      <c r="S2041" t="n">
        <v>0</v>
      </c>
    </row>
    <row r="2042" ht="27.75" customHeight="1" s="24">
      <c r="A2042" s="13" t="n">
        <v>5000094483</v>
      </c>
      <c r="B2042" s="13" t="inlineStr">
        <is>
          <t>Местная администрация с.п. Приречное Зольского муниципального района КБР</t>
        </is>
      </c>
      <c r="C2042" s="13" t="n">
        <v>702002584</v>
      </c>
      <c r="D2042" s="13" t="n"/>
      <c r="E2042" s="13" t="inlineStr">
        <is>
          <t>Не определён</t>
        </is>
      </c>
      <c r="F2042" s="13" t="inlineStr">
        <is>
          <t>702002584</t>
        </is>
      </c>
      <c r="G2042" s="14" t="n"/>
      <c r="H2042" s="14" t="n"/>
      <c r="I2042" s="14" t="n"/>
      <c r="J2042" s="14" t="n"/>
      <c r="K2042" s="13">
        <f>IF(G2042="","",IF(G2042&gt;=22,"Да","Нет"))</f>
        <v/>
      </c>
      <c r="L2042" s="13">
        <f>IF(OR(I2042="",J2042=""),"Не определено",IF(OR(COUNTIF(I2042,"45*")&gt;0,COUNTIF(J2042,"*45*")&gt;0,COUNTIF(I2042,"46*")&gt;0,COUNTIF(J2042,"*46*")&gt;0,COUNTIF(I2042,"47*")&gt;0,COUNTIF(J2042,"*47*")&gt;0,COUNTIF(I2042,"10*")&gt;0,COUNTIF(J2042,"*10*")&gt;0,COUNTIF(I2042,"11*")&gt;0,COUNTIF(J2042,"*11*")&gt;0,COUNTIF(I2042,"12*")&gt;0,COUNTIF(J2042,"*12*")&gt;0,COUNTIF(I2042,"13*")&gt;0,COUNTIF(J2042,"*13*")&gt;0,COUNTIF(I2042,"14*")&gt;0,COUNTIF(J2042,"*14*")&gt;0,COUNTIF(I2042,"15*")&gt;0,COUNTIF(J2042,"*15*")&gt;0,COUNTIF(I2042,"16*")&gt;0,COUNTIF(J2042,"*16*")&gt;0,COUNTIF(I2042,"17*")&gt;0,COUNTIF(J2042,"*17*")&gt;0,COUNTIF(I2042,"18*")&gt;0,COUNTIF(J2042,"*18*")&gt;0,COUNTIF(I2042,"19*")&gt;0,COUNTIF(J2042,"*19*")&gt;0,COUNTIF(I2042,"20*")&gt;0,COUNTIF(J2042,"*20*")&gt;0,COUNTIF(I2042,"21*")&gt;0,COUNTIF(J2042,"*21*")&gt;0,COUNTIF(I2042,"22*")&gt;0,COUNTIF(J2042,"*22*")&gt;0,COUNTIF(I2042,"23*")&gt;0,COUNTIF(J2042,"*23*")&gt;0,COUNTIF(I2042,"24*")&gt;0,COUNTIF(J2042,"*24*")&gt;0,COUNTIF(I2042,"25*")&gt;0,COUNTIF(J2042,"*25*")&gt;0,COUNTIF(I2042,"26*")&gt;0,COUNTIF(J2042,"*26*")&gt;0,COUNTIF(I2042,"27*")&gt;0,COUNTIF(J2042,"*27*")&gt;0,COUNTIF(I2042,"28*")&gt;0,COUNTIF(J2042,"*28*")&gt;0,COUNTIF(I2042,"29*")&gt;0,COUNTIF(J2042,"*29*")&gt;0,COUNTIF(I2042,"30*")&gt;0,COUNTIF(J2042,"*30*")&gt;0,COUNTIF(I2042,"31*")&gt;0,COUNTIF(J2042,"*31*")&gt;0,COUNTIF(I2042,"32*")&gt;0,COUNTIF(J2042,"*32*")&gt;0,COUNTIF(I2042,"33*")&gt;0,COUNTIF(J2042,"*33*")&gt;0,COUNTIF(I2042,"41*")&gt;0,COUNTIF(J2042,"*41*")&gt;0,COUNTIF(I2042,"42*")&gt;0,COUNTIF(J2042,"*42*")&gt;0,COUNTIF(I2042,"43*")&gt;0,COUNTIF(J2042,"*43*")&gt;0,COUNTIF(I2042,"49*")&gt;0,COUNTIF(J2042,"*49*")&gt;0,COUNTIF(I2042,"52*")&gt;0,COUNTIF(J2042,"*52*")&gt;0,COUNTIF(I2042,"55*")&gt;0,COUNTIF(J2042,"*55*")&gt;0,COUNTIF(I2042,"56*")&gt;0,COUNTIF(J2042,"*56*")&gt;0,COUNTIF(I2042,"68*")&gt;0,COUNTIF(J2042,"*68*")&gt;0,COUNTIF(I2042,"78*")&gt;0,COUNTIF(J2042,"*78*")&gt;0,COUNTIF(I2042,"81*")&gt;0,COUNTIF(J2042,"*81*")&gt;0,COUNTIF(I2042,"82*")&gt;0,COUNTIF(J2042,"*82*")&gt;0,COUNTIF(I2042,"64*")&gt;0,COUNTIF(J2042,"*64*")&gt;0,COUNTIF(I2042,"65*")&gt;0,COUNTIF(J2042,"*65*")&gt;0,COUNTIF(I2042,"66*")&gt;0,COUNTIF(J2042,"*66*")&gt;0,COUNTIF(I2042,"61*")&gt;0,COUNTIF(J2042,"*61*")&gt;0,COUNTIF(I2042,"62*")&gt;0,COUNTIF(J2042,"*62*")&gt;0,COUNTIF(I2042,"63*")&gt;0,COUNTIF(J2042,"*63*")&gt;0,COUNTIF(I2042,"85*")&gt;0,COUNTIF(J2042,"*85*")&gt;0,COUNTIF(I2042,"86*")&gt;0,COUNTIF(J2042,"*86*")&gt;0),"Да","Нет"))</f>
        <v/>
      </c>
      <c r="M2042" s="13">
        <f>IF(OR(G2042="",L2042&lt;&gt;"Да"),"",IF(G2042&lt;=100,"До 100",IF(G2042&lt;=200,"До 200",IF(G2042&lt;=500,"До 500","Отдельное КП"))))</f>
        <v/>
      </c>
      <c r="N2042" s="15">
        <f>IF(OR(G2042="",L2042&lt;&gt;"Да"),"",IF(G2042&lt;=100,33600,IF(G2042&lt;=200,62400,IF(G2042&lt;=500,144000,""))))</f>
        <v/>
      </c>
      <c r="O2042" s="16">
        <f>IF(G2042="","",IF(G2042&lt;=15,"1–15",IF(G2042&lt;=30,"16–30",IF(G2042&lt;=50,"31–50",IF(G2042&lt;=100,"51–100",IF(G2042&lt;=150,"101–150",IF(G2042&lt;=200,"151–200",IF(G2042&lt;=500,"201–500","500+"))))))))</f>
        <v/>
      </c>
      <c r="P2042" s="16" t="inlineStr">
        <is>
          <t>Нет совпадения в предоставленной выгрузке ССЧР</t>
        </is>
      </c>
      <c r="Q2042" s="16" t="n"/>
      <c r="R2042" s="16">
        <f>HYPERLINK("https://checko.ru/search?query=3801001629","Чекко: проверить")</f>
        <v/>
      </c>
      <c r="S2042" t="n">
        <v>0</v>
      </c>
    </row>
    <row r="2043" ht="15" customHeight="1" s="24">
      <c r="A2043" s="13" t="n">
        <v>5000094484</v>
      </c>
      <c r="B2043" s="13" t="inlineStr">
        <is>
          <t>Местная администрация с.п. Камлюково</t>
        </is>
      </c>
      <c r="C2043" s="13" t="n">
        <v>702002619</v>
      </c>
      <c r="D2043" s="13" t="n"/>
      <c r="E2043" s="13" t="inlineStr">
        <is>
          <t>Не определён</t>
        </is>
      </c>
      <c r="F2043" s="13" t="inlineStr">
        <is>
          <t>702002619</t>
        </is>
      </c>
      <c r="G2043" s="14" t="n"/>
      <c r="H2043" s="14" t="n"/>
      <c r="I2043" s="14" t="n"/>
      <c r="J2043" s="14" t="n"/>
      <c r="K2043" s="13">
        <f>IF(G2043="","",IF(G2043&gt;=22,"Да","Нет"))</f>
        <v/>
      </c>
      <c r="L2043" s="13">
        <f>IF(OR(I2043="",J2043=""),"Не определено",IF(OR(COUNTIF(I2043,"45*")&gt;0,COUNTIF(J2043,"*45*")&gt;0,COUNTIF(I2043,"46*")&gt;0,COUNTIF(J2043,"*46*")&gt;0,COUNTIF(I2043,"47*")&gt;0,COUNTIF(J2043,"*47*")&gt;0,COUNTIF(I2043,"10*")&gt;0,COUNTIF(J2043,"*10*")&gt;0,COUNTIF(I2043,"11*")&gt;0,COUNTIF(J2043,"*11*")&gt;0,COUNTIF(I2043,"12*")&gt;0,COUNTIF(J2043,"*12*")&gt;0,COUNTIF(I2043,"13*")&gt;0,COUNTIF(J2043,"*13*")&gt;0,COUNTIF(I2043,"14*")&gt;0,COUNTIF(J2043,"*14*")&gt;0,COUNTIF(I2043,"15*")&gt;0,COUNTIF(J2043,"*15*")&gt;0,COUNTIF(I2043,"16*")&gt;0,COUNTIF(J2043,"*16*")&gt;0,COUNTIF(I2043,"17*")&gt;0,COUNTIF(J2043,"*17*")&gt;0,COUNTIF(I2043,"18*")&gt;0,COUNTIF(J2043,"*18*")&gt;0,COUNTIF(I2043,"19*")&gt;0,COUNTIF(J2043,"*19*")&gt;0,COUNTIF(I2043,"20*")&gt;0,COUNTIF(J2043,"*20*")&gt;0,COUNTIF(I2043,"21*")&gt;0,COUNTIF(J2043,"*21*")&gt;0,COUNTIF(I2043,"22*")&gt;0,COUNTIF(J2043,"*22*")&gt;0,COUNTIF(I2043,"23*")&gt;0,COUNTIF(J2043,"*23*")&gt;0,COUNTIF(I2043,"24*")&gt;0,COUNTIF(J2043,"*24*")&gt;0,COUNTIF(I2043,"25*")&gt;0,COUNTIF(J2043,"*25*")&gt;0,COUNTIF(I2043,"26*")&gt;0,COUNTIF(J2043,"*26*")&gt;0,COUNTIF(I2043,"27*")&gt;0,COUNTIF(J2043,"*27*")&gt;0,COUNTIF(I2043,"28*")&gt;0,COUNTIF(J2043,"*28*")&gt;0,COUNTIF(I2043,"29*")&gt;0,COUNTIF(J2043,"*29*")&gt;0,COUNTIF(I2043,"30*")&gt;0,COUNTIF(J2043,"*30*")&gt;0,COUNTIF(I2043,"31*")&gt;0,COUNTIF(J2043,"*31*")&gt;0,COUNTIF(I2043,"32*")&gt;0,COUNTIF(J2043,"*32*")&gt;0,COUNTIF(I2043,"33*")&gt;0,COUNTIF(J2043,"*33*")&gt;0,COUNTIF(I2043,"41*")&gt;0,COUNTIF(J2043,"*41*")&gt;0,COUNTIF(I2043,"42*")&gt;0,COUNTIF(J2043,"*42*")&gt;0,COUNTIF(I2043,"43*")&gt;0,COUNTIF(J2043,"*43*")&gt;0,COUNTIF(I2043,"49*")&gt;0,COUNTIF(J2043,"*49*")&gt;0,COUNTIF(I2043,"52*")&gt;0,COUNTIF(J2043,"*52*")&gt;0,COUNTIF(I2043,"55*")&gt;0,COUNTIF(J2043,"*55*")&gt;0,COUNTIF(I2043,"56*")&gt;0,COUNTIF(J2043,"*56*")&gt;0,COUNTIF(I2043,"68*")&gt;0,COUNTIF(J2043,"*68*")&gt;0,COUNTIF(I2043,"78*")&gt;0,COUNTIF(J2043,"*78*")&gt;0,COUNTIF(I2043,"81*")&gt;0,COUNTIF(J2043,"*81*")&gt;0,COUNTIF(I2043,"82*")&gt;0,COUNTIF(J2043,"*82*")&gt;0,COUNTIF(I2043,"64*")&gt;0,COUNTIF(J2043,"*64*")&gt;0,COUNTIF(I2043,"65*")&gt;0,COUNTIF(J2043,"*65*")&gt;0,COUNTIF(I2043,"66*")&gt;0,COUNTIF(J2043,"*66*")&gt;0,COUNTIF(I2043,"61*")&gt;0,COUNTIF(J2043,"*61*")&gt;0,COUNTIF(I2043,"62*")&gt;0,COUNTIF(J2043,"*62*")&gt;0,COUNTIF(I2043,"63*")&gt;0,COUNTIF(J2043,"*63*")&gt;0,COUNTIF(I2043,"85*")&gt;0,COUNTIF(J2043,"*85*")&gt;0,COUNTIF(I2043,"86*")&gt;0,COUNTIF(J2043,"*86*")&gt;0),"Да","Нет"))</f>
        <v/>
      </c>
      <c r="M2043" s="13">
        <f>IF(OR(G2043="",L2043&lt;&gt;"Да"),"",IF(G2043&lt;=100,"До 100",IF(G2043&lt;=200,"До 200",IF(G2043&lt;=500,"До 500","Отдельное КП"))))</f>
        <v/>
      </c>
      <c r="N2043" s="15">
        <f>IF(OR(G2043="",L2043&lt;&gt;"Да"),"",IF(G2043&lt;=100,33600,IF(G2043&lt;=200,62400,IF(G2043&lt;=500,144000,""))))</f>
        <v/>
      </c>
      <c r="O2043" s="16">
        <f>IF(G2043="","",IF(G2043&lt;=15,"1–15",IF(G2043&lt;=30,"16–30",IF(G2043&lt;=50,"31–50",IF(G2043&lt;=100,"51–100",IF(G2043&lt;=150,"101–150",IF(G2043&lt;=200,"151–200",IF(G2043&lt;=500,"201–500","500+"))))))))</f>
        <v/>
      </c>
      <c r="P2043" s="16" t="inlineStr">
        <is>
          <t>Нет совпадения в предоставленной выгрузке ССЧР</t>
        </is>
      </c>
      <c r="Q2043" s="16" t="n"/>
      <c r="R2043" s="16">
        <f>HYPERLINK("https://checko.ru/search?query=3801001629","Чекко: проверить")</f>
        <v/>
      </c>
      <c r="S2043" t="n">
        <v>0</v>
      </c>
    </row>
    <row r="2044" ht="27.75" customHeight="1" s="24">
      <c r="A2044" s="13" t="n">
        <v>5000094485</v>
      </c>
      <c r="B2044" s="13" t="inlineStr">
        <is>
          <t>Местная администрация Зольского муниципального района КБР</t>
        </is>
      </c>
      <c r="C2044" s="13" t="n">
        <v>702002633</v>
      </c>
      <c r="D2044" s="13" t="n"/>
      <c r="E2044" s="13" t="inlineStr">
        <is>
          <t>Не определён</t>
        </is>
      </c>
      <c r="F2044" s="13" t="inlineStr">
        <is>
          <t>702002633</t>
        </is>
      </c>
      <c r="G2044" s="14" t="n"/>
      <c r="H2044" s="14" t="n"/>
      <c r="I2044" s="14" t="n"/>
      <c r="J2044" s="14" t="n"/>
      <c r="K2044" s="13">
        <f>IF(G2044="","",IF(G2044&gt;=22,"Да","Нет"))</f>
        <v/>
      </c>
      <c r="L2044" s="13">
        <f>IF(OR(I2044="",J2044=""),"Не определено",IF(OR(COUNTIF(I2044,"45*")&gt;0,COUNTIF(J2044,"*45*")&gt;0,COUNTIF(I2044,"46*")&gt;0,COUNTIF(J2044,"*46*")&gt;0,COUNTIF(I2044,"47*")&gt;0,COUNTIF(J2044,"*47*")&gt;0,COUNTIF(I2044,"10*")&gt;0,COUNTIF(J2044,"*10*")&gt;0,COUNTIF(I2044,"11*")&gt;0,COUNTIF(J2044,"*11*")&gt;0,COUNTIF(I2044,"12*")&gt;0,COUNTIF(J2044,"*12*")&gt;0,COUNTIF(I2044,"13*")&gt;0,COUNTIF(J2044,"*13*")&gt;0,COUNTIF(I2044,"14*")&gt;0,COUNTIF(J2044,"*14*")&gt;0,COUNTIF(I2044,"15*")&gt;0,COUNTIF(J2044,"*15*")&gt;0,COUNTIF(I2044,"16*")&gt;0,COUNTIF(J2044,"*16*")&gt;0,COUNTIF(I2044,"17*")&gt;0,COUNTIF(J2044,"*17*")&gt;0,COUNTIF(I2044,"18*")&gt;0,COUNTIF(J2044,"*18*")&gt;0,COUNTIF(I2044,"19*")&gt;0,COUNTIF(J2044,"*19*")&gt;0,COUNTIF(I2044,"20*")&gt;0,COUNTIF(J2044,"*20*")&gt;0,COUNTIF(I2044,"21*")&gt;0,COUNTIF(J2044,"*21*")&gt;0,COUNTIF(I2044,"22*")&gt;0,COUNTIF(J2044,"*22*")&gt;0,COUNTIF(I2044,"23*")&gt;0,COUNTIF(J2044,"*23*")&gt;0,COUNTIF(I2044,"24*")&gt;0,COUNTIF(J2044,"*24*")&gt;0,COUNTIF(I2044,"25*")&gt;0,COUNTIF(J2044,"*25*")&gt;0,COUNTIF(I2044,"26*")&gt;0,COUNTIF(J2044,"*26*")&gt;0,COUNTIF(I2044,"27*")&gt;0,COUNTIF(J2044,"*27*")&gt;0,COUNTIF(I2044,"28*")&gt;0,COUNTIF(J2044,"*28*")&gt;0,COUNTIF(I2044,"29*")&gt;0,COUNTIF(J2044,"*29*")&gt;0,COUNTIF(I2044,"30*")&gt;0,COUNTIF(J2044,"*30*")&gt;0,COUNTIF(I2044,"31*")&gt;0,COUNTIF(J2044,"*31*")&gt;0,COUNTIF(I2044,"32*")&gt;0,COUNTIF(J2044,"*32*")&gt;0,COUNTIF(I2044,"33*")&gt;0,COUNTIF(J2044,"*33*")&gt;0,COUNTIF(I2044,"41*")&gt;0,COUNTIF(J2044,"*41*")&gt;0,COUNTIF(I2044,"42*")&gt;0,COUNTIF(J2044,"*42*")&gt;0,COUNTIF(I2044,"43*")&gt;0,COUNTIF(J2044,"*43*")&gt;0,COUNTIF(I2044,"49*")&gt;0,COUNTIF(J2044,"*49*")&gt;0,COUNTIF(I2044,"52*")&gt;0,COUNTIF(J2044,"*52*")&gt;0,COUNTIF(I2044,"55*")&gt;0,COUNTIF(J2044,"*55*")&gt;0,COUNTIF(I2044,"56*")&gt;0,COUNTIF(J2044,"*56*")&gt;0,COUNTIF(I2044,"68*")&gt;0,COUNTIF(J2044,"*68*")&gt;0,COUNTIF(I2044,"78*")&gt;0,COUNTIF(J2044,"*78*")&gt;0,COUNTIF(I2044,"81*")&gt;0,COUNTIF(J2044,"*81*")&gt;0,COUNTIF(I2044,"82*")&gt;0,COUNTIF(J2044,"*82*")&gt;0,COUNTIF(I2044,"64*")&gt;0,COUNTIF(J2044,"*64*")&gt;0,COUNTIF(I2044,"65*")&gt;0,COUNTIF(J2044,"*65*")&gt;0,COUNTIF(I2044,"66*")&gt;0,COUNTIF(J2044,"*66*")&gt;0,COUNTIF(I2044,"61*")&gt;0,COUNTIF(J2044,"*61*")&gt;0,COUNTIF(I2044,"62*")&gt;0,COUNTIF(J2044,"*62*")&gt;0,COUNTIF(I2044,"63*")&gt;0,COUNTIF(J2044,"*63*")&gt;0,COUNTIF(I2044,"85*")&gt;0,COUNTIF(J2044,"*85*")&gt;0,COUNTIF(I2044,"86*")&gt;0,COUNTIF(J2044,"*86*")&gt;0),"Да","Нет"))</f>
        <v/>
      </c>
      <c r="M2044" s="13">
        <f>IF(OR(G2044="",L2044&lt;&gt;"Да"),"",IF(G2044&lt;=100,"До 100",IF(G2044&lt;=200,"До 200",IF(G2044&lt;=500,"До 500","Отдельное КП"))))</f>
        <v/>
      </c>
      <c r="N2044" s="15">
        <f>IF(OR(G2044="",L2044&lt;&gt;"Да"),"",IF(G2044&lt;=100,33600,IF(G2044&lt;=200,62400,IF(G2044&lt;=500,144000,""))))</f>
        <v/>
      </c>
      <c r="O2044" s="16">
        <f>IF(G2044="","",IF(G2044&lt;=15,"1–15",IF(G2044&lt;=30,"16–30",IF(G2044&lt;=50,"31–50",IF(G2044&lt;=100,"51–100",IF(G2044&lt;=150,"101–150",IF(G2044&lt;=200,"151–200",IF(G2044&lt;=500,"201–500","500+"))))))))</f>
        <v/>
      </c>
      <c r="P2044" s="16" t="inlineStr">
        <is>
          <t>Нет совпадения в предоставленной выгрузке ССЧР</t>
        </is>
      </c>
      <c r="Q2044" s="16" t="n"/>
      <c r="R2044" s="16">
        <f>HYPERLINK("https://checko.ru/search?query=3801001629","Чекко: проверить")</f>
        <v/>
      </c>
      <c r="S2044" t="n">
        <v>0</v>
      </c>
    </row>
    <row r="2045" ht="15" customHeight="1" s="24">
      <c r="A2045" s="13" t="n">
        <v>5000094486</v>
      </c>
      <c r="B2045" s="13" t="inlineStr">
        <is>
          <t>МКОУ "СОШ имени Машукова Х.М."с. п .Батех</t>
        </is>
      </c>
      <c r="C2045" s="13" t="n">
        <v>702002640</v>
      </c>
      <c r="D2045" s="13" t="n"/>
      <c r="E2045" s="13" t="inlineStr">
        <is>
          <t>Не определён</t>
        </is>
      </c>
      <c r="F2045" s="13" t="inlineStr">
        <is>
          <t>702002640</t>
        </is>
      </c>
      <c r="G2045" s="14" t="n"/>
      <c r="H2045" s="14" t="n"/>
      <c r="I2045" s="14" t="n"/>
      <c r="J2045" s="14" t="n"/>
      <c r="K2045" s="13">
        <f>IF(G2045="","",IF(G2045&gt;=22,"Да","Нет"))</f>
        <v/>
      </c>
      <c r="L2045" s="13">
        <f>IF(OR(I2045="",J2045=""),"Не определено",IF(OR(COUNTIF(I2045,"45*")&gt;0,COUNTIF(J2045,"*45*")&gt;0,COUNTIF(I2045,"46*")&gt;0,COUNTIF(J2045,"*46*")&gt;0,COUNTIF(I2045,"47*")&gt;0,COUNTIF(J2045,"*47*")&gt;0,COUNTIF(I2045,"10*")&gt;0,COUNTIF(J2045,"*10*")&gt;0,COUNTIF(I2045,"11*")&gt;0,COUNTIF(J2045,"*11*")&gt;0,COUNTIF(I2045,"12*")&gt;0,COUNTIF(J2045,"*12*")&gt;0,COUNTIF(I2045,"13*")&gt;0,COUNTIF(J2045,"*13*")&gt;0,COUNTIF(I2045,"14*")&gt;0,COUNTIF(J2045,"*14*")&gt;0,COUNTIF(I2045,"15*")&gt;0,COUNTIF(J2045,"*15*")&gt;0,COUNTIF(I2045,"16*")&gt;0,COUNTIF(J2045,"*16*")&gt;0,COUNTIF(I2045,"17*")&gt;0,COUNTIF(J2045,"*17*")&gt;0,COUNTIF(I2045,"18*")&gt;0,COUNTIF(J2045,"*18*")&gt;0,COUNTIF(I2045,"19*")&gt;0,COUNTIF(J2045,"*19*")&gt;0,COUNTIF(I2045,"20*")&gt;0,COUNTIF(J2045,"*20*")&gt;0,COUNTIF(I2045,"21*")&gt;0,COUNTIF(J2045,"*21*")&gt;0,COUNTIF(I2045,"22*")&gt;0,COUNTIF(J2045,"*22*")&gt;0,COUNTIF(I2045,"23*")&gt;0,COUNTIF(J2045,"*23*")&gt;0,COUNTIF(I2045,"24*")&gt;0,COUNTIF(J2045,"*24*")&gt;0,COUNTIF(I2045,"25*")&gt;0,COUNTIF(J2045,"*25*")&gt;0,COUNTIF(I2045,"26*")&gt;0,COUNTIF(J2045,"*26*")&gt;0,COUNTIF(I2045,"27*")&gt;0,COUNTIF(J2045,"*27*")&gt;0,COUNTIF(I2045,"28*")&gt;0,COUNTIF(J2045,"*28*")&gt;0,COUNTIF(I2045,"29*")&gt;0,COUNTIF(J2045,"*29*")&gt;0,COUNTIF(I2045,"30*")&gt;0,COUNTIF(J2045,"*30*")&gt;0,COUNTIF(I2045,"31*")&gt;0,COUNTIF(J2045,"*31*")&gt;0,COUNTIF(I2045,"32*")&gt;0,COUNTIF(J2045,"*32*")&gt;0,COUNTIF(I2045,"33*")&gt;0,COUNTIF(J2045,"*33*")&gt;0,COUNTIF(I2045,"41*")&gt;0,COUNTIF(J2045,"*41*")&gt;0,COUNTIF(I2045,"42*")&gt;0,COUNTIF(J2045,"*42*")&gt;0,COUNTIF(I2045,"43*")&gt;0,COUNTIF(J2045,"*43*")&gt;0,COUNTIF(I2045,"49*")&gt;0,COUNTIF(J2045,"*49*")&gt;0,COUNTIF(I2045,"52*")&gt;0,COUNTIF(J2045,"*52*")&gt;0,COUNTIF(I2045,"55*")&gt;0,COUNTIF(J2045,"*55*")&gt;0,COUNTIF(I2045,"56*")&gt;0,COUNTIF(J2045,"*56*")&gt;0,COUNTIF(I2045,"68*")&gt;0,COUNTIF(J2045,"*68*")&gt;0,COUNTIF(I2045,"78*")&gt;0,COUNTIF(J2045,"*78*")&gt;0,COUNTIF(I2045,"81*")&gt;0,COUNTIF(J2045,"*81*")&gt;0,COUNTIF(I2045,"82*")&gt;0,COUNTIF(J2045,"*82*")&gt;0,COUNTIF(I2045,"64*")&gt;0,COUNTIF(J2045,"*64*")&gt;0,COUNTIF(I2045,"65*")&gt;0,COUNTIF(J2045,"*65*")&gt;0,COUNTIF(I2045,"66*")&gt;0,COUNTIF(J2045,"*66*")&gt;0,COUNTIF(I2045,"61*")&gt;0,COUNTIF(J2045,"*61*")&gt;0,COUNTIF(I2045,"62*")&gt;0,COUNTIF(J2045,"*62*")&gt;0,COUNTIF(I2045,"63*")&gt;0,COUNTIF(J2045,"*63*")&gt;0,COUNTIF(I2045,"85*")&gt;0,COUNTIF(J2045,"*85*")&gt;0,COUNTIF(I2045,"86*")&gt;0,COUNTIF(J2045,"*86*")&gt;0),"Да","Нет"))</f>
        <v/>
      </c>
      <c r="M2045" s="13">
        <f>IF(OR(G2045="",L2045&lt;&gt;"Да"),"",IF(G2045&lt;=100,"До 100",IF(G2045&lt;=200,"До 200",IF(G2045&lt;=500,"До 500","Отдельное КП"))))</f>
        <v/>
      </c>
      <c r="N2045" s="15">
        <f>IF(OR(G2045="",L2045&lt;&gt;"Да"),"",IF(G2045&lt;=100,33600,IF(G2045&lt;=200,62400,IF(G2045&lt;=500,144000,""))))</f>
        <v/>
      </c>
      <c r="O2045" s="16">
        <f>IF(G2045="","",IF(G2045&lt;=15,"1–15",IF(G2045&lt;=30,"16–30",IF(G2045&lt;=50,"31–50",IF(G2045&lt;=100,"51–100",IF(G2045&lt;=150,"101–150",IF(G2045&lt;=200,"151–200",IF(G2045&lt;=500,"201–500","500+"))))))))</f>
        <v/>
      </c>
      <c r="P2045" s="16" t="inlineStr">
        <is>
          <t>Нет совпадения в предоставленной выгрузке ССЧР</t>
        </is>
      </c>
      <c r="Q2045" s="16" t="n"/>
      <c r="R2045" s="16">
        <f>HYPERLINK("https://checko.ru/search?query=3801001629","Чекко: проверить")</f>
        <v/>
      </c>
      <c r="S2045" t="n">
        <v>0</v>
      </c>
    </row>
    <row r="2046" ht="15" customHeight="1" s="24">
      <c r="A2046" s="13" t="n">
        <v>5000094487</v>
      </c>
      <c r="B2046" s="13" t="inlineStr">
        <is>
          <t>Местная администрация г.п.Залукокоаже</t>
        </is>
      </c>
      <c r="C2046" s="13" t="n">
        <v>702002680</v>
      </c>
      <c r="D2046" s="13" t="n"/>
      <c r="E2046" s="13" t="inlineStr">
        <is>
          <t>Не определён</t>
        </is>
      </c>
      <c r="F2046" s="13" t="inlineStr">
        <is>
          <t>702002680</t>
        </is>
      </c>
      <c r="G2046" s="14" t="n"/>
      <c r="H2046" s="14" t="n"/>
      <c r="I2046" s="14" t="n"/>
      <c r="J2046" s="14" t="n"/>
      <c r="K2046" s="13">
        <f>IF(G2046="","",IF(G2046&gt;=22,"Да","Нет"))</f>
        <v/>
      </c>
      <c r="L2046" s="13">
        <f>IF(OR(I2046="",J2046=""),"Не определено",IF(OR(COUNTIF(I2046,"45*")&gt;0,COUNTIF(J2046,"*45*")&gt;0,COUNTIF(I2046,"46*")&gt;0,COUNTIF(J2046,"*46*")&gt;0,COUNTIF(I2046,"47*")&gt;0,COUNTIF(J2046,"*47*")&gt;0,COUNTIF(I2046,"10*")&gt;0,COUNTIF(J2046,"*10*")&gt;0,COUNTIF(I2046,"11*")&gt;0,COUNTIF(J2046,"*11*")&gt;0,COUNTIF(I2046,"12*")&gt;0,COUNTIF(J2046,"*12*")&gt;0,COUNTIF(I2046,"13*")&gt;0,COUNTIF(J2046,"*13*")&gt;0,COUNTIF(I2046,"14*")&gt;0,COUNTIF(J2046,"*14*")&gt;0,COUNTIF(I2046,"15*")&gt;0,COUNTIF(J2046,"*15*")&gt;0,COUNTIF(I2046,"16*")&gt;0,COUNTIF(J2046,"*16*")&gt;0,COUNTIF(I2046,"17*")&gt;0,COUNTIF(J2046,"*17*")&gt;0,COUNTIF(I2046,"18*")&gt;0,COUNTIF(J2046,"*18*")&gt;0,COUNTIF(I2046,"19*")&gt;0,COUNTIF(J2046,"*19*")&gt;0,COUNTIF(I2046,"20*")&gt;0,COUNTIF(J2046,"*20*")&gt;0,COUNTIF(I2046,"21*")&gt;0,COUNTIF(J2046,"*21*")&gt;0,COUNTIF(I2046,"22*")&gt;0,COUNTIF(J2046,"*22*")&gt;0,COUNTIF(I2046,"23*")&gt;0,COUNTIF(J2046,"*23*")&gt;0,COUNTIF(I2046,"24*")&gt;0,COUNTIF(J2046,"*24*")&gt;0,COUNTIF(I2046,"25*")&gt;0,COUNTIF(J2046,"*25*")&gt;0,COUNTIF(I2046,"26*")&gt;0,COUNTIF(J2046,"*26*")&gt;0,COUNTIF(I2046,"27*")&gt;0,COUNTIF(J2046,"*27*")&gt;0,COUNTIF(I2046,"28*")&gt;0,COUNTIF(J2046,"*28*")&gt;0,COUNTIF(I2046,"29*")&gt;0,COUNTIF(J2046,"*29*")&gt;0,COUNTIF(I2046,"30*")&gt;0,COUNTIF(J2046,"*30*")&gt;0,COUNTIF(I2046,"31*")&gt;0,COUNTIF(J2046,"*31*")&gt;0,COUNTIF(I2046,"32*")&gt;0,COUNTIF(J2046,"*32*")&gt;0,COUNTIF(I2046,"33*")&gt;0,COUNTIF(J2046,"*33*")&gt;0,COUNTIF(I2046,"41*")&gt;0,COUNTIF(J2046,"*41*")&gt;0,COUNTIF(I2046,"42*")&gt;0,COUNTIF(J2046,"*42*")&gt;0,COUNTIF(I2046,"43*")&gt;0,COUNTIF(J2046,"*43*")&gt;0,COUNTIF(I2046,"49*")&gt;0,COUNTIF(J2046,"*49*")&gt;0,COUNTIF(I2046,"52*")&gt;0,COUNTIF(J2046,"*52*")&gt;0,COUNTIF(I2046,"55*")&gt;0,COUNTIF(J2046,"*55*")&gt;0,COUNTIF(I2046,"56*")&gt;0,COUNTIF(J2046,"*56*")&gt;0,COUNTIF(I2046,"68*")&gt;0,COUNTIF(J2046,"*68*")&gt;0,COUNTIF(I2046,"78*")&gt;0,COUNTIF(J2046,"*78*")&gt;0,COUNTIF(I2046,"81*")&gt;0,COUNTIF(J2046,"*81*")&gt;0,COUNTIF(I2046,"82*")&gt;0,COUNTIF(J2046,"*82*")&gt;0,COUNTIF(I2046,"64*")&gt;0,COUNTIF(J2046,"*64*")&gt;0,COUNTIF(I2046,"65*")&gt;0,COUNTIF(J2046,"*65*")&gt;0,COUNTIF(I2046,"66*")&gt;0,COUNTIF(J2046,"*66*")&gt;0,COUNTIF(I2046,"61*")&gt;0,COUNTIF(J2046,"*61*")&gt;0,COUNTIF(I2046,"62*")&gt;0,COUNTIF(J2046,"*62*")&gt;0,COUNTIF(I2046,"63*")&gt;0,COUNTIF(J2046,"*63*")&gt;0,COUNTIF(I2046,"85*")&gt;0,COUNTIF(J2046,"*85*")&gt;0,COUNTIF(I2046,"86*")&gt;0,COUNTIF(J2046,"*86*")&gt;0),"Да","Нет"))</f>
        <v/>
      </c>
      <c r="M2046" s="13">
        <f>IF(OR(G2046="",L2046&lt;&gt;"Да"),"",IF(G2046&lt;=100,"До 100",IF(G2046&lt;=200,"До 200",IF(G2046&lt;=500,"До 500","Отдельное КП"))))</f>
        <v/>
      </c>
      <c r="N2046" s="15">
        <f>IF(OR(G2046="",L2046&lt;&gt;"Да"),"",IF(G2046&lt;=100,33600,IF(G2046&lt;=200,62400,IF(G2046&lt;=500,144000,""))))</f>
        <v/>
      </c>
      <c r="O2046" s="16">
        <f>IF(G2046="","",IF(G2046&lt;=15,"1–15",IF(G2046&lt;=30,"16–30",IF(G2046&lt;=50,"31–50",IF(G2046&lt;=100,"51–100",IF(G2046&lt;=150,"101–150",IF(G2046&lt;=200,"151–200",IF(G2046&lt;=500,"201–500","500+"))))))))</f>
        <v/>
      </c>
      <c r="P2046" s="16" t="inlineStr">
        <is>
          <t>Нет совпадения в предоставленной выгрузке ССЧР</t>
        </is>
      </c>
      <c r="Q2046" s="16" t="n"/>
      <c r="R2046" s="16">
        <f>HYPERLINK("https://checko.ru/search?query=3801001629","Чекко: проверить")</f>
        <v/>
      </c>
      <c r="S2046" t="n">
        <v>0</v>
      </c>
    </row>
    <row r="2047" ht="15" customHeight="1" s="24">
      <c r="A2047" s="13" t="n">
        <v>5000094488</v>
      </c>
      <c r="B2047" s="13" t="inlineStr">
        <is>
          <t>Администрация с. п. Сармаково</t>
        </is>
      </c>
      <c r="C2047" s="13" t="n">
        <v>702002707</v>
      </c>
      <c r="D2047" s="13" t="n"/>
      <c r="E2047" s="13" t="inlineStr">
        <is>
          <t>Не определён</t>
        </is>
      </c>
      <c r="F2047" s="13" t="inlineStr">
        <is>
          <t>702002707</t>
        </is>
      </c>
      <c r="G2047" s="14" t="n"/>
      <c r="H2047" s="14" t="n"/>
      <c r="I2047" s="14" t="n"/>
      <c r="J2047" s="14" t="n"/>
      <c r="K2047" s="13">
        <f>IF(G2047="","",IF(G2047&gt;=22,"Да","Нет"))</f>
        <v/>
      </c>
      <c r="L2047" s="13">
        <f>IF(OR(I2047="",J2047=""),"Не определено",IF(OR(COUNTIF(I2047,"45*")&gt;0,COUNTIF(J2047,"*45*")&gt;0,COUNTIF(I2047,"46*")&gt;0,COUNTIF(J2047,"*46*")&gt;0,COUNTIF(I2047,"47*")&gt;0,COUNTIF(J2047,"*47*")&gt;0,COUNTIF(I2047,"10*")&gt;0,COUNTIF(J2047,"*10*")&gt;0,COUNTIF(I2047,"11*")&gt;0,COUNTIF(J2047,"*11*")&gt;0,COUNTIF(I2047,"12*")&gt;0,COUNTIF(J2047,"*12*")&gt;0,COUNTIF(I2047,"13*")&gt;0,COUNTIF(J2047,"*13*")&gt;0,COUNTIF(I2047,"14*")&gt;0,COUNTIF(J2047,"*14*")&gt;0,COUNTIF(I2047,"15*")&gt;0,COUNTIF(J2047,"*15*")&gt;0,COUNTIF(I2047,"16*")&gt;0,COUNTIF(J2047,"*16*")&gt;0,COUNTIF(I2047,"17*")&gt;0,COUNTIF(J2047,"*17*")&gt;0,COUNTIF(I2047,"18*")&gt;0,COUNTIF(J2047,"*18*")&gt;0,COUNTIF(I2047,"19*")&gt;0,COUNTIF(J2047,"*19*")&gt;0,COUNTIF(I2047,"20*")&gt;0,COUNTIF(J2047,"*20*")&gt;0,COUNTIF(I2047,"21*")&gt;0,COUNTIF(J2047,"*21*")&gt;0,COUNTIF(I2047,"22*")&gt;0,COUNTIF(J2047,"*22*")&gt;0,COUNTIF(I2047,"23*")&gt;0,COUNTIF(J2047,"*23*")&gt;0,COUNTIF(I2047,"24*")&gt;0,COUNTIF(J2047,"*24*")&gt;0,COUNTIF(I2047,"25*")&gt;0,COUNTIF(J2047,"*25*")&gt;0,COUNTIF(I2047,"26*")&gt;0,COUNTIF(J2047,"*26*")&gt;0,COUNTIF(I2047,"27*")&gt;0,COUNTIF(J2047,"*27*")&gt;0,COUNTIF(I2047,"28*")&gt;0,COUNTIF(J2047,"*28*")&gt;0,COUNTIF(I2047,"29*")&gt;0,COUNTIF(J2047,"*29*")&gt;0,COUNTIF(I2047,"30*")&gt;0,COUNTIF(J2047,"*30*")&gt;0,COUNTIF(I2047,"31*")&gt;0,COUNTIF(J2047,"*31*")&gt;0,COUNTIF(I2047,"32*")&gt;0,COUNTIF(J2047,"*32*")&gt;0,COUNTIF(I2047,"33*")&gt;0,COUNTIF(J2047,"*33*")&gt;0,COUNTIF(I2047,"41*")&gt;0,COUNTIF(J2047,"*41*")&gt;0,COUNTIF(I2047,"42*")&gt;0,COUNTIF(J2047,"*42*")&gt;0,COUNTIF(I2047,"43*")&gt;0,COUNTIF(J2047,"*43*")&gt;0,COUNTIF(I2047,"49*")&gt;0,COUNTIF(J2047,"*49*")&gt;0,COUNTIF(I2047,"52*")&gt;0,COUNTIF(J2047,"*52*")&gt;0,COUNTIF(I2047,"55*")&gt;0,COUNTIF(J2047,"*55*")&gt;0,COUNTIF(I2047,"56*")&gt;0,COUNTIF(J2047,"*56*")&gt;0,COUNTIF(I2047,"68*")&gt;0,COUNTIF(J2047,"*68*")&gt;0,COUNTIF(I2047,"78*")&gt;0,COUNTIF(J2047,"*78*")&gt;0,COUNTIF(I2047,"81*")&gt;0,COUNTIF(J2047,"*81*")&gt;0,COUNTIF(I2047,"82*")&gt;0,COUNTIF(J2047,"*82*")&gt;0,COUNTIF(I2047,"64*")&gt;0,COUNTIF(J2047,"*64*")&gt;0,COUNTIF(I2047,"65*")&gt;0,COUNTIF(J2047,"*65*")&gt;0,COUNTIF(I2047,"66*")&gt;0,COUNTIF(J2047,"*66*")&gt;0,COUNTIF(I2047,"61*")&gt;0,COUNTIF(J2047,"*61*")&gt;0,COUNTIF(I2047,"62*")&gt;0,COUNTIF(J2047,"*62*")&gt;0,COUNTIF(I2047,"63*")&gt;0,COUNTIF(J2047,"*63*")&gt;0,COUNTIF(I2047,"85*")&gt;0,COUNTIF(J2047,"*85*")&gt;0,COUNTIF(I2047,"86*")&gt;0,COUNTIF(J2047,"*86*")&gt;0),"Да","Нет"))</f>
        <v/>
      </c>
      <c r="M2047" s="13">
        <f>IF(OR(G2047="",L2047&lt;&gt;"Да"),"",IF(G2047&lt;=100,"До 100",IF(G2047&lt;=200,"До 200",IF(G2047&lt;=500,"До 500","Отдельное КП"))))</f>
        <v/>
      </c>
      <c r="N2047" s="15">
        <f>IF(OR(G2047="",L2047&lt;&gt;"Да"),"",IF(G2047&lt;=100,33600,IF(G2047&lt;=200,62400,IF(G2047&lt;=500,144000,""))))</f>
        <v/>
      </c>
      <c r="O2047" s="16">
        <f>IF(G2047="","",IF(G2047&lt;=15,"1–15",IF(G2047&lt;=30,"16–30",IF(G2047&lt;=50,"31–50",IF(G2047&lt;=100,"51–100",IF(G2047&lt;=150,"101–150",IF(G2047&lt;=200,"151–200",IF(G2047&lt;=500,"201–500","500+"))))))))</f>
        <v/>
      </c>
      <c r="P2047" s="16" t="inlineStr">
        <is>
          <t>Нет совпадения в предоставленной выгрузке ССЧР</t>
        </is>
      </c>
      <c r="Q2047" s="16" t="n"/>
      <c r="R2047" s="16">
        <f>HYPERLINK("https://checko.ru/search?query=3801001629","Чекко: проверить")</f>
        <v/>
      </c>
      <c r="S2047" t="n">
        <v>0</v>
      </c>
    </row>
    <row r="2048" ht="27.75" customHeight="1" s="24">
      <c r="A2048" s="13" t="n">
        <v>5000094489</v>
      </c>
      <c r="B2048" s="13" t="inlineStr">
        <is>
          <t>Местная администрация с.п.Псынадаха Зольского муниципального района КБР</t>
        </is>
      </c>
      <c r="C2048" s="13" t="n">
        <v>702002714</v>
      </c>
      <c r="D2048" s="13" t="n"/>
      <c r="E2048" s="13" t="inlineStr">
        <is>
          <t>Не определён</t>
        </is>
      </c>
      <c r="F2048" s="13" t="inlineStr">
        <is>
          <t>702002714</t>
        </is>
      </c>
      <c r="G2048" s="14" t="n"/>
      <c r="H2048" s="14" t="n"/>
      <c r="I2048" s="14" t="n"/>
      <c r="J2048" s="14" t="n"/>
      <c r="K2048" s="13">
        <f>IF(G2048="","",IF(G2048&gt;=22,"Да","Нет"))</f>
        <v/>
      </c>
      <c r="L2048" s="13">
        <f>IF(OR(I2048="",J2048=""),"Не определено",IF(OR(COUNTIF(I2048,"45*")&gt;0,COUNTIF(J2048,"*45*")&gt;0,COUNTIF(I2048,"46*")&gt;0,COUNTIF(J2048,"*46*")&gt;0,COUNTIF(I2048,"47*")&gt;0,COUNTIF(J2048,"*47*")&gt;0,COUNTIF(I2048,"10*")&gt;0,COUNTIF(J2048,"*10*")&gt;0,COUNTIF(I2048,"11*")&gt;0,COUNTIF(J2048,"*11*")&gt;0,COUNTIF(I2048,"12*")&gt;0,COUNTIF(J2048,"*12*")&gt;0,COUNTIF(I2048,"13*")&gt;0,COUNTIF(J2048,"*13*")&gt;0,COUNTIF(I2048,"14*")&gt;0,COUNTIF(J2048,"*14*")&gt;0,COUNTIF(I2048,"15*")&gt;0,COUNTIF(J2048,"*15*")&gt;0,COUNTIF(I2048,"16*")&gt;0,COUNTIF(J2048,"*16*")&gt;0,COUNTIF(I2048,"17*")&gt;0,COUNTIF(J2048,"*17*")&gt;0,COUNTIF(I2048,"18*")&gt;0,COUNTIF(J2048,"*18*")&gt;0,COUNTIF(I2048,"19*")&gt;0,COUNTIF(J2048,"*19*")&gt;0,COUNTIF(I2048,"20*")&gt;0,COUNTIF(J2048,"*20*")&gt;0,COUNTIF(I2048,"21*")&gt;0,COUNTIF(J2048,"*21*")&gt;0,COUNTIF(I2048,"22*")&gt;0,COUNTIF(J2048,"*22*")&gt;0,COUNTIF(I2048,"23*")&gt;0,COUNTIF(J2048,"*23*")&gt;0,COUNTIF(I2048,"24*")&gt;0,COUNTIF(J2048,"*24*")&gt;0,COUNTIF(I2048,"25*")&gt;0,COUNTIF(J2048,"*25*")&gt;0,COUNTIF(I2048,"26*")&gt;0,COUNTIF(J2048,"*26*")&gt;0,COUNTIF(I2048,"27*")&gt;0,COUNTIF(J2048,"*27*")&gt;0,COUNTIF(I2048,"28*")&gt;0,COUNTIF(J2048,"*28*")&gt;0,COUNTIF(I2048,"29*")&gt;0,COUNTIF(J2048,"*29*")&gt;0,COUNTIF(I2048,"30*")&gt;0,COUNTIF(J2048,"*30*")&gt;0,COUNTIF(I2048,"31*")&gt;0,COUNTIF(J2048,"*31*")&gt;0,COUNTIF(I2048,"32*")&gt;0,COUNTIF(J2048,"*32*")&gt;0,COUNTIF(I2048,"33*")&gt;0,COUNTIF(J2048,"*33*")&gt;0,COUNTIF(I2048,"41*")&gt;0,COUNTIF(J2048,"*41*")&gt;0,COUNTIF(I2048,"42*")&gt;0,COUNTIF(J2048,"*42*")&gt;0,COUNTIF(I2048,"43*")&gt;0,COUNTIF(J2048,"*43*")&gt;0,COUNTIF(I2048,"49*")&gt;0,COUNTIF(J2048,"*49*")&gt;0,COUNTIF(I2048,"52*")&gt;0,COUNTIF(J2048,"*52*")&gt;0,COUNTIF(I2048,"55*")&gt;0,COUNTIF(J2048,"*55*")&gt;0,COUNTIF(I2048,"56*")&gt;0,COUNTIF(J2048,"*56*")&gt;0,COUNTIF(I2048,"68*")&gt;0,COUNTIF(J2048,"*68*")&gt;0,COUNTIF(I2048,"78*")&gt;0,COUNTIF(J2048,"*78*")&gt;0,COUNTIF(I2048,"81*")&gt;0,COUNTIF(J2048,"*81*")&gt;0,COUNTIF(I2048,"82*")&gt;0,COUNTIF(J2048,"*82*")&gt;0,COUNTIF(I2048,"64*")&gt;0,COUNTIF(J2048,"*64*")&gt;0,COUNTIF(I2048,"65*")&gt;0,COUNTIF(J2048,"*65*")&gt;0,COUNTIF(I2048,"66*")&gt;0,COUNTIF(J2048,"*66*")&gt;0,COUNTIF(I2048,"61*")&gt;0,COUNTIF(J2048,"*61*")&gt;0,COUNTIF(I2048,"62*")&gt;0,COUNTIF(J2048,"*62*")&gt;0,COUNTIF(I2048,"63*")&gt;0,COUNTIF(J2048,"*63*")&gt;0,COUNTIF(I2048,"85*")&gt;0,COUNTIF(J2048,"*85*")&gt;0,COUNTIF(I2048,"86*")&gt;0,COUNTIF(J2048,"*86*")&gt;0),"Да","Нет"))</f>
        <v/>
      </c>
      <c r="M2048" s="13">
        <f>IF(OR(G2048="",L2048&lt;&gt;"Да"),"",IF(G2048&lt;=100,"До 100",IF(G2048&lt;=200,"До 200",IF(G2048&lt;=500,"До 500","Отдельное КП"))))</f>
        <v/>
      </c>
      <c r="N2048" s="15">
        <f>IF(OR(G2048="",L2048&lt;&gt;"Да"),"",IF(G2048&lt;=100,33600,IF(G2048&lt;=200,62400,IF(G2048&lt;=500,144000,""))))</f>
        <v/>
      </c>
      <c r="O2048" s="16">
        <f>IF(G2048="","",IF(G2048&lt;=15,"1–15",IF(G2048&lt;=30,"16–30",IF(G2048&lt;=50,"31–50",IF(G2048&lt;=100,"51–100",IF(G2048&lt;=150,"101–150",IF(G2048&lt;=200,"151–200",IF(G2048&lt;=500,"201–500","500+"))))))))</f>
        <v/>
      </c>
      <c r="P2048" s="16" t="inlineStr">
        <is>
          <t>Нет совпадения в предоставленной выгрузке ССЧР</t>
        </is>
      </c>
      <c r="Q2048" s="16" t="n"/>
      <c r="R2048" s="16">
        <f>HYPERLINK("https://checko.ru/search?query=3801001629","Чекко: проверить")</f>
        <v/>
      </c>
      <c r="S2048" t="n">
        <v>0</v>
      </c>
    </row>
    <row r="2049" ht="15" customHeight="1" s="24">
      <c r="A2049" s="13" t="n">
        <v>5000094490</v>
      </c>
      <c r="B2049" s="13" t="inlineStr">
        <is>
          <t>Местная администрация с.п. Малка</t>
        </is>
      </c>
      <c r="C2049" s="13" t="n">
        <v>702002721</v>
      </c>
      <c r="D2049" s="13" t="n"/>
      <c r="E2049" s="13" t="inlineStr">
        <is>
          <t>Не определён</t>
        </is>
      </c>
      <c r="F2049" s="13" t="inlineStr">
        <is>
          <t>702002721</t>
        </is>
      </c>
      <c r="G2049" s="14" t="n"/>
      <c r="H2049" s="14" t="n"/>
      <c r="I2049" s="14" t="n"/>
      <c r="J2049" s="14" t="n"/>
      <c r="K2049" s="13">
        <f>IF(G2049="","",IF(G2049&gt;=22,"Да","Нет"))</f>
        <v/>
      </c>
      <c r="L2049" s="13">
        <f>IF(OR(I2049="",J2049=""),"Не определено",IF(OR(COUNTIF(I2049,"45*")&gt;0,COUNTIF(J2049,"*45*")&gt;0,COUNTIF(I2049,"46*")&gt;0,COUNTIF(J2049,"*46*")&gt;0,COUNTIF(I2049,"47*")&gt;0,COUNTIF(J2049,"*47*")&gt;0,COUNTIF(I2049,"10*")&gt;0,COUNTIF(J2049,"*10*")&gt;0,COUNTIF(I2049,"11*")&gt;0,COUNTIF(J2049,"*11*")&gt;0,COUNTIF(I2049,"12*")&gt;0,COUNTIF(J2049,"*12*")&gt;0,COUNTIF(I2049,"13*")&gt;0,COUNTIF(J2049,"*13*")&gt;0,COUNTIF(I2049,"14*")&gt;0,COUNTIF(J2049,"*14*")&gt;0,COUNTIF(I2049,"15*")&gt;0,COUNTIF(J2049,"*15*")&gt;0,COUNTIF(I2049,"16*")&gt;0,COUNTIF(J2049,"*16*")&gt;0,COUNTIF(I2049,"17*")&gt;0,COUNTIF(J2049,"*17*")&gt;0,COUNTIF(I2049,"18*")&gt;0,COUNTIF(J2049,"*18*")&gt;0,COUNTIF(I2049,"19*")&gt;0,COUNTIF(J2049,"*19*")&gt;0,COUNTIF(I2049,"20*")&gt;0,COUNTIF(J2049,"*20*")&gt;0,COUNTIF(I2049,"21*")&gt;0,COUNTIF(J2049,"*21*")&gt;0,COUNTIF(I2049,"22*")&gt;0,COUNTIF(J2049,"*22*")&gt;0,COUNTIF(I2049,"23*")&gt;0,COUNTIF(J2049,"*23*")&gt;0,COUNTIF(I2049,"24*")&gt;0,COUNTIF(J2049,"*24*")&gt;0,COUNTIF(I2049,"25*")&gt;0,COUNTIF(J2049,"*25*")&gt;0,COUNTIF(I2049,"26*")&gt;0,COUNTIF(J2049,"*26*")&gt;0,COUNTIF(I2049,"27*")&gt;0,COUNTIF(J2049,"*27*")&gt;0,COUNTIF(I2049,"28*")&gt;0,COUNTIF(J2049,"*28*")&gt;0,COUNTIF(I2049,"29*")&gt;0,COUNTIF(J2049,"*29*")&gt;0,COUNTIF(I2049,"30*")&gt;0,COUNTIF(J2049,"*30*")&gt;0,COUNTIF(I2049,"31*")&gt;0,COUNTIF(J2049,"*31*")&gt;0,COUNTIF(I2049,"32*")&gt;0,COUNTIF(J2049,"*32*")&gt;0,COUNTIF(I2049,"33*")&gt;0,COUNTIF(J2049,"*33*")&gt;0,COUNTIF(I2049,"41*")&gt;0,COUNTIF(J2049,"*41*")&gt;0,COUNTIF(I2049,"42*")&gt;0,COUNTIF(J2049,"*42*")&gt;0,COUNTIF(I2049,"43*")&gt;0,COUNTIF(J2049,"*43*")&gt;0,COUNTIF(I2049,"49*")&gt;0,COUNTIF(J2049,"*49*")&gt;0,COUNTIF(I2049,"52*")&gt;0,COUNTIF(J2049,"*52*")&gt;0,COUNTIF(I2049,"55*")&gt;0,COUNTIF(J2049,"*55*")&gt;0,COUNTIF(I2049,"56*")&gt;0,COUNTIF(J2049,"*56*")&gt;0,COUNTIF(I2049,"68*")&gt;0,COUNTIF(J2049,"*68*")&gt;0,COUNTIF(I2049,"78*")&gt;0,COUNTIF(J2049,"*78*")&gt;0,COUNTIF(I2049,"81*")&gt;0,COUNTIF(J2049,"*81*")&gt;0,COUNTIF(I2049,"82*")&gt;0,COUNTIF(J2049,"*82*")&gt;0,COUNTIF(I2049,"64*")&gt;0,COUNTIF(J2049,"*64*")&gt;0,COUNTIF(I2049,"65*")&gt;0,COUNTIF(J2049,"*65*")&gt;0,COUNTIF(I2049,"66*")&gt;0,COUNTIF(J2049,"*66*")&gt;0,COUNTIF(I2049,"61*")&gt;0,COUNTIF(J2049,"*61*")&gt;0,COUNTIF(I2049,"62*")&gt;0,COUNTIF(J2049,"*62*")&gt;0,COUNTIF(I2049,"63*")&gt;0,COUNTIF(J2049,"*63*")&gt;0,COUNTIF(I2049,"85*")&gt;0,COUNTIF(J2049,"*85*")&gt;0,COUNTIF(I2049,"86*")&gt;0,COUNTIF(J2049,"*86*")&gt;0),"Да","Нет"))</f>
        <v/>
      </c>
      <c r="M2049" s="13">
        <f>IF(OR(G2049="",L2049&lt;&gt;"Да"),"",IF(G2049&lt;=100,"До 100",IF(G2049&lt;=200,"До 200",IF(G2049&lt;=500,"До 500","Отдельное КП"))))</f>
        <v/>
      </c>
      <c r="N2049" s="15">
        <f>IF(OR(G2049="",L2049&lt;&gt;"Да"),"",IF(G2049&lt;=100,33600,IF(G2049&lt;=200,62400,IF(G2049&lt;=500,144000,""))))</f>
        <v/>
      </c>
      <c r="O2049" s="16">
        <f>IF(G2049="","",IF(G2049&lt;=15,"1–15",IF(G2049&lt;=30,"16–30",IF(G2049&lt;=50,"31–50",IF(G2049&lt;=100,"51–100",IF(G2049&lt;=150,"101–150",IF(G2049&lt;=200,"151–200",IF(G2049&lt;=500,"201–500","500+"))))))))</f>
        <v/>
      </c>
      <c r="P2049" s="16" t="inlineStr">
        <is>
          <t>Нет совпадения в предоставленной выгрузке ССЧР</t>
        </is>
      </c>
      <c r="Q2049" s="16" t="n"/>
      <c r="R2049" s="16">
        <f>HYPERLINK("https://checko.ru/search?query=3801001629","Чекко: проверить")</f>
        <v/>
      </c>
      <c r="S2049" t="n">
        <v>0</v>
      </c>
    </row>
    <row r="2050" ht="27.75" customHeight="1" s="24">
      <c r="A2050" s="13" t="n">
        <v>5000094491</v>
      </c>
      <c r="B2050" s="13" t="inlineStr">
        <is>
          <t>Администрация с. п. Хабаз Зольского муниципального района КБР</t>
        </is>
      </c>
      <c r="C2050" s="13" t="n">
        <v>702002739</v>
      </c>
      <c r="D2050" s="13" t="n"/>
      <c r="E2050" s="13" t="inlineStr">
        <is>
          <t>Не определён</t>
        </is>
      </c>
      <c r="F2050" s="13" t="inlineStr">
        <is>
          <t>702002739</t>
        </is>
      </c>
      <c r="G2050" s="14" t="n"/>
      <c r="H2050" s="14" t="n"/>
      <c r="I2050" s="14" t="n"/>
      <c r="J2050" s="14" t="n"/>
      <c r="K2050" s="13">
        <f>IF(G2050="","",IF(G2050&gt;=22,"Да","Нет"))</f>
        <v/>
      </c>
      <c r="L2050" s="13">
        <f>IF(OR(I2050="",J2050=""),"Не определено",IF(OR(COUNTIF(I2050,"45*")&gt;0,COUNTIF(J2050,"*45*")&gt;0,COUNTIF(I2050,"46*")&gt;0,COUNTIF(J2050,"*46*")&gt;0,COUNTIF(I2050,"47*")&gt;0,COUNTIF(J2050,"*47*")&gt;0,COUNTIF(I2050,"10*")&gt;0,COUNTIF(J2050,"*10*")&gt;0,COUNTIF(I2050,"11*")&gt;0,COUNTIF(J2050,"*11*")&gt;0,COUNTIF(I2050,"12*")&gt;0,COUNTIF(J2050,"*12*")&gt;0,COUNTIF(I2050,"13*")&gt;0,COUNTIF(J2050,"*13*")&gt;0,COUNTIF(I2050,"14*")&gt;0,COUNTIF(J2050,"*14*")&gt;0,COUNTIF(I2050,"15*")&gt;0,COUNTIF(J2050,"*15*")&gt;0,COUNTIF(I2050,"16*")&gt;0,COUNTIF(J2050,"*16*")&gt;0,COUNTIF(I2050,"17*")&gt;0,COUNTIF(J2050,"*17*")&gt;0,COUNTIF(I2050,"18*")&gt;0,COUNTIF(J2050,"*18*")&gt;0,COUNTIF(I2050,"19*")&gt;0,COUNTIF(J2050,"*19*")&gt;0,COUNTIF(I2050,"20*")&gt;0,COUNTIF(J2050,"*20*")&gt;0,COUNTIF(I2050,"21*")&gt;0,COUNTIF(J2050,"*21*")&gt;0,COUNTIF(I2050,"22*")&gt;0,COUNTIF(J2050,"*22*")&gt;0,COUNTIF(I2050,"23*")&gt;0,COUNTIF(J2050,"*23*")&gt;0,COUNTIF(I2050,"24*")&gt;0,COUNTIF(J2050,"*24*")&gt;0,COUNTIF(I2050,"25*")&gt;0,COUNTIF(J2050,"*25*")&gt;0,COUNTIF(I2050,"26*")&gt;0,COUNTIF(J2050,"*26*")&gt;0,COUNTIF(I2050,"27*")&gt;0,COUNTIF(J2050,"*27*")&gt;0,COUNTIF(I2050,"28*")&gt;0,COUNTIF(J2050,"*28*")&gt;0,COUNTIF(I2050,"29*")&gt;0,COUNTIF(J2050,"*29*")&gt;0,COUNTIF(I2050,"30*")&gt;0,COUNTIF(J2050,"*30*")&gt;0,COUNTIF(I2050,"31*")&gt;0,COUNTIF(J2050,"*31*")&gt;0,COUNTIF(I2050,"32*")&gt;0,COUNTIF(J2050,"*32*")&gt;0,COUNTIF(I2050,"33*")&gt;0,COUNTIF(J2050,"*33*")&gt;0,COUNTIF(I2050,"41*")&gt;0,COUNTIF(J2050,"*41*")&gt;0,COUNTIF(I2050,"42*")&gt;0,COUNTIF(J2050,"*42*")&gt;0,COUNTIF(I2050,"43*")&gt;0,COUNTIF(J2050,"*43*")&gt;0,COUNTIF(I2050,"49*")&gt;0,COUNTIF(J2050,"*49*")&gt;0,COUNTIF(I2050,"52*")&gt;0,COUNTIF(J2050,"*52*")&gt;0,COUNTIF(I2050,"55*")&gt;0,COUNTIF(J2050,"*55*")&gt;0,COUNTIF(I2050,"56*")&gt;0,COUNTIF(J2050,"*56*")&gt;0,COUNTIF(I2050,"68*")&gt;0,COUNTIF(J2050,"*68*")&gt;0,COUNTIF(I2050,"78*")&gt;0,COUNTIF(J2050,"*78*")&gt;0,COUNTIF(I2050,"81*")&gt;0,COUNTIF(J2050,"*81*")&gt;0,COUNTIF(I2050,"82*")&gt;0,COUNTIF(J2050,"*82*")&gt;0,COUNTIF(I2050,"64*")&gt;0,COUNTIF(J2050,"*64*")&gt;0,COUNTIF(I2050,"65*")&gt;0,COUNTIF(J2050,"*65*")&gt;0,COUNTIF(I2050,"66*")&gt;0,COUNTIF(J2050,"*66*")&gt;0,COUNTIF(I2050,"61*")&gt;0,COUNTIF(J2050,"*61*")&gt;0,COUNTIF(I2050,"62*")&gt;0,COUNTIF(J2050,"*62*")&gt;0,COUNTIF(I2050,"63*")&gt;0,COUNTIF(J2050,"*63*")&gt;0,COUNTIF(I2050,"85*")&gt;0,COUNTIF(J2050,"*85*")&gt;0,COUNTIF(I2050,"86*")&gt;0,COUNTIF(J2050,"*86*")&gt;0),"Да","Нет"))</f>
        <v/>
      </c>
      <c r="M2050" s="13">
        <f>IF(OR(G2050="",L2050&lt;&gt;"Да"),"",IF(G2050&lt;=100,"До 100",IF(G2050&lt;=200,"До 200",IF(G2050&lt;=500,"До 500","Отдельное КП"))))</f>
        <v/>
      </c>
      <c r="N2050" s="15">
        <f>IF(OR(G2050="",L2050&lt;&gt;"Да"),"",IF(G2050&lt;=100,33600,IF(G2050&lt;=200,62400,IF(G2050&lt;=500,144000,""))))</f>
        <v/>
      </c>
      <c r="O2050" s="16">
        <f>IF(G2050="","",IF(G2050&lt;=15,"1–15",IF(G2050&lt;=30,"16–30",IF(G2050&lt;=50,"31–50",IF(G2050&lt;=100,"51–100",IF(G2050&lt;=150,"101–150",IF(G2050&lt;=200,"151–200",IF(G2050&lt;=500,"201–500","500+"))))))))</f>
        <v/>
      </c>
      <c r="P2050" s="16" t="inlineStr">
        <is>
          <t>Нет совпадения в предоставленной выгрузке ССЧР</t>
        </is>
      </c>
      <c r="Q2050" s="16" t="n"/>
      <c r="R2050" s="16">
        <f>HYPERLINK("https://checko.ru/search?query=3801001629","Чекко: проверить")</f>
        <v/>
      </c>
      <c r="S2050" t="n">
        <v>0</v>
      </c>
    </row>
    <row r="2051" ht="15" customHeight="1" s="24">
      <c r="A2051" s="13" t="n">
        <v>5000094492</v>
      </c>
      <c r="B2051" s="13" t="inlineStr">
        <is>
          <t>МКУ "РГ "Зольские вести" ЗМР КБР</t>
        </is>
      </c>
      <c r="C2051" s="13" t="n">
        <v>702002746</v>
      </c>
      <c r="D2051" s="13" t="n"/>
      <c r="E2051" s="13" t="inlineStr">
        <is>
          <t>Не определён</t>
        </is>
      </c>
      <c r="F2051" s="13" t="inlineStr">
        <is>
          <t>702002746</t>
        </is>
      </c>
      <c r="G2051" s="14" t="n"/>
      <c r="H2051" s="14" t="n"/>
      <c r="I2051" s="14" t="n"/>
      <c r="J2051" s="14" t="n"/>
      <c r="K2051" s="13">
        <f>IF(G2051="","",IF(G2051&gt;=22,"Да","Нет"))</f>
        <v/>
      </c>
      <c r="L2051" s="13">
        <f>IF(OR(I2051="",J2051=""),"Не определено",IF(OR(COUNTIF(I2051,"45*")&gt;0,COUNTIF(J2051,"*45*")&gt;0,COUNTIF(I2051,"46*")&gt;0,COUNTIF(J2051,"*46*")&gt;0,COUNTIF(I2051,"47*")&gt;0,COUNTIF(J2051,"*47*")&gt;0,COUNTIF(I2051,"10*")&gt;0,COUNTIF(J2051,"*10*")&gt;0,COUNTIF(I2051,"11*")&gt;0,COUNTIF(J2051,"*11*")&gt;0,COUNTIF(I2051,"12*")&gt;0,COUNTIF(J2051,"*12*")&gt;0,COUNTIF(I2051,"13*")&gt;0,COUNTIF(J2051,"*13*")&gt;0,COUNTIF(I2051,"14*")&gt;0,COUNTIF(J2051,"*14*")&gt;0,COUNTIF(I2051,"15*")&gt;0,COUNTIF(J2051,"*15*")&gt;0,COUNTIF(I2051,"16*")&gt;0,COUNTIF(J2051,"*16*")&gt;0,COUNTIF(I2051,"17*")&gt;0,COUNTIF(J2051,"*17*")&gt;0,COUNTIF(I2051,"18*")&gt;0,COUNTIF(J2051,"*18*")&gt;0,COUNTIF(I2051,"19*")&gt;0,COUNTIF(J2051,"*19*")&gt;0,COUNTIF(I2051,"20*")&gt;0,COUNTIF(J2051,"*20*")&gt;0,COUNTIF(I2051,"21*")&gt;0,COUNTIF(J2051,"*21*")&gt;0,COUNTIF(I2051,"22*")&gt;0,COUNTIF(J2051,"*22*")&gt;0,COUNTIF(I2051,"23*")&gt;0,COUNTIF(J2051,"*23*")&gt;0,COUNTIF(I2051,"24*")&gt;0,COUNTIF(J2051,"*24*")&gt;0,COUNTIF(I2051,"25*")&gt;0,COUNTIF(J2051,"*25*")&gt;0,COUNTIF(I2051,"26*")&gt;0,COUNTIF(J2051,"*26*")&gt;0,COUNTIF(I2051,"27*")&gt;0,COUNTIF(J2051,"*27*")&gt;0,COUNTIF(I2051,"28*")&gt;0,COUNTIF(J2051,"*28*")&gt;0,COUNTIF(I2051,"29*")&gt;0,COUNTIF(J2051,"*29*")&gt;0,COUNTIF(I2051,"30*")&gt;0,COUNTIF(J2051,"*30*")&gt;0,COUNTIF(I2051,"31*")&gt;0,COUNTIF(J2051,"*31*")&gt;0,COUNTIF(I2051,"32*")&gt;0,COUNTIF(J2051,"*32*")&gt;0,COUNTIF(I2051,"33*")&gt;0,COUNTIF(J2051,"*33*")&gt;0,COUNTIF(I2051,"41*")&gt;0,COUNTIF(J2051,"*41*")&gt;0,COUNTIF(I2051,"42*")&gt;0,COUNTIF(J2051,"*42*")&gt;0,COUNTIF(I2051,"43*")&gt;0,COUNTIF(J2051,"*43*")&gt;0,COUNTIF(I2051,"49*")&gt;0,COUNTIF(J2051,"*49*")&gt;0,COUNTIF(I2051,"52*")&gt;0,COUNTIF(J2051,"*52*")&gt;0,COUNTIF(I2051,"55*")&gt;0,COUNTIF(J2051,"*55*")&gt;0,COUNTIF(I2051,"56*")&gt;0,COUNTIF(J2051,"*56*")&gt;0,COUNTIF(I2051,"68*")&gt;0,COUNTIF(J2051,"*68*")&gt;0,COUNTIF(I2051,"78*")&gt;0,COUNTIF(J2051,"*78*")&gt;0,COUNTIF(I2051,"81*")&gt;0,COUNTIF(J2051,"*81*")&gt;0,COUNTIF(I2051,"82*")&gt;0,COUNTIF(J2051,"*82*")&gt;0,COUNTIF(I2051,"64*")&gt;0,COUNTIF(J2051,"*64*")&gt;0,COUNTIF(I2051,"65*")&gt;0,COUNTIF(J2051,"*65*")&gt;0,COUNTIF(I2051,"66*")&gt;0,COUNTIF(J2051,"*66*")&gt;0,COUNTIF(I2051,"61*")&gt;0,COUNTIF(J2051,"*61*")&gt;0,COUNTIF(I2051,"62*")&gt;0,COUNTIF(J2051,"*62*")&gt;0,COUNTIF(I2051,"63*")&gt;0,COUNTIF(J2051,"*63*")&gt;0,COUNTIF(I2051,"85*")&gt;0,COUNTIF(J2051,"*85*")&gt;0,COUNTIF(I2051,"86*")&gt;0,COUNTIF(J2051,"*86*")&gt;0),"Да","Нет"))</f>
        <v/>
      </c>
      <c r="M2051" s="13">
        <f>IF(OR(G2051="",L2051&lt;&gt;"Да"),"",IF(G2051&lt;=100,"До 100",IF(G2051&lt;=200,"До 200",IF(G2051&lt;=500,"До 500","Отдельное КП"))))</f>
        <v/>
      </c>
      <c r="N2051" s="15">
        <f>IF(OR(G2051="",L2051&lt;&gt;"Да"),"",IF(G2051&lt;=100,33600,IF(G2051&lt;=200,62400,IF(G2051&lt;=500,144000,""))))</f>
        <v/>
      </c>
      <c r="O2051" s="16">
        <f>IF(G2051="","",IF(G2051&lt;=15,"1–15",IF(G2051&lt;=30,"16–30",IF(G2051&lt;=50,"31–50",IF(G2051&lt;=100,"51–100",IF(G2051&lt;=150,"101–150",IF(G2051&lt;=200,"151–200",IF(G2051&lt;=500,"201–500","500+"))))))))</f>
        <v/>
      </c>
      <c r="P2051" s="16" t="inlineStr">
        <is>
          <t>Нет совпадения в предоставленной выгрузке ССЧР</t>
        </is>
      </c>
      <c r="Q2051" s="16" t="n"/>
      <c r="R2051" s="16">
        <f>HYPERLINK("https://checko.ru/search?query=3801001629","Чекко: проверить")</f>
        <v/>
      </c>
      <c r="S2051" t="n">
        <v>0</v>
      </c>
    </row>
    <row r="2052" ht="27.75" customHeight="1" s="24">
      <c r="A2052" s="13" t="n">
        <v>5000094493</v>
      </c>
      <c r="B2052" s="13" t="inlineStr">
        <is>
          <t>Местная администрация с.п. Светловодское Зольского муниципального района КБР</t>
        </is>
      </c>
      <c r="C2052" s="13" t="n">
        <v>702002753</v>
      </c>
      <c r="D2052" s="13" t="n"/>
      <c r="E2052" s="13" t="inlineStr">
        <is>
          <t>Не определён</t>
        </is>
      </c>
      <c r="F2052" s="13" t="inlineStr">
        <is>
          <t>702002753</t>
        </is>
      </c>
      <c r="G2052" s="14" t="n"/>
      <c r="H2052" s="14" t="n"/>
      <c r="I2052" s="14" t="n"/>
      <c r="J2052" s="14" t="n"/>
      <c r="K2052" s="13">
        <f>IF(G2052="","",IF(G2052&gt;=22,"Да","Нет"))</f>
        <v/>
      </c>
      <c r="L2052" s="13">
        <f>IF(OR(I2052="",J2052=""),"Не определено",IF(OR(COUNTIF(I2052,"45*")&gt;0,COUNTIF(J2052,"*45*")&gt;0,COUNTIF(I2052,"46*")&gt;0,COUNTIF(J2052,"*46*")&gt;0,COUNTIF(I2052,"47*")&gt;0,COUNTIF(J2052,"*47*")&gt;0,COUNTIF(I2052,"10*")&gt;0,COUNTIF(J2052,"*10*")&gt;0,COUNTIF(I2052,"11*")&gt;0,COUNTIF(J2052,"*11*")&gt;0,COUNTIF(I2052,"12*")&gt;0,COUNTIF(J2052,"*12*")&gt;0,COUNTIF(I2052,"13*")&gt;0,COUNTIF(J2052,"*13*")&gt;0,COUNTIF(I2052,"14*")&gt;0,COUNTIF(J2052,"*14*")&gt;0,COUNTIF(I2052,"15*")&gt;0,COUNTIF(J2052,"*15*")&gt;0,COUNTIF(I2052,"16*")&gt;0,COUNTIF(J2052,"*16*")&gt;0,COUNTIF(I2052,"17*")&gt;0,COUNTIF(J2052,"*17*")&gt;0,COUNTIF(I2052,"18*")&gt;0,COUNTIF(J2052,"*18*")&gt;0,COUNTIF(I2052,"19*")&gt;0,COUNTIF(J2052,"*19*")&gt;0,COUNTIF(I2052,"20*")&gt;0,COUNTIF(J2052,"*20*")&gt;0,COUNTIF(I2052,"21*")&gt;0,COUNTIF(J2052,"*21*")&gt;0,COUNTIF(I2052,"22*")&gt;0,COUNTIF(J2052,"*22*")&gt;0,COUNTIF(I2052,"23*")&gt;0,COUNTIF(J2052,"*23*")&gt;0,COUNTIF(I2052,"24*")&gt;0,COUNTIF(J2052,"*24*")&gt;0,COUNTIF(I2052,"25*")&gt;0,COUNTIF(J2052,"*25*")&gt;0,COUNTIF(I2052,"26*")&gt;0,COUNTIF(J2052,"*26*")&gt;0,COUNTIF(I2052,"27*")&gt;0,COUNTIF(J2052,"*27*")&gt;0,COUNTIF(I2052,"28*")&gt;0,COUNTIF(J2052,"*28*")&gt;0,COUNTIF(I2052,"29*")&gt;0,COUNTIF(J2052,"*29*")&gt;0,COUNTIF(I2052,"30*")&gt;0,COUNTIF(J2052,"*30*")&gt;0,COUNTIF(I2052,"31*")&gt;0,COUNTIF(J2052,"*31*")&gt;0,COUNTIF(I2052,"32*")&gt;0,COUNTIF(J2052,"*32*")&gt;0,COUNTIF(I2052,"33*")&gt;0,COUNTIF(J2052,"*33*")&gt;0,COUNTIF(I2052,"41*")&gt;0,COUNTIF(J2052,"*41*")&gt;0,COUNTIF(I2052,"42*")&gt;0,COUNTIF(J2052,"*42*")&gt;0,COUNTIF(I2052,"43*")&gt;0,COUNTIF(J2052,"*43*")&gt;0,COUNTIF(I2052,"49*")&gt;0,COUNTIF(J2052,"*49*")&gt;0,COUNTIF(I2052,"52*")&gt;0,COUNTIF(J2052,"*52*")&gt;0,COUNTIF(I2052,"55*")&gt;0,COUNTIF(J2052,"*55*")&gt;0,COUNTIF(I2052,"56*")&gt;0,COUNTIF(J2052,"*56*")&gt;0,COUNTIF(I2052,"68*")&gt;0,COUNTIF(J2052,"*68*")&gt;0,COUNTIF(I2052,"78*")&gt;0,COUNTIF(J2052,"*78*")&gt;0,COUNTIF(I2052,"81*")&gt;0,COUNTIF(J2052,"*81*")&gt;0,COUNTIF(I2052,"82*")&gt;0,COUNTIF(J2052,"*82*")&gt;0,COUNTIF(I2052,"64*")&gt;0,COUNTIF(J2052,"*64*")&gt;0,COUNTIF(I2052,"65*")&gt;0,COUNTIF(J2052,"*65*")&gt;0,COUNTIF(I2052,"66*")&gt;0,COUNTIF(J2052,"*66*")&gt;0,COUNTIF(I2052,"61*")&gt;0,COUNTIF(J2052,"*61*")&gt;0,COUNTIF(I2052,"62*")&gt;0,COUNTIF(J2052,"*62*")&gt;0,COUNTIF(I2052,"63*")&gt;0,COUNTIF(J2052,"*63*")&gt;0,COUNTIF(I2052,"85*")&gt;0,COUNTIF(J2052,"*85*")&gt;0,COUNTIF(I2052,"86*")&gt;0,COUNTIF(J2052,"*86*")&gt;0),"Да","Нет"))</f>
        <v/>
      </c>
      <c r="M2052" s="13">
        <f>IF(OR(G2052="",L2052&lt;&gt;"Да"),"",IF(G2052&lt;=100,"До 100",IF(G2052&lt;=200,"До 200",IF(G2052&lt;=500,"До 500","Отдельное КП"))))</f>
        <v/>
      </c>
      <c r="N2052" s="15">
        <f>IF(OR(G2052="",L2052&lt;&gt;"Да"),"",IF(G2052&lt;=100,33600,IF(G2052&lt;=200,62400,IF(G2052&lt;=500,144000,""))))</f>
        <v/>
      </c>
      <c r="O2052" s="16">
        <f>IF(G2052="","",IF(G2052&lt;=15,"1–15",IF(G2052&lt;=30,"16–30",IF(G2052&lt;=50,"31–50",IF(G2052&lt;=100,"51–100",IF(G2052&lt;=150,"101–150",IF(G2052&lt;=200,"151–200",IF(G2052&lt;=500,"201–500","500+"))))))))</f>
        <v/>
      </c>
      <c r="P2052" s="16" t="inlineStr">
        <is>
          <t>Нет совпадения в предоставленной выгрузке ССЧР</t>
        </is>
      </c>
      <c r="Q2052" s="16" t="n"/>
      <c r="R2052" s="16">
        <f>HYPERLINK("https://checko.ru/search?query=3801001629","Чекко: проверить")</f>
        <v/>
      </c>
      <c r="S2052" t="n">
        <v>0</v>
      </c>
    </row>
    <row r="2053" ht="27.75" customHeight="1" s="24">
      <c r="A2053" s="13" t="n">
        <v>5000094495</v>
      </c>
      <c r="B2053" s="13" t="inlineStr">
        <is>
          <t>Местная администрация с.п.Белокаменское Зольского муниципального района КБР</t>
        </is>
      </c>
      <c r="C2053" s="13" t="n">
        <v>702002778</v>
      </c>
      <c r="D2053" s="13" t="n"/>
      <c r="E2053" s="13" t="inlineStr">
        <is>
          <t>Не определён</t>
        </is>
      </c>
      <c r="F2053" s="13" t="inlineStr">
        <is>
          <t>702002778</t>
        </is>
      </c>
      <c r="G2053" s="14" t="n"/>
      <c r="H2053" s="14" t="n"/>
      <c r="I2053" s="14" t="n"/>
      <c r="J2053" s="14" t="n"/>
      <c r="K2053" s="13">
        <f>IF(G2053="","",IF(G2053&gt;=22,"Да","Нет"))</f>
        <v/>
      </c>
      <c r="L2053" s="13">
        <f>IF(OR(I2053="",J2053=""),"Не определено",IF(OR(COUNTIF(I2053,"45*")&gt;0,COUNTIF(J2053,"*45*")&gt;0,COUNTIF(I2053,"46*")&gt;0,COUNTIF(J2053,"*46*")&gt;0,COUNTIF(I2053,"47*")&gt;0,COUNTIF(J2053,"*47*")&gt;0,COUNTIF(I2053,"10*")&gt;0,COUNTIF(J2053,"*10*")&gt;0,COUNTIF(I2053,"11*")&gt;0,COUNTIF(J2053,"*11*")&gt;0,COUNTIF(I2053,"12*")&gt;0,COUNTIF(J2053,"*12*")&gt;0,COUNTIF(I2053,"13*")&gt;0,COUNTIF(J2053,"*13*")&gt;0,COUNTIF(I2053,"14*")&gt;0,COUNTIF(J2053,"*14*")&gt;0,COUNTIF(I2053,"15*")&gt;0,COUNTIF(J2053,"*15*")&gt;0,COUNTIF(I2053,"16*")&gt;0,COUNTIF(J2053,"*16*")&gt;0,COUNTIF(I2053,"17*")&gt;0,COUNTIF(J2053,"*17*")&gt;0,COUNTIF(I2053,"18*")&gt;0,COUNTIF(J2053,"*18*")&gt;0,COUNTIF(I2053,"19*")&gt;0,COUNTIF(J2053,"*19*")&gt;0,COUNTIF(I2053,"20*")&gt;0,COUNTIF(J2053,"*20*")&gt;0,COUNTIF(I2053,"21*")&gt;0,COUNTIF(J2053,"*21*")&gt;0,COUNTIF(I2053,"22*")&gt;0,COUNTIF(J2053,"*22*")&gt;0,COUNTIF(I2053,"23*")&gt;0,COUNTIF(J2053,"*23*")&gt;0,COUNTIF(I2053,"24*")&gt;0,COUNTIF(J2053,"*24*")&gt;0,COUNTIF(I2053,"25*")&gt;0,COUNTIF(J2053,"*25*")&gt;0,COUNTIF(I2053,"26*")&gt;0,COUNTIF(J2053,"*26*")&gt;0,COUNTIF(I2053,"27*")&gt;0,COUNTIF(J2053,"*27*")&gt;0,COUNTIF(I2053,"28*")&gt;0,COUNTIF(J2053,"*28*")&gt;0,COUNTIF(I2053,"29*")&gt;0,COUNTIF(J2053,"*29*")&gt;0,COUNTIF(I2053,"30*")&gt;0,COUNTIF(J2053,"*30*")&gt;0,COUNTIF(I2053,"31*")&gt;0,COUNTIF(J2053,"*31*")&gt;0,COUNTIF(I2053,"32*")&gt;0,COUNTIF(J2053,"*32*")&gt;0,COUNTIF(I2053,"33*")&gt;0,COUNTIF(J2053,"*33*")&gt;0,COUNTIF(I2053,"41*")&gt;0,COUNTIF(J2053,"*41*")&gt;0,COUNTIF(I2053,"42*")&gt;0,COUNTIF(J2053,"*42*")&gt;0,COUNTIF(I2053,"43*")&gt;0,COUNTIF(J2053,"*43*")&gt;0,COUNTIF(I2053,"49*")&gt;0,COUNTIF(J2053,"*49*")&gt;0,COUNTIF(I2053,"52*")&gt;0,COUNTIF(J2053,"*52*")&gt;0,COUNTIF(I2053,"55*")&gt;0,COUNTIF(J2053,"*55*")&gt;0,COUNTIF(I2053,"56*")&gt;0,COUNTIF(J2053,"*56*")&gt;0,COUNTIF(I2053,"68*")&gt;0,COUNTIF(J2053,"*68*")&gt;0,COUNTIF(I2053,"78*")&gt;0,COUNTIF(J2053,"*78*")&gt;0,COUNTIF(I2053,"81*")&gt;0,COUNTIF(J2053,"*81*")&gt;0,COUNTIF(I2053,"82*")&gt;0,COUNTIF(J2053,"*82*")&gt;0,COUNTIF(I2053,"64*")&gt;0,COUNTIF(J2053,"*64*")&gt;0,COUNTIF(I2053,"65*")&gt;0,COUNTIF(J2053,"*65*")&gt;0,COUNTIF(I2053,"66*")&gt;0,COUNTIF(J2053,"*66*")&gt;0,COUNTIF(I2053,"61*")&gt;0,COUNTIF(J2053,"*61*")&gt;0,COUNTIF(I2053,"62*")&gt;0,COUNTIF(J2053,"*62*")&gt;0,COUNTIF(I2053,"63*")&gt;0,COUNTIF(J2053,"*63*")&gt;0,COUNTIF(I2053,"85*")&gt;0,COUNTIF(J2053,"*85*")&gt;0,COUNTIF(I2053,"86*")&gt;0,COUNTIF(J2053,"*86*")&gt;0),"Да","Нет"))</f>
        <v/>
      </c>
      <c r="M2053" s="13">
        <f>IF(OR(G2053="",L2053&lt;&gt;"Да"),"",IF(G2053&lt;=100,"До 100",IF(G2053&lt;=200,"До 200",IF(G2053&lt;=500,"До 500","Отдельное КП"))))</f>
        <v/>
      </c>
      <c r="N2053" s="15">
        <f>IF(OR(G2053="",L2053&lt;&gt;"Да"),"",IF(G2053&lt;=100,33600,IF(G2053&lt;=200,62400,IF(G2053&lt;=500,144000,""))))</f>
        <v/>
      </c>
      <c r="O2053" s="16">
        <f>IF(G2053="","",IF(G2053&lt;=15,"1–15",IF(G2053&lt;=30,"16–30",IF(G2053&lt;=50,"31–50",IF(G2053&lt;=100,"51–100",IF(G2053&lt;=150,"101–150",IF(G2053&lt;=200,"151–200",IF(G2053&lt;=500,"201–500","500+"))))))))</f>
        <v/>
      </c>
      <c r="P2053" s="16" t="inlineStr">
        <is>
          <t>Нет совпадения в предоставленной выгрузке ССЧР</t>
        </is>
      </c>
      <c r="Q2053" s="16" t="n"/>
      <c r="R2053" s="16">
        <f>HYPERLINK("https://checko.ru/search?query=3801001629","Чекко: проверить")</f>
        <v/>
      </c>
      <c r="S2053" t="n">
        <v>0</v>
      </c>
    </row>
    <row r="2054" ht="27.75" customHeight="1" s="24">
      <c r="A2054" s="13" t="n">
        <v>5000094496</v>
      </c>
      <c r="B2054" s="13" t="inlineStr">
        <is>
          <t>Местная администрация с.п.Совхозное Зольского муниципального района КБР</t>
        </is>
      </c>
      <c r="C2054" s="13" t="n">
        <v>702002785</v>
      </c>
      <c r="D2054" s="13" t="n"/>
      <c r="E2054" s="13" t="inlineStr">
        <is>
          <t>Не определён</t>
        </is>
      </c>
      <c r="F2054" s="13" t="inlineStr">
        <is>
          <t>702002785</t>
        </is>
      </c>
      <c r="G2054" s="14" t="n"/>
      <c r="H2054" s="14" t="n"/>
      <c r="I2054" s="14" t="n"/>
      <c r="J2054" s="14" t="n"/>
      <c r="K2054" s="13">
        <f>IF(G2054="","",IF(G2054&gt;=22,"Да","Нет"))</f>
        <v/>
      </c>
      <c r="L2054" s="13">
        <f>IF(OR(I2054="",J2054=""),"Не определено",IF(OR(COUNTIF(I2054,"45*")&gt;0,COUNTIF(J2054,"*45*")&gt;0,COUNTIF(I2054,"46*")&gt;0,COUNTIF(J2054,"*46*")&gt;0,COUNTIF(I2054,"47*")&gt;0,COUNTIF(J2054,"*47*")&gt;0,COUNTIF(I2054,"10*")&gt;0,COUNTIF(J2054,"*10*")&gt;0,COUNTIF(I2054,"11*")&gt;0,COUNTIF(J2054,"*11*")&gt;0,COUNTIF(I2054,"12*")&gt;0,COUNTIF(J2054,"*12*")&gt;0,COUNTIF(I2054,"13*")&gt;0,COUNTIF(J2054,"*13*")&gt;0,COUNTIF(I2054,"14*")&gt;0,COUNTIF(J2054,"*14*")&gt;0,COUNTIF(I2054,"15*")&gt;0,COUNTIF(J2054,"*15*")&gt;0,COUNTIF(I2054,"16*")&gt;0,COUNTIF(J2054,"*16*")&gt;0,COUNTIF(I2054,"17*")&gt;0,COUNTIF(J2054,"*17*")&gt;0,COUNTIF(I2054,"18*")&gt;0,COUNTIF(J2054,"*18*")&gt;0,COUNTIF(I2054,"19*")&gt;0,COUNTIF(J2054,"*19*")&gt;0,COUNTIF(I2054,"20*")&gt;0,COUNTIF(J2054,"*20*")&gt;0,COUNTIF(I2054,"21*")&gt;0,COUNTIF(J2054,"*21*")&gt;0,COUNTIF(I2054,"22*")&gt;0,COUNTIF(J2054,"*22*")&gt;0,COUNTIF(I2054,"23*")&gt;0,COUNTIF(J2054,"*23*")&gt;0,COUNTIF(I2054,"24*")&gt;0,COUNTIF(J2054,"*24*")&gt;0,COUNTIF(I2054,"25*")&gt;0,COUNTIF(J2054,"*25*")&gt;0,COUNTIF(I2054,"26*")&gt;0,COUNTIF(J2054,"*26*")&gt;0,COUNTIF(I2054,"27*")&gt;0,COUNTIF(J2054,"*27*")&gt;0,COUNTIF(I2054,"28*")&gt;0,COUNTIF(J2054,"*28*")&gt;0,COUNTIF(I2054,"29*")&gt;0,COUNTIF(J2054,"*29*")&gt;0,COUNTIF(I2054,"30*")&gt;0,COUNTIF(J2054,"*30*")&gt;0,COUNTIF(I2054,"31*")&gt;0,COUNTIF(J2054,"*31*")&gt;0,COUNTIF(I2054,"32*")&gt;0,COUNTIF(J2054,"*32*")&gt;0,COUNTIF(I2054,"33*")&gt;0,COUNTIF(J2054,"*33*")&gt;0,COUNTIF(I2054,"41*")&gt;0,COUNTIF(J2054,"*41*")&gt;0,COUNTIF(I2054,"42*")&gt;0,COUNTIF(J2054,"*42*")&gt;0,COUNTIF(I2054,"43*")&gt;0,COUNTIF(J2054,"*43*")&gt;0,COUNTIF(I2054,"49*")&gt;0,COUNTIF(J2054,"*49*")&gt;0,COUNTIF(I2054,"52*")&gt;0,COUNTIF(J2054,"*52*")&gt;0,COUNTIF(I2054,"55*")&gt;0,COUNTIF(J2054,"*55*")&gt;0,COUNTIF(I2054,"56*")&gt;0,COUNTIF(J2054,"*56*")&gt;0,COUNTIF(I2054,"68*")&gt;0,COUNTIF(J2054,"*68*")&gt;0,COUNTIF(I2054,"78*")&gt;0,COUNTIF(J2054,"*78*")&gt;0,COUNTIF(I2054,"81*")&gt;0,COUNTIF(J2054,"*81*")&gt;0,COUNTIF(I2054,"82*")&gt;0,COUNTIF(J2054,"*82*")&gt;0,COUNTIF(I2054,"64*")&gt;0,COUNTIF(J2054,"*64*")&gt;0,COUNTIF(I2054,"65*")&gt;0,COUNTIF(J2054,"*65*")&gt;0,COUNTIF(I2054,"66*")&gt;0,COUNTIF(J2054,"*66*")&gt;0,COUNTIF(I2054,"61*")&gt;0,COUNTIF(J2054,"*61*")&gt;0,COUNTIF(I2054,"62*")&gt;0,COUNTIF(J2054,"*62*")&gt;0,COUNTIF(I2054,"63*")&gt;0,COUNTIF(J2054,"*63*")&gt;0,COUNTIF(I2054,"85*")&gt;0,COUNTIF(J2054,"*85*")&gt;0,COUNTIF(I2054,"86*")&gt;0,COUNTIF(J2054,"*86*")&gt;0),"Да","Нет"))</f>
        <v/>
      </c>
      <c r="M2054" s="13">
        <f>IF(OR(G2054="",L2054&lt;&gt;"Да"),"",IF(G2054&lt;=100,"До 100",IF(G2054&lt;=200,"До 200",IF(G2054&lt;=500,"До 500","Отдельное КП"))))</f>
        <v/>
      </c>
      <c r="N2054" s="15">
        <f>IF(OR(G2054="",L2054&lt;&gt;"Да"),"",IF(G2054&lt;=100,33600,IF(G2054&lt;=200,62400,IF(G2054&lt;=500,144000,""))))</f>
        <v/>
      </c>
      <c r="O2054" s="16">
        <f>IF(G2054="","",IF(G2054&lt;=15,"1–15",IF(G2054&lt;=30,"16–30",IF(G2054&lt;=50,"31–50",IF(G2054&lt;=100,"51–100",IF(G2054&lt;=150,"101–150",IF(G2054&lt;=200,"151–200",IF(G2054&lt;=500,"201–500","500+"))))))))</f>
        <v/>
      </c>
      <c r="P2054" s="16" t="inlineStr">
        <is>
          <t>Нет совпадения в предоставленной выгрузке ССЧР</t>
        </is>
      </c>
      <c r="Q2054" s="16" t="n"/>
      <c r="R2054" s="16">
        <f>HYPERLINK("https://checko.ru/search?query=3801001629","Чекко: проверить")</f>
        <v/>
      </c>
      <c r="S2054" t="n">
        <v>0</v>
      </c>
    </row>
    <row r="2055" ht="27.75" customHeight="1" s="24">
      <c r="A2055" s="13" t="n">
        <v>5000094499</v>
      </c>
      <c r="B2055" s="13" t="inlineStr">
        <is>
          <t>Местная администрация с.п.Шордаково зольского муниципального района КБР</t>
        </is>
      </c>
      <c r="C2055" s="13" t="n">
        <v>702002898</v>
      </c>
      <c r="D2055" s="13" t="n"/>
      <c r="E2055" s="13" t="inlineStr">
        <is>
          <t>Не определён</t>
        </is>
      </c>
      <c r="F2055" s="13" t="inlineStr">
        <is>
          <t>702002898</t>
        </is>
      </c>
      <c r="G2055" s="14" t="n"/>
      <c r="H2055" s="14" t="n"/>
      <c r="I2055" s="14" t="n"/>
      <c r="J2055" s="14" t="n"/>
      <c r="K2055" s="13">
        <f>IF(G2055="","",IF(G2055&gt;=22,"Да","Нет"))</f>
        <v/>
      </c>
      <c r="L2055" s="13">
        <f>IF(OR(I2055="",J2055=""),"Не определено",IF(OR(COUNTIF(I2055,"45*")&gt;0,COUNTIF(J2055,"*45*")&gt;0,COUNTIF(I2055,"46*")&gt;0,COUNTIF(J2055,"*46*")&gt;0,COUNTIF(I2055,"47*")&gt;0,COUNTIF(J2055,"*47*")&gt;0,COUNTIF(I2055,"10*")&gt;0,COUNTIF(J2055,"*10*")&gt;0,COUNTIF(I2055,"11*")&gt;0,COUNTIF(J2055,"*11*")&gt;0,COUNTIF(I2055,"12*")&gt;0,COUNTIF(J2055,"*12*")&gt;0,COUNTIF(I2055,"13*")&gt;0,COUNTIF(J2055,"*13*")&gt;0,COUNTIF(I2055,"14*")&gt;0,COUNTIF(J2055,"*14*")&gt;0,COUNTIF(I2055,"15*")&gt;0,COUNTIF(J2055,"*15*")&gt;0,COUNTIF(I2055,"16*")&gt;0,COUNTIF(J2055,"*16*")&gt;0,COUNTIF(I2055,"17*")&gt;0,COUNTIF(J2055,"*17*")&gt;0,COUNTIF(I2055,"18*")&gt;0,COUNTIF(J2055,"*18*")&gt;0,COUNTIF(I2055,"19*")&gt;0,COUNTIF(J2055,"*19*")&gt;0,COUNTIF(I2055,"20*")&gt;0,COUNTIF(J2055,"*20*")&gt;0,COUNTIF(I2055,"21*")&gt;0,COUNTIF(J2055,"*21*")&gt;0,COUNTIF(I2055,"22*")&gt;0,COUNTIF(J2055,"*22*")&gt;0,COUNTIF(I2055,"23*")&gt;0,COUNTIF(J2055,"*23*")&gt;0,COUNTIF(I2055,"24*")&gt;0,COUNTIF(J2055,"*24*")&gt;0,COUNTIF(I2055,"25*")&gt;0,COUNTIF(J2055,"*25*")&gt;0,COUNTIF(I2055,"26*")&gt;0,COUNTIF(J2055,"*26*")&gt;0,COUNTIF(I2055,"27*")&gt;0,COUNTIF(J2055,"*27*")&gt;0,COUNTIF(I2055,"28*")&gt;0,COUNTIF(J2055,"*28*")&gt;0,COUNTIF(I2055,"29*")&gt;0,COUNTIF(J2055,"*29*")&gt;0,COUNTIF(I2055,"30*")&gt;0,COUNTIF(J2055,"*30*")&gt;0,COUNTIF(I2055,"31*")&gt;0,COUNTIF(J2055,"*31*")&gt;0,COUNTIF(I2055,"32*")&gt;0,COUNTIF(J2055,"*32*")&gt;0,COUNTIF(I2055,"33*")&gt;0,COUNTIF(J2055,"*33*")&gt;0,COUNTIF(I2055,"41*")&gt;0,COUNTIF(J2055,"*41*")&gt;0,COUNTIF(I2055,"42*")&gt;0,COUNTIF(J2055,"*42*")&gt;0,COUNTIF(I2055,"43*")&gt;0,COUNTIF(J2055,"*43*")&gt;0,COUNTIF(I2055,"49*")&gt;0,COUNTIF(J2055,"*49*")&gt;0,COUNTIF(I2055,"52*")&gt;0,COUNTIF(J2055,"*52*")&gt;0,COUNTIF(I2055,"55*")&gt;0,COUNTIF(J2055,"*55*")&gt;0,COUNTIF(I2055,"56*")&gt;0,COUNTIF(J2055,"*56*")&gt;0,COUNTIF(I2055,"68*")&gt;0,COUNTIF(J2055,"*68*")&gt;0,COUNTIF(I2055,"78*")&gt;0,COUNTIF(J2055,"*78*")&gt;0,COUNTIF(I2055,"81*")&gt;0,COUNTIF(J2055,"*81*")&gt;0,COUNTIF(I2055,"82*")&gt;0,COUNTIF(J2055,"*82*")&gt;0,COUNTIF(I2055,"64*")&gt;0,COUNTIF(J2055,"*64*")&gt;0,COUNTIF(I2055,"65*")&gt;0,COUNTIF(J2055,"*65*")&gt;0,COUNTIF(I2055,"66*")&gt;0,COUNTIF(J2055,"*66*")&gt;0,COUNTIF(I2055,"61*")&gt;0,COUNTIF(J2055,"*61*")&gt;0,COUNTIF(I2055,"62*")&gt;0,COUNTIF(J2055,"*62*")&gt;0,COUNTIF(I2055,"63*")&gt;0,COUNTIF(J2055,"*63*")&gt;0,COUNTIF(I2055,"85*")&gt;0,COUNTIF(J2055,"*85*")&gt;0,COUNTIF(I2055,"86*")&gt;0,COUNTIF(J2055,"*86*")&gt;0),"Да","Нет"))</f>
        <v/>
      </c>
      <c r="M2055" s="13">
        <f>IF(OR(G2055="",L2055&lt;&gt;"Да"),"",IF(G2055&lt;=100,"До 100",IF(G2055&lt;=200,"До 200",IF(G2055&lt;=500,"До 500","Отдельное КП"))))</f>
        <v/>
      </c>
      <c r="N2055" s="15">
        <f>IF(OR(G2055="",L2055&lt;&gt;"Да"),"",IF(G2055&lt;=100,33600,IF(G2055&lt;=200,62400,IF(G2055&lt;=500,144000,""))))</f>
        <v/>
      </c>
      <c r="O2055" s="16">
        <f>IF(G2055="","",IF(G2055&lt;=15,"1–15",IF(G2055&lt;=30,"16–30",IF(G2055&lt;=50,"31–50",IF(G2055&lt;=100,"51–100",IF(G2055&lt;=150,"101–150",IF(G2055&lt;=200,"151–200",IF(G2055&lt;=500,"201–500","500+"))))))))</f>
        <v/>
      </c>
      <c r="P2055" s="16" t="inlineStr">
        <is>
          <t>Нет совпадения в предоставленной выгрузке ССЧР</t>
        </is>
      </c>
      <c r="Q2055" s="16" t="n"/>
      <c r="R2055" s="16">
        <f>HYPERLINK("https://checko.ru/search?query=3801001629","Чекко: проверить")</f>
        <v/>
      </c>
      <c r="S2055" t="n">
        <v>0</v>
      </c>
    </row>
    <row r="2056" ht="27.75" customHeight="1" s="24">
      <c r="A2056" s="13" t="n">
        <v>5000094500</v>
      </c>
      <c r="B2056" s="13" t="inlineStr">
        <is>
          <t>Местная администрация с.п. Кичмалка Зольского муниципального района КБР</t>
        </is>
      </c>
      <c r="C2056" s="13" t="n">
        <v>702002930</v>
      </c>
      <c r="D2056" s="13" t="n"/>
      <c r="E2056" s="13" t="inlineStr">
        <is>
          <t>Не определён</t>
        </is>
      </c>
      <c r="F2056" s="13" t="inlineStr">
        <is>
          <t>702002930</t>
        </is>
      </c>
      <c r="G2056" s="14" t="n"/>
      <c r="H2056" s="14" t="n"/>
      <c r="I2056" s="14" t="n"/>
      <c r="J2056" s="14" t="n"/>
      <c r="K2056" s="13">
        <f>IF(G2056="","",IF(G2056&gt;=22,"Да","Нет"))</f>
        <v/>
      </c>
      <c r="L2056" s="13">
        <f>IF(OR(I2056="",J2056=""),"Не определено",IF(OR(COUNTIF(I2056,"45*")&gt;0,COUNTIF(J2056,"*45*")&gt;0,COUNTIF(I2056,"46*")&gt;0,COUNTIF(J2056,"*46*")&gt;0,COUNTIF(I2056,"47*")&gt;0,COUNTIF(J2056,"*47*")&gt;0,COUNTIF(I2056,"10*")&gt;0,COUNTIF(J2056,"*10*")&gt;0,COUNTIF(I2056,"11*")&gt;0,COUNTIF(J2056,"*11*")&gt;0,COUNTIF(I2056,"12*")&gt;0,COUNTIF(J2056,"*12*")&gt;0,COUNTIF(I2056,"13*")&gt;0,COUNTIF(J2056,"*13*")&gt;0,COUNTIF(I2056,"14*")&gt;0,COUNTIF(J2056,"*14*")&gt;0,COUNTIF(I2056,"15*")&gt;0,COUNTIF(J2056,"*15*")&gt;0,COUNTIF(I2056,"16*")&gt;0,COUNTIF(J2056,"*16*")&gt;0,COUNTIF(I2056,"17*")&gt;0,COUNTIF(J2056,"*17*")&gt;0,COUNTIF(I2056,"18*")&gt;0,COUNTIF(J2056,"*18*")&gt;0,COUNTIF(I2056,"19*")&gt;0,COUNTIF(J2056,"*19*")&gt;0,COUNTIF(I2056,"20*")&gt;0,COUNTIF(J2056,"*20*")&gt;0,COUNTIF(I2056,"21*")&gt;0,COUNTIF(J2056,"*21*")&gt;0,COUNTIF(I2056,"22*")&gt;0,COUNTIF(J2056,"*22*")&gt;0,COUNTIF(I2056,"23*")&gt;0,COUNTIF(J2056,"*23*")&gt;0,COUNTIF(I2056,"24*")&gt;0,COUNTIF(J2056,"*24*")&gt;0,COUNTIF(I2056,"25*")&gt;0,COUNTIF(J2056,"*25*")&gt;0,COUNTIF(I2056,"26*")&gt;0,COUNTIF(J2056,"*26*")&gt;0,COUNTIF(I2056,"27*")&gt;0,COUNTIF(J2056,"*27*")&gt;0,COUNTIF(I2056,"28*")&gt;0,COUNTIF(J2056,"*28*")&gt;0,COUNTIF(I2056,"29*")&gt;0,COUNTIF(J2056,"*29*")&gt;0,COUNTIF(I2056,"30*")&gt;0,COUNTIF(J2056,"*30*")&gt;0,COUNTIF(I2056,"31*")&gt;0,COUNTIF(J2056,"*31*")&gt;0,COUNTIF(I2056,"32*")&gt;0,COUNTIF(J2056,"*32*")&gt;0,COUNTIF(I2056,"33*")&gt;0,COUNTIF(J2056,"*33*")&gt;0,COUNTIF(I2056,"41*")&gt;0,COUNTIF(J2056,"*41*")&gt;0,COUNTIF(I2056,"42*")&gt;0,COUNTIF(J2056,"*42*")&gt;0,COUNTIF(I2056,"43*")&gt;0,COUNTIF(J2056,"*43*")&gt;0,COUNTIF(I2056,"49*")&gt;0,COUNTIF(J2056,"*49*")&gt;0,COUNTIF(I2056,"52*")&gt;0,COUNTIF(J2056,"*52*")&gt;0,COUNTIF(I2056,"55*")&gt;0,COUNTIF(J2056,"*55*")&gt;0,COUNTIF(I2056,"56*")&gt;0,COUNTIF(J2056,"*56*")&gt;0,COUNTIF(I2056,"68*")&gt;0,COUNTIF(J2056,"*68*")&gt;0,COUNTIF(I2056,"78*")&gt;0,COUNTIF(J2056,"*78*")&gt;0,COUNTIF(I2056,"81*")&gt;0,COUNTIF(J2056,"*81*")&gt;0,COUNTIF(I2056,"82*")&gt;0,COUNTIF(J2056,"*82*")&gt;0,COUNTIF(I2056,"64*")&gt;0,COUNTIF(J2056,"*64*")&gt;0,COUNTIF(I2056,"65*")&gt;0,COUNTIF(J2056,"*65*")&gt;0,COUNTIF(I2056,"66*")&gt;0,COUNTIF(J2056,"*66*")&gt;0,COUNTIF(I2056,"61*")&gt;0,COUNTIF(J2056,"*61*")&gt;0,COUNTIF(I2056,"62*")&gt;0,COUNTIF(J2056,"*62*")&gt;0,COUNTIF(I2056,"63*")&gt;0,COUNTIF(J2056,"*63*")&gt;0,COUNTIF(I2056,"85*")&gt;0,COUNTIF(J2056,"*85*")&gt;0,COUNTIF(I2056,"86*")&gt;0,COUNTIF(J2056,"*86*")&gt;0),"Да","Нет"))</f>
        <v/>
      </c>
      <c r="M2056" s="13">
        <f>IF(OR(G2056="",L2056&lt;&gt;"Да"),"",IF(G2056&lt;=100,"До 100",IF(G2056&lt;=200,"До 200",IF(G2056&lt;=500,"До 500","Отдельное КП"))))</f>
        <v/>
      </c>
      <c r="N2056" s="15">
        <f>IF(OR(G2056="",L2056&lt;&gt;"Да"),"",IF(G2056&lt;=100,33600,IF(G2056&lt;=200,62400,IF(G2056&lt;=500,144000,""))))</f>
        <v/>
      </c>
      <c r="O2056" s="16">
        <f>IF(G2056="","",IF(G2056&lt;=15,"1–15",IF(G2056&lt;=30,"16–30",IF(G2056&lt;=50,"31–50",IF(G2056&lt;=100,"51–100",IF(G2056&lt;=150,"101–150",IF(G2056&lt;=200,"151–200",IF(G2056&lt;=500,"201–500","500+"))))))))</f>
        <v/>
      </c>
      <c r="P2056" s="16" t="inlineStr">
        <is>
          <t>Нет совпадения в предоставленной выгрузке ССЧР</t>
        </is>
      </c>
      <c r="Q2056" s="16" t="n"/>
      <c r="R2056" s="16">
        <f>HYPERLINK("https://checko.ru/search?query=3801001629","Чекко: проверить")</f>
        <v/>
      </c>
      <c r="S2056" t="n">
        <v>0</v>
      </c>
    </row>
    <row r="2057" ht="27.75" customHeight="1" s="24">
      <c r="A2057" s="13" t="n">
        <v>5000094502</v>
      </c>
      <c r="B2057" s="13" t="inlineStr">
        <is>
          <t>МКУ "Управление муниципального имущества и земельных отношений"</t>
        </is>
      </c>
      <c r="C2057" s="13" t="n">
        <v>702003242</v>
      </c>
      <c r="D2057" s="13" t="n"/>
      <c r="E2057" s="13" t="inlineStr">
        <is>
          <t>Не определён</t>
        </is>
      </c>
      <c r="F2057" s="13" t="inlineStr">
        <is>
          <t>702003242</t>
        </is>
      </c>
      <c r="G2057" s="14" t="n"/>
      <c r="H2057" s="14" t="n"/>
      <c r="I2057" s="14" t="n"/>
      <c r="J2057" s="14" t="n"/>
      <c r="K2057" s="13">
        <f>IF(G2057="","",IF(G2057&gt;=22,"Да","Нет"))</f>
        <v/>
      </c>
      <c r="L2057" s="13">
        <f>IF(OR(I2057="",J2057=""),"Не определено",IF(OR(COUNTIF(I2057,"45*")&gt;0,COUNTIF(J2057,"*45*")&gt;0,COUNTIF(I2057,"46*")&gt;0,COUNTIF(J2057,"*46*")&gt;0,COUNTIF(I2057,"47*")&gt;0,COUNTIF(J2057,"*47*")&gt;0,COUNTIF(I2057,"10*")&gt;0,COUNTIF(J2057,"*10*")&gt;0,COUNTIF(I2057,"11*")&gt;0,COUNTIF(J2057,"*11*")&gt;0,COUNTIF(I2057,"12*")&gt;0,COUNTIF(J2057,"*12*")&gt;0,COUNTIF(I2057,"13*")&gt;0,COUNTIF(J2057,"*13*")&gt;0,COUNTIF(I2057,"14*")&gt;0,COUNTIF(J2057,"*14*")&gt;0,COUNTIF(I2057,"15*")&gt;0,COUNTIF(J2057,"*15*")&gt;0,COUNTIF(I2057,"16*")&gt;0,COUNTIF(J2057,"*16*")&gt;0,COUNTIF(I2057,"17*")&gt;0,COUNTIF(J2057,"*17*")&gt;0,COUNTIF(I2057,"18*")&gt;0,COUNTIF(J2057,"*18*")&gt;0,COUNTIF(I2057,"19*")&gt;0,COUNTIF(J2057,"*19*")&gt;0,COUNTIF(I2057,"20*")&gt;0,COUNTIF(J2057,"*20*")&gt;0,COUNTIF(I2057,"21*")&gt;0,COUNTIF(J2057,"*21*")&gt;0,COUNTIF(I2057,"22*")&gt;0,COUNTIF(J2057,"*22*")&gt;0,COUNTIF(I2057,"23*")&gt;0,COUNTIF(J2057,"*23*")&gt;0,COUNTIF(I2057,"24*")&gt;0,COUNTIF(J2057,"*24*")&gt;0,COUNTIF(I2057,"25*")&gt;0,COUNTIF(J2057,"*25*")&gt;0,COUNTIF(I2057,"26*")&gt;0,COUNTIF(J2057,"*26*")&gt;0,COUNTIF(I2057,"27*")&gt;0,COUNTIF(J2057,"*27*")&gt;0,COUNTIF(I2057,"28*")&gt;0,COUNTIF(J2057,"*28*")&gt;0,COUNTIF(I2057,"29*")&gt;0,COUNTIF(J2057,"*29*")&gt;0,COUNTIF(I2057,"30*")&gt;0,COUNTIF(J2057,"*30*")&gt;0,COUNTIF(I2057,"31*")&gt;0,COUNTIF(J2057,"*31*")&gt;0,COUNTIF(I2057,"32*")&gt;0,COUNTIF(J2057,"*32*")&gt;0,COUNTIF(I2057,"33*")&gt;0,COUNTIF(J2057,"*33*")&gt;0,COUNTIF(I2057,"41*")&gt;0,COUNTIF(J2057,"*41*")&gt;0,COUNTIF(I2057,"42*")&gt;0,COUNTIF(J2057,"*42*")&gt;0,COUNTIF(I2057,"43*")&gt;0,COUNTIF(J2057,"*43*")&gt;0,COUNTIF(I2057,"49*")&gt;0,COUNTIF(J2057,"*49*")&gt;0,COUNTIF(I2057,"52*")&gt;0,COUNTIF(J2057,"*52*")&gt;0,COUNTIF(I2057,"55*")&gt;0,COUNTIF(J2057,"*55*")&gt;0,COUNTIF(I2057,"56*")&gt;0,COUNTIF(J2057,"*56*")&gt;0,COUNTIF(I2057,"68*")&gt;0,COUNTIF(J2057,"*68*")&gt;0,COUNTIF(I2057,"78*")&gt;0,COUNTIF(J2057,"*78*")&gt;0,COUNTIF(I2057,"81*")&gt;0,COUNTIF(J2057,"*81*")&gt;0,COUNTIF(I2057,"82*")&gt;0,COUNTIF(J2057,"*82*")&gt;0,COUNTIF(I2057,"64*")&gt;0,COUNTIF(J2057,"*64*")&gt;0,COUNTIF(I2057,"65*")&gt;0,COUNTIF(J2057,"*65*")&gt;0,COUNTIF(I2057,"66*")&gt;0,COUNTIF(J2057,"*66*")&gt;0,COUNTIF(I2057,"61*")&gt;0,COUNTIF(J2057,"*61*")&gt;0,COUNTIF(I2057,"62*")&gt;0,COUNTIF(J2057,"*62*")&gt;0,COUNTIF(I2057,"63*")&gt;0,COUNTIF(J2057,"*63*")&gt;0,COUNTIF(I2057,"85*")&gt;0,COUNTIF(J2057,"*85*")&gt;0,COUNTIF(I2057,"86*")&gt;0,COUNTIF(J2057,"*86*")&gt;0),"Да","Нет"))</f>
        <v/>
      </c>
      <c r="M2057" s="13">
        <f>IF(OR(G2057="",L2057&lt;&gt;"Да"),"",IF(G2057&lt;=100,"До 100",IF(G2057&lt;=200,"До 200",IF(G2057&lt;=500,"До 500","Отдельное КП"))))</f>
        <v/>
      </c>
      <c r="N2057" s="15">
        <f>IF(OR(G2057="",L2057&lt;&gt;"Да"),"",IF(G2057&lt;=100,33600,IF(G2057&lt;=200,62400,IF(G2057&lt;=500,144000,""))))</f>
        <v/>
      </c>
      <c r="O2057" s="16">
        <f>IF(G2057="","",IF(G2057&lt;=15,"1–15",IF(G2057&lt;=30,"16–30",IF(G2057&lt;=50,"31–50",IF(G2057&lt;=100,"51–100",IF(G2057&lt;=150,"101–150",IF(G2057&lt;=200,"151–200",IF(G2057&lt;=500,"201–500","500+"))))))))</f>
        <v/>
      </c>
      <c r="P2057" s="16" t="inlineStr">
        <is>
          <t>Нет совпадения в предоставленной выгрузке ССЧР</t>
        </is>
      </c>
      <c r="Q2057" s="16" t="n"/>
      <c r="R2057" s="16">
        <f>HYPERLINK("https://checko.ru/search?query=3801001629","Чекко: проверить")</f>
        <v/>
      </c>
      <c r="S2057" t="n">
        <v>0</v>
      </c>
    </row>
    <row r="2058" ht="15" customHeight="1" s="24">
      <c r="A2058" s="13" t="n">
        <v>5000094503</v>
      </c>
      <c r="B2058" s="13" t="inlineStr">
        <is>
          <t>МКУ "ЦБС Зольского муниципального района КБР"</t>
        </is>
      </c>
      <c r="C2058" s="13" t="n">
        <v>702003919</v>
      </c>
      <c r="D2058" s="13" t="n"/>
      <c r="E2058" s="13" t="inlineStr">
        <is>
          <t>Не определён</t>
        </is>
      </c>
      <c r="F2058" s="13" t="inlineStr">
        <is>
          <t>702003919</t>
        </is>
      </c>
      <c r="G2058" s="14" t="n"/>
      <c r="H2058" s="14" t="n"/>
      <c r="I2058" s="14" t="n"/>
      <c r="J2058" s="14" t="n"/>
      <c r="K2058" s="13">
        <f>IF(G2058="","",IF(G2058&gt;=22,"Да","Нет"))</f>
        <v/>
      </c>
      <c r="L2058" s="13">
        <f>IF(OR(I2058="",J2058=""),"Не определено",IF(OR(COUNTIF(I2058,"45*")&gt;0,COUNTIF(J2058,"*45*")&gt;0,COUNTIF(I2058,"46*")&gt;0,COUNTIF(J2058,"*46*")&gt;0,COUNTIF(I2058,"47*")&gt;0,COUNTIF(J2058,"*47*")&gt;0,COUNTIF(I2058,"10*")&gt;0,COUNTIF(J2058,"*10*")&gt;0,COUNTIF(I2058,"11*")&gt;0,COUNTIF(J2058,"*11*")&gt;0,COUNTIF(I2058,"12*")&gt;0,COUNTIF(J2058,"*12*")&gt;0,COUNTIF(I2058,"13*")&gt;0,COUNTIF(J2058,"*13*")&gt;0,COUNTIF(I2058,"14*")&gt;0,COUNTIF(J2058,"*14*")&gt;0,COUNTIF(I2058,"15*")&gt;0,COUNTIF(J2058,"*15*")&gt;0,COUNTIF(I2058,"16*")&gt;0,COUNTIF(J2058,"*16*")&gt;0,COUNTIF(I2058,"17*")&gt;0,COUNTIF(J2058,"*17*")&gt;0,COUNTIF(I2058,"18*")&gt;0,COUNTIF(J2058,"*18*")&gt;0,COUNTIF(I2058,"19*")&gt;0,COUNTIF(J2058,"*19*")&gt;0,COUNTIF(I2058,"20*")&gt;0,COUNTIF(J2058,"*20*")&gt;0,COUNTIF(I2058,"21*")&gt;0,COUNTIF(J2058,"*21*")&gt;0,COUNTIF(I2058,"22*")&gt;0,COUNTIF(J2058,"*22*")&gt;0,COUNTIF(I2058,"23*")&gt;0,COUNTIF(J2058,"*23*")&gt;0,COUNTIF(I2058,"24*")&gt;0,COUNTIF(J2058,"*24*")&gt;0,COUNTIF(I2058,"25*")&gt;0,COUNTIF(J2058,"*25*")&gt;0,COUNTIF(I2058,"26*")&gt;0,COUNTIF(J2058,"*26*")&gt;0,COUNTIF(I2058,"27*")&gt;0,COUNTIF(J2058,"*27*")&gt;0,COUNTIF(I2058,"28*")&gt;0,COUNTIF(J2058,"*28*")&gt;0,COUNTIF(I2058,"29*")&gt;0,COUNTIF(J2058,"*29*")&gt;0,COUNTIF(I2058,"30*")&gt;0,COUNTIF(J2058,"*30*")&gt;0,COUNTIF(I2058,"31*")&gt;0,COUNTIF(J2058,"*31*")&gt;0,COUNTIF(I2058,"32*")&gt;0,COUNTIF(J2058,"*32*")&gt;0,COUNTIF(I2058,"33*")&gt;0,COUNTIF(J2058,"*33*")&gt;0,COUNTIF(I2058,"41*")&gt;0,COUNTIF(J2058,"*41*")&gt;0,COUNTIF(I2058,"42*")&gt;0,COUNTIF(J2058,"*42*")&gt;0,COUNTIF(I2058,"43*")&gt;0,COUNTIF(J2058,"*43*")&gt;0,COUNTIF(I2058,"49*")&gt;0,COUNTIF(J2058,"*49*")&gt;0,COUNTIF(I2058,"52*")&gt;0,COUNTIF(J2058,"*52*")&gt;0,COUNTIF(I2058,"55*")&gt;0,COUNTIF(J2058,"*55*")&gt;0,COUNTIF(I2058,"56*")&gt;0,COUNTIF(J2058,"*56*")&gt;0,COUNTIF(I2058,"68*")&gt;0,COUNTIF(J2058,"*68*")&gt;0,COUNTIF(I2058,"78*")&gt;0,COUNTIF(J2058,"*78*")&gt;0,COUNTIF(I2058,"81*")&gt;0,COUNTIF(J2058,"*81*")&gt;0,COUNTIF(I2058,"82*")&gt;0,COUNTIF(J2058,"*82*")&gt;0,COUNTIF(I2058,"64*")&gt;0,COUNTIF(J2058,"*64*")&gt;0,COUNTIF(I2058,"65*")&gt;0,COUNTIF(J2058,"*65*")&gt;0,COUNTIF(I2058,"66*")&gt;0,COUNTIF(J2058,"*66*")&gt;0,COUNTIF(I2058,"61*")&gt;0,COUNTIF(J2058,"*61*")&gt;0,COUNTIF(I2058,"62*")&gt;0,COUNTIF(J2058,"*62*")&gt;0,COUNTIF(I2058,"63*")&gt;0,COUNTIF(J2058,"*63*")&gt;0,COUNTIF(I2058,"85*")&gt;0,COUNTIF(J2058,"*85*")&gt;0,COUNTIF(I2058,"86*")&gt;0,COUNTIF(J2058,"*86*")&gt;0),"Да","Нет"))</f>
        <v/>
      </c>
      <c r="M2058" s="13">
        <f>IF(OR(G2058="",L2058&lt;&gt;"Да"),"",IF(G2058&lt;=100,"До 100",IF(G2058&lt;=200,"До 200",IF(G2058&lt;=500,"До 500","Отдельное КП"))))</f>
        <v/>
      </c>
      <c r="N2058" s="15">
        <f>IF(OR(G2058="",L2058&lt;&gt;"Да"),"",IF(G2058&lt;=100,33600,IF(G2058&lt;=200,62400,IF(G2058&lt;=500,144000,""))))</f>
        <v/>
      </c>
      <c r="O2058" s="16">
        <f>IF(G2058="","",IF(G2058&lt;=15,"1–15",IF(G2058&lt;=30,"16–30",IF(G2058&lt;=50,"31–50",IF(G2058&lt;=100,"51–100",IF(G2058&lt;=150,"101–150",IF(G2058&lt;=200,"151–200",IF(G2058&lt;=500,"201–500","500+"))))))))</f>
        <v/>
      </c>
      <c r="P2058" s="16" t="inlineStr">
        <is>
          <t>Нет совпадения в предоставленной выгрузке ССЧР</t>
        </is>
      </c>
      <c r="Q2058" s="16" t="n"/>
      <c r="R2058" s="16">
        <f>HYPERLINK("https://checko.ru/search?query=3801001629","Чекко: проверить")</f>
        <v/>
      </c>
      <c r="S2058" t="n">
        <v>0</v>
      </c>
    </row>
    <row r="2059" ht="15" customHeight="1" s="24">
      <c r="A2059" s="13" t="n">
        <v>5000094504</v>
      </c>
      <c r="B2059" s="13" t="inlineStr">
        <is>
          <t>МКУ"Управление финансами"</t>
        </is>
      </c>
      <c r="C2059" s="13" t="n">
        <v>702004038</v>
      </c>
      <c r="D2059" s="13" t="n"/>
      <c r="E2059" s="13" t="inlineStr">
        <is>
          <t>Не определён</t>
        </is>
      </c>
      <c r="F2059" s="13" t="inlineStr">
        <is>
          <t>702004038</t>
        </is>
      </c>
      <c r="G2059" s="14" t="n"/>
      <c r="H2059" s="14" t="n"/>
      <c r="I2059" s="14" t="n"/>
      <c r="J2059" s="14" t="n"/>
      <c r="K2059" s="13">
        <f>IF(G2059="","",IF(G2059&gt;=22,"Да","Нет"))</f>
        <v/>
      </c>
      <c r="L2059" s="13">
        <f>IF(OR(I2059="",J2059=""),"Не определено",IF(OR(COUNTIF(I2059,"45*")&gt;0,COUNTIF(J2059,"*45*")&gt;0,COUNTIF(I2059,"46*")&gt;0,COUNTIF(J2059,"*46*")&gt;0,COUNTIF(I2059,"47*")&gt;0,COUNTIF(J2059,"*47*")&gt;0,COUNTIF(I2059,"10*")&gt;0,COUNTIF(J2059,"*10*")&gt;0,COUNTIF(I2059,"11*")&gt;0,COUNTIF(J2059,"*11*")&gt;0,COUNTIF(I2059,"12*")&gt;0,COUNTIF(J2059,"*12*")&gt;0,COUNTIF(I2059,"13*")&gt;0,COUNTIF(J2059,"*13*")&gt;0,COUNTIF(I2059,"14*")&gt;0,COUNTIF(J2059,"*14*")&gt;0,COUNTIF(I2059,"15*")&gt;0,COUNTIF(J2059,"*15*")&gt;0,COUNTIF(I2059,"16*")&gt;0,COUNTIF(J2059,"*16*")&gt;0,COUNTIF(I2059,"17*")&gt;0,COUNTIF(J2059,"*17*")&gt;0,COUNTIF(I2059,"18*")&gt;0,COUNTIF(J2059,"*18*")&gt;0,COUNTIF(I2059,"19*")&gt;0,COUNTIF(J2059,"*19*")&gt;0,COUNTIF(I2059,"20*")&gt;0,COUNTIF(J2059,"*20*")&gt;0,COUNTIF(I2059,"21*")&gt;0,COUNTIF(J2059,"*21*")&gt;0,COUNTIF(I2059,"22*")&gt;0,COUNTIF(J2059,"*22*")&gt;0,COUNTIF(I2059,"23*")&gt;0,COUNTIF(J2059,"*23*")&gt;0,COUNTIF(I2059,"24*")&gt;0,COUNTIF(J2059,"*24*")&gt;0,COUNTIF(I2059,"25*")&gt;0,COUNTIF(J2059,"*25*")&gt;0,COUNTIF(I2059,"26*")&gt;0,COUNTIF(J2059,"*26*")&gt;0,COUNTIF(I2059,"27*")&gt;0,COUNTIF(J2059,"*27*")&gt;0,COUNTIF(I2059,"28*")&gt;0,COUNTIF(J2059,"*28*")&gt;0,COUNTIF(I2059,"29*")&gt;0,COUNTIF(J2059,"*29*")&gt;0,COUNTIF(I2059,"30*")&gt;0,COUNTIF(J2059,"*30*")&gt;0,COUNTIF(I2059,"31*")&gt;0,COUNTIF(J2059,"*31*")&gt;0,COUNTIF(I2059,"32*")&gt;0,COUNTIF(J2059,"*32*")&gt;0,COUNTIF(I2059,"33*")&gt;0,COUNTIF(J2059,"*33*")&gt;0,COUNTIF(I2059,"41*")&gt;0,COUNTIF(J2059,"*41*")&gt;0,COUNTIF(I2059,"42*")&gt;0,COUNTIF(J2059,"*42*")&gt;0,COUNTIF(I2059,"43*")&gt;0,COUNTIF(J2059,"*43*")&gt;0,COUNTIF(I2059,"49*")&gt;0,COUNTIF(J2059,"*49*")&gt;0,COUNTIF(I2059,"52*")&gt;0,COUNTIF(J2059,"*52*")&gt;0,COUNTIF(I2059,"55*")&gt;0,COUNTIF(J2059,"*55*")&gt;0,COUNTIF(I2059,"56*")&gt;0,COUNTIF(J2059,"*56*")&gt;0,COUNTIF(I2059,"68*")&gt;0,COUNTIF(J2059,"*68*")&gt;0,COUNTIF(I2059,"78*")&gt;0,COUNTIF(J2059,"*78*")&gt;0,COUNTIF(I2059,"81*")&gt;0,COUNTIF(J2059,"*81*")&gt;0,COUNTIF(I2059,"82*")&gt;0,COUNTIF(J2059,"*82*")&gt;0,COUNTIF(I2059,"64*")&gt;0,COUNTIF(J2059,"*64*")&gt;0,COUNTIF(I2059,"65*")&gt;0,COUNTIF(J2059,"*65*")&gt;0,COUNTIF(I2059,"66*")&gt;0,COUNTIF(J2059,"*66*")&gt;0,COUNTIF(I2059,"61*")&gt;0,COUNTIF(J2059,"*61*")&gt;0,COUNTIF(I2059,"62*")&gt;0,COUNTIF(J2059,"*62*")&gt;0,COUNTIF(I2059,"63*")&gt;0,COUNTIF(J2059,"*63*")&gt;0,COUNTIF(I2059,"85*")&gt;0,COUNTIF(J2059,"*85*")&gt;0,COUNTIF(I2059,"86*")&gt;0,COUNTIF(J2059,"*86*")&gt;0),"Да","Нет"))</f>
        <v/>
      </c>
      <c r="M2059" s="13">
        <f>IF(OR(G2059="",L2059&lt;&gt;"Да"),"",IF(G2059&lt;=100,"До 100",IF(G2059&lt;=200,"До 200",IF(G2059&lt;=500,"До 500","Отдельное КП"))))</f>
        <v/>
      </c>
      <c r="N2059" s="15">
        <f>IF(OR(G2059="",L2059&lt;&gt;"Да"),"",IF(G2059&lt;=100,33600,IF(G2059&lt;=200,62400,IF(G2059&lt;=500,144000,""))))</f>
        <v/>
      </c>
      <c r="O2059" s="16">
        <f>IF(G2059="","",IF(G2059&lt;=15,"1–15",IF(G2059&lt;=30,"16–30",IF(G2059&lt;=50,"31–50",IF(G2059&lt;=100,"51–100",IF(G2059&lt;=150,"101–150",IF(G2059&lt;=200,"151–200",IF(G2059&lt;=500,"201–500","500+"))))))))</f>
        <v/>
      </c>
      <c r="P2059" s="16" t="inlineStr">
        <is>
          <t>Нет совпадения в предоставленной выгрузке ССЧР</t>
        </is>
      </c>
      <c r="Q2059" s="16" t="n"/>
      <c r="R2059" s="16">
        <f>HYPERLINK("https://checko.ru/search?query=3801001629","Чекко: проверить")</f>
        <v/>
      </c>
      <c r="S2059" t="n">
        <v>0</v>
      </c>
    </row>
    <row r="2060" ht="15" customHeight="1" s="24">
      <c r="A2060" s="13" t="n">
        <v>5000094505</v>
      </c>
      <c r="B2060" s="13" t="inlineStr">
        <is>
          <t>Местная администрация с.п. Зольское</t>
        </is>
      </c>
      <c r="C2060" s="13" t="n">
        <v>702004045</v>
      </c>
      <c r="D2060" s="13" t="n"/>
      <c r="E2060" s="13" t="inlineStr">
        <is>
          <t>Не определён</t>
        </is>
      </c>
      <c r="F2060" s="13" t="inlineStr">
        <is>
          <t>702004045</t>
        </is>
      </c>
      <c r="G2060" s="14" t="n"/>
      <c r="H2060" s="14" t="n"/>
      <c r="I2060" s="14" t="n"/>
      <c r="J2060" s="14" t="n"/>
      <c r="K2060" s="13">
        <f>IF(G2060="","",IF(G2060&gt;=22,"Да","Нет"))</f>
        <v/>
      </c>
      <c r="L2060" s="13">
        <f>IF(OR(I2060="",J2060=""),"Не определено",IF(OR(COUNTIF(I2060,"45*")&gt;0,COUNTIF(J2060,"*45*")&gt;0,COUNTIF(I2060,"46*")&gt;0,COUNTIF(J2060,"*46*")&gt;0,COUNTIF(I2060,"47*")&gt;0,COUNTIF(J2060,"*47*")&gt;0,COUNTIF(I2060,"10*")&gt;0,COUNTIF(J2060,"*10*")&gt;0,COUNTIF(I2060,"11*")&gt;0,COUNTIF(J2060,"*11*")&gt;0,COUNTIF(I2060,"12*")&gt;0,COUNTIF(J2060,"*12*")&gt;0,COUNTIF(I2060,"13*")&gt;0,COUNTIF(J2060,"*13*")&gt;0,COUNTIF(I2060,"14*")&gt;0,COUNTIF(J2060,"*14*")&gt;0,COUNTIF(I2060,"15*")&gt;0,COUNTIF(J2060,"*15*")&gt;0,COUNTIF(I2060,"16*")&gt;0,COUNTIF(J2060,"*16*")&gt;0,COUNTIF(I2060,"17*")&gt;0,COUNTIF(J2060,"*17*")&gt;0,COUNTIF(I2060,"18*")&gt;0,COUNTIF(J2060,"*18*")&gt;0,COUNTIF(I2060,"19*")&gt;0,COUNTIF(J2060,"*19*")&gt;0,COUNTIF(I2060,"20*")&gt;0,COUNTIF(J2060,"*20*")&gt;0,COUNTIF(I2060,"21*")&gt;0,COUNTIF(J2060,"*21*")&gt;0,COUNTIF(I2060,"22*")&gt;0,COUNTIF(J2060,"*22*")&gt;0,COUNTIF(I2060,"23*")&gt;0,COUNTIF(J2060,"*23*")&gt;0,COUNTIF(I2060,"24*")&gt;0,COUNTIF(J2060,"*24*")&gt;0,COUNTIF(I2060,"25*")&gt;0,COUNTIF(J2060,"*25*")&gt;0,COUNTIF(I2060,"26*")&gt;0,COUNTIF(J2060,"*26*")&gt;0,COUNTIF(I2060,"27*")&gt;0,COUNTIF(J2060,"*27*")&gt;0,COUNTIF(I2060,"28*")&gt;0,COUNTIF(J2060,"*28*")&gt;0,COUNTIF(I2060,"29*")&gt;0,COUNTIF(J2060,"*29*")&gt;0,COUNTIF(I2060,"30*")&gt;0,COUNTIF(J2060,"*30*")&gt;0,COUNTIF(I2060,"31*")&gt;0,COUNTIF(J2060,"*31*")&gt;0,COUNTIF(I2060,"32*")&gt;0,COUNTIF(J2060,"*32*")&gt;0,COUNTIF(I2060,"33*")&gt;0,COUNTIF(J2060,"*33*")&gt;0,COUNTIF(I2060,"41*")&gt;0,COUNTIF(J2060,"*41*")&gt;0,COUNTIF(I2060,"42*")&gt;0,COUNTIF(J2060,"*42*")&gt;0,COUNTIF(I2060,"43*")&gt;0,COUNTIF(J2060,"*43*")&gt;0,COUNTIF(I2060,"49*")&gt;0,COUNTIF(J2060,"*49*")&gt;0,COUNTIF(I2060,"52*")&gt;0,COUNTIF(J2060,"*52*")&gt;0,COUNTIF(I2060,"55*")&gt;0,COUNTIF(J2060,"*55*")&gt;0,COUNTIF(I2060,"56*")&gt;0,COUNTIF(J2060,"*56*")&gt;0,COUNTIF(I2060,"68*")&gt;0,COUNTIF(J2060,"*68*")&gt;0,COUNTIF(I2060,"78*")&gt;0,COUNTIF(J2060,"*78*")&gt;0,COUNTIF(I2060,"81*")&gt;0,COUNTIF(J2060,"*81*")&gt;0,COUNTIF(I2060,"82*")&gt;0,COUNTIF(J2060,"*82*")&gt;0,COUNTIF(I2060,"64*")&gt;0,COUNTIF(J2060,"*64*")&gt;0,COUNTIF(I2060,"65*")&gt;0,COUNTIF(J2060,"*65*")&gt;0,COUNTIF(I2060,"66*")&gt;0,COUNTIF(J2060,"*66*")&gt;0,COUNTIF(I2060,"61*")&gt;0,COUNTIF(J2060,"*61*")&gt;0,COUNTIF(I2060,"62*")&gt;0,COUNTIF(J2060,"*62*")&gt;0,COUNTIF(I2060,"63*")&gt;0,COUNTIF(J2060,"*63*")&gt;0,COUNTIF(I2060,"85*")&gt;0,COUNTIF(J2060,"*85*")&gt;0,COUNTIF(I2060,"86*")&gt;0,COUNTIF(J2060,"*86*")&gt;0),"Да","Нет"))</f>
        <v/>
      </c>
      <c r="M2060" s="13">
        <f>IF(OR(G2060="",L2060&lt;&gt;"Да"),"",IF(G2060&lt;=100,"До 100",IF(G2060&lt;=200,"До 200",IF(G2060&lt;=500,"До 500","Отдельное КП"))))</f>
        <v/>
      </c>
      <c r="N2060" s="15">
        <f>IF(OR(G2060="",L2060&lt;&gt;"Да"),"",IF(G2060&lt;=100,33600,IF(G2060&lt;=200,62400,IF(G2060&lt;=500,144000,""))))</f>
        <v/>
      </c>
      <c r="O2060" s="16">
        <f>IF(G2060="","",IF(G2060&lt;=15,"1–15",IF(G2060&lt;=30,"16–30",IF(G2060&lt;=50,"31–50",IF(G2060&lt;=100,"51–100",IF(G2060&lt;=150,"101–150",IF(G2060&lt;=200,"151–200",IF(G2060&lt;=500,"201–500","500+"))))))))</f>
        <v/>
      </c>
      <c r="P2060" s="16" t="inlineStr">
        <is>
          <t>Нет совпадения в предоставленной выгрузке ССЧР</t>
        </is>
      </c>
      <c r="Q2060" s="16" t="n"/>
      <c r="R2060" s="16">
        <f>HYPERLINK("https://checko.ru/search?query=3801001629","Чекко: проверить")</f>
        <v/>
      </c>
      <c r="S2060" t="n">
        <v>0</v>
      </c>
    </row>
    <row r="2061" ht="27.75" customHeight="1" s="24">
      <c r="A2061" s="13" t="n">
        <v>5000094506</v>
      </c>
      <c r="B2061" s="13" t="inlineStr">
        <is>
          <t>Местная администрация с.п.Этоко Зольского муниципального района КБР</t>
        </is>
      </c>
      <c r="C2061" s="13" t="n">
        <v>702004060</v>
      </c>
      <c r="D2061" s="13" t="n"/>
      <c r="E2061" s="13" t="inlineStr">
        <is>
          <t>Не определён</t>
        </is>
      </c>
      <c r="F2061" s="13" t="inlineStr">
        <is>
          <t>702004060</t>
        </is>
      </c>
      <c r="G2061" s="14" t="n"/>
      <c r="H2061" s="14" t="n"/>
      <c r="I2061" s="14" t="n"/>
      <c r="J2061" s="14" t="n"/>
      <c r="K2061" s="13">
        <f>IF(G2061="","",IF(G2061&gt;=22,"Да","Нет"))</f>
        <v/>
      </c>
      <c r="L2061" s="13">
        <f>IF(OR(I2061="",J2061=""),"Не определено",IF(OR(COUNTIF(I2061,"45*")&gt;0,COUNTIF(J2061,"*45*")&gt;0,COUNTIF(I2061,"46*")&gt;0,COUNTIF(J2061,"*46*")&gt;0,COUNTIF(I2061,"47*")&gt;0,COUNTIF(J2061,"*47*")&gt;0,COUNTIF(I2061,"10*")&gt;0,COUNTIF(J2061,"*10*")&gt;0,COUNTIF(I2061,"11*")&gt;0,COUNTIF(J2061,"*11*")&gt;0,COUNTIF(I2061,"12*")&gt;0,COUNTIF(J2061,"*12*")&gt;0,COUNTIF(I2061,"13*")&gt;0,COUNTIF(J2061,"*13*")&gt;0,COUNTIF(I2061,"14*")&gt;0,COUNTIF(J2061,"*14*")&gt;0,COUNTIF(I2061,"15*")&gt;0,COUNTIF(J2061,"*15*")&gt;0,COUNTIF(I2061,"16*")&gt;0,COUNTIF(J2061,"*16*")&gt;0,COUNTIF(I2061,"17*")&gt;0,COUNTIF(J2061,"*17*")&gt;0,COUNTIF(I2061,"18*")&gt;0,COUNTIF(J2061,"*18*")&gt;0,COUNTIF(I2061,"19*")&gt;0,COUNTIF(J2061,"*19*")&gt;0,COUNTIF(I2061,"20*")&gt;0,COUNTIF(J2061,"*20*")&gt;0,COUNTIF(I2061,"21*")&gt;0,COUNTIF(J2061,"*21*")&gt;0,COUNTIF(I2061,"22*")&gt;0,COUNTIF(J2061,"*22*")&gt;0,COUNTIF(I2061,"23*")&gt;0,COUNTIF(J2061,"*23*")&gt;0,COUNTIF(I2061,"24*")&gt;0,COUNTIF(J2061,"*24*")&gt;0,COUNTIF(I2061,"25*")&gt;0,COUNTIF(J2061,"*25*")&gt;0,COUNTIF(I2061,"26*")&gt;0,COUNTIF(J2061,"*26*")&gt;0,COUNTIF(I2061,"27*")&gt;0,COUNTIF(J2061,"*27*")&gt;0,COUNTIF(I2061,"28*")&gt;0,COUNTIF(J2061,"*28*")&gt;0,COUNTIF(I2061,"29*")&gt;0,COUNTIF(J2061,"*29*")&gt;0,COUNTIF(I2061,"30*")&gt;0,COUNTIF(J2061,"*30*")&gt;0,COUNTIF(I2061,"31*")&gt;0,COUNTIF(J2061,"*31*")&gt;0,COUNTIF(I2061,"32*")&gt;0,COUNTIF(J2061,"*32*")&gt;0,COUNTIF(I2061,"33*")&gt;0,COUNTIF(J2061,"*33*")&gt;0,COUNTIF(I2061,"41*")&gt;0,COUNTIF(J2061,"*41*")&gt;0,COUNTIF(I2061,"42*")&gt;0,COUNTIF(J2061,"*42*")&gt;0,COUNTIF(I2061,"43*")&gt;0,COUNTIF(J2061,"*43*")&gt;0,COUNTIF(I2061,"49*")&gt;0,COUNTIF(J2061,"*49*")&gt;0,COUNTIF(I2061,"52*")&gt;0,COUNTIF(J2061,"*52*")&gt;0,COUNTIF(I2061,"55*")&gt;0,COUNTIF(J2061,"*55*")&gt;0,COUNTIF(I2061,"56*")&gt;0,COUNTIF(J2061,"*56*")&gt;0,COUNTIF(I2061,"68*")&gt;0,COUNTIF(J2061,"*68*")&gt;0,COUNTIF(I2061,"78*")&gt;0,COUNTIF(J2061,"*78*")&gt;0,COUNTIF(I2061,"81*")&gt;0,COUNTIF(J2061,"*81*")&gt;0,COUNTIF(I2061,"82*")&gt;0,COUNTIF(J2061,"*82*")&gt;0,COUNTIF(I2061,"64*")&gt;0,COUNTIF(J2061,"*64*")&gt;0,COUNTIF(I2061,"65*")&gt;0,COUNTIF(J2061,"*65*")&gt;0,COUNTIF(I2061,"66*")&gt;0,COUNTIF(J2061,"*66*")&gt;0,COUNTIF(I2061,"61*")&gt;0,COUNTIF(J2061,"*61*")&gt;0,COUNTIF(I2061,"62*")&gt;0,COUNTIF(J2061,"*62*")&gt;0,COUNTIF(I2061,"63*")&gt;0,COUNTIF(J2061,"*63*")&gt;0,COUNTIF(I2061,"85*")&gt;0,COUNTIF(J2061,"*85*")&gt;0,COUNTIF(I2061,"86*")&gt;0,COUNTIF(J2061,"*86*")&gt;0),"Да","Нет"))</f>
        <v/>
      </c>
      <c r="M2061" s="13">
        <f>IF(OR(G2061="",L2061&lt;&gt;"Да"),"",IF(G2061&lt;=100,"До 100",IF(G2061&lt;=200,"До 200",IF(G2061&lt;=500,"До 500","Отдельное КП"))))</f>
        <v/>
      </c>
      <c r="N2061" s="15">
        <f>IF(OR(G2061="",L2061&lt;&gt;"Да"),"",IF(G2061&lt;=100,33600,IF(G2061&lt;=200,62400,IF(G2061&lt;=500,144000,""))))</f>
        <v/>
      </c>
      <c r="O2061" s="16">
        <f>IF(G2061="","",IF(G2061&lt;=15,"1–15",IF(G2061&lt;=30,"16–30",IF(G2061&lt;=50,"31–50",IF(G2061&lt;=100,"51–100",IF(G2061&lt;=150,"101–150",IF(G2061&lt;=200,"151–200",IF(G2061&lt;=500,"201–500","500+"))))))))</f>
        <v/>
      </c>
      <c r="P2061" s="16" t="inlineStr">
        <is>
          <t>Нет совпадения в предоставленной выгрузке ССЧР</t>
        </is>
      </c>
      <c r="Q2061" s="16" t="n"/>
      <c r="R2061" s="16">
        <f>HYPERLINK("https://checko.ru/search?query=3801001629","Чекко: проверить")</f>
        <v/>
      </c>
      <c r="S2061" t="n">
        <v>0</v>
      </c>
    </row>
    <row r="2062" ht="15" customHeight="1" s="24">
      <c r="A2062" s="13" t="n">
        <v>5000094507</v>
      </c>
      <c r="B2062" s="13" t="inlineStr">
        <is>
          <t>МКОУ " СОШ №1" г.п.Залукокоаже</t>
        </is>
      </c>
      <c r="C2062" s="13" t="n">
        <v>702006821</v>
      </c>
      <c r="D2062" s="13" t="n"/>
      <c r="E2062" s="13" t="inlineStr">
        <is>
          <t>Не определён</t>
        </is>
      </c>
      <c r="F2062" s="13" t="inlineStr">
        <is>
          <t>702006821</t>
        </is>
      </c>
      <c r="G2062" s="14" t="n"/>
      <c r="H2062" s="14" t="n"/>
      <c r="I2062" s="14" t="n"/>
      <c r="J2062" s="14" t="n"/>
      <c r="K2062" s="13">
        <f>IF(G2062="","",IF(G2062&gt;=22,"Да","Нет"))</f>
        <v/>
      </c>
      <c r="L2062" s="13">
        <f>IF(OR(I2062="",J2062=""),"Не определено",IF(OR(COUNTIF(I2062,"45*")&gt;0,COUNTIF(J2062,"*45*")&gt;0,COUNTIF(I2062,"46*")&gt;0,COUNTIF(J2062,"*46*")&gt;0,COUNTIF(I2062,"47*")&gt;0,COUNTIF(J2062,"*47*")&gt;0,COUNTIF(I2062,"10*")&gt;0,COUNTIF(J2062,"*10*")&gt;0,COUNTIF(I2062,"11*")&gt;0,COUNTIF(J2062,"*11*")&gt;0,COUNTIF(I2062,"12*")&gt;0,COUNTIF(J2062,"*12*")&gt;0,COUNTIF(I2062,"13*")&gt;0,COUNTIF(J2062,"*13*")&gt;0,COUNTIF(I2062,"14*")&gt;0,COUNTIF(J2062,"*14*")&gt;0,COUNTIF(I2062,"15*")&gt;0,COUNTIF(J2062,"*15*")&gt;0,COUNTIF(I2062,"16*")&gt;0,COUNTIF(J2062,"*16*")&gt;0,COUNTIF(I2062,"17*")&gt;0,COUNTIF(J2062,"*17*")&gt;0,COUNTIF(I2062,"18*")&gt;0,COUNTIF(J2062,"*18*")&gt;0,COUNTIF(I2062,"19*")&gt;0,COUNTIF(J2062,"*19*")&gt;0,COUNTIF(I2062,"20*")&gt;0,COUNTIF(J2062,"*20*")&gt;0,COUNTIF(I2062,"21*")&gt;0,COUNTIF(J2062,"*21*")&gt;0,COUNTIF(I2062,"22*")&gt;0,COUNTIF(J2062,"*22*")&gt;0,COUNTIF(I2062,"23*")&gt;0,COUNTIF(J2062,"*23*")&gt;0,COUNTIF(I2062,"24*")&gt;0,COUNTIF(J2062,"*24*")&gt;0,COUNTIF(I2062,"25*")&gt;0,COUNTIF(J2062,"*25*")&gt;0,COUNTIF(I2062,"26*")&gt;0,COUNTIF(J2062,"*26*")&gt;0,COUNTIF(I2062,"27*")&gt;0,COUNTIF(J2062,"*27*")&gt;0,COUNTIF(I2062,"28*")&gt;0,COUNTIF(J2062,"*28*")&gt;0,COUNTIF(I2062,"29*")&gt;0,COUNTIF(J2062,"*29*")&gt;0,COUNTIF(I2062,"30*")&gt;0,COUNTIF(J2062,"*30*")&gt;0,COUNTIF(I2062,"31*")&gt;0,COUNTIF(J2062,"*31*")&gt;0,COUNTIF(I2062,"32*")&gt;0,COUNTIF(J2062,"*32*")&gt;0,COUNTIF(I2062,"33*")&gt;0,COUNTIF(J2062,"*33*")&gt;0,COUNTIF(I2062,"41*")&gt;0,COUNTIF(J2062,"*41*")&gt;0,COUNTIF(I2062,"42*")&gt;0,COUNTIF(J2062,"*42*")&gt;0,COUNTIF(I2062,"43*")&gt;0,COUNTIF(J2062,"*43*")&gt;0,COUNTIF(I2062,"49*")&gt;0,COUNTIF(J2062,"*49*")&gt;0,COUNTIF(I2062,"52*")&gt;0,COUNTIF(J2062,"*52*")&gt;0,COUNTIF(I2062,"55*")&gt;0,COUNTIF(J2062,"*55*")&gt;0,COUNTIF(I2062,"56*")&gt;0,COUNTIF(J2062,"*56*")&gt;0,COUNTIF(I2062,"68*")&gt;0,COUNTIF(J2062,"*68*")&gt;0,COUNTIF(I2062,"78*")&gt;0,COUNTIF(J2062,"*78*")&gt;0,COUNTIF(I2062,"81*")&gt;0,COUNTIF(J2062,"*81*")&gt;0,COUNTIF(I2062,"82*")&gt;0,COUNTIF(J2062,"*82*")&gt;0,COUNTIF(I2062,"64*")&gt;0,COUNTIF(J2062,"*64*")&gt;0,COUNTIF(I2062,"65*")&gt;0,COUNTIF(J2062,"*65*")&gt;0,COUNTIF(I2062,"66*")&gt;0,COUNTIF(J2062,"*66*")&gt;0,COUNTIF(I2062,"61*")&gt;0,COUNTIF(J2062,"*61*")&gt;0,COUNTIF(I2062,"62*")&gt;0,COUNTIF(J2062,"*62*")&gt;0,COUNTIF(I2062,"63*")&gt;0,COUNTIF(J2062,"*63*")&gt;0,COUNTIF(I2062,"85*")&gt;0,COUNTIF(J2062,"*85*")&gt;0,COUNTIF(I2062,"86*")&gt;0,COUNTIF(J2062,"*86*")&gt;0),"Да","Нет"))</f>
        <v/>
      </c>
      <c r="M2062" s="13">
        <f>IF(OR(G2062="",L2062&lt;&gt;"Да"),"",IF(G2062&lt;=100,"До 100",IF(G2062&lt;=200,"До 200",IF(G2062&lt;=500,"До 500","Отдельное КП"))))</f>
        <v/>
      </c>
      <c r="N2062" s="15">
        <f>IF(OR(G2062="",L2062&lt;&gt;"Да"),"",IF(G2062&lt;=100,33600,IF(G2062&lt;=200,62400,IF(G2062&lt;=500,144000,""))))</f>
        <v/>
      </c>
      <c r="O2062" s="16">
        <f>IF(G2062="","",IF(G2062&lt;=15,"1–15",IF(G2062&lt;=30,"16–30",IF(G2062&lt;=50,"31–50",IF(G2062&lt;=100,"51–100",IF(G2062&lt;=150,"101–150",IF(G2062&lt;=200,"151–200",IF(G2062&lt;=500,"201–500","500+"))))))))</f>
        <v/>
      </c>
      <c r="P2062" s="16" t="inlineStr">
        <is>
          <t>Нет совпадения в предоставленной выгрузке ССЧР</t>
        </is>
      </c>
      <c r="Q2062" s="16" t="n"/>
      <c r="R2062" s="16">
        <f>HYPERLINK("https://checko.ru/search?query=3801001629","Чекко: проверить")</f>
        <v/>
      </c>
      <c r="S2062" t="n">
        <v>0</v>
      </c>
    </row>
    <row r="2063" ht="15" customHeight="1" s="24">
      <c r="A2063" s="13" t="n">
        <v>5000094508</v>
      </c>
      <c r="B2063" s="13" t="inlineStr">
        <is>
          <t>МКОУ "СОШ" с.п.Шордаково</t>
        </is>
      </c>
      <c r="C2063" s="13" t="n">
        <v>702006860</v>
      </c>
      <c r="D2063" s="13" t="n"/>
      <c r="E2063" s="13" t="inlineStr">
        <is>
          <t>Не определён</t>
        </is>
      </c>
      <c r="F2063" s="13" t="inlineStr">
        <is>
          <t>702006860</t>
        </is>
      </c>
      <c r="G2063" s="14" t="n"/>
      <c r="H2063" s="14" t="n"/>
      <c r="I2063" s="14" t="n"/>
      <c r="J2063" s="14" t="n"/>
      <c r="K2063" s="13">
        <f>IF(G2063="","",IF(G2063&gt;=22,"Да","Нет"))</f>
        <v/>
      </c>
      <c r="L2063" s="13">
        <f>IF(OR(I2063="",J2063=""),"Не определено",IF(OR(COUNTIF(I2063,"45*")&gt;0,COUNTIF(J2063,"*45*")&gt;0,COUNTIF(I2063,"46*")&gt;0,COUNTIF(J2063,"*46*")&gt;0,COUNTIF(I2063,"47*")&gt;0,COUNTIF(J2063,"*47*")&gt;0,COUNTIF(I2063,"10*")&gt;0,COUNTIF(J2063,"*10*")&gt;0,COUNTIF(I2063,"11*")&gt;0,COUNTIF(J2063,"*11*")&gt;0,COUNTIF(I2063,"12*")&gt;0,COUNTIF(J2063,"*12*")&gt;0,COUNTIF(I2063,"13*")&gt;0,COUNTIF(J2063,"*13*")&gt;0,COUNTIF(I2063,"14*")&gt;0,COUNTIF(J2063,"*14*")&gt;0,COUNTIF(I2063,"15*")&gt;0,COUNTIF(J2063,"*15*")&gt;0,COUNTIF(I2063,"16*")&gt;0,COUNTIF(J2063,"*16*")&gt;0,COUNTIF(I2063,"17*")&gt;0,COUNTIF(J2063,"*17*")&gt;0,COUNTIF(I2063,"18*")&gt;0,COUNTIF(J2063,"*18*")&gt;0,COUNTIF(I2063,"19*")&gt;0,COUNTIF(J2063,"*19*")&gt;0,COUNTIF(I2063,"20*")&gt;0,COUNTIF(J2063,"*20*")&gt;0,COUNTIF(I2063,"21*")&gt;0,COUNTIF(J2063,"*21*")&gt;0,COUNTIF(I2063,"22*")&gt;0,COUNTIF(J2063,"*22*")&gt;0,COUNTIF(I2063,"23*")&gt;0,COUNTIF(J2063,"*23*")&gt;0,COUNTIF(I2063,"24*")&gt;0,COUNTIF(J2063,"*24*")&gt;0,COUNTIF(I2063,"25*")&gt;0,COUNTIF(J2063,"*25*")&gt;0,COUNTIF(I2063,"26*")&gt;0,COUNTIF(J2063,"*26*")&gt;0,COUNTIF(I2063,"27*")&gt;0,COUNTIF(J2063,"*27*")&gt;0,COUNTIF(I2063,"28*")&gt;0,COUNTIF(J2063,"*28*")&gt;0,COUNTIF(I2063,"29*")&gt;0,COUNTIF(J2063,"*29*")&gt;0,COUNTIF(I2063,"30*")&gt;0,COUNTIF(J2063,"*30*")&gt;0,COUNTIF(I2063,"31*")&gt;0,COUNTIF(J2063,"*31*")&gt;0,COUNTIF(I2063,"32*")&gt;0,COUNTIF(J2063,"*32*")&gt;0,COUNTIF(I2063,"33*")&gt;0,COUNTIF(J2063,"*33*")&gt;0,COUNTIF(I2063,"41*")&gt;0,COUNTIF(J2063,"*41*")&gt;0,COUNTIF(I2063,"42*")&gt;0,COUNTIF(J2063,"*42*")&gt;0,COUNTIF(I2063,"43*")&gt;0,COUNTIF(J2063,"*43*")&gt;0,COUNTIF(I2063,"49*")&gt;0,COUNTIF(J2063,"*49*")&gt;0,COUNTIF(I2063,"52*")&gt;0,COUNTIF(J2063,"*52*")&gt;0,COUNTIF(I2063,"55*")&gt;0,COUNTIF(J2063,"*55*")&gt;0,COUNTIF(I2063,"56*")&gt;0,COUNTIF(J2063,"*56*")&gt;0,COUNTIF(I2063,"68*")&gt;0,COUNTIF(J2063,"*68*")&gt;0,COUNTIF(I2063,"78*")&gt;0,COUNTIF(J2063,"*78*")&gt;0,COUNTIF(I2063,"81*")&gt;0,COUNTIF(J2063,"*81*")&gt;0,COUNTIF(I2063,"82*")&gt;0,COUNTIF(J2063,"*82*")&gt;0,COUNTIF(I2063,"64*")&gt;0,COUNTIF(J2063,"*64*")&gt;0,COUNTIF(I2063,"65*")&gt;0,COUNTIF(J2063,"*65*")&gt;0,COUNTIF(I2063,"66*")&gt;0,COUNTIF(J2063,"*66*")&gt;0,COUNTIF(I2063,"61*")&gt;0,COUNTIF(J2063,"*61*")&gt;0,COUNTIF(I2063,"62*")&gt;0,COUNTIF(J2063,"*62*")&gt;0,COUNTIF(I2063,"63*")&gt;0,COUNTIF(J2063,"*63*")&gt;0,COUNTIF(I2063,"85*")&gt;0,COUNTIF(J2063,"*85*")&gt;0,COUNTIF(I2063,"86*")&gt;0,COUNTIF(J2063,"*86*")&gt;0),"Да","Нет"))</f>
        <v/>
      </c>
      <c r="M2063" s="13">
        <f>IF(OR(G2063="",L2063&lt;&gt;"Да"),"",IF(G2063&lt;=100,"До 100",IF(G2063&lt;=200,"До 200",IF(G2063&lt;=500,"До 500","Отдельное КП"))))</f>
        <v/>
      </c>
      <c r="N2063" s="15">
        <f>IF(OR(G2063="",L2063&lt;&gt;"Да"),"",IF(G2063&lt;=100,33600,IF(G2063&lt;=200,62400,IF(G2063&lt;=500,144000,""))))</f>
        <v/>
      </c>
      <c r="O2063" s="16">
        <f>IF(G2063="","",IF(G2063&lt;=15,"1–15",IF(G2063&lt;=30,"16–30",IF(G2063&lt;=50,"31–50",IF(G2063&lt;=100,"51–100",IF(G2063&lt;=150,"101–150",IF(G2063&lt;=200,"151–200",IF(G2063&lt;=500,"201–500","500+"))))))))</f>
        <v/>
      </c>
      <c r="P2063" s="16" t="inlineStr">
        <is>
          <t>Нет совпадения в предоставленной выгрузке ССЧР</t>
        </is>
      </c>
      <c r="Q2063" s="16" t="n"/>
      <c r="R2063" s="16">
        <f>HYPERLINK("https://checko.ru/search?query=3801001629","Чекко: проверить")</f>
        <v/>
      </c>
      <c r="S2063" t="n">
        <v>0</v>
      </c>
    </row>
    <row r="2064" ht="27.75" customHeight="1" s="24">
      <c r="A2064" s="13" t="n">
        <v>5000094509</v>
      </c>
      <c r="B2064" s="13" t="inlineStr">
        <is>
          <t>МКОУ "СОШ" с.п.Светловодское Зольского муниципального района КБР</t>
        </is>
      </c>
      <c r="C2064" s="13" t="n">
        <v>702006902</v>
      </c>
      <c r="D2064" s="13" t="n"/>
      <c r="E2064" s="13" t="inlineStr">
        <is>
          <t>Не определён</t>
        </is>
      </c>
      <c r="F2064" s="13" t="inlineStr">
        <is>
          <t>702006902</t>
        </is>
      </c>
      <c r="G2064" s="14" t="n"/>
      <c r="H2064" s="14" t="n"/>
      <c r="I2064" s="14" t="n"/>
      <c r="J2064" s="14" t="n"/>
      <c r="K2064" s="13">
        <f>IF(G2064="","",IF(G2064&gt;=22,"Да","Нет"))</f>
        <v/>
      </c>
      <c r="L2064" s="13">
        <f>IF(OR(I2064="",J2064=""),"Не определено",IF(OR(COUNTIF(I2064,"45*")&gt;0,COUNTIF(J2064,"*45*")&gt;0,COUNTIF(I2064,"46*")&gt;0,COUNTIF(J2064,"*46*")&gt;0,COUNTIF(I2064,"47*")&gt;0,COUNTIF(J2064,"*47*")&gt;0,COUNTIF(I2064,"10*")&gt;0,COUNTIF(J2064,"*10*")&gt;0,COUNTIF(I2064,"11*")&gt;0,COUNTIF(J2064,"*11*")&gt;0,COUNTIF(I2064,"12*")&gt;0,COUNTIF(J2064,"*12*")&gt;0,COUNTIF(I2064,"13*")&gt;0,COUNTIF(J2064,"*13*")&gt;0,COUNTIF(I2064,"14*")&gt;0,COUNTIF(J2064,"*14*")&gt;0,COUNTIF(I2064,"15*")&gt;0,COUNTIF(J2064,"*15*")&gt;0,COUNTIF(I2064,"16*")&gt;0,COUNTIF(J2064,"*16*")&gt;0,COUNTIF(I2064,"17*")&gt;0,COUNTIF(J2064,"*17*")&gt;0,COUNTIF(I2064,"18*")&gt;0,COUNTIF(J2064,"*18*")&gt;0,COUNTIF(I2064,"19*")&gt;0,COUNTIF(J2064,"*19*")&gt;0,COUNTIF(I2064,"20*")&gt;0,COUNTIF(J2064,"*20*")&gt;0,COUNTIF(I2064,"21*")&gt;0,COUNTIF(J2064,"*21*")&gt;0,COUNTIF(I2064,"22*")&gt;0,COUNTIF(J2064,"*22*")&gt;0,COUNTIF(I2064,"23*")&gt;0,COUNTIF(J2064,"*23*")&gt;0,COUNTIF(I2064,"24*")&gt;0,COUNTIF(J2064,"*24*")&gt;0,COUNTIF(I2064,"25*")&gt;0,COUNTIF(J2064,"*25*")&gt;0,COUNTIF(I2064,"26*")&gt;0,COUNTIF(J2064,"*26*")&gt;0,COUNTIF(I2064,"27*")&gt;0,COUNTIF(J2064,"*27*")&gt;0,COUNTIF(I2064,"28*")&gt;0,COUNTIF(J2064,"*28*")&gt;0,COUNTIF(I2064,"29*")&gt;0,COUNTIF(J2064,"*29*")&gt;0,COUNTIF(I2064,"30*")&gt;0,COUNTIF(J2064,"*30*")&gt;0,COUNTIF(I2064,"31*")&gt;0,COUNTIF(J2064,"*31*")&gt;0,COUNTIF(I2064,"32*")&gt;0,COUNTIF(J2064,"*32*")&gt;0,COUNTIF(I2064,"33*")&gt;0,COUNTIF(J2064,"*33*")&gt;0,COUNTIF(I2064,"41*")&gt;0,COUNTIF(J2064,"*41*")&gt;0,COUNTIF(I2064,"42*")&gt;0,COUNTIF(J2064,"*42*")&gt;0,COUNTIF(I2064,"43*")&gt;0,COUNTIF(J2064,"*43*")&gt;0,COUNTIF(I2064,"49*")&gt;0,COUNTIF(J2064,"*49*")&gt;0,COUNTIF(I2064,"52*")&gt;0,COUNTIF(J2064,"*52*")&gt;0,COUNTIF(I2064,"55*")&gt;0,COUNTIF(J2064,"*55*")&gt;0,COUNTIF(I2064,"56*")&gt;0,COUNTIF(J2064,"*56*")&gt;0,COUNTIF(I2064,"68*")&gt;0,COUNTIF(J2064,"*68*")&gt;0,COUNTIF(I2064,"78*")&gt;0,COUNTIF(J2064,"*78*")&gt;0,COUNTIF(I2064,"81*")&gt;0,COUNTIF(J2064,"*81*")&gt;0,COUNTIF(I2064,"82*")&gt;0,COUNTIF(J2064,"*82*")&gt;0,COUNTIF(I2064,"64*")&gt;0,COUNTIF(J2064,"*64*")&gt;0,COUNTIF(I2064,"65*")&gt;0,COUNTIF(J2064,"*65*")&gt;0,COUNTIF(I2064,"66*")&gt;0,COUNTIF(J2064,"*66*")&gt;0,COUNTIF(I2064,"61*")&gt;0,COUNTIF(J2064,"*61*")&gt;0,COUNTIF(I2064,"62*")&gt;0,COUNTIF(J2064,"*62*")&gt;0,COUNTIF(I2064,"63*")&gt;0,COUNTIF(J2064,"*63*")&gt;0,COUNTIF(I2064,"85*")&gt;0,COUNTIF(J2064,"*85*")&gt;0,COUNTIF(I2064,"86*")&gt;0,COUNTIF(J2064,"*86*")&gt;0),"Да","Нет"))</f>
        <v/>
      </c>
      <c r="M2064" s="13">
        <f>IF(OR(G2064="",L2064&lt;&gt;"Да"),"",IF(G2064&lt;=100,"До 100",IF(G2064&lt;=200,"До 200",IF(G2064&lt;=500,"До 500","Отдельное КП"))))</f>
        <v/>
      </c>
      <c r="N2064" s="15">
        <f>IF(OR(G2064="",L2064&lt;&gt;"Да"),"",IF(G2064&lt;=100,33600,IF(G2064&lt;=200,62400,IF(G2064&lt;=500,144000,""))))</f>
        <v/>
      </c>
      <c r="O2064" s="16">
        <f>IF(G2064="","",IF(G2064&lt;=15,"1–15",IF(G2064&lt;=30,"16–30",IF(G2064&lt;=50,"31–50",IF(G2064&lt;=100,"51–100",IF(G2064&lt;=150,"101–150",IF(G2064&lt;=200,"151–200",IF(G2064&lt;=500,"201–500","500+"))))))))</f>
        <v/>
      </c>
      <c r="P2064" s="16" t="inlineStr">
        <is>
          <t>Нет совпадения в предоставленной выгрузке ССЧР</t>
        </is>
      </c>
      <c r="Q2064" s="16" t="n"/>
      <c r="R2064" s="16">
        <f>HYPERLINK("https://checko.ru/search?query=3801001629","Чекко: проверить")</f>
        <v/>
      </c>
      <c r="S2064" t="n">
        <v>0</v>
      </c>
    </row>
    <row r="2065" ht="15" customHeight="1" s="24">
      <c r="A2065" s="13" t="n">
        <v>5000094510</v>
      </c>
      <c r="B2065" s="13" t="inlineStr">
        <is>
          <t>МКОУ "СОШ №3" с.п.Малка</t>
        </is>
      </c>
      <c r="C2065" s="13" t="n">
        <v>702006910</v>
      </c>
      <c r="D2065" s="13" t="n"/>
      <c r="E2065" s="13" t="inlineStr">
        <is>
          <t>Не определён</t>
        </is>
      </c>
      <c r="F2065" s="13" t="inlineStr">
        <is>
          <t>702006910</t>
        </is>
      </c>
      <c r="G2065" s="14" t="n"/>
      <c r="H2065" s="14" t="n"/>
      <c r="I2065" s="14" t="n"/>
      <c r="J2065" s="14" t="n"/>
      <c r="K2065" s="13">
        <f>IF(G2065="","",IF(G2065&gt;=22,"Да","Нет"))</f>
        <v/>
      </c>
      <c r="L2065" s="13">
        <f>IF(OR(I2065="",J2065=""),"Не определено",IF(OR(COUNTIF(I2065,"45*")&gt;0,COUNTIF(J2065,"*45*")&gt;0,COUNTIF(I2065,"46*")&gt;0,COUNTIF(J2065,"*46*")&gt;0,COUNTIF(I2065,"47*")&gt;0,COUNTIF(J2065,"*47*")&gt;0,COUNTIF(I2065,"10*")&gt;0,COUNTIF(J2065,"*10*")&gt;0,COUNTIF(I2065,"11*")&gt;0,COUNTIF(J2065,"*11*")&gt;0,COUNTIF(I2065,"12*")&gt;0,COUNTIF(J2065,"*12*")&gt;0,COUNTIF(I2065,"13*")&gt;0,COUNTIF(J2065,"*13*")&gt;0,COUNTIF(I2065,"14*")&gt;0,COUNTIF(J2065,"*14*")&gt;0,COUNTIF(I2065,"15*")&gt;0,COUNTIF(J2065,"*15*")&gt;0,COUNTIF(I2065,"16*")&gt;0,COUNTIF(J2065,"*16*")&gt;0,COUNTIF(I2065,"17*")&gt;0,COUNTIF(J2065,"*17*")&gt;0,COUNTIF(I2065,"18*")&gt;0,COUNTIF(J2065,"*18*")&gt;0,COUNTIF(I2065,"19*")&gt;0,COUNTIF(J2065,"*19*")&gt;0,COUNTIF(I2065,"20*")&gt;0,COUNTIF(J2065,"*20*")&gt;0,COUNTIF(I2065,"21*")&gt;0,COUNTIF(J2065,"*21*")&gt;0,COUNTIF(I2065,"22*")&gt;0,COUNTIF(J2065,"*22*")&gt;0,COUNTIF(I2065,"23*")&gt;0,COUNTIF(J2065,"*23*")&gt;0,COUNTIF(I2065,"24*")&gt;0,COUNTIF(J2065,"*24*")&gt;0,COUNTIF(I2065,"25*")&gt;0,COUNTIF(J2065,"*25*")&gt;0,COUNTIF(I2065,"26*")&gt;0,COUNTIF(J2065,"*26*")&gt;0,COUNTIF(I2065,"27*")&gt;0,COUNTIF(J2065,"*27*")&gt;0,COUNTIF(I2065,"28*")&gt;0,COUNTIF(J2065,"*28*")&gt;0,COUNTIF(I2065,"29*")&gt;0,COUNTIF(J2065,"*29*")&gt;0,COUNTIF(I2065,"30*")&gt;0,COUNTIF(J2065,"*30*")&gt;0,COUNTIF(I2065,"31*")&gt;0,COUNTIF(J2065,"*31*")&gt;0,COUNTIF(I2065,"32*")&gt;0,COUNTIF(J2065,"*32*")&gt;0,COUNTIF(I2065,"33*")&gt;0,COUNTIF(J2065,"*33*")&gt;0,COUNTIF(I2065,"41*")&gt;0,COUNTIF(J2065,"*41*")&gt;0,COUNTIF(I2065,"42*")&gt;0,COUNTIF(J2065,"*42*")&gt;0,COUNTIF(I2065,"43*")&gt;0,COUNTIF(J2065,"*43*")&gt;0,COUNTIF(I2065,"49*")&gt;0,COUNTIF(J2065,"*49*")&gt;0,COUNTIF(I2065,"52*")&gt;0,COUNTIF(J2065,"*52*")&gt;0,COUNTIF(I2065,"55*")&gt;0,COUNTIF(J2065,"*55*")&gt;0,COUNTIF(I2065,"56*")&gt;0,COUNTIF(J2065,"*56*")&gt;0,COUNTIF(I2065,"68*")&gt;0,COUNTIF(J2065,"*68*")&gt;0,COUNTIF(I2065,"78*")&gt;0,COUNTIF(J2065,"*78*")&gt;0,COUNTIF(I2065,"81*")&gt;0,COUNTIF(J2065,"*81*")&gt;0,COUNTIF(I2065,"82*")&gt;0,COUNTIF(J2065,"*82*")&gt;0,COUNTIF(I2065,"64*")&gt;0,COUNTIF(J2065,"*64*")&gt;0,COUNTIF(I2065,"65*")&gt;0,COUNTIF(J2065,"*65*")&gt;0,COUNTIF(I2065,"66*")&gt;0,COUNTIF(J2065,"*66*")&gt;0,COUNTIF(I2065,"61*")&gt;0,COUNTIF(J2065,"*61*")&gt;0,COUNTIF(I2065,"62*")&gt;0,COUNTIF(J2065,"*62*")&gt;0,COUNTIF(I2065,"63*")&gt;0,COUNTIF(J2065,"*63*")&gt;0,COUNTIF(I2065,"85*")&gt;0,COUNTIF(J2065,"*85*")&gt;0,COUNTIF(I2065,"86*")&gt;0,COUNTIF(J2065,"*86*")&gt;0),"Да","Нет"))</f>
        <v/>
      </c>
      <c r="M2065" s="13">
        <f>IF(OR(G2065="",L2065&lt;&gt;"Да"),"",IF(G2065&lt;=100,"До 100",IF(G2065&lt;=200,"До 200",IF(G2065&lt;=500,"До 500","Отдельное КП"))))</f>
        <v/>
      </c>
      <c r="N2065" s="15">
        <f>IF(OR(G2065="",L2065&lt;&gt;"Да"),"",IF(G2065&lt;=100,33600,IF(G2065&lt;=200,62400,IF(G2065&lt;=500,144000,""))))</f>
        <v/>
      </c>
      <c r="O2065" s="16">
        <f>IF(G2065="","",IF(G2065&lt;=15,"1–15",IF(G2065&lt;=30,"16–30",IF(G2065&lt;=50,"31–50",IF(G2065&lt;=100,"51–100",IF(G2065&lt;=150,"101–150",IF(G2065&lt;=200,"151–200",IF(G2065&lt;=500,"201–500","500+"))))))))</f>
        <v/>
      </c>
      <c r="P2065" s="16" t="inlineStr">
        <is>
          <t>Нет совпадения в предоставленной выгрузке ССЧР</t>
        </is>
      </c>
      <c r="Q2065" s="16" t="n"/>
      <c r="R2065" s="16">
        <f>HYPERLINK("https://checko.ru/search?query=3801001629","Чекко: проверить")</f>
        <v/>
      </c>
      <c r="S2065" t="n">
        <v>0</v>
      </c>
    </row>
    <row r="2066" ht="15" customHeight="1" s="24">
      <c r="A2066" s="13" t="n">
        <v>5000094511</v>
      </c>
      <c r="B2066" s="13" t="inlineStr">
        <is>
          <t>МКОУ"СОШ №1"с.п.Малка</t>
        </is>
      </c>
      <c r="C2066" s="13" t="n">
        <v>702006934</v>
      </c>
      <c r="D2066" s="13" t="n"/>
      <c r="E2066" s="13" t="inlineStr">
        <is>
          <t>Не определён</t>
        </is>
      </c>
      <c r="F2066" s="13" t="inlineStr">
        <is>
          <t>702006934</t>
        </is>
      </c>
      <c r="G2066" s="14" t="n"/>
      <c r="H2066" s="14" t="n"/>
      <c r="I2066" s="14" t="n"/>
      <c r="J2066" s="14" t="n"/>
      <c r="K2066" s="13">
        <f>IF(G2066="","",IF(G2066&gt;=22,"Да","Нет"))</f>
        <v/>
      </c>
      <c r="L2066" s="13">
        <f>IF(OR(I2066="",J2066=""),"Не определено",IF(OR(COUNTIF(I2066,"45*")&gt;0,COUNTIF(J2066,"*45*")&gt;0,COUNTIF(I2066,"46*")&gt;0,COUNTIF(J2066,"*46*")&gt;0,COUNTIF(I2066,"47*")&gt;0,COUNTIF(J2066,"*47*")&gt;0,COUNTIF(I2066,"10*")&gt;0,COUNTIF(J2066,"*10*")&gt;0,COUNTIF(I2066,"11*")&gt;0,COUNTIF(J2066,"*11*")&gt;0,COUNTIF(I2066,"12*")&gt;0,COUNTIF(J2066,"*12*")&gt;0,COUNTIF(I2066,"13*")&gt;0,COUNTIF(J2066,"*13*")&gt;0,COUNTIF(I2066,"14*")&gt;0,COUNTIF(J2066,"*14*")&gt;0,COUNTIF(I2066,"15*")&gt;0,COUNTIF(J2066,"*15*")&gt;0,COUNTIF(I2066,"16*")&gt;0,COUNTIF(J2066,"*16*")&gt;0,COUNTIF(I2066,"17*")&gt;0,COUNTIF(J2066,"*17*")&gt;0,COUNTIF(I2066,"18*")&gt;0,COUNTIF(J2066,"*18*")&gt;0,COUNTIF(I2066,"19*")&gt;0,COUNTIF(J2066,"*19*")&gt;0,COUNTIF(I2066,"20*")&gt;0,COUNTIF(J2066,"*20*")&gt;0,COUNTIF(I2066,"21*")&gt;0,COUNTIF(J2066,"*21*")&gt;0,COUNTIF(I2066,"22*")&gt;0,COUNTIF(J2066,"*22*")&gt;0,COUNTIF(I2066,"23*")&gt;0,COUNTIF(J2066,"*23*")&gt;0,COUNTIF(I2066,"24*")&gt;0,COUNTIF(J2066,"*24*")&gt;0,COUNTIF(I2066,"25*")&gt;0,COUNTIF(J2066,"*25*")&gt;0,COUNTIF(I2066,"26*")&gt;0,COUNTIF(J2066,"*26*")&gt;0,COUNTIF(I2066,"27*")&gt;0,COUNTIF(J2066,"*27*")&gt;0,COUNTIF(I2066,"28*")&gt;0,COUNTIF(J2066,"*28*")&gt;0,COUNTIF(I2066,"29*")&gt;0,COUNTIF(J2066,"*29*")&gt;0,COUNTIF(I2066,"30*")&gt;0,COUNTIF(J2066,"*30*")&gt;0,COUNTIF(I2066,"31*")&gt;0,COUNTIF(J2066,"*31*")&gt;0,COUNTIF(I2066,"32*")&gt;0,COUNTIF(J2066,"*32*")&gt;0,COUNTIF(I2066,"33*")&gt;0,COUNTIF(J2066,"*33*")&gt;0,COUNTIF(I2066,"41*")&gt;0,COUNTIF(J2066,"*41*")&gt;0,COUNTIF(I2066,"42*")&gt;0,COUNTIF(J2066,"*42*")&gt;0,COUNTIF(I2066,"43*")&gt;0,COUNTIF(J2066,"*43*")&gt;0,COUNTIF(I2066,"49*")&gt;0,COUNTIF(J2066,"*49*")&gt;0,COUNTIF(I2066,"52*")&gt;0,COUNTIF(J2066,"*52*")&gt;0,COUNTIF(I2066,"55*")&gt;0,COUNTIF(J2066,"*55*")&gt;0,COUNTIF(I2066,"56*")&gt;0,COUNTIF(J2066,"*56*")&gt;0,COUNTIF(I2066,"68*")&gt;0,COUNTIF(J2066,"*68*")&gt;0,COUNTIF(I2066,"78*")&gt;0,COUNTIF(J2066,"*78*")&gt;0,COUNTIF(I2066,"81*")&gt;0,COUNTIF(J2066,"*81*")&gt;0,COUNTIF(I2066,"82*")&gt;0,COUNTIF(J2066,"*82*")&gt;0,COUNTIF(I2066,"64*")&gt;0,COUNTIF(J2066,"*64*")&gt;0,COUNTIF(I2066,"65*")&gt;0,COUNTIF(J2066,"*65*")&gt;0,COUNTIF(I2066,"66*")&gt;0,COUNTIF(J2066,"*66*")&gt;0,COUNTIF(I2066,"61*")&gt;0,COUNTIF(J2066,"*61*")&gt;0,COUNTIF(I2066,"62*")&gt;0,COUNTIF(J2066,"*62*")&gt;0,COUNTIF(I2066,"63*")&gt;0,COUNTIF(J2066,"*63*")&gt;0,COUNTIF(I2066,"85*")&gt;0,COUNTIF(J2066,"*85*")&gt;0,COUNTIF(I2066,"86*")&gt;0,COUNTIF(J2066,"*86*")&gt;0),"Да","Нет"))</f>
        <v/>
      </c>
      <c r="M2066" s="13">
        <f>IF(OR(G2066="",L2066&lt;&gt;"Да"),"",IF(G2066&lt;=100,"До 100",IF(G2066&lt;=200,"До 200",IF(G2066&lt;=500,"До 500","Отдельное КП"))))</f>
        <v/>
      </c>
      <c r="N2066" s="15">
        <f>IF(OR(G2066="",L2066&lt;&gt;"Да"),"",IF(G2066&lt;=100,33600,IF(G2066&lt;=200,62400,IF(G2066&lt;=500,144000,""))))</f>
        <v/>
      </c>
      <c r="O2066" s="16">
        <f>IF(G2066="","",IF(G2066&lt;=15,"1–15",IF(G2066&lt;=30,"16–30",IF(G2066&lt;=50,"31–50",IF(G2066&lt;=100,"51–100",IF(G2066&lt;=150,"101–150",IF(G2066&lt;=200,"151–200",IF(G2066&lt;=500,"201–500","500+"))))))))</f>
        <v/>
      </c>
      <c r="P2066" s="16" t="inlineStr">
        <is>
          <t>Нет совпадения в предоставленной выгрузке ССЧР</t>
        </is>
      </c>
      <c r="Q2066" s="16" t="n"/>
      <c r="R2066" s="16">
        <f>HYPERLINK("https://checko.ru/search?query=3801001629","Чекко: проверить")</f>
        <v/>
      </c>
      <c r="S2066" t="n">
        <v>0</v>
      </c>
    </row>
    <row r="2067" ht="15" customHeight="1" s="24">
      <c r="A2067" s="13" t="n">
        <v>5000094514</v>
      </c>
      <c r="B2067" s="13" t="inlineStr">
        <is>
          <t>МКОУ"СОШ №2 им.Г.А.Лигидова" с.п.Сармаково</t>
        </is>
      </c>
      <c r="C2067" s="13" t="n">
        <v>702006973</v>
      </c>
      <c r="D2067" s="13" t="n"/>
      <c r="E2067" s="13" t="inlineStr">
        <is>
          <t>Не определён</t>
        </is>
      </c>
      <c r="F2067" s="13" t="inlineStr">
        <is>
          <t>702006973</t>
        </is>
      </c>
      <c r="G2067" s="14" t="n"/>
      <c r="H2067" s="14" t="n"/>
      <c r="I2067" s="14" t="n"/>
      <c r="J2067" s="14" t="n"/>
      <c r="K2067" s="13">
        <f>IF(G2067="","",IF(G2067&gt;=22,"Да","Нет"))</f>
        <v/>
      </c>
      <c r="L2067" s="13">
        <f>IF(OR(I2067="",J2067=""),"Не определено",IF(OR(COUNTIF(I2067,"45*")&gt;0,COUNTIF(J2067,"*45*")&gt;0,COUNTIF(I2067,"46*")&gt;0,COUNTIF(J2067,"*46*")&gt;0,COUNTIF(I2067,"47*")&gt;0,COUNTIF(J2067,"*47*")&gt;0,COUNTIF(I2067,"10*")&gt;0,COUNTIF(J2067,"*10*")&gt;0,COUNTIF(I2067,"11*")&gt;0,COUNTIF(J2067,"*11*")&gt;0,COUNTIF(I2067,"12*")&gt;0,COUNTIF(J2067,"*12*")&gt;0,COUNTIF(I2067,"13*")&gt;0,COUNTIF(J2067,"*13*")&gt;0,COUNTIF(I2067,"14*")&gt;0,COUNTIF(J2067,"*14*")&gt;0,COUNTIF(I2067,"15*")&gt;0,COUNTIF(J2067,"*15*")&gt;0,COUNTIF(I2067,"16*")&gt;0,COUNTIF(J2067,"*16*")&gt;0,COUNTIF(I2067,"17*")&gt;0,COUNTIF(J2067,"*17*")&gt;0,COUNTIF(I2067,"18*")&gt;0,COUNTIF(J2067,"*18*")&gt;0,COUNTIF(I2067,"19*")&gt;0,COUNTIF(J2067,"*19*")&gt;0,COUNTIF(I2067,"20*")&gt;0,COUNTIF(J2067,"*20*")&gt;0,COUNTIF(I2067,"21*")&gt;0,COUNTIF(J2067,"*21*")&gt;0,COUNTIF(I2067,"22*")&gt;0,COUNTIF(J2067,"*22*")&gt;0,COUNTIF(I2067,"23*")&gt;0,COUNTIF(J2067,"*23*")&gt;0,COUNTIF(I2067,"24*")&gt;0,COUNTIF(J2067,"*24*")&gt;0,COUNTIF(I2067,"25*")&gt;0,COUNTIF(J2067,"*25*")&gt;0,COUNTIF(I2067,"26*")&gt;0,COUNTIF(J2067,"*26*")&gt;0,COUNTIF(I2067,"27*")&gt;0,COUNTIF(J2067,"*27*")&gt;0,COUNTIF(I2067,"28*")&gt;0,COUNTIF(J2067,"*28*")&gt;0,COUNTIF(I2067,"29*")&gt;0,COUNTIF(J2067,"*29*")&gt;0,COUNTIF(I2067,"30*")&gt;0,COUNTIF(J2067,"*30*")&gt;0,COUNTIF(I2067,"31*")&gt;0,COUNTIF(J2067,"*31*")&gt;0,COUNTIF(I2067,"32*")&gt;0,COUNTIF(J2067,"*32*")&gt;0,COUNTIF(I2067,"33*")&gt;0,COUNTIF(J2067,"*33*")&gt;0,COUNTIF(I2067,"41*")&gt;0,COUNTIF(J2067,"*41*")&gt;0,COUNTIF(I2067,"42*")&gt;0,COUNTIF(J2067,"*42*")&gt;0,COUNTIF(I2067,"43*")&gt;0,COUNTIF(J2067,"*43*")&gt;0,COUNTIF(I2067,"49*")&gt;0,COUNTIF(J2067,"*49*")&gt;0,COUNTIF(I2067,"52*")&gt;0,COUNTIF(J2067,"*52*")&gt;0,COUNTIF(I2067,"55*")&gt;0,COUNTIF(J2067,"*55*")&gt;0,COUNTIF(I2067,"56*")&gt;0,COUNTIF(J2067,"*56*")&gt;0,COUNTIF(I2067,"68*")&gt;0,COUNTIF(J2067,"*68*")&gt;0,COUNTIF(I2067,"78*")&gt;0,COUNTIF(J2067,"*78*")&gt;0,COUNTIF(I2067,"81*")&gt;0,COUNTIF(J2067,"*81*")&gt;0,COUNTIF(I2067,"82*")&gt;0,COUNTIF(J2067,"*82*")&gt;0,COUNTIF(I2067,"64*")&gt;0,COUNTIF(J2067,"*64*")&gt;0,COUNTIF(I2067,"65*")&gt;0,COUNTIF(J2067,"*65*")&gt;0,COUNTIF(I2067,"66*")&gt;0,COUNTIF(J2067,"*66*")&gt;0,COUNTIF(I2067,"61*")&gt;0,COUNTIF(J2067,"*61*")&gt;0,COUNTIF(I2067,"62*")&gt;0,COUNTIF(J2067,"*62*")&gt;0,COUNTIF(I2067,"63*")&gt;0,COUNTIF(J2067,"*63*")&gt;0,COUNTIF(I2067,"85*")&gt;0,COUNTIF(J2067,"*85*")&gt;0,COUNTIF(I2067,"86*")&gt;0,COUNTIF(J2067,"*86*")&gt;0),"Да","Нет"))</f>
        <v/>
      </c>
      <c r="M2067" s="13">
        <f>IF(OR(G2067="",L2067&lt;&gt;"Да"),"",IF(G2067&lt;=100,"До 100",IF(G2067&lt;=200,"До 200",IF(G2067&lt;=500,"До 500","Отдельное КП"))))</f>
        <v/>
      </c>
      <c r="N2067" s="15">
        <f>IF(OR(G2067="",L2067&lt;&gt;"Да"),"",IF(G2067&lt;=100,33600,IF(G2067&lt;=200,62400,IF(G2067&lt;=500,144000,""))))</f>
        <v/>
      </c>
      <c r="O2067" s="16">
        <f>IF(G2067="","",IF(G2067&lt;=15,"1–15",IF(G2067&lt;=30,"16–30",IF(G2067&lt;=50,"31–50",IF(G2067&lt;=100,"51–100",IF(G2067&lt;=150,"101–150",IF(G2067&lt;=200,"151–200",IF(G2067&lt;=500,"201–500","500+"))))))))</f>
        <v/>
      </c>
      <c r="P2067" s="16" t="inlineStr">
        <is>
          <t>Нет совпадения в предоставленной выгрузке ССЧР</t>
        </is>
      </c>
      <c r="Q2067" s="16" t="n"/>
      <c r="R2067" s="16">
        <f>HYPERLINK("https://checko.ru/search?query=3801001629","Чекко: проверить")</f>
        <v/>
      </c>
      <c r="S2067" t="n">
        <v>0</v>
      </c>
    </row>
    <row r="2068" ht="27.75" customHeight="1" s="24">
      <c r="A2068" s="13" t="n">
        <v>5000094515</v>
      </c>
      <c r="B2068" s="13" t="inlineStr">
        <is>
          <t>МКОУ "СОШ №3" с.п.Сармаково Зольского муниципального района КБР</t>
        </is>
      </c>
      <c r="C2068" s="13" t="n">
        <v>702006980</v>
      </c>
      <c r="D2068" s="13" t="n"/>
      <c r="E2068" s="13" t="inlineStr">
        <is>
          <t>Не определён</t>
        </is>
      </c>
      <c r="F2068" s="13" t="inlineStr">
        <is>
          <t>702006980</t>
        </is>
      </c>
      <c r="G2068" s="14" t="n"/>
      <c r="H2068" s="14" t="n"/>
      <c r="I2068" s="14" t="n"/>
      <c r="J2068" s="14" t="n"/>
      <c r="K2068" s="13">
        <f>IF(G2068="","",IF(G2068&gt;=22,"Да","Нет"))</f>
        <v/>
      </c>
      <c r="L2068" s="13">
        <f>IF(OR(I2068="",J2068=""),"Не определено",IF(OR(COUNTIF(I2068,"45*")&gt;0,COUNTIF(J2068,"*45*")&gt;0,COUNTIF(I2068,"46*")&gt;0,COUNTIF(J2068,"*46*")&gt;0,COUNTIF(I2068,"47*")&gt;0,COUNTIF(J2068,"*47*")&gt;0,COUNTIF(I2068,"10*")&gt;0,COUNTIF(J2068,"*10*")&gt;0,COUNTIF(I2068,"11*")&gt;0,COUNTIF(J2068,"*11*")&gt;0,COUNTIF(I2068,"12*")&gt;0,COUNTIF(J2068,"*12*")&gt;0,COUNTIF(I2068,"13*")&gt;0,COUNTIF(J2068,"*13*")&gt;0,COUNTIF(I2068,"14*")&gt;0,COUNTIF(J2068,"*14*")&gt;0,COUNTIF(I2068,"15*")&gt;0,COUNTIF(J2068,"*15*")&gt;0,COUNTIF(I2068,"16*")&gt;0,COUNTIF(J2068,"*16*")&gt;0,COUNTIF(I2068,"17*")&gt;0,COUNTIF(J2068,"*17*")&gt;0,COUNTIF(I2068,"18*")&gt;0,COUNTIF(J2068,"*18*")&gt;0,COUNTIF(I2068,"19*")&gt;0,COUNTIF(J2068,"*19*")&gt;0,COUNTIF(I2068,"20*")&gt;0,COUNTIF(J2068,"*20*")&gt;0,COUNTIF(I2068,"21*")&gt;0,COUNTIF(J2068,"*21*")&gt;0,COUNTIF(I2068,"22*")&gt;0,COUNTIF(J2068,"*22*")&gt;0,COUNTIF(I2068,"23*")&gt;0,COUNTIF(J2068,"*23*")&gt;0,COUNTIF(I2068,"24*")&gt;0,COUNTIF(J2068,"*24*")&gt;0,COUNTIF(I2068,"25*")&gt;0,COUNTIF(J2068,"*25*")&gt;0,COUNTIF(I2068,"26*")&gt;0,COUNTIF(J2068,"*26*")&gt;0,COUNTIF(I2068,"27*")&gt;0,COUNTIF(J2068,"*27*")&gt;0,COUNTIF(I2068,"28*")&gt;0,COUNTIF(J2068,"*28*")&gt;0,COUNTIF(I2068,"29*")&gt;0,COUNTIF(J2068,"*29*")&gt;0,COUNTIF(I2068,"30*")&gt;0,COUNTIF(J2068,"*30*")&gt;0,COUNTIF(I2068,"31*")&gt;0,COUNTIF(J2068,"*31*")&gt;0,COUNTIF(I2068,"32*")&gt;0,COUNTIF(J2068,"*32*")&gt;0,COUNTIF(I2068,"33*")&gt;0,COUNTIF(J2068,"*33*")&gt;0,COUNTIF(I2068,"41*")&gt;0,COUNTIF(J2068,"*41*")&gt;0,COUNTIF(I2068,"42*")&gt;0,COUNTIF(J2068,"*42*")&gt;0,COUNTIF(I2068,"43*")&gt;0,COUNTIF(J2068,"*43*")&gt;0,COUNTIF(I2068,"49*")&gt;0,COUNTIF(J2068,"*49*")&gt;0,COUNTIF(I2068,"52*")&gt;0,COUNTIF(J2068,"*52*")&gt;0,COUNTIF(I2068,"55*")&gt;0,COUNTIF(J2068,"*55*")&gt;0,COUNTIF(I2068,"56*")&gt;0,COUNTIF(J2068,"*56*")&gt;0,COUNTIF(I2068,"68*")&gt;0,COUNTIF(J2068,"*68*")&gt;0,COUNTIF(I2068,"78*")&gt;0,COUNTIF(J2068,"*78*")&gt;0,COUNTIF(I2068,"81*")&gt;0,COUNTIF(J2068,"*81*")&gt;0,COUNTIF(I2068,"82*")&gt;0,COUNTIF(J2068,"*82*")&gt;0,COUNTIF(I2068,"64*")&gt;0,COUNTIF(J2068,"*64*")&gt;0,COUNTIF(I2068,"65*")&gt;0,COUNTIF(J2068,"*65*")&gt;0,COUNTIF(I2068,"66*")&gt;0,COUNTIF(J2068,"*66*")&gt;0,COUNTIF(I2068,"61*")&gt;0,COUNTIF(J2068,"*61*")&gt;0,COUNTIF(I2068,"62*")&gt;0,COUNTIF(J2068,"*62*")&gt;0,COUNTIF(I2068,"63*")&gt;0,COUNTIF(J2068,"*63*")&gt;0,COUNTIF(I2068,"85*")&gt;0,COUNTIF(J2068,"*85*")&gt;0,COUNTIF(I2068,"86*")&gt;0,COUNTIF(J2068,"*86*")&gt;0),"Да","Нет"))</f>
        <v/>
      </c>
      <c r="M2068" s="13">
        <f>IF(OR(G2068="",L2068&lt;&gt;"Да"),"",IF(G2068&lt;=100,"До 100",IF(G2068&lt;=200,"До 200",IF(G2068&lt;=500,"До 500","Отдельное КП"))))</f>
        <v/>
      </c>
      <c r="N2068" s="15">
        <f>IF(OR(G2068="",L2068&lt;&gt;"Да"),"",IF(G2068&lt;=100,33600,IF(G2068&lt;=200,62400,IF(G2068&lt;=500,144000,""))))</f>
        <v/>
      </c>
      <c r="O2068" s="16">
        <f>IF(G2068="","",IF(G2068&lt;=15,"1–15",IF(G2068&lt;=30,"16–30",IF(G2068&lt;=50,"31–50",IF(G2068&lt;=100,"51–100",IF(G2068&lt;=150,"101–150",IF(G2068&lt;=200,"151–200",IF(G2068&lt;=500,"201–500","500+"))))))))</f>
        <v/>
      </c>
      <c r="P2068" s="16" t="inlineStr">
        <is>
          <t>Нет совпадения в предоставленной выгрузке ССЧР</t>
        </is>
      </c>
      <c r="Q2068" s="16" t="n"/>
      <c r="R2068" s="16">
        <f>HYPERLINK("https://checko.ru/search?query=3801001629","Чекко: проверить")</f>
        <v/>
      </c>
      <c r="S2068" t="n">
        <v>0</v>
      </c>
    </row>
    <row r="2069" ht="15" customHeight="1" s="24">
      <c r="A2069" s="13" t="n">
        <v>5000094517</v>
      </c>
      <c r="B2069" s="13" t="inlineStr">
        <is>
          <t>МКОУ"СОШ №1"с.п.Сармаково</t>
        </is>
      </c>
      <c r="C2069" s="13" t="n">
        <v>702007007</v>
      </c>
      <c r="D2069" s="13" t="n"/>
      <c r="E2069" s="13" t="inlineStr">
        <is>
          <t>Не определён</t>
        </is>
      </c>
      <c r="F2069" s="13" t="inlineStr">
        <is>
          <t>702007007</t>
        </is>
      </c>
      <c r="G2069" s="14" t="n"/>
      <c r="H2069" s="14" t="n"/>
      <c r="I2069" s="14" t="n"/>
      <c r="J2069" s="14" t="n"/>
      <c r="K2069" s="13">
        <f>IF(G2069="","",IF(G2069&gt;=22,"Да","Нет"))</f>
        <v/>
      </c>
      <c r="L2069" s="13">
        <f>IF(OR(I2069="",J2069=""),"Не определено",IF(OR(COUNTIF(I2069,"45*")&gt;0,COUNTIF(J2069,"*45*")&gt;0,COUNTIF(I2069,"46*")&gt;0,COUNTIF(J2069,"*46*")&gt;0,COUNTIF(I2069,"47*")&gt;0,COUNTIF(J2069,"*47*")&gt;0,COUNTIF(I2069,"10*")&gt;0,COUNTIF(J2069,"*10*")&gt;0,COUNTIF(I2069,"11*")&gt;0,COUNTIF(J2069,"*11*")&gt;0,COUNTIF(I2069,"12*")&gt;0,COUNTIF(J2069,"*12*")&gt;0,COUNTIF(I2069,"13*")&gt;0,COUNTIF(J2069,"*13*")&gt;0,COUNTIF(I2069,"14*")&gt;0,COUNTIF(J2069,"*14*")&gt;0,COUNTIF(I2069,"15*")&gt;0,COUNTIF(J2069,"*15*")&gt;0,COUNTIF(I2069,"16*")&gt;0,COUNTIF(J2069,"*16*")&gt;0,COUNTIF(I2069,"17*")&gt;0,COUNTIF(J2069,"*17*")&gt;0,COUNTIF(I2069,"18*")&gt;0,COUNTIF(J2069,"*18*")&gt;0,COUNTIF(I2069,"19*")&gt;0,COUNTIF(J2069,"*19*")&gt;0,COUNTIF(I2069,"20*")&gt;0,COUNTIF(J2069,"*20*")&gt;0,COUNTIF(I2069,"21*")&gt;0,COUNTIF(J2069,"*21*")&gt;0,COUNTIF(I2069,"22*")&gt;0,COUNTIF(J2069,"*22*")&gt;0,COUNTIF(I2069,"23*")&gt;0,COUNTIF(J2069,"*23*")&gt;0,COUNTIF(I2069,"24*")&gt;0,COUNTIF(J2069,"*24*")&gt;0,COUNTIF(I2069,"25*")&gt;0,COUNTIF(J2069,"*25*")&gt;0,COUNTIF(I2069,"26*")&gt;0,COUNTIF(J2069,"*26*")&gt;0,COUNTIF(I2069,"27*")&gt;0,COUNTIF(J2069,"*27*")&gt;0,COUNTIF(I2069,"28*")&gt;0,COUNTIF(J2069,"*28*")&gt;0,COUNTIF(I2069,"29*")&gt;0,COUNTIF(J2069,"*29*")&gt;0,COUNTIF(I2069,"30*")&gt;0,COUNTIF(J2069,"*30*")&gt;0,COUNTIF(I2069,"31*")&gt;0,COUNTIF(J2069,"*31*")&gt;0,COUNTIF(I2069,"32*")&gt;0,COUNTIF(J2069,"*32*")&gt;0,COUNTIF(I2069,"33*")&gt;0,COUNTIF(J2069,"*33*")&gt;0,COUNTIF(I2069,"41*")&gt;0,COUNTIF(J2069,"*41*")&gt;0,COUNTIF(I2069,"42*")&gt;0,COUNTIF(J2069,"*42*")&gt;0,COUNTIF(I2069,"43*")&gt;0,COUNTIF(J2069,"*43*")&gt;0,COUNTIF(I2069,"49*")&gt;0,COUNTIF(J2069,"*49*")&gt;0,COUNTIF(I2069,"52*")&gt;0,COUNTIF(J2069,"*52*")&gt;0,COUNTIF(I2069,"55*")&gt;0,COUNTIF(J2069,"*55*")&gt;0,COUNTIF(I2069,"56*")&gt;0,COUNTIF(J2069,"*56*")&gt;0,COUNTIF(I2069,"68*")&gt;0,COUNTIF(J2069,"*68*")&gt;0,COUNTIF(I2069,"78*")&gt;0,COUNTIF(J2069,"*78*")&gt;0,COUNTIF(I2069,"81*")&gt;0,COUNTIF(J2069,"*81*")&gt;0,COUNTIF(I2069,"82*")&gt;0,COUNTIF(J2069,"*82*")&gt;0,COUNTIF(I2069,"64*")&gt;0,COUNTIF(J2069,"*64*")&gt;0,COUNTIF(I2069,"65*")&gt;0,COUNTIF(J2069,"*65*")&gt;0,COUNTIF(I2069,"66*")&gt;0,COUNTIF(J2069,"*66*")&gt;0,COUNTIF(I2069,"61*")&gt;0,COUNTIF(J2069,"*61*")&gt;0,COUNTIF(I2069,"62*")&gt;0,COUNTIF(J2069,"*62*")&gt;0,COUNTIF(I2069,"63*")&gt;0,COUNTIF(J2069,"*63*")&gt;0,COUNTIF(I2069,"85*")&gt;0,COUNTIF(J2069,"*85*")&gt;0,COUNTIF(I2069,"86*")&gt;0,COUNTIF(J2069,"*86*")&gt;0),"Да","Нет"))</f>
        <v/>
      </c>
      <c r="M2069" s="13">
        <f>IF(OR(G2069="",L2069&lt;&gt;"Да"),"",IF(G2069&lt;=100,"До 100",IF(G2069&lt;=200,"До 200",IF(G2069&lt;=500,"До 500","Отдельное КП"))))</f>
        <v/>
      </c>
      <c r="N2069" s="15">
        <f>IF(OR(G2069="",L2069&lt;&gt;"Да"),"",IF(G2069&lt;=100,33600,IF(G2069&lt;=200,62400,IF(G2069&lt;=500,144000,""))))</f>
        <v/>
      </c>
      <c r="O2069" s="16">
        <f>IF(G2069="","",IF(G2069&lt;=15,"1–15",IF(G2069&lt;=30,"16–30",IF(G2069&lt;=50,"31–50",IF(G2069&lt;=100,"51–100",IF(G2069&lt;=150,"101–150",IF(G2069&lt;=200,"151–200",IF(G2069&lt;=500,"201–500","500+"))))))))</f>
        <v/>
      </c>
      <c r="P2069" s="16" t="inlineStr">
        <is>
          <t>Нет совпадения в предоставленной выгрузке ССЧР</t>
        </is>
      </c>
      <c r="Q2069" s="16" t="n"/>
      <c r="R2069" s="16">
        <f>HYPERLINK("https://checko.ru/search?query=3801001629","Чекко: проверить")</f>
        <v/>
      </c>
      <c r="S2069" t="n">
        <v>0</v>
      </c>
    </row>
    <row r="2070" ht="27.75" customHeight="1" s="24">
      <c r="A2070" s="13" t="n">
        <v>5000094518</v>
      </c>
      <c r="B2070" s="13" t="inlineStr">
        <is>
          <t>МКОУ"СОШ №1им.М.А.Камбиева "с.п.Каменномостское</t>
        </is>
      </c>
      <c r="C2070" s="13" t="n">
        <v>702007014</v>
      </c>
      <c r="D2070" s="13" t="n"/>
      <c r="E2070" s="13" t="inlineStr">
        <is>
          <t>Не определён</t>
        </is>
      </c>
      <c r="F2070" s="13" t="inlineStr">
        <is>
          <t>702007014</t>
        </is>
      </c>
      <c r="G2070" s="14" t="n"/>
      <c r="H2070" s="14" t="n"/>
      <c r="I2070" s="14" t="n"/>
      <c r="J2070" s="14" t="n"/>
      <c r="K2070" s="13">
        <f>IF(G2070="","",IF(G2070&gt;=22,"Да","Нет"))</f>
        <v/>
      </c>
      <c r="L2070" s="13">
        <f>IF(OR(I2070="",J2070=""),"Не определено",IF(OR(COUNTIF(I2070,"45*")&gt;0,COUNTIF(J2070,"*45*")&gt;0,COUNTIF(I2070,"46*")&gt;0,COUNTIF(J2070,"*46*")&gt;0,COUNTIF(I2070,"47*")&gt;0,COUNTIF(J2070,"*47*")&gt;0,COUNTIF(I2070,"10*")&gt;0,COUNTIF(J2070,"*10*")&gt;0,COUNTIF(I2070,"11*")&gt;0,COUNTIF(J2070,"*11*")&gt;0,COUNTIF(I2070,"12*")&gt;0,COUNTIF(J2070,"*12*")&gt;0,COUNTIF(I2070,"13*")&gt;0,COUNTIF(J2070,"*13*")&gt;0,COUNTIF(I2070,"14*")&gt;0,COUNTIF(J2070,"*14*")&gt;0,COUNTIF(I2070,"15*")&gt;0,COUNTIF(J2070,"*15*")&gt;0,COUNTIF(I2070,"16*")&gt;0,COUNTIF(J2070,"*16*")&gt;0,COUNTIF(I2070,"17*")&gt;0,COUNTIF(J2070,"*17*")&gt;0,COUNTIF(I2070,"18*")&gt;0,COUNTIF(J2070,"*18*")&gt;0,COUNTIF(I2070,"19*")&gt;0,COUNTIF(J2070,"*19*")&gt;0,COUNTIF(I2070,"20*")&gt;0,COUNTIF(J2070,"*20*")&gt;0,COUNTIF(I2070,"21*")&gt;0,COUNTIF(J2070,"*21*")&gt;0,COUNTIF(I2070,"22*")&gt;0,COUNTIF(J2070,"*22*")&gt;0,COUNTIF(I2070,"23*")&gt;0,COUNTIF(J2070,"*23*")&gt;0,COUNTIF(I2070,"24*")&gt;0,COUNTIF(J2070,"*24*")&gt;0,COUNTIF(I2070,"25*")&gt;0,COUNTIF(J2070,"*25*")&gt;0,COUNTIF(I2070,"26*")&gt;0,COUNTIF(J2070,"*26*")&gt;0,COUNTIF(I2070,"27*")&gt;0,COUNTIF(J2070,"*27*")&gt;0,COUNTIF(I2070,"28*")&gt;0,COUNTIF(J2070,"*28*")&gt;0,COUNTIF(I2070,"29*")&gt;0,COUNTIF(J2070,"*29*")&gt;0,COUNTIF(I2070,"30*")&gt;0,COUNTIF(J2070,"*30*")&gt;0,COUNTIF(I2070,"31*")&gt;0,COUNTIF(J2070,"*31*")&gt;0,COUNTIF(I2070,"32*")&gt;0,COUNTIF(J2070,"*32*")&gt;0,COUNTIF(I2070,"33*")&gt;0,COUNTIF(J2070,"*33*")&gt;0,COUNTIF(I2070,"41*")&gt;0,COUNTIF(J2070,"*41*")&gt;0,COUNTIF(I2070,"42*")&gt;0,COUNTIF(J2070,"*42*")&gt;0,COUNTIF(I2070,"43*")&gt;0,COUNTIF(J2070,"*43*")&gt;0,COUNTIF(I2070,"49*")&gt;0,COUNTIF(J2070,"*49*")&gt;0,COUNTIF(I2070,"52*")&gt;0,COUNTIF(J2070,"*52*")&gt;0,COUNTIF(I2070,"55*")&gt;0,COUNTIF(J2070,"*55*")&gt;0,COUNTIF(I2070,"56*")&gt;0,COUNTIF(J2070,"*56*")&gt;0,COUNTIF(I2070,"68*")&gt;0,COUNTIF(J2070,"*68*")&gt;0,COUNTIF(I2070,"78*")&gt;0,COUNTIF(J2070,"*78*")&gt;0,COUNTIF(I2070,"81*")&gt;0,COUNTIF(J2070,"*81*")&gt;0,COUNTIF(I2070,"82*")&gt;0,COUNTIF(J2070,"*82*")&gt;0,COUNTIF(I2070,"64*")&gt;0,COUNTIF(J2070,"*64*")&gt;0,COUNTIF(I2070,"65*")&gt;0,COUNTIF(J2070,"*65*")&gt;0,COUNTIF(I2070,"66*")&gt;0,COUNTIF(J2070,"*66*")&gt;0,COUNTIF(I2070,"61*")&gt;0,COUNTIF(J2070,"*61*")&gt;0,COUNTIF(I2070,"62*")&gt;0,COUNTIF(J2070,"*62*")&gt;0,COUNTIF(I2070,"63*")&gt;0,COUNTIF(J2070,"*63*")&gt;0,COUNTIF(I2070,"85*")&gt;0,COUNTIF(J2070,"*85*")&gt;0,COUNTIF(I2070,"86*")&gt;0,COUNTIF(J2070,"*86*")&gt;0),"Да","Нет"))</f>
        <v/>
      </c>
      <c r="M2070" s="13">
        <f>IF(OR(G2070="",L2070&lt;&gt;"Да"),"",IF(G2070&lt;=100,"До 100",IF(G2070&lt;=200,"До 200",IF(G2070&lt;=500,"До 500","Отдельное КП"))))</f>
        <v/>
      </c>
      <c r="N2070" s="15">
        <f>IF(OR(G2070="",L2070&lt;&gt;"Да"),"",IF(G2070&lt;=100,33600,IF(G2070&lt;=200,62400,IF(G2070&lt;=500,144000,""))))</f>
        <v/>
      </c>
      <c r="O2070" s="16">
        <f>IF(G2070="","",IF(G2070&lt;=15,"1–15",IF(G2070&lt;=30,"16–30",IF(G2070&lt;=50,"31–50",IF(G2070&lt;=100,"51–100",IF(G2070&lt;=150,"101–150",IF(G2070&lt;=200,"151–200",IF(G2070&lt;=500,"201–500","500+"))))))))</f>
        <v/>
      </c>
      <c r="P2070" s="16" t="inlineStr">
        <is>
          <t>Нет совпадения в предоставленной выгрузке ССЧР</t>
        </is>
      </c>
      <c r="Q2070" s="16" t="n"/>
      <c r="R2070" s="16">
        <f>HYPERLINK("https://checko.ru/search?query=3801001629","Чекко: проверить")</f>
        <v/>
      </c>
      <c r="S2070" t="n">
        <v>0</v>
      </c>
    </row>
    <row r="2071" ht="15" customHeight="1" s="24">
      <c r="A2071" s="13" t="n">
        <v>5000094520</v>
      </c>
      <c r="B2071" s="13" t="inlineStr">
        <is>
          <t>МКОУ"СОШ" с.п .Дженал</t>
        </is>
      </c>
      <c r="C2071" s="13" t="n">
        <v>702007039</v>
      </c>
      <c r="D2071" s="13" t="n"/>
      <c r="E2071" s="13" t="inlineStr">
        <is>
          <t>Не определён</t>
        </is>
      </c>
      <c r="F2071" s="13" t="inlineStr">
        <is>
          <t>702007039</t>
        </is>
      </c>
      <c r="G2071" s="14" t="n"/>
      <c r="H2071" s="14" t="n"/>
      <c r="I2071" s="14" t="n"/>
      <c r="J2071" s="14" t="n"/>
      <c r="K2071" s="13">
        <f>IF(G2071="","",IF(G2071&gt;=22,"Да","Нет"))</f>
        <v/>
      </c>
      <c r="L2071" s="13">
        <f>IF(OR(I2071="",J2071=""),"Не определено",IF(OR(COUNTIF(I2071,"45*")&gt;0,COUNTIF(J2071,"*45*")&gt;0,COUNTIF(I2071,"46*")&gt;0,COUNTIF(J2071,"*46*")&gt;0,COUNTIF(I2071,"47*")&gt;0,COUNTIF(J2071,"*47*")&gt;0,COUNTIF(I2071,"10*")&gt;0,COUNTIF(J2071,"*10*")&gt;0,COUNTIF(I2071,"11*")&gt;0,COUNTIF(J2071,"*11*")&gt;0,COUNTIF(I2071,"12*")&gt;0,COUNTIF(J2071,"*12*")&gt;0,COUNTIF(I2071,"13*")&gt;0,COUNTIF(J2071,"*13*")&gt;0,COUNTIF(I2071,"14*")&gt;0,COUNTIF(J2071,"*14*")&gt;0,COUNTIF(I2071,"15*")&gt;0,COUNTIF(J2071,"*15*")&gt;0,COUNTIF(I2071,"16*")&gt;0,COUNTIF(J2071,"*16*")&gt;0,COUNTIF(I2071,"17*")&gt;0,COUNTIF(J2071,"*17*")&gt;0,COUNTIF(I2071,"18*")&gt;0,COUNTIF(J2071,"*18*")&gt;0,COUNTIF(I2071,"19*")&gt;0,COUNTIF(J2071,"*19*")&gt;0,COUNTIF(I2071,"20*")&gt;0,COUNTIF(J2071,"*20*")&gt;0,COUNTIF(I2071,"21*")&gt;0,COUNTIF(J2071,"*21*")&gt;0,COUNTIF(I2071,"22*")&gt;0,COUNTIF(J2071,"*22*")&gt;0,COUNTIF(I2071,"23*")&gt;0,COUNTIF(J2071,"*23*")&gt;0,COUNTIF(I2071,"24*")&gt;0,COUNTIF(J2071,"*24*")&gt;0,COUNTIF(I2071,"25*")&gt;0,COUNTIF(J2071,"*25*")&gt;0,COUNTIF(I2071,"26*")&gt;0,COUNTIF(J2071,"*26*")&gt;0,COUNTIF(I2071,"27*")&gt;0,COUNTIF(J2071,"*27*")&gt;0,COUNTIF(I2071,"28*")&gt;0,COUNTIF(J2071,"*28*")&gt;0,COUNTIF(I2071,"29*")&gt;0,COUNTIF(J2071,"*29*")&gt;0,COUNTIF(I2071,"30*")&gt;0,COUNTIF(J2071,"*30*")&gt;0,COUNTIF(I2071,"31*")&gt;0,COUNTIF(J2071,"*31*")&gt;0,COUNTIF(I2071,"32*")&gt;0,COUNTIF(J2071,"*32*")&gt;0,COUNTIF(I2071,"33*")&gt;0,COUNTIF(J2071,"*33*")&gt;0,COUNTIF(I2071,"41*")&gt;0,COUNTIF(J2071,"*41*")&gt;0,COUNTIF(I2071,"42*")&gt;0,COUNTIF(J2071,"*42*")&gt;0,COUNTIF(I2071,"43*")&gt;0,COUNTIF(J2071,"*43*")&gt;0,COUNTIF(I2071,"49*")&gt;0,COUNTIF(J2071,"*49*")&gt;0,COUNTIF(I2071,"52*")&gt;0,COUNTIF(J2071,"*52*")&gt;0,COUNTIF(I2071,"55*")&gt;0,COUNTIF(J2071,"*55*")&gt;0,COUNTIF(I2071,"56*")&gt;0,COUNTIF(J2071,"*56*")&gt;0,COUNTIF(I2071,"68*")&gt;0,COUNTIF(J2071,"*68*")&gt;0,COUNTIF(I2071,"78*")&gt;0,COUNTIF(J2071,"*78*")&gt;0,COUNTIF(I2071,"81*")&gt;0,COUNTIF(J2071,"*81*")&gt;0,COUNTIF(I2071,"82*")&gt;0,COUNTIF(J2071,"*82*")&gt;0,COUNTIF(I2071,"64*")&gt;0,COUNTIF(J2071,"*64*")&gt;0,COUNTIF(I2071,"65*")&gt;0,COUNTIF(J2071,"*65*")&gt;0,COUNTIF(I2071,"66*")&gt;0,COUNTIF(J2071,"*66*")&gt;0,COUNTIF(I2071,"61*")&gt;0,COUNTIF(J2071,"*61*")&gt;0,COUNTIF(I2071,"62*")&gt;0,COUNTIF(J2071,"*62*")&gt;0,COUNTIF(I2071,"63*")&gt;0,COUNTIF(J2071,"*63*")&gt;0,COUNTIF(I2071,"85*")&gt;0,COUNTIF(J2071,"*85*")&gt;0,COUNTIF(I2071,"86*")&gt;0,COUNTIF(J2071,"*86*")&gt;0),"Да","Нет"))</f>
        <v/>
      </c>
      <c r="M2071" s="13">
        <f>IF(OR(G2071="",L2071&lt;&gt;"Да"),"",IF(G2071&lt;=100,"До 100",IF(G2071&lt;=200,"До 200",IF(G2071&lt;=500,"До 500","Отдельное КП"))))</f>
        <v/>
      </c>
      <c r="N2071" s="15">
        <f>IF(OR(G2071="",L2071&lt;&gt;"Да"),"",IF(G2071&lt;=100,33600,IF(G2071&lt;=200,62400,IF(G2071&lt;=500,144000,""))))</f>
        <v/>
      </c>
      <c r="O2071" s="16">
        <f>IF(G2071="","",IF(G2071&lt;=15,"1–15",IF(G2071&lt;=30,"16–30",IF(G2071&lt;=50,"31–50",IF(G2071&lt;=100,"51–100",IF(G2071&lt;=150,"101–150",IF(G2071&lt;=200,"151–200",IF(G2071&lt;=500,"201–500","500+"))))))))</f>
        <v/>
      </c>
      <c r="P2071" s="16" t="inlineStr">
        <is>
          <t>Нет совпадения в предоставленной выгрузке ССЧР</t>
        </is>
      </c>
      <c r="Q2071" s="16" t="n"/>
      <c r="R2071" s="16">
        <f>HYPERLINK("https://checko.ru/search?query=3801001629","Чекко: проверить")</f>
        <v/>
      </c>
      <c r="S2071" t="n">
        <v>0</v>
      </c>
    </row>
    <row r="2072" ht="27.75" customHeight="1" s="24">
      <c r="A2072" s="13" t="n">
        <v>5000094521</v>
      </c>
      <c r="B2072" s="13" t="inlineStr">
        <is>
          <t>МКУ ДО "РДМШ" ЗОЛЬСКОГО МУНИЦИПАЛЬНОГО РАЙОНА КБР</t>
        </is>
      </c>
      <c r="C2072" s="13" t="n">
        <v>702007310</v>
      </c>
      <c r="D2072" s="13" t="n"/>
      <c r="E2072" s="13" t="inlineStr">
        <is>
          <t>Не определён</t>
        </is>
      </c>
      <c r="F2072" s="13" t="inlineStr">
        <is>
          <t>702007310</t>
        </is>
      </c>
      <c r="G2072" s="14" t="n"/>
      <c r="H2072" s="14" t="n"/>
      <c r="I2072" s="14" t="n"/>
      <c r="J2072" s="14" t="n"/>
      <c r="K2072" s="13">
        <f>IF(G2072="","",IF(G2072&gt;=22,"Да","Нет"))</f>
        <v/>
      </c>
      <c r="L2072" s="13">
        <f>IF(OR(I2072="",J2072=""),"Не определено",IF(OR(COUNTIF(I2072,"45*")&gt;0,COUNTIF(J2072,"*45*")&gt;0,COUNTIF(I2072,"46*")&gt;0,COUNTIF(J2072,"*46*")&gt;0,COUNTIF(I2072,"47*")&gt;0,COUNTIF(J2072,"*47*")&gt;0,COUNTIF(I2072,"10*")&gt;0,COUNTIF(J2072,"*10*")&gt;0,COUNTIF(I2072,"11*")&gt;0,COUNTIF(J2072,"*11*")&gt;0,COUNTIF(I2072,"12*")&gt;0,COUNTIF(J2072,"*12*")&gt;0,COUNTIF(I2072,"13*")&gt;0,COUNTIF(J2072,"*13*")&gt;0,COUNTIF(I2072,"14*")&gt;0,COUNTIF(J2072,"*14*")&gt;0,COUNTIF(I2072,"15*")&gt;0,COUNTIF(J2072,"*15*")&gt;0,COUNTIF(I2072,"16*")&gt;0,COUNTIF(J2072,"*16*")&gt;0,COUNTIF(I2072,"17*")&gt;0,COUNTIF(J2072,"*17*")&gt;0,COUNTIF(I2072,"18*")&gt;0,COUNTIF(J2072,"*18*")&gt;0,COUNTIF(I2072,"19*")&gt;0,COUNTIF(J2072,"*19*")&gt;0,COUNTIF(I2072,"20*")&gt;0,COUNTIF(J2072,"*20*")&gt;0,COUNTIF(I2072,"21*")&gt;0,COUNTIF(J2072,"*21*")&gt;0,COUNTIF(I2072,"22*")&gt;0,COUNTIF(J2072,"*22*")&gt;0,COUNTIF(I2072,"23*")&gt;0,COUNTIF(J2072,"*23*")&gt;0,COUNTIF(I2072,"24*")&gt;0,COUNTIF(J2072,"*24*")&gt;0,COUNTIF(I2072,"25*")&gt;0,COUNTIF(J2072,"*25*")&gt;0,COUNTIF(I2072,"26*")&gt;0,COUNTIF(J2072,"*26*")&gt;0,COUNTIF(I2072,"27*")&gt;0,COUNTIF(J2072,"*27*")&gt;0,COUNTIF(I2072,"28*")&gt;0,COUNTIF(J2072,"*28*")&gt;0,COUNTIF(I2072,"29*")&gt;0,COUNTIF(J2072,"*29*")&gt;0,COUNTIF(I2072,"30*")&gt;0,COUNTIF(J2072,"*30*")&gt;0,COUNTIF(I2072,"31*")&gt;0,COUNTIF(J2072,"*31*")&gt;0,COUNTIF(I2072,"32*")&gt;0,COUNTIF(J2072,"*32*")&gt;0,COUNTIF(I2072,"33*")&gt;0,COUNTIF(J2072,"*33*")&gt;0,COUNTIF(I2072,"41*")&gt;0,COUNTIF(J2072,"*41*")&gt;0,COUNTIF(I2072,"42*")&gt;0,COUNTIF(J2072,"*42*")&gt;0,COUNTIF(I2072,"43*")&gt;0,COUNTIF(J2072,"*43*")&gt;0,COUNTIF(I2072,"49*")&gt;0,COUNTIF(J2072,"*49*")&gt;0,COUNTIF(I2072,"52*")&gt;0,COUNTIF(J2072,"*52*")&gt;0,COUNTIF(I2072,"55*")&gt;0,COUNTIF(J2072,"*55*")&gt;0,COUNTIF(I2072,"56*")&gt;0,COUNTIF(J2072,"*56*")&gt;0,COUNTIF(I2072,"68*")&gt;0,COUNTIF(J2072,"*68*")&gt;0,COUNTIF(I2072,"78*")&gt;0,COUNTIF(J2072,"*78*")&gt;0,COUNTIF(I2072,"81*")&gt;0,COUNTIF(J2072,"*81*")&gt;0,COUNTIF(I2072,"82*")&gt;0,COUNTIF(J2072,"*82*")&gt;0,COUNTIF(I2072,"64*")&gt;0,COUNTIF(J2072,"*64*")&gt;0,COUNTIF(I2072,"65*")&gt;0,COUNTIF(J2072,"*65*")&gt;0,COUNTIF(I2072,"66*")&gt;0,COUNTIF(J2072,"*66*")&gt;0,COUNTIF(I2072,"61*")&gt;0,COUNTIF(J2072,"*61*")&gt;0,COUNTIF(I2072,"62*")&gt;0,COUNTIF(J2072,"*62*")&gt;0,COUNTIF(I2072,"63*")&gt;0,COUNTIF(J2072,"*63*")&gt;0,COUNTIF(I2072,"85*")&gt;0,COUNTIF(J2072,"*85*")&gt;0,COUNTIF(I2072,"86*")&gt;0,COUNTIF(J2072,"*86*")&gt;0),"Да","Нет"))</f>
        <v/>
      </c>
      <c r="M2072" s="13">
        <f>IF(OR(G2072="",L2072&lt;&gt;"Да"),"",IF(G2072&lt;=100,"До 100",IF(G2072&lt;=200,"До 200",IF(G2072&lt;=500,"До 500","Отдельное КП"))))</f>
        <v/>
      </c>
      <c r="N2072" s="15">
        <f>IF(OR(G2072="",L2072&lt;&gt;"Да"),"",IF(G2072&lt;=100,33600,IF(G2072&lt;=200,62400,IF(G2072&lt;=500,144000,""))))</f>
        <v/>
      </c>
      <c r="O2072" s="16">
        <f>IF(G2072="","",IF(G2072&lt;=15,"1–15",IF(G2072&lt;=30,"16–30",IF(G2072&lt;=50,"31–50",IF(G2072&lt;=100,"51–100",IF(G2072&lt;=150,"101–150",IF(G2072&lt;=200,"151–200",IF(G2072&lt;=500,"201–500","500+"))))))))</f>
        <v/>
      </c>
      <c r="P2072" s="16" t="inlineStr">
        <is>
          <t>Нет совпадения в предоставленной выгрузке ССЧР</t>
        </is>
      </c>
      <c r="Q2072" s="16" t="n"/>
      <c r="R2072" s="16">
        <f>HYPERLINK("https://checko.ru/search?query=3801001629","Чекко: проверить")</f>
        <v/>
      </c>
      <c r="S2072" t="n">
        <v>0</v>
      </c>
    </row>
    <row r="2073" ht="15" customHeight="1" s="24">
      <c r="A2073" s="13" t="n">
        <v>5000094522</v>
      </c>
      <c r="B2073" s="13" t="inlineStr">
        <is>
          <t>МКУ ДО "РЦДО"</t>
        </is>
      </c>
      <c r="C2073" s="13" t="n">
        <v>702007568</v>
      </c>
      <c r="D2073" s="13" t="n"/>
      <c r="E2073" s="13" t="inlineStr">
        <is>
          <t>Не определён</t>
        </is>
      </c>
      <c r="F2073" s="13" t="inlineStr">
        <is>
          <t>702007568</t>
        </is>
      </c>
      <c r="G2073" s="14" t="n"/>
      <c r="H2073" s="14" t="n"/>
      <c r="I2073" s="14" t="n"/>
      <c r="J2073" s="14" t="n"/>
      <c r="K2073" s="13">
        <f>IF(G2073="","",IF(G2073&gt;=22,"Да","Нет"))</f>
        <v/>
      </c>
      <c r="L2073" s="13">
        <f>IF(OR(I2073="",J2073=""),"Не определено",IF(OR(COUNTIF(I2073,"45*")&gt;0,COUNTIF(J2073,"*45*")&gt;0,COUNTIF(I2073,"46*")&gt;0,COUNTIF(J2073,"*46*")&gt;0,COUNTIF(I2073,"47*")&gt;0,COUNTIF(J2073,"*47*")&gt;0,COUNTIF(I2073,"10*")&gt;0,COUNTIF(J2073,"*10*")&gt;0,COUNTIF(I2073,"11*")&gt;0,COUNTIF(J2073,"*11*")&gt;0,COUNTIF(I2073,"12*")&gt;0,COUNTIF(J2073,"*12*")&gt;0,COUNTIF(I2073,"13*")&gt;0,COUNTIF(J2073,"*13*")&gt;0,COUNTIF(I2073,"14*")&gt;0,COUNTIF(J2073,"*14*")&gt;0,COUNTIF(I2073,"15*")&gt;0,COUNTIF(J2073,"*15*")&gt;0,COUNTIF(I2073,"16*")&gt;0,COUNTIF(J2073,"*16*")&gt;0,COUNTIF(I2073,"17*")&gt;0,COUNTIF(J2073,"*17*")&gt;0,COUNTIF(I2073,"18*")&gt;0,COUNTIF(J2073,"*18*")&gt;0,COUNTIF(I2073,"19*")&gt;0,COUNTIF(J2073,"*19*")&gt;0,COUNTIF(I2073,"20*")&gt;0,COUNTIF(J2073,"*20*")&gt;0,COUNTIF(I2073,"21*")&gt;0,COUNTIF(J2073,"*21*")&gt;0,COUNTIF(I2073,"22*")&gt;0,COUNTIF(J2073,"*22*")&gt;0,COUNTIF(I2073,"23*")&gt;0,COUNTIF(J2073,"*23*")&gt;0,COUNTIF(I2073,"24*")&gt;0,COUNTIF(J2073,"*24*")&gt;0,COUNTIF(I2073,"25*")&gt;0,COUNTIF(J2073,"*25*")&gt;0,COUNTIF(I2073,"26*")&gt;0,COUNTIF(J2073,"*26*")&gt;0,COUNTIF(I2073,"27*")&gt;0,COUNTIF(J2073,"*27*")&gt;0,COUNTIF(I2073,"28*")&gt;0,COUNTIF(J2073,"*28*")&gt;0,COUNTIF(I2073,"29*")&gt;0,COUNTIF(J2073,"*29*")&gt;0,COUNTIF(I2073,"30*")&gt;0,COUNTIF(J2073,"*30*")&gt;0,COUNTIF(I2073,"31*")&gt;0,COUNTIF(J2073,"*31*")&gt;0,COUNTIF(I2073,"32*")&gt;0,COUNTIF(J2073,"*32*")&gt;0,COUNTIF(I2073,"33*")&gt;0,COUNTIF(J2073,"*33*")&gt;0,COUNTIF(I2073,"41*")&gt;0,COUNTIF(J2073,"*41*")&gt;0,COUNTIF(I2073,"42*")&gt;0,COUNTIF(J2073,"*42*")&gt;0,COUNTIF(I2073,"43*")&gt;0,COUNTIF(J2073,"*43*")&gt;0,COUNTIF(I2073,"49*")&gt;0,COUNTIF(J2073,"*49*")&gt;0,COUNTIF(I2073,"52*")&gt;0,COUNTIF(J2073,"*52*")&gt;0,COUNTIF(I2073,"55*")&gt;0,COUNTIF(J2073,"*55*")&gt;0,COUNTIF(I2073,"56*")&gt;0,COUNTIF(J2073,"*56*")&gt;0,COUNTIF(I2073,"68*")&gt;0,COUNTIF(J2073,"*68*")&gt;0,COUNTIF(I2073,"78*")&gt;0,COUNTIF(J2073,"*78*")&gt;0,COUNTIF(I2073,"81*")&gt;0,COUNTIF(J2073,"*81*")&gt;0,COUNTIF(I2073,"82*")&gt;0,COUNTIF(J2073,"*82*")&gt;0,COUNTIF(I2073,"64*")&gt;0,COUNTIF(J2073,"*64*")&gt;0,COUNTIF(I2073,"65*")&gt;0,COUNTIF(J2073,"*65*")&gt;0,COUNTIF(I2073,"66*")&gt;0,COUNTIF(J2073,"*66*")&gt;0,COUNTIF(I2073,"61*")&gt;0,COUNTIF(J2073,"*61*")&gt;0,COUNTIF(I2073,"62*")&gt;0,COUNTIF(J2073,"*62*")&gt;0,COUNTIF(I2073,"63*")&gt;0,COUNTIF(J2073,"*63*")&gt;0,COUNTIF(I2073,"85*")&gt;0,COUNTIF(J2073,"*85*")&gt;0,COUNTIF(I2073,"86*")&gt;0,COUNTIF(J2073,"*86*")&gt;0),"Да","Нет"))</f>
        <v/>
      </c>
      <c r="M2073" s="13">
        <f>IF(OR(G2073="",L2073&lt;&gt;"Да"),"",IF(G2073&lt;=100,"До 100",IF(G2073&lt;=200,"До 200",IF(G2073&lt;=500,"До 500","Отдельное КП"))))</f>
        <v/>
      </c>
      <c r="N2073" s="15">
        <f>IF(OR(G2073="",L2073&lt;&gt;"Да"),"",IF(G2073&lt;=100,33600,IF(G2073&lt;=200,62400,IF(G2073&lt;=500,144000,""))))</f>
        <v/>
      </c>
      <c r="O2073" s="16">
        <f>IF(G2073="","",IF(G2073&lt;=15,"1–15",IF(G2073&lt;=30,"16–30",IF(G2073&lt;=50,"31–50",IF(G2073&lt;=100,"51–100",IF(G2073&lt;=150,"101–150",IF(G2073&lt;=200,"151–200",IF(G2073&lt;=500,"201–500","500+"))))))))</f>
        <v/>
      </c>
      <c r="P2073" s="16" t="inlineStr">
        <is>
          <t>Нет совпадения в предоставленной выгрузке ССЧР</t>
        </is>
      </c>
      <c r="Q2073" s="16" t="n"/>
      <c r="R2073" s="16">
        <f>HYPERLINK("https://checko.ru/search?query=3801001629","Чекко: проверить")</f>
        <v/>
      </c>
      <c r="S2073" t="n">
        <v>0</v>
      </c>
    </row>
    <row r="2074" ht="15" customHeight="1" s="24">
      <c r="A2074" s="13" t="n">
        <v>5000094524</v>
      </c>
      <c r="B2074" s="13" t="inlineStr">
        <is>
          <t>МКОУ ДОД "ДОЦ "Алые Зори" им.Джибилова Б.А."</t>
        </is>
      </c>
      <c r="C2074" s="13" t="n">
        <v>702008890</v>
      </c>
      <c r="D2074" s="13" t="n"/>
      <c r="E2074" s="13" t="inlineStr">
        <is>
          <t>Не определён</t>
        </is>
      </c>
      <c r="F2074" s="13" t="inlineStr">
        <is>
          <t>702008890</t>
        </is>
      </c>
      <c r="G2074" s="14" t="n"/>
      <c r="H2074" s="14" t="n"/>
      <c r="I2074" s="14" t="n"/>
      <c r="J2074" s="14" t="n"/>
      <c r="K2074" s="13">
        <f>IF(G2074="","",IF(G2074&gt;=22,"Да","Нет"))</f>
        <v/>
      </c>
      <c r="L2074" s="13">
        <f>IF(OR(I2074="",J2074=""),"Не определено",IF(OR(COUNTIF(I2074,"45*")&gt;0,COUNTIF(J2074,"*45*")&gt;0,COUNTIF(I2074,"46*")&gt;0,COUNTIF(J2074,"*46*")&gt;0,COUNTIF(I2074,"47*")&gt;0,COUNTIF(J2074,"*47*")&gt;0,COUNTIF(I2074,"10*")&gt;0,COUNTIF(J2074,"*10*")&gt;0,COUNTIF(I2074,"11*")&gt;0,COUNTIF(J2074,"*11*")&gt;0,COUNTIF(I2074,"12*")&gt;0,COUNTIF(J2074,"*12*")&gt;0,COUNTIF(I2074,"13*")&gt;0,COUNTIF(J2074,"*13*")&gt;0,COUNTIF(I2074,"14*")&gt;0,COUNTIF(J2074,"*14*")&gt;0,COUNTIF(I2074,"15*")&gt;0,COUNTIF(J2074,"*15*")&gt;0,COUNTIF(I2074,"16*")&gt;0,COUNTIF(J2074,"*16*")&gt;0,COUNTIF(I2074,"17*")&gt;0,COUNTIF(J2074,"*17*")&gt;0,COUNTIF(I2074,"18*")&gt;0,COUNTIF(J2074,"*18*")&gt;0,COUNTIF(I2074,"19*")&gt;0,COUNTIF(J2074,"*19*")&gt;0,COUNTIF(I2074,"20*")&gt;0,COUNTIF(J2074,"*20*")&gt;0,COUNTIF(I2074,"21*")&gt;0,COUNTIF(J2074,"*21*")&gt;0,COUNTIF(I2074,"22*")&gt;0,COUNTIF(J2074,"*22*")&gt;0,COUNTIF(I2074,"23*")&gt;0,COUNTIF(J2074,"*23*")&gt;0,COUNTIF(I2074,"24*")&gt;0,COUNTIF(J2074,"*24*")&gt;0,COUNTIF(I2074,"25*")&gt;0,COUNTIF(J2074,"*25*")&gt;0,COUNTIF(I2074,"26*")&gt;0,COUNTIF(J2074,"*26*")&gt;0,COUNTIF(I2074,"27*")&gt;0,COUNTIF(J2074,"*27*")&gt;0,COUNTIF(I2074,"28*")&gt;0,COUNTIF(J2074,"*28*")&gt;0,COUNTIF(I2074,"29*")&gt;0,COUNTIF(J2074,"*29*")&gt;0,COUNTIF(I2074,"30*")&gt;0,COUNTIF(J2074,"*30*")&gt;0,COUNTIF(I2074,"31*")&gt;0,COUNTIF(J2074,"*31*")&gt;0,COUNTIF(I2074,"32*")&gt;0,COUNTIF(J2074,"*32*")&gt;0,COUNTIF(I2074,"33*")&gt;0,COUNTIF(J2074,"*33*")&gt;0,COUNTIF(I2074,"41*")&gt;0,COUNTIF(J2074,"*41*")&gt;0,COUNTIF(I2074,"42*")&gt;0,COUNTIF(J2074,"*42*")&gt;0,COUNTIF(I2074,"43*")&gt;0,COUNTIF(J2074,"*43*")&gt;0,COUNTIF(I2074,"49*")&gt;0,COUNTIF(J2074,"*49*")&gt;0,COUNTIF(I2074,"52*")&gt;0,COUNTIF(J2074,"*52*")&gt;0,COUNTIF(I2074,"55*")&gt;0,COUNTIF(J2074,"*55*")&gt;0,COUNTIF(I2074,"56*")&gt;0,COUNTIF(J2074,"*56*")&gt;0,COUNTIF(I2074,"68*")&gt;0,COUNTIF(J2074,"*68*")&gt;0,COUNTIF(I2074,"78*")&gt;0,COUNTIF(J2074,"*78*")&gt;0,COUNTIF(I2074,"81*")&gt;0,COUNTIF(J2074,"*81*")&gt;0,COUNTIF(I2074,"82*")&gt;0,COUNTIF(J2074,"*82*")&gt;0,COUNTIF(I2074,"64*")&gt;0,COUNTIF(J2074,"*64*")&gt;0,COUNTIF(I2074,"65*")&gt;0,COUNTIF(J2074,"*65*")&gt;0,COUNTIF(I2074,"66*")&gt;0,COUNTIF(J2074,"*66*")&gt;0,COUNTIF(I2074,"61*")&gt;0,COUNTIF(J2074,"*61*")&gt;0,COUNTIF(I2074,"62*")&gt;0,COUNTIF(J2074,"*62*")&gt;0,COUNTIF(I2074,"63*")&gt;0,COUNTIF(J2074,"*63*")&gt;0,COUNTIF(I2074,"85*")&gt;0,COUNTIF(J2074,"*85*")&gt;0,COUNTIF(I2074,"86*")&gt;0,COUNTIF(J2074,"*86*")&gt;0),"Да","Нет"))</f>
        <v/>
      </c>
      <c r="M2074" s="13">
        <f>IF(OR(G2074="",L2074&lt;&gt;"Да"),"",IF(G2074&lt;=100,"До 100",IF(G2074&lt;=200,"До 200",IF(G2074&lt;=500,"До 500","Отдельное КП"))))</f>
        <v/>
      </c>
      <c r="N2074" s="15">
        <f>IF(OR(G2074="",L2074&lt;&gt;"Да"),"",IF(G2074&lt;=100,33600,IF(G2074&lt;=200,62400,IF(G2074&lt;=500,144000,""))))</f>
        <v/>
      </c>
      <c r="O2074" s="16">
        <f>IF(G2074="","",IF(G2074&lt;=15,"1–15",IF(G2074&lt;=30,"16–30",IF(G2074&lt;=50,"31–50",IF(G2074&lt;=100,"51–100",IF(G2074&lt;=150,"101–150",IF(G2074&lt;=200,"151–200",IF(G2074&lt;=500,"201–500","500+"))))))))</f>
        <v/>
      </c>
      <c r="P2074" s="16" t="inlineStr">
        <is>
          <t>Нет совпадения в предоставленной выгрузке ССЧР</t>
        </is>
      </c>
      <c r="Q2074" s="16" t="n"/>
      <c r="R2074" s="16">
        <f>HYPERLINK("https://checko.ru/search?query=3801001629","Чекко: проверить")</f>
        <v/>
      </c>
      <c r="S2074" t="n">
        <v>0</v>
      </c>
    </row>
    <row r="2075" ht="27.75" customHeight="1" s="24">
      <c r="A2075" s="13" t="n">
        <v>5000094525</v>
      </c>
      <c r="B2075" s="13" t="inlineStr">
        <is>
          <t>Совет местного самоуправления Зольского муниципального района КБР</t>
        </is>
      </c>
      <c r="C2075" s="13" t="n">
        <v>702009766</v>
      </c>
      <c r="D2075" s="13" t="n"/>
      <c r="E2075" s="13" t="inlineStr">
        <is>
          <t>Не определён</t>
        </is>
      </c>
      <c r="F2075" s="13" t="inlineStr">
        <is>
          <t>702009766</t>
        </is>
      </c>
      <c r="G2075" s="14" t="n"/>
      <c r="H2075" s="14" t="n"/>
      <c r="I2075" s="14" t="n"/>
      <c r="J2075" s="14" t="n"/>
      <c r="K2075" s="13">
        <f>IF(G2075="","",IF(G2075&gt;=22,"Да","Нет"))</f>
        <v/>
      </c>
      <c r="L2075" s="13">
        <f>IF(OR(I2075="",J2075=""),"Не определено",IF(OR(COUNTIF(I2075,"45*")&gt;0,COUNTIF(J2075,"*45*")&gt;0,COUNTIF(I2075,"46*")&gt;0,COUNTIF(J2075,"*46*")&gt;0,COUNTIF(I2075,"47*")&gt;0,COUNTIF(J2075,"*47*")&gt;0,COUNTIF(I2075,"10*")&gt;0,COUNTIF(J2075,"*10*")&gt;0,COUNTIF(I2075,"11*")&gt;0,COUNTIF(J2075,"*11*")&gt;0,COUNTIF(I2075,"12*")&gt;0,COUNTIF(J2075,"*12*")&gt;0,COUNTIF(I2075,"13*")&gt;0,COUNTIF(J2075,"*13*")&gt;0,COUNTIF(I2075,"14*")&gt;0,COUNTIF(J2075,"*14*")&gt;0,COUNTIF(I2075,"15*")&gt;0,COUNTIF(J2075,"*15*")&gt;0,COUNTIF(I2075,"16*")&gt;0,COUNTIF(J2075,"*16*")&gt;0,COUNTIF(I2075,"17*")&gt;0,COUNTIF(J2075,"*17*")&gt;0,COUNTIF(I2075,"18*")&gt;0,COUNTIF(J2075,"*18*")&gt;0,COUNTIF(I2075,"19*")&gt;0,COUNTIF(J2075,"*19*")&gt;0,COUNTIF(I2075,"20*")&gt;0,COUNTIF(J2075,"*20*")&gt;0,COUNTIF(I2075,"21*")&gt;0,COUNTIF(J2075,"*21*")&gt;0,COUNTIF(I2075,"22*")&gt;0,COUNTIF(J2075,"*22*")&gt;0,COUNTIF(I2075,"23*")&gt;0,COUNTIF(J2075,"*23*")&gt;0,COUNTIF(I2075,"24*")&gt;0,COUNTIF(J2075,"*24*")&gt;0,COUNTIF(I2075,"25*")&gt;0,COUNTIF(J2075,"*25*")&gt;0,COUNTIF(I2075,"26*")&gt;0,COUNTIF(J2075,"*26*")&gt;0,COUNTIF(I2075,"27*")&gt;0,COUNTIF(J2075,"*27*")&gt;0,COUNTIF(I2075,"28*")&gt;0,COUNTIF(J2075,"*28*")&gt;0,COUNTIF(I2075,"29*")&gt;0,COUNTIF(J2075,"*29*")&gt;0,COUNTIF(I2075,"30*")&gt;0,COUNTIF(J2075,"*30*")&gt;0,COUNTIF(I2075,"31*")&gt;0,COUNTIF(J2075,"*31*")&gt;0,COUNTIF(I2075,"32*")&gt;0,COUNTIF(J2075,"*32*")&gt;0,COUNTIF(I2075,"33*")&gt;0,COUNTIF(J2075,"*33*")&gt;0,COUNTIF(I2075,"41*")&gt;0,COUNTIF(J2075,"*41*")&gt;0,COUNTIF(I2075,"42*")&gt;0,COUNTIF(J2075,"*42*")&gt;0,COUNTIF(I2075,"43*")&gt;0,COUNTIF(J2075,"*43*")&gt;0,COUNTIF(I2075,"49*")&gt;0,COUNTIF(J2075,"*49*")&gt;0,COUNTIF(I2075,"52*")&gt;0,COUNTIF(J2075,"*52*")&gt;0,COUNTIF(I2075,"55*")&gt;0,COUNTIF(J2075,"*55*")&gt;0,COUNTIF(I2075,"56*")&gt;0,COUNTIF(J2075,"*56*")&gt;0,COUNTIF(I2075,"68*")&gt;0,COUNTIF(J2075,"*68*")&gt;0,COUNTIF(I2075,"78*")&gt;0,COUNTIF(J2075,"*78*")&gt;0,COUNTIF(I2075,"81*")&gt;0,COUNTIF(J2075,"*81*")&gt;0,COUNTIF(I2075,"82*")&gt;0,COUNTIF(J2075,"*82*")&gt;0,COUNTIF(I2075,"64*")&gt;0,COUNTIF(J2075,"*64*")&gt;0,COUNTIF(I2075,"65*")&gt;0,COUNTIF(J2075,"*65*")&gt;0,COUNTIF(I2075,"66*")&gt;0,COUNTIF(J2075,"*66*")&gt;0,COUNTIF(I2075,"61*")&gt;0,COUNTIF(J2075,"*61*")&gt;0,COUNTIF(I2075,"62*")&gt;0,COUNTIF(J2075,"*62*")&gt;0,COUNTIF(I2075,"63*")&gt;0,COUNTIF(J2075,"*63*")&gt;0,COUNTIF(I2075,"85*")&gt;0,COUNTIF(J2075,"*85*")&gt;0,COUNTIF(I2075,"86*")&gt;0,COUNTIF(J2075,"*86*")&gt;0),"Да","Нет"))</f>
        <v/>
      </c>
      <c r="M2075" s="13">
        <f>IF(OR(G2075="",L2075&lt;&gt;"Да"),"",IF(G2075&lt;=100,"До 100",IF(G2075&lt;=200,"До 200",IF(G2075&lt;=500,"До 500","Отдельное КП"))))</f>
        <v/>
      </c>
      <c r="N2075" s="15">
        <f>IF(OR(G2075="",L2075&lt;&gt;"Да"),"",IF(G2075&lt;=100,33600,IF(G2075&lt;=200,62400,IF(G2075&lt;=500,144000,""))))</f>
        <v/>
      </c>
      <c r="O2075" s="16">
        <f>IF(G2075="","",IF(G2075&lt;=15,"1–15",IF(G2075&lt;=30,"16–30",IF(G2075&lt;=50,"31–50",IF(G2075&lt;=100,"51–100",IF(G2075&lt;=150,"101–150",IF(G2075&lt;=200,"151–200",IF(G2075&lt;=500,"201–500","500+"))))))))</f>
        <v/>
      </c>
      <c r="P2075" s="16" t="inlineStr">
        <is>
          <t>Нет совпадения в предоставленной выгрузке ССЧР</t>
        </is>
      </c>
      <c r="Q2075" s="16" t="n"/>
      <c r="R2075" s="16">
        <f>HYPERLINK("https://checko.ru/search?query=3801001629","Чекко: проверить")</f>
        <v/>
      </c>
      <c r="S2075" t="n">
        <v>0</v>
      </c>
    </row>
    <row r="2076" ht="15" customHeight="1" s="24">
      <c r="A2076" s="13" t="n">
        <v>5000094526</v>
      </c>
      <c r="B2076" s="13" t="inlineStr">
        <is>
          <t>МКУ КСП ЗМР</t>
        </is>
      </c>
      <c r="C2076" s="13" t="n">
        <v>702009798</v>
      </c>
      <c r="D2076" s="13" t="n"/>
      <c r="E2076" s="13" t="inlineStr">
        <is>
          <t>Не определён</t>
        </is>
      </c>
      <c r="F2076" s="13" t="inlineStr">
        <is>
          <t>702009798</t>
        </is>
      </c>
      <c r="G2076" s="14" t="n"/>
      <c r="H2076" s="14" t="n"/>
      <c r="I2076" s="14" t="n"/>
      <c r="J2076" s="14" t="n"/>
      <c r="K2076" s="13">
        <f>IF(G2076="","",IF(G2076&gt;=22,"Да","Нет"))</f>
        <v/>
      </c>
      <c r="L2076" s="13">
        <f>IF(OR(I2076="",J2076=""),"Не определено",IF(OR(COUNTIF(I2076,"45*")&gt;0,COUNTIF(J2076,"*45*")&gt;0,COUNTIF(I2076,"46*")&gt;0,COUNTIF(J2076,"*46*")&gt;0,COUNTIF(I2076,"47*")&gt;0,COUNTIF(J2076,"*47*")&gt;0,COUNTIF(I2076,"10*")&gt;0,COUNTIF(J2076,"*10*")&gt;0,COUNTIF(I2076,"11*")&gt;0,COUNTIF(J2076,"*11*")&gt;0,COUNTIF(I2076,"12*")&gt;0,COUNTIF(J2076,"*12*")&gt;0,COUNTIF(I2076,"13*")&gt;0,COUNTIF(J2076,"*13*")&gt;0,COUNTIF(I2076,"14*")&gt;0,COUNTIF(J2076,"*14*")&gt;0,COUNTIF(I2076,"15*")&gt;0,COUNTIF(J2076,"*15*")&gt;0,COUNTIF(I2076,"16*")&gt;0,COUNTIF(J2076,"*16*")&gt;0,COUNTIF(I2076,"17*")&gt;0,COUNTIF(J2076,"*17*")&gt;0,COUNTIF(I2076,"18*")&gt;0,COUNTIF(J2076,"*18*")&gt;0,COUNTIF(I2076,"19*")&gt;0,COUNTIF(J2076,"*19*")&gt;0,COUNTIF(I2076,"20*")&gt;0,COUNTIF(J2076,"*20*")&gt;0,COUNTIF(I2076,"21*")&gt;0,COUNTIF(J2076,"*21*")&gt;0,COUNTIF(I2076,"22*")&gt;0,COUNTIF(J2076,"*22*")&gt;0,COUNTIF(I2076,"23*")&gt;0,COUNTIF(J2076,"*23*")&gt;0,COUNTIF(I2076,"24*")&gt;0,COUNTIF(J2076,"*24*")&gt;0,COUNTIF(I2076,"25*")&gt;0,COUNTIF(J2076,"*25*")&gt;0,COUNTIF(I2076,"26*")&gt;0,COUNTIF(J2076,"*26*")&gt;0,COUNTIF(I2076,"27*")&gt;0,COUNTIF(J2076,"*27*")&gt;0,COUNTIF(I2076,"28*")&gt;0,COUNTIF(J2076,"*28*")&gt;0,COUNTIF(I2076,"29*")&gt;0,COUNTIF(J2076,"*29*")&gt;0,COUNTIF(I2076,"30*")&gt;0,COUNTIF(J2076,"*30*")&gt;0,COUNTIF(I2076,"31*")&gt;0,COUNTIF(J2076,"*31*")&gt;0,COUNTIF(I2076,"32*")&gt;0,COUNTIF(J2076,"*32*")&gt;0,COUNTIF(I2076,"33*")&gt;0,COUNTIF(J2076,"*33*")&gt;0,COUNTIF(I2076,"41*")&gt;0,COUNTIF(J2076,"*41*")&gt;0,COUNTIF(I2076,"42*")&gt;0,COUNTIF(J2076,"*42*")&gt;0,COUNTIF(I2076,"43*")&gt;0,COUNTIF(J2076,"*43*")&gt;0,COUNTIF(I2076,"49*")&gt;0,COUNTIF(J2076,"*49*")&gt;0,COUNTIF(I2076,"52*")&gt;0,COUNTIF(J2076,"*52*")&gt;0,COUNTIF(I2076,"55*")&gt;0,COUNTIF(J2076,"*55*")&gt;0,COUNTIF(I2076,"56*")&gt;0,COUNTIF(J2076,"*56*")&gt;0,COUNTIF(I2076,"68*")&gt;0,COUNTIF(J2076,"*68*")&gt;0,COUNTIF(I2076,"78*")&gt;0,COUNTIF(J2076,"*78*")&gt;0,COUNTIF(I2076,"81*")&gt;0,COUNTIF(J2076,"*81*")&gt;0,COUNTIF(I2076,"82*")&gt;0,COUNTIF(J2076,"*82*")&gt;0,COUNTIF(I2076,"64*")&gt;0,COUNTIF(J2076,"*64*")&gt;0,COUNTIF(I2076,"65*")&gt;0,COUNTIF(J2076,"*65*")&gt;0,COUNTIF(I2076,"66*")&gt;0,COUNTIF(J2076,"*66*")&gt;0,COUNTIF(I2076,"61*")&gt;0,COUNTIF(J2076,"*61*")&gt;0,COUNTIF(I2076,"62*")&gt;0,COUNTIF(J2076,"*62*")&gt;0,COUNTIF(I2076,"63*")&gt;0,COUNTIF(J2076,"*63*")&gt;0,COUNTIF(I2076,"85*")&gt;0,COUNTIF(J2076,"*85*")&gt;0,COUNTIF(I2076,"86*")&gt;0,COUNTIF(J2076,"*86*")&gt;0),"Да","Нет"))</f>
        <v/>
      </c>
      <c r="M2076" s="13">
        <f>IF(OR(G2076="",L2076&lt;&gt;"Да"),"",IF(G2076&lt;=100,"До 100",IF(G2076&lt;=200,"До 200",IF(G2076&lt;=500,"До 500","Отдельное КП"))))</f>
        <v/>
      </c>
      <c r="N2076" s="15">
        <f>IF(OR(G2076="",L2076&lt;&gt;"Да"),"",IF(G2076&lt;=100,33600,IF(G2076&lt;=200,62400,IF(G2076&lt;=500,144000,""))))</f>
        <v/>
      </c>
      <c r="O2076" s="16">
        <f>IF(G2076="","",IF(G2076&lt;=15,"1–15",IF(G2076&lt;=30,"16–30",IF(G2076&lt;=50,"31–50",IF(G2076&lt;=100,"51–100",IF(G2076&lt;=150,"101–150",IF(G2076&lt;=200,"151–200",IF(G2076&lt;=500,"201–500","500+"))))))))</f>
        <v/>
      </c>
      <c r="P2076" s="16" t="inlineStr">
        <is>
          <t>Нет совпадения в предоставленной выгрузке ССЧР</t>
        </is>
      </c>
      <c r="Q2076" s="16" t="n"/>
      <c r="R2076" s="16">
        <f>HYPERLINK("https://checko.ru/search?query=3801001629","Чекко: проверить")</f>
        <v/>
      </c>
      <c r="S2076" t="n">
        <v>0</v>
      </c>
    </row>
    <row r="2077" ht="15" customHeight="1" s="24">
      <c r="A2077" s="13" t="n">
        <v>5000094528</v>
      </c>
      <c r="B2077" s="13" t="inlineStr">
        <is>
          <t>ГБУЗ "ЦРБ" Зольского муниципального района</t>
        </is>
      </c>
      <c r="C2077" s="13" t="n">
        <v>702010151</v>
      </c>
      <c r="D2077" s="13" t="n"/>
      <c r="E2077" s="13" t="inlineStr">
        <is>
          <t>Не определён</t>
        </is>
      </c>
      <c r="F2077" s="13" t="inlineStr">
        <is>
          <t>702010151</t>
        </is>
      </c>
      <c r="G2077" s="14" t="n"/>
      <c r="H2077" s="14" t="n"/>
      <c r="I2077" s="14" t="n"/>
      <c r="J2077" s="14" t="n"/>
      <c r="K2077" s="13">
        <f>IF(G2077="","",IF(G2077&gt;=22,"Да","Нет"))</f>
        <v/>
      </c>
      <c r="L2077" s="13">
        <f>IF(OR(I2077="",J2077=""),"Не определено",IF(OR(COUNTIF(I2077,"45*")&gt;0,COUNTIF(J2077,"*45*")&gt;0,COUNTIF(I2077,"46*")&gt;0,COUNTIF(J2077,"*46*")&gt;0,COUNTIF(I2077,"47*")&gt;0,COUNTIF(J2077,"*47*")&gt;0,COUNTIF(I2077,"10*")&gt;0,COUNTIF(J2077,"*10*")&gt;0,COUNTIF(I2077,"11*")&gt;0,COUNTIF(J2077,"*11*")&gt;0,COUNTIF(I2077,"12*")&gt;0,COUNTIF(J2077,"*12*")&gt;0,COUNTIF(I2077,"13*")&gt;0,COUNTIF(J2077,"*13*")&gt;0,COUNTIF(I2077,"14*")&gt;0,COUNTIF(J2077,"*14*")&gt;0,COUNTIF(I2077,"15*")&gt;0,COUNTIF(J2077,"*15*")&gt;0,COUNTIF(I2077,"16*")&gt;0,COUNTIF(J2077,"*16*")&gt;0,COUNTIF(I2077,"17*")&gt;0,COUNTIF(J2077,"*17*")&gt;0,COUNTIF(I2077,"18*")&gt;0,COUNTIF(J2077,"*18*")&gt;0,COUNTIF(I2077,"19*")&gt;0,COUNTIF(J2077,"*19*")&gt;0,COUNTIF(I2077,"20*")&gt;0,COUNTIF(J2077,"*20*")&gt;0,COUNTIF(I2077,"21*")&gt;0,COUNTIF(J2077,"*21*")&gt;0,COUNTIF(I2077,"22*")&gt;0,COUNTIF(J2077,"*22*")&gt;0,COUNTIF(I2077,"23*")&gt;0,COUNTIF(J2077,"*23*")&gt;0,COUNTIF(I2077,"24*")&gt;0,COUNTIF(J2077,"*24*")&gt;0,COUNTIF(I2077,"25*")&gt;0,COUNTIF(J2077,"*25*")&gt;0,COUNTIF(I2077,"26*")&gt;0,COUNTIF(J2077,"*26*")&gt;0,COUNTIF(I2077,"27*")&gt;0,COUNTIF(J2077,"*27*")&gt;0,COUNTIF(I2077,"28*")&gt;0,COUNTIF(J2077,"*28*")&gt;0,COUNTIF(I2077,"29*")&gt;0,COUNTIF(J2077,"*29*")&gt;0,COUNTIF(I2077,"30*")&gt;0,COUNTIF(J2077,"*30*")&gt;0,COUNTIF(I2077,"31*")&gt;0,COUNTIF(J2077,"*31*")&gt;0,COUNTIF(I2077,"32*")&gt;0,COUNTIF(J2077,"*32*")&gt;0,COUNTIF(I2077,"33*")&gt;0,COUNTIF(J2077,"*33*")&gt;0,COUNTIF(I2077,"41*")&gt;0,COUNTIF(J2077,"*41*")&gt;0,COUNTIF(I2077,"42*")&gt;0,COUNTIF(J2077,"*42*")&gt;0,COUNTIF(I2077,"43*")&gt;0,COUNTIF(J2077,"*43*")&gt;0,COUNTIF(I2077,"49*")&gt;0,COUNTIF(J2077,"*49*")&gt;0,COUNTIF(I2077,"52*")&gt;0,COUNTIF(J2077,"*52*")&gt;0,COUNTIF(I2077,"55*")&gt;0,COUNTIF(J2077,"*55*")&gt;0,COUNTIF(I2077,"56*")&gt;0,COUNTIF(J2077,"*56*")&gt;0,COUNTIF(I2077,"68*")&gt;0,COUNTIF(J2077,"*68*")&gt;0,COUNTIF(I2077,"78*")&gt;0,COUNTIF(J2077,"*78*")&gt;0,COUNTIF(I2077,"81*")&gt;0,COUNTIF(J2077,"*81*")&gt;0,COUNTIF(I2077,"82*")&gt;0,COUNTIF(J2077,"*82*")&gt;0,COUNTIF(I2077,"64*")&gt;0,COUNTIF(J2077,"*64*")&gt;0,COUNTIF(I2077,"65*")&gt;0,COUNTIF(J2077,"*65*")&gt;0,COUNTIF(I2077,"66*")&gt;0,COUNTIF(J2077,"*66*")&gt;0,COUNTIF(I2077,"61*")&gt;0,COUNTIF(J2077,"*61*")&gt;0,COUNTIF(I2077,"62*")&gt;0,COUNTIF(J2077,"*62*")&gt;0,COUNTIF(I2077,"63*")&gt;0,COUNTIF(J2077,"*63*")&gt;0,COUNTIF(I2077,"85*")&gt;0,COUNTIF(J2077,"*85*")&gt;0,COUNTIF(I2077,"86*")&gt;0,COUNTIF(J2077,"*86*")&gt;0),"Да","Нет"))</f>
        <v/>
      </c>
      <c r="M2077" s="13">
        <f>IF(OR(G2077="",L2077&lt;&gt;"Да"),"",IF(G2077&lt;=100,"До 100",IF(G2077&lt;=200,"До 200",IF(G2077&lt;=500,"До 500","Отдельное КП"))))</f>
        <v/>
      </c>
      <c r="N2077" s="15">
        <f>IF(OR(G2077="",L2077&lt;&gt;"Да"),"",IF(G2077&lt;=100,33600,IF(G2077&lt;=200,62400,IF(G2077&lt;=500,144000,""))))</f>
        <v/>
      </c>
      <c r="O2077" s="16">
        <f>IF(G2077="","",IF(G2077&lt;=15,"1–15",IF(G2077&lt;=30,"16–30",IF(G2077&lt;=50,"31–50",IF(G2077&lt;=100,"51–100",IF(G2077&lt;=150,"101–150",IF(G2077&lt;=200,"151–200",IF(G2077&lt;=500,"201–500","500+"))))))))</f>
        <v/>
      </c>
      <c r="P2077" s="16" t="inlineStr">
        <is>
          <t>Нет совпадения в предоставленной выгрузке ССЧР</t>
        </is>
      </c>
      <c r="Q2077" s="16" t="n"/>
      <c r="R2077" s="16">
        <f>HYPERLINK("https://checko.ru/search?query=3801001629","Чекко: проверить")</f>
        <v/>
      </c>
      <c r="S2077" t="n">
        <v>0</v>
      </c>
    </row>
    <row r="2078" ht="15" customHeight="1" s="24">
      <c r="A2078" s="13" t="n">
        <v>5000094529</v>
      </c>
      <c r="B2078" s="13" t="inlineStr">
        <is>
          <t>МКУ "Зольский бизнес-инкубатор"</t>
        </is>
      </c>
      <c r="C2078" s="13" t="n">
        <v>702010465</v>
      </c>
      <c r="D2078" s="13" t="n"/>
      <c r="E2078" s="13" t="inlineStr">
        <is>
          <t>Не определён</t>
        </is>
      </c>
      <c r="F2078" s="13" t="inlineStr">
        <is>
          <t>702010465</t>
        </is>
      </c>
      <c r="G2078" s="14" t="n"/>
      <c r="H2078" s="14" t="n"/>
      <c r="I2078" s="14" t="n"/>
      <c r="J2078" s="14" t="n"/>
      <c r="K2078" s="13">
        <f>IF(G2078="","",IF(G2078&gt;=22,"Да","Нет"))</f>
        <v/>
      </c>
      <c r="L2078" s="13">
        <f>IF(OR(I2078="",J2078=""),"Не определено",IF(OR(COUNTIF(I2078,"45*")&gt;0,COUNTIF(J2078,"*45*")&gt;0,COUNTIF(I2078,"46*")&gt;0,COUNTIF(J2078,"*46*")&gt;0,COUNTIF(I2078,"47*")&gt;0,COUNTIF(J2078,"*47*")&gt;0,COUNTIF(I2078,"10*")&gt;0,COUNTIF(J2078,"*10*")&gt;0,COUNTIF(I2078,"11*")&gt;0,COUNTIF(J2078,"*11*")&gt;0,COUNTIF(I2078,"12*")&gt;0,COUNTIF(J2078,"*12*")&gt;0,COUNTIF(I2078,"13*")&gt;0,COUNTIF(J2078,"*13*")&gt;0,COUNTIF(I2078,"14*")&gt;0,COUNTIF(J2078,"*14*")&gt;0,COUNTIF(I2078,"15*")&gt;0,COUNTIF(J2078,"*15*")&gt;0,COUNTIF(I2078,"16*")&gt;0,COUNTIF(J2078,"*16*")&gt;0,COUNTIF(I2078,"17*")&gt;0,COUNTIF(J2078,"*17*")&gt;0,COUNTIF(I2078,"18*")&gt;0,COUNTIF(J2078,"*18*")&gt;0,COUNTIF(I2078,"19*")&gt;0,COUNTIF(J2078,"*19*")&gt;0,COUNTIF(I2078,"20*")&gt;0,COUNTIF(J2078,"*20*")&gt;0,COUNTIF(I2078,"21*")&gt;0,COUNTIF(J2078,"*21*")&gt;0,COUNTIF(I2078,"22*")&gt;0,COUNTIF(J2078,"*22*")&gt;0,COUNTIF(I2078,"23*")&gt;0,COUNTIF(J2078,"*23*")&gt;0,COUNTIF(I2078,"24*")&gt;0,COUNTIF(J2078,"*24*")&gt;0,COUNTIF(I2078,"25*")&gt;0,COUNTIF(J2078,"*25*")&gt;0,COUNTIF(I2078,"26*")&gt;0,COUNTIF(J2078,"*26*")&gt;0,COUNTIF(I2078,"27*")&gt;0,COUNTIF(J2078,"*27*")&gt;0,COUNTIF(I2078,"28*")&gt;0,COUNTIF(J2078,"*28*")&gt;0,COUNTIF(I2078,"29*")&gt;0,COUNTIF(J2078,"*29*")&gt;0,COUNTIF(I2078,"30*")&gt;0,COUNTIF(J2078,"*30*")&gt;0,COUNTIF(I2078,"31*")&gt;0,COUNTIF(J2078,"*31*")&gt;0,COUNTIF(I2078,"32*")&gt;0,COUNTIF(J2078,"*32*")&gt;0,COUNTIF(I2078,"33*")&gt;0,COUNTIF(J2078,"*33*")&gt;0,COUNTIF(I2078,"41*")&gt;0,COUNTIF(J2078,"*41*")&gt;0,COUNTIF(I2078,"42*")&gt;0,COUNTIF(J2078,"*42*")&gt;0,COUNTIF(I2078,"43*")&gt;0,COUNTIF(J2078,"*43*")&gt;0,COUNTIF(I2078,"49*")&gt;0,COUNTIF(J2078,"*49*")&gt;0,COUNTIF(I2078,"52*")&gt;0,COUNTIF(J2078,"*52*")&gt;0,COUNTIF(I2078,"55*")&gt;0,COUNTIF(J2078,"*55*")&gt;0,COUNTIF(I2078,"56*")&gt;0,COUNTIF(J2078,"*56*")&gt;0,COUNTIF(I2078,"68*")&gt;0,COUNTIF(J2078,"*68*")&gt;0,COUNTIF(I2078,"78*")&gt;0,COUNTIF(J2078,"*78*")&gt;0,COUNTIF(I2078,"81*")&gt;0,COUNTIF(J2078,"*81*")&gt;0,COUNTIF(I2078,"82*")&gt;0,COUNTIF(J2078,"*82*")&gt;0,COUNTIF(I2078,"64*")&gt;0,COUNTIF(J2078,"*64*")&gt;0,COUNTIF(I2078,"65*")&gt;0,COUNTIF(J2078,"*65*")&gt;0,COUNTIF(I2078,"66*")&gt;0,COUNTIF(J2078,"*66*")&gt;0,COUNTIF(I2078,"61*")&gt;0,COUNTIF(J2078,"*61*")&gt;0,COUNTIF(I2078,"62*")&gt;0,COUNTIF(J2078,"*62*")&gt;0,COUNTIF(I2078,"63*")&gt;0,COUNTIF(J2078,"*63*")&gt;0,COUNTIF(I2078,"85*")&gt;0,COUNTIF(J2078,"*85*")&gt;0,COUNTIF(I2078,"86*")&gt;0,COUNTIF(J2078,"*86*")&gt;0),"Да","Нет"))</f>
        <v/>
      </c>
      <c r="M2078" s="13">
        <f>IF(OR(G2078="",L2078&lt;&gt;"Да"),"",IF(G2078&lt;=100,"До 100",IF(G2078&lt;=200,"До 200",IF(G2078&lt;=500,"До 500","Отдельное КП"))))</f>
        <v/>
      </c>
      <c r="N2078" s="15">
        <f>IF(OR(G2078="",L2078&lt;&gt;"Да"),"",IF(G2078&lt;=100,33600,IF(G2078&lt;=200,62400,IF(G2078&lt;=500,144000,""))))</f>
        <v/>
      </c>
      <c r="O2078" s="16">
        <f>IF(G2078="","",IF(G2078&lt;=15,"1–15",IF(G2078&lt;=30,"16–30",IF(G2078&lt;=50,"31–50",IF(G2078&lt;=100,"51–100",IF(G2078&lt;=150,"101–150",IF(G2078&lt;=200,"151–200",IF(G2078&lt;=500,"201–500","500+"))))))))</f>
        <v/>
      </c>
      <c r="P2078" s="16" t="inlineStr">
        <is>
          <t>Нет совпадения в предоставленной выгрузке ССЧР</t>
        </is>
      </c>
      <c r="Q2078" s="16" t="n"/>
      <c r="R2078" s="16">
        <f>HYPERLINK("https://checko.ru/search?query=3801001629","Чекко: проверить")</f>
        <v/>
      </c>
      <c r="S2078" t="n">
        <v>0</v>
      </c>
    </row>
    <row r="2079" ht="15" customHeight="1" s="24">
      <c r="A2079" s="13" t="n">
        <v>5000094530</v>
      </c>
      <c r="B2079" s="13" t="inlineStr">
        <is>
          <t>МКДОУ "Детский сад "Родничок"</t>
        </is>
      </c>
      <c r="C2079" s="13" t="n">
        <v>702010602</v>
      </c>
      <c r="D2079" s="13" t="n"/>
      <c r="E2079" s="13" t="inlineStr">
        <is>
          <t>Не определён</t>
        </is>
      </c>
      <c r="F2079" s="13" t="inlineStr">
        <is>
          <t>702010602</t>
        </is>
      </c>
      <c r="G2079" s="14" t="n"/>
      <c r="H2079" s="14" t="n"/>
      <c r="I2079" s="14" t="n"/>
      <c r="J2079" s="14" t="n"/>
      <c r="K2079" s="13">
        <f>IF(G2079="","",IF(G2079&gt;=22,"Да","Нет"))</f>
        <v/>
      </c>
      <c r="L2079" s="13">
        <f>IF(OR(I2079="",J2079=""),"Не определено",IF(OR(COUNTIF(I2079,"45*")&gt;0,COUNTIF(J2079,"*45*")&gt;0,COUNTIF(I2079,"46*")&gt;0,COUNTIF(J2079,"*46*")&gt;0,COUNTIF(I2079,"47*")&gt;0,COUNTIF(J2079,"*47*")&gt;0,COUNTIF(I2079,"10*")&gt;0,COUNTIF(J2079,"*10*")&gt;0,COUNTIF(I2079,"11*")&gt;0,COUNTIF(J2079,"*11*")&gt;0,COUNTIF(I2079,"12*")&gt;0,COUNTIF(J2079,"*12*")&gt;0,COUNTIF(I2079,"13*")&gt;0,COUNTIF(J2079,"*13*")&gt;0,COUNTIF(I2079,"14*")&gt;0,COUNTIF(J2079,"*14*")&gt;0,COUNTIF(I2079,"15*")&gt;0,COUNTIF(J2079,"*15*")&gt;0,COUNTIF(I2079,"16*")&gt;0,COUNTIF(J2079,"*16*")&gt;0,COUNTIF(I2079,"17*")&gt;0,COUNTIF(J2079,"*17*")&gt;0,COUNTIF(I2079,"18*")&gt;0,COUNTIF(J2079,"*18*")&gt;0,COUNTIF(I2079,"19*")&gt;0,COUNTIF(J2079,"*19*")&gt;0,COUNTIF(I2079,"20*")&gt;0,COUNTIF(J2079,"*20*")&gt;0,COUNTIF(I2079,"21*")&gt;0,COUNTIF(J2079,"*21*")&gt;0,COUNTIF(I2079,"22*")&gt;0,COUNTIF(J2079,"*22*")&gt;0,COUNTIF(I2079,"23*")&gt;0,COUNTIF(J2079,"*23*")&gt;0,COUNTIF(I2079,"24*")&gt;0,COUNTIF(J2079,"*24*")&gt;0,COUNTIF(I2079,"25*")&gt;0,COUNTIF(J2079,"*25*")&gt;0,COUNTIF(I2079,"26*")&gt;0,COUNTIF(J2079,"*26*")&gt;0,COUNTIF(I2079,"27*")&gt;0,COUNTIF(J2079,"*27*")&gt;0,COUNTIF(I2079,"28*")&gt;0,COUNTIF(J2079,"*28*")&gt;0,COUNTIF(I2079,"29*")&gt;0,COUNTIF(J2079,"*29*")&gt;0,COUNTIF(I2079,"30*")&gt;0,COUNTIF(J2079,"*30*")&gt;0,COUNTIF(I2079,"31*")&gt;0,COUNTIF(J2079,"*31*")&gt;0,COUNTIF(I2079,"32*")&gt;0,COUNTIF(J2079,"*32*")&gt;0,COUNTIF(I2079,"33*")&gt;0,COUNTIF(J2079,"*33*")&gt;0,COUNTIF(I2079,"41*")&gt;0,COUNTIF(J2079,"*41*")&gt;0,COUNTIF(I2079,"42*")&gt;0,COUNTIF(J2079,"*42*")&gt;0,COUNTIF(I2079,"43*")&gt;0,COUNTIF(J2079,"*43*")&gt;0,COUNTIF(I2079,"49*")&gt;0,COUNTIF(J2079,"*49*")&gt;0,COUNTIF(I2079,"52*")&gt;0,COUNTIF(J2079,"*52*")&gt;0,COUNTIF(I2079,"55*")&gt;0,COUNTIF(J2079,"*55*")&gt;0,COUNTIF(I2079,"56*")&gt;0,COUNTIF(J2079,"*56*")&gt;0,COUNTIF(I2079,"68*")&gt;0,COUNTIF(J2079,"*68*")&gt;0,COUNTIF(I2079,"78*")&gt;0,COUNTIF(J2079,"*78*")&gt;0,COUNTIF(I2079,"81*")&gt;0,COUNTIF(J2079,"*81*")&gt;0,COUNTIF(I2079,"82*")&gt;0,COUNTIF(J2079,"*82*")&gt;0,COUNTIF(I2079,"64*")&gt;0,COUNTIF(J2079,"*64*")&gt;0,COUNTIF(I2079,"65*")&gt;0,COUNTIF(J2079,"*65*")&gt;0,COUNTIF(I2079,"66*")&gt;0,COUNTIF(J2079,"*66*")&gt;0,COUNTIF(I2079,"61*")&gt;0,COUNTIF(J2079,"*61*")&gt;0,COUNTIF(I2079,"62*")&gt;0,COUNTIF(J2079,"*62*")&gt;0,COUNTIF(I2079,"63*")&gt;0,COUNTIF(J2079,"*63*")&gt;0,COUNTIF(I2079,"85*")&gt;0,COUNTIF(J2079,"*85*")&gt;0,COUNTIF(I2079,"86*")&gt;0,COUNTIF(J2079,"*86*")&gt;0),"Да","Нет"))</f>
        <v/>
      </c>
      <c r="M2079" s="13">
        <f>IF(OR(G2079="",L2079&lt;&gt;"Да"),"",IF(G2079&lt;=100,"До 100",IF(G2079&lt;=200,"До 200",IF(G2079&lt;=500,"До 500","Отдельное КП"))))</f>
        <v/>
      </c>
      <c r="N2079" s="15">
        <f>IF(OR(G2079="",L2079&lt;&gt;"Да"),"",IF(G2079&lt;=100,33600,IF(G2079&lt;=200,62400,IF(G2079&lt;=500,144000,""))))</f>
        <v/>
      </c>
      <c r="O2079" s="16">
        <f>IF(G2079="","",IF(G2079&lt;=15,"1–15",IF(G2079&lt;=30,"16–30",IF(G2079&lt;=50,"31–50",IF(G2079&lt;=100,"51–100",IF(G2079&lt;=150,"101–150",IF(G2079&lt;=200,"151–200",IF(G2079&lt;=500,"201–500","500+"))))))))</f>
        <v/>
      </c>
      <c r="P2079" s="16" t="inlineStr">
        <is>
          <t>Нет совпадения в предоставленной выгрузке ССЧР</t>
        </is>
      </c>
      <c r="Q2079" s="16" t="n"/>
      <c r="R2079" s="16">
        <f>HYPERLINK("https://checko.ru/search?query=3801001629","Чекко: проверить")</f>
        <v/>
      </c>
      <c r="S2079" t="n">
        <v>0</v>
      </c>
    </row>
    <row r="2080" ht="15" customHeight="1" s="24">
      <c r="A2080" s="13" t="n">
        <v>5000094532</v>
      </c>
      <c r="B2080" s="13" t="inlineStr">
        <is>
          <t>МКУ "ДОМ КУЛЬТУРЫ Г.П.Залукокоаже"</t>
        </is>
      </c>
      <c r="C2080" s="13" t="n">
        <v>702010634</v>
      </c>
      <c r="D2080" s="13" t="n"/>
      <c r="E2080" s="13" t="inlineStr">
        <is>
          <t>Не определён</t>
        </is>
      </c>
      <c r="F2080" s="13" t="inlineStr">
        <is>
          <t>702010634</t>
        </is>
      </c>
      <c r="G2080" s="14" t="n"/>
      <c r="H2080" s="14" t="n"/>
      <c r="I2080" s="14" t="n"/>
      <c r="J2080" s="14" t="n"/>
      <c r="K2080" s="13">
        <f>IF(G2080="","",IF(G2080&gt;=22,"Да","Нет"))</f>
        <v/>
      </c>
      <c r="L2080" s="13">
        <f>IF(OR(I2080="",J2080=""),"Не определено",IF(OR(COUNTIF(I2080,"45*")&gt;0,COUNTIF(J2080,"*45*")&gt;0,COUNTIF(I2080,"46*")&gt;0,COUNTIF(J2080,"*46*")&gt;0,COUNTIF(I2080,"47*")&gt;0,COUNTIF(J2080,"*47*")&gt;0,COUNTIF(I2080,"10*")&gt;0,COUNTIF(J2080,"*10*")&gt;0,COUNTIF(I2080,"11*")&gt;0,COUNTIF(J2080,"*11*")&gt;0,COUNTIF(I2080,"12*")&gt;0,COUNTIF(J2080,"*12*")&gt;0,COUNTIF(I2080,"13*")&gt;0,COUNTIF(J2080,"*13*")&gt;0,COUNTIF(I2080,"14*")&gt;0,COUNTIF(J2080,"*14*")&gt;0,COUNTIF(I2080,"15*")&gt;0,COUNTIF(J2080,"*15*")&gt;0,COUNTIF(I2080,"16*")&gt;0,COUNTIF(J2080,"*16*")&gt;0,COUNTIF(I2080,"17*")&gt;0,COUNTIF(J2080,"*17*")&gt;0,COUNTIF(I2080,"18*")&gt;0,COUNTIF(J2080,"*18*")&gt;0,COUNTIF(I2080,"19*")&gt;0,COUNTIF(J2080,"*19*")&gt;0,COUNTIF(I2080,"20*")&gt;0,COUNTIF(J2080,"*20*")&gt;0,COUNTIF(I2080,"21*")&gt;0,COUNTIF(J2080,"*21*")&gt;0,COUNTIF(I2080,"22*")&gt;0,COUNTIF(J2080,"*22*")&gt;0,COUNTIF(I2080,"23*")&gt;0,COUNTIF(J2080,"*23*")&gt;0,COUNTIF(I2080,"24*")&gt;0,COUNTIF(J2080,"*24*")&gt;0,COUNTIF(I2080,"25*")&gt;0,COUNTIF(J2080,"*25*")&gt;0,COUNTIF(I2080,"26*")&gt;0,COUNTIF(J2080,"*26*")&gt;0,COUNTIF(I2080,"27*")&gt;0,COUNTIF(J2080,"*27*")&gt;0,COUNTIF(I2080,"28*")&gt;0,COUNTIF(J2080,"*28*")&gt;0,COUNTIF(I2080,"29*")&gt;0,COUNTIF(J2080,"*29*")&gt;0,COUNTIF(I2080,"30*")&gt;0,COUNTIF(J2080,"*30*")&gt;0,COUNTIF(I2080,"31*")&gt;0,COUNTIF(J2080,"*31*")&gt;0,COUNTIF(I2080,"32*")&gt;0,COUNTIF(J2080,"*32*")&gt;0,COUNTIF(I2080,"33*")&gt;0,COUNTIF(J2080,"*33*")&gt;0,COUNTIF(I2080,"41*")&gt;0,COUNTIF(J2080,"*41*")&gt;0,COUNTIF(I2080,"42*")&gt;0,COUNTIF(J2080,"*42*")&gt;0,COUNTIF(I2080,"43*")&gt;0,COUNTIF(J2080,"*43*")&gt;0,COUNTIF(I2080,"49*")&gt;0,COUNTIF(J2080,"*49*")&gt;0,COUNTIF(I2080,"52*")&gt;0,COUNTIF(J2080,"*52*")&gt;0,COUNTIF(I2080,"55*")&gt;0,COUNTIF(J2080,"*55*")&gt;0,COUNTIF(I2080,"56*")&gt;0,COUNTIF(J2080,"*56*")&gt;0,COUNTIF(I2080,"68*")&gt;0,COUNTIF(J2080,"*68*")&gt;0,COUNTIF(I2080,"78*")&gt;0,COUNTIF(J2080,"*78*")&gt;0,COUNTIF(I2080,"81*")&gt;0,COUNTIF(J2080,"*81*")&gt;0,COUNTIF(I2080,"82*")&gt;0,COUNTIF(J2080,"*82*")&gt;0,COUNTIF(I2080,"64*")&gt;0,COUNTIF(J2080,"*64*")&gt;0,COUNTIF(I2080,"65*")&gt;0,COUNTIF(J2080,"*65*")&gt;0,COUNTIF(I2080,"66*")&gt;0,COUNTIF(J2080,"*66*")&gt;0,COUNTIF(I2080,"61*")&gt;0,COUNTIF(J2080,"*61*")&gt;0,COUNTIF(I2080,"62*")&gt;0,COUNTIF(J2080,"*62*")&gt;0,COUNTIF(I2080,"63*")&gt;0,COUNTIF(J2080,"*63*")&gt;0,COUNTIF(I2080,"85*")&gt;0,COUNTIF(J2080,"*85*")&gt;0,COUNTIF(I2080,"86*")&gt;0,COUNTIF(J2080,"*86*")&gt;0),"Да","Нет"))</f>
        <v/>
      </c>
      <c r="M2080" s="13">
        <f>IF(OR(G2080="",L2080&lt;&gt;"Да"),"",IF(G2080&lt;=100,"До 100",IF(G2080&lt;=200,"До 200",IF(G2080&lt;=500,"До 500","Отдельное КП"))))</f>
        <v/>
      </c>
      <c r="N2080" s="15">
        <f>IF(OR(G2080="",L2080&lt;&gt;"Да"),"",IF(G2080&lt;=100,33600,IF(G2080&lt;=200,62400,IF(G2080&lt;=500,144000,""))))</f>
        <v/>
      </c>
      <c r="O2080" s="16">
        <f>IF(G2080="","",IF(G2080&lt;=15,"1–15",IF(G2080&lt;=30,"16–30",IF(G2080&lt;=50,"31–50",IF(G2080&lt;=100,"51–100",IF(G2080&lt;=150,"101–150",IF(G2080&lt;=200,"151–200",IF(G2080&lt;=500,"201–500","500+"))))))))</f>
        <v/>
      </c>
      <c r="P2080" s="16" t="inlineStr">
        <is>
          <t>Нет совпадения в предоставленной выгрузке ССЧР</t>
        </is>
      </c>
      <c r="Q2080" s="16" t="n"/>
      <c r="R2080" s="16">
        <f>HYPERLINK("https://checko.ru/search?query=3801001629","Чекко: проверить")</f>
        <v/>
      </c>
      <c r="S2080" t="n">
        <v>0</v>
      </c>
    </row>
    <row r="2081" ht="15" customHeight="1" s="24">
      <c r="A2081" s="13" t="n">
        <v>5000094533</v>
      </c>
      <c r="B2081" s="13" t="inlineStr">
        <is>
          <t>МКУ "Дом культуры" с.п.Псынадаха</t>
        </is>
      </c>
      <c r="C2081" s="13" t="n">
        <v>702010881</v>
      </c>
      <c r="D2081" s="13" t="n"/>
      <c r="E2081" s="13" t="inlineStr">
        <is>
          <t>Не определён</t>
        </is>
      </c>
      <c r="F2081" s="13" t="inlineStr">
        <is>
          <t>702010881</t>
        </is>
      </c>
      <c r="G2081" s="14" t="n"/>
      <c r="H2081" s="14" t="n"/>
      <c r="I2081" s="14" t="n"/>
      <c r="J2081" s="14" t="n"/>
      <c r="K2081" s="13">
        <f>IF(G2081="","",IF(G2081&gt;=22,"Да","Нет"))</f>
        <v/>
      </c>
      <c r="L2081" s="13">
        <f>IF(OR(I2081="",J2081=""),"Не определено",IF(OR(COUNTIF(I2081,"45*")&gt;0,COUNTIF(J2081,"*45*")&gt;0,COUNTIF(I2081,"46*")&gt;0,COUNTIF(J2081,"*46*")&gt;0,COUNTIF(I2081,"47*")&gt;0,COUNTIF(J2081,"*47*")&gt;0,COUNTIF(I2081,"10*")&gt;0,COUNTIF(J2081,"*10*")&gt;0,COUNTIF(I2081,"11*")&gt;0,COUNTIF(J2081,"*11*")&gt;0,COUNTIF(I2081,"12*")&gt;0,COUNTIF(J2081,"*12*")&gt;0,COUNTIF(I2081,"13*")&gt;0,COUNTIF(J2081,"*13*")&gt;0,COUNTIF(I2081,"14*")&gt;0,COUNTIF(J2081,"*14*")&gt;0,COUNTIF(I2081,"15*")&gt;0,COUNTIF(J2081,"*15*")&gt;0,COUNTIF(I2081,"16*")&gt;0,COUNTIF(J2081,"*16*")&gt;0,COUNTIF(I2081,"17*")&gt;0,COUNTIF(J2081,"*17*")&gt;0,COUNTIF(I2081,"18*")&gt;0,COUNTIF(J2081,"*18*")&gt;0,COUNTIF(I2081,"19*")&gt;0,COUNTIF(J2081,"*19*")&gt;0,COUNTIF(I2081,"20*")&gt;0,COUNTIF(J2081,"*20*")&gt;0,COUNTIF(I2081,"21*")&gt;0,COUNTIF(J2081,"*21*")&gt;0,COUNTIF(I2081,"22*")&gt;0,COUNTIF(J2081,"*22*")&gt;0,COUNTIF(I2081,"23*")&gt;0,COUNTIF(J2081,"*23*")&gt;0,COUNTIF(I2081,"24*")&gt;0,COUNTIF(J2081,"*24*")&gt;0,COUNTIF(I2081,"25*")&gt;0,COUNTIF(J2081,"*25*")&gt;0,COUNTIF(I2081,"26*")&gt;0,COUNTIF(J2081,"*26*")&gt;0,COUNTIF(I2081,"27*")&gt;0,COUNTIF(J2081,"*27*")&gt;0,COUNTIF(I2081,"28*")&gt;0,COUNTIF(J2081,"*28*")&gt;0,COUNTIF(I2081,"29*")&gt;0,COUNTIF(J2081,"*29*")&gt;0,COUNTIF(I2081,"30*")&gt;0,COUNTIF(J2081,"*30*")&gt;0,COUNTIF(I2081,"31*")&gt;0,COUNTIF(J2081,"*31*")&gt;0,COUNTIF(I2081,"32*")&gt;0,COUNTIF(J2081,"*32*")&gt;0,COUNTIF(I2081,"33*")&gt;0,COUNTIF(J2081,"*33*")&gt;0,COUNTIF(I2081,"41*")&gt;0,COUNTIF(J2081,"*41*")&gt;0,COUNTIF(I2081,"42*")&gt;0,COUNTIF(J2081,"*42*")&gt;0,COUNTIF(I2081,"43*")&gt;0,COUNTIF(J2081,"*43*")&gt;0,COUNTIF(I2081,"49*")&gt;0,COUNTIF(J2081,"*49*")&gt;0,COUNTIF(I2081,"52*")&gt;0,COUNTIF(J2081,"*52*")&gt;0,COUNTIF(I2081,"55*")&gt;0,COUNTIF(J2081,"*55*")&gt;0,COUNTIF(I2081,"56*")&gt;0,COUNTIF(J2081,"*56*")&gt;0,COUNTIF(I2081,"68*")&gt;0,COUNTIF(J2081,"*68*")&gt;0,COUNTIF(I2081,"78*")&gt;0,COUNTIF(J2081,"*78*")&gt;0,COUNTIF(I2081,"81*")&gt;0,COUNTIF(J2081,"*81*")&gt;0,COUNTIF(I2081,"82*")&gt;0,COUNTIF(J2081,"*82*")&gt;0,COUNTIF(I2081,"64*")&gt;0,COUNTIF(J2081,"*64*")&gt;0,COUNTIF(I2081,"65*")&gt;0,COUNTIF(J2081,"*65*")&gt;0,COUNTIF(I2081,"66*")&gt;0,COUNTIF(J2081,"*66*")&gt;0,COUNTIF(I2081,"61*")&gt;0,COUNTIF(J2081,"*61*")&gt;0,COUNTIF(I2081,"62*")&gt;0,COUNTIF(J2081,"*62*")&gt;0,COUNTIF(I2081,"63*")&gt;0,COUNTIF(J2081,"*63*")&gt;0,COUNTIF(I2081,"85*")&gt;0,COUNTIF(J2081,"*85*")&gt;0,COUNTIF(I2081,"86*")&gt;0,COUNTIF(J2081,"*86*")&gt;0),"Да","Нет"))</f>
        <v/>
      </c>
      <c r="M2081" s="13">
        <f>IF(OR(G2081="",L2081&lt;&gt;"Да"),"",IF(G2081&lt;=100,"До 100",IF(G2081&lt;=200,"До 200",IF(G2081&lt;=500,"До 500","Отдельное КП"))))</f>
        <v/>
      </c>
      <c r="N2081" s="15">
        <f>IF(OR(G2081="",L2081&lt;&gt;"Да"),"",IF(G2081&lt;=100,33600,IF(G2081&lt;=200,62400,IF(G2081&lt;=500,144000,""))))</f>
        <v/>
      </c>
      <c r="O2081" s="16">
        <f>IF(G2081="","",IF(G2081&lt;=15,"1–15",IF(G2081&lt;=30,"16–30",IF(G2081&lt;=50,"31–50",IF(G2081&lt;=100,"51–100",IF(G2081&lt;=150,"101–150",IF(G2081&lt;=200,"151–200",IF(G2081&lt;=500,"201–500","500+"))))))))</f>
        <v/>
      </c>
      <c r="P2081" s="16" t="inlineStr">
        <is>
          <t>Нет совпадения в предоставленной выгрузке ССЧР</t>
        </is>
      </c>
      <c r="Q2081" s="16" t="n"/>
      <c r="R2081" s="16">
        <f>HYPERLINK("https://checko.ru/search?query=3801001629","Чекко: проверить")</f>
        <v/>
      </c>
      <c r="S2081" t="n">
        <v>0</v>
      </c>
    </row>
    <row r="2082" ht="15" customHeight="1" s="24">
      <c r="A2082" s="13" t="n">
        <v>5000094534</v>
      </c>
      <c r="B2082" s="13" t="inlineStr">
        <is>
          <t>МКУ "ДК" с.п.Малка</t>
        </is>
      </c>
      <c r="C2082" s="13" t="n">
        <v>702010899</v>
      </c>
      <c r="D2082" s="13" t="n"/>
      <c r="E2082" s="13" t="inlineStr">
        <is>
          <t>Не определён</t>
        </is>
      </c>
      <c r="F2082" s="13" t="inlineStr">
        <is>
          <t>702010899</t>
        </is>
      </c>
      <c r="G2082" s="14" t="n"/>
      <c r="H2082" s="14" t="n"/>
      <c r="I2082" s="14" t="n"/>
      <c r="J2082" s="14" t="n"/>
      <c r="K2082" s="13">
        <f>IF(G2082="","",IF(G2082&gt;=22,"Да","Нет"))</f>
        <v/>
      </c>
      <c r="L2082" s="13">
        <f>IF(OR(I2082="",J2082=""),"Не определено",IF(OR(COUNTIF(I2082,"45*")&gt;0,COUNTIF(J2082,"*45*")&gt;0,COUNTIF(I2082,"46*")&gt;0,COUNTIF(J2082,"*46*")&gt;0,COUNTIF(I2082,"47*")&gt;0,COUNTIF(J2082,"*47*")&gt;0,COUNTIF(I2082,"10*")&gt;0,COUNTIF(J2082,"*10*")&gt;0,COUNTIF(I2082,"11*")&gt;0,COUNTIF(J2082,"*11*")&gt;0,COUNTIF(I2082,"12*")&gt;0,COUNTIF(J2082,"*12*")&gt;0,COUNTIF(I2082,"13*")&gt;0,COUNTIF(J2082,"*13*")&gt;0,COUNTIF(I2082,"14*")&gt;0,COUNTIF(J2082,"*14*")&gt;0,COUNTIF(I2082,"15*")&gt;0,COUNTIF(J2082,"*15*")&gt;0,COUNTIF(I2082,"16*")&gt;0,COUNTIF(J2082,"*16*")&gt;0,COUNTIF(I2082,"17*")&gt;0,COUNTIF(J2082,"*17*")&gt;0,COUNTIF(I2082,"18*")&gt;0,COUNTIF(J2082,"*18*")&gt;0,COUNTIF(I2082,"19*")&gt;0,COUNTIF(J2082,"*19*")&gt;0,COUNTIF(I2082,"20*")&gt;0,COUNTIF(J2082,"*20*")&gt;0,COUNTIF(I2082,"21*")&gt;0,COUNTIF(J2082,"*21*")&gt;0,COUNTIF(I2082,"22*")&gt;0,COUNTIF(J2082,"*22*")&gt;0,COUNTIF(I2082,"23*")&gt;0,COUNTIF(J2082,"*23*")&gt;0,COUNTIF(I2082,"24*")&gt;0,COUNTIF(J2082,"*24*")&gt;0,COUNTIF(I2082,"25*")&gt;0,COUNTIF(J2082,"*25*")&gt;0,COUNTIF(I2082,"26*")&gt;0,COUNTIF(J2082,"*26*")&gt;0,COUNTIF(I2082,"27*")&gt;0,COUNTIF(J2082,"*27*")&gt;0,COUNTIF(I2082,"28*")&gt;0,COUNTIF(J2082,"*28*")&gt;0,COUNTIF(I2082,"29*")&gt;0,COUNTIF(J2082,"*29*")&gt;0,COUNTIF(I2082,"30*")&gt;0,COUNTIF(J2082,"*30*")&gt;0,COUNTIF(I2082,"31*")&gt;0,COUNTIF(J2082,"*31*")&gt;0,COUNTIF(I2082,"32*")&gt;0,COUNTIF(J2082,"*32*")&gt;0,COUNTIF(I2082,"33*")&gt;0,COUNTIF(J2082,"*33*")&gt;0,COUNTIF(I2082,"41*")&gt;0,COUNTIF(J2082,"*41*")&gt;0,COUNTIF(I2082,"42*")&gt;0,COUNTIF(J2082,"*42*")&gt;0,COUNTIF(I2082,"43*")&gt;0,COUNTIF(J2082,"*43*")&gt;0,COUNTIF(I2082,"49*")&gt;0,COUNTIF(J2082,"*49*")&gt;0,COUNTIF(I2082,"52*")&gt;0,COUNTIF(J2082,"*52*")&gt;0,COUNTIF(I2082,"55*")&gt;0,COUNTIF(J2082,"*55*")&gt;0,COUNTIF(I2082,"56*")&gt;0,COUNTIF(J2082,"*56*")&gt;0,COUNTIF(I2082,"68*")&gt;0,COUNTIF(J2082,"*68*")&gt;0,COUNTIF(I2082,"78*")&gt;0,COUNTIF(J2082,"*78*")&gt;0,COUNTIF(I2082,"81*")&gt;0,COUNTIF(J2082,"*81*")&gt;0,COUNTIF(I2082,"82*")&gt;0,COUNTIF(J2082,"*82*")&gt;0,COUNTIF(I2082,"64*")&gt;0,COUNTIF(J2082,"*64*")&gt;0,COUNTIF(I2082,"65*")&gt;0,COUNTIF(J2082,"*65*")&gt;0,COUNTIF(I2082,"66*")&gt;0,COUNTIF(J2082,"*66*")&gt;0,COUNTIF(I2082,"61*")&gt;0,COUNTIF(J2082,"*61*")&gt;0,COUNTIF(I2082,"62*")&gt;0,COUNTIF(J2082,"*62*")&gt;0,COUNTIF(I2082,"63*")&gt;0,COUNTIF(J2082,"*63*")&gt;0,COUNTIF(I2082,"85*")&gt;0,COUNTIF(J2082,"*85*")&gt;0,COUNTIF(I2082,"86*")&gt;0,COUNTIF(J2082,"*86*")&gt;0),"Да","Нет"))</f>
        <v/>
      </c>
      <c r="M2082" s="13">
        <f>IF(OR(G2082="",L2082&lt;&gt;"Да"),"",IF(G2082&lt;=100,"До 100",IF(G2082&lt;=200,"До 200",IF(G2082&lt;=500,"До 500","Отдельное КП"))))</f>
        <v/>
      </c>
      <c r="N2082" s="15">
        <f>IF(OR(G2082="",L2082&lt;&gt;"Да"),"",IF(G2082&lt;=100,33600,IF(G2082&lt;=200,62400,IF(G2082&lt;=500,144000,""))))</f>
        <v/>
      </c>
      <c r="O2082" s="16">
        <f>IF(G2082="","",IF(G2082&lt;=15,"1–15",IF(G2082&lt;=30,"16–30",IF(G2082&lt;=50,"31–50",IF(G2082&lt;=100,"51–100",IF(G2082&lt;=150,"101–150",IF(G2082&lt;=200,"151–200",IF(G2082&lt;=500,"201–500","500+"))))))))</f>
        <v/>
      </c>
      <c r="P2082" s="16" t="inlineStr">
        <is>
          <t>Нет совпадения в предоставленной выгрузке ССЧР</t>
        </is>
      </c>
      <c r="Q2082" s="16" t="n"/>
      <c r="R2082" s="16">
        <f>HYPERLINK("https://checko.ru/search?query=3801001629","Чекко: проверить")</f>
        <v/>
      </c>
      <c r="S2082" t="n">
        <v>0</v>
      </c>
    </row>
    <row r="2083" ht="15" customHeight="1" s="24">
      <c r="A2083" s="13" t="n">
        <v>5000094539</v>
      </c>
      <c r="B2083" s="13" t="inlineStr">
        <is>
          <t>МКУ "ДК" с.п. Совхозное</t>
        </is>
      </c>
      <c r="C2083" s="13" t="n">
        <v>702011155</v>
      </c>
      <c r="D2083" s="13" t="n"/>
      <c r="E2083" s="13" t="inlineStr">
        <is>
          <t>Не определён</t>
        </is>
      </c>
      <c r="F2083" s="13" t="inlineStr">
        <is>
          <t>702011155</t>
        </is>
      </c>
      <c r="G2083" s="14" t="n"/>
      <c r="H2083" s="14" t="n"/>
      <c r="I2083" s="14" t="n"/>
      <c r="J2083" s="14" t="n"/>
      <c r="K2083" s="13">
        <f>IF(G2083="","",IF(G2083&gt;=22,"Да","Нет"))</f>
        <v/>
      </c>
      <c r="L2083" s="13">
        <f>IF(OR(I2083="",J2083=""),"Не определено",IF(OR(COUNTIF(I2083,"45*")&gt;0,COUNTIF(J2083,"*45*")&gt;0,COUNTIF(I2083,"46*")&gt;0,COUNTIF(J2083,"*46*")&gt;0,COUNTIF(I2083,"47*")&gt;0,COUNTIF(J2083,"*47*")&gt;0,COUNTIF(I2083,"10*")&gt;0,COUNTIF(J2083,"*10*")&gt;0,COUNTIF(I2083,"11*")&gt;0,COUNTIF(J2083,"*11*")&gt;0,COUNTIF(I2083,"12*")&gt;0,COUNTIF(J2083,"*12*")&gt;0,COUNTIF(I2083,"13*")&gt;0,COUNTIF(J2083,"*13*")&gt;0,COUNTIF(I2083,"14*")&gt;0,COUNTIF(J2083,"*14*")&gt;0,COUNTIF(I2083,"15*")&gt;0,COUNTIF(J2083,"*15*")&gt;0,COUNTIF(I2083,"16*")&gt;0,COUNTIF(J2083,"*16*")&gt;0,COUNTIF(I2083,"17*")&gt;0,COUNTIF(J2083,"*17*")&gt;0,COUNTIF(I2083,"18*")&gt;0,COUNTIF(J2083,"*18*")&gt;0,COUNTIF(I2083,"19*")&gt;0,COUNTIF(J2083,"*19*")&gt;0,COUNTIF(I2083,"20*")&gt;0,COUNTIF(J2083,"*20*")&gt;0,COUNTIF(I2083,"21*")&gt;0,COUNTIF(J2083,"*21*")&gt;0,COUNTIF(I2083,"22*")&gt;0,COUNTIF(J2083,"*22*")&gt;0,COUNTIF(I2083,"23*")&gt;0,COUNTIF(J2083,"*23*")&gt;0,COUNTIF(I2083,"24*")&gt;0,COUNTIF(J2083,"*24*")&gt;0,COUNTIF(I2083,"25*")&gt;0,COUNTIF(J2083,"*25*")&gt;0,COUNTIF(I2083,"26*")&gt;0,COUNTIF(J2083,"*26*")&gt;0,COUNTIF(I2083,"27*")&gt;0,COUNTIF(J2083,"*27*")&gt;0,COUNTIF(I2083,"28*")&gt;0,COUNTIF(J2083,"*28*")&gt;0,COUNTIF(I2083,"29*")&gt;0,COUNTIF(J2083,"*29*")&gt;0,COUNTIF(I2083,"30*")&gt;0,COUNTIF(J2083,"*30*")&gt;0,COUNTIF(I2083,"31*")&gt;0,COUNTIF(J2083,"*31*")&gt;0,COUNTIF(I2083,"32*")&gt;0,COUNTIF(J2083,"*32*")&gt;0,COUNTIF(I2083,"33*")&gt;0,COUNTIF(J2083,"*33*")&gt;0,COUNTIF(I2083,"41*")&gt;0,COUNTIF(J2083,"*41*")&gt;0,COUNTIF(I2083,"42*")&gt;0,COUNTIF(J2083,"*42*")&gt;0,COUNTIF(I2083,"43*")&gt;0,COUNTIF(J2083,"*43*")&gt;0,COUNTIF(I2083,"49*")&gt;0,COUNTIF(J2083,"*49*")&gt;0,COUNTIF(I2083,"52*")&gt;0,COUNTIF(J2083,"*52*")&gt;0,COUNTIF(I2083,"55*")&gt;0,COUNTIF(J2083,"*55*")&gt;0,COUNTIF(I2083,"56*")&gt;0,COUNTIF(J2083,"*56*")&gt;0,COUNTIF(I2083,"68*")&gt;0,COUNTIF(J2083,"*68*")&gt;0,COUNTIF(I2083,"78*")&gt;0,COUNTIF(J2083,"*78*")&gt;0,COUNTIF(I2083,"81*")&gt;0,COUNTIF(J2083,"*81*")&gt;0,COUNTIF(I2083,"82*")&gt;0,COUNTIF(J2083,"*82*")&gt;0,COUNTIF(I2083,"64*")&gt;0,COUNTIF(J2083,"*64*")&gt;0,COUNTIF(I2083,"65*")&gt;0,COUNTIF(J2083,"*65*")&gt;0,COUNTIF(I2083,"66*")&gt;0,COUNTIF(J2083,"*66*")&gt;0,COUNTIF(I2083,"61*")&gt;0,COUNTIF(J2083,"*61*")&gt;0,COUNTIF(I2083,"62*")&gt;0,COUNTIF(J2083,"*62*")&gt;0,COUNTIF(I2083,"63*")&gt;0,COUNTIF(J2083,"*63*")&gt;0,COUNTIF(I2083,"85*")&gt;0,COUNTIF(J2083,"*85*")&gt;0,COUNTIF(I2083,"86*")&gt;0,COUNTIF(J2083,"*86*")&gt;0),"Да","Нет"))</f>
        <v/>
      </c>
      <c r="M2083" s="13">
        <f>IF(OR(G2083="",L2083&lt;&gt;"Да"),"",IF(G2083&lt;=100,"До 100",IF(G2083&lt;=200,"До 200",IF(G2083&lt;=500,"До 500","Отдельное КП"))))</f>
        <v/>
      </c>
      <c r="N2083" s="15">
        <f>IF(OR(G2083="",L2083&lt;&gt;"Да"),"",IF(G2083&lt;=100,33600,IF(G2083&lt;=200,62400,IF(G2083&lt;=500,144000,""))))</f>
        <v/>
      </c>
      <c r="O2083" s="16">
        <f>IF(G2083="","",IF(G2083&lt;=15,"1–15",IF(G2083&lt;=30,"16–30",IF(G2083&lt;=50,"31–50",IF(G2083&lt;=100,"51–100",IF(G2083&lt;=150,"101–150",IF(G2083&lt;=200,"151–200",IF(G2083&lt;=500,"201–500","500+"))))))))</f>
        <v/>
      </c>
      <c r="P2083" s="16" t="inlineStr">
        <is>
          <t>Нет совпадения в предоставленной выгрузке ССЧР</t>
        </is>
      </c>
      <c r="Q2083" s="16" t="n"/>
      <c r="R2083" s="16">
        <f>HYPERLINK("https://checko.ru/search?query=3801001629","Чекко: проверить")</f>
        <v/>
      </c>
      <c r="S2083" t="n">
        <v>0</v>
      </c>
    </row>
    <row r="2084" ht="15" customHeight="1" s="24">
      <c r="A2084" s="13" t="n">
        <v>5000094540</v>
      </c>
      <c r="B2084" s="13" t="inlineStr">
        <is>
          <t>МКУ Дом культуры" с.п. Этоко</t>
        </is>
      </c>
      <c r="C2084" s="13" t="n">
        <v>702011194</v>
      </c>
      <c r="D2084" s="13" t="n"/>
      <c r="E2084" s="13" t="inlineStr">
        <is>
          <t>Не определён</t>
        </is>
      </c>
      <c r="F2084" s="13" t="inlineStr">
        <is>
          <t>702011194</t>
        </is>
      </c>
      <c r="G2084" s="14" t="n"/>
      <c r="H2084" s="14" t="n"/>
      <c r="I2084" s="14" t="n"/>
      <c r="J2084" s="14" t="n"/>
      <c r="K2084" s="13">
        <f>IF(G2084="","",IF(G2084&gt;=22,"Да","Нет"))</f>
        <v/>
      </c>
      <c r="L2084" s="13">
        <f>IF(OR(I2084="",J2084=""),"Не определено",IF(OR(COUNTIF(I2084,"45*")&gt;0,COUNTIF(J2084,"*45*")&gt;0,COUNTIF(I2084,"46*")&gt;0,COUNTIF(J2084,"*46*")&gt;0,COUNTIF(I2084,"47*")&gt;0,COUNTIF(J2084,"*47*")&gt;0,COUNTIF(I2084,"10*")&gt;0,COUNTIF(J2084,"*10*")&gt;0,COUNTIF(I2084,"11*")&gt;0,COUNTIF(J2084,"*11*")&gt;0,COUNTIF(I2084,"12*")&gt;0,COUNTIF(J2084,"*12*")&gt;0,COUNTIF(I2084,"13*")&gt;0,COUNTIF(J2084,"*13*")&gt;0,COUNTIF(I2084,"14*")&gt;0,COUNTIF(J2084,"*14*")&gt;0,COUNTIF(I2084,"15*")&gt;0,COUNTIF(J2084,"*15*")&gt;0,COUNTIF(I2084,"16*")&gt;0,COUNTIF(J2084,"*16*")&gt;0,COUNTIF(I2084,"17*")&gt;0,COUNTIF(J2084,"*17*")&gt;0,COUNTIF(I2084,"18*")&gt;0,COUNTIF(J2084,"*18*")&gt;0,COUNTIF(I2084,"19*")&gt;0,COUNTIF(J2084,"*19*")&gt;0,COUNTIF(I2084,"20*")&gt;0,COUNTIF(J2084,"*20*")&gt;0,COUNTIF(I2084,"21*")&gt;0,COUNTIF(J2084,"*21*")&gt;0,COUNTIF(I2084,"22*")&gt;0,COUNTIF(J2084,"*22*")&gt;0,COUNTIF(I2084,"23*")&gt;0,COUNTIF(J2084,"*23*")&gt;0,COUNTIF(I2084,"24*")&gt;0,COUNTIF(J2084,"*24*")&gt;0,COUNTIF(I2084,"25*")&gt;0,COUNTIF(J2084,"*25*")&gt;0,COUNTIF(I2084,"26*")&gt;0,COUNTIF(J2084,"*26*")&gt;0,COUNTIF(I2084,"27*")&gt;0,COUNTIF(J2084,"*27*")&gt;0,COUNTIF(I2084,"28*")&gt;0,COUNTIF(J2084,"*28*")&gt;0,COUNTIF(I2084,"29*")&gt;0,COUNTIF(J2084,"*29*")&gt;0,COUNTIF(I2084,"30*")&gt;0,COUNTIF(J2084,"*30*")&gt;0,COUNTIF(I2084,"31*")&gt;0,COUNTIF(J2084,"*31*")&gt;0,COUNTIF(I2084,"32*")&gt;0,COUNTIF(J2084,"*32*")&gt;0,COUNTIF(I2084,"33*")&gt;0,COUNTIF(J2084,"*33*")&gt;0,COUNTIF(I2084,"41*")&gt;0,COUNTIF(J2084,"*41*")&gt;0,COUNTIF(I2084,"42*")&gt;0,COUNTIF(J2084,"*42*")&gt;0,COUNTIF(I2084,"43*")&gt;0,COUNTIF(J2084,"*43*")&gt;0,COUNTIF(I2084,"49*")&gt;0,COUNTIF(J2084,"*49*")&gt;0,COUNTIF(I2084,"52*")&gt;0,COUNTIF(J2084,"*52*")&gt;0,COUNTIF(I2084,"55*")&gt;0,COUNTIF(J2084,"*55*")&gt;0,COUNTIF(I2084,"56*")&gt;0,COUNTIF(J2084,"*56*")&gt;0,COUNTIF(I2084,"68*")&gt;0,COUNTIF(J2084,"*68*")&gt;0,COUNTIF(I2084,"78*")&gt;0,COUNTIF(J2084,"*78*")&gt;0,COUNTIF(I2084,"81*")&gt;0,COUNTIF(J2084,"*81*")&gt;0,COUNTIF(I2084,"82*")&gt;0,COUNTIF(J2084,"*82*")&gt;0,COUNTIF(I2084,"64*")&gt;0,COUNTIF(J2084,"*64*")&gt;0,COUNTIF(I2084,"65*")&gt;0,COUNTIF(J2084,"*65*")&gt;0,COUNTIF(I2084,"66*")&gt;0,COUNTIF(J2084,"*66*")&gt;0,COUNTIF(I2084,"61*")&gt;0,COUNTIF(J2084,"*61*")&gt;0,COUNTIF(I2084,"62*")&gt;0,COUNTIF(J2084,"*62*")&gt;0,COUNTIF(I2084,"63*")&gt;0,COUNTIF(J2084,"*63*")&gt;0,COUNTIF(I2084,"85*")&gt;0,COUNTIF(J2084,"*85*")&gt;0,COUNTIF(I2084,"86*")&gt;0,COUNTIF(J2084,"*86*")&gt;0),"Да","Нет"))</f>
        <v/>
      </c>
      <c r="M2084" s="13">
        <f>IF(OR(G2084="",L2084&lt;&gt;"Да"),"",IF(G2084&lt;=100,"До 100",IF(G2084&lt;=200,"До 200",IF(G2084&lt;=500,"До 500","Отдельное КП"))))</f>
        <v/>
      </c>
      <c r="N2084" s="15">
        <f>IF(OR(G2084="",L2084&lt;&gt;"Да"),"",IF(G2084&lt;=100,33600,IF(G2084&lt;=200,62400,IF(G2084&lt;=500,144000,""))))</f>
        <v/>
      </c>
      <c r="O2084" s="16">
        <f>IF(G2084="","",IF(G2084&lt;=15,"1–15",IF(G2084&lt;=30,"16–30",IF(G2084&lt;=50,"31–50",IF(G2084&lt;=100,"51–100",IF(G2084&lt;=150,"101–150",IF(G2084&lt;=200,"151–200",IF(G2084&lt;=500,"201–500","500+"))))))))</f>
        <v/>
      </c>
      <c r="P2084" s="16" t="inlineStr">
        <is>
          <t>Нет совпадения в предоставленной выгрузке ССЧР</t>
        </is>
      </c>
      <c r="Q2084" s="16" t="n"/>
      <c r="R2084" s="16">
        <f>HYPERLINK("https://checko.ru/search?query=3801001629","Чекко: проверить")</f>
        <v/>
      </c>
      <c r="S2084" t="n">
        <v>0</v>
      </c>
    </row>
    <row r="2085" ht="15" customHeight="1" s="24">
      <c r="A2085" s="13" t="n">
        <v>5000094541</v>
      </c>
      <c r="B2085" s="13" t="inlineStr">
        <is>
          <t>МКУ "ДК" с.п. Приречное</t>
        </is>
      </c>
      <c r="C2085" s="13" t="n">
        <v>702011204</v>
      </c>
      <c r="D2085" s="13" t="n"/>
      <c r="E2085" s="13" t="inlineStr">
        <is>
          <t>Не определён</t>
        </is>
      </c>
      <c r="F2085" s="13" t="inlineStr">
        <is>
          <t>702011204</t>
        </is>
      </c>
      <c r="G2085" s="14" t="n"/>
      <c r="H2085" s="14" t="n"/>
      <c r="I2085" s="14" t="n"/>
      <c r="J2085" s="14" t="n"/>
      <c r="K2085" s="13">
        <f>IF(G2085="","",IF(G2085&gt;=22,"Да","Нет"))</f>
        <v/>
      </c>
      <c r="L2085" s="13">
        <f>IF(OR(I2085="",J2085=""),"Не определено",IF(OR(COUNTIF(I2085,"45*")&gt;0,COUNTIF(J2085,"*45*")&gt;0,COUNTIF(I2085,"46*")&gt;0,COUNTIF(J2085,"*46*")&gt;0,COUNTIF(I2085,"47*")&gt;0,COUNTIF(J2085,"*47*")&gt;0,COUNTIF(I2085,"10*")&gt;0,COUNTIF(J2085,"*10*")&gt;0,COUNTIF(I2085,"11*")&gt;0,COUNTIF(J2085,"*11*")&gt;0,COUNTIF(I2085,"12*")&gt;0,COUNTIF(J2085,"*12*")&gt;0,COUNTIF(I2085,"13*")&gt;0,COUNTIF(J2085,"*13*")&gt;0,COUNTIF(I2085,"14*")&gt;0,COUNTIF(J2085,"*14*")&gt;0,COUNTIF(I2085,"15*")&gt;0,COUNTIF(J2085,"*15*")&gt;0,COUNTIF(I2085,"16*")&gt;0,COUNTIF(J2085,"*16*")&gt;0,COUNTIF(I2085,"17*")&gt;0,COUNTIF(J2085,"*17*")&gt;0,COUNTIF(I2085,"18*")&gt;0,COUNTIF(J2085,"*18*")&gt;0,COUNTIF(I2085,"19*")&gt;0,COUNTIF(J2085,"*19*")&gt;0,COUNTIF(I2085,"20*")&gt;0,COUNTIF(J2085,"*20*")&gt;0,COUNTIF(I2085,"21*")&gt;0,COUNTIF(J2085,"*21*")&gt;0,COUNTIF(I2085,"22*")&gt;0,COUNTIF(J2085,"*22*")&gt;0,COUNTIF(I2085,"23*")&gt;0,COUNTIF(J2085,"*23*")&gt;0,COUNTIF(I2085,"24*")&gt;0,COUNTIF(J2085,"*24*")&gt;0,COUNTIF(I2085,"25*")&gt;0,COUNTIF(J2085,"*25*")&gt;0,COUNTIF(I2085,"26*")&gt;0,COUNTIF(J2085,"*26*")&gt;0,COUNTIF(I2085,"27*")&gt;0,COUNTIF(J2085,"*27*")&gt;0,COUNTIF(I2085,"28*")&gt;0,COUNTIF(J2085,"*28*")&gt;0,COUNTIF(I2085,"29*")&gt;0,COUNTIF(J2085,"*29*")&gt;0,COUNTIF(I2085,"30*")&gt;0,COUNTIF(J2085,"*30*")&gt;0,COUNTIF(I2085,"31*")&gt;0,COUNTIF(J2085,"*31*")&gt;0,COUNTIF(I2085,"32*")&gt;0,COUNTIF(J2085,"*32*")&gt;0,COUNTIF(I2085,"33*")&gt;0,COUNTIF(J2085,"*33*")&gt;0,COUNTIF(I2085,"41*")&gt;0,COUNTIF(J2085,"*41*")&gt;0,COUNTIF(I2085,"42*")&gt;0,COUNTIF(J2085,"*42*")&gt;0,COUNTIF(I2085,"43*")&gt;0,COUNTIF(J2085,"*43*")&gt;0,COUNTIF(I2085,"49*")&gt;0,COUNTIF(J2085,"*49*")&gt;0,COUNTIF(I2085,"52*")&gt;0,COUNTIF(J2085,"*52*")&gt;0,COUNTIF(I2085,"55*")&gt;0,COUNTIF(J2085,"*55*")&gt;0,COUNTIF(I2085,"56*")&gt;0,COUNTIF(J2085,"*56*")&gt;0,COUNTIF(I2085,"68*")&gt;0,COUNTIF(J2085,"*68*")&gt;0,COUNTIF(I2085,"78*")&gt;0,COUNTIF(J2085,"*78*")&gt;0,COUNTIF(I2085,"81*")&gt;0,COUNTIF(J2085,"*81*")&gt;0,COUNTIF(I2085,"82*")&gt;0,COUNTIF(J2085,"*82*")&gt;0,COUNTIF(I2085,"64*")&gt;0,COUNTIF(J2085,"*64*")&gt;0,COUNTIF(I2085,"65*")&gt;0,COUNTIF(J2085,"*65*")&gt;0,COUNTIF(I2085,"66*")&gt;0,COUNTIF(J2085,"*66*")&gt;0,COUNTIF(I2085,"61*")&gt;0,COUNTIF(J2085,"*61*")&gt;0,COUNTIF(I2085,"62*")&gt;0,COUNTIF(J2085,"*62*")&gt;0,COUNTIF(I2085,"63*")&gt;0,COUNTIF(J2085,"*63*")&gt;0,COUNTIF(I2085,"85*")&gt;0,COUNTIF(J2085,"*85*")&gt;0,COUNTIF(I2085,"86*")&gt;0,COUNTIF(J2085,"*86*")&gt;0),"Да","Нет"))</f>
        <v/>
      </c>
      <c r="M2085" s="13">
        <f>IF(OR(G2085="",L2085&lt;&gt;"Да"),"",IF(G2085&lt;=100,"До 100",IF(G2085&lt;=200,"До 200",IF(G2085&lt;=500,"До 500","Отдельное КП"))))</f>
        <v/>
      </c>
      <c r="N2085" s="15">
        <f>IF(OR(G2085="",L2085&lt;&gt;"Да"),"",IF(G2085&lt;=100,33600,IF(G2085&lt;=200,62400,IF(G2085&lt;=500,144000,""))))</f>
        <v/>
      </c>
      <c r="O2085" s="16">
        <f>IF(G2085="","",IF(G2085&lt;=15,"1–15",IF(G2085&lt;=30,"16–30",IF(G2085&lt;=50,"31–50",IF(G2085&lt;=100,"51–100",IF(G2085&lt;=150,"101–150",IF(G2085&lt;=200,"151–200",IF(G2085&lt;=500,"201–500","500+"))))))))</f>
        <v/>
      </c>
      <c r="P2085" s="16" t="inlineStr">
        <is>
          <t>Нет совпадения в предоставленной выгрузке ССЧР</t>
        </is>
      </c>
      <c r="Q2085" s="16" t="n"/>
      <c r="R2085" s="16">
        <f>HYPERLINK("https://checko.ru/search?query=3801001629","Чекко: проверить")</f>
        <v/>
      </c>
      <c r="S2085" t="n">
        <v>0</v>
      </c>
    </row>
    <row r="2086" ht="15" customHeight="1" s="24">
      <c r="A2086" s="13" t="n">
        <v>5000094542</v>
      </c>
      <c r="B2086" s="13" t="inlineStr">
        <is>
          <t>МКУ "КДЦ" С.П. Сармаково</t>
        </is>
      </c>
      <c r="C2086" s="13" t="n">
        <v>702011211</v>
      </c>
      <c r="D2086" s="13" t="n"/>
      <c r="E2086" s="13" t="inlineStr">
        <is>
          <t>Не определён</t>
        </is>
      </c>
      <c r="F2086" s="13" t="inlineStr">
        <is>
          <t>702011211</t>
        </is>
      </c>
      <c r="G2086" s="14" t="n"/>
      <c r="H2086" s="14" t="n"/>
      <c r="I2086" s="14" t="n"/>
      <c r="J2086" s="14" t="n"/>
      <c r="K2086" s="13">
        <f>IF(G2086="","",IF(G2086&gt;=22,"Да","Нет"))</f>
        <v/>
      </c>
      <c r="L2086" s="13">
        <f>IF(OR(I2086="",J2086=""),"Не определено",IF(OR(COUNTIF(I2086,"45*")&gt;0,COUNTIF(J2086,"*45*")&gt;0,COUNTIF(I2086,"46*")&gt;0,COUNTIF(J2086,"*46*")&gt;0,COUNTIF(I2086,"47*")&gt;0,COUNTIF(J2086,"*47*")&gt;0,COUNTIF(I2086,"10*")&gt;0,COUNTIF(J2086,"*10*")&gt;0,COUNTIF(I2086,"11*")&gt;0,COUNTIF(J2086,"*11*")&gt;0,COUNTIF(I2086,"12*")&gt;0,COUNTIF(J2086,"*12*")&gt;0,COUNTIF(I2086,"13*")&gt;0,COUNTIF(J2086,"*13*")&gt;0,COUNTIF(I2086,"14*")&gt;0,COUNTIF(J2086,"*14*")&gt;0,COUNTIF(I2086,"15*")&gt;0,COUNTIF(J2086,"*15*")&gt;0,COUNTIF(I2086,"16*")&gt;0,COUNTIF(J2086,"*16*")&gt;0,COUNTIF(I2086,"17*")&gt;0,COUNTIF(J2086,"*17*")&gt;0,COUNTIF(I2086,"18*")&gt;0,COUNTIF(J2086,"*18*")&gt;0,COUNTIF(I2086,"19*")&gt;0,COUNTIF(J2086,"*19*")&gt;0,COUNTIF(I2086,"20*")&gt;0,COUNTIF(J2086,"*20*")&gt;0,COUNTIF(I2086,"21*")&gt;0,COUNTIF(J2086,"*21*")&gt;0,COUNTIF(I2086,"22*")&gt;0,COUNTIF(J2086,"*22*")&gt;0,COUNTIF(I2086,"23*")&gt;0,COUNTIF(J2086,"*23*")&gt;0,COUNTIF(I2086,"24*")&gt;0,COUNTIF(J2086,"*24*")&gt;0,COUNTIF(I2086,"25*")&gt;0,COUNTIF(J2086,"*25*")&gt;0,COUNTIF(I2086,"26*")&gt;0,COUNTIF(J2086,"*26*")&gt;0,COUNTIF(I2086,"27*")&gt;0,COUNTIF(J2086,"*27*")&gt;0,COUNTIF(I2086,"28*")&gt;0,COUNTIF(J2086,"*28*")&gt;0,COUNTIF(I2086,"29*")&gt;0,COUNTIF(J2086,"*29*")&gt;0,COUNTIF(I2086,"30*")&gt;0,COUNTIF(J2086,"*30*")&gt;0,COUNTIF(I2086,"31*")&gt;0,COUNTIF(J2086,"*31*")&gt;0,COUNTIF(I2086,"32*")&gt;0,COUNTIF(J2086,"*32*")&gt;0,COUNTIF(I2086,"33*")&gt;0,COUNTIF(J2086,"*33*")&gt;0,COUNTIF(I2086,"41*")&gt;0,COUNTIF(J2086,"*41*")&gt;0,COUNTIF(I2086,"42*")&gt;0,COUNTIF(J2086,"*42*")&gt;0,COUNTIF(I2086,"43*")&gt;0,COUNTIF(J2086,"*43*")&gt;0,COUNTIF(I2086,"49*")&gt;0,COUNTIF(J2086,"*49*")&gt;0,COUNTIF(I2086,"52*")&gt;0,COUNTIF(J2086,"*52*")&gt;0,COUNTIF(I2086,"55*")&gt;0,COUNTIF(J2086,"*55*")&gt;0,COUNTIF(I2086,"56*")&gt;0,COUNTIF(J2086,"*56*")&gt;0,COUNTIF(I2086,"68*")&gt;0,COUNTIF(J2086,"*68*")&gt;0,COUNTIF(I2086,"78*")&gt;0,COUNTIF(J2086,"*78*")&gt;0,COUNTIF(I2086,"81*")&gt;0,COUNTIF(J2086,"*81*")&gt;0,COUNTIF(I2086,"82*")&gt;0,COUNTIF(J2086,"*82*")&gt;0,COUNTIF(I2086,"64*")&gt;0,COUNTIF(J2086,"*64*")&gt;0,COUNTIF(I2086,"65*")&gt;0,COUNTIF(J2086,"*65*")&gt;0,COUNTIF(I2086,"66*")&gt;0,COUNTIF(J2086,"*66*")&gt;0,COUNTIF(I2086,"61*")&gt;0,COUNTIF(J2086,"*61*")&gt;0,COUNTIF(I2086,"62*")&gt;0,COUNTIF(J2086,"*62*")&gt;0,COUNTIF(I2086,"63*")&gt;0,COUNTIF(J2086,"*63*")&gt;0,COUNTIF(I2086,"85*")&gt;0,COUNTIF(J2086,"*85*")&gt;0,COUNTIF(I2086,"86*")&gt;0,COUNTIF(J2086,"*86*")&gt;0),"Да","Нет"))</f>
        <v/>
      </c>
      <c r="M2086" s="13">
        <f>IF(OR(G2086="",L2086&lt;&gt;"Да"),"",IF(G2086&lt;=100,"До 100",IF(G2086&lt;=200,"До 200",IF(G2086&lt;=500,"До 500","Отдельное КП"))))</f>
        <v/>
      </c>
      <c r="N2086" s="15">
        <f>IF(OR(G2086="",L2086&lt;&gt;"Да"),"",IF(G2086&lt;=100,33600,IF(G2086&lt;=200,62400,IF(G2086&lt;=500,144000,""))))</f>
        <v/>
      </c>
      <c r="O2086" s="16">
        <f>IF(G2086="","",IF(G2086&lt;=15,"1–15",IF(G2086&lt;=30,"16–30",IF(G2086&lt;=50,"31–50",IF(G2086&lt;=100,"51–100",IF(G2086&lt;=150,"101–150",IF(G2086&lt;=200,"151–200",IF(G2086&lt;=500,"201–500","500+"))))))))</f>
        <v/>
      </c>
      <c r="P2086" s="16" t="inlineStr">
        <is>
          <t>Нет совпадения в предоставленной выгрузке ССЧР</t>
        </is>
      </c>
      <c r="Q2086" s="16" t="n"/>
      <c r="R2086" s="16">
        <f>HYPERLINK("https://checko.ru/search?query=3801001629","Чекко: проверить")</f>
        <v/>
      </c>
      <c r="S2086" t="n">
        <v>0</v>
      </c>
    </row>
    <row r="2087" ht="15" customHeight="1" s="24">
      <c r="A2087" s="13" t="n">
        <v>5000094543</v>
      </c>
      <c r="B2087" s="13" t="inlineStr">
        <is>
          <t>МКУ "ДК" с.п.Шордаково</t>
        </is>
      </c>
      <c r="C2087" s="13" t="n">
        <v>702011275</v>
      </c>
      <c r="D2087" s="13" t="n"/>
      <c r="E2087" s="13" t="inlineStr">
        <is>
          <t>Не определён</t>
        </is>
      </c>
      <c r="F2087" s="13" t="inlineStr">
        <is>
          <t>702011275</t>
        </is>
      </c>
      <c r="G2087" s="14" t="n"/>
      <c r="H2087" s="14" t="n"/>
      <c r="I2087" s="14" t="n"/>
      <c r="J2087" s="14" t="n"/>
      <c r="K2087" s="13">
        <f>IF(G2087="","",IF(G2087&gt;=22,"Да","Нет"))</f>
        <v/>
      </c>
      <c r="L2087" s="13">
        <f>IF(OR(I2087="",J2087=""),"Не определено",IF(OR(COUNTIF(I2087,"45*")&gt;0,COUNTIF(J2087,"*45*")&gt;0,COUNTIF(I2087,"46*")&gt;0,COUNTIF(J2087,"*46*")&gt;0,COUNTIF(I2087,"47*")&gt;0,COUNTIF(J2087,"*47*")&gt;0,COUNTIF(I2087,"10*")&gt;0,COUNTIF(J2087,"*10*")&gt;0,COUNTIF(I2087,"11*")&gt;0,COUNTIF(J2087,"*11*")&gt;0,COUNTIF(I2087,"12*")&gt;0,COUNTIF(J2087,"*12*")&gt;0,COUNTIF(I2087,"13*")&gt;0,COUNTIF(J2087,"*13*")&gt;0,COUNTIF(I2087,"14*")&gt;0,COUNTIF(J2087,"*14*")&gt;0,COUNTIF(I2087,"15*")&gt;0,COUNTIF(J2087,"*15*")&gt;0,COUNTIF(I2087,"16*")&gt;0,COUNTIF(J2087,"*16*")&gt;0,COUNTIF(I2087,"17*")&gt;0,COUNTIF(J2087,"*17*")&gt;0,COUNTIF(I2087,"18*")&gt;0,COUNTIF(J2087,"*18*")&gt;0,COUNTIF(I2087,"19*")&gt;0,COUNTIF(J2087,"*19*")&gt;0,COUNTIF(I2087,"20*")&gt;0,COUNTIF(J2087,"*20*")&gt;0,COUNTIF(I2087,"21*")&gt;0,COUNTIF(J2087,"*21*")&gt;0,COUNTIF(I2087,"22*")&gt;0,COUNTIF(J2087,"*22*")&gt;0,COUNTIF(I2087,"23*")&gt;0,COUNTIF(J2087,"*23*")&gt;0,COUNTIF(I2087,"24*")&gt;0,COUNTIF(J2087,"*24*")&gt;0,COUNTIF(I2087,"25*")&gt;0,COUNTIF(J2087,"*25*")&gt;0,COUNTIF(I2087,"26*")&gt;0,COUNTIF(J2087,"*26*")&gt;0,COUNTIF(I2087,"27*")&gt;0,COUNTIF(J2087,"*27*")&gt;0,COUNTIF(I2087,"28*")&gt;0,COUNTIF(J2087,"*28*")&gt;0,COUNTIF(I2087,"29*")&gt;0,COUNTIF(J2087,"*29*")&gt;0,COUNTIF(I2087,"30*")&gt;0,COUNTIF(J2087,"*30*")&gt;0,COUNTIF(I2087,"31*")&gt;0,COUNTIF(J2087,"*31*")&gt;0,COUNTIF(I2087,"32*")&gt;0,COUNTIF(J2087,"*32*")&gt;0,COUNTIF(I2087,"33*")&gt;0,COUNTIF(J2087,"*33*")&gt;0,COUNTIF(I2087,"41*")&gt;0,COUNTIF(J2087,"*41*")&gt;0,COUNTIF(I2087,"42*")&gt;0,COUNTIF(J2087,"*42*")&gt;0,COUNTIF(I2087,"43*")&gt;0,COUNTIF(J2087,"*43*")&gt;0,COUNTIF(I2087,"49*")&gt;0,COUNTIF(J2087,"*49*")&gt;0,COUNTIF(I2087,"52*")&gt;0,COUNTIF(J2087,"*52*")&gt;0,COUNTIF(I2087,"55*")&gt;0,COUNTIF(J2087,"*55*")&gt;0,COUNTIF(I2087,"56*")&gt;0,COUNTIF(J2087,"*56*")&gt;0,COUNTIF(I2087,"68*")&gt;0,COUNTIF(J2087,"*68*")&gt;0,COUNTIF(I2087,"78*")&gt;0,COUNTIF(J2087,"*78*")&gt;0,COUNTIF(I2087,"81*")&gt;0,COUNTIF(J2087,"*81*")&gt;0,COUNTIF(I2087,"82*")&gt;0,COUNTIF(J2087,"*82*")&gt;0,COUNTIF(I2087,"64*")&gt;0,COUNTIF(J2087,"*64*")&gt;0,COUNTIF(I2087,"65*")&gt;0,COUNTIF(J2087,"*65*")&gt;0,COUNTIF(I2087,"66*")&gt;0,COUNTIF(J2087,"*66*")&gt;0,COUNTIF(I2087,"61*")&gt;0,COUNTIF(J2087,"*61*")&gt;0,COUNTIF(I2087,"62*")&gt;0,COUNTIF(J2087,"*62*")&gt;0,COUNTIF(I2087,"63*")&gt;0,COUNTIF(J2087,"*63*")&gt;0,COUNTIF(I2087,"85*")&gt;0,COUNTIF(J2087,"*85*")&gt;0,COUNTIF(I2087,"86*")&gt;0,COUNTIF(J2087,"*86*")&gt;0),"Да","Нет"))</f>
        <v/>
      </c>
      <c r="M2087" s="13">
        <f>IF(OR(G2087="",L2087&lt;&gt;"Да"),"",IF(G2087&lt;=100,"До 100",IF(G2087&lt;=200,"До 200",IF(G2087&lt;=500,"До 500","Отдельное КП"))))</f>
        <v/>
      </c>
      <c r="N2087" s="15">
        <f>IF(OR(G2087="",L2087&lt;&gt;"Да"),"",IF(G2087&lt;=100,33600,IF(G2087&lt;=200,62400,IF(G2087&lt;=500,144000,""))))</f>
        <v/>
      </c>
      <c r="O2087" s="16">
        <f>IF(G2087="","",IF(G2087&lt;=15,"1–15",IF(G2087&lt;=30,"16–30",IF(G2087&lt;=50,"31–50",IF(G2087&lt;=100,"51–100",IF(G2087&lt;=150,"101–150",IF(G2087&lt;=200,"151–200",IF(G2087&lt;=500,"201–500","500+"))))))))</f>
        <v/>
      </c>
      <c r="P2087" s="16" t="inlineStr">
        <is>
          <t>Нет совпадения в предоставленной выгрузке ССЧР</t>
        </is>
      </c>
      <c r="Q2087" s="16" t="n"/>
      <c r="R2087" s="16">
        <f>HYPERLINK("https://checko.ru/search?query=3801001629","Чекко: проверить")</f>
        <v/>
      </c>
      <c r="S2087" t="n">
        <v>0</v>
      </c>
    </row>
    <row r="2088" ht="15" customHeight="1" s="24">
      <c r="A2088" s="13" t="n">
        <v>5000094544</v>
      </c>
      <c r="B2088" s="13" t="inlineStr">
        <is>
          <t>МКУ "ФОК" с.п. Малка</t>
        </is>
      </c>
      <c r="C2088" s="13" t="n">
        <v>702011300</v>
      </c>
      <c r="D2088" s="13" t="n"/>
      <c r="E2088" s="13" t="inlineStr">
        <is>
          <t>Не определён</t>
        </is>
      </c>
      <c r="F2088" s="13" t="inlineStr">
        <is>
          <t>702011300</t>
        </is>
      </c>
      <c r="G2088" s="14" t="n"/>
      <c r="H2088" s="14" t="n"/>
      <c r="I2088" s="14" t="n"/>
      <c r="J2088" s="14" t="n"/>
      <c r="K2088" s="13">
        <f>IF(G2088="","",IF(G2088&gt;=22,"Да","Нет"))</f>
        <v/>
      </c>
      <c r="L2088" s="13">
        <f>IF(OR(I2088="",J2088=""),"Не определено",IF(OR(COUNTIF(I2088,"45*")&gt;0,COUNTIF(J2088,"*45*")&gt;0,COUNTIF(I2088,"46*")&gt;0,COUNTIF(J2088,"*46*")&gt;0,COUNTIF(I2088,"47*")&gt;0,COUNTIF(J2088,"*47*")&gt;0,COUNTIF(I2088,"10*")&gt;0,COUNTIF(J2088,"*10*")&gt;0,COUNTIF(I2088,"11*")&gt;0,COUNTIF(J2088,"*11*")&gt;0,COUNTIF(I2088,"12*")&gt;0,COUNTIF(J2088,"*12*")&gt;0,COUNTIF(I2088,"13*")&gt;0,COUNTIF(J2088,"*13*")&gt;0,COUNTIF(I2088,"14*")&gt;0,COUNTIF(J2088,"*14*")&gt;0,COUNTIF(I2088,"15*")&gt;0,COUNTIF(J2088,"*15*")&gt;0,COUNTIF(I2088,"16*")&gt;0,COUNTIF(J2088,"*16*")&gt;0,COUNTIF(I2088,"17*")&gt;0,COUNTIF(J2088,"*17*")&gt;0,COUNTIF(I2088,"18*")&gt;0,COUNTIF(J2088,"*18*")&gt;0,COUNTIF(I2088,"19*")&gt;0,COUNTIF(J2088,"*19*")&gt;0,COUNTIF(I2088,"20*")&gt;0,COUNTIF(J2088,"*20*")&gt;0,COUNTIF(I2088,"21*")&gt;0,COUNTIF(J2088,"*21*")&gt;0,COUNTIF(I2088,"22*")&gt;0,COUNTIF(J2088,"*22*")&gt;0,COUNTIF(I2088,"23*")&gt;0,COUNTIF(J2088,"*23*")&gt;0,COUNTIF(I2088,"24*")&gt;0,COUNTIF(J2088,"*24*")&gt;0,COUNTIF(I2088,"25*")&gt;0,COUNTIF(J2088,"*25*")&gt;0,COUNTIF(I2088,"26*")&gt;0,COUNTIF(J2088,"*26*")&gt;0,COUNTIF(I2088,"27*")&gt;0,COUNTIF(J2088,"*27*")&gt;0,COUNTIF(I2088,"28*")&gt;0,COUNTIF(J2088,"*28*")&gt;0,COUNTIF(I2088,"29*")&gt;0,COUNTIF(J2088,"*29*")&gt;0,COUNTIF(I2088,"30*")&gt;0,COUNTIF(J2088,"*30*")&gt;0,COUNTIF(I2088,"31*")&gt;0,COUNTIF(J2088,"*31*")&gt;0,COUNTIF(I2088,"32*")&gt;0,COUNTIF(J2088,"*32*")&gt;0,COUNTIF(I2088,"33*")&gt;0,COUNTIF(J2088,"*33*")&gt;0,COUNTIF(I2088,"41*")&gt;0,COUNTIF(J2088,"*41*")&gt;0,COUNTIF(I2088,"42*")&gt;0,COUNTIF(J2088,"*42*")&gt;0,COUNTIF(I2088,"43*")&gt;0,COUNTIF(J2088,"*43*")&gt;0,COUNTIF(I2088,"49*")&gt;0,COUNTIF(J2088,"*49*")&gt;0,COUNTIF(I2088,"52*")&gt;0,COUNTIF(J2088,"*52*")&gt;0,COUNTIF(I2088,"55*")&gt;0,COUNTIF(J2088,"*55*")&gt;0,COUNTIF(I2088,"56*")&gt;0,COUNTIF(J2088,"*56*")&gt;0,COUNTIF(I2088,"68*")&gt;0,COUNTIF(J2088,"*68*")&gt;0,COUNTIF(I2088,"78*")&gt;0,COUNTIF(J2088,"*78*")&gt;0,COUNTIF(I2088,"81*")&gt;0,COUNTIF(J2088,"*81*")&gt;0,COUNTIF(I2088,"82*")&gt;0,COUNTIF(J2088,"*82*")&gt;0,COUNTIF(I2088,"64*")&gt;0,COUNTIF(J2088,"*64*")&gt;0,COUNTIF(I2088,"65*")&gt;0,COUNTIF(J2088,"*65*")&gt;0,COUNTIF(I2088,"66*")&gt;0,COUNTIF(J2088,"*66*")&gt;0,COUNTIF(I2088,"61*")&gt;0,COUNTIF(J2088,"*61*")&gt;0,COUNTIF(I2088,"62*")&gt;0,COUNTIF(J2088,"*62*")&gt;0,COUNTIF(I2088,"63*")&gt;0,COUNTIF(J2088,"*63*")&gt;0,COUNTIF(I2088,"85*")&gt;0,COUNTIF(J2088,"*85*")&gt;0,COUNTIF(I2088,"86*")&gt;0,COUNTIF(J2088,"*86*")&gt;0),"Да","Нет"))</f>
        <v/>
      </c>
      <c r="M2088" s="13">
        <f>IF(OR(G2088="",L2088&lt;&gt;"Да"),"",IF(G2088&lt;=100,"До 100",IF(G2088&lt;=200,"До 200",IF(G2088&lt;=500,"До 500","Отдельное КП"))))</f>
        <v/>
      </c>
      <c r="N2088" s="15">
        <f>IF(OR(G2088="",L2088&lt;&gt;"Да"),"",IF(G2088&lt;=100,33600,IF(G2088&lt;=200,62400,IF(G2088&lt;=500,144000,""))))</f>
        <v/>
      </c>
      <c r="O2088" s="16">
        <f>IF(G2088="","",IF(G2088&lt;=15,"1–15",IF(G2088&lt;=30,"16–30",IF(G2088&lt;=50,"31–50",IF(G2088&lt;=100,"51–100",IF(G2088&lt;=150,"101–150",IF(G2088&lt;=200,"151–200",IF(G2088&lt;=500,"201–500","500+"))))))))</f>
        <v/>
      </c>
      <c r="P2088" s="16" t="inlineStr">
        <is>
          <t>Нет совпадения в предоставленной выгрузке ССЧР</t>
        </is>
      </c>
      <c r="Q2088" s="16" t="n"/>
      <c r="R2088" s="16">
        <f>HYPERLINK("https://checko.ru/search?query=3801001629","Чекко: проверить")</f>
        <v/>
      </c>
      <c r="S2088" t="n">
        <v>0</v>
      </c>
    </row>
    <row r="2089" ht="15" customHeight="1" s="24">
      <c r="A2089" s="13" t="n">
        <v>5000094545</v>
      </c>
      <c r="B2089" s="13" t="inlineStr">
        <is>
          <t>МКУ "ФОК" с.п. Сармаково</t>
        </is>
      </c>
      <c r="C2089" s="13" t="n">
        <v>702011370</v>
      </c>
      <c r="D2089" s="13" t="n"/>
      <c r="E2089" s="13" t="inlineStr">
        <is>
          <t>Не определён</t>
        </is>
      </c>
      <c r="F2089" s="13" t="inlineStr">
        <is>
          <t>702011370</t>
        </is>
      </c>
      <c r="G2089" s="14" t="n"/>
      <c r="H2089" s="14" t="n"/>
      <c r="I2089" s="14" t="n"/>
      <c r="J2089" s="14" t="n"/>
      <c r="K2089" s="13">
        <f>IF(G2089="","",IF(G2089&gt;=22,"Да","Нет"))</f>
        <v/>
      </c>
      <c r="L2089" s="13">
        <f>IF(OR(I2089="",J2089=""),"Не определено",IF(OR(COUNTIF(I2089,"45*")&gt;0,COUNTIF(J2089,"*45*")&gt;0,COUNTIF(I2089,"46*")&gt;0,COUNTIF(J2089,"*46*")&gt;0,COUNTIF(I2089,"47*")&gt;0,COUNTIF(J2089,"*47*")&gt;0,COUNTIF(I2089,"10*")&gt;0,COUNTIF(J2089,"*10*")&gt;0,COUNTIF(I2089,"11*")&gt;0,COUNTIF(J2089,"*11*")&gt;0,COUNTIF(I2089,"12*")&gt;0,COUNTIF(J2089,"*12*")&gt;0,COUNTIF(I2089,"13*")&gt;0,COUNTIF(J2089,"*13*")&gt;0,COUNTIF(I2089,"14*")&gt;0,COUNTIF(J2089,"*14*")&gt;0,COUNTIF(I2089,"15*")&gt;0,COUNTIF(J2089,"*15*")&gt;0,COUNTIF(I2089,"16*")&gt;0,COUNTIF(J2089,"*16*")&gt;0,COUNTIF(I2089,"17*")&gt;0,COUNTIF(J2089,"*17*")&gt;0,COUNTIF(I2089,"18*")&gt;0,COUNTIF(J2089,"*18*")&gt;0,COUNTIF(I2089,"19*")&gt;0,COUNTIF(J2089,"*19*")&gt;0,COUNTIF(I2089,"20*")&gt;0,COUNTIF(J2089,"*20*")&gt;0,COUNTIF(I2089,"21*")&gt;0,COUNTIF(J2089,"*21*")&gt;0,COUNTIF(I2089,"22*")&gt;0,COUNTIF(J2089,"*22*")&gt;0,COUNTIF(I2089,"23*")&gt;0,COUNTIF(J2089,"*23*")&gt;0,COUNTIF(I2089,"24*")&gt;0,COUNTIF(J2089,"*24*")&gt;0,COUNTIF(I2089,"25*")&gt;0,COUNTIF(J2089,"*25*")&gt;0,COUNTIF(I2089,"26*")&gt;0,COUNTIF(J2089,"*26*")&gt;0,COUNTIF(I2089,"27*")&gt;0,COUNTIF(J2089,"*27*")&gt;0,COUNTIF(I2089,"28*")&gt;0,COUNTIF(J2089,"*28*")&gt;0,COUNTIF(I2089,"29*")&gt;0,COUNTIF(J2089,"*29*")&gt;0,COUNTIF(I2089,"30*")&gt;0,COUNTIF(J2089,"*30*")&gt;0,COUNTIF(I2089,"31*")&gt;0,COUNTIF(J2089,"*31*")&gt;0,COUNTIF(I2089,"32*")&gt;0,COUNTIF(J2089,"*32*")&gt;0,COUNTIF(I2089,"33*")&gt;0,COUNTIF(J2089,"*33*")&gt;0,COUNTIF(I2089,"41*")&gt;0,COUNTIF(J2089,"*41*")&gt;0,COUNTIF(I2089,"42*")&gt;0,COUNTIF(J2089,"*42*")&gt;0,COUNTIF(I2089,"43*")&gt;0,COUNTIF(J2089,"*43*")&gt;0,COUNTIF(I2089,"49*")&gt;0,COUNTIF(J2089,"*49*")&gt;0,COUNTIF(I2089,"52*")&gt;0,COUNTIF(J2089,"*52*")&gt;0,COUNTIF(I2089,"55*")&gt;0,COUNTIF(J2089,"*55*")&gt;0,COUNTIF(I2089,"56*")&gt;0,COUNTIF(J2089,"*56*")&gt;0,COUNTIF(I2089,"68*")&gt;0,COUNTIF(J2089,"*68*")&gt;0,COUNTIF(I2089,"78*")&gt;0,COUNTIF(J2089,"*78*")&gt;0,COUNTIF(I2089,"81*")&gt;0,COUNTIF(J2089,"*81*")&gt;0,COUNTIF(I2089,"82*")&gt;0,COUNTIF(J2089,"*82*")&gt;0,COUNTIF(I2089,"64*")&gt;0,COUNTIF(J2089,"*64*")&gt;0,COUNTIF(I2089,"65*")&gt;0,COUNTIF(J2089,"*65*")&gt;0,COUNTIF(I2089,"66*")&gt;0,COUNTIF(J2089,"*66*")&gt;0,COUNTIF(I2089,"61*")&gt;0,COUNTIF(J2089,"*61*")&gt;0,COUNTIF(I2089,"62*")&gt;0,COUNTIF(J2089,"*62*")&gt;0,COUNTIF(I2089,"63*")&gt;0,COUNTIF(J2089,"*63*")&gt;0,COUNTIF(I2089,"85*")&gt;0,COUNTIF(J2089,"*85*")&gt;0,COUNTIF(I2089,"86*")&gt;0,COUNTIF(J2089,"*86*")&gt;0),"Да","Нет"))</f>
        <v/>
      </c>
      <c r="M2089" s="13">
        <f>IF(OR(G2089="",L2089&lt;&gt;"Да"),"",IF(G2089&lt;=100,"До 100",IF(G2089&lt;=200,"До 200",IF(G2089&lt;=500,"До 500","Отдельное КП"))))</f>
        <v/>
      </c>
      <c r="N2089" s="15">
        <f>IF(OR(G2089="",L2089&lt;&gt;"Да"),"",IF(G2089&lt;=100,33600,IF(G2089&lt;=200,62400,IF(G2089&lt;=500,144000,""))))</f>
        <v/>
      </c>
      <c r="O2089" s="16">
        <f>IF(G2089="","",IF(G2089&lt;=15,"1–15",IF(G2089&lt;=30,"16–30",IF(G2089&lt;=50,"31–50",IF(G2089&lt;=100,"51–100",IF(G2089&lt;=150,"101–150",IF(G2089&lt;=200,"151–200",IF(G2089&lt;=500,"201–500","500+"))))))))</f>
        <v/>
      </c>
      <c r="P2089" s="16" t="inlineStr">
        <is>
          <t>Нет совпадения в предоставленной выгрузке ССЧР</t>
        </is>
      </c>
      <c r="Q2089" s="16" t="n"/>
      <c r="R2089" s="16">
        <f>HYPERLINK("https://checko.ru/search?query=3801001629","Чекко: проверить")</f>
        <v/>
      </c>
      <c r="S2089" t="n">
        <v>0</v>
      </c>
    </row>
    <row r="2090" ht="27.75" customHeight="1" s="24">
      <c r="A2090" s="13" t="n">
        <v>5000094546</v>
      </c>
      <c r="B2090" s="13" t="inlineStr">
        <is>
          <t>МКУ "СШ"Арена" Зольского муниципального района КБР</t>
        </is>
      </c>
      <c r="C2090" s="13" t="n">
        <v>702011606</v>
      </c>
      <c r="D2090" s="13" t="n"/>
      <c r="E2090" s="13" t="inlineStr">
        <is>
          <t>Не определён</t>
        </is>
      </c>
      <c r="F2090" s="13" t="inlineStr">
        <is>
          <t>702011606</t>
        </is>
      </c>
      <c r="G2090" s="14" t="n"/>
      <c r="H2090" s="14" t="n"/>
      <c r="I2090" s="14" t="n"/>
      <c r="J2090" s="14" t="n"/>
      <c r="K2090" s="13">
        <f>IF(G2090="","",IF(G2090&gt;=22,"Да","Нет"))</f>
        <v/>
      </c>
      <c r="L2090" s="13">
        <f>IF(OR(I2090="",J2090=""),"Не определено",IF(OR(COUNTIF(I2090,"45*")&gt;0,COUNTIF(J2090,"*45*")&gt;0,COUNTIF(I2090,"46*")&gt;0,COUNTIF(J2090,"*46*")&gt;0,COUNTIF(I2090,"47*")&gt;0,COUNTIF(J2090,"*47*")&gt;0,COUNTIF(I2090,"10*")&gt;0,COUNTIF(J2090,"*10*")&gt;0,COUNTIF(I2090,"11*")&gt;0,COUNTIF(J2090,"*11*")&gt;0,COUNTIF(I2090,"12*")&gt;0,COUNTIF(J2090,"*12*")&gt;0,COUNTIF(I2090,"13*")&gt;0,COUNTIF(J2090,"*13*")&gt;0,COUNTIF(I2090,"14*")&gt;0,COUNTIF(J2090,"*14*")&gt;0,COUNTIF(I2090,"15*")&gt;0,COUNTIF(J2090,"*15*")&gt;0,COUNTIF(I2090,"16*")&gt;0,COUNTIF(J2090,"*16*")&gt;0,COUNTIF(I2090,"17*")&gt;0,COUNTIF(J2090,"*17*")&gt;0,COUNTIF(I2090,"18*")&gt;0,COUNTIF(J2090,"*18*")&gt;0,COUNTIF(I2090,"19*")&gt;0,COUNTIF(J2090,"*19*")&gt;0,COUNTIF(I2090,"20*")&gt;0,COUNTIF(J2090,"*20*")&gt;0,COUNTIF(I2090,"21*")&gt;0,COUNTIF(J2090,"*21*")&gt;0,COUNTIF(I2090,"22*")&gt;0,COUNTIF(J2090,"*22*")&gt;0,COUNTIF(I2090,"23*")&gt;0,COUNTIF(J2090,"*23*")&gt;0,COUNTIF(I2090,"24*")&gt;0,COUNTIF(J2090,"*24*")&gt;0,COUNTIF(I2090,"25*")&gt;0,COUNTIF(J2090,"*25*")&gt;0,COUNTIF(I2090,"26*")&gt;0,COUNTIF(J2090,"*26*")&gt;0,COUNTIF(I2090,"27*")&gt;0,COUNTIF(J2090,"*27*")&gt;0,COUNTIF(I2090,"28*")&gt;0,COUNTIF(J2090,"*28*")&gt;0,COUNTIF(I2090,"29*")&gt;0,COUNTIF(J2090,"*29*")&gt;0,COUNTIF(I2090,"30*")&gt;0,COUNTIF(J2090,"*30*")&gt;0,COUNTIF(I2090,"31*")&gt;0,COUNTIF(J2090,"*31*")&gt;0,COUNTIF(I2090,"32*")&gt;0,COUNTIF(J2090,"*32*")&gt;0,COUNTIF(I2090,"33*")&gt;0,COUNTIF(J2090,"*33*")&gt;0,COUNTIF(I2090,"41*")&gt;0,COUNTIF(J2090,"*41*")&gt;0,COUNTIF(I2090,"42*")&gt;0,COUNTIF(J2090,"*42*")&gt;0,COUNTIF(I2090,"43*")&gt;0,COUNTIF(J2090,"*43*")&gt;0,COUNTIF(I2090,"49*")&gt;0,COUNTIF(J2090,"*49*")&gt;0,COUNTIF(I2090,"52*")&gt;0,COUNTIF(J2090,"*52*")&gt;0,COUNTIF(I2090,"55*")&gt;0,COUNTIF(J2090,"*55*")&gt;0,COUNTIF(I2090,"56*")&gt;0,COUNTIF(J2090,"*56*")&gt;0,COUNTIF(I2090,"68*")&gt;0,COUNTIF(J2090,"*68*")&gt;0,COUNTIF(I2090,"78*")&gt;0,COUNTIF(J2090,"*78*")&gt;0,COUNTIF(I2090,"81*")&gt;0,COUNTIF(J2090,"*81*")&gt;0,COUNTIF(I2090,"82*")&gt;0,COUNTIF(J2090,"*82*")&gt;0,COUNTIF(I2090,"64*")&gt;0,COUNTIF(J2090,"*64*")&gt;0,COUNTIF(I2090,"65*")&gt;0,COUNTIF(J2090,"*65*")&gt;0,COUNTIF(I2090,"66*")&gt;0,COUNTIF(J2090,"*66*")&gt;0,COUNTIF(I2090,"61*")&gt;0,COUNTIF(J2090,"*61*")&gt;0,COUNTIF(I2090,"62*")&gt;0,COUNTIF(J2090,"*62*")&gt;0,COUNTIF(I2090,"63*")&gt;0,COUNTIF(J2090,"*63*")&gt;0,COUNTIF(I2090,"85*")&gt;0,COUNTIF(J2090,"*85*")&gt;0,COUNTIF(I2090,"86*")&gt;0,COUNTIF(J2090,"*86*")&gt;0),"Да","Нет"))</f>
        <v/>
      </c>
      <c r="M2090" s="13">
        <f>IF(OR(G2090="",L2090&lt;&gt;"Да"),"",IF(G2090&lt;=100,"До 100",IF(G2090&lt;=200,"До 200",IF(G2090&lt;=500,"До 500","Отдельное КП"))))</f>
        <v/>
      </c>
      <c r="N2090" s="15">
        <f>IF(OR(G2090="",L2090&lt;&gt;"Да"),"",IF(G2090&lt;=100,33600,IF(G2090&lt;=200,62400,IF(G2090&lt;=500,144000,""))))</f>
        <v/>
      </c>
      <c r="O2090" s="16">
        <f>IF(G2090="","",IF(G2090&lt;=15,"1–15",IF(G2090&lt;=30,"16–30",IF(G2090&lt;=50,"31–50",IF(G2090&lt;=100,"51–100",IF(G2090&lt;=150,"101–150",IF(G2090&lt;=200,"151–200",IF(G2090&lt;=500,"201–500","500+"))))))))</f>
        <v/>
      </c>
      <c r="P2090" s="16" t="inlineStr">
        <is>
          <t>Нет совпадения в предоставленной выгрузке ССЧР</t>
        </is>
      </c>
      <c r="Q2090" s="16" t="n"/>
      <c r="R2090" s="16">
        <f>HYPERLINK("https://checko.ru/search?query=3801001629","Чекко: проверить")</f>
        <v/>
      </c>
      <c r="S2090" t="n">
        <v>0</v>
      </c>
    </row>
    <row r="2091" ht="15" customHeight="1" s="24">
      <c r="A2091" s="13" t="n">
        <v>5000094547</v>
      </c>
      <c r="B2091" s="13" t="inlineStr">
        <is>
          <t>МКУ "ИСТОРИКО-КРАЕВЕДЧЕСКИЙ МУЗЕЙ"</t>
        </is>
      </c>
      <c r="C2091" s="13" t="n">
        <v>702011797</v>
      </c>
      <c r="D2091" s="13" t="n"/>
      <c r="E2091" s="13" t="inlineStr">
        <is>
          <t>Не определён</t>
        </is>
      </c>
      <c r="F2091" s="13" t="inlineStr">
        <is>
          <t>702011797</t>
        </is>
      </c>
      <c r="G2091" s="14" t="n"/>
      <c r="H2091" s="14" t="n"/>
      <c r="I2091" s="14" t="n"/>
      <c r="J2091" s="14" t="n"/>
      <c r="K2091" s="13">
        <f>IF(G2091="","",IF(G2091&gt;=22,"Да","Нет"))</f>
        <v/>
      </c>
      <c r="L2091" s="13">
        <f>IF(OR(I2091="",J2091=""),"Не определено",IF(OR(COUNTIF(I2091,"45*")&gt;0,COUNTIF(J2091,"*45*")&gt;0,COUNTIF(I2091,"46*")&gt;0,COUNTIF(J2091,"*46*")&gt;0,COUNTIF(I2091,"47*")&gt;0,COUNTIF(J2091,"*47*")&gt;0,COUNTIF(I2091,"10*")&gt;0,COUNTIF(J2091,"*10*")&gt;0,COUNTIF(I2091,"11*")&gt;0,COUNTIF(J2091,"*11*")&gt;0,COUNTIF(I2091,"12*")&gt;0,COUNTIF(J2091,"*12*")&gt;0,COUNTIF(I2091,"13*")&gt;0,COUNTIF(J2091,"*13*")&gt;0,COUNTIF(I2091,"14*")&gt;0,COUNTIF(J2091,"*14*")&gt;0,COUNTIF(I2091,"15*")&gt;0,COUNTIF(J2091,"*15*")&gt;0,COUNTIF(I2091,"16*")&gt;0,COUNTIF(J2091,"*16*")&gt;0,COUNTIF(I2091,"17*")&gt;0,COUNTIF(J2091,"*17*")&gt;0,COUNTIF(I2091,"18*")&gt;0,COUNTIF(J2091,"*18*")&gt;0,COUNTIF(I2091,"19*")&gt;0,COUNTIF(J2091,"*19*")&gt;0,COUNTIF(I2091,"20*")&gt;0,COUNTIF(J2091,"*20*")&gt;0,COUNTIF(I2091,"21*")&gt;0,COUNTIF(J2091,"*21*")&gt;0,COUNTIF(I2091,"22*")&gt;0,COUNTIF(J2091,"*22*")&gt;0,COUNTIF(I2091,"23*")&gt;0,COUNTIF(J2091,"*23*")&gt;0,COUNTIF(I2091,"24*")&gt;0,COUNTIF(J2091,"*24*")&gt;0,COUNTIF(I2091,"25*")&gt;0,COUNTIF(J2091,"*25*")&gt;0,COUNTIF(I2091,"26*")&gt;0,COUNTIF(J2091,"*26*")&gt;0,COUNTIF(I2091,"27*")&gt;0,COUNTIF(J2091,"*27*")&gt;0,COUNTIF(I2091,"28*")&gt;0,COUNTIF(J2091,"*28*")&gt;0,COUNTIF(I2091,"29*")&gt;0,COUNTIF(J2091,"*29*")&gt;0,COUNTIF(I2091,"30*")&gt;0,COUNTIF(J2091,"*30*")&gt;0,COUNTIF(I2091,"31*")&gt;0,COUNTIF(J2091,"*31*")&gt;0,COUNTIF(I2091,"32*")&gt;0,COUNTIF(J2091,"*32*")&gt;0,COUNTIF(I2091,"33*")&gt;0,COUNTIF(J2091,"*33*")&gt;0,COUNTIF(I2091,"41*")&gt;0,COUNTIF(J2091,"*41*")&gt;0,COUNTIF(I2091,"42*")&gt;0,COUNTIF(J2091,"*42*")&gt;0,COUNTIF(I2091,"43*")&gt;0,COUNTIF(J2091,"*43*")&gt;0,COUNTIF(I2091,"49*")&gt;0,COUNTIF(J2091,"*49*")&gt;0,COUNTIF(I2091,"52*")&gt;0,COUNTIF(J2091,"*52*")&gt;0,COUNTIF(I2091,"55*")&gt;0,COUNTIF(J2091,"*55*")&gt;0,COUNTIF(I2091,"56*")&gt;0,COUNTIF(J2091,"*56*")&gt;0,COUNTIF(I2091,"68*")&gt;0,COUNTIF(J2091,"*68*")&gt;0,COUNTIF(I2091,"78*")&gt;0,COUNTIF(J2091,"*78*")&gt;0,COUNTIF(I2091,"81*")&gt;0,COUNTIF(J2091,"*81*")&gt;0,COUNTIF(I2091,"82*")&gt;0,COUNTIF(J2091,"*82*")&gt;0,COUNTIF(I2091,"64*")&gt;0,COUNTIF(J2091,"*64*")&gt;0,COUNTIF(I2091,"65*")&gt;0,COUNTIF(J2091,"*65*")&gt;0,COUNTIF(I2091,"66*")&gt;0,COUNTIF(J2091,"*66*")&gt;0,COUNTIF(I2091,"61*")&gt;0,COUNTIF(J2091,"*61*")&gt;0,COUNTIF(I2091,"62*")&gt;0,COUNTIF(J2091,"*62*")&gt;0,COUNTIF(I2091,"63*")&gt;0,COUNTIF(J2091,"*63*")&gt;0,COUNTIF(I2091,"85*")&gt;0,COUNTIF(J2091,"*85*")&gt;0,COUNTIF(I2091,"86*")&gt;0,COUNTIF(J2091,"*86*")&gt;0),"Да","Нет"))</f>
        <v/>
      </c>
      <c r="M2091" s="13">
        <f>IF(OR(G2091="",L2091&lt;&gt;"Да"),"",IF(G2091&lt;=100,"До 100",IF(G2091&lt;=200,"До 200",IF(G2091&lt;=500,"До 500","Отдельное КП"))))</f>
        <v/>
      </c>
      <c r="N2091" s="15">
        <f>IF(OR(G2091="",L2091&lt;&gt;"Да"),"",IF(G2091&lt;=100,33600,IF(G2091&lt;=200,62400,IF(G2091&lt;=500,144000,""))))</f>
        <v/>
      </c>
      <c r="O2091" s="16">
        <f>IF(G2091="","",IF(G2091&lt;=15,"1–15",IF(G2091&lt;=30,"16–30",IF(G2091&lt;=50,"31–50",IF(G2091&lt;=100,"51–100",IF(G2091&lt;=150,"101–150",IF(G2091&lt;=200,"151–200",IF(G2091&lt;=500,"201–500","500+"))))))))</f>
        <v/>
      </c>
      <c r="P2091" s="16" t="inlineStr">
        <is>
          <t>Нет совпадения в предоставленной выгрузке ССЧР</t>
        </is>
      </c>
      <c r="Q2091" s="16" t="n"/>
      <c r="R2091" s="16">
        <f>HYPERLINK("https://checko.ru/search?query=3801001629","Чекко: проверить")</f>
        <v/>
      </c>
      <c r="S2091" t="n">
        <v>0</v>
      </c>
    </row>
    <row r="2092" ht="15" customHeight="1" s="24">
      <c r="A2092" s="13" t="n">
        <v>5000094548</v>
      </c>
      <c r="B2092" s="13" t="inlineStr">
        <is>
          <t>МКУ "СТАДИОН "ЗАРЯ"</t>
        </is>
      </c>
      <c r="C2092" s="13" t="n">
        <v>702012222</v>
      </c>
      <c r="D2092" s="13" t="n"/>
      <c r="E2092" s="13" t="inlineStr">
        <is>
          <t>Не определён</t>
        </is>
      </c>
      <c r="F2092" s="13" t="inlineStr">
        <is>
          <t>702012222</t>
        </is>
      </c>
      <c r="G2092" s="14" t="n"/>
      <c r="H2092" s="14" t="n"/>
      <c r="I2092" s="14" t="n"/>
      <c r="J2092" s="14" t="n"/>
      <c r="K2092" s="13">
        <f>IF(G2092="","",IF(G2092&gt;=22,"Да","Нет"))</f>
        <v/>
      </c>
      <c r="L2092" s="13">
        <f>IF(OR(I2092="",J2092=""),"Не определено",IF(OR(COUNTIF(I2092,"45*")&gt;0,COUNTIF(J2092,"*45*")&gt;0,COUNTIF(I2092,"46*")&gt;0,COUNTIF(J2092,"*46*")&gt;0,COUNTIF(I2092,"47*")&gt;0,COUNTIF(J2092,"*47*")&gt;0,COUNTIF(I2092,"10*")&gt;0,COUNTIF(J2092,"*10*")&gt;0,COUNTIF(I2092,"11*")&gt;0,COUNTIF(J2092,"*11*")&gt;0,COUNTIF(I2092,"12*")&gt;0,COUNTIF(J2092,"*12*")&gt;0,COUNTIF(I2092,"13*")&gt;0,COUNTIF(J2092,"*13*")&gt;0,COUNTIF(I2092,"14*")&gt;0,COUNTIF(J2092,"*14*")&gt;0,COUNTIF(I2092,"15*")&gt;0,COUNTIF(J2092,"*15*")&gt;0,COUNTIF(I2092,"16*")&gt;0,COUNTIF(J2092,"*16*")&gt;0,COUNTIF(I2092,"17*")&gt;0,COUNTIF(J2092,"*17*")&gt;0,COUNTIF(I2092,"18*")&gt;0,COUNTIF(J2092,"*18*")&gt;0,COUNTIF(I2092,"19*")&gt;0,COUNTIF(J2092,"*19*")&gt;0,COUNTIF(I2092,"20*")&gt;0,COUNTIF(J2092,"*20*")&gt;0,COUNTIF(I2092,"21*")&gt;0,COUNTIF(J2092,"*21*")&gt;0,COUNTIF(I2092,"22*")&gt;0,COUNTIF(J2092,"*22*")&gt;0,COUNTIF(I2092,"23*")&gt;0,COUNTIF(J2092,"*23*")&gt;0,COUNTIF(I2092,"24*")&gt;0,COUNTIF(J2092,"*24*")&gt;0,COUNTIF(I2092,"25*")&gt;0,COUNTIF(J2092,"*25*")&gt;0,COUNTIF(I2092,"26*")&gt;0,COUNTIF(J2092,"*26*")&gt;0,COUNTIF(I2092,"27*")&gt;0,COUNTIF(J2092,"*27*")&gt;0,COUNTIF(I2092,"28*")&gt;0,COUNTIF(J2092,"*28*")&gt;0,COUNTIF(I2092,"29*")&gt;0,COUNTIF(J2092,"*29*")&gt;0,COUNTIF(I2092,"30*")&gt;0,COUNTIF(J2092,"*30*")&gt;0,COUNTIF(I2092,"31*")&gt;0,COUNTIF(J2092,"*31*")&gt;0,COUNTIF(I2092,"32*")&gt;0,COUNTIF(J2092,"*32*")&gt;0,COUNTIF(I2092,"33*")&gt;0,COUNTIF(J2092,"*33*")&gt;0,COUNTIF(I2092,"41*")&gt;0,COUNTIF(J2092,"*41*")&gt;0,COUNTIF(I2092,"42*")&gt;0,COUNTIF(J2092,"*42*")&gt;0,COUNTIF(I2092,"43*")&gt;0,COUNTIF(J2092,"*43*")&gt;0,COUNTIF(I2092,"49*")&gt;0,COUNTIF(J2092,"*49*")&gt;0,COUNTIF(I2092,"52*")&gt;0,COUNTIF(J2092,"*52*")&gt;0,COUNTIF(I2092,"55*")&gt;0,COUNTIF(J2092,"*55*")&gt;0,COUNTIF(I2092,"56*")&gt;0,COUNTIF(J2092,"*56*")&gt;0,COUNTIF(I2092,"68*")&gt;0,COUNTIF(J2092,"*68*")&gt;0,COUNTIF(I2092,"78*")&gt;0,COUNTIF(J2092,"*78*")&gt;0,COUNTIF(I2092,"81*")&gt;0,COUNTIF(J2092,"*81*")&gt;0,COUNTIF(I2092,"82*")&gt;0,COUNTIF(J2092,"*82*")&gt;0,COUNTIF(I2092,"64*")&gt;0,COUNTIF(J2092,"*64*")&gt;0,COUNTIF(I2092,"65*")&gt;0,COUNTIF(J2092,"*65*")&gt;0,COUNTIF(I2092,"66*")&gt;0,COUNTIF(J2092,"*66*")&gt;0,COUNTIF(I2092,"61*")&gt;0,COUNTIF(J2092,"*61*")&gt;0,COUNTIF(I2092,"62*")&gt;0,COUNTIF(J2092,"*62*")&gt;0,COUNTIF(I2092,"63*")&gt;0,COUNTIF(J2092,"*63*")&gt;0,COUNTIF(I2092,"85*")&gt;0,COUNTIF(J2092,"*85*")&gt;0,COUNTIF(I2092,"86*")&gt;0,COUNTIF(J2092,"*86*")&gt;0),"Да","Нет"))</f>
        <v/>
      </c>
      <c r="M2092" s="13">
        <f>IF(OR(G2092="",L2092&lt;&gt;"Да"),"",IF(G2092&lt;=100,"До 100",IF(G2092&lt;=200,"До 200",IF(G2092&lt;=500,"До 500","Отдельное КП"))))</f>
        <v/>
      </c>
      <c r="N2092" s="15">
        <f>IF(OR(G2092="",L2092&lt;&gt;"Да"),"",IF(G2092&lt;=100,33600,IF(G2092&lt;=200,62400,IF(G2092&lt;=500,144000,""))))</f>
        <v/>
      </c>
      <c r="O2092" s="16">
        <f>IF(G2092="","",IF(G2092&lt;=15,"1–15",IF(G2092&lt;=30,"16–30",IF(G2092&lt;=50,"31–50",IF(G2092&lt;=100,"51–100",IF(G2092&lt;=150,"101–150",IF(G2092&lt;=200,"151–200",IF(G2092&lt;=500,"201–500","500+"))))))))</f>
        <v/>
      </c>
      <c r="P2092" s="16" t="inlineStr">
        <is>
          <t>Нет совпадения в предоставленной выгрузке ССЧР</t>
        </is>
      </c>
      <c r="Q2092" s="16" t="n"/>
      <c r="R2092" s="16">
        <f>HYPERLINK("https://checko.ru/search?query=3801001629","Чекко: проверить")</f>
        <v/>
      </c>
      <c r="S2092" t="n">
        <v>0</v>
      </c>
    </row>
    <row r="2093" ht="15" customHeight="1" s="24">
      <c r="A2093" s="13" t="n">
        <v>5000094549</v>
      </c>
      <c r="B2093" s="13" t="inlineStr">
        <is>
          <t>МКУ "ЦБУ ОО"</t>
        </is>
      </c>
      <c r="C2093" s="13" t="n">
        <v>702012230</v>
      </c>
      <c r="D2093" s="13" t="n"/>
      <c r="E2093" s="13" t="inlineStr">
        <is>
          <t>Не определён</t>
        </is>
      </c>
      <c r="F2093" s="13" t="inlineStr">
        <is>
          <t>702012230</t>
        </is>
      </c>
      <c r="G2093" s="14" t="n"/>
      <c r="H2093" s="14" t="n"/>
      <c r="I2093" s="14" t="n"/>
      <c r="J2093" s="14" t="n"/>
      <c r="K2093" s="13">
        <f>IF(G2093="","",IF(G2093&gt;=22,"Да","Нет"))</f>
        <v/>
      </c>
      <c r="L2093" s="13">
        <f>IF(OR(I2093="",J2093=""),"Не определено",IF(OR(COUNTIF(I2093,"45*")&gt;0,COUNTIF(J2093,"*45*")&gt;0,COUNTIF(I2093,"46*")&gt;0,COUNTIF(J2093,"*46*")&gt;0,COUNTIF(I2093,"47*")&gt;0,COUNTIF(J2093,"*47*")&gt;0,COUNTIF(I2093,"10*")&gt;0,COUNTIF(J2093,"*10*")&gt;0,COUNTIF(I2093,"11*")&gt;0,COUNTIF(J2093,"*11*")&gt;0,COUNTIF(I2093,"12*")&gt;0,COUNTIF(J2093,"*12*")&gt;0,COUNTIF(I2093,"13*")&gt;0,COUNTIF(J2093,"*13*")&gt;0,COUNTIF(I2093,"14*")&gt;0,COUNTIF(J2093,"*14*")&gt;0,COUNTIF(I2093,"15*")&gt;0,COUNTIF(J2093,"*15*")&gt;0,COUNTIF(I2093,"16*")&gt;0,COUNTIF(J2093,"*16*")&gt;0,COUNTIF(I2093,"17*")&gt;0,COUNTIF(J2093,"*17*")&gt;0,COUNTIF(I2093,"18*")&gt;0,COUNTIF(J2093,"*18*")&gt;0,COUNTIF(I2093,"19*")&gt;0,COUNTIF(J2093,"*19*")&gt;0,COUNTIF(I2093,"20*")&gt;0,COUNTIF(J2093,"*20*")&gt;0,COUNTIF(I2093,"21*")&gt;0,COUNTIF(J2093,"*21*")&gt;0,COUNTIF(I2093,"22*")&gt;0,COUNTIF(J2093,"*22*")&gt;0,COUNTIF(I2093,"23*")&gt;0,COUNTIF(J2093,"*23*")&gt;0,COUNTIF(I2093,"24*")&gt;0,COUNTIF(J2093,"*24*")&gt;0,COUNTIF(I2093,"25*")&gt;0,COUNTIF(J2093,"*25*")&gt;0,COUNTIF(I2093,"26*")&gt;0,COUNTIF(J2093,"*26*")&gt;0,COUNTIF(I2093,"27*")&gt;0,COUNTIF(J2093,"*27*")&gt;0,COUNTIF(I2093,"28*")&gt;0,COUNTIF(J2093,"*28*")&gt;0,COUNTIF(I2093,"29*")&gt;0,COUNTIF(J2093,"*29*")&gt;0,COUNTIF(I2093,"30*")&gt;0,COUNTIF(J2093,"*30*")&gt;0,COUNTIF(I2093,"31*")&gt;0,COUNTIF(J2093,"*31*")&gt;0,COUNTIF(I2093,"32*")&gt;0,COUNTIF(J2093,"*32*")&gt;0,COUNTIF(I2093,"33*")&gt;0,COUNTIF(J2093,"*33*")&gt;0,COUNTIF(I2093,"41*")&gt;0,COUNTIF(J2093,"*41*")&gt;0,COUNTIF(I2093,"42*")&gt;0,COUNTIF(J2093,"*42*")&gt;0,COUNTIF(I2093,"43*")&gt;0,COUNTIF(J2093,"*43*")&gt;0,COUNTIF(I2093,"49*")&gt;0,COUNTIF(J2093,"*49*")&gt;0,COUNTIF(I2093,"52*")&gt;0,COUNTIF(J2093,"*52*")&gt;0,COUNTIF(I2093,"55*")&gt;0,COUNTIF(J2093,"*55*")&gt;0,COUNTIF(I2093,"56*")&gt;0,COUNTIF(J2093,"*56*")&gt;0,COUNTIF(I2093,"68*")&gt;0,COUNTIF(J2093,"*68*")&gt;0,COUNTIF(I2093,"78*")&gt;0,COUNTIF(J2093,"*78*")&gt;0,COUNTIF(I2093,"81*")&gt;0,COUNTIF(J2093,"*81*")&gt;0,COUNTIF(I2093,"82*")&gt;0,COUNTIF(J2093,"*82*")&gt;0,COUNTIF(I2093,"64*")&gt;0,COUNTIF(J2093,"*64*")&gt;0,COUNTIF(I2093,"65*")&gt;0,COUNTIF(J2093,"*65*")&gt;0,COUNTIF(I2093,"66*")&gt;0,COUNTIF(J2093,"*66*")&gt;0,COUNTIF(I2093,"61*")&gt;0,COUNTIF(J2093,"*61*")&gt;0,COUNTIF(I2093,"62*")&gt;0,COUNTIF(J2093,"*62*")&gt;0,COUNTIF(I2093,"63*")&gt;0,COUNTIF(J2093,"*63*")&gt;0,COUNTIF(I2093,"85*")&gt;0,COUNTIF(J2093,"*85*")&gt;0,COUNTIF(I2093,"86*")&gt;0,COUNTIF(J2093,"*86*")&gt;0),"Да","Нет"))</f>
        <v/>
      </c>
      <c r="M2093" s="13">
        <f>IF(OR(G2093="",L2093&lt;&gt;"Да"),"",IF(G2093&lt;=100,"До 100",IF(G2093&lt;=200,"До 200",IF(G2093&lt;=500,"До 500","Отдельное КП"))))</f>
        <v/>
      </c>
      <c r="N2093" s="15">
        <f>IF(OR(G2093="",L2093&lt;&gt;"Да"),"",IF(G2093&lt;=100,33600,IF(G2093&lt;=200,62400,IF(G2093&lt;=500,144000,""))))</f>
        <v/>
      </c>
      <c r="O2093" s="16">
        <f>IF(G2093="","",IF(G2093&lt;=15,"1–15",IF(G2093&lt;=30,"16–30",IF(G2093&lt;=50,"31–50",IF(G2093&lt;=100,"51–100",IF(G2093&lt;=150,"101–150",IF(G2093&lt;=200,"151–200",IF(G2093&lt;=500,"201–500","500+"))))))))</f>
        <v/>
      </c>
      <c r="P2093" s="16" t="inlineStr">
        <is>
          <t>Нет совпадения в предоставленной выгрузке ССЧР</t>
        </is>
      </c>
      <c r="Q2093" s="16" t="n"/>
      <c r="R2093" s="16">
        <f>HYPERLINK("https://checko.ru/search?query=3801001629","Чекко: проверить")</f>
        <v/>
      </c>
      <c r="S2093" t="n">
        <v>0</v>
      </c>
    </row>
    <row r="2094" ht="15" customHeight="1" s="24">
      <c r="A2094" s="13" t="n">
        <v>5000094550</v>
      </c>
      <c r="B2094" s="13" t="inlineStr">
        <is>
          <t>МКОУ"СОШ" с.п.Приречное</t>
        </is>
      </c>
      <c r="C2094" s="13" t="n">
        <v>702604250</v>
      </c>
      <c r="D2094" s="13" t="n"/>
      <c r="E2094" s="13" t="inlineStr">
        <is>
          <t>Не определён</t>
        </is>
      </c>
      <c r="F2094" s="13" t="inlineStr">
        <is>
          <t>702604250</t>
        </is>
      </c>
      <c r="G2094" s="14" t="n"/>
      <c r="H2094" s="14" t="n"/>
      <c r="I2094" s="14" t="n"/>
      <c r="J2094" s="14" t="n"/>
      <c r="K2094" s="13">
        <f>IF(G2094="","",IF(G2094&gt;=22,"Да","Нет"))</f>
        <v/>
      </c>
      <c r="L2094" s="13">
        <f>IF(OR(I2094="",J2094=""),"Не определено",IF(OR(COUNTIF(I2094,"45*")&gt;0,COUNTIF(J2094,"*45*")&gt;0,COUNTIF(I2094,"46*")&gt;0,COUNTIF(J2094,"*46*")&gt;0,COUNTIF(I2094,"47*")&gt;0,COUNTIF(J2094,"*47*")&gt;0,COUNTIF(I2094,"10*")&gt;0,COUNTIF(J2094,"*10*")&gt;0,COUNTIF(I2094,"11*")&gt;0,COUNTIF(J2094,"*11*")&gt;0,COUNTIF(I2094,"12*")&gt;0,COUNTIF(J2094,"*12*")&gt;0,COUNTIF(I2094,"13*")&gt;0,COUNTIF(J2094,"*13*")&gt;0,COUNTIF(I2094,"14*")&gt;0,COUNTIF(J2094,"*14*")&gt;0,COUNTIF(I2094,"15*")&gt;0,COUNTIF(J2094,"*15*")&gt;0,COUNTIF(I2094,"16*")&gt;0,COUNTIF(J2094,"*16*")&gt;0,COUNTIF(I2094,"17*")&gt;0,COUNTIF(J2094,"*17*")&gt;0,COUNTIF(I2094,"18*")&gt;0,COUNTIF(J2094,"*18*")&gt;0,COUNTIF(I2094,"19*")&gt;0,COUNTIF(J2094,"*19*")&gt;0,COUNTIF(I2094,"20*")&gt;0,COUNTIF(J2094,"*20*")&gt;0,COUNTIF(I2094,"21*")&gt;0,COUNTIF(J2094,"*21*")&gt;0,COUNTIF(I2094,"22*")&gt;0,COUNTIF(J2094,"*22*")&gt;0,COUNTIF(I2094,"23*")&gt;0,COUNTIF(J2094,"*23*")&gt;0,COUNTIF(I2094,"24*")&gt;0,COUNTIF(J2094,"*24*")&gt;0,COUNTIF(I2094,"25*")&gt;0,COUNTIF(J2094,"*25*")&gt;0,COUNTIF(I2094,"26*")&gt;0,COUNTIF(J2094,"*26*")&gt;0,COUNTIF(I2094,"27*")&gt;0,COUNTIF(J2094,"*27*")&gt;0,COUNTIF(I2094,"28*")&gt;0,COUNTIF(J2094,"*28*")&gt;0,COUNTIF(I2094,"29*")&gt;0,COUNTIF(J2094,"*29*")&gt;0,COUNTIF(I2094,"30*")&gt;0,COUNTIF(J2094,"*30*")&gt;0,COUNTIF(I2094,"31*")&gt;0,COUNTIF(J2094,"*31*")&gt;0,COUNTIF(I2094,"32*")&gt;0,COUNTIF(J2094,"*32*")&gt;0,COUNTIF(I2094,"33*")&gt;0,COUNTIF(J2094,"*33*")&gt;0,COUNTIF(I2094,"41*")&gt;0,COUNTIF(J2094,"*41*")&gt;0,COUNTIF(I2094,"42*")&gt;0,COUNTIF(J2094,"*42*")&gt;0,COUNTIF(I2094,"43*")&gt;0,COUNTIF(J2094,"*43*")&gt;0,COUNTIF(I2094,"49*")&gt;0,COUNTIF(J2094,"*49*")&gt;0,COUNTIF(I2094,"52*")&gt;0,COUNTIF(J2094,"*52*")&gt;0,COUNTIF(I2094,"55*")&gt;0,COUNTIF(J2094,"*55*")&gt;0,COUNTIF(I2094,"56*")&gt;0,COUNTIF(J2094,"*56*")&gt;0,COUNTIF(I2094,"68*")&gt;0,COUNTIF(J2094,"*68*")&gt;0,COUNTIF(I2094,"78*")&gt;0,COUNTIF(J2094,"*78*")&gt;0,COUNTIF(I2094,"81*")&gt;0,COUNTIF(J2094,"*81*")&gt;0,COUNTIF(I2094,"82*")&gt;0,COUNTIF(J2094,"*82*")&gt;0,COUNTIF(I2094,"64*")&gt;0,COUNTIF(J2094,"*64*")&gt;0,COUNTIF(I2094,"65*")&gt;0,COUNTIF(J2094,"*65*")&gt;0,COUNTIF(I2094,"66*")&gt;0,COUNTIF(J2094,"*66*")&gt;0,COUNTIF(I2094,"61*")&gt;0,COUNTIF(J2094,"*61*")&gt;0,COUNTIF(I2094,"62*")&gt;0,COUNTIF(J2094,"*62*")&gt;0,COUNTIF(I2094,"63*")&gt;0,COUNTIF(J2094,"*63*")&gt;0,COUNTIF(I2094,"85*")&gt;0,COUNTIF(J2094,"*85*")&gt;0,COUNTIF(I2094,"86*")&gt;0,COUNTIF(J2094,"*86*")&gt;0),"Да","Нет"))</f>
        <v/>
      </c>
      <c r="M2094" s="13">
        <f>IF(OR(G2094="",L2094&lt;&gt;"Да"),"",IF(G2094&lt;=100,"До 100",IF(G2094&lt;=200,"До 200",IF(G2094&lt;=500,"До 500","Отдельное КП"))))</f>
        <v/>
      </c>
      <c r="N2094" s="15">
        <f>IF(OR(G2094="",L2094&lt;&gt;"Да"),"",IF(G2094&lt;=100,33600,IF(G2094&lt;=200,62400,IF(G2094&lt;=500,144000,""))))</f>
        <v/>
      </c>
      <c r="O2094" s="16">
        <f>IF(G2094="","",IF(G2094&lt;=15,"1–15",IF(G2094&lt;=30,"16–30",IF(G2094&lt;=50,"31–50",IF(G2094&lt;=100,"51–100",IF(G2094&lt;=150,"101–150",IF(G2094&lt;=200,"151–200",IF(G2094&lt;=500,"201–500","500+"))))))))</f>
        <v/>
      </c>
      <c r="P2094" s="16" t="inlineStr">
        <is>
          <t>Нет совпадения в предоставленной выгрузке ССЧР</t>
        </is>
      </c>
      <c r="Q2094" s="16" t="n"/>
      <c r="R2094" s="16">
        <f>HYPERLINK("https://checko.ru/search?query=3801001629","Чекко: проверить")</f>
        <v/>
      </c>
      <c r="S2094" t="n">
        <v>0</v>
      </c>
    </row>
    <row r="2095" ht="15" customHeight="1" s="24">
      <c r="A2095" s="13" t="n">
        <v>5000094555</v>
      </c>
      <c r="B2095" s="13" t="inlineStr">
        <is>
          <t>МКОУ"СОШ" с.п. Залукодес</t>
        </is>
      </c>
      <c r="C2095" s="13" t="n">
        <v>702722783</v>
      </c>
      <c r="D2095" s="13" t="n"/>
      <c r="E2095" s="13" t="inlineStr">
        <is>
          <t>Не определён</t>
        </is>
      </c>
      <c r="F2095" s="13" t="inlineStr">
        <is>
          <t>702722783</t>
        </is>
      </c>
      <c r="G2095" s="14" t="n"/>
      <c r="H2095" s="14" t="n"/>
      <c r="I2095" s="14" t="n"/>
      <c r="J2095" s="14" t="n"/>
      <c r="K2095" s="13">
        <f>IF(G2095="","",IF(G2095&gt;=22,"Да","Нет"))</f>
        <v/>
      </c>
      <c r="L2095" s="13">
        <f>IF(OR(I2095="",J2095=""),"Не определено",IF(OR(COUNTIF(I2095,"45*")&gt;0,COUNTIF(J2095,"*45*")&gt;0,COUNTIF(I2095,"46*")&gt;0,COUNTIF(J2095,"*46*")&gt;0,COUNTIF(I2095,"47*")&gt;0,COUNTIF(J2095,"*47*")&gt;0,COUNTIF(I2095,"10*")&gt;0,COUNTIF(J2095,"*10*")&gt;0,COUNTIF(I2095,"11*")&gt;0,COUNTIF(J2095,"*11*")&gt;0,COUNTIF(I2095,"12*")&gt;0,COUNTIF(J2095,"*12*")&gt;0,COUNTIF(I2095,"13*")&gt;0,COUNTIF(J2095,"*13*")&gt;0,COUNTIF(I2095,"14*")&gt;0,COUNTIF(J2095,"*14*")&gt;0,COUNTIF(I2095,"15*")&gt;0,COUNTIF(J2095,"*15*")&gt;0,COUNTIF(I2095,"16*")&gt;0,COUNTIF(J2095,"*16*")&gt;0,COUNTIF(I2095,"17*")&gt;0,COUNTIF(J2095,"*17*")&gt;0,COUNTIF(I2095,"18*")&gt;0,COUNTIF(J2095,"*18*")&gt;0,COUNTIF(I2095,"19*")&gt;0,COUNTIF(J2095,"*19*")&gt;0,COUNTIF(I2095,"20*")&gt;0,COUNTIF(J2095,"*20*")&gt;0,COUNTIF(I2095,"21*")&gt;0,COUNTIF(J2095,"*21*")&gt;0,COUNTIF(I2095,"22*")&gt;0,COUNTIF(J2095,"*22*")&gt;0,COUNTIF(I2095,"23*")&gt;0,COUNTIF(J2095,"*23*")&gt;0,COUNTIF(I2095,"24*")&gt;0,COUNTIF(J2095,"*24*")&gt;0,COUNTIF(I2095,"25*")&gt;0,COUNTIF(J2095,"*25*")&gt;0,COUNTIF(I2095,"26*")&gt;0,COUNTIF(J2095,"*26*")&gt;0,COUNTIF(I2095,"27*")&gt;0,COUNTIF(J2095,"*27*")&gt;0,COUNTIF(I2095,"28*")&gt;0,COUNTIF(J2095,"*28*")&gt;0,COUNTIF(I2095,"29*")&gt;0,COUNTIF(J2095,"*29*")&gt;0,COUNTIF(I2095,"30*")&gt;0,COUNTIF(J2095,"*30*")&gt;0,COUNTIF(I2095,"31*")&gt;0,COUNTIF(J2095,"*31*")&gt;0,COUNTIF(I2095,"32*")&gt;0,COUNTIF(J2095,"*32*")&gt;0,COUNTIF(I2095,"33*")&gt;0,COUNTIF(J2095,"*33*")&gt;0,COUNTIF(I2095,"41*")&gt;0,COUNTIF(J2095,"*41*")&gt;0,COUNTIF(I2095,"42*")&gt;0,COUNTIF(J2095,"*42*")&gt;0,COUNTIF(I2095,"43*")&gt;0,COUNTIF(J2095,"*43*")&gt;0,COUNTIF(I2095,"49*")&gt;0,COUNTIF(J2095,"*49*")&gt;0,COUNTIF(I2095,"52*")&gt;0,COUNTIF(J2095,"*52*")&gt;0,COUNTIF(I2095,"55*")&gt;0,COUNTIF(J2095,"*55*")&gt;0,COUNTIF(I2095,"56*")&gt;0,COUNTIF(J2095,"*56*")&gt;0,COUNTIF(I2095,"68*")&gt;0,COUNTIF(J2095,"*68*")&gt;0,COUNTIF(I2095,"78*")&gt;0,COUNTIF(J2095,"*78*")&gt;0,COUNTIF(I2095,"81*")&gt;0,COUNTIF(J2095,"*81*")&gt;0,COUNTIF(I2095,"82*")&gt;0,COUNTIF(J2095,"*82*")&gt;0,COUNTIF(I2095,"64*")&gt;0,COUNTIF(J2095,"*64*")&gt;0,COUNTIF(I2095,"65*")&gt;0,COUNTIF(J2095,"*65*")&gt;0,COUNTIF(I2095,"66*")&gt;0,COUNTIF(J2095,"*66*")&gt;0,COUNTIF(I2095,"61*")&gt;0,COUNTIF(J2095,"*61*")&gt;0,COUNTIF(I2095,"62*")&gt;0,COUNTIF(J2095,"*62*")&gt;0,COUNTIF(I2095,"63*")&gt;0,COUNTIF(J2095,"*63*")&gt;0,COUNTIF(I2095,"85*")&gt;0,COUNTIF(J2095,"*85*")&gt;0,COUNTIF(I2095,"86*")&gt;0,COUNTIF(J2095,"*86*")&gt;0),"Да","Нет"))</f>
        <v/>
      </c>
      <c r="M2095" s="13">
        <f>IF(OR(G2095="",L2095&lt;&gt;"Да"),"",IF(G2095&lt;=100,"До 100",IF(G2095&lt;=200,"До 200",IF(G2095&lt;=500,"До 500","Отдельное КП"))))</f>
        <v/>
      </c>
      <c r="N2095" s="15">
        <f>IF(OR(G2095="",L2095&lt;&gt;"Да"),"",IF(G2095&lt;=100,33600,IF(G2095&lt;=200,62400,IF(G2095&lt;=500,144000,""))))</f>
        <v/>
      </c>
      <c r="O2095" s="16">
        <f>IF(G2095="","",IF(G2095&lt;=15,"1–15",IF(G2095&lt;=30,"16–30",IF(G2095&lt;=50,"31–50",IF(G2095&lt;=100,"51–100",IF(G2095&lt;=150,"101–150",IF(G2095&lt;=200,"151–200",IF(G2095&lt;=500,"201–500","500+"))))))))</f>
        <v/>
      </c>
      <c r="P2095" s="16" t="inlineStr">
        <is>
          <t>Нет совпадения в предоставленной выгрузке ССЧР</t>
        </is>
      </c>
      <c r="Q2095" s="16" t="n"/>
      <c r="R2095" s="16">
        <f>HYPERLINK("https://checko.ru/search?query=3801001629","Чекко: проверить")</f>
        <v/>
      </c>
      <c r="S2095" t="n">
        <v>0</v>
      </c>
    </row>
    <row r="2096" ht="15" customHeight="1" s="24">
      <c r="A2096" s="13" t="n">
        <v>5000094556</v>
      </c>
      <c r="B2096" s="13" t="inlineStr">
        <is>
          <t>МКОУ "СОШ" с.п.Камлюково</t>
        </is>
      </c>
      <c r="C2096" s="13" t="n">
        <v>702722790</v>
      </c>
      <c r="D2096" s="13" t="n"/>
      <c r="E2096" s="13" t="inlineStr">
        <is>
          <t>Не определён</t>
        </is>
      </c>
      <c r="F2096" s="13" t="inlineStr">
        <is>
          <t>702722790</t>
        </is>
      </c>
      <c r="G2096" s="14" t="n"/>
      <c r="H2096" s="14" t="n"/>
      <c r="I2096" s="14" t="n"/>
      <c r="J2096" s="14" t="n"/>
      <c r="K2096" s="13">
        <f>IF(G2096="","",IF(G2096&gt;=22,"Да","Нет"))</f>
        <v/>
      </c>
      <c r="L2096" s="13">
        <f>IF(OR(I2096="",J2096=""),"Не определено",IF(OR(COUNTIF(I2096,"45*")&gt;0,COUNTIF(J2096,"*45*")&gt;0,COUNTIF(I2096,"46*")&gt;0,COUNTIF(J2096,"*46*")&gt;0,COUNTIF(I2096,"47*")&gt;0,COUNTIF(J2096,"*47*")&gt;0,COUNTIF(I2096,"10*")&gt;0,COUNTIF(J2096,"*10*")&gt;0,COUNTIF(I2096,"11*")&gt;0,COUNTIF(J2096,"*11*")&gt;0,COUNTIF(I2096,"12*")&gt;0,COUNTIF(J2096,"*12*")&gt;0,COUNTIF(I2096,"13*")&gt;0,COUNTIF(J2096,"*13*")&gt;0,COUNTIF(I2096,"14*")&gt;0,COUNTIF(J2096,"*14*")&gt;0,COUNTIF(I2096,"15*")&gt;0,COUNTIF(J2096,"*15*")&gt;0,COUNTIF(I2096,"16*")&gt;0,COUNTIF(J2096,"*16*")&gt;0,COUNTIF(I2096,"17*")&gt;0,COUNTIF(J2096,"*17*")&gt;0,COUNTIF(I2096,"18*")&gt;0,COUNTIF(J2096,"*18*")&gt;0,COUNTIF(I2096,"19*")&gt;0,COUNTIF(J2096,"*19*")&gt;0,COUNTIF(I2096,"20*")&gt;0,COUNTIF(J2096,"*20*")&gt;0,COUNTIF(I2096,"21*")&gt;0,COUNTIF(J2096,"*21*")&gt;0,COUNTIF(I2096,"22*")&gt;0,COUNTIF(J2096,"*22*")&gt;0,COUNTIF(I2096,"23*")&gt;0,COUNTIF(J2096,"*23*")&gt;0,COUNTIF(I2096,"24*")&gt;0,COUNTIF(J2096,"*24*")&gt;0,COUNTIF(I2096,"25*")&gt;0,COUNTIF(J2096,"*25*")&gt;0,COUNTIF(I2096,"26*")&gt;0,COUNTIF(J2096,"*26*")&gt;0,COUNTIF(I2096,"27*")&gt;0,COUNTIF(J2096,"*27*")&gt;0,COUNTIF(I2096,"28*")&gt;0,COUNTIF(J2096,"*28*")&gt;0,COUNTIF(I2096,"29*")&gt;0,COUNTIF(J2096,"*29*")&gt;0,COUNTIF(I2096,"30*")&gt;0,COUNTIF(J2096,"*30*")&gt;0,COUNTIF(I2096,"31*")&gt;0,COUNTIF(J2096,"*31*")&gt;0,COUNTIF(I2096,"32*")&gt;0,COUNTIF(J2096,"*32*")&gt;0,COUNTIF(I2096,"33*")&gt;0,COUNTIF(J2096,"*33*")&gt;0,COUNTIF(I2096,"41*")&gt;0,COUNTIF(J2096,"*41*")&gt;0,COUNTIF(I2096,"42*")&gt;0,COUNTIF(J2096,"*42*")&gt;0,COUNTIF(I2096,"43*")&gt;0,COUNTIF(J2096,"*43*")&gt;0,COUNTIF(I2096,"49*")&gt;0,COUNTIF(J2096,"*49*")&gt;0,COUNTIF(I2096,"52*")&gt;0,COUNTIF(J2096,"*52*")&gt;0,COUNTIF(I2096,"55*")&gt;0,COUNTIF(J2096,"*55*")&gt;0,COUNTIF(I2096,"56*")&gt;0,COUNTIF(J2096,"*56*")&gt;0,COUNTIF(I2096,"68*")&gt;0,COUNTIF(J2096,"*68*")&gt;0,COUNTIF(I2096,"78*")&gt;0,COUNTIF(J2096,"*78*")&gt;0,COUNTIF(I2096,"81*")&gt;0,COUNTIF(J2096,"*81*")&gt;0,COUNTIF(I2096,"82*")&gt;0,COUNTIF(J2096,"*82*")&gt;0,COUNTIF(I2096,"64*")&gt;0,COUNTIF(J2096,"*64*")&gt;0,COUNTIF(I2096,"65*")&gt;0,COUNTIF(J2096,"*65*")&gt;0,COUNTIF(I2096,"66*")&gt;0,COUNTIF(J2096,"*66*")&gt;0,COUNTIF(I2096,"61*")&gt;0,COUNTIF(J2096,"*61*")&gt;0,COUNTIF(I2096,"62*")&gt;0,COUNTIF(J2096,"*62*")&gt;0,COUNTIF(I2096,"63*")&gt;0,COUNTIF(J2096,"*63*")&gt;0,COUNTIF(I2096,"85*")&gt;0,COUNTIF(J2096,"*85*")&gt;0,COUNTIF(I2096,"86*")&gt;0,COUNTIF(J2096,"*86*")&gt;0),"Да","Нет"))</f>
        <v/>
      </c>
      <c r="M2096" s="13">
        <f>IF(OR(G2096="",L2096&lt;&gt;"Да"),"",IF(G2096&lt;=100,"До 100",IF(G2096&lt;=200,"До 200",IF(G2096&lt;=500,"До 500","Отдельное КП"))))</f>
        <v/>
      </c>
      <c r="N2096" s="15">
        <f>IF(OR(G2096="",L2096&lt;&gt;"Да"),"",IF(G2096&lt;=100,33600,IF(G2096&lt;=200,62400,IF(G2096&lt;=500,144000,""))))</f>
        <v/>
      </c>
      <c r="O2096" s="16">
        <f>IF(G2096="","",IF(G2096&lt;=15,"1–15",IF(G2096&lt;=30,"16–30",IF(G2096&lt;=50,"31–50",IF(G2096&lt;=100,"51–100",IF(G2096&lt;=150,"101–150",IF(G2096&lt;=200,"151–200",IF(G2096&lt;=500,"201–500","500+"))))))))</f>
        <v/>
      </c>
      <c r="P2096" s="16" t="inlineStr">
        <is>
          <t>Нет совпадения в предоставленной выгрузке ССЧР</t>
        </is>
      </c>
      <c r="Q2096" s="16" t="n"/>
      <c r="R2096" s="16">
        <f>HYPERLINK("https://checko.ru/search?query=3801001629","Чекко: проверить")</f>
        <v/>
      </c>
      <c r="S2096" t="n">
        <v>0</v>
      </c>
    </row>
    <row r="2097" ht="15" customHeight="1" s="24">
      <c r="A2097" s="13" t="n">
        <v>5000094557</v>
      </c>
      <c r="B2097" s="13" t="inlineStr">
        <is>
          <t>МКОУ "СОШ"с.п.Зольское</t>
        </is>
      </c>
      <c r="C2097" s="13" t="n">
        <v>702722800</v>
      </c>
      <c r="D2097" s="13" t="n"/>
      <c r="E2097" s="13" t="inlineStr">
        <is>
          <t>Не определён</t>
        </is>
      </c>
      <c r="F2097" s="13" t="inlineStr">
        <is>
          <t>702722800</t>
        </is>
      </c>
      <c r="G2097" s="14" t="n"/>
      <c r="H2097" s="14" t="n"/>
      <c r="I2097" s="14" t="n"/>
      <c r="J2097" s="14" t="n"/>
      <c r="K2097" s="13">
        <f>IF(G2097="","",IF(G2097&gt;=22,"Да","Нет"))</f>
        <v/>
      </c>
      <c r="L2097" s="13">
        <f>IF(OR(I2097="",J2097=""),"Не определено",IF(OR(COUNTIF(I2097,"45*")&gt;0,COUNTIF(J2097,"*45*")&gt;0,COUNTIF(I2097,"46*")&gt;0,COUNTIF(J2097,"*46*")&gt;0,COUNTIF(I2097,"47*")&gt;0,COUNTIF(J2097,"*47*")&gt;0,COUNTIF(I2097,"10*")&gt;0,COUNTIF(J2097,"*10*")&gt;0,COUNTIF(I2097,"11*")&gt;0,COUNTIF(J2097,"*11*")&gt;0,COUNTIF(I2097,"12*")&gt;0,COUNTIF(J2097,"*12*")&gt;0,COUNTIF(I2097,"13*")&gt;0,COUNTIF(J2097,"*13*")&gt;0,COUNTIF(I2097,"14*")&gt;0,COUNTIF(J2097,"*14*")&gt;0,COUNTIF(I2097,"15*")&gt;0,COUNTIF(J2097,"*15*")&gt;0,COUNTIF(I2097,"16*")&gt;0,COUNTIF(J2097,"*16*")&gt;0,COUNTIF(I2097,"17*")&gt;0,COUNTIF(J2097,"*17*")&gt;0,COUNTIF(I2097,"18*")&gt;0,COUNTIF(J2097,"*18*")&gt;0,COUNTIF(I2097,"19*")&gt;0,COUNTIF(J2097,"*19*")&gt;0,COUNTIF(I2097,"20*")&gt;0,COUNTIF(J2097,"*20*")&gt;0,COUNTIF(I2097,"21*")&gt;0,COUNTIF(J2097,"*21*")&gt;0,COUNTIF(I2097,"22*")&gt;0,COUNTIF(J2097,"*22*")&gt;0,COUNTIF(I2097,"23*")&gt;0,COUNTIF(J2097,"*23*")&gt;0,COUNTIF(I2097,"24*")&gt;0,COUNTIF(J2097,"*24*")&gt;0,COUNTIF(I2097,"25*")&gt;0,COUNTIF(J2097,"*25*")&gt;0,COUNTIF(I2097,"26*")&gt;0,COUNTIF(J2097,"*26*")&gt;0,COUNTIF(I2097,"27*")&gt;0,COUNTIF(J2097,"*27*")&gt;0,COUNTIF(I2097,"28*")&gt;0,COUNTIF(J2097,"*28*")&gt;0,COUNTIF(I2097,"29*")&gt;0,COUNTIF(J2097,"*29*")&gt;0,COUNTIF(I2097,"30*")&gt;0,COUNTIF(J2097,"*30*")&gt;0,COUNTIF(I2097,"31*")&gt;0,COUNTIF(J2097,"*31*")&gt;0,COUNTIF(I2097,"32*")&gt;0,COUNTIF(J2097,"*32*")&gt;0,COUNTIF(I2097,"33*")&gt;0,COUNTIF(J2097,"*33*")&gt;0,COUNTIF(I2097,"41*")&gt;0,COUNTIF(J2097,"*41*")&gt;0,COUNTIF(I2097,"42*")&gt;0,COUNTIF(J2097,"*42*")&gt;0,COUNTIF(I2097,"43*")&gt;0,COUNTIF(J2097,"*43*")&gt;0,COUNTIF(I2097,"49*")&gt;0,COUNTIF(J2097,"*49*")&gt;0,COUNTIF(I2097,"52*")&gt;0,COUNTIF(J2097,"*52*")&gt;0,COUNTIF(I2097,"55*")&gt;0,COUNTIF(J2097,"*55*")&gt;0,COUNTIF(I2097,"56*")&gt;0,COUNTIF(J2097,"*56*")&gt;0,COUNTIF(I2097,"68*")&gt;0,COUNTIF(J2097,"*68*")&gt;0,COUNTIF(I2097,"78*")&gt;0,COUNTIF(J2097,"*78*")&gt;0,COUNTIF(I2097,"81*")&gt;0,COUNTIF(J2097,"*81*")&gt;0,COUNTIF(I2097,"82*")&gt;0,COUNTIF(J2097,"*82*")&gt;0,COUNTIF(I2097,"64*")&gt;0,COUNTIF(J2097,"*64*")&gt;0,COUNTIF(I2097,"65*")&gt;0,COUNTIF(J2097,"*65*")&gt;0,COUNTIF(I2097,"66*")&gt;0,COUNTIF(J2097,"*66*")&gt;0,COUNTIF(I2097,"61*")&gt;0,COUNTIF(J2097,"*61*")&gt;0,COUNTIF(I2097,"62*")&gt;0,COUNTIF(J2097,"*62*")&gt;0,COUNTIF(I2097,"63*")&gt;0,COUNTIF(J2097,"*63*")&gt;0,COUNTIF(I2097,"85*")&gt;0,COUNTIF(J2097,"*85*")&gt;0,COUNTIF(I2097,"86*")&gt;0,COUNTIF(J2097,"*86*")&gt;0),"Да","Нет"))</f>
        <v/>
      </c>
      <c r="M2097" s="13">
        <f>IF(OR(G2097="",L2097&lt;&gt;"Да"),"",IF(G2097&lt;=100,"До 100",IF(G2097&lt;=200,"До 200",IF(G2097&lt;=500,"До 500","Отдельное КП"))))</f>
        <v/>
      </c>
      <c r="N2097" s="15">
        <f>IF(OR(G2097="",L2097&lt;&gt;"Да"),"",IF(G2097&lt;=100,33600,IF(G2097&lt;=200,62400,IF(G2097&lt;=500,144000,""))))</f>
        <v/>
      </c>
      <c r="O2097" s="16">
        <f>IF(G2097="","",IF(G2097&lt;=15,"1–15",IF(G2097&lt;=30,"16–30",IF(G2097&lt;=50,"31–50",IF(G2097&lt;=100,"51–100",IF(G2097&lt;=150,"101–150",IF(G2097&lt;=200,"151–200",IF(G2097&lt;=500,"201–500","500+"))))))))</f>
        <v/>
      </c>
      <c r="P2097" s="16" t="inlineStr">
        <is>
          <t>Нет совпадения в предоставленной выгрузке ССЧР</t>
        </is>
      </c>
      <c r="Q2097" s="16" t="n"/>
      <c r="R2097" s="16">
        <f>HYPERLINK("https://checko.ru/search?query=3801001629","Чекко: проверить")</f>
        <v/>
      </c>
      <c r="S2097" t="n">
        <v>0</v>
      </c>
    </row>
    <row r="2098" ht="15" customHeight="1" s="24">
      <c r="A2098" s="13" t="n">
        <v>5000094558</v>
      </c>
      <c r="B2098" s="13" t="inlineStr">
        <is>
          <t>ГКЛОУ "Эльбрус"</t>
        </is>
      </c>
      <c r="C2098" s="13" t="n">
        <v>702900073</v>
      </c>
      <c r="D2098" s="13" t="n"/>
      <c r="E2098" s="13" t="inlineStr">
        <is>
          <t>Не определён</t>
        </is>
      </c>
      <c r="F2098" s="13" t="inlineStr">
        <is>
          <t>702900073</t>
        </is>
      </c>
      <c r="G2098" s="14" t="n"/>
      <c r="H2098" s="14" t="n"/>
      <c r="I2098" s="14" t="n"/>
      <c r="J2098" s="14" t="n"/>
      <c r="K2098" s="13">
        <f>IF(G2098="","",IF(G2098&gt;=22,"Да","Нет"))</f>
        <v/>
      </c>
      <c r="L2098" s="13">
        <f>IF(OR(I2098="",J2098=""),"Не определено",IF(OR(COUNTIF(I2098,"45*")&gt;0,COUNTIF(J2098,"*45*")&gt;0,COUNTIF(I2098,"46*")&gt;0,COUNTIF(J2098,"*46*")&gt;0,COUNTIF(I2098,"47*")&gt;0,COUNTIF(J2098,"*47*")&gt;0,COUNTIF(I2098,"10*")&gt;0,COUNTIF(J2098,"*10*")&gt;0,COUNTIF(I2098,"11*")&gt;0,COUNTIF(J2098,"*11*")&gt;0,COUNTIF(I2098,"12*")&gt;0,COUNTIF(J2098,"*12*")&gt;0,COUNTIF(I2098,"13*")&gt;0,COUNTIF(J2098,"*13*")&gt;0,COUNTIF(I2098,"14*")&gt;0,COUNTIF(J2098,"*14*")&gt;0,COUNTIF(I2098,"15*")&gt;0,COUNTIF(J2098,"*15*")&gt;0,COUNTIF(I2098,"16*")&gt;0,COUNTIF(J2098,"*16*")&gt;0,COUNTIF(I2098,"17*")&gt;0,COUNTIF(J2098,"*17*")&gt;0,COUNTIF(I2098,"18*")&gt;0,COUNTIF(J2098,"*18*")&gt;0,COUNTIF(I2098,"19*")&gt;0,COUNTIF(J2098,"*19*")&gt;0,COUNTIF(I2098,"20*")&gt;0,COUNTIF(J2098,"*20*")&gt;0,COUNTIF(I2098,"21*")&gt;0,COUNTIF(J2098,"*21*")&gt;0,COUNTIF(I2098,"22*")&gt;0,COUNTIF(J2098,"*22*")&gt;0,COUNTIF(I2098,"23*")&gt;0,COUNTIF(J2098,"*23*")&gt;0,COUNTIF(I2098,"24*")&gt;0,COUNTIF(J2098,"*24*")&gt;0,COUNTIF(I2098,"25*")&gt;0,COUNTIF(J2098,"*25*")&gt;0,COUNTIF(I2098,"26*")&gt;0,COUNTIF(J2098,"*26*")&gt;0,COUNTIF(I2098,"27*")&gt;0,COUNTIF(J2098,"*27*")&gt;0,COUNTIF(I2098,"28*")&gt;0,COUNTIF(J2098,"*28*")&gt;0,COUNTIF(I2098,"29*")&gt;0,COUNTIF(J2098,"*29*")&gt;0,COUNTIF(I2098,"30*")&gt;0,COUNTIF(J2098,"*30*")&gt;0,COUNTIF(I2098,"31*")&gt;0,COUNTIF(J2098,"*31*")&gt;0,COUNTIF(I2098,"32*")&gt;0,COUNTIF(J2098,"*32*")&gt;0,COUNTIF(I2098,"33*")&gt;0,COUNTIF(J2098,"*33*")&gt;0,COUNTIF(I2098,"41*")&gt;0,COUNTIF(J2098,"*41*")&gt;0,COUNTIF(I2098,"42*")&gt;0,COUNTIF(J2098,"*42*")&gt;0,COUNTIF(I2098,"43*")&gt;0,COUNTIF(J2098,"*43*")&gt;0,COUNTIF(I2098,"49*")&gt;0,COUNTIF(J2098,"*49*")&gt;0,COUNTIF(I2098,"52*")&gt;0,COUNTIF(J2098,"*52*")&gt;0,COUNTIF(I2098,"55*")&gt;0,COUNTIF(J2098,"*55*")&gt;0,COUNTIF(I2098,"56*")&gt;0,COUNTIF(J2098,"*56*")&gt;0,COUNTIF(I2098,"68*")&gt;0,COUNTIF(J2098,"*68*")&gt;0,COUNTIF(I2098,"78*")&gt;0,COUNTIF(J2098,"*78*")&gt;0,COUNTIF(I2098,"81*")&gt;0,COUNTIF(J2098,"*81*")&gt;0,COUNTIF(I2098,"82*")&gt;0,COUNTIF(J2098,"*82*")&gt;0,COUNTIF(I2098,"64*")&gt;0,COUNTIF(J2098,"*64*")&gt;0,COUNTIF(I2098,"65*")&gt;0,COUNTIF(J2098,"*65*")&gt;0,COUNTIF(I2098,"66*")&gt;0,COUNTIF(J2098,"*66*")&gt;0,COUNTIF(I2098,"61*")&gt;0,COUNTIF(J2098,"*61*")&gt;0,COUNTIF(I2098,"62*")&gt;0,COUNTIF(J2098,"*62*")&gt;0,COUNTIF(I2098,"63*")&gt;0,COUNTIF(J2098,"*63*")&gt;0,COUNTIF(I2098,"85*")&gt;0,COUNTIF(J2098,"*85*")&gt;0,COUNTIF(I2098,"86*")&gt;0,COUNTIF(J2098,"*86*")&gt;0),"Да","Нет"))</f>
        <v/>
      </c>
      <c r="M2098" s="13">
        <f>IF(OR(G2098="",L2098&lt;&gt;"Да"),"",IF(G2098&lt;=100,"До 100",IF(G2098&lt;=200,"До 200",IF(G2098&lt;=500,"До 500","Отдельное КП"))))</f>
        <v/>
      </c>
      <c r="N2098" s="15">
        <f>IF(OR(G2098="",L2098&lt;&gt;"Да"),"",IF(G2098&lt;=100,33600,IF(G2098&lt;=200,62400,IF(G2098&lt;=500,144000,""))))</f>
        <v/>
      </c>
      <c r="O2098" s="16">
        <f>IF(G2098="","",IF(G2098&lt;=15,"1–15",IF(G2098&lt;=30,"16–30",IF(G2098&lt;=50,"31–50",IF(G2098&lt;=100,"51–100",IF(G2098&lt;=150,"101–150",IF(G2098&lt;=200,"151–200",IF(G2098&lt;=500,"201–500","500+"))))))))</f>
        <v/>
      </c>
      <c r="P2098" s="16" t="inlineStr">
        <is>
          <t>Нет совпадения в предоставленной выгрузке ССЧР</t>
        </is>
      </c>
      <c r="Q2098" s="16" t="n"/>
      <c r="R2098" s="16">
        <f>HYPERLINK("https://checko.ru/search?query=3801001629","Чекко: проверить")</f>
        <v/>
      </c>
      <c r="S2098" t="n">
        <v>0</v>
      </c>
    </row>
    <row r="2099" ht="15" customHeight="1" s="24">
      <c r="A2099" s="13" t="n">
        <v>5000094559</v>
      </c>
      <c r="B2099" s="13" t="inlineStr">
        <is>
          <t>МУ "Редакция газеты "Майские новости"</t>
        </is>
      </c>
      <c r="C2099" s="13" t="n">
        <v>703000928</v>
      </c>
      <c r="D2099" s="13" t="n"/>
      <c r="E2099" s="13" t="inlineStr">
        <is>
          <t>Не определён</t>
        </is>
      </c>
      <c r="F2099" s="13" t="inlineStr">
        <is>
          <t>703000928</t>
        </is>
      </c>
      <c r="G2099" s="14" t="n"/>
      <c r="H2099" s="14" t="n"/>
      <c r="I2099" s="14" t="n"/>
      <c r="J2099" s="14" t="n"/>
      <c r="K2099" s="13">
        <f>IF(G2099="","",IF(G2099&gt;=22,"Да","Нет"))</f>
        <v/>
      </c>
      <c r="L2099" s="13">
        <f>IF(OR(I2099="",J2099=""),"Не определено",IF(OR(COUNTIF(I2099,"45*")&gt;0,COUNTIF(J2099,"*45*")&gt;0,COUNTIF(I2099,"46*")&gt;0,COUNTIF(J2099,"*46*")&gt;0,COUNTIF(I2099,"47*")&gt;0,COUNTIF(J2099,"*47*")&gt;0,COUNTIF(I2099,"10*")&gt;0,COUNTIF(J2099,"*10*")&gt;0,COUNTIF(I2099,"11*")&gt;0,COUNTIF(J2099,"*11*")&gt;0,COUNTIF(I2099,"12*")&gt;0,COUNTIF(J2099,"*12*")&gt;0,COUNTIF(I2099,"13*")&gt;0,COUNTIF(J2099,"*13*")&gt;0,COUNTIF(I2099,"14*")&gt;0,COUNTIF(J2099,"*14*")&gt;0,COUNTIF(I2099,"15*")&gt;0,COUNTIF(J2099,"*15*")&gt;0,COUNTIF(I2099,"16*")&gt;0,COUNTIF(J2099,"*16*")&gt;0,COUNTIF(I2099,"17*")&gt;0,COUNTIF(J2099,"*17*")&gt;0,COUNTIF(I2099,"18*")&gt;0,COUNTIF(J2099,"*18*")&gt;0,COUNTIF(I2099,"19*")&gt;0,COUNTIF(J2099,"*19*")&gt;0,COUNTIF(I2099,"20*")&gt;0,COUNTIF(J2099,"*20*")&gt;0,COUNTIF(I2099,"21*")&gt;0,COUNTIF(J2099,"*21*")&gt;0,COUNTIF(I2099,"22*")&gt;0,COUNTIF(J2099,"*22*")&gt;0,COUNTIF(I2099,"23*")&gt;0,COUNTIF(J2099,"*23*")&gt;0,COUNTIF(I2099,"24*")&gt;0,COUNTIF(J2099,"*24*")&gt;0,COUNTIF(I2099,"25*")&gt;0,COUNTIF(J2099,"*25*")&gt;0,COUNTIF(I2099,"26*")&gt;0,COUNTIF(J2099,"*26*")&gt;0,COUNTIF(I2099,"27*")&gt;0,COUNTIF(J2099,"*27*")&gt;0,COUNTIF(I2099,"28*")&gt;0,COUNTIF(J2099,"*28*")&gt;0,COUNTIF(I2099,"29*")&gt;0,COUNTIF(J2099,"*29*")&gt;0,COUNTIF(I2099,"30*")&gt;0,COUNTIF(J2099,"*30*")&gt;0,COUNTIF(I2099,"31*")&gt;0,COUNTIF(J2099,"*31*")&gt;0,COUNTIF(I2099,"32*")&gt;0,COUNTIF(J2099,"*32*")&gt;0,COUNTIF(I2099,"33*")&gt;0,COUNTIF(J2099,"*33*")&gt;0,COUNTIF(I2099,"41*")&gt;0,COUNTIF(J2099,"*41*")&gt;0,COUNTIF(I2099,"42*")&gt;0,COUNTIF(J2099,"*42*")&gt;0,COUNTIF(I2099,"43*")&gt;0,COUNTIF(J2099,"*43*")&gt;0,COUNTIF(I2099,"49*")&gt;0,COUNTIF(J2099,"*49*")&gt;0,COUNTIF(I2099,"52*")&gt;0,COUNTIF(J2099,"*52*")&gt;0,COUNTIF(I2099,"55*")&gt;0,COUNTIF(J2099,"*55*")&gt;0,COUNTIF(I2099,"56*")&gt;0,COUNTIF(J2099,"*56*")&gt;0,COUNTIF(I2099,"68*")&gt;0,COUNTIF(J2099,"*68*")&gt;0,COUNTIF(I2099,"78*")&gt;0,COUNTIF(J2099,"*78*")&gt;0,COUNTIF(I2099,"81*")&gt;0,COUNTIF(J2099,"*81*")&gt;0,COUNTIF(I2099,"82*")&gt;0,COUNTIF(J2099,"*82*")&gt;0,COUNTIF(I2099,"64*")&gt;0,COUNTIF(J2099,"*64*")&gt;0,COUNTIF(I2099,"65*")&gt;0,COUNTIF(J2099,"*65*")&gt;0,COUNTIF(I2099,"66*")&gt;0,COUNTIF(J2099,"*66*")&gt;0,COUNTIF(I2099,"61*")&gt;0,COUNTIF(J2099,"*61*")&gt;0,COUNTIF(I2099,"62*")&gt;0,COUNTIF(J2099,"*62*")&gt;0,COUNTIF(I2099,"63*")&gt;0,COUNTIF(J2099,"*63*")&gt;0,COUNTIF(I2099,"85*")&gt;0,COUNTIF(J2099,"*85*")&gt;0,COUNTIF(I2099,"86*")&gt;0,COUNTIF(J2099,"*86*")&gt;0),"Да","Нет"))</f>
        <v/>
      </c>
      <c r="M2099" s="13">
        <f>IF(OR(G2099="",L2099&lt;&gt;"Да"),"",IF(G2099&lt;=100,"До 100",IF(G2099&lt;=200,"До 200",IF(G2099&lt;=500,"До 500","Отдельное КП"))))</f>
        <v/>
      </c>
      <c r="N2099" s="15">
        <f>IF(OR(G2099="",L2099&lt;&gt;"Да"),"",IF(G2099&lt;=100,33600,IF(G2099&lt;=200,62400,IF(G2099&lt;=500,144000,""))))</f>
        <v/>
      </c>
      <c r="O2099" s="16">
        <f>IF(G2099="","",IF(G2099&lt;=15,"1–15",IF(G2099&lt;=30,"16–30",IF(G2099&lt;=50,"31–50",IF(G2099&lt;=100,"51–100",IF(G2099&lt;=150,"101–150",IF(G2099&lt;=200,"151–200",IF(G2099&lt;=500,"201–500","500+"))))))))</f>
        <v/>
      </c>
      <c r="P2099" s="16" t="inlineStr">
        <is>
          <t>Нет совпадения в предоставленной выгрузке ССЧР</t>
        </is>
      </c>
      <c r="Q2099" s="16" t="n"/>
      <c r="R2099" s="16">
        <f>HYPERLINK("https://checko.ru/search?query=3801001629","Чекко: проверить")</f>
        <v/>
      </c>
      <c r="S2099" t="n">
        <v>0</v>
      </c>
    </row>
    <row r="2100" ht="27.75" customHeight="1" s="24">
      <c r="A2100" s="13" t="n">
        <v>5000094560</v>
      </c>
      <c r="B2100" s="13" t="inlineStr">
        <is>
          <t>МУ местная администрация сельского поселения ст. Котляревская</t>
        </is>
      </c>
      <c r="C2100" s="13" t="n">
        <v>703002650</v>
      </c>
      <c r="D2100" s="13" t="n"/>
      <c r="E2100" s="13" t="inlineStr">
        <is>
          <t>Не определён</t>
        </is>
      </c>
      <c r="F2100" s="13" t="inlineStr">
        <is>
          <t>703002650</t>
        </is>
      </c>
      <c r="G2100" s="14" t="n"/>
      <c r="H2100" s="14" t="n"/>
      <c r="I2100" s="14" t="n"/>
      <c r="J2100" s="14" t="n"/>
      <c r="K2100" s="13">
        <f>IF(G2100="","",IF(G2100&gt;=22,"Да","Нет"))</f>
        <v/>
      </c>
      <c r="L2100" s="13">
        <f>IF(OR(I2100="",J2100=""),"Не определено",IF(OR(COUNTIF(I2100,"45*")&gt;0,COUNTIF(J2100,"*45*")&gt;0,COUNTIF(I2100,"46*")&gt;0,COUNTIF(J2100,"*46*")&gt;0,COUNTIF(I2100,"47*")&gt;0,COUNTIF(J2100,"*47*")&gt;0,COUNTIF(I2100,"10*")&gt;0,COUNTIF(J2100,"*10*")&gt;0,COUNTIF(I2100,"11*")&gt;0,COUNTIF(J2100,"*11*")&gt;0,COUNTIF(I2100,"12*")&gt;0,COUNTIF(J2100,"*12*")&gt;0,COUNTIF(I2100,"13*")&gt;0,COUNTIF(J2100,"*13*")&gt;0,COUNTIF(I2100,"14*")&gt;0,COUNTIF(J2100,"*14*")&gt;0,COUNTIF(I2100,"15*")&gt;0,COUNTIF(J2100,"*15*")&gt;0,COUNTIF(I2100,"16*")&gt;0,COUNTIF(J2100,"*16*")&gt;0,COUNTIF(I2100,"17*")&gt;0,COUNTIF(J2100,"*17*")&gt;0,COUNTIF(I2100,"18*")&gt;0,COUNTIF(J2100,"*18*")&gt;0,COUNTIF(I2100,"19*")&gt;0,COUNTIF(J2100,"*19*")&gt;0,COUNTIF(I2100,"20*")&gt;0,COUNTIF(J2100,"*20*")&gt;0,COUNTIF(I2100,"21*")&gt;0,COUNTIF(J2100,"*21*")&gt;0,COUNTIF(I2100,"22*")&gt;0,COUNTIF(J2100,"*22*")&gt;0,COUNTIF(I2100,"23*")&gt;0,COUNTIF(J2100,"*23*")&gt;0,COUNTIF(I2100,"24*")&gt;0,COUNTIF(J2100,"*24*")&gt;0,COUNTIF(I2100,"25*")&gt;0,COUNTIF(J2100,"*25*")&gt;0,COUNTIF(I2100,"26*")&gt;0,COUNTIF(J2100,"*26*")&gt;0,COUNTIF(I2100,"27*")&gt;0,COUNTIF(J2100,"*27*")&gt;0,COUNTIF(I2100,"28*")&gt;0,COUNTIF(J2100,"*28*")&gt;0,COUNTIF(I2100,"29*")&gt;0,COUNTIF(J2100,"*29*")&gt;0,COUNTIF(I2100,"30*")&gt;0,COUNTIF(J2100,"*30*")&gt;0,COUNTIF(I2100,"31*")&gt;0,COUNTIF(J2100,"*31*")&gt;0,COUNTIF(I2100,"32*")&gt;0,COUNTIF(J2100,"*32*")&gt;0,COUNTIF(I2100,"33*")&gt;0,COUNTIF(J2100,"*33*")&gt;0,COUNTIF(I2100,"41*")&gt;0,COUNTIF(J2100,"*41*")&gt;0,COUNTIF(I2100,"42*")&gt;0,COUNTIF(J2100,"*42*")&gt;0,COUNTIF(I2100,"43*")&gt;0,COUNTIF(J2100,"*43*")&gt;0,COUNTIF(I2100,"49*")&gt;0,COUNTIF(J2100,"*49*")&gt;0,COUNTIF(I2100,"52*")&gt;0,COUNTIF(J2100,"*52*")&gt;0,COUNTIF(I2100,"55*")&gt;0,COUNTIF(J2100,"*55*")&gt;0,COUNTIF(I2100,"56*")&gt;0,COUNTIF(J2100,"*56*")&gt;0,COUNTIF(I2100,"68*")&gt;0,COUNTIF(J2100,"*68*")&gt;0,COUNTIF(I2100,"78*")&gt;0,COUNTIF(J2100,"*78*")&gt;0,COUNTIF(I2100,"81*")&gt;0,COUNTIF(J2100,"*81*")&gt;0,COUNTIF(I2100,"82*")&gt;0,COUNTIF(J2100,"*82*")&gt;0,COUNTIF(I2100,"64*")&gt;0,COUNTIF(J2100,"*64*")&gt;0,COUNTIF(I2100,"65*")&gt;0,COUNTIF(J2100,"*65*")&gt;0,COUNTIF(I2100,"66*")&gt;0,COUNTIF(J2100,"*66*")&gt;0,COUNTIF(I2100,"61*")&gt;0,COUNTIF(J2100,"*61*")&gt;0,COUNTIF(I2100,"62*")&gt;0,COUNTIF(J2100,"*62*")&gt;0,COUNTIF(I2100,"63*")&gt;0,COUNTIF(J2100,"*63*")&gt;0,COUNTIF(I2100,"85*")&gt;0,COUNTIF(J2100,"*85*")&gt;0,COUNTIF(I2100,"86*")&gt;0,COUNTIF(J2100,"*86*")&gt;0),"Да","Нет"))</f>
        <v/>
      </c>
      <c r="M2100" s="13">
        <f>IF(OR(G2100="",L2100&lt;&gt;"Да"),"",IF(G2100&lt;=100,"До 100",IF(G2100&lt;=200,"До 200",IF(G2100&lt;=500,"До 500","Отдельное КП"))))</f>
        <v/>
      </c>
      <c r="N2100" s="15">
        <f>IF(OR(G2100="",L2100&lt;&gt;"Да"),"",IF(G2100&lt;=100,33600,IF(G2100&lt;=200,62400,IF(G2100&lt;=500,144000,""))))</f>
        <v/>
      </c>
      <c r="O2100" s="16">
        <f>IF(G2100="","",IF(G2100&lt;=15,"1–15",IF(G2100&lt;=30,"16–30",IF(G2100&lt;=50,"31–50",IF(G2100&lt;=100,"51–100",IF(G2100&lt;=150,"101–150",IF(G2100&lt;=200,"151–200",IF(G2100&lt;=500,"201–500","500+"))))))))</f>
        <v/>
      </c>
      <c r="P2100" s="16" t="inlineStr">
        <is>
          <t>Нет совпадения в предоставленной выгрузке ССЧР</t>
        </is>
      </c>
      <c r="Q2100" s="16" t="n"/>
      <c r="R2100" s="16">
        <f>HYPERLINK("https://checko.ru/search?query=3801001629","Чекко: проверить")</f>
        <v/>
      </c>
      <c r="S2100" t="n">
        <v>0</v>
      </c>
    </row>
    <row r="2101" ht="15" customHeight="1" s="24">
      <c r="A2101" s="13" t="n">
        <v>5000094561</v>
      </c>
      <c r="B2101" s="13" t="inlineStr">
        <is>
          <t>МКОУ СОШ №5 г. Майского</t>
        </is>
      </c>
      <c r="C2101" s="13" t="n">
        <v>703002675</v>
      </c>
      <c r="D2101" s="13" t="n"/>
      <c r="E2101" s="13" t="inlineStr">
        <is>
          <t>Не определён</t>
        </is>
      </c>
      <c r="F2101" s="13" t="inlineStr">
        <is>
          <t>703002675</t>
        </is>
      </c>
      <c r="G2101" s="14" t="n"/>
      <c r="H2101" s="14" t="n"/>
      <c r="I2101" s="14" t="n"/>
      <c r="J2101" s="14" t="n"/>
      <c r="K2101" s="13">
        <f>IF(G2101="","",IF(G2101&gt;=22,"Да","Нет"))</f>
        <v/>
      </c>
      <c r="L2101" s="13">
        <f>IF(OR(I2101="",J2101=""),"Не определено",IF(OR(COUNTIF(I2101,"45*")&gt;0,COUNTIF(J2101,"*45*")&gt;0,COUNTIF(I2101,"46*")&gt;0,COUNTIF(J2101,"*46*")&gt;0,COUNTIF(I2101,"47*")&gt;0,COUNTIF(J2101,"*47*")&gt;0,COUNTIF(I2101,"10*")&gt;0,COUNTIF(J2101,"*10*")&gt;0,COUNTIF(I2101,"11*")&gt;0,COUNTIF(J2101,"*11*")&gt;0,COUNTIF(I2101,"12*")&gt;0,COUNTIF(J2101,"*12*")&gt;0,COUNTIF(I2101,"13*")&gt;0,COUNTIF(J2101,"*13*")&gt;0,COUNTIF(I2101,"14*")&gt;0,COUNTIF(J2101,"*14*")&gt;0,COUNTIF(I2101,"15*")&gt;0,COUNTIF(J2101,"*15*")&gt;0,COUNTIF(I2101,"16*")&gt;0,COUNTIF(J2101,"*16*")&gt;0,COUNTIF(I2101,"17*")&gt;0,COUNTIF(J2101,"*17*")&gt;0,COUNTIF(I2101,"18*")&gt;0,COUNTIF(J2101,"*18*")&gt;0,COUNTIF(I2101,"19*")&gt;0,COUNTIF(J2101,"*19*")&gt;0,COUNTIF(I2101,"20*")&gt;0,COUNTIF(J2101,"*20*")&gt;0,COUNTIF(I2101,"21*")&gt;0,COUNTIF(J2101,"*21*")&gt;0,COUNTIF(I2101,"22*")&gt;0,COUNTIF(J2101,"*22*")&gt;0,COUNTIF(I2101,"23*")&gt;0,COUNTIF(J2101,"*23*")&gt;0,COUNTIF(I2101,"24*")&gt;0,COUNTIF(J2101,"*24*")&gt;0,COUNTIF(I2101,"25*")&gt;0,COUNTIF(J2101,"*25*")&gt;0,COUNTIF(I2101,"26*")&gt;0,COUNTIF(J2101,"*26*")&gt;0,COUNTIF(I2101,"27*")&gt;0,COUNTIF(J2101,"*27*")&gt;0,COUNTIF(I2101,"28*")&gt;0,COUNTIF(J2101,"*28*")&gt;0,COUNTIF(I2101,"29*")&gt;0,COUNTIF(J2101,"*29*")&gt;0,COUNTIF(I2101,"30*")&gt;0,COUNTIF(J2101,"*30*")&gt;0,COUNTIF(I2101,"31*")&gt;0,COUNTIF(J2101,"*31*")&gt;0,COUNTIF(I2101,"32*")&gt;0,COUNTIF(J2101,"*32*")&gt;0,COUNTIF(I2101,"33*")&gt;0,COUNTIF(J2101,"*33*")&gt;0,COUNTIF(I2101,"41*")&gt;0,COUNTIF(J2101,"*41*")&gt;0,COUNTIF(I2101,"42*")&gt;0,COUNTIF(J2101,"*42*")&gt;0,COUNTIF(I2101,"43*")&gt;0,COUNTIF(J2101,"*43*")&gt;0,COUNTIF(I2101,"49*")&gt;0,COUNTIF(J2101,"*49*")&gt;0,COUNTIF(I2101,"52*")&gt;0,COUNTIF(J2101,"*52*")&gt;0,COUNTIF(I2101,"55*")&gt;0,COUNTIF(J2101,"*55*")&gt;0,COUNTIF(I2101,"56*")&gt;0,COUNTIF(J2101,"*56*")&gt;0,COUNTIF(I2101,"68*")&gt;0,COUNTIF(J2101,"*68*")&gt;0,COUNTIF(I2101,"78*")&gt;0,COUNTIF(J2101,"*78*")&gt;0,COUNTIF(I2101,"81*")&gt;0,COUNTIF(J2101,"*81*")&gt;0,COUNTIF(I2101,"82*")&gt;0,COUNTIF(J2101,"*82*")&gt;0,COUNTIF(I2101,"64*")&gt;0,COUNTIF(J2101,"*64*")&gt;0,COUNTIF(I2101,"65*")&gt;0,COUNTIF(J2101,"*65*")&gt;0,COUNTIF(I2101,"66*")&gt;0,COUNTIF(J2101,"*66*")&gt;0,COUNTIF(I2101,"61*")&gt;0,COUNTIF(J2101,"*61*")&gt;0,COUNTIF(I2101,"62*")&gt;0,COUNTIF(J2101,"*62*")&gt;0,COUNTIF(I2101,"63*")&gt;0,COUNTIF(J2101,"*63*")&gt;0,COUNTIF(I2101,"85*")&gt;0,COUNTIF(J2101,"*85*")&gt;0,COUNTIF(I2101,"86*")&gt;0,COUNTIF(J2101,"*86*")&gt;0),"Да","Нет"))</f>
        <v/>
      </c>
      <c r="M2101" s="13">
        <f>IF(OR(G2101="",L2101&lt;&gt;"Да"),"",IF(G2101&lt;=100,"До 100",IF(G2101&lt;=200,"До 200",IF(G2101&lt;=500,"До 500","Отдельное КП"))))</f>
        <v/>
      </c>
      <c r="N2101" s="15">
        <f>IF(OR(G2101="",L2101&lt;&gt;"Да"),"",IF(G2101&lt;=100,33600,IF(G2101&lt;=200,62400,IF(G2101&lt;=500,144000,""))))</f>
        <v/>
      </c>
      <c r="O2101" s="16">
        <f>IF(G2101="","",IF(G2101&lt;=15,"1–15",IF(G2101&lt;=30,"16–30",IF(G2101&lt;=50,"31–50",IF(G2101&lt;=100,"51–100",IF(G2101&lt;=150,"101–150",IF(G2101&lt;=200,"151–200",IF(G2101&lt;=500,"201–500","500+"))))))))</f>
        <v/>
      </c>
      <c r="P2101" s="16" t="inlineStr">
        <is>
          <t>Нет совпадения в предоставленной выгрузке ССЧР</t>
        </is>
      </c>
      <c r="Q2101" s="16" t="n"/>
      <c r="R2101" s="16">
        <f>HYPERLINK("https://checko.ru/search?query=3801001629","Чекко: проверить")</f>
        <v/>
      </c>
      <c r="S2101" t="n">
        <v>0</v>
      </c>
    </row>
    <row r="2102" ht="41.25" customHeight="1" s="24">
      <c r="A2102" s="13" t="n">
        <v>5000094562</v>
      </c>
      <c r="B2102" s="13" t="inlineStr">
        <is>
          <t>Местная администрация Майского муниципального района Кабардино-Балкарской Республики</t>
        </is>
      </c>
      <c r="C2102" s="13" t="n">
        <v>703002682</v>
      </c>
      <c r="D2102" s="13" t="n"/>
      <c r="E2102" s="13" t="inlineStr">
        <is>
          <t>Не определён</t>
        </is>
      </c>
      <c r="F2102" s="13" t="inlineStr">
        <is>
          <t>703002682</t>
        </is>
      </c>
      <c r="G2102" s="14" t="n"/>
      <c r="H2102" s="14" t="n"/>
      <c r="I2102" s="14" t="n"/>
      <c r="J2102" s="14" t="n"/>
      <c r="K2102" s="13">
        <f>IF(G2102="","",IF(G2102&gt;=22,"Да","Нет"))</f>
        <v/>
      </c>
      <c r="L2102" s="13">
        <f>IF(OR(I2102="",J2102=""),"Не определено",IF(OR(COUNTIF(I2102,"45*")&gt;0,COUNTIF(J2102,"*45*")&gt;0,COUNTIF(I2102,"46*")&gt;0,COUNTIF(J2102,"*46*")&gt;0,COUNTIF(I2102,"47*")&gt;0,COUNTIF(J2102,"*47*")&gt;0,COUNTIF(I2102,"10*")&gt;0,COUNTIF(J2102,"*10*")&gt;0,COUNTIF(I2102,"11*")&gt;0,COUNTIF(J2102,"*11*")&gt;0,COUNTIF(I2102,"12*")&gt;0,COUNTIF(J2102,"*12*")&gt;0,COUNTIF(I2102,"13*")&gt;0,COUNTIF(J2102,"*13*")&gt;0,COUNTIF(I2102,"14*")&gt;0,COUNTIF(J2102,"*14*")&gt;0,COUNTIF(I2102,"15*")&gt;0,COUNTIF(J2102,"*15*")&gt;0,COUNTIF(I2102,"16*")&gt;0,COUNTIF(J2102,"*16*")&gt;0,COUNTIF(I2102,"17*")&gt;0,COUNTIF(J2102,"*17*")&gt;0,COUNTIF(I2102,"18*")&gt;0,COUNTIF(J2102,"*18*")&gt;0,COUNTIF(I2102,"19*")&gt;0,COUNTIF(J2102,"*19*")&gt;0,COUNTIF(I2102,"20*")&gt;0,COUNTIF(J2102,"*20*")&gt;0,COUNTIF(I2102,"21*")&gt;0,COUNTIF(J2102,"*21*")&gt;0,COUNTIF(I2102,"22*")&gt;0,COUNTIF(J2102,"*22*")&gt;0,COUNTIF(I2102,"23*")&gt;0,COUNTIF(J2102,"*23*")&gt;0,COUNTIF(I2102,"24*")&gt;0,COUNTIF(J2102,"*24*")&gt;0,COUNTIF(I2102,"25*")&gt;0,COUNTIF(J2102,"*25*")&gt;0,COUNTIF(I2102,"26*")&gt;0,COUNTIF(J2102,"*26*")&gt;0,COUNTIF(I2102,"27*")&gt;0,COUNTIF(J2102,"*27*")&gt;0,COUNTIF(I2102,"28*")&gt;0,COUNTIF(J2102,"*28*")&gt;0,COUNTIF(I2102,"29*")&gt;0,COUNTIF(J2102,"*29*")&gt;0,COUNTIF(I2102,"30*")&gt;0,COUNTIF(J2102,"*30*")&gt;0,COUNTIF(I2102,"31*")&gt;0,COUNTIF(J2102,"*31*")&gt;0,COUNTIF(I2102,"32*")&gt;0,COUNTIF(J2102,"*32*")&gt;0,COUNTIF(I2102,"33*")&gt;0,COUNTIF(J2102,"*33*")&gt;0,COUNTIF(I2102,"41*")&gt;0,COUNTIF(J2102,"*41*")&gt;0,COUNTIF(I2102,"42*")&gt;0,COUNTIF(J2102,"*42*")&gt;0,COUNTIF(I2102,"43*")&gt;0,COUNTIF(J2102,"*43*")&gt;0,COUNTIF(I2102,"49*")&gt;0,COUNTIF(J2102,"*49*")&gt;0,COUNTIF(I2102,"52*")&gt;0,COUNTIF(J2102,"*52*")&gt;0,COUNTIF(I2102,"55*")&gt;0,COUNTIF(J2102,"*55*")&gt;0,COUNTIF(I2102,"56*")&gt;0,COUNTIF(J2102,"*56*")&gt;0,COUNTIF(I2102,"68*")&gt;0,COUNTIF(J2102,"*68*")&gt;0,COUNTIF(I2102,"78*")&gt;0,COUNTIF(J2102,"*78*")&gt;0,COUNTIF(I2102,"81*")&gt;0,COUNTIF(J2102,"*81*")&gt;0,COUNTIF(I2102,"82*")&gt;0,COUNTIF(J2102,"*82*")&gt;0,COUNTIF(I2102,"64*")&gt;0,COUNTIF(J2102,"*64*")&gt;0,COUNTIF(I2102,"65*")&gt;0,COUNTIF(J2102,"*65*")&gt;0,COUNTIF(I2102,"66*")&gt;0,COUNTIF(J2102,"*66*")&gt;0,COUNTIF(I2102,"61*")&gt;0,COUNTIF(J2102,"*61*")&gt;0,COUNTIF(I2102,"62*")&gt;0,COUNTIF(J2102,"*62*")&gt;0,COUNTIF(I2102,"63*")&gt;0,COUNTIF(J2102,"*63*")&gt;0,COUNTIF(I2102,"85*")&gt;0,COUNTIF(J2102,"*85*")&gt;0,COUNTIF(I2102,"86*")&gt;0,COUNTIF(J2102,"*86*")&gt;0),"Да","Нет"))</f>
        <v/>
      </c>
      <c r="M2102" s="13">
        <f>IF(OR(G2102="",L2102&lt;&gt;"Да"),"",IF(G2102&lt;=100,"До 100",IF(G2102&lt;=200,"До 200",IF(G2102&lt;=500,"До 500","Отдельное КП"))))</f>
        <v/>
      </c>
      <c r="N2102" s="15">
        <f>IF(OR(G2102="",L2102&lt;&gt;"Да"),"",IF(G2102&lt;=100,33600,IF(G2102&lt;=200,62400,IF(G2102&lt;=500,144000,""))))</f>
        <v/>
      </c>
      <c r="O2102" s="16">
        <f>IF(G2102="","",IF(G2102&lt;=15,"1–15",IF(G2102&lt;=30,"16–30",IF(G2102&lt;=50,"31–50",IF(G2102&lt;=100,"51–100",IF(G2102&lt;=150,"101–150",IF(G2102&lt;=200,"151–200",IF(G2102&lt;=500,"201–500","500+"))))))))</f>
        <v/>
      </c>
      <c r="P2102" s="16" t="inlineStr">
        <is>
          <t>Нет совпадения в предоставленной выгрузке ССЧР</t>
        </is>
      </c>
      <c r="Q2102" s="16" t="n"/>
      <c r="R2102" s="16">
        <f>HYPERLINK("https://checko.ru/search?query=3801001629","Чекко: проверить")</f>
        <v/>
      </c>
      <c r="S2102" t="n">
        <v>0</v>
      </c>
    </row>
    <row r="2103" ht="27.75" customHeight="1" s="24">
      <c r="A2103" s="13" t="n">
        <v>5000094563</v>
      </c>
      <c r="B2103" s="13" t="inlineStr">
        <is>
          <t>Местная администрация городского поселения Майский</t>
        </is>
      </c>
      <c r="C2103" s="13" t="n">
        <v>703002690</v>
      </c>
      <c r="D2103" s="13" t="n"/>
      <c r="E2103" s="13" t="inlineStr">
        <is>
          <t>Не определён</t>
        </is>
      </c>
      <c r="F2103" s="13" t="inlineStr">
        <is>
          <t>703002690</t>
        </is>
      </c>
      <c r="G2103" s="14" t="n"/>
      <c r="H2103" s="14" t="n"/>
      <c r="I2103" s="14" t="n"/>
      <c r="J2103" s="14" t="n"/>
      <c r="K2103" s="13">
        <f>IF(G2103="","",IF(G2103&gt;=22,"Да","Нет"))</f>
        <v/>
      </c>
      <c r="L2103" s="13">
        <f>IF(OR(I2103="",J2103=""),"Не определено",IF(OR(COUNTIF(I2103,"45*")&gt;0,COUNTIF(J2103,"*45*")&gt;0,COUNTIF(I2103,"46*")&gt;0,COUNTIF(J2103,"*46*")&gt;0,COUNTIF(I2103,"47*")&gt;0,COUNTIF(J2103,"*47*")&gt;0,COUNTIF(I2103,"10*")&gt;0,COUNTIF(J2103,"*10*")&gt;0,COUNTIF(I2103,"11*")&gt;0,COUNTIF(J2103,"*11*")&gt;0,COUNTIF(I2103,"12*")&gt;0,COUNTIF(J2103,"*12*")&gt;0,COUNTIF(I2103,"13*")&gt;0,COUNTIF(J2103,"*13*")&gt;0,COUNTIF(I2103,"14*")&gt;0,COUNTIF(J2103,"*14*")&gt;0,COUNTIF(I2103,"15*")&gt;0,COUNTIF(J2103,"*15*")&gt;0,COUNTIF(I2103,"16*")&gt;0,COUNTIF(J2103,"*16*")&gt;0,COUNTIF(I2103,"17*")&gt;0,COUNTIF(J2103,"*17*")&gt;0,COUNTIF(I2103,"18*")&gt;0,COUNTIF(J2103,"*18*")&gt;0,COUNTIF(I2103,"19*")&gt;0,COUNTIF(J2103,"*19*")&gt;0,COUNTIF(I2103,"20*")&gt;0,COUNTIF(J2103,"*20*")&gt;0,COUNTIF(I2103,"21*")&gt;0,COUNTIF(J2103,"*21*")&gt;0,COUNTIF(I2103,"22*")&gt;0,COUNTIF(J2103,"*22*")&gt;0,COUNTIF(I2103,"23*")&gt;0,COUNTIF(J2103,"*23*")&gt;0,COUNTIF(I2103,"24*")&gt;0,COUNTIF(J2103,"*24*")&gt;0,COUNTIF(I2103,"25*")&gt;0,COUNTIF(J2103,"*25*")&gt;0,COUNTIF(I2103,"26*")&gt;0,COUNTIF(J2103,"*26*")&gt;0,COUNTIF(I2103,"27*")&gt;0,COUNTIF(J2103,"*27*")&gt;0,COUNTIF(I2103,"28*")&gt;0,COUNTIF(J2103,"*28*")&gt;0,COUNTIF(I2103,"29*")&gt;0,COUNTIF(J2103,"*29*")&gt;0,COUNTIF(I2103,"30*")&gt;0,COUNTIF(J2103,"*30*")&gt;0,COUNTIF(I2103,"31*")&gt;0,COUNTIF(J2103,"*31*")&gt;0,COUNTIF(I2103,"32*")&gt;0,COUNTIF(J2103,"*32*")&gt;0,COUNTIF(I2103,"33*")&gt;0,COUNTIF(J2103,"*33*")&gt;0,COUNTIF(I2103,"41*")&gt;0,COUNTIF(J2103,"*41*")&gt;0,COUNTIF(I2103,"42*")&gt;0,COUNTIF(J2103,"*42*")&gt;0,COUNTIF(I2103,"43*")&gt;0,COUNTIF(J2103,"*43*")&gt;0,COUNTIF(I2103,"49*")&gt;0,COUNTIF(J2103,"*49*")&gt;0,COUNTIF(I2103,"52*")&gt;0,COUNTIF(J2103,"*52*")&gt;0,COUNTIF(I2103,"55*")&gt;0,COUNTIF(J2103,"*55*")&gt;0,COUNTIF(I2103,"56*")&gt;0,COUNTIF(J2103,"*56*")&gt;0,COUNTIF(I2103,"68*")&gt;0,COUNTIF(J2103,"*68*")&gt;0,COUNTIF(I2103,"78*")&gt;0,COUNTIF(J2103,"*78*")&gt;0,COUNTIF(I2103,"81*")&gt;0,COUNTIF(J2103,"*81*")&gt;0,COUNTIF(I2103,"82*")&gt;0,COUNTIF(J2103,"*82*")&gt;0,COUNTIF(I2103,"64*")&gt;0,COUNTIF(J2103,"*64*")&gt;0,COUNTIF(I2103,"65*")&gt;0,COUNTIF(J2103,"*65*")&gt;0,COUNTIF(I2103,"66*")&gt;0,COUNTIF(J2103,"*66*")&gt;0,COUNTIF(I2103,"61*")&gt;0,COUNTIF(J2103,"*61*")&gt;0,COUNTIF(I2103,"62*")&gt;0,COUNTIF(J2103,"*62*")&gt;0,COUNTIF(I2103,"63*")&gt;0,COUNTIF(J2103,"*63*")&gt;0,COUNTIF(I2103,"85*")&gt;0,COUNTIF(J2103,"*85*")&gt;0,COUNTIF(I2103,"86*")&gt;0,COUNTIF(J2103,"*86*")&gt;0),"Да","Нет"))</f>
        <v/>
      </c>
      <c r="M2103" s="13">
        <f>IF(OR(G2103="",L2103&lt;&gt;"Да"),"",IF(G2103&lt;=100,"До 100",IF(G2103&lt;=200,"До 200",IF(G2103&lt;=500,"До 500","Отдельное КП"))))</f>
        <v/>
      </c>
      <c r="N2103" s="15">
        <f>IF(OR(G2103="",L2103&lt;&gt;"Да"),"",IF(G2103&lt;=100,33600,IF(G2103&lt;=200,62400,IF(G2103&lt;=500,144000,""))))</f>
        <v/>
      </c>
      <c r="O2103" s="16">
        <f>IF(G2103="","",IF(G2103&lt;=15,"1–15",IF(G2103&lt;=30,"16–30",IF(G2103&lt;=50,"31–50",IF(G2103&lt;=100,"51–100",IF(G2103&lt;=150,"101–150",IF(G2103&lt;=200,"151–200",IF(G2103&lt;=500,"201–500","500+"))))))))</f>
        <v/>
      </c>
      <c r="P2103" s="16" t="inlineStr">
        <is>
          <t>Нет совпадения в предоставленной выгрузке ССЧР</t>
        </is>
      </c>
      <c r="Q2103" s="16" t="n"/>
      <c r="R2103" s="16">
        <f>HYPERLINK("https://checko.ru/search?query=3801001629","Чекко: проверить")</f>
        <v/>
      </c>
      <c r="S2103" t="n">
        <v>0</v>
      </c>
    </row>
    <row r="2104" ht="27.75" customHeight="1" s="24">
      <c r="A2104" s="13" t="n">
        <v>5000094564</v>
      </c>
      <c r="B2104" s="13" t="inlineStr">
        <is>
          <t>МУ "Местная администрация сельского поселения Ново-Ивановское"</t>
        </is>
      </c>
      <c r="C2104" s="13" t="n">
        <v>703002700</v>
      </c>
      <c r="D2104" s="13" t="n"/>
      <c r="E2104" s="13" t="inlineStr">
        <is>
          <t>Не определён</t>
        </is>
      </c>
      <c r="F2104" s="13" t="inlineStr">
        <is>
          <t>703002700</t>
        </is>
      </c>
      <c r="G2104" s="14" t="n"/>
      <c r="H2104" s="14" t="n"/>
      <c r="I2104" s="14" t="n"/>
      <c r="J2104" s="14" t="n"/>
      <c r="K2104" s="13">
        <f>IF(G2104="","",IF(G2104&gt;=22,"Да","Нет"))</f>
        <v/>
      </c>
      <c r="L2104" s="13">
        <f>IF(OR(I2104="",J2104=""),"Не определено",IF(OR(COUNTIF(I2104,"45*")&gt;0,COUNTIF(J2104,"*45*")&gt;0,COUNTIF(I2104,"46*")&gt;0,COUNTIF(J2104,"*46*")&gt;0,COUNTIF(I2104,"47*")&gt;0,COUNTIF(J2104,"*47*")&gt;0,COUNTIF(I2104,"10*")&gt;0,COUNTIF(J2104,"*10*")&gt;0,COUNTIF(I2104,"11*")&gt;0,COUNTIF(J2104,"*11*")&gt;0,COUNTIF(I2104,"12*")&gt;0,COUNTIF(J2104,"*12*")&gt;0,COUNTIF(I2104,"13*")&gt;0,COUNTIF(J2104,"*13*")&gt;0,COUNTIF(I2104,"14*")&gt;0,COUNTIF(J2104,"*14*")&gt;0,COUNTIF(I2104,"15*")&gt;0,COUNTIF(J2104,"*15*")&gt;0,COUNTIF(I2104,"16*")&gt;0,COUNTIF(J2104,"*16*")&gt;0,COUNTIF(I2104,"17*")&gt;0,COUNTIF(J2104,"*17*")&gt;0,COUNTIF(I2104,"18*")&gt;0,COUNTIF(J2104,"*18*")&gt;0,COUNTIF(I2104,"19*")&gt;0,COUNTIF(J2104,"*19*")&gt;0,COUNTIF(I2104,"20*")&gt;0,COUNTIF(J2104,"*20*")&gt;0,COUNTIF(I2104,"21*")&gt;0,COUNTIF(J2104,"*21*")&gt;0,COUNTIF(I2104,"22*")&gt;0,COUNTIF(J2104,"*22*")&gt;0,COUNTIF(I2104,"23*")&gt;0,COUNTIF(J2104,"*23*")&gt;0,COUNTIF(I2104,"24*")&gt;0,COUNTIF(J2104,"*24*")&gt;0,COUNTIF(I2104,"25*")&gt;0,COUNTIF(J2104,"*25*")&gt;0,COUNTIF(I2104,"26*")&gt;0,COUNTIF(J2104,"*26*")&gt;0,COUNTIF(I2104,"27*")&gt;0,COUNTIF(J2104,"*27*")&gt;0,COUNTIF(I2104,"28*")&gt;0,COUNTIF(J2104,"*28*")&gt;0,COUNTIF(I2104,"29*")&gt;0,COUNTIF(J2104,"*29*")&gt;0,COUNTIF(I2104,"30*")&gt;0,COUNTIF(J2104,"*30*")&gt;0,COUNTIF(I2104,"31*")&gt;0,COUNTIF(J2104,"*31*")&gt;0,COUNTIF(I2104,"32*")&gt;0,COUNTIF(J2104,"*32*")&gt;0,COUNTIF(I2104,"33*")&gt;0,COUNTIF(J2104,"*33*")&gt;0,COUNTIF(I2104,"41*")&gt;0,COUNTIF(J2104,"*41*")&gt;0,COUNTIF(I2104,"42*")&gt;0,COUNTIF(J2104,"*42*")&gt;0,COUNTIF(I2104,"43*")&gt;0,COUNTIF(J2104,"*43*")&gt;0,COUNTIF(I2104,"49*")&gt;0,COUNTIF(J2104,"*49*")&gt;0,COUNTIF(I2104,"52*")&gt;0,COUNTIF(J2104,"*52*")&gt;0,COUNTIF(I2104,"55*")&gt;0,COUNTIF(J2104,"*55*")&gt;0,COUNTIF(I2104,"56*")&gt;0,COUNTIF(J2104,"*56*")&gt;0,COUNTIF(I2104,"68*")&gt;0,COUNTIF(J2104,"*68*")&gt;0,COUNTIF(I2104,"78*")&gt;0,COUNTIF(J2104,"*78*")&gt;0,COUNTIF(I2104,"81*")&gt;0,COUNTIF(J2104,"*81*")&gt;0,COUNTIF(I2104,"82*")&gt;0,COUNTIF(J2104,"*82*")&gt;0,COUNTIF(I2104,"64*")&gt;0,COUNTIF(J2104,"*64*")&gt;0,COUNTIF(I2104,"65*")&gt;0,COUNTIF(J2104,"*65*")&gt;0,COUNTIF(I2104,"66*")&gt;0,COUNTIF(J2104,"*66*")&gt;0,COUNTIF(I2104,"61*")&gt;0,COUNTIF(J2104,"*61*")&gt;0,COUNTIF(I2104,"62*")&gt;0,COUNTIF(J2104,"*62*")&gt;0,COUNTIF(I2104,"63*")&gt;0,COUNTIF(J2104,"*63*")&gt;0,COUNTIF(I2104,"85*")&gt;0,COUNTIF(J2104,"*85*")&gt;0,COUNTIF(I2104,"86*")&gt;0,COUNTIF(J2104,"*86*")&gt;0),"Да","Нет"))</f>
        <v/>
      </c>
      <c r="M2104" s="13">
        <f>IF(OR(G2104="",L2104&lt;&gt;"Да"),"",IF(G2104&lt;=100,"До 100",IF(G2104&lt;=200,"До 200",IF(G2104&lt;=500,"До 500","Отдельное КП"))))</f>
        <v/>
      </c>
      <c r="N2104" s="15">
        <f>IF(OR(G2104="",L2104&lt;&gt;"Да"),"",IF(G2104&lt;=100,33600,IF(G2104&lt;=200,62400,IF(G2104&lt;=500,144000,""))))</f>
        <v/>
      </c>
      <c r="O2104" s="16">
        <f>IF(G2104="","",IF(G2104&lt;=15,"1–15",IF(G2104&lt;=30,"16–30",IF(G2104&lt;=50,"31–50",IF(G2104&lt;=100,"51–100",IF(G2104&lt;=150,"101–150",IF(G2104&lt;=200,"151–200",IF(G2104&lt;=500,"201–500","500+"))))))))</f>
        <v/>
      </c>
      <c r="P2104" s="16" t="inlineStr">
        <is>
          <t>Нет совпадения в предоставленной выгрузке ССЧР</t>
        </is>
      </c>
      <c r="Q2104" s="16" t="n"/>
      <c r="R2104" s="16">
        <f>HYPERLINK("https://checko.ru/search?query=3801001629","Чекко: проверить")</f>
        <v/>
      </c>
      <c r="S2104" t="n">
        <v>0</v>
      </c>
    </row>
    <row r="2105" ht="15" customHeight="1" s="24">
      <c r="A2105" s="13" t="n">
        <v>5000094565</v>
      </c>
      <c r="B2105" s="13" t="inlineStr">
        <is>
          <t>МКОУ "Гимназия № 1 г. Майского"</t>
        </is>
      </c>
      <c r="C2105" s="13" t="n">
        <v>703002724</v>
      </c>
      <c r="D2105" s="13" t="n"/>
      <c r="E2105" s="13" t="inlineStr">
        <is>
          <t>Не определён</t>
        </is>
      </c>
      <c r="F2105" s="13" t="inlineStr">
        <is>
          <t>703002724</t>
        </is>
      </c>
      <c r="G2105" s="14" t="n"/>
      <c r="H2105" s="14" t="n"/>
      <c r="I2105" s="14" t="n"/>
      <c r="J2105" s="14" t="n"/>
      <c r="K2105" s="13">
        <f>IF(G2105="","",IF(G2105&gt;=22,"Да","Нет"))</f>
        <v/>
      </c>
      <c r="L2105" s="13">
        <f>IF(OR(I2105="",J2105=""),"Не определено",IF(OR(COUNTIF(I2105,"45*")&gt;0,COUNTIF(J2105,"*45*")&gt;0,COUNTIF(I2105,"46*")&gt;0,COUNTIF(J2105,"*46*")&gt;0,COUNTIF(I2105,"47*")&gt;0,COUNTIF(J2105,"*47*")&gt;0,COUNTIF(I2105,"10*")&gt;0,COUNTIF(J2105,"*10*")&gt;0,COUNTIF(I2105,"11*")&gt;0,COUNTIF(J2105,"*11*")&gt;0,COUNTIF(I2105,"12*")&gt;0,COUNTIF(J2105,"*12*")&gt;0,COUNTIF(I2105,"13*")&gt;0,COUNTIF(J2105,"*13*")&gt;0,COUNTIF(I2105,"14*")&gt;0,COUNTIF(J2105,"*14*")&gt;0,COUNTIF(I2105,"15*")&gt;0,COUNTIF(J2105,"*15*")&gt;0,COUNTIF(I2105,"16*")&gt;0,COUNTIF(J2105,"*16*")&gt;0,COUNTIF(I2105,"17*")&gt;0,COUNTIF(J2105,"*17*")&gt;0,COUNTIF(I2105,"18*")&gt;0,COUNTIF(J2105,"*18*")&gt;0,COUNTIF(I2105,"19*")&gt;0,COUNTIF(J2105,"*19*")&gt;0,COUNTIF(I2105,"20*")&gt;0,COUNTIF(J2105,"*20*")&gt;0,COUNTIF(I2105,"21*")&gt;0,COUNTIF(J2105,"*21*")&gt;0,COUNTIF(I2105,"22*")&gt;0,COUNTIF(J2105,"*22*")&gt;0,COUNTIF(I2105,"23*")&gt;0,COUNTIF(J2105,"*23*")&gt;0,COUNTIF(I2105,"24*")&gt;0,COUNTIF(J2105,"*24*")&gt;0,COUNTIF(I2105,"25*")&gt;0,COUNTIF(J2105,"*25*")&gt;0,COUNTIF(I2105,"26*")&gt;0,COUNTIF(J2105,"*26*")&gt;0,COUNTIF(I2105,"27*")&gt;0,COUNTIF(J2105,"*27*")&gt;0,COUNTIF(I2105,"28*")&gt;0,COUNTIF(J2105,"*28*")&gt;0,COUNTIF(I2105,"29*")&gt;0,COUNTIF(J2105,"*29*")&gt;0,COUNTIF(I2105,"30*")&gt;0,COUNTIF(J2105,"*30*")&gt;0,COUNTIF(I2105,"31*")&gt;0,COUNTIF(J2105,"*31*")&gt;0,COUNTIF(I2105,"32*")&gt;0,COUNTIF(J2105,"*32*")&gt;0,COUNTIF(I2105,"33*")&gt;0,COUNTIF(J2105,"*33*")&gt;0,COUNTIF(I2105,"41*")&gt;0,COUNTIF(J2105,"*41*")&gt;0,COUNTIF(I2105,"42*")&gt;0,COUNTIF(J2105,"*42*")&gt;0,COUNTIF(I2105,"43*")&gt;0,COUNTIF(J2105,"*43*")&gt;0,COUNTIF(I2105,"49*")&gt;0,COUNTIF(J2105,"*49*")&gt;0,COUNTIF(I2105,"52*")&gt;0,COUNTIF(J2105,"*52*")&gt;0,COUNTIF(I2105,"55*")&gt;0,COUNTIF(J2105,"*55*")&gt;0,COUNTIF(I2105,"56*")&gt;0,COUNTIF(J2105,"*56*")&gt;0,COUNTIF(I2105,"68*")&gt;0,COUNTIF(J2105,"*68*")&gt;0,COUNTIF(I2105,"78*")&gt;0,COUNTIF(J2105,"*78*")&gt;0,COUNTIF(I2105,"81*")&gt;0,COUNTIF(J2105,"*81*")&gt;0,COUNTIF(I2105,"82*")&gt;0,COUNTIF(J2105,"*82*")&gt;0,COUNTIF(I2105,"64*")&gt;0,COUNTIF(J2105,"*64*")&gt;0,COUNTIF(I2105,"65*")&gt;0,COUNTIF(J2105,"*65*")&gt;0,COUNTIF(I2105,"66*")&gt;0,COUNTIF(J2105,"*66*")&gt;0,COUNTIF(I2105,"61*")&gt;0,COUNTIF(J2105,"*61*")&gt;0,COUNTIF(I2105,"62*")&gt;0,COUNTIF(J2105,"*62*")&gt;0,COUNTIF(I2105,"63*")&gt;0,COUNTIF(J2105,"*63*")&gt;0,COUNTIF(I2105,"85*")&gt;0,COUNTIF(J2105,"*85*")&gt;0,COUNTIF(I2105,"86*")&gt;0,COUNTIF(J2105,"*86*")&gt;0),"Да","Нет"))</f>
        <v/>
      </c>
      <c r="M2105" s="13">
        <f>IF(OR(G2105="",L2105&lt;&gt;"Да"),"",IF(G2105&lt;=100,"До 100",IF(G2105&lt;=200,"До 200",IF(G2105&lt;=500,"До 500","Отдельное КП"))))</f>
        <v/>
      </c>
      <c r="N2105" s="15">
        <f>IF(OR(G2105="",L2105&lt;&gt;"Да"),"",IF(G2105&lt;=100,33600,IF(G2105&lt;=200,62400,IF(G2105&lt;=500,144000,""))))</f>
        <v/>
      </c>
      <c r="O2105" s="16">
        <f>IF(G2105="","",IF(G2105&lt;=15,"1–15",IF(G2105&lt;=30,"16–30",IF(G2105&lt;=50,"31–50",IF(G2105&lt;=100,"51–100",IF(G2105&lt;=150,"101–150",IF(G2105&lt;=200,"151–200",IF(G2105&lt;=500,"201–500","500+"))))))))</f>
        <v/>
      </c>
      <c r="P2105" s="16" t="inlineStr">
        <is>
          <t>Нет совпадения в предоставленной выгрузке ССЧР</t>
        </is>
      </c>
      <c r="Q2105" s="16" t="n"/>
      <c r="R2105" s="16">
        <f>HYPERLINK("https://checko.ru/search?query=3801001629","Чекко: проверить")</f>
        <v/>
      </c>
      <c r="S2105" t="n">
        <v>0</v>
      </c>
    </row>
    <row r="2106" ht="15" customHeight="1" s="24">
      <c r="A2106" s="13" t="n">
        <v>5000094566</v>
      </c>
      <c r="B2106" s="13" t="inlineStr">
        <is>
          <t>МКОУ СОШ №2 г. Майского</t>
        </is>
      </c>
      <c r="C2106" s="13" t="n">
        <v>703002756</v>
      </c>
      <c r="D2106" s="13" t="n"/>
      <c r="E2106" s="13" t="inlineStr">
        <is>
          <t>Не определён</t>
        </is>
      </c>
      <c r="F2106" s="13" t="inlineStr">
        <is>
          <t>703002756</t>
        </is>
      </c>
      <c r="G2106" s="14" t="n"/>
      <c r="H2106" s="14" t="n"/>
      <c r="I2106" s="14" t="n"/>
      <c r="J2106" s="14" t="n"/>
      <c r="K2106" s="13">
        <f>IF(G2106="","",IF(G2106&gt;=22,"Да","Нет"))</f>
        <v/>
      </c>
      <c r="L2106" s="13">
        <f>IF(OR(I2106="",J2106=""),"Не определено",IF(OR(COUNTIF(I2106,"45*")&gt;0,COUNTIF(J2106,"*45*")&gt;0,COUNTIF(I2106,"46*")&gt;0,COUNTIF(J2106,"*46*")&gt;0,COUNTIF(I2106,"47*")&gt;0,COUNTIF(J2106,"*47*")&gt;0,COUNTIF(I2106,"10*")&gt;0,COUNTIF(J2106,"*10*")&gt;0,COUNTIF(I2106,"11*")&gt;0,COUNTIF(J2106,"*11*")&gt;0,COUNTIF(I2106,"12*")&gt;0,COUNTIF(J2106,"*12*")&gt;0,COUNTIF(I2106,"13*")&gt;0,COUNTIF(J2106,"*13*")&gt;0,COUNTIF(I2106,"14*")&gt;0,COUNTIF(J2106,"*14*")&gt;0,COUNTIF(I2106,"15*")&gt;0,COUNTIF(J2106,"*15*")&gt;0,COUNTIF(I2106,"16*")&gt;0,COUNTIF(J2106,"*16*")&gt;0,COUNTIF(I2106,"17*")&gt;0,COUNTIF(J2106,"*17*")&gt;0,COUNTIF(I2106,"18*")&gt;0,COUNTIF(J2106,"*18*")&gt;0,COUNTIF(I2106,"19*")&gt;0,COUNTIF(J2106,"*19*")&gt;0,COUNTIF(I2106,"20*")&gt;0,COUNTIF(J2106,"*20*")&gt;0,COUNTIF(I2106,"21*")&gt;0,COUNTIF(J2106,"*21*")&gt;0,COUNTIF(I2106,"22*")&gt;0,COUNTIF(J2106,"*22*")&gt;0,COUNTIF(I2106,"23*")&gt;0,COUNTIF(J2106,"*23*")&gt;0,COUNTIF(I2106,"24*")&gt;0,COUNTIF(J2106,"*24*")&gt;0,COUNTIF(I2106,"25*")&gt;0,COUNTIF(J2106,"*25*")&gt;0,COUNTIF(I2106,"26*")&gt;0,COUNTIF(J2106,"*26*")&gt;0,COUNTIF(I2106,"27*")&gt;0,COUNTIF(J2106,"*27*")&gt;0,COUNTIF(I2106,"28*")&gt;0,COUNTIF(J2106,"*28*")&gt;0,COUNTIF(I2106,"29*")&gt;0,COUNTIF(J2106,"*29*")&gt;0,COUNTIF(I2106,"30*")&gt;0,COUNTIF(J2106,"*30*")&gt;0,COUNTIF(I2106,"31*")&gt;0,COUNTIF(J2106,"*31*")&gt;0,COUNTIF(I2106,"32*")&gt;0,COUNTIF(J2106,"*32*")&gt;0,COUNTIF(I2106,"33*")&gt;0,COUNTIF(J2106,"*33*")&gt;0,COUNTIF(I2106,"41*")&gt;0,COUNTIF(J2106,"*41*")&gt;0,COUNTIF(I2106,"42*")&gt;0,COUNTIF(J2106,"*42*")&gt;0,COUNTIF(I2106,"43*")&gt;0,COUNTIF(J2106,"*43*")&gt;0,COUNTIF(I2106,"49*")&gt;0,COUNTIF(J2106,"*49*")&gt;0,COUNTIF(I2106,"52*")&gt;0,COUNTIF(J2106,"*52*")&gt;0,COUNTIF(I2106,"55*")&gt;0,COUNTIF(J2106,"*55*")&gt;0,COUNTIF(I2106,"56*")&gt;0,COUNTIF(J2106,"*56*")&gt;0,COUNTIF(I2106,"68*")&gt;0,COUNTIF(J2106,"*68*")&gt;0,COUNTIF(I2106,"78*")&gt;0,COUNTIF(J2106,"*78*")&gt;0,COUNTIF(I2106,"81*")&gt;0,COUNTIF(J2106,"*81*")&gt;0,COUNTIF(I2106,"82*")&gt;0,COUNTIF(J2106,"*82*")&gt;0,COUNTIF(I2106,"64*")&gt;0,COUNTIF(J2106,"*64*")&gt;0,COUNTIF(I2106,"65*")&gt;0,COUNTIF(J2106,"*65*")&gt;0,COUNTIF(I2106,"66*")&gt;0,COUNTIF(J2106,"*66*")&gt;0,COUNTIF(I2106,"61*")&gt;0,COUNTIF(J2106,"*61*")&gt;0,COUNTIF(I2106,"62*")&gt;0,COUNTIF(J2106,"*62*")&gt;0,COUNTIF(I2106,"63*")&gt;0,COUNTIF(J2106,"*63*")&gt;0,COUNTIF(I2106,"85*")&gt;0,COUNTIF(J2106,"*85*")&gt;0,COUNTIF(I2106,"86*")&gt;0,COUNTIF(J2106,"*86*")&gt;0),"Да","Нет"))</f>
        <v/>
      </c>
      <c r="M2106" s="13">
        <f>IF(OR(G2106="",L2106&lt;&gt;"Да"),"",IF(G2106&lt;=100,"До 100",IF(G2106&lt;=200,"До 200",IF(G2106&lt;=500,"До 500","Отдельное КП"))))</f>
        <v/>
      </c>
      <c r="N2106" s="15">
        <f>IF(OR(G2106="",L2106&lt;&gt;"Да"),"",IF(G2106&lt;=100,33600,IF(G2106&lt;=200,62400,IF(G2106&lt;=500,144000,""))))</f>
        <v/>
      </c>
      <c r="O2106" s="16">
        <f>IF(G2106="","",IF(G2106&lt;=15,"1–15",IF(G2106&lt;=30,"16–30",IF(G2106&lt;=50,"31–50",IF(G2106&lt;=100,"51–100",IF(G2106&lt;=150,"101–150",IF(G2106&lt;=200,"151–200",IF(G2106&lt;=500,"201–500","500+"))))))))</f>
        <v/>
      </c>
      <c r="P2106" s="16" t="inlineStr">
        <is>
          <t>Нет совпадения в предоставленной выгрузке ССЧР</t>
        </is>
      </c>
      <c r="Q2106" s="16" t="n"/>
      <c r="R2106" s="16">
        <f>HYPERLINK("https://checko.ru/search?query=3801001629","Чекко: проверить")</f>
        <v/>
      </c>
      <c r="S2106" t="n">
        <v>0</v>
      </c>
    </row>
    <row r="2107" ht="27.75" customHeight="1" s="24">
      <c r="A2107" s="13" t="n">
        <v>5000094567</v>
      </c>
      <c r="B2107" s="13" t="inlineStr">
        <is>
          <t>МКОУ "СОШ № 3 с углубленным изучением отдельных предметов г. Майского"</t>
        </is>
      </c>
      <c r="C2107" s="13" t="n">
        <v>703002763</v>
      </c>
      <c r="D2107" s="13" t="n"/>
      <c r="E2107" s="13" t="inlineStr">
        <is>
          <t>Не определён</t>
        </is>
      </c>
      <c r="F2107" s="13" t="inlineStr">
        <is>
          <t>703002763</t>
        </is>
      </c>
      <c r="G2107" s="14" t="n"/>
      <c r="H2107" s="14" t="n"/>
      <c r="I2107" s="14" t="n"/>
      <c r="J2107" s="14" t="n"/>
      <c r="K2107" s="13">
        <f>IF(G2107="","",IF(G2107&gt;=22,"Да","Нет"))</f>
        <v/>
      </c>
      <c r="L2107" s="13">
        <f>IF(OR(I2107="",J2107=""),"Не определено",IF(OR(COUNTIF(I2107,"45*")&gt;0,COUNTIF(J2107,"*45*")&gt;0,COUNTIF(I2107,"46*")&gt;0,COUNTIF(J2107,"*46*")&gt;0,COUNTIF(I2107,"47*")&gt;0,COUNTIF(J2107,"*47*")&gt;0,COUNTIF(I2107,"10*")&gt;0,COUNTIF(J2107,"*10*")&gt;0,COUNTIF(I2107,"11*")&gt;0,COUNTIF(J2107,"*11*")&gt;0,COUNTIF(I2107,"12*")&gt;0,COUNTIF(J2107,"*12*")&gt;0,COUNTIF(I2107,"13*")&gt;0,COUNTIF(J2107,"*13*")&gt;0,COUNTIF(I2107,"14*")&gt;0,COUNTIF(J2107,"*14*")&gt;0,COUNTIF(I2107,"15*")&gt;0,COUNTIF(J2107,"*15*")&gt;0,COUNTIF(I2107,"16*")&gt;0,COUNTIF(J2107,"*16*")&gt;0,COUNTIF(I2107,"17*")&gt;0,COUNTIF(J2107,"*17*")&gt;0,COUNTIF(I2107,"18*")&gt;0,COUNTIF(J2107,"*18*")&gt;0,COUNTIF(I2107,"19*")&gt;0,COUNTIF(J2107,"*19*")&gt;0,COUNTIF(I2107,"20*")&gt;0,COUNTIF(J2107,"*20*")&gt;0,COUNTIF(I2107,"21*")&gt;0,COUNTIF(J2107,"*21*")&gt;0,COUNTIF(I2107,"22*")&gt;0,COUNTIF(J2107,"*22*")&gt;0,COUNTIF(I2107,"23*")&gt;0,COUNTIF(J2107,"*23*")&gt;0,COUNTIF(I2107,"24*")&gt;0,COUNTIF(J2107,"*24*")&gt;0,COUNTIF(I2107,"25*")&gt;0,COUNTIF(J2107,"*25*")&gt;0,COUNTIF(I2107,"26*")&gt;0,COUNTIF(J2107,"*26*")&gt;0,COUNTIF(I2107,"27*")&gt;0,COUNTIF(J2107,"*27*")&gt;0,COUNTIF(I2107,"28*")&gt;0,COUNTIF(J2107,"*28*")&gt;0,COUNTIF(I2107,"29*")&gt;0,COUNTIF(J2107,"*29*")&gt;0,COUNTIF(I2107,"30*")&gt;0,COUNTIF(J2107,"*30*")&gt;0,COUNTIF(I2107,"31*")&gt;0,COUNTIF(J2107,"*31*")&gt;0,COUNTIF(I2107,"32*")&gt;0,COUNTIF(J2107,"*32*")&gt;0,COUNTIF(I2107,"33*")&gt;0,COUNTIF(J2107,"*33*")&gt;0,COUNTIF(I2107,"41*")&gt;0,COUNTIF(J2107,"*41*")&gt;0,COUNTIF(I2107,"42*")&gt;0,COUNTIF(J2107,"*42*")&gt;0,COUNTIF(I2107,"43*")&gt;0,COUNTIF(J2107,"*43*")&gt;0,COUNTIF(I2107,"49*")&gt;0,COUNTIF(J2107,"*49*")&gt;0,COUNTIF(I2107,"52*")&gt;0,COUNTIF(J2107,"*52*")&gt;0,COUNTIF(I2107,"55*")&gt;0,COUNTIF(J2107,"*55*")&gt;0,COUNTIF(I2107,"56*")&gt;0,COUNTIF(J2107,"*56*")&gt;0,COUNTIF(I2107,"68*")&gt;0,COUNTIF(J2107,"*68*")&gt;0,COUNTIF(I2107,"78*")&gt;0,COUNTIF(J2107,"*78*")&gt;0,COUNTIF(I2107,"81*")&gt;0,COUNTIF(J2107,"*81*")&gt;0,COUNTIF(I2107,"82*")&gt;0,COUNTIF(J2107,"*82*")&gt;0,COUNTIF(I2107,"64*")&gt;0,COUNTIF(J2107,"*64*")&gt;0,COUNTIF(I2107,"65*")&gt;0,COUNTIF(J2107,"*65*")&gt;0,COUNTIF(I2107,"66*")&gt;0,COUNTIF(J2107,"*66*")&gt;0,COUNTIF(I2107,"61*")&gt;0,COUNTIF(J2107,"*61*")&gt;0,COUNTIF(I2107,"62*")&gt;0,COUNTIF(J2107,"*62*")&gt;0,COUNTIF(I2107,"63*")&gt;0,COUNTIF(J2107,"*63*")&gt;0,COUNTIF(I2107,"85*")&gt;0,COUNTIF(J2107,"*85*")&gt;0,COUNTIF(I2107,"86*")&gt;0,COUNTIF(J2107,"*86*")&gt;0),"Да","Нет"))</f>
        <v/>
      </c>
      <c r="M2107" s="13">
        <f>IF(OR(G2107="",L2107&lt;&gt;"Да"),"",IF(G2107&lt;=100,"До 100",IF(G2107&lt;=200,"До 200",IF(G2107&lt;=500,"До 500","Отдельное КП"))))</f>
        <v/>
      </c>
      <c r="N2107" s="15">
        <f>IF(OR(G2107="",L2107&lt;&gt;"Да"),"",IF(G2107&lt;=100,33600,IF(G2107&lt;=200,62400,IF(G2107&lt;=500,144000,""))))</f>
        <v/>
      </c>
      <c r="O2107" s="16">
        <f>IF(G2107="","",IF(G2107&lt;=15,"1–15",IF(G2107&lt;=30,"16–30",IF(G2107&lt;=50,"31–50",IF(G2107&lt;=100,"51–100",IF(G2107&lt;=150,"101–150",IF(G2107&lt;=200,"151–200",IF(G2107&lt;=500,"201–500","500+"))))))))</f>
        <v/>
      </c>
      <c r="P2107" s="16" t="inlineStr">
        <is>
          <t>Нет совпадения в предоставленной выгрузке ССЧР</t>
        </is>
      </c>
      <c r="Q2107" s="16" t="n"/>
      <c r="R2107" s="16">
        <f>HYPERLINK("https://checko.ru/search?query=3801001629","Чекко: проверить")</f>
        <v/>
      </c>
      <c r="S2107" t="n">
        <v>0</v>
      </c>
    </row>
    <row r="2108" ht="15" customHeight="1" s="24">
      <c r="A2108" s="13" t="n">
        <v>5000094568</v>
      </c>
      <c r="B2108" s="13" t="inlineStr">
        <is>
          <t>МКОУ СОШ № 9 ст.Александровской</t>
        </is>
      </c>
      <c r="C2108" s="13" t="n">
        <v>703002788</v>
      </c>
      <c r="D2108" s="13" t="n"/>
      <c r="E2108" s="13" t="inlineStr">
        <is>
          <t>Не определён</t>
        </is>
      </c>
      <c r="F2108" s="13" t="inlineStr">
        <is>
          <t>703002788</t>
        </is>
      </c>
      <c r="G2108" s="14" t="n"/>
      <c r="H2108" s="14" t="n"/>
      <c r="I2108" s="14" t="n"/>
      <c r="J2108" s="14" t="n"/>
      <c r="K2108" s="13">
        <f>IF(G2108="","",IF(G2108&gt;=22,"Да","Нет"))</f>
        <v/>
      </c>
      <c r="L2108" s="13">
        <f>IF(OR(I2108="",J2108=""),"Не определено",IF(OR(COUNTIF(I2108,"45*")&gt;0,COUNTIF(J2108,"*45*")&gt;0,COUNTIF(I2108,"46*")&gt;0,COUNTIF(J2108,"*46*")&gt;0,COUNTIF(I2108,"47*")&gt;0,COUNTIF(J2108,"*47*")&gt;0,COUNTIF(I2108,"10*")&gt;0,COUNTIF(J2108,"*10*")&gt;0,COUNTIF(I2108,"11*")&gt;0,COUNTIF(J2108,"*11*")&gt;0,COUNTIF(I2108,"12*")&gt;0,COUNTIF(J2108,"*12*")&gt;0,COUNTIF(I2108,"13*")&gt;0,COUNTIF(J2108,"*13*")&gt;0,COUNTIF(I2108,"14*")&gt;0,COUNTIF(J2108,"*14*")&gt;0,COUNTIF(I2108,"15*")&gt;0,COUNTIF(J2108,"*15*")&gt;0,COUNTIF(I2108,"16*")&gt;0,COUNTIF(J2108,"*16*")&gt;0,COUNTIF(I2108,"17*")&gt;0,COUNTIF(J2108,"*17*")&gt;0,COUNTIF(I2108,"18*")&gt;0,COUNTIF(J2108,"*18*")&gt;0,COUNTIF(I2108,"19*")&gt;0,COUNTIF(J2108,"*19*")&gt;0,COUNTIF(I2108,"20*")&gt;0,COUNTIF(J2108,"*20*")&gt;0,COUNTIF(I2108,"21*")&gt;0,COUNTIF(J2108,"*21*")&gt;0,COUNTIF(I2108,"22*")&gt;0,COUNTIF(J2108,"*22*")&gt;0,COUNTIF(I2108,"23*")&gt;0,COUNTIF(J2108,"*23*")&gt;0,COUNTIF(I2108,"24*")&gt;0,COUNTIF(J2108,"*24*")&gt;0,COUNTIF(I2108,"25*")&gt;0,COUNTIF(J2108,"*25*")&gt;0,COUNTIF(I2108,"26*")&gt;0,COUNTIF(J2108,"*26*")&gt;0,COUNTIF(I2108,"27*")&gt;0,COUNTIF(J2108,"*27*")&gt;0,COUNTIF(I2108,"28*")&gt;0,COUNTIF(J2108,"*28*")&gt;0,COUNTIF(I2108,"29*")&gt;0,COUNTIF(J2108,"*29*")&gt;0,COUNTIF(I2108,"30*")&gt;0,COUNTIF(J2108,"*30*")&gt;0,COUNTIF(I2108,"31*")&gt;0,COUNTIF(J2108,"*31*")&gt;0,COUNTIF(I2108,"32*")&gt;0,COUNTIF(J2108,"*32*")&gt;0,COUNTIF(I2108,"33*")&gt;0,COUNTIF(J2108,"*33*")&gt;0,COUNTIF(I2108,"41*")&gt;0,COUNTIF(J2108,"*41*")&gt;0,COUNTIF(I2108,"42*")&gt;0,COUNTIF(J2108,"*42*")&gt;0,COUNTIF(I2108,"43*")&gt;0,COUNTIF(J2108,"*43*")&gt;0,COUNTIF(I2108,"49*")&gt;0,COUNTIF(J2108,"*49*")&gt;0,COUNTIF(I2108,"52*")&gt;0,COUNTIF(J2108,"*52*")&gt;0,COUNTIF(I2108,"55*")&gt;0,COUNTIF(J2108,"*55*")&gt;0,COUNTIF(I2108,"56*")&gt;0,COUNTIF(J2108,"*56*")&gt;0,COUNTIF(I2108,"68*")&gt;0,COUNTIF(J2108,"*68*")&gt;0,COUNTIF(I2108,"78*")&gt;0,COUNTIF(J2108,"*78*")&gt;0,COUNTIF(I2108,"81*")&gt;0,COUNTIF(J2108,"*81*")&gt;0,COUNTIF(I2108,"82*")&gt;0,COUNTIF(J2108,"*82*")&gt;0,COUNTIF(I2108,"64*")&gt;0,COUNTIF(J2108,"*64*")&gt;0,COUNTIF(I2108,"65*")&gt;0,COUNTIF(J2108,"*65*")&gt;0,COUNTIF(I2108,"66*")&gt;0,COUNTIF(J2108,"*66*")&gt;0,COUNTIF(I2108,"61*")&gt;0,COUNTIF(J2108,"*61*")&gt;0,COUNTIF(I2108,"62*")&gt;0,COUNTIF(J2108,"*62*")&gt;0,COUNTIF(I2108,"63*")&gt;0,COUNTIF(J2108,"*63*")&gt;0,COUNTIF(I2108,"85*")&gt;0,COUNTIF(J2108,"*85*")&gt;0,COUNTIF(I2108,"86*")&gt;0,COUNTIF(J2108,"*86*")&gt;0),"Да","Нет"))</f>
        <v/>
      </c>
      <c r="M2108" s="13">
        <f>IF(OR(G2108="",L2108&lt;&gt;"Да"),"",IF(G2108&lt;=100,"До 100",IF(G2108&lt;=200,"До 200",IF(G2108&lt;=500,"До 500","Отдельное КП"))))</f>
        <v/>
      </c>
      <c r="N2108" s="15">
        <f>IF(OR(G2108="",L2108&lt;&gt;"Да"),"",IF(G2108&lt;=100,33600,IF(G2108&lt;=200,62400,IF(G2108&lt;=500,144000,""))))</f>
        <v/>
      </c>
      <c r="O2108" s="16">
        <f>IF(G2108="","",IF(G2108&lt;=15,"1–15",IF(G2108&lt;=30,"16–30",IF(G2108&lt;=50,"31–50",IF(G2108&lt;=100,"51–100",IF(G2108&lt;=150,"101–150",IF(G2108&lt;=200,"151–200",IF(G2108&lt;=500,"201–500","500+"))))))))</f>
        <v/>
      </c>
      <c r="P2108" s="16" t="inlineStr">
        <is>
          <t>Нет совпадения в предоставленной выгрузке ССЧР</t>
        </is>
      </c>
      <c r="Q2108" s="16" t="n"/>
      <c r="R2108" s="16">
        <f>HYPERLINK("https://checko.ru/search?query=3801001629","Чекко: проверить")</f>
        <v/>
      </c>
      <c r="S2108" t="n">
        <v>0</v>
      </c>
    </row>
    <row r="2109" ht="15" customHeight="1" s="24">
      <c r="A2109" s="13" t="n">
        <v>5000094569</v>
      </c>
      <c r="B2109" s="13" t="inlineStr">
        <is>
          <t>МКОУ СОШ №6 с.Октябрьского</t>
        </is>
      </c>
      <c r="C2109" s="13" t="n">
        <v>703002820</v>
      </c>
      <c r="D2109" s="13" t="n"/>
      <c r="E2109" s="13" t="inlineStr">
        <is>
          <t>Не определён</t>
        </is>
      </c>
      <c r="F2109" s="13" t="inlineStr">
        <is>
          <t>703002820</t>
        </is>
      </c>
      <c r="G2109" s="14" t="n"/>
      <c r="H2109" s="14" t="n"/>
      <c r="I2109" s="14" t="n"/>
      <c r="J2109" s="14" t="n"/>
      <c r="K2109" s="13">
        <f>IF(G2109="","",IF(G2109&gt;=22,"Да","Нет"))</f>
        <v/>
      </c>
      <c r="L2109" s="13">
        <f>IF(OR(I2109="",J2109=""),"Не определено",IF(OR(COUNTIF(I2109,"45*")&gt;0,COUNTIF(J2109,"*45*")&gt;0,COUNTIF(I2109,"46*")&gt;0,COUNTIF(J2109,"*46*")&gt;0,COUNTIF(I2109,"47*")&gt;0,COUNTIF(J2109,"*47*")&gt;0,COUNTIF(I2109,"10*")&gt;0,COUNTIF(J2109,"*10*")&gt;0,COUNTIF(I2109,"11*")&gt;0,COUNTIF(J2109,"*11*")&gt;0,COUNTIF(I2109,"12*")&gt;0,COUNTIF(J2109,"*12*")&gt;0,COUNTIF(I2109,"13*")&gt;0,COUNTIF(J2109,"*13*")&gt;0,COUNTIF(I2109,"14*")&gt;0,COUNTIF(J2109,"*14*")&gt;0,COUNTIF(I2109,"15*")&gt;0,COUNTIF(J2109,"*15*")&gt;0,COUNTIF(I2109,"16*")&gt;0,COUNTIF(J2109,"*16*")&gt;0,COUNTIF(I2109,"17*")&gt;0,COUNTIF(J2109,"*17*")&gt;0,COUNTIF(I2109,"18*")&gt;0,COUNTIF(J2109,"*18*")&gt;0,COUNTIF(I2109,"19*")&gt;0,COUNTIF(J2109,"*19*")&gt;0,COUNTIF(I2109,"20*")&gt;0,COUNTIF(J2109,"*20*")&gt;0,COUNTIF(I2109,"21*")&gt;0,COUNTIF(J2109,"*21*")&gt;0,COUNTIF(I2109,"22*")&gt;0,COUNTIF(J2109,"*22*")&gt;0,COUNTIF(I2109,"23*")&gt;0,COUNTIF(J2109,"*23*")&gt;0,COUNTIF(I2109,"24*")&gt;0,COUNTIF(J2109,"*24*")&gt;0,COUNTIF(I2109,"25*")&gt;0,COUNTIF(J2109,"*25*")&gt;0,COUNTIF(I2109,"26*")&gt;0,COUNTIF(J2109,"*26*")&gt;0,COUNTIF(I2109,"27*")&gt;0,COUNTIF(J2109,"*27*")&gt;0,COUNTIF(I2109,"28*")&gt;0,COUNTIF(J2109,"*28*")&gt;0,COUNTIF(I2109,"29*")&gt;0,COUNTIF(J2109,"*29*")&gt;0,COUNTIF(I2109,"30*")&gt;0,COUNTIF(J2109,"*30*")&gt;0,COUNTIF(I2109,"31*")&gt;0,COUNTIF(J2109,"*31*")&gt;0,COUNTIF(I2109,"32*")&gt;0,COUNTIF(J2109,"*32*")&gt;0,COUNTIF(I2109,"33*")&gt;0,COUNTIF(J2109,"*33*")&gt;0,COUNTIF(I2109,"41*")&gt;0,COUNTIF(J2109,"*41*")&gt;0,COUNTIF(I2109,"42*")&gt;0,COUNTIF(J2109,"*42*")&gt;0,COUNTIF(I2109,"43*")&gt;0,COUNTIF(J2109,"*43*")&gt;0,COUNTIF(I2109,"49*")&gt;0,COUNTIF(J2109,"*49*")&gt;0,COUNTIF(I2109,"52*")&gt;0,COUNTIF(J2109,"*52*")&gt;0,COUNTIF(I2109,"55*")&gt;0,COUNTIF(J2109,"*55*")&gt;0,COUNTIF(I2109,"56*")&gt;0,COUNTIF(J2109,"*56*")&gt;0,COUNTIF(I2109,"68*")&gt;0,COUNTIF(J2109,"*68*")&gt;0,COUNTIF(I2109,"78*")&gt;0,COUNTIF(J2109,"*78*")&gt;0,COUNTIF(I2109,"81*")&gt;0,COUNTIF(J2109,"*81*")&gt;0,COUNTIF(I2109,"82*")&gt;0,COUNTIF(J2109,"*82*")&gt;0,COUNTIF(I2109,"64*")&gt;0,COUNTIF(J2109,"*64*")&gt;0,COUNTIF(I2109,"65*")&gt;0,COUNTIF(J2109,"*65*")&gt;0,COUNTIF(I2109,"66*")&gt;0,COUNTIF(J2109,"*66*")&gt;0,COUNTIF(I2109,"61*")&gt;0,COUNTIF(J2109,"*61*")&gt;0,COUNTIF(I2109,"62*")&gt;0,COUNTIF(J2109,"*62*")&gt;0,COUNTIF(I2109,"63*")&gt;0,COUNTIF(J2109,"*63*")&gt;0,COUNTIF(I2109,"85*")&gt;0,COUNTIF(J2109,"*85*")&gt;0,COUNTIF(I2109,"86*")&gt;0,COUNTIF(J2109,"*86*")&gt;0),"Да","Нет"))</f>
        <v/>
      </c>
      <c r="M2109" s="13">
        <f>IF(OR(G2109="",L2109&lt;&gt;"Да"),"",IF(G2109&lt;=100,"До 100",IF(G2109&lt;=200,"До 200",IF(G2109&lt;=500,"До 500","Отдельное КП"))))</f>
        <v/>
      </c>
      <c r="N2109" s="15">
        <f>IF(OR(G2109="",L2109&lt;&gt;"Да"),"",IF(G2109&lt;=100,33600,IF(G2109&lt;=200,62400,IF(G2109&lt;=500,144000,""))))</f>
        <v/>
      </c>
      <c r="O2109" s="16">
        <f>IF(G2109="","",IF(G2109&lt;=15,"1–15",IF(G2109&lt;=30,"16–30",IF(G2109&lt;=50,"31–50",IF(G2109&lt;=100,"51–100",IF(G2109&lt;=150,"101–150",IF(G2109&lt;=200,"151–200",IF(G2109&lt;=500,"201–500","500+"))))))))</f>
        <v/>
      </c>
      <c r="P2109" s="16" t="inlineStr">
        <is>
          <t>Нет совпадения в предоставленной выгрузке ССЧР</t>
        </is>
      </c>
      <c r="Q2109" s="16" t="n"/>
      <c r="R2109" s="16">
        <f>HYPERLINK("https://checko.ru/search?query=3801001629","Чекко: проверить")</f>
        <v/>
      </c>
      <c r="S2109" t="n">
        <v>0</v>
      </c>
    </row>
    <row r="2110" ht="15" customHeight="1" s="24">
      <c r="A2110" s="13" t="n">
        <v>5000094573</v>
      </c>
      <c r="B2110" s="13" t="inlineStr">
        <is>
          <t>МУ УО</t>
        </is>
      </c>
      <c r="C2110" s="13" t="n">
        <v>703002989</v>
      </c>
      <c r="D2110" s="13" t="n"/>
      <c r="E2110" s="13" t="inlineStr">
        <is>
          <t>Не определён</t>
        </is>
      </c>
      <c r="F2110" s="13" t="inlineStr">
        <is>
          <t>703002989</t>
        </is>
      </c>
      <c r="G2110" s="14" t="n"/>
      <c r="H2110" s="14" t="n"/>
      <c r="I2110" s="14" t="n"/>
      <c r="J2110" s="14" t="n"/>
      <c r="K2110" s="13">
        <f>IF(G2110="","",IF(G2110&gt;=22,"Да","Нет"))</f>
        <v/>
      </c>
      <c r="L2110" s="13">
        <f>IF(OR(I2110="",J2110=""),"Не определено",IF(OR(COUNTIF(I2110,"45*")&gt;0,COUNTIF(J2110,"*45*")&gt;0,COUNTIF(I2110,"46*")&gt;0,COUNTIF(J2110,"*46*")&gt;0,COUNTIF(I2110,"47*")&gt;0,COUNTIF(J2110,"*47*")&gt;0,COUNTIF(I2110,"10*")&gt;0,COUNTIF(J2110,"*10*")&gt;0,COUNTIF(I2110,"11*")&gt;0,COUNTIF(J2110,"*11*")&gt;0,COUNTIF(I2110,"12*")&gt;0,COUNTIF(J2110,"*12*")&gt;0,COUNTIF(I2110,"13*")&gt;0,COUNTIF(J2110,"*13*")&gt;0,COUNTIF(I2110,"14*")&gt;0,COUNTIF(J2110,"*14*")&gt;0,COUNTIF(I2110,"15*")&gt;0,COUNTIF(J2110,"*15*")&gt;0,COUNTIF(I2110,"16*")&gt;0,COUNTIF(J2110,"*16*")&gt;0,COUNTIF(I2110,"17*")&gt;0,COUNTIF(J2110,"*17*")&gt;0,COUNTIF(I2110,"18*")&gt;0,COUNTIF(J2110,"*18*")&gt;0,COUNTIF(I2110,"19*")&gt;0,COUNTIF(J2110,"*19*")&gt;0,COUNTIF(I2110,"20*")&gt;0,COUNTIF(J2110,"*20*")&gt;0,COUNTIF(I2110,"21*")&gt;0,COUNTIF(J2110,"*21*")&gt;0,COUNTIF(I2110,"22*")&gt;0,COUNTIF(J2110,"*22*")&gt;0,COUNTIF(I2110,"23*")&gt;0,COUNTIF(J2110,"*23*")&gt;0,COUNTIF(I2110,"24*")&gt;0,COUNTIF(J2110,"*24*")&gt;0,COUNTIF(I2110,"25*")&gt;0,COUNTIF(J2110,"*25*")&gt;0,COUNTIF(I2110,"26*")&gt;0,COUNTIF(J2110,"*26*")&gt;0,COUNTIF(I2110,"27*")&gt;0,COUNTIF(J2110,"*27*")&gt;0,COUNTIF(I2110,"28*")&gt;0,COUNTIF(J2110,"*28*")&gt;0,COUNTIF(I2110,"29*")&gt;0,COUNTIF(J2110,"*29*")&gt;0,COUNTIF(I2110,"30*")&gt;0,COUNTIF(J2110,"*30*")&gt;0,COUNTIF(I2110,"31*")&gt;0,COUNTIF(J2110,"*31*")&gt;0,COUNTIF(I2110,"32*")&gt;0,COUNTIF(J2110,"*32*")&gt;0,COUNTIF(I2110,"33*")&gt;0,COUNTIF(J2110,"*33*")&gt;0,COUNTIF(I2110,"41*")&gt;0,COUNTIF(J2110,"*41*")&gt;0,COUNTIF(I2110,"42*")&gt;0,COUNTIF(J2110,"*42*")&gt;0,COUNTIF(I2110,"43*")&gt;0,COUNTIF(J2110,"*43*")&gt;0,COUNTIF(I2110,"49*")&gt;0,COUNTIF(J2110,"*49*")&gt;0,COUNTIF(I2110,"52*")&gt;0,COUNTIF(J2110,"*52*")&gt;0,COUNTIF(I2110,"55*")&gt;0,COUNTIF(J2110,"*55*")&gt;0,COUNTIF(I2110,"56*")&gt;0,COUNTIF(J2110,"*56*")&gt;0,COUNTIF(I2110,"68*")&gt;0,COUNTIF(J2110,"*68*")&gt;0,COUNTIF(I2110,"78*")&gt;0,COUNTIF(J2110,"*78*")&gt;0,COUNTIF(I2110,"81*")&gt;0,COUNTIF(J2110,"*81*")&gt;0,COUNTIF(I2110,"82*")&gt;0,COUNTIF(J2110,"*82*")&gt;0,COUNTIF(I2110,"64*")&gt;0,COUNTIF(J2110,"*64*")&gt;0,COUNTIF(I2110,"65*")&gt;0,COUNTIF(J2110,"*65*")&gt;0,COUNTIF(I2110,"66*")&gt;0,COUNTIF(J2110,"*66*")&gt;0,COUNTIF(I2110,"61*")&gt;0,COUNTIF(J2110,"*61*")&gt;0,COUNTIF(I2110,"62*")&gt;0,COUNTIF(J2110,"*62*")&gt;0,COUNTIF(I2110,"63*")&gt;0,COUNTIF(J2110,"*63*")&gt;0,COUNTIF(I2110,"85*")&gt;0,COUNTIF(J2110,"*85*")&gt;0,COUNTIF(I2110,"86*")&gt;0,COUNTIF(J2110,"*86*")&gt;0),"Да","Нет"))</f>
        <v/>
      </c>
      <c r="M2110" s="13">
        <f>IF(OR(G2110="",L2110&lt;&gt;"Да"),"",IF(G2110&lt;=100,"До 100",IF(G2110&lt;=200,"До 200",IF(G2110&lt;=500,"До 500","Отдельное КП"))))</f>
        <v/>
      </c>
      <c r="N2110" s="15">
        <f>IF(OR(G2110="",L2110&lt;&gt;"Да"),"",IF(G2110&lt;=100,33600,IF(G2110&lt;=200,62400,IF(G2110&lt;=500,144000,""))))</f>
        <v/>
      </c>
      <c r="O2110" s="16">
        <f>IF(G2110="","",IF(G2110&lt;=15,"1–15",IF(G2110&lt;=30,"16–30",IF(G2110&lt;=50,"31–50",IF(G2110&lt;=100,"51–100",IF(G2110&lt;=150,"101–150",IF(G2110&lt;=200,"151–200",IF(G2110&lt;=500,"201–500","500+"))))))))</f>
        <v/>
      </c>
      <c r="P2110" s="16" t="inlineStr">
        <is>
          <t>Нет совпадения в предоставленной выгрузке ССЧР</t>
        </is>
      </c>
      <c r="Q2110" s="16" t="n"/>
      <c r="R2110" s="16">
        <f>HYPERLINK("https://checko.ru/search?query=3801001629","Чекко: проверить")</f>
        <v/>
      </c>
      <c r="S2110" t="n">
        <v>0</v>
      </c>
    </row>
    <row r="2111" ht="27.75" customHeight="1" s="24">
      <c r="A2111" s="13" t="n">
        <v>5000094574</v>
      </c>
      <c r="B2111" s="13" t="inlineStr">
        <is>
          <t>МУ Местная администрация сельского поселения Октябрьское</t>
        </is>
      </c>
      <c r="C2111" s="13" t="n">
        <v>703003012</v>
      </c>
      <c r="D2111" s="13" t="n"/>
      <c r="E2111" s="13" t="inlineStr">
        <is>
          <t>Не определён</t>
        </is>
      </c>
      <c r="F2111" s="13" t="inlineStr">
        <is>
          <t>703003012</t>
        </is>
      </c>
      <c r="G2111" s="14" t="n"/>
      <c r="H2111" s="14" t="n"/>
      <c r="I2111" s="14" t="n"/>
      <c r="J2111" s="14" t="n"/>
      <c r="K2111" s="13">
        <f>IF(G2111="","",IF(G2111&gt;=22,"Да","Нет"))</f>
        <v/>
      </c>
      <c r="L2111" s="13">
        <f>IF(OR(I2111="",J2111=""),"Не определено",IF(OR(COUNTIF(I2111,"45*")&gt;0,COUNTIF(J2111,"*45*")&gt;0,COUNTIF(I2111,"46*")&gt;0,COUNTIF(J2111,"*46*")&gt;0,COUNTIF(I2111,"47*")&gt;0,COUNTIF(J2111,"*47*")&gt;0,COUNTIF(I2111,"10*")&gt;0,COUNTIF(J2111,"*10*")&gt;0,COUNTIF(I2111,"11*")&gt;0,COUNTIF(J2111,"*11*")&gt;0,COUNTIF(I2111,"12*")&gt;0,COUNTIF(J2111,"*12*")&gt;0,COUNTIF(I2111,"13*")&gt;0,COUNTIF(J2111,"*13*")&gt;0,COUNTIF(I2111,"14*")&gt;0,COUNTIF(J2111,"*14*")&gt;0,COUNTIF(I2111,"15*")&gt;0,COUNTIF(J2111,"*15*")&gt;0,COUNTIF(I2111,"16*")&gt;0,COUNTIF(J2111,"*16*")&gt;0,COUNTIF(I2111,"17*")&gt;0,COUNTIF(J2111,"*17*")&gt;0,COUNTIF(I2111,"18*")&gt;0,COUNTIF(J2111,"*18*")&gt;0,COUNTIF(I2111,"19*")&gt;0,COUNTIF(J2111,"*19*")&gt;0,COUNTIF(I2111,"20*")&gt;0,COUNTIF(J2111,"*20*")&gt;0,COUNTIF(I2111,"21*")&gt;0,COUNTIF(J2111,"*21*")&gt;0,COUNTIF(I2111,"22*")&gt;0,COUNTIF(J2111,"*22*")&gt;0,COUNTIF(I2111,"23*")&gt;0,COUNTIF(J2111,"*23*")&gt;0,COUNTIF(I2111,"24*")&gt;0,COUNTIF(J2111,"*24*")&gt;0,COUNTIF(I2111,"25*")&gt;0,COUNTIF(J2111,"*25*")&gt;0,COUNTIF(I2111,"26*")&gt;0,COUNTIF(J2111,"*26*")&gt;0,COUNTIF(I2111,"27*")&gt;0,COUNTIF(J2111,"*27*")&gt;0,COUNTIF(I2111,"28*")&gt;0,COUNTIF(J2111,"*28*")&gt;0,COUNTIF(I2111,"29*")&gt;0,COUNTIF(J2111,"*29*")&gt;0,COUNTIF(I2111,"30*")&gt;0,COUNTIF(J2111,"*30*")&gt;0,COUNTIF(I2111,"31*")&gt;0,COUNTIF(J2111,"*31*")&gt;0,COUNTIF(I2111,"32*")&gt;0,COUNTIF(J2111,"*32*")&gt;0,COUNTIF(I2111,"33*")&gt;0,COUNTIF(J2111,"*33*")&gt;0,COUNTIF(I2111,"41*")&gt;0,COUNTIF(J2111,"*41*")&gt;0,COUNTIF(I2111,"42*")&gt;0,COUNTIF(J2111,"*42*")&gt;0,COUNTIF(I2111,"43*")&gt;0,COUNTIF(J2111,"*43*")&gt;0,COUNTIF(I2111,"49*")&gt;0,COUNTIF(J2111,"*49*")&gt;0,COUNTIF(I2111,"52*")&gt;0,COUNTIF(J2111,"*52*")&gt;0,COUNTIF(I2111,"55*")&gt;0,COUNTIF(J2111,"*55*")&gt;0,COUNTIF(I2111,"56*")&gt;0,COUNTIF(J2111,"*56*")&gt;0,COUNTIF(I2111,"68*")&gt;0,COUNTIF(J2111,"*68*")&gt;0,COUNTIF(I2111,"78*")&gt;0,COUNTIF(J2111,"*78*")&gt;0,COUNTIF(I2111,"81*")&gt;0,COUNTIF(J2111,"*81*")&gt;0,COUNTIF(I2111,"82*")&gt;0,COUNTIF(J2111,"*82*")&gt;0,COUNTIF(I2111,"64*")&gt;0,COUNTIF(J2111,"*64*")&gt;0,COUNTIF(I2111,"65*")&gt;0,COUNTIF(J2111,"*65*")&gt;0,COUNTIF(I2111,"66*")&gt;0,COUNTIF(J2111,"*66*")&gt;0,COUNTIF(I2111,"61*")&gt;0,COUNTIF(J2111,"*61*")&gt;0,COUNTIF(I2111,"62*")&gt;0,COUNTIF(J2111,"*62*")&gt;0,COUNTIF(I2111,"63*")&gt;0,COUNTIF(J2111,"*63*")&gt;0,COUNTIF(I2111,"85*")&gt;0,COUNTIF(J2111,"*85*")&gt;0,COUNTIF(I2111,"86*")&gt;0,COUNTIF(J2111,"*86*")&gt;0),"Да","Нет"))</f>
        <v/>
      </c>
      <c r="M2111" s="13">
        <f>IF(OR(G2111="",L2111&lt;&gt;"Да"),"",IF(G2111&lt;=100,"До 100",IF(G2111&lt;=200,"До 200",IF(G2111&lt;=500,"До 500","Отдельное КП"))))</f>
        <v/>
      </c>
      <c r="N2111" s="15">
        <f>IF(OR(G2111="",L2111&lt;&gt;"Да"),"",IF(G2111&lt;=100,33600,IF(G2111&lt;=200,62400,IF(G2111&lt;=500,144000,""))))</f>
        <v/>
      </c>
      <c r="O2111" s="16">
        <f>IF(G2111="","",IF(G2111&lt;=15,"1–15",IF(G2111&lt;=30,"16–30",IF(G2111&lt;=50,"31–50",IF(G2111&lt;=100,"51–100",IF(G2111&lt;=150,"101–150",IF(G2111&lt;=200,"151–200",IF(G2111&lt;=500,"201–500","500+"))))))))</f>
        <v/>
      </c>
      <c r="P2111" s="16" t="inlineStr">
        <is>
          <t>Нет совпадения в предоставленной выгрузке ССЧР</t>
        </is>
      </c>
      <c r="Q2111" s="16" t="n"/>
      <c r="R2111" s="16">
        <f>HYPERLINK("https://checko.ru/search?query=3801001629","Чекко: проверить")</f>
        <v/>
      </c>
      <c r="S2111" t="n">
        <v>0</v>
      </c>
    </row>
    <row r="2112" ht="15" customHeight="1" s="24">
      <c r="A2112" s="13" t="n">
        <v>5000094575</v>
      </c>
      <c r="B2112" s="13" t="inlineStr">
        <is>
          <t>УФММР</t>
        </is>
      </c>
      <c r="C2112" s="13" t="n">
        <v>703003020</v>
      </c>
      <c r="D2112" s="13" t="n"/>
      <c r="E2112" s="13" t="inlineStr">
        <is>
          <t>Не определён</t>
        </is>
      </c>
      <c r="F2112" s="13" t="inlineStr">
        <is>
          <t>703003020</t>
        </is>
      </c>
      <c r="G2112" s="14" t="n"/>
      <c r="H2112" s="14" t="n"/>
      <c r="I2112" s="14" t="n"/>
      <c r="J2112" s="14" t="n"/>
      <c r="K2112" s="13">
        <f>IF(G2112="","",IF(G2112&gt;=22,"Да","Нет"))</f>
        <v/>
      </c>
      <c r="L2112" s="13">
        <f>IF(OR(I2112="",J2112=""),"Не определено",IF(OR(COUNTIF(I2112,"45*")&gt;0,COUNTIF(J2112,"*45*")&gt;0,COUNTIF(I2112,"46*")&gt;0,COUNTIF(J2112,"*46*")&gt;0,COUNTIF(I2112,"47*")&gt;0,COUNTIF(J2112,"*47*")&gt;0,COUNTIF(I2112,"10*")&gt;0,COUNTIF(J2112,"*10*")&gt;0,COUNTIF(I2112,"11*")&gt;0,COUNTIF(J2112,"*11*")&gt;0,COUNTIF(I2112,"12*")&gt;0,COUNTIF(J2112,"*12*")&gt;0,COUNTIF(I2112,"13*")&gt;0,COUNTIF(J2112,"*13*")&gt;0,COUNTIF(I2112,"14*")&gt;0,COUNTIF(J2112,"*14*")&gt;0,COUNTIF(I2112,"15*")&gt;0,COUNTIF(J2112,"*15*")&gt;0,COUNTIF(I2112,"16*")&gt;0,COUNTIF(J2112,"*16*")&gt;0,COUNTIF(I2112,"17*")&gt;0,COUNTIF(J2112,"*17*")&gt;0,COUNTIF(I2112,"18*")&gt;0,COUNTIF(J2112,"*18*")&gt;0,COUNTIF(I2112,"19*")&gt;0,COUNTIF(J2112,"*19*")&gt;0,COUNTIF(I2112,"20*")&gt;0,COUNTIF(J2112,"*20*")&gt;0,COUNTIF(I2112,"21*")&gt;0,COUNTIF(J2112,"*21*")&gt;0,COUNTIF(I2112,"22*")&gt;0,COUNTIF(J2112,"*22*")&gt;0,COUNTIF(I2112,"23*")&gt;0,COUNTIF(J2112,"*23*")&gt;0,COUNTIF(I2112,"24*")&gt;0,COUNTIF(J2112,"*24*")&gt;0,COUNTIF(I2112,"25*")&gt;0,COUNTIF(J2112,"*25*")&gt;0,COUNTIF(I2112,"26*")&gt;0,COUNTIF(J2112,"*26*")&gt;0,COUNTIF(I2112,"27*")&gt;0,COUNTIF(J2112,"*27*")&gt;0,COUNTIF(I2112,"28*")&gt;0,COUNTIF(J2112,"*28*")&gt;0,COUNTIF(I2112,"29*")&gt;0,COUNTIF(J2112,"*29*")&gt;0,COUNTIF(I2112,"30*")&gt;0,COUNTIF(J2112,"*30*")&gt;0,COUNTIF(I2112,"31*")&gt;0,COUNTIF(J2112,"*31*")&gt;0,COUNTIF(I2112,"32*")&gt;0,COUNTIF(J2112,"*32*")&gt;0,COUNTIF(I2112,"33*")&gt;0,COUNTIF(J2112,"*33*")&gt;0,COUNTIF(I2112,"41*")&gt;0,COUNTIF(J2112,"*41*")&gt;0,COUNTIF(I2112,"42*")&gt;0,COUNTIF(J2112,"*42*")&gt;0,COUNTIF(I2112,"43*")&gt;0,COUNTIF(J2112,"*43*")&gt;0,COUNTIF(I2112,"49*")&gt;0,COUNTIF(J2112,"*49*")&gt;0,COUNTIF(I2112,"52*")&gt;0,COUNTIF(J2112,"*52*")&gt;0,COUNTIF(I2112,"55*")&gt;0,COUNTIF(J2112,"*55*")&gt;0,COUNTIF(I2112,"56*")&gt;0,COUNTIF(J2112,"*56*")&gt;0,COUNTIF(I2112,"68*")&gt;0,COUNTIF(J2112,"*68*")&gt;0,COUNTIF(I2112,"78*")&gt;0,COUNTIF(J2112,"*78*")&gt;0,COUNTIF(I2112,"81*")&gt;0,COUNTIF(J2112,"*81*")&gt;0,COUNTIF(I2112,"82*")&gt;0,COUNTIF(J2112,"*82*")&gt;0,COUNTIF(I2112,"64*")&gt;0,COUNTIF(J2112,"*64*")&gt;0,COUNTIF(I2112,"65*")&gt;0,COUNTIF(J2112,"*65*")&gt;0,COUNTIF(I2112,"66*")&gt;0,COUNTIF(J2112,"*66*")&gt;0,COUNTIF(I2112,"61*")&gt;0,COUNTIF(J2112,"*61*")&gt;0,COUNTIF(I2112,"62*")&gt;0,COUNTIF(J2112,"*62*")&gt;0,COUNTIF(I2112,"63*")&gt;0,COUNTIF(J2112,"*63*")&gt;0,COUNTIF(I2112,"85*")&gt;0,COUNTIF(J2112,"*85*")&gt;0,COUNTIF(I2112,"86*")&gt;0,COUNTIF(J2112,"*86*")&gt;0),"Да","Нет"))</f>
        <v/>
      </c>
      <c r="M2112" s="13">
        <f>IF(OR(G2112="",L2112&lt;&gt;"Да"),"",IF(G2112&lt;=100,"До 100",IF(G2112&lt;=200,"До 200",IF(G2112&lt;=500,"До 500","Отдельное КП"))))</f>
        <v/>
      </c>
      <c r="N2112" s="15">
        <f>IF(OR(G2112="",L2112&lt;&gt;"Да"),"",IF(G2112&lt;=100,33600,IF(G2112&lt;=200,62400,IF(G2112&lt;=500,144000,""))))</f>
        <v/>
      </c>
      <c r="O2112" s="16">
        <f>IF(G2112="","",IF(G2112&lt;=15,"1–15",IF(G2112&lt;=30,"16–30",IF(G2112&lt;=50,"31–50",IF(G2112&lt;=100,"51–100",IF(G2112&lt;=150,"101–150",IF(G2112&lt;=200,"151–200",IF(G2112&lt;=500,"201–500","500+"))))))))</f>
        <v/>
      </c>
      <c r="P2112" s="16" t="inlineStr">
        <is>
          <t>Нет совпадения в предоставленной выгрузке ССЧР</t>
        </is>
      </c>
      <c r="Q2112" s="16" t="n"/>
      <c r="R2112" s="16">
        <f>HYPERLINK("https://checko.ru/search?query=3801001629","Чекко: проверить")</f>
        <v/>
      </c>
      <c r="S2112" t="n">
        <v>0</v>
      </c>
    </row>
    <row r="2113" ht="27.75" customHeight="1" s="24">
      <c r="A2113" s="13" t="n">
        <v>5000094576</v>
      </c>
      <c r="B2113" s="13" t="inlineStr">
        <is>
          <t>МУ Местная администрация сельского поселения станица Александровская</t>
        </is>
      </c>
      <c r="C2113" s="13" t="n">
        <v>703003510</v>
      </c>
      <c r="D2113" s="13" t="n"/>
      <c r="E2113" s="13" t="inlineStr">
        <is>
          <t>Не определён</t>
        </is>
      </c>
      <c r="F2113" s="13" t="inlineStr">
        <is>
          <t>703003510</t>
        </is>
      </c>
      <c r="G2113" s="14" t="n"/>
      <c r="H2113" s="14" t="n"/>
      <c r="I2113" s="14" t="n"/>
      <c r="J2113" s="14" t="n"/>
      <c r="K2113" s="13">
        <f>IF(G2113="","",IF(G2113&gt;=22,"Да","Нет"))</f>
        <v/>
      </c>
      <c r="L2113" s="13">
        <f>IF(OR(I2113="",J2113=""),"Не определено",IF(OR(COUNTIF(I2113,"45*")&gt;0,COUNTIF(J2113,"*45*")&gt;0,COUNTIF(I2113,"46*")&gt;0,COUNTIF(J2113,"*46*")&gt;0,COUNTIF(I2113,"47*")&gt;0,COUNTIF(J2113,"*47*")&gt;0,COUNTIF(I2113,"10*")&gt;0,COUNTIF(J2113,"*10*")&gt;0,COUNTIF(I2113,"11*")&gt;0,COUNTIF(J2113,"*11*")&gt;0,COUNTIF(I2113,"12*")&gt;0,COUNTIF(J2113,"*12*")&gt;0,COUNTIF(I2113,"13*")&gt;0,COUNTIF(J2113,"*13*")&gt;0,COUNTIF(I2113,"14*")&gt;0,COUNTIF(J2113,"*14*")&gt;0,COUNTIF(I2113,"15*")&gt;0,COUNTIF(J2113,"*15*")&gt;0,COUNTIF(I2113,"16*")&gt;0,COUNTIF(J2113,"*16*")&gt;0,COUNTIF(I2113,"17*")&gt;0,COUNTIF(J2113,"*17*")&gt;0,COUNTIF(I2113,"18*")&gt;0,COUNTIF(J2113,"*18*")&gt;0,COUNTIF(I2113,"19*")&gt;0,COUNTIF(J2113,"*19*")&gt;0,COUNTIF(I2113,"20*")&gt;0,COUNTIF(J2113,"*20*")&gt;0,COUNTIF(I2113,"21*")&gt;0,COUNTIF(J2113,"*21*")&gt;0,COUNTIF(I2113,"22*")&gt;0,COUNTIF(J2113,"*22*")&gt;0,COUNTIF(I2113,"23*")&gt;0,COUNTIF(J2113,"*23*")&gt;0,COUNTIF(I2113,"24*")&gt;0,COUNTIF(J2113,"*24*")&gt;0,COUNTIF(I2113,"25*")&gt;0,COUNTIF(J2113,"*25*")&gt;0,COUNTIF(I2113,"26*")&gt;0,COUNTIF(J2113,"*26*")&gt;0,COUNTIF(I2113,"27*")&gt;0,COUNTIF(J2113,"*27*")&gt;0,COUNTIF(I2113,"28*")&gt;0,COUNTIF(J2113,"*28*")&gt;0,COUNTIF(I2113,"29*")&gt;0,COUNTIF(J2113,"*29*")&gt;0,COUNTIF(I2113,"30*")&gt;0,COUNTIF(J2113,"*30*")&gt;0,COUNTIF(I2113,"31*")&gt;0,COUNTIF(J2113,"*31*")&gt;0,COUNTIF(I2113,"32*")&gt;0,COUNTIF(J2113,"*32*")&gt;0,COUNTIF(I2113,"33*")&gt;0,COUNTIF(J2113,"*33*")&gt;0,COUNTIF(I2113,"41*")&gt;0,COUNTIF(J2113,"*41*")&gt;0,COUNTIF(I2113,"42*")&gt;0,COUNTIF(J2113,"*42*")&gt;0,COUNTIF(I2113,"43*")&gt;0,COUNTIF(J2113,"*43*")&gt;0,COUNTIF(I2113,"49*")&gt;0,COUNTIF(J2113,"*49*")&gt;0,COUNTIF(I2113,"52*")&gt;0,COUNTIF(J2113,"*52*")&gt;0,COUNTIF(I2113,"55*")&gt;0,COUNTIF(J2113,"*55*")&gt;0,COUNTIF(I2113,"56*")&gt;0,COUNTIF(J2113,"*56*")&gt;0,COUNTIF(I2113,"68*")&gt;0,COUNTIF(J2113,"*68*")&gt;0,COUNTIF(I2113,"78*")&gt;0,COUNTIF(J2113,"*78*")&gt;0,COUNTIF(I2113,"81*")&gt;0,COUNTIF(J2113,"*81*")&gt;0,COUNTIF(I2113,"82*")&gt;0,COUNTIF(J2113,"*82*")&gt;0,COUNTIF(I2113,"64*")&gt;0,COUNTIF(J2113,"*64*")&gt;0,COUNTIF(I2113,"65*")&gt;0,COUNTIF(J2113,"*65*")&gt;0,COUNTIF(I2113,"66*")&gt;0,COUNTIF(J2113,"*66*")&gt;0,COUNTIF(I2113,"61*")&gt;0,COUNTIF(J2113,"*61*")&gt;0,COUNTIF(I2113,"62*")&gt;0,COUNTIF(J2113,"*62*")&gt;0,COUNTIF(I2113,"63*")&gt;0,COUNTIF(J2113,"*63*")&gt;0,COUNTIF(I2113,"85*")&gt;0,COUNTIF(J2113,"*85*")&gt;0,COUNTIF(I2113,"86*")&gt;0,COUNTIF(J2113,"*86*")&gt;0),"Да","Нет"))</f>
        <v/>
      </c>
      <c r="M2113" s="13">
        <f>IF(OR(G2113="",L2113&lt;&gt;"Да"),"",IF(G2113&lt;=100,"До 100",IF(G2113&lt;=200,"До 200",IF(G2113&lt;=500,"До 500","Отдельное КП"))))</f>
        <v/>
      </c>
      <c r="N2113" s="15">
        <f>IF(OR(G2113="",L2113&lt;&gt;"Да"),"",IF(G2113&lt;=100,33600,IF(G2113&lt;=200,62400,IF(G2113&lt;=500,144000,""))))</f>
        <v/>
      </c>
      <c r="O2113" s="16">
        <f>IF(G2113="","",IF(G2113&lt;=15,"1–15",IF(G2113&lt;=30,"16–30",IF(G2113&lt;=50,"31–50",IF(G2113&lt;=100,"51–100",IF(G2113&lt;=150,"101–150",IF(G2113&lt;=200,"151–200",IF(G2113&lt;=500,"201–500","500+"))))))))</f>
        <v/>
      </c>
      <c r="P2113" s="16" t="inlineStr">
        <is>
          <t>Нет совпадения в предоставленной выгрузке ССЧР</t>
        </is>
      </c>
      <c r="Q2113" s="16" t="n"/>
      <c r="R2113" s="16">
        <f>HYPERLINK("https://checko.ru/search?query=3801001629","Чекко: проверить")</f>
        <v/>
      </c>
      <c r="S2113" t="n">
        <v>0</v>
      </c>
    </row>
    <row r="2114" ht="15" customHeight="1" s="24">
      <c r="A2114" s="13" t="n">
        <v>5000094579</v>
      </c>
      <c r="B2114" s="13" t="inlineStr">
        <is>
          <t>МКОУ ДО ЦДТ</t>
        </is>
      </c>
      <c r="C2114" s="13" t="n">
        <v>703004200</v>
      </c>
      <c r="D2114" s="13" t="n"/>
      <c r="E2114" s="13" t="inlineStr">
        <is>
          <t>Не определён</t>
        </is>
      </c>
      <c r="F2114" s="13" t="inlineStr">
        <is>
          <t>703004200</t>
        </is>
      </c>
      <c r="G2114" s="14" t="n"/>
      <c r="H2114" s="14" t="n"/>
      <c r="I2114" s="14" t="n"/>
      <c r="J2114" s="14" t="n"/>
      <c r="K2114" s="13">
        <f>IF(G2114="","",IF(G2114&gt;=22,"Да","Нет"))</f>
        <v/>
      </c>
      <c r="L2114" s="13">
        <f>IF(OR(I2114="",J2114=""),"Не определено",IF(OR(COUNTIF(I2114,"45*")&gt;0,COUNTIF(J2114,"*45*")&gt;0,COUNTIF(I2114,"46*")&gt;0,COUNTIF(J2114,"*46*")&gt;0,COUNTIF(I2114,"47*")&gt;0,COUNTIF(J2114,"*47*")&gt;0,COUNTIF(I2114,"10*")&gt;0,COUNTIF(J2114,"*10*")&gt;0,COUNTIF(I2114,"11*")&gt;0,COUNTIF(J2114,"*11*")&gt;0,COUNTIF(I2114,"12*")&gt;0,COUNTIF(J2114,"*12*")&gt;0,COUNTIF(I2114,"13*")&gt;0,COUNTIF(J2114,"*13*")&gt;0,COUNTIF(I2114,"14*")&gt;0,COUNTIF(J2114,"*14*")&gt;0,COUNTIF(I2114,"15*")&gt;0,COUNTIF(J2114,"*15*")&gt;0,COUNTIF(I2114,"16*")&gt;0,COUNTIF(J2114,"*16*")&gt;0,COUNTIF(I2114,"17*")&gt;0,COUNTIF(J2114,"*17*")&gt;0,COUNTIF(I2114,"18*")&gt;0,COUNTIF(J2114,"*18*")&gt;0,COUNTIF(I2114,"19*")&gt;0,COUNTIF(J2114,"*19*")&gt;0,COUNTIF(I2114,"20*")&gt;0,COUNTIF(J2114,"*20*")&gt;0,COUNTIF(I2114,"21*")&gt;0,COUNTIF(J2114,"*21*")&gt;0,COUNTIF(I2114,"22*")&gt;0,COUNTIF(J2114,"*22*")&gt;0,COUNTIF(I2114,"23*")&gt;0,COUNTIF(J2114,"*23*")&gt;0,COUNTIF(I2114,"24*")&gt;0,COUNTIF(J2114,"*24*")&gt;0,COUNTIF(I2114,"25*")&gt;0,COUNTIF(J2114,"*25*")&gt;0,COUNTIF(I2114,"26*")&gt;0,COUNTIF(J2114,"*26*")&gt;0,COUNTIF(I2114,"27*")&gt;0,COUNTIF(J2114,"*27*")&gt;0,COUNTIF(I2114,"28*")&gt;0,COUNTIF(J2114,"*28*")&gt;0,COUNTIF(I2114,"29*")&gt;0,COUNTIF(J2114,"*29*")&gt;0,COUNTIF(I2114,"30*")&gt;0,COUNTIF(J2114,"*30*")&gt;0,COUNTIF(I2114,"31*")&gt;0,COUNTIF(J2114,"*31*")&gt;0,COUNTIF(I2114,"32*")&gt;0,COUNTIF(J2114,"*32*")&gt;0,COUNTIF(I2114,"33*")&gt;0,COUNTIF(J2114,"*33*")&gt;0,COUNTIF(I2114,"41*")&gt;0,COUNTIF(J2114,"*41*")&gt;0,COUNTIF(I2114,"42*")&gt;0,COUNTIF(J2114,"*42*")&gt;0,COUNTIF(I2114,"43*")&gt;0,COUNTIF(J2114,"*43*")&gt;0,COUNTIF(I2114,"49*")&gt;0,COUNTIF(J2114,"*49*")&gt;0,COUNTIF(I2114,"52*")&gt;0,COUNTIF(J2114,"*52*")&gt;0,COUNTIF(I2114,"55*")&gt;0,COUNTIF(J2114,"*55*")&gt;0,COUNTIF(I2114,"56*")&gt;0,COUNTIF(J2114,"*56*")&gt;0,COUNTIF(I2114,"68*")&gt;0,COUNTIF(J2114,"*68*")&gt;0,COUNTIF(I2114,"78*")&gt;0,COUNTIF(J2114,"*78*")&gt;0,COUNTIF(I2114,"81*")&gt;0,COUNTIF(J2114,"*81*")&gt;0,COUNTIF(I2114,"82*")&gt;0,COUNTIF(J2114,"*82*")&gt;0,COUNTIF(I2114,"64*")&gt;0,COUNTIF(J2114,"*64*")&gt;0,COUNTIF(I2114,"65*")&gt;0,COUNTIF(J2114,"*65*")&gt;0,COUNTIF(I2114,"66*")&gt;0,COUNTIF(J2114,"*66*")&gt;0,COUNTIF(I2114,"61*")&gt;0,COUNTIF(J2114,"*61*")&gt;0,COUNTIF(I2114,"62*")&gt;0,COUNTIF(J2114,"*62*")&gt;0,COUNTIF(I2114,"63*")&gt;0,COUNTIF(J2114,"*63*")&gt;0,COUNTIF(I2114,"85*")&gt;0,COUNTIF(J2114,"*85*")&gt;0,COUNTIF(I2114,"86*")&gt;0,COUNTIF(J2114,"*86*")&gt;0),"Да","Нет"))</f>
        <v/>
      </c>
      <c r="M2114" s="13">
        <f>IF(OR(G2114="",L2114&lt;&gt;"Да"),"",IF(G2114&lt;=100,"До 100",IF(G2114&lt;=200,"До 200",IF(G2114&lt;=500,"До 500","Отдельное КП"))))</f>
        <v/>
      </c>
      <c r="N2114" s="15">
        <f>IF(OR(G2114="",L2114&lt;&gt;"Да"),"",IF(G2114&lt;=100,33600,IF(G2114&lt;=200,62400,IF(G2114&lt;=500,144000,""))))</f>
        <v/>
      </c>
      <c r="O2114" s="16">
        <f>IF(G2114="","",IF(G2114&lt;=15,"1–15",IF(G2114&lt;=30,"16–30",IF(G2114&lt;=50,"31–50",IF(G2114&lt;=100,"51–100",IF(G2114&lt;=150,"101–150",IF(G2114&lt;=200,"151–200",IF(G2114&lt;=500,"201–500","500+"))))))))</f>
        <v/>
      </c>
      <c r="P2114" s="16" t="inlineStr">
        <is>
          <t>Нет совпадения в предоставленной выгрузке ССЧР</t>
        </is>
      </c>
      <c r="Q2114" s="16" t="n"/>
      <c r="R2114" s="16">
        <f>HYPERLINK("https://checko.ru/search?query=3801001629","Чекко: проверить")</f>
        <v/>
      </c>
      <c r="S2114" t="n">
        <v>0</v>
      </c>
    </row>
    <row r="2115" ht="15" customHeight="1" s="24">
      <c r="A2115" s="13" t="n">
        <v>5000094580</v>
      </c>
      <c r="B2115" s="13" t="inlineStr">
        <is>
          <t>МКОУ СОШ № 14 г. Майского</t>
        </is>
      </c>
      <c r="C2115" s="13" t="n">
        <v>703004224</v>
      </c>
      <c r="D2115" s="13" t="n"/>
      <c r="E2115" s="13" t="inlineStr">
        <is>
          <t>Не определён</t>
        </is>
      </c>
      <c r="F2115" s="13" t="inlineStr">
        <is>
          <t>703004224</t>
        </is>
      </c>
      <c r="G2115" s="14" t="n"/>
      <c r="H2115" s="14" t="n"/>
      <c r="I2115" s="14" t="n"/>
      <c r="J2115" s="14" t="n"/>
      <c r="K2115" s="13">
        <f>IF(G2115="","",IF(G2115&gt;=22,"Да","Нет"))</f>
        <v/>
      </c>
      <c r="L2115" s="13">
        <f>IF(OR(I2115="",J2115=""),"Не определено",IF(OR(COUNTIF(I2115,"45*")&gt;0,COUNTIF(J2115,"*45*")&gt;0,COUNTIF(I2115,"46*")&gt;0,COUNTIF(J2115,"*46*")&gt;0,COUNTIF(I2115,"47*")&gt;0,COUNTIF(J2115,"*47*")&gt;0,COUNTIF(I2115,"10*")&gt;0,COUNTIF(J2115,"*10*")&gt;0,COUNTIF(I2115,"11*")&gt;0,COUNTIF(J2115,"*11*")&gt;0,COUNTIF(I2115,"12*")&gt;0,COUNTIF(J2115,"*12*")&gt;0,COUNTIF(I2115,"13*")&gt;0,COUNTIF(J2115,"*13*")&gt;0,COUNTIF(I2115,"14*")&gt;0,COUNTIF(J2115,"*14*")&gt;0,COUNTIF(I2115,"15*")&gt;0,COUNTIF(J2115,"*15*")&gt;0,COUNTIF(I2115,"16*")&gt;0,COUNTIF(J2115,"*16*")&gt;0,COUNTIF(I2115,"17*")&gt;0,COUNTIF(J2115,"*17*")&gt;0,COUNTIF(I2115,"18*")&gt;0,COUNTIF(J2115,"*18*")&gt;0,COUNTIF(I2115,"19*")&gt;0,COUNTIF(J2115,"*19*")&gt;0,COUNTIF(I2115,"20*")&gt;0,COUNTIF(J2115,"*20*")&gt;0,COUNTIF(I2115,"21*")&gt;0,COUNTIF(J2115,"*21*")&gt;0,COUNTIF(I2115,"22*")&gt;0,COUNTIF(J2115,"*22*")&gt;0,COUNTIF(I2115,"23*")&gt;0,COUNTIF(J2115,"*23*")&gt;0,COUNTIF(I2115,"24*")&gt;0,COUNTIF(J2115,"*24*")&gt;0,COUNTIF(I2115,"25*")&gt;0,COUNTIF(J2115,"*25*")&gt;0,COUNTIF(I2115,"26*")&gt;0,COUNTIF(J2115,"*26*")&gt;0,COUNTIF(I2115,"27*")&gt;0,COUNTIF(J2115,"*27*")&gt;0,COUNTIF(I2115,"28*")&gt;0,COUNTIF(J2115,"*28*")&gt;0,COUNTIF(I2115,"29*")&gt;0,COUNTIF(J2115,"*29*")&gt;0,COUNTIF(I2115,"30*")&gt;0,COUNTIF(J2115,"*30*")&gt;0,COUNTIF(I2115,"31*")&gt;0,COUNTIF(J2115,"*31*")&gt;0,COUNTIF(I2115,"32*")&gt;0,COUNTIF(J2115,"*32*")&gt;0,COUNTIF(I2115,"33*")&gt;0,COUNTIF(J2115,"*33*")&gt;0,COUNTIF(I2115,"41*")&gt;0,COUNTIF(J2115,"*41*")&gt;0,COUNTIF(I2115,"42*")&gt;0,COUNTIF(J2115,"*42*")&gt;0,COUNTIF(I2115,"43*")&gt;0,COUNTIF(J2115,"*43*")&gt;0,COUNTIF(I2115,"49*")&gt;0,COUNTIF(J2115,"*49*")&gt;0,COUNTIF(I2115,"52*")&gt;0,COUNTIF(J2115,"*52*")&gt;0,COUNTIF(I2115,"55*")&gt;0,COUNTIF(J2115,"*55*")&gt;0,COUNTIF(I2115,"56*")&gt;0,COUNTIF(J2115,"*56*")&gt;0,COUNTIF(I2115,"68*")&gt;0,COUNTIF(J2115,"*68*")&gt;0,COUNTIF(I2115,"78*")&gt;0,COUNTIF(J2115,"*78*")&gt;0,COUNTIF(I2115,"81*")&gt;0,COUNTIF(J2115,"*81*")&gt;0,COUNTIF(I2115,"82*")&gt;0,COUNTIF(J2115,"*82*")&gt;0,COUNTIF(I2115,"64*")&gt;0,COUNTIF(J2115,"*64*")&gt;0,COUNTIF(I2115,"65*")&gt;0,COUNTIF(J2115,"*65*")&gt;0,COUNTIF(I2115,"66*")&gt;0,COUNTIF(J2115,"*66*")&gt;0,COUNTIF(I2115,"61*")&gt;0,COUNTIF(J2115,"*61*")&gt;0,COUNTIF(I2115,"62*")&gt;0,COUNTIF(J2115,"*62*")&gt;0,COUNTIF(I2115,"63*")&gt;0,COUNTIF(J2115,"*63*")&gt;0,COUNTIF(I2115,"85*")&gt;0,COUNTIF(J2115,"*85*")&gt;0,COUNTIF(I2115,"86*")&gt;0,COUNTIF(J2115,"*86*")&gt;0),"Да","Нет"))</f>
        <v/>
      </c>
      <c r="M2115" s="13">
        <f>IF(OR(G2115="",L2115&lt;&gt;"Да"),"",IF(G2115&lt;=100,"До 100",IF(G2115&lt;=200,"До 200",IF(G2115&lt;=500,"До 500","Отдельное КП"))))</f>
        <v/>
      </c>
      <c r="N2115" s="15">
        <f>IF(OR(G2115="",L2115&lt;&gt;"Да"),"",IF(G2115&lt;=100,33600,IF(G2115&lt;=200,62400,IF(G2115&lt;=500,144000,""))))</f>
        <v/>
      </c>
      <c r="O2115" s="16">
        <f>IF(G2115="","",IF(G2115&lt;=15,"1–15",IF(G2115&lt;=30,"16–30",IF(G2115&lt;=50,"31–50",IF(G2115&lt;=100,"51–100",IF(G2115&lt;=150,"101–150",IF(G2115&lt;=200,"151–200",IF(G2115&lt;=500,"201–500","500+"))))))))</f>
        <v/>
      </c>
      <c r="P2115" s="16" t="inlineStr">
        <is>
          <t>Нет совпадения в предоставленной выгрузке ССЧР</t>
        </is>
      </c>
      <c r="Q2115" s="16" t="n"/>
      <c r="R2115" s="16">
        <f>HYPERLINK("https://checko.ru/search?query=3801001629","Чекко: проверить")</f>
        <v/>
      </c>
      <c r="S2115" t="n">
        <v>0</v>
      </c>
    </row>
    <row r="2116" ht="15" customHeight="1" s="24">
      <c r="A2116" s="13" t="n">
        <v>5000094581</v>
      </c>
      <c r="B2116" s="13" t="inlineStr">
        <is>
          <t>МКОУ ООШ № 10 г.Майского</t>
        </is>
      </c>
      <c r="C2116" s="13" t="n">
        <v>703004231</v>
      </c>
      <c r="D2116" s="13" t="n"/>
      <c r="E2116" s="13" t="inlineStr">
        <is>
          <t>Не определён</t>
        </is>
      </c>
      <c r="F2116" s="13" t="inlineStr">
        <is>
          <t>703004231</t>
        </is>
      </c>
      <c r="G2116" s="14" t="n"/>
      <c r="H2116" s="14" t="n"/>
      <c r="I2116" s="14" t="n"/>
      <c r="J2116" s="14" t="n"/>
      <c r="K2116" s="13">
        <f>IF(G2116="","",IF(G2116&gt;=22,"Да","Нет"))</f>
        <v/>
      </c>
      <c r="L2116" s="13">
        <f>IF(OR(I2116="",J2116=""),"Не определено",IF(OR(COUNTIF(I2116,"45*")&gt;0,COUNTIF(J2116,"*45*")&gt;0,COUNTIF(I2116,"46*")&gt;0,COUNTIF(J2116,"*46*")&gt;0,COUNTIF(I2116,"47*")&gt;0,COUNTIF(J2116,"*47*")&gt;0,COUNTIF(I2116,"10*")&gt;0,COUNTIF(J2116,"*10*")&gt;0,COUNTIF(I2116,"11*")&gt;0,COUNTIF(J2116,"*11*")&gt;0,COUNTIF(I2116,"12*")&gt;0,COUNTIF(J2116,"*12*")&gt;0,COUNTIF(I2116,"13*")&gt;0,COUNTIF(J2116,"*13*")&gt;0,COUNTIF(I2116,"14*")&gt;0,COUNTIF(J2116,"*14*")&gt;0,COUNTIF(I2116,"15*")&gt;0,COUNTIF(J2116,"*15*")&gt;0,COUNTIF(I2116,"16*")&gt;0,COUNTIF(J2116,"*16*")&gt;0,COUNTIF(I2116,"17*")&gt;0,COUNTIF(J2116,"*17*")&gt;0,COUNTIF(I2116,"18*")&gt;0,COUNTIF(J2116,"*18*")&gt;0,COUNTIF(I2116,"19*")&gt;0,COUNTIF(J2116,"*19*")&gt;0,COUNTIF(I2116,"20*")&gt;0,COUNTIF(J2116,"*20*")&gt;0,COUNTIF(I2116,"21*")&gt;0,COUNTIF(J2116,"*21*")&gt;0,COUNTIF(I2116,"22*")&gt;0,COUNTIF(J2116,"*22*")&gt;0,COUNTIF(I2116,"23*")&gt;0,COUNTIF(J2116,"*23*")&gt;0,COUNTIF(I2116,"24*")&gt;0,COUNTIF(J2116,"*24*")&gt;0,COUNTIF(I2116,"25*")&gt;0,COUNTIF(J2116,"*25*")&gt;0,COUNTIF(I2116,"26*")&gt;0,COUNTIF(J2116,"*26*")&gt;0,COUNTIF(I2116,"27*")&gt;0,COUNTIF(J2116,"*27*")&gt;0,COUNTIF(I2116,"28*")&gt;0,COUNTIF(J2116,"*28*")&gt;0,COUNTIF(I2116,"29*")&gt;0,COUNTIF(J2116,"*29*")&gt;0,COUNTIF(I2116,"30*")&gt;0,COUNTIF(J2116,"*30*")&gt;0,COUNTIF(I2116,"31*")&gt;0,COUNTIF(J2116,"*31*")&gt;0,COUNTIF(I2116,"32*")&gt;0,COUNTIF(J2116,"*32*")&gt;0,COUNTIF(I2116,"33*")&gt;0,COUNTIF(J2116,"*33*")&gt;0,COUNTIF(I2116,"41*")&gt;0,COUNTIF(J2116,"*41*")&gt;0,COUNTIF(I2116,"42*")&gt;0,COUNTIF(J2116,"*42*")&gt;0,COUNTIF(I2116,"43*")&gt;0,COUNTIF(J2116,"*43*")&gt;0,COUNTIF(I2116,"49*")&gt;0,COUNTIF(J2116,"*49*")&gt;0,COUNTIF(I2116,"52*")&gt;0,COUNTIF(J2116,"*52*")&gt;0,COUNTIF(I2116,"55*")&gt;0,COUNTIF(J2116,"*55*")&gt;0,COUNTIF(I2116,"56*")&gt;0,COUNTIF(J2116,"*56*")&gt;0,COUNTIF(I2116,"68*")&gt;0,COUNTIF(J2116,"*68*")&gt;0,COUNTIF(I2116,"78*")&gt;0,COUNTIF(J2116,"*78*")&gt;0,COUNTIF(I2116,"81*")&gt;0,COUNTIF(J2116,"*81*")&gt;0,COUNTIF(I2116,"82*")&gt;0,COUNTIF(J2116,"*82*")&gt;0,COUNTIF(I2116,"64*")&gt;0,COUNTIF(J2116,"*64*")&gt;0,COUNTIF(I2116,"65*")&gt;0,COUNTIF(J2116,"*65*")&gt;0,COUNTIF(I2116,"66*")&gt;0,COUNTIF(J2116,"*66*")&gt;0,COUNTIF(I2116,"61*")&gt;0,COUNTIF(J2116,"*61*")&gt;0,COUNTIF(I2116,"62*")&gt;0,COUNTIF(J2116,"*62*")&gt;0,COUNTIF(I2116,"63*")&gt;0,COUNTIF(J2116,"*63*")&gt;0,COUNTIF(I2116,"85*")&gt;0,COUNTIF(J2116,"*85*")&gt;0,COUNTIF(I2116,"86*")&gt;0,COUNTIF(J2116,"*86*")&gt;0),"Да","Нет"))</f>
        <v/>
      </c>
      <c r="M2116" s="13">
        <f>IF(OR(G2116="",L2116&lt;&gt;"Да"),"",IF(G2116&lt;=100,"До 100",IF(G2116&lt;=200,"До 200",IF(G2116&lt;=500,"До 500","Отдельное КП"))))</f>
        <v/>
      </c>
      <c r="N2116" s="15">
        <f>IF(OR(G2116="",L2116&lt;&gt;"Да"),"",IF(G2116&lt;=100,33600,IF(G2116&lt;=200,62400,IF(G2116&lt;=500,144000,""))))</f>
        <v/>
      </c>
      <c r="O2116" s="16">
        <f>IF(G2116="","",IF(G2116&lt;=15,"1–15",IF(G2116&lt;=30,"16–30",IF(G2116&lt;=50,"31–50",IF(G2116&lt;=100,"51–100",IF(G2116&lt;=150,"101–150",IF(G2116&lt;=200,"151–200",IF(G2116&lt;=500,"201–500","500+"))))))))</f>
        <v/>
      </c>
      <c r="P2116" s="16" t="inlineStr">
        <is>
          <t>Нет совпадения в предоставленной выгрузке ССЧР</t>
        </is>
      </c>
      <c r="Q2116" s="16" t="n"/>
      <c r="R2116" s="16">
        <f>HYPERLINK("https://checko.ru/search?query=3801001629","Чекко: проверить")</f>
        <v/>
      </c>
      <c r="S2116" t="n">
        <v>0</v>
      </c>
    </row>
    <row r="2117" ht="15" customHeight="1" s="24">
      <c r="A2117" s="13" t="n">
        <v>5000094583</v>
      </c>
      <c r="B2117" s="13" t="inlineStr">
        <is>
          <t>МКУ ЦРТ "Казачок"</t>
        </is>
      </c>
      <c r="C2117" s="13" t="n">
        <v>703004714</v>
      </c>
      <c r="D2117" s="13" t="n"/>
      <c r="E2117" s="13" t="inlineStr">
        <is>
          <t>Не определён</t>
        </is>
      </c>
      <c r="F2117" s="13" t="inlineStr">
        <is>
          <t>703004714</t>
        </is>
      </c>
      <c r="G2117" s="14" t="n"/>
      <c r="H2117" s="14" t="n"/>
      <c r="I2117" s="14" t="n"/>
      <c r="J2117" s="14" t="n"/>
      <c r="K2117" s="13">
        <f>IF(G2117="","",IF(G2117&gt;=22,"Да","Нет"))</f>
        <v/>
      </c>
      <c r="L2117" s="13">
        <f>IF(OR(I2117="",J2117=""),"Не определено",IF(OR(COUNTIF(I2117,"45*")&gt;0,COUNTIF(J2117,"*45*")&gt;0,COUNTIF(I2117,"46*")&gt;0,COUNTIF(J2117,"*46*")&gt;0,COUNTIF(I2117,"47*")&gt;0,COUNTIF(J2117,"*47*")&gt;0,COUNTIF(I2117,"10*")&gt;0,COUNTIF(J2117,"*10*")&gt;0,COUNTIF(I2117,"11*")&gt;0,COUNTIF(J2117,"*11*")&gt;0,COUNTIF(I2117,"12*")&gt;0,COUNTIF(J2117,"*12*")&gt;0,COUNTIF(I2117,"13*")&gt;0,COUNTIF(J2117,"*13*")&gt;0,COUNTIF(I2117,"14*")&gt;0,COUNTIF(J2117,"*14*")&gt;0,COUNTIF(I2117,"15*")&gt;0,COUNTIF(J2117,"*15*")&gt;0,COUNTIF(I2117,"16*")&gt;0,COUNTIF(J2117,"*16*")&gt;0,COUNTIF(I2117,"17*")&gt;0,COUNTIF(J2117,"*17*")&gt;0,COUNTIF(I2117,"18*")&gt;0,COUNTIF(J2117,"*18*")&gt;0,COUNTIF(I2117,"19*")&gt;0,COUNTIF(J2117,"*19*")&gt;0,COUNTIF(I2117,"20*")&gt;0,COUNTIF(J2117,"*20*")&gt;0,COUNTIF(I2117,"21*")&gt;0,COUNTIF(J2117,"*21*")&gt;0,COUNTIF(I2117,"22*")&gt;0,COUNTIF(J2117,"*22*")&gt;0,COUNTIF(I2117,"23*")&gt;0,COUNTIF(J2117,"*23*")&gt;0,COUNTIF(I2117,"24*")&gt;0,COUNTIF(J2117,"*24*")&gt;0,COUNTIF(I2117,"25*")&gt;0,COUNTIF(J2117,"*25*")&gt;0,COUNTIF(I2117,"26*")&gt;0,COUNTIF(J2117,"*26*")&gt;0,COUNTIF(I2117,"27*")&gt;0,COUNTIF(J2117,"*27*")&gt;0,COUNTIF(I2117,"28*")&gt;0,COUNTIF(J2117,"*28*")&gt;0,COUNTIF(I2117,"29*")&gt;0,COUNTIF(J2117,"*29*")&gt;0,COUNTIF(I2117,"30*")&gt;0,COUNTIF(J2117,"*30*")&gt;0,COUNTIF(I2117,"31*")&gt;0,COUNTIF(J2117,"*31*")&gt;0,COUNTIF(I2117,"32*")&gt;0,COUNTIF(J2117,"*32*")&gt;0,COUNTIF(I2117,"33*")&gt;0,COUNTIF(J2117,"*33*")&gt;0,COUNTIF(I2117,"41*")&gt;0,COUNTIF(J2117,"*41*")&gt;0,COUNTIF(I2117,"42*")&gt;0,COUNTIF(J2117,"*42*")&gt;0,COUNTIF(I2117,"43*")&gt;0,COUNTIF(J2117,"*43*")&gt;0,COUNTIF(I2117,"49*")&gt;0,COUNTIF(J2117,"*49*")&gt;0,COUNTIF(I2117,"52*")&gt;0,COUNTIF(J2117,"*52*")&gt;0,COUNTIF(I2117,"55*")&gt;0,COUNTIF(J2117,"*55*")&gt;0,COUNTIF(I2117,"56*")&gt;0,COUNTIF(J2117,"*56*")&gt;0,COUNTIF(I2117,"68*")&gt;0,COUNTIF(J2117,"*68*")&gt;0,COUNTIF(I2117,"78*")&gt;0,COUNTIF(J2117,"*78*")&gt;0,COUNTIF(I2117,"81*")&gt;0,COUNTIF(J2117,"*81*")&gt;0,COUNTIF(I2117,"82*")&gt;0,COUNTIF(J2117,"*82*")&gt;0,COUNTIF(I2117,"64*")&gt;0,COUNTIF(J2117,"*64*")&gt;0,COUNTIF(I2117,"65*")&gt;0,COUNTIF(J2117,"*65*")&gt;0,COUNTIF(I2117,"66*")&gt;0,COUNTIF(J2117,"*66*")&gt;0,COUNTIF(I2117,"61*")&gt;0,COUNTIF(J2117,"*61*")&gt;0,COUNTIF(I2117,"62*")&gt;0,COUNTIF(J2117,"*62*")&gt;0,COUNTIF(I2117,"63*")&gt;0,COUNTIF(J2117,"*63*")&gt;0,COUNTIF(I2117,"85*")&gt;0,COUNTIF(J2117,"*85*")&gt;0,COUNTIF(I2117,"86*")&gt;0,COUNTIF(J2117,"*86*")&gt;0),"Да","Нет"))</f>
        <v/>
      </c>
      <c r="M2117" s="13">
        <f>IF(OR(G2117="",L2117&lt;&gt;"Да"),"",IF(G2117&lt;=100,"До 100",IF(G2117&lt;=200,"До 200",IF(G2117&lt;=500,"До 500","Отдельное КП"))))</f>
        <v/>
      </c>
      <c r="N2117" s="15">
        <f>IF(OR(G2117="",L2117&lt;&gt;"Да"),"",IF(G2117&lt;=100,33600,IF(G2117&lt;=200,62400,IF(G2117&lt;=500,144000,""))))</f>
        <v/>
      </c>
      <c r="O2117" s="16">
        <f>IF(G2117="","",IF(G2117&lt;=15,"1–15",IF(G2117&lt;=30,"16–30",IF(G2117&lt;=50,"31–50",IF(G2117&lt;=100,"51–100",IF(G2117&lt;=150,"101–150",IF(G2117&lt;=200,"151–200",IF(G2117&lt;=500,"201–500","500+"))))))))</f>
        <v/>
      </c>
      <c r="P2117" s="16" t="inlineStr">
        <is>
          <t>Нет совпадения в предоставленной выгрузке ССЧР</t>
        </is>
      </c>
      <c r="Q2117" s="16" t="n"/>
      <c r="R2117" s="16">
        <f>HYPERLINK("https://checko.ru/search?query=3801001629","Чекко: проверить")</f>
        <v/>
      </c>
      <c r="S2117" t="n">
        <v>0</v>
      </c>
    </row>
    <row r="2118" ht="15" customHeight="1" s="24">
      <c r="A2118" s="13" t="n">
        <v>5000094584</v>
      </c>
      <c r="B2118" s="13" t="inlineStr">
        <is>
          <t>МКУК "Котляревский СДК"</t>
        </is>
      </c>
      <c r="C2118" s="13" t="n">
        <v>703005676</v>
      </c>
      <c r="D2118" s="13" t="n"/>
      <c r="E2118" s="13" t="inlineStr">
        <is>
          <t>Не определён</t>
        </is>
      </c>
      <c r="F2118" s="13" t="inlineStr">
        <is>
          <t>703005676</t>
        </is>
      </c>
      <c r="G2118" s="14" t="n"/>
      <c r="H2118" s="14" t="n"/>
      <c r="I2118" s="14" t="n"/>
      <c r="J2118" s="14" t="n"/>
      <c r="K2118" s="13">
        <f>IF(G2118="","",IF(G2118&gt;=22,"Да","Нет"))</f>
        <v/>
      </c>
      <c r="L2118" s="13">
        <f>IF(OR(I2118="",J2118=""),"Не определено",IF(OR(COUNTIF(I2118,"45*")&gt;0,COUNTIF(J2118,"*45*")&gt;0,COUNTIF(I2118,"46*")&gt;0,COUNTIF(J2118,"*46*")&gt;0,COUNTIF(I2118,"47*")&gt;0,COUNTIF(J2118,"*47*")&gt;0,COUNTIF(I2118,"10*")&gt;0,COUNTIF(J2118,"*10*")&gt;0,COUNTIF(I2118,"11*")&gt;0,COUNTIF(J2118,"*11*")&gt;0,COUNTIF(I2118,"12*")&gt;0,COUNTIF(J2118,"*12*")&gt;0,COUNTIF(I2118,"13*")&gt;0,COUNTIF(J2118,"*13*")&gt;0,COUNTIF(I2118,"14*")&gt;0,COUNTIF(J2118,"*14*")&gt;0,COUNTIF(I2118,"15*")&gt;0,COUNTIF(J2118,"*15*")&gt;0,COUNTIF(I2118,"16*")&gt;0,COUNTIF(J2118,"*16*")&gt;0,COUNTIF(I2118,"17*")&gt;0,COUNTIF(J2118,"*17*")&gt;0,COUNTIF(I2118,"18*")&gt;0,COUNTIF(J2118,"*18*")&gt;0,COUNTIF(I2118,"19*")&gt;0,COUNTIF(J2118,"*19*")&gt;0,COUNTIF(I2118,"20*")&gt;0,COUNTIF(J2118,"*20*")&gt;0,COUNTIF(I2118,"21*")&gt;0,COUNTIF(J2118,"*21*")&gt;0,COUNTIF(I2118,"22*")&gt;0,COUNTIF(J2118,"*22*")&gt;0,COUNTIF(I2118,"23*")&gt;0,COUNTIF(J2118,"*23*")&gt;0,COUNTIF(I2118,"24*")&gt;0,COUNTIF(J2118,"*24*")&gt;0,COUNTIF(I2118,"25*")&gt;0,COUNTIF(J2118,"*25*")&gt;0,COUNTIF(I2118,"26*")&gt;0,COUNTIF(J2118,"*26*")&gt;0,COUNTIF(I2118,"27*")&gt;0,COUNTIF(J2118,"*27*")&gt;0,COUNTIF(I2118,"28*")&gt;0,COUNTIF(J2118,"*28*")&gt;0,COUNTIF(I2118,"29*")&gt;0,COUNTIF(J2118,"*29*")&gt;0,COUNTIF(I2118,"30*")&gt;0,COUNTIF(J2118,"*30*")&gt;0,COUNTIF(I2118,"31*")&gt;0,COUNTIF(J2118,"*31*")&gt;0,COUNTIF(I2118,"32*")&gt;0,COUNTIF(J2118,"*32*")&gt;0,COUNTIF(I2118,"33*")&gt;0,COUNTIF(J2118,"*33*")&gt;0,COUNTIF(I2118,"41*")&gt;0,COUNTIF(J2118,"*41*")&gt;0,COUNTIF(I2118,"42*")&gt;0,COUNTIF(J2118,"*42*")&gt;0,COUNTIF(I2118,"43*")&gt;0,COUNTIF(J2118,"*43*")&gt;0,COUNTIF(I2118,"49*")&gt;0,COUNTIF(J2118,"*49*")&gt;0,COUNTIF(I2118,"52*")&gt;0,COUNTIF(J2118,"*52*")&gt;0,COUNTIF(I2118,"55*")&gt;0,COUNTIF(J2118,"*55*")&gt;0,COUNTIF(I2118,"56*")&gt;0,COUNTIF(J2118,"*56*")&gt;0,COUNTIF(I2118,"68*")&gt;0,COUNTIF(J2118,"*68*")&gt;0,COUNTIF(I2118,"78*")&gt;0,COUNTIF(J2118,"*78*")&gt;0,COUNTIF(I2118,"81*")&gt;0,COUNTIF(J2118,"*81*")&gt;0,COUNTIF(I2118,"82*")&gt;0,COUNTIF(J2118,"*82*")&gt;0,COUNTIF(I2118,"64*")&gt;0,COUNTIF(J2118,"*64*")&gt;0,COUNTIF(I2118,"65*")&gt;0,COUNTIF(J2118,"*65*")&gt;0,COUNTIF(I2118,"66*")&gt;0,COUNTIF(J2118,"*66*")&gt;0,COUNTIF(I2118,"61*")&gt;0,COUNTIF(J2118,"*61*")&gt;0,COUNTIF(I2118,"62*")&gt;0,COUNTIF(J2118,"*62*")&gt;0,COUNTIF(I2118,"63*")&gt;0,COUNTIF(J2118,"*63*")&gt;0,COUNTIF(I2118,"85*")&gt;0,COUNTIF(J2118,"*85*")&gt;0,COUNTIF(I2118,"86*")&gt;0,COUNTIF(J2118,"*86*")&gt;0),"Да","Нет"))</f>
        <v/>
      </c>
      <c r="M2118" s="13">
        <f>IF(OR(G2118="",L2118&lt;&gt;"Да"),"",IF(G2118&lt;=100,"До 100",IF(G2118&lt;=200,"До 200",IF(G2118&lt;=500,"До 500","Отдельное КП"))))</f>
        <v/>
      </c>
      <c r="N2118" s="15">
        <f>IF(OR(G2118="",L2118&lt;&gt;"Да"),"",IF(G2118&lt;=100,33600,IF(G2118&lt;=200,62400,IF(G2118&lt;=500,144000,""))))</f>
        <v/>
      </c>
      <c r="O2118" s="16">
        <f>IF(G2118="","",IF(G2118&lt;=15,"1–15",IF(G2118&lt;=30,"16–30",IF(G2118&lt;=50,"31–50",IF(G2118&lt;=100,"51–100",IF(G2118&lt;=150,"101–150",IF(G2118&lt;=200,"151–200",IF(G2118&lt;=500,"201–500","500+"))))))))</f>
        <v/>
      </c>
      <c r="P2118" s="16" t="inlineStr">
        <is>
          <t>Нет совпадения в предоставленной выгрузке ССЧР</t>
        </is>
      </c>
      <c r="Q2118" s="16" t="n"/>
      <c r="R2118" s="16">
        <f>HYPERLINK("https://checko.ru/search?query=3801001629","Чекко: проверить")</f>
        <v/>
      </c>
      <c r="S2118" t="n">
        <v>0</v>
      </c>
    </row>
    <row r="2119" ht="15" customHeight="1" s="24">
      <c r="A2119" s="13" t="n">
        <v>5000094585</v>
      </c>
      <c r="B2119" s="13" t="inlineStr">
        <is>
          <t>МКУК "ДК "Октябрь"с.п. ст. Александровская"</t>
        </is>
      </c>
      <c r="C2119" s="13" t="n">
        <v>703005683</v>
      </c>
      <c r="D2119" s="13" t="n"/>
      <c r="E2119" s="13" t="inlineStr">
        <is>
          <t>Не определён</t>
        </is>
      </c>
      <c r="F2119" s="13" t="inlineStr">
        <is>
          <t>703005683</t>
        </is>
      </c>
      <c r="G2119" s="14" t="n"/>
      <c r="H2119" s="14" t="n"/>
      <c r="I2119" s="14" t="n"/>
      <c r="J2119" s="14" t="n"/>
      <c r="K2119" s="13">
        <f>IF(G2119="","",IF(G2119&gt;=22,"Да","Нет"))</f>
        <v/>
      </c>
      <c r="L2119" s="13">
        <f>IF(OR(I2119="",J2119=""),"Не определено",IF(OR(COUNTIF(I2119,"45*")&gt;0,COUNTIF(J2119,"*45*")&gt;0,COUNTIF(I2119,"46*")&gt;0,COUNTIF(J2119,"*46*")&gt;0,COUNTIF(I2119,"47*")&gt;0,COUNTIF(J2119,"*47*")&gt;0,COUNTIF(I2119,"10*")&gt;0,COUNTIF(J2119,"*10*")&gt;0,COUNTIF(I2119,"11*")&gt;0,COUNTIF(J2119,"*11*")&gt;0,COUNTIF(I2119,"12*")&gt;0,COUNTIF(J2119,"*12*")&gt;0,COUNTIF(I2119,"13*")&gt;0,COUNTIF(J2119,"*13*")&gt;0,COUNTIF(I2119,"14*")&gt;0,COUNTIF(J2119,"*14*")&gt;0,COUNTIF(I2119,"15*")&gt;0,COUNTIF(J2119,"*15*")&gt;0,COUNTIF(I2119,"16*")&gt;0,COUNTIF(J2119,"*16*")&gt;0,COUNTIF(I2119,"17*")&gt;0,COUNTIF(J2119,"*17*")&gt;0,COUNTIF(I2119,"18*")&gt;0,COUNTIF(J2119,"*18*")&gt;0,COUNTIF(I2119,"19*")&gt;0,COUNTIF(J2119,"*19*")&gt;0,COUNTIF(I2119,"20*")&gt;0,COUNTIF(J2119,"*20*")&gt;0,COUNTIF(I2119,"21*")&gt;0,COUNTIF(J2119,"*21*")&gt;0,COUNTIF(I2119,"22*")&gt;0,COUNTIF(J2119,"*22*")&gt;0,COUNTIF(I2119,"23*")&gt;0,COUNTIF(J2119,"*23*")&gt;0,COUNTIF(I2119,"24*")&gt;0,COUNTIF(J2119,"*24*")&gt;0,COUNTIF(I2119,"25*")&gt;0,COUNTIF(J2119,"*25*")&gt;0,COUNTIF(I2119,"26*")&gt;0,COUNTIF(J2119,"*26*")&gt;0,COUNTIF(I2119,"27*")&gt;0,COUNTIF(J2119,"*27*")&gt;0,COUNTIF(I2119,"28*")&gt;0,COUNTIF(J2119,"*28*")&gt;0,COUNTIF(I2119,"29*")&gt;0,COUNTIF(J2119,"*29*")&gt;0,COUNTIF(I2119,"30*")&gt;0,COUNTIF(J2119,"*30*")&gt;0,COUNTIF(I2119,"31*")&gt;0,COUNTIF(J2119,"*31*")&gt;0,COUNTIF(I2119,"32*")&gt;0,COUNTIF(J2119,"*32*")&gt;0,COUNTIF(I2119,"33*")&gt;0,COUNTIF(J2119,"*33*")&gt;0,COUNTIF(I2119,"41*")&gt;0,COUNTIF(J2119,"*41*")&gt;0,COUNTIF(I2119,"42*")&gt;0,COUNTIF(J2119,"*42*")&gt;0,COUNTIF(I2119,"43*")&gt;0,COUNTIF(J2119,"*43*")&gt;0,COUNTIF(I2119,"49*")&gt;0,COUNTIF(J2119,"*49*")&gt;0,COUNTIF(I2119,"52*")&gt;0,COUNTIF(J2119,"*52*")&gt;0,COUNTIF(I2119,"55*")&gt;0,COUNTIF(J2119,"*55*")&gt;0,COUNTIF(I2119,"56*")&gt;0,COUNTIF(J2119,"*56*")&gt;0,COUNTIF(I2119,"68*")&gt;0,COUNTIF(J2119,"*68*")&gt;0,COUNTIF(I2119,"78*")&gt;0,COUNTIF(J2119,"*78*")&gt;0,COUNTIF(I2119,"81*")&gt;0,COUNTIF(J2119,"*81*")&gt;0,COUNTIF(I2119,"82*")&gt;0,COUNTIF(J2119,"*82*")&gt;0,COUNTIF(I2119,"64*")&gt;0,COUNTIF(J2119,"*64*")&gt;0,COUNTIF(I2119,"65*")&gt;0,COUNTIF(J2119,"*65*")&gt;0,COUNTIF(I2119,"66*")&gt;0,COUNTIF(J2119,"*66*")&gt;0,COUNTIF(I2119,"61*")&gt;0,COUNTIF(J2119,"*61*")&gt;0,COUNTIF(I2119,"62*")&gt;0,COUNTIF(J2119,"*62*")&gt;0,COUNTIF(I2119,"63*")&gt;0,COUNTIF(J2119,"*63*")&gt;0,COUNTIF(I2119,"85*")&gt;0,COUNTIF(J2119,"*85*")&gt;0,COUNTIF(I2119,"86*")&gt;0,COUNTIF(J2119,"*86*")&gt;0),"Да","Нет"))</f>
        <v/>
      </c>
      <c r="M2119" s="13">
        <f>IF(OR(G2119="",L2119&lt;&gt;"Да"),"",IF(G2119&lt;=100,"До 100",IF(G2119&lt;=200,"До 200",IF(G2119&lt;=500,"До 500","Отдельное КП"))))</f>
        <v/>
      </c>
      <c r="N2119" s="15">
        <f>IF(OR(G2119="",L2119&lt;&gt;"Да"),"",IF(G2119&lt;=100,33600,IF(G2119&lt;=200,62400,IF(G2119&lt;=500,144000,""))))</f>
        <v/>
      </c>
      <c r="O2119" s="16">
        <f>IF(G2119="","",IF(G2119&lt;=15,"1–15",IF(G2119&lt;=30,"16–30",IF(G2119&lt;=50,"31–50",IF(G2119&lt;=100,"51–100",IF(G2119&lt;=150,"101–150",IF(G2119&lt;=200,"151–200",IF(G2119&lt;=500,"201–500","500+"))))))))</f>
        <v/>
      </c>
      <c r="P2119" s="16" t="inlineStr">
        <is>
          <t>Нет совпадения в предоставленной выгрузке ССЧР</t>
        </is>
      </c>
      <c r="Q2119" s="16" t="n"/>
      <c r="R2119" s="16">
        <f>HYPERLINK("https://checko.ru/search?query=3801001629","Чекко: проверить")</f>
        <v/>
      </c>
      <c r="S2119" t="n">
        <v>0</v>
      </c>
    </row>
    <row r="2120" ht="15" customHeight="1" s="24">
      <c r="A2120" s="13" t="n">
        <v>5000094586</v>
      </c>
      <c r="B2120" s="13" t="inlineStr">
        <is>
          <t>МКУК "Ново-Ивановский СДК"</t>
        </is>
      </c>
      <c r="C2120" s="13" t="n">
        <v>703005690</v>
      </c>
      <c r="D2120" s="13" t="n"/>
      <c r="E2120" s="13" t="inlineStr">
        <is>
          <t>Не определён</t>
        </is>
      </c>
      <c r="F2120" s="13" t="inlineStr">
        <is>
          <t>703005690</t>
        </is>
      </c>
      <c r="G2120" s="14" t="n"/>
      <c r="H2120" s="14" t="n"/>
      <c r="I2120" s="14" t="n"/>
      <c r="J2120" s="14" t="n"/>
      <c r="K2120" s="13">
        <f>IF(G2120="","",IF(G2120&gt;=22,"Да","Нет"))</f>
        <v/>
      </c>
      <c r="L2120" s="13">
        <f>IF(OR(I2120="",J2120=""),"Не определено",IF(OR(COUNTIF(I2120,"45*")&gt;0,COUNTIF(J2120,"*45*")&gt;0,COUNTIF(I2120,"46*")&gt;0,COUNTIF(J2120,"*46*")&gt;0,COUNTIF(I2120,"47*")&gt;0,COUNTIF(J2120,"*47*")&gt;0,COUNTIF(I2120,"10*")&gt;0,COUNTIF(J2120,"*10*")&gt;0,COUNTIF(I2120,"11*")&gt;0,COUNTIF(J2120,"*11*")&gt;0,COUNTIF(I2120,"12*")&gt;0,COUNTIF(J2120,"*12*")&gt;0,COUNTIF(I2120,"13*")&gt;0,COUNTIF(J2120,"*13*")&gt;0,COUNTIF(I2120,"14*")&gt;0,COUNTIF(J2120,"*14*")&gt;0,COUNTIF(I2120,"15*")&gt;0,COUNTIF(J2120,"*15*")&gt;0,COUNTIF(I2120,"16*")&gt;0,COUNTIF(J2120,"*16*")&gt;0,COUNTIF(I2120,"17*")&gt;0,COUNTIF(J2120,"*17*")&gt;0,COUNTIF(I2120,"18*")&gt;0,COUNTIF(J2120,"*18*")&gt;0,COUNTIF(I2120,"19*")&gt;0,COUNTIF(J2120,"*19*")&gt;0,COUNTIF(I2120,"20*")&gt;0,COUNTIF(J2120,"*20*")&gt;0,COUNTIF(I2120,"21*")&gt;0,COUNTIF(J2120,"*21*")&gt;0,COUNTIF(I2120,"22*")&gt;0,COUNTIF(J2120,"*22*")&gt;0,COUNTIF(I2120,"23*")&gt;0,COUNTIF(J2120,"*23*")&gt;0,COUNTIF(I2120,"24*")&gt;0,COUNTIF(J2120,"*24*")&gt;0,COUNTIF(I2120,"25*")&gt;0,COUNTIF(J2120,"*25*")&gt;0,COUNTIF(I2120,"26*")&gt;0,COUNTIF(J2120,"*26*")&gt;0,COUNTIF(I2120,"27*")&gt;0,COUNTIF(J2120,"*27*")&gt;0,COUNTIF(I2120,"28*")&gt;0,COUNTIF(J2120,"*28*")&gt;0,COUNTIF(I2120,"29*")&gt;0,COUNTIF(J2120,"*29*")&gt;0,COUNTIF(I2120,"30*")&gt;0,COUNTIF(J2120,"*30*")&gt;0,COUNTIF(I2120,"31*")&gt;0,COUNTIF(J2120,"*31*")&gt;0,COUNTIF(I2120,"32*")&gt;0,COUNTIF(J2120,"*32*")&gt;0,COUNTIF(I2120,"33*")&gt;0,COUNTIF(J2120,"*33*")&gt;0,COUNTIF(I2120,"41*")&gt;0,COUNTIF(J2120,"*41*")&gt;0,COUNTIF(I2120,"42*")&gt;0,COUNTIF(J2120,"*42*")&gt;0,COUNTIF(I2120,"43*")&gt;0,COUNTIF(J2120,"*43*")&gt;0,COUNTIF(I2120,"49*")&gt;0,COUNTIF(J2120,"*49*")&gt;0,COUNTIF(I2120,"52*")&gt;0,COUNTIF(J2120,"*52*")&gt;0,COUNTIF(I2120,"55*")&gt;0,COUNTIF(J2120,"*55*")&gt;0,COUNTIF(I2120,"56*")&gt;0,COUNTIF(J2120,"*56*")&gt;0,COUNTIF(I2120,"68*")&gt;0,COUNTIF(J2120,"*68*")&gt;0,COUNTIF(I2120,"78*")&gt;0,COUNTIF(J2120,"*78*")&gt;0,COUNTIF(I2120,"81*")&gt;0,COUNTIF(J2120,"*81*")&gt;0,COUNTIF(I2120,"82*")&gt;0,COUNTIF(J2120,"*82*")&gt;0,COUNTIF(I2120,"64*")&gt;0,COUNTIF(J2120,"*64*")&gt;0,COUNTIF(I2120,"65*")&gt;0,COUNTIF(J2120,"*65*")&gt;0,COUNTIF(I2120,"66*")&gt;0,COUNTIF(J2120,"*66*")&gt;0,COUNTIF(I2120,"61*")&gt;0,COUNTIF(J2120,"*61*")&gt;0,COUNTIF(I2120,"62*")&gt;0,COUNTIF(J2120,"*62*")&gt;0,COUNTIF(I2120,"63*")&gt;0,COUNTIF(J2120,"*63*")&gt;0,COUNTIF(I2120,"85*")&gt;0,COUNTIF(J2120,"*85*")&gt;0,COUNTIF(I2120,"86*")&gt;0,COUNTIF(J2120,"*86*")&gt;0),"Да","Нет"))</f>
        <v/>
      </c>
      <c r="M2120" s="13">
        <f>IF(OR(G2120="",L2120&lt;&gt;"Да"),"",IF(G2120&lt;=100,"До 100",IF(G2120&lt;=200,"До 200",IF(G2120&lt;=500,"До 500","Отдельное КП"))))</f>
        <v/>
      </c>
      <c r="N2120" s="15">
        <f>IF(OR(G2120="",L2120&lt;&gt;"Да"),"",IF(G2120&lt;=100,33600,IF(G2120&lt;=200,62400,IF(G2120&lt;=500,144000,""))))</f>
        <v/>
      </c>
      <c r="O2120" s="16">
        <f>IF(G2120="","",IF(G2120&lt;=15,"1–15",IF(G2120&lt;=30,"16–30",IF(G2120&lt;=50,"31–50",IF(G2120&lt;=100,"51–100",IF(G2120&lt;=150,"101–150",IF(G2120&lt;=200,"151–200",IF(G2120&lt;=500,"201–500","500+"))))))))</f>
        <v/>
      </c>
      <c r="P2120" s="16" t="inlineStr">
        <is>
          <t>Нет совпадения в предоставленной выгрузке ССЧР</t>
        </is>
      </c>
      <c r="Q2120" s="16" t="n"/>
      <c r="R2120" s="16">
        <f>HYPERLINK("https://checko.ru/search?query=3801001629","Чекко: проверить")</f>
        <v/>
      </c>
      <c r="S2120" t="n">
        <v>0</v>
      </c>
    </row>
    <row r="2121" ht="15" customHeight="1" s="24">
      <c r="A2121" s="13" t="n">
        <v>5000094587</v>
      </c>
      <c r="B2121" s="13" t="inlineStr">
        <is>
          <t>МКУК "ДК "Россия" г. Майского КБР</t>
        </is>
      </c>
      <c r="C2121" s="13" t="n">
        <v>703005732</v>
      </c>
      <c r="D2121" s="13" t="n"/>
      <c r="E2121" s="13" t="inlineStr">
        <is>
          <t>Не определён</t>
        </is>
      </c>
      <c r="F2121" s="13" t="inlineStr">
        <is>
          <t>703005732</t>
        </is>
      </c>
      <c r="G2121" s="14" t="n"/>
      <c r="H2121" s="14" t="n"/>
      <c r="I2121" s="14" t="n"/>
      <c r="J2121" s="14" t="n"/>
      <c r="K2121" s="13">
        <f>IF(G2121="","",IF(G2121&gt;=22,"Да","Нет"))</f>
        <v/>
      </c>
      <c r="L2121" s="13">
        <f>IF(OR(I2121="",J2121=""),"Не определено",IF(OR(COUNTIF(I2121,"45*")&gt;0,COUNTIF(J2121,"*45*")&gt;0,COUNTIF(I2121,"46*")&gt;0,COUNTIF(J2121,"*46*")&gt;0,COUNTIF(I2121,"47*")&gt;0,COUNTIF(J2121,"*47*")&gt;0,COUNTIF(I2121,"10*")&gt;0,COUNTIF(J2121,"*10*")&gt;0,COUNTIF(I2121,"11*")&gt;0,COUNTIF(J2121,"*11*")&gt;0,COUNTIF(I2121,"12*")&gt;0,COUNTIF(J2121,"*12*")&gt;0,COUNTIF(I2121,"13*")&gt;0,COUNTIF(J2121,"*13*")&gt;0,COUNTIF(I2121,"14*")&gt;0,COUNTIF(J2121,"*14*")&gt;0,COUNTIF(I2121,"15*")&gt;0,COUNTIF(J2121,"*15*")&gt;0,COUNTIF(I2121,"16*")&gt;0,COUNTIF(J2121,"*16*")&gt;0,COUNTIF(I2121,"17*")&gt;0,COUNTIF(J2121,"*17*")&gt;0,COUNTIF(I2121,"18*")&gt;0,COUNTIF(J2121,"*18*")&gt;0,COUNTIF(I2121,"19*")&gt;0,COUNTIF(J2121,"*19*")&gt;0,COUNTIF(I2121,"20*")&gt;0,COUNTIF(J2121,"*20*")&gt;0,COUNTIF(I2121,"21*")&gt;0,COUNTIF(J2121,"*21*")&gt;0,COUNTIF(I2121,"22*")&gt;0,COUNTIF(J2121,"*22*")&gt;0,COUNTIF(I2121,"23*")&gt;0,COUNTIF(J2121,"*23*")&gt;0,COUNTIF(I2121,"24*")&gt;0,COUNTIF(J2121,"*24*")&gt;0,COUNTIF(I2121,"25*")&gt;0,COUNTIF(J2121,"*25*")&gt;0,COUNTIF(I2121,"26*")&gt;0,COUNTIF(J2121,"*26*")&gt;0,COUNTIF(I2121,"27*")&gt;0,COUNTIF(J2121,"*27*")&gt;0,COUNTIF(I2121,"28*")&gt;0,COUNTIF(J2121,"*28*")&gt;0,COUNTIF(I2121,"29*")&gt;0,COUNTIF(J2121,"*29*")&gt;0,COUNTIF(I2121,"30*")&gt;0,COUNTIF(J2121,"*30*")&gt;0,COUNTIF(I2121,"31*")&gt;0,COUNTIF(J2121,"*31*")&gt;0,COUNTIF(I2121,"32*")&gt;0,COUNTIF(J2121,"*32*")&gt;0,COUNTIF(I2121,"33*")&gt;0,COUNTIF(J2121,"*33*")&gt;0,COUNTIF(I2121,"41*")&gt;0,COUNTIF(J2121,"*41*")&gt;0,COUNTIF(I2121,"42*")&gt;0,COUNTIF(J2121,"*42*")&gt;0,COUNTIF(I2121,"43*")&gt;0,COUNTIF(J2121,"*43*")&gt;0,COUNTIF(I2121,"49*")&gt;0,COUNTIF(J2121,"*49*")&gt;0,COUNTIF(I2121,"52*")&gt;0,COUNTIF(J2121,"*52*")&gt;0,COUNTIF(I2121,"55*")&gt;0,COUNTIF(J2121,"*55*")&gt;0,COUNTIF(I2121,"56*")&gt;0,COUNTIF(J2121,"*56*")&gt;0,COUNTIF(I2121,"68*")&gt;0,COUNTIF(J2121,"*68*")&gt;0,COUNTIF(I2121,"78*")&gt;0,COUNTIF(J2121,"*78*")&gt;0,COUNTIF(I2121,"81*")&gt;0,COUNTIF(J2121,"*81*")&gt;0,COUNTIF(I2121,"82*")&gt;0,COUNTIF(J2121,"*82*")&gt;0,COUNTIF(I2121,"64*")&gt;0,COUNTIF(J2121,"*64*")&gt;0,COUNTIF(I2121,"65*")&gt;0,COUNTIF(J2121,"*65*")&gt;0,COUNTIF(I2121,"66*")&gt;0,COUNTIF(J2121,"*66*")&gt;0,COUNTIF(I2121,"61*")&gt;0,COUNTIF(J2121,"*61*")&gt;0,COUNTIF(I2121,"62*")&gt;0,COUNTIF(J2121,"*62*")&gt;0,COUNTIF(I2121,"63*")&gt;0,COUNTIF(J2121,"*63*")&gt;0,COUNTIF(I2121,"85*")&gt;0,COUNTIF(J2121,"*85*")&gt;0,COUNTIF(I2121,"86*")&gt;0,COUNTIF(J2121,"*86*")&gt;0),"Да","Нет"))</f>
        <v/>
      </c>
      <c r="M2121" s="13">
        <f>IF(OR(G2121="",L2121&lt;&gt;"Да"),"",IF(G2121&lt;=100,"До 100",IF(G2121&lt;=200,"До 200",IF(G2121&lt;=500,"До 500","Отдельное КП"))))</f>
        <v/>
      </c>
      <c r="N2121" s="15">
        <f>IF(OR(G2121="",L2121&lt;&gt;"Да"),"",IF(G2121&lt;=100,33600,IF(G2121&lt;=200,62400,IF(G2121&lt;=500,144000,""))))</f>
        <v/>
      </c>
      <c r="O2121" s="16">
        <f>IF(G2121="","",IF(G2121&lt;=15,"1–15",IF(G2121&lt;=30,"16–30",IF(G2121&lt;=50,"31–50",IF(G2121&lt;=100,"51–100",IF(G2121&lt;=150,"101–150",IF(G2121&lt;=200,"151–200",IF(G2121&lt;=500,"201–500","500+"))))))))</f>
        <v/>
      </c>
      <c r="P2121" s="16" t="inlineStr">
        <is>
          <t>Нет совпадения в предоставленной выгрузке ССЧР</t>
        </is>
      </c>
      <c r="Q2121" s="16" t="n"/>
      <c r="R2121" s="16">
        <f>HYPERLINK("https://checko.ru/search?query=3801001629","Чекко: проверить")</f>
        <v/>
      </c>
      <c r="S2121" t="n">
        <v>0</v>
      </c>
    </row>
    <row r="2122" ht="15" customHeight="1" s="24">
      <c r="A2122" s="13" t="n">
        <v>5000094588</v>
      </c>
      <c r="B2122" s="13" t="inlineStr">
        <is>
          <t>МКУК "Октябрьский СДК"</t>
        </is>
      </c>
      <c r="C2122" s="13" t="n">
        <v>703005926</v>
      </c>
      <c r="D2122" s="13" t="n"/>
      <c r="E2122" s="13" t="inlineStr">
        <is>
          <t>Не определён</t>
        </is>
      </c>
      <c r="F2122" s="13" t="inlineStr">
        <is>
          <t>703005926</t>
        </is>
      </c>
      <c r="G2122" s="14" t="n"/>
      <c r="H2122" s="14" t="n"/>
      <c r="I2122" s="14" t="n"/>
      <c r="J2122" s="14" t="n"/>
      <c r="K2122" s="13">
        <f>IF(G2122="","",IF(G2122&gt;=22,"Да","Нет"))</f>
        <v/>
      </c>
      <c r="L2122" s="13">
        <f>IF(OR(I2122="",J2122=""),"Не определено",IF(OR(COUNTIF(I2122,"45*")&gt;0,COUNTIF(J2122,"*45*")&gt;0,COUNTIF(I2122,"46*")&gt;0,COUNTIF(J2122,"*46*")&gt;0,COUNTIF(I2122,"47*")&gt;0,COUNTIF(J2122,"*47*")&gt;0,COUNTIF(I2122,"10*")&gt;0,COUNTIF(J2122,"*10*")&gt;0,COUNTIF(I2122,"11*")&gt;0,COUNTIF(J2122,"*11*")&gt;0,COUNTIF(I2122,"12*")&gt;0,COUNTIF(J2122,"*12*")&gt;0,COUNTIF(I2122,"13*")&gt;0,COUNTIF(J2122,"*13*")&gt;0,COUNTIF(I2122,"14*")&gt;0,COUNTIF(J2122,"*14*")&gt;0,COUNTIF(I2122,"15*")&gt;0,COUNTIF(J2122,"*15*")&gt;0,COUNTIF(I2122,"16*")&gt;0,COUNTIF(J2122,"*16*")&gt;0,COUNTIF(I2122,"17*")&gt;0,COUNTIF(J2122,"*17*")&gt;0,COUNTIF(I2122,"18*")&gt;0,COUNTIF(J2122,"*18*")&gt;0,COUNTIF(I2122,"19*")&gt;0,COUNTIF(J2122,"*19*")&gt;0,COUNTIF(I2122,"20*")&gt;0,COUNTIF(J2122,"*20*")&gt;0,COUNTIF(I2122,"21*")&gt;0,COUNTIF(J2122,"*21*")&gt;0,COUNTIF(I2122,"22*")&gt;0,COUNTIF(J2122,"*22*")&gt;0,COUNTIF(I2122,"23*")&gt;0,COUNTIF(J2122,"*23*")&gt;0,COUNTIF(I2122,"24*")&gt;0,COUNTIF(J2122,"*24*")&gt;0,COUNTIF(I2122,"25*")&gt;0,COUNTIF(J2122,"*25*")&gt;0,COUNTIF(I2122,"26*")&gt;0,COUNTIF(J2122,"*26*")&gt;0,COUNTIF(I2122,"27*")&gt;0,COUNTIF(J2122,"*27*")&gt;0,COUNTIF(I2122,"28*")&gt;0,COUNTIF(J2122,"*28*")&gt;0,COUNTIF(I2122,"29*")&gt;0,COUNTIF(J2122,"*29*")&gt;0,COUNTIF(I2122,"30*")&gt;0,COUNTIF(J2122,"*30*")&gt;0,COUNTIF(I2122,"31*")&gt;0,COUNTIF(J2122,"*31*")&gt;0,COUNTIF(I2122,"32*")&gt;0,COUNTIF(J2122,"*32*")&gt;0,COUNTIF(I2122,"33*")&gt;0,COUNTIF(J2122,"*33*")&gt;0,COUNTIF(I2122,"41*")&gt;0,COUNTIF(J2122,"*41*")&gt;0,COUNTIF(I2122,"42*")&gt;0,COUNTIF(J2122,"*42*")&gt;0,COUNTIF(I2122,"43*")&gt;0,COUNTIF(J2122,"*43*")&gt;0,COUNTIF(I2122,"49*")&gt;0,COUNTIF(J2122,"*49*")&gt;0,COUNTIF(I2122,"52*")&gt;0,COUNTIF(J2122,"*52*")&gt;0,COUNTIF(I2122,"55*")&gt;0,COUNTIF(J2122,"*55*")&gt;0,COUNTIF(I2122,"56*")&gt;0,COUNTIF(J2122,"*56*")&gt;0,COUNTIF(I2122,"68*")&gt;0,COUNTIF(J2122,"*68*")&gt;0,COUNTIF(I2122,"78*")&gt;0,COUNTIF(J2122,"*78*")&gt;0,COUNTIF(I2122,"81*")&gt;0,COUNTIF(J2122,"*81*")&gt;0,COUNTIF(I2122,"82*")&gt;0,COUNTIF(J2122,"*82*")&gt;0,COUNTIF(I2122,"64*")&gt;0,COUNTIF(J2122,"*64*")&gt;0,COUNTIF(I2122,"65*")&gt;0,COUNTIF(J2122,"*65*")&gt;0,COUNTIF(I2122,"66*")&gt;0,COUNTIF(J2122,"*66*")&gt;0,COUNTIF(I2122,"61*")&gt;0,COUNTIF(J2122,"*61*")&gt;0,COUNTIF(I2122,"62*")&gt;0,COUNTIF(J2122,"*62*")&gt;0,COUNTIF(I2122,"63*")&gt;0,COUNTIF(J2122,"*63*")&gt;0,COUNTIF(I2122,"85*")&gt;0,COUNTIF(J2122,"*85*")&gt;0,COUNTIF(I2122,"86*")&gt;0,COUNTIF(J2122,"*86*")&gt;0),"Да","Нет"))</f>
        <v/>
      </c>
      <c r="M2122" s="13">
        <f>IF(OR(G2122="",L2122&lt;&gt;"Да"),"",IF(G2122&lt;=100,"До 100",IF(G2122&lt;=200,"До 200",IF(G2122&lt;=500,"До 500","Отдельное КП"))))</f>
        <v/>
      </c>
      <c r="N2122" s="15">
        <f>IF(OR(G2122="",L2122&lt;&gt;"Да"),"",IF(G2122&lt;=100,33600,IF(G2122&lt;=200,62400,IF(G2122&lt;=500,144000,""))))</f>
        <v/>
      </c>
      <c r="O2122" s="16">
        <f>IF(G2122="","",IF(G2122&lt;=15,"1–15",IF(G2122&lt;=30,"16–30",IF(G2122&lt;=50,"31–50",IF(G2122&lt;=100,"51–100",IF(G2122&lt;=150,"101–150",IF(G2122&lt;=200,"151–200",IF(G2122&lt;=500,"201–500","500+"))))))))</f>
        <v/>
      </c>
      <c r="P2122" s="16" t="inlineStr">
        <is>
          <t>Нет совпадения в предоставленной выгрузке ССЧР</t>
        </is>
      </c>
      <c r="Q2122" s="16" t="n"/>
      <c r="R2122" s="16">
        <f>HYPERLINK("https://checko.ru/search?query=3801001629","Чекко: проверить")</f>
        <v/>
      </c>
      <c r="S2122" t="n">
        <v>0</v>
      </c>
    </row>
    <row r="2123" ht="15" customHeight="1" s="24">
      <c r="A2123" s="13" t="n">
        <v>5000094589</v>
      </c>
      <c r="B2123" s="13" t="inlineStr">
        <is>
          <t>МКУК "Библиотека им. А.С. Пушкина"</t>
        </is>
      </c>
      <c r="C2123" s="13" t="n">
        <v>703005940</v>
      </c>
      <c r="D2123" s="13" t="n"/>
      <c r="E2123" s="13" t="inlineStr">
        <is>
          <t>Не определён</t>
        </is>
      </c>
      <c r="F2123" s="13" t="inlineStr">
        <is>
          <t>703005940</t>
        </is>
      </c>
      <c r="G2123" s="14" t="n"/>
      <c r="H2123" s="14" t="n"/>
      <c r="I2123" s="14" t="n"/>
      <c r="J2123" s="14" t="n"/>
      <c r="K2123" s="13">
        <f>IF(G2123="","",IF(G2123&gt;=22,"Да","Нет"))</f>
        <v/>
      </c>
      <c r="L2123" s="13">
        <f>IF(OR(I2123="",J2123=""),"Не определено",IF(OR(COUNTIF(I2123,"45*")&gt;0,COUNTIF(J2123,"*45*")&gt;0,COUNTIF(I2123,"46*")&gt;0,COUNTIF(J2123,"*46*")&gt;0,COUNTIF(I2123,"47*")&gt;0,COUNTIF(J2123,"*47*")&gt;0,COUNTIF(I2123,"10*")&gt;0,COUNTIF(J2123,"*10*")&gt;0,COUNTIF(I2123,"11*")&gt;0,COUNTIF(J2123,"*11*")&gt;0,COUNTIF(I2123,"12*")&gt;0,COUNTIF(J2123,"*12*")&gt;0,COUNTIF(I2123,"13*")&gt;0,COUNTIF(J2123,"*13*")&gt;0,COUNTIF(I2123,"14*")&gt;0,COUNTIF(J2123,"*14*")&gt;0,COUNTIF(I2123,"15*")&gt;0,COUNTIF(J2123,"*15*")&gt;0,COUNTIF(I2123,"16*")&gt;0,COUNTIF(J2123,"*16*")&gt;0,COUNTIF(I2123,"17*")&gt;0,COUNTIF(J2123,"*17*")&gt;0,COUNTIF(I2123,"18*")&gt;0,COUNTIF(J2123,"*18*")&gt;0,COUNTIF(I2123,"19*")&gt;0,COUNTIF(J2123,"*19*")&gt;0,COUNTIF(I2123,"20*")&gt;0,COUNTIF(J2123,"*20*")&gt;0,COUNTIF(I2123,"21*")&gt;0,COUNTIF(J2123,"*21*")&gt;0,COUNTIF(I2123,"22*")&gt;0,COUNTIF(J2123,"*22*")&gt;0,COUNTIF(I2123,"23*")&gt;0,COUNTIF(J2123,"*23*")&gt;0,COUNTIF(I2123,"24*")&gt;0,COUNTIF(J2123,"*24*")&gt;0,COUNTIF(I2123,"25*")&gt;0,COUNTIF(J2123,"*25*")&gt;0,COUNTIF(I2123,"26*")&gt;0,COUNTIF(J2123,"*26*")&gt;0,COUNTIF(I2123,"27*")&gt;0,COUNTIF(J2123,"*27*")&gt;0,COUNTIF(I2123,"28*")&gt;0,COUNTIF(J2123,"*28*")&gt;0,COUNTIF(I2123,"29*")&gt;0,COUNTIF(J2123,"*29*")&gt;0,COUNTIF(I2123,"30*")&gt;0,COUNTIF(J2123,"*30*")&gt;0,COUNTIF(I2123,"31*")&gt;0,COUNTIF(J2123,"*31*")&gt;0,COUNTIF(I2123,"32*")&gt;0,COUNTIF(J2123,"*32*")&gt;0,COUNTIF(I2123,"33*")&gt;0,COUNTIF(J2123,"*33*")&gt;0,COUNTIF(I2123,"41*")&gt;0,COUNTIF(J2123,"*41*")&gt;0,COUNTIF(I2123,"42*")&gt;0,COUNTIF(J2123,"*42*")&gt;0,COUNTIF(I2123,"43*")&gt;0,COUNTIF(J2123,"*43*")&gt;0,COUNTIF(I2123,"49*")&gt;0,COUNTIF(J2123,"*49*")&gt;0,COUNTIF(I2123,"52*")&gt;0,COUNTIF(J2123,"*52*")&gt;0,COUNTIF(I2123,"55*")&gt;0,COUNTIF(J2123,"*55*")&gt;0,COUNTIF(I2123,"56*")&gt;0,COUNTIF(J2123,"*56*")&gt;0,COUNTIF(I2123,"68*")&gt;0,COUNTIF(J2123,"*68*")&gt;0,COUNTIF(I2123,"78*")&gt;0,COUNTIF(J2123,"*78*")&gt;0,COUNTIF(I2123,"81*")&gt;0,COUNTIF(J2123,"*81*")&gt;0,COUNTIF(I2123,"82*")&gt;0,COUNTIF(J2123,"*82*")&gt;0,COUNTIF(I2123,"64*")&gt;0,COUNTIF(J2123,"*64*")&gt;0,COUNTIF(I2123,"65*")&gt;0,COUNTIF(J2123,"*65*")&gt;0,COUNTIF(I2123,"66*")&gt;0,COUNTIF(J2123,"*66*")&gt;0,COUNTIF(I2123,"61*")&gt;0,COUNTIF(J2123,"*61*")&gt;0,COUNTIF(I2123,"62*")&gt;0,COUNTIF(J2123,"*62*")&gt;0,COUNTIF(I2123,"63*")&gt;0,COUNTIF(J2123,"*63*")&gt;0,COUNTIF(I2123,"85*")&gt;0,COUNTIF(J2123,"*85*")&gt;0,COUNTIF(I2123,"86*")&gt;0,COUNTIF(J2123,"*86*")&gt;0),"Да","Нет"))</f>
        <v/>
      </c>
      <c r="M2123" s="13">
        <f>IF(OR(G2123="",L2123&lt;&gt;"Да"),"",IF(G2123&lt;=100,"До 100",IF(G2123&lt;=200,"До 200",IF(G2123&lt;=500,"До 500","Отдельное КП"))))</f>
        <v/>
      </c>
      <c r="N2123" s="15">
        <f>IF(OR(G2123="",L2123&lt;&gt;"Да"),"",IF(G2123&lt;=100,33600,IF(G2123&lt;=200,62400,IF(G2123&lt;=500,144000,""))))</f>
        <v/>
      </c>
      <c r="O2123" s="16">
        <f>IF(G2123="","",IF(G2123&lt;=15,"1–15",IF(G2123&lt;=30,"16–30",IF(G2123&lt;=50,"31–50",IF(G2123&lt;=100,"51–100",IF(G2123&lt;=150,"101–150",IF(G2123&lt;=200,"151–200",IF(G2123&lt;=500,"201–500","500+"))))))))</f>
        <v/>
      </c>
      <c r="P2123" s="16" t="inlineStr">
        <is>
          <t>Нет совпадения в предоставленной выгрузке ССЧР</t>
        </is>
      </c>
      <c r="Q2123" s="16" t="n"/>
      <c r="R2123" s="16">
        <f>HYPERLINK("https://checko.ru/search?query=3801001629","Чекко: проверить")</f>
        <v/>
      </c>
      <c r="S2123" t="n">
        <v>0</v>
      </c>
    </row>
    <row r="2124" ht="15" customHeight="1" s="24">
      <c r="A2124" s="13" t="n">
        <v>5000094590</v>
      </c>
      <c r="B2124" s="13" t="inlineStr">
        <is>
          <t>ГКУ "Майское лесничество"</t>
        </is>
      </c>
      <c r="C2124" s="13" t="n">
        <v>703006197</v>
      </c>
      <c r="D2124" s="13" t="n"/>
      <c r="E2124" s="13" t="inlineStr">
        <is>
          <t>Не определён</t>
        </is>
      </c>
      <c r="F2124" s="13" t="inlineStr">
        <is>
          <t>703006197</t>
        </is>
      </c>
      <c r="G2124" s="14" t="n"/>
      <c r="H2124" s="14" t="n"/>
      <c r="I2124" s="14" t="n"/>
      <c r="J2124" s="14" t="n"/>
      <c r="K2124" s="13">
        <f>IF(G2124="","",IF(G2124&gt;=22,"Да","Нет"))</f>
        <v/>
      </c>
      <c r="L2124" s="13">
        <f>IF(OR(I2124="",J2124=""),"Не определено",IF(OR(COUNTIF(I2124,"45*")&gt;0,COUNTIF(J2124,"*45*")&gt;0,COUNTIF(I2124,"46*")&gt;0,COUNTIF(J2124,"*46*")&gt;0,COUNTIF(I2124,"47*")&gt;0,COUNTIF(J2124,"*47*")&gt;0,COUNTIF(I2124,"10*")&gt;0,COUNTIF(J2124,"*10*")&gt;0,COUNTIF(I2124,"11*")&gt;0,COUNTIF(J2124,"*11*")&gt;0,COUNTIF(I2124,"12*")&gt;0,COUNTIF(J2124,"*12*")&gt;0,COUNTIF(I2124,"13*")&gt;0,COUNTIF(J2124,"*13*")&gt;0,COUNTIF(I2124,"14*")&gt;0,COUNTIF(J2124,"*14*")&gt;0,COUNTIF(I2124,"15*")&gt;0,COUNTIF(J2124,"*15*")&gt;0,COUNTIF(I2124,"16*")&gt;0,COUNTIF(J2124,"*16*")&gt;0,COUNTIF(I2124,"17*")&gt;0,COUNTIF(J2124,"*17*")&gt;0,COUNTIF(I2124,"18*")&gt;0,COUNTIF(J2124,"*18*")&gt;0,COUNTIF(I2124,"19*")&gt;0,COUNTIF(J2124,"*19*")&gt;0,COUNTIF(I2124,"20*")&gt;0,COUNTIF(J2124,"*20*")&gt;0,COUNTIF(I2124,"21*")&gt;0,COUNTIF(J2124,"*21*")&gt;0,COUNTIF(I2124,"22*")&gt;0,COUNTIF(J2124,"*22*")&gt;0,COUNTIF(I2124,"23*")&gt;0,COUNTIF(J2124,"*23*")&gt;0,COUNTIF(I2124,"24*")&gt;0,COUNTIF(J2124,"*24*")&gt;0,COUNTIF(I2124,"25*")&gt;0,COUNTIF(J2124,"*25*")&gt;0,COUNTIF(I2124,"26*")&gt;0,COUNTIF(J2124,"*26*")&gt;0,COUNTIF(I2124,"27*")&gt;0,COUNTIF(J2124,"*27*")&gt;0,COUNTIF(I2124,"28*")&gt;0,COUNTIF(J2124,"*28*")&gt;0,COUNTIF(I2124,"29*")&gt;0,COUNTIF(J2124,"*29*")&gt;0,COUNTIF(I2124,"30*")&gt;0,COUNTIF(J2124,"*30*")&gt;0,COUNTIF(I2124,"31*")&gt;0,COUNTIF(J2124,"*31*")&gt;0,COUNTIF(I2124,"32*")&gt;0,COUNTIF(J2124,"*32*")&gt;0,COUNTIF(I2124,"33*")&gt;0,COUNTIF(J2124,"*33*")&gt;0,COUNTIF(I2124,"41*")&gt;0,COUNTIF(J2124,"*41*")&gt;0,COUNTIF(I2124,"42*")&gt;0,COUNTIF(J2124,"*42*")&gt;0,COUNTIF(I2124,"43*")&gt;0,COUNTIF(J2124,"*43*")&gt;0,COUNTIF(I2124,"49*")&gt;0,COUNTIF(J2124,"*49*")&gt;0,COUNTIF(I2124,"52*")&gt;0,COUNTIF(J2124,"*52*")&gt;0,COUNTIF(I2124,"55*")&gt;0,COUNTIF(J2124,"*55*")&gt;0,COUNTIF(I2124,"56*")&gt;0,COUNTIF(J2124,"*56*")&gt;0,COUNTIF(I2124,"68*")&gt;0,COUNTIF(J2124,"*68*")&gt;0,COUNTIF(I2124,"78*")&gt;0,COUNTIF(J2124,"*78*")&gt;0,COUNTIF(I2124,"81*")&gt;0,COUNTIF(J2124,"*81*")&gt;0,COUNTIF(I2124,"82*")&gt;0,COUNTIF(J2124,"*82*")&gt;0,COUNTIF(I2124,"64*")&gt;0,COUNTIF(J2124,"*64*")&gt;0,COUNTIF(I2124,"65*")&gt;0,COUNTIF(J2124,"*65*")&gt;0,COUNTIF(I2124,"66*")&gt;0,COUNTIF(J2124,"*66*")&gt;0,COUNTIF(I2124,"61*")&gt;0,COUNTIF(J2124,"*61*")&gt;0,COUNTIF(I2124,"62*")&gt;0,COUNTIF(J2124,"*62*")&gt;0,COUNTIF(I2124,"63*")&gt;0,COUNTIF(J2124,"*63*")&gt;0,COUNTIF(I2124,"85*")&gt;0,COUNTIF(J2124,"*85*")&gt;0,COUNTIF(I2124,"86*")&gt;0,COUNTIF(J2124,"*86*")&gt;0),"Да","Нет"))</f>
        <v/>
      </c>
      <c r="M2124" s="13">
        <f>IF(OR(G2124="",L2124&lt;&gt;"Да"),"",IF(G2124&lt;=100,"До 100",IF(G2124&lt;=200,"До 200",IF(G2124&lt;=500,"До 500","Отдельное КП"))))</f>
        <v/>
      </c>
      <c r="N2124" s="15">
        <f>IF(OR(G2124="",L2124&lt;&gt;"Да"),"",IF(G2124&lt;=100,33600,IF(G2124&lt;=200,62400,IF(G2124&lt;=500,144000,""))))</f>
        <v/>
      </c>
      <c r="O2124" s="16">
        <f>IF(G2124="","",IF(G2124&lt;=15,"1–15",IF(G2124&lt;=30,"16–30",IF(G2124&lt;=50,"31–50",IF(G2124&lt;=100,"51–100",IF(G2124&lt;=150,"101–150",IF(G2124&lt;=200,"151–200",IF(G2124&lt;=500,"201–500","500+"))))))))</f>
        <v/>
      </c>
      <c r="P2124" s="16" t="inlineStr">
        <is>
          <t>Нет совпадения в предоставленной выгрузке ССЧР</t>
        </is>
      </c>
      <c r="Q2124" s="16" t="n"/>
      <c r="R2124" s="16">
        <f>HYPERLINK("https://checko.ru/search?query=3801001629","Чекко: проверить")</f>
        <v/>
      </c>
      <c r="S2124" t="n">
        <v>0</v>
      </c>
    </row>
    <row r="2125" ht="15" customHeight="1" s="24">
      <c r="A2125" s="13" t="n">
        <v>5000094591</v>
      </c>
      <c r="B2125" s="13" t="inlineStr">
        <is>
          <t>Совет МСУ Майского района</t>
        </is>
      </c>
      <c r="C2125" s="13" t="n">
        <v>703007137</v>
      </c>
      <c r="D2125" s="13" t="n"/>
      <c r="E2125" s="13" t="inlineStr">
        <is>
          <t>Не определён</t>
        </is>
      </c>
      <c r="F2125" s="13" t="inlineStr">
        <is>
          <t>703007137</t>
        </is>
      </c>
      <c r="G2125" s="14" t="n"/>
      <c r="H2125" s="14" t="n"/>
      <c r="I2125" s="14" t="n"/>
      <c r="J2125" s="14" t="n"/>
      <c r="K2125" s="13">
        <f>IF(G2125="","",IF(G2125&gt;=22,"Да","Нет"))</f>
        <v/>
      </c>
      <c r="L2125" s="13">
        <f>IF(OR(I2125="",J2125=""),"Не определено",IF(OR(COUNTIF(I2125,"45*")&gt;0,COUNTIF(J2125,"*45*")&gt;0,COUNTIF(I2125,"46*")&gt;0,COUNTIF(J2125,"*46*")&gt;0,COUNTIF(I2125,"47*")&gt;0,COUNTIF(J2125,"*47*")&gt;0,COUNTIF(I2125,"10*")&gt;0,COUNTIF(J2125,"*10*")&gt;0,COUNTIF(I2125,"11*")&gt;0,COUNTIF(J2125,"*11*")&gt;0,COUNTIF(I2125,"12*")&gt;0,COUNTIF(J2125,"*12*")&gt;0,COUNTIF(I2125,"13*")&gt;0,COUNTIF(J2125,"*13*")&gt;0,COUNTIF(I2125,"14*")&gt;0,COUNTIF(J2125,"*14*")&gt;0,COUNTIF(I2125,"15*")&gt;0,COUNTIF(J2125,"*15*")&gt;0,COUNTIF(I2125,"16*")&gt;0,COUNTIF(J2125,"*16*")&gt;0,COUNTIF(I2125,"17*")&gt;0,COUNTIF(J2125,"*17*")&gt;0,COUNTIF(I2125,"18*")&gt;0,COUNTIF(J2125,"*18*")&gt;0,COUNTIF(I2125,"19*")&gt;0,COUNTIF(J2125,"*19*")&gt;0,COUNTIF(I2125,"20*")&gt;0,COUNTIF(J2125,"*20*")&gt;0,COUNTIF(I2125,"21*")&gt;0,COUNTIF(J2125,"*21*")&gt;0,COUNTIF(I2125,"22*")&gt;0,COUNTIF(J2125,"*22*")&gt;0,COUNTIF(I2125,"23*")&gt;0,COUNTIF(J2125,"*23*")&gt;0,COUNTIF(I2125,"24*")&gt;0,COUNTIF(J2125,"*24*")&gt;0,COUNTIF(I2125,"25*")&gt;0,COUNTIF(J2125,"*25*")&gt;0,COUNTIF(I2125,"26*")&gt;0,COUNTIF(J2125,"*26*")&gt;0,COUNTIF(I2125,"27*")&gt;0,COUNTIF(J2125,"*27*")&gt;0,COUNTIF(I2125,"28*")&gt;0,COUNTIF(J2125,"*28*")&gt;0,COUNTIF(I2125,"29*")&gt;0,COUNTIF(J2125,"*29*")&gt;0,COUNTIF(I2125,"30*")&gt;0,COUNTIF(J2125,"*30*")&gt;0,COUNTIF(I2125,"31*")&gt;0,COUNTIF(J2125,"*31*")&gt;0,COUNTIF(I2125,"32*")&gt;0,COUNTIF(J2125,"*32*")&gt;0,COUNTIF(I2125,"33*")&gt;0,COUNTIF(J2125,"*33*")&gt;0,COUNTIF(I2125,"41*")&gt;0,COUNTIF(J2125,"*41*")&gt;0,COUNTIF(I2125,"42*")&gt;0,COUNTIF(J2125,"*42*")&gt;0,COUNTIF(I2125,"43*")&gt;0,COUNTIF(J2125,"*43*")&gt;0,COUNTIF(I2125,"49*")&gt;0,COUNTIF(J2125,"*49*")&gt;0,COUNTIF(I2125,"52*")&gt;0,COUNTIF(J2125,"*52*")&gt;0,COUNTIF(I2125,"55*")&gt;0,COUNTIF(J2125,"*55*")&gt;0,COUNTIF(I2125,"56*")&gt;0,COUNTIF(J2125,"*56*")&gt;0,COUNTIF(I2125,"68*")&gt;0,COUNTIF(J2125,"*68*")&gt;0,COUNTIF(I2125,"78*")&gt;0,COUNTIF(J2125,"*78*")&gt;0,COUNTIF(I2125,"81*")&gt;0,COUNTIF(J2125,"*81*")&gt;0,COUNTIF(I2125,"82*")&gt;0,COUNTIF(J2125,"*82*")&gt;0,COUNTIF(I2125,"64*")&gt;0,COUNTIF(J2125,"*64*")&gt;0,COUNTIF(I2125,"65*")&gt;0,COUNTIF(J2125,"*65*")&gt;0,COUNTIF(I2125,"66*")&gt;0,COUNTIF(J2125,"*66*")&gt;0,COUNTIF(I2125,"61*")&gt;0,COUNTIF(J2125,"*61*")&gt;0,COUNTIF(I2125,"62*")&gt;0,COUNTIF(J2125,"*62*")&gt;0,COUNTIF(I2125,"63*")&gt;0,COUNTIF(J2125,"*63*")&gt;0,COUNTIF(I2125,"85*")&gt;0,COUNTIF(J2125,"*85*")&gt;0,COUNTIF(I2125,"86*")&gt;0,COUNTIF(J2125,"*86*")&gt;0),"Да","Нет"))</f>
        <v/>
      </c>
      <c r="M2125" s="13">
        <f>IF(OR(G2125="",L2125&lt;&gt;"Да"),"",IF(G2125&lt;=100,"До 100",IF(G2125&lt;=200,"До 200",IF(G2125&lt;=500,"До 500","Отдельное КП"))))</f>
        <v/>
      </c>
      <c r="N2125" s="15">
        <f>IF(OR(G2125="",L2125&lt;&gt;"Да"),"",IF(G2125&lt;=100,33600,IF(G2125&lt;=200,62400,IF(G2125&lt;=500,144000,""))))</f>
        <v/>
      </c>
      <c r="O2125" s="16">
        <f>IF(G2125="","",IF(G2125&lt;=15,"1–15",IF(G2125&lt;=30,"16–30",IF(G2125&lt;=50,"31–50",IF(G2125&lt;=100,"51–100",IF(G2125&lt;=150,"101–150",IF(G2125&lt;=200,"151–200",IF(G2125&lt;=500,"201–500","500+"))))))))</f>
        <v/>
      </c>
      <c r="P2125" s="16" t="inlineStr">
        <is>
          <t>Нет совпадения в предоставленной выгрузке ССЧР</t>
        </is>
      </c>
      <c r="Q2125" s="16" t="n"/>
      <c r="R2125" s="16">
        <f>HYPERLINK("https://checko.ru/search?query=3801001629","Чекко: проверить")</f>
        <v/>
      </c>
      <c r="S2125" t="n">
        <v>0</v>
      </c>
    </row>
    <row r="2126" ht="15" customHeight="1" s="24">
      <c r="A2126" s="13" t="n">
        <v>5000094593</v>
      </c>
      <c r="B2126" s="13" t="inlineStr">
        <is>
          <t>МКУ "ЕДДС"</t>
        </is>
      </c>
      <c r="C2126" s="13" t="n">
        <v>703008229</v>
      </c>
      <c r="D2126" s="13" t="n"/>
      <c r="E2126" s="13" t="inlineStr">
        <is>
          <t>Не определён</t>
        </is>
      </c>
      <c r="F2126" s="13" t="inlineStr">
        <is>
          <t>703008229</t>
        </is>
      </c>
      <c r="G2126" s="14" t="n"/>
      <c r="H2126" s="14" t="n"/>
      <c r="I2126" s="14" t="n"/>
      <c r="J2126" s="14" t="n"/>
      <c r="K2126" s="13">
        <f>IF(G2126="","",IF(G2126&gt;=22,"Да","Нет"))</f>
        <v/>
      </c>
      <c r="L2126" s="13">
        <f>IF(OR(I2126="",J2126=""),"Не определено",IF(OR(COUNTIF(I2126,"45*")&gt;0,COUNTIF(J2126,"*45*")&gt;0,COUNTIF(I2126,"46*")&gt;0,COUNTIF(J2126,"*46*")&gt;0,COUNTIF(I2126,"47*")&gt;0,COUNTIF(J2126,"*47*")&gt;0,COUNTIF(I2126,"10*")&gt;0,COUNTIF(J2126,"*10*")&gt;0,COUNTIF(I2126,"11*")&gt;0,COUNTIF(J2126,"*11*")&gt;0,COUNTIF(I2126,"12*")&gt;0,COUNTIF(J2126,"*12*")&gt;0,COUNTIF(I2126,"13*")&gt;0,COUNTIF(J2126,"*13*")&gt;0,COUNTIF(I2126,"14*")&gt;0,COUNTIF(J2126,"*14*")&gt;0,COUNTIF(I2126,"15*")&gt;0,COUNTIF(J2126,"*15*")&gt;0,COUNTIF(I2126,"16*")&gt;0,COUNTIF(J2126,"*16*")&gt;0,COUNTIF(I2126,"17*")&gt;0,COUNTIF(J2126,"*17*")&gt;0,COUNTIF(I2126,"18*")&gt;0,COUNTIF(J2126,"*18*")&gt;0,COUNTIF(I2126,"19*")&gt;0,COUNTIF(J2126,"*19*")&gt;0,COUNTIF(I2126,"20*")&gt;0,COUNTIF(J2126,"*20*")&gt;0,COUNTIF(I2126,"21*")&gt;0,COUNTIF(J2126,"*21*")&gt;0,COUNTIF(I2126,"22*")&gt;0,COUNTIF(J2126,"*22*")&gt;0,COUNTIF(I2126,"23*")&gt;0,COUNTIF(J2126,"*23*")&gt;0,COUNTIF(I2126,"24*")&gt;0,COUNTIF(J2126,"*24*")&gt;0,COUNTIF(I2126,"25*")&gt;0,COUNTIF(J2126,"*25*")&gt;0,COUNTIF(I2126,"26*")&gt;0,COUNTIF(J2126,"*26*")&gt;0,COUNTIF(I2126,"27*")&gt;0,COUNTIF(J2126,"*27*")&gt;0,COUNTIF(I2126,"28*")&gt;0,COUNTIF(J2126,"*28*")&gt;0,COUNTIF(I2126,"29*")&gt;0,COUNTIF(J2126,"*29*")&gt;0,COUNTIF(I2126,"30*")&gt;0,COUNTIF(J2126,"*30*")&gt;0,COUNTIF(I2126,"31*")&gt;0,COUNTIF(J2126,"*31*")&gt;0,COUNTIF(I2126,"32*")&gt;0,COUNTIF(J2126,"*32*")&gt;0,COUNTIF(I2126,"33*")&gt;0,COUNTIF(J2126,"*33*")&gt;0,COUNTIF(I2126,"41*")&gt;0,COUNTIF(J2126,"*41*")&gt;0,COUNTIF(I2126,"42*")&gt;0,COUNTIF(J2126,"*42*")&gt;0,COUNTIF(I2126,"43*")&gt;0,COUNTIF(J2126,"*43*")&gt;0,COUNTIF(I2126,"49*")&gt;0,COUNTIF(J2126,"*49*")&gt;0,COUNTIF(I2126,"52*")&gt;0,COUNTIF(J2126,"*52*")&gt;0,COUNTIF(I2126,"55*")&gt;0,COUNTIF(J2126,"*55*")&gt;0,COUNTIF(I2126,"56*")&gt;0,COUNTIF(J2126,"*56*")&gt;0,COUNTIF(I2126,"68*")&gt;0,COUNTIF(J2126,"*68*")&gt;0,COUNTIF(I2126,"78*")&gt;0,COUNTIF(J2126,"*78*")&gt;0,COUNTIF(I2126,"81*")&gt;0,COUNTIF(J2126,"*81*")&gt;0,COUNTIF(I2126,"82*")&gt;0,COUNTIF(J2126,"*82*")&gt;0,COUNTIF(I2126,"64*")&gt;0,COUNTIF(J2126,"*64*")&gt;0,COUNTIF(I2126,"65*")&gt;0,COUNTIF(J2126,"*65*")&gt;0,COUNTIF(I2126,"66*")&gt;0,COUNTIF(J2126,"*66*")&gt;0,COUNTIF(I2126,"61*")&gt;0,COUNTIF(J2126,"*61*")&gt;0,COUNTIF(I2126,"62*")&gt;0,COUNTIF(J2126,"*62*")&gt;0,COUNTIF(I2126,"63*")&gt;0,COUNTIF(J2126,"*63*")&gt;0,COUNTIF(I2126,"85*")&gt;0,COUNTIF(J2126,"*85*")&gt;0,COUNTIF(I2126,"86*")&gt;0,COUNTIF(J2126,"*86*")&gt;0),"Да","Нет"))</f>
        <v/>
      </c>
      <c r="M2126" s="13">
        <f>IF(OR(G2126="",L2126&lt;&gt;"Да"),"",IF(G2126&lt;=100,"До 100",IF(G2126&lt;=200,"До 200",IF(G2126&lt;=500,"До 500","Отдельное КП"))))</f>
        <v/>
      </c>
      <c r="N2126" s="15">
        <f>IF(OR(G2126="",L2126&lt;&gt;"Да"),"",IF(G2126&lt;=100,33600,IF(G2126&lt;=200,62400,IF(G2126&lt;=500,144000,""))))</f>
        <v/>
      </c>
      <c r="O2126" s="16">
        <f>IF(G2126="","",IF(G2126&lt;=15,"1–15",IF(G2126&lt;=30,"16–30",IF(G2126&lt;=50,"31–50",IF(G2126&lt;=100,"51–100",IF(G2126&lt;=150,"101–150",IF(G2126&lt;=200,"151–200",IF(G2126&lt;=500,"201–500","500+"))))))))</f>
        <v/>
      </c>
      <c r="P2126" s="16" t="inlineStr">
        <is>
          <t>Нет совпадения в предоставленной выгрузке ССЧР</t>
        </is>
      </c>
      <c r="Q2126" s="16" t="n"/>
      <c r="R2126" s="16">
        <f>HYPERLINK("https://checko.ru/search?query=3801001629","Чекко: проверить")</f>
        <v/>
      </c>
      <c r="S2126" t="n">
        <v>0</v>
      </c>
    </row>
    <row r="2127" ht="27.75" customHeight="1" s="24">
      <c r="A2127" s="13" t="n">
        <v>5000094595</v>
      </c>
      <c r="B2127" s="13" t="inlineStr">
        <is>
          <t>Местная администрация сельского поселения станица Екатериноградская</t>
        </is>
      </c>
      <c r="C2127" s="13" t="n">
        <v>704001297</v>
      </c>
      <c r="D2127" s="13" t="n"/>
      <c r="E2127" s="13" t="inlineStr">
        <is>
          <t>Не определён</t>
        </is>
      </c>
      <c r="F2127" s="13" t="inlineStr">
        <is>
          <t>704001297</t>
        </is>
      </c>
      <c r="G2127" s="14" t="n"/>
      <c r="H2127" s="14" t="n"/>
      <c r="I2127" s="14" t="n"/>
      <c r="J2127" s="14" t="n"/>
      <c r="K2127" s="13">
        <f>IF(G2127="","",IF(G2127&gt;=22,"Да","Нет"))</f>
        <v/>
      </c>
      <c r="L2127" s="13">
        <f>IF(OR(I2127="",J2127=""),"Не определено",IF(OR(COUNTIF(I2127,"45*")&gt;0,COUNTIF(J2127,"*45*")&gt;0,COUNTIF(I2127,"46*")&gt;0,COUNTIF(J2127,"*46*")&gt;0,COUNTIF(I2127,"47*")&gt;0,COUNTIF(J2127,"*47*")&gt;0,COUNTIF(I2127,"10*")&gt;0,COUNTIF(J2127,"*10*")&gt;0,COUNTIF(I2127,"11*")&gt;0,COUNTIF(J2127,"*11*")&gt;0,COUNTIF(I2127,"12*")&gt;0,COUNTIF(J2127,"*12*")&gt;0,COUNTIF(I2127,"13*")&gt;0,COUNTIF(J2127,"*13*")&gt;0,COUNTIF(I2127,"14*")&gt;0,COUNTIF(J2127,"*14*")&gt;0,COUNTIF(I2127,"15*")&gt;0,COUNTIF(J2127,"*15*")&gt;0,COUNTIF(I2127,"16*")&gt;0,COUNTIF(J2127,"*16*")&gt;0,COUNTIF(I2127,"17*")&gt;0,COUNTIF(J2127,"*17*")&gt;0,COUNTIF(I2127,"18*")&gt;0,COUNTIF(J2127,"*18*")&gt;0,COUNTIF(I2127,"19*")&gt;0,COUNTIF(J2127,"*19*")&gt;0,COUNTIF(I2127,"20*")&gt;0,COUNTIF(J2127,"*20*")&gt;0,COUNTIF(I2127,"21*")&gt;0,COUNTIF(J2127,"*21*")&gt;0,COUNTIF(I2127,"22*")&gt;0,COUNTIF(J2127,"*22*")&gt;0,COUNTIF(I2127,"23*")&gt;0,COUNTIF(J2127,"*23*")&gt;0,COUNTIF(I2127,"24*")&gt;0,COUNTIF(J2127,"*24*")&gt;0,COUNTIF(I2127,"25*")&gt;0,COUNTIF(J2127,"*25*")&gt;0,COUNTIF(I2127,"26*")&gt;0,COUNTIF(J2127,"*26*")&gt;0,COUNTIF(I2127,"27*")&gt;0,COUNTIF(J2127,"*27*")&gt;0,COUNTIF(I2127,"28*")&gt;0,COUNTIF(J2127,"*28*")&gt;0,COUNTIF(I2127,"29*")&gt;0,COUNTIF(J2127,"*29*")&gt;0,COUNTIF(I2127,"30*")&gt;0,COUNTIF(J2127,"*30*")&gt;0,COUNTIF(I2127,"31*")&gt;0,COUNTIF(J2127,"*31*")&gt;0,COUNTIF(I2127,"32*")&gt;0,COUNTIF(J2127,"*32*")&gt;0,COUNTIF(I2127,"33*")&gt;0,COUNTIF(J2127,"*33*")&gt;0,COUNTIF(I2127,"41*")&gt;0,COUNTIF(J2127,"*41*")&gt;0,COUNTIF(I2127,"42*")&gt;0,COUNTIF(J2127,"*42*")&gt;0,COUNTIF(I2127,"43*")&gt;0,COUNTIF(J2127,"*43*")&gt;0,COUNTIF(I2127,"49*")&gt;0,COUNTIF(J2127,"*49*")&gt;0,COUNTIF(I2127,"52*")&gt;0,COUNTIF(J2127,"*52*")&gt;0,COUNTIF(I2127,"55*")&gt;0,COUNTIF(J2127,"*55*")&gt;0,COUNTIF(I2127,"56*")&gt;0,COUNTIF(J2127,"*56*")&gt;0,COUNTIF(I2127,"68*")&gt;0,COUNTIF(J2127,"*68*")&gt;0,COUNTIF(I2127,"78*")&gt;0,COUNTIF(J2127,"*78*")&gt;0,COUNTIF(I2127,"81*")&gt;0,COUNTIF(J2127,"*81*")&gt;0,COUNTIF(I2127,"82*")&gt;0,COUNTIF(J2127,"*82*")&gt;0,COUNTIF(I2127,"64*")&gt;0,COUNTIF(J2127,"*64*")&gt;0,COUNTIF(I2127,"65*")&gt;0,COUNTIF(J2127,"*65*")&gt;0,COUNTIF(I2127,"66*")&gt;0,COUNTIF(J2127,"*66*")&gt;0,COUNTIF(I2127,"61*")&gt;0,COUNTIF(J2127,"*61*")&gt;0,COUNTIF(I2127,"62*")&gt;0,COUNTIF(J2127,"*62*")&gt;0,COUNTIF(I2127,"63*")&gt;0,COUNTIF(J2127,"*63*")&gt;0,COUNTIF(I2127,"85*")&gt;0,COUNTIF(J2127,"*85*")&gt;0,COUNTIF(I2127,"86*")&gt;0,COUNTIF(J2127,"*86*")&gt;0),"Да","Нет"))</f>
        <v/>
      </c>
      <c r="M2127" s="13">
        <f>IF(OR(G2127="",L2127&lt;&gt;"Да"),"",IF(G2127&lt;=100,"До 100",IF(G2127&lt;=200,"До 200",IF(G2127&lt;=500,"До 500","Отдельное КП"))))</f>
        <v/>
      </c>
      <c r="N2127" s="15">
        <f>IF(OR(G2127="",L2127&lt;&gt;"Да"),"",IF(G2127&lt;=100,33600,IF(G2127&lt;=200,62400,IF(G2127&lt;=500,144000,""))))</f>
        <v/>
      </c>
      <c r="O2127" s="16">
        <f>IF(G2127="","",IF(G2127&lt;=15,"1–15",IF(G2127&lt;=30,"16–30",IF(G2127&lt;=50,"31–50",IF(G2127&lt;=100,"51–100",IF(G2127&lt;=150,"101–150",IF(G2127&lt;=200,"151–200",IF(G2127&lt;=500,"201–500","500+"))))))))</f>
        <v/>
      </c>
      <c r="P2127" s="16" t="inlineStr">
        <is>
          <t>Нет совпадения в предоставленной выгрузке ССЧР</t>
        </is>
      </c>
      <c r="Q2127" s="16" t="n"/>
      <c r="R2127" s="16">
        <f>HYPERLINK("https://checko.ru/search?query=3801001629","Чекко: проверить")</f>
        <v/>
      </c>
      <c r="S2127" t="n">
        <v>0</v>
      </c>
    </row>
    <row r="2128" ht="27.75" customHeight="1" s="24">
      <c r="A2128" s="13" t="n">
        <v>5000094597</v>
      </c>
      <c r="B2128" s="13" t="inlineStr">
        <is>
          <t>Местная администрация сельского поселения Алтуд</t>
        </is>
      </c>
      <c r="C2128" s="13" t="n">
        <v>704001628</v>
      </c>
      <c r="D2128" s="13" t="n"/>
      <c r="E2128" s="13" t="inlineStr">
        <is>
          <t>Не определён</t>
        </is>
      </c>
      <c r="F2128" s="13" t="inlineStr">
        <is>
          <t>704001628</t>
        </is>
      </c>
      <c r="G2128" s="14" t="n"/>
      <c r="H2128" s="14" t="n"/>
      <c r="I2128" s="14" t="n"/>
      <c r="J2128" s="14" t="n"/>
      <c r="K2128" s="13">
        <f>IF(G2128="","",IF(G2128&gt;=22,"Да","Нет"))</f>
        <v/>
      </c>
      <c r="L2128" s="13">
        <f>IF(OR(I2128="",J2128=""),"Не определено",IF(OR(COUNTIF(I2128,"45*")&gt;0,COUNTIF(J2128,"*45*")&gt;0,COUNTIF(I2128,"46*")&gt;0,COUNTIF(J2128,"*46*")&gt;0,COUNTIF(I2128,"47*")&gt;0,COUNTIF(J2128,"*47*")&gt;0,COUNTIF(I2128,"10*")&gt;0,COUNTIF(J2128,"*10*")&gt;0,COUNTIF(I2128,"11*")&gt;0,COUNTIF(J2128,"*11*")&gt;0,COUNTIF(I2128,"12*")&gt;0,COUNTIF(J2128,"*12*")&gt;0,COUNTIF(I2128,"13*")&gt;0,COUNTIF(J2128,"*13*")&gt;0,COUNTIF(I2128,"14*")&gt;0,COUNTIF(J2128,"*14*")&gt;0,COUNTIF(I2128,"15*")&gt;0,COUNTIF(J2128,"*15*")&gt;0,COUNTIF(I2128,"16*")&gt;0,COUNTIF(J2128,"*16*")&gt;0,COUNTIF(I2128,"17*")&gt;0,COUNTIF(J2128,"*17*")&gt;0,COUNTIF(I2128,"18*")&gt;0,COUNTIF(J2128,"*18*")&gt;0,COUNTIF(I2128,"19*")&gt;0,COUNTIF(J2128,"*19*")&gt;0,COUNTIF(I2128,"20*")&gt;0,COUNTIF(J2128,"*20*")&gt;0,COUNTIF(I2128,"21*")&gt;0,COUNTIF(J2128,"*21*")&gt;0,COUNTIF(I2128,"22*")&gt;0,COUNTIF(J2128,"*22*")&gt;0,COUNTIF(I2128,"23*")&gt;0,COUNTIF(J2128,"*23*")&gt;0,COUNTIF(I2128,"24*")&gt;0,COUNTIF(J2128,"*24*")&gt;0,COUNTIF(I2128,"25*")&gt;0,COUNTIF(J2128,"*25*")&gt;0,COUNTIF(I2128,"26*")&gt;0,COUNTIF(J2128,"*26*")&gt;0,COUNTIF(I2128,"27*")&gt;0,COUNTIF(J2128,"*27*")&gt;0,COUNTIF(I2128,"28*")&gt;0,COUNTIF(J2128,"*28*")&gt;0,COUNTIF(I2128,"29*")&gt;0,COUNTIF(J2128,"*29*")&gt;0,COUNTIF(I2128,"30*")&gt;0,COUNTIF(J2128,"*30*")&gt;0,COUNTIF(I2128,"31*")&gt;0,COUNTIF(J2128,"*31*")&gt;0,COUNTIF(I2128,"32*")&gt;0,COUNTIF(J2128,"*32*")&gt;0,COUNTIF(I2128,"33*")&gt;0,COUNTIF(J2128,"*33*")&gt;0,COUNTIF(I2128,"41*")&gt;0,COUNTIF(J2128,"*41*")&gt;0,COUNTIF(I2128,"42*")&gt;0,COUNTIF(J2128,"*42*")&gt;0,COUNTIF(I2128,"43*")&gt;0,COUNTIF(J2128,"*43*")&gt;0,COUNTIF(I2128,"49*")&gt;0,COUNTIF(J2128,"*49*")&gt;0,COUNTIF(I2128,"52*")&gt;0,COUNTIF(J2128,"*52*")&gt;0,COUNTIF(I2128,"55*")&gt;0,COUNTIF(J2128,"*55*")&gt;0,COUNTIF(I2128,"56*")&gt;0,COUNTIF(J2128,"*56*")&gt;0,COUNTIF(I2128,"68*")&gt;0,COUNTIF(J2128,"*68*")&gt;0,COUNTIF(I2128,"78*")&gt;0,COUNTIF(J2128,"*78*")&gt;0,COUNTIF(I2128,"81*")&gt;0,COUNTIF(J2128,"*81*")&gt;0,COUNTIF(I2128,"82*")&gt;0,COUNTIF(J2128,"*82*")&gt;0,COUNTIF(I2128,"64*")&gt;0,COUNTIF(J2128,"*64*")&gt;0,COUNTIF(I2128,"65*")&gt;0,COUNTIF(J2128,"*65*")&gt;0,COUNTIF(I2128,"66*")&gt;0,COUNTIF(J2128,"*66*")&gt;0,COUNTIF(I2128,"61*")&gt;0,COUNTIF(J2128,"*61*")&gt;0,COUNTIF(I2128,"62*")&gt;0,COUNTIF(J2128,"*62*")&gt;0,COUNTIF(I2128,"63*")&gt;0,COUNTIF(J2128,"*63*")&gt;0,COUNTIF(I2128,"85*")&gt;0,COUNTIF(J2128,"*85*")&gt;0,COUNTIF(I2128,"86*")&gt;0,COUNTIF(J2128,"*86*")&gt;0),"Да","Нет"))</f>
        <v/>
      </c>
      <c r="M2128" s="13">
        <f>IF(OR(G2128="",L2128&lt;&gt;"Да"),"",IF(G2128&lt;=100,"До 100",IF(G2128&lt;=200,"До 200",IF(G2128&lt;=500,"До 500","Отдельное КП"))))</f>
        <v/>
      </c>
      <c r="N2128" s="15">
        <f>IF(OR(G2128="",L2128&lt;&gt;"Да"),"",IF(G2128&lt;=100,33600,IF(G2128&lt;=200,62400,IF(G2128&lt;=500,144000,""))))</f>
        <v/>
      </c>
      <c r="O2128" s="16">
        <f>IF(G2128="","",IF(G2128&lt;=15,"1–15",IF(G2128&lt;=30,"16–30",IF(G2128&lt;=50,"31–50",IF(G2128&lt;=100,"51–100",IF(G2128&lt;=150,"101–150",IF(G2128&lt;=200,"151–200",IF(G2128&lt;=500,"201–500","500+"))))))))</f>
        <v/>
      </c>
      <c r="P2128" s="16" t="inlineStr">
        <is>
          <t>Нет совпадения в предоставленной выгрузке ССЧР</t>
        </is>
      </c>
      <c r="Q2128" s="16" t="n"/>
      <c r="R2128" s="16">
        <f>HYPERLINK("https://checko.ru/search?query=3801001629","Чекко: проверить")</f>
        <v/>
      </c>
      <c r="S2128" t="n">
        <v>0</v>
      </c>
    </row>
    <row r="2129" ht="27.75" customHeight="1" s="24">
      <c r="A2129" s="13" t="n">
        <v>5000094598</v>
      </c>
      <c r="B2129" s="13" t="inlineStr">
        <is>
          <t>Местная администрация сельского поселения Красносельское</t>
        </is>
      </c>
      <c r="C2129" s="13" t="n">
        <v>704001635</v>
      </c>
      <c r="D2129" s="13" t="n"/>
      <c r="E2129" s="13" t="inlineStr">
        <is>
          <t>Не определён</t>
        </is>
      </c>
      <c r="F2129" s="13" t="inlineStr">
        <is>
          <t>704001635</t>
        </is>
      </c>
      <c r="G2129" s="14" t="n"/>
      <c r="H2129" s="14" t="n"/>
      <c r="I2129" s="14" t="n"/>
      <c r="J2129" s="14" t="n"/>
      <c r="K2129" s="13">
        <f>IF(G2129="","",IF(G2129&gt;=22,"Да","Нет"))</f>
        <v/>
      </c>
      <c r="L2129" s="13">
        <f>IF(OR(I2129="",J2129=""),"Не определено",IF(OR(COUNTIF(I2129,"45*")&gt;0,COUNTIF(J2129,"*45*")&gt;0,COUNTIF(I2129,"46*")&gt;0,COUNTIF(J2129,"*46*")&gt;0,COUNTIF(I2129,"47*")&gt;0,COUNTIF(J2129,"*47*")&gt;0,COUNTIF(I2129,"10*")&gt;0,COUNTIF(J2129,"*10*")&gt;0,COUNTIF(I2129,"11*")&gt;0,COUNTIF(J2129,"*11*")&gt;0,COUNTIF(I2129,"12*")&gt;0,COUNTIF(J2129,"*12*")&gt;0,COUNTIF(I2129,"13*")&gt;0,COUNTIF(J2129,"*13*")&gt;0,COUNTIF(I2129,"14*")&gt;0,COUNTIF(J2129,"*14*")&gt;0,COUNTIF(I2129,"15*")&gt;0,COUNTIF(J2129,"*15*")&gt;0,COUNTIF(I2129,"16*")&gt;0,COUNTIF(J2129,"*16*")&gt;0,COUNTIF(I2129,"17*")&gt;0,COUNTIF(J2129,"*17*")&gt;0,COUNTIF(I2129,"18*")&gt;0,COUNTIF(J2129,"*18*")&gt;0,COUNTIF(I2129,"19*")&gt;0,COUNTIF(J2129,"*19*")&gt;0,COUNTIF(I2129,"20*")&gt;0,COUNTIF(J2129,"*20*")&gt;0,COUNTIF(I2129,"21*")&gt;0,COUNTIF(J2129,"*21*")&gt;0,COUNTIF(I2129,"22*")&gt;0,COUNTIF(J2129,"*22*")&gt;0,COUNTIF(I2129,"23*")&gt;0,COUNTIF(J2129,"*23*")&gt;0,COUNTIF(I2129,"24*")&gt;0,COUNTIF(J2129,"*24*")&gt;0,COUNTIF(I2129,"25*")&gt;0,COUNTIF(J2129,"*25*")&gt;0,COUNTIF(I2129,"26*")&gt;0,COUNTIF(J2129,"*26*")&gt;0,COUNTIF(I2129,"27*")&gt;0,COUNTIF(J2129,"*27*")&gt;0,COUNTIF(I2129,"28*")&gt;0,COUNTIF(J2129,"*28*")&gt;0,COUNTIF(I2129,"29*")&gt;0,COUNTIF(J2129,"*29*")&gt;0,COUNTIF(I2129,"30*")&gt;0,COUNTIF(J2129,"*30*")&gt;0,COUNTIF(I2129,"31*")&gt;0,COUNTIF(J2129,"*31*")&gt;0,COUNTIF(I2129,"32*")&gt;0,COUNTIF(J2129,"*32*")&gt;0,COUNTIF(I2129,"33*")&gt;0,COUNTIF(J2129,"*33*")&gt;0,COUNTIF(I2129,"41*")&gt;0,COUNTIF(J2129,"*41*")&gt;0,COUNTIF(I2129,"42*")&gt;0,COUNTIF(J2129,"*42*")&gt;0,COUNTIF(I2129,"43*")&gt;0,COUNTIF(J2129,"*43*")&gt;0,COUNTIF(I2129,"49*")&gt;0,COUNTIF(J2129,"*49*")&gt;0,COUNTIF(I2129,"52*")&gt;0,COUNTIF(J2129,"*52*")&gt;0,COUNTIF(I2129,"55*")&gt;0,COUNTIF(J2129,"*55*")&gt;0,COUNTIF(I2129,"56*")&gt;0,COUNTIF(J2129,"*56*")&gt;0,COUNTIF(I2129,"68*")&gt;0,COUNTIF(J2129,"*68*")&gt;0,COUNTIF(I2129,"78*")&gt;0,COUNTIF(J2129,"*78*")&gt;0,COUNTIF(I2129,"81*")&gt;0,COUNTIF(J2129,"*81*")&gt;0,COUNTIF(I2129,"82*")&gt;0,COUNTIF(J2129,"*82*")&gt;0,COUNTIF(I2129,"64*")&gt;0,COUNTIF(J2129,"*64*")&gt;0,COUNTIF(I2129,"65*")&gt;0,COUNTIF(J2129,"*65*")&gt;0,COUNTIF(I2129,"66*")&gt;0,COUNTIF(J2129,"*66*")&gt;0,COUNTIF(I2129,"61*")&gt;0,COUNTIF(J2129,"*61*")&gt;0,COUNTIF(I2129,"62*")&gt;0,COUNTIF(J2129,"*62*")&gt;0,COUNTIF(I2129,"63*")&gt;0,COUNTIF(J2129,"*63*")&gt;0,COUNTIF(I2129,"85*")&gt;0,COUNTIF(J2129,"*85*")&gt;0,COUNTIF(I2129,"86*")&gt;0,COUNTIF(J2129,"*86*")&gt;0),"Да","Нет"))</f>
        <v/>
      </c>
      <c r="M2129" s="13">
        <f>IF(OR(G2129="",L2129&lt;&gt;"Да"),"",IF(G2129&lt;=100,"До 100",IF(G2129&lt;=200,"До 200",IF(G2129&lt;=500,"До 500","Отдельное КП"))))</f>
        <v/>
      </c>
      <c r="N2129" s="15">
        <f>IF(OR(G2129="",L2129&lt;&gt;"Да"),"",IF(G2129&lt;=100,33600,IF(G2129&lt;=200,62400,IF(G2129&lt;=500,144000,""))))</f>
        <v/>
      </c>
      <c r="O2129" s="16">
        <f>IF(G2129="","",IF(G2129&lt;=15,"1–15",IF(G2129&lt;=30,"16–30",IF(G2129&lt;=50,"31–50",IF(G2129&lt;=100,"51–100",IF(G2129&lt;=150,"101–150",IF(G2129&lt;=200,"151–200",IF(G2129&lt;=500,"201–500","500+"))))))))</f>
        <v/>
      </c>
      <c r="P2129" s="16" t="inlineStr">
        <is>
          <t>Нет совпадения в предоставленной выгрузке ССЧР</t>
        </is>
      </c>
      <c r="Q2129" s="16" t="n"/>
      <c r="R2129" s="16">
        <f>HYPERLINK("https://checko.ru/search?query=3801001629","Чекко: проверить")</f>
        <v/>
      </c>
      <c r="S2129" t="n">
        <v>0</v>
      </c>
    </row>
    <row r="2130" ht="27.75" customHeight="1" s="24">
      <c r="A2130" s="13" t="n">
        <v>5000094600</v>
      </c>
      <c r="B2130" s="13" t="inlineStr">
        <is>
          <t>Местная администрация сельского поселения Пролетарское</t>
        </is>
      </c>
      <c r="C2130" s="13" t="n">
        <v>704001699</v>
      </c>
      <c r="D2130" s="13" t="n"/>
      <c r="E2130" s="13" t="inlineStr">
        <is>
          <t>Не определён</t>
        </is>
      </c>
      <c r="F2130" s="13" t="inlineStr">
        <is>
          <t>704001699</t>
        </is>
      </c>
      <c r="G2130" s="14" t="n"/>
      <c r="H2130" s="14" t="n"/>
      <c r="I2130" s="14" t="n"/>
      <c r="J2130" s="14" t="n"/>
      <c r="K2130" s="13">
        <f>IF(G2130="","",IF(G2130&gt;=22,"Да","Нет"))</f>
        <v/>
      </c>
      <c r="L2130" s="13">
        <f>IF(OR(I2130="",J2130=""),"Не определено",IF(OR(COUNTIF(I2130,"45*")&gt;0,COUNTIF(J2130,"*45*")&gt;0,COUNTIF(I2130,"46*")&gt;0,COUNTIF(J2130,"*46*")&gt;0,COUNTIF(I2130,"47*")&gt;0,COUNTIF(J2130,"*47*")&gt;0,COUNTIF(I2130,"10*")&gt;0,COUNTIF(J2130,"*10*")&gt;0,COUNTIF(I2130,"11*")&gt;0,COUNTIF(J2130,"*11*")&gt;0,COUNTIF(I2130,"12*")&gt;0,COUNTIF(J2130,"*12*")&gt;0,COUNTIF(I2130,"13*")&gt;0,COUNTIF(J2130,"*13*")&gt;0,COUNTIF(I2130,"14*")&gt;0,COUNTIF(J2130,"*14*")&gt;0,COUNTIF(I2130,"15*")&gt;0,COUNTIF(J2130,"*15*")&gt;0,COUNTIF(I2130,"16*")&gt;0,COUNTIF(J2130,"*16*")&gt;0,COUNTIF(I2130,"17*")&gt;0,COUNTIF(J2130,"*17*")&gt;0,COUNTIF(I2130,"18*")&gt;0,COUNTIF(J2130,"*18*")&gt;0,COUNTIF(I2130,"19*")&gt;0,COUNTIF(J2130,"*19*")&gt;0,COUNTIF(I2130,"20*")&gt;0,COUNTIF(J2130,"*20*")&gt;0,COUNTIF(I2130,"21*")&gt;0,COUNTIF(J2130,"*21*")&gt;0,COUNTIF(I2130,"22*")&gt;0,COUNTIF(J2130,"*22*")&gt;0,COUNTIF(I2130,"23*")&gt;0,COUNTIF(J2130,"*23*")&gt;0,COUNTIF(I2130,"24*")&gt;0,COUNTIF(J2130,"*24*")&gt;0,COUNTIF(I2130,"25*")&gt;0,COUNTIF(J2130,"*25*")&gt;0,COUNTIF(I2130,"26*")&gt;0,COUNTIF(J2130,"*26*")&gt;0,COUNTIF(I2130,"27*")&gt;0,COUNTIF(J2130,"*27*")&gt;0,COUNTIF(I2130,"28*")&gt;0,COUNTIF(J2130,"*28*")&gt;0,COUNTIF(I2130,"29*")&gt;0,COUNTIF(J2130,"*29*")&gt;0,COUNTIF(I2130,"30*")&gt;0,COUNTIF(J2130,"*30*")&gt;0,COUNTIF(I2130,"31*")&gt;0,COUNTIF(J2130,"*31*")&gt;0,COUNTIF(I2130,"32*")&gt;0,COUNTIF(J2130,"*32*")&gt;0,COUNTIF(I2130,"33*")&gt;0,COUNTIF(J2130,"*33*")&gt;0,COUNTIF(I2130,"41*")&gt;0,COUNTIF(J2130,"*41*")&gt;0,COUNTIF(I2130,"42*")&gt;0,COUNTIF(J2130,"*42*")&gt;0,COUNTIF(I2130,"43*")&gt;0,COUNTIF(J2130,"*43*")&gt;0,COUNTIF(I2130,"49*")&gt;0,COUNTIF(J2130,"*49*")&gt;0,COUNTIF(I2130,"52*")&gt;0,COUNTIF(J2130,"*52*")&gt;0,COUNTIF(I2130,"55*")&gt;0,COUNTIF(J2130,"*55*")&gt;0,COUNTIF(I2130,"56*")&gt;0,COUNTIF(J2130,"*56*")&gt;0,COUNTIF(I2130,"68*")&gt;0,COUNTIF(J2130,"*68*")&gt;0,COUNTIF(I2130,"78*")&gt;0,COUNTIF(J2130,"*78*")&gt;0,COUNTIF(I2130,"81*")&gt;0,COUNTIF(J2130,"*81*")&gt;0,COUNTIF(I2130,"82*")&gt;0,COUNTIF(J2130,"*82*")&gt;0,COUNTIF(I2130,"64*")&gt;0,COUNTIF(J2130,"*64*")&gt;0,COUNTIF(I2130,"65*")&gt;0,COUNTIF(J2130,"*65*")&gt;0,COUNTIF(I2130,"66*")&gt;0,COUNTIF(J2130,"*66*")&gt;0,COUNTIF(I2130,"61*")&gt;0,COUNTIF(J2130,"*61*")&gt;0,COUNTIF(I2130,"62*")&gt;0,COUNTIF(J2130,"*62*")&gt;0,COUNTIF(I2130,"63*")&gt;0,COUNTIF(J2130,"*63*")&gt;0,COUNTIF(I2130,"85*")&gt;0,COUNTIF(J2130,"*85*")&gt;0,COUNTIF(I2130,"86*")&gt;0,COUNTIF(J2130,"*86*")&gt;0),"Да","Нет"))</f>
        <v/>
      </c>
      <c r="M2130" s="13">
        <f>IF(OR(G2130="",L2130&lt;&gt;"Да"),"",IF(G2130&lt;=100,"До 100",IF(G2130&lt;=200,"До 200",IF(G2130&lt;=500,"До 500","Отдельное КП"))))</f>
        <v/>
      </c>
      <c r="N2130" s="15">
        <f>IF(OR(G2130="",L2130&lt;&gt;"Да"),"",IF(G2130&lt;=100,33600,IF(G2130&lt;=200,62400,IF(G2130&lt;=500,144000,""))))</f>
        <v/>
      </c>
      <c r="O2130" s="16">
        <f>IF(G2130="","",IF(G2130&lt;=15,"1–15",IF(G2130&lt;=30,"16–30",IF(G2130&lt;=50,"31–50",IF(G2130&lt;=100,"51–100",IF(G2130&lt;=150,"101–150",IF(G2130&lt;=200,"151–200",IF(G2130&lt;=500,"201–500","500+"))))))))</f>
        <v/>
      </c>
      <c r="P2130" s="16" t="inlineStr">
        <is>
          <t>Нет совпадения в предоставленной выгрузке ССЧР</t>
        </is>
      </c>
      <c r="Q2130" s="16" t="n"/>
      <c r="R2130" s="16">
        <f>HYPERLINK("https://checko.ru/search?query=3801001629","Чекко: проверить")</f>
        <v/>
      </c>
      <c r="S2130" t="n">
        <v>0</v>
      </c>
    </row>
    <row r="2131" ht="27.75" customHeight="1" s="24">
      <c r="A2131" s="13" t="n">
        <v>5000094601</v>
      </c>
      <c r="B2131" s="13" t="inlineStr">
        <is>
          <t>Местная администрация с.п. Псыншоко Прохладненского муниципального района КБР</t>
        </is>
      </c>
      <c r="C2131" s="13" t="n">
        <v>704001709</v>
      </c>
      <c r="D2131" s="13" t="n"/>
      <c r="E2131" s="13" t="inlineStr">
        <is>
          <t>Не определён</t>
        </is>
      </c>
      <c r="F2131" s="13" t="inlineStr">
        <is>
          <t>704001709</t>
        </is>
      </c>
      <c r="G2131" s="14" t="n"/>
      <c r="H2131" s="14" t="n"/>
      <c r="I2131" s="14" t="n"/>
      <c r="J2131" s="14" t="n"/>
      <c r="K2131" s="13">
        <f>IF(G2131="","",IF(G2131&gt;=22,"Да","Нет"))</f>
        <v/>
      </c>
      <c r="L2131" s="13">
        <f>IF(OR(I2131="",J2131=""),"Не определено",IF(OR(COUNTIF(I2131,"45*")&gt;0,COUNTIF(J2131,"*45*")&gt;0,COUNTIF(I2131,"46*")&gt;0,COUNTIF(J2131,"*46*")&gt;0,COUNTIF(I2131,"47*")&gt;0,COUNTIF(J2131,"*47*")&gt;0,COUNTIF(I2131,"10*")&gt;0,COUNTIF(J2131,"*10*")&gt;0,COUNTIF(I2131,"11*")&gt;0,COUNTIF(J2131,"*11*")&gt;0,COUNTIF(I2131,"12*")&gt;0,COUNTIF(J2131,"*12*")&gt;0,COUNTIF(I2131,"13*")&gt;0,COUNTIF(J2131,"*13*")&gt;0,COUNTIF(I2131,"14*")&gt;0,COUNTIF(J2131,"*14*")&gt;0,COUNTIF(I2131,"15*")&gt;0,COUNTIF(J2131,"*15*")&gt;0,COUNTIF(I2131,"16*")&gt;0,COUNTIF(J2131,"*16*")&gt;0,COUNTIF(I2131,"17*")&gt;0,COUNTIF(J2131,"*17*")&gt;0,COUNTIF(I2131,"18*")&gt;0,COUNTIF(J2131,"*18*")&gt;0,COUNTIF(I2131,"19*")&gt;0,COUNTIF(J2131,"*19*")&gt;0,COUNTIF(I2131,"20*")&gt;0,COUNTIF(J2131,"*20*")&gt;0,COUNTIF(I2131,"21*")&gt;0,COUNTIF(J2131,"*21*")&gt;0,COUNTIF(I2131,"22*")&gt;0,COUNTIF(J2131,"*22*")&gt;0,COUNTIF(I2131,"23*")&gt;0,COUNTIF(J2131,"*23*")&gt;0,COUNTIF(I2131,"24*")&gt;0,COUNTIF(J2131,"*24*")&gt;0,COUNTIF(I2131,"25*")&gt;0,COUNTIF(J2131,"*25*")&gt;0,COUNTIF(I2131,"26*")&gt;0,COUNTIF(J2131,"*26*")&gt;0,COUNTIF(I2131,"27*")&gt;0,COUNTIF(J2131,"*27*")&gt;0,COUNTIF(I2131,"28*")&gt;0,COUNTIF(J2131,"*28*")&gt;0,COUNTIF(I2131,"29*")&gt;0,COUNTIF(J2131,"*29*")&gt;0,COUNTIF(I2131,"30*")&gt;0,COUNTIF(J2131,"*30*")&gt;0,COUNTIF(I2131,"31*")&gt;0,COUNTIF(J2131,"*31*")&gt;0,COUNTIF(I2131,"32*")&gt;0,COUNTIF(J2131,"*32*")&gt;0,COUNTIF(I2131,"33*")&gt;0,COUNTIF(J2131,"*33*")&gt;0,COUNTIF(I2131,"41*")&gt;0,COUNTIF(J2131,"*41*")&gt;0,COUNTIF(I2131,"42*")&gt;0,COUNTIF(J2131,"*42*")&gt;0,COUNTIF(I2131,"43*")&gt;0,COUNTIF(J2131,"*43*")&gt;0,COUNTIF(I2131,"49*")&gt;0,COUNTIF(J2131,"*49*")&gt;0,COUNTIF(I2131,"52*")&gt;0,COUNTIF(J2131,"*52*")&gt;0,COUNTIF(I2131,"55*")&gt;0,COUNTIF(J2131,"*55*")&gt;0,COUNTIF(I2131,"56*")&gt;0,COUNTIF(J2131,"*56*")&gt;0,COUNTIF(I2131,"68*")&gt;0,COUNTIF(J2131,"*68*")&gt;0,COUNTIF(I2131,"78*")&gt;0,COUNTIF(J2131,"*78*")&gt;0,COUNTIF(I2131,"81*")&gt;0,COUNTIF(J2131,"*81*")&gt;0,COUNTIF(I2131,"82*")&gt;0,COUNTIF(J2131,"*82*")&gt;0,COUNTIF(I2131,"64*")&gt;0,COUNTIF(J2131,"*64*")&gt;0,COUNTIF(I2131,"65*")&gt;0,COUNTIF(J2131,"*65*")&gt;0,COUNTIF(I2131,"66*")&gt;0,COUNTIF(J2131,"*66*")&gt;0,COUNTIF(I2131,"61*")&gt;0,COUNTIF(J2131,"*61*")&gt;0,COUNTIF(I2131,"62*")&gt;0,COUNTIF(J2131,"*62*")&gt;0,COUNTIF(I2131,"63*")&gt;0,COUNTIF(J2131,"*63*")&gt;0,COUNTIF(I2131,"85*")&gt;0,COUNTIF(J2131,"*85*")&gt;0,COUNTIF(I2131,"86*")&gt;0,COUNTIF(J2131,"*86*")&gt;0),"Да","Нет"))</f>
        <v/>
      </c>
      <c r="M2131" s="13">
        <f>IF(OR(G2131="",L2131&lt;&gt;"Да"),"",IF(G2131&lt;=100,"До 100",IF(G2131&lt;=200,"До 200",IF(G2131&lt;=500,"До 500","Отдельное КП"))))</f>
        <v/>
      </c>
      <c r="N2131" s="15">
        <f>IF(OR(G2131="",L2131&lt;&gt;"Да"),"",IF(G2131&lt;=100,33600,IF(G2131&lt;=200,62400,IF(G2131&lt;=500,144000,""))))</f>
        <v/>
      </c>
      <c r="O2131" s="16">
        <f>IF(G2131="","",IF(G2131&lt;=15,"1–15",IF(G2131&lt;=30,"16–30",IF(G2131&lt;=50,"31–50",IF(G2131&lt;=100,"51–100",IF(G2131&lt;=150,"101–150",IF(G2131&lt;=200,"151–200",IF(G2131&lt;=500,"201–500","500+"))))))))</f>
        <v/>
      </c>
      <c r="P2131" s="16" t="inlineStr">
        <is>
          <t>Нет совпадения в предоставленной выгрузке ССЧР</t>
        </is>
      </c>
      <c r="Q2131" s="16" t="n"/>
      <c r="R2131" s="16">
        <f>HYPERLINK("https://checko.ru/search?query=3801001629","Чекко: проверить")</f>
        <v/>
      </c>
      <c r="S2131" t="n">
        <v>0</v>
      </c>
    </row>
    <row r="2132" ht="27.75" customHeight="1" s="24">
      <c r="A2132" s="13" t="n">
        <v>5000094602</v>
      </c>
      <c r="B2132" s="13" t="inlineStr">
        <is>
          <t>Местная администрация сельского поселения станицы Приближная</t>
        </is>
      </c>
      <c r="C2132" s="13" t="n">
        <v>704001716</v>
      </c>
      <c r="D2132" s="13" t="n"/>
      <c r="E2132" s="13" t="inlineStr">
        <is>
          <t>Не определён</t>
        </is>
      </c>
      <c r="F2132" s="13" t="inlineStr">
        <is>
          <t>704001716</t>
        </is>
      </c>
      <c r="G2132" s="14" t="n"/>
      <c r="H2132" s="14" t="n"/>
      <c r="I2132" s="14" t="n"/>
      <c r="J2132" s="14" t="n"/>
      <c r="K2132" s="13">
        <f>IF(G2132="","",IF(G2132&gt;=22,"Да","Нет"))</f>
        <v/>
      </c>
      <c r="L2132" s="13">
        <f>IF(OR(I2132="",J2132=""),"Не определено",IF(OR(COUNTIF(I2132,"45*")&gt;0,COUNTIF(J2132,"*45*")&gt;0,COUNTIF(I2132,"46*")&gt;0,COUNTIF(J2132,"*46*")&gt;0,COUNTIF(I2132,"47*")&gt;0,COUNTIF(J2132,"*47*")&gt;0,COUNTIF(I2132,"10*")&gt;0,COUNTIF(J2132,"*10*")&gt;0,COUNTIF(I2132,"11*")&gt;0,COUNTIF(J2132,"*11*")&gt;0,COUNTIF(I2132,"12*")&gt;0,COUNTIF(J2132,"*12*")&gt;0,COUNTIF(I2132,"13*")&gt;0,COUNTIF(J2132,"*13*")&gt;0,COUNTIF(I2132,"14*")&gt;0,COUNTIF(J2132,"*14*")&gt;0,COUNTIF(I2132,"15*")&gt;0,COUNTIF(J2132,"*15*")&gt;0,COUNTIF(I2132,"16*")&gt;0,COUNTIF(J2132,"*16*")&gt;0,COUNTIF(I2132,"17*")&gt;0,COUNTIF(J2132,"*17*")&gt;0,COUNTIF(I2132,"18*")&gt;0,COUNTIF(J2132,"*18*")&gt;0,COUNTIF(I2132,"19*")&gt;0,COUNTIF(J2132,"*19*")&gt;0,COUNTIF(I2132,"20*")&gt;0,COUNTIF(J2132,"*20*")&gt;0,COUNTIF(I2132,"21*")&gt;0,COUNTIF(J2132,"*21*")&gt;0,COUNTIF(I2132,"22*")&gt;0,COUNTIF(J2132,"*22*")&gt;0,COUNTIF(I2132,"23*")&gt;0,COUNTIF(J2132,"*23*")&gt;0,COUNTIF(I2132,"24*")&gt;0,COUNTIF(J2132,"*24*")&gt;0,COUNTIF(I2132,"25*")&gt;0,COUNTIF(J2132,"*25*")&gt;0,COUNTIF(I2132,"26*")&gt;0,COUNTIF(J2132,"*26*")&gt;0,COUNTIF(I2132,"27*")&gt;0,COUNTIF(J2132,"*27*")&gt;0,COUNTIF(I2132,"28*")&gt;0,COUNTIF(J2132,"*28*")&gt;0,COUNTIF(I2132,"29*")&gt;0,COUNTIF(J2132,"*29*")&gt;0,COUNTIF(I2132,"30*")&gt;0,COUNTIF(J2132,"*30*")&gt;0,COUNTIF(I2132,"31*")&gt;0,COUNTIF(J2132,"*31*")&gt;0,COUNTIF(I2132,"32*")&gt;0,COUNTIF(J2132,"*32*")&gt;0,COUNTIF(I2132,"33*")&gt;0,COUNTIF(J2132,"*33*")&gt;0,COUNTIF(I2132,"41*")&gt;0,COUNTIF(J2132,"*41*")&gt;0,COUNTIF(I2132,"42*")&gt;0,COUNTIF(J2132,"*42*")&gt;0,COUNTIF(I2132,"43*")&gt;0,COUNTIF(J2132,"*43*")&gt;0,COUNTIF(I2132,"49*")&gt;0,COUNTIF(J2132,"*49*")&gt;0,COUNTIF(I2132,"52*")&gt;0,COUNTIF(J2132,"*52*")&gt;0,COUNTIF(I2132,"55*")&gt;0,COUNTIF(J2132,"*55*")&gt;0,COUNTIF(I2132,"56*")&gt;0,COUNTIF(J2132,"*56*")&gt;0,COUNTIF(I2132,"68*")&gt;0,COUNTIF(J2132,"*68*")&gt;0,COUNTIF(I2132,"78*")&gt;0,COUNTIF(J2132,"*78*")&gt;0,COUNTIF(I2132,"81*")&gt;0,COUNTIF(J2132,"*81*")&gt;0,COUNTIF(I2132,"82*")&gt;0,COUNTIF(J2132,"*82*")&gt;0,COUNTIF(I2132,"64*")&gt;0,COUNTIF(J2132,"*64*")&gt;0,COUNTIF(I2132,"65*")&gt;0,COUNTIF(J2132,"*65*")&gt;0,COUNTIF(I2132,"66*")&gt;0,COUNTIF(J2132,"*66*")&gt;0,COUNTIF(I2132,"61*")&gt;0,COUNTIF(J2132,"*61*")&gt;0,COUNTIF(I2132,"62*")&gt;0,COUNTIF(J2132,"*62*")&gt;0,COUNTIF(I2132,"63*")&gt;0,COUNTIF(J2132,"*63*")&gt;0,COUNTIF(I2132,"85*")&gt;0,COUNTIF(J2132,"*85*")&gt;0,COUNTIF(I2132,"86*")&gt;0,COUNTIF(J2132,"*86*")&gt;0),"Да","Нет"))</f>
        <v/>
      </c>
      <c r="M2132" s="13">
        <f>IF(OR(G2132="",L2132&lt;&gt;"Да"),"",IF(G2132&lt;=100,"До 100",IF(G2132&lt;=200,"До 200",IF(G2132&lt;=500,"До 500","Отдельное КП"))))</f>
        <v/>
      </c>
      <c r="N2132" s="15">
        <f>IF(OR(G2132="",L2132&lt;&gt;"Да"),"",IF(G2132&lt;=100,33600,IF(G2132&lt;=200,62400,IF(G2132&lt;=500,144000,""))))</f>
        <v/>
      </c>
      <c r="O2132" s="16">
        <f>IF(G2132="","",IF(G2132&lt;=15,"1–15",IF(G2132&lt;=30,"16–30",IF(G2132&lt;=50,"31–50",IF(G2132&lt;=100,"51–100",IF(G2132&lt;=150,"101–150",IF(G2132&lt;=200,"151–200",IF(G2132&lt;=500,"201–500","500+"))))))))</f>
        <v/>
      </c>
      <c r="P2132" s="16" t="inlineStr">
        <is>
          <t>Нет совпадения в предоставленной выгрузке ССЧР</t>
        </is>
      </c>
      <c r="Q2132" s="16" t="n"/>
      <c r="R2132" s="16">
        <f>HYPERLINK("https://checko.ru/search?query=3801001629","Чекко: проверить")</f>
        <v/>
      </c>
      <c r="S2132" t="n">
        <v>0</v>
      </c>
    </row>
    <row r="2133" ht="27.75" customHeight="1" s="24">
      <c r="A2133" s="13" t="n">
        <v>5000094604</v>
      </c>
      <c r="B2133" s="13" t="inlineStr">
        <is>
          <t>Местная администрация сельского поселения станица Солдатская</t>
        </is>
      </c>
      <c r="C2133" s="13" t="n">
        <v>704001755</v>
      </c>
      <c r="D2133" s="13" t="n"/>
      <c r="E2133" s="13" t="inlineStr">
        <is>
          <t>Не определён</t>
        </is>
      </c>
      <c r="F2133" s="13" t="inlineStr">
        <is>
          <t>704001755</t>
        </is>
      </c>
      <c r="G2133" s="14" t="n"/>
      <c r="H2133" s="14" t="n"/>
      <c r="I2133" s="14" t="n"/>
      <c r="J2133" s="14" t="n"/>
      <c r="K2133" s="13">
        <f>IF(G2133="","",IF(G2133&gt;=22,"Да","Нет"))</f>
        <v/>
      </c>
      <c r="L2133" s="13">
        <f>IF(OR(I2133="",J2133=""),"Не определено",IF(OR(COUNTIF(I2133,"45*")&gt;0,COUNTIF(J2133,"*45*")&gt;0,COUNTIF(I2133,"46*")&gt;0,COUNTIF(J2133,"*46*")&gt;0,COUNTIF(I2133,"47*")&gt;0,COUNTIF(J2133,"*47*")&gt;0,COUNTIF(I2133,"10*")&gt;0,COUNTIF(J2133,"*10*")&gt;0,COUNTIF(I2133,"11*")&gt;0,COUNTIF(J2133,"*11*")&gt;0,COUNTIF(I2133,"12*")&gt;0,COUNTIF(J2133,"*12*")&gt;0,COUNTIF(I2133,"13*")&gt;0,COUNTIF(J2133,"*13*")&gt;0,COUNTIF(I2133,"14*")&gt;0,COUNTIF(J2133,"*14*")&gt;0,COUNTIF(I2133,"15*")&gt;0,COUNTIF(J2133,"*15*")&gt;0,COUNTIF(I2133,"16*")&gt;0,COUNTIF(J2133,"*16*")&gt;0,COUNTIF(I2133,"17*")&gt;0,COUNTIF(J2133,"*17*")&gt;0,COUNTIF(I2133,"18*")&gt;0,COUNTIF(J2133,"*18*")&gt;0,COUNTIF(I2133,"19*")&gt;0,COUNTIF(J2133,"*19*")&gt;0,COUNTIF(I2133,"20*")&gt;0,COUNTIF(J2133,"*20*")&gt;0,COUNTIF(I2133,"21*")&gt;0,COUNTIF(J2133,"*21*")&gt;0,COUNTIF(I2133,"22*")&gt;0,COUNTIF(J2133,"*22*")&gt;0,COUNTIF(I2133,"23*")&gt;0,COUNTIF(J2133,"*23*")&gt;0,COUNTIF(I2133,"24*")&gt;0,COUNTIF(J2133,"*24*")&gt;0,COUNTIF(I2133,"25*")&gt;0,COUNTIF(J2133,"*25*")&gt;0,COUNTIF(I2133,"26*")&gt;0,COUNTIF(J2133,"*26*")&gt;0,COUNTIF(I2133,"27*")&gt;0,COUNTIF(J2133,"*27*")&gt;0,COUNTIF(I2133,"28*")&gt;0,COUNTIF(J2133,"*28*")&gt;0,COUNTIF(I2133,"29*")&gt;0,COUNTIF(J2133,"*29*")&gt;0,COUNTIF(I2133,"30*")&gt;0,COUNTIF(J2133,"*30*")&gt;0,COUNTIF(I2133,"31*")&gt;0,COUNTIF(J2133,"*31*")&gt;0,COUNTIF(I2133,"32*")&gt;0,COUNTIF(J2133,"*32*")&gt;0,COUNTIF(I2133,"33*")&gt;0,COUNTIF(J2133,"*33*")&gt;0,COUNTIF(I2133,"41*")&gt;0,COUNTIF(J2133,"*41*")&gt;0,COUNTIF(I2133,"42*")&gt;0,COUNTIF(J2133,"*42*")&gt;0,COUNTIF(I2133,"43*")&gt;0,COUNTIF(J2133,"*43*")&gt;0,COUNTIF(I2133,"49*")&gt;0,COUNTIF(J2133,"*49*")&gt;0,COUNTIF(I2133,"52*")&gt;0,COUNTIF(J2133,"*52*")&gt;0,COUNTIF(I2133,"55*")&gt;0,COUNTIF(J2133,"*55*")&gt;0,COUNTIF(I2133,"56*")&gt;0,COUNTIF(J2133,"*56*")&gt;0,COUNTIF(I2133,"68*")&gt;0,COUNTIF(J2133,"*68*")&gt;0,COUNTIF(I2133,"78*")&gt;0,COUNTIF(J2133,"*78*")&gt;0,COUNTIF(I2133,"81*")&gt;0,COUNTIF(J2133,"*81*")&gt;0,COUNTIF(I2133,"82*")&gt;0,COUNTIF(J2133,"*82*")&gt;0,COUNTIF(I2133,"64*")&gt;0,COUNTIF(J2133,"*64*")&gt;0,COUNTIF(I2133,"65*")&gt;0,COUNTIF(J2133,"*65*")&gt;0,COUNTIF(I2133,"66*")&gt;0,COUNTIF(J2133,"*66*")&gt;0,COUNTIF(I2133,"61*")&gt;0,COUNTIF(J2133,"*61*")&gt;0,COUNTIF(I2133,"62*")&gt;0,COUNTIF(J2133,"*62*")&gt;0,COUNTIF(I2133,"63*")&gt;0,COUNTIF(J2133,"*63*")&gt;0,COUNTIF(I2133,"85*")&gt;0,COUNTIF(J2133,"*85*")&gt;0,COUNTIF(I2133,"86*")&gt;0,COUNTIF(J2133,"*86*")&gt;0),"Да","Нет"))</f>
        <v/>
      </c>
      <c r="M2133" s="13">
        <f>IF(OR(G2133="",L2133&lt;&gt;"Да"),"",IF(G2133&lt;=100,"До 100",IF(G2133&lt;=200,"До 200",IF(G2133&lt;=500,"До 500","Отдельное КП"))))</f>
        <v/>
      </c>
      <c r="N2133" s="15">
        <f>IF(OR(G2133="",L2133&lt;&gt;"Да"),"",IF(G2133&lt;=100,33600,IF(G2133&lt;=200,62400,IF(G2133&lt;=500,144000,""))))</f>
        <v/>
      </c>
      <c r="O2133" s="16">
        <f>IF(G2133="","",IF(G2133&lt;=15,"1–15",IF(G2133&lt;=30,"16–30",IF(G2133&lt;=50,"31–50",IF(G2133&lt;=100,"51–100",IF(G2133&lt;=150,"101–150",IF(G2133&lt;=200,"151–200",IF(G2133&lt;=500,"201–500","500+"))))))))</f>
        <v/>
      </c>
      <c r="P2133" s="16" t="inlineStr">
        <is>
          <t>Нет совпадения в предоставленной выгрузке ССЧР</t>
        </is>
      </c>
      <c r="Q2133" s="16" t="n"/>
      <c r="R2133" s="16">
        <f>HYPERLINK("https://checko.ru/search?query=3801001629","Чекко: проверить")</f>
        <v/>
      </c>
      <c r="S2133" t="n">
        <v>0</v>
      </c>
    </row>
    <row r="2134" ht="27.75" customHeight="1" s="24">
      <c r="A2134" s="13" t="n">
        <v>5000094608</v>
      </c>
      <c r="B2134" s="13" t="inlineStr">
        <is>
          <t>Местная администрация сельского поселения Учебное</t>
        </is>
      </c>
      <c r="C2134" s="13" t="n">
        <v>704001970</v>
      </c>
      <c r="D2134" s="13" t="n"/>
      <c r="E2134" s="13" t="inlineStr">
        <is>
          <t>Не определён</t>
        </is>
      </c>
      <c r="F2134" s="13" t="inlineStr">
        <is>
          <t>704001970</t>
        </is>
      </c>
      <c r="G2134" s="14" t="n"/>
      <c r="H2134" s="14" t="n"/>
      <c r="I2134" s="14" t="n"/>
      <c r="J2134" s="14" t="n"/>
      <c r="K2134" s="13">
        <f>IF(G2134="","",IF(G2134&gt;=22,"Да","Нет"))</f>
        <v/>
      </c>
      <c r="L2134" s="13">
        <f>IF(OR(I2134="",J2134=""),"Не определено",IF(OR(COUNTIF(I2134,"45*")&gt;0,COUNTIF(J2134,"*45*")&gt;0,COUNTIF(I2134,"46*")&gt;0,COUNTIF(J2134,"*46*")&gt;0,COUNTIF(I2134,"47*")&gt;0,COUNTIF(J2134,"*47*")&gt;0,COUNTIF(I2134,"10*")&gt;0,COUNTIF(J2134,"*10*")&gt;0,COUNTIF(I2134,"11*")&gt;0,COUNTIF(J2134,"*11*")&gt;0,COUNTIF(I2134,"12*")&gt;0,COUNTIF(J2134,"*12*")&gt;0,COUNTIF(I2134,"13*")&gt;0,COUNTIF(J2134,"*13*")&gt;0,COUNTIF(I2134,"14*")&gt;0,COUNTIF(J2134,"*14*")&gt;0,COUNTIF(I2134,"15*")&gt;0,COUNTIF(J2134,"*15*")&gt;0,COUNTIF(I2134,"16*")&gt;0,COUNTIF(J2134,"*16*")&gt;0,COUNTIF(I2134,"17*")&gt;0,COUNTIF(J2134,"*17*")&gt;0,COUNTIF(I2134,"18*")&gt;0,COUNTIF(J2134,"*18*")&gt;0,COUNTIF(I2134,"19*")&gt;0,COUNTIF(J2134,"*19*")&gt;0,COUNTIF(I2134,"20*")&gt;0,COUNTIF(J2134,"*20*")&gt;0,COUNTIF(I2134,"21*")&gt;0,COUNTIF(J2134,"*21*")&gt;0,COUNTIF(I2134,"22*")&gt;0,COUNTIF(J2134,"*22*")&gt;0,COUNTIF(I2134,"23*")&gt;0,COUNTIF(J2134,"*23*")&gt;0,COUNTIF(I2134,"24*")&gt;0,COUNTIF(J2134,"*24*")&gt;0,COUNTIF(I2134,"25*")&gt;0,COUNTIF(J2134,"*25*")&gt;0,COUNTIF(I2134,"26*")&gt;0,COUNTIF(J2134,"*26*")&gt;0,COUNTIF(I2134,"27*")&gt;0,COUNTIF(J2134,"*27*")&gt;0,COUNTIF(I2134,"28*")&gt;0,COUNTIF(J2134,"*28*")&gt;0,COUNTIF(I2134,"29*")&gt;0,COUNTIF(J2134,"*29*")&gt;0,COUNTIF(I2134,"30*")&gt;0,COUNTIF(J2134,"*30*")&gt;0,COUNTIF(I2134,"31*")&gt;0,COUNTIF(J2134,"*31*")&gt;0,COUNTIF(I2134,"32*")&gt;0,COUNTIF(J2134,"*32*")&gt;0,COUNTIF(I2134,"33*")&gt;0,COUNTIF(J2134,"*33*")&gt;0,COUNTIF(I2134,"41*")&gt;0,COUNTIF(J2134,"*41*")&gt;0,COUNTIF(I2134,"42*")&gt;0,COUNTIF(J2134,"*42*")&gt;0,COUNTIF(I2134,"43*")&gt;0,COUNTIF(J2134,"*43*")&gt;0,COUNTIF(I2134,"49*")&gt;0,COUNTIF(J2134,"*49*")&gt;0,COUNTIF(I2134,"52*")&gt;0,COUNTIF(J2134,"*52*")&gt;0,COUNTIF(I2134,"55*")&gt;0,COUNTIF(J2134,"*55*")&gt;0,COUNTIF(I2134,"56*")&gt;0,COUNTIF(J2134,"*56*")&gt;0,COUNTIF(I2134,"68*")&gt;0,COUNTIF(J2134,"*68*")&gt;0,COUNTIF(I2134,"78*")&gt;0,COUNTIF(J2134,"*78*")&gt;0,COUNTIF(I2134,"81*")&gt;0,COUNTIF(J2134,"*81*")&gt;0,COUNTIF(I2134,"82*")&gt;0,COUNTIF(J2134,"*82*")&gt;0,COUNTIF(I2134,"64*")&gt;0,COUNTIF(J2134,"*64*")&gt;0,COUNTIF(I2134,"65*")&gt;0,COUNTIF(J2134,"*65*")&gt;0,COUNTIF(I2134,"66*")&gt;0,COUNTIF(J2134,"*66*")&gt;0,COUNTIF(I2134,"61*")&gt;0,COUNTIF(J2134,"*61*")&gt;0,COUNTIF(I2134,"62*")&gt;0,COUNTIF(J2134,"*62*")&gt;0,COUNTIF(I2134,"63*")&gt;0,COUNTIF(J2134,"*63*")&gt;0,COUNTIF(I2134,"85*")&gt;0,COUNTIF(J2134,"*85*")&gt;0,COUNTIF(I2134,"86*")&gt;0,COUNTIF(J2134,"*86*")&gt;0),"Да","Нет"))</f>
        <v/>
      </c>
      <c r="M2134" s="13">
        <f>IF(OR(G2134="",L2134&lt;&gt;"Да"),"",IF(G2134&lt;=100,"До 100",IF(G2134&lt;=200,"До 200",IF(G2134&lt;=500,"До 500","Отдельное КП"))))</f>
        <v/>
      </c>
      <c r="N2134" s="15">
        <f>IF(OR(G2134="",L2134&lt;&gt;"Да"),"",IF(G2134&lt;=100,33600,IF(G2134&lt;=200,62400,IF(G2134&lt;=500,144000,""))))</f>
        <v/>
      </c>
      <c r="O2134" s="16">
        <f>IF(G2134="","",IF(G2134&lt;=15,"1–15",IF(G2134&lt;=30,"16–30",IF(G2134&lt;=50,"31–50",IF(G2134&lt;=100,"51–100",IF(G2134&lt;=150,"101–150",IF(G2134&lt;=200,"151–200",IF(G2134&lt;=500,"201–500","500+"))))))))</f>
        <v/>
      </c>
      <c r="P2134" s="16" t="inlineStr">
        <is>
          <t>Нет совпадения в предоставленной выгрузке ССЧР</t>
        </is>
      </c>
      <c r="Q2134" s="16" t="n"/>
      <c r="R2134" s="16">
        <f>HYPERLINK("https://checko.ru/search?query=3801001629","Чекко: проверить")</f>
        <v/>
      </c>
      <c r="S2134" t="n">
        <v>0</v>
      </c>
    </row>
    <row r="2135" ht="27.75" customHeight="1" s="24">
      <c r="A2135" s="13" t="n">
        <v>5000094609</v>
      </c>
      <c r="B2135" s="13" t="inlineStr">
        <is>
          <t>Местная администрация сельского поселения Ново-Полтавское</t>
        </is>
      </c>
      <c r="C2135" s="13" t="n">
        <v>704002692</v>
      </c>
      <c r="D2135" s="13" t="n"/>
      <c r="E2135" s="13" t="inlineStr">
        <is>
          <t>Не определён</t>
        </is>
      </c>
      <c r="F2135" s="13" t="inlineStr">
        <is>
          <t>704002692</t>
        </is>
      </c>
      <c r="G2135" s="14" t="n"/>
      <c r="H2135" s="14" t="n"/>
      <c r="I2135" s="14" t="n"/>
      <c r="J2135" s="14" t="n"/>
      <c r="K2135" s="13">
        <f>IF(G2135="","",IF(G2135&gt;=22,"Да","Нет"))</f>
        <v/>
      </c>
      <c r="L2135" s="13">
        <f>IF(OR(I2135="",J2135=""),"Не определено",IF(OR(COUNTIF(I2135,"45*")&gt;0,COUNTIF(J2135,"*45*")&gt;0,COUNTIF(I2135,"46*")&gt;0,COUNTIF(J2135,"*46*")&gt;0,COUNTIF(I2135,"47*")&gt;0,COUNTIF(J2135,"*47*")&gt;0,COUNTIF(I2135,"10*")&gt;0,COUNTIF(J2135,"*10*")&gt;0,COUNTIF(I2135,"11*")&gt;0,COUNTIF(J2135,"*11*")&gt;0,COUNTIF(I2135,"12*")&gt;0,COUNTIF(J2135,"*12*")&gt;0,COUNTIF(I2135,"13*")&gt;0,COUNTIF(J2135,"*13*")&gt;0,COUNTIF(I2135,"14*")&gt;0,COUNTIF(J2135,"*14*")&gt;0,COUNTIF(I2135,"15*")&gt;0,COUNTIF(J2135,"*15*")&gt;0,COUNTIF(I2135,"16*")&gt;0,COUNTIF(J2135,"*16*")&gt;0,COUNTIF(I2135,"17*")&gt;0,COUNTIF(J2135,"*17*")&gt;0,COUNTIF(I2135,"18*")&gt;0,COUNTIF(J2135,"*18*")&gt;0,COUNTIF(I2135,"19*")&gt;0,COUNTIF(J2135,"*19*")&gt;0,COUNTIF(I2135,"20*")&gt;0,COUNTIF(J2135,"*20*")&gt;0,COUNTIF(I2135,"21*")&gt;0,COUNTIF(J2135,"*21*")&gt;0,COUNTIF(I2135,"22*")&gt;0,COUNTIF(J2135,"*22*")&gt;0,COUNTIF(I2135,"23*")&gt;0,COUNTIF(J2135,"*23*")&gt;0,COUNTIF(I2135,"24*")&gt;0,COUNTIF(J2135,"*24*")&gt;0,COUNTIF(I2135,"25*")&gt;0,COUNTIF(J2135,"*25*")&gt;0,COUNTIF(I2135,"26*")&gt;0,COUNTIF(J2135,"*26*")&gt;0,COUNTIF(I2135,"27*")&gt;0,COUNTIF(J2135,"*27*")&gt;0,COUNTIF(I2135,"28*")&gt;0,COUNTIF(J2135,"*28*")&gt;0,COUNTIF(I2135,"29*")&gt;0,COUNTIF(J2135,"*29*")&gt;0,COUNTIF(I2135,"30*")&gt;0,COUNTIF(J2135,"*30*")&gt;0,COUNTIF(I2135,"31*")&gt;0,COUNTIF(J2135,"*31*")&gt;0,COUNTIF(I2135,"32*")&gt;0,COUNTIF(J2135,"*32*")&gt;0,COUNTIF(I2135,"33*")&gt;0,COUNTIF(J2135,"*33*")&gt;0,COUNTIF(I2135,"41*")&gt;0,COUNTIF(J2135,"*41*")&gt;0,COUNTIF(I2135,"42*")&gt;0,COUNTIF(J2135,"*42*")&gt;0,COUNTIF(I2135,"43*")&gt;0,COUNTIF(J2135,"*43*")&gt;0,COUNTIF(I2135,"49*")&gt;0,COUNTIF(J2135,"*49*")&gt;0,COUNTIF(I2135,"52*")&gt;0,COUNTIF(J2135,"*52*")&gt;0,COUNTIF(I2135,"55*")&gt;0,COUNTIF(J2135,"*55*")&gt;0,COUNTIF(I2135,"56*")&gt;0,COUNTIF(J2135,"*56*")&gt;0,COUNTIF(I2135,"68*")&gt;0,COUNTIF(J2135,"*68*")&gt;0,COUNTIF(I2135,"78*")&gt;0,COUNTIF(J2135,"*78*")&gt;0,COUNTIF(I2135,"81*")&gt;0,COUNTIF(J2135,"*81*")&gt;0,COUNTIF(I2135,"82*")&gt;0,COUNTIF(J2135,"*82*")&gt;0,COUNTIF(I2135,"64*")&gt;0,COUNTIF(J2135,"*64*")&gt;0,COUNTIF(I2135,"65*")&gt;0,COUNTIF(J2135,"*65*")&gt;0,COUNTIF(I2135,"66*")&gt;0,COUNTIF(J2135,"*66*")&gt;0,COUNTIF(I2135,"61*")&gt;0,COUNTIF(J2135,"*61*")&gt;0,COUNTIF(I2135,"62*")&gt;0,COUNTIF(J2135,"*62*")&gt;0,COUNTIF(I2135,"63*")&gt;0,COUNTIF(J2135,"*63*")&gt;0,COUNTIF(I2135,"85*")&gt;0,COUNTIF(J2135,"*85*")&gt;0,COUNTIF(I2135,"86*")&gt;0,COUNTIF(J2135,"*86*")&gt;0),"Да","Нет"))</f>
        <v/>
      </c>
      <c r="M2135" s="13">
        <f>IF(OR(G2135="",L2135&lt;&gt;"Да"),"",IF(G2135&lt;=100,"До 100",IF(G2135&lt;=200,"До 200",IF(G2135&lt;=500,"До 500","Отдельное КП"))))</f>
        <v/>
      </c>
      <c r="N2135" s="15">
        <f>IF(OR(G2135="",L2135&lt;&gt;"Да"),"",IF(G2135&lt;=100,33600,IF(G2135&lt;=200,62400,IF(G2135&lt;=500,144000,""))))</f>
        <v/>
      </c>
      <c r="O2135" s="16">
        <f>IF(G2135="","",IF(G2135&lt;=15,"1–15",IF(G2135&lt;=30,"16–30",IF(G2135&lt;=50,"31–50",IF(G2135&lt;=100,"51–100",IF(G2135&lt;=150,"101–150",IF(G2135&lt;=200,"151–200",IF(G2135&lt;=500,"201–500","500+"))))))))</f>
        <v/>
      </c>
      <c r="P2135" s="16" t="inlineStr">
        <is>
          <t>Нет совпадения в предоставленной выгрузке ССЧР</t>
        </is>
      </c>
      <c r="Q2135" s="16" t="n"/>
      <c r="R2135" s="16">
        <f>HYPERLINK("https://checko.ru/search?query=3801001629","Чекко: проверить")</f>
        <v/>
      </c>
      <c r="S2135" t="n">
        <v>0</v>
      </c>
    </row>
    <row r="2136" ht="27.75" customHeight="1" s="24">
      <c r="A2136" s="13" t="n">
        <v>5000094610</v>
      </c>
      <c r="B2136" s="13" t="inlineStr">
        <is>
          <t>Местная администрация с.п. Заречное Прохладненского муниципального района КБР</t>
        </is>
      </c>
      <c r="C2136" s="13" t="n">
        <v>704003431</v>
      </c>
      <c r="D2136" s="13" t="n"/>
      <c r="E2136" s="13" t="inlineStr">
        <is>
          <t>Не определён</t>
        </is>
      </c>
      <c r="F2136" s="13" t="inlineStr">
        <is>
          <t>704003431</t>
        </is>
      </c>
      <c r="G2136" s="14" t="n"/>
      <c r="H2136" s="14" t="n"/>
      <c r="I2136" s="14" t="n"/>
      <c r="J2136" s="14" t="n"/>
      <c r="K2136" s="13">
        <f>IF(G2136="","",IF(G2136&gt;=22,"Да","Нет"))</f>
        <v/>
      </c>
      <c r="L2136" s="13">
        <f>IF(OR(I2136="",J2136=""),"Не определено",IF(OR(COUNTIF(I2136,"45*")&gt;0,COUNTIF(J2136,"*45*")&gt;0,COUNTIF(I2136,"46*")&gt;0,COUNTIF(J2136,"*46*")&gt;0,COUNTIF(I2136,"47*")&gt;0,COUNTIF(J2136,"*47*")&gt;0,COUNTIF(I2136,"10*")&gt;0,COUNTIF(J2136,"*10*")&gt;0,COUNTIF(I2136,"11*")&gt;0,COUNTIF(J2136,"*11*")&gt;0,COUNTIF(I2136,"12*")&gt;0,COUNTIF(J2136,"*12*")&gt;0,COUNTIF(I2136,"13*")&gt;0,COUNTIF(J2136,"*13*")&gt;0,COUNTIF(I2136,"14*")&gt;0,COUNTIF(J2136,"*14*")&gt;0,COUNTIF(I2136,"15*")&gt;0,COUNTIF(J2136,"*15*")&gt;0,COUNTIF(I2136,"16*")&gt;0,COUNTIF(J2136,"*16*")&gt;0,COUNTIF(I2136,"17*")&gt;0,COUNTIF(J2136,"*17*")&gt;0,COUNTIF(I2136,"18*")&gt;0,COUNTIF(J2136,"*18*")&gt;0,COUNTIF(I2136,"19*")&gt;0,COUNTIF(J2136,"*19*")&gt;0,COUNTIF(I2136,"20*")&gt;0,COUNTIF(J2136,"*20*")&gt;0,COUNTIF(I2136,"21*")&gt;0,COUNTIF(J2136,"*21*")&gt;0,COUNTIF(I2136,"22*")&gt;0,COUNTIF(J2136,"*22*")&gt;0,COUNTIF(I2136,"23*")&gt;0,COUNTIF(J2136,"*23*")&gt;0,COUNTIF(I2136,"24*")&gt;0,COUNTIF(J2136,"*24*")&gt;0,COUNTIF(I2136,"25*")&gt;0,COUNTIF(J2136,"*25*")&gt;0,COUNTIF(I2136,"26*")&gt;0,COUNTIF(J2136,"*26*")&gt;0,COUNTIF(I2136,"27*")&gt;0,COUNTIF(J2136,"*27*")&gt;0,COUNTIF(I2136,"28*")&gt;0,COUNTIF(J2136,"*28*")&gt;0,COUNTIF(I2136,"29*")&gt;0,COUNTIF(J2136,"*29*")&gt;0,COUNTIF(I2136,"30*")&gt;0,COUNTIF(J2136,"*30*")&gt;0,COUNTIF(I2136,"31*")&gt;0,COUNTIF(J2136,"*31*")&gt;0,COUNTIF(I2136,"32*")&gt;0,COUNTIF(J2136,"*32*")&gt;0,COUNTIF(I2136,"33*")&gt;0,COUNTIF(J2136,"*33*")&gt;0,COUNTIF(I2136,"41*")&gt;0,COUNTIF(J2136,"*41*")&gt;0,COUNTIF(I2136,"42*")&gt;0,COUNTIF(J2136,"*42*")&gt;0,COUNTIF(I2136,"43*")&gt;0,COUNTIF(J2136,"*43*")&gt;0,COUNTIF(I2136,"49*")&gt;0,COUNTIF(J2136,"*49*")&gt;0,COUNTIF(I2136,"52*")&gt;0,COUNTIF(J2136,"*52*")&gt;0,COUNTIF(I2136,"55*")&gt;0,COUNTIF(J2136,"*55*")&gt;0,COUNTIF(I2136,"56*")&gt;0,COUNTIF(J2136,"*56*")&gt;0,COUNTIF(I2136,"68*")&gt;0,COUNTIF(J2136,"*68*")&gt;0,COUNTIF(I2136,"78*")&gt;0,COUNTIF(J2136,"*78*")&gt;0,COUNTIF(I2136,"81*")&gt;0,COUNTIF(J2136,"*81*")&gt;0,COUNTIF(I2136,"82*")&gt;0,COUNTIF(J2136,"*82*")&gt;0,COUNTIF(I2136,"64*")&gt;0,COUNTIF(J2136,"*64*")&gt;0,COUNTIF(I2136,"65*")&gt;0,COUNTIF(J2136,"*65*")&gt;0,COUNTIF(I2136,"66*")&gt;0,COUNTIF(J2136,"*66*")&gt;0,COUNTIF(I2136,"61*")&gt;0,COUNTIF(J2136,"*61*")&gt;0,COUNTIF(I2136,"62*")&gt;0,COUNTIF(J2136,"*62*")&gt;0,COUNTIF(I2136,"63*")&gt;0,COUNTIF(J2136,"*63*")&gt;0,COUNTIF(I2136,"85*")&gt;0,COUNTIF(J2136,"*85*")&gt;0,COUNTIF(I2136,"86*")&gt;0,COUNTIF(J2136,"*86*")&gt;0),"Да","Нет"))</f>
        <v/>
      </c>
      <c r="M2136" s="13">
        <f>IF(OR(G2136="",L2136&lt;&gt;"Да"),"",IF(G2136&lt;=100,"До 100",IF(G2136&lt;=200,"До 200",IF(G2136&lt;=500,"До 500","Отдельное КП"))))</f>
        <v/>
      </c>
      <c r="N2136" s="15">
        <f>IF(OR(G2136="",L2136&lt;&gt;"Да"),"",IF(G2136&lt;=100,33600,IF(G2136&lt;=200,62400,IF(G2136&lt;=500,144000,""))))</f>
        <v/>
      </c>
      <c r="O2136" s="16">
        <f>IF(G2136="","",IF(G2136&lt;=15,"1–15",IF(G2136&lt;=30,"16–30",IF(G2136&lt;=50,"31–50",IF(G2136&lt;=100,"51–100",IF(G2136&lt;=150,"101–150",IF(G2136&lt;=200,"151–200",IF(G2136&lt;=500,"201–500","500+"))))))))</f>
        <v/>
      </c>
      <c r="P2136" s="16" t="inlineStr">
        <is>
          <t>Нет совпадения в предоставленной выгрузке ССЧР</t>
        </is>
      </c>
      <c r="Q2136" s="16" t="n"/>
      <c r="R2136" s="16">
        <f>HYPERLINK("https://checko.ru/search?query=3801001629","Чекко: проверить")</f>
        <v/>
      </c>
      <c r="S2136" t="n">
        <v>0</v>
      </c>
    </row>
    <row r="2137" ht="27.75" customHeight="1" s="24">
      <c r="A2137" s="13" t="n">
        <v>5000094611</v>
      </c>
      <c r="B2137" s="13" t="inlineStr">
        <is>
          <t>Местная администрация сельского поселения Ульяновское</t>
        </is>
      </c>
      <c r="C2137" s="13" t="n">
        <v>704003449</v>
      </c>
      <c r="D2137" s="13" t="n"/>
      <c r="E2137" s="13" t="inlineStr">
        <is>
          <t>Не определён</t>
        </is>
      </c>
      <c r="F2137" s="13" t="inlineStr">
        <is>
          <t>704003449</t>
        </is>
      </c>
      <c r="G2137" s="14" t="n"/>
      <c r="H2137" s="14" t="n"/>
      <c r="I2137" s="14" t="n"/>
      <c r="J2137" s="14" t="n"/>
      <c r="K2137" s="13">
        <f>IF(G2137="","",IF(G2137&gt;=22,"Да","Нет"))</f>
        <v/>
      </c>
      <c r="L2137" s="13">
        <f>IF(OR(I2137="",J2137=""),"Не определено",IF(OR(COUNTIF(I2137,"45*")&gt;0,COUNTIF(J2137,"*45*")&gt;0,COUNTIF(I2137,"46*")&gt;0,COUNTIF(J2137,"*46*")&gt;0,COUNTIF(I2137,"47*")&gt;0,COUNTIF(J2137,"*47*")&gt;0,COUNTIF(I2137,"10*")&gt;0,COUNTIF(J2137,"*10*")&gt;0,COUNTIF(I2137,"11*")&gt;0,COUNTIF(J2137,"*11*")&gt;0,COUNTIF(I2137,"12*")&gt;0,COUNTIF(J2137,"*12*")&gt;0,COUNTIF(I2137,"13*")&gt;0,COUNTIF(J2137,"*13*")&gt;0,COUNTIF(I2137,"14*")&gt;0,COUNTIF(J2137,"*14*")&gt;0,COUNTIF(I2137,"15*")&gt;0,COUNTIF(J2137,"*15*")&gt;0,COUNTIF(I2137,"16*")&gt;0,COUNTIF(J2137,"*16*")&gt;0,COUNTIF(I2137,"17*")&gt;0,COUNTIF(J2137,"*17*")&gt;0,COUNTIF(I2137,"18*")&gt;0,COUNTIF(J2137,"*18*")&gt;0,COUNTIF(I2137,"19*")&gt;0,COUNTIF(J2137,"*19*")&gt;0,COUNTIF(I2137,"20*")&gt;0,COUNTIF(J2137,"*20*")&gt;0,COUNTIF(I2137,"21*")&gt;0,COUNTIF(J2137,"*21*")&gt;0,COUNTIF(I2137,"22*")&gt;0,COUNTIF(J2137,"*22*")&gt;0,COUNTIF(I2137,"23*")&gt;0,COUNTIF(J2137,"*23*")&gt;0,COUNTIF(I2137,"24*")&gt;0,COUNTIF(J2137,"*24*")&gt;0,COUNTIF(I2137,"25*")&gt;0,COUNTIF(J2137,"*25*")&gt;0,COUNTIF(I2137,"26*")&gt;0,COUNTIF(J2137,"*26*")&gt;0,COUNTIF(I2137,"27*")&gt;0,COUNTIF(J2137,"*27*")&gt;0,COUNTIF(I2137,"28*")&gt;0,COUNTIF(J2137,"*28*")&gt;0,COUNTIF(I2137,"29*")&gt;0,COUNTIF(J2137,"*29*")&gt;0,COUNTIF(I2137,"30*")&gt;0,COUNTIF(J2137,"*30*")&gt;0,COUNTIF(I2137,"31*")&gt;0,COUNTIF(J2137,"*31*")&gt;0,COUNTIF(I2137,"32*")&gt;0,COUNTIF(J2137,"*32*")&gt;0,COUNTIF(I2137,"33*")&gt;0,COUNTIF(J2137,"*33*")&gt;0,COUNTIF(I2137,"41*")&gt;0,COUNTIF(J2137,"*41*")&gt;0,COUNTIF(I2137,"42*")&gt;0,COUNTIF(J2137,"*42*")&gt;0,COUNTIF(I2137,"43*")&gt;0,COUNTIF(J2137,"*43*")&gt;0,COUNTIF(I2137,"49*")&gt;0,COUNTIF(J2137,"*49*")&gt;0,COUNTIF(I2137,"52*")&gt;0,COUNTIF(J2137,"*52*")&gt;0,COUNTIF(I2137,"55*")&gt;0,COUNTIF(J2137,"*55*")&gt;0,COUNTIF(I2137,"56*")&gt;0,COUNTIF(J2137,"*56*")&gt;0,COUNTIF(I2137,"68*")&gt;0,COUNTIF(J2137,"*68*")&gt;0,COUNTIF(I2137,"78*")&gt;0,COUNTIF(J2137,"*78*")&gt;0,COUNTIF(I2137,"81*")&gt;0,COUNTIF(J2137,"*81*")&gt;0,COUNTIF(I2137,"82*")&gt;0,COUNTIF(J2137,"*82*")&gt;0,COUNTIF(I2137,"64*")&gt;0,COUNTIF(J2137,"*64*")&gt;0,COUNTIF(I2137,"65*")&gt;0,COUNTIF(J2137,"*65*")&gt;0,COUNTIF(I2137,"66*")&gt;0,COUNTIF(J2137,"*66*")&gt;0,COUNTIF(I2137,"61*")&gt;0,COUNTIF(J2137,"*61*")&gt;0,COUNTIF(I2137,"62*")&gt;0,COUNTIF(J2137,"*62*")&gt;0,COUNTIF(I2137,"63*")&gt;0,COUNTIF(J2137,"*63*")&gt;0,COUNTIF(I2137,"85*")&gt;0,COUNTIF(J2137,"*85*")&gt;0,COUNTIF(I2137,"86*")&gt;0,COUNTIF(J2137,"*86*")&gt;0),"Да","Нет"))</f>
        <v/>
      </c>
      <c r="M2137" s="13">
        <f>IF(OR(G2137="",L2137&lt;&gt;"Да"),"",IF(G2137&lt;=100,"До 100",IF(G2137&lt;=200,"До 200",IF(G2137&lt;=500,"До 500","Отдельное КП"))))</f>
        <v/>
      </c>
      <c r="N2137" s="15">
        <f>IF(OR(G2137="",L2137&lt;&gt;"Да"),"",IF(G2137&lt;=100,33600,IF(G2137&lt;=200,62400,IF(G2137&lt;=500,144000,""))))</f>
        <v/>
      </c>
      <c r="O2137" s="16">
        <f>IF(G2137="","",IF(G2137&lt;=15,"1–15",IF(G2137&lt;=30,"16–30",IF(G2137&lt;=50,"31–50",IF(G2137&lt;=100,"51–100",IF(G2137&lt;=150,"101–150",IF(G2137&lt;=200,"151–200",IF(G2137&lt;=500,"201–500","500+"))))))))</f>
        <v/>
      </c>
      <c r="P2137" s="16" t="inlineStr">
        <is>
          <t>Нет совпадения в предоставленной выгрузке ССЧР</t>
        </is>
      </c>
      <c r="Q2137" s="16" t="n"/>
      <c r="R2137" s="16">
        <f>HYPERLINK("https://checko.ru/search?query=3801001629","Чекко: проверить")</f>
        <v/>
      </c>
      <c r="S2137" t="n">
        <v>0</v>
      </c>
    </row>
    <row r="2138" ht="15" customHeight="1" s="24">
      <c r="A2138" s="13" t="n">
        <v>5000094615</v>
      </c>
      <c r="B2138" s="13" t="inlineStr">
        <is>
          <t>МУ "РФУ Терского муниципального района КБР"</t>
        </is>
      </c>
      <c r="C2138" s="13" t="n">
        <v>705001290</v>
      </c>
      <c r="D2138" s="13" t="n"/>
      <c r="E2138" s="13" t="inlineStr">
        <is>
          <t>Не определён</t>
        </is>
      </c>
      <c r="F2138" s="13" t="inlineStr">
        <is>
          <t>705001290</t>
        </is>
      </c>
      <c r="G2138" s="14" t="n"/>
      <c r="H2138" s="14" t="n"/>
      <c r="I2138" s="14" t="n"/>
      <c r="J2138" s="14" t="n"/>
      <c r="K2138" s="13">
        <f>IF(G2138="","",IF(G2138&gt;=22,"Да","Нет"))</f>
        <v/>
      </c>
      <c r="L2138" s="13">
        <f>IF(OR(I2138="",J2138=""),"Не определено",IF(OR(COUNTIF(I2138,"45*")&gt;0,COUNTIF(J2138,"*45*")&gt;0,COUNTIF(I2138,"46*")&gt;0,COUNTIF(J2138,"*46*")&gt;0,COUNTIF(I2138,"47*")&gt;0,COUNTIF(J2138,"*47*")&gt;0,COUNTIF(I2138,"10*")&gt;0,COUNTIF(J2138,"*10*")&gt;0,COUNTIF(I2138,"11*")&gt;0,COUNTIF(J2138,"*11*")&gt;0,COUNTIF(I2138,"12*")&gt;0,COUNTIF(J2138,"*12*")&gt;0,COUNTIF(I2138,"13*")&gt;0,COUNTIF(J2138,"*13*")&gt;0,COUNTIF(I2138,"14*")&gt;0,COUNTIF(J2138,"*14*")&gt;0,COUNTIF(I2138,"15*")&gt;0,COUNTIF(J2138,"*15*")&gt;0,COUNTIF(I2138,"16*")&gt;0,COUNTIF(J2138,"*16*")&gt;0,COUNTIF(I2138,"17*")&gt;0,COUNTIF(J2138,"*17*")&gt;0,COUNTIF(I2138,"18*")&gt;0,COUNTIF(J2138,"*18*")&gt;0,COUNTIF(I2138,"19*")&gt;0,COUNTIF(J2138,"*19*")&gt;0,COUNTIF(I2138,"20*")&gt;0,COUNTIF(J2138,"*20*")&gt;0,COUNTIF(I2138,"21*")&gt;0,COUNTIF(J2138,"*21*")&gt;0,COUNTIF(I2138,"22*")&gt;0,COUNTIF(J2138,"*22*")&gt;0,COUNTIF(I2138,"23*")&gt;0,COUNTIF(J2138,"*23*")&gt;0,COUNTIF(I2138,"24*")&gt;0,COUNTIF(J2138,"*24*")&gt;0,COUNTIF(I2138,"25*")&gt;0,COUNTIF(J2138,"*25*")&gt;0,COUNTIF(I2138,"26*")&gt;0,COUNTIF(J2138,"*26*")&gt;0,COUNTIF(I2138,"27*")&gt;0,COUNTIF(J2138,"*27*")&gt;0,COUNTIF(I2138,"28*")&gt;0,COUNTIF(J2138,"*28*")&gt;0,COUNTIF(I2138,"29*")&gt;0,COUNTIF(J2138,"*29*")&gt;0,COUNTIF(I2138,"30*")&gt;0,COUNTIF(J2138,"*30*")&gt;0,COUNTIF(I2138,"31*")&gt;0,COUNTIF(J2138,"*31*")&gt;0,COUNTIF(I2138,"32*")&gt;0,COUNTIF(J2138,"*32*")&gt;0,COUNTIF(I2138,"33*")&gt;0,COUNTIF(J2138,"*33*")&gt;0,COUNTIF(I2138,"41*")&gt;0,COUNTIF(J2138,"*41*")&gt;0,COUNTIF(I2138,"42*")&gt;0,COUNTIF(J2138,"*42*")&gt;0,COUNTIF(I2138,"43*")&gt;0,COUNTIF(J2138,"*43*")&gt;0,COUNTIF(I2138,"49*")&gt;0,COUNTIF(J2138,"*49*")&gt;0,COUNTIF(I2138,"52*")&gt;0,COUNTIF(J2138,"*52*")&gt;0,COUNTIF(I2138,"55*")&gt;0,COUNTIF(J2138,"*55*")&gt;0,COUNTIF(I2138,"56*")&gt;0,COUNTIF(J2138,"*56*")&gt;0,COUNTIF(I2138,"68*")&gt;0,COUNTIF(J2138,"*68*")&gt;0,COUNTIF(I2138,"78*")&gt;0,COUNTIF(J2138,"*78*")&gt;0,COUNTIF(I2138,"81*")&gt;0,COUNTIF(J2138,"*81*")&gt;0,COUNTIF(I2138,"82*")&gt;0,COUNTIF(J2138,"*82*")&gt;0,COUNTIF(I2138,"64*")&gt;0,COUNTIF(J2138,"*64*")&gt;0,COUNTIF(I2138,"65*")&gt;0,COUNTIF(J2138,"*65*")&gt;0,COUNTIF(I2138,"66*")&gt;0,COUNTIF(J2138,"*66*")&gt;0,COUNTIF(I2138,"61*")&gt;0,COUNTIF(J2138,"*61*")&gt;0,COUNTIF(I2138,"62*")&gt;0,COUNTIF(J2138,"*62*")&gt;0,COUNTIF(I2138,"63*")&gt;0,COUNTIF(J2138,"*63*")&gt;0,COUNTIF(I2138,"85*")&gt;0,COUNTIF(J2138,"*85*")&gt;0,COUNTIF(I2138,"86*")&gt;0,COUNTIF(J2138,"*86*")&gt;0),"Да","Нет"))</f>
        <v/>
      </c>
      <c r="M2138" s="13">
        <f>IF(OR(G2138="",L2138&lt;&gt;"Да"),"",IF(G2138&lt;=100,"До 100",IF(G2138&lt;=200,"До 200",IF(G2138&lt;=500,"До 500","Отдельное КП"))))</f>
        <v/>
      </c>
      <c r="N2138" s="15">
        <f>IF(OR(G2138="",L2138&lt;&gt;"Да"),"",IF(G2138&lt;=100,33600,IF(G2138&lt;=200,62400,IF(G2138&lt;=500,144000,""))))</f>
        <v/>
      </c>
      <c r="O2138" s="16">
        <f>IF(G2138="","",IF(G2138&lt;=15,"1–15",IF(G2138&lt;=30,"16–30",IF(G2138&lt;=50,"31–50",IF(G2138&lt;=100,"51–100",IF(G2138&lt;=150,"101–150",IF(G2138&lt;=200,"151–200",IF(G2138&lt;=500,"201–500","500+"))))))))</f>
        <v/>
      </c>
      <c r="P2138" s="16" t="inlineStr">
        <is>
          <t>Нет совпадения в предоставленной выгрузке ССЧР</t>
        </is>
      </c>
      <c r="Q2138" s="16" t="n"/>
      <c r="R2138" s="16">
        <f>HYPERLINK("https://checko.ru/search?query=3801001629","Чекко: проверить")</f>
        <v/>
      </c>
      <c r="S2138" t="n">
        <v>0</v>
      </c>
    </row>
    <row r="2139" ht="27.75" customHeight="1" s="24">
      <c r="A2139" s="13" t="n">
        <v>5000094617</v>
      </c>
      <c r="B2139" s="13" t="inlineStr">
        <is>
          <t>МУ "Местная Администрация ГП Терек Терского муницип.р-на"</t>
        </is>
      </c>
      <c r="C2139" s="13" t="n">
        <v>705001324</v>
      </c>
      <c r="D2139" s="13" t="n"/>
      <c r="E2139" s="13" t="inlineStr">
        <is>
          <t>Не определён</t>
        </is>
      </c>
      <c r="F2139" s="13" t="inlineStr">
        <is>
          <t>705001324</t>
        </is>
      </c>
      <c r="G2139" s="14" t="n"/>
      <c r="H2139" s="14" t="n"/>
      <c r="I2139" s="14" t="n"/>
      <c r="J2139" s="14" t="n"/>
      <c r="K2139" s="13">
        <f>IF(G2139="","",IF(G2139&gt;=22,"Да","Нет"))</f>
        <v/>
      </c>
      <c r="L2139" s="13">
        <f>IF(OR(I2139="",J2139=""),"Не определено",IF(OR(COUNTIF(I2139,"45*")&gt;0,COUNTIF(J2139,"*45*")&gt;0,COUNTIF(I2139,"46*")&gt;0,COUNTIF(J2139,"*46*")&gt;0,COUNTIF(I2139,"47*")&gt;0,COUNTIF(J2139,"*47*")&gt;0,COUNTIF(I2139,"10*")&gt;0,COUNTIF(J2139,"*10*")&gt;0,COUNTIF(I2139,"11*")&gt;0,COUNTIF(J2139,"*11*")&gt;0,COUNTIF(I2139,"12*")&gt;0,COUNTIF(J2139,"*12*")&gt;0,COUNTIF(I2139,"13*")&gt;0,COUNTIF(J2139,"*13*")&gt;0,COUNTIF(I2139,"14*")&gt;0,COUNTIF(J2139,"*14*")&gt;0,COUNTIF(I2139,"15*")&gt;0,COUNTIF(J2139,"*15*")&gt;0,COUNTIF(I2139,"16*")&gt;0,COUNTIF(J2139,"*16*")&gt;0,COUNTIF(I2139,"17*")&gt;0,COUNTIF(J2139,"*17*")&gt;0,COUNTIF(I2139,"18*")&gt;0,COUNTIF(J2139,"*18*")&gt;0,COUNTIF(I2139,"19*")&gt;0,COUNTIF(J2139,"*19*")&gt;0,COUNTIF(I2139,"20*")&gt;0,COUNTIF(J2139,"*20*")&gt;0,COUNTIF(I2139,"21*")&gt;0,COUNTIF(J2139,"*21*")&gt;0,COUNTIF(I2139,"22*")&gt;0,COUNTIF(J2139,"*22*")&gt;0,COUNTIF(I2139,"23*")&gt;0,COUNTIF(J2139,"*23*")&gt;0,COUNTIF(I2139,"24*")&gt;0,COUNTIF(J2139,"*24*")&gt;0,COUNTIF(I2139,"25*")&gt;0,COUNTIF(J2139,"*25*")&gt;0,COUNTIF(I2139,"26*")&gt;0,COUNTIF(J2139,"*26*")&gt;0,COUNTIF(I2139,"27*")&gt;0,COUNTIF(J2139,"*27*")&gt;0,COUNTIF(I2139,"28*")&gt;0,COUNTIF(J2139,"*28*")&gt;0,COUNTIF(I2139,"29*")&gt;0,COUNTIF(J2139,"*29*")&gt;0,COUNTIF(I2139,"30*")&gt;0,COUNTIF(J2139,"*30*")&gt;0,COUNTIF(I2139,"31*")&gt;0,COUNTIF(J2139,"*31*")&gt;0,COUNTIF(I2139,"32*")&gt;0,COUNTIF(J2139,"*32*")&gt;0,COUNTIF(I2139,"33*")&gt;0,COUNTIF(J2139,"*33*")&gt;0,COUNTIF(I2139,"41*")&gt;0,COUNTIF(J2139,"*41*")&gt;0,COUNTIF(I2139,"42*")&gt;0,COUNTIF(J2139,"*42*")&gt;0,COUNTIF(I2139,"43*")&gt;0,COUNTIF(J2139,"*43*")&gt;0,COUNTIF(I2139,"49*")&gt;0,COUNTIF(J2139,"*49*")&gt;0,COUNTIF(I2139,"52*")&gt;0,COUNTIF(J2139,"*52*")&gt;0,COUNTIF(I2139,"55*")&gt;0,COUNTIF(J2139,"*55*")&gt;0,COUNTIF(I2139,"56*")&gt;0,COUNTIF(J2139,"*56*")&gt;0,COUNTIF(I2139,"68*")&gt;0,COUNTIF(J2139,"*68*")&gt;0,COUNTIF(I2139,"78*")&gt;0,COUNTIF(J2139,"*78*")&gt;0,COUNTIF(I2139,"81*")&gt;0,COUNTIF(J2139,"*81*")&gt;0,COUNTIF(I2139,"82*")&gt;0,COUNTIF(J2139,"*82*")&gt;0,COUNTIF(I2139,"64*")&gt;0,COUNTIF(J2139,"*64*")&gt;0,COUNTIF(I2139,"65*")&gt;0,COUNTIF(J2139,"*65*")&gt;0,COUNTIF(I2139,"66*")&gt;0,COUNTIF(J2139,"*66*")&gt;0,COUNTIF(I2139,"61*")&gt;0,COUNTIF(J2139,"*61*")&gt;0,COUNTIF(I2139,"62*")&gt;0,COUNTIF(J2139,"*62*")&gt;0,COUNTIF(I2139,"63*")&gt;0,COUNTIF(J2139,"*63*")&gt;0,COUNTIF(I2139,"85*")&gt;0,COUNTIF(J2139,"*85*")&gt;0,COUNTIF(I2139,"86*")&gt;0,COUNTIF(J2139,"*86*")&gt;0),"Да","Нет"))</f>
        <v/>
      </c>
      <c r="M2139" s="13">
        <f>IF(OR(G2139="",L2139&lt;&gt;"Да"),"",IF(G2139&lt;=100,"До 100",IF(G2139&lt;=200,"До 200",IF(G2139&lt;=500,"До 500","Отдельное КП"))))</f>
        <v/>
      </c>
      <c r="N2139" s="15">
        <f>IF(OR(G2139="",L2139&lt;&gt;"Да"),"",IF(G2139&lt;=100,33600,IF(G2139&lt;=200,62400,IF(G2139&lt;=500,144000,""))))</f>
        <v/>
      </c>
      <c r="O2139" s="16">
        <f>IF(G2139="","",IF(G2139&lt;=15,"1–15",IF(G2139&lt;=30,"16–30",IF(G2139&lt;=50,"31–50",IF(G2139&lt;=100,"51–100",IF(G2139&lt;=150,"101–150",IF(G2139&lt;=200,"151–200",IF(G2139&lt;=500,"201–500","500+"))))))))</f>
        <v/>
      </c>
      <c r="P2139" s="16" t="inlineStr">
        <is>
          <t>Нет совпадения в предоставленной выгрузке ССЧР</t>
        </is>
      </c>
      <c r="Q2139" s="16" t="n"/>
      <c r="R2139" s="16">
        <f>HYPERLINK("https://checko.ru/search?query=3801001629","Чекко: проверить")</f>
        <v/>
      </c>
      <c r="S2139" t="n">
        <v>0</v>
      </c>
    </row>
    <row r="2140" ht="27.75" customHeight="1" s="24">
      <c r="A2140" s="13" t="n">
        <v>5000094618</v>
      </c>
      <c r="B2140" s="13" t="inlineStr">
        <is>
          <t>МУ "Местная Администрация сельского поселения Тамбовское"</t>
        </is>
      </c>
      <c r="C2140" s="13" t="n">
        <v>705001331</v>
      </c>
      <c r="D2140" s="13" t="n"/>
      <c r="E2140" s="13" t="inlineStr">
        <is>
          <t>Не определён</t>
        </is>
      </c>
      <c r="F2140" s="13" t="inlineStr">
        <is>
          <t>705001331</t>
        </is>
      </c>
      <c r="G2140" s="14" t="n"/>
      <c r="H2140" s="14" t="n"/>
      <c r="I2140" s="14" t="n"/>
      <c r="J2140" s="14" t="n"/>
      <c r="K2140" s="13">
        <f>IF(G2140="","",IF(G2140&gt;=22,"Да","Нет"))</f>
        <v/>
      </c>
      <c r="L2140" s="13">
        <f>IF(OR(I2140="",J2140=""),"Не определено",IF(OR(COUNTIF(I2140,"45*")&gt;0,COUNTIF(J2140,"*45*")&gt;0,COUNTIF(I2140,"46*")&gt;0,COUNTIF(J2140,"*46*")&gt;0,COUNTIF(I2140,"47*")&gt;0,COUNTIF(J2140,"*47*")&gt;0,COUNTIF(I2140,"10*")&gt;0,COUNTIF(J2140,"*10*")&gt;0,COUNTIF(I2140,"11*")&gt;0,COUNTIF(J2140,"*11*")&gt;0,COUNTIF(I2140,"12*")&gt;0,COUNTIF(J2140,"*12*")&gt;0,COUNTIF(I2140,"13*")&gt;0,COUNTIF(J2140,"*13*")&gt;0,COUNTIF(I2140,"14*")&gt;0,COUNTIF(J2140,"*14*")&gt;0,COUNTIF(I2140,"15*")&gt;0,COUNTIF(J2140,"*15*")&gt;0,COUNTIF(I2140,"16*")&gt;0,COUNTIF(J2140,"*16*")&gt;0,COUNTIF(I2140,"17*")&gt;0,COUNTIF(J2140,"*17*")&gt;0,COUNTIF(I2140,"18*")&gt;0,COUNTIF(J2140,"*18*")&gt;0,COUNTIF(I2140,"19*")&gt;0,COUNTIF(J2140,"*19*")&gt;0,COUNTIF(I2140,"20*")&gt;0,COUNTIF(J2140,"*20*")&gt;0,COUNTIF(I2140,"21*")&gt;0,COUNTIF(J2140,"*21*")&gt;0,COUNTIF(I2140,"22*")&gt;0,COUNTIF(J2140,"*22*")&gt;0,COUNTIF(I2140,"23*")&gt;0,COUNTIF(J2140,"*23*")&gt;0,COUNTIF(I2140,"24*")&gt;0,COUNTIF(J2140,"*24*")&gt;0,COUNTIF(I2140,"25*")&gt;0,COUNTIF(J2140,"*25*")&gt;0,COUNTIF(I2140,"26*")&gt;0,COUNTIF(J2140,"*26*")&gt;0,COUNTIF(I2140,"27*")&gt;0,COUNTIF(J2140,"*27*")&gt;0,COUNTIF(I2140,"28*")&gt;0,COUNTIF(J2140,"*28*")&gt;0,COUNTIF(I2140,"29*")&gt;0,COUNTIF(J2140,"*29*")&gt;0,COUNTIF(I2140,"30*")&gt;0,COUNTIF(J2140,"*30*")&gt;0,COUNTIF(I2140,"31*")&gt;0,COUNTIF(J2140,"*31*")&gt;0,COUNTIF(I2140,"32*")&gt;0,COUNTIF(J2140,"*32*")&gt;0,COUNTIF(I2140,"33*")&gt;0,COUNTIF(J2140,"*33*")&gt;0,COUNTIF(I2140,"41*")&gt;0,COUNTIF(J2140,"*41*")&gt;0,COUNTIF(I2140,"42*")&gt;0,COUNTIF(J2140,"*42*")&gt;0,COUNTIF(I2140,"43*")&gt;0,COUNTIF(J2140,"*43*")&gt;0,COUNTIF(I2140,"49*")&gt;0,COUNTIF(J2140,"*49*")&gt;0,COUNTIF(I2140,"52*")&gt;0,COUNTIF(J2140,"*52*")&gt;0,COUNTIF(I2140,"55*")&gt;0,COUNTIF(J2140,"*55*")&gt;0,COUNTIF(I2140,"56*")&gt;0,COUNTIF(J2140,"*56*")&gt;0,COUNTIF(I2140,"68*")&gt;0,COUNTIF(J2140,"*68*")&gt;0,COUNTIF(I2140,"78*")&gt;0,COUNTIF(J2140,"*78*")&gt;0,COUNTIF(I2140,"81*")&gt;0,COUNTIF(J2140,"*81*")&gt;0,COUNTIF(I2140,"82*")&gt;0,COUNTIF(J2140,"*82*")&gt;0,COUNTIF(I2140,"64*")&gt;0,COUNTIF(J2140,"*64*")&gt;0,COUNTIF(I2140,"65*")&gt;0,COUNTIF(J2140,"*65*")&gt;0,COUNTIF(I2140,"66*")&gt;0,COUNTIF(J2140,"*66*")&gt;0,COUNTIF(I2140,"61*")&gt;0,COUNTIF(J2140,"*61*")&gt;0,COUNTIF(I2140,"62*")&gt;0,COUNTIF(J2140,"*62*")&gt;0,COUNTIF(I2140,"63*")&gt;0,COUNTIF(J2140,"*63*")&gt;0,COUNTIF(I2140,"85*")&gt;0,COUNTIF(J2140,"*85*")&gt;0,COUNTIF(I2140,"86*")&gt;0,COUNTIF(J2140,"*86*")&gt;0),"Да","Нет"))</f>
        <v/>
      </c>
      <c r="M2140" s="13">
        <f>IF(OR(G2140="",L2140&lt;&gt;"Да"),"",IF(G2140&lt;=100,"До 100",IF(G2140&lt;=200,"До 200",IF(G2140&lt;=500,"До 500","Отдельное КП"))))</f>
        <v/>
      </c>
      <c r="N2140" s="15">
        <f>IF(OR(G2140="",L2140&lt;&gt;"Да"),"",IF(G2140&lt;=100,33600,IF(G2140&lt;=200,62400,IF(G2140&lt;=500,144000,""))))</f>
        <v/>
      </c>
      <c r="O2140" s="16">
        <f>IF(G2140="","",IF(G2140&lt;=15,"1–15",IF(G2140&lt;=30,"16–30",IF(G2140&lt;=50,"31–50",IF(G2140&lt;=100,"51–100",IF(G2140&lt;=150,"101–150",IF(G2140&lt;=200,"151–200",IF(G2140&lt;=500,"201–500","500+"))))))))</f>
        <v/>
      </c>
      <c r="P2140" s="16" t="inlineStr">
        <is>
          <t>Нет совпадения в предоставленной выгрузке ССЧР</t>
        </is>
      </c>
      <c r="Q2140" s="16" t="n"/>
      <c r="R2140" s="16">
        <f>HYPERLINK("https://checko.ru/search?query=3801001629","Чекко: проверить")</f>
        <v/>
      </c>
      <c r="S2140" t="n">
        <v>0</v>
      </c>
    </row>
    <row r="2141" ht="15" customHeight="1" s="24">
      <c r="A2141" s="13" t="n">
        <v>5000094620</v>
      </c>
      <c r="B2141" s="13" t="inlineStr">
        <is>
          <t>МКОУ Лицей №1 Г.П. Терек</t>
        </is>
      </c>
      <c r="C2141" s="13" t="n">
        <v>705001518</v>
      </c>
      <c r="D2141" s="13" t="n"/>
      <c r="E2141" s="13" t="inlineStr">
        <is>
          <t>Не определён</t>
        </is>
      </c>
      <c r="F2141" s="13" t="inlineStr">
        <is>
          <t>705001518</t>
        </is>
      </c>
      <c r="G2141" s="14" t="n"/>
      <c r="H2141" s="14" t="n"/>
      <c r="I2141" s="14" t="n"/>
      <c r="J2141" s="14" t="n"/>
      <c r="K2141" s="13">
        <f>IF(G2141="","",IF(G2141&gt;=22,"Да","Нет"))</f>
        <v/>
      </c>
      <c r="L2141" s="13">
        <f>IF(OR(I2141="",J2141=""),"Не определено",IF(OR(COUNTIF(I2141,"45*")&gt;0,COUNTIF(J2141,"*45*")&gt;0,COUNTIF(I2141,"46*")&gt;0,COUNTIF(J2141,"*46*")&gt;0,COUNTIF(I2141,"47*")&gt;0,COUNTIF(J2141,"*47*")&gt;0,COUNTIF(I2141,"10*")&gt;0,COUNTIF(J2141,"*10*")&gt;0,COUNTIF(I2141,"11*")&gt;0,COUNTIF(J2141,"*11*")&gt;0,COUNTIF(I2141,"12*")&gt;0,COUNTIF(J2141,"*12*")&gt;0,COUNTIF(I2141,"13*")&gt;0,COUNTIF(J2141,"*13*")&gt;0,COUNTIF(I2141,"14*")&gt;0,COUNTIF(J2141,"*14*")&gt;0,COUNTIF(I2141,"15*")&gt;0,COUNTIF(J2141,"*15*")&gt;0,COUNTIF(I2141,"16*")&gt;0,COUNTIF(J2141,"*16*")&gt;0,COUNTIF(I2141,"17*")&gt;0,COUNTIF(J2141,"*17*")&gt;0,COUNTIF(I2141,"18*")&gt;0,COUNTIF(J2141,"*18*")&gt;0,COUNTIF(I2141,"19*")&gt;0,COUNTIF(J2141,"*19*")&gt;0,COUNTIF(I2141,"20*")&gt;0,COUNTIF(J2141,"*20*")&gt;0,COUNTIF(I2141,"21*")&gt;0,COUNTIF(J2141,"*21*")&gt;0,COUNTIF(I2141,"22*")&gt;0,COUNTIF(J2141,"*22*")&gt;0,COUNTIF(I2141,"23*")&gt;0,COUNTIF(J2141,"*23*")&gt;0,COUNTIF(I2141,"24*")&gt;0,COUNTIF(J2141,"*24*")&gt;0,COUNTIF(I2141,"25*")&gt;0,COUNTIF(J2141,"*25*")&gt;0,COUNTIF(I2141,"26*")&gt;0,COUNTIF(J2141,"*26*")&gt;0,COUNTIF(I2141,"27*")&gt;0,COUNTIF(J2141,"*27*")&gt;0,COUNTIF(I2141,"28*")&gt;0,COUNTIF(J2141,"*28*")&gt;0,COUNTIF(I2141,"29*")&gt;0,COUNTIF(J2141,"*29*")&gt;0,COUNTIF(I2141,"30*")&gt;0,COUNTIF(J2141,"*30*")&gt;0,COUNTIF(I2141,"31*")&gt;0,COUNTIF(J2141,"*31*")&gt;0,COUNTIF(I2141,"32*")&gt;0,COUNTIF(J2141,"*32*")&gt;0,COUNTIF(I2141,"33*")&gt;0,COUNTIF(J2141,"*33*")&gt;0,COUNTIF(I2141,"41*")&gt;0,COUNTIF(J2141,"*41*")&gt;0,COUNTIF(I2141,"42*")&gt;0,COUNTIF(J2141,"*42*")&gt;0,COUNTIF(I2141,"43*")&gt;0,COUNTIF(J2141,"*43*")&gt;0,COUNTIF(I2141,"49*")&gt;0,COUNTIF(J2141,"*49*")&gt;0,COUNTIF(I2141,"52*")&gt;0,COUNTIF(J2141,"*52*")&gt;0,COUNTIF(I2141,"55*")&gt;0,COUNTIF(J2141,"*55*")&gt;0,COUNTIF(I2141,"56*")&gt;0,COUNTIF(J2141,"*56*")&gt;0,COUNTIF(I2141,"68*")&gt;0,COUNTIF(J2141,"*68*")&gt;0,COUNTIF(I2141,"78*")&gt;0,COUNTIF(J2141,"*78*")&gt;0,COUNTIF(I2141,"81*")&gt;0,COUNTIF(J2141,"*81*")&gt;0,COUNTIF(I2141,"82*")&gt;0,COUNTIF(J2141,"*82*")&gt;0,COUNTIF(I2141,"64*")&gt;0,COUNTIF(J2141,"*64*")&gt;0,COUNTIF(I2141,"65*")&gt;0,COUNTIF(J2141,"*65*")&gt;0,COUNTIF(I2141,"66*")&gt;0,COUNTIF(J2141,"*66*")&gt;0,COUNTIF(I2141,"61*")&gt;0,COUNTIF(J2141,"*61*")&gt;0,COUNTIF(I2141,"62*")&gt;0,COUNTIF(J2141,"*62*")&gt;0,COUNTIF(I2141,"63*")&gt;0,COUNTIF(J2141,"*63*")&gt;0,COUNTIF(I2141,"85*")&gt;0,COUNTIF(J2141,"*85*")&gt;0,COUNTIF(I2141,"86*")&gt;0,COUNTIF(J2141,"*86*")&gt;0),"Да","Нет"))</f>
        <v/>
      </c>
      <c r="M2141" s="13">
        <f>IF(OR(G2141="",L2141&lt;&gt;"Да"),"",IF(G2141&lt;=100,"До 100",IF(G2141&lt;=200,"До 200",IF(G2141&lt;=500,"До 500","Отдельное КП"))))</f>
        <v/>
      </c>
      <c r="N2141" s="15">
        <f>IF(OR(G2141="",L2141&lt;&gt;"Да"),"",IF(G2141&lt;=100,33600,IF(G2141&lt;=200,62400,IF(G2141&lt;=500,144000,""))))</f>
        <v/>
      </c>
      <c r="O2141" s="16">
        <f>IF(G2141="","",IF(G2141&lt;=15,"1–15",IF(G2141&lt;=30,"16–30",IF(G2141&lt;=50,"31–50",IF(G2141&lt;=100,"51–100",IF(G2141&lt;=150,"101–150",IF(G2141&lt;=200,"151–200",IF(G2141&lt;=500,"201–500","500+"))))))))</f>
        <v/>
      </c>
      <c r="P2141" s="16" t="inlineStr">
        <is>
          <t>Нет совпадения в предоставленной выгрузке ССЧР</t>
        </is>
      </c>
      <c r="Q2141" s="16" t="n"/>
      <c r="R2141" s="16">
        <f>HYPERLINK("https://checko.ru/search?query=3801001629","Чекко: проверить")</f>
        <v/>
      </c>
      <c r="S2141" t="n">
        <v>0</v>
      </c>
    </row>
    <row r="2142" ht="15" customHeight="1" s="24">
      <c r="A2142" s="13" t="n">
        <v>5000094535</v>
      </c>
      <c r="B2142" s="13" t="inlineStr">
        <is>
          <t>МКУ "Дом Культуры" с.п. Светловодское</t>
        </is>
      </c>
      <c r="C2142" s="13" t="n">
        <v>702011099</v>
      </c>
      <c r="D2142" s="13" t="n"/>
      <c r="E2142" s="13" t="inlineStr">
        <is>
          <t>Не определён</t>
        </is>
      </c>
      <c r="F2142" s="13" t="inlineStr">
        <is>
          <t>702011099</t>
        </is>
      </c>
      <c r="G2142" s="14" t="n"/>
      <c r="H2142" s="14" t="n"/>
      <c r="I2142" s="14" t="n"/>
      <c r="J2142" s="14" t="n"/>
      <c r="K2142" s="13">
        <f>IF(G2142="","",IF(G2142&gt;=22,"Да","Нет"))</f>
        <v/>
      </c>
      <c r="L2142" s="13">
        <f>IF(OR(I2142="",J2142=""),"Не определено",IF(OR(COUNTIF(I2142,"45*")&gt;0,COUNTIF(J2142,"*45*")&gt;0,COUNTIF(I2142,"46*")&gt;0,COUNTIF(J2142,"*46*")&gt;0,COUNTIF(I2142,"47*")&gt;0,COUNTIF(J2142,"*47*")&gt;0,COUNTIF(I2142,"10*")&gt;0,COUNTIF(J2142,"*10*")&gt;0,COUNTIF(I2142,"11*")&gt;0,COUNTIF(J2142,"*11*")&gt;0,COUNTIF(I2142,"12*")&gt;0,COUNTIF(J2142,"*12*")&gt;0,COUNTIF(I2142,"13*")&gt;0,COUNTIF(J2142,"*13*")&gt;0,COUNTIF(I2142,"14*")&gt;0,COUNTIF(J2142,"*14*")&gt;0,COUNTIF(I2142,"15*")&gt;0,COUNTIF(J2142,"*15*")&gt;0,COUNTIF(I2142,"16*")&gt;0,COUNTIF(J2142,"*16*")&gt;0,COUNTIF(I2142,"17*")&gt;0,COUNTIF(J2142,"*17*")&gt;0,COUNTIF(I2142,"18*")&gt;0,COUNTIF(J2142,"*18*")&gt;0,COUNTIF(I2142,"19*")&gt;0,COUNTIF(J2142,"*19*")&gt;0,COUNTIF(I2142,"20*")&gt;0,COUNTIF(J2142,"*20*")&gt;0,COUNTIF(I2142,"21*")&gt;0,COUNTIF(J2142,"*21*")&gt;0,COUNTIF(I2142,"22*")&gt;0,COUNTIF(J2142,"*22*")&gt;0,COUNTIF(I2142,"23*")&gt;0,COUNTIF(J2142,"*23*")&gt;0,COUNTIF(I2142,"24*")&gt;0,COUNTIF(J2142,"*24*")&gt;0,COUNTIF(I2142,"25*")&gt;0,COUNTIF(J2142,"*25*")&gt;0,COUNTIF(I2142,"26*")&gt;0,COUNTIF(J2142,"*26*")&gt;0,COUNTIF(I2142,"27*")&gt;0,COUNTIF(J2142,"*27*")&gt;0,COUNTIF(I2142,"28*")&gt;0,COUNTIF(J2142,"*28*")&gt;0,COUNTIF(I2142,"29*")&gt;0,COUNTIF(J2142,"*29*")&gt;0,COUNTIF(I2142,"30*")&gt;0,COUNTIF(J2142,"*30*")&gt;0,COUNTIF(I2142,"31*")&gt;0,COUNTIF(J2142,"*31*")&gt;0,COUNTIF(I2142,"32*")&gt;0,COUNTIF(J2142,"*32*")&gt;0,COUNTIF(I2142,"33*")&gt;0,COUNTIF(J2142,"*33*")&gt;0,COUNTIF(I2142,"41*")&gt;0,COUNTIF(J2142,"*41*")&gt;0,COUNTIF(I2142,"42*")&gt;0,COUNTIF(J2142,"*42*")&gt;0,COUNTIF(I2142,"43*")&gt;0,COUNTIF(J2142,"*43*")&gt;0,COUNTIF(I2142,"49*")&gt;0,COUNTIF(J2142,"*49*")&gt;0,COUNTIF(I2142,"52*")&gt;0,COUNTIF(J2142,"*52*")&gt;0,COUNTIF(I2142,"55*")&gt;0,COUNTIF(J2142,"*55*")&gt;0,COUNTIF(I2142,"56*")&gt;0,COUNTIF(J2142,"*56*")&gt;0,COUNTIF(I2142,"68*")&gt;0,COUNTIF(J2142,"*68*")&gt;0,COUNTIF(I2142,"78*")&gt;0,COUNTIF(J2142,"*78*")&gt;0,COUNTIF(I2142,"81*")&gt;0,COUNTIF(J2142,"*81*")&gt;0,COUNTIF(I2142,"82*")&gt;0,COUNTIF(J2142,"*82*")&gt;0,COUNTIF(I2142,"64*")&gt;0,COUNTIF(J2142,"*64*")&gt;0,COUNTIF(I2142,"65*")&gt;0,COUNTIF(J2142,"*65*")&gt;0,COUNTIF(I2142,"66*")&gt;0,COUNTIF(J2142,"*66*")&gt;0,COUNTIF(I2142,"61*")&gt;0,COUNTIF(J2142,"*61*")&gt;0,COUNTIF(I2142,"62*")&gt;0,COUNTIF(J2142,"*62*")&gt;0,COUNTIF(I2142,"63*")&gt;0,COUNTIF(J2142,"*63*")&gt;0,COUNTIF(I2142,"85*")&gt;0,COUNTIF(J2142,"*85*")&gt;0,COUNTIF(I2142,"86*")&gt;0,COUNTIF(J2142,"*86*")&gt;0),"Да","Нет"))</f>
        <v/>
      </c>
      <c r="M2142" s="13">
        <f>IF(OR(G2142="",L2142&lt;&gt;"Да"),"",IF(G2142&lt;=100,"До 100",IF(G2142&lt;=200,"До 200",IF(G2142&lt;=500,"До 500","Отдельное КП"))))</f>
        <v/>
      </c>
      <c r="N2142" s="15">
        <f>IF(OR(G2142="",L2142&lt;&gt;"Да"),"",IF(G2142&lt;=100,33600,IF(G2142&lt;=200,62400,IF(G2142&lt;=500,144000,""))))</f>
        <v/>
      </c>
      <c r="O2142" s="16">
        <f>IF(G2142="","",IF(G2142&lt;=15,"1–15",IF(G2142&lt;=30,"16–30",IF(G2142&lt;=50,"31–50",IF(G2142&lt;=100,"51–100",IF(G2142&lt;=150,"101–150",IF(G2142&lt;=200,"151–200",IF(G2142&lt;=500,"201–500","500+"))))))))</f>
        <v/>
      </c>
      <c r="P2142" s="16" t="inlineStr">
        <is>
          <t>Нет совпадения в предоставленной выгрузке ССЧР</t>
        </is>
      </c>
      <c r="Q2142" s="16" t="n"/>
      <c r="R2142" s="16">
        <f>HYPERLINK("https://checko.ru/search?query=3801001629","Чекко: проверить")</f>
        <v/>
      </c>
      <c r="S2142" t="n">
        <v>0</v>
      </c>
    </row>
    <row r="2143" ht="15" customHeight="1" s="24">
      <c r="A2143" s="13" t="n">
        <v>5000094536</v>
      </c>
      <c r="B2143" s="13" t="inlineStr">
        <is>
          <t>МКУ "Дом культуры" с.п.Кичмалка</t>
        </is>
      </c>
      <c r="C2143" s="13" t="n">
        <v>702011109</v>
      </c>
      <c r="D2143" s="13" t="n"/>
      <c r="E2143" s="13" t="inlineStr">
        <is>
          <t>Не определён</t>
        </is>
      </c>
      <c r="F2143" s="13" t="inlineStr">
        <is>
          <t>702011109</t>
        </is>
      </c>
      <c r="G2143" s="14" t="n"/>
      <c r="H2143" s="14" t="n"/>
      <c r="I2143" s="14" t="n"/>
      <c r="J2143" s="14" t="n"/>
      <c r="K2143" s="13">
        <f>IF(G2143="","",IF(G2143&gt;=22,"Да","Нет"))</f>
        <v/>
      </c>
      <c r="L2143" s="13">
        <f>IF(OR(I2143="",J2143=""),"Не определено",IF(OR(COUNTIF(I2143,"45*")&gt;0,COUNTIF(J2143,"*45*")&gt;0,COUNTIF(I2143,"46*")&gt;0,COUNTIF(J2143,"*46*")&gt;0,COUNTIF(I2143,"47*")&gt;0,COUNTIF(J2143,"*47*")&gt;0,COUNTIF(I2143,"10*")&gt;0,COUNTIF(J2143,"*10*")&gt;0,COUNTIF(I2143,"11*")&gt;0,COUNTIF(J2143,"*11*")&gt;0,COUNTIF(I2143,"12*")&gt;0,COUNTIF(J2143,"*12*")&gt;0,COUNTIF(I2143,"13*")&gt;0,COUNTIF(J2143,"*13*")&gt;0,COUNTIF(I2143,"14*")&gt;0,COUNTIF(J2143,"*14*")&gt;0,COUNTIF(I2143,"15*")&gt;0,COUNTIF(J2143,"*15*")&gt;0,COUNTIF(I2143,"16*")&gt;0,COUNTIF(J2143,"*16*")&gt;0,COUNTIF(I2143,"17*")&gt;0,COUNTIF(J2143,"*17*")&gt;0,COUNTIF(I2143,"18*")&gt;0,COUNTIF(J2143,"*18*")&gt;0,COUNTIF(I2143,"19*")&gt;0,COUNTIF(J2143,"*19*")&gt;0,COUNTIF(I2143,"20*")&gt;0,COUNTIF(J2143,"*20*")&gt;0,COUNTIF(I2143,"21*")&gt;0,COUNTIF(J2143,"*21*")&gt;0,COUNTIF(I2143,"22*")&gt;0,COUNTIF(J2143,"*22*")&gt;0,COUNTIF(I2143,"23*")&gt;0,COUNTIF(J2143,"*23*")&gt;0,COUNTIF(I2143,"24*")&gt;0,COUNTIF(J2143,"*24*")&gt;0,COUNTIF(I2143,"25*")&gt;0,COUNTIF(J2143,"*25*")&gt;0,COUNTIF(I2143,"26*")&gt;0,COUNTIF(J2143,"*26*")&gt;0,COUNTIF(I2143,"27*")&gt;0,COUNTIF(J2143,"*27*")&gt;0,COUNTIF(I2143,"28*")&gt;0,COUNTIF(J2143,"*28*")&gt;0,COUNTIF(I2143,"29*")&gt;0,COUNTIF(J2143,"*29*")&gt;0,COUNTIF(I2143,"30*")&gt;0,COUNTIF(J2143,"*30*")&gt;0,COUNTIF(I2143,"31*")&gt;0,COUNTIF(J2143,"*31*")&gt;0,COUNTIF(I2143,"32*")&gt;0,COUNTIF(J2143,"*32*")&gt;0,COUNTIF(I2143,"33*")&gt;0,COUNTIF(J2143,"*33*")&gt;0,COUNTIF(I2143,"41*")&gt;0,COUNTIF(J2143,"*41*")&gt;0,COUNTIF(I2143,"42*")&gt;0,COUNTIF(J2143,"*42*")&gt;0,COUNTIF(I2143,"43*")&gt;0,COUNTIF(J2143,"*43*")&gt;0,COUNTIF(I2143,"49*")&gt;0,COUNTIF(J2143,"*49*")&gt;0,COUNTIF(I2143,"52*")&gt;0,COUNTIF(J2143,"*52*")&gt;0,COUNTIF(I2143,"55*")&gt;0,COUNTIF(J2143,"*55*")&gt;0,COUNTIF(I2143,"56*")&gt;0,COUNTIF(J2143,"*56*")&gt;0,COUNTIF(I2143,"68*")&gt;0,COUNTIF(J2143,"*68*")&gt;0,COUNTIF(I2143,"78*")&gt;0,COUNTIF(J2143,"*78*")&gt;0,COUNTIF(I2143,"81*")&gt;0,COUNTIF(J2143,"*81*")&gt;0,COUNTIF(I2143,"82*")&gt;0,COUNTIF(J2143,"*82*")&gt;0,COUNTIF(I2143,"64*")&gt;0,COUNTIF(J2143,"*64*")&gt;0,COUNTIF(I2143,"65*")&gt;0,COUNTIF(J2143,"*65*")&gt;0,COUNTIF(I2143,"66*")&gt;0,COUNTIF(J2143,"*66*")&gt;0,COUNTIF(I2143,"61*")&gt;0,COUNTIF(J2143,"*61*")&gt;0,COUNTIF(I2143,"62*")&gt;0,COUNTIF(J2143,"*62*")&gt;0,COUNTIF(I2143,"63*")&gt;0,COUNTIF(J2143,"*63*")&gt;0,COUNTIF(I2143,"85*")&gt;0,COUNTIF(J2143,"*85*")&gt;0,COUNTIF(I2143,"86*")&gt;0,COUNTIF(J2143,"*86*")&gt;0),"Да","Нет"))</f>
        <v/>
      </c>
      <c r="M2143" s="13">
        <f>IF(OR(G2143="",L2143&lt;&gt;"Да"),"",IF(G2143&lt;=100,"До 100",IF(G2143&lt;=200,"До 200",IF(G2143&lt;=500,"До 500","Отдельное КП"))))</f>
        <v/>
      </c>
      <c r="N2143" s="15">
        <f>IF(OR(G2143="",L2143&lt;&gt;"Да"),"",IF(G2143&lt;=100,33600,IF(G2143&lt;=200,62400,IF(G2143&lt;=500,144000,""))))</f>
        <v/>
      </c>
      <c r="O2143" s="16">
        <f>IF(G2143="","",IF(G2143&lt;=15,"1–15",IF(G2143&lt;=30,"16–30",IF(G2143&lt;=50,"31–50",IF(G2143&lt;=100,"51–100",IF(G2143&lt;=150,"101–150",IF(G2143&lt;=200,"151–200",IF(G2143&lt;=500,"201–500","500+"))))))))</f>
        <v/>
      </c>
      <c r="P2143" s="16" t="inlineStr">
        <is>
          <t>Нет совпадения в предоставленной выгрузке ССЧР</t>
        </is>
      </c>
      <c r="Q2143" s="16" t="n"/>
      <c r="R2143" s="16">
        <f>HYPERLINK("https://checko.ru/search?query=3801001629","Чекко: проверить")</f>
        <v/>
      </c>
      <c r="S2143" t="n">
        <v>0</v>
      </c>
    </row>
    <row r="2144" ht="15" customHeight="1" s="24">
      <c r="A2144" s="13" t="n">
        <v>5000094537</v>
      </c>
      <c r="B2144" s="13" t="inlineStr">
        <is>
          <t>МКУ "ДК" с.п. Зольское</t>
        </is>
      </c>
      <c r="C2144" s="13" t="n">
        <v>702011116</v>
      </c>
      <c r="D2144" s="13" t="n"/>
      <c r="E2144" s="13" t="inlineStr">
        <is>
          <t>Не определён</t>
        </is>
      </c>
      <c r="F2144" s="13" t="inlineStr">
        <is>
          <t>702011116</t>
        </is>
      </c>
      <c r="G2144" s="14" t="n"/>
      <c r="H2144" s="14" t="n"/>
      <c r="I2144" s="14" t="n"/>
      <c r="J2144" s="14" t="n"/>
      <c r="K2144" s="13">
        <f>IF(G2144="","",IF(G2144&gt;=22,"Да","Нет"))</f>
        <v/>
      </c>
      <c r="L2144" s="13">
        <f>IF(OR(I2144="",J2144=""),"Не определено",IF(OR(COUNTIF(I2144,"45*")&gt;0,COUNTIF(J2144,"*45*")&gt;0,COUNTIF(I2144,"46*")&gt;0,COUNTIF(J2144,"*46*")&gt;0,COUNTIF(I2144,"47*")&gt;0,COUNTIF(J2144,"*47*")&gt;0,COUNTIF(I2144,"10*")&gt;0,COUNTIF(J2144,"*10*")&gt;0,COUNTIF(I2144,"11*")&gt;0,COUNTIF(J2144,"*11*")&gt;0,COUNTIF(I2144,"12*")&gt;0,COUNTIF(J2144,"*12*")&gt;0,COUNTIF(I2144,"13*")&gt;0,COUNTIF(J2144,"*13*")&gt;0,COUNTIF(I2144,"14*")&gt;0,COUNTIF(J2144,"*14*")&gt;0,COUNTIF(I2144,"15*")&gt;0,COUNTIF(J2144,"*15*")&gt;0,COUNTIF(I2144,"16*")&gt;0,COUNTIF(J2144,"*16*")&gt;0,COUNTIF(I2144,"17*")&gt;0,COUNTIF(J2144,"*17*")&gt;0,COUNTIF(I2144,"18*")&gt;0,COUNTIF(J2144,"*18*")&gt;0,COUNTIF(I2144,"19*")&gt;0,COUNTIF(J2144,"*19*")&gt;0,COUNTIF(I2144,"20*")&gt;0,COUNTIF(J2144,"*20*")&gt;0,COUNTIF(I2144,"21*")&gt;0,COUNTIF(J2144,"*21*")&gt;0,COUNTIF(I2144,"22*")&gt;0,COUNTIF(J2144,"*22*")&gt;0,COUNTIF(I2144,"23*")&gt;0,COUNTIF(J2144,"*23*")&gt;0,COUNTIF(I2144,"24*")&gt;0,COUNTIF(J2144,"*24*")&gt;0,COUNTIF(I2144,"25*")&gt;0,COUNTIF(J2144,"*25*")&gt;0,COUNTIF(I2144,"26*")&gt;0,COUNTIF(J2144,"*26*")&gt;0,COUNTIF(I2144,"27*")&gt;0,COUNTIF(J2144,"*27*")&gt;0,COUNTIF(I2144,"28*")&gt;0,COUNTIF(J2144,"*28*")&gt;0,COUNTIF(I2144,"29*")&gt;0,COUNTIF(J2144,"*29*")&gt;0,COUNTIF(I2144,"30*")&gt;0,COUNTIF(J2144,"*30*")&gt;0,COUNTIF(I2144,"31*")&gt;0,COUNTIF(J2144,"*31*")&gt;0,COUNTIF(I2144,"32*")&gt;0,COUNTIF(J2144,"*32*")&gt;0,COUNTIF(I2144,"33*")&gt;0,COUNTIF(J2144,"*33*")&gt;0,COUNTIF(I2144,"41*")&gt;0,COUNTIF(J2144,"*41*")&gt;0,COUNTIF(I2144,"42*")&gt;0,COUNTIF(J2144,"*42*")&gt;0,COUNTIF(I2144,"43*")&gt;0,COUNTIF(J2144,"*43*")&gt;0,COUNTIF(I2144,"49*")&gt;0,COUNTIF(J2144,"*49*")&gt;0,COUNTIF(I2144,"52*")&gt;0,COUNTIF(J2144,"*52*")&gt;0,COUNTIF(I2144,"55*")&gt;0,COUNTIF(J2144,"*55*")&gt;0,COUNTIF(I2144,"56*")&gt;0,COUNTIF(J2144,"*56*")&gt;0,COUNTIF(I2144,"68*")&gt;0,COUNTIF(J2144,"*68*")&gt;0,COUNTIF(I2144,"78*")&gt;0,COUNTIF(J2144,"*78*")&gt;0,COUNTIF(I2144,"81*")&gt;0,COUNTIF(J2144,"*81*")&gt;0,COUNTIF(I2144,"82*")&gt;0,COUNTIF(J2144,"*82*")&gt;0,COUNTIF(I2144,"64*")&gt;0,COUNTIF(J2144,"*64*")&gt;0,COUNTIF(I2144,"65*")&gt;0,COUNTIF(J2144,"*65*")&gt;0,COUNTIF(I2144,"66*")&gt;0,COUNTIF(J2144,"*66*")&gt;0,COUNTIF(I2144,"61*")&gt;0,COUNTIF(J2144,"*61*")&gt;0,COUNTIF(I2144,"62*")&gt;0,COUNTIF(J2144,"*62*")&gt;0,COUNTIF(I2144,"63*")&gt;0,COUNTIF(J2144,"*63*")&gt;0,COUNTIF(I2144,"85*")&gt;0,COUNTIF(J2144,"*85*")&gt;0,COUNTIF(I2144,"86*")&gt;0,COUNTIF(J2144,"*86*")&gt;0),"Да","Нет"))</f>
        <v/>
      </c>
      <c r="M2144" s="13">
        <f>IF(OR(G2144="",L2144&lt;&gt;"Да"),"",IF(G2144&lt;=100,"До 100",IF(G2144&lt;=200,"До 200",IF(G2144&lt;=500,"До 500","Отдельное КП"))))</f>
        <v/>
      </c>
      <c r="N2144" s="15">
        <f>IF(OR(G2144="",L2144&lt;&gt;"Да"),"",IF(G2144&lt;=100,33600,IF(G2144&lt;=200,62400,IF(G2144&lt;=500,144000,""))))</f>
        <v/>
      </c>
      <c r="O2144" s="16">
        <f>IF(G2144="","",IF(G2144&lt;=15,"1–15",IF(G2144&lt;=30,"16–30",IF(G2144&lt;=50,"31–50",IF(G2144&lt;=100,"51–100",IF(G2144&lt;=150,"101–150",IF(G2144&lt;=200,"151–200",IF(G2144&lt;=500,"201–500","500+"))))))))</f>
        <v/>
      </c>
      <c r="P2144" s="16" t="inlineStr">
        <is>
          <t>Нет совпадения в предоставленной выгрузке ССЧР</t>
        </is>
      </c>
      <c r="Q2144" s="16" t="n"/>
      <c r="R2144" s="16">
        <f>HYPERLINK("https://checko.ru/search?query=3801001629","Чекко: проверить")</f>
        <v/>
      </c>
      <c r="S2144" t="n">
        <v>0</v>
      </c>
    </row>
    <row r="2145" ht="15" customHeight="1" s="24">
      <c r="A2145" s="13" t="n">
        <v>5000094538</v>
      </c>
      <c r="B2145" s="13" t="inlineStr">
        <is>
          <t>МКУ "ДК" с.п.Камлюково</t>
        </is>
      </c>
      <c r="C2145" s="13" t="n">
        <v>702011130</v>
      </c>
      <c r="D2145" s="13" t="n"/>
      <c r="E2145" s="13" t="inlineStr">
        <is>
          <t>Не определён</t>
        </is>
      </c>
      <c r="F2145" s="13" t="inlineStr">
        <is>
          <t>702011130</t>
        </is>
      </c>
      <c r="G2145" s="14" t="n"/>
      <c r="H2145" s="14" t="n"/>
      <c r="I2145" s="14" t="n"/>
      <c r="J2145" s="14" t="n"/>
      <c r="K2145" s="13">
        <f>IF(G2145="","",IF(G2145&gt;=22,"Да","Нет"))</f>
        <v/>
      </c>
      <c r="L2145" s="13">
        <f>IF(OR(I2145="",J2145=""),"Не определено",IF(OR(COUNTIF(I2145,"45*")&gt;0,COUNTIF(J2145,"*45*")&gt;0,COUNTIF(I2145,"46*")&gt;0,COUNTIF(J2145,"*46*")&gt;0,COUNTIF(I2145,"47*")&gt;0,COUNTIF(J2145,"*47*")&gt;0,COUNTIF(I2145,"10*")&gt;0,COUNTIF(J2145,"*10*")&gt;0,COUNTIF(I2145,"11*")&gt;0,COUNTIF(J2145,"*11*")&gt;0,COUNTIF(I2145,"12*")&gt;0,COUNTIF(J2145,"*12*")&gt;0,COUNTIF(I2145,"13*")&gt;0,COUNTIF(J2145,"*13*")&gt;0,COUNTIF(I2145,"14*")&gt;0,COUNTIF(J2145,"*14*")&gt;0,COUNTIF(I2145,"15*")&gt;0,COUNTIF(J2145,"*15*")&gt;0,COUNTIF(I2145,"16*")&gt;0,COUNTIF(J2145,"*16*")&gt;0,COUNTIF(I2145,"17*")&gt;0,COUNTIF(J2145,"*17*")&gt;0,COUNTIF(I2145,"18*")&gt;0,COUNTIF(J2145,"*18*")&gt;0,COUNTIF(I2145,"19*")&gt;0,COUNTIF(J2145,"*19*")&gt;0,COUNTIF(I2145,"20*")&gt;0,COUNTIF(J2145,"*20*")&gt;0,COUNTIF(I2145,"21*")&gt;0,COUNTIF(J2145,"*21*")&gt;0,COUNTIF(I2145,"22*")&gt;0,COUNTIF(J2145,"*22*")&gt;0,COUNTIF(I2145,"23*")&gt;0,COUNTIF(J2145,"*23*")&gt;0,COUNTIF(I2145,"24*")&gt;0,COUNTIF(J2145,"*24*")&gt;0,COUNTIF(I2145,"25*")&gt;0,COUNTIF(J2145,"*25*")&gt;0,COUNTIF(I2145,"26*")&gt;0,COUNTIF(J2145,"*26*")&gt;0,COUNTIF(I2145,"27*")&gt;0,COUNTIF(J2145,"*27*")&gt;0,COUNTIF(I2145,"28*")&gt;0,COUNTIF(J2145,"*28*")&gt;0,COUNTIF(I2145,"29*")&gt;0,COUNTIF(J2145,"*29*")&gt;0,COUNTIF(I2145,"30*")&gt;0,COUNTIF(J2145,"*30*")&gt;0,COUNTIF(I2145,"31*")&gt;0,COUNTIF(J2145,"*31*")&gt;0,COUNTIF(I2145,"32*")&gt;0,COUNTIF(J2145,"*32*")&gt;0,COUNTIF(I2145,"33*")&gt;0,COUNTIF(J2145,"*33*")&gt;0,COUNTIF(I2145,"41*")&gt;0,COUNTIF(J2145,"*41*")&gt;0,COUNTIF(I2145,"42*")&gt;0,COUNTIF(J2145,"*42*")&gt;0,COUNTIF(I2145,"43*")&gt;0,COUNTIF(J2145,"*43*")&gt;0,COUNTIF(I2145,"49*")&gt;0,COUNTIF(J2145,"*49*")&gt;0,COUNTIF(I2145,"52*")&gt;0,COUNTIF(J2145,"*52*")&gt;0,COUNTIF(I2145,"55*")&gt;0,COUNTIF(J2145,"*55*")&gt;0,COUNTIF(I2145,"56*")&gt;0,COUNTIF(J2145,"*56*")&gt;0,COUNTIF(I2145,"68*")&gt;0,COUNTIF(J2145,"*68*")&gt;0,COUNTIF(I2145,"78*")&gt;0,COUNTIF(J2145,"*78*")&gt;0,COUNTIF(I2145,"81*")&gt;0,COUNTIF(J2145,"*81*")&gt;0,COUNTIF(I2145,"82*")&gt;0,COUNTIF(J2145,"*82*")&gt;0,COUNTIF(I2145,"64*")&gt;0,COUNTIF(J2145,"*64*")&gt;0,COUNTIF(I2145,"65*")&gt;0,COUNTIF(J2145,"*65*")&gt;0,COUNTIF(I2145,"66*")&gt;0,COUNTIF(J2145,"*66*")&gt;0,COUNTIF(I2145,"61*")&gt;0,COUNTIF(J2145,"*61*")&gt;0,COUNTIF(I2145,"62*")&gt;0,COUNTIF(J2145,"*62*")&gt;0,COUNTIF(I2145,"63*")&gt;0,COUNTIF(J2145,"*63*")&gt;0,COUNTIF(I2145,"85*")&gt;0,COUNTIF(J2145,"*85*")&gt;0,COUNTIF(I2145,"86*")&gt;0,COUNTIF(J2145,"*86*")&gt;0),"Да","Нет"))</f>
        <v/>
      </c>
      <c r="M2145" s="13">
        <f>IF(OR(G2145="",L2145&lt;&gt;"Да"),"",IF(G2145&lt;=100,"До 100",IF(G2145&lt;=200,"До 200",IF(G2145&lt;=500,"До 500","Отдельное КП"))))</f>
        <v/>
      </c>
      <c r="N2145" s="15">
        <f>IF(OR(G2145="",L2145&lt;&gt;"Да"),"",IF(G2145&lt;=100,33600,IF(G2145&lt;=200,62400,IF(G2145&lt;=500,144000,""))))</f>
        <v/>
      </c>
      <c r="O2145" s="16">
        <f>IF(G2145="","",IF(G2145&lt;=15,"1–15",IF(G2145&lt;=30,"16–30",IF(G2145&lt;=50,"31–50",IF(G2145&lt;=100,"51–100",IF(G2145&lt;=150,"101–150",IF(G2145&lt;=200,"151–200",IF(G2145&lt;=500,"201–500","500+"))))))))</f>
        <v/>
      </c>
      <c r="P2145" s="16" t="inlineStr">
        <is>
          <t>Нет совпадения в предоставленной выгрузке ССЧР</t>
        </is>
      </c>
      <c r="Q2145" s="16" t="n"/>
      <c r="R2145" s="16">
        <f>HYPERLINK("https://checko.ru/search?query=3801001629","Чекко: проверить")</f>
        <v/>
      </c>
      <c r="S2145" t="n">
        <v>0</v>
      </c>
    </row>
    <row r="2146" ht="27.75" customHeight="1" s="24">
      <c r="A2146" s="13" t="n">
        <v>5000094647</v>
      </c>
      <c r="B2146" s="13" t="inlineStr">
        <is>
          <t>МУ "Местная администрация сельского поселения Дейское"</t>
        </is>
      </c>
      <c r="C2146" s="13" t="n">
        <v>705002409</v>
      </c>
      <c r="D2146" s="13" t="n"/>
      <c r="E2146" s="13" t="inlineStr">
        <is>
          <t>Не определён</t>
        </is>
      </c>
      <c r="F2146" s="13" t="inlineStr">
        <is>
          <t>705002409</t>
        </is>
      </c>
      <c r="G2146" s="14" t="n"/>
      <c r="H2146" s="14" t="n"/>
      <c r="I2146" s="14" t="n"/>
      <c r="J2146" s="14" t="n"/>
      <c r="K2146" s="13">
        <f>IF(G2146="","",IF(G2146&gt;=22,"Да","Нет"))</f>
        <v/>
      </c>
      <c r="L2146" s="13">
        <f>IF(OR(I2146="",J2146=""),"Не определено",IF(OR(COUNTIF(I2146,"45*")&gt;0,COUNTIF(J2146,"*45*")&gt;0,COUNTIF(I2146,"46*")&gt;0,COUNTIF(J2146,"*46*")&gt;0,COUNTIF(I2146,"47*")&gt;0,COUNTIF(J2146,"*47*")&gt;0,COUNTIF(I2146,"10*")&gt;0,COUNTIF(J2146,"*10*")&gt;0,COUNTIF(I2146,"11*")&gt;0,COUNTIF(J2146,"*11*")&gt;0,COUNTIF(I2146,"12*")&gt;0,COUNTIF(J2146,"*12*")&gt;0,COUNTIF(I2146,"13*")&gt;0,COUNTIF(J2146,"*13*")&gt;0,COUNTIF(I2146,"14*")&gt;0,COUNTIF(J2146,"*14*")&gt;0,COUNTIF(I2146,"15*")&gt;0,COUNTIF(J2146,"*15*")&gt;0,COUNTIF(I2146,"16*")&gt;0,COUNTIF(J2146,"*16*")&gt;0,COUNTIF(I2146,"17*")&gt;0,COUNTIF(J2146,"*17*")&gt;0,COUNTIF(I2146,"18*")&gt;0,COUNTIF(J2146,"*18*")&gt;0,COUNTIF(I2146,"19*")&gt;0,COUNTIF(J2146,"*19*")&gt;0,COUNTIF(I2146,"20*")&gt;0,COUNTIF(J2146,"*20*")&gt;0,COUNTIF(I2146,"21*")&gt;0,COUNTIF(J2146,"*21*")&gt;0,COUNTIF(I2146,"22*")&gt;0,COUNTIF(J2146,"*22*")&gt;0,COUNTIF(I2146,"23*")&gt;0,COUNTIF(J2146,"*23*")&gt;0,COUNTIF(I2146,"24*")&gt;0,COUNTIF(J2146,"*24*")&gt;0,COUNTIF(I2146,"25*")&gt;0,COUNTIF(J2146,"*25*")&gt;0,COUNTIF(I2146,"26*")&gt;0,COUNTIF(J2146,"*26*")&gt;0,COUNTIF(I2146,"27*")&gt;0,COUNTIF(J2146,"*27*")&gt;0,COUNTIF(I2146,"28*")&gt;0,COUNTIF(J2146,"*28*")&gt;0,COUNTIF(I2146,"29*")&gt;0,COUNTIF(J2146,"*29*")&gt;0,COUNTIF(I2146,"30*")&gt;0,COUNTIF(J2146,"*30*")&gt;0,COUNTIF(I2146,"31*")&gt;0,COUNTIF(J2146,"*31*")&gt;0,COUNTIF(I2146,"32*")&gt;0,COUNTIF(J2146,"*32*")&gt;0,COUNTIF(I2146,"33*")&gt;0,COUNTIF(J2146,"*33*")&gt;0,COUNTIF(I2146,"41*")&gt;0,COUNTIF(J2146,"*41*")&gt;0,COUNTIF(I2146,"42*")&gt;0,COUNTIF(J2146,"*42*")&gt;0,COUNTIF(I2146,"43*")&gt;0,COUNTIF(J2146,"*43*")&gt;0,COUNTIF(I2146,"49*")&gt;0,COUNTIF(J2146,"*49*")&gt;0,COUNTIF(I2146,"52*")&gt;0,COUNTIF(J2146,"*52*")&gt;0,COUNTIF(I2146,"55*")&gt;0,COUNTIF(J2146,"*55*")&gt;0,COUNTIF(I2146,"56*")&gt;0,COUNTIF(J2146,"*56*")&gt;0,COUNTIF(I2146,"68*")&gt;0,COUNTIF(J2146,"*68*")&gt;0,COUNTIF(I2146,"78*")&gt;0,COUNTIF(J2146,"*78*")&gt;0,COUNTIF(I2146,"81*")&gt;0,COUNTIF(J2146,"*81*")&gt;0,COUNTIF(I2146,"82*")&gt;0,COUNTIF(J2146,"*82*")&gt;0,COUNTIF(I2146,"64*")&gt;0,COUNTIF(J2146,"*64*")&gt;0,COUNTIF(I2146,"65*")&gt;0,COUNTIF(J2146,"*65*")&gt;0,COUNTIF(I2146,"66*")&gt;0,COUNTIF(J2146,"*66*")&gt;0,COUNTIF(I2146,"61*")&gt;0,COUNTIF(J2146,"*61*")&gt;0,COUNTIF(I2146,"62*")&gt;0,COUNTIF(J2146,"*62*")&gt;0,COUNTIF(I2146,"63*")&gt;0,COUNTIF(J2146,"*63*")&gt;0,COUNTIF(I2146,"85*")&gt;0,COUNTIF(J2146,"*85*")&gt;0,COUNTIF(I2146,"86*")&gt;0,COUNTIF(J2146,"*86*")&gt;0),"Да","Нет"))</f>
        <v/>
      </c>
      <c r="M2146" s="13">
        <f>IF(OR(G2146="",L2146&lt;&gt;"Да"),"",IF(G2146&lt;=100,"До 100",IF(G2146&lt;=200,"До 200",IF(G2146&lt;=500,"До 500","Отдельное КП"))))</f>
        <v/>
      </c>
      <c r="N2146" s="15">
        <f>IF(OR(G2146="",L2146&lt;&gt;"Да"),"",IF(G2146&lt;=100,33600,IF(G2146&lt;=200,62400,IF(G2146&lt;=500,144000,""))))</f>
        <v/>
      </c>
      <c r="O2146" s="16">
        <f>IF(G2146="","",IF(G2146&lt;=15,"1–15",IF(G2146&lt;=30,"16–30",IF(G2146&lt;=50,"31–50",IF(G2146&lt;=100,"51–100",IF(G2146&lt;=150,"101–150",IF(G2146&lt;=200,"151–200",IF(G2146&lt;=500,"201–500","500+"))))))))</f>
        <v/>
      </c>
      <c r="P2146" s="16" t="inlineStr">
        <is>
          <t>Нет совпадения в предоставленной выгрузке ССЧР</t>
        </is>
      </c>
      <c r="Q2146" s="16" t="n"/>
      <c r="R2146" s="16">
        <f>HYPERLINK("https://checko.ru/search?query=3801001629","Чекко: проверить")</f>
        <v/>
      </c>
      <c r="S2146" t="n">
        <v>0</v>
      </c>
    </row>
    <row r="2147" ht="15" customHeight="1" s="24">
      <c r="A2147" s="13" t="n">
        <v>5000094648</v>
      </c>
      <c r="B2147" s="13" t="inlineStr">
        <is>
          <t>МУ "Местная Администрация СП Урожайное"</t>
        </is>
      </c>
      <c r="C2147" s="13" t="n">
        <v>705002416</v>
      </c>
      <c r="D2147" s="13" t="n"/>
      <c r="E2147" s="13" t="inlineStr">
        <is>
          <t>Не определён</t>
        </is>
      </c>
      <c r="F2147" s="13" t="inlineStr">
        <is>
          <t>705002416</t>
        </is>
      </c>
      <c r="G2147" s="14" t="n"/>
      <c r="H2147" s="14" t="n"/>
      <c r="I2147" s="14" t="n"/>
      <c r="J2147" s="14" t="n"/>
      <c r="K2147" s="13">
        <f>IF(G2147="","",IF(G2147&gt;=22,"Да","Нет"))</f>
        <v/>
      </c>
      <c r="L2147" s="13">
        <f>IF(OR(I2147="",J2147=""),"Не определено",IF(OR(COUNTIF(I2147,"45*")&gt;0,COUNTIF(J2147,"*45*")&gt;0,COUNTIF(I2147,"46*")&gt;0,COUNTIF(J2147,"*46*")&gt;0,COUNTIF(I2147,"47*")&gt;0,COUNTIF(J2147,"*47*")&gt;0,COUNTIF(I2147,"10*")&gt;0,COUNTIF(J2147,"*10*")&gt;0,COUNTIF(I2147,"11*")&gt;0,COUNTIF(J2147,"*11*")&gt;0,COUNTIF(I2147,"12*")&gt;0,COUNTIF(J2147,"*12*")&gt;0,COUNTIF(I2147,"13*")&gt;0,COUNTIF(J2147,"*13*")&gt;0,COUNTIF(I2147,"14*")&gt;0,COUNTIF(J2147,"*14*")&gt;0,COUNTIF(I2147,"15*")&gt;0,COUNTIF(J2147,"*15*")&gt;0,COUNTIF(I2147,"16*")&gt;0,COUNTIF(J2147,"*16*")&gt;0,COUNTIF(I2147,"17*")&gt;0,COUNTIF(J2147,"*17*")&gt;0,COUNTIF(I2147,"18*")&gt;0,COUNTIF(J2147,"*18*")&gt;0,COUNTIF(I2147,"19*")&gt;0,COUNTIF(J2147,"*19*")&gt;0,COUNTIF(I2147,"20*")&gt;0,COUNTIF(J2147,"*20*")&gt;0,COUNTIF(I2147,"21*")&gt;0,COUNTIF(J2147,"*21*")&gt;0,COUNTIF(I2147,"22*")&gt;0,COUNTIF(J2147,"*22*")&gt;0,COUNTIF(I2147,"23*")&gt;0,COUNTIF(J2147,"*23*")&gt;0,COUNTIF(I2147,"24*")&gt;0,COUNTIF(J2147,"*24*")&gt;0,COUNTIF(I2147,"25*")&gt;0,COUNTIF(J2147,"*25*")&gt;0,COUNTIF(I2147,"26*")&gt;0,COUNTIF(J2147,"*26*")&gt;0,COUNTIF(I2147,"27*")&gt;0,COUNTIF(J2147,"*27*")&gt;0,COUNTIF(I2147,"28*")&gt;0,COUNTIF(J2147,"*28*")&gt;0,COUNTIF(I2147,"29*")&gt;0,COUNTIF(J2147,"*29*")&gt;0,COUNTIF(I2147,"30*")&gt;0,COUNTIF(J2147,"*30*")&gt;0,COUNTIF(I2147,"31*")&gt;0,COUNTIF(J2147,"*31*")&gt;0,COUNTIF(I2147,"32*")&gt;0,COUNTIF(J2147,"*32*")&gt;0,COUNTIF(I2147,"33*")&gt;0,COUNTIF(J2147,"*33*")&gt;0,COUNTIF(I2147,"41*")&gt;0,COUNTIF(J2147,"*41*")&gt;0,COUNTIF(I2147,"42*")&gt;0,COUNTIF(J2147,"*42*")&gt;0,COUNTIF(I2147,"43*")&gt;0,COUNTIF(J2147,"*43*")&gt;0,COUNTIF(I2147,"49*")&gt;0,COUNTIF(J2147,"*49*")&gt;0,COUNTIF(I2147,"52*")&gt;0,COUNTIF(J2147,"*52*")&gt;0,COUNTIF(I2147,"55*")&gt;0,COUNTIF(J2147,"*55*")&gt;0,COUNTIF(I2147,"56*")&gt;0,COUNTIF(J2147,"*56*")&gt;0,COUNTIF(I2147,"68*")&gt;0,COUNTIF(J2147,"*68*")&gt;0,COUNTIF(I2147,"78*")&gt;0,COUNTIF(J2147,"*78*")&gt;0,COUNTIF(I2147,"81*")&gt;0,COUNTIF(J2147,"*81*")&gt;0,COUNTIF(I2147,"82*")&gt;0,COUNTIF(J2147,"*82*")&gt;0,COUNTIF(I2147,"64*")&gt;0,COUNTIF(J2147,"*64*")&gt;0,COUNTIF(I2147,"65*")&gt;0,COUNTIF(J2147,"*65*")&gt;0,COUNTIF(I2147,"66*")&gt;0,COUNTIF(J2147,"*66*")&gt;0,COUNTIF(I2147,"61*")&gt;0,COUNTIF(J2147,"*61*")&gt;0,COUNTIF(I2147,"62*")&gt;0,COUNTIF(J2147,"*62*")&gt;0,COUNTIF(I2147,"63*")&gt;0,COUNTIF(J2147,"*63*")&gt;0,COUNTIF(I2147,"85*")&gt;0,COUNTIF(J2147,"*85*")&gt;0,COUNTIF(I2147,"86*")&gt;0,COUNTIF(J2147,"*86*")&gt;0),"Да","Нет"))</f>
        <v/>
      </c>
      <c r="M2147" s="13">
        <f>IF(OR(G2147="",L2147&lt;&gt;"Да"),"",IF(G2147&lt;=100,"До 100",IF(G2147&lt;=200,"До 200",IF(G2147&lt;=500,"До 500","Отдельное КП"))))</f>
        <v/>
      </c>
      <c r="N2147" s="15">
        <f>IF(OR(G2147="",L2147&lt;&gt;"Да"),"",IF(G2147&lt;=100,33600,IF(G2147&lt;=200,62400,IF(G2147&lt;=500,144000,""))))</f>
        <v/>
      </c>
      <c r="O2147" s="16">
        <f>IF(G2147="","",IF(G2147&lt;=15,"1–15",IF(G2147&lt;=30,"16–30",IF(G2147&lt;=50,"31–50",IF(G2147&lt;=100,"51–100",IF(G2147&lt;=150,"101–150",IF(G2147&lt;=200,"151–200",IF(G2147&lt;=500,"201–500","500+"))))))))</f>
        <v/>
      </c>
      <c r="P2147" s="16" t="inlineStr">
        <is>
          <t>Нет совпадения в предоставленной выгрузке ССЧР</t>
        </is>
      </c>
      <c r="Q2147" s="16" t="n"/>
      <c r="R2147" s="16">
        <f>HYPERLINK("https://checko.ru/search?query=3801001629","Чекко: проверить")</f>
        <v/>
      </c>
      <c r="S2147" t="n">
        <v>0</v>
      </c>
    </row>
    <row r="2148" ht="15" customHeight="1" s="24">
      <c r="A2148" s="13" t="n">
        <v>5000094649</v>
      </c>
      <c r="B2148" s="13" t="inlineStr">
        <is>
          <t>МУ "Местная Администрация СП Верхний Акбаш"</t>
        </is>
      </c>
      <c r="C2148" s="13" t="n">
        <v>705002423</v>
      </c>
      <c r="D2148" s="13" t="n"/>
      <c r="E2148" s="13" t="inlineStr">
        <is>
          <t>Не определён</t>
        </is>
      </c>
      <c r="F2148" s="13" t="inlineStr">
        <is>
          <t>705002423</t>
        </is>
      </c>
      <c r="G2148" s="14" t="n"/>
      <c r="H2148" s="14" t="n"/>
      <c r="I2148" s="14" t="n"/>
      <c r="J2148" s="14" t="n"/>
      <c r="K2148" s="13">
        <f>IF(G2148="","",IF(G2148&gt;=22,"Да","Нет"))</f>
        <v/>
      </c>
      <c r="L2148" s="13">
        <f>IF(OR(I2148="",J2148=""),"Не определено",IF(OR(COUNTIF(I2148,"45*")&gt;0,COUNTIF(J2148,"*45*")&gt;0,COUNTIF(I2148,"46*")&gt;0,COUNTIF(J2148,"*46*")&gt;0,COUNTIF(I2148,"47*")&gt;0,COUNTIF(J2148,"*47*")&gt;0,COUNTIF(I2148,"10*")&gt;0,COUNTIF(J2148,"*10*")&gt;0,COUNTIF(I2148,"11*")&gt;0,COUNTIF(J2148,"*11*")&gt;0,COUNTIF(I2148,"12*")&gt;0,COUNTIF(J2148,"*12*")&gt;0,COUNTIF(I2148,"13*")&gt;0,COUNTIF(J2148,"*13*")&gt;0,COUNTIF(I2148,"14*")&gt;0,COUNTIF(J2148,"*14*")&gt;0,COUNTIF(I2148,"15*")&gt;0,COUNTIF(J2148,"*15*")&gt;0,COUNTIF(I2148,"16*")&gt;0,COUNTIF(J2148,"*16*")&gt;0,COUNTIF(I2148,"17*")&gt;0,COUNTIF(J2148,"*17*")&gt;0,COUNTIF(I2148,"18*")&gt;0,COUNTIF(J2148,"*18*")&gt;0,COUNTIF(I2148,"19*")&gt;0,COUNTIF(J2148,"*19*")&gt;0,COUNTIF(I2148,"20*")&gt;0,COUNTIF(J2148,"*20*")&gt;0,COUNTIF(I2148,"21*")&gt;0,COUNTIF(J2148,"*21*")&gt;0,COUNTIF(I2148,"22*")&gt;0,COUNTIF(J2148,"*22*")&gt;0,COUNTIF(I2148,"23*")&gt;0,COUNTIF(J2148,"*23*")&gt;0,COUNTIF(I2148,"24*")&gt;0,COUNTIF(J2148,"*24*")&gt;0,COUNTIF(I2148,"25*")&gt;0,COUNTIF(J2148,"*25*")&gt;0,COUNTIF(I2148,"26*")&gt;0,COUNTIF(J2148,"*26*")&gt;0,COUNTIF(I2148,"27*")&gt;0,COUNTIF(J2148,"*27*")&gt;0,COUNTIF(I2148,"28*")&gt;0,COUNTIF(J2148,"*28*")&gt;0,COUNTIF(I2148,"29*")&gt;0,COUNTIF(J2148,"*29*")&gt;0,COUNTIF(I2148,"30*")&gt;0,COUNTIF(J2148,"*30*")&gt;0,COUNTIF(I2148,"31*")&gt;0,COUNTIF(J2148,"*31*")&gt;0,COUNTIF(I2148,"32*")&gt;0,COUNTIF(J2148,"*32*")&gt;0,COUNTIF(I2148,"33*")&gt;0,COUNTIF(J2148,"*33*")&gt;0,COUNTIF(I2148,"41*")&gt;0,COUNTIF(J2148,"*41*")&gt;0,COUNTIF(I2148,"42*")&gt;0,COUNTIF(J2148,"*42*")&gt;0,COUNTIF(I2148,"43*")&gt;0,COUNTIF(J2148,"*43*")&gt;0,COUNTIF(I2148,"49*")&gt;0,COUNTIF(J2148,"*49*")&gt;0,COUNTIF(I2148,"52*")&gt;0,COUNTIF(J2148,"*52*")&gt;0,COUNTIF(I2148,"55*")&gt;0,COUNTIF(J2148,"*55*")&gt;0,COUNTIF(I2148,"56*")&gt;0,COUNTIF(J2148,"*56*")&gt;0,COUNTIF(I2148,"68*")&gt;0,COUNTIF(J2148,"*68*")&gt;0,COUNTIF(I2148,"78*")&gt;0,COUNTIF(J2148,"*78*")&gt;0,COUNTIF(I2148,"81*")&gt;0,COUNTIF(J2148,"*81*")&gt;0,COUNTIF(I2148,"82*")&gt;0,COUNTIF(J2148,"*82*")&gt;0,COUNTIF(I2148,"64*")&gt;0,COUNTIF(J2148,"*64*")&gt;0,COUNTIF(I2148,"65*")&gt;0,COUNTIF(J2148,"*65*")&gt;0,COUNTIF(I2148,"66*")&gt;0,COUNTIF(J2148,"*66*")&gt;0,COUNTIF(I2148,"61*")&gt;0,COUNTIF(J2148,"*61*")&gt;0,COUNTIF(I2148,"62*")&gt;0,COUNTIF(J2148,"*62*")&gt;0,COUNTIF(I2148,"63*")&gt;0,COUNTIF(J2148,"*63*")&gt;0,COUNTIF(I2148,"85*")&gt;0,COUNTIF(J2148,"*85*")&gt;0,COUNTIF(I2148,"86*")&gt;0,COUNTIF(J2148,"*86*")&gt;0),"Да","Нет"))</f>
        <v/>
      </c>
      <c r="M2148" s="13">
        <f>IF(OR(G2148="",L2148&lt;&gt;"Да"),"",IF(G2148&lt;=100,"До 100",IF(G2148&lt;=200,"До 200",IF(G2148&lt;=500,"До 500","Отдельное КП"))))</f>
        <v/>
      </c>
      <c r="N2148" s="15">
        <f>IF(OR(G2148="",L2148&lt;&gt;"Да"),"",IF(G2148&lt;=100,33600,IF(G2148&lt;=200,62400,IF(G2148&lt;=500,144000,""))))</f>
        <v/>
      </c>
      <c r="O2148" s="16">
        <f>IF(G2148="","",IF(G2148&lt;=15,"1–15",IF(G2148&lt;=30,"16–30",IF(G2148&lt;=50,"31–50",IF(G2148&lt;=100,"51–100",IF(G2148&lt;=150,"101–150",IF(G2148&lt;=200,"151–200",IF(G2148&lt;=500,"201–500","500+"))))))))</f>
        <v/>
      </c>
      <c r="P2148" s="16" t="inlineStr">
        <is>
          <t>Нет совпадения в предоставленной выгрузке ССЧР</t>
        </is>
      </c>
      <c r="Q2148" s="16" t="n"/>
      <c r="R2148" s="16">
        <f>HYPERLINK("https://checko.ru/search?query=3801001629","Чекко: проверить")</f>
        <v/>
      </c>
      <c r="S2148" t="n">
        <v>0</v>
      </c>
    </row>
    <row r="2149" ht="15" customHeight="1" s="24">
      <c r="A2149" s="13" t="n">
        <v>5000094650</v>
      </c>
      <c r="B2149" s="13" t="inlineStr">
        <is>
          <t>МУ "Местная Администрация СП Нижний Курп"</t>
        </is>
      </c>
      <c r="C2149" s="13" t="n">
        <v>705002430</v>
      </c>
      <c r="D2149" s="13" t="n"/>
      <c r="E2149" s="13" t="inlineStr">
        <is>
          <t>Не определён</t>
        </is>
      </c>
      <c r="F2149" s="13" t="inlineStr">
        <is>
          <t>705002430</t>
        </is>
      </c>
      <c r="G2149" s="14" t="n"/>
      <c r="H2149" s="14" t="n"/>
      <c r="I2149" s="14" t="n"/>
      <c r="J2149" s="14" t="n"/>
      <c r="K2149" s="13">
        <f>IF(G2149="","",IF(G2149&gt;=22,"Да","Нет"))</f>
        <v/>
      </c>
      <c r="L2149" s="13">
        <f>IF(OR(I2149="",J2149=""),"Не определено",IF(OR(COUNTIF(I2149,"45*")&gt;0,COUNTIF(J2149,"*45*")&gt;0,COUNTIF(I2149,"46*")&gt;0,COUNTIF(J2149,"*46*")&gt;0,COUNTIF(I2149,"47*")&gt;0,COUNTIF(J2149,"*47*")&gt;0,COUNTIF(I2149,"10*")&gt;0,COUNTIF(J2149,"*10*")&gt;0,COUNTIF(I2149,"11*")&gt;0,COUNTIF(J2149,"*11*")&gt;0,COUNTIF(I2149,"12*")&gt;0,COUNTIF(J2149,"*12*")&gt;0,COUNTIF(I2149,"13*")&gt;0,COUNTIF(J2149,"*13*")&gt;0,COUNTIF(I2149,"14*")&gt;0,COUNTIF(J2149,"*14*")&gt;0,COUNTIF(I2149,"15*")&gt;0,COUNTIF(J2149,"*15*")&gt;0,COUNTIF(I2149,"16*")&gt;0,COUNTIF(J2149,"*16*")&gt;0,COUNTIF(I2149,"17*")&gt;0,COUNTIF(J2149,"*17*")&gt;0,COUNTIF(I2149,"18*")&gt;0,COUNTIF(J2149,"*18*")&gt;0,COUNTIF(I2149,"19*")&gt;0,COUNTIF(J2149,"*19*")&gt;0,COUNTIF(I2149,"20*")&gt;0,COUNTIF(J2149,"*20*")&gt;0,COUNTIF(I2149,"21*")&gt;0,COUNTIF(J2149,"*21*")&gt;0,COUNTIF(I2149,"22*")&gt;0,COUNTIF(J2149,"*22*")&gt;0,COUNTIF(I2149,"23*")&gt;0,COUNTIF(J2149,"*23*")&gt;0,COUNTIF(I2149,"24*")&gt;0,COUNTIF(J2149,"*24*")&gt;0,COUNTIF(I2149,"25*")&gt;0,COUNTIF(J2149,"*25*")&gt;0,COUNTIF(I2149,"26*")&gt;0,COUNTIF(J2149,"*26*")&gt;0,COUNTIF(I2149,"27*")&gt;0,COUNTIF(J2149,"*27*")&gt;0,COUNTIF(I2149,"28*")&gt;0,COUNTIF(J2149,"*28*")&gt;0,COUNTIF(I2149,"29*")&gt;0,COUNTIF(J2149,"*29*")&gt;0,COUNTIF(I2149,"30*")&gt;0,COUNTIF(J2149,"*30*")&gt;0,COUNTIF(I2149,"31*")&gt;0,COUNTIF(J2149,"*31*")&gt;0,COUNTIF(I2149,"32*")&gt;0,COUNTIF(J2149,"*32*")&gt;0,COUNTIF(I2149,"33*")&gt;0,COUNTIF(J2149,"*33*")&gt;0,COUNTIF(I2149,"41*")&gt;0,COUNTIF(J2149,"*41*")&gt;0,COUNTIF(I2149,"42*")&gt;0,COUNTIF(J2149,"*42*")&gt;0,COUNTIF(I2149,"43*")&gt;0,COUNTIF(J2149,"*43*")&gt;0,COUNTIF(I2149,"49*")&gt;0,COUNTIF(J2149,"*49*")&gt;0,COUNTIF(I2149,"52*")&gt;0,COUNTIF(J2149,"*52*")&gt;0,COUNTIF(I2149,"55*")&gt;0,COUNTIF(J2149,"*55*")&gt;0,COUNTIF(I2149,"56*")&gt;0,COUNTIF(J2149,"*56*")&gt;0,COUNTIF(I2149,"68*")&gt;0,COUNTIF(J2149,"*68*")&gt;0,COUNTIF(I2149,"78*")&gt;0,COUNTIF(J2149,"*78*")&gt;0,COUNTIF(I2149,"81*")&gt;0,COUNTIF(J2149,"*81*")&gt;0,COUNTIF(I2149,"82*")&gt;0,COUNTIF(J2149,"*82*")&gt;0,COUNTIF(I2149,"64*")&gt;0,COUNTIF(J2149,"*64*")&gt;0,COUNTIF(I2149,"65*")&gt;0,COUNTIF(J2149,"*65*")&gt;0,COUNTIF(I2149,"66*")&gt;0,COUNTIF(J2149,"*66*")&gt;0,COUNTIF(I2149,"61*")&gt;0,COUNTIF(J2149,"*61*")&gt;0,COUNTIF(I2149,"62*")&gt;0,COUNTIF(J2149,"*62*")&gt;0,COUNTIF(I2149,"63*")&gt;0,COUNTIF(J2149,"*63*")&gt;0,COUNTIF(I2149,"85*")&gt;0,COUNTIF(J2149,"*85*")&gt;0,COUNTIF(I2149,"86*")&gt;0,COUNTIF(J2149,"*86*")&gt;0),"Да","Нет"))</f>
        <v/>
      </c>
      <c r="M2149" s="13">
        <f>IF(OR(G2149="",L2149&lt;&gt;"Да"),"",IF(G2149&lt;=100,"До 100",IF(G2149&lt;=200,"До 200",IF(G2149&lt;=500,"До 500","Отдельное КП"))))</f>
        <v/>
      </c>
      <c r="N2149" s="15">
        <f>IF(OR(G2149="",L2149&lt;&gt;"Да"),"",IF(G2149&lt;=100,33600,IF(G2149&lt;=200,62400,IF(G2149&lt;=500,144000,""))))</f>
        <v/>
      </c>
      <c r="O2149" s="16">
        <f>IF(G2149="","",IF(G2149&lt;=15,"1–15",IF(G2149&lt;=30,"16–30",IF(G2149&lt;=50,"31–50",IF(G2149&lt;=100,"51–100",IF(G2149&lt;=150,"101–150",IF(G2149&lt;=200,"151–200",IF(G2149&lt;=500,"201–500","500+"))))))))</f>
        <v/>
      </c>
      <c r="P2149" s="16" t="inlineStr">
        <is>
          <t>Нет совпадения в предоставленной выгрузке ССЧР</t>
        </is>
      </c>
      <c r="Q2149" s="16" t="n"/>
      <c r="R2149" s="16">
        <f>HYPERLINK("https://checko.ru/search?query=3801001629","Чекко: проверить")</f>
        <v/>
      </c>
      <c r="S2149" t="n">
        <v>0</v>
      </c>
    </row>
    <row r="2150" ht="27.75" customHeight="1" s="24">
      <c r="A2150" s="13" t="n">
        <v>5000094651</v>
      </c>
      <c r="B2150" s="13" t="inlineStr">
        <is>
          <t>МУ "Местная Администрация СП Интернациональный"</t>
        </is>
      </c>
      <c r="C2150" s="13" t="n">
        <v>705002448</v>
      </c>
      <c r="D2150" s="13" t="n"/>
      <c r="E2150" s="13" t="inlineStr">
        <is>
          <t>Не определён</t>
        </is>
      </c>
      <c r="F2150" s="13" t="inlineStr">
        <is>
          <t>705002448</t>
        </is>
      </c>
      <c r="G2150" s="14" t="n"/>
      <c r="H2150" s="14" t="n"/>
      <c r="I2150" s="14" t="n"/>
      <c r="J2150" s="14" t="n"/>
      <c r="K2150" s="13">
        <f>IF(G2150="","",IF(G2150&gt;=22,"Да","Нет"))</f>
        <v/>
      </c>
      <c r="L2150" s="13">
        <f>IF(OR(I2150="",J2150=""),"Не определено",IF(OR(COUNTIF(I2150,"45*")&gt;0,COUNTIF(J2150,"*45*")&gt;0,COUNTIF(I2150,"46*")&gt;0,COUNTIF(J2150,"*46*")&gt;0,COUNTIF(I2150,"47*")&gt;0,COUNTIF(J2150,"*47*")&gt;0,COUNTIF(I2150,"10*")&gt;0,COUNTIF(J2150,"*10*")&gt;0,COUNTIF(I2150,"11*")&gt;0,COUNTIF(J2150,"*11*")&gt;0,COUNTIF(I2150,"12*")&gt;0,COUNTIF(J2150,"*12*")&gt;0,COUNTIF(I2150,"13*")&gt;0,COUNTIF(J2150,"*13*")&gt;0,COUNTIF(I2150,"14*")&gt;0,COUNTIF(J2150,"*14*")&gt;0,COUNTIF(I2150,"15*")&gt;0,COUNTIF(J2150,"*15*")&gt;0,COUNTIF(I2150,"16*")&gt;0,COUNTIF(J2150,"*16*")&gt;0,COUNTIF(I2150,"17*")&gt;0,COUNTIF(J2150,"*17*")&gt;0,COUNTIF(I2150,"18*")&gt;0,COUNTIF(J2150,"*18*")&gt;0,COUNTIF(I2150,"19*")&gt;0,COUNTIF(J2150,"*19*")&gt;0,COUNTIF(I2150,"20*")&gt;0,COUNTIF(J2150,"*20*")&gt;0,COUNTIF(I2150,"21*")&gt;0,COUNTIF(J2150,"*21*")&gt;0,COUNTIF(I2150,"22*")&gt;0,COUNTIF(J2150,"*22*")&gt;0,COUNTIF(I2150,"23*")&gt;0,COUNTIF(J2150,"*23*")&gt;0,COUNTIF(I2150,"24*")&gt;0,COUNTIF(J2150,"*24*")&gt;0,COUNTIF(I2150,"25*")&gt;0,COUNTIF(J2150,"*25*")&gt;0,COUNTIF(I2150,"26*")&gt;0,COUNTIF(J2150,"*26*")&gt;0,COUNTIF(I2150,"27*")&gt;0,COUNTIF(J2150,"*27*")&gt;0,COUNTIF(I2150,"28*")&gt;0,COUNTIF(J2150,"*28*")&gt;0,COUNTIF(I2150,"29*")&gt;0,COUNTIF(J2150,"*29*")&gt;0,COUNTIF(I2150,"30*")&gt;0,COUNTIF(J2150,"*30*")&gt;0,COUNTIF(I2150,"31*")&gt;0,COUNTIF(J2150,"*31*")&gt;0,COUNTIF(I2150,"32*")&gt;0,COUNTIF(J2150,"*32*")&gt;0,COUNTIF(I2150,"33*")&gt;0,COUNTIF(J2150,"*33*")&gt;0,COUNTIF(I2150,"41*")&gt;0,COUNTIF(J2150,"*41*")&gt;0,COUNTIF(I2150,"42*")&gt;0,COUNTIF(J2150,"*42*")&gt;0,COUNTIF(I2150,"43*")&gt;0,COUNTIF(J2150,"*43*")&gt;0,COUNTIF(I2150,"49*")&gt;0,COUNTIF(J2150,"*49*")&gt;0,COUNTIF(I2150,"52*")&gt;0,COUNTIF(J2150,"*52*")&gt;0,COUNTIF(I2150,"55*")&gt;0,COUNTIF(J2150,"*55*")&gt;0,COUNTIF(I2150,"56*")&gt;0,COUNTIF(J2150,"*56*")&gt;0,COUNTIF(I2150,"68*")&gt;0,COUNTIF(J2150,"*68*")&gt;0,COUNTIF(I2150,"78*")&gt;0,COUNTIF(J2150,"*78*")&gt;0,COUNTIF(I2150,"81*")&gt;0,COUNTIF(J2150,"*81*")&gt;0,COUNTIF(I2150,"82*")&gt;0,COUNTIF(J2150,"*82*")&gt;0,COUNTIF(I2150,"64*")&gt;0,COUNTIF(J2150,"*64*")&gt;0,COUNTIF(I2150,"65*")&gt;0,COUNTIF(J2150,"*65*")&gt;0,COUNTIF(I2150,"66*")&gt;0,COUNTIF(J2150,"*66*")&gt;0,COUNTIF(I2150,"61*")&gt;0,COUNTIF(J2150,"*61*")&gt;0,COUNTIF(I2150,"62*")&gt;0,COUNTIF(J2150,"*62*")&gt;0,COUNTIF(I2150,"63*")&gt;0,COUNTIF(J2150,"*63*")&gt;0,COUNTIF(I2150,"85*")&gt;0,COUNTIF(J2150,"*85*")&gt;0,COUNTIF(I2150,"86*")&gt;0,COUNTIF(J2150,"*86*")&gt;0),"Да","Нет"))</f>
        <v/>
      </c>
      <c r="M2150" s="13">
        <f>IF(OR(G2150="",L2150&lt;&gt;"Да"),"",IF(G2150&lt;=100,"До 100",IF(G2150&lt;=200,"До 200",IF(G2150&lt;=500,"До 500","Отдельное КП"))))</f>
        <v/>
      </c>
      <c r="N2150" s="15">
        <f>IF(OR(G2150="",L2150&lt;&gt;"Да"),"",IF(G2150&lt;=100,33600,IF(G2150&lt;=200,62400,IF(G2150&lt;=500,144000,""))))</f>
        <v/>
      </c>
      <c r="O2150" s="16">
        <f>IF(G2150="","",IF(G2150&lt;=15,"1–15",IF(G2150&lt;=30,"16–30",IF(G2150&lt;=50,"31–50",IF(G2150&lt;=100,"51–100",IF(G2150&lt;=150,"101–150",IF(G2150&lt;=200,"151–200",IF(G2150&lt;=500,"201–500","500+"))))))))</f>
        <v/>
      </c>
      <c r="P2150" s="16" t="inlineStr">
        <is>
          <t>Нет совпадения в предоставленной выгрузке ССЧР</t>
        </is>
      </c>
      <c r="Q2150" s="16" t="n"/>
      <c r="R2150" s="16">
        <f>HYPERLINK("https://checko.ru/search?query=3801001629","Чекко: проверить")</f>
        <v/>
      </c>
      <c r="S2150" t="n">
        <v>0</v>
      </c>
    </row>
    <row r="2151" ht="15" customHeight="1" s="24">
      <c r="A2151" s="13" t="n">
        <v>5000094652</v>
      </c>
      <c r="B2151" s="13" t="inlineStr">
        <is>
          <t>МУ "Местная Администрация СП В-Курп"</t>
        </is>
      </c>
      <c r="C2151" s="13" t="n">
        <v>705002455</v>
      </c>
      <c r="D2151" s="13" t="n"/>
      <c r="E2151" s="13" t="inlineStr">
        <is>
          <t>Не определён</t>
        </is>
      </c>
      <c r="F2151" s="13" t="inlineStr">
        <is>
          <t>705002455</t>
        </is>
      </c>
      <c r="G2151" s="14" t="n"/>
      <c r="H2151" s="14" t="n"/>
      <c r="I2151" s="14" t="n"/>
      <c r="J2151" s="14" t="n"/>
      <c r="K2151" s="13">
        <f>IF(G2151="","",IF(G2151&gt;=22,"Да","Нет"))</f>
        <v/>
      </c>
      <c r="L2151" s="13">
        <f>IF(OR(I2151="",J2151=""),"Не определено",IF(OR(COUNTIF(I2151,"45*")&gt;0,COUNTIF(J2151,"*45*")&gt;0,COUNTIF(I2151,"46*")&gt;0,COUNTIF(J2151,"*46*")&gt;0,COUNTIF(I2151,"47*")&gt;0,COUNTIF(J2151,"*47*")&gt;0,COUNTIF(I2151,"10*")&gt;0,COUNTIF(J2151,"*10*")&gt;0,COUNTIF(I2151,"11*")&gt;0,COUNTIF(J2151,"*11*")&gt;0,COUNTIF(I2151,"12*")&gt;0,COUNTIF(J2151,"*12*")&gt;0,COUNTIF(I2151,"13*")&gt;0,COUNTIF(J2151,"*13*")&gt;0,COUNTIF(I2151,"14*")&gt;0,COUNTIF(J2151,"*14*")&gt;0,COUNTIF(I2151,"15*")&gt;0,COUNTIF(J2151,"*15*")&gt;0,COUNTIF(I2151,"16*")&gt;0,COUNTIF(J2151,"*16*")&gt;0,COUNTIF(I2151,"17*")&gt;0,COUNTIF(J2151,"*17*")&gt;0,COUNTIF(I2151,"18*")&gt;0,COUNTIF(J2151,"*18*")&gt;0,COUNTIF(I2151,"19*")&gt;0,COUNTIF(J2151,"*19*")&gt;0,COUNTIF(I2151,"20*")&gt;0,COUNTIF(J2151,"*20*")&gt;0,COUNTIF(I2151,"21*")&gt;0,COUNTIF(J2151,"*21*")&gt;0,COUNTIF(I2151,"22*")&gt;0,COUNTIF(J2151,"*22*")&gt;0,COUNTIF(I2151,"23*")&gt;0,COUNTIF(J2151,"*23*")&gt;0,COUNTIF(I2151,"24*")&gt;0,COUNTIF(J2151,"*24*")&gt;0,COUNTIF(I2151,"25*")&gt;0,COUNTIF(J2151,"*25*")&gt;0,COUNTIF(I2151,"26*")&gt;0,COUNTIF(J2151,"*26*")&gt;0,COUNTIF(I2151,"27*")&gt;0,COUNTIF(J2151,"*27*")&gt;0,COUNTIF(I2151,"28*")&gt;0,COUNTIF(J2151,"*28*")&gt;0,COUNTIF(I2151,"29*")&gt;0,COUNTIF(J2151,"*29*")&gt;0,COUNTIF(I2151,"30*")&gt;0,COUNTIF(J2151,"*30*")&gt;0,COUNTIF(I2151,"31*")&gt;0,COUNTIF(J2151,"*31*")&gt;0,COUNTIF(I2151,"32*")&gt;0,COUNTIF(J2151,"*32*")&gt;0,COUNTIF(I2151,"33*")&gt;0,COUNTIF(J2151,"*33*")&gt;0,COUNTIF(I2151,"41*")&gt;0,COUNTIF(J2151,"*41*")&gt;0,COUNTIF(I2151,"42*")&gt;0,COUNTIF(J2151,"*42*")&gt;0,COUNTIF(I2151,"43*")&gt;0,COUNTIF(J2151,"*43*")&gt;0,COUNTIF(I2151,"49*")&gt;0,COUNTIF(J2151,"*49*")&gt;0,COUNTIF(I2151,"52*")&gt;0,COUNTIF(J2151,"*52*")&gt;0,COUNTIF(I2151,"55*")&gt;0,COUNTIF(J2151,"*55*")&gt;0,COUNTIF(I2151,"56*")&gt;0,COUNTIF(J2151,"*56*")&gt;0,COUNTIF(I2151,"68*")&gt;0,COUNTIF(J2151,"*68*")&gt;0,COUNTIF(I2151,"78*")&gt;0,COUNTIF(J2151,"*78*")&gt;0,COUNTIF(I2151,"81*")&gt;0,COUNTIF(J2151,"*81*")&gt;0,COUNTIF(I2151,"82*")&gt;0,COUNTIF(J2151,"*82*")&gt;0,COUNTIF(I2151,"64*")&gt;0,COUNTIF(J2151,"*64*")&gt;0,COUNTIF(I2151,"65*")&gt;0,COUNTIF(J2151,"*65*")&gt;0,COUNTIF(I2151,"66*")&gt;0,COUNTIF(J2151,"*66*")&gt;0,COUNTIF(I2151,"61*")&gt;0,COUNTIF(J2151,"*61*")&gt;0,COUNTIF(I2151,"62*")&gt;0,COUNTIF(J2151,"*62*")&gt;0,COUNTIF(I2151,"63*")&gt;0,COUNTIF(J2151,"*63*")&gt;0,COUNTIF(I2151,"85*")&gt;0,COUNTIF(J2151,"*85*")&gt;0,COUNTIF(I2151,"86*")&gt;0,COUNTIF(J2151,"*86*")&gt;0),"Да","Нет"))</f>
        <v/>
      </c>
      <c r="M2151" s="13">
        <f>IF(OR(G2151="",L2151&lt;&gt;"Да"),"",IF(G2151&lt;=100,"До 100",IF(G2151&lt;=200,"До 200",IF(G2151&lt;=500,"До 500","Отдельное КП"))))</f>
        <v/>
      </c>
      <c r="N2151" s="15">
        <f>IF(OR(G2151="",L2151&lt;&gt;"Да"),"",IF(G2151&lt;=100,33600,IF(G2151&lt;=200,62400,IF(G2151&lt;=500,144000,""))))</f>
        <v/>
      </c>
      <c r="O2151" s="16">
        <f>IF(G2151="","",IF(G2151&lt;=15,"1–15",IF(G2151&lt;=30,"16–30",IF(G2151&lt;=50,"31–50",IF(G2151&lt;=100,"51–100",IF(G2151&lt;=150,"101–150",IF(G2151&lt;=200,"151–200",IF(G2151&lt;=500,"201–500","500+"))))))))</f>
        <v/>
      </c>
      <c r="P2151" s="16" t="inlineStr">
        <is>
          <t>Нет совпадения в предоставленной выгрузке ССЧР</t>
        </is>
      </c>
      <c r="Q2151" s="16" t="n"/>
      <c r="R2151" s="16">
        <f>HYPERLINK("https://checko.ru/search?query=3801001629","Чекко: проверить")</f>
        <v/>
      </c>
      <c r="S2151" t="n">
        <v>0</v>
      </c>
    </row>
    <row r="2152" ht="27.75" customHeight="1" s="24">
      <c r="A2152" s="13" t="n">
        <v>5000094653</v>
      </c>
      <c r="B2152" s="13" t="inlineStr">
        <is>
          <t>МУ "Местная Администрация сельского поселения Инаркой"</t>
        </is>
      </c>
      <c r="C2152" s="13" t="n">
        <v>705002462</v>
      </c>
      <c r="D2152" s="13" t="n"/>
      <c r="E2152" s="13" t="inlineStr">
        <is>
          <t>Не определён</t>
        </is>
      </c>
      <c r="F2152" s="13" t="inlineStr">
        <is>
          <t>705002462</t>
        </is>
      </c>
      <c r="G2152" s="14" t="n"/>
      <c r="H2152" s="14" t="n"/>
      <c r="I2152" s="14" t="n"/>
      <c r="J2152" s="14" t="n"/>
      <c r="K2152" s="13">
        <f>IF(G2152="","",IF(G2152&gt;=22,"Да","Нет"))</f>
        <v/>
      </c>
      <c r="L2152" s="13">
        <f>IF(OR(I2152="",J2152=""),"Не определено",IF(OR(COUNTIF(I2152,"45*")&gt;0,COUNTIF(J2152,"*45*")&gt;0,COUNTIF(I2152,"46*")&gt;0,COUNTIF(J2152,"*46*")&gt;0,COUNTIF(I2152,"47*")&gt;0,COUNTIF(J2152,"*47*")&gt;0,COUNTIF(I2152,"10*")&gt;0,COUNTIF(J2152,"*10*")&gt;0,COUNTIF(I2152,"11*")&gt;0,COUNTIF(J2152,"*11*")&gt;0,COUNTIF(I2152,"12*")&gt;0,COUNTIF(J2152,"*12*")&gt;0,COUNTIF(I2152,"13*")&gt;0,COUNTIF(J2152,"*13*")&gt;0,COUNTIF(I2152,"14*")&gt;0,COUNTIF(J2152,"*14*")&gt;0,COUNTIF(I2152,"15*")&gt;0,COUNTIF(J2152,"*15*")&gt;0,COUNTIF(I2152,"16*")&gt;0,COUNTIF(J2152,"*16*")&gt;0,COUNTIF(I2152,"17*")&gt;0,COUNTIF(J2152,"*17*")&gt;0,COUNTIF(I2152,"18*")&gt;0,COUNTIF(J2152,"*18*")&gt;0,COUNTIF(I2152,"19*")&gt;0,COUNTIF(J2152,"*19*")&gt;0,COUNTIF(I2152,"20*")&gt;0,COUNTIF(J2152,"*20*")&gt;0,COUNTIF(I2152,"21*")&gt;0,COUNTIF(J2152,"*21*")&gt;0,COUNTIF(I2152,"22*")&gt;0,COUNTIF(J2152,"*22*")&gt;0,COUNTIF(I2152,"23*")&gt;0,COUNTIF(J2152,"*23*")&gt;0,COUNTIF(I2152,"24*")&gt;0,COUNTIF(J2152,"*24*")&gt;0,COUNTIF(I2152,"25*")&gt;0,COUNTIF(J2152,"*25*")&gt;0,COUNTIF(I2152,"26*")&gt;0,COUNTIF(J2152,"*26*")&gt;0,COUNTIF(I2152,"27*")&gt;0,COUNTIF(J2152,"*27*")&gt;0,COUNTIF(I2152,"28*")&gt;0,COUNTIF(J2152,"*28*")&gt;0,COUNTIF(I2152,"29*")&gt;0,COUNTIF(J2152,"*29*")&gt;0,COUNTIF(I2152,"30*")&gt;0,COUNTIF(J2152,"*30*")&gt;0,COUNTIF(I2152,"31*")&gt;0,COUNTIF(J2152,"*31*")&gt;0,COUNTIF(I2152,"32*")&gt;0,COUNTIF(J2152,"*32*")&gt;0,COUNTIF(I2152,"33*")&gt;0,COUNTIF(J2152,"*33*")&gt;0,COUNTIF(I2152,"41*")&gt;0,COUNTIF(J2152,"*41*")&gt;0,COUNTIF(I2152,"42*")&gt;0,COUNTIF(J2152,"*42*")&gt;0,COUNTIF(I2152,"43*")&gt;0,COUNTIF(J2152,"*43*")&gt;0,COUNTIF(I2152,"49*")&gt;0,COUNTIF(J2152,"*49*")&gt;0,COUNTIF(I2152,"52*")&gt;0,COUNTIF(J2152,"*52*")&gt;0,COUNTIF(I2152,"55*")&gt;0,COUNTIF(J2152,"*55*")&gt;0,COUNTIF(I2152,"56*")&gt;0,COUNTIF(J2152,"*56*")&gt;0,COUNTIF(I2152,"68*")&gt;0,COUNTIF(J2152,"*68*")&gt;0,COUNTIF(I2152,"78*")&gt;0,COUNTIF(J2152,"*78*")&gt;0,COUNTIF(I2152,"81*")&gt;0,COUNTIF(J2152,"*81*")&gt;0,COUNTIF(I2152,"82*")&gt;0,COUNTIF(J2152,"*82*")&gt;0,COUNTIF(I2152,"64*")&gt;0,COUNTIF(J2152,"*64*")&gt;0,COUNTIF(I2152,"65*")&gt;0,COUNTIF(J2152,"*65*")&gt;0,COUNTIF(I2152,"66*")&gt;0,COUNTIF(J2152,"*66*")&gt;0,COUNTIF(I2152,"61*")&gt;0,COUNTIF(J2152,"*61*")&gt;0,COUNTIF(I2152,"62*")&gt;0,COUNTIF(J2152,"*62*")&gt;0,COUNTIF(I2152,"63*")&gt;0,COUNTIF(J2152,"*63*")&gt;0,COUNTIF(I2152,"85*")&gt;0,COUNTIF(J2152,"*85*")&gt;0,COUNTIF(I2152,"86*")&gt;0,COUNTIF(J2152,"*86*")&gt;0),"Да","Нет"))</f>
        <v/>
      </c>
      <c r="M2152" s="13">
        <f>IF(OR(G2152="",L2152&lt;&gt;"Да"),"",IF(G2152&lt;=100,"До 100",IF(G2152&lt;=200,"До 200",IF(G2152&lt;=500,"До 500","Отдельное КП"))))</f>
        <v/>
      </c>
      <c r="N2152" s="15">
        <f>IF(OR(G2152="",L2152&lt;&gt;"Да"),"",IF(G2152&lt;=100,33600,IF(G2152&lt;=200,62400,IF(G2152&lt;=500,144000,""))))</f>
        <v/>
      </c>
      <c r="O2152" s="16">
        <f>IF(G2152="","",IF(G2152&lt;=15,"1–15",IF(G2152&lt;=30,"16–30",IF(G2152&lt;=50,"31–50",IF(G2152&lt;=100,"51–100",IF(G2152&lt;=150,"101–150",IF(G2152&lt;=200,"151–200",IF(G2152&lt;=500,"201–500","500+"))))))))</f>
        <v/>
      </c>
      <c r="P2152" s="16" t="inlineStr">
        <is>
          <t>Нет совпадения в предоставленной выгрузке ССЧР</t>
        </is>
      </c>
      <c r="Q2152" s="16" t="n"/>
      <c r="R2152" s="16">
        <f>HYPERLINK("https://checko.ru/search?query=3801001629","Чекко: проверить")</f>
        <v/>
      </c>
      <c r="S2152" t="n">
        <v>0</v>
      </c>
    </row>
    <row r="2153" ht="15" customHeight="1" s="24">
      <c r="A2153" s="13" t="n">
        <v>5000094654</v>
      </c>
      <c r="B2153" s="13" t="inlineStr">
        <is>
          <t>МУ"Местная Администрация сп Белоглинское"</t>
        </is>
      </c>
      <c r="C2153" s="13" t="n">
        <v>705004879</v>
      </c>
      <c r="D2153" s="13" t="n"/>
      <c r="E2153" s="13" t="inlineStr">
        <is>
          <t>Не определён</t>
        </is>
      </c>
      <c r="F2153" s="13" t="inlineStr">
        <is>
          <t>705004879</t>
        </is>
      </c>
      <c r="G2153" s="14" t="n"/>
      <c r="H2153" s="14" t="n"/>
      <c r="I2153" s="14" t="n"/>
      <c r="J2153" s="14" t="n"/>
      <c r="K2153" s="13">
        <f>IF(G2153="","",IF(G2153&gt;=22,"Да","Нет"))</f>
        <v/>
      </c>
      <c r="L2153" s="13">
        <f>IF(OR(I2153="",J2153=""),"Не определено",IF(OR(COUNTIF(I2153,"45*")&gt;0,COUNTIF(J2153,"*45*")&gt;0,COUNTIF(I2153,"46*")&gt;0,COUNTIF(J2153,"*46*")&gt;0,COUNTIF(I2153,"47*")&gt;0,COUNTIF(J2153,"*47*")&gt;0,COUNTIF(I2153,"10*")&gt;0,COUNTIF(J2153,"*10*")&gt;0,COUNTIF(I2153,"11*")&gt;0,COUNTIF(J2153,"*11*")&gt;0,COUNTIF(I2153,"12*")&gt;0,COUNTIF(J2153,"*12*")&gt;0,COUNTIF(I2153,"13*")&gt;0,COUNTIF(J2153,"*13*")&gt;0,COUNTIF(I2153,"14*")&gt;0,COUNTIF(J2153,"*14*")&gt;0,COUNTIF(I2153,"15*")&gt;0,COUNTIF(J2153,"*15*")&gt;0,COUNTIF(I2153,"16*")&gt;0,COUNTIF(J2153,"*16*")&gt;0,COUNTIF(I2153,"17*")&gt;0,COUNTIF(J2153,"*17*")&gt;0,COUNTIF(I2153,"18*")&gt;0,COUNTIF(J2153,"*18*")&gt;0,COUNTIF(I2153,"19*")&gt;0,COUNTIF(J2153,"*19*")&gt;0,COUNTIF(I2153,"20*")&gt;0,COUNTIF(J2153,"*20*")&gt;0,COUNTIF(I2153,"21*")&gt;0,COUNTIF(J2153,"*21*")&gt;0,COUNTIF(I2153,"22*")&gt;0,COUNTIF(J2153,"*22*")&gt;0,COUNTIF(I2153,"23*")&gt;0,COUNTIF(J2153,"*23*")&gt;0,COUNTIF(I2153,"24*")&gt;0,COUNTIF(J2153,"*24*")&gt;0,COUNTIF(I2153,"25*")&gt;0,COUNTIF(J2153,"*25*")&gt;0,COUNTIF(I2153,"26*")&gt;0,COUNTIF(J2153,"*26*")&gt;0,COUNTIF(I2153,"27*")&gt;0,COUNTIF(J2153,"*27*")&gt;0,COUNTIF(I2153,"28*")&gt;0,COUNTIF(J2153,"*28*")&gt;0,COUNTIF(I2153,"29*")&gt;0,COUNTIF(J2153,"*29*")&gt;0,COUNTIF(I2153,"30*")&gt;0,COUNTIF(J2153,"*30*")&gt;0,COUNTIF(I2153,"31*")&gt;0,COUNTIF(J2153,"*31*")&gt;0,COUNTIF(I2153,"32*")&gt;0,COUNTIF(J2153,"*32*")&gt;0,COUNTIF(I2153,"33*")&gt;0,COUNTIF(J2153,"*33*")&gt;0,COUNTIF(I2153,"41*")&gt;0,COUNTIF(J2153,"*41*")&gt;0,COUNTIF(I2153,"42*")&gt;0,COUNTIF(J2153,"*42*")&gt;0,COUNTIF(I2153,"43*")&gt;0,COUNTIF(J2153,"*43*")&gt;0,COUNTIF(I2153,"49*")&gt;0,COUNTIF(J2153,"*49*")&gt;0,COUNTIF(I2153,"52*")&gt;0,COUNTIF(J2153,"*52*")&gt;0,COUNTIF(I2153,"55*")&gt;0,COUNTIF(J2153,"*55*")&gt;0,COUNTIF(I2153,"56*")&gt;0,COUNTIF(J2153,"*56*")&gt;0,COUNTIF(I2153,"68*")&gt;0,COUNTIF(J2153,"*68*")&gt;0,COUNTIF(I2153,"78*")&gt;0,COUNTIF(J2153,"*78*")&gt;0,COUNTIF(I2153,"81*")&gt;0,COUNTIF(J2153,"*81*")&gt;0,COUNTIF(I2153,"82*")&gt;0,COUNTIF(J2153,"*82*")&gt;0,COUNTIF(I2153,"64*")&gt;0,COUNTIF(J2153,"*64*")&gt;0,COUNTIF(I2153,"65*")&gt;0,COUNTIF(J2153,"*65*")&gt;0,COUNTIF(I2153,"66*")&gt;0,COUNTIF(J2153,"*66*")&gt;0,COUNTIF(I2153,"61*")&gt;0,COUNTIF(J2153,"*61*")&gt;0,COUNTIF(I2153,"62*")&gt;0,COUNTIF(J2153,"*62*")&gt;0,COUNTIF(I2153,"63*")&gt;0,COUNTIF(J2153,"*63*")&gt;0,COUNTIF(I2153,"85*")&gt;0,COUNTIF(J2153,"*85*")&gt;0,COUNTIF(I2153,"86*")&gt;0,COUNTIF(J2153,"*86*")&gt;0),"Да","Нет"))</f>
        <v/>
      </c>
      <c r="M2153" s="13">
        <f>IF(OR(G2153="",L2153&lt;&gt;"Да"),"",IF(G2153&lt;=100,"До 100",IF(G2153&lt;=200,"До 200",IF(G2153&lt;=500,"До 500","Отдельное КП"))))</f>
        <v/>
      </c>
      <c r="N2153" s="15">
        <f>IF(OR(G2153="",L2153&lt;&gt;"Да"),"",IF(G2153&lt;=100,33600,IF(G2153&lt;=200,62400,IF(G2153&lt;=500,144000,""))))</f>
        <v/>
      </c>
      <c r="O2153" s="16">
        <f>IF(G2153="","",IF(G2153&lt;=15,"1–15",IF(G2153&lt;=30,"16–30",IF(G2153&lt;=50,"31–50",IF(G2153&lt;=100,"51–100",IF(G2153&lt;=150,"101–150",IF(G2153&lt;=200,"151–200",IF(G2153&lt;=500,"201–500","500+"))))))))</f>
        <v/>
      </c>
      <c r="P2153" s="16" t="inlineStr">
        <is>
          <t>Нет совпадения в предоставленной выгрузке ССЧР</t>
        </is>
      </c>
      <c r="Q2153" s="16" t="n"/>
      <c r="R2153" s="16">
        <f>HYPERLINK("https://checko.ru/search?query=3801001629","Чекко: проверить")</f>
        <v/>
      </c>
      <c r="S2153" t="n">
        <v>0</v>
      </c>
    </row>
    <row r="2154" ht="15" customHeight="1" s="24">
      <c r="A2154" s="13" t="n">
        <v>5000094655</v>
      </c>
      <c r="B2154" s="13" t="inlineStr">
        <is>
          <t>МУ "Местная Администрация СП Джулат"</t>
        </is>
      </c>
      <c r="C2154" s="13" t="n">
        <v>705004886</v>
      </c>
      <c r="D2154" s="13" t="n"/>
      <c r="E2154" s="13" t="inlineStr">
        <is>
          <t>Не определён</t>
        </is>
      </c>
      <c r="F2154" s="13" t="inlineStr">
        <is>
          <t>705004886</t>
        </is>
      </c>
      <c r="G2154" s="14" t="n"/>
      <c r="H2154" s="14" t="n"/>
      <c r="I2154" s="14" t="n"/>
      <c r="J2154" s="14" t="n"/>
      <c r="K2154" s="13">
        <f>IF(G2154="","",IF(G2154&gt;=22,"Да","Нет"))</f>
        <v/>
      </c>
      <c r="L2154" s="13">
        <f>IF(OR(I2154="",J2154=""),"Не определено",IF(OR(COUNTIF(I2154,"45*")&gt;0,COUNTIF(J2154,"*45*")&gt;0,COUNTIF(I2154,"46*")&gt;0,COUNTIF(J2154,"*46*")&gt;0,COUNTIF(I2154,"47*")&gt;0,COUNTIF(J2154,"*47*")&gt;0,COUNTIF(I2154,"10*")&gt;0,COUNTIF(J2154,"*10*")&gt;0,COUNTIF(I2154,"11*")&gt;0,COUNTIF(J2154,"*11*")&gt;0,COUNTIF(I2154,"12*")&gt;0,COUNTIF(J2154,"*12*")&gt;0,COUNTIF(I2154,"13*")&gt;0,COUNTIF(J2154,"*13*")&gt;0,COUNTIF(I2154,"14*")&gt;0,COUNTIF(J2154,"*14*")&gt;0,COUNTIF(I2154,"15*")&gt;0,COUNTIF(J2154,"*15*")&gt;0,COUNTIF(I2154,"16*")&gt;0,COUNTIF(J2154,"*16*")&gt;0,COUNTIF(I2154,"17*")&gt;0,COUNTIF(J2154,"*17*")&gt;0,COUNTIF(I2154,"18*")&gt;0,COUNTIF(J2154,"*18*")&gt;0,COUNTIF(I2154,"19*")&gt;0,COUNTIF(J2154,"*19*")&gt;0,COUNTIF(I2154,"20*")&gt;0,COUNTIF(J2154,"*20*")&gt;0,COUNTIF(I2154,"21*")&gt;0,COUNTIF(J2154,"*21*")&gt;0,COUNTIF(I2154,"22*")&gt;0,COUNTIF(J2154,"*22*")&gt;0,COUNTIF(I2154,"23*")&gt;0,COUNTIF(J2154,"*23*")&gt;0,COUNTIF(I2154,"24*")&gt;0,COUNTIF(J2154,"*24*")&gt;0,COUNTIF(I2154,"25*")&gt;0,COUNTIF(J2154,"*25*")&gt;0,COUNTIF(I2154,"26*")&gt;0,COUNTIF(J2154,"*26*")&gt;0,COUNTIF(I2154,"27*")&gt;0,COUNTIF(J2154,"*27*")&gt;0,COUNTIF(I2154,"28*")&gt;0,COUNTIF(J2154,"*28*")&gt;0,COUNTIF(I2154,"29*")&gt;0,COUNTIF(J2154,"*29*")&gt;0,COUNTIF(I2154,"30*")&gt;0,COUNTIF(J2154,"*30*")&gt;0,COUNTIF(I2154,"31*")&gt;0,COUNTIF(J2154,"*31*")&gt;0,COUNTIF(I2154,"32*")&gt;0,COUNTIF(J2154,"*32*")&gt;0,COUNTIF(I2154,"33*")&gt;0,COUNTIF(J2154,"*33*")&gt;0,COUNTIF(I2154,"41*")&gt;0,COUNTIF(J2154,"*41*")&gt;0,COUNTIF(I2154,"42*")&gt;0,COUNTIF(J2154,"*42*")&gt;0,COUNTIF(I2154,"43*")&gt;0,COUNTIF(J2154,"*43*")&gt;0,COUNTIF(I2154,"49*")&gt;0,COUNTIF(J2154,"*49*")&gt;0,COUNTIF(I2154,"52*")&gt;0,COUNTIF(J2154,"*52*")&gt;0,COUNTIF(I2154,"55*")&gt;0,COUNTIF(J2154,"*55*")&gt;0,COUNTIF(I2154,"56*")&gt;0,COUNTIF(J2154,"*56*")&gt;0,COUNTIF(I2154,"68*")&gt;0,COUNTIF(J2154,"*68*")&gt;0,COUNTIF(I2154,"78*")&gt;0,COUNTIF(J2154,"*78*")&gt;0,COUNTIF(I2154,"81*")&gt;0,COUNTIF(J2154,"*81*")&gt;0,COUNTIF(I2154,"82*")&gt;0,COUNTIF(J2154,"*82*")&gt;0,COUNTIF(I2154,"64*")&gt;0,COUNTIF(J2154,"*64*")&gt;0,COUNTIF(I2154,"65*")&gt;0,COUNTIF(J2154,"*65*")&gt;0,COUNTIF(I2154,"66*")&gt;0,COUNTIF(J2154,"*66*")&gt;0,COUNTIF(I2154,"61*")&gt;0,COUNTIF(J2154,"*61*")&gt;0,COUNTIF(I2154,"62*")&gt;0,COUNTIF(J2154,"*62*")&gt;0,COUNTIF(I2154,"63*")&gt;0,COUNTIF(J2154,"*63*")&gt;0,COUNTIF(I2154,"85*")&gt;0,COUNTIF(J2154,"*85*")&gt;0,COUNTIF(I2154,"86*")&gt;0,COUNTIF(J2154,"*86*")&gt;0),"Да","Нет"))</f>
        <v/>
      </c>
      <c r="M2154" s="13">
        <f>IF(OR(G2154="",L2154&lt;&gt;"Да"),"",IF(G2154&lt;=100,"До 100",IF(G2154&lt;=200,"До 200",IF(G2154&lt;=500,"До 500","Отдельное КП"))))</f>
        <v/>
      </c>
      <c r="N2154" s="15">
        <f>IF(OR(G2154="",L2154&lt;&gt;"Да"),"",IF(G2154&lt;=100,33600,IF(G2154&lt;=200,62400,IF(G2154&lt;=500,144000,""))))</f>
        <v/>
      </c>
      <c r="O2154" s="16">
        <f>IF(G2154="","",IF(G2154&lt;=15,"1–15",IF(G2154&lt;=30,"16–30",IF(G2154&lt;=50,"31–50",IF(G2154&lt;=100,"51–100",IF(G2154&lt;=150,"101–150",IF(G2154&lt;=200,"151–200",IF(G2154&lt;=500,"201–500","500+"))))))))</f>
        <v/>
      </c>
      <c r="P2154" s="16" t="inlineStr">
        <is>
          <t>Нет совпадения в предоставленной выгрузке ССЧР</t>
        </is>
      </c>
      <c r="Q2154" s="16" t="n"/>
      <c r="R2154" s="16">
        <f>HYPERLINK("https://checko.ru/search?query=3801001629","Чекко: проверить")</f>
        <v/>
      </c>
      <c r="S2154" t="n">
        <v>0</v>
      </c>
    </row>
    <row r="2155" ht="15" customHeight="1" s="24">
      <c r="A2155" s="13" t="n">
        <v>5000094656</v>
      </c>
      <c r="B2155" s="13" t="inlineStr">
        <is>
          <t>МУ ДО "ДМШ" с.п. Красноармейское</t>
        </is>
      </c>
      <c r="C2155" s="13" t="n">
        <v>705005142</v>
      </c>
      <c r="D2155" s="13" t="n"/>
      <c r="E2155" s="13" t="inlineStr">
        <is>
          <t>Не определён</t>
        </is>
      </c>
      <c r="F2155" s="13" t="inlineStr">
        <is>
          <t>705005142</t>
        </is>
      </c>
      <c r="G2155" s="14" t="n"/>
      <c r="H2155" s="14" t="n"/>
      <c r="I2155" s="14" t="n"/>
      <c r="J2155" s="14" t="n"/>
      <c r="K2155" s="13">
        <f>IF(G2155="","",IF(G2155&gt;=22,"Да","Нет"))</f>
        <v/>
      </c>
      <c r="L2155" s="13">
        <f>IF(OR(I2155="",J2155=""),"Не определено",IF(OR(COUNTIF(I2155,"45*")&gt;0,COUNTIF(J2155,"*45*")&gt;0,COUNTIF(I2155,"46*")&gt;0,COUNTIF(J2155,"*46*")&gt;0,COUNTIF(I2155,"47*")&gt;0,COUNTIF(J2155,"*47*")&gt;0,COUNTIF(I2155,"10*")&gt;0,COUNTIF(J2155,"*10*")&gt;0,COUNTIF(I2155,"11*")&gt;0,COUNTIF(J2155,"*11*")&gt;0,COUNTIF(I2155,"12*")&gt;0,COUNTIF(J2155,"*12*")&gt;0,COUNTIF(I2155,"13*")&gt;0,COUNTIF(J2155,"*13*")&gt;0,COUNTIF(I2155,"14*")&gt;0,COUNTIF(J2155,"*14*")&gt;0,COUNTIF(I2155,"15*")&gt;0,COUNTIF(J2155,"*15*")&gt;0,COUNTIF(I2155,"16*")&gt;0,COUNTIF(J2155,"*16*")&gt;0,COUNTIF(I2155,"17*")&gt;0,COUNTIF(J2155,"*17*")&gt;0,COUNTIF(I2155,"18*")&gt;0,COUNTIF(J2155,"*18*")&gt;0,COUNTIF(I2155,"19*")&gt;0,COUNTIF(J2155,"*19*")&gt;0,COUNTIF(I2155,"20*")&gt;0,COUNTIF(J2155,"*20*")&gt;0,COUNTIF(I2155,"21*")&gt;0,COUNTIF(J2155,"*21*")&gt;0,COUNTIF(I2155,"22*")&gt;0,COUNTIF(J2155,"*22*")&gt;0,COUNTIF(I2155,"23*")&gt;0,COUNTIF(J2155,"*23*")&gt;0,COUNTIF(I2155,"24*")&gt;0,COUNTIF(J2155,"*24*")&gt;0,COUNTIF(I2155,"25*")&gt;0,COUNTIF(J2155,"*25*")&gt;0,COUNTIF(I2155,"26*")&gt;0,COUNTIF(J2155,"*26*")&gt;0,COUNTIF(I2155,"27*")&gt;0,COUNTIF(J2155,"*27*")&gt;0,COUNTIF(I2155,"28*")&gt;0,COUNTIF(J2155,"*28*")&gt;0,COUNTIF(I2155,"29*")&gt;0,COUNTIF(J2155,"*29*")&gt;0,COUNTIF(I2155,"30*")&gt;0,COUNTIF(J2155,"*30*")&gt;0,COUNTIF(I2155,"31*")&gt;0,COUNTIF(J2155,"*31*")&gt;0,COUNTIF(I2155,"32*")&gt;0,COUNTIF(J2155,"*32*")&gt;0,COUNTIF(I2155,"33*")&gt;0,COUNTIF(J2155,"*33*")&gt;0,COUNTIF(I2155,"41*")&gt;0,COUNTIF(J2155,"*41*")&gt;0,COUNTIF(I2155,"42*")&gt;0,COUNTIF(J2155,"*42*")&gt;0,COUNTIF(I2155,"43*")&gt;0,COUNTIF(J2155,"*43*")&gt;0,COUNTIF(I2155,"49*")&gt;0,COUNTIF(J2155,"*49*")&gt;0,COUNTIF(I2155,"52*")&gt;0,COUNTIF(J2155,"*52*")&gt;0,COUNTIF(I2155,"55*")&gt;0,COUNTIF(J2155,"*55*")&gt;0,COUNTIF(I2155,"56*")&gt;0,COUNTIF(J2155,"*56*")&gt;0,COUNTIF(I2155,"68*")&gt;0,COUNTIF(J2155,"*68*")&gt;0,COUNTIF(I2155,"78*")&gt;0,COUNTIF(J2155,"*78*")&gt;0,COUNTIF(I2155,"81*")&gt;0,COUNTIF(J2155,"*81*")&gt;0,COUNTIF(I2155,"82*")&gt;0,COUNTIF(J2155,"*82*")&gt;0,COUNTIF(I2155,"64*")&gt;0,COUNTIF(J2155,"*64*")&gt;0,COUNTIF(I2155,"65*")&gt;0,COUNTIF(J2155,"*65*")&gt;0,COUNTIF(I2155,"66*")&gt;0,COUNTIF(J2155,"*66*")&gt;0,COUNTIF(I2155,"61*")&gt;0,COUNTIF(J2155,"*61*")&gt;0,COUNTIF(I2155,"62*")&gt;0,COUNTIF(J2155,"*62*")&gt;0,COUNTIF(I2155,"63*")&gt;0,COUNTIF(J2155,"*63*")&gt;0,COUNTIF(I2155,"85*")&gt;0,COUNTIF(J2155,"*85*")&gt;0,COUNTIF(I2155,"86*")&gt;0,COUNTIF(J2155,"*86*")&gt;0),"Да","Нет"))</f>
        <v/>
      </c>
      <c r="M2155" s="13">
        <f>IF(OR(G2155="",L2155&lt;&gt;"Да"),"",IF(G2155&lt;=100,"До 100",IF(G2155&lt;=200,"До 200",IF(G2155&lt;=500,"До 500","Отдельное КП"))))</f>
        <v/>
      </c>
      <c r="N2155" s="15">
        <f>IF(OR(G2155="",L2155&lt;&gt;"Да"),"",IF(G2155&lt;=100,33600,IF(G2155&lt;=200,62400,IF(G2155&lt;=500,144000,""))))</f>
        <v/>
      </c>
      <c r="O2155" s="16">
        <f>IF(G2155="","",IF(G2155&lt;=15,"1–15",IF(G2155&lt;=30,"16–30",IF(G2155&lt;=50,"31–50",IF(G2155&lt;=100,"51–100",IF(G2155&lt;=150,"101–150",IF(G2155&lt;=200,"151–200",IF(G2155&lt;=500,"201–500","500+"))))))))</f>
        <v/>
      </c>
      <c r="P2155" s="16" t="inlineStr">
        <is>
          <t>Нет совпадения в предоставленной выгрузке ССЧР</t>
        </is>
      </c>
      <c r="Q2155" s="16" t="n"/>
      <c r="R2155" s="16">
        <f>HYPERLINK("https://checko.ru/search?query=3801001629","Чекко: проверить")</f>
        <v/>
      </c>
      <c r="S2155" t="n">
        <v>0</v>
      </c>
    </row>
    <row r="2156" ht="15" customHeight="1" s="24">
      <c r="A2156" s="13" t="n">
        <v>5000094658</v>
      </c>
      <c r="B2156" s="13" t="inlineStr">
        <is>
          <t>МКУ ДО "ДШИ" ГП Терек</t>
        </is>
      </c>
      <c r="C2156" s="13" t="n">
        <v>705005167</v>
      </c>
      <c r="D2156" s="13" t="n"/>
      <c r="E2156" s="13" t="inlineStr">
        <is>
          <t>Не определён</t>
        </is>
      </c>
      <c r="F2156" s="13" t="inlineStr">
        <is>
          <t>705005167</t>
        </is>
      </c>
      <c r="G2156" s="14" t="n"/>
      <c r="H2156" s="14" t="n"/>
      <c r="I2156" s="14" t="n"/>
      <c r="J2156" s="14" t="n"/>
      <c r="K2156" s="13">
        <f>IF(G2156="","",IF(G2156&gt;=22,"Да","Нет"))</f>
        <v/>
      </c>
      <c r="L2156" s="13">
        <f>IF(OR(I2156="",J2156=""),"Не определено",IF(OR(COUNTIF(I2156,"45*")&gt;0,COUNTIF(J2156,"*45*")&gt;0,COUNTIF(I2156,"46*")&gt;0,COUNTIF(J2156,"*46*")&gt;0,COUNTIF(I2156,"47*")&gt;0,COUNTIF(J2156,"*47*")&gt;0,COUNTIF(I2156,"10*")&gt;0,COUNTIF(J2156,"*10*")&gt;0,COUNTIF(I2156,"11*")&gt;0,COUNTIF(J2156,"*11*")&gt;0,COUNTIF(I2156,"12*")&gt;0,COUNTIF(J2156,"*12*")&gt;0,COUNTIF(I2156,"13*")&gt;0,COUNTIF(J2156,"*13*")&gt;0,COUNTIF(I2156,"14*")&gt;0,COUNTIF(J2156,"*14*")&gt;0,COUNTIF(I2156,"15*")&gt;0,COUNTIF(J2156,"*15*")&gt;0,COUNTIF(I2156,"16*")&gt;0,COUNTIF(J2156,"*16*")&gt;0,COUNTIF(I2156,"17*")&gt;0,COUNTIF(J2156,"*17*")&gt;0,COUNTIF(I2156,"18*")&gt;0,COUNTIF(J2156,"*18*")&gt;0,COUNTIF(I2156,"19*")&gt;0,COUNTIF(J2156,"*19*")&gt;0,COUNTIF(I2156,"20*")&gt;0,COUNTIF(J2156,"*20*")&gt;0,COUNTIF(I2156,"21*")&gt;0,COUNTIF(J2156,"*21*")&gt;0,COUNTIF(I2156,"22*")&gt;0,COUNTIF(J2156,"*22*")&gt;0,COUNTIF(I2156,"23*")&gt;0,COUNTIF(J2156,"*23*")&gt;0,COUNTIF(I2156,"24*")&gt;0,COUNTIF(J2156,"*24*")&gt;0,COUNTIF(I2156,"25*")&gt;0,COUNTIF(J2156,"*25*")&gt;0,COUNTIF(I2156,"26*")&gt;0,COUNTIF(J2156,"*26*")&gt;0,COUNTIF(I2156,"27*")&gt;0,COUNTIF(J2156,"*27*")&gt;0,COUNTIF(I2156,"28*")&gt;0,COUNTIF(J2156,"*28*")&gt;0,COUNTIF(I2156,"29*")&gt;0,COUNTIF(J2156,"*29*")&gt;0,COUNTIF(I2156,"30*")&gt;0,COUNTIF(J2156,"*30*")&gt;0,COUNTIF(I2156,"31*")&gt;0,COUNTIF(J2156,"*31*")&gt;0,COUNTIF(I2156,"32*")&gt;0,COUNTIF(J2156,"*32*")&gt;0,COUNTIF(I2156,"33*")&gt;0,COUNTIF(J2156,"*33*")&gt;0,COUNTIF(I2156,"41*")&gt;0,COUNTIF(J2156,"*41*")&gt;0,COUNTIF(I2156,"42*")&gt;0,COUNTIF(J2156,"*42*")&gt;0,COUNTIF(I2156,"43*")&gt;0,COUNTIF(J2156,"*43*")&gt;0,COUNTIF(I2156,"49*")&gt;0,COUNTIF(J2156,"*49*")&gt;0,COUNTIF(I2156,"52*")&gt;0,COUNTIF(J2156,"*52*")&gt;0,COUNTIF(I2156,"55*")&gt;0,COUNTIF(J2156,"*55*")&gt;0,COUNTIF(I2156,"56*")&gt;0,COUNTIF(J2156,"*56*")&gt;0,COUNTIF(I2156,"68*")&gt;0,COUNTIF(J2156,"*68*")&gt;0,COUNTIF(I2156,"78*")&gt;0,COUNTIF(J2156,"*78*")&gt;0,COUNTIF(I2156,"81*")&gt;0,COUNTIF(J2156,"*81*")&gt;0,COUNTIF(I2156,"82*")&gt;0,COUNTIF(J2156,"*82*")&gt;0,COUNTIF(I2156,"64*")&gt;0,COUNTIF(J2156,"*64*")&gt;0,COUNTIF(I2156,"65*")&gt;0,COUNTIF(J2156,"*65*")&gt;0,COUNTIF(I2156,"66*")&gt;0,COUNTIF(J2156,"*66*")&gt;0,COUNTIF(I2156,"61*")&gt;0,COUNTIF(J2156,"*61*")&gt;0,COUNTIF(I2156,"62*")&gt;0,COUNTIF(J2156,"*62*")&gt;0,COUNTIF(I2156,"63*")&gt;0,COUNTIF(J2156,"*63*")&gt;0,COUNTIF(I2156,"85*")&gt;0,COUNTIF(J2156,"*85*")&gt;0,COUNTIF(I2156,"86*")&gt;0,COUNTIF(J2156,"*86*")&gt;0),"Да","Нет"))</f>
        <v/>
      </c>
      <c r="M2156" s="13">
        <f>IF(OR(G2156="",L2156&lt;&gt;"Да"),"",IF(G2156&lt;=100,"До 100",IF(G2156&lt;=200,"До 200",IF(G2156&lt;=500,"До 500","Отдельное КП"))))</f>
        <v/>
      </c>
      <c r="N2156" s="15">
        <f>IF(OR(G2156="",L2156&lt;&gt;"Да"),"",IF(G2156&lt;=100,33600,IF(G2156&lt;=200,62400,IF(G2156&lt;=500,144000,""))))</f>
        <v/>
      </c>
      <c r="O2156" s="16">
        <f>IF(G2156="","",IF(G2156&lt;=15,"1–15",IF(G2156&lt;=30,"16–30",IF(G2156&lt;=50,"31–50",IF(G2156&lt;=100,"51–100",IF(G2156&lt;=150,"101–150",IF(G2156&lt;=200,"151–200",IF(G2156&lt;=500,"201–500","500+"))))))))</f>
        <v/>
      </c>
      <c r="P2156" s="16" t="inlineStr">
        <is>
          <t>Нет совпадения в предоставленной выгрузке ССЧР</t>
        </is>
      </c>
      <c r="Q2156" s="16" t="n"/>
      <c r="R2156" s="16">
        <f>HYPERLINK("https://checko.ru/search?query=3801001629","Чекко: проверить")</f>
        <v/>
      </c>
      <c r="S2156" t="n">
        <v>0</v>
      </c>
    </row>
    <row r="2157" ht="15" customHeight="1" s="24">
      <c r="A2157" s="13" t="n">
        <v>5000094659</v>
      </c>
      <c r="B2157" s="13" t="inlineStr">
        <is>
          <t>МУ ДОЛ "АЛМАЗ"</t>
        </is>
      </c>
      <c r="C2157" s="13" t="n">
        <v>705005270</v>
      </c>
      <c r="D2157" s="13" t="n"/>
      <c r="E2157" s="13" t="inlineStr">
        <is>
          <t>Не определён</t>
        </is>
      </c>
      <c r="F2157" s="13" t="inlineStr">
        <is>
          <t>705005270</t>
        </is>
      </c>
      <c r="G2157" s="14" t="n"/>
      <c r="H2157" s="14" t="n"/>
      <c r="I2157" s="14" t="n"/>
      <c r="J2157" s="14" t="n"/>
      <c r="K2157" s="13">
        <f>IF(G2157="","",IF(G2157&gt;=22,"Да","Нет"))</f>
        <v/>
      </c>
      <c r="L2157" s="13">
        <f>IF(OR(I2157="",J2157=""),"Не определено",IF(OR(COUNTIF(I2157,"45*")&gt;0,COUNTIF(J2157,"*45*")&gt;0,COUNTIF(I2157,"46*")&gt;0,COUNTIF(J2157,"*46*")&gt;0,COUNTIF(I2157,"47*")&gt;0,COUNTIF(J2157,"*47*")&gt;0,COUNTIF(I2157,"10*")&gt;0,COUNTIF(J2157,"*10*")&gt;0,COUNTIF(I2157,"11*")&gt;0,COUNTIF(J2157,"*11*")&gt;0,COUNTIF(I2157,"12*")&gt;0,COUNTIF(J2157,"*12*")&gt;0,COUNTIF(I2157,"13*")&gt;0,COUNTIF(J2157,"*13*")&gt;0,COUNTIF(I2157,"14*")&gt;0,COUNTIF(J2157,"*14*")&gt;0,COUNTIF(I2157,"15*")&gt;0,COUNTIF(J2157,"*15*")&gt;0,COUNTIF(I2157,"16*")&gt;0,COUNTIF(J2157,"*16*")&gt;0,COUNTIF(I2157,"17*")&gt;0,COUNTIF(J2157,"*17*")&gt;0,COUNTIF(I2157,"18*")&gt;0,COUNTIF(J2157,"*18*")&gt;0,COUNTIF(I2157,"19*")&gt;0,COUNTIF(J2157,"*19*")&gt;0,COUNTIF(I2157,"20*")&gt;0,COUNTIF(J2157,"*20*")&gt;0,COUNTIF(I2157,"21*")&gt;0,COUNTIF(J2157,"*21*")&gt;0,COUNTIF(I2157,"22*")&gt;0,COUNTIF(J2157,"*22*")&gt;0,COUNTIF(I2157,"23*")&gt;0,COUNTIF(J2157,"*23*")&gt;0,COUNTIF(I2157,"24*")&gt;0,COUNTIF(J2157,"*24*")&gt;0,COUNTIF(I2157,"25*")&gt;0,COUNTIF(J2157,"*25*")&gt;0,COUNTIF(I2157,"26*")&gt;0,COUNTIF(J2157,"*26*")&gt;0,COUNTIF(I2157,"27*")&gt;0,COUNTIF(J2157,"*27*")&gt;0,COUNTIF(I2157,"28*")&gt;0,COUNTIF(J2157,"*28*")&gt;0,COUNTIF(I2157,"29*")&gt;0,COUNTIF(J2157,"*29*")&gt;0,COUNTIF(I2157,"30*")&gt;0,COUNTIF(J2157,"*30*")&gt;0,COUNTIF(I2157,"31*")&gt;0,COUNTIF(J2157,"*31*")&gt;0,COUNTIF(I2157,"32*")&gt;0,COUNTIF(J2157,"*32*")&gt;0,COUNTIF(I2157,"33*")&gt;0,COUNTIF(J2157,"*33*")&gt;0,COUNTIF(I2157,"41*")&gt;0,COUNTIF(J2157,"*41*")&gt;0,COUNTIF(I2157,"42*")&gt;0,COUNTIF(J2157,"*42*")&gt;0,COUNTIF(I2157,"43*")&gt;0,COUNTIF(J2157,"*43*")&gt;0,COUNTIF(I2157,"49*")&gt;0,COUNTIF(J2157,"*49*")&gt;0,COUNTIF(I2157,"52*")&gt;0,COUNTIF(J2157,"*52*")&gt;0,COUNTIF(I2157,"55*")&gt;0,COUNTIF(J2157,"*55*")&gt;0,COUNTIF(I2157,"56*")&gt;0,COUNTIF(J2157,"*56*")&gt;0,COUNTIF(I2157,"68*")&gt;0,COUNTIF(J2157,"*68*")&gt;0,COUNTIF(I2157,"78*")&gt;0,COUNTIF(J2157,"*78*")&gt;0,COUNTIF(I2157,"81*")&gt;0,COUNTIF(J2157,"*81*")&gt;0,COUNTIF(I2157,"82*")&gt;0,COUNTIF(J2157,"*82*")&gt;0,COUNTIF(I2157,"64*")&gt;0,COUNTIF(J2157,"*64*")&gt;0,COUNTIF(I2157,"65*")&gt;0,COUNTIF(J2157,"*65*")&gt;0,COUNTIF(I2157,"66*")&gt;0,COUNTIF(J2157,"*66*")&gt;0,COUNTIF(I2157,"61*")&gt;0,COUNTIF(J2157,"*61*")&gt;0,COUNTIF(I2157,"62*")&gt;0,COUNTIF(J2157,"*62*")&gt;0,COUNTIF(I2157,"63*")&gt;0,COUNTIF(J2157,"*63*")&gt;0,COUNTIF(I2157,"85*")&gt;0,COUNTIF(J2157,"*85*")&gt;0,COUNTIF(I2157,"86*")&gt;0,COUNTIF(J2157,"*86*")&gt;0),"Да","Нет"))</f>
        <v/>
      </c>
      <c r="M2157" s="13">
        <f>IF(OR(G2157="",L2157&lt;&gt;"Да"),"",IF(G2157&lt;=100,"До 100",IF(G2157&lt;=200,"До 200",IF(G2157&lt;=500,"До 500","Отдельное КП"))))</f>
        <v/>
      </c>
      <c r="N2157" s="15">
        <f>IF(OR(G2157="",L2157&lt;&gt;"Да"),"",IF(G2157&lt;=100,33600,IF(G2157&lt;=200,62400,IF(G2157&lt;=500,144000,""))))</f>
        <v/>
      </c>
      <c r="O2157" s="16">
        <f>IF(G2157="","",IF(G2157&lt;=15,"1–15",IF(G2157&lt;=30,"16–30",IF(G2157&lt;=50,"31–50",IF(G2157&lt;=100,"51–100",IF(G2157&lt;=150,"101–150",IF(G2157&lt;=200,"151–200",IF(G2157&lt;=500,"201–500","500+"))))))))</f>
        <v/>
      </c>
      <c r="P2157" s="16" t="inlineStr">
        <is>
          <t>Нет совпадения в предоставленной выгрузке ССЧР</t>
        </is>
      </c>
      <c r="Q2157" s="16" t="n"/>
      <c r="R2157" s="16">
        <f>HYPERLINK("https://checko.ru/search?query=3801001629","Чекко: проверить")</f>
        <v/>
      </c>
      <c r="S2157" t="n">
        <v>0</v>
      </c>
    </row>
    <row r="2158" ht="15" customHeight="1" s="24">
      <c r="A2158" s="13" t="n">
        <v>5000094660</v>
      </c>
      <c r="B2158" s="13" t="inlineStr">
        <is>
          <t>МКУ СШ С.П. ВЕРХНИЙ АКБАШ</t>
        </is>
      </c>
      <c r="C2158" s="13" t="n">
        <v>705005449</v>
      </c>
      <c r="D2158" s="13" t="n"/>
      <c r="E2158" s="13" t="inlineStr">
        <is>
          <t>Не определён</t>
        </is>
      </c>
      <c r="F2158" s="13" t="inlineStr">
        <is>
          <t>705005449</t>
        </is>
      </c>
      <c r="G2158" s="14" t="n"/>
      <c r="H2158" s="14" t="n"/>
      <c r="I2158" s="14" t="n"/>
      <c r="J2158" s="14" t="n"/>
      <c r="K2158" s="13">
        <f>IF(G2158="","",IF(G2158&gt;=22,"Да","Нет"))</f>
        <v/>
      </c>
      <c r="L2158" s="13">
        <f>IF(OR(I2158="",J2158=""),"Не определено",IF(OR(COUNTIF(I2158,"45*")&gt;0,COUNTIF(J2158,"*45*")&gt;0,COUNTIF(I2158,"46*")&gt;0,COUNTIF(J2158,"*46*")&gt;0,COUNTIF(I2158,"47*")&gt;0,COUNTIF(J2158,"*47*")&gt;0,COUNTIF(I2158,"10*")&gt;0,COUNTIF(J2158,"*10*")&gt;0,COUNTIF(I2158,"11*")&gt;0,COUNTIF(J2158,"*11*")&gt;0,COUNTIF(I2158,"12*")&gt;0,COUNTIF(J2158,"*12*")&gt;0,COUNTIF(I2158,"13*")&gt;0,COUNTIF(J2158,"*13*")&gt;0,COUNTIF(I2158,"14*")&gt;0,COUNTIF(J2158,"*14*")&gt;0,COUNTIF(I2158,"15*")&gt;0,COUNTIF(J2158,"*15*")&gt;0,COUNTIF(I2158,"16*")&gt;0,COUNTIF(J2158,"*16*")&gt;0,COUNTIF(I2158,"17*")&gt;0,COUNTIF(J2158,"*17*")&gt;0,COUNTIF(I2158,"18*")&gt;0,COUNTIF(J2158,"*18*")&gt;0,COUNTIF(I2158,"19*")&gt;0,COUNTIF(J2158,"*19*")&gt;0,COUNTIF(I2158,"20*")&gt;0,COUNTIF(J2158,"*20*")&gt;0,COUNTIF(I2158,"21*")&gt;0,COUNTIF(J2158,"*21*")&gt;0,COUNTIF(I2158,"22*")&gt;0,COUNTIF(J2158,"*22*")&gt;0,COUNTIF(I2158,"23*")&gt;0,COUNTIF(J2158,"*23*")&gt;0,COUNTIF(I2158,"24*")&gt;0,COUNTIF(J2158,"*24*")&gt;0,COUNTIF(I2158,"25*")&gt;0,COUNTIF(J2158,"*25*")&gt;0,COUNTIF(I2158,"26*")&gt;0,COUNTIF(J2158,"*26*")&gt;0,COUNTIF(I2158,"27*")&gt;0,COUNTIF(J2158,"*27*")&gt;0,COUNTIF(I2158,"28*")&gt;0,COUNTIF(J2158,"*28*")&gt;0,COUNTIF(I2158,"29*")&gt;0,COUNTIF(J2158,"*29*")&gt;0,COUNTIF(I2158,"30*")&gt;0,COUNTIF(J2158,"*30*")&gt;0,COUNTIF(I2158,"31*")&gt;0,COUNTIF(J2158,"*31*")&gt;0,COUNTIF(I2158,"32*")&gt;0,COUNTIF(J2158,"*32*")&gt;0,COUNTIF(I2158,"33*")&gt;0,COUNTIF(J2158,"*33*")&gt;0,COUNTIF(I2158,"41*")&gt;0,COUNTIF(J2158,"*41*")&gt;0,COUNTIF(I2158,"42*")&gt;0,COUNTIF(J2158,"*42*")&gt;0,COUNTIF(I2158,"43*")&gt;0,COUNTIF(J2158,"*43*")&gt;0,COUNTIF(I2158,"49*")&gt;0,COUNTIF(J2158,"*49*")&gt;0,COUNTIF(I2158,"52*")&gt;0,COUNTIF(J2158,"*52*")&gt;0,COUNTIF(I2158,"55*")&gt;0,COUNTIF(J2158,"*55*")&gt;0,COUNTIF(I2158,"56*")&gt;0,COUNTIF(J2158,"*56*")&gt;0,COUNTIF(I2158,"68*")&gt;0,COUNTIF(J2158,"*68*")&gt;0,COUNTIF(I2158,"78*")&gt;0,COUNTIF(J2158,"*78*")&gt;0,COUNTIF(I2158,"81*")&gt;0,COUNTIF(J2158,"*81*")&gt;0,COUNTIF(I2158,"82*")&gt;0,COUNTIF(J2158,"*82*")&gt;0,COUNTIF(I2158,"64*")&gt;0,COUNTIF(J2158,"*64*")&gt;0,COUNTIF(I2158,"65*")&gt;0,COUNTIF(J2158,"*65*")&gt;0,COUNTIF(I2158,"66*")&gt;0,COUNTIF(J2158,"*66*")&gt;0,COUNTIF(I2158,"61*")&gt;0,COUNTIF(J2158,"*61*")&gt;0,COUNTIF(I2158,"62*")&gt;0,COUNTIF(J2158,"*62*")&gt;0,COUNTIF(I2158,"63*")&gt;0,COUNTIF(J2158,"*63*")&gt;0,COUNTIF(I2158,"85*")&gt;0,COUNTIF(J2158,"*85*")&gt;0,COUNTIF(I2158,"86*")&gt;0,COUNTIF(J2158,"*86*")&gt;0),"Да","Нет"))</f>
        <v/>
      </c>
      <c r="M2158" s="13">
        <f>IF(OR(G2158="",L2158&lt;&gt;"Да"),"",IF(G2158&lt;=100,"До 100",IF(G2158&lt;=200,"До 200",IF(G2158&lt;=500,"До 500","Отдельное КП"))))</f>
        <v/>
      </c>
      <c r="N2158" s="15">
        <f>IF(OR(G2158="",L2158&lt;&gt;"Да"),"",IF(G2158&lt;=100,33600,IF(G2158&lt;=200,62400,IF(G2158&lt;=500,144000,""))))</f>
        <v/>
      </c>
      <c r="O2158" s="16">
        <f>IF(G2158="","",IF(G2158&lt;=15,"1–15",IF(G2158&lt;=30,"16–30",IF(G2158&lt;=50,"31–50",IF(G2158&lt;=100,"51–100",IF(G2158&lt;=150,"101–150",IF(G2158&lt;=200,"151–200",IF(G2158&lt;=500,"201–500","500+"))))))))</f>
        <v/>
      </c>
      <c r="P2158" s="16" t="inlineStr">
        <is>
          <t>Нет совпадения в предоставленной выгрузке ССЧР</t>
        </is>
      </c>
      <c r="Q2158" s="16" t="n"/>
      <c r="R2158" s="16">
        <f>HYPERLINK("https://checko.ru/search?query=3801001629","Чекко: проверить")</f>
        <v/>
      </c>
      <c r="S2158" t="n">
        <v>0</v>
      </c>
    </row>
    <row r="2159" ht="15" customHeight="1" s="24">
      <c r="A2159" s="13" t="n">
        <v>5000094661</v>
      </c>
      <c r="B2159" s="13" t="inlineStr">
        <is>
          <t>МКУ СШОР с.п. Дейское</t>
        </is>
      </c>
      <c r="C2159" s="13" t="n">
        <v>705005897</v>
      </c>
      <c r="D2159" s="13" t="n"/>
      <c r="E2159" s="13" t="inlineStr">
        <is>
          <t>Не определён</t>
        </is>
      </c>
      <c r="F2159" s="13" t="inlineStr">
        <is>
          <t>705005897</t>
        </is>
      </c>
      <c r="G2159" s="14" t="n"/>
      <c r="H2159" s="14" t="n"/>
      <c r="I2159" s="14" t="n"/>
      <c r="J2159" s="14" t="n"/>
      <c r="K2159" s="13">
        <f>IF(G2159="","",IF(G2159&gt;=22,"Да","Нет"))</f>
        <v/>
      </c>
      <c r="L2159" s="13">
        <f>IF(OR(I2159="",J2159=""),"Не определено",IF(OR(COUNTIF(I2159,"45*")&gt;0,COUNTIF(J2159,"*45*")&gt;0,COUNTIF(I2159,"46*")&gt;0,COUNTIF(J2159,"*46*")&gt;0,COUNTIF(I2159,"47*")&gt;0,COUNTIF(J2159,"*47*")&gt;0,COUNTIF(I2159,"10*")&gt;0,COUNTIF(J2159,"*10*")&gt;0,COUNTIF(I2159,"11*")&gt;0,COUNTIF(J2159,"*11*")&gt;0,COUNTIF(I2159,"12*")&gt;0,COUNTIF(J2159,"*12*")&gt;0,COUNTIF(I2159,"13*")&gt;0,COUNTIF(J2159,"*13*")&gt;0,COUNTIF(I2159,"14*")&gt;0,COUNTIF(J2159,"*14*")&gt;0,COUNTIF(I2159,"15*")&gt;0,COUNTIF(J2159,"*15*")&gt;0,COUNTIF(I2159,"16*")&gt;0,COUNTIF(J2159,"*16*")&gt;0,COUNTIF(I2159,"17*")&gt;0,COUNTIF(J2159,"*17*")&gt;0,COUNTIF(I2159,"18*")&gt;0,COUNTIF(J2159,"*18*")&gt;0,COUNTIF(I2159,"19*")&gt;0,COUNTIF(J2159,"*19*")&gt;0,COUNTIF(I2159,"20*")&gt;0,COUNTIF(J2159,"*20*")&gt;0,COUNTIF(I2159,"21*")&gt;0,COUNTIF(J2159,"*21*")&gt;0,COUNTIF(I2159,"22*")&gt;0,COUNTIF(J2159,"*22*")&gt;0,COUNTIF(I2159,"23*")&gt;0,COUNTIF(J2159,"*23*")&gt;0,COUNTIF(I2159,"24*")&gt;0,COUNTIF(J2159,"*24*")&gt;0,COUNTIF(I2159,"25*")&gt;0,COUNTIF(J2159,"*25*")&gt;0,COUNTIF(I2159,"26*")&gt;0,COUNTIF(J2159,"*26*")&gt;0,COUNTIF(I2159,"27*")&gt;0,COUNTIF(J2159,"*27*")&gt;0,COUNTIF(I2159,"28*")&gt;0,COUNTIF(J2159,"*28*")&gt;0,COUNTIF(I2159,"29*")&gt;0,COUNTIF(J2159,"*29*")&gt;0,COUNTIF(I2159,"30*")&gt;0,COUNTIF(J2159,"*30*")&gt;0,COUNTIF(I2159,"31*")&gt;0,COUNTIF(J2159,"*31*")&gt;0,COUNTIF(I2159,"32*")&gt;0,COUNTIF(J2159,"*32*")&gt;0,COUNTIF(I2159,"33*")&gt;0,COUNTIF(J2159,"*33*")&gt;0,COUNTIF(I2159,"41*")&gt;0,COUNTIF(J2159,"*41*")&gt;0,COUNTIF(I2159,"42*")&gt;0,COUNTIF(J2159,"*42*")&gt;0,COUNTIF(I2159,"43*")&gt;0,COUNTIF(J2159,"*43*")&gt;0,COUNTIF(I2159,"49*")&gt;0,COUNTIF(J2159,"*49*")&gt;0,COUNTIF(I2159,"52*")&gt;0,COUNTIF(J2159,"*52*")&gt;0,COUNTIF(I2159,"55*")&gt;0,COUNTIF(J2159,"*55*")&gt;0,COUNTIF(I2159,"56*")&gt;0,COUNTIF(J2159,"*56*")&gt;0,COUNTIF(I2159,"68*")&gt;0,COUNTIF(J2159,"*68*")&gt;0,COUNTIF(I2159,"78*")&gt;0,COUNTIF(J2159,"*78*")&gt;0,COUNTIF(I2159,"81*")&gt;0,COUNTIF(J2159,"*81*")&gt;0,COUNTIF(I2159,"82*")&gt;0,COUNTIF(J2159,"*82*")&gt;0,COUNTIF(I2159,"64*")&gt;0,COUNTIF(J2159,"*64*")&gt;0,COUNTIF(I2159,"65*")&gt;0,COUNTIF(J2159,"*65*")&gt;0,COUNTIF(I2159,"66*")&gt;0,COUNTIF(J2159,"*66*")&gt;0,COUNTIF(I2159,"61*")&gt;0,COUNTIF(J2159,"*61*")&gt;0,COUNTIF(I2159,"62*")&gt;0,COUNTIF(J2159,"*62*")&gt;0,COUNTIF(I2159,"63*")&gt;0,COUNTIF(J2159,"*63*")&gt;0,COUNTIF(I2159,"85*")&gt;0,COUNTIF(J2159,"*85*")&gt;0,COUNTIF(I2159,"86*")&gt;0,COUNTIF(J2159,"*86*")&gt;0),"Да","Нет"))</f>
        <v/>
      </c>
      <c r="M2159" s="13">
        <f>IF(OR(G2159="",L2159&lt;&gt;"Да"),"",IF(G2159&lt;=100,"До 100",IF(G2159&lt;=200,"До 200",IF(G2159&lt;=500,"До 500","Отдельное КП"))))</f>
        <v/>
      </c>
      <c r="N2159" s="15">
        <f>IF(OR(G2159="",L2159&lt;&gt;"Да"),"",IF(G2159&lt;=100,33600,IF(G2159&lt;=200,62400,IF(G2159&lt;=500,144000,""))))</f>
        <v/>
      </c>
      <c r="O2159" s="16">
        <f>IF(G2159="","",IF(G2159&lt;=15,"1–15",IF(G2159&lt;=30,"16–30",IF(G2159&lt;=50,"31–50",IF(G2159&lt;=100,"51–100",IF(G2159&lt;=150,"101–150",IF(G2159&lt;=200,"151–200",IF(G2159&lt;=500,"201–500","500+"))))))))</f>
        <v/>
      </c>
      <c r="P2159" s="16" t="inlineStr">
        <is>
          <t>Нет совпадения в предоставленной выгрузке ССЧР</t>
        </is>
      </c>
      <c r="Q2159" s="16" t="n"/>
      <c r="R2159" s="16">
        <f>HYPERLINK("https://checko.ru/search?query=3801001629","Чекко: проверить")</f>
        <v/>
      </c>
      <c r="S2159" t="n">
        <v>0</v>
      </c>
    </row>
    <row r="2160" ht="15" customHeight="1" s="24">
      <c r="A2160" s="13" t="n">
        <v>5000094663</v>
      </c>
      <c r="B2160" s="13" t="inlineStr">
        <is>
          <t>МКУК "СДК С.П. БЕЛОГЛИНСКОЕ"</t>
        </is>
      </c>
      <c r="C2160" s="13" t="n">
        <v>705006636</v>
      </c>
      <c r="D2160" s="13" t="n"/>
      <c r="E2160" s="13" t="inlineStr">
        <is>
          <t>Не определён</t>
        </is>
      </c>
      <c r="F2160" s="13" t="inlineStr">
        <is>
          <t>705006636</t>
        </is>
      </c>
      <c r="G2160" s="14" t="n"/>
      <c r="H2160" s="14" t="n"/>
      <c r="I2160" s="14" t="n"/>
      <c r="J2160" s="14" t="n"/>
      <c r="K2160" s="13">
        <f>IF(G2160="","",IF(G2160&gt;=22,"Да","Нет"))</f>
        <v/>
      </c>
      <c r="L2160" s="13">
        <f>IF(OR(I2160="",J2160=""),"Не определено",IF(OR(COUNTIF(I2160,"45*")&gt;0,COUNTIF(J2160,"*45*")&gt;0,COUNTIF(I2160,"46*")&gt;0,COUNTIF(J2160,"*46*")&gt;0,COUNTIF(I2160,"47*")&gt;0,COUNTIF(J2160,"*47*")&gt;0,COUNTIF(I2160,"10*")&gt;0,COUNTIF(J2160,"*10*")&gt;0,COUNTIF(I2160,"11*")&gt;0,COUNTIF(J2160,"*11*")&gt;0,COUNTIF(I2160,"12*")&gt;0,COUNTIF(J2160,"*12*")&gt;0,COUNTIF(I2160,"13*")&gt;0,COUNTIF(J2160,"*13*")&gt;0,COUNTIF(I2160,"14*")&gt;0,COUNTIF(J2160,"*14*")&gt;0,COUNTIF(I2160,"15*")&gt;0,COUNTIF(J2160,"*15*")&gt;0,COUNTIF(I2160,"16*")&gt;0,COUNTIF(J2160,"*16*")&gt;0,COUNTIF(I2160,"17*")&gt;0,COUNTIF(J2160,"*17*")&gt;0,COUNTIF(I2160,"18*")&gt;0,COUNTIF(J2160,"*18*")&gt;0,COUNTIF(I2160,"19*")&gt;0,COUNTIF(J2160,"*19*")&gt;0,COUNTIF(I2160,"20*")&gt;0,COUNTIF(J2160,"*20*")&gt;0,COUNTIF(I2160,"21*")&gt;0,COUNTIF(J2160,"*21*")&gt;0,COUNTIF(I2160,"22*")&gt;0,COUNTIF(J2160,"*22*")&gt;0,COUNTIF(I2160,"23*")&gt;0,COUNTIF(J2160,"*23*")&gt;0,COUNTIF(I2160,"24*")&gt;0,COUNTIF(J2160,"*24*")&gt;0,COUNTIF(I2160,"25*")&gt;0,COUNTIF(J2160,"*25*")&gt;0,COUNTIF(I2160,"26*")&gt;0,COUNTIF(J2160,"*26*")&gt;0,COUNTIF(I2160,"27*")&gt;0,COUNTIF(J2160,"*27*")&gt;0,COUNTIF(I2160,"28*")&gt;0,COUNTIF(J2160,"*28*")&gt;0,COUNTIF(I2160,"29*")&gt;0,COUNTIF(J2160,"*29*")&gt;0,COUNTIF(I2160,"30*")&gt;0,COUNTIF(J2160,"*30*")&gt;0,COUNTIF(I2160,"31*")&gt;0,COUNTIF(J2160,"*31*")&gt;0,COUNTIF(I2160,"32*")&gt;0,COUNTIF(J2160,"*32*")&gt;0,COUNTIF(I2160,"33*")&gt;0,COUNTIF(J2160,"*33*")&gt;0,COUNTIF(I2160,"41*")&gt;0,COUNTIF(J2160,"*41*")&gt;0,COUNTIF(I2160,"42*")&gt;0,COUNTIF(J2160,"*42*")&gt;0,COUNTIF(I2160,"43*")&gt;0,COUNTIF(J2160,"*43*")&gt;0,COUNTIF(I2160,"49*")&gt;0,COUNTIF(J2160,"*49*")&gt;0,COUNTIF(I2160,"52*")&gt;0,COUNTIF(J2160,"*52*")&gt;0,COUNTIF(I2160,"55*")&gt;0,COUNTIF(J2160,"*55*")&gt;0,COUNTIF(I2160,"56*")&gt;0,COUNTIF(J2160,"*56*")&gt;0,COUNTIF(I2160,"68*")&gt;0,COUNTIF(J2160,"*68*")&gt;0,COUNTIF(I2160,"78*")&gt;0,COUNTIF(J2160,"*78*")&gt;0,COUNTIF(I2160,"81*")&gt;0,COUNTIF(J2160,"*81*")&gt;0,COUNTIF(I2160,"82*")&gt;0,COUNTIF(J2160,"*82*")&gt;0,COUNTIF(I2160,"64*")&gt;0,COUNTIF(J2160,"*64*")&gt;0,COUNTIF(I2160,"65*")&gt;0,COUNTIF(J2160,"*65*")&gt;0,COUNTIF(I2160,"66*")&gt;0,COUNTIF(J2160,"*66*")&gt;0,COUNTIF(I2160,"61*")&gt;0,COUNTIF(J2160,"*61*")&gt;0,COUNTIF(I2160,"62*")&gt;0,COUNTIF(J2160,"*62*")&gt;0,COUNTIF(I2160,"63*")&gt;0,COUNTIF(J2160,"*63*")&gt;0,COUNTIF(I2160,"85*")&gt;0,COUNTIF(J2160,"*85*")&gt;0,COUNTIF(I2160,"86*")&gt;0,COUNTIF(J2160,"*86*")&gt;0),"Да","Нет"))</f>
        <v/>
      </c>
      <c r="M2160" s="13">
        <f>IF(OR(G2160="",L2160&lt;&gt;"Да"),"",IF(G2160&lt;=100,"До 100",IF(G2160&lt;=200,"До 200",IF(G2160&lt;=500,"До 500","Отдельное КП"))))</f>
        <v/>
      </c>
      <c r="N2160" s="15">
        <f>IF(OR(G2160="",L2160&lt;&gt;"Да"),"",IF(G2160&lt;=100,33600,IF(G2160&lt;=200,62400,IF(G2160&lt;=500,144000,""))))</f>
        <v/>
      </c>
      <c r="O2160" s="16">
        <f>IF(G2160="","",IF(G2160&lt;=15,"1–15",IF(G2160&lt;=30,"16–30",IF(G2160&lt;=50,"31–50",IF(G2160&lt;=100,"51–100",IF(G2160&lt;=150,"101–150",IF(G2160&lt;=200,"151–200",IF(G2160&lt;=500,"201–500","500+"))))))))</f>
        <v/>
      </c>
      <c r="P2160" s="16" t="inlineStr">
        <is>
          <t>Нет совпадения в предоставленной выгрузке ССЧР</t>
        </is>
      </c>
      <c r="Q2160" s="16" t="n"/>
      <c r="R2160" s="16">
        <f>HYPERLINK("https://checko.ru/search?query=3801001629","Чекко: проверить")</f>
        <v/>
      </c>
      <c r="S2160" t="n">
        <v>0</v>
      </c>
    </row>
    <row r="2161" ht="27.75" customHeight="1" s="24">
      <c r="A2161" s="13" t="n">
        <v>5000094664</v>
      </c>
      <c r="B2161" s="13" t="inlineStr">
        <is>
          <t>МУК "СЕЛЬСКИЙ ДОМ КУЛЬТУРЫ" С.П. КРАСНОАРМЕЙСКОЕ</t>
        </is>
      </c>
      <c r="C2161" s="13" t="n">
        <v>705006763</v>
      </c>
      <c r="D2161" s="13" t="n"/>
      <c r="E2161" s="13" t="inlineStr">
        <is>
          <t>Не определён</t>
        </is>
      </c>
      <c r="F2161" s="13" t="inlineStr">
        <is>
          <t>705006763</t>
        </is>
      </c>
      <c r="G2161" s="14" t="n"/>
      <c r="H2161" s="14" t="n"/>
      <c r="I2161" s="14" t="n"/>
      <c r="J2161" s="14" t="n"/>
      <c r="K2161" s="13">
        <f>IF(G2161="","",IF(G2161&gt;=22,"Да","Нет"))</f>
        <v/>
      </c>
      <c r="L2161" s="13">
        <f>IF(OR(I2161="",J2161=""),"Не определено",IF(OR(COUNTIF(I2161,"45*")&gt;0,COUNTIF(J2161,"*45*")&gt;0,COUNTIF(I2161,"46*")&gt;0,COUNTIF(J2161,"*46*")&gt;0,COUNTIF(I2161,"47*")&gt;0,COUNTIF(J2161,"*47*")&gt;0,COUNTIF(I2161,"10*")&gt;0,COUNTIF(J2161,"*10*")&gt;0,COUNTIF(I2161,"11*")&gt;0,COUNTIF(J2161,"*11*")&gt;0,COUNTIF(I2161,"12*")&gt;0,COUNTIF(J2161,"*12*")&gt;0,COUNTIF(I2161,"13*")&gt;0,COUNTIF(J2161,"*13*")&gt;0,COUNTIF(I2161,"14*")&gt;0,COUNTIF(J2161,"*14*")&gt;0,COUNTIF(I2161,"15*")&gt;0,COUNTIF(J2161,"*15*")&gt;0,COUNTIF(I2161,"16*")&gt;0,COUNTIF(J2161,"*16*")&gt;0,COUNTIF(I2161,"17*")&gt;0,COUNTIF(J2161,"*17*")&gt;0,COUNTIF(I2161,"18*")&gt;0,COUNTIF(J2161,"*18*")&gt;0,COUNTIF(I2161,"19*")&gt;0,COUNTIF(J2161,"*19*")&gt;0,COUNTIF(I2161,"20*")&gt;0,COUNTIF(J2161,"*20*")&gt;0,COUNTIF(I2161,"21*")&gt;0,COUNTIF(J2161,"*21*")&gt;0,COUNTIF(I2161,"22*")&gt;0,COUNTIF(J2161,"*22*")&gt;0,COUNTIF(I2161,"23*")&gt;0,COUNTIF(J2161,"*23*")&gt;0,COUNTIF(I2161,"24*")&gt;0,COUNTIF(J2161,"*24*")&gt;0,COUNTIF(I2161,"25*")&gt;0,COUNTIF(J2161,"*25*")&gt;0,COUNTIF(I2161,"26*")&gt;0,COUNTIF(J2161,"*26*")&gt;0,COUNTIF(I2161,"27*")&gt;0,COUNTIF(J2161,"*27*")&gt;0,COUNTIF(I2161,"28*")&gt;0,COUNTIF(J2161,"*28*")&gt;0,COUNTIF(I2161,"29*")&gt;0,COUNTIF(J2161,"*29*")&gt;0,COUNTIF(I2161,"30*")&gt;0,COUNTIF(J2161,"*30*")&gt;0,COUNTIF(I2161,"31*")&gt;0,COUNTIF(J2161,"*31*")&gt;0,COUNTIF(I2161,"32*")&gt;0,COUNTIF(J2161,"*32*")&gt;0,COUNTIF(I2161,"33*")&gt;0,COUNTIF(J2161,"*33*")&gt;0,COUNTIF(I2161,"41*")&gt;0,COUNTIF(J2161,"*41*")&gt;0,COUNTIF(I2161,"42*")&gt;0,COUNTIF(J2161,"*42*")&gt;0,COUNTIF(I2161,"43*")&gt;0,COUNTIF(J2161,"*43*")&gt;0,COUNTIF(I2161,"49*")&gt;0,COUNTIF(J2161,"*49*")&gt;0,COUNTIF(I2161,"52*")&gt;0,COUNTIF(J2161,"*52*")&gt;0,COUNTIF(I2161,"55*")&gt;0,COUNTIF(J2161,"*55*")&gt;0,COUNTIF(I2161,"56*")&gt;0,COUNTIF(J2161,"*56*")&gt;0,COUNTIF(I2161,"68*")&gt;0,COUNTIF(J2161,"*68*")&gt;0,COUNTIF(I2161,"78*")&gt;0,COUNTIF(J2161,"*78*")&gt;0,COUNTIF(I2161,"81*")&gt;0,COUNTIF(J2161,"*81*")&gt;0,COUNTIF(I2161,"82*")&gt;0,COUNTIF(J2161,"*82*")&gt;0,COUNTIF(I2161,"64*")&gt;0,COUNTIF(J2161,"*64*")&gt;0,COUNTIF(I2161,"65*")&gt;0,COUNTIF(J2161,"*65*")&gt;0,COUNTIF(I2161,"66*")&gt;0,COUNTIF(J2161,"*66*")&gt;0,COUNTIF(I2161,"61*")&gt;0,COUNTIF(J2161,"*61*")&gt;0,COUNTIF(I2161,"62*")&gt;0,COUNTIF(J2161,"*62*")&gt;0,COUNTIF(I2161,"63*")&gt;0,COUNTIF(J2161,"*63*")&gt;0,COUNTIF(I2161,"85*")&gt;0,COUNTIF(J2161,"*85*")&gt;0,COUNTIF(I2161,"86*")&gt;0,COUNTIF(J2161,"*86*")&gt;0),"Да","Нет"))</f>
        <v/>
      </c>
      <c r="M2161" s="13">
        <f>IF(OR(G2161="",L2161&lt;&gt;"Да"),"",IF(G2161&lt;=100,"До 100",IF(G2161&lt;=200,"До 200",IF(G2161&lt;=500,"До 500","Отдельное КП"))))</f>
        <v/>
      </c>
      <c r="N2161" s="15">
        <f>IF(OR(G2161="",L2161&lt;&gt;"Да"),"",IF(G2161&lt;=100,33600,IF(G2161&lt;=200,62400,IF(G2161&lt;=500,144000,""))))</f>
        <v/>
      </c>
      <c r="O2161" s="16">
        <f>IF(G2161="","",IF(G2161&lt;=15,"1–15",IF(G2161&lt;=30,"16–30",IF(G2161&lt;=50,"31–50",IF(G2161&lt;=100,"51–100",IF(G2161&lt;=150,"101–150",IF(G2161&lt;=200,"151–200",IF(G2161&lt;=500,"201–500","500+"))))))))</f>
        <v/>
      </c>
      <c r="P2161" s="16" t="inlineStr">
        <is>
          <t>Нет совпадения в предоставленной выгрузке ССЧР</t>
        </is>
      </c>
      <c r="Q2161" s="16" t="n"/>
      <c r="R2161" s="16">
        <f>HYPERLINK("https://checko.ru/search?query=3801001629","Чекко: проверить")</f>
        <v/>
      </c>
      <c r="S2161" t="n">
        <v>0</v>
      </c>
    </row>
    <row r="2162" ht="15" customHeight="1" s="24">
      <c r="A2162" s="13" t="n">
        <v>5000094665</v>
      </c>
      <c r="B2162" s="13" t="inlineStr">
        <is>
          <t>МКУК "СЕЛЬСКИЙ ДОМ КУЛЬТУРЫ С. ТЕРЕКСКОЕ"</t>
        </is>
      </c>
      <c r="C2162" s="13" t="n">
        <v>705006770</v>
      </c>
      <c r="D2162" s="13" t="n"/>
      <c r="E2162" s="13" t="inlineStr">
        <is>
          <t>Не определён</t>
        </is>
      </c>
      <c r="F2162" s="13" t="inlineStr">
        <is>
          <t>705006770</t>
        </is>
      </c>
      <c r="G2162" s="14" t="n"/>
      <c r="H2162" s="14" t="n"/>
      <c r="I2162" s="14" t="n"/>
      <c r="J2162" s="14" t="n"/>
      <c r="K2162" s="13">
        <f>IF(G2162="","",IF(G2162&gt;=22,"Да","Нет"))</f>
        <v/>
      </c>
      <c r="L2162" s="13">
        <f>IF(OR(I2162="",J2162=""),"Не определено",IF(OR(COUNTIF(I2162,"45*")&gt;0,COUNTIF(J2162,"*45*")&gt;0,COUNTIF(I2162,"46*")&gt;0,COUNTIF(J2162,"*46*")&gt;0,COUNTIF(I2162,"47*")&gt;0,COUNTIF(J2162,"*47*")&gt;0,COUNTIF(I2162,"10*")&gt;0,COUNTIF(J2162,"*10*")&gt;0,COUNTIF(I2162,"11*")&gt;0,COUNTIF(J2162,"*11*")&gt;0,COUNTIF(I2162,"12*")&gt;0,COUNTIF(J2162,"*12*")&gt;0,COUNTIF(I2162,"13*")&gt;0,COUNTIF(J2162,"*13*")&gt;0,COUNTIF(I2162,"14*")&gt;0,COUNTIF(J2162,"*14*")&gt;0,COUNTIF(I2162,"15*")&gt;0,COUNTIF(J2162,"*15*")&gt;0,COUNTIF(I2162,"16*")&gt;0,COUNTIF(J2162,"*16*")&gt;0,COUNTIF(I2162,"17*")&gt;0,COUNTIF(J2162,"*17*")&gt;0,COUNTIF(I2162,"18*")&gt;0,COUNTIF(J2162,"*18*")&gt;0,COUNTIF(I2162,"19*")&gt;0,COUNTIF(J2162,"*19*")&gt;0,COUNTIF(I2162,"20*")&gt;0,COUNTIF(J2162,"*20*")&gt;0,COUNTIF(I2162,"21*")&gt;0,COUNTIF(J2162,"*21*")&gt;0,COUNTIF(I2162,"22*")&gt;0,COUNTIF(J2162,"*22*")&gt;0,COUNTIF(I2162,"23*")&gt;0,COUNTIF(J2162,"*23*")&gt;0,COUNTIF(I2162,"24*")&gt;0,COUNTIF(J2162,"*24*")&gt;0,COUNTIF(I2162,"25*")&gt;0,COUNTIF(J2162,"*25*")&gt;0,COUNTIF(I2162,"26*")&gt;0,COUNTIF(J2162,"*26*")&gt;0,COUNTIF(I2162,"27*")&gt;0,COUNTIF(J2162,"*27*")&gt;0,COUNTIF(I2162,"28*")&gt;0,COUNTIF(J2162,"*28*")&gt;0,COUNTIF(I2162,"29*")&gt;0,COUNTIF(J2162,"*29*")&gt;0,COUNTIF(I2162,"30*")&gt;0,COUNTIF(J2162,"*30*")&gt;0,COUNTIF(I2162,"31*")&gt;0,COUNTIF(J2162,"*31*")&gt;0,COUNTIF(I2162,"32*")&gt;0,COUNTIF(J2162,"*32*")&gt;0,COUNTIF(I2162,"33*")&gt;0,COUNTIF(J2162,"*33*")&gt;0,COUNTIF(I2162,"41*")&gt;0,COUNTIF(J2162,"*41*")&gt;0,COUNTIF(I2162,"42*")&gt;0,COUNTIF(J2162,"*42*")&gt;0,COUNTIF(I2162,"43*")&gt;0,COUNTIF(J2162,"*43*")&gt;0,COUNTIF(I2162,"49*")&gt;0,COUNTIF(J2162,"*49*")&gt;0,COUNTIF(I2162,"52*")&gt;0,COUNTIF(J2162,"*52*")&gt;0,COUNTIF(I2162,"55*")&gt;0,COUNTIF(J2162,"*55*")&gt;0,COUNTIF(I2162,"56*")&gt;0,COUNTIF(J2162,"*56*")&gt;0,COUNTIF(I2162,"68*")&gt;0,COUNTIF(J2162,"*68*")&gt;0,COUNTIF(I2162,"78*")&gt;0,COUNTIF(J2162,"*78*")&gt;0,COUNTIF(I2162,"81*")&gt;0,COUNTIF(J2162,"*81*")&gt;0,COUNTIF(I2162,"82*")&gt;0,COUNTIF(J2162,"*82*")&gt;0,COUNTIF(I2162,"64*")&gt;0,COUNTIF(J2162,"*64*")&gt;0,COUNTIF(I2162,"65*")&gt;0,COUNTIF(J2162,"*65*")&gt;0,COUNTIF(I2162,"66*")&gt;0,COUNTIF(J2162,"*66*")&gt;0,COUNTIF(I2162,"61*")&gt;0,COUNTIF(J2162,"*61*")&gt;0,COUNTIF(I2162,"62*")&gt;0,COUNTIF(J2162,"*62*")&gt;0,COUNTIF(I2162,"63*")&gt;0,COUNTIF(J2162,"*63*")&gt;0,COUNTIF(I2162,"85*")&gt;0,COUNTIF(J2162,"*85*")&gt;0,COUNTIF(I2162,"86*")&gt;0,COUNTIF(J2162,"*86*")&gt;0),"Да","Нет"))</f>
        <v/>
      </c>
      <c r="M2162" s="13">
        <f>IF(OR(G2162="",L2162&lt;&gt;"Да"),"",IF(G2162&lt;=100,"До 100",IF(G2162&lt;=200,"До 200",IF(G2162&lt;=500,"До 500","Отдельное КП"))))</f>
        <v/>
      </c>
      <c r="N2162" s="15">
        <f>IF(OR(G2162="",L2162&lt;&gt;"Да"),"",IF(G2162&lt;=100,33600,IF(G2162&lt;=200,62400,IF(G2162&lt;=500,144000,""))))</f>
        <v/>
      </c>
      <c r="O2162" s="16">
        <f>IF(G2162="","",IF(G2162&lt;=15,"1–15",IF(G2162&lt;=30,"16–30",IF(G2162&lt;=50,"31–50",IF(G2162&lt;=100,"51–100",IF(G2162&lt;=150,"101–150",IF(G2162&lt;=200,"151–200",IF(G2162&lt;=500,"201–500","500+"))))))))</f>
        <v/>
      </c>
      <c r="P2162" s="16" t="inlineStr">
        <is>
          <t>Нет совпадения в предоставленной выгрузке ССЧР</t>
        </is>
      </c>
      <c r="Q2162" s="16" t="n"/>
      <c r="R2162" s="16">
        <f>HYPERLINK("https://checko.ru/search?query=3801001629","Чекко: проверить")</f>
        <v/>
      </c>
      <c r="S2162" t="n">
        <v>0</v>
      </c>
    </row>
    <row r="2163" ht="27.75" customHeight="1" s="24">
      <c r="A2163" s="13" t="n">
        <v>5000094666</v>
      </c>
      <c r="B2163" s="13" t="inlineStr">
        <is>
          <t>МУК "СЕЛЬСКИЙ ДОМ КУЛЬТУРЫ С. НИЖНИЙ КУРП"</t>
        </is>
      </c>
      <c r="C2163" s="13" t="n">
        <v>705006918</v>
      </c>
      <c r="D2163" s="13" t="n"/>
      <c r="E2163" s="13" t="inlineStr">
        <is>
          <t>Не определён</t>
        </is>
      </c>
      <c r="F2163" s="13" t="inlineStr">
        <is>
          <t>705006918</t>
        </is>
      </c>
      <c r="G2163" s="14" t="n"/>
      <c r="H2163" s="14" t="n"/>
      <c r="I2163" s="14" t="n"/>
      <c r="J2163" s="14" t="n"/>
      <c r="K2163" s="13">
        <f>IF(G2163="","",IF(G2163&gt;=22,"Да","Нет"))</f>
        <v/>
      </c>
      <c r="L2163" s="13">
        <f>IF(OR(I2163="",J2163=""),"Не определено",IF(OR(COUNTIF(I2163,"45*")&gt;0,COUNTIF(J2163,"*45*")&gt;0,COUNTIF(I2163,"46*")&gt;0,COUNTIF(J2163,"*46*")&gt;0,COUNTIF(I2163,"47*")&gt;0,COUNTIF(J2163,"*47*")&gt;0,COUNTIF(I2163,"10*")&gt;0,COUNTIF(J2163,"*10*")&gt;0,COUNTIF(I2163,"11*")&gt;0,COUNTIF(J2163,"*11*")&gt;0,COUNTIF(I2163,"12*")&gt;0,COUNTIF(J2163,"*12*")&gt;0,COUNTIF(I2163,"13*")&gt;0,COUNTIF(J2163,"*13*")&gt;0,COUNTIF(I2163,"14*")&gt;0,COUNTIF(J2163,"*14*")&gt;0,COUNTIF(I2163,"15*")&gt;0,COUNTIF(J2163,"*15*")&gt;0,COUNTIF(I2163,"16*")&gt;0,COUNTIF(J2163,"*16*")&gt;0,COUNTIF(I2163,"17*")&gt;0,COUNTIF(J2163,"*17*")&gt;0,COUNTIF(I2163,"18*")&gt;0,COUNTIF(J2163,"*18*")&gt;0,COUNTIF(I2163,"19*")&gt;0,COUNTIF(J2163,"*19*")&gt;0,COUNTIF(I2163,"20*")&gt;0,COUNTIF(J2163,"*20*")&gt;0,COUNTIF(I2163,"21*")&gt;0,COUNTIF(J2163,"*21*")&gt;0,COUNTIF(I2163,"22*")&gt;0,COUNTIF(J2163,"*22*")&gt;0,COUNTIF(I2163,"23*")&gt;0,COUNTIF(J2163,"*23*")&gt;0,COUNTIF(I2163,"24*")&gt;0,COUNTIF(J2163,"*24*")&gt;0,COUNTIF(I2163,"25*")&gt;0,COUNTIF(J2163,"*25*")&gt;0,COUNTIF(I2163,"26*")&gt;0,COUNTIF(J2163,"*26*")&gt;0,COUNTIF(I2163,"27*")&gt;0,COUNTIF(J2163,"*27*")&gt;0,COUNTIF(I2163,"28*")&gt;0,COUNTIF(J2163,"*28*")&gt;0,COUNTIF(I2163,"29*")&gt;0,COUNTIF(J2163,"*29*")&gt;0,COUNTIF(I2163,"30*")&gt;0,COUNTIF(J2163,"*30*")&gt;0,COUNTIF(I2163,"31*")&gt;0,COUNTIF(J2163,"*31*")&gt;0,COUNTIF(I2163,"32*")&gt;0,COUNTIF(J2163,"*32*")&gt;0,COUNTIF(I2163,"33*")&gt;0,COUNTIF(J2163,"*33*")&gt;0,COUNTIF(I2163,"41*")&gt;0,COUNTIF(J2163,"*41*")&gt;0,COUNTIF(I2163,"42*")&gt;0,COUNTIF(J2163,"*42*")&gt;0,COUNTIF(I2163,"43*")&gt;0,COUNTIF(J2163,"*43*")&gt;0,COUNTIF(I2163,"49*")&gt;0,COUNTIF(J2163,"*49*")&gt;0,COUNTIF(I2163,"52*")&gt;0,COUNTIF(J2163,"*52*")&gt;0,COUNTIF(I2163,"55*")&gt;0,COUNTIF(J2163,"*55*")&gt;0,COUNTIF(I2163,"56*")&gt;0,COUNTIF(J2163,"*56*")&gt;0,COUNTIF(I2163,"68*")&gt;0,COUNTIF(J2163,"*68*")&gt;0,COUNTIF(I2163,"78*")&gt;0,COUNTIF(J2163,"*78*")&gt;0,COUNTIF(I2163,"81*")&gt;0,COUNTIF(J2163,"*81*")&gt;0,COUNTIF(I2163,"82*")&gt;0,COUNTIF(J2163,"*82*")&gt;0,COUNTIF(I2163,"64*")&gt;0,COUNTIF(J2163,"*64*")&gt;0,COUNTIF(I2163,"65*")&gt;0,COUNTIF(J2163,"*65*")&gt;0,COUNTIF(I2163,"66*")&gt;0,COUNTIF(J2163,"*66*")&gt;0,COUNTIF(I2163,"61*")&gt;0,COUNTIF(J2163,"*61*")&gt;0,COUNTIF(I2163,"62*")&gt;0,COUNTIF(J2163,"*62*")&gt;0,COUNTIF(I2163,"63*")&gt;0,COUNTIF(J2163,"*63*")&gt;0,COUNTIF(I2163,"85*")&gt;0,COUNTIF(J2163,"*85*")&gt;0,COUNTIF(I2163,"86*")&gt;0,COUNTIF(J2163,"*86*")&gt;0),"Да","Нет"))</f>
        <v/>
      </c>
      <c r="M2163" s="13">
        <f>IF(OR(G2163="",L2163&lt;&gt;"Да"),"",IF(G2163&lt;=100,"До 100",IF(G2163&lt;=200,"До 200",IF(G2163&lt;=500,"До 500","Отдельное КП"))))</f>
        <v/>
      </c>
      <c r="N2163" s="15">
        <f>IF(OR(G2163="",L2163&lt;&gt;"Да"),"",IF(G2163&lt;=100,33600,IF(G2163&lt;=200,62400,IF(G2163&lt;=500,144000,""))))</f>
        <v/>
      </c>
      <c r="O2163" s="16">
        <f>IF(G2163="","",IF(G2163&lt;=15,"1–15",IF(G2163&lt;=30,"16–30",IF(G2163&lt;=50,"31–50",IF(G2163&lt;=100,"51–100",IF(G2163&lt;=150,"101–150",IF(G2163&lt;=200,"151–200",IF(G2163&lt;=500,"201–500","500+"))))))))</f>
        <v/>
      </c>
      <c r="P2163" s="16" t="inlineStr">
        <is>
          <t>Нет совпадения в предоставленной выгрузке ССЧР</t>
        </is>
      </c>
      <c r="Q2163" s="16" t="n"/>
      <c r="R2163" s="16">
        <f>HYPERLINK("https://checko.ru/search?query=3801001629","Чекко: проверить")</f>
        <v/>
      </c>
      <c r="S2163" t="n">
        <v>0</v>
      </c>
    </row>
    <row r="2164" ht="15" customHeight="1" s="24">
      <c r="A2164" s="13" t="n">
        <v>5000094667</v>
      </c>
      <c r="B2164" s="13" t="inlineStr">
        <is>
          <t>МКУК "ТЦБС"</t>
        </is>
      </c>
      <c r="C2164" s="13" t="n">
        <v>705007051</v>
      </c>
      <c r="D2164" s="13" t="n"/>
      <c r="E2164" s="13" t="inlineStr">
        <is>
          <t>Не определён</t>
        </is>
      </c>
      <c r="F2164" s="13" t="inlineStr">
        <is>
          <t>705007051</t>
        </is>
      </c>
      <c r="G2164" s="14" t="n"/>
      <c r="H2164" s="14" t="n"/>
      <c r="I2164" s="14" t="n"/>
      <c r="J2164" s="14" t="n"/>
      <c r="K2164" s="13">
        <f>IF(G2164="","",IF(G2164&gt;=22,"Да","Нет"))</f>
        <v/>
      </c>
      <c r="L2164" s="13">
        <f>IF(OR(I2164="",J2164=""),"Не определено",IF(OR(COUNTIF(I2164,"45*")&gt;0,COUNTIF(J2164,"*45*")&gt;0,COUNTIF(I2164,"46*")&gt;0,COUNTIF(J2164,"*46*")&gt;0,COUNTIF(I2164,"47*")&gt;0,COUNTIF(J2164,"*47*")&gt;0,COUNTIF(I2164,"10*")&gt;0,COUNTIF(J2164,"*10*")&gt;0,COUNTIF(I2164,"11*")&gt;0,COUNTIF(J2164,"*11*")&gt;0,COUNTIF(I2164,"12*")&gt;0,COUNTIF(J2164,"*12*")&gt;0,COUNTIF(I2164,"13*")&gt;0,COUNTIF(J2164,"*13*")&gt;0,COUNTIF(I2164,"14*")&gt;0,COUNTIF(J2164,"*14*")&gt;0,COUNTIF(I2164,"15*")&gt;0,COUNTIF(J2164,"*15*")&gt;0,COUNTIF(I2164,"16*")&gt;0,COUNTIF(J2164,"*16*")&gt;0,COUNTIF(I2164,"17*")&gt;0,COUNTIF(J2164,"*17*")&gt;0,COUNTIF(I2164,"18*")&gt;0,COUNTIF(J2164,"*18*")&gt;0,COUNTIF(I2164,"19*")&gt;0,COUNTIF(J2164,"*19*")&gt;0,COUNTIF(I2164,"20*")&gt;0,COUNTIF(J2164,"*20*")&gt;0,COUNTIF(I2164,"21*")&gt;0,COUNTIF(J2164,"*21*")&gt;0,COUNTIF(I2164,"22*")&gt;0,COUNTIF(J2164,"*22*")&gt;0,COUNTIF(I2164,"23*")&gt;0,COUNTIF(J2164,"*23*")&gt;0,COUNTIF(I2164,"24*")&gt;0,COUNTIF(J2164,"*24*")&gt;0,COUNTIF(I2164,"25*")&gt;0,COUNTIF(J2164,"*25*")&gt;0,COUNTIF(I2164,"26*")&gt;0,COUNTIF(J2164,"*26*")&gt;0,COUNTIF(I2164,"27*")&gt;0,COUNTIF(J2164,"*27*")&gt;0,COUNTIF(I2164,"28*")&gt;0,COUNTIF(J2164,"*28*")&gt;0,COUNTIF(I2164,"29*")&gt;0,COUNTIF(J2164,"*29*")&gt;0,COUNTIF(I2164,"30*")&gt;0,COUNTIF(J2164,"*30*")&gt;0,COUNTIF(I2164,"31*")&gt;0,COUNTIF(J2164,"*31*")&gt;0,COUNTIF(I2164,"32*")&gt;0,COUNTIF(J2164,"*32*")&gt;0,COUNTIF(I2164,"33*")&gt;0,COUNTIF(J2164,"*33*")&gt;0,COUNTIF(I2164,"41*")&gt;0,COUNTIF(J2164,"*41*")&gt;0,COUNTIF(I2164,"42*")&gt;0,COUNTIF(J2164,"*42*")&gt;0,COUNTIF(I2164,"43*")&gt;0,COUNTIF(J2164,"*43*")&gt;0,COUNTIF(I2164,"49*")&gt;0,COUNTIF(J2164,"*49*")&gt;0,COUNTIF(I2164,"52*")&gt;0,COUNTIF(J2164,"*52*")&gt;0,COUNTIF(I2164,"55*")&gt;0,COUNTIF(J2164,"*55*")&gt;0,COUNTIF(I2164,"56*")&gt;0,COUNTIF(J2164,"*56*")&gt;0,COUNTIF(I2164,"68*")&gt;0,COUNTIF(J2164,"*68*")&gt;0,COUNTIF(I2164,"78*")&gt;0,COUNTIF(J2164,"*78*")&gt;0,COUNTIF(I2164,"81*")&gt;0,COUNTIF(J2164,"*81*")&gt;0,COUNTIF(I2164,"82*")&gt;0,COUNTIF(J2164,"*82*")&gt;0,COUNTIF(I2164,"64*")&gt;0,COUNTIF(J2164,"*64*")&gt;0,COUNTIF(I2164,"65*")&gt;0,COUNTIF(J2164,"*65*")&gt;0,COUNTIF(I2164,"66*")&gt;0,COUNTIF(J2164,"*66*")&gt;0,COUNTIF(I2164,"61*")&gt;0,COUNTIF(J2164,"*61*")&gt;0,COUNTIF(I2164,"62*")&gt;0,COUNTIF(J2164,"*62*")&gt;0,COUNTIF(I2164,"63*")&gt;0,COUNTIF(J2164,"*63*")&gt;0,COUNTIF(I2164,"85*")&gt;0,COUNTIF(J2164,"*85*")&gt;0,COUNTIF(I2164,"86*")&gt;0,COUNTIF(J2164,"*86*")&gt;0),"Да","Нет"))</f>
        <v/>
      </c>
      <c r="M2164" s="13">
        <f>IF(OR(G2164="",L2164&lt;&gt;"Да"),"",IF(G2164&lt;=100,"До 100",IF(G2164&lt;=200,"До 200",IF(G2164&lt;=500,"До 500","Отдельное КП"))))</f>
        <v/>
      </c>
      <c r="N2164" s="15">
        <f>IF(OR(G2164="",L2164&lt;&gt;"Да"),"",IF(G2164&lt;=100,33600,IF(G2164&lt;=200,62400,IF(G2164&lt;=500,144000,""))))</f>
        <v/>
      </c>
      <c r="O2164" s="16">
        <f>IF(G2164="","",IF(G2164&lt;=15,"1–15",IF(G2164&lt;=30,"16–30",IF(G2164&lt;=50,"31–50",IF(G2164&lt;=100,"51–100",IF(G2164&lt;=150,"101–150",IF(G2164&lt;=200,"151–200",IF(G2164&lt;=500,"201–500","500+"))))))))</f>
        <v/>
      </c>
      <c r="P2164" s="16" t="inlineStr">
        <is>
          <t>Нет совпадения в предоставленной выгрузке ССЧР</t>
        </is>
      </c>
      <c r="Q2164" s="16" t="n"/>
      <c r="R2164" s="16">
        <f>HYPERLINK("https://checko.ru/search?query=3801001629","Чекко: проверить")</f>
        <v/>
      </c>
      <c r="S2164" t="n">
        <v>0</v>
      </c>
    </row>
    <row r="2165" ht="15" customHeight="1" s="24">
      <c r="A2165" s="13" t="n">
        <v>5000094668</v>
      </c>
      <c r="B2165" s="13" t="inlineStr">
        <is>
          <t>МУК "СЕЛЬСКИЙ ДОМ КУЛЬТУРЫ С В.КУРП"</t>
        </is>
      </c>
      <c r="C2165" s="13" t="n">
        <v>705007069</v>
      </c>
      <c r="D2165" s="13" t="n"/>
      <c r="E2165" s="13" t="inlineStr">
        <is>
          <t>Не определён</t>
        </is>
      </c>
      <c r="F2165" s="13" t="inlineStr">
        <is>
          <t>705007069</t>
        </is>
      </c>
      <c r="G2165" s="14" t="n"/>
      <c r="H2165" s="14" t="n"/>
      <c r="I2165" s="14" t="n"/>
      <c r="J2165" s="14" t="n"/>
      <c r="K2165" s="13">
        <f>IF(G2165="","",IF(G2165&gt;=22,"Да","Нет"))</f>
        <v/>
      </c>
      <c r="L2165" s="13">
        <f>IF(OR(I2165="",J2165=""),"Не определено",IF(OR(COUNTIF(I2165,"45*")&gt;0,COUNTIF(J2165,"*45*")&gt;0,COUNTIF(I2165,"46*")&gt;0,COUNTIF(J2165,"*46*")&gt;0,COUNTIF(I2165,"47*")&gt;0,COUNTIF(J2165,"*47*")&gt;0,COUNTIF(I2165,"10*")&gt;0,COUNTIF(J2165,"*10*")&gt;0,COUNTIF(I2165,"11*")&gt;0,COUNTIF(J2165,"*11*")&gt;0,COUNTIF(I2165,"12*")&gt;0,COUNTIF(J2165,"*12*")&gt;0,COUNTIF(I2165,"13*")&gt;0,COUNTIF(J2165,"*13*")&gt;0,COUNTIF(I2165,"14*")&gt;0,COUNTIF(J2165,"*14*")&gt;0,COUNTIF(I2165,"15*")&gt;0,COUNTIF(J2165,"*15*")&gt;0,COUNTIF(I2165,"16*")&gt;0,COUNTIF(J2165,"*16*")&gt;0,COUNTIF(I2165,"17*")&gt;0,COUNTIF(J2165,"*17*")&gt;0,COUNTIF(I2165,"18*")&gt;0,COUNTIF(J2165,"*18*")&gt;0,COUNTIF(I2165,"19*")&gt;0,COUNTIF(J2165,"*19*")&gt;0,COUNTIF(I2165,"20*")&gt;0,COUNTIF(J2165,"*20*")&gt;0,COUNTIF(I2165,"21*")&gt;0,COUNTIF(J2165,"*21*")&gt;0,COUNTIF(I2165,"22*")&gt;0,COUNTIF(J2165,"*22*")&gt;0,COUNTIF(I2165,"23*")&gt;0,COUNTIF(J2165,"*23*")&gt;0,COUNTIF(I2165,"24*")&gt;0,COUNTIF(J2165,"*24*")&gt;0,COUNTIF(I2165,"25*")&gt;0,COUNTIF(J2165,"*25*")&gt;0,COUNTIF(I2165,"26*")&gt;0,COUNTIF(J2165,"*26*")&gt;0,COUNTIF(I2165,"27*")&gt;0,COUNTIF(J2165,"*27*")&gt;0,COUNTIF(I2165,"28*")&gt;0,COUNTIF(J2165,"*28*")&gt;0,COUNTIF(I2165,"29*")&gt;0,COUNTIF(J2165,"*29*")&gt;0,COUNTIF(I2165,"30*")&gt;0,COUNTIF(J2165,"*30*")&gt;0,COUNTIF(I2165,"31*")&gt;0,COUNTIF(J2165,"*31*")&gt;0,COUNTIF(I2165,"32*")&gt;0,COUNTIF(J2165,"*32*")&gt;0,COUNTIF(I2165,"33*")&gt;0,COUNTIF(J2165,"*33*")&gt;0,COUNTIF(I2165,"41*")&gt;0,COUNTIF(J2165,"*41*")&gt;0,COUNTIF(I2165,"42*")&gt;0,COUNTIF(J2165,"*42*")&gt;0,COUNTIF(I2165,"43*")&gt;0,COUNTIF(J2165,"*43*")&gt;0,COUNTIF(I2165,"49*")&gt;0,COUNTIF(J2165,"*49*")&gt;0,COUNTIF(I2165,"52*")&gt;0,COUNTIF(J2165,"*52*")&gt;0,COUNTIF(I2165,"55*")&gt;0,COUNTIF(J2165,"*55*")&gt;0,COUNTIF(I2165,"56*")&gt;0,COUNTIF(J2165,"*56*")&gt;0,COUNTIF(I2165,"68*")&gt;0,COUNTIF(J2165,"*68*")&gt;0,COUNTIF(I2165,"78*")&gt;0,COUNTIF(J2165,"*78*")&gt;0,COUNTIF(I2165,"81*")&gt;0,COUNTIF(J2165,"*81*")&gt;0,COUNTIF(I2165,"82*")&gt;0,COUNTIF(J2165,"*82*")&gt;0,COUNTIF(I2165,"64*")&gt;0,COUNTIF(J2165,"*64*")&gt;0,COUNTIF(I2165,"65*")&gt;0,COUNTIF(J2165,"*65*")&gt;0,COUNTIF(I2165,"66*")&gt;0,COUNTIF(J2165,"*66*")&gt;0,COUNTIF(I2165,"61*")&gt;0,COUNTIF(J2165,"*61*")&gt;0,COUNTIF(I2165,"62*")&gt;0,COUNTIF(J2165,"*62*")&gt;0,COUNTIF(I2165,"63*")&gt;0,COUNTIF(J2165,"*63*")&gt;0,COUNTIF(I2165,"85*")&gt;0,COUNTIF(J2165,"*85*")&gt;0,COUNTIF(I2165,"86*")&gt;0,COUNTIF(J2165,"*86*")&gt;0),"Да","Нет"))</f>
        <v/>
      </c>
      <c r="M2165" s="13">
        <f>IF(OR(G2165="",L2165&lt;&gt;"Да"),"",IF(G2165&lt;=100,"До 100",IF(G2165&lt;=200,"До 200",IF(G2165&lt;=500,"До 500","Отдельное КП"))))</f>
        <v/>
      </c>
      <c r="N2165" s="15">
        <f>IF(OR(G2165="",L2165&lt;&gt;"Да"),"",IF(G2165&lt;=100,33600,IF(G2165&lt;=200,62400,IF(G2165&lt;=500,144000,""))))</f>
        <v/>
      </c>
      <c r="O2165" s="16">
        <f>IF(G2165="","",IF(G2165&lt;=15,"1–15",IF(G2165&lt;=30,"16–30",IF(G2165&lt;=50,"31–50",IF(G2165&lt;=100,"51–100",IF(G2165&lt;=150,"101–150",IF(G2165&lt;=200,"151–200",IF(G2165&lt;=500,"201–500","500+"))))))))</f>
        <v/>
      </c>
      <c r="P2165" s="16" t="inlineStr">
        <is>
          <t>Нет совпадения в предоставленной выгрузке ССЧР</t>
        </is>
      </c>
      <c r="Q2165" s="16" t="n"/>
      <c r="R2165" s="16">
        <f>HYPERLINK("https://checko.ru/search?query=3801001629","Чекко: проверить")</f>
        <v/>
      </c>
      <c r="S2165" t="n">
        <v>0</v>
      </c>
    </row>
    <row r="2166" ht="27.75" customHeight="1" s="24">
      <c r="A2166" s="13" t="n">
        <v>5000094669</v>
      </c>
      <c r="B2166" s="13" t="inlineStr">
        <is>
          <t>МУК "СЕЛЬСКИЙ ДОМ КУЛЬТУРЫ С. НОВАЯ БАЛКАРИЯ"</t>
        </is>
      </c>
      <c r="C2166" s="13" t="n">
        <v>705007196</v>
      </c>
      <c r="D2166" s="13" t="n"/>
      <c r="E2166" s="13" t="inlineStr">
        <is>
          <t>Не определён</t>
        </is>
      </c>
      <c r="F2166" s="13" t="inlineStr">
        <is>
          <t>705007196</t>
        </is>
      </c>
      <c r="G2166" s="14" t="n"/>
      <c r="H2166" s="14" t="n"/>
      <c r="I2166" s="14" t="n"/>
      <c r="J2166" s="14" t="n"/>
      <c r="K2166" s="13">
        <f>IF(G2166="","",IF(G2166&gt;=22,"Да","Нет"))</f>
        <v/>
      </c>
      <c r="L2166" s="13">
        <f>IF(OR(I2166="",J2166=""),"Не определено",IF(OR(COUNTIF(I2166,"45*")&gt;0,COUNTIF(J2166,"*45*")&gt;0,COUNTIF(I2166,"46*")&gt;0,COUNTIF(J2166,"*46*")&gt;0,COUNTIF(I2166,"47*")&gt;0,COUNTIF(J2166,"*47*")&gt;0,COUNTIF(I2166,"10*")&gt;0,COUNTIF(J2166,"*10*")&gt;0,COUNTIF(I2166,"11*")&gt;0,COUNTIF(J2166,"*11*")&gt;0,COUNTIF(I2166,"12*")&gt;0,COUNTIF(J2166,"*12*")&gt;0,COUNTIF(I2166,"13*")&gt;0,COUNTIF(J2166,"*13*")&gt;0,COUNTIF(I2166,"14*")&gt;0,COUNTIF(J2166,"*14*")&gt;0,COUNTIF(I2166,"15*")&gt;0,COUNTIF(J2166,"*15*")&gt;0,COUNTIF(I2166,"16*")&gt;0,COUNTIF(J2166,"*16*")&gt;0,COUNTIF(I2166,"17*")&gt;0,COUNTIF(J2166,"*17*")&gt;0,COUNTIF(I2166,"18*")&gt;0,COUNTIF(J2166,"*18*")&gt;0,COUNTIF(I2166,"19*")&gt;0,COUNTIF(J2166,"*19*")&gt;0,COUNTIF(I2166,"20*")&gt;0,COUNTIF(J2166,"*20*")&gt;0,COUNTIF(I2166,"21*")&gt;0,COUNTIF(J2166,"*21*")&gt;0,COUNTIF(I2166,"22*")&gt;0,COUNTIF(J2166,"*22*")&gt;0,COUNTIF(I2166,"23*")&gt;0,COUNTIF(J2166,"*23*")&gt;0,COUNTIF(I2166,"24*")&gt;0,COUNTIF(J2166,"*24*")&gt;0,COUNTIF(I2166,"25*")&gt;0,COUNTIF(J2166,"*25*")&gt;0,COUNTIF(I2166,"26*")&gt;0,COUNTIF(J2166,"*26*")&gt;0,COUNTIF(I2166,"27*")&gt;0,COUNTIF(J2166,"*27*")&gt;0,COUNTIF(I2166,"28*")&gt;0,COUNTIF(J2166,"*28*")&gt;0,COUNTIF(I2166,"29*")&gt;0,COUNTIF(J2166,"*29*")&gt;0,COUNTIF(I2166,"30*")&gt;0,COUNTIF(J2166,"*30*")&gt;0,COUNTIF(I2166,"31*")&gt;0,COUNTIF(J2166,"*31*")&gt;0,COUNTIF(I2166,"32*")&gt;0,COUNTIF(J2166,"*32*")&gt;0,COUNTIF(I2166,"33*")&gt;0,COUNTIF(J2166,"*33*")&gt;0,COUNTIF(I2166,"41*")&gt;0,COUNTIF(J2166,"*41*")&gt;0,COUNTIF(I2166,"42*")&gt;0,COUNTIF(J2166,"*42*")&gt;0,COUNTIF(I2166,"43*")&gt;0,COUNTIF(J2166,"*43*")&gt;0,COUNTIF(I2166,"49*")&gt;0,COUNTIF(J2166,"*49*")&gt;0,COUNTIF(I2166,"52*")&gt;0,COUNTIF(J2166,"*52*")&gt;0,COUNTIF(I2166,"55*")&gt;0,COUNTIF(J2166,"*55*")&gt;0,COUNTIF(I2166,"56*")&gt;0,COUNTIF(J2166,"*56*")&gt;0,COUNTIF(I2166,"68*")&gt;0,COUNTIF(J2166,"*68*")&gt;0,COUNTIF(I2166,"78*")&gt;0,COUNTIF(J2166,"*78*")&gt;0,COUNTIF(I2166,"81*")&gt;0,COUNTIF(J2166,"*81*")&gt;0,COUNTIF(I2166,"82*")&gt;0,COUNTIF(J2166,"*82*")&gt;0,COUNTIF(I2166,"64*")&gt;0,COUNTIF(J2166,"*64*")&gt;0,COUNTIF(I2166,"65*")&gt;0,COUNTIF(J2166,"*65*")&gt;0,COUNTIF(I2166,"66*")&gt;0,COUNTIF(J2166,"*66*")&gt;0,COUNTIF(I2166,"61*")&gt;0,COUNTIF(J2166,"*61*")&gt;0,COUNTIF(I2166,"62*")&gt;0,COUNTIF(J2166,"*62*")&gt;0,COUNTIF(I2166,"63*")&gt;0,COUNTIF(J2166,"*63*")&gt;0,COUNTIF(I2166,"85*")&gt;0,COUNTIF(J2166,"*85*")&gt;0,COUNTIF(I2166,"86*")&gt;0,COUNTIF(J2166,"*86*")&gt;0),"Да","Нет"))</f>
        <v/>
      </c>
      <c r="M2166" s="13">
        <f>IF(OR(G2166="",L2166&lt;&gt;"Да"),"",IF(G2166&lt;=100,"До 100",IF(G2166&lt;=200,"До 200",IF(G2166&lt;=500,"До 500","Отдельное КП"))))</f>
        <v/>
      </c>
      <c r="N2166" s="15">
        <f>IF(OR(G2166="",L2166&lt;&gt;"Да"),"",IF(G2166&lt;=100,33600,IF(G2166&lt;=200,62400,IF(G2166&lt;=500,144000,""))))</f>
        <v/>
      </c>
      <c r="O2166" s="16">
        <f>IF(G2166="","",IF(G2166&lt;=15,"1–15",IF(G2166&lt;=30,"16–30",IF(G2166&lt;=50,"31–50",IF(G2166&lt;=100,"51–100",IF(G2166&lt;=150,"101–150",IF(G2166&lt;=200,"151–200",IF(G2166&lt;=500,"201–500","500+"))))))))</f>
        <v/>
      </c>
      <c r="P2166" s="16" t="inlineStr">
        <is>
          <t>Нет совпадения в предоставленной выгрузке ССЧР</t>
        </is>
      </c>
      <c r="Q2166" s="16" t="n"/>
      <c r="R2166" s="16">
        <f>HYPERLINK("https://checko.ru/search?query=3801001629","Чекко: проверить")</f>
        <v/>
      </c>
      <c r="S2166" t="n">
        <v>0</v>
      </c>
    </row>
    <row r="2167" ht="15" customHeight="1" s="24">
      <c r="A2167" s="13" t="n">
        <v>5000094670</v>
      </c>
      <c r="B2167" s="13" t="inlineStr">
        <is>
          <t>МКУ ДО ЦДТ</t>
        </is>
      </c>
      <c r="C2167" s="13" t="n">
        <v>705007260</v>
      </c>
      <c r="D2167" s="13" t="n"/>
      <c r="E2167" s="13" t="inlineStr">
        <is>
          <t>Не определён</t>
        </is>
      </c>
      <c r="F2167" s="13" t="inlineStr">
        <is>
          <t>705007260</t>
        </is>
      </c>
      <c r="G2167" s="14" t="n"/>
      <c r="H2167" s="14" t="n"/>
      <c r="I2167" s="14" t="n"/>
      <c r="J2167" s="14" t="n"/>
      <c r="K2167" s="13">
        <f>IF(G2167="","",IF(G2167&gt;=22,"Да","Нет"))</f>
        <v/>
      </c>
      <c r="L2167" s="13">
        <f>IF(OR(I2167="",J2167=""),"Не определено",IF(OR(COUNTIF(I2167,"45*")&gt;0,COUNTIF(J2167,"*45*")&gt;0,COUNTIF(I2167,"46*")&gt;0,COUNTIF(J2167,"*46*")&gt;0,COUNTIF(I2167,"47*")&gt;0,COUNTIF(J2167,"*47*")&gt;0,COUNTIF(I2167,"10*")&gt;0,COUNTIF(J2167,"*10*")&gt;0,COUNTIF(I2167,"11*")&gt;0,COUNTIF(J2167,"*11*")&gt;0,COUNTIF(I2167,"12*")&gt;0,COUNTIF(J2167,"*12*")&gt;0,COUNTIF(I2167,"13*")&gt;0,COUNTIF(J2167,"*13*")&gt;0,COUNTIF(I2167,"14*")&gt;0,COUNTIF(J2167,"*14*")&gt;0,COUNTIF(I2167,"15*")&gt;0,COUNTIF(J2167,"*15*")&gt;0,COUNTIF(I2167,"16*")&gt;0,COUNTIF(J2167,"*16*")&gt;0,COUNTIF(I2167,"17*")&gt;0,COUNTIF(J2167,"*17*")&gt;0,COUNTIF(I2167,"18*")&gt;0,COUNTIF(J2167,"*18*")&gt;0,COUNTIF(I2167,"19*")&gt;0,COUNTIF(J2167,"*19*")&gt;0,COUNTIF(I2167,"20*")&gt;0,COUNTIF(J2167,"*20*")&gt;0,COUNTIF(I2167,"21*")&gt;0,COUNTIF(J2167,"*21*")&gt;0,COUNTIF(I2167,"22*")&gt;0,COUNTIF(J2167,"*22*")&gt;0,COUNTIF(I2167,"23*")&gt;0,COUNTIF(J2167,"*23*")&gt;0,COUNTIF(I2167,"24*")&gt;0,COUNTIF(J2167,"*24*")&gt;0,COUNTIF(I2167,"25*")&gt;0,COUNTIF(J2167,"*25*")&gt;0,COUNTIF(I2167,"26*")&gt;0,COUNTIF(J2167,"*26*")&gt;0,COUNTIF(I2167,"27*")&gt;0,COUNTIF(J2167,"*27*")&gt;0,COUNTIF(I2167,"28*")&gt;0,COUNTIF(J2167,"*28*")&gt;0,COUNTIF(I2167,"29*")&gt;0,COUNTIF(J2167,"*29*")&gt;0,COUNTIF(I2167,"30*")&gt;0,COUNTIF(J2167,"*30*")&gt;0,COUNTIF(I2167,"31*")&gt;0,COUNTIF(J2167,"*31*")&gt;0,COUNTIF(I2167,"32*")&gt;0,COUNTIF(J2167,"*32*")&gt;0,COUNTIF(I2167,"33*")&gt;0,COUNTIF(J2167,"*33*")&gt;0,COUNTIF(I2167,"41*")&gt;0,COUNTIF(J2167,"*41*")&gt;0,COUNTIF(I2167,"42*")&gt;0,COUNTIF(J2167,"*42*")&gt;0,COUNTIF(I2167,"43*")&gt;0,COUNTIF(J2167,"*43*")&gt;0,COUNTIF(I2167,"49*")&gt;0,COUNTIF(J2167,"*49*")&gt;0,COUNTIF(I2167,"52*")&gt;0,COUNTIF(J2167,"*52*")&gt;0,COUNTIF(I2167,"55*")&gt;0,COUNTIF(J2167,"*55*")&gt;0,COUNTIF(I2167,"56*")&gt;0,COUNTIF(J2167,"*56*")&gt;0,COUNTIF(I2167,"68*")&gt;0,COUNTIF(J2167,"*68*")&gt;0,COUNTIF(I2167,"78*")&gt;0,COUNTIF(J2167,"*78*")&gt;0,COUNTIF(I2167,"81*")&gt;0,COUNTIF(J2167,"*81*")&gt;0,COUNTIF(I2167,"82*")&gt;0,COUNTIF(J2167,"*82*")&gt;0,COUNTIF(I2167,"64*")&gt;0,COUNTIF(J2167,"*64*")&gt;0,COUNTIF(I2167,"65*")&gt;0,COUNTIF(J2167,"*65*")&gt;0,COUNTIF(I2167,"66*")&gt;0,COUNTIF(J2167,"*66*")&gt;0,COUNTIF(I2167,"61*")&gt;0,COUNTIF(J2167,"*61*")&gt;0,COUNTIF(I2167,"62*")&gt;0,COUNTIF(J2167,"*62*")&gt;0,COUNTIF(I2167,"63*")&gt;0,COUNTIF(J2167,"*63*")&gt;0,COUNTIF(I2167,"85*")&gt;0,COUNTIF(J2167,"*85*")&gt;0,COUNTIF(I2167,"86*")&gt;0,COUNTIF(J2167,"*86*")&gt;0),"Да","Нет"))</f>
        <v/>
      </c>
      <c r="M2167" s="13">
        <f>IF(OR(G2167="",L2167&lt;&gt;"Да"),"",IF(G2167&lt;=100,"До 100",IF(G2167&lt;=200,"До 200",IF(G2167&lt;=500,"До 500","Отдельное КП"))))</f>
        <v/>
      </c>
      <c r="N2167" s="15">
        <f>IF(OR(G2167="",L2167&lt;&gt;"Да"),"",IF(G2167&lt;=100,33600,IF(G2167&lt;=200,62400,IF(G2167&lt;=500,144000,""))))</f>
        <v/>
      </c>
      <c r="O2167" s="16">
        <f>IF(G2167="","",IF(G2167&lt;=15,"1–15",IF(G2167&lt;=30,"16–30",IF(G2167&lt;=50,"31–50",IF(G2167&lt;=100,"51–100",IF(G2167&lt;=150,"101–150",IF(G2167&lt;=200,"151–200",IF(G2167&lt;=500,"201–500","500+"))))))))</f>
        <v/>
      </c>
      <c r="P2167" s="16" t="inlineStr">
        <is>
          <t>Нет совпадения в предоставленной выгрузке ССЧР</t>
        </is>
      </c>
      <c r="Q2167" s="16" t="n"/>
      <c r="R2167" s="16">
        <f>HYPERLINK("https://checko.ru/search?query=3801001629","Чекко: проверить")</f>
        <v/>
      </c>
      <c r="S2167" t="n">
        <v>0</v>
      </c>
    </row>
    <row r="2168" ht="15" customHeight="1" s="24">
      <c r="A2168" s="13" t="n">
        <v>5000094671</v>
      </c>
      <c r="B2168" s="13" t="inlineStr">
        <is>
          <t>МКУ СШОР Г.П. ТЕРЕК</t>
        </is>
      </c>
      <c r="C2168" s="13" t="n">
        <v>705007284</v>
      </c>
      <c r="D2168" s="13" t="n"/>
      <c r="E2168" s="13" t="inlineStr">
        <is>
          <t>Не определён</t>
        </is>
      </c>
      <c r="F2168" s="13" t="inlineStr">
        <is>
          <t>705007284</t>
        </is>
      </c>
      <c r="G2168" s="14" t="n"/>
      <c r="H2168" s="14" t="n"/>
      <c r="I2168" s="14" t="n"/>
      <c r="J2168" s="14" t="n"/>
      <c r="K2168" s="13">
        <f>IF(G2168="","",IF(G2168&gt;=22,"Да","Нет"))</f>
        <v/>
      </c>
      <c r="L2168" s="13">
        <f>IF(OR(I2168="",J2168=""),"Не определено",IF(OR(COUNTIF(I2168,"45*")&gt;0,COUNTIF(J2168,"*45*")&gt;0,COUNTIF(I2168,"46*")&gt;0,COUNTIF(J2168,"*46*")&gt;0,COUNTIF(I2168,"47*")&gt;0,COUNTIF(J2168,"*47*")&gt;0,COUNTIF(I2168,"10*")&gt;0,COUNTIF(J2168,"*10*")&gt;0,COUNTIF(I2168,"11*")&gt;0,COUNTIF(J2168,"*11*")&gt;0,COUNTIF(I2168,"12*")&gt;0,COUNTIF(J2168,"*12*")&gt;0,COUNTIF(I2168,"13*")&gt;0,COUNTIF(J2168,"*13*")&gt;0,COUNTIF(I2168,"14*")&gt;0,COUNTIF(J2168,"*14*")&gt;0,COUNTIF(I2168,"15*")&gt;0,COUNTIF(J2168,"*15*")&gt;0,COUNTIF(I2168,"16*")&gt;0,COUNTIF(J2168,"*16*")&gt;0,COUNTIF(I2168,"17*")&gt;0,COUNTIF(J2168,"*17*")&gt;0,COUNTIF(I2168,"18*")&gt;0,COUNTIF(J2168,"*18*")&gt;0,COUNTIF(I2168,"19*")&gt;0,COUNTIF(J2168,"*19*")&gt;0,COUNTIF(I2168,"20*")&gt;0,COUNTIF(J2168,"*20*")&gt;0,COUNTIF(I2168,"21*")&gt;0,COUNTIF(J2168,"*21*")&gt;0,COUNTIF(I2168,"22*")&gt;0,COUNTIF(J2168,"*22*")&gt;0,COUNTIF(I2168,"23*")&gt;0,COUNTIF(J2168,"*23*")&gt;0,COUNTIF(I2168,"24*")&gt;0,COUNTIF(J2168,"*24*")&gt;0,COUNTIF(I2168,"25*")&gt;0,COUNTIF(J2168,"*25*")&gt;0,COUNTIF(I2168,"26*")&gt;0,COUNTIF(J2168,"*26*")&gt;0,COUNTIF(I2168,"27*")&gt;0,COUNTIF(J2168,"*27*")&gt;0,COUNTIF(I2168,"28*")&gt;0,COUNTIF(J2168,"*28*")&gt;0,COUNTIF(I2168,"29*")&gt;0,COUNTIF(J2168,"*29*")&gt;0,COUNTIF(I2168,"30*")&gt;0,COUNTIF(J2168,"*30*")&gt;0,COUNTIF(I2168,"31*")&gt;0,COUNTIF(J2168,"*31*")&gt;0,COUNTIF(I2168,"32*")&gt;0,COUNTIF(J2168,"*32*")&gt;0,COUNTIF(I2168,"33*")&gt;0,COUNTIF(J2168,"*33*")&gt;0,COUNTIF(I2168,"41*")&gt;0,COUNTIF(J2168,"*41*")&gt;0,COUNTIF(I2168,"42*")&gt;0,COUNTIF(J2168,"*42*")&gt;0,COUNTIF(I2168,"43*")&gt;0,COUNTIF(J2168,"*43*")&gt;0,COUNTIF(I2168,"49*")&gt;0,COUNTIF(J2168,"*49*")&gt;0,COUNTIF(I2168,"52*")&gt;0,COUNTIF(J2168,"*52*")&gt;0,COUNTIF(I2168,"55*")&gt;0,COUNTIF(J2168,"*55*")&gt;0,COUNTIF(I2168,"56*")&gt;0,COUNTIF(J2168,"*56*")&gt;0,COUNTIF(I2168,"68*")&gt;0,COUNTIF(J2168,"*68*")&gt;0,COUNTIF(I2168,"78*")&gt;0,COUNTIF(J2168,"*78*")&gt;0,COUNTIF(I2168,"81*")&gt;0,COUNTIF(J2168,"*81*")&gt;0,COUNTIF(I2168,"82*")&gt;0,COUNTIF(J2168,"*82*")&gt;0,COUNTIF(I2168,"64*")&gt;0,COUNTIF(J2168,"*64*")&gt;0,COUNTIF(I2168,"65*")&gt;0,COUNTIF(J2168,"*65*")&gt;0,COUNTIF(I2168,"66*")&gt;0,COUNTIF(J2168,"*66*")&gt;0,COUNTIF(I2168,"61*")&gt;0,COUNTIF(J2168,"*61*")&gt;0,COUNTIF(I2168,"62*")&gt;0,COUNTIF(J2168,"*62*")&gt;0,COUNTIF(I2168,"63*")&gt;0,COUNTIF(J2168,"*63*")&gt;0,COUNTIF(I2168,"85*")&gt;0,COUNTIF(J2168,"*85*")&gt;0,COUNTIF(I2168,"86*")&gt;0,COUNTIF(J2168,"*86*")&gt;0),"Да","Нет"))</f>
        <v/>
      </c>
      <c r="M2168" s="13">
        <f>IF(OR(G2168="",L2168&lt;&gt;"Да"),"",IF(G2168&lt;=100,"До 100",IF(G2168&lt;=200,"До 200",IF(G2168&lt;=500,"До 500","Отдельное КП"))))</f>
        <v/>
      </c>
      <c r="N2168" s="15">
        <f>IF(OR(G2168="",L2168&lt;&gt;"Да"),"",IF(G2168&lt;=100,33600,IF(G2168&lt;=200,62400,IF(G2168&lt;=500,144000,""))))</f>
        <v/>
      </c>
      <c r="O2168" s="16">
        <f>IF(G2168="","",IF(G2168&lt;=15,"1–15",IF(G2168&lt;=30,"16–30",IF(G2168&lt;=50,"31–50",IF(G2168&lt;=100,"51–100",IF(G2168&lt;=150,"101–150",IF(G2168&lt;=200,"151–200",IF(G2168&lt;=500,"201–500","500+"))))))))</f>
        <v/>
      </c>
      <c r="P2168" s="16" t="inlineStr">
        <is>
          <t>Нет совпадения в предоставленной выгрузке ССЧР</t>
        </is>
      </c>
      <c r="Q2168" s="16" t="n"/>
      <c r="R2168" s="16">
        <f>HYPERLINK("https://checko.ru/search?query=3801001629","Чекко: проверить")</f>
        <v/>
      </c>
      <c r="S2168" t="n">
        <v>0</v>
      </c>
    </row>
    <row r="2169" ht="15" customHeight="1" s="24">
      <c r="A2169" s="13" t="n">
        <v>5000094673</v>
      </c>
      <c r="B2169" s="13" t="inlineStr">
        <is>
          <t>МКУК "СЕЛЬСКИЙ ДОМ КУЛЬТУРЫ С. АРИК"</t>
        </is>
      </c>
      <c r="C2169" s="13" t="n">
        <v>705007478</v>
      </c>
      <c r="D2169" s="13" t="n"/>
      <c r="E2169" s="13" t="inlineStr">
        <is>
          <t>Не определён</t>
        </is>
      </c>
      <c r="F2169" s="13" t="inlineStr">
        <is>
          <t>705007478</t>
        </is>
      </c>
      <c r="G2169" s="14" t="n"/>
      <c r="H2169" s="14" t="n"/>
      <c r="I2169" s="14" t="n"/>
      <c r="J2169" s="14" t="n"/>
      <c r="K2169" s="13">
        <f>IF(G2169="","",IF(G2169&gt;=22,"Да","Нет"))</f>
        <v/>
      </c>
      <c r="L2169" s="13">
        <f>IF(OR(I2169="",J2169=""),"Не определено",IF(OR(COUNTIF(I2169,"45*")&gt;0,COUNTIF(J2169,"*45*")&gt;0,COUNTIF(I2169,"46*")&gt;0,COUNTIF(J2169,"*46*")&gt;0,COUNTIF(I2169,"47*")&gt;0,COUNTIF(J2169,"*47*")&gt;0,COUNTIF(I2169,"10*")&gt;0,COUNTIF(J2169,"*10*")&gt;0,COUNTIF(I2169,"11*")&gt;0,COUNTIF(J2169,"*11*")&gt;0,COUNTIF(I2169,"12*")&gt;0,COUNTIF(J2169,"*12*")&gt;0,COUNTIF(I2169,"13*")&gt;0,COUNTIF(J2169,"*13*")&gt;0,COUNTIF(I2169,"14*")&gt;0,COUNTIF(J2169,"*14*")&gt;0,COUNTIF(I2169,"15*")&gt;0,COUNTIF(J2169,"*15*")&gt;0,COUNTIF(I2169,"16*")&gt;0,COUNTIF(J2169,"*16*")&gt;0,COUNTIF(I2169,"17*")&gt;0,COUNTIF(J2169,"*17*")&gt;0,COUNTIF(I2169,"18*")&gt;0,COUNTIF(J2169,"*18*")&gt;0,COUNTIF(I2169,"19*")&gt;0,COUNTIF(J2169,"*19*")&gt;0,COUNTIF(I2169,"20*")&gt;0,COUNTIF(J2169,"*20*")&gt;0,COUNTIF(I2169,"21*")&gt;0,COUNTIF(J2169,"*21*")&gt;0,COUNTIF(I2169,"22*")&gt;0,COUNTIF(J2169,"*22*")&gt;0,COUNTIF(I2169,"23*")&gt;0,COUNTIF(J2169,"*23*")&gt;0,COUNTIF(I2169,"24*")&gt;0,COUNTIF(J2169,"*24*")&gt;0,COUNTIF(I2169,"25*")&gt;0,COUNTIF(J2169,"*25*")&gt;0,COUNTIF(I2169,"26*")&gt;0,COUNTIF(J2169,"*26*")&gt;0,COUNTIF(I2169,"27*")&gt;0,COUNTIF(J2169,"*27*")&gt;0,COUNTIF(I2169,"28*")&gt;0,COUNTIF(J2169,"*28*")&gt;0,COUNTIF(I2169,"29*")&gt;0,COUNTIF(J2169,"*29*")&gt;0,COUNTIF(I2169,"30*")&gt;0,COUNTIF(J2169,"*30*")&gt;0,COUNTIF(I2169,"31*")&gt;0,COUNTIF(J2169,"*31*")&gt;0,COUNTIF(I2169,"32*")&gt;0,COUNTIF(J2169,"*32*")&gt;0,COUNTIF(I2169,"33*")&gt;0,COUNTIF(J2169,"*33*")&gt;0,COUNTIF(I2169,"41*")&gt;0,COUNTIF(J2169,"*41*")&gt;0,COUNTIF(I2169,"42*")&gt;0,COUNTIF(J2169,"*42*")&gt;0,COUNTIF(I2169,"43*")&gt;0,COUNTIF(J2169,"*43*")&gt;0,COUNTIF(I2169,"49*")&gt;0,COUNTIF(J2169,"*49*")&gt;0,COUNTIF(I2169,"52*")&gt;0,COUNTIF(J2169,"*52*")&gt;0,COUNTIF(I2169,"55*")&gt;0,COUNTIF(J2169,"*55*")&gt;0,COUNTIF(I2169,"56*")&gt;0,COUNTIF(J2169,"*56*")&gt;0,COUNTIF(I2169,"68*")&gt;0,COUNTIF(J2169,"*68*")&gt;0,COUNTIF(I2169,"78*")&gt;0,COUNTIF(J2169,"*78*")&gt;0,COUNTIF(I2169,"81*")&gt;0,COUNTIF(J2169,"*81*")&gt;0,COUNTIF(I2169,"82*")&gt;0,COUNTIF(J2169,"*82*")&gt;0,COUNTIF(I2169,"64*")&gt;0,COUNTIF(J2169,"*64*")&gt;0,COUNTIF(I2169,"65*")&gt;0,COUNTIF(J2169,"*65*")&gt;0,COUNTIF(I2169,"66*")&gt;0,COUNTIF(J2169,"*66*")&gt;0,COUNTIF(I2169,"61*")&gt;0,COUNTIF(J2169,"*61*")&gt;0,COUNTIF(I2169,"62*")&gt;0,COUNTIF(J2169,"*62*")&gt;0,COUNTIF(I2169,"63*")&gt;0,COUNTIF(J2169,"*63*")&gt;0,COUNTIF(I2169,"85*")&gt;0,COUNTIF(J2169,"*85*")&gt;0,COUNTIF(I2169,"86*")&gt;0,COUNTIF(J2169,"*86*")&gt;0),"Да","Нет"))</f>
        <v/>
      </c>
      <c r="M2169" s="13">
        <f>IF(OR(G2169="",L2169&lt;&gt;"Да"),"",IF(G2169&lt;=100,"До 100",IF(G2169&lt;=200,"До 200",IF(G2169&lt;=500,"До 500","Отдельное КП"))))</f>
        <v/>
      </c>
      <c r="N2169" s="15">
        <f>IF(OR(G2169="",L2169&lt;&gt;"Да"),"",IF(G2169&lt;=100,33600,IF(G2169&lt;=200,62400,IF(G2169&lt;=500,144000,""))))</f>
        <v/>
      </c>
      <c r="O2169" s="16">
        <f>IF(G2169="","",IF(G2169&lt;=15,"1–15",IF(G2169&lt;=30,"16–30",IF(G2169&lt;=50,"31–50",IF(G2169&lt;=100,"51–100",IF(G2169&lt;=150,"101–150",IF(G2169&lt;=200,"151–200",IF(G2169&lt;=500,"201–500","500+"))))))))</f>
        <v/>
      </c>
      <c r="P2169" s="16" t="inlineStr">
        <is>
          <t>Нет совпадения в предоставленной выгрузке ССЧР</t>
        </is>
      </c>
      <c r="Q2169" s="16" t="n"/>
      <c r="R2169" s="16">
        <f>HYPERLINK("https://checko.ru/search?query=3801001629","Чекко: проверить")</f>
        <v/>
      </c>
      <c r="S2169" t="n">
        <v>0</v>
      </c>
    </row>
    <row r="2170" ht="15" customHeight="1" s="24">
      <c r="A2170" s="13" t="n">
        <v>5000094674</v>
      </c>
      <c r="B2170" s="13" t="inlineStr">
        <is>
          <t>МУК "СДК С. ДЕЙСКОЕ"</t>
        </is>
      </c>
      <c r="C2170" s="13" t="n">
        <v>705007492</v>
      </c>
      <c r="D2170" s="13" t="n"/>
      <c r="E2170" s="13" t="inlineStr">
        <is>
          <t>Не определён</t>
        </is>
      </c>
      <c r="F2170" s="13" t="inlineStr">
        <is>
          <t>705007492</t>
        </is>
      </c>
      <c r="G2170" s="14" t="n"/>
      <c r="H2170" s="14" t="n"/>
      <c r="I2170" s="14" t="n"/>
      <c r="J2170" s="14" t="n"/>
      <c r="K2170" s="13">
        <f>IF(G2170="","",IF(G2170&gt;=22,"Да","Нет"))</f>
        <v/>
      </c>
      <c r="L2170" s="13">
        <f>IF(OR(I2170="",J2170=""),"Не определено",IF(OR(COUNTIF(I2170,"45*")&gt;0,COUNTIF(J2170,"*45*")&gt;0,COUNTIF(I2170,"46*")&gt;0,COUNTIF(J2170,"*46*")&gt;0,COUNTIF(I2170,"47*")&gt;0,COUNTIF(J2170,"*47*")&gt;0,COUNTIF(I2170,"10*")&gt;0,COUNTIF(J2170,"*10*")&gt;0,COUNTIF(I2170,"11*")&gt;0,COUNTIF(J2170,"*11*")&gt;0,COUNTIF(I2170,"12*")&gt;0,COUNTIF(J2170,"*12*")&gt;0,COUNTIF(I2170,"13*")&gt;0,COUNTIF(J2170,"*13*")&gt;0,COUNTIF(I2170,"14*")&gt;0,COUNTIF(J2170,"*14*")&gt;0,COUNTIF(I2170,"15*")&gt;0,COUNTIF(J2170,"*15*")&gt;0,COUNTIF(I2170,"16*")&gt;0,COUNTIF(J2170,"*16*")&gt;0,COUNTIF(I2170,"17*")&gt;0,COUNTIF(J2170,"*17*")&gt;0,COUNTIF(I2170,"18*")&gt;0,COUNTIF(J2170,"*18*")&gt;0,COUNTIF(I2170,"19*")&gt;0,COUNTIF(J2170,"*19*")&gt;0,COUNTIF(I2170,"20*")&gt;0,COUNTIF(J2170,"*20*")&gt;0,COUNTIF(I2170,"21*")&gt;0,COUNTIF(J2170,"*21*")&gt;0,COUNTIF(I2170,"22*")&gt;0,COUNTIF(J2170,"*22*")&gt;0,COUNTIF(I2170,"23*")&gt;0,COUNTIF(J2170,"*23*")&gt;0,COUNTIF(I2170,"24*")&gt;0,COUNTIF(J2170,"*24*")&gt;0,COUNTIF(I2170,"25*")&gt;0,COUNTIF(J2170,"*25*")&gt;0,COUNTIF(I2170,"26*")&gt;0,COUNTIF(J2170,"*26*")&gt;0,COUNTIF(I2170,"27*")&gt;0,COUNTIF(J2170,"*27*")&gt;0,COUNTIF(I2170,"28*")&gt;0,COUNTIF(J2170,"*28*")&gt;0,COUNTIF(I2170,"29*")&gt;0,COUNTIF(J2170,"*29*")&gt;0,COUNTIF(I2170,"30*")&gt;0,COUNTIF(J2170,"*30*")&gt;0,COUNTIF(I2170,"31*")&gt;0,COUNTIF(J2170,"*31*")&gt;0,COUNTIF(I2170,"32*")&gt;0,COUNTIF(J2170,"*32*")&gt;0,COUNTIF(I2170,"33*")&gt;0,COUNTIF(J2170,"*33*")&gt;0,COUNTIF(I2170,"41*")&gt;0,COUNTIF(J2170,"*41*")&gt;0,COUNTIF(I2170,"42*")&gt;0,COUNTIF(J2170,"*42*")&gt;0,COUNTIF(I2170,"43*")&gt;0,COUNTIF(J2170,"*43*")&gt;0,COUNTIF(I2170,"49*")&gt;0,COUNTIF(J2170,"*49*")&gt;0,COUNTIF(I2170,"52*")&gt;0,COUNTIF(J2170,"*52*")&gt;0,COUNTIF(I2170,"55*")&gt;0,COUNTIF(J2170,"*55*")&gt;0,COUNTIF(I2170,"56*")&gt;0,COUNTIF(J2170,"*56*")&gt;0,COUNTIF(I2170,"68*")&gt;0,COUNTIF(J2170,"*68*")&gt;0,COUNTIF(I2170,"78*")&gt;0,COUNTIF(J2170,"*78*")&gt;0,COUNTIF(I2170,"81*")&gt;0,COUNTIF(J2170,"*81*")&gt;0,COUNTIF(I2170,"82*")&gt;0,COUNTIF(J2170,"*82*")&gt;0,COUNTIF(I2170,"64*")&gt;0,COUNTIF(J2170,"*64*")&gt;0,COUNTIF(I2170,"65*")&gt;0,COUNTIF(J2170,"*65*")&gt;0,COUNTIF(I2170,"66*")&gt;0,COUNTIF(J2170,"*66*")&gt;0,COUNTIF(I2170,"61*")&gt;0,COUNTIF(J2170,"*61*")&gt;0,COUNTIF(I2170,"62*")&gt;0,COUNTIF(J2170,"*62*")&gt;0,COUNTIF(I2170,"63*")&gt;0,COUNTIF(J2170,"*63*")&gt;0,COUNTIF(I2170,"85*")&gt;0,COUNTIF(J2170,"*85*")&gt;0,COUNTIF(I2170,"86*")&gt;0,COUNTIF(J2170,"*86*")&gt;0),"Да","Нет"))</f>
        <v/>
      </c>
      <c r="M2170" s="13">
        <f>IF(OR(G2170="",L2170&lt;&gt;"Да"),"",IF(G2170&lt;=100,"До 100",IF(G2170&lt;=200,"До 200",IF(G2170&lt;=500,"До 500","Отдельное КП"))))</f>
        <v/>
      </c>
      <c r="N2170" s="15">
        <f>IF(OR(G2170="",L2170&lt;&gt;"Да"),"",IF(G2170&lt;=100,33600,IF(G2170&lt;=200,62400,IF(G2170&lt;=500,144000,""))))</f>
        <v/>
      </c>
      <c r="O2170" s="16">
        <f>IF(G2170="","",IF(G2170&lt;=15,"1–15",IF(G2170&lt;=30,"16–30",IF(G2170&lt;=50,"31–50",IF(G2170&lt;=100,"51–100",IF(G2170&lt;=150,"101–150",IF(G2170&lt;=200,"151–200",IF(G2170&lt;=500,"201–500","500+"))))))))</f>
        <v/>
      </c>
      <c r="P2170" s="16" t="inlineStr">
        <is>
          <t>Нет совпадения в предоставленной выгрузке ССЧР</t>
        </is>
      </c>
      <c r="Q2170" s="16" t="n"/>
      <c r="R2170" s="16">
        <f>HYPERLINK("https://checko.ru/search?query=3801001629","Чекко: проверить")</f>
        <v/>
      </c>
      <c r="S2170" t="n">
        <v>0</v>
      </c>
    </row>
    <row r="2171" ht="15" customHeight="1" s="24">
      <c r="A2171" s="13" t="n">
        <v>5000094675</v>
      </c>
      <c r="B2171" s="13" t="inlineStr">
        <is>
          <t>МКУ  СШ С.П. УРОЖАЙНОЕ</t>
        </is>
      </c>
      <c r="C2171" s="13" t="n">
        <v>705007502</v>
      </c>
      <c r="D2171" s="13" t="n"/>
      <c r="E2171" s="13" t="inlineStr">
        <is>
          <t>Не определён</t>
        </is>
      </c>
      <c r="F2171" s="13" t="inlineStr">
        <is>
          <t>705007502</t>
        </is>
      </c>
      <c r="G2171" s="14" t="n"/>
      <c r="H2171" s="14" t="n"/>
      <c r="I2171" s="14" t="n"/>
      <c r="J2171" s="14" t="n"/>
      <c r="K2171" s="13">
        <f>IF(G2171="","",IF(G2171&gt;=22,"Да","Нет"))</f>
        <v/>
      </c>
      <c r="L2171" s="13">
        <f>IF(OR(I2171="",J2171=""),"Не определено",IF(OR(COUNTIF(I2171,"45*")&gt;0,COUNTIF(J2171,"*45*")&gt;0,COUNTIF(I2171,"46*")&gt;0,COUNTIF(J2171,"*46*")&gt;0,COUNTIF(I2171,"47*")&gt;0,COUNTIF(J2171,"*47*")&gt;0,COUNTIF(I2171,"10*")&gt;0,COUNTIF(J2171,"*10*")&gt;0,COUNTIF(I2171,"11*")&gt;0,COUNTIF(J2171,"*11*")&gt;0,COUNTIF(I2171,"12*")&gt;0,COUNTIF(J2171,"*12*")&gt;0,COUNTIF(I2171,"13*")&gt;0,COUNTIF(J2171,"*13*")&gt;0,COUNTIF(I2171,"14*")&gt;0,COUNTIF(J2171,"*14*")&gt;0,COUNTIF(I2171,"15*")&gt;0,COUNTIF(J2171,"*15*")&gt;0,COUNTIF(I2171,"16*")&gt;0,COUNTIF(J2171,"*16*")&gt;0,COUNTIF(I2171,"17*")&gt;0,COUNTIF(J2171,"*17*")&gt;0,COUNTIF(I2171,"18*")&gt;0,COUNTIF(J2171,"*18*")&gt;0,COUNTIF(I2171,"19*")&gt;0,COUNTIF(J2171,"*19*")&gt;0,COUNTIF(I2171,"20*")&gt;0,COUNTIF(J2171,"*20*")&gt;0,COUNTIF(I2171,"21*")&gt;0,COUNTIF(J2171,"*21*")&gt;0,COUNTIF(I2171,"22*")&gt;0,COUNTIF(J2171,"*22*")&gt;0,COUNTIF(I2171,"23*")&gt;0,COUNTIF(J2171,"*23*")&gt;0,COUNTIF(I2171,"24*")&gt;0,COUNTIF(J2171,"*24*")&gt;0,COUNTIF(I2171,"25*")&gt;0,COUNTIF(J2171,"*25*")&gt;0,COUNTIF(I2171,"26*")&gt;0,COUNTIF(J2171,"*26*")&gt;0,COUNTIF(I2171,"27*")&gt;0,COUNTIF(J2171,"*27*")&gt;0,COUNTIF(I2171,"28*")&gt;0,COUNTIF(J2171,"*28*")&gt;0,COUNTIF(I2171,"29*")&gt;0,COUNTIF(J2171,"*29*")&gt;0,COUNTIF(I2171,"30*")&gt;0,COUNTIF(J2171,"*30*")&gt;0,COUNTIF(I2171,"31*")&gt;0,COUNTIF(J2171,"*31*")&gt;0,COUNTIF(I2171,"32*")&gt;0,COUNTIF(J2171,"*32*")&gt;0,COUNTIF(I2171,"33*")&gt;0,COUNTIF(J2171,"*33*")&gt;0,COUNTIF(I2171,"41*")&gt;0,COUNTIF(J2171,"*41*")&gt;0,COUNTIF(I2171,"42*")&gt;0,COUNTIF(J2171,"*42*")&gt;0,COUNTIF(I2171,"43*")&gt;0,COUNTIF(J2171,"*43*")&gt;0,COUNTIF(I2171,"49*")&gt;0,COUNTIF(J2171,"*49*")&gt;0,COUNTIF(I2171,"52*")&gt;0,COUNTIF(J2171,"*52*")&gt;0,COUNTIF(I2171,"55*")&gt;0,COUNTIF(J2171,"*55*")&gt;0,COUNTIF(I2171,"56*")&gt;0,COUNTIF(J2171,"*56*")&gt;0,COUNTIF(I2171,"68*")&gt;0,COUNTIF(J2171,"*68*")&gt;0,COUNTIF(I2171,"78*")&gt;0,COUNTIF(J2171,"*78*")&gt;0,COUNTIF(I2171,"81*")&gt;0,COUNTIF(J2171,"*81*")&gt;0,COUNTIF(I2171,"82*")&gt;0,COUNTIF(J2171,"*82*")&gt;0,COUNTIF(I2171,"64*")&gt;0,COUNTIF(J2171,"*64*")&gt;0,COUNTIF(I2171,"65*")&gt;0,COUNTIF(J2171,"*65*")&gt;0,COUNTIF(I2171,"66*")&gt;0,COUNTIF(J2171,"*66*")&gt;0,COUNTIF(I2171,"61*")&gt;0,COUNTIF(J2171,"*61*")&gt;0,COUNTIF(I2171,"62*")&gt;0,COUNTIF(J2171,"*62*")&gt;0,COUNTIF(I2171,"63*")&gt;0,COUNTIF(J2171,"*63*")&gt;0,COUNTIF(I2171,"85*")&gt;0,COUNTIF(J2171,"*85*")&gt;0,COUNTIF(I2171,"86*")&gt;0,COUNTIF(J2171,"*86*")&gt;0),"Да","Нет"))</f>
        <v/>
      </c>
      <c r="M2171" s="13">
        <f>IF(OR(G2171="",L2171&lt;&gt;"Да"),"",IF(G2171&lt;=100,"До 100",IF(G2171&lt;=200,"До 200",IF(G2171&lt;=500,"До 500","Отдельное КП"))))</f>
        <v/>
      </c>
      <c r="N2171" s="15">
        <f>IF(OR(G2171="",L2171&lt;&gt;"Да"),"",IF(G2171&lt;=100,33600,IF(G2171&lt;=200,62400,IF(G2171&lt;=500,144000,""))))</f>
        <v/>
      </c>
      <c r="O2171" s="16">
        <f>IF(G2171="","",IF(G2171&lt;=15,"1–15",IF(G2171&lt;=30,"16–30",IF(G2171&lt;=50,"31–50",IF(G2171&lt;=100,"51–100",IF(G2171&lt;=150,"101–150",IF(G2171&lt;=200,"151–200",IF(G2171&lt;=500,"201–500","500+"))))))))</f>
        <v/>
      </c>
      <c r="P2171" s="16" t="inlineStr">
        <is>
          <t>Нет совпадения в предоставленной выгрузке ССЧР</t>
        </is>
      </c>
      <c r="Q2171" s="16" t="n"/>
      <c r="R2171" s="16">
        <f>HYPERLINK("https://checko.ru/search?query=3801001629","Чекко: проверить")</f>
        <v/>
      </c>
      <c r="S2171" t="n">
        <v>0</v>
      </c>
    </row>
    <row r="2172" ht="15" customHeight="1" s="24">
      <c r="A2172" s="13" t="n">
        <v>5000094676</v>
      </c>
      <c r="B2172" s="13" t="inlineStr">
        <is>
          <t>МКУК "СЕЛЬСКИЙ ДОМ КУЛЬТУРЫ С.П. ХАМИДИЕ"</t>
        </is>
      </c>
      <c r="C2172" s="13" t="n">
        <v>705007615</v>
      </c>
      <c r="D2172" s="13" t="n"/>
      <c r="E2172" s="13" t="inlineStr">
        <is>
          <t>Не определён</t>
        </is>
      </c>
      <c r="F2172" s="13" t="inlineStr">
        <is>
          <t>705007615</t>
        </is>
      </c>
      <c r="G2172" s="14" t="n"/>
      <c r="H2172" s="14" t="n"/>
      <c r="I2172" s="14" t="n"/>
      <c r="J2172" s="14" t="n"/>
      <c r="K2172" s="13">
        <f>IF(G2172="","",IF(G2172&gt;=22,"Да","Нет"))</f>
        <v/>
      </c>
      <c r="L2172" s="13">
        <f>IF(OR(I2172="",J2172=""),"Не определено",IF(OR(COUNTIF(I2172,"45*")&gt;0,COUNTIF(J2172,"*45*")&gt;0,COUNTIF(I2172,"46*")&gt;0,COUNTIF(J2172,"*46*")&gt;0,COUNTIF(I2172,"47*")&gt;0,COUNTIF(J2172,"*47*")&gt;0,COUNTIF(I2172,"10*")&gt;0,COUNTIF(J2172,"*10*")&gt;0,COUNTIF(I2172,"11*")&gt;0,COUNTIF(J2172,"*11*")&gt;0,COUNTIF(I2172,"12*")&gt;0,COUNTIF(J2172,"*12*")&gt;0,COUNTIF(I2172,"13*")&gt;0,COUNTIF(J2172,"*13*")&gt;0,COUNTIF(I2172,"14*")&gt;0,COUNTIF(J2172,"*14*")&gt;0,COUNTIF(I2172,"15*")&gt;0,COUNTIF(J2172,"*15*")&gt;0,COUNTIF(I2172,"16*")&gt;0,COUNTIF(J2172,"*16*")&gt;0,COUNTIF(I2172,"17*")&gt;0,COUNTIF(J2172,"*17*")&gt;0,COUNTIF(I2172,"18*")&gt;0,COUNTIF(J2172,"*18*")&gt;0,COUNTIF(I2172,"19*")&gt;0,COUNTIF(J2172,"*19*")&gt;0,COUNTIF(I2172,"20*")&gt;0,COUNTIF(J2172,"*20*")&gt;0,COUNTIF(I2172,"21*")&gt;0,COUNTIF(J2172,"*21*")&gt;0,COUNTIF(I2172,"22*")&gt;0,COUNTIF(J2172,"*22*")&gt;0,COUNTIF(I2172,"23*")&gt;0,COUNTIF(J2172,"*23*")&gt;0,COUNTIF(I2172,"24*")&gt;0,COUNTIF(J2172,"*24*")&gt;0,COUNTIF(I2172,"25*")&gt;0,COUNTIF(J2172,"*25*")&gt;0,COUNTIF(I2172,"26*")&gt;0,COUNTIF(J2172,"*26*")&gt;0,COUNTIF(I2172,"27*")&gt;0,COUNTIF(J2172,"*27*")&gt;0,COUNTIF(I2172,"28*")&gt;0,COUNTIF(J2172,"*28*")&gt;0,COUNTIF(I2172,"29*")&gt;0,COUNTIF(J2172,"*29*")&gt;0,COUNTIF(I2172,"30*")&gt;0,COUNTIF(J2172,"*30*")&gt;0,COUNTIF(I2172,"31*")&gt;0,COUNTIF(J2172,"*31*")&gt;0,COUNTIF(I2172,"32*")&gt;0,COUNTIF(J2172,"*32*")&gt;0,COUNTIF(I2172,"33*")&gt;0,COUNTIF(J2172,"*33*")&gt;0,COUNTIF(I2172,"41*")&gt;0,COUNTIF(J2172,"*41*")&gt;0,COUNTIF(I2172,"42*")&gt;0,COUNTIF(J2172,"*42*")&gt;0,COUNTIF(I2172,"43*")&gt;0,COUNTIF(J2172,"*43*")&gt;0,COUNTIF(I2172,"49*")&gt;0,COUNTIF(J2172,"*49*")&gt;0,COUNTIF(I2172,"52*")&gt;0,COUNTIF(J2172,"*52*")&gt;0,COUNTIF(I2172,"55*")&gt;0,COUNTIF(J2172,"*55*")&gt;0,COUNTIF(I2172,"56*")&gt;0,COUNTIF(J2172,"*56*")&gt;0,COUNTIF(I2172,"68*")&gt;0,COUNTIF(J2172,"*68*")&gt;0,COUNTIF(I2172,"78*")&gt;0,COUNTIF(J2172,"*78*")&gt;0,COUNTIF(I2172,"81*")&gt;0,COUNTIF(J2172,"*81*")&gt;0,COUNTIF(I2172,"82*")&gt;0,COUNTIF(J2172,"*82*")&gt;0,COUNTIF(I2172,"64*")&gt;0,COUNTIF(J2172,"*64*")&gt;0,COUNTIF(I2172,"65*")&gt;0,COUNTIF(J2172,"*65*")&gt;0,COUNTIF(I2172,"66*")&gt;0,COUNTIF(J2172,"*66*")&gt;0,COUNTIF(I2172,"61*")&gt;0,COUNTIF(J2172,"*61*")&gt;0,COUNTIF(I2172,"62*")&gt;0,COUNTIF(J2172,"*62*")&gt;0,COUNTIF(I2172,"63*")&gt;0,COUNTIF(J2172,"*63*")&gt;0,COUNTIF(I2172,"85*")&gt;0,COUNTIF(J2172,"*85*")&gt;0,COUNTIF(I2172,"86*")&gt;0,COUNTIF(J2172,"*86*")&gt;0),"Да","Нет"))</f>
        <v/>
      </c>
      <c r="M2172" s="13">
        <f>IF(OR(G2172="",L2172&lt;&gt;"Да"),"",IF(G2172&lt;=100,"До 100",IF(G2172&lt;=200,"До 200",IF(G2172&lt;=500,"До 500","Отдельное КП"))))</f>
        <v/>
      </c>
      <c r="N2172" s="15">
        <f>IF(OR(G2172="",L2172&lt;&gt;"Да"),"",IF(G2172&lt;=100,33600,IF(G2172&lt;=200,62400,IF(G2172&lt;=500,144000,""))))</f>
        <v/>
      </c>
      <c r="O2172" s="16">
        <f>IF(G2172="","",IF(G2172&lt;=15,"1–15",IF(G2172&lt;=30,"16–30",IF(G2172&lt;=50,"31–50",IF(G2172&lt;=100,"51–100",IF(G2172&lt;=150,"101–150",IF(G2172&lt;=200,"151–200",IF(G2172&lt;=500,"201–500","500+"))))))))</f>
        <v/>
      </c>
      <c r="P2172" s="16" t="inlineStr">
        <is>
          <t>Нет совпадения в предоставленной выгрузке ССЧР</t>
        </is>
      </c>
      <c r="Q2172" s="16" t="n"/>
      <c r="R2172" s="16">
        <f>HYPERLINK("https://checko.ru/search?query=3801001629","Чекко: проверить")</f>
        <v/>
      </c>
      <c r="S2172" t="n">
        <v>0</v>
      </c>
    </row>
    <row r="2173" ht="15" customHeight="1" s="24">
      <c r="A2173" s="13" t="n">
        <v>5000094678</v>
      </c>
      <c r="B2173" s="13" t="inlineStr">
        <is>
          <t>МАУ "ПКиО" г.п. Терек</t>
        </is>
      </c>
      <c r="C2173" s="13" t="n">
        <v>705008168</v>
      </c>
      <c r="D2173" s="13" t="n"/>
      <c r="E2173" s="13" t="inlineStr">
        <is>
          <t>Не определён</t>
        </is>
      </c>
      <c r="F2173" s="13" t="inlineStr">
        <is>
          <t>705008168</t>
        </is>
      </c>
      <c r="G2173" s="14" t="n"/>
      <c r="H2173" s="14" t="n"/>
      <c r="I2173" s="14" t="n"/>
      <c r="J2173" s="14" t="n"/>
      <c r="K2173" s="13">
        <f>IF(G2173="","",IF(G2173&gt;=22,"Да","Нет"))</f>
        <v/>
      </c>
      <c r="L2173" s="13">
        <f>IF(OR(I2173="",J2173=""),"Не определено",IF(OR(COUNTIF(I2173,"45*")&gt;0,COUNTIF(J2173,"*45*")&gt;0,COUNTIF(I2173,"46*")&gt;0,COUNTIF(J2173,"*46*")&gt;0,COUNTIF(I2173,"47*")&gt;0,COUNTIF(J2173,"*47*")&gt;0,COUNTIF(I2173,"10*")&gt;0,COUNTIF(J2173,"*10*")&gt;0,COUNTIF(I2173,"11*")&gt;0,COUNTIF(J2173,"*11*")&gt;0,COUNTIF(I2173,"12*")&gt;0,COUNTIF(J2173,"*12*")&gt;0,COUNTIF(I2173,"13*")&gt;0,COUNTIF(J2173,"*13*")&gt;0,COUNTIF(I2173,"14*")&gt;0,COUNTIF(J2173,"*14*")&gt;0,COUNTIF(I2173,"15*")&gt;0,COUNTIF(J2173,"*15*")&gt;0,COUNTIF(I2173,"16*")&gt;0,COUNTIF(J2173,"*16*")&gt;0,COUNTIF(I2173,"17*")&gt;0,COUNTIF(J2173,"*17*")&gt;0,COUNTIF(I2173,"18*")&gt;0,COUNTIF(J2173,"*18*")&gt;0,COUNTIF(I2173,"19*")&gt;0,COUNTIF(J2173,"*19*")&gt;0,COUNTIF(I2173,"20*")&gt;0,COUNTIF(J2173,"*20*")&gt;0,COUNTIF(I2173,"21*")&gt;0,COUNTIF(J2173,"*21*")&gt;0,COUNTIF(I2173,"22*")&gt;0,COUNTIF(J2173,"*22*")&gt;0,COUNTIF(I2173,"23*")&gt;0,COUNTIF(J2173,"*23*")&gt;0,COUNTIF(I2173,"24*")&gt;0,COUNTIF(J2173,"*24*")&gt;0,COUNTIF(I2173,"25*")&gt;0,COUNTIF(J2173,"*25*")&gt;0,COUNTIF(I2173,"26*")&gt;0,COUNTIF(J2173,"*26*")&gt;0,COUNTIF(I2173,"27*")&gt;0,COUNTIF(J2173,"*27*")&gt;0,COUNTIF(I2173,"28*")&gt;0,COUNTIF(J2173,"*28*")&gt;0,COUNTIF(I2173,"29*")&gt;0,COUNTIF(J2173,"*29*")&gt;0,COUNTIF(I2173,"30*")&gt;0,COUNTIF(J2173,"*30*")&gt;0,COUNTIF(I2173,"31*")&gt;0,COUNTIF(J2173,"*31*")&gt;0,COUNTIF(I2173,"32*")&gt;0,COUNTIF(J2173,"*32*")&gt;0,COUNTIF(I2173,"33*")&gt;0,COUNTIF(J2173,"*33*")&gt;0,COUNTIF(I2173,"41*")&gt;0,COUNTIF(J2173,"*41*")&gt;0,COUNTIF(I2173,"42*")&gt;0,COUNTIF(J2173,"*42*")&gt;0,COUNTIF(I2173,"43*")&gt;0,COUNTIF(J2173,"*43*")&gt;0,COUNTIF(I2173,"49*")&gt;0,COUNTIF(J2173,"*49*")&gt;0,COUNTIF(I2173,"52*")&gt;0,COUNTIF(J2173,"*52*")&gt;0,COUNTIF(I2173,"55*")&gt;0,COUNTIF(J2173,"*55*")&gt;0,COUNTIF(I2173,"56*")&gt;0,COUNTIF(J2173,"*56*")&gt;0,COUNTIF(I2173,"68*")&gt;0,COUNTIF(J2173,"*68*")&gt;0,COUNTIF(I2173,"78*")&gt;0,COUNTIF(J2173,"*78*")&gt;0,COUNTIF(I2173,"81*")&gt;0,COUNTIF(J2173,"*81*")&gt;0,COUNTIF(I2173,"82*")&gt;0,COUNTIF(J2173,"*82*")&gt;0,COUNTIF(I2173,"64*")&gt;0,COUNTIF(J2173,"*64*")&gt;0,COUNTIF(I2173,"65*")&gt;0,COUNTIF(J2173,"*65*")&gt;0,COUNTIF(I2173,"66*")&gt;0,COUNTIF(J2173,"*66*")&gt;0,COUNTIF(I2173,"61*")&gt;0,COUNTIF(J2173,"*61*")&gt;0,COUNTIF(I2173,"62*")&gt;0,COUNTIF(J2173,"*62*")&gt;0,COUNTIF(I2173,"63*")&gt;0,COUNTIF(J2173,"*63*")&gt;0,COUNTIF(I2173,"85*")&gt;0,COUNTIF(J2173,"*85*")&gt;0,COUNTIF(I2173,"86*")&gt;0,COUNTIF(J2173,"*86*")&gt;0),"Да","Нет"))</f>
        <v/>
      </c>
      <c r="M2173" s="13">
        <f>IF(OR(G2173="",L2173&lt;&gt;"Да"),"",IF(G2173&lt;=100,"До 100",IF(G2173&lt;=200,"До 200",IF(G2173&lt;=500,"До 500","Отдельное КП"))))</f>
        <v/>
      </c>
      <c r="N2173" s="15">
        <f>IF(OR(G2173="",L2173&lt;&gt;"Да"),"",IF(G2173&lt;=100,33600,IF(G2173&lt;=200,62400,IF(G2173&lt;=500,144000,""))))</f>
        <v/>
      </c>
      <c r="O2173" s="16">
        <f>IF(G2173="","",IF(G2173&lt;=15,"1–15",IF(G2173&lt;=30,"16–30",IF(G2173&lt;=50,"31–50",IF(G2173&lt;=100,"51–100",IF(G2173&lt;=150,"101–150",IF(G2173&lt;=200,"151–200",IF(G2173&lt;=500,"201–500","500+"))))))))</f>
        <v/>
      </c>
      <c r="P2173" s="16" t="inlineStr">
        <is>
          <t>Нет совпадения в предоставленной выгрузке ССЧР</t>
        </is>
      </c>
      <c r="Q2173" s="16" t="n"/>
      <c r="R2173" s="16">
        <f>HYPERLINK("https://checko.ru/search?query=3801001629","Чекко: проверить")</f>
        <v/>
      </c>
      <c r="S2173" t="n">
        <v>0</v>
      </c>
    </row>
    <row r="2174" ht="15" customHeight="1" s="24">
      <c r="A2174" s="13" t="n">
        <v>5000094679</v>
      </c>
      <c r="B2174" s="13" t="inlineStr">
        <is>
          <t>ГБУЗ "ЦРБ" Терского района</t>
        </is>
      </c>
      <c r="C2174" s="13" t="n">
        <v>705008249</v>
      </c>
      <c r="D2174" s="13" t="n"/>
      <c r="E2174" s="13" t="inlineStr">
        <is>
          <t>Не определён</t>
        </is>
      </c>
      <c r="F2174" s="13" t="inlineStr">
        <is>
          <t>705008249</t>
        </is>
      </c>
      <c r="G2174" s="14" t="n"/>
      <c r="H2174" s="14" t="n"/>
      <c r="I2174" s="14" t="n"/>
      <c r="J2174" s="14" t="n"/>
      <c r="K2174" s="13">
        <f>IF(G2174="","",IF(G2174&gt;=22,"Да","Нет"))</f>
        <v/>
      </c>
      <c r="L2174" s="13">
        <f>IF(OR(I2174="",J2174=""),"Не определено",IF(OR(COUNTIF(I2174,"45*")&gt;0,COUNTIF(J2174,"*45*")&gt;0,COUNTIF(I2174,"46*")&gt;0,COUNTIF(J2174,"*46*")&gt;0,COUNTIF(I2174,"47*")&gt;0,COUNTIF(J2174,"*47*")&gt;0,COUNTIF(I2174,"10*")&gt;0,COUNTIF(J2174,"*10*")&gt;0,COUNTIF(I2174,"11*")&gt;0,COUNTIF(J2174,"*11*")&gt;0,COUNTIF(I2174,"12*")&gt;0,COUNTIF(J2174,"*12*")&gt;0,COUNTIF(I2174,"13*")&gt;0,COUNTIF(J2174,"*13*")&gt;0,COUNTIF(I2174,"14*")&gt;0,COUNTIF(J2174,"*14*")&gt;0,COUNTIF(I2174,"15*")&gt;0,COUNTIF(J2174,"*15*")&gt;0,COUNTIF(I2174,"16*")&gt;0,COUNTIF(J2174,"*16*")&gt;0,COUNTIF(I2174,"17*")&gt;0,COUNTIF(J2174,"*17*")&gt;0,COUNTIF(I2174,"18*")&gt;0,COUNTIF(J2174,"*18*")&gt;0,COUNTIF(I2174,"19*")&gt;0,COUNTIF(J2174,"*19*")&gt;0,COUNTIF(I2174,"20*")&gt;0,COUNTIF(J2174,"*20*")&gt;0,COUNTIF(I2174,"21*")&gt;0,COUNTIF(J2174,"*21*")&gt;0,COUNTIF(I2174,"22*")&gt;0,COUNTIF(J2174,"*22*")&gt;0,COUNTIF(I2174,"23*")&gt;0,COUNTIF(J2174,"*23*")&gt;0,COUNTIF(I2174,"24*")&gt;0,COUNTIF(J2174,"*24*")&gt;0,COUNTIF(I2174,"25*")&gt;0,COUNTIF(J2174,"*25*")&gt;0,COUNTIF(I2174,"26*")&gt;0,COUNTIF(J2174,"*26*")&gt;0,COUNTIF(I2174,"27*")&gt;0,COUNTIF(J2174,"*27*")&gt;0,COUNTIF(I2174,"28*")&gt;0,COUNTIF(J2174,"*28*")&gt;0,COUNTIF(I2174,"29*")&gt;0,COUNTIF(J2174,"*29*")&gt;0,COUNTIF(I2174,"30*")&gt;0,COUNTIF(J2174,"*30*")&gt;0,COUNTIF(I2174,"31*")&gt;0,COUNTIF(J2174,"*31*")&gt;0,COUNTIF(I2174,"32*")&gt;0,COUNTIF(J2174,"*32*")&gt;0,COUNTIF(I2174,"33*")&gt;0,COUNTIF(J2174,"*33*")&gt;0,COUNTIF(I2174,"41*")&gt;0,COUNTIF(J2174,"*41*")&gt;0,COUNTIF(I2174,"42*")&gt;0,COUNTIF(J2174,"*42*")&gt;0,COUNTIF(I2174,"43*")&gt;0,COUNTIF(J2174,"*43*")&gt;0,COUNTIF(I2174,"49*")&gt;0,COUNTIF(J2174,"*49*")&gt;0,COUNTIF(I2174,"52*")&gt;0,COUNTIF(J2174,"*52*")&gt;0,COUNTIF(I2174,"55*")&gt;0,COUNTIF(J2174,"*55*")&gt;0,COUNTIF(I2174,"56*")&gt;0,COUNTIF(J2174,"*56*")&gt;0,COUNTIF(I2174,"68*")&gt;0,COUNTIF(J2174,"*68*")&gt;0,COUNTIF(I2174,"78*")&gt;0,COUNTIF(J2174,"*78*")&gt;0,COUNTIF(I2174,"81*")&gt;0,COUNTIF(J2174,"*81*")&gt;0,COUNTIF(I2174,"82*")&gt;0,COUNTIF(J2174,"*82*")&gt;0,COUNTIF(I2174,"64*")&gt;0,COUNTIF(J2174,"*64*")&gt;0,COUNTIF(I2174,"65*")&gt;0,COUNTIF(J2174,"*65*")&gt;0,COUNTIF(I2174,"66*")&gt;0,COUNTIF(J2174,"*66*")&gt;0,COUNTIF(I2174,"61*")&gt;0,COUNTIF(J2174,"*61*")&gt;0,COUNTIF(I2174,"62*")&gt;0,COUNTIF(J2174,"*62*")&gt;0,COUNTIF(I2174,"63*")&gt;0,COUNTIF(J2174,"*63*")&gt;0,COUNTIF(I2174,"85*")&gt;0,COUNTIF(J2174,"*85*")&gt;0,COUNTIF(I2174,"86*")&gt;0,COUNTIF(J2174,"*86*")&gt;0),"Да","Нет"))</f>
        <v/>
      </c>
      <c r="M2174" s="13">
        <f>IF(OR(G2174="",L2174&lt;&gt;"Да"),"",IF(G2174&lt;=100,"До 100",IF(G2174&lt;=200,"До 200",IF(G2174&lt;=500,"До 500","Отдельное КП"))))</f>
        <v/>
      </c>
      <c r="N2174" s="15">
        <f>IF(OR(G2174="",L2174&lt;&gt;"Да"),"",IF(G2174&lt;=100,33600,IF(G2174&lt;=200,62400,IF(G2174&lt;=500,144000,""))))</f>
        <v/>
      </c>
      <c r="O2174" s="16">
        <f>IF(G2174="","",IF(G2174&lt;=15,"1–15",IF(G2174&lt;=30,"16–30",IF(G2174&lt;=50,"31–50",IF(G2174&lt;=100,"51–100",IF(G2174&lt;=150,"101–150",IF(G2174&lt;=200,"151–200",IF(G2174&lt;=500,"201–500","500+"))))))))</f>
        <v/>
      </c>
      <c r="P2174" s="16" t="inlineStr">
        <is>
          <t>Нет совпадения в предоставленной выгрузке ССЧР</t>
        </is>
      </c>
      <c r="Q2174" s="16" t="n"/>
      <c r="R2174" s="16">
        <f>HYPERLINK("https://checko.ru/search?query=3801001629","Чекко: проверить")</f>
        <v/>
      </c>
      <c r="S2174" t="n">
        <v>0</v>
      </c>
    </row>
    <row r="2175" ht="27.75" customHeight="1" s="24">
      <c r="A2175" s="13" t="n">
        <v>5000094680</v>
      </c>
      <c r="B2175" s="13" t="inlineStr">
        <is>
          <t>МУК "СЕЛЬСКИЙ ДОМ КУЛЬТУРЫ С.П. ТАМБОВСКОЕ"</t>
        </is>
      </c>
      <c r="C2175" s="13" t="n">
        <v>705008418</v>
      </c>
      <c r="D2175" s="13" t="n"/>
      <c r="E2175" s="13" t="inlineStr">
        <is>
          <t>Не определён</t>
        </is>
      </c>
      <c r="F2175" s="13" t="inlineStr">
        <is>
          <t>705008418</t>
        </is>
      </c>
      <c r="G2175" s="14" t="n"/>
      <c r="H2175" s="14" t="n"/>
      <c r="I2175" s="14" t="n"/>
      <c r="J2175" s="14" t="n"/>
      <c r="K2175" s="13">
        <f>IF(G2175="","",IF(G2175&gt;=22,"Да","Нет"))</f>
        <v/>
      </c>
      <c r="L2175" s="13">
        <f>IF(OR(I2175="",J2175=""),"Не определено",IF(OR(COUNTIF(I2175,"45*")&gt;0,COUNTIF(J2175,"*45*")&gt;0,COUNTIF(I2175,"46*")&gt;0,COUNTIF(J2175,"*46*")&gt;0,COUNTIF(I2175,"47*")&gt;0,COUNTIF(J2175,"*47*")&gt;0,COUNTIF(I2175,"10*")&gt;0,COUNTIF(J2175,"*10*")&gt;0,COUNTIF(I2175,"11*")&gt;0,COUNTIF(J2175,"*11*")&gt;0,COUNTIF(I2175,"12*")&gt;0,COUNTIF(J2175,"*12*")&gt;0,COUNTIF(I2175,"13*")&gt;0,COUNTIF(J2175,"*13*")&gt;0,COUNTIF(I2175,"14*")&gt;0,COUNTIF(J2175,"*14*")&gt;0,COUNTIF(I2175,"15*")&gt;0,COUNTIF(J2175,"*15*")&gt;0,COUNTIF(I2175,"16*")&gt;0,COUNTIF(J2175,"*16*")&gt;0,COUNTIF(I2175,"17*")&gt;0,COUNTIF(J2175,"*17*")&gt;0,COUNTIF(I2175,"18*")&gt;0,COUNTIF(J2175,"*18*")&gt;0,COUNTIF(I2175,"19*")&gt;0,COUNTIF(J2175,"*19*")&gt;0,COUNTIF(I2175,"20*")&gt;0,COUNTIF(J2175,"*20*")&gt;0,COUNTIF(I2175,"21*")&gt;0,COUNTIF(J2175,"*21*")&gt;0,COUNTIF(I2175,"22*")&gt;0,COUNTIF(J2175,"*22*")&gt;0,COUNTIF(I2175,"23*")&gt;0,COUNTIF(J2175,"*23*")&gt;0,COUNTIF(I2175,"24*")&gt;0,COUNTIF(J2175,"*24*")&gt;0,COUNTIF(I2175,"25*")&gt;0,COUNTIF(J2175,"*25*")&gt;0,COUNTIF(I2175,"26*")&gt;0,COUNTIF(J2175,"*26*")&gt;0,COUNTIF(I2175,"27*")&gt;0,COUNTIF(J2175,"*27*")&gt;0,COUNTIF(I2175,"28*")&gt;0,COUNTIF(J2175,"*28*")&gt;0,COUNTIF(I2175,"29*")&gt;0,COUNTIF(J2175,"*29*")&gt;0,COUNTIF(I2175,"30*")&gt;0,COUNTIF(J2175,"*30*")&gt;0,COUNTIF(I2175,"31*")&gt;0,COUNTIF(J2175,"*31*")&gt;0,COUNTIF(I2175,"32*")&gt;0,COUNTIF(J2175,"*32*")&gt;0,COUNTIF(I2175,"33*")&gt;0,COUNTIF(J2175,"*33*")&gt;0,COUNTIF(I2175,"41*")&gt;0,COUNTIF(J2175,"*41*")&gt;0,COUNTIF(I2175,"42*")&gt;0,COUNTIF(J2175,"*42*")&gt;0,COUNTIF(I2175,"43*")&gt;0,COUNTIF(J2175,"*43*")&gt;0,COUNTIF(I2175,"49*")&gt;0,COUNTIF(J2175,"*49*")&gt;0,COUNTIF(I2175,"52*")&gt;0,COUNTIF(J2175,"*52*")&gt;0,COUNTIF(I2175,"55*")&gt;0,COUNTIF(J2175,"*55*")&gt;0,COUNTIF(I2175,"56*")&gt;0,COUNTIF(J2175,"*56*")&gt;0,COUNTIF(I2175,"68*")&gt;0,COUNTIF(J2175,"*68*")&gt;0,COUNTIF(I2175,"78*")&gt;0,COUNTIF(J2175,"*78*")&gt;0,COUNTIF(I2175,"81*")&gt;0,COUNTIF(J2175,"*81*")&gt;0,COUNTIF(I2175,"82*")&gt;0,COUNTIF(J2175,"*82*")&gt;0,COUNTIF(I2175,"64*")&gt;0,COUNTIF(J2175,"*64*")&gt;0,COUNTIF(I2175,"65*")&gt;0,COUNTIF(J2175,"*65*")&gt;0,COUNTIF(I2175,"66*")&gt;0,COUNTIF(J2175,"*66*")&gt;0,COUNTIF(I2175,"61*")&gt;0,COUNTIF(J2175,"*61*")&gt;0,COUNTIF(I2175,"62*")&gt;0,COUNTIF(J2175,"*62*")&gt;0,COUNTIF(I2175,"63*")&gt;0,COUNTIF(J2175,"*63*")&gt;0,COUNTIF(I2175,"85*")&gt;0,COUNTIF(J2175,"*85*")&gt;0,COUNTIF(I2175,"86*")&gt;0,COUNTIF(J2175,"*86*")&gt;0),"Да","Нет"))</f>
        <v/>
      </c>
      <c r="M2175" s="13">
        <f>IF(OR(G2175="",L2175&lt;&gt;"Да"),"",IF(G2175&lt;=100,"До 100",IF(G2175&lt;=200,"До 200",IF(G2175&lt;=500,"До 500","Отдельное КП"))))</f>
        <v/>
      </c>
      <c r="N2175" s="15">
        <f>IF(OR(G2175="",L2175&lt;&gt;"Да"),"",IF(G2175&lt;=100,33600,IF(G2175&lt;=200,62400,IF(G2175&lt;=500,144000,""))))</f>
        <v/>
      </c>
      <c r="O2175" s="16">
        <f>IF(G2175="","",IF(G2175&lt;=15,"1–15",IF(G2175&lt;=30,"16–30",IF(G2175&lt;=50,"31–50",IF(G2175&lt;=100,"51–100",IF(G2175&lt;=150,"101–150",IF(G2175&lt;=200,"151–200",IF(G2175&lt;=500,"201–500","500+"))))))))</f>
        <v/>
      </c>
      <c r="P2175" s="16" t="inlineStr">
        <is>
          <t>Нет совпадения в предоставленной выгрузке ССЧР</t>
        </is>
      </c>
      <c r="Q2175" s="16" t="n"/>
      <c r="R2175" s="16">
        <f>HYPERLINK("https://checko.ru/search?query=3801001629","Чекко: проверить")</f>
        <v/>
      </c>
      <c r="S2175" t="n">
        <v>0</v>
      </c>
    </row>
    <row r="2176" ht="15" customHeight="1" s="24">
      <c r="A2176" s="13" t="n">
        <v>5000094681</v>
      </c>
      <c r="B2176" s="13" t="inlineStr">
        <is>
          <t>МКУК "СДК С.П. НОВО-ХАМИДИЕ"</t>
        </is>
      </c>
      <c r="C2176" s="13" t="n">
        <v>705008432</v>
      </c>
      <c r="D2176" s="13" t="n"/>
      <c r="E2176" s="13" t="inlineStr">
        <is>
          <t>Не определён</t>
        </is>
      </c>
      <c r="F2176" s="13" t="inlineStr">
        <is>
          <t>705008432</t>
        </is>
      </c>
      <c r="G2176" s="14" t="n"/>
      <c r="H2176" s="14" t="n"/>
      <c r="I2176" s="14" t="n"/>
      <c r="J2176" s="14" t="n"/>
      <c r="K2176" s="13">
        <f>IF(G2176="","",IF(G2176&gt;=22,"Да","Нет"))</f>
        <v/>
      </c>
      <c r="L2176" s="13">
        <f>IF(OR(I2176="",J2176=""),"Не определено",IF(OR(COUNTIF(I2176,"45*")&gt;0,COUNTIF(J2176,"*45*")&gt;0,COUNTIF(I2176,"46*")&gt;0,COUNTIF(J2176,"*46*")&gt;0,COUNTIF(I2176,"47*")&gt;0,COUNTIF(J2176,"*47*")&gt;0,COUNTIF(I2176,"10*")&gt;0,COUNTIF(J2176,"*10*")&gt;0,COUNTIF(I2176,"11*")&gt;0,COUNTIF(J2176,"*11*")&gt;0,COUNTIF(I2176,"12*")&gt;0,COUNTIF(J2176,"*12*")&gt;0,COUNTIF(I2176,"13*")&gt;0,COUNTIF(J2176,"*13*")&gt;0,COUNTIF(I2176,"14*")&gt;0,COUNTIF(J2176,"*14*")&gt;0,COUNTIF(I2176,"15*")&gt;0,COUNTIF(J2176,"*15*")&gt;0,COUNTIF(I2176,"16*")&gt;0,COUNTIF(J2176,"*16*")&gt;0,COUNTIF(I2176,"17*")&gt;0,COUNTIF(J2176,"*17*")&gt;0,COUNTIF(I2176,"18*")&gt;0,COUNTIF(J2176,"*18*")&gt;0,COUNTIF(I2176,"19*")&gt;0,COUNTIF(J2176,"*19*")&gt;0,COUNTIF(I2176,"20*")&gt;0,COUNTIF(J2176,"*20*")&gt;0,COUNTIF(I2176,"21*")&gt;0,COUNTIF(J2176,"*21*")&gt;0,COUNTIF(I2176,"22*")&gt;0,COUNTIF(J2176,"*22*")&gt;0,COUNTIF(I2176,"23*")&gt;0,COUNTIF(J2176,"*23*")&gt;0,COUNTIF(I2176,"24*")&gt;0,COUNTIF(J2176,"*24*")&gt;0,COUNTIF(I2176,"25*")&gt;0,COUNTIF(J2176,"*25*")&gt;0,COUNTIF(I2176,"26*")&gt;0,COUNTIF(J2176,"*26*")&gt;0,COUNTIF(I2176,"27*")&gt;0,COUNTIF(J2176,"*27*")&gt;0,COUNTIF(I2176,"28*")&gt;0,COUNTIF(J2176,"*28*")&gt;0,COUNTIF(I2176,"29*")&gt;0,COUNTIF(J2176,"*29*")&gt;0,COUNTIF(I2176,"30*")&gt;0,COUNTIF(J2176,"*30*")&gt;0,COUNTIF(I2176,"31*")&gt;0,COUNTIF(J2176,"*31*")&gt;0,COUNTIF(I2176,"32*")&gt;0,COUNTIF(J2176,"*32*")&gt;0,COUNTIF(I2176,"33*")&gt;0,COUNTIF(J2176,"*33*")&gt;0,COUNTIF(I2176,"41*")&gt;0,COUNTIF(J2176,"*41*")&gt;0,COUNTIF(I2176,"42*")&gt;0,COUNTIF(J2176,"*42*")&gt;0,COUNTIF(I2176,"43*")&gt;0,COUNTIF(J2176,"*43*")&gt;0,COUNTIF(I2176,"49*")&gt;0,COUNTIF(J2176,"*49*")&gt;0,COUNTIF(I2176,"52*")&gt;0,COUNTIF(J2176,"*52*")&gt;0,COUNTIF(I2176,"55*")&gt;0,COUNTIF(J2176,"*55*")&gt;0,COUNTIF(I2176,"56*")&gt;0,COUNTIF(J2176,"*56*")&gt;0,COUNTIF(I2176,"68*")&gt;0,COUNTIF(J2176,"*68*")&gt;0,COUNTIF(I2176,"78*")&gt;0,COUNTIF(J2176,"*78*")&gt;0,COUNTIF(I2176,"81*")&gt;0,COUNTIF(J2176,"*81*")&gt;0,COUNTIF(I2176,"82*")&gt;0,COUNTIF(J2176,"*82*")&gt;0,COUNTIF(I2176,"64*")&gt;0,COUNTIF(J2176,"*64*")&gt;0,COUNTIF(I2176,"65*")&gt;0,COUNTIF(J2176,"*65*")&gt;0,COUNTIF(I2176,"66*")&gt;0,COUNTIF(J2176,"*66*")&gt;0,COUNTIF(I2176,"61*")&gt;0,COUNTIF(J2176,"*61*")&gt;0,COUNTIF(I2176,"62*")&gt;0,COUNTIF(J2176,"*62*")&gt;0,COUNTIF(I2176,"63*")&gt;0,COUNTIF(J2176,"*63*")&gt;0,COUNTIF(I2176,"85*")&gt;0,COUNTIF(J2176,"*85*")&gt;0,COUNTIF(I2176,"86*")&gt;0,COUNTIF(J2176,"*86*")&gt;0),"Да","Нет"))</f>
        <v/>
      </c>
      <c r="M2176" s="13">
        <f>IF(OR(G2176="",L2176&lt;&gt;"Да"),"",IF(G2176&lt;=100,"До 100",IF(G2176&lt;=200,"До 200",IF(G2176&lt;=500,"До 500","Отдельное КП"))))</f>
        <v/>
      </c>
      <c r="N2176" s="15">
        <f>IF(OR(G2176="",L2176&lt;&gt;"Да"),"",IF(G2176&lt;=100,33600,IF(G2176&lt;=200,62400,IF(G2176&lt;=500,144000,""))))</f>
        <v/>
      </c>
      <c r="O2176" s="16">
        <f>IF(G2176="","",IF(G2176&lt;=15,"1–15",IF(G2176&lt;=30,"16–30",IF(G2176&lt;=50,"31–50",IF(G2176&lt;=100,"51–100",IF(G2176&lt;=150,"101–150",IF(G2176&lt;=200,"151–200",IF(G2176&lt;=500,"201–500","500+"))))))))</f>
        <v/>
      </c>
      <c r="P2176" s="16" t="inlineStr">
        <is>
          <t>Нет совпадения в предоставленной выгрузке ССЧР</t>
        </is>
      </c>
      <c r="Q2176" s="16" t="n"/>
      <c r="R2176" s="16">
        <f>HYPERLINK("https://checko.ru/search?query=3801001629","Чекко: проверить")</f>
        <v/>
      </c>
      <c r="S2176" t="n">
        <v>0</v>
      </c>
    </row>
    <row r="2177" ht="15" customHeight="1" s="24">
      <c r="A2177" s="13" t="n">
        <v>5000094682</v>
      </c>
      <c r="B2177" s="13" t="inlineStr">
        <is>
          <t>МКУК "РДК"</t>
        </is>
      </c>
      <c r="C2177" s="13" t="n">
        <v>705008471</v>
      </c>
      <c r="D2177" s="13" t="n"/>
      <c r="E2177" s="13" t="inlineStr">
        <is>
          <t>Не определён</t>
        </is>
      </c>
      <c r="F2177" s="13" t="inlineStr">
        <is>
          <t>705008471</t>
        </is>
      </c>
      <c r="G2177" s="14" t="n"/>
      <c r="H2177" s="14" t="n"/>
      <c r="I2177" s="14" t="n"/>
      <c r="J2177" s="14" t="n"/>
      <c r="K2177" s="13">
        <f>IF(G2177="","",IF(G2177&gt;=22,"Да","Нет"))</f>
        <v/>
      </c>
      <c r="L2177" s="13">
        <f>IF(OR(I2177="",J2177=""),"Не определено",IF(OR(COUNTIF(I2177,"45*")&gt;0,COUNTIF(J2177,"*45*")&gt;0,COUNTIF(I2177,"46*")&gt;0,COUNTIF(J2177,"*46*")&gt;0,COUNTIF(I2177,"47*")&gt;0,COUNTIF(J2177,"*47*")&gt;0,COUNTIF(I2177,"10*")&gt;0,COUNTIF(J2177,"*10*")&gt;0,COUNTIF(I2177,"11*")&gt;0,COUNTIF(J2177,"*11*")&gt;0,COUNTIF(I2177,"12*")&gt;0,COUNTIF(J2177,"*12*")&gt;0,COUNTIF(I2177,"13*")&gt;0,COUNTIF(J2177,"*13*")&gt;0,COUNTIF(I2177,"14*")&gt;0,COUNTIF(J2177,"*14*")&gt;0,COUNTIF(I2177,"15*")&gt;0,COUNTIF(J2177,"*15*")&gt;0,COUNTIF(I2177,"16*")&gt;0,COUNTIF(J2177,"*16*")&gt;0,COUNTIF(I2177,"17*")&gt;0,COUNTIF(J2177,"*17*")&gt;0,COUNTIF(I2177,"18*")&gt;0,COUNTIF(J2177,"*18*")&gt;0,COUNTIF(I2177,"19*")&gt;0,COUNTIF(J2177,"*19*")&gt;0,COUNTIF(I2177,"20*")&gt;0,COUNTIF(J2177,"*20*")&gt;0,COUNTIF(I2177,"21*")&gt;0,COUNTIF(J2177,"*21*")&gt;0,COUNTIF(I2177,"22*")&gt;0,COUNTIF(J2177,"*22*")&gt;0,COUNTIF(I2177,"23*")&gt;0,COUNTIF(J2177,"*23*")&gt;0,COUNTIF(I2177,"24*")&gt;0,COUNTIF(J2177,"*24*")&gt;0,COUNTIF(I2177,"25*")&gt;0,COUNTIF(J2177,"*25*")&gt;0,COUNTIF(I2177,"26*")&gt;0,COUNTIF(J2177,"*26*")&gt;0,COUNTIF(I2177,"27*")&gt;0,COUNTIF(J2177,"*27*")&gt;0,COUNTIF(I2177,"28*")&gt;0,COUNTIF(J2177,"*28*")&gt;0,COUNTIF(I2177,"29*")&gt;0,COUNTIF(J2177,"*29*")&gt;0,COUNTIF(I2177,"30*")&gt;0,COUNTIF(J2177,"*30*")&gt;0,COUNTIF(I2177,"31*")&gt;0,COUNTIF(J2177,"*31*")&gt;0,COUNTIF(I2177,"32*")&gt;0,COUNTIF(J2177,"*32*")&gt;0,COUNTIF(I2177,"33*")&gt;0,COUNTIF(J2177,"*33*")&gt;0,COUNTIF(I2177,"41*")&gt;0,COUNTIF(J2177,"*41*")&gt;0,COUNTIF(I2177,"42*")&gt;0,COUNTIF(J2177,"*42*")&gt;0,COUNTIF(I2177,"43*")&gt;0,COUNTIF(J2177,"*43*")&gt;0,COUNTIF(I2177,"49*")&gt;0,COUNTIF(J2177,"*49*")&gt;0,COUNTIF(I2177,"52*")&gt;0,COUNTIF(J2177,"*52*")&gt;0,COUNTIF(I2177,"55*")&gt;0,COUNTIF(J2177,"*55*")&gt;0,COUNTIF(I2177,"56*")&gt;0,COUNTIF(J2177,"*56*")&gt;0,COUNTIF(I2177,"68*")&gt;0,COUNTIF(J2177,"*68*")&gt;0,COUNTIF(I2177,"78*")&gt;0,COUNTIF(J2177,"*78*")&gt;0,COUNTIF(I2177,"81*")&gt;0,COUNTIF(J2177,"*81*")&gt;0,COUNTIF(I2177,"82*")&gt;0,COUNTIF(J2177,"*82*")&gt;0,COUNTIF(I2177,"64*")&gt;0,COUNTIF(J2177,"*64*")&gt;0,COUNTIF(I2177,"65*")&gt;0,COUNTIF(J2177,"*65*")&gt;0,COUNTIF(I2177,"66*")&gt;0,COUNTIF(J2177,"*66*")&gt;0,COUNTIF(I2177,"61*")&gt;0,COUNTIF(J2177,"*61*")&gt;0,COUNTIF(I2177,"62*")&gt;0,COUNTIF(J2177,"*62*")&gt;0,COUNTIF(I2177,"63*")&gt;0,COUNTIF(J2177,"*63*")&gt;0,COUNTIF(I2177,"85*")&gt;0,COUNTIF(J2177,"*85*")&gt;0,COUNTIF(I2177,"86*")&gt;0,COUNTIF(J2177,"*86*")&gt;0),"Да","Нет"))</f>
        <v/>
      </c>
      <c r="M2177" s="13">
        <f>IF(OR(G2177="",L2177&lt;&gt;"Да"),"",IF(G2177&lt;=100,"До 100",IF(G2177&lt;=200,"До 200",IF(G2177&lt;=500,"До 500","Отдельное КП"))))</f>
        <v/>
      </c>
      <c r="N2177" s="15">
        <f>IF(OR(G2177="",L2177&lt;&gt;"Да"),"",IF(G2177&lt;=100,33600,IF(G2177&lt;=200,62400,IF(G2177&lt;=500,144000,""))))</f>
        <v/>
      </c>
      <c r="O2177" s="16">
        <f>IF(G2177="","",IF(G2177&lt;=15,"1–15",IF(G2177&lt;=30,"16–30",IF(G2177&lt;=50,"31–50",IF(G2177&lt;=100,"51–100",IF(G2177&lt;=150,"101–150",IF(G2177&lt;=200,"151–200",IF(G2177&lt;=500,"201–500","500+"))))))))</f>
        <v/>
      </c>
      <c r="P2177" s="16" t="inlineStr">
        <is>
          <t>Нет совпадения в предоставленной выгрузке ССЧР</t>
        </is>
      </c>
      <c r="Q2177" s="16" t="n"/>
      <c r="R2177" s="16">
        <f>HYPERLINK("https://checko.ru/search?query=3801001629","Чекко: проверить")</f>
        <v/>
      </c>
      <c r="S2177" t="n">
        <v>0</v>
      </c>
    </row>
    <row r="2178" ht="27.75" customHeight="1" s="24">
      <c r="A2178" s="13" t="n">
        <v>5000094683</v>
      </c>
      <c r="B2178" s="13" t="inlineStr">
        <is>
          <t>МКУК "СЕЛЬСКИЙ ДОМ КУЛЬТУРЫ С. ПЛАНОВСКОЕ"</t>
        </is>
      </c>
      <c r="C2178" s="13" t="n">
        <v>705008489</v>
      </c>
      <c r="D2178" s="13" t="n"/>
      <c r="E2178" s="13" t="inlineStr">
        <is>
          <t>Не определён</t>
        </is>
      </c>
      <c r="F2178" s="13" t="inlineStr">
        <is>
          <t>705008489</t>
        </is>
      </c>
      <c r="G2178" s="14" t="n"/>
      <c r="H2178" s="14" t="n"/>
      <c r="I2178" s="14" t="n"/>
      <c r="J2178" s="14" t="n"/>
      <c r="K2178" s="13">
        <f>IF(G2178="","",IF(G2178&gt;=22,"Да","Нет"))</f>
        <v/>
      </c>
      <c r="L2178" s="13">
        <f>IF(OR(I2178="",J2178=""),"Не определено",IF(OR(COUNTIF(I2178,"45*")&gt;0,COUNTIF(J2178,"*45*")&gt;0,COUNTIF(I2178,"46*")&gt;0,COUNTIF(J2178,"*46*")&gt;0,COUNTIF(I2178,"47*")&gt;0,COUNTIF(J2178,"*47*")&gt;0,COUNTIF(I2178,"10*")&gt;0,COUNTIF(J2178,"*10*")&gt;0,COUNTIF(I2178,"11*")&gt;0,COUNTIF(J2178,"*11*")&gt;0,COUNTIF(I2178,"12*")&gt;0,COUNTIF(J2178,"*12*")&gt;0,COUNTIF(I2178,"13*")&gt;0,COUNTIF(J2178,"*13*")&gt;0,COUNTIF(I2178,"14*")&gt;0,COUNTIF(J2178,"*14*")&gt;0,COUNTIF(I2178,"15*")&gt;0,COUNTIF(J2178,"*15*")&gt;0,COUNTIF(I2178,"16*")&gt;0,COUNTIF(J2178,"*16*")&gt;0,COUNTIF(I2178,"17*")&gt;0,COUNTIF(J2178,"*17*")&gt;0,COUNTIF(I2178,"18*")&gt;0,COUNTIF(J2178,"*18*")&gt;0,COUNTIF(I2178,"19*")&gt;0,COUNTIF(J2178,"*19*")&gt;0,COUNTIF(I2178,"20*")&gt;0,COUNTIF(J2178,"*20*")&gt;0,COUNTIF(I2178,"21*")&gt;0,COUNTIF(J2178,"*21*")&gt;0,COUNTIF(I2178,"22*")&gt;0,COUNTIF(J2178,"*22*")&gt;0,COUNTIF(I2178,"23*")&gt;0,COUNTIF(J2178,"*23*")&gt;0,COUNTIF(I2178,"24*")&gt;0,COUNTIF(J2178,"*24*")&gt;0,COUNTIF(I2178,"25*")&gt;0,COUNTIF(J2178,"*25*")&gt;0,COUNTIF(I2178,"26*")&gt;0,COUNTIF(J2178,"*26*")&gt;0,COUNTIF(I2178,"27*")&gt;0,COUNTIF(J2178,"*27*")&gt;0,COUNTIF(I2178,"28*")&gt;0,COUNTIF(J2178,"*28*")&gt;0,COUNTIF(I2178,"29*")&gt;0,COUNTIF(J2178,"*29*")&gt;0,COUNTIF(I2178,"30*")&gt;0,COUNTIF(J2178,"*30*")&gt;0,COUNTIF(I2178,"31*")&gt;0,COUNTIF(J2178,"*31*")&gt;0,COUNTIF(I2178,"32*")&gt;0,COUNTIF(J2178,"*32*")&gt;0,COUNTIF(I2178,"33*")&gt;0,COUNTIF(J2178,"*33*")&gt;0,COUNTIF(I2178,"41*")&gt;0,COUNTIF(J2178,"*41*")&gt;0,COUNTIF(I2178,"42*")&gt;0,COUNTIF(J2178,"*42*")&gt;0,COUNTIF(I2178,"43*")&gt;0,COUNTIF(J2178,"*43*")&gt;0,COUNTIF(I2178,"49*")&gt;0,COUNTIF(J2178,"*49*")&gt;0,COUNTIF(I2178,"52*")&gt;0,COUNTIF(J2178,"*52*")&gt;0,COUNTIF(I2178,"55*")&gt;0,COUNTIF(J2178,"*55*")&gt;0,COUNTIF(I2178,"56*")&gt;0,COUNTIF(J2178,"*56*")&gt;0,COUNTIF(I2178,"68*")&gt;0,COUNTIF(J2178,"*68*")&gt;0,COUNTIF(I2178,"78*")&gt;0,COUNTIF(J2178,"*78*")&gt;0,COUNTIF(I2178,"81*")&gt;0,COUNTIF(J2178,"*81*")&gt;0,COUNTIF(I2178,"82*")&gt;0,COUNTIF(J2178,"*82*")&gt;0,COUNTIF(I2178,"64*")&gt;0,COUNTIF(J2178,"*64*")&gt;0,COUNTIF(I2178,"65*")&gt;0,COUNTIF(J2178,"*65*")&gt;0,COUNTIF(I2178,"66*")&gt;0,COUNTIF(J2178,"*66*")&gt;0,COUNTIF(I2178,"61*")&gt;0,COUNTIF(J2178,"*61*")&gt;0,COUNTIF(I2178,"62*")&gt;0,COUNTIF(J2178,"*62*")&gt;0,COUNTIF(I2178,"63*")&gt;0,COUNTIF(J2178,"*63*")&gt;0,COUNTIF(I2178,"85*")&gt;0,COUNTIF(J2178,"*85*")&gt;0,COUNTIF(I2178,"86*")&gt;0,COUNTIF(J2178,"*86*")&gt;0),"Да","Нет"))</f>
        <v/>
      </c>
      <c r="M2178" s="13">
        <f>IF(OR(G2178="",L2178&lt;&gt;"Да"),"",IF(G2178&lt;=100,"До 100",IF(G2178&lt;=200,"До 200",IF(G2178&lt;=500,"До 500","Отдельное КП"))))</f>
        <v/>
      </c>
      <c r="N2178" s="15">
        <f>IF(OR(G2178="",L2178&lt;&gt;"Да"),"",IF(G2178&lt;=100,33600,IF(G2178&lt;=200,62400,IF(G2178&lt;=500,144000,""))))</f>
        <v/>
      </c>
      <c r="O2178" s="16">
        <f>IF(G2178="","",IF(G2178&lt;=15,"1–15",IF(G2178&lt;=30,"16–30",IF(G2178&lt;=50,"31–50",IF(G2178&lt;=100,"51–100",IF(G2178&lt;=150,"101–150",IF(G2178&lt;=200,"151–200",IF(G2178&lt;=500,"201–500","500+"))))))))</f>
        <v/>
      </c>
      <c r="P2178" s="16" t="inlineStr">
        <is>
          <t>Нет совпадения в предоставленной выгрузке ССЧР</t>
        </is>
      </c>
      <c r="Q2178" s="16" t="n"/>
      <c r="R2178" s="16">
        <f>HYPERLINK("https://checko.ru/search?query=3801001629","Чекко: проверить")</f>
        <v/>
      </c>
      <c r="S2178" t="n">
        <v>0</v>
      </c>
    </row>
    <row r="2179" ht="15" customHeight="1" s="24">
      <c r="A2179" s="13" t="n">
        <v>5000094684</v>
      </c>
      <c r="B2179" s="13" t="inlineStr">
        <is>
          <t>МКУК "СДК С.П. УРОЖАЙНОЕ"</t>
        </is>
      </c>
      <c r="C2179" s="13" t="n">
        <v>705008538</v>
      </c>
      <c r="D2179" s="13" t="n"/>
      <c r="E2179" s="13" t="inlineStr">
        <is>
          <t>Не определён</t>
        </is>
      </c>
      <c r="F2179" s="13" t="inlineStr">
        <is>
          <t>705008538</t>
        </is>
      </c>
      <c r="G2179" s="14" t="n"/>
      <c r="H2179" s="14" t="n"/>
      <c r="I2179" s="14" t="n"/>
      <c r="J2179" s="14" t="n"/>
      <c r="K2179" s="13">
        <f>IF(G2179="","",IF(G2179&gt;=22,"Да","Нет"))</f>
        <v/>
      </c>
      <c r="L2179" s="13">
        <f>IF(OR(I2179="",J2179=""),"Не определено",IF(OR(COUNTIF(I2179,"45*")&gt;0,COUNTIF(J2179,"*45*")&gt;0,COUNTIF(I2179,"46*")&gt;0,COUNTIF(J2179,"*46*")&gt;0,COUNTIF(I2179,"47*")&gt;0,COUNTIF(J2179,"*47*")&gt;0,COUNTIF(I2179,"10*")&gt;0,COUNTIF(J2179,"*10*")&gt;0,COUNTIF(I2179,"11*")&gt;0,COUNTIF(J2179,"*11*")&gt;0,COUNTIF(I2179,"12*")&gt;0,COUNTIF(J2179,"*12*")&gt;0,COUNTIF(I2179,"13*")&gt;0,COUNTIF(J2179,"*13*")&gt;0,COUNTIF(I2179,"14*")&gt;0,COUNTIF(J2179,"*14*")&gt;0,COUNTIF(I2179,"15*")&gt;0,COUNTIF(J2179,"*15*")&gt;0,COUNTIF(I2179,"16*")&gt;0,COUNTIF(J2179,"*16*")&gt;0,COUNTIF(I2179,"17*")&gt;0,COUNTIF(J2179,"*17*")&gt;0,COUNTIF(I2179,"18*")&gt;0,COUNTIF(J2179,"*18*")&gt;0,COUNTIF(I2179,"19*")&gt;0,COUNTIF(J2179,"*19*")&gt;0,COUNTIF(I2179,"20*")&gt;0,COUNTIF(J2179,"*20*")&gt;0,COUNTIF(I2179,"21*")&gt;0,COUNTIF(J2179,"*21*")&gt;0,COUNTIF(I2179,"22*")&gt;0,COUNTIF(J2179,"*22*")&gt;0,COUNTIF(I2179,"23*")&gt;0,COUNTIF(J2179,"*23*")&gt;0,COUNTIF(I2179,"24*")&gt;0,COUNTIF(J2179,"*24*")&gt;0,COUNTIF(I2179,"25*")&gt;0,COUNTIF(J2179,"*25*")&gt;0,COUNTIF(I2179,"26*")&gt;0,COUNTIF(J2179,"*26*")&gt;0,COUNTIF(I2179,"27*")&gt;0,COUNTIF(J2179,"*27*")&gt;0,COUNTIF(I2179,"28*")&gt;0,COUNTIF(J2179,"*28*")&gt;0,COUNTIF(I2179,"29*")&gt;0,COUNTIF(J2179,"*29*")&gt;0,COUNTIF(I2179,"30*")&gt;0,COUNTIF(J2179,"*30*")&gt;0,COUNTIF(I2179,"31*")&gt;0,COUNTIF(J2179,"*31*")&gt;0,COUNTIF(I2179,"32*")&gt;0,COUNTIF(J2179,"*32*")&gt;0,COUNTIF(I2179,"33*")&gt;0,COUNTIF(J2179,"*33*")&gt;0,COUNTIF(I2179,"41*")&gt;0,COUNTIF(J2179,"*41*")&gt;0,COUNTIF(I2179,"42*")&gt;0,COUNTIF(J2179,"*42*")&gt;0,COUNTIF(I2179,"43*")&gt;0,COUNTIF(J2179,"*43*")&gt;0,COUNTIF(I2179,"49*")&gt;0,COUNTIF(J2179,"*49*")&gt;0,COUNTIF(I2179,"52*")&gt;0,COUNTIF(J2179,"*52*")&gt;0,COUNTIF(I2179,"55*")&gt;0,COUNTIF(J2179,"*55*")&gt;0,COUNTIF(I2179,"56*")&gt;0,COUNTIF(J2179,"*56*")&gt;0,COUNTIF(I2179,"68*")&gt;0,COUNTIF(J2179,"*68*")&gt;0,COUNTIF(I2179,"78*")&gt;0,COUNTIF(J2179,"*78*")&gt;0,COUNTIF(I2179,"81*")&gt;0,COUNTIF(J2179,"*81*")&gt;0,COUNTIF(I2179,"82*")&gt;0,COUNTIF(J2179,"*82*")&gt;0,COUNTIF(I2179,"64*")&gt;0,COUNTIF(J2179,"*64*")&gt;0,COUNTIF(I2179,"65*")&gt;0,COUNTIF(J2179,"*65*")&gt;0,COUNTIF(I2179,"66*")&gt;0,COUNTIF(J2179,"*66*")&gt;0,COUNTIF(I2179,"61*")&gt;0,COUNTIF(J2179,"*61*")&gt;0,COUNTIF(I2179,"62*")&gt;0,COUNTIF(J2179,"*62*")&gt;0,COUNTIF(I2179,"63*")&gt;0,COUNTIF(J2179,"*63*")&gt;0,COUNTIF(I2179,"85*")&gt;0,COUNTIF(J2179,"*85*")&gt;0,COUNTIF(I2179,"86*")&gt;0,COUNTIF(J2179,"*86*")&gt;0),"Да","Нет"))</f>
        <v/>
      </c>
      <c r="M2179" s="13">
        <f>IF(OR(G2179="",L2179&lt;&gt;"Да"),"",IF(G2179&lt;=100,"До 100",IF(G2179&lt;=200,"До 200",IF(G2179&lt;=500,"До 500","Отдельное КП"))))</f>
        <v/>
      </c>
      <c r="N2179" s="15">
        <f>IF(OR(G2179="",L2179&lt;&gt;"Да"),"",IF(G2179&lt;=100,33600,IF(G2179&lt;=200,62400,IF(G2179&lt;=500,144000,""))))</f>
        <v/>
      </c>
      <c r="O2179" s="16">
        <f>IF(G2179="","",IF(G2179&lt;=15,"1–15",IF(G2179&lt;=30,"16–30",IF(G2179&lt;=50,"31–50",IF(G2179&lt;=100,"51–100",IF(G2179&lt;=150,"101–150",IF(G2179&lt;=200,"151–200",IF(G2179&lt;=500,"201–500","500+"))))))))</f>
        <v/>
      </c>
      <c r="P2179" s="16" t="inlineStr">
        <is>
          <t>Нет совпадения в предоставленной выгрузке ССЧР</t>
        </is>
      </c>
      <c r="Q2179" s="16" t="n"/>
      <c r="R2179" s="16">
        <f>HYPERLINK("https://checko.ru/search?query=3801001629","Чекко: проверить")</f>
        <v/>
      </c>
      <c r="S2179" t="n">
        <v>0</v>
      </c>
    </row>
    <row r="2180" ht="15" customHeight="1" s="24">
      <c r="A2180" s="13" t="n">
        <v>5000094685</v>
      </c>
      <c r="B2180" s="13" t="inlineStr">
        <is>
          <t>МКУК "СДК С.П. ИНАРКОЙ"</t>
        </is>
      </c>
      <c r="C2180" s="13" t="n">
        <v>705008545</v>
      </c>
      <c r="D2180" s="13" t="n"/>
      <c r="E2180" s="13" t="inlineStr">
        <is>
          <t>Не определён</t>
        </is>
      </c>
      <c r="F2180" s="13" t="inlineStr">
        <is>
          <t>705008545</t>
        </is>
      </c>
      <c r="G2180" s="14" t="n"/>
      <c r="H2180" s="14" t="n"/>
      <c r="I2180" s="14" t="n"/>
      <c r="J2180" s="14" t="n"/>
      <c r="K2180" s="13">
        <f>IF(G2180="","",IF(G2180&gt;=22,"Да","Нет"))</f>
        <v/>
      </c>
      <c r="L2180" s="13">
        <f>IF(OR(I2180="",J2180=""),"Не определено",IF(OR(COUNTIF(I2180,"45*")&gt;0,COUNTIF(J2180,"*45*")&gt;0,COUNTIF(I2180,"46*")&gt;0,COUNTIF(J2180,"*46*")&gt;0,COUNTIF(I2180,"47*")&gt;0,COUNTIF(J2180,"*47*")&gt;0,COUNTIF(I2180,"10*")&gt;0,COUNTIF(J2180,"*10*")&gt;0,COUNTIF(I2180,"11*")&gt;0,COUNTIF(J2180,"*11*")&gt;0,COUNTIF(I2180,"12*")&gt;0,COUNTIF(J2180,"*12*")&gt;0,COUNTIF(I2180,"13*")&gt;0,COUNTIF(J2180,"*13*")&gt;0,COUNTIF(I2180,"14*")&gt;0,COUNTIF(J2180,"*14*")&gt;0,COUNTIF(I2180,"15*")&gt;0,COUNTIF(J2180,"*15*")&gt;0,COUNTIF(I2180,"16*")&gt;0,COUNTIF(J2180,"*16*")&gt;0,COUNTIF(I2180,"17*")&gt;0,COUNTIF(J2180,"*17*")&gt;0,COUNTIF(I2180,"18*")&gt;0,COUNTIF(J2180,"*18*")&gt;0,COUNTIF(I2180,"19*")&gt;0,COUNTIF(J2180,"*19*")&gt;0,COUNTIF(I2180,"20*")&gt;0,COUNTIF(J2180,"*20*")&gt;0,COUNTIF(I2180,"21*")&gt;0,COUNTIF(J2180,"*21*")&gt;0,COUNTIF(I2180,"22*")&gt;0,COUNTIF(J2180,"*22*")&gt;0,COUNTIF(I2180,"23*")&gt;0,COUNTIF(J2180,"*23*")&gt;0,COUNTIF(I2180,"24*")&gt;0,COUNTIF(J2180,"*24*")&gt;0,COUNTIF(I2180,"25*")&gt;0,COUNTIF(J2180,"*25*")&gt;0,COUNTIF(I2180,"26*")&gt;0,COUNTIF(J2180,"*26*")&gt;0,COUNTIF(I2180,"27*")&gt;0,COUNTIF(J2180,"*27*")&gt;0,COUNTIF(I2180,"28*")&gt;0,COUNTIF(J2180,"*28*")&gt;0,COUNTIF(I2180,"29*")&gt;0,COUNTIF(J2180,"*29*")&gt;0,COUNTIF(I2180,"30*")&gt;0,COUNTIF(J2180,"*30*")&gt;0,COUNTIF(I2180,"31*")&gt;0,COUNTIF(J2180,"*31*")&gt;0,COUNTIF(I2180,"32*")&gt;0,COUNTIF(J2180,"*32*")&gt;0,COUNTIF(I2180,"33*")&gt;0,COUNTIF(J2180,"*33*")&gt;0,COUNTIF(I2180,"41*")&gt;0,COUNTIF(J2180,"*41*")&gt;0,COUNTIF(I2180,"42*")&gt;0,COUNTIF(J2180,"*42*")&gt;0,COUNTIF(I2180,"43*")&gt;0,COUNTIF(J2180,"*43*")&gt;0,COUNTIF(I2180,"49*")&gt;0,COUNTIF(J2180,"*49*")&gt;0,COUNTIF(I2180,"52*")&gt;0,COUNTIF(J2180,"*52*")&gt;0,COUNTIF(I2180,"55*")&gt;0,COUNTIF(J2180,"*55*")&gt;0,COUNTIF(I2180,"56*")&gt;0,COUNTIF(J2180,"*56*")&gt;0,COUNTIF(I2180,"68*")&gt;0,COUNTIF(J2180,"*68*")&gt;0,COUNTIF(I2180,"78*")&gt;0,COUNTIF(J2180,"*78*")&gt;0,COUNTIF(I2180,"81*")&gt;0,COUNTIF(J2180,"*81*")&gt;0,COUNTIF(I2180,"82*")&gt;0,COUNTIF(J2180,"*82*")&gt;0,COUNTIF(I2180,"64*")&gt;0,COUNTIF(J2180,"*64*")&gt;0,COUNTIF(I2180,"65*")&gt;0,COUNTIF(J2180,"*65*")&gt;0,COUNTIF(I2180,"66*")&gt;0,COUNTIF(J2180,"*66*")&gt;0,COUNTIF(I2180,"61*")&gt;0,COUNTIF(J2180,"*61*")&gt;0,COUNTIF(I2180,"62*")&gt;0,COUNTIF(J2180,"*62*")&gt;0,COUNTIF(I2180,"63*")&gt;0,COUNTIF(J2180,"*63*")&gt;0,COUNTIF(I2180,"85*")&gt;0,COUNTIF(J2180,"*85*")&gt;0,COUNTIF(I2180,"86*")&gt;0,COUNTIF(J2180,"*86*")&gt;0),"Да","Нет"))</f>
        <v/>
      </c>
      <c r="M2180" s="13">
        <f>IF(OR(G2180="",L2180&lt;&gt;"Да"),"",IF(G2180&lt;=100,"До 100",IF(G2180&lt;=200,"До 200",IF(G2180&lt;=500,"До 500","Отдельное КП"))))</f>
        <v/>
      </c>
      <c r="N2180" s="15">
        <f>IF(OR(G2180="",L2180&lt;&gt;"Да"),"",IF(G2180&lt;=100,33600,IF(G2180&lt;=200,62400,IF(G2180&lt;=500,144000,""))))</f>
        <v/>
      </c>
      <c r="O2180" s="16">
        <f>IF(G2180="","",IF(G2180&lt;=15,"1–15",IF(G2180&lt;=30,"16–30",IF(G2180&lt;=50,"31–50",IF(G2180&lt;=100,"51–100",IF(G2180&lt;=150,"101–150",IF(G2180&lt;=200,"151–200",IF(G2180&lt;=500,"201–500","500+"))))))))</f>
        <v/>
      </c>
      <c r="P2180" s="16" t="inlineStr">
        <is>
          <t>Нет совпадения в предоставленной выгрузке ССЧР</t>
        </is>
      </c>
      <c r="Q2180" s="16" t="n"/>
      <c r="R2180" s="16">
        <f>HYPERLINK("https://checko.ru/search?query=3801001629","Чекко: проверить")</f>
        <v/>
      </c>
      <c r="S2180" t="n">
        <v>0</v>
      </c>
    </row>
    <row r="2181" ht="15" customHeight="1" s="24">
      <c r="A2181" s="13" t="n">
        <v>5000094686</v>
      </c>
      <c r="B2181" s="13" t="inlineStr">
        <is>
          <t>МУК "СЕЛЬСКИЙ ДОМ КУЛЬТУРЫ С.П. В-АКБАШ"</t>
        </is>
      </c>
      <c r="C2181" s="13" t="n">
        <v>705008552</v>
      </c>
      <c r="D2181" s="13" t="n"/>
      <c r="E2181" s="13" t="inlineStr">
        <is>
          <t>Не определён</t>
        </is>
      </c>
      <c r="F2181" s="13" t="inlineStr">
        <is>
          <t>705008552</t>
        </is>
      </c>
      <c r="G2181" s="14" t="n"/>
      <c r="H2181" s="14" t="n"/>
      <c r="I2181" s="14" t="n"/>
      <c r="J2181" s="14" t="n"/>
      <c r="K2181" s="13">
        <f>IF(G2181="","",IF(G2181&gt;=22,"Да","Нет"))</f>
        <v/>
      </c>
      <c r="L2181" s="13">
        <f>IF(OR(I2181="",J2181=""),"Не определено",IF(OR(COUNTIF(I2181,"45*")&gt;0,COUNTIF(J2181,"*45*")&gt;0,COUNTIF(I2181,"46*")&gt;0,COUNTIF(J2181,"*46*")&gt;0,COUNTIF(I2181,"47*")&gt;0,COUNTIF(J2181,"*47*")&gt;0,COUNTIF(I2181,"10*")&gt;0,COUNTIF(J2181,"*10*")&gt;0,COUNTIF(I2181,"11*")&gt;0,COUNTIF(J2181,"*11*")&gt;0,COUNTIF(I2181,"12*")&gt;0,COUNTIF(J2181,"*12*")&gt;0,COUNTIF(I2181,"13*")&gt;0,COUNTIF(J2181,"*13*")&gt;0,COUNTIF(I2181,"14*")&gt;0,COUNTIF(J2181,"*14*")&gt;0,COUNTIF(I2181,"15*")&gt;0,COUNTIF(J2181,"*15*")&gt;0,COUNTIF(I2181,"16*")&gt;0,COUNTIF(J2181,"*16*")&gt;0,COUNTIF(I2181,"17*")&gt;0,COUNTIF(J2181,"*17*")&gt;0,COUNTIF(I2181,"18*")&gt;0,COUNTIF(J2181,"*18*")&gt;0,COUNTIF(I2181,"19*")&gt;0,COUNTIF(J2181,"*19*")&gt;0,COUNTIF(I2181,"20*")&gt;0,COUNTIF(J2181,"*20*")&gt;0,COUNTIF(I2181,"21*")&gt;0,COUNTIF(J2181,"*21*")&gt;0,COUNTIF(I2181,"22*")&gt;0,COUNTIF(J2181,"*22*")&gt;0,COUNTIF(I2181,"23*")&gt;0,COUNTIF(J2181,"*23*")&gt;0,COUNTIF(I2181,"24*")&gt;0,COUNTIF(J2181,"*24*")&gt;0,COUNTIF(I2181,"25*")&gt;0,COUNTIF(J2181,"*25*")&gt;0,COUNTIF(I2181,"26*")&gt;0,COUNTIF(J2181,"*26*")&gt;0,COUNTIF(I2181,"27*")&gt;0,COUNTIF(J2181,"*27*")&gt;0,COUNTIF(I2181,"28*")&gt;0,COUNTIF(J2181,"*28*")&gt;0,COUNTIF(I2181,"29*")&gt;0,COUNTIF(J2181,"*29*")&gt;0,COUNTIF(I2181,"30*")&gt;0,COUNTIF(J2181,"*30*")&gt;0,COUNTIF(I2181,"31*")&gt;0,COUNTIF(J2181,"*31*")&gt;0,COUNTIF(I2181,"32*")&gt;0,COUNTIF(J2181,"*32*")&gt;0,COUNTIF(I2181,"33*")&gt;0,COUNTIF(J2181,"*33*")&gt;0,COUNTIF(I2181,"41*")&gt;0,COUNTIF(J2181,"*41*")&gt;0,COUNTIF(I2181,"42*")&gt;0,COUNTIF(J2181,"*42*")&gt;0,COUNTIF(I2181,"43*")&gt;0,COUNTIF(J2181,"*43*")&gt;0,COUNTIF(I2181,"49*")&gt;0,COUNTIF(J2181,"*49*")&gt;0,COUNTIF(I2181,"52*")&gt;0,COUNTIF(J2181,"*52*")&gt;0,COUNTIF(I2181,"55*")&gt;0,COUNTIF(J2181,"*55*")&gt;0,COUNTIF(I2181,"56*")&gt;0,COUNTIF(J2181,"*56*")&gt;0,COUNTIF(I2181,"68*")&gt;0,COUNTIF(J2181,"*68*")&gt;0,COUNTIF(I2181,"78*")&gt;0,COUNTIF(J2181,"*78*")&gt;0,COUNTIF(I2181,"81*")&gt;0,COUNTIF(J2181,"*81*")&gt;0,COUNTIF(I2181,"82*")&gt;0,COUNTIF(J2181,"*82*")&gt;0,COUNTIF(I2181,"64*")&gt;0,COUNTIF(J2181,"*64*")&gt;0,COUNTIF(I2181,"65*")&gt;0,COUNTIF(J2181,"*65*")&gt;0,COUNTIF(I2181,"66*")&gt;0,COUNTIF(J2181,"*66*")&gt;0,COUNTIF(I2181,"61*")&gt;0,COUNTIF(J2181,"*61*")&gt;0,COUNTIF(I2181,"62*")&gt;0,COUNTIF(J2181,"*62*")&gt;0,COUNTIF(I2181,"63*")&gt;0,COUNTIF(J2181,"*63*")&gt;0,COUNTIF(I2181,"85*")&gt;0,COUNTIF(J2181,"*85*")&gt;0,COUNTIF(I2181,"86*")&gt;0,COUNTIF(J2181,"*86*")&gt;0),"Да","Нет"))</f>
        <v/>
      </c>
      <c r="M2181" s="13">
        <f>IF(OR(G2181="",L2181&lt;&gt;"Да"),"",IF(G2181&lt;=100,"До 100",IF(G2181&lt;=200,"До 200",IF(G2181&lt;=500,"До 500","Отдельное КП"))))</f>
        <v/>
      </c>
      <c r="N2181" s="15">
        <f>IF(OR(G2181="",L2181&lt;&gt;"Да"),"",IF(G2181&lt;=100,33600,IF(G2181&lt;=200,62400,IF(G2181&lt;=500,144000,""))))</f>
        <v/>
      </c>
      <c r="O2181" s="16">
        <f>IF(G2181="","",IF(G2181&lt;=15,"1–15",IF(G2181&lt;=30,"16–30",IF(G2181&lt;=50,"31–50",IF(G2181&lt;=100,"51–100",IF(G2181&lt;=150,"101–150",IF(G2181&lt;=200,"151–200",IF(G2181&lt;=500,"201–500","500+"))))))))</f>
        <v/>
      </c>
      <c r="P2181" s="16" t="inlineStr">
        <is>
          <t>Нет совпадения в предоставленной выгрузке ССЧР</t>
        </is>
      </c>
      <c r="Q2181" s="16" t="n"/>
      <c r="R2181" s="16">
        <f>HYPERLINK("https://checko.ru/search?query=3801001629","Чекко: проверить")</f>
        <v/>
      </c>
      <c r="S2181" t="n">
        <v>0</v>
      </c>
    </row>
    <row r="2182" ht="15" customHeight="1" s="24">
      <c r="A2182" s="13" t="n">
        <v>5000094688</v>
      </c>
      <c r="B2182" s="13" t="inlineStr">
        <is>
          <t>МКУК "СДК С.П. ДЖУЛАТ"</t>
        </is>
      </c>
      <c r="C2182" s="13" t="n">
        <v>705008665</v>
      </c>
      <c r="D2182" s="13" t="n"/>
      <c r="E2182" s="13" t="inlineStr">
        <is>
          <t>Не определён</t>
        </is>
      </c>
      <c r="F2182" s="13" t="inlineStr">
        <is>
          <t>705008665</t>
        </is>
      </c>
      <c r="G2182" s="14" t="n"/>
      <c r="H2182" s="14" t="n"/>
      <c r="I2182" s="14" t="n"/>
      <c r="J2182" s="14" t="n"/>
      <c r="K2182" s="13">
        <f>IF(G2182="","",IF(G2182&gt;=22,"Да","Нет"))</f>
        <v/>
      </c>
      <c r="L2182" s="13">
        <f>IF(OR(I2182="",J2182=""),"Не определено",IF(OR(COUNTIF(I2182,"45*")&gt;0,COUNTIF(J2182,"*45*")&gt;0,COUNTIF(I2182,"46*")&gt;0,COUNTIF(J2182,"*46*")&gt;0,COUNTIF(I2182,"47*")&gt;0,COUNTIF(J2182,"*47*")&gt;0,COUNTIF(I2182,"10*")&gt;0,COUNTIF(J2182,"*10*")&gt;0,COUNTIF(I2182,"11*")&gt;0,COUNTIF(J2182,"*11*")&gt;0,COUNTIF(I2182,"12*")&gt;0,COUNTIF(J2182,"*12*")&gt;0,COUNTIF(I2182,"13*")&gt;0,COUNTIF(J2182,"*13*")&gt;0,COUNTIF(I2182,"14*")&gt;0,COUNTIF(J2182,"*14*")&gt;0,COUNTIF(I2182,"15*")&gt;0,COUNTIF(J2182,"*15*")&gt;0,COUNTIF(I2182,"16*")&gt;0,COUNTIF(J2182,"*16*")&gt;0,COUNTIF(I2182,"17*")&gt;0,COUNTIF(J2182,"*17*")&gt;0,COUNTIF(I2182,"18*")&gt;0,COUNTIF(J2182,"*18*")&gt;0,COUNTIF(I2182,"19*")&gt;0,COUNTIF(J2182,"*19*")&gt;0,COUNTIF(I2182,"20*")&gt;0,COUNTIF(J2182,"*20*")&gt;0,COUNTIF(I2182,"21*")&gt;0,COUNTIF(J2182,"*21*")&gt;0,COUNTIF(I2182,"22*")&gt;0,COUNTIF(J2182,"*22*")&gt;0,COUNTIF(I2182,"23*")&gt;0,COUNTIF(J2182,"*23*")&gt;0,COUNTIF(I2182,"24*")&gt;0,COUNTIF(J2182,"*24*")&gt;0,COUNTIF(I2182,"25*")&gt;0,COUNTIF(J2182,"*25*")&gt;0,COUNTIF(I2182,"26*")&gt;0,COUNTIF(J2182,"*26*")&gt;0,COUNTIF(I2182,"27*")&gt;0,COUNTIF(J2182,"*27*")&gt;0,COUNTIF(I2182,"28*")&gt;0,COUNTIF(J2182,"*28*")&gt;0,COUNTIF(I2182,"29*")&gt;0,COUNTIF(J2182,"*29*")&gt;0,COUNTIF(I2182,"30*")&gt;0,COUNTIF(J2182,"*30*")&gt;0,COUNTIF(I2182,"31*")&gt;0,COUNTIF(J2182,"*31*")&gt;0,COUNTIF(I2182,"32*")&gt;0,COUNTIF(J2182,"*32*")&gt;0,COUNTIF(I2182,"33*")&gt;0,COUNTIF(J2182,"*33*")&gt;0,COUNTIF(I2182,"41*")&gt;0,COUNTIF(J2182,"*41*")&gt;0,COUNTIF(I2182,"42*")&gt;0,COUNTIF(J2182,"*42*")&gt;0,COUNTIF(I2182,"43*")&gt;0,COUNTIF(J2182,"*43*")&gt;0,COUNTIF(I2182,"49*")&gt;0,COUNTIF(J2182,"*49*")&gt;0,COUNTIF(I2182,"52*")&gt;0,COUNTIF(J2182,"*52*")&gt;0,COUNTIF(I2182,"55*")&gt;0,COUNTIF(J2182,"*55*")&gt;0,COUNTIF(I2182,"56*")&gt;0,COUNTIF(J2182,"*56*")&gt;0,COUNTIF(I2182,"68*")&gt;0,COUNTIF(J2182,"*68*")&gt;0,COUNTIF(I2182,"78*")&gt;0,COUNTIF(J2182,"*78*")&gt;0,COUNTIF(I2182,"81*")&gt;0,COUNTIF(J2182,"*81*")&gt;0,COUNTIF(I2182,"82*")&gt;0,COUNTIF(J2182,"*82*")&gt;0,COUNTIF(I2182,"64*")&gt;0,COUNTIF(J2182,"*64*")&gt;0,COUNTIF(I2182,"65*")&gt;0,COUNTIF(J2182,"*65*")&gt;0,COUNTIF(I2182,"66*")&gt;0,COUNTIF(J2182,"*66*")&gt;0,COUNTIF(I2182,"61*")&gt;0,COUNTIF(J2182,"*61*")&gt;0,COUNTIF(I2182,"62*")&gt;0,COUNTIF(J2182,"*62*")&gt;0,COUNTIF(I2182,"63*")&gt;0,COUNTIF(J2182,"*63*")&gt;0,COUNTIF(I2182,"85*")&gt;0,COUNTIF(J2182,"*85*")&gt;0,COUNTIF(I2182,"86*")&gt;0,COUNTIF(J2182,"*86*")&gt;0),"Да","Нет"))</f>
        <v/>
      </c>
      <c r="M2182" s="13">
        <f>IF(OR(G2182="",L2182&lt;&gt;"Да"),"",IF(G2182&lt;=100,"До 100",IF(G2182&lt;=200,"До 200",IF(G2182&lt;=500,"До 500","Отдельное КП"))))</f>
        <v/>
      </c>
      <c r="N2182" s="15">
        <f>IF(OR(G2182="",L2182&lt;&gt;"Да"),"",IF(G2182&lt;=100,33600,IF(G2182&lt;=200,62400,IF(G2182&lt;=500,144000,""))))</f>
        <v/>
      </c>
      <c r="O2182" s="16">
        <f>IF(G2182="","",IF(G2182&lt;=15,"1–15",IF(G2182&lt;=30,"16–30",IF(G2182&lt;=50,"31–50",IF(G2182&lt;=100,"51–100",IF(G2182&lt;=150,"101–150",IF(G2182&lt;=200,"151–200",IF(G2182&lt;=500,"201–500","500+"))))))))</f>
        <v/>
      </c>
      <c r="P2182" s="16" t="inlineStr">
        <is>
          <t>Нет совпадения в предоставленной выгрузке ССЧР</t>
        </is>
      </c>
      <c r="Q2182" s="16" t="n"/>
      <c r="R2182" s="16">
        <f>HYPERLINK("https://checko.ru/search?query=3801001629","Чекко: проверить")</f>
        <v/>
      </c>
      <c r="S2182" t="n">
        <v>0</v>
      </c>
    </row>
    <row r="2183" ht="15" customHeight="1" s="24">
      <c r="A2183" s="13" t="n">
        <v>5000094689</v>
      </c>
      <c r="B2183" s="13" t="inlineStr">
        <is>
          <t>МКУ "СК "Терек Олимп""</t>
        </is>
      </c>
      <c r="C2183" s="13" t="n">
        <v>705008753</v>
      </c>
      <c r="D2183" s="13" t="n"/>
      <c r="E2183" s="13" t="inlineStr">
        <is>
          <t>Не определён</t>
        </is>
      </c>
      <c r="F2183" s="13" t="inlineStr">
        <is>
          <t>705008753</t>
        </is>
      </c>
      <c r="G2183" s="14" t="n"/>
      <c r="H2183" s="14" t="n"/>
      <c r="I2183" s="14" t="n"/>
      <c r="J2183" s="14" t="n"/>
      <c r="K2183" s="13">
        <f>IF(G2183="","",IF(G2183&gt;=22,"Да","Нет"))</f>
        <v/>
      </c>
      <c r="L2183" s="13">
        <f>IF(OR(I2183="",J2183=""),"Не определено",IF(OR(COUNTIF(I2183,"45*")&gt;0,COUNTIF(J2183,"*45*")&gt;0,COUNTIF(I2183,"46*")&gt;0,COUNTIF(J2183,"*46*")&gt;0,COUNTIF(I2183,"47*")&gt;0,COUNTIF(J2183,"*47*")&gt;0,COUNTIF(I2183,"10*")&gt;0,COUNTIF(J2183,"*10*")&gt;0,COUNTIF(I2183,"11*")&gt;0,COUNTIF(J2183,"*11*")&gt;0,COUNTIF(I2183,"12*")&gt;0,COUNTIF(J2183,"*12*")&gt;0,COUNTIF(I2183,"13*")&gt;0,COUNTIF(J2183,"*13*")&gt;0,COUNTIF(I2183,"14*")&gt;0,COUNTIF(J2183,"*14*")&gt;0,COUNTIF(I2183,"15*")&gt;0,COUNTIF(J2183,"*15*")&gt;0,COUNTIF(I2183,"16*")&gt;0,COUNTIF(J2183,"*16*")&gt;0,COUNTIF(I2183,"17*")&gt;0,COUNTIF(J2183,"*17*")&gt;0,COUNTIF(I2183,"18*")&gt;0,COUNTIF(J2183,"*18*")&gt;0,COUNTIF(I2183,"19*")&gt;0,COUNTIF(J2183,"*19*")&gt;0,COUNTIF(I2183,"20*")&gt;0,COUNTIF(J2183,"*20*")&gt;0,COUNTIF(I2183,"21*")&gt;0,COUNTIF(J2183,"*21*")&gt;0,COUNTIF(I2183,"22*")&gt;0,COUNTIF(J2183,"*22*")&gt;0,COUNTIF(I2183,"23*")&gt;0,COUNTIF(J2183,"*23*")&gt;0,COUNTIF(I2183,"24*")&gt;0,COUNTIF(J2183,"*24*")&gt;0,COUNTIF(I2183,"25*")&gt;0,COUNTIF(J2183,"*25*")&gt;0,COUNTIF(I2183,"26*")&gt;0,COUNTIF(J2183,"*26*")&gt;0,COUNTIF(I2183,"27*")&gt;0,COUNTIF(J2183,"*27*")&gt;0,COUNTIF(I2183,"28*")&gt;0,COUNTIF(J2183,"*28*")&gt;0,COUNTIF(I2183,"29*")&gt;0,COUNTIF(J2183,"*29*")&gt;0,COUNTIF(I2183,"30*")&gt;0,COUNTIF(J2183,"*30*")&gt;0,COUNTIF(I2183,"31*")&gt;0,COUNTIF(J2183,"*31*")&gt;0,COUNTIF(I2183,"32*")&gt;0,COUNTIF(J2183,"*32*")&gt;0,COUNTIF(I2183,"33*")&gt;0,COUNTIF(J2183,"*33*")&gt;0,COUNTIF(I2183,"41*")&gt;0,COUNTIF(J2183,"*41*")&gt;0,COUNTIF(I2183,"42*")&gt;0,COUNTIF(J2183,"*42*")&gt;0,COUNTIF(I2183,"43*")&gt;0,COUNTIF(J2183,"*43*")&gt;0,COUNTIF(I2183,"49*")&gt;0,COUNTIF(J2183,"*49*")&gt;0,COUNTIF(I2183,"52*")&gt;0,COUNTIF(J2183,"*52*")&gt;0,COUNTIF(I2183,"55*")&gt;0,COUNTIF(J2183,"*55*")&gt;0,COUNTIF(I2183,"56*")&gt;0,COUNTIF(J2183,"*56*")&gt;0,COUNTIF(I2183,"68*")&gt;0,COUNTIF(J2183,"*68*")&gt;0,COUNTIF(I2183,"78*")&gt;0,COUNTIF(J2183,"*78*")&gt;0,COUNTIF(I2183,"81*")&gt;0,COUNTIF(J2183,"*81*")&gt;0,COUNTIF(I2183,"82*")&gt;0,COUNTIF(J2183,"*82*")&gt;0,COUNTIF(I2183,"64*")&gt;0,COUNTIF(J2183,"*64*")&gt;0,COUNTIF(I2183,"65*")&gt;0,COUNTIF(J2183,"*65*")&gt;0,COUNTIF(I2183,"66*")&gt;0,COUNTIF(J2183,"*66*")&gt;0,COUNTIF(I2183,"61*")&gt;0,COUNTIF(J2183,"*61*")&gt;0,COUNTIF(I2183,"62*")&gt;0,COUNTIF(J2183,"*62*")&gt;0,COUNTIF(I2183,"63*")&gt;0,COUNTIF(J2183,"*63*")&gt;0,COUNTIF(I2183,"85*")&gt;0,COUNTIF(J2183,"*85*")&gt;0,COUNTIF(I2183,"86*")&gt;0,COUNTIF(J2183,"*86*")&gt;0),"Да","Нет"))</f>
        <v/>
      </c>
      <c r="M2183" s="13">
        <f>IF(OR(G2183="",L2183&lt;&gt;"Да"),"",IF(G2183&lt;=100,"До 100",IF(G2183&lt;=200,"До 200",IF(G2183&lt;=500,"До 500","Отдельное КП"))))</f>
        <v/>
      </c>
      <c r="N2183" s="15">
        <f>IF(OR(G2183="",L2183&lt;&gt;"Да"),"",IF(G2183&lt;=100,33600,IF(G2183&lt;=200,62400,IF(G2183&lt;=500,144000,""))))</f>
        <v/>
      </c>
      <c r="O2183" s="16">
        <f>IF(G2183="","",IF(G2183&lt;=15,"1–15",IF(G2183&lt;=30,"16–30",IF(G2183&lt;=50,"31–50",IF(G2183&lt;=100,"51–100",IF(G2183&lt;=150,"101–150",IF(G2183&lt;=200,"151–200",IF(G2183&lt;=500,"201–500","500+"))))))))</f>
        <v/>
      </c>
      <c r="P2183" s="16" t="inlineStr">
        <is>
          <t>Нет совпадения в предоставленной выгрузке ССЧР</t>
        </is>
      </c>
      <c r="Q2183" s="16" t="n"/>
      <c r="R2183" s="16">
        <f>HYPERLINK("https://checko.ru/search?query=3801001629","Чекко: проверить")</f>
        <v/>
      </c>
      <c r="S2183" t="n">
        <v>0</v>
      </c>
    </row>
    <row r="2184" ht="15" customHeight="1" s="24">
      <c r="A2184" s="13" t="n">
        <v>5000094690</v>
      </c>
      <c r="B2184" s="13" t="inlineStr">
        <is>
          <t>СОВЕТ МСУ ТЕРСКОГО РАЙОНА</t>
        </is>
      </c>
      <c r="C2184" s="13" t="n">
        <v>705008792</v>
      </c>
      <c r="D2184" s="13" t="n"/>
      <c r="E2184" s="13" t="inlineStr">
        <is>
          <t>Не определён</t>
        </is>
      </c>
      <c r="F2184" s="13" t="inlineStr">
        <is>
          <t>705008792</t>
        </is>
      </c>
      <c r="G2184" s="14" t="n"/>
      <c r="H2184" s="14" t="n"/>
      <c r="I2184" s="14" t="n"/>
      <c r="J2184" s="14" t="n"/>
      <c r="K2184" s="13">
        <f>IF(G2184="","",IF(G2184&gt;=22,"Да","Нет"))</f>
        <v/>
      </c>
      <c r="L2184" s="13">
        <f>IF(OR(I2184="",J2184=""),"Не определено",IF(OR(COUNTIF(I2184,"45*")&gt;0,COUNTIF(J2184,"*45*")&gt;0,COUNTIF(I2184,"46*")&gt;0,COUNTIF(J2184,"*46*")&gt;0,COUNTIF(I2184,"47*")&gt;0,COUNTIF(J2184,"*47*")&gt;0,COUNTIF(I2184,"10*")&gt;0,COUNTIF(J2184,"*10*")&gt;0,COUNTIF(I2184,"11*")&gt;0,COUNTIF(J2184,"*11*")&gt;0,COUNTIF(I2184,"12*")&gt;0,COUNTIF(J2184,"*12*")&gt;0,COUNTIF(I2184,"13*")&gt;0,COUNTIF(J2184,"*13*")&gt;0,COUNTIF(I2184,"14*")&gt;0,COUNTIF(J2184,"*14*")&gt;0,COUNTIF(I2184,"15*")&gt;0,COUNTIF(J2184,"*15*")&gt;0,COUNTIF(I2184,"16*")&gt;0,COUNTIF(J2184,"*16*")&gt;0,COUNTIF(I2184,"17*")&gt;0,COUNTIF(J2184,"*17*")&gt;0,COUNTIF(I2184,"18*")&gt;0,COUNTIF(J2184,"*18*")&gt;0,COUNTIF(I2184,"19*")&gt;0,COUNTIF(J2184,"*19*")&gt;0,COUNTIF(I2184,"20*")&gt;0,COUNTIF(J2184,"*20*")&gt;0,COUNTIF(I2184,"21*")&gt;0,COUNTIF(J2184,"*21*")&gt;0,COUNTIF(I2184,"22*")&gt;0,COUNTIF(J2184,"*22*")&gt;0,COUNTIF(I2184,"23*")&gt;0,COUNTIF(J2184,"*23*")&gt;0,COUNTIF(I2184,"24*")&gt;0,COUNTIF(J2184,"*24*")&gt;0,COUNTIF(I2184,"25*")&gt;0,COUNTIF(J2184,"*25*")&gt;0,COUNTIF(I2184,"26*")&gt;0,COUNTIF(J2184,"*26*")&gt;0,COUNTIF(I2184,"27*")&gt;0,COUNTIF(J2184,"*27*")&gt;0,COUNTIF(I2184,"28*")&gt;0,COUNTIF(J2184,"*28*")&gt;0,COUNTIF(I2184,"29*")&gt;0,COUNTIF(J2184,"*29*")&gt;0,COUNTIF(I2184,"30*")&gt;0,COUNTIF(J2184,"*30*")&gt;0,COUNTIF(I2184,"31*")&gt;0,COUNTIF(J2184,"*31*")&gt;0,COUNTIF(I2184,"32*")&gt;0,COUNTIF(J2184,"*32*")&gt;0,COUNTIF(I2184,"33*")&gt;0,COUNTIF(J2184,"*33*")&gt;0,COUNTIF(I2184,"41*")&gt;0,COUNTIF(J2184,"*41*")&gt;0,COUNTIF(I2184,"42*")&gt;0,COUNTIF(J2184,"*42*")&gt;0,COUNTIF(I2184,"43*")&gt;0,COUNTIF(J2184,"*43*")&gt;0,COUNTIF(I2184,"49*")&gt;0,COUNTIF(J2184,"*49*")&gt;0,COUNTIF(I2184,"52*")&gt;0,COUNTIF(J2184,"*52*")&gt;0,COUNTIF(I2184,"55*")&gt;0,COUNTIF(J2184,"*55*")&gt;0,COUNTIF(I2184,"56*")&gt;0,COUNTIF(J2184,"*56*")&gt;0,COUNTIF(I2184,"68*")&gt;0,COUNTIF(J2184,"*68*")&gt;0,COUNTIF(I2184,"78*")&gt;0,COUNTIF(J2184,"*78*")&gt;0,COUNTIF(I2184,"81*")&gt;0,COUNTIF(J2184,"*81*")&gt;0,COUNTIF(I2184,"82*")&gt;0,COUNTIF(J2184,"*82*")&gt;0,COUNTIF(I2184,"64*")&gt;0,COUNTIF(J2184,"*64*")&gt;0,COUNTIF(I2184,"65*")&gt;0,COUNTIF(J2184,"*65*")&gt;0,COUNTIF(I2184,"66*")&gt;0,COUNTIF(J2184,"*66*")&gt;0,COUNTIF(I2184,"61*")&gt;0,COUNTIF(J2184,"*61*")&gt;0,COUNTIF(I2184,"62*")&gt;0,COUNTIF(J2184,"*62*")&gt;0,COUNTIF(I2184,"63*")&gt;0,COUNTIF(J2184,"*63*")&gt;0,COUNTIF(I2184,"85*")&gt;0,COUNTIF(J2184,"*85*")&gt;0,COUNTIF(I2184,"86*")&gt;0,COUNTIF(J2184,"*86*")&gt;0),"Да","Нет"))</f>
        <v/>
      </c>
      <c r="M2184" s="13">
        <f>IF(OR(G2184="",L2184&lt;&gt;"Да"),"",IF(G2184&lt;=100,"До 100",IF(G2184&lt;=200,"До 200",IF(G2184&lt;=500,"До 500","Отдельное КП"))))</f>
        <v/>
      </c>
      <c r="N2184" s="15">
        <f>IF(OR(G2184="",L2184&lt;&gt;"Да"),"",IF(G2184&lt;=100,33600,IF(G2184&lt;=200,62400,IF(G2184&lt;=500,144000,""))))</f>
        <v/>
      </c>
      <c r="O2184" s="16">
        <f>IF(G2184="","",IF(G2184&lt;=15,"1–15",IF(G2184&lt;=30,"16–30",IF(G2184&lt;=50,"31–50",IF(G2184&lt;=100,"51–100",IF(G2184&lt;=150,"101–150",IF(G2184&lt;=200,"151–200",IF(G2184&lt;=500,"201–500","500+"))))))))</f>
        <v/>
      </c>
      <c r="P2184" s="16" t="inlineStr">
        <is>
          <t>Нет совпадения в предоставленной выгрузке ССЧР</t>
        </is>
      </c>
      <c r="Q2184" s="16" t="n"/>
      <c r="R2184" s="16">
        <f>HYPERLINK("https://checko.ru/search?query=3801001629","Чекко: проверить")</f>
        <v/>
      </c>
      <c r="S2184" t="n">
        <v>0</v>
      </c>
    </row>
    <row r="2185" ht="15" customHeight="1" s="24">
      <c r="A2185" s="13" t="n">
        <v>5000094691</v>
      </c>
      <c r="B2185" s="13" t="inlineStr">
        <is>
          <t>КСП ТМР КБР</t>
        </is>
      </c>
      <c r="C2185" s="13" t="n">
        <v>705008802</v>
      </c>
      <c r="D2185" s="13" t="n"/>
      <c r="E2185" s="13" t="inlineStr">
        <is>
          <t>Не определён</t>
        </is>
      </c>
      <c r="F2185" s="13" t="inlineStr">
        <is>
          <t>705008802</t>
        </is>
      </c>
      <c r="G2185" s="14" t="n"/>
      <c r="H2185" s="14" t="n"/>
      <c r="I2185" s="14" t="n"/>
      <c r="J2185" s="14" t="n"/>
      <c r="K2185" s="13">
        <f>IF(G2185="","",IF(G2185&gt;=22,"Да","Нет"))</f>
        <v/>
      </c>
      <c r="L2185" s="13">
        <f>IF(OR(I2185="",J2185=""),"Не определено",IF(OR(COUNTIF(I2185,"45*")&gt;0,COUNTIF(J2185,"*45*")&gt;0,COUNTIF(I2185,"46*")&gt;0,COUNTIF(J2185,"*46*")&gt;0,COUNTIF(I2185,"47*")&gt;0,COUNTIF(J2185,"*47*")&gt;0,COUNTIF(I2185,"10*")&gt;0,COUNTIF(J2185,"*10*")&gt;0,COUNTIF(I2185,"11*")&gt;0,COUNTIF(J2185,"*11*")&gt;0,COUNTIF(I2185,"12*")&gt;0,COUNTIF(J2185,"*12*")&gt;0,COUNTIF(I2185,"13*")&gt;0,COUNTIF(J2185,"*13*")&gt;0,COUNTIF(I2185,"14*")&gt;0,COUNTIF(J2185,"*14*")&gt;0,COUNTIF(I2185,"15*")&gt;0,COUNTIF(J2185,"*15*")&gt;0,COUNTIF(I2185,"16*")&gt;0,COUNTIF(J2185,"*16*")&gt;0,COUNTIF(I2185,"17*")&gt;0,COUNTIF(J2185,"*17*")&gt;0,COUNTIF(I2185,"18*")&gt;0,COUNTIF(J2185,"*18*")&gt;0,COUNTIF(I2185,"19*")&gt;0,COUNTIF(J2185,"*19*")&gt;0,COUNTIF(I2185,"20*")&gt;0,COUNTIF(J2185,"*20*")&gt;0,COUNTIF(I2185,"21*")&gt;0,COUNTIF(J2185,"*21*")&gt;0,COUNTIF(I2185,"22*")&gt;0,COUNTIF(J2185,"*22*")&gt;0,COUNTIF(I2185,"23*")&gt;0,COUNTIF(J2185,"*23*")&gt;0,COUNTIF(I2185,"24*")&gt;0,COUNTIF(J2185,"*24*")&gt;0,COUNTIF(I2185,"25*")&gt;0,COUNTIF(J2185,"*25*")&gt;0,COUNTIF(I2185,"26*")&gt;0,COUNTIF(J2185,"*26*")&gt;0,COUNTIF(I2185,"27*")&gt;0,COUNTIF(J2185,"*27*")&gt;0,COUNTIF(I2185,"28*")&gt;0,COUNTIF(J2185,"*28*")&gt;0,COUNTIF(I2185,"29*")&gt;0,COUNTIF(J2185,"*29*")&gt;0,COUNTIF(I2185,"30*")&gt;0,COUNTIF(J2185,"*30*")&gt;0,COUNTIF(I2185,"31*")&gt;0,COUNTIF(J2185,"*31*")&gt;0,COUNTIF(I2185,"32*")&gt;0,COUNTIF(J2185,"*32*")&gt;0,COUNTIF(I2185,"33*")&gt;0,COUNTIF(J2185,"*33*")&gt;0,COUNTIF(I2185,"41*")&gt;0,COUNTIF(J2185,"*41*")&gt;0,COUNTIF(I2185,"42*")&gt;0,COUNTIF(J2185,"*42*")&gt;0,COUNTIF(I2185,"43*")&gt;0,COUNTIF(J2185,"*43*")&gt;0,COUNTIF(I2185,"49*")&gt;0,COUNTIF(J2185,"*49*")&gt;0,COUNTIF(I2185,"52*")&gt;0,COUNTIF(J2185,"*52*")&gt;0,COUNTIF(I2185,"55*")&gt;0,COUNTIF(J2185,"*55*")&gt;0,COUNTIF(I2185,"56*")&gt;0,COUNTIF(J2185,"*56*")&gt;0,COUNTIF(I2185,"68*")&gt;0,COUNTIF(J2185,"*68*")&gt;0,COUNTIF(I2185,"78*")&gt;0,COUNTIF(J2185,"*78*")&gt;0,COUNTIF(I2185,"81*")&gt;0,COUNTIF(J2185,"*81*")&gt;0,COUNTIF(I2185,"82*")&gt;0,COUNTIF(J2185,"*82*")&gt;0,COUNTIF(I2185,"64*")&gt;0,COUNTIF(J2185,"*64*")&gt;0,COUNTIF(I2185,"65*")&gt;0,COUNTIF(J2185,"*65*")&gt;0,COUNTIF(I2185,"66*")&gt;0,COUNTIF(J2185,"*66*")&gt;0,COUNTIF(I2185,"61*")&gt;0,COUNTIF(J2185,"*61*")&gt;0,COUNTIF(I2185,"62*")&gt;0,COUNTIF(J2185,"*62*")&gt;0,COUNTIF(I2185,"63*")&gt;0,COUNTIF(J2185,"*63*")&gt;0,COUNTIF(I2185,"85*")&gt;0,COUNTIF(J2185,"*85*")&gt;0,COUNTIF(I2185,"86*")&gt;0,COUNTIF(J2185,"*86*")&gt;0),"Да","Нет"))</f>
        <v/>
      </c>
      <c r="M2185" s="13">
        <f>IF(OR(G2185="",L2185&lt;&gt;"Да"),"",IF(G2185&lt;=100,"До 100",IF(G2185&lt;=200,"До 200",IF(G2185&lt;=500,"До 500","Отдельное КП"))))</f>
        <v/>
      </c>
      <c r="N2185" s="15">
        <f>IF(OR(G2185="",L2185&lt;&gt;"Да"),"",IF(G2185&lt;=100,33600,IF(G2185&lt;=200,62400,IF(G2185&lt;=500,144000,""))))</f>
        <v/>
      </c>
      <c r="O2185" s="16">
        <f>IF(G2185="","",IF(G2185&lt;=15,"1–15",IF(G2185&lt;=30,"16–30",IF(G2185&lt;=50,"31–50",IF(G2185&lt;=100,"51–100",IF(G2185&lt;=150,"101–150",IF(G2185&lt;=200,"151–200",IF(G2185&lt;=500,"201–500","500+"))))))))</f>
        <v/>
      </c>
      <c r="P2185" s="16" t="inlineStr">
        <is>
          <t>Нет совпадения в предоставленной выгрузке ССЧР</t>
        </is>
      </c>
      <c r="Q2185" s="16" t="n"/>
      <c r="R2185" s="16">
        <f>HYPERLINK("https://checko.ru/search?query=3801001629","Чекко: проверить")</f>
        <v/>
      </c>
      <c r="S2185" t="n">
        <v>0</v>
      </c>
    </row>
    <row r="2186" ht="15" customHeight="1" s="24">
      <c r="A2186" s="13" t="n">
        <v>5000094692</v>
      </c>
      <c r="B2186" s="13" t="inlineStr">
        <is>
          <t>МКУ "ФОК" с.п. Плановское</t>
        </is>
      </c>
      <c r="C2186" s="13" t="n">
        <v>705008954</v>
      </c>
      <c r="D2186" s="13" t="n"/>
      <c r="E2186" s="13" t="inlineStr">
        <is>
          <t>Не определён</t>
        </is>
      </c>
      <c r="F2186" s="13" t="inlineStr">
        <is>
          <t>705008954</t>
        </is>
      </c>
      <c r="G2186" s="14" t="n"/>
      <c r="H2186" s="14" t="n"/>
      <c r="I2186" s="14" t="n"/>
      <c r="J2186" s="14" t="n"/>
      <c r="K2186" s="13">
        <f>IF(G2186="","",IF(G2186&gt;=22,"Да","Нет"))</f>
        <v/>
      </c>
      <c r="L2186" s="13">
        <f>IF(OR(I2186="",J2186=""),"Не определено",IF(OR(COUNTIF(I2186,"45*")&gt;0,COUNTIF(J2186,"*45*")&gt;0,COUNTIF(I2186,"46*")&gt;0,COUNTIF(J2186,"*46*")&gt;0,COUNTIF(I2186,"47*")&gt;0,COUNTIF(J2186,"*47*")&gt;0,COUNTIF(I2186,"10*")&gt;0,COUNTIF(J2186,"*10*")&gt;0,COUNTIF(I2186,"11*")&gt;0,COUNTIF(J2186,"*11*")&gt;0,COUNTIF(I2186,"12*")&gt;0,COUNTIF(J2186,"*12*")&gt;0,COUNTIF(I2186,"13*")&gt;0,COUNTIF(J2186,"*13*")&gt;0,COUNTIF(I2186,"14*")&gt;0,COUNTIF(J2186,"*14*")&gt;0,COUNTIF(I2186,"15*")&gt;0,COUNTIF(J2186,"*15*")&gt;0,COUNTIF(I2186,"16*")&gt;0,COUNTIF(J2186,"*16*")&gt;0,COUNTIF(I2186,"17*")&gt;0,COUNTIF(J2186,"*17*")&gt;0,COUNTIF(I2186,"18*")&gt;0,COUNTIF(J2186,"*18*")&gt;0,COUNTIF(I2186,"19*")&gt;0,COUNTIF(J2186,"*19*")&gt;0,COUNTIF(I2186,"20*")&gt;0,COUNTIF(J2186,"*20*")&gt;0,COUNTIF(I2186,"21*")&gt;0,COUNTIF(J2186,"*21*")&gt;0,COUNTIF(I2186,"22*")&gt;0,COUNTIF(J2186,"*22*")&gt;0,COUNTIF(I2186,"23*")&gt;0,COUNTIF(J2186,"*23*")&gt;0,COUNTIF(I2186,"24*")&gt;0,COUNTIF(J2186,"*24*")&gt;0,COUNTIF(I2186,"25*")&gt;0,COUNTIF(J2186,"*25*")&gt;0,COUNTIF(I2186,"26*")&gt;0,COUNTIF(J2186,"*26*")&gt;0,COUNTIF(I2186,"27*")&gt;0,COUNTIF(J2186,"*27*")&gt;0,COUNTIF(I2186,"28*")&gt;0,COUNTIF(J2186,"*28*")&gt;0,COUNTIF(I2186,"29*")&gt;0,COUNTIF(J2186,"*29*")&gt;0,COUNTIF(I2186,"30*")&gt;0,COUNTIF(J2186,"*30*")&gt;0,COUNTIF(I2186,"31*")&gt;0,COUNTIF(J2186,"*31*")&gt;0,COUNTIF(I2186,"32*")&gt;0,COUNTIF(J2186,"*32*")&gt;0,COUNTIF(I2186,"33*")&gt;0,COUNTIF(J2186,"*33*")&gt;0,COUNTIF(I2186,"41*")&gt;0,COUNTIF(J2186,"*41*")&gt;0,COUNTIF(I2186,"42*")&gt;0,COUNTIF(J2186,"*42*")&gt;0,COUNTIF(I2186,"43*")&gt;0,COUNTIF(J2186,"*43*")&gt;0,COUNTIF(I2186,"49*")&gt;0,COUNTIF(J2186,"*49*")&gt;0,COUNTIF(I2186,"52*")&gt;0,COUNTIF(J2186,"*52*")&gt;0,COUNTIF(I2186,"55*")&gt;0,COUNTIF(J2186,"*55*")&gt;0,COUNTIF(I2186,"56*")&gt;0,COUNTIF(J2186,"*56*")&gt;0,COUNTIF(I2186,"68*")&gt;0,COUNTIF(J2186,"*68*")&gt;0,COUNTIF(I2186,"78*")&gt;0,COUNTIF(J2186,"*78*")&gt;0,COUNTIF(I2186,"81*")&gt;0,COUNTIF(J2186,"*81*")&gt;0,COUNTIF(I2186,"82*")&gt;0,COUNTIF(J2186,"*82*")&gt;0,COUNTIF(I2186,"64*")&gt;0,COUNTIF(J2186,"*64*")&gt;0,COUNTIF(I2186,"65*")&gt;0,COUNTIF(J2186,"*65*")&gt;0,COUNTIF(I2186,"66*")&gt;0,COUNTIF(J2186,"*66*")&gt;0,COUNTIF(I2186,"61*")&gt;0,COUNTIF(J2186,"*61*")&gt;0,COUNTIF(I2186,"62*")&gt;0,COUNTIF(J2186,"*62*")&gt;0,COUNTIF(I2186,"63*")&gt;0,COUNTIF(J2186,"*63*")&gt;0,COUNTIF(I2186,"85*")&gt;0,COUNTIF(J2186,"*85*")&gt;0,COUNTIF(I2186,"86*")&gt;0,COUNTIF(J2186,"*86*")&gt;0),"Да","Нет"))</f>
        <v/>
      </c>
      <c r="M2186" s="13">
        <f>IF(OR(G2186="",L2186&lt;&gt;"Да"),"",IF(G2186&lt;=100,"До 100",IF(G2186&lt;=200,"До 200",IF(G2186&lt;=500,"До 500","Отдельное КП"))))</f>
        <v/>
      </c>
      <c r="N2186" s="15">
        <f>IF(OR(G2186="",L2186&lt;&gt;"Да"),"",IF(G2186&lt;=100,33600,IF(G2186&lt;=200,62400,IF(G2186&lt;=500,144000,""))))</f>
        <v/>
      </c>
      <c r="O2186" s="16">
        <f>IF(G2186="","",IF(G2186&lt;=15,"1–15",IF(G2186&lt;=30,"16–30",IF(G2186&lt;=50,"31–50",IF(G2186&lt;=100,"51–100",IF(G2186&lt;=150,"101–150",IF(G2186&lt;=200,"151–200",IF(G2186&lt;=500,"201–500","500+"))))))))</f>
        <v/>
      </c>
      <c r="P2186" s="16" t="inlineStr">
        <is>
          <t>Нет совпадения в предоставленной выгрузке ССЧР</t>
        </is>
      </c>
      <c r="Q2186" s="16" t="n"/>
      <c r="R2186" s="16">
        <f>HYPERLINK("https://checko.ru/search?query=3801001629","Чекко: проверить")</f>
        <v/>
      </c>
      <c r="S2186" t="n">
        <v>0</v>
      </c>
    </row>
    <row r="2187" ht="15" customHeight="1" s="24">
      <c r="A2187" s="13" t="n">
        <v>5000094693</v>
      </c>
      <c r="B2187" s="13" t="inlineStr">
        <is>
          <t>МКДОУ Детский сад №4 "Малыш"</t>
        </is>
      </c>
      <c r="C2187" s="13" t="n">
        <v>705009500</v>
      </c>
      <c r="D2187" s="13" t="n"/>
      <c r="E2187" s="13" t="inlineStr">
        <is>
          <t>Не определён</t>
        </is>
      </c>
      <c r="F2187" s="13" t="inlineStr">
        <is>
          <t>705009500</t>
        </is>
      </c>
      <c r="G2187" s="14" t="n"/>
      <c r="H2187" s="14" t="n"/>
      <c r="I2187" s="14" t="n"/>
      <c r="J2187" s="14" t="n"/>
      <c r="K2187" s="13">
        <f>IF(G2187="","",IF(G2187&gt;=22,"Да","Нет"))</f>
        <v/>
      </c>
      <c r="L2187" s="13">
        <f>IF(OR(I2187="",J2187=""),"Не определено",IF(OR(COUNTIF(I2187,"45*")&gt;0,COUNTIF(J2187,"*45*")&gt;0,COUNTIF(I2187,"46*")&gt;0,COUNTIF(J2187,"*46*")&gt;0,COUNTIF(I2187,"47*")&gt;0,COUNTIF(J2187,"*47*")&gt;0,COUNTIF(I2187,"10*")&gt;0,COUNTIF(J2187,"*10*")&gt;0,COUNTIF(I2187,"11*")&gt;0,COUNTIF(J2187,"*11*")&gt;0,COUNTIF(I2187,"12*")&gt;0,COUNTIF(J2187,"*12*")&gt;0,COUNTIF(I2187,"13*")&gt;0,COUNTIF(J2187,"*13*")&gt;0,COUNTIF(I2187,"14*")&gt;0,COUNTIF(J2187,"*14*")&gt;0,COUNTIF(I2187,"15*")&gt;0,COUNTIF(J2187,"*15*")&gt;0,COUNTIF(I2187,"16*")&gt;0,COUNTIF(J2187,"*16*")&gt;0,COUNTIF(I2187,"17*")&gt;0,COUNTIF(J2187,"*17*")&gt;0,COUNTIF(I2187,"18*")&gt;0,COUNTIF(J2187,"*18*")&gt;0,COUNTIF(I2187,"19*")&gt;0,COUNTIF(J2187,"*19*")&gt;0,COUNTIF(I2187,"20*")&gt;0,COUNTIF(J2187,"*20*")&gt;0,COUNTIF(I2187,"21*")&gt;0,COUNTIF(J2187,"*21*")&gt;0,COUNTIF(I2187,"22*")&gt;0,COUNTIF(J2187,"*22*")&gt;0,COUNTIF(I2187,"23*")&gt;0,COUNTIF(J2187,"*23*")&gt;0,COUNTIF(I2187,"24*")&gt;0,COUNTIF(J2187,"*24*")&gt;0,COUNTIF(I2187,"25*")&gt;0,COUNTIF(J2187,"*25*")&gt;0,COUNTIF(I2187,"26*")&gt;0,COUNTIF(J2187,"*26*")&gt;0,COUNTIF(I2187,"27*")&gt;0,COUNTIF(J2187,"*27*")&gt;0,COUNTIF(I2187,"28*")&gt;0,COUNTIF(J2187,"*28*")&gt;0,COUNTIF(I2187,"29*")&gt;0,COUNTIF(J2187,"*29*")&gt;0,COUNTIF(I2187,"30*")&gt;0,COUNTIF(J2187,"*30*")&gt;0,COUNTIF(I2187,"31*")&gt;0,COUNTIF(J2187,"*31*")&gt;0,COUNTIF(I2187,"32*")&gt;0,COUNTIF(J2187,"*32*")&gt;0,COUNTIF(I2187,"33*")&gt;0,COUNTIF(J2187,"*33*")&gt;0,COUNTIF(I2187,"41*")&gt;0,COUNTIF(J2187,"*41*")&gt;0,COUNTIF(I2187,"42*")&gt;0,COUNTIF(J2187,"*42*")&gt;0,COUNTIF(I2187,"43*")&gt;0,COUNTIF(J2187,"*43*")&gt;0,COUNTIF(I2187,"49*")&gt;0,COUNTIF(J2187,"*49*")&gt;0,COUNTIF(I2187,"52*")&gt;0,COUNTIF(J2187,"*52*")&gt;0,COUNTIF(I2187,"55*")&gt;0,COUNTIF(J2187,"*55*")&gt;0,COUNTIF(I2187,"56*")&gt;0,COUNTIF(J2187,"*56*")&gt;0,COUNTIF(I2187,"68*")&gt;0,COUNTIF(J2187,"*68*")&gt;0,COUNTIF(I2187,"78*")&gt;0,COUNTIF(J2187,"*78*")&gt;0,COUNTIF(I2187,"81*")&gt;0,COUNTIF(J2187,"*81*")&gt;0,COUNTIF(I2187,"82*")&gt;0,COUNTIF(J2187,"*82*")&gt;0,COUNTIF(I2187,"64*")&gt;0,COUNTIF(J2187,"*64*")&gt;0,COUNTIF(I2187,"65*")&gt;0,COUNTIF(J2187,"*65*")&gt;0,COUNTIF(I2187,"66*")&gt;0,COUNTIF(J2187,"*66*")&gt;0,COUNTIF(I2187,"61*")&gt;0,COUNTIF(J2187,"*61*")&gt;0,COUNTIF(I2187,"62*")&gt;0,COUNTIF(J2187,"*62*")&gt;0,COUNTIF(I2187,"63*")&gt;0,COUNTIF(J2187,"*63*")&gt;0,COUNTIF(I2187,"85*")&gt;0,COUNTIF(J2187,"*85*")&gt;0,COUNTIF(I2187,"86*")&gt;0,COUNTIF(J2187,"*86*")&gt;0),"Да","Нет"))</f>
        <v/>
      </c>
      <c r="M2187" s="13">
        <f>IF(OR(G2187="",L2187&lt;&gt;"Да"),"",IF(G2187&lt;=100,"До 100",IF(G2187&lt;=200,"До 200",IF(G2187&lt;=500,"До 500","Отдельное КП"))))</f>
        <v/>
      </c>
      <c r="N2187" s="15">
        <f>IF(OR(G2187="",L2187&lt;&gt;"Да"),"",IF(G2187&lt;=100,33600,IF(G2187&lt;=200,62400,IF(G2187&lt;=500,144000,""))))</f>
        <v/>
      </c>
      <c r="O2187" s="16">
        <f>IF(G2187="","",IF(G2187&lt;=15,"1–15",IF(G2187&lt;=30,"16–30",IF(G2187&lt;=50,"31–50",IF(G2187&lt;=100,"51–100",IF(G2187&lt;=150,"101–150",IF(G2187&lt;=200,"151–200",IF(G2187&lt;=500,"201–500","500+"))))))))</f>
        <v/>
      </c>
      <c r="P2187" s="16" t="inlineStr">
        <is>
          <t>Нет совпадения в предоставленной выгрузке ССЧР</t>
        </is>
      </c>
      <c r="Q2187" s="16" t="n"/>
      <c r="R2187" s="16">
        <f>HYPERLINK("https://checko.ru/search?query=3801001629","Чекко: проверить")</f>
        <v/>
      </c>
      <c r="S2187" t="n">
        <v>0</v>
      </c>
    </row>
    <row r="2188" ht="15" customHeight="1" s="24">
      <c r="A2188" s="13" t="n">
        <v>5000094694</v>
      </c>
      <c r="B2188" s="13" t="inlineStr">
        <is>
          <t>МКУ "Редакция газеты "Черекские вести"</t>
        </is>
      </c>
      <c r="C2188" s="13" t="n">
        <v>706000757</v>
      </c>
      <c r="D2188" s="13" t="n"/>
      <c r="E2188" s="13" t="inlineStr">
        <is>
          <t>Не определён</t>
        </is>
      </c>
      <c r="F2188" s="13" t="inlineStr">
        <is>
          <t>706000757</t>
        </is>
      </c>
      <c r="G2188" s="14" t="n"/>
      <c r="H2188" s="14" t="n"/>
      <c r="I2188" s="14" t="n"/>
      <c r="J2188" s="14" t="n"/>
      <c r="K2188" s="13">
        <f>IF(G2188="","",IF(G2188&gt;=22,"Да","Нет"))</f>
        <v/>
      </c>
      <c r="L2188" s="13">
        <f>IF(OR(I2188="",J2188=""),"Не определено",IF(OR(COUNTIF(I2188,"45*")&gt;0,COUNTIF(J2188,"*45*")&gt;0,COUNTIF(I2188,"46*")&gt;0,COUNTIF(J2188,"*46*")&gt;0,COUNTIF(I2188,"47*")&gt;0,COUNTIF(J2188,"*47*")&gt;0,COUNTIF(I2188,"10*")&gt;0,COUNTIF(J2188,"*10*")&gt;0,COUNTIF(I2188,"11*")&gt;0,COUNTIF(J2188,"*11*")&gt;0,COUNTIF(I2188,"12*")&gt;0,COUNTIF(J2188,"*12*")&gt;0,COUNTIF(I2188,"13*")&gt;0,COUNTIF(J2188,"*13*")&gt;0,COUNTIF(I2188,"14*")&gt;0,COUNTIF(J2188,"*14*")&gt;0,COUNTIF(I2188,"15*")&gt;0,COUNTIF(J2188,"*15*")&gt;0,COUNTIF(I2188,"16*")&gt;0,COUNTIF(J2188,"*16*")&gt;0,COUNTIF(I2188,"17*")&gt;0,COUNTIF(J2188,"*17*")&gt;0,COUNTIF(I2188,"18*")&gt;0,COUNTIF(J2188,"*18*")&gt;0,COUNTIF(I2188,"19*")&gt;0,COUNTIF(J2188,"*19*")&gt;0,COUNTIF(I2188,"20*")&gt;0,COUNTIF(J2188,"*20*")&gt;0,COUNTIF(I2188,"21*")&gt;0,COUNTIF(J2188,"*21*")&gt;0,COUNTIF(I2188,"22*")&gt;0,COUNTIF(J2188,"*22*")&gt;0,COUNTIF(I2188,"23*")&gt;0,COUNTIF(J2188,"*23*")&gt;0,COUNTIF(I2188,"24*")&gt;0,COUNTIF(J2188,"*24*")&gt;0,COUNTIF(I2188,"25*")&gt;0,COUNTIF(J2188,"*25*")&gt;0,COUNTIF(I2188,"26*")&gt;0,COUNTIF(J2188,"*26*")&gt;0,COUNTIF(I2188,"27*")&gt;0,COUNTIF(J2188,"*27*")&gt;0,COUNTIF(I2188,"28*")&gt;0,COUNTIF(J2188,"*28*")&gt;0,COUNTIF(I2188,"29*")&gt;0,COUNTIF(J2188,"*29*")&gt;0,COUNTIF(I2188,"30*")&gt;0,COUNTIF(J2188,"*30*")&gt;0,COUNTIF(I2188,"31*")&gt;0,COUNTIF(J2188,"*31*")&gt;0,COUNTIF(I2188,"32*")&gt;0,COUNTIF(J2188,"*32*")&gt;0,COUNTIF(I2188,"33*")&gt;0,COUNTIF(J2188,"*33*")&gt;0,COUNTIF(I2188,"41*")&gt;0,COUNTIF(J2188,"*41*")&gt;0,COUNTIF(I2188,"42*")&gt;0,COUNTIF(J2188,"*42*")&gt;0,COUNTIF(I2188,"43*")&gt;0,COUNTIF(J2188,"*43*")&gt;0,COUNTIF(I2188,"49*")&gt;0,COUNTIF(J2188,"*49*")&gt;0,COUNTIF(I2188,"52*")&gt;0,COUNTIF(J2188,"*52*")&gt;0,COUNTIF(I2188,"55*")&gt;0,COUNTIF(J2188,"*55*")&gt;0,COUNTIF(I2188,"56*")&gt;0,COUNTIF(J2188,"*56*")&gt;0,COUNTIF(I2188,"68*")&gt;0,COUNTIF(J2188,"*68*")&gt;0,COUNTIF(I2188,"78*")&gt;0,COUNTIF(J2188,"*78*")&gt;0,COUNTIF(I2188,"81*")&gt;0,COUNTIF(J2188,"*81*")&gt;0,COUNTIF(I2188,"82*")&gt;0,COUNTIF(J2188,"*82*")&gt;0,COUNTIF(I2188,"64*")&gt;0,COUNTIF(J2188,"*64*")&gt;0,COUNTIF(I2188,"65*")&gt;0,COUNTIF(J2188,"*65*")&gt;0,COUNTIF(I2188,"66*")&gt;0,COUNTIF(J2188,"*66*")&gt;0,COUNTIF(I2188,"61*")&gt;0,COUNTIF(J2188,"*61*")&gt;0,COUNTIF(I2188,"62*")&gt;0,COUNTIF(J2188,"*62*")&gt;0,COUNTIF(I2188,"63*")&gt;0,COUNTIF(J2188,"*63*")&gt;0,COUNTIF(I2188,"85*")&gt;0,COUNTIF(J2188,"*85*")&gt;0,COUNTIF(I2188,"86*")&gt;0,COUNTIF(J2188,"*86*")&gt;0),"Да","Нет"))</f>
        <v/>
      </c>
      <c r="M2188" s="13">
        <f>IF(OR(G2188="",L2188&lt;&gt;"Да"),"",IF(G2188&lt;=100,"До 100",IF(G2188&lt;=200,"До 200",IF(G2188&lt;=500,"До 500","Отдельное КП"))))</f>
        <v/>
      </c>
      <c r="N2188" s="15">
        <f>IF(OR(G2188="",L2188&lt;&gt;"Да"),"",IF(G2188&lt;=100,33600,IF(G2188&lt;=200,62400,IF(G2188&lt;=500,144000,""))))</f>
        <v/>
      </c>
      <c r="O2188" s="16">
        <f>IF(G2188="","",IF(G2188&lt;=15,"1–15",IF(G2188&lt;=30,"16–30",IF(G2188&lt;=50,"31–50",IF(G2188&lt;=100,"51–100",IF(G2188&lt;=150,"101–150",IF(G2188&lt;=200,"151–200",IF(G2188&lt;=500,"201–500","500+"))))))))</f>
        <v/>
      </c>
      <c r="P2188" s="16" t="inlineStr">
        <is>
          <t>Нет совпадения в предоставленной выгрузке ССЧР</t>
        </is>
      </c>
      <c r="Q2188" s="16" t="n"/>
      <c r="R2188" s="16">
        <f>HYPERLINK("https://checko.ru/search?query=3801001629","Чекко: проверить")</f>
        <v/>
      </c>
      <c r="S2188" t="n">
        <v>0</v>
      </c>
    </row>
    <row r="2189" ht="15" customHeight="1" s="24">
      <c r="A2189" s="13" t="n">
        <v>5000094695</v>
      </c>
      <c r="B2189" s="13" t="inlineStr">
        <is>
          <t>Администрация городского поселения Кашхатау</t>
        </is>
      </c>
      <c r="C2189" s="13" t="n">
        <v>706001616</v>
      </c>
      <c r="D2189" s="13" t="n"/>
      <c r="E2189" s="13" t="inlineStr">
        <is>
          <t>Не определён</t>
        </is>
      </c>
      <c r="F2189" s="13" t="inlineStr">
        <is>
          <t>706001616</t>
        </is>
      </c>
      <c r="G2189" s="14" t="n"/>
      <c r="H2189" s="14" t="n"/>
      <c r="I2189" s="14" t="n"/>
      <c r="J2189" s="14" t="n"/>
      <c r="K2189" s="13">
        <f>IF(G2189="","",IF(G2189&gt;=22,"Да","Нет"))</f>
        <v/>
      </c>
      <c r="L2189" s="13">
        <f>IF(OR(I2189="",J2189=""),"Не определено",IF(OR(COUNTIF(I2189,"45*")&gt;0,COUNTIF(J2189,"*45*")&gt;0,COUNTIF(I2189,"46*")&gt;0,COUNTIF(J2189,"*46*")&gt;0,COUNTIF(I2189,"47*")&gt;0,COUNTIF(J2189,"*47*")&gt;0,COUNTIF(I2189,"10*")&gt;0,COUNTIF(J2189,"*10*")&gt;0,COUNTIF(I2189,"11*")&gt;0,COUNTIF(J2189,"*11*")&gt;0,COUNTIF(I2189,"12*")&gt;0,COUNTIF(J2189,"*12*")&gt;0,COUNTIF(I2189,"13*")&gt;0,COUNTIF(J2189,"*13*")&gt;0,COUNTIF(I2189,"14*")&gt;0,COUNTIF(J2189,"*14*")&gt;0,COUNTIF(I2189,"15*")&gt;0,COUNTIF(J2189,"*15*")&gt;0,COUNTIF(I2189,"16*")&gt;0,COUNTIF(J2189,"*16*")&gt;0,COUNTIF(I2189,"17*")&gt;0,COUNTIF(J2189,"*17*")&gt;0,COUNTIF(I2189,"18*")&gt;0,COUNTIF(J2189,"*18*")&gt;0,COUNTIF(I2189,"19*")&gt;0,COUNTIF(J2189,"*19*")&gt;0,COUNTIF(I2189,"20*")&gt;0,COUNTIF(J2189,"*20*")&gt;0,COUNTIF(I2189,"21*")&gt;0,COUNTIF(J2189,"*21*")&gt;0,COUNTIF(I2189,"22*")&gt;0,COUNTIF(J2189,"*22*")&gt;0,COUNTIF(I2189,"23*")&gt;0,COUNTIF(J2189,"*23*")&gt;0,COUNTIF(I2189,"24*")&gt;0,COUNTIF(J2189,"*24*")&gt;0,COUNTIF(I2189,"25*")&gt;0,COUNTIF(J2189,"*25*")&gt;0,COUNTIF(I2189,"26*")&gt;0,COUNTIF(J2189,"*26*")&gt;0,COUNTIF(I2189,"27*")&gt;0,COUNTIF(J2189,"*27*")&gt;0,COUNTIF(I2189,"28*")&gt;0,COUNTIF(J2189,"*28*")&gt;0,COUNTIF(I2189,"29*")&gt;0,COUNTIF(J2189,"*29*")&gt;0,COUNTIF(I2189,"30*")&gt;0,COUNTIF(J2189,"*30*")&gt;0,COUNTIF(I2189,"31*")&gt;0,COUNTIF(J2189,"*31*")&gt;0,COUNTIF(I2189,"32*")&gt;0,COUNTIF(J2189,"*32*")&gt;0,COUNTIF(I2189,"33*")&gt;0,COUNTIF(J2189,"*33*")&gt;0,COUNTIF(I2189,"41*")&gt;0,COUNTIF(J2189,"*41*")&gt;0,COUNTIF(I2189,"42*")&gt;0,COUNTIF(J2189,"*42*")&gt;0,COUNTIF(I2189,"43*")&gt;0,COUNTIF(J2189,"*43*")&gt;0,COUNTIF(I2189,"49*")&gt;0,COUNTIF(J2189,"*49*")&gt;0,COUNTIF(I2189,"52*")&gt;0,COUNTIF(J2189,"*52*")&gt;0,COUNTIF(I2189,"55*")&gt;0,COUNTIF(J2189,"*55*")&gt;0,COUNTIF(I2189,"56*")&gt;0,COUNTIF(J2189,"*56*")&gt;0,COUNTIF(I2189,"68*")&gt;0,COUNTIF(J2189,"*68*")&gt;0,COUNTIF(I2189,"78*")&gt;0,COUNTIF(J2189,"*78*")&gt;0,COUNTIF(I2189,"81*")&gt;0,COUNTIF(J2189,"*81*")&gt;0,COUNTIF(I2189,"82*")&gt;0,COUNTIF(J2189,"*82*")&gt;0,COUNTIF(I2189,"64*")&gt;0,COUNTIF(J2189,"*64*")&gt;0,COUNTIF(I2189,"65*")&gt;0,COUNTIF(J2189,"*65*")&gt;0,COUNTIF(I2189,"66*")&gt;0,COUNTIF(J2189,"*66*")&gt;0,COUNTIF(I2189,"61*")&gt;0,COUNTIF(J2189,"*61*")&gt;0,COUNTIF(I2189,"62*")&gt;0,COUNTIF(J2189,"*62*")&gt;0,COUNTIF(I2189,"63*")&gt;0,COUNTIF(J2189,"*63*")&gt;0,COUNTIF(I2189,"85*")&gt;0,COUNTIF(J2189,"*85*")&gt;0,COUNTIF(I2189,"86*")&gt;0,COUNTIF(J2189,"*86*")&gt;0),"Да","Нет"))</f>
        <v/>
      </c>
      <c r="M2189" s="13">
        <f>IF(OR(G2189="",L2189&lt;&gt;"Да"),"",IF(G2189&lt;=100,"До 100",IF(G2189&lt;=200,"До 200",IF(G2189&lt;=500,"До 500","Отдельное КП"))))</f>
        <v/>
      </c>
      <c r="N2189" s="15">
        <f>IF(OR(G2189="",L2189&lt;&gt;"Да"),"",IF(G2189&lt;=100,33600,IF(G2189&lt;=200,62400,IF(G2189&lt;=500,144000,""))))</f>
        <v/>
      </c>
      <c r="O2189" s="16">
        <f>IF(G2189="","",IF(G2189&lt;=15,"1–15",IF(G2189&lt;=30,"16–30",IF(G2189&lt;=50,"31–50",IF(G2189&lt;=100,"51–100",IF(G2189&lt;=150,"101–150",IF(G2189&lt;=200,"151–200",IF(G2189&lt;=500,"201–500","500+"))))))))</f>
        <v/>
      </c>
      <c r="P2189" s="16" t="inlineStr">
        <is>
          <t>Нет совпадения в предоставленной выгрузке ССЧР</t>
        </is>
      </c>
      <c r="Q2189" s="16" t="n"/>
      <c r="R2189" s="16">
        <f>HYPERLINK("https://checko.ru/search?query=3801001629","Чекко: проверить")</f>
        <v/>
      </c>
      <c r="S2189" t="n">
        <v>0</v>
      </c>
    </row>
    <row r="2190" ht="27.75" customHeight="1" s="24">
      <c r="A2190" s="13" t="n">
        <v>5000094696</v>
      </c>
      <c r="B2190" s="13" t="inlineStr">
        <is>
          <t>"Местная администрация сельского поселения Зарагиж"</t>
        </is>
      </c>
      <c r="C2190" s="13" t="n">
        <v>706001623</v>
      </c>
      <c r="D2190" s="13" t="n"/>
      <c r="E2190" s="13" t="inlineStr">
        <is>
          <t>Не определён</t>
        </is>
      </c>
      <c r="F2190" s="13" t="inlineStr">
        <is>
          <t>706001623</t>
        </is>
      </c>
      <c r="G2190" s="14" t="n"/>
      <c r="H2190" s="14" t="n"/>
      <c r="I2190" s="14" t="n"/>
      <c r="J2190" s="14" t="n"/>
      <c r="K2190" s="13">
        <f>IF(G2190="","",IF(G2190&gt;=22,"Да","Нет"))</f>
        <v/>
      </c>
      <c r="L2190" s="13">
        <f>IF(OR(I2190="",J2190=""),"Не определено",IF(OR(COUNTIF(I2190,"45*")&gt;0,COUNTIF(J2190,"*45*")&gt;0,COUNTIF(I2190,"46*")&gt;0,COUNTIF(J2190,"*46*")&gt;0,COUNTIF(I2190,"47*")&gt;0,COUNTIF(J2190,"*47*")&gt;0,COUNTIF(I2190,"10*")&gt;0,COUNTIF(J2190,"*10*")&gt;0,COUNTIF(I2190,"11*")&gt;0,COUNTIF(J2190,"*11*")&gt;0,COUNTIF(I2190,"12*")&gt;0,COUNTIF(J2190,"*12*")&gt;0,COUNTIF(I2190,"13*")&gt;0,COUNTIF(J2190,"*13*")&gt;0,COUNTIF(I2190,"14*")&gt;0,COUNTIF(J2190,"*14*")&gt;0,COUNTIF(I2190,"15*")&gt;0,COUNTIF(J2190,"*15*")&gt;0,COUNTIF(I2190,"16*")&gt;0,COUNTIF(J2190,"*16*")&gt;0,COUNTIF(I2190,"17*")&gt;0,COUNTIF(J2190,"*17*")&gt;0,COUNTIF(I2190,"18*")&gt;0,COUNTIF(J2190,"*18*")&gt;0,COUNTIF(I2190,"19*")&gt;0,COUNTIF(J2190,"*19*")&gt;0,COUNTIF(I2190,"20*")&gt;0,COUNTIF(J2190,"*20*")&gt;0,COUNTIF(I2190,"21*")&gt;0,COUNTIF(J2190,"*21*")&gt;0,COUNTIF(I2190,"22*")&gt;0,COUNTIF(J2190,"*22*")&gt;0,COUNTIF(I2190,"23*")&gt;0,COUNTIF(J2190,"*23*")&gt;0,COUNTIF(I2190,"24*")&gt;0,COUNTIF(J2190,"*24*")&gt;0,COUNTIF(I2190,"25*")&gt;0,COUNTIF(J2190,"*25*")&gt;0,COUNTIF(I2190,"26*")&gt;0,COUNTIF(J2190,"*26*")&gt;0,COUNTIF(I2190,"27*")&gt;0,COUNTIF(J2190,"*27*")&gt;0,COUNTIF(I2190,"28*")&gt;0,COUNTIF(J2190,"*28*")&gt;0,COUNTIF(I2190,"29*")&gt;0,COUNTIF(J2190,"*29*")&gt;0,COUNTIF(I2190,"30*")&gt;0,COUNTIF(J2190,"*30*")&gt;0,COUNTIF(I2190,"31*")&gt;0,COUNTIF(J2190,"*31*")&gt;0,COUNTIF(I2190,"32*")&gt;0,COUNTIF(J2190,"*32*")&gt;0,COUNTIF(I2190,"33*")&gt;0,COUNTIF(J2190,"*33*")&gt;0,COUNTIF(I2190,"41*")&gt;0,COUNTIF(J2190,"*41*")&gt;0,COUNTIF(I2190,"42*")&gt;0,COUNTIF(J2190,"*42*")&gt;0,COUNTIF(I2190,"43*")&gt;0,COUNTIF(J2190,"*43*")&gt;0,COUNTIF(I2190,"49*")&gt;0,COUNTIF(J2190,"*49*")&gt;0,COUNTIF(I2190,"52*")&gt;0,COUNTIF(J2190,"*52*")&gt;0,COUNTIF(I2190,"55*")&gt;0,COUNTIF(J2190,"*55*")&gt;0,COUNTIF(I2190,"56*")&gt;0,COUNTIF(J2190,"*56*")&gt;0,COUNTIF(I2190,"68*")&gt;0,COUNTIF(J2190,"*68*")&gt;0,COUNTIF(I2190,"78*")&gt;0,COUNTIF(J2190,"*78*")&gt;0,COUNTIF(I2190,"81*")&gt;0,COUNTIF(J2190,"*81*")&gt;0,COUNTIF(I2190,"82*")&gt;0,COUNTIF(J2190,"*82*")&gt;0,COUNTIF(I2190,"64*")&gt;0,COUNTIF(J2190,"*64*")&gt;0,COUNTIF(I2190,"65*")&gt;0,COUNTIF(J2190,"*65*")&gt;0,COUNTIF(I2190,"66*")&gt;0,COUNTIF(J2190,"*66*")&gt;0,COUNTIF(I2190,"61*")&gt;0,COUNTIF(J2190,"*61*")&gt;0,COUNTIF(I2190,"62*")&gt;0,COUNTIF(J2190,"*62*")&gt;0,COUNTIF(I2190,"63*")&gt;0,COUNTIF(J2190,"*63*")&gt;0,COUNTIF(I2190,"85*")&gt;0,COUNTIF(J2190,"*85*")&gt;0,COUNTIF(I2190,"86*")&gt;0,COUNTIF(J2190,"*86*")&gt;0),"Да","Нет"))</f>
        <v/>
      </c>
      <c r="M2190" s="13">
        <f>IF(OR(G2190="",L2190&lt;&gt;"Да"),"",IF(G2190&lt;=100,"До 100",IF(G2190&lt;=200,"До 200",IF(G2190&lt;=500,"До 500","Отдельное КП"))))</f>
        <v/>
      </c>
      <c r="N2190" s="15">
        <f>IF(OR(G2190="",L2190&lt;&gt;"Да"),"",IF(G2190&lt;=100,33600,IF(G2190&lt;=200,62400,IF(G2190&lt;=500,144000,""))))</f>
        <v/>
      </c>
      <c r="O2190" s="16">
        <f>IF(G2190="","",IF(G2190&lt;=15,"1–15",IF(G2190&lt;=30,"16–30",IF(G2190&lt;=50,"31–50",IF(G2190&lt;=100,"51–100",IF(G2190&lt;=150,"101–150",IF(G2190&lt;=200,"151–200",IF(G2190&lt;=500,"201–500","500+"))))))))</f>
        <v/>
      </c>
      <c r="P2190" s="16" t="inlineStr">
        <is>
          <t>Нет совпадения в предоставленной выгрузке ССЧР</t>
        </is>
      </c>
      <c r="Q2190" s="16" t="n"/>
      <c r="R2190" s="16">
        <f>HYPERLINK("https://checko.ru/search?query=3801001629","Чекко: проверить")</f>
        <v/>
      </c>
      <c r="S2190" t="n">
        <v>0</v>
      </c>
    </row>
    <row r="2191" ht="15" customHeight="1" s="24">
      <c r="A2191" s="13" t="n">
        <v>5000094697</v>
      </c>
      <c r="B2191" s="13" t="inlineStr">
        <is>
          <t>"Местная администрация с. Жемтала"</t>
        </is>
      </c>
      <c r="C2191" s="13" t="n">
        <v>706001630</v>
      </c>
      <c r="D2191" s="13" t="n"/>
      <c r="E2191" s="13" t="inlineStr">
        <is>
          <t>Не определён</t>
        </is>
      </c>
      <c r="F2191" s="13" t="inlineStr">
        <is>
          <t>706001630</t>
        </is>
      </c>
      <c r="G2191" s="14" t="n"/>
      <c r="H2191" s="14" t="n"/>
      <c r="I2191" s="14" t="n"/>
      <c r="J2191" s="14" t="n"/>
      <c r="K2191" s="13">
        <f>IF(G2191="","",IF(G2191&gt;=22,"Да","Нет"))</f>
        <v/>
      </c>
      <c r="L2191" s="13">
        <f>IF(OR(I2191="",J2191=""),"Не определено",IF(OR(COUNTIF(I2191,"45*")&gt;0,COUNTIF(J2191,"*45*")&gt;0,COUNTIF(I2191,"46*")&gt;0,COUNTIF(J2191,"*46*")&gt;0,COUNTIF(I2191,"47*")&gt;0,COUNTIF(J2191,"*47*")&gt;0,COUNTIF(I2191,"10*")&gt;0,COUNTIF(J2191,"*10*")&gt;0,COUNTIF(I2191,"11*")&gt;0,COUNTIF(J2191,"*11*")&gt;0,COUNTIF(I2191,"12*")&gt;0,COUNTIF(J2191,"*12*")&gt;0,COUNTIF(I2191,"13*")&gt;0,COUNTIF(J2191,"*13*")&gt;0,COUNTIF(I2191,"14*")&gt;0,COUNTIF(J2191,"*14*")&gt;0,COUNTIF(I2191,"15*")&gt;0,COUNTIF(J2191,"*15*")&gt;0,COUNTIF(I2191,"16*")&gt;0,COUNTIF(J2191,"*16*")&gt;0,COUNTIF(I2191,"17*")&gt;0,COUNTIF(J2191,"*17*")&gt;0,COUNTIF(I2191,"18*")&gt;0,COUNTIF(J2191,"*18*")&gt;0,COUNTIF(I2191,"19*")&gt;0,COUNTIF(J2191,"*19*")&gt;0,COUNTIF(I2191,"20*")&gt;0,COUNTIF(J2191,"*20*")&gt;0,COUNTIF(I2191,"21*")&gt;0,COUNTIF(J2191,"*21*")&gt;0,COUNTIF(I2191,"22*")&gt;0,COUNTIF(J2191,"*22*")&gt;0,COUNTIF(I2191,"23*")&gt;0,COUNTIF(J2191,"*23*")&gt;0,COUNTIF(I2191,"24*")&gt;0,COUNTIF(J2191,"*24*")&gt;0,COUNTIF(I2191,"25*")&gt;0,COUNTIF(J2191,"*25*")&gt;0,COUNTIF(I2191,"26*")&gt;0,COUNTIF(J2191,"*26*")&gt;0,COUNTIF(I2191,"27*")&gt;0,COUNTIF(J2191,"*27*")&gt;0,COUNTIF(I2191,"28*")&gt;0,COUNTIF(J2191,"*28*")&gt;0,COUNTIF(I2191,"29*")&gt;0,COUNTIF(J2191,"*29*")&gt;0,COUNTIF(I2191,"30*")&gt;0,COUNTIF(J2191,"*30*")&gt;0,COUNTIF(I2191,"31*")&gt;0,COUNTIF(J2191,"*31*")&gt;0,COUNTIF(I2191,"32*")&gt;0,COUNTIF(J2191,"*32*")&gt;0,COUNTIF(I2191,"33*")&gt;0,COUNTIF(J2191,"*33*")&gt;0,COUNTIF(I2191,"41*")&gt;0,COUNTIF(J2191,"*41*")&gt;0,COUNTIF(I2191,"42*")&gt;0,COUNTIF(J2191,"*42*")&gt;0,COUNTIF(I2191,"43*")&gt;0,COUNTIF(J2191,"*43*")&gt;0,COUNTIF(I2191,"49*")&gt;0,COUNTIF(J2191,"*49*")&gt;0,COUNTIF(I2191,"52*")&gt;0,COUNTIF(J2191,"*52*")&gt;0,COUNTIF(I2191,"55*")&gt;0,COUNTIF(J2191,"*55*")&gt;0,COUNTIF(I2191,"56*")&gt;0,COUNTIF(J2191,"*56*")&gt;0,COUNTIF(I2191,"68*")&gt;0,COUNTIF(J2191,"*68*")&gt;0,COUNTIF(I2191,"78*")&gt;0,COUNTIF(J2191,"*78*")&gt;0,COUNTIF(I2191,"81*")&gt;0,COUNTIF(J2191,"*81*")&gt;0,COUNTIF(I2191,"82*")&gt;0,COUNTIF(J2191,"*82*")&gt;0,COUNTIF(I2191,"64*")&gt;0,COUNTIF(J2191,"*64*")&gt;0,COUNTIF(I2191,"65*")&gt;0,COUNTIF(J2191,"*65*")&gt;0,COUNTIF(I2191,"66*")&gt;0,COUNTIF(J2191,"*66*")&gt;0,COUNTIF(I2191,"61*")&gt;0,COUNTIF(J2191,"*61*")&gt;0,COUNTIF(I2191,"62*")&gt;0,COUNTIF(J2191,"*62*")&gt;0,COUNTIF(I2191,"63*")&gt;0,COUNTIF(J2191,"*63*")&gt;0,COUNTIF(I2191,"85*")&gt;0,COUNTIF(J2191,"*85*")&gt;0,COUNTIF(I2191,"86*")&gt;0,COUNTIF(J2191,"*86*")&gt;0),"Да","Нет"))</f>
        <v/>
      </c>
      <c r="M2191" s="13">
        <f>IF(OR(G2191="",L2191&lt;&gt;"Да"),"",IF(G2191&lt;=100,"До 100",IF(G2191&lt;=200,"До 200",IF(G2191&lt;=500,"До 500","Отдельное КП"))))</f>
        <v/>
      </c>
      <c r="N2191" s="15">
        <f>IF(OR(G2191="",L2191&lt;&gt;"Да"),"",IF(G2191&lt;=100,33600,IF(G2191&lt;=200,62400,IF(G2191&lt;=500,144000,""))))</f>
        <v/>
      </c>
      <c r="O2191" s="16">
        <f>IF(G2191="","",IF(G2191&lt;=15,"1–15",IF(G2191&lt;=30,"16–30",IF(G2191&lt;=50,"31–50",IF(G2191&lt;=100,"51–100",IF(G2191&lt;=150,"101–150",IF(G2191&lt;=200,"151–200",IF(G2191&lt;=500,"201–500","500+"))))))))</f>
        <v/>
      </c>
      <c r="P2191" s="16" t="inlineStr">
        <is>
          <t>Нет совпадения в предоставленной выгрузке ССЧР</t>
        </is>
      </c>
      <c r="Q2191" s="16" t="n"/>
      <c r="R2191" s="16">
        <f>HYPERLINK("https://checko.ru/search?query=3801001629","Чекко: проверить")</f>
        <v/>
      </c>
      <c r="S2191" t="n">
        <v>0</v>
      </c>
    </row>
    <row r="2192" ht="15" customHeight="1" s="24">
      <c r="A2192" s="13" t="n">
        <v>5000094698</v>
      </c>
      <c r="B2192" s="13" t="inlineStr">
        <is>
          <t>Местная администрация с. Безенги</t>
        </is>
      </c>
      <c r="C2192" s="13" t="n">
        <v>706001648</v>
      </c>
      <c r="D2192" s="13" t="n"/>
      <c r="E2192" s="13" t="inlineStr">
        <is>
          <t>Не определён</t>
        </is>
      </c>
      <c r="F2192" s="13" t="inlineStr">
        <is>
          <t>706001648</t>
        </is>
      </c>
      <c r="G2192" s="14" t="n"/>
      <c r="H2192" s="14" t="n"/>
      <c r="I2192" s="14" t="n"/>
      <c r="J2192" s="14" t="n"/>
      <c r="K2192" s="13">
        <f>IF(G2192="","",IF(G2192&gt;=22,"Да","Нет"))</f>
        <v/>
      </c>
      <c r="L2192" s="13">
        <f>IF(OR(I2192="",J2192=""),"Не определено",IF(OR(COUNTIF(I2192,"45*")&gt;0,COUNTIF(J2192,"*45*")&gt;0,COUNTIF(I2192,"46*")&gt;0,COUNTIF(J2192,"*46*")&gt;0,COUNTIF(I2192,"47*")&gt;0,COUNTIF(J2192,"*47*")&gt;0,COUNTIF(I2192,"10*")&gt;0,COUNTIF(J2192,"*10*")&gt;0,COUNTIF(I2192,"11*")&gt;0,COUNTIF(J2192,"*11*")&gt;0,COUNTIF(I2192,"12*")&gt;0,COUNTIF(J2192,"*12*")&gt;0,COUNTIF(I2192,"13*")&gt;0,COUNTIF(J2192,"*13*")&gt;0,COUNTIF(I2192,"14*")&gt;0,COUNTIF(J2192,"*14*")&gt;0,COUNTIF(I2192,"15*")&gt;0,COUNTIF(J2192,"*15*")&gt;0,COUNTIF(I2192,"16*")&gt;0,COUNTIF(J2192,"*16*")&gt;0,COUNTIF(I2192,"17*")&gt;0,COUNTIF(J2192,"*17*")&gt;0,COUNTIF(I2192,"18*")&gt;0,COUNTIF(J2192,"*18*")&gt;0,COUNTIF(I2192,"19*")&gt;0,COUNTIF(J2192,"*19*")&gt;0,COUNTIF(I2192,"20*")&gt;0,COUNTIF(J2192,"*20*")&gt;0,COUNTIF(I2192,"21*")&gt;0,COUNTIF(J2192,"*21*")&gt;0,COUNTIF(I2192,"22*")&gt;0,COUNTIF(J2192,"*22*")&gt;0,COUNTIF(I2192,"23*")&gt;0,COUNTIF(J2192,"*23*")&gt;0,COUNTIF(I2192,"24*")&gt;0,COUNTIF(J2192,"*24*")&gt;0,COUNTIF(I2192,"25*")&gt;0,COUNTIF(J2192,"*25*")&gt;0,COUNTIF(I2192,"26*")&gt;0,COUNTIF(J2192,"*26*")&gt;0,COUNTIF(I2192,"27*")&gt;0,COUNTIF(J2192,"*27*")&gt;0,COUNTIF(I2192,"28*")&gt;0,COUNTIF(J2192,"*28*")&gt;0,COUNTIF(I2192,"29*")&gt;0,COUNTIF(J2192,"*29*")&gt;0,COUNTIF(I2192,"30*")&gt;0,COUNTIF(J2192,"*30*")&gt;0,COUNTIF(I2192,"31*")&gt;0,COUNTIF(J2192,"*31*")&gt;0,COUNTIF(I2192,"32*")&gt;0,COUNTIF(J2192,"*32*")&gt;0,COUNTIF(I2192,"33*")&gt;0,COUNTIF(J2192,"*33*")&gt;0,COUNTIF(I2192,"41*")&gt;0,COUNTIF(J2192,"*41*")&gt;0,COUNTIF(I2192,"42*")&gt;0,COUNTIF(J2192,"*42*")&gt;0,COUNTIF(I2192,"43*")&gt;0,COUNTIF(J2192,"*43*")&gt;0,COUNTIF(I2192,"49*")&gt;0,COUNTIF(J2192,"*49*")&gt;0,COUNTIF(I2192,"52*")&gt;0,COUNTIF(J2192,"*52*")&gt;0,COUNTIF(I2192,"55*")&gt;0,COUNTIF(J2192,"*55*")&gt;0,COUNTIF(I2192,"56*")&gt;0,COUNTIF(J2192,"*56*")&gt;0,COUNTIF(I2192,"68*")&gt;0,COUNTIF(J2192,"*68*")&gt;0,COUNTIF(I2192,"78*")&gt;0,COUNTIF(J2192,"*78*")&gt;0,COUNTIF(I2192,"81*")&gt;0,COUNTIF(J2192,"*81*")&gt;0,COUNTIF(I2192,"82*")&gt;0,COUNTIF(J2192,"*82*")&gt;0,COUNTIF(I2192,"64*")&gt;0,COUNTIF(J2192,"*64*")&gt;0,COUNTIF(I2192,"65*")&gt;0,COUNTIF(J2192,"*65*")&gt;0,COUNTIF(I2192,"66*")&gt;0,COUNTIF(J2192,"*66*")&gt;0,COUNTIF(I2192,"61*")&gt;0,COUNTIF(J2192,"*61*")&gt;0,COUNTIF(I2192,"62*")&gt;0,COUNTIF(J2192,"*62*")&gt;0,COUNTIF(I2192,"63*")&gt;0,COUNTIF(J2192,"*63*")&gt;0,COUNTIF(I2192,"85*")&gt;0,COUNTIF(J2192,"*85*")&gt;0,COUNTIF(I2192,"86*")&gt;0,COUNTIF(J2192,"*86*")&gt;0),"Да","Нет"))</f>
        <v/>
      </c>
      <c r="M2192" s="13">
        <f>IF(OR(G2192="",L2192&lt;&gt;"Да"),"",IF(G2192&lt;=100,"До 100",IF(G2192&lt;=200,"До 200",IF(G2192&lt;=500,"До 500","Отдельное КП"))))</f>
        <v/>
      </c>
      <c r="N2192" s="15">
        <f>IF(OR(G2192="",L2192&lt;&gt;"Да"),"",IF(G2192&lt;=100,33600,IF(G2192&lt;=200,62400,IF(G2192&lt;=500,144000,""))))</f>
        <v/>
      </c>
      <c r="O2192" s="16">
        <f>IF(G2192="","",IF(G2192&lt;=15,"1–15",IF(G2192&lt;=30,"16–30",IF(G2192&lt;=50,"31–50",IF(G2192&lt;=100,"51–100",IF(G2192&lt;=150,"101–150",IF(G2192&lt;=200,"151–200",IF(G2192&lt;=500,"201–500","500+"))))))))</f>
        <v/>
      </c>
      <c r="P2192" s="16" t="inlineStr">
        <is>
          <t>Нет совпадения в предоставленной выгрузке ССЧР</t>
        </is>
      </c>
      <c r="Q2192" s="16" t="n"/>
      <c r="R2192" s="16">
        <f>HYPERLINK("https://checko.ru/search?query=3801001629","Чекко: проверить")</f>
        <v/>
      </c>
      <c r="S2192" t="n">
        <v>0</v>
      </c>
    </row>
    <row r="2193" ht="15" customHeight="1" s="24">
      <c r="A2193" s="13" t="n">
        <v>5000094621</v>
      </c>
      <c r="B2193" s="13" t="inlineStr">
        <is>
          <t>МКОУ СОШ № 2 Г.П. Терек</t>
        </is>
      </c>
      <c r="C2193" s="13" t="n">
        <v>705001525</v>
      </c>
      <c r="D2193" s="13" t="n"/>
      <c r="E2193" s="13" t="inlineStr">
        <is>
          <t>Не определён</t>
        </is>
      </c>
      <c r="F2193" s="13" t="inlineStr">
        <is>
          <t>705001525</t>
        </is>
      </c>
      <c r="G2193" s="14" t="n"/>
      <c r="H2193" s="14" t="n"/>
      <c r="I2193" s="14" t="n"/>
      <c r="J2193" s="14" t="n"/>
      <c r="K2193" s="13">
        <f>IF(G2193="","",IF(G2193&gt;=22,"Да","Нет"))</f>
        <v/>
      </c>
      <c r="L2193" s="13">
        <f>IF(OR(I2193="",J2193=""),"Не определено",IF(OR(COUNTIF(I2193,"45*")&gt;0,COUNTIF(J2193,"*45*")&gt;0,COUNTIF(I2193,"46*")&gt;0,COUNTIF(J2193,"*46*")&gt;0,COUNTIF(I2193,"47*")&gt;0,COUNTIF(J2193,"*47*")&gt;0,COUNTIF(I2193,"10*")&gt;0,COUNTIF(J2193,"*10*")&gt;0,COUNTIF(I2193,"11*")&gt;0,COUNTIF(J2193,"*11*")&gt;0,COUNTIF(I2193,"12*")&gt;0,COUNTIF(J2193,"*12*")&gt;0,COUNTIF(I2193,"13*")&gt;0,COUNTIF(J2193,"*13*")&gt;0,COUNTIF(I2193,"14*")&gt;0,COUNTIF(J2193,"*14*")&gt;0,COUNTIF(I2193,"15*")&gt;0,COUNTIF(J2193,"*15*")&gt;0,COUNTIF(I2193,"16*")&gt;0,COUNTIF(J2193,"*16*")&gt;0,COUNTIF(I2193,"17*")&gt;0,COUNTIF(J2193,"*17*")&gt;0,COUNTIF(I2193,"18*")&gt;0,COUNTIF(J2193,"*18*")&gt;0,COUNTIF(I2193,"19*")&gt;0,COUNTIF(J2193,"*19*")&gt;0,COUNTIF(I2193,"20*")&gt;0,COUNTIF(J2193,"*20*")&gt;0,COUNTIF(I2193,"21*")&gt;0,COUNTIF(J2193,"*21*")&gt;0,COUNTIF(I2193,"22*")&gt;0,COUNTIF(J2193,"*22*")&gt;0,COUNTIF(I2193,"23*")&gt;0,COUNTIF(J2193,"*23*")&gt;0,COUNTIF(I2193,"24*")&gt;0,COUNTIF(J2193,"*24*")&gt;0,COUNTIF(I2193,"25*")&gt;0,COUNTIF(J2193,"*25*")&gt;0,COUNTIF(I2193,"26*")&gt;0,COUNTIF(J2193,"*26*")&gt;0,COUNTIF(I2193,"27*")&gt;0,COUNTIF(J2193,"*27*")&gt;0,COUNTIF(I2193,"28*")&gt;0,COUNTIF(J2193,"*28*")&gt;0,COUNTIF(I2193,"29*")&gt;0,COUNTIF(J2193,"*29*")&gt;0,COUNTIF(I2193,"30*")&gt;0,COUNTIF(J2193,"*30*")&gt;0,COUNTIF(I2193,"31*")&gt;0,COUNTIF(J2193,"*31*")&gt;0,COUNTIF(I2193,"32*")&gt;0,COUNTIF(J2193,"*32*")&gt;0,COUNTIF(I2193,"33*")&gt;0,COUNTIF(J2193,"*33*")&gt;0,COUNTIF(I2193,"41*")&gt;0,COUNTIF(J2193,"*41*")&gt;0,COUNTIF(I2193,"42*")&gt;0,COUNTIF(J2193,"*42*")&gt;0,COUNTIF(I2193,"43*")&gt;0,COUNTIF(J2193,"*43*")&gt;0,COUNTIF(I2193,"49*")&gt;0,COUNTIF(J2193,"*49*")&gt;0,COUNTIF(I2193,"52*")&gt;0,COUNTIF(J2193,"*52*")&gt;0,COUNTIF(I2193,"55*")&gt;0,COUNTIF(J2193,"*55*")&gt;0,COUNTIF(I2193,"56*")&gt;0,COUNTIF(J2193,"*56*")&gt;0,COUNTIF(I2193,"68*")&gt;0,COUNTIF(J2193,"*68*")&gt;0,COUNTIF(I2193,"78*")&gt;0,COUNTIF(J2193,"*78*")&gt;0,COUNTIF(I2193,"81*")&gt;0,COUNTIF(J2193,"*81*")&gt;0,COUNTIF(I2193,"82*")&gt;0,COUNTIF(J2193,"*82*")&gt;0,COUNTIF(I2193,"64*")&gt;0,COUNTIF(J2193,"*64*")&gt;0,COUNTIF(I2193,"65*")&gt;0,COUNTIF(J2193,"*65*")&gt;0,COUNTIF(I2193,"66*")&gt;0,COUNTIF(J2193,"*66*")&gt;0,COUNTIF(I2193,"61*")&gt;0,COUNTIF(J2193,"*61*")&gt;0,COUNTIF(I2193,"62*")&gt;0,COUNTIF(J2193,"*62*")&gt;0,COUNTIF(I2193,"63*")&gt;0,COUNTIF(J2193,"*63*")&gt;0,COUNTIF(I2193,"85*")&gt;0,COUNTIF(J2193,"*85*")&gt;0,COUNTIF(I2193,"86*")&gt;0,COUNTIF(J2193,"*86*")&gt;0),"Да","Нет"))</f>
        <v/>
      </c>
      <c r="M2193" s="13">
        <f>IF(OR(G2193="",L2193&lt;&gt;"Да"),"",IF(G2193&lt;=100,"До 100",IF(G2193&lt;=200,"До 200",IF(G2193&lt;=500,"До 500","Отдельное КП"))))</f>
        <v/>
      </c>
      <c r="N2193" s="15">
        <f>IF(OR(G2193="",L2193&lt;&gt;"Да"),"",IF(G2193&lt;=100,33600,IF(G2193&lt;=200,62400,IF(G2193&lt;=500,144000,""))))</f>
        <v/>
      </c>
      <c r="O2193" s="16">
        <f>IF(G2193="","",IF(G2193&lt;=15,"1–15",IF(G2193&lt;=30,"16–30",IF(G2193&lt;=50,"31–50",IF(G2193&lt;=100,"51–100",IF(G2193&lt;=150,"101–150",IF(G2193&lt;=200,"151–200",IF(G2193&lt;=500,"201–500","500+"))))))))</f>
        <v/>
      </c>
      <c r="P2193" s="16" t="inlineStr">
        <is>
          <t>Нет совпадения в предоставленной выгрузке ССЧР</t>
        </is>
      </c>
      <c r="Q2193" s="16" t="n"/>
      <c r="R2193" s="16">
        <f>HYPERLINK("https://checko.ru/search?query=3801001629","Чекко: проверить")</f>
        <v/>
      </c>
      <c r="S2193" t="n">
        <v>0</v>
      </c>
    </row>
    <row r="2194" ht="15" customHeight="1" s="24">
      <c r="A2194" s="13" t="n">
        <v>5000094623</v>
      </c>
      <c r="B2194" s="13" t="inlineStr">
        <is>
          <t>МКОУ "Прогимназия №1 Г.П. Терек"</t>
        </is>
      </c>
      <c r="C2194" s="13" t="n">
        <v>705001606</v>
      </c>
      <c r="D2194" s="13" t="n"/>
      <c r="E2194" s="13" t="inlineStr">
        <is>
          <t>Не определён</t>
        </is>
      </c>
      <c r="F2194" s="13" t="inlineStr">
        <is>
          <t>705001606</t>
        </is>
      </c>
      <c r="G2194" s="14" t="n"/>
      <c r="H2194" s="14" t="n"/>
      <c r="I2194" s="14" t="n"/>
      <c r="J2194" s="14" t="n"/>
      <c r="K2194" s="13">
        <f>IF(G2194="","",IF(G2194&gt;=22,"Да","Нет"))</f>
        <v/>
      </c>
      <c r="L2194" s="13">
        <f>IF(OR(I2194="",J2194=""),"Не определено",IF(OR(COUNTIF(I2194,"45*")&gt;0,COUNTIF(J2194,"*45*")&gt;0,COUNTIF(I2194,"46*")&gt;0,COUNTIF(J2194,"*46*")&gt;0,COUNTIF(I2194,"47*")&gt;0,COUNTIF(J2194,"*47*")&gt;0,COUNTIF(I2194,"10*")&gt;0,COUNTIF(J2194,"*10*")&gt;0,COUNTIF(I2194,"11*")&gt;0,COUNTIF(J2194,"*11*")&gt;0,COUNTIF(I2194,"12*")&gt;0,COUNTIF(J2194,"*12*")&gt;0,COUNTIF(I2194,"13*")&gt;0,COUNTIF(J2194,"*13*")&gt;0,COUNTIF(I2194,"14*")&gt;0,COUNTIF(J2194,"*14*")&gt;0,COUNTIF(I2194,"15*")&gt;0,COUNTIF(J2194,"*15*")&gt;0,COUNTIF(I2194,"16*")&gt;0,COUNTIF(J2194,"*16*")&gt;0,COUNTIF(I2194,"17*")&gt;0,COUNTIF(J2194,"*17*")&gt;0,COUNTIF(I2194,"18*")&gt;0,COUNTIF(J2194,"*18*")&gt;0,COUNTIF(I2194,"19*")&gt;0,COUNTIF(J2194,"*19*")&gt;0,COUNTIF(I2194,"20*")&gt;0,COUNTIF(J2194,"*20*")&gt;0,COUNTIF(I2194,"21*")&gt;0,COUNTIF(J2194,"*21*")&gt;0,COUNTIF(I2194,"22*")&gt;0,COUNTIF(J2194,"*22*")&gt;0,COUNTIF(I2194,"23*")&gt;0,COUNTIF(J2194,"*23*")&gt;0,COUNTIF(I2194,"24*")&gt;0,COUNTIF(J2194,"*24*")&gt;0,COUNTIF(I2194,"25*")&gt;0,COUNTIF(J2194,"*25*")&gt;0,COUNTIF(I2194,"26*")&gt;0,COUNTIF(J2194,"*26*")&gt;0,COUNTIF(I2194,"27*")&gt;0,COUNTIF(J2194,"*27*")&gt;0,COUNTIF(I2194,"28*")&gt;0,COUNTIF(J2194,"*28*")&gt;0,COUNTIF(I2194,"29*")&gt;0,COUNTIF(J2194,"*29*")&gt;0,COUNTIF(I2194,"30*")&gt;0,COUNTIF(J2194,"*30*")&gt;0,COUNTIF(I2194,"31*")&gt;0,COUNTIF(J2194,"*31*")&gt;0,COUNTIF(I2194,"32*")&gt;0,COUNTIF(J2194,"*32*")&gt;0,COUNTIF(I2194,"33*")&gt;0,COUNTIF(J2194,"*33*")&gt;0,COUNTIF(I2194,"41*")&gt;0,COUNTIF(J2194,"*41*")&gt;0,COUNTIF(I2194,"42*")&gt;0,COUNTIF(J2194,"*42*")&gt;0,COUNTIF(I2194,"43*")&gt;0,COUNTIF(J2194,"*43*")&gt;0,COUNTIF(I2194,"49*")&gt;0,COUNTIF(J2194,"*49*")&gt;0,COUNTIF(I2194,"52*")&gt;0,COUNTIF(J2194,"*52*")&gt;0,COUNTIF(I2194,"55*")&gt;0,COUNTIF(J2194,"*55*")&gt;0,COUNTIF(I2194,"56*")&gt;0,COUNTIF(J2194,"*56*")&gt;0,COUNTIF(I2194,"68*")&gt;0,COUNTIF(J2194,"*68*")&gt;0,COUNTIF(I2194,"78*")&gt;0,COUNTIF(J2194,"*78*")&gt;0,COUNTIF(I2194,"81*")&gt;0,COUNTIF(J2194,"*81*")&gt;0,COUNTIF(I2194,"82*")&gt;0,COUNTIF(J2194,"*82*")&gt;0,COUNTIF(I2194,"64*")&gt;0,COUNTIF(J2194,"*64*")&gt;0,COUNTIF(I2194,"65*")&gt;0,COUNTIF(J2194,"*65*")&gt;0,COUNTIF(I2194,"66*")&gt;0,COUNTIF(J2194,"*66*")&gt;0,COUNTIF(I2194,"61*")&gt;0,COUNTIF(J2194,"*61*")&gt;0,COUNTIF(I2194,"62*")&gt;0,COUNTIF(J2194,"*62*")&gt;0,COUNTIF(I2194,"63*")&gt;0,COUNTIF(J2194,"*63*")&gt;0,COUNTIF(I2194,"85*")&gt;0,COUNTIF(J2194,"*85*")&gt;0,COUNTIF(I2194,"86*")&gt;0,COUNTIF(J2194,"*86*")&gt;0),"Да","Нет"))</f>
        <v/>
      </c>
      <c r="M2194" s="13">
        <f>IF(OR(G2194="",L2194&lt;&gt;"Да"),"",IF(G2194&lt;=100,"До 100",IF(G2194&lt;=200,"До 200",IF(G2194&lt;=500,"До 500","Отдельное КП"))))</f>
        <v/>
      </c>
      <c r="N2194" s="15">
        <f>IF(OR(G2194="",L2194&lt;&gt;"Да"),"",IF(G2194&lt;=100,33600,IF(G2194&lt;=200,62400,IF(G2194&lt;=500,144000,""))))</f>
        <v/>
      </c>
      <c r="O2194" s="16">
        <f>IF(G2194="","",IF(G2194&lt;=15,"1–15",IF(G2194&lt;=30,"16–30",IF(G2194&lt;=50,"31–50",IF(G2194&lt;=100,"51–100",IF(G2194&lt;=150,"101–150",IF(G2194&lt;=200,"151–200",IF(G2194&lt;=500,"201–500","500+"))))))))</f>
        <v/>
      </c>
      <c r="P2194" s="16" t="inlineStr">
        <is>
          <t>Нет совпадения в предоставленной выгрузке ССЧР</t>
        </is>
      </c>
      <c r="Q2194" s="16" t="n"/>
      <c r="R2194" s="16">
        <f>HYPERLINK("https://checko.ru/search?query=3801001629","Чекко: проверить")</f>
        <v/>
      </c>
      <c r="S2194" t="n">
        <v>0</v>
      </c>
    </row>
    <row r="2195" ht="15" customHeight="1" s="24">
      <c r="A2195" s="13" t="n">
        <v>5000094624</v>
      </c>
      <c r="B2195" s="13" t="inlineStr">
        <is>
          <t>МКОУ "Прогимназия №3  гп Терек "</t>
        </is>
      </c>
      <c r="C2195" s="13" t="n">
        <v>705001613</v>
      </c>
      <c r="D2195" s="13" t="n"/>
      <c r="E2195" s="13" t="inlineStr">
        <is>
          <t>Не определён</t>
        </is>
      </c>
      <c r="F2195" s="13" t="inlineStr">
        <is>
          <t>705001613</t>
        </is>
      </c>
      <c r="G2195" s="14" t="n"/>
      <c r="H2195" s="14" t="n"/>
      <c r="I2195" s="14" t="n"/>
      <c r="J2195" s="14" t="n"/>
      <c r="K2195" s="13">
        <f>IF(G2195="","",IF(G2195&gt;=22,"Да","Нет"))</f>
        <v/>
      </c>
      <c r="L2195" s="13">
        <f>IF(OR(I2195="",J2195=""),"Не определено",IF(OR(COUNTIF(I2195,"45*")&gt;0,COUNTIF(J2195,"*45*")&gt;0,COUNTIF(I2195,"46*")&gt;0,COUNTIF(J2195,"*46*")&gt;0,COUNTIF(I2195,"47*")&gt;0,COUNTIF(J2195,"*47*")&gt;0,COUNTIF(I2195,"10*")&gt;0,COUNTIF(J2195,"*10*")&gt;0,COUNTIF(I2195,"11*")&gt;0,COUNTIF(J2195,"*11*")&gt;0,COUNTIF(I2195,"12*")&gt;0,COUNTIF(J2195,"*12*")&gt;0,COUNTIF(I2195,"13*")&gt;0,COUNTIF(J2195,"*13*")&gt;0,COUNTIF(I2195,"14*")&gt;0,COUNTIF(J2195,"*14*")&gt;0,COUNTIF(I2195,"15*")&gt;0,COUNTIF(J2195,"*15*")&gt;0,COUNTIF(I2195,"16*")&gt;0,COUNTIF(J2195,"*16*")&gt;0,COUNTIF(I2195,"17*")&gt;0,COUNTIF(J2195,"*17*")&gt;0,COUNTIF(I2195,"18*")&gt;0,COUNTIF(J2195,"*18*")&gt;0,COUNTIF(I2195,"19*")&gt;0,COUNTIF(J2195,"*19*")&gt;0,COUNTIF(I2195,"20*")&gt;0,COUNTIF(J2195,"*20*")&gt;0,COUNTIF(I2195,"21*")&gt;0,COUNTIF(J2195,"*21*")&gt;0,COUNTIF(I2195,"22*")&gt;0,COUNTIF(J2195,"*22*")&gt;0,COUNTIF(I2195,"23*")&gt;0,COUNTIF(J2195,"*23*")&gt;0,COUNTIF(I2195,"24*")&gt;0,COUNTIF(J2195,"*24*")&gt;0,COUNTIF(I2195,"25*")&gt;0,COUNTIF(J2195,"*25*")&gt;0,COUNTIF(I2195,"26*")&gt;0,COUNTIF(J2195,"*26*")&gt;0,COUNTIF(I2195,"27*")&gt;0,COUNTIF(J2195,"*27*")&gt;0,COUNTIF(I2195,"28*")&gt;0,COUNTIF(J2195,"*28*")&gt;0,COUNTIF(I2195,"29*")&gt;0,COUNTIF(J2195,"*29*")&gt;0,COUNTIF(I2195,"30*")&gt;0,COUNTIF(J2195,"*30*")&gt;0,COUNTIF(I2195,"31*")&gt;0,COUNTIF(J2195,"*31*")&gt;0,COUNTIF(I2195,"32*")&gt;0,COUNTIF(J2195,"*32*")&gt;0,COUNTIF(I2195,"33*")&gt;0,COUNTIF(J2195,"*33*")&gt;0,COUNTIF(I2195,"41*")&gt;0,COUNTIF(J2195,"*41*")&gt;0,COUNTIF(I2195,"42*")&gt;0,COUNTIF(J2195,"*42*")&gt;0,COUNTIF(I2195,"43*")&gt;0,COUNTIF(J2195,"*43*")&gt;0,COUNTIF(I2195,"49*")&gt;0,COUNTIF(J2195,"*49*")&gt;0,COUNTIF(I2195,"52*")&gt;0,COUNTIF(J2195,"*52*")&gt;0,COUNTIF(I2195,"55*")&gt;0,COUNTIF(J2195,"*55*")&gt;0,COUNTIF(I2195,"56*")&gt;0,COUNTIF(J2195,"*56*")&gt;0,COUNTIF(I2195,"68*")&gt;0,COUNTIF(J2195,"*68*")&gt;0,COUNTIF(I2195,"78*")&gt;0,COUNTIF(J2195,"*78*")&gt;0,COUNTIF(I2195,"81*")&gt;0,COUNTIF(J2195,"*81*")&gt;0,COUNTIF(I2195,"82*")&gt;0,COUNTIF(J2195,"*82*")&gt;0,COUNTIF(I2195,"64*")&gt;0,COUNTIF(J2195,"*64*")&gt;0,COUNTIF(I2195,"65*")&gt;0,COUNTIF(J2195,"*65*")&gt;0,COUNTIF(I2195,"66*")&gt;0,COUNTIF(J2195,"*66*")&gt;0,COUNTIF(I2195,"61*")&gt;0,COUNTIF(J2195,"*61*")&gt;0,COUNTIF(I2195,"62*")&gt;0,COUNTIF(J2195,"*62*")&gt;0,COUNTIF(I2195,"63*")&gt;0,COUNTIF(J2195,"*63*")&gt;0,COUNTIF(I2195,"85*")&gt;0,COUNTIF(J2195,"*85*")&gt;0,COUNTIF(I2195,"86*")&gt;0,COUNTIF(J2195,"*86*")&gt;0),"Да","Нет"))</f>
        <v/>
      </c>
      <c r="M2195" s="13">
        <f>IF(OR(G2195="",L2195&lt;&gt;"Да"),"",IF(G2195&lt;=100,"До 100",IF(G2195&lt;=200,"До 200",IF(G2195&lt;=500,"До 500","Отдельное КП"))))</f>
        <v/>
      </c>
      <c r="N2195" s="15">
        <f>IF(OR(G2195="",L2195&lt;&gt;"Да"),"",IF(G2195&lt;=100,33600,IF(G2195&lt;=200,62400,IF(G2195&lt;=500,144000,""))))</f>
        <v/>
      </c>
      <c r="O2195" s="16">
        <f>IF(G2195="","",IF(G2195&lt;=15,"1–15",IF(G2195&lt;=30,"16–30",IF(G2195&lt;=50,"31–50",IF(G2195&lt;=100,"51–100",IF(G2195&lt;=150,"101–150",IF(G2195&lt;=200,"151–200",IF(G2195&lt;=500,"201–500","500+"))))))))</f>
        <v/>
      </c>
      <c r="P2195" s="16" t="inlineStr">
        <is>
          <t>Нет совпадения в предоставленной выгрузке ССЧР</t>
        </is>
      </c>
      <c r="Q2195" s="16" t="n"/>
      <c r="R2195" s="16">
        <f>HYPERLINK("https://checko.ru/search?query=3801001629","Чекко: проверить")</f>
        <v/>
      </c>
      <c r="S2195" t="n">
        <v>0</v>
      </c>
    </row>
    <row r="2196" ht="15" customHeight="1" s="24">
      <c r="A2196" s="13" t="n">
        <v>5000094626</v>
      </c>
      <c r="B2196" s="13" t="inlineStr">
        <is>
          <t>МУ "Местная Администрация сп Арик"</t>
        </is>
      </c>
      <c r="C2196" s="13" t="n">
        <v>705001719</v>
      </c>
      <c r="D2196" s="13" t="n"/>
      <c r="E2196" s="13" t="inlineStr">
        <is>
          <t>Не определён</t>
        </is>
      </c>
      <c r="F2196" s="13" t="inlineStr">
        <is>
          <t>705001719</t>
        </is>
      </c>
      <c r="G2196" s="14" t="n"/>
      <c r="H2196" s="14" t="n"/>
      <c r="I2196" s="14" t="n"/>
      <c r="J2196" s="14" t="n"/>
      <c r="K2196" s="13">
        <f>IF(G2196="","",IF(G2196&gt;=22,"Да","Нет"))</f>
        <v/>
      </c>
      <c r="L2196" s="13">
        <f>IF(OR(I2196="",J2196=""),"Не определено",IF(OR(COUNTIF(I2196,"45*")&gt;0,COUNTIF(J2196,"*45*")&gt;0,COUNTIF(I2196,"46*")&gt;0,COUNTIF(J2196,"*46*")&gt;0,COUNTIF(I2196,"47*")&gt;0,COUNTIF(J2196,"*47*")&gt;0,COUNTIF(I2196,"10*")&gt;0,COUNTIF(J2196,"*10*")&gt;0,COUNTIF(I2196,"11*")&gt;0,COUNTIF(J2196,"*11*")&gt;0,COUNTIF(I2196,"12*")&gt;0,COUNTIF(J2196,"*12*")&gt;0,COUNTIF(I2196,"13*")&gt;0,COUNTIF(J2196,"*13*")&gt;0,COUNTIF(I2196,"14*")&gt;0,COUNTIF(J2196,"*14*")&gt;0,COUNTIF(I2196,"15*")&gt;0,COUNTIF(J2196,"*15*")&gt;0,COUNTIF(I2196,"16*")&gt;0,COUNTIF(J2196,"*16*")&gt;0,COUNTIF(I2196,"17*")&gt;0,COUNTIF(J2196,"*17*")&gt;0,COUNTIF(I2196,"18*")&gt;0,COUNTIF(J2196,"*18*")&gt;0,COUNTIF(I2196,"19*")&gt;0,COUNTIF(J2196,"*19*")&gt;0,COUNTIF(I2196,"20*")&gt;0,COUNTIF(J2196,"*20*")&gt;0,COUNTIF(I2196,"21*")&gt;0,COUNTIF(J2196,"*21*")&gt;0,COUNTIF(I2196,"22*")&gt;0,COUNTIF(J2196,"*22*")&gt;0,COUNTIF(I2196,"23*")&gt;0,COUNTIF(J2196,"*23*")&gt;0,COUNTIF(I2196,"24*")&gt;0,COUNTIF(J2196,"*24*")&gt;0,COUNTIF(I2196,"25*")&gt;0,COUNTIF(J2196,"*25*")&gt;0,COUNTIF(I2196,"26*")&gt;0,COUNTIF(J2196,"*26*")&gt;0,COUNTIF(I2196,"27*")&gt;0,COUNTIF(J2196,"*27*")&gt;0,COUNTIF(I2196,"28*")&gt;0,COUNTIF(J2196,"*28*")&gt;0,COUNTIF(I2196,"29*")&gt;0,COUNTIF(J2196,"*29*")&gt;0,COUNTIF(I2196,"30*")&gt;0,COUNTIF(J2196,"*30*")&gt;0,COUNTIF(I2196,"31*")&gt;0,COUNTIF(J2196,"*31*")&gt;0,COUNTIF(I2196,"32*")&gt;0,COUNTIF(J2196,"*32*")&gt;0,COUNTIF(I2196,"33*")&gt;0,COUNTIF(J2196,"*33*")&gt;0,COUNTIF(I2196,"41*")&gt;0,COUNTIF(J2196,"*41*")&gt;0,COUNTIF(I2196,"42*")&gt;0,COUNTIF(J2196,"*42*")&gt;0,COUNTIF(I2196,"43*")&gt;0,COUNTIF(J2196,"*43*")&gt;0,COUNTIF(I2196,"49*")&gt;0,COUNTIF(J2196,"*49*")&gt;0,COUNTIF(I2196,"52*")&gt;0,COUNTIF(J2196,"*52*")&gt;0,COUNTIF(I2196,"55*")&gt;0,COUNTIF(J2196,"*55*")&gt;0,COUNTIF(I2196,"56*")&gt;0,COUNTIF(J2196,"*56*")&gt;0,COUNTIF(I2196,"68*")&gt;0,COUNTIF(J2196,"*68*")&gt;0,COUNTIF(I2196,"78*")&gt;0,COUNTIF(J2196,"*78*")&gt;0,COUNTIF(I2196,"81*")&gt;0,COUNTIF(J2196,"*81*")&gt;0,COUNTIF(I2196,"82*")&gt;0,COUNTIF(J2196,"*82*")&gt;0,COUNTIF(I2196,"64*")&gt;0,COUNTIF(J2196,"*64*")&gt;0,COUNTIF(I2196,"65*")&gt;0,COUNTIF(J2196,"*65*")&gt;0,COUNTIF(I2196,"66*")&gt;0,COUNTIF(J2196,"*66*")&gt;0,COUNTIF(I2196,"61*")&gt;0,COUNTIF(J2196,"*61*")&gt;0,COUNTIF(I2196,"62*")&gt;0,COUNTIF(J2196,"*62*")&gt;0,COUNTIF(I2196,"63*")&gt;0,COUNTIF(J2196,"*63*")&gt;0,COUNTIF(I2196,"85*")&gt;0,COUNTIF(J2196,"*85*")&gt;0,COUNTIF(I2196,"86*")&gt;0,COUNTIF(J2196,"*86*")&gt;0),"Да","Нет"))</f>
        <v/>
      </c>
      <c r="M2196" s="13">
        <f>IF(OR(G2196="",L2196&lt;&gt;"Да"),"",IF(G2196&lt;=100,"До 100",IF(G2196&lt;=200,"До 200",IF(G2196&lt;=500,"До 500","Отдельное КП"))))</f>
        <v/>
      </c>
      <c r="N2196" s="15">
        <f>IF(OR(G2196="",L2196&lt;&gt;"Да"),"",IF(G2196&lt;=100,33600,IF(G2196&lt;=200,62400,IF(G2196&lt;=500,144000,""))))</f>
        <v/>
      </c>
      <c r="O2196" s="16">
        <f>IF(G2196="","",IF(G2196&lt;=15,"1–15",IF(G2196&lt;=30,"16–30",IF(G2196&lt;=50,"31–50",IF(G2196&lt;=100,"51–100",IF(G2196&lt;=150,"101–150",IF(G2196&lt;=200,"151–200",IF(G2196&lt;=500,"201–500","500+"))))))))</f>
        <v/>
      </c>
      <c r="P2196" s="16" t="inlineStr">
        <is>
          <t>Нет совпадения в предоставленной выгрузке ССЧР</t>
        </is>
      </c>
      <c r="Q2196" s="16" t="n"/>
      <c r="R2196" s="16">
        <f>HYPERLINK("https://checko.ru/search?query=3801001629","Чекко: проверить")</f>
        <v/>
      </c>
      <c r="S2196" t="n">
        <v>0</v>
      </c>
    </row>
    <row r="2197" ht="15" customHeight="1" s="24">
      <c r="A2197" s="13" t="n">
        <v>5000094627</v>
      </c>
      <c r="B2197" s="13" t="inlineStr">
        <is>
          <t>МУ "Местная Администрация СП Терекское"</t>
        </is>
      </c>
      <c r="C2197" s="13" t="n">
        <v>705001740</v>
      </c>
      <c r="D2197" s="13" t="n"/>
      <c r="E2197" s="13" t="inlineStr">
        <is>
          <t>Не определён</t>
        </is>
      </c>
      <c r="F2197" s="13" t="inlineStr">
        <is>
          <t>705001740</t>
        </is>
      </c>
      <c r="G2197" s="14" t="n"/>
      <c r="H2197" s="14" t="n"/>
      <c r="I2197" s="14" t="n"/>
      <c r="J2197" s="14" t="n"/>
      <c r="K2197" s="13">
        <f>IF(G2197="","",IF(G2197&gt;=22,"Да","Нет"))</f>
        <v/>
      </c>
      <c r="L2197" s="13">
        <f>IF(OR(I2197="",J2197=""),"Не определено",IF(OR(COUNTIF(I2197,"45*")&gt;0,COUNTIF(J2197,"*45*")&gt;0,COUNTIF(I2197,"46*")&gt;0,COUNTIF(J2197,"*46*")&gt;0,COUNTIF(I2197,"47*")&gt;0,COUNTIF(J2197,"*47*")&gt;0,COUNTIF(I2197,"10*")&gt;0,COUNTIF(J2197,"*10*")&gt;0,COUNTIF(I2197,"11*")&gt;0,COUNTIF(J2197,"*11*")&gt;0,COUNTIF(I2197,"12*")&gt;0,COUNTIF(J2197,"*12*")&gt;0,COUNTIF(I2197,"13*")&gt;0,COUNTIF(J2197,"*13*")&gt;0,COUNTIF(I2197,"14*")&gt;0,COUNTIF(J2197,"*14*")&gt;0,COUNTIF(I2197,"15*")&gt;0,COUNTIF(J2197,"*15*")&gt;0,COUNTIF(I2197,"16*")&gt;0,COUNTIF(J2197,"*16*")&gt;0,COUNTIF(I2197,"17*")&gt;0,COUNTIF(J2197,"*17*")&gt;0,COUNTIF(I2197,"18*")&gt;0,COUNTIF(J2197,"*18*")&gt;0,COUNTIF(I2197,"19*")&gt;0,COUNTIF(J2197,"*19*")&gt;0,COUNTIF(I2197,"20*")&gt;0,COUNTIF(J2197,"*20*")&gt;0,COUNTIF(I2197,"21*")&gt;0,COUNTIF(J2197,"*21*")&gt;0,COUNTIF(I2197,"22*")&gt;0,COUNTIF(J2197,"*22*")&gt;0,COUNTIF(I2197,"23*")&gt;0,COUNTIF(J2197,"*23*")&gt;0,COUNTIF(I2197,"24*")&gt;0,COUNTIF(J2197,"*24*")&gt;0,COUNTIF(I2197,"25*")&gt;0,COUNTIF(J2197,"*25*")&gt;0,COUNTIF(I2197,"26*")&gt;0,COUNTIF(J2197,"*26*")&gt;0,COUNTIF(I2197,"27*")&gt;0,COUNTIF(J2197,"*27*")&gt;0,COUNTIF(I2197,"28*")&gt;0,COUNTIF(J2197,"*28*")&gt;0,COUNTIF(I2197,"29*")&gt;0,COUNTIF(J2197,"*29*")&gt;0,COUNTIF(I2197,"30*")&gt;0,COUNTIF(J2197,"*30*")&gt;0,COUNTIF(I2197,"31*")&gt;0,COUNTIF(J2197,"*31*")&gt;0,COUNTIF(I2197,"32*")&gt;0,COUNTIF(J2197,"*32*")&gt;0,COUNTIF(I2197,"33*")&gt;0,COUNTIF(J2197,"*33*")&gt;0,COUNTIF(I2197,"41*")&gt;0,COUNTIF(J2197,"*41*")&gt;0,COUNTIF(I2197,"42*")&gt;0,COUNTIF(J2197,"*42*")&gt;0,COUNTIF(I2197,"43*")&gt;0,COUNTIF(J2197,"*43*")&gt;0,COUNTIF(I2197,"49*")&gt;0,COUNTIF(J2197,"*49*")&gt;0,COUNTIF(I2197,"52*")&gt;0,COUNTIF(J2197,"*52*")&gt;0,COUNTIF(I2197,"55*")&gt;0,COUNTIF(J2197,"*55*")&gt;0,COUNTIF(I2197,"56*")&gt;0,COUNTIF(J2197,"*56*")&gt;0,COUNTIF(I2197,"68*")&gt;0,COUNTIF(J2197,"*68*")&gt;0,COUNTIF(I2197,"78*")&gt;0,COUNTIF(J2197,"*78*")&gt;0,COUNTIF(I2197,"81*")&gt;0,COUNTIF(J2197,"*81*")&gt;0,COUNTIF(I2197,"82*")&gt;0,COUNTIF(J2197,"*82*")&gt;0,COUNTIF(I2197,"64*")&gt;0,COUNTIF(J2197,"*64*")&gt;0,COUNTIF(I2197,"65*")&gt;0,COUNTIF(J2197,"*65*")&gt;0,COUNTIF(I2197,"66*")&gt;0,COUNTIF(J2197,"*66*")&gt;0,COUNTIF(I2197,"61*")&gt;0,COUNTIF(J2197,"*61*")&gt;0,COUNTIF(I2197,"62*")&gt;0,COUNTIF(J2197,"*62*")&gt;0,COUNTIF(I2197,"63*")&gt;0,COUNTIF(J2197,"*63*")&gt;0,COUNTIF(I2197,"85*")&gt;0,COUNTIF(J2197,"*85*")&gt;0,COUNTIF(I2197,"86*")&gt;0,COUNTIF(J2197,"*86*")&gt;0),"Да","Нет"))</f>
        <v/>
      </c>
      <c r="M2197" s="13">
        <f>IF(OR(G2197="",L2197&lt;&gt;"Да"),"",IF(G2197&lt;=100,"До 100",IF(G2197&lt;=200,"До 200",IF(G2197&lt;=500,"До 500","Отдельное КП"))))</f>
        <v/>
      </c>
      <c r="N2197" s="15">
        <f>IF(OR(G2197="",L2197&lt;&gt;"Да"),"",IF(G2197&lt;=100,33600,IF(G2197&lt;=200,62400,IF(G2197&lt;=500,144000,""))))</f>
        <v/>
      </c>
      <c r="O2197" s="16">
        <f>IF(G2197="","",IF(G2197&lt;=15,"1–15",IF(G2197&lt;=30,"16–30",IF(G2197&lt;=50,"31–50",IF(G2197&lt;=100,"51–100",IF(G2197&lt;=150,"101–150",IF(G2197&lt;=200,"151–200",IF(G2197&lt;=500,"201–500","500+"))))))))</f>
        <v/>
      </c>
      <c r="P2197" s="16" t="inlineStr">
        <is>
          <t>Нет совпадения в предоставленной выгрузке ССЧР</t>
        </is>
      </c>
      <c r="Q2197" s="16" t="n"/>
      <c r="R2197" s="16">
        <f>HYPERLINK("https://checko.ru/search?query=3801001629","Чекко: проверить")</f>
        <v/>
      </c>
      <c r="S2197" t="n">
        <v>0</v>
      </c>
    </row>
    <row r="2198" ht="15" customHeight="1" s="24">
      <c r="A2198" s="13" t="n">
        <v>5000094628</v>
      </c>
      <c r="B2198" s="13" t="inlineStr">
        <is>
          <t>МУ "Местная Администрация сп Хамидие"</t>
        </is>
      </c>
      <c r="C2198" s="13" t="n">
        <v>705001758</v>
      </c>
      <c r="D2198" s="13" t="n"/>
      <c r="E2198" s="13" t="inlineStr">
        <is>
          <t>Не определён</t>
        </is>
      </c>
      <c r="F2198" s="13" t="inlineStr">
        <is>
          <t>705001758</t>
        </is>
      </c>
      <c r="G2198" s="14" t="n"/>
      <c r="H2198" s="14" t="n"/>
      <c r="I2198" s="14" t="n"/>
      <c r="J2198" s="14" t="n"/>
      <c r="K2198" s="13">
        <f>IF(G2198="","",IF(G2198&gt;=22,"Да","Нет"))</f>
        <v/>
      </c>
      <c r="L2198" s="13">
        <f>IF(OR(I2198="",J2198=""),"Не определено",IF(OR(COUNTIF(I2198,"45*")&gt;0,COUNTIF(J2198,"*45*")&gt;0,COUNTIF(I2198,"46*")&gt;0,COUNTIF(J2198,"*46*")&gt;0,COUNTIF(I2198,"47*")&gt;0,COUNTIF(J2198,"*47*")&gt;0,COUNTIF(I2198,"10*")&gt;0,COUNTIF(J2198,"*10*")&gt;0,COUNTIF(I2198,"11*")&gt;0,COUNTIF(J2198,"*11*")&gt;0,COUNTIF(I2198,"12*")&gt;0,COUNTIF(J2198,"*12*")&gt;0,COUNTIF(I2198,"13*")&gt;0,COUNTIF(J2198,"*13*")&gt;0,COUNTIF(I2198,"14*")&gt;0,COUNTIF(J2198,"*14*")&gt;0,COUNTIF(I2198,"15*")&gt;0,COUNTIF(J2198,"*15*")&gt;0,COUNTIF(I2198,"16*")&gt;0,COUNTIF(J2198,"*16*")&gt;0,COUNTIF(I2198,"17*")&gt;0,COUNTIF(J2198,"*17*")&gt;0,COUNTIF(I2198,"18*")&gt;0,COUNTIF(J2198,"*18*")&gt;0,COUNTIF(I2198,"19*")&gt;0,COUNTIF(J2198,"*19*")&gt;0,COUNTIF(I2198,"20*")&gt;0,COUNTIF(J2198,"*20*")&gt;0,COUNTIF(I2198,"21*")&gt;0,COUNTIF(J2198,"*21*")&gt;0,COUNTIF(I2198,"22*")&gt;0,COUNTIF(J2198,"*22*")&gt;0,COUNTIF(I2198,"23*")&gt;0,COUNTIF(J2198,"*23*")&gt;0,COUNTIF(I2198,"24*")&gt;0,COUNTIF(J2198,"*24*")&gt;0,COUNTIF(I2198,"25*")&gt;0,COUNTIF(J2198,"*25*")&gt;0,COUNTIF(I2198,"26*")&gt;0,COUNTIF(J2198,"*26*")&gt;0,COUNTIF(I2198,"27*")&gt;0,COUNTIF(J2198,"*27*")&gt;0,COUNTIF(I2198,"28*")&gt;0,COUNTIF(J2198,"*28*")&gt;0,COUNTIF(I2198,"29*")&gt;0,COUNTIF(J2198,"*29*")&gt;0,COUNTIF(I2198,"30*")&gt;0,COUNTIF(J2198,"*30*")&gt;0,COUNTIF(I2198,"31*")&gt;0,COUNTIF(J2198,"*31*")&gt;0,COUNTIF(I2198,"32*")&gt;0,COUNTIF(J2198,"*32*")&gt;0,COUNTIF(I2198,"33*")&gt;0,COUNTIF(J2198,"*33*")&gt;0,COUNTIF(I2198,"41*")&gt;0,COUNTIF(J2198,"*41*")&gt;0,COUNTIF(I2198,"42*")&gt;0,COUNTIF(J2198,"*42*")&gt;0,COUNTIF(I2198,"43*")&gt;0,COUNTIF(J2198,"*43*")&gt;0,COUNTIF(I2198,"49*")&gt;0,COUNTIF(J2198,"*49*")&gt;0,COUNTIF(I2198,"52*")&gt;0,COUNTIF(J2198,"*52*")&gt;0,COUNTIF(I2198,"55*")&gt;0,COUNTIF(J2198,"*55*")&gt;0,COUNTIF(I2198,"56*")&gt;0,COUNTIF(J2198,"*56*")&gt;0,COUNTIF(I2198,"68*")&gt;0,COUNTIF(J2198,"*68*")&gt;0,COUNTIF(I2198,"78*")&gt;0,COUNTIF(J2198,"*78*")&gt;0,COUNTIF(I2198,"81*")&gt;0,COUNTIF(J2198,"*81*")&gt;0,COUNTIF(I2198,"82*")&gt;0,COUNTIF(J2198,"*82*")&gt;0,COUNTIF(I2198,"64*")&gt;0,COUNTIF(J2198,"*64*")&gt;0,COUNTIF(I2198,"65*")&gt;0,COUNTIF(J2198,"*65*")&gt;0,COUNTIF(I2198,"66*")&gt;0,COUNTIF(J2198,"*66*")&gt;0,COUNTIF(I2198,"61*")&gt;0,COUNTIF(J2198,"*61*")&gt;0,COUNTIF(I2198,"62*")&gt;0,COUNTIF(J2198,"*62*")&gt;0,COUNTIF(I2198,"63*")&gt;0,COUNTIF(J2198,"*63*")&gt;0,COUNTIF(I2198,"85*")&gt;0,COUNTIF(J2198,"*85*")&gt;0,COUNTIF(I2198,"86*")&gt;0,COUNTIF(J2198,"*86*")&gt;0),"Да","Нет"))</f>
        <v/>
      </c>
      <c r="M2198" s="13">
        <f>IF(OR(G2198="",L2198&lt;&gt;"Да"),"",IF(G2198&lt;=100,"До 100",IF(G2198&lt;=200,"До 200",IF(G2198&lt;=500,"До 500","Отдельное КП"))))</f>
        <v/>
      </c>
      <c r="N2198" s="15">
        <f>IF(OR(G2198="",L2198&lt;&gt;"Да"),"",IF(G2198&lt;=100,33600,IF(G2198&lt;=200,62400,IF(G2198&lt;=500,144000,""))))</f>
        <v/>
      </c>
      <c r="O2198" s="16">
        <f>IF(G2198="","",IF(G2198&lt;=15,"1–15",IF(G2198&lt;=30,"16–30",IF(G2198&lt;=50,"31–50",IF(G2198&lt;=100,"51–100",IF(G2198&lt;=150,"101–150",IF(G2198&lt;=200,"151–200",IF(G2198&lt;=500,"201–500","500+"))))))))</f>
        <v/>
      </c>
      <c r="P2198" s="16" t="inlineStr">
        <is>
          <t>Нет совпадения в предоставленной выгрузке ССЧР</t>
        </is>
      </c>
      <c r="Q2198" s="16" t="n"/>
      <c r="R2198" s="16">
        <f>HYPERLINK("https://checko.ru/search?query=3801001629","Чекко: проверить")</f>
        <v/>
      </c>
      <c r="S2198" t="n">
        <v>0</v>
      </c>
    </row>
    <row r="2199" ht="15" customHeight="1" s="24">
      <c r="A2199" s="13" t="n">
        <v>5000094629</v>
      </c>
      <c r="B2199" s="13" t="inlineStr">
        <is>
          <t>МУ "Местная Администрация сп Ново-Хамидие"</t>
        </is>
      </c>
      <c r="C2199" s="13" t="n">
        <v>705001765</v>
      </c>
      <c r="D2199" s="13" t="n"/>
      <c r="E2199" s="13" t="inlineStr">
        <is>
          <t>Не определён</t>
        </is>
      </c>
      <c r="F2199" s="13" t="inlineStr">
        <is>
          <t>705001765</t>
        </is>
      </c>
      <c r="G2199" s="14" t="n"/>
      <c r="H2199" s="14" t="n"/>
      <c r="I2199" s="14" t="n"/>
      <c r="J2199" s="14" t="n"/>
      <c r="K2199" s="13">
        <f>IF(G2199="","",IF(G2199&gt;=22,"Да","Нет"))</f>
        <v/>
      </c>
      <c r="L2199" s="13">
        <f>IF(OR(I2199="",J2199=""),"Не определено",IF(OR(COUNTIF(I2199,"45*")&gt;0,COUNTIF(J2199,"*45*")&gt;0,COUNTIF(I2199,"46*")&gt;0,COUNTIF(J2199,"*46*")&gt;0,COUNTIF(I2199,"47*")&gt;0,COUNTIF(J2199,"*47*")&gt;0,COUNTIF(I2199,"10*")&gt;0,COUNTIF(J2199,"*10*")&gt;0,COUNTIF(I2199,"11*")&gt;0,COUNTIF(J2199,"*11*")&gt;0,COUNTIF(I2199,"12*")&gt;0,COUNTIF(J2199,"*12*")&gt;0,COUNTIF(I2199,"13*")&gt;0,COUNTIF(J2199,"*13*")&gt;0,COUNTIF(I2199,"14*")&gt;0,COUNTIF(J2199,"*14*")&gt;0,COUNTIF(I2199,"15*")&gt;0,COUNTIF(J2199,"*15*")&gt;0,COUNTIF(I2199,"16*")&gt;0,COUNTIF(J2199,"*16*")&gt;0,COUNTIF(I2199,"17*")&gt;0,COUNTIF(J2199,"*17*")&gt;0,COUNTIF(I2199,"18*")&gt;0,COUNTIF(J2199,"*18*")&gt;0,COUNTIF(I2199,"19*")&gt;0,COUNTIF(J2199,"*19*")&gt;0,COUNTIF(I2199,"20*")&gt;0,COUNTIF(J2199,"*20*")&gt;0,COUNTIF(I2199,"21*")&gt;0,COUNTIF(J2199,"*21*")&gt;0,COUNTIF(I2199,"22*")&gt;0,COUNTIF(J2199,"*22*")&gt;0,COUNTIF(I2199,"23*")&gt;0,COUNTIF(J2199,"*23*")&gt;0,COUNTIF(I2199,"24*")&gt;0,COUNTIF(J2199,"*24*")&gt;0,COUNTIF(I2199,"25*")&gt;0,COUNTIF(J2199,"*25*")&gt;0,COUNTIF(I2199,"26*")&gt;0,COUNTIF(J2199,"*26*")&gt;0,COUNTIF(I2199,"27*")&gt;0,COUNTIF(J2199,"*27*")&gt;0,COUNTIF(I2199,"28*")&gt;0,COUNTIF(J2199,"*28*")&gt;0,COUNTIF(I2199,"29*")&gt;0,COUNTIF(J2199,"*29*")&gt;0,COUNTIF(I2199,"30*")&gt;0,COUNTIF(J2199,"*30*")&gt;0,COUNTIF(I2199,"31*")&gt;0,COUNTIF(J2199,"*31*")&gt;0,COUNTIF(I2199,"32*")&gt;0,COUNTIF(J2199,"*32*")&gt;0,COUNTIF(I2199,"33*")&gt;0,COUNTIF(J2199,"*33*")&gt;0,COUNTIF(I2199,"41*")&gt;0,COUNTIF(J2199,"*41*")&gt;0,COUNTIF(I2199,"42*")&gt;0,COUNTIF(J2199,"*42*")&gt;0,COUNTIF(I2199,"43*")&gt;0,COUNTIF(J2199,"*43*")&gt;0,COUNTIF(I2199,"49*")&gt;0,COUNTIF(J2199,"*49*")&gt;0,COUNTIF(I2199,"52*")&gt;0,COUNTIF(J2199,"*52*")&gt;0,COUNTIF(I2199,"55*")&gt;0,COUNTIF(J2199,"*55*")&gt;0,COUNTIF(I2199,"56*")&gt;0,COUNTIF(J2199,"*56*")&gt;0,COUNTIF(I2199,"68*")&gt;0,COUNTIF(J2199,"*68*")&gt;0,COUNTIF(I2199,"78*")&gt;0,COUNTIF(J2199,"*78*")&gt;0,COUNTIF(I2199,"81*")&gt;0,COUNTIF(J2199,"*81*")&gt;0,COUNTIF(I2199,"82*")&gt;0,COUNTIF(J2199,"*82*")&gt;0,COUNTIF(I2199,"64*")&gt;0,COUNTIF(J2199,"*64*")&gt;0,COUNTIF(I2199,"65*")&gt;0,COUNTIF(J2199,"*65*")&gt;0,COUNTIF(I2199,"66*")&gt;0,COUNTIF(J2199,"*66*")&gt;0,COUNTIF(I2199,"61*")&gt;0,COUNTIF(J2199,"*61*")&gt;0,COUNTIF(I2199,"62*")&gt;0,COUNTIF(J2199,"*62*")&gt;0,COUNTIF(I2199,"63*")&gt;0,COUNTIF(J2199,"*63*")&gt;0,COUNTIF(I2199,"85*")&gt;0,COUNTIF(J2199,"*85*")&gt;0,COUNTIF(I2199,"86*")&gt;0,COUNTIF(J2199,"*86*")&gt;0),"Да","Нет"))</f>
        <v/>
      </c>
      <c r="M2199" s="13">
        <f>IF(OR(G2199="",L2199&lt;&gt;"Да"),"",IF(G2199&lt;=100,"До 100",IF(G2199&lt;=200,"До 200",IF(G2199&lt;=500,"До 500","Отдельное КП"))))</f>
        <v/>
      </c>
      <c r="N2199" s="15">
        <f>IF(OR(G2199="",L2199&lt;&gt;"Да"),"",IF(G2199&lt;=100,33600,IF(G2199&lt;=200,62400,IF(G2199&lt;=500,144000,""))))</f>
        <v/>
      </c>
      <c r="O2199" s="16">
        <f>IF(G2199="","",IF(G2199&lt;=15,"1–15",IF(G2199&lt;=30,"16–30",IF(G2199&lt;=50,"31–50",IF(G2199&lt;=100,"51–100",IF(G2199&lt;=150,"101–150",IF(G2199&lt;=200,"151–200",IF(G2199&lt;=500,"201–500","500+"))))))))</f>
        <v/>
      </c>
      <c r="P2199" s="16" t="inlineStr">
        <is>
          <t>Нет совпадения в предоставленной выгрузке ССЧР</t>
        </is>
      </c>
      <c r="Q2199" s="16" t="n"/>
      <c r="R2199" s="16">
        <f>HYPERLINK("https://checko.ru/search?query=3801001629","Чекко: проверить")</f>
        <v/>
      </c>
      <c r="S2199" t="n">
        <v>0</v>
      </c>
    </row>
    <row r="2200" ht="15" customHeight="1" s="24">
      <c r="A2200" s="13" t="n">
        <v>5000094630</v>
      </c>
      <c r="B2200" s="13" t="inlineStr">
        <is>
          <t>МУ "Местная Администрация СП Новая Балкария"</t>
        </is>
      </c>
      <c r="C2200" s="13" t="n">
        <v>705001780</v>
      </c>
      <c r="D2200" s="13" t="n"/>
      <c r="E2200" s="13" t="inlineStr">
        <is>
          <t>Не определён</t>
        </is>
      </c>
      <c r="F2200" s="13" t="inlineStr">
        <is>
          <t>705001780</t>
        </is>
      </c>
      <c r="G2200" s="14" t="n"/>
      <c r="H2200" s="14" t="n"/>
      <c r="I2200" s="14" t="n"/>
      <c r="J2200" s="14" t="n"/>
      <c r="K2200" s="13">
        <f>IF(G2200="","",IF(G2200&gt;=22,"Да","Нет"))</f>
        <v/>
      </c>
      <c r="L2200" s="13">
        <f>IF(OR(I2200="",J2200=""),"Не определено",IF(OR(COUNTIF(I2200,"45*")&gt;0,COUNTIF(J2200,"*45*")&gt;0,COUNTIF(I2200,"46*")&gt;0,COUNTIF(J2200,"*46*")&gt;0,COUNTIF(I2200,"47*")&gt;0,COUNTIF(J2200,"*47*")&gt;0,COUNTIF(I2200,"10*")&gt;0,COUNTIF(J2200,"*10*")&gt;0,COUNTIF(I2200,"11*")&gt;0,COUNTIF(J2200,"*11*")&gt;0,COUNTIF(I2200,"12*")&gt;0,COUNTIF(J2200,"*12*")&gt;0,COUNTIF(I2200,"13*")&gt;0,COUNTIF(J2200,"*13*")&gt;0,COUNTIF(I2200,"14*")&gt;0,COUNTIF(J2200,"*14*")&gt;0,COUNTIF(I2200,"15*")&gt;0,COUNTIF(J2200,"*15*")&gt;0,COUNTIF(I2200,"16*")&gt;0,COUNTIF(J2200,"*16*")&gt;0,COUNTIF(I2200,"17*")&gt;0,COUNTIF(J2200,"*17*")&gt;0,COUNTIF(I2200,"18*")&gt;0,COUNTIF(J2200,"*18*")&gt;0,COUNTIF(I2200,"19*")&gt;0,COUNTIF(J2200,"*19*")&gt;0,COUNTIF(I2200,"20*")&gt;0,COUNTIF(J2200,"*20*")&gt;0,COUNTIF(I2200,"21*")&gt;0,COUNTIF(J2200,"*21*")&gt;0,COUNTIF(I2200,"22*")&gt;0,COUNTIF(J2200,"*22*")&gt;0,COUNTIF(I2200,"23*")&gt;0,COUNTIF(J2200,"*23*")&gt;0,COUNTIF(I2200,"24*")&gt;0,COUNTIF(J2200,"*24*")&gt;0,COUNTIF(I2200,"25*")&gt;0,COUNTIF(J2200,"*25*")&gt;0,COUNTIF(I2200,"26*")&gt;0,COUNTIF(J2200,"*26*")&gt;0,COUNTIF(I2200,"27*")&gt;0,COUNTIF(J2200,"*27*")&gt;0,COUNTIF(I2200,"28*")&gt;0,COUNTIF(J2200,"*28*")&gt;0,COUNTIF(I2200,"29*")&gt;0,COUNTIF(J2200,"*29*")&gt;0,COUNTIF(I2200,"30*")&gt;0,COUNTIF(J2200,"*30*")&gt;0,COUNTIF(I2200,"31*")&gt;0,COUNTIF(J2200,"*31*")&gt;0,COUNTIF(I2200,"32*")&gt;0,COUNTIF(J2200,"*32*")&gt;0,COUNTIF(I2200,"33*")&gt;0,COUNTIF(J2200,"*33*")&gt;0,COUNTIF(I2200,"41*")&gt;0,COUNTIF(J2200,"*41*")&gt;0,COUNTIF(I2200,"42*")&gt;0,COUNTIF(J2200,"*42*")&gt;0,COUNTIF(I2200,"43*")&gt;0,COUNTIF(J2200,"*43*")&gt;0,COUNTIF(I2200,"49*")&gt;0,COUNTIF(J2200,"*49*")&gt;0,COUNTIF(I2200,"52*")&gt;0,COUNTIF(J2200,"*52*")&gt;0,COUNTIF(I2200,"55*")&gt;0,COUNTIF(J2200,"*55*")&gt;0,COUNTIF(I2200,"56*")&gt;0,COUNTIF(J2200,"*56*")&gt;0,COUNTIF(I2200,"68*")&gt;0,COUNTIF(J2200,"*68*")&gt;0,COUNTIF(I2200,"78*")&gt;0,COUNTIF(J2200,"*78*")&gt;0,COUNTIF(I2200,"81*")&gt;0,COUNTIF(J2200,"*81*")&gt;0,COUNTIF(I2200,"82*")&gt;0,COUNTIF(J2200,"*82*")&gt;0,COUNTIF(I2200,"64*")&gt;0,COUNTIF(J2200,"*64*")&gt;0,COUNTIF(I2200,"65*")&gt;0,COUNTIF(J2200,"*65*")&gt;0,COUNTIF(I2200,"66*")&gt;0,COUNTIF(J2200,"*66*")&gt;0,COUNTIF(I2200,"61*")&gt;0,COUNTIF(J2200,"*61*")&gt;0,COUNTIF(I2200,"62*")&gt;0,COUNTIF(J2200,"*62*")&gt;0,COUNTIF(I2200,"63*")&gt;0,COUNTIF(J2200,"*63*")&gt;0,COUNTIF(I2200,"85*")&gt;0,COUNTIF(J2200,"*85*")&gt;0,COUNTIF(I2200,"86*")&gt;0,COUNTIF(J2200,"*86*")&gt;0),"Да","Нет"))</f>
        <v/>
      </c>
      <c r="M2200" s="13">
        <f>IF(OR(G2200="",L2200&lt;&gt;"Да"),"",IF(G2200&lt;=100,"До 100",IF(G2200&lt;=200,"До 200",IF(G2200&lt;=500,"До 500","Отдельное КП"))))</f>
        <v/>
      </c>
      <c r="N2200" s="15">
        <f>IF(OR(G2200="",L2200&lt;&gt;"Да"),"",IF(G2200&lt;=100,33600,IF(G2200&lt;=200,62400,IF(G2200&lt;=500,144000,""))))</f>
        <v/>
      </c>
      <c r="O2200" s="16">
        <f>IF(G2200="","",IF(G2200&lt;=15,"1–15",IF(G2200&lt;=30,"16–30",IF(G2200&lt;=50,"31–50",IF(G2200&lt;=100,"51–100",IF(G2200&lt;=150,"101–150",IF(G2200&lt;=200,"151–200",IF(G2200&lt;=500,"201–500","500+"))))))))</f>
        <v/>
      </c>
      <c r="P2200" s="16" t="inlineStr">
        <is>
          <t>Нет совпадения в предоставленной выгрузке ССЧР</t>
        </is>
      </c>
      <c r="Q2200" s="16" t="n"/>
      <c r="R2200" s="16">
        <f>HYPERLINK("https://checko.ru/search?query=3801001629","Чекко: проверить")</f>
        <v/>
      </c>
      <c r="S2200" t="n">
        <v>0</v>
      </c>
    </row>
    <row r="2201" ht="15" customHeight="1" s="24">
      <c r="A2201" s="13" t="n">
        <v>5000094631</v>
      </c>
      <c r="B2201" s="13" t="inlineStr">
        <is>
          <t>МУ "Местная Администрация СП Плановское"</t>
        </is>
      </c>
      <c r="C2201" s="13" t="n">
        <v>705001807</v>
      </c>
      <c r="D2201" s="13" t="n"/>
      <c r="E2201" s="13" t="inlineStr">
        <is>
          <t>Не определён</t>
        </is>
      </c>
      <c r="F2201" s="13" t="inlineStr">
        <is>
          <t>705001807</t>
        </is>
      </c>
      <c r="G2201" s="14" t="n"/>
      <c r="H2201" s="14" t="n"/>
      <c r="I2201" s="14" t="n"/>
      <c r="J2201" s="14" t="n"/>
      <c r="K2201" s="13">
        <f>IF(G2201="","",IF(G2201&gt;=22,"Да","Нет"))</f>
        <v/>
      </c>
      <c r="L2201" s="13">
        <f>IF(OR(I2201="",J2201=""),"Не определено",IF(OR(COUNTIF(I2201,"45*")&gt;0,COUNTIF(J2201,"*45*")&gt;0,COUNTIF(I2201,"46*")&gt;0,COUNTIF(J2201,"*46*")&gt;0,COUNTIF(I2201,"47*")&gt;0,COUNTIF(J2201,"*47*")&gt;0,COUNTIF(I2201,"10*")&gt;0,COUNTIF(J2201,"*10*")&gt;0,COUNTIF(I2201,"11*")&gt;0,COUNTIF(J2201,"*11*")&gt;0,COUNTIF(I2201,"12*")&gt;0,COUNTIF(J2201,"*12*")&gt;0,COUNTIF(I2201,"13*")&gt;0,COUNTIF(J2201,"*13*")&gt;0,COUNTIF(I2201,"14*")&gt;0,COUNTIF(J2201,"*14*")&gt;0,COUNTIF(I2201,"15*")&gt;0,COUNTIF(J2201,"*15*")&gt;0,COUNTIF(I2201,"16*")&gt;0,COUNTIF(J2201,"*16*")&gt;0,COUNTIF(I2201,"17*")&gt;0,COUNTIF(J2201,"*17*")&gt;0,COUNTIF(I2201,"18*")&gt;0,COUNTIF(J2201,"*18*")&gt;0,COUNTIF(I2201,"19*")&gt;0,COUNTIF(J2201,"*19*")&gt;0,COUNTIF(I2201,"20*")&gt;0,COUNTIF(J2201,"*20*")&gt;0,COUNTIF(I2201,"21*")&gt;0,COUNTIF(J2201,"*21*")&gt;0,COUNTIF(I2201,"22*")&gt;0,COUNTIF(J2201,"*22*")&gt;0,COUNTIF(I2201,"23*")&gt;0,COUNTIF(J2201,"*23*")&gt;0,COUNTIF(I2201,"24*")&gt;0,COUNTIF(J2201,"*24*")&gt;0,COUNTIF(I2201,"25*")&gt;0,COUNTIF(J2201,"*25*")&gt;0,COUNTIF(I2201,"26*")&gt;0,COUNTIF(J2201,"*26*")&gt;0,COUNTIF(I2201,"27*")&gt;0,COUNTIF(J2201,"*27*")&gt;0,COUNTIF(I2201,"28*")&gt;0,COUNTIF(J2201,"*28*")&gt;0,COUNTIF(I2201,"29*")&gt;0,COUNTIF(J2201,"*29*")&gt;0,COUNTIF(I2201,"30*")&gt;0,COUNTIF(J2201,"*30*")&gt;0,COUNTIF(I2201,"31*")&gt;0,COUNTIF(J2201,"*31*")&gt;0,COUNTIF(I2201,"32*")&gt;0,COUNTIF(J2201,"*32*")&gt;0,COUNTIF(I2201,"33*")&gt;0,COUNTIF(J2201,"*33*")&gt;0,COUNTIF(I2201,"41*")&gt;0,COUNTIF(J2201,"*41*")&gt;0,COUNTIF(I2201,"42*")&gt;0,COUNTIF(J2201,"*42*")&gt;0,COUNTIF(I2201,"43*")&gt;0,COUNTIF(J2201,"*43*")&gt;0,COUNTIF(I2201,"49*")&gt;0,COUNTIF(J2201,"*49*")&gt;0,COUNTIF(I2201,"52*")&gt;0,COUNTIF(J2201,"*52*")&gt;0,COUNTIF(I2201,"55*")&gt;0,COUNTIF(J2201,"*55*")&gt;0,COUNTIF(I2201,"56*")&gt;0,COUNTIF(J2201,"*56*")&gt;0,COUNTIF(I2201,"68*")&gt;0,COUNTIF(J2201,"*68*")&gt;0,COUNTIF(I2201,"78*")&gt;0,COUNTIF(J2201,"*78*")&gt;0,COUNTIF(I2201,"81*")&gt;0,COUNTIF(J2201,"*81*")&gt;0,COUNTIF(I2201,"82*")&gt;0,COUNTIF(J2201,"*82*")&gt;0,COUNTIF(I2201,"64*")&gt;0,COUNTIF(J2201,"*64*")&gt;0,COUNTIF(I2201,"65*")&gt;0,COUNTIF(J2201,"*65*")&gt;0,COUNTIF(I2201,"66*")&gt;0,COUNTIF(J2201,"*66*")&gt;0,COUNTIF(I2201,"61*")&gt;0,COUNTIF(J2201,"*61*")&gt;0,COUNTIF(I2201,"62*")&gt;0,COUNTIF(J2201,"*62*")&gt;0,COUNTIF(I2201,"63*")&gt;0,COUNTIF(J2201,"*63*")&gt;0,COUNTIF(I2201,"85*")&gt;0,COUNTIF(J2201,"*85*")&gt;0,COUNTIF(I2201,"86*")&gt;0,COUNTIF(J2201,"*86*")&gt;0),"Да","Нет"))</f>
        <v/>
      </c>
      <c r="M2201" s="13">
        <f>IF(OR(G2201="",L2201&lt;&gt;"Да"),"",IF(G2201&lt;=100,"До 100",IF(G2201&lt;=200,"До 200",IF(G2201&lt;=500,"До 500","Отдельное КП"))))</f>
        <v/>
      </c>
      <c r="N2201" s="15">
        <f>IF(OR(G2201="",L2201&lt;&gt;"Да"),"",IF(G2201&lt;=100,33600,IF(G2201&lt;=200,62400,IF(G2201&lt;=500,144000,""))))</f>
        <v/>
      </c>
      <c r="O2201" s="16">
        <f>IF(G2201="","",IF(G2201&lt;=15,"1–15",IF(G2201&lt;=30,"16–30",IF(G2201&lt;=50,"31–50",IF(G2201&lt;=100,"51–100",IF(G2201&lt;=150,"101–150",IF(G2201&lt;=200,"151–200",IF(G2201&lt;=500,"201–500","500+"))))))))</f>
        <v/>
      </c>
      <c r="P2201" s="16" t="inlineStr">
        <is>
          <t>Нет совпадения в предоставленной выгрузке ССЧР</t>
        </is>
      </c>
      <c r="Q2201" s="16" t="n"/>
      <c r="R2201" s="16">
        <f>HYPERLINK("https://checko.ru/search?query=3801001629","Чекко: проверить")</f>
        <v/>
      </c>
      <c r="S2201" t="n">
        <v>0</v>
      </c>
    </row>
    <row r="2202" ht="27.75" customHeight="1" s="24">
      <c r="A2202" s="13" t="n">
        <v>5000094632</v>
      </c>
      <c r="B2202" s="13" t="inlineStr">
        <is>
          <t>МУ "Местная Администрация СП Красноармейское"</t>
        </is>
      </c>
      <c r="C2202" s="13" t="n">
        <v>705001814</v>
      </c>
      <c r="D2202" s="13" t="n"/>
      <c r="E2202" s="13" t="inlineStr">
        <is>
          <t>Не определён</t>
        </is>
      </c>
      <c r="F2202" s="13" t="inlineStr">
        <is>
          <t>705001814</t>
        </is>
      </c>
      <c r="G2202" s="14" t="n"/>
      <c r="H2202" s="14" t="n"/>
      <c r="I2202" s="14" t="n"/>
      <c r="J2202" s="14" t="n"/>
      <c r="K2202" s="13">
        <f>IF(G2202="","",IF(G2202&gt;=22,"Да","Нет"))</f>
        <v/>
      </c>
      <c r="L2202" s="13">
        <f>IF(OR(I2202="",J2202=""),"Не определено",IF(OR(COUNTIF(I2202,"45*")&gt;0,COUNTIF(J2202,"*45*")&gt;0,COUNTIF(I2202,"46*")&gt;0,COUNTIF(J2202,"*46*")&gt;0,COUNTIF(I2202,"47*")&gt;0,COUNTIF(J2202,"*47*")&gt;0,COUNTIF(I2202,"10*")&gt;0,COUNTIF(J2202,"*10*")&gt;0,COUNTIF(I2202,"11*")&gt;0,COUNTIF(J2202,"*11*")&gt;0,COUNTIF(I2202,"12*")&gt;0,COUNTIF(J2202,"*12*")&gt;0,COUNTIF(I2202,"13*")&gt;0,COUNTIF(J2202,"*13*")&gt;0,COUNTIF(I2202,"14*")&gt;0,COUNTIF(J2202,"*14*")&gt;0,COUNTIF(I2202,"15*")&gt;0,COUNTIF(J2202,"*15*")&gt;0,COUNTIF(I2202,"16*")&gt;0,COUNTIF(J2202,"*16*")&gt;0,COUNTIF(I2202,"17*")&gt;0,COUNTIF(J2202,"*17*")&gt;0,COUNTIF(I2202,"18*")&gt;0,COUNTIF(J2202,"*18*")&gt;0,COUNTIF(I2202,"19*")&gt;0,COUNTIF(J2202,"*19*")&gt;0,COUNTIF(I2202,"20*")&gt;0,COUNTIF(J2202,"*20*")&gt;0,COUNTIF(I2202,"21*")&gt;0,COUNTIF(J2202,"*21*")&gt;0,COUNTIF(I2202,"22*")&gt;0,COUNTIF(J2202,"*22*")&gt;0,COUNTIF(I2202,"23*")&gt;0,COUNTIF(J2202,"*23*")&gt;0,COUNTIF(I2202,"24*")&gt;0,COUNTIF(J2202,"*24*")&gt;0,COUNTIF(I2202,"25*")&gt;0,COUNTIF(J2202,"*25*")&gt;0,COUNTIF(I2202,"26*")&gt;0,COUNTIF(J2202,"*26*")&gt;0,COUNTIF(I2202,"27*")&gt;0,COUNTIF(J2202,"*27*")&gt;0,COUNTIF(I2202,"28*")&gt;0,COUNTIF(J2202,"*28*")&gt;0,COUNTIF(I2202,"29*")&gt;0,COUNTIF(J2202,"*29*")&gt;0,COUNTIF(I2202,"30*")&gt;0,COUNTIF(J2202,"*30*")&gt;0,COUNTIF(I2202,"31*")&gt;0,COUNTIF(J2202,"*31*")&gt;0,COUNTIF(I2202,"32*")&gt;0,COUNTIF(J2202,"*32*")&gt;0,COUNTIF(I2202,"33*")&gt;0,COUNTIF(J2202,"*33*")&gt;0,COUNTIF(I2202,"41*")&gt;0,COUNTIF(J2202,"*41*")&gt;0,COUNTIF(I2202,"42*")&gt;0,COUNTIF(J2202,"*42*")&gt;0,COUNTIF(I2202,"43*")&gt;0,COUNTIF(J2202,"*43*")&gt;0,COUNTIF(I2202,"49*")&gt;0,COUNTIF(J2202,"*49*")&gt;0,COUNTIF(I2202,"52*")&gt;0,COUNTIF(J2202,"*52*")&gt;0,COUNTIF(I2202,"55*")&gt;0,COUNTIF(J2202,"*55*")&gt;0,COUNTIF(I2202,"56*")&gt;0,COUNTIF(J2202,"*56*")&gt;0,COUNTIF(I2202,"68*")&gt;0,COUNTIF(J2202,"*68*")&gt;0,COUNTIF(I2202,"78*")&gt;0,COUNTIF(J2202,"*78*")&gt;0,COUNTIF(I2202,"81*")&gt;0,COUNTIF(J2202,"*81*")&gt;0,COUNTIF(I2202,"82*")&gt;0,COUNTIF(J2202,"*82*")&gt;0,COUNTIF(I2202,"64*")&gt;0,COUNTIF(J2202,"*64*")&gt;0,COUNTIF(I2202,"65*")&gt;0,COUNTIF(J2202,"*65*")&gt;0,COUNTIF(I2202,"66*")&gt;0,COUNTIF(J2202,"*66*")&gt;0,COUNTIF(I2202,"61*")&gt;0,COUNTIF(J2202,"*61*")&gt;0,COUNTIF(I2202,"62*")&gt;0,COUNTIF(J2202,"*62*")&gt;0,COUNTIF(I2202,"63*")&gt;0,COUNTIF(J2202,"*63*")&gt;0,COUNTIF(I2202,"85*")&gt;0,COUNTIF(J2202,"*85*")&gt;0,COUNTIF(I2202,"86*")&gt;0,COUNTIF(J2202,"*86*")&gt;0),"Да","Нет"))</f>
        <v/>
      </c>
      <c r="M2202" s="13">
        <f>IF(OR(G2202="",L2202&lt;&gt;"Да"),"",IF(G2202&lt;=100,"До 100",IF(G2202&lt;=200,"До 200",IF(G2202&lt;=500,"До 500","Отдельное КП"))))</f>
        <v/>
      </c>
      <c r="N2202" s="15">
        <f>IF(OR(G2202="",L2202&lt;&gt;"Да"),"",IF(G2202&lt;=100,33600,IF(G2202&lt;=200,62400,IF(G2202&lt;=500,144000,""))))</f>
        <v/>
      </c>
      <c r="O2202" s="16">
        <f>IF(G2202="","",IF(G2202&lt;=15,"1–15",IF(G2202&lt;=30,"16–30",IF(G2202&lt;=50,"31–50",IF(G2202&lt;=100,"51–100",IF(G2202&lt;=150,"101–150",IF(G2202&lt;=200,"151–200",IF(G2202&lt;=500,"201–500","500+"))))))))</f>
        <v/>
      </c>
      <c r="P2202" s="16" t="inlineStr">
        <is>
          <t>Нет совпадения в предоставленной выгрузке ССЧР</t>
        </is>
      </c>
      <c r="Q2202" s="16" t="n"/>
      <c r="R2202" s="16">
        <f>HYPERLINK("https://checko.ru/search?query=3801001629","Чекко: проверить")</f>
        <v/>
      </c>
      <c r="S2202" t="n">
        <v>0</v>
      </c>
    </row>
    <row r="2203" ht="15" customHeight="1" s="24">
      <c r="A2203" s="13" t="n">
        <v>5000094633</v>
      </c>
      <c r="B2203" s="13" t="inlineStr">
        <is>
          <t>МКОУ СОШ С.П. Н - Хамидие</t>
        </is>
      </c>
      <c r="C2203" s="13" t="n">
        <v>705001821</v>
      </c>
      <c r="D2203" s="13" t="n"/>
      <c r="E2203" s="13" t="inlineStr">
        <is>
          <t>Не определён</t>
        </is>
      </c>
      <c r="F2203" s="13" t="inlineStr">
        <is>
          <t>705001821</t>
        </is>
      </c>
      <c r="G2203" s="14" t="n"/>
      <c r="H2203" s="14" t="n"/>
      <c r="I2203" s="14" t="n"/>
      <c r="J2203" s="14" t="n"/>
      <c r="K2203" s="13">
        <f>IF(G2203="","",IF(G2203&gt;=22,"Да","Нет"))</f>
        <v/>
      </c>
      <c r="L2203" s="13">
        <f>IF(OR(I2203="",J2203=""),"Не определено",IF(OR(COUNTIF(I2203,"45*")&gt;0,COUNTIF(J2203,"*45*")&gt;0,COUNTIF(I2203,"46*")&gt;0,COUNTIF(J2203,"*46*")&gt;0,COUNTIF(I2203,"47*")&gt;0,COUNTIF(J2203,"*47*")&gt;0,COUNTIF(I2203,"10*")&gt;0,COUNTIF(J2203,"*10*")&gt;0,COUNTIF(I2203,"11*")&gt;0,COUNTIF(J2203,"*11*")&gt;0,COUNTIF(I2203,"12*")&gt;0,COUNTIF(J2203,"*12*")&gt;0,COUNTIF(I2203,"13*")&gt;0,COUNTIF(J2203,"*13*")&gt;0,COUNTIF(I2203,"14*")&gt;0,COUNTIF(J2203,"*14*")&gt;0,COUNTIF(I2203,"15*")&gt;0,COUNTIF(J2203,"*15*")&gt;0,COUNTIF(I2203,"16*")&gt;0,COUNTIF(J2203,"*16*")&gt;0,COUNTIF(I2203,"17*")&gt;0,COUNTIF(J2203,"*17*")&gt;0,COUNTIF(I2203,"18*")&gt;0,COUNTIF(J2203,"*18*")&gt;0,COUNTIF(I2203,"19*")&gt;0,COUNTIF(J2203,"*19*")&gt;0,COUNTIF(I2203,"20*")&gt;0,COUNTIF(J2203,"*20*")&gt;0,COUNTIF(I2203,"21*")&gt;0,COUNTIF(J2203,"*21*")&gt;0,COUNTIF(I2203,"22*")&gt;0,COUNTIF(J2203,"*22*")&gt;0,COUNTIF(I2203,"23*")&gt;0,COUNTIF(J2203,"*23*")&gt;0,COUNTIF(I2203,"24*")&gt;0,COUNTIF(J2203,"*24*")&gt;0,COUNTIF(I2203,"25*")&gt;0,COUNTIF(J2203,"*25*")&gt;0,COUNTIF(I2203,"26*")&gt;0,COUNTIF(J2203,"*26*")&gt;0,COUNTIF(I2203,"27*")&gt;0,COUNTIF(J2203,"*27*")&gt;0,COUNTIF(I2203,"28*")&gt;0,COUNTIF(J2203,"*28*")&gt;0,COUNTIF(I2203,"29*")&gt;0,COUNTIF(J2203,"*29*")&gt;0,COUNTIF(I2203,"30*")&gt;0,COUNTIF(J2203,"*30*")&gt;0,COUNTIF(I2203,"31*")&gt;0,COUNTIF(J2203,"*31*")&gt;0,COUNTIF(I2203,"32*")&gt;0,COUNTIF(J2203,"*32*")&gt;0,COUNTIF(I2203,"33*")&gt;0,COUNTIF(J2203,"*33*")&gt;0,COUNTIF(I2203,"41*")&gt;0,COUNTIF(J2203,"*41*")&gt;0,COUNTIF(I2203,"42*")&gt;0,COUNTIF(J2203,"*42*")&gt;0,COUNTIF(I2203,"43*")&gt;0,COUNTIF(J2203,"*43*")&gt;0,COUNTIF(I2203,"49*")&gt;0,COUNTIF(J2203,"*49*")&gt;0,COUNTIF(I2203,"52*")&gt;0,COUNTIF(J2203,"*52*")&gt;0,COUNTIF(I2203,"55*")&gt;0,COUNTIF(J2203,"*55*")&gt;0,COUNTIF(I2203,"56*")&gt;0,COUNTIF(J2203,"*56*")&gt;0,COUNTIF(I2203,"68*")&gt;0,COUNTIF(J2203,"*68*")&gt;0,COUNTIF(I2203,"78*")&gt;0,COUNTIF(J2203,"*78*")&gt;0,COUNTIF(I2203,"81*")&gt;0,COUNTIF(J2203,"*81*")&gt;0,COUNTIF(I2203,"82*")&gt;0,COUNTIF(J2203,"*82*")&gt;0,COUNTIF(I2203,"64*")&gt;0,COUNTIF(J2203,"*64*")&gt;0,COUNTIF(I2203,"65*")&gt;0,COUNTIF(J2203,"*65*")&gt;0,COUNTIF(I2203,"66*")&gt;0,COUNTIF(J2203,"*66*")&gt;0,COUNTIF(I2203,"61*")&gt;0,COUNTIF(J2203,"*61*")&gt;0,COUNTIF(I2203,"62*")&gt;0,COUNTIF(J2203,"*62*")&gt;0,COUNTIF(I2203,"63*")&gt;0,COUNTIF(J2203,"*63*")&gt;0,COUNTIF(I2203,"85*")&gt;0,COUNTIF(J2203,"*85*")&gt;0,COUNTIF(I2203,"86*")&gt;0,COUNTIF(J2203,"*86*")&gt;0),"Да","Нет"))</f>
        <v/>
      </c>
      <c r="M2203" s="13">
        <f>IF(OR(G2203="",L2203&lt;&gt;"Да"),"",IF(G2203&lt;=100,"До 100",IF(G2203&lt;=200,"До 200",IF(G2203&lt;=500,"До 500","Отдельное КП"))))</f>
        <v/>
      </c>
      <c r="N2203" s="15">
        <f>IF(OR(G2203="",L2203&lt;&gt;"Да"),"",IF(G2203&lt;=100,33600,IF(G2203&lt;=200,62400,IF(G2203&lt;=500,144000,""))))</f>
        <v/>
      </c>
      <c r="O2203" s="16">
        <f>IF(G2203="","",IF(G2203&lt;=15,"1–15",IF(G2203&lt;=30,"16–30",IF(G2203&lt;=50,"31–50",IF(G2203&lt;=100,"51–100",IF(G2203&lt;=150,"101–150",IF(G2203&lt;=200,"151–200",IF(G2203&lt;=500,"201–500","500+"))))))))</f>
        <v/>
      </c>
      <c r="P2203" s="16" t="inlineStr">
        <is>
          <t>Нет совпадения в предоставленной выгрузке ССЧР</t>
        </is>
      </c>
      <c r="Q2203" s="16" t="n"/>
      <c r="R2203" s="16">
        <f>HYPERLINK("https://checko.ru/search?query=3801001629","Чекко: проверить")</f>
        <v/>
      </c>
      <c r="S2203" t="n">
        <v>0</v>
      </c>
    </row>
    <row r="2204" ht="15" customHeight="1" s="24">
      <c r="A2204" s="13" t="n">
        <v>5000094634</v>
      </c>
      <c r="B2204" s="13" t="inlineStr">
        <is>
          <t>МКОУ СОШ ИМ. С.А. КАРДАНОВА СП Терекское</t>
        </is>
      </c>
      <c r="C2204" s="13" t="n">
        <v>705001853</v>
      </c>
      <c r="D2204" s="13" t="n"/>
      <c r="E2204" s="13" t="inlineStr">
        <is>
          <t>Не определён</t>
        </is>
      </c>
      <c r="F2204" s="13" t="inlineStr">
        <is>
          <t>705001853</t>
        </is>
      </c>
      <c r="G2204" s="14" t="n"/>
      <c r="H2204" s="14" t="n"/>
      <c r="I2204" s="14" t="n"/>
      <c r="J2204" s="14" t="n"/>
      <c r="K2204" s="13">
        <f>IF(G2204="","",IF(G2204&gt;=22,"Да","Нет"))</f>
        <v/>
      </c>
      <c r="L2204" s="13">
        <f>IF(OR(I2204="",J2204=""),"Не определено",IF(OR(COUNTIF(I2204,"45*")&gt;0,COUNTIF(J2204,"*45*")&gt;0,COUNTIF(I2204,"46*")&gt;0,COUNTIF(J2204,"*46*")&gt;0,COUNTIF(I2204,"47*")&gt;0,COUNTIF(J2204,"*47*")&gt;0,COUNTIF(I2204,"10*")&gt;0,COUNTIF(J2204,"*10*")&gt;0,COUNTIF(I2204,"11*")&gt;0,COUNTIF(J2204,"*11*")&gt;0,COUNTIF(I2204,"12*")&gt;0,COUNTIF(J2204,"*12*")&gt;0,COUNTIF(I2204,"13*")&gt;0,COUNTIF(J2204,"*13*")&gt;0,COUNTIF(I2204,"14*")&gt;0,COUNTIF(J2204,"*14*")&gt;0,COUNTIF(I2204,"15*")&gt;0,COUNTIF(J2204,"*15*")&gt;0,COUNTIF(I2204,"16*")&gt;0,COUNTIF(J2204,"*16*")&gt;0,COUNTIF(I2204,"17*")&gt;0,COUNTIF(J2204,"*17*")&gt;0,COUNTIF(I2204,"18*")&gt;0,COUNTIF(J2204,"*18*")&gt;0,COUNTIF(I2204,"19*")&gt;0,COUNTIF(J2204,"*19*")&gt;0,COUNTIF(I2204,"20*")&gt;0,COUNTIF(J2204,"*20*")&gt;0,COUNTIF(I2204,"21*")&gt;0,COUNTIF(J2204,"*21*")&gt;0,COUNTIF(I2204,"22*")&gt;0,COUNTIF(J2204,"*22*")&gt;0,COUNTIF(I2204,"23*")&gt;0,COUNTIF(J2204,"*23*")&gt;0,COUNTIF(I2204,"24*")&gt;0,COUNTIF(J2204,"*24*")&gt;0,COUNTIF(I2204,"25*")&gt;0,COUNTIF(J2204,"*25*")&gt;0,COUNTIF(I2204,"26*")&gt;0,COUNTIF(J2204,"*26*")&gt;0,COUNTIF(I2204,"27*")&gt;0,COUNTIF(J2204,"*27*")&gt;0,COUNTIF(I2204,"28*")&gt;0,COUNTIF(J2204,"*28*")&gt;0,COUNTIF(I2204,"29*")&gt;0,COUNTIF(J2204,"*29*")&gt;0,COUNTIF(I2204,"30*")&gt;0,COUNTIF(J2204,"*30*")&gt;0,COUNTIF(I2204,"31*")&gt;0,COUNTIF(J2204,"*31*")&gt;0,COUNTIF(I2204,"32*")&gt;0,COUNTIF(J2204,"*32*")&gt;0,COUNTIF(I2204,"33*")&gt;0,COUNTIF(J2204,"*33*")&gt;0,COUNTIF(I2204,"41*")&gt;0,COUNTIF(J2204,"*41*")&gt;0,COUNTIF(I2204,"42*")&gt;0,COUNTIF(J2204,"*42*")&gt;0,COUNTIF(I2204,"43*")&gt;0,COUNTIF(J2204,"*43*")&gt;0,COUNTIF(I2204,"49*")&gt;0,COUNTIF(J2204,"*49*")&gt;0,COUNTIF(I2204,"52*")&gt;0,COUNTIF(J2204,"*52*")&gt;0,COUNTIF(I2204,"55*")&gt;0,COUNTIF(J2204,"*55*")&gt;0,COUNTIF(I2204,"56*")&gt;0,COUNTIF(J2204,"*56*")&gt;0,COUNTIF(I2204,"68*")&gt;0,COUNTIF(J2204,"*68*")&gt;0,COUNTIF(I2204,"78*")&gt;0,COUNTIF(J2204,"*78*")&gt;0,COUNTIF(I2204,"81*")&gt;0,COUNTIF(J2204,"*81*")&gt;0,COUNTIF(I2204,"82*")&gt;0,COUNTIF(J2204,"*82*")&gt;0,COUNTIF(I2204,"64*")&gt;0,COUNTIF(J2204,"*64*")&gt;0,COUNTIF(I2204,"65*")&gt;0,COUNTIF(J2204,"*65*")&gt;0,COUNTIF(I2204,"66*")&gt;0,COUNTIF(J2204,"*66*")&gt;0,COUNTIF(I2204,"61*")&gt;0,COUNTIF(J2204,"*61*")&gt;0,COUNTIF(I2204,"62*")&gt;0,COUNTIF(J2204,"*62*")&gt;0,COUNTIF(I2204,"63*")&gt;0,COUNTIF(J2204,"*63*")&gt;0,COUNTIF(I2204,"85*")&gt;0,COUNTIF(J2204,"*85*")&gt;0,COUNTIF(I2204,"86*")&gt;0,COUNTIF(J2204,"*86*")&gt;0),"Да","Нет"))</f>
        <v/>
      </c>
      <c r="M2204" s="13">
        <f>IF(OR(G2204="",L2204&lt;&gt;"Да"),"",IF(G2204&lt;=100,"До 100",IF(G2204&lt;=200,"До 200",IF(G2204&lt;=500,"До 500","Отдельное КП"))))</f>
        <v/>
      </c>
      <c r="N2204" s="15">
        <f>IF(OR(G2204="",L2204&lt;&gt;"Да"),"",IF(G2204&lt;=100,33600,IF(G2204&lt;=200,62400,IF(G2204&lt;=500,144000,""))))</f>
        <v/>
      </c>
      <c r="O2204" s="16">
        <f>IF(G2204="","",IF(G2204&lt;=15,"1–15",IF(G2204&lt;=30,"16–30",IF(G2204&lt;=50,"31–50",IF(G2204&lt;=100,"51–100",IF(G2204&lt;=150,"101–150",IF(G2204&lt;=200,"151–200",IF(G2204&lt;=500,"201–500","500+"))))))))</f>
        <v/>
      </c>
      <c r="P2204" s="16" t="inlineStr">
        <is>
          <t>Нет совпадения в предоставленной выгрузке ССЧР</t>
        </is>
      </c>
      <c r="Q2204" s="16" t="n"/>
      <c r="R2204" s="16">
        <f>HYPERLINK("https://checko.ru/search?query=3801001629","Чекко: проверить")</f>
        <v/>
      </c>
      <c r="S2204" t="n">
        <v>0</v>
      </c>
    </row>
    <row r="2205" ht="15" customHeight="1" s="24">
      <c r="A2205" s="13" t="n">
        <v>5000094635</v>
      </c>
      <c r="B2205" s="13" t="inlineStr">
        <is>
          <t>МКОУ СОШ им. С.П. Хамидие</t>
        </is>
      </c>
      <c r="C2205" s="13" t="n">
        <v>705001910</v>
      </c>
      <c r="D2205" s="13" t="n"/>
      <c r="E2205" s="13" t="inlineStr">
        <is>
          <t>Не определён</t>
        </is>
      </c>
      <c r="F2205" s="13" t="inlineStr">
        <is>
          <t>705001910</t>
        </is>
      </c>
      <c r="G2205" s="14" t="n"/>
      <c r="H2205" s="14" t="n"/>
      <c r="I2205" s="14" t="n"/>
      <c r="J2205" s="14" t="n"/>
      <c r="K2205" s="13">
        <f>IF(G2205="","",IF(G2205&gt;=22,"Да","Нет"))</f>
        <v/>
      </c>
      <c r="L2205" s="13">
        <f>IF(OR(I2205="",J2205=""),"Не определено",IF(OR(COUNTIF(I2205,"45*")&gt;0,COUNTIF(J2205,"*45*")&gt;0,COUNTIF(I2205,"46*")&gt;0,COUNTIF(J2205,"*46*")&gt;0,COUNTIF(I2205,"47*")&gt;0,COUNTIF(J2205,"*47*")&gt;0,COUNTIF(I2205,"10*")&gt;0,COUNTIF(J2205,"*10*")&gt;0,COUNTIF(I2205,"11*")&gt;0,COUNTIF(J2205,"*11*")&gt;0,COUNTIF(I2205,"12*")&gt;0,COUNTIF(J2205,"*12*")&gt;0,COUNTIF(I2205,"13*")&gt;0,COUNTIF(J2205,"*13*")&gt;0,COUNTIF(I2205,"14*")&gt;0,COUNTIF(J2205,"*14*")&gt;0,COUNTIF(I2205,"15*")&gt;0,COUNTIF(J2205,"*15*")&gt;0,COUNTIF(I2205,"16*")&gt;0,COUNTIF(J2205,"*16*")&gt;0,COUNTIF(I2205,"17*")&gt;0,COUNTIF(J2205,"*17*")&gt;0,COUNTIF(I2205,"18*")&gt;0,COUNTIF(J2205,"*18*")&gt;0,COUNTIF(I2205,"19*")&gt;0,COUNTIF(J2205,"*19*")&gt;0,COUNTIF(I2205,"20*")&gt;0,COUNTIF(J2205,"*20*")&gt;0,COUNTIF(I2205,"21*")&gt;0,COUNTIF(J2205,"*21*")&gt;0,COUNTIF(I2205,"22*")&gt;0,COUNTIF(J2205,"*22*")&gt;0,COUNTIF(I2205,"23*")&gt;0,COUNTIF(J2205,"*23*")&gt;0,COUNTIF(I2205,"24*")&gt;0,COUNTIF(J2205,"*24*")&gt;0,COUNTIF(I2205,"25*")&gt;0,COUNTIF(J2205,"*25*")&gt;0,COUNTIF(I2205,"26*")&gt;0,COUNTIF(J2205,"*26*")&gt;0,COUNTIF(I2205,"27*")&gt;0,COUNTIF(J2205,"*27*")&gt;0,COUNTIF(I2205,"28*")&gt;0,COUNTIF(J2205,"*28*")&gt;0,COUNTIF(I2205,"29*")&gt;0,COUNTIF(J2205,"*29*")&gt;0,COUNTIF(I2205,"30*")&gt;0,COUNTIF(J2205,"*30*")&gt;0,COUNTIF(I2205,"31*")&gt;0,COUNTIF(J2205,"*31*")&gt;0,COUNTIF(I2205,"32*")&gt;0,COUNTIF(J2205,"*32*")&gt;0,COUNTIF(I2205,"33*")&gt;0,COUNTIF(J2205,"*33*")&gt;0,COUNTIF(I2205,"41*")&gt;0,COUNTIF(J2205,"*41*")&gt;0,COUNTIF(I2205,"42*")&gt;0,COUNTIF(J2205,"*42*")&gt;0,COUNTIF(I2205,"43*")&gt;0,COUNTIF(J2205,"*43*")&gt;0,COUNTIF(I2205,"49*")&gt;0,COUNTIF(J2205,"*49*")&gt;0,COUNTIF(I2205,"52*")&gt;0,COUNTIF(J2205,"*52*")&gt;0,COUNTIF(I2205,"55*")&gt;0,COUNTIF(J2205,"*55*")&gt;0,COUNTIF(I2205,"56*")&gt;0,COUNTIF(J2205,"*56*")&gt;0,COUNTIF(I2205,"68*")&gt;0,COUNTIF(J2205,"*68*")&gt;0,COUNTIF(I2205,"78*")&gt;0,COUNTIF(J2205,"*78*")&gt;0,COUNTIF(I2205,"81*")&gt;0,COUNTIF(J2205,"*81*")&gt;0,COUNTIF(I2205,"82*")&gt;0,COUNTIF(J2205,"*82*")&gt;0,COUNTIF(I2205,"64*")&gt;0,COUNTIF(J2205,"*64*")&gt;0,COUNTIF(I2205,"65*")&gt;0,COUNTIF(J2205,"*65*")&gt;0,COUNTIF(I2205,"66*")&gt;0,COUNTIF(J2205,"*66*")&gt;0,COUNTIF(I2205,"61*")&gt;0,COUNTIF(J2205,"*61*")&gt;0,COUNTIF(I2205,"62*")&gt;0,COUNTIF(J2205,"*62*")&gt;0,COUNTIF(I2205,"63*")&gt;0,COUNTIF(J2205,"*63*")&gt;0,COUNTIF(I2205,"85*")&gt;0,COUNTIF(J2205,"*85*")&gt;0,COUNTIF(I2205,"86*")&gt;0,COUNTIF(J2205,"*86*")&gt;0),"Да","Нет"))</f>
        <v/>
      </c>
      <c r="M2205" s="13">
        <f>IF(OR(G2205="",L2205&lt;&gt;"Да"),"",IF(G2205&lt;=100,"До 100",IF(G2205&lt;=200,"До 200",IF(G2205&lt;=500,"До 500","Отдельное КП"))))</f>
        <v/>
      </c>
      <c r="N2205" s="15">
        <f>IF(OR(G2205="",L2205&lt;&gt;"Да"),"",IF(G2205&lt;=100,33600,IF(G2205&lt;=200,62400,IF(G2205&lt;=500,144000,""))))</f>
        <v/>
      </c>
      <c r="O2205" s="16">
        <f>IF(G2205="","",IF(G2205&lt;=15,"1–15",IF(G2205&lt;=30,"16–30",IF(G2205&lt;=50,"31–50",IF(G2205&lt;=100,"51–100",IF(G2205&lt;=150,"101–150",IF(G2205&lt;=200,"151–200",IF(G2205&lt;=500,"201–500","500+"))))))))</f>
        <v/>
      </c>
      <c r="P2205" s="16" t="inlineStr">
        <is>
          <t>Нет совпадения в предоставленной выгрузке ССЧР</t>
        </is>
      </c>
      <c r="Q2205" s="16" t="n"/>
      <c r="R2205" s="16">
        <f>HYPERLINK("https://checko.ru/search?query=3801001629","Чекко: проверить")</f>
        <v/>
      </c>
      <c r="S2205" t="n">
        <v>0</v>
      </c>
    </row>
    <row r="2206" ht="15" customHeight="1" s="24">
      <c r="A2206" s="13" t="n">
        <v>5000094636</v>
      </c>
      <c r="B2206" s="13" t="inlineStr">
        <is>
          <t>МКОУ СОШ С.П. Красноармейское</t>
        </is>
      </c>
      <c r="C2206" s="13" t="n">
        <v>705001927</v>
      </c>
      <c r="D2206" s="13" t="n"/>
      <c r="E2206" s="13" t="inlineStr">
        <is>
          <t>Не определён</t>
        </is>
      </c>
      <c r="F2206" s="13" t="inlineStr">
        <is>
          <t>705001927</t>
        </is>
      </c>
      <c r="G2206" s="14" t="n"/>
      <c r="H2206" s="14" t="n"/>
      <c r="I2206" s="14" t="n"/>
      <c r="J2206" s="14" t="n"/>
      <c r="K2206" s="13">
        <f>IF(G2206="","",IF(G2206&gt;=22,"Да","Нет"))</f>
        <v/>
      </c>
      <c r="L2206" s="13">
        <f>IF(OR(I2206="",J2206=""),"Не определено",IF(OR(COUNTIF(I2206,"45*")&gt;0,COUNTIF(J2206,"*45*")&gt;0,COUNTIF(I2206,"46*")&gt;0,COUNTIF(J2206,"*46*")&gt;0,COUNTIF(I2206,"47*")&gt;0,COUNTIF(J2206,"*47*")&gt;0,COUNTIF(I2206,"10*")&gt;0,COUNTIF(J2206,"*10*")&gt;0,COUNTIF(I2206,"11*")&gt;0,COUNTIF(J2206,"*11*")&gt;0,COUNTIF(I2206,"12*")&gt;0,COUNTIF(J2206,"*12*")&gt;0,COUNTIF(I2206,"13*")&gt;0,COUNTIF(J2206,"*13*")&gt;0,COUNTIF(I2206,"14*")&gt;0,COUNTIF(J2206,"*14*")&gt;0,COUNTIF(I2206,"15*")&gt;0,COUNTIF(J2206,"*15*")&gt;0,COUNTIF(I2206,"16*")&gt;0,COUNTIF(J2206,"*16*")&gt;0,COUNTIF(I2206,"17*")&gt;0,COUNTIF(J2206,"*17*")&gt;0,COUNTIF(I2206,"18*")&gt;0,COUNTIF(J2206,"*18*")&gt;0,COUNTIF(I2206,"19*")&gt;0,COUNTIF(J2206,"*19*")&gt;0,COUNTIF(I2206,"20*")&gt;0,COUNTIF(J2206,"*20*")&gt;0,COUNTIF(I2206,"21*")&gt;0,COUNTIF(J2206,"*21*")&gt;0,COUNTIF(I2206,"22*")&gt;0,COUNTIF(J2206,"*22*")&gt;0,COUNTIF(I2206,"23*")&gt;0,COUNTIF(J2206,"*23*")&gt;0,COUNTIF(I2206,"24*")&gt;0,COUNTIF(J2206,"*24*")&gt;0,COUNTIF(I2206,"25*")&gt;0,COUNTIF(J2206,"*25*")&gt;0,COUNTIF(I2206,"26*")&gt;0,COUNTIF(J2206,"*26*")&gt;0,COUNTIF(I2206,"27*")&gt;0,COUNTIF(J2206,"*27*")&gt;0,COUNTIF(I2206,"28*")&gt;0,COUNTIF(J2206,"*28*")&gt;0,COUNTIF(I2206,"29*")&gt;0,COUNTIF(J2206,"*29*")&gt;0,COUNTIF(I2206,"30*")&gt;0,COUNTIF(J2206,"*30*")&gt;0,COUNTIF(I2206,"31*")&gt;0,COUNTIF(J2206,"*31*")&gt;0,COUNTIF(I2206,"32*")&gt;0,COUNTIF(J2206,"*32*")&gt;0,COUNTIF(I2206,"33*")&gt;0,COUNTIF(J2206,"*33*")&gt;0,COUNTIF(I2206,"41*")&gt;0,COUNTIF(J2206,"*41*")&gt;0,COUNTIF(I2206,"42*")&gt;0,COUNTIF(J2206,"*42*")&gt;0,COUNTIF(I2206,"43*")&gt;0,COUNTIF(J2206,"*43*")&gt;0,COUNTIF(I2206,"49*")&gt;0,COUNTIF(J2206,"*49*")&gt;0,COUNTIF(I2206,"52*")&gt;0,COUNTIF(J2206,"*52*")&gt;0,COUNTIF(I2206,"55*")&gt;0,COUNTIF(J2206,"*55*")&gt;0,COUNTIF(I2206,"56*")&gt;0,COUNTIF(J2206,"*56*")&gt;0,COUNTIF(I2206,"68*")&gt;0,COUNTIF(J2206,"*68*")&gt;0,COUNTIF(I2206,"78*")&gt;0,COUNTIF(J2206,"*78*")&gt;0,COUNTIF(I2206,"81*")&gt;0,COUNTIF(J2206,"*81*")&gt;0,COUNTIF(I2206,"82*")&gt;0,COUNTIF(J2206,"*82*")&gt;0,COUNTIF(I2206,"64*")&gt;0,COUNTIF(J2206,"*64*")&gt;0,COUNTIF(I2206,"65*")&gt;0,COUNTIF(J2206,"*65*")&gt;0,COUNTIF(I2206,"66*")&gt;0,COUNTIF(J2206,"*66*")&gt;0,COUNTIF(I2206,"61*")&gt;0,COUNTIF(J2206,"*61*")&gt;0,COUNTIF(I2206,"62*")&gt;0,COUNTIF(J2206,"*62*")&gt;0,COUNTIF(I2206,"63*")&gt;0,COUNTIF(J2206,"*63*")&gt;0,COUNTIF(I2206,"85*")&gt;0,COUNTIF(J2206,"*85*")&gt;0,COUNTIF(I2206,"86*")&gt;0,COUNTIF(J2206,"*86*")&gt;0),"Да","Нет"))</f>
        <v/>
      </c>
      <c r="M2206" s="13">
        <f>IF(OR(G2206="",L2206&lt;&gt;"Да"),"",IF(G2206&lt;=100,"До 100",IF(G2206&lt;=200,"До 200",IF(G2206&lt;=500,"До 500","Отдельное КП"))))</f>
        <v/>
      </c>
      <c r="N2206" s="15">
        <f>IF(OR(G2206="",L2206&lt;&gt;"Да"),"",IF(G2206&lt;=100,33600,IF(G2206&lt;=200,62400,IF(G2206&lt;=500,144000,""))))</f>
        <v/>
      </c>
      <c r="O2206" s="16">
        <f>IF(G2206="","",IF(G2206&lt;=15,"1–15",IF(G2206&lt;=30,"16–30",IF(G2206&lt;=50,"31–50",IF(G2206&lt;=100,"51–100",IF(G2206&lt;=150,"101–150",IF(G2206&lt;=200,"151–200",IF(G2206&lt;=500,"201–500","500+"))))))))</f>
        <v/>
      </c>
      <c r="P2206" s="16" t="inlineStr">
        <is>
          <t>Нет совпадения в предоставленной выгрузке ССЧР</t>
        </is>
      </c>
      <c r="Q2206" s="16" t="n"/>
      <c r="R2206" s="16">
        <f>HYPERLINK("https://checko.ru/search?query=3801001629","Чекко: проверить")</f>
        <v/>
      </c>
      <c r="S2206" t="n">
        <v>0</v>
      </c>
    </row>
    <row r="2207" ht="15" customHeight="1" s="24">
      <c r="A2207" s="13" t="n">
        <v>5000094637</v>
      </c>
      <c r="B2207" s="13" t="inlineStr">
        <is>
          <t>МКОУ СОШ С.П. АРИК</t>
        </is>
      </c>
      <c r="C2207" s="13" t="n">
        <v>705001934</v>
      </c>
      <c r="D2207" s="13" t="n"/>
      <c r="E2207" s="13" t="inlineStr">
        <is>
          <t>Не определён</t>
        </is>
      </c>
      <c r="F2207" s="13" t="inlineStr">
        <is>
          <t>705001934</t>
        </is>
      </c>
      <c r="G2207" s="14" t="n"/>
      <c r="H2207" s="14" t="n"/>
      <c r="I2207" s="14" t="n"/>
      <c r="J2207" s="14" t="n"/>
      <c r="K2207" s="13">
        <f>IF(G2207="","",IF(G2207&gt;=22,"Да","Нет"))</f>
        <v/>
      </c>
      <c r="L2207" s="13">
        <f>IF(OR(I2207="",J2207=""),"Не определено",IF(OR(COUNTIF(I2207,"45*")&gt;0,COUNTIF(J2207,"*45*")&gt;0,COUNTIF(I2207,"46*")&gt;0,COUNTIF(J2207,"*46*")&gt;0,COUNTIF(I2207,"47*")&gt;0,COUNTIF(J2207,"*47*")&gt;0,COUNTIF(I2207,"10*")&gt;0,COUNTIF(J2207,"*10*")&gt;0,COUNTIF(I2207,"11*")&gt;0,COUNTIF(J2207,"*11*")&gt;0,COUNTIF(I2207,"12*")&gt;0,COUNTIF(J2207,"*12*")&gt;0,COUNTIF(I2207,"13*")&gt;0,COUNTIF(J2207,"*13*")&gt;0,COUNTIF(I2207,"14*")&gt;0,COUNTIF(J2207,"*14*")&gt;0,COUNTIF(I2207,"15*")&gt;0,COUNTIF(J2207,"*15*")&gt;0,COUNTIF(I2207,"16*")&gt;0,COUNTIF(J2207,"*16*")&gt;0,COUNTIF(I2207,"17*")&gt;0,COUNTIF(J2207,"*17*")&gt;0,COUNTIF(I2207,"18*")&gt;0,COUNTIF(J2207,"*18*")&gt;0,COUNTIF(I2207,"19*")&gt;0,COUNTIF(J2207,"*19*")&gt;0,COUNTIF(I2207,"20*")&gt;0,COUNTIF(J2207,"*20*")&gt;0,COUNTIF(I2207,"21*")&gt;0,COUNTIF(J2207,"*21*")&gt;0,COUNTIF(I2207,"22*")&gt;0,COUNTIF(J2207,"*22*")&gt;0,COUNTIF(I2207,"23*")&gt;0,COUNTIF(J2207,"*23*")&gt;0,COUNTIF(I2207,"24*")&gt;0,COUNTIF(J2207,"*24*")&gt;0,COUNTIF(I2207,"25*")&gt;0,COUNTIF(J2207,"*25*")&gt;0,COUNTIF(I2207,"26*")&gt;0,COUNTIF(J2207,"*26*")&gt;0,COUNTIF(I2207,"27*")&gt;0,COUNTIF(J2207,"*27*")&gt;0,COUNTIF(I2207,"28*")&gt;0,COUNTIF(J2207,"*28*")&gt;0,COUNTIF(I2207,"29*")&gt;0,COUNTIF(J2207,"*29*")&gt;0,COUNTIF(I2207,"30*")&gt;0,COUNTIF(J2207,"*30*")&gt;0,COUNTIF(I2207,"31*")&gt;0,COUNTIF(J2207,"*31*")&gt;0,COUNTIF(I2207,"32*")&gt;0,COUNTIF(J2207,"*32*")&gt;0,COUNTIF(I2207,"33*")&gt;0,COUNTIF(J2207,"*33*")&gt;0,COUNTIF(I2207,"41*")&gt;0,COUNTIF(J2207,"*41*")&gt;0,COUNTIF(I2207,"42*")&gt;0,COUNTIF(J2207,"*42*")&gt;0,COUNTIF(I2207,"43*")&gt;0,COUNTIF(J2207,"*43*")&gt;0,COUNTIF(I2207,"49*")&gt;0,COUNTIF(J2207,"*49*")&gt;0,COUNTIF(I2207,"52*")&gt;0,COUNTIF(J2207,"*52*")&gt;0,COUNTIF(I2207,"55*")&gt;0,COUNTIF(J2207,"*55*")&gt;0,COUNTIF(I2207,"56*")&gt;0,COUNTIF(J2207,"*56*")&gt;0,COUNTIF(I2207,"68*")&gt;0,COUNTIF(J2207,"*68*")&gt;0,COUNTIF(I2207,"78*")&gt;0,COUNTIF(J2207,"*78*")&gt;0,COUNTIF(I2207,"81*")&gt;0,COUNTIF(J2207,"*81*")&gt;0,COUNTIF(I2207,"82*")&gt;0,COUNTIF(J2207,"*82*")&gt;0,COUNTIF(I2207,"64*")&gt;0,COUNTIF(J2207,"*64*")&gt;0,COUNTIF(I2207,"65*")&gt;0,COUNTIF(J2207,"*65*")&gt;0,COUNTIF(I2207,"66*")&gt;0,COUNTIF(J2207,"*66*")&gt;0,COUNTIF(I2207,"61*")&gt;0,COUNTIF(J2207,"*61*")&gt;0,COUNTIF(I2207,"62*")&gt;0,COUNTIF(J2207,"*62*")&gt;0,COUNTIF(I2207,"63*")&gt;0,COUNTIF(J2207,"*63*")&gt;0,COUNTIF(I2207,"85*")&gt;0,COUNTIF(J2207,"*85*")&gt;0,COUNTIF(I2207,"86*")&gt;0,COUNTIF(J2207,"*86*")&gt;0),"Да","Нет"))</f>
        <v/>
      </c>
      <c r="M2207" s="13">
        <f>IF(OR(G2207="",L2207&lt;&gt;"Да"),"",IF(G2207&lt;=100,"До 100",IF(G2207&lt;=200,"До 200",IF(G2207&lt;=500,"До 500","Отдельное КП"))))</f>
        <v/>
      </c>
      <c r="N2207" s="15">
        <f>IF(OR(G2207="",L2207&lt;&gt;"Да"),"",IF(G2207&lt;=100,33600,IF(G2207&lt;=200,62400,IF(G2207&lt;=500,144000,""))))</f>
        <v/>
      </c>
      <c r="O2207" s="16">
        <f>IF(G2207="","",IF(G2207&lt;=15,"1–15",IF(G2207&lt;=30,"16–30",IF(G2207&lt;=50,"31–50",IF(G2207&lt;=100,"51–100",IF(G2207&lt;=150,"101–150",IF(G2207&lt;=200,"151–200",IF(G2207&lt;=500,"201–500","500+"))))))))</f>
        <v/>
      </c>
      <c r="P2207" s="16" t="inlineStr">
        <is>
          <t>Нет совпадения в предоставленной выгрузке ССЧР</t>
        </is>
      </c>
      <c r="Q2207" s="16" t="n"/>
      <c r="R2207" s="16">
        <f>HYPERLINK("https://checko.ru/search?query=3801001629","Чекко: проверить")</f>
        <v/>
      </c>
      <c r="S2207" t="n">
        <v>0</v>
      </c>
    </row>
    <row r="2208" ht="15" customHeight="1" s="24">
      <c r="A2208" s="13" t="n">
        <v>5000094638</v>
      </c>
      <c r="B2208" s="13" t="inlineStr">
        <is>
          <t>МКОУ СОШ им М.Х.Барагунова с.п.  Урожайное</t>
        </is>
      </c>
      <c r="C2208" s="13" t="n">
        <v>705002092</v>
      </c>
      <c r="D2208" s="13" t="n"/>
      <c r="E2208" s="13" t="inlineStr">
        <is>
          <t>Не определён</t>
        </is>
      </c>
      <c r="F2208" s="13" t="inlineStr">
        <is>
          <t>705002092</t>
        </is>
      </c>
      <c r="G2208" s="14" t="n"/>
      <c r="H2208" s="14" t="n"/>
      <c r="I2208" s="14" t="n"/>
      <c r="J2208" s="14" t="n"/>
      <c r="K2208" s="13">
        <f>IF(G2208="","",IF(G2208&gt;=22,"Да","Нет"))</f>
        <v/>
      </c>
      <c r="L2208" s="13">
        <f>IF(OR(I2208="",J2208=""),"Не определено",IF(OR(COUNTIF(I2208,"45*")&gt;0,COUNTIF(J2208,"*45*")&gt;0,COUNTIF(I2208,"46*")&gt;0,COUNTIF(J2208,"*46*")&gt;0,COUNTIF(I2208,"47*")&gt;0,COUNTIF(J2208,"*47*")&gt;0,COUNTIF(I2208,"10*")&gt;0,COUNTIF(J2208,"*10*")&gt;0,COUNTIF(I2208,"11*")&gt;0,COUNTIF(J2208,"*11*")&gt;0,COUNTIF(I2208,"12*")&gt;0,COUNTIF(J2208,"*12*")&gt;0,COUNTIF(I2208,"13*")&gt;0,COUNTIF(J2208,"*13*")&gt;0,COUNTIF(I2208,"14*")&gt;0,COUNTIF(J2208,"*14*")&gt;0,COUNTIF(I2208,"15*")&gt;0,COUNTIF(J2208,"*15*")&gt;0,COUNTIF(I2208,"16*")&gt;0,COUNTIF(J2208,"*16*")&gt;0,COUNTIF(I2208,"17*")&gt;0,COUNTIF(J2208,"*17*")&gt;0,COUNTIF(I2208,"18*")&gt;0,COUNTIF(J2208,"*18*")&gt;0,COUNTIF(I2208,"19*")&gt;0,COUNTIF(J2208,"*19*")&gt;0,COUNTIF(I2208,"20*")&gt;0,COUNTIF(J2208,"*20*")&gt;0,COUNTIF(I2208,"21*")&gt;0,COUNTIF(J2208,"*21*")&gt;0,COUNTIF(I2208,"22*")&gt;0,COUNTIF(J2208,"*22*")&gt;0,COUNTIF(I2208,"23*")&gt;0,COUNTIF(J2208,"*23*")&gt;0,COUNTIF(I2208,"24*")&gt;0,COUNTIF(J2208,"*24*")&gt;0,COUNTIF(I2208,"25*")&gt;0,COUNTIF(J2208,"*25*")&gt;0,COUNTIF(I2208,"26*")&gt;0,COUNTIF(J2208,"*26*")&gt;0,COUNTIF(I2208,"27*")&gt;0,COUNTIF(J2208,"*27*")&gt;0,COUNTIF(I2208,"28*")&gt;0,COUNTIF(J2208,"*28*")&gt;0,COUNTIF(I2208,"29*")&gt;0,COUNTIF(J2208,"*29*")&gt;0,COUNTIF(I2208,"30*")&gt;0,COUNTIF(J2208,"*30*")&gt;0,COUNTIF(I2208,"31*")&gt;0,COUNTIF(J2208,"*31*")&gt;0,COUNTIF(I2208,"32*")&gt;0,COUNTIF(J2208,"*32*")&gt;0,COUNTIF(I2208,"33*")&gt;0,COUNTIF(J2208,"*33*")&gt;0,COUNTIF(I2208,"41*")&gt;0,COUNTIF(J2208,"*41*")&gt;0,COUNTIF(I2208,"42*")&gt;0,COUNTIF(J2208,"*42*")&gt;0,COUNTIF(I2208,"43*")&gt;0,COUNTIF(J2208,"*43*")&gt;0,COUNTIF(I2208,"49*")&gt;0,COUNTIF(J2208,"*49*")&gt;0,COUNTIF(I2208,"52*")&gt;0,COUNTIF(J2208,"*52*")&gt;0,COUNTIF(I2208,"55*")&gt;0,COUNTIF(J2208,"*55*")&gt;0,COUNTIF(I2208,"56*")&gt;0,COUNTIF(J2208,"*56*")&gt;0,COUNTIF(I2208,"68*")&gt;0,COUNTIF(J2208,"*68*")&gt;0,COUNTIF(I2208,"78*")&gt;0,COUNTIF(J2208,"*78*")&gt;0,COUNTIF(I2208,"81*")&gt;0,COUNTIF(J2208,"*81*")&gt;0,COUNTIF(I2208,"82*")&gt;0,COUNTIF(J2208,"*82*")&gt;0,COUNTIF(I2208,"64*")&gt;0,COUNTIF(J2208,"*64*")&gt;0,COUNTIF(I2208,"65*")&gt;0,COUNTIF(J2208,"*65*")&gt;0,COUNTIF(I2208,"66*")&gt;0,COUNTIF(J2208,"*66*")&gt;0,COUNTIF(I2208,"61*")&gt;0,COUNTIF(J2208,"*61*")&gt;0,COUNTIF(I2208,"62*")&gt;0,COUNTIF(J2208,"*62*")&gt;0,COUNTIF(I2208,"63*")&gt;0,COUNTIF(J2208,"*63*")&gt;0,COUNTIF(I2208,"85*")&gt;0,COUNTIF(J2208,"*85*")&gt;0,COUNTIF(I2208,"86*")&gt;0,COUNTIF(J2208,"*86*")&gt;0),"Да","Нет"))</f>
        <v/>
      </c>
      <c r="M2208" s="13">
        <f>IF(OR(G2208="",L2208&lt;&gt;"Да"),"",IF(G2208&lt;=100,"До 100",IF(G2208&lt;=200,"До 200",IF(G2208&lt;=500,"До 500","Отдельное КП"))))</f>
        <v/>
      </c>
      <c r="N2208" s="15">
        <f>IF(OR(G2208="",L2208&lt;&gt;"Да"),"",IF(G2208&lt;=100,33600,IF(G2208&lt;=200,62400,IF(G2208&lt;=500,144000,""))))</f>
        <v/>
      </c>
      <c r="O2208" s="16">
        <f>IF(G2208="","",IF(G2208&lt;=15,"1–15",IF(G2208&lt;=30,"16–30",IF(G2208&lt;=50,"31–50",IF(G2208&lt;=100,"51–100",IF(G2208&lt;=150,"101–150",IF(G2208&lt;=200,"151–200",IF(G2208&lt;=500,"201–500","500+"))))))))</f>
        <v/>
      </c>
      <c r="P2208" s="16" t="inlineStr">
        <is>
          <t>Нет совпадения в предоставленной выгрузке ССЧР</t>
        </is>
      </c>
      <c r="Q2208" s="16" t="n"/>
      <c r="R2208" s="16">
        <f>HYPERLINK("https://checko.ru/search?query=3801001629","Чекко: проверить")</f>
        <v/>
      </c>
      <c r="S2208" t="n">
        <v>0</v>
      </c>
    </row>
    <row r="2209" ht="15" customHeight="1" s="24">
      <c r="A2209" s="13" t="n">
        <v>5000094640</v>
      </c>
      <c r="B2209" s="13" t="inlineStr">
        <is>
          <t>МКОУ "СОШ №2 ИМ К.Х.КИЗОВА С.П. Плановское"</t>
        </is>
      </c>
      <c r="C2209" s="13" t="n">
        <v>705002335</v>
      </c>
      <c r="D2209" s="13" t="n"/>
      <c r="E2209" s="13" t="inlineStr">
        <is>
          <t>Не определён</t>
        </is>
      </c>
      <c r="F2209" s="13" t="inlineStr">
        <is>
          <t>705002335</t>
        </is>
      </c>
      <c r="G2209" s="14" t="n"/>
      <c r="H2209" s="14" t="n"/>
      <c r="I2209" s="14" t="n"/>
      <c r="J2209" s="14" t="n"/>
      <c r="K2209" s="13">
        <f>IF(G2209="","",IF(G2209&gt;=22,"Да","Нет"))</f>
        <v/>
      </c>
      <c r="L2209" s="13">
        <f>IF(OR(I2209="",J2209=""),"Не определено",IF(OR(COUNTIF(I2209,"45*")&gt;0,COUNTIF(J2209,"*45*")&gt;0,COUNTIF(I2209,"46*")&gt;0,COUNTIF(J2209,"*46*")&gt;0,COUNTIF(I2209,"47*")&gt;0,COUNTIF(J2209,"*47*")&gt;0,COUNTIF(I2209,"10*")&gt;0,COUNTIF(J2209,"*10*")&gt;0,COUNTIF(I2209,"11*")&gt;0,COUNTIF(J2209,"*11*")&gt;0,COUNTIF(I2209,"12*")&gt;0,COUNTIF(J2209,"*12*")&gt;0,COUNTIF(I2209,"13*")&gt;0,COUNTIF(J2209,"*13*")&gt;0,COUNTIF(I2209,"14*")&gt;0,COUNTIF(J2209,"*14*")&gt;0,COUNTIF(I2209,"15*")&gt;0,COUNTIF(J2209,"*15*")&gt;0,COUNTIF(I2209,"16*")&gt;0,COUNTIF(J2209,"*16*")&gt;0,COUNTIF(I2209,"17*")&gt;0,COUNTIF(J2209,"*17*")&gt;0,COUNTIF(I2209,"18*")&gt;0,COUNTIF(J2209,"*18*")&gt;0,COUNTIF(I2209,"19*")&gt;0,COUNTIF(J2209,"*19*")&gt;0,COUNTIF(I2209,"20*")&gt;0,COUNTIF(J2209,"*20*")&gt;0,COUNTIF(I2209,"21*")&gt;0,COUNTIF(J2209,"*21*")&gt;0,COUNTIF(I2209,"22*")&gt;0,COUNTIF(J2209,"*22*")&gt;0,COUNTIF(I2209,"23*")&gt;0,COUNTIF(J2209,"*23*")&gt;0,COUNTIF(I2209,"24*")&gt;0,COUNTIF(J2209,"*24*")&gt;0,COUNTIF(I2209,"25*")&gt;0,COUNTIF(J2209,"*25*")&gt;0,COUNTIF(I2209,"26*")&gt;0,COUNTIF(J2209,"*26*")&gt;0,COUNTIF(I2209,"27*")&gt;0,COUNTIF(J2209,"*27*")&gt;0,COUNTIF(I2209,"28*")&gt;0,COUNTIF(J2209,"*28*")&gt;0,COUNTIF(I2209,"29*")&gt;0,COUNTIF(J2209,"*29*")&gt;0,COUNTIF(I2209,"30*")&gt;0,COUNTIF(J2209,"*30*")&gt;0,COUNTIF(I2209,"31*")&gt;0,COUNTIF(J2209,"*31*")&gt;0,COUNTIF(I2209,"32*")&gt;0,COUNTIF(J2209,"*32*")&gt;0,COUNTIF(I2209,"33*")&gt;0,COUNTIF(J2209,"*33*")&gt;0,COUNTIF(I2209,"41*")&gt;0,COUNTIF(J2209,"*41*")&gt;0,COUNTIF(I2209,"42*")&gt;0,COUNTIF(J2209,"*42*")&gt;0,COUNTIF(I2209,"43*")&gt;0,COUNTIF(J2209,"*43*")&gt;0,COUNTIF(I2209,"49*")&gt;0,COUNTIF(J2209,"*49*")&gt;0,COUNTIF(I2209,"52*")&gt;0,COUNTIF(J2209,"*52*")&gt;0,COUNTIF(I2209,"55*")&gt;0,COUNTIF(J2209,"*55*")&gt;0,COUNTIF(I2209,"56*")&gt;0,COUNTIF(J2209,"*56*")&gt;0,COUNTIF(I2209,"68*")&gt;0,COUNTIF(J2209,"*68*")&gt;0,COUNTIF(I2209,"78*")&gt;0,COUNTIF(J2209,"*78*")&gt;0,COUNTIF(I2209,"81*")&gt;0,COUNTIF(J2209,"*81*")&gt;0,COUNTIF(I2209,"82*")&gt;0,COUNTIF(J2209,"*82*")&gt;0,COUNTIF(I2209,"64*")&gt;0,COUNTIF(J2209,"*64*")&gt;0,COUNTIF(I2209,"65*")&gt;0,COUNTIF(J2209,"*65*")&gt;0,COUNTIF(I2209,"66*")&gt;0,COUNTIF(J2209,"*66*")&gt;0,COUNTIF(I2209,"61*")&gt;0,COUNTIF(J2209,"*61*")&gt;0,COUNTIF(I2209,"62*")&gt;0,COUNTIF(J2209,"*62*")&gt;0,COUNTIF(I2209,"63*")&gt;0,COUNTIF(J2209,"*63*")&gt;0,COUNTIF(I2209,"85*")&gt;0,COUNTIF(J2209,"*85*")&gt;0,COUNTIF(I2209,"86*")&gt;0,COUNTIF(J2209,"*86*")&gt;0),"Да","Нет"))</f>
        <v/>
      </c>
      <c r="M2209" s="13">
        <f>IF(OR(G2209="",L2209&lt;&gt;"Да"),"",IF(G2209&lt;=100,"До 100",IF(G2209&lt;=200,"До 200",IF(G2209&lt;=500,"До 500","Отдельное КП"))))</f>
        <v/>
      </c>
      <c r="N2209" s="15">
        <f>IF(OR(G2209="",L2209&lt;&gt;"Да"),"",IF(G2209&lt;=100,33600,IF(G2209&lt;=200,62400,IF(G2209&lt;=500,144000,""))))</f>
        <v/>
      </c>
      <c r="O2209" s="16">
        <f>IF(G2209="","",IF(G2209&lt;=15,"1–15",IF(G2209&lt;=30,"16–30",IF(G2209&lt;=50,"31–50",IF(G2209&lt;=100,"51–100",IF(G2209&lt;=150,"101–150",IF(G2209&lt;=200,"151–200",IF(G2209&lt;=500,"201–500","500+"))))))))</f>
        <v/>
      </c>
      <c r="P2209" s="16" t="inlineStr">
        <is>
          <t>Нет совпадения в предоставленной выгрузке ССЧР</t>
        </is>
      </c>
      <c r="Q2209" s="16" t="n"/>
      <c r="R2209" s="16">
        <f>HYPERLINK("https://checko.ru/search?query=3801001629","Чекко: проверить")</f>
        <v/>
      </c>
      <c r="S2209" t="n">
        <v>0</v>
      </c>
    </row>
    <row r="2210" ht="15" customHeight="1" s="24">
      <c r="A2210" s="13" t="n">
        <v>5000094642</v>
      </c>
      <c r="B2210" s="13" t="inlineStr">
        <is>
          <t>МКОУ СОШ С.П. Новая Балкария</t>
        </is>
      </c>
      <c r="C2210" s="13" t="n">
        <v>705002350</v>
      </c>
      <c r="D2210" s="13" t="n"/>
      <c r="E2210" s="13" t="inlineStr">
        <is>
          <t>Не определён</t>
        </is>
      </c>
      <c r="F2210" s="13" t="inlineStr">
        <is>
          <t>705002350</t>
        </is>
      </c>
      <c r="G2210" s="14" t="n"/>
      <c r="H2210" s="14" t="n"/>
      <c r="I2210" s="14" t="n"/>
      <c r="J2210" s="14" t="n"/>
      <c r="K2210" s="13">
        <f>IF(G2210="","",IF(G2210&gt;=22,"Да","Нет"))</f>
        <v/>
      </c>
      <c r="L2210" s="13">
        <f>IF(OR(I2210="",J2210=""),"Не определено",IF(OR(COUNTIF(I2210,"45*")&gt;0,COUNTIF(J2210,"*45*")&gt;0,COUNTIF(I2210,"46*")&gt;0,COUNTIF(J2210,"*46*")&gt;0,COUNTIF(I2210,"47*")&gt;0,COUNTIF(J2210,"*47*")&gt;0,COUNTIF(I2210,"10*")&gt;0,COUNTIF(J2210,"*10*")&gt;0,COUNTIF(I2210,"11*")&gt;0,COUNTIF(J2210,"*11*")&gt;0,COUNTIF(I2210,"12*")&gt;0,COUNTIF(J2210,"*12*")&gt;0,COUNTIF(I2210,"13*")&gt;0,COUNTIF(J2210,"*13*")&gt;0,COUNTIF(I2210,"14*")&gt;0,COUNTIF(J2210,"*14*")&gt;0,COUNTIF(I2210,"15*")&gt;0,COUNTIF(J2210,"*15*")&gt;0,COUNTIF(I2210,"16*")&gt;0,COUNTIF(J2210,"*16*")&gt;0,COUNTIF(I2210,"17*")&gt;0,COUNTIF(J2210,"*17*")&gt;0,COUNTIF(I2210,"18*")&gt;0,COUNTIF(J2210,"*18*")&gt;0,COUNTIF(I2210,"19*")&gt;0,COUNTIF(J2210,"*19*")&gt;0,COUNTIF(I2210,"20*")&gt;0,COUNTIF(J2210,"*20*")&gt;0,COUNTIF(I2210,"21*")&gt;0,COUNTIF(J2210,"*21*")&gt;0,COUNTIF(I2210,"22*")&gt;0,COUNTIF(J2210,"*22*")&gt;0,COUNTIF(I2210,"23*")&gt;0,COUNTIF(J2210,"*23*")&gt;0,COUNTIF(I2210,"24*")&gt;0,COUNTIF(J2210,"*24*")&gt;0,COUNTIF(I2210,"25*")&gt;0,COUNTIF(J2210,"*25*")&gt;0,COUNTIF(I2210,"26*")&gt;0,COUNTIF(J2210,"*26*")&gt;0,COUNTIF(I2210,"27*")&gt;0,COUNTIF(J2210,"*27*")&gt;0,COUNTIF(I2210,"28*")&gt;0,COUNTIF(J2210,"*28*")&gt;0,COUNTIF(I2210,"29*")&gt;0,COUNTIF(J2210,"*29*")&gt;0,COUNTIF(I2210,"30*")&gt;0,COUNTIF(J2210,"*30*")&gt;0,COUNTIF(I2210,"31*")&gt;0,COUNTIF(J2210,"*31*")&gt;0,COUNTIF(I2210,"32*")&gt;0,COUNTIF(J2210,"*32*")&gt;0,COUNTIF(I2210,"33*")&gt;0,COUNTIF(J2210,"*33*")&gt;0,COUNTIF(I2210,"41*")&gt;0,COUNTIF(J2210,"*41*")&gt;0,COUNTIF(I2210,"42*")&gt;0,COUNTIF(J2210,"*42*")&gt;0,COUNTIF(I2210,"43*")&gt;0,COUNTIF(J2210,"*43*")&gt;0,COUNTIF(I2210,"49*")&gt;0,COUNTIF(J2210,"*49*")&gt;0,COUNTIF(I2210,"52*")&gt;0,COUNTIF(J2210,"*52*")&gt;0,COUNTIF(I2210,"55*")&gt;0,COUNTIF(J2210,"*55*")&gt;0,COUNTIF(I2210,"56*")&gt;0,COUNTIF(J2210,"*56*")&gt;0,COUNTIF(I2210,"68*")&gt;0,COUNTIF(J2210,"*68*")&gt;0,COUNTIF(I2210,"78*")&gt;0,COUNTIF(J2210,"*78*")&gt;0,COUNTIF(I2210,"81*")&gt;0,COUNTIF(J2210,"*81*")&gt;0,COUNTIF(I2210,"82*")&gt;0,COUNTIF(J2210,"*82*")&gt;0,COUNTIF(I2210,"64*")&gt;0,COUNTIF(J2210,"*64*")&gt;0,COUNTIF(I2210,"65*")&gt;0,COUNTIF(J2210,"*65*")&gt;0,COUNTIF(I2210,"66*")&gt;0,COUNTIF(J2210,"*66*")&gt;0,COUNTIF(I2210,"61*")&gt;0,COUNTIF(J2210,"*61*")&gt;0,COUNTIF(I2210,"62*")&gt;0,COUNTIF(J2210,"*62*")&gt;0,COUNTIF(I2210,"63*")&gt;0,COUNTIF(J2210,"*63*")&gt;0,COUNTIF(I2210,"85*")&gt;0,COUNTIF(J2210,"*85*")&gt;0,COUNTIF(I2210,"86*")&gt;0,COUNTIF(J2210,"*86*")&gt;0),"Да","Нет"))</f>
        <v/>
      </c>
      <c r="M2210" s="13">
        <f>IF(OR(G2210="",L2210&lt;&gt;"Да"),"",IF(G2210&lt;=100,"До 100",IF(G2210&lt;=200,"До 200",IF(G2210&lt;=500,"До 500","Отдельное КП"))))</f>
        <v/>
      </c>
      <c r="N2210" s="15">
        <f>IF(OR(G2210="",L2210&lt;&gt;"Да"),"",IF(G2210&lt;=100,33600,IF(G2210&lt;=200,62400,IF(G2210&lt;=500,144000,""))))</f>
        <v/>
      </c>
      <c r="O2210" s="16">
        <f>IF(G2210="","",IF(G2210&lt;=15,"1–15",IF(G2210&lt;=30,"16–30",IF(G2210&lt;=50,"31–50",IF(G2210&lt;=100,"51–100",IF(G2210&lt;=150,"101–150",IF(G2210&lt;=200,"151–200",IF(G2210&lt;=500,"201–500","500+"))))))))</f>
        <v/>
      </c>
      <c r="P2210" s="16" t="inlineStr">
        <is>
          <t>Нет совпадения в предоставленной выгрузке ССЧР</t>
        </is>
      </c>
      <c r="Q2210" s="16" t="n"/>
      <c r="R2210" s="16">
        <f>HYPERLINK("https://checko.ru/search?query=3801001629","Чекко: проверить")</f>
        <v/>
      </c>
      <c r="S2210" t="n">
        <v>0</v>
      </c>
    </row>
    <row r="2211" ht="15" customHeight="1" s="24">
      <c r="A2211" s="13" t="n">
        <v>5000094643</v>
      </c>
      <c r="B2211" s="13" t="inlineStr">
        <is>
          <t>МКОУ СОШ С.П. Н-Курп</t>
        </is>
      </c>
      <c r="C2211" s="13" t="n">
        <v>705002367</v>
      </c>
      <c r="D2211" s="13" t="n"/>
      <c r="E2211" s="13" t="inlineStr">
        <is>
          <t>Не определён</t>
        </is>
      </c>
      <c r="F2211" s="13" t="inlineStr">
        <is>
          <t>705002367</t>
        </is>
      </c>
      <c r="G2211" s="14" t="n"/>
      <c r="H2211" s="14" t="n"/>
      <c r="I2211" s="14" t="n"/>
      <c r="J2211" s="14" t="n"/>
      <c r="K2211" s="13">
        <f>IF(G2211="","",IF(G2211&gt;=22,"Да","Нет"))</f>
        <v/>
      </c>
      <c r="L2211" s="13">
        <f>IF(OR(I2211="",J2211=""),"Не определено",IF(OR(COUNTIF(I2211,"45*")&gt;0,COUNTIF(J2211,"*45*")&gt;0,COUNTIF(I2211,"46*")&gt;0,COUNTIF(J2211,"*46*")&gt;0,COUNTIF(I2211,"47*")&gt;0,COUNTIF(J2211,"*47*")&gt;0,COUNTIF(I2211,"10*")&gt;0,COUNTIF(J2211,"*10*")&gt;0,COUNTIF(I2211,"11*")&gt;0,COUNTIF(J2211,"*11*")&gt;0,COUNTIF(I2211,"12*")&gt;0,COUNTIF(J2211,"*12*")&gt;0,COUNTIF(I2211,"13*")&gt;0,COUNTIF(J2211,"*13*")&gt;0,COUNTIF(I2211,"14*")&gt;0,COUNTIF(J2211,"*14*")&gt;0,COUNTIF(I2211,"15*")&gt;0,COUNTIF(J2211,"*15*")&gt;0,COUNTIF(I2211,"16*")&gt;0,COUNTIF(J2211,"*16*")&gt;0,COUNTIF(I2211,"17*")&gt;0,COUNTIF(J2211,"*17*")&gt;0,COUNTIF(I2211,"18*")&gt;0,COUNTIF(J2211,"*18*")&gt;0,COUNTIF(I2211,"19*")&gt;0,COUNTIF(J2211,"*19*")&gt;0,COUNTIF(I2211,"20*")&gt;0,COUNTIF(J2211,"*20*")&gt;0,COUNTIF(I2211,"21*")&gt;0,COUNTIF(J2211,"*21*")&gt;0,COUNTIF(I2211,"22*")&gt;0,COUNTIF(J2211,"*22*")&gt;0,COUNTIF(I2211,"23*")&gt;0,COUNTIF(J2211,"*23*")&gt;0,COUNTIF(I2211,"24*")&gt;0,COUNTIF(J2211,"*24*")&gt;0,COUNTIF(I2211,"25*")&gt;0,COUNTIF(J2211,"*25*")&gt;0,COUNTIF(I2211,"26*")&gt;0,COUNTIF(J2211,"*26*")&gt;0,COUNTIF(I2211,"27*")&gt;0,COUNTIF(J2211,"*27*")&gt;0,COUNTIF(I2211,"28*")&gt;0,COUNTIF(J2211,"*28*")&gt;0,COUNTIF(I2211,"29*")&gt;0,COUNTIF(J2211,"*29*")&gt;0,COUNTIF(I2211,"30*")&gt;0,COUNTIF(J2211,"*30*")&gt;0,COUNTIF(I2211,"31*")&gt;0,COUNTIF(J2211,"*31*")&gt;0,COUNTIF(I2211,"32*")&gt;0,COUNTIF(J2211,"*32*")&gt;0,COUNTIF(I2211,"33*")&gt;0,COUNTIF(J2211,"*33*")&gt;0,COUNTIF(I2211,"41*")&gt;0,COUNTIF(J2211,"*41*")&gt;0,COUNTIF(I2211,"42*")&gt;0,COUNTIF(J2211,"*42*")&gt;0,COUNTIF(I2211,"43*")&gt;0,COUNTIF(J2211,"*43*")&gt;0,COUNTIF(I2211,"49*")&gt;0,COUNTIF(J2211,"*49*")&gt;0,COUNTIF(I2211,"52*")&gt;0,COUNTIF(J2211,"*52*")&gt;0,COUNTIF(I2211,"55*")&gt;0,COUNTIF(J2211,"*55*")&gt;0,COUNTIF(I2211,"56*")&gt;0,COUNTIF(J2211,"*56*")&gt;0,COUNTIF(I2211,"68*")&gt;0,COUNTIF(J2211,"*68*")&gt;0,COUNTIF(I2211,"78*")&gt;0,COUNTIF(J2211,"*78*")&gt;0,COUNTIF(I2211,"81*")&gt;0,COUNTIF(J2211,"*81*")&gt;0,COUNTIF(I2211,"82*")&gt;0,COUNTIF(J2211,"*82*")&gt;0,COUNTIF(I2211,"64*")&gt;0,COUNTIF(J2211,"*64*")&gt;0,COUNTIF(I2211,"65*")&gt;0,COUNTIF(J2211,"*65*")&gt;0,COUNTIF(I2211,"66*")&gt;0,COUNTIF(J2211,"*66*")&gt;0,COUNTIF(I2211,"61*")&gt;0,COUNTIF(J2211,"*61*")&gt;0,COUNTIF(I2211,"62*")&gt;0,COUNTIF(J2211,"*62*")&gt;0,COUNTIF(I2211,"63*")&gt;0,COUNTIF(J2211,"*63*")&gt;0,COUNTIF(I2211,"85*")&gt;0,COUNTIF(J2211,"*85*")&gt;0,COUNTIF(I2211,"86*")&gt;0,COUNTIF(J2211,"*86*")&gt;0),"Да","Нет"))</f>
        <v/>
      </c>
      <c r="M2211" s="13">
        <f>IF(OR(G2211="",L2211&lt;&gt;"Да"),"",IF(G2211&lt;=100,"До 100",IF(G2211&lt;=200,"До 200",IF(G2211&lt;=500,"До 500","Отдельное КП"))))</f>
        <v/>
      </c>
      <c r="N2211" s="15">
        <f>IF(OR(G2211="",L2211&lt;&gt;"Да"),"",IF(G2211&lt;=100,33600,IF(G2211&lt;=200,62400,IF(G2211&lt;=500,144000,""))))</f>
        <v/>
      </c>
      <c r="O2211" s="16">
        <f>IF(G2211="","",IF(G2211&lt;=15,"1–15",IF(G2211&lt;=30,"16–30",IF(G2211&lt;=50,"31–50",IF(G2211&lt;=100,"51–100",IF(G2211&lt;=150,"101–150",IF(G2211&lt;=200,"151–200",IF(G2211&lt;=500,"201–500","500+"))))))))</f>
        <v/>
      </c>
      <c r="P2211" s="16" t="inlineStr">
        <is>
          <t>Нет совпадения в предоставленной выгрузке ССЧР</t>
        </is>
      </c>
      <c r="Q2211" s="16" t="n"/>
      <c r="R2211" s="16">
        <f>HYPERLINK("https://checko.ru/search?query=3801001629","Чекко: проверить")</f>
        <v/>
      </c>
      <c r="S2211" t="n">
        <v>0</v>
      </c>
    </row>
    <row r="2212" ht="15" customHeight="1" s="24">
      <c r="A2212" s="13" t="n">
        <v>5000094644</v>
      </c>
      <c r="B2212" s="13" t="inlineStr">
        <is>
          <t>МКОУ СОШ СП Тамбовское</t>
        </is>
      </c>
      <c r="C2212" s="13" t="n">
        <v>705002374</v>
      </c>
      <c r="D2212" s="13" t="n"/>
      <c r="E2212" s="13" t="inlineStr">
        <is>
          <t>Не определён</t>
        </is>
      </c>
      <c r="F2212" s="13" t="inlineStr">
        <is>
          <t>705002374</t>
        </is>
      </c>
      <c r="G2212" s="14" t="n"/>
      <c r="H2212" s="14" t="n"/>
      <c r="I2212" s="14" t="n"/>
      <c r="J2212" s="14" t="n"/>
      <c r="K2212" s="13">
        <f>IF(G2212="","",IF(G2212&gt;=22,"Да","Нет"))</f>
        <v/>
      </c>
      <c r="L2212" s="13">
        <f>IF(OR(I2212="",J2212=""),"Не определено",IF(OR(COUNTIF(I2212,"45*")&gt;0,COUNTIF(J2212,"*45*")&gt;0,COUNTIF(I2212,"46*")&gt;0,COUNTIF(J2212,"*46*")&gt;0,COUNTIF(I2212,"47*")&gt;0,COUNTIF(J2212,"*47*")&gt;0,COUNTIF(I2212,"10*")&gt;0,COUNTIF(J2212,"*10*")&gt;0,COUNTIF(I2212,"11*")&gt;0,COUNTIF(J2212,"*11*")&gt;0,COUNTIF(I2212,"12*")&gt;0,COUNTIF(J2212,"*12*")&gt;0,COUNTIF(I2212,"13*")&gt;0,COUNTIF(J2212,"*13*")&gt;0,COUNTIF(I2212,"14*")&gt;0,COUNTIF(J2212,"*14*")&gt;0,COUNTIF(I2212,"15*")&gt;0,COUNTIF(J2212,"*15*")&gt;0,COUNTIF(I2212,"16*")&gt;0,COUNTIF(J2212,"*16*")&gt;0,COUNTIF(I2212,"17*")&gt;0,COUNTIF(J2212,"*17*")&gt;0,COUNTIF(I2212,"18*")&gt;0,COUNTIF(J2212,"*18*")&gt;0,COUNTIF(I2212,"19*")&gt;0,COUNTIF(J2212,"*19*")&gt;0,COUNTIF(I2212,"20*")&gt;0,COUNTIF(J2212,"*20*")&gt;0,COUNTIF(I2212,"21*")&gt;0,COUNTIF(J2212,"*21*")&gt;0,COUNTIF(I2212,"22*")&gt;0,COUNTIF(J2212,"*22*")&gt;0,COUNTIF(I2212,"23*")&gt;0,COUNTIF(J2212,"*23*")&gt;0,COUNTIF(I2212,"24*")&gt;0,COUNTIF(J2212,"*24*")&gt;0,COUNTIF(I2212,"25*")&gt;0,COUNTIF(J2212,"*25*")&gt;0,COUNTIF(I2212,"26*")&gt;0,COUNTIF(J2212,"*26*")&gt;0,COUNTIF(I2212,"27*")&gt;0,COUNTIF(J2212,"*27*")&gt;0,COUNTIF(I2212,"28*")&gt;0,COUNTIF(J2212,"*28*")&gt;0,COUNTIF(I2212,"29*")&gt;0,COUNTIF(J2212,"*29*")&gt;0,COUNTIF(I2212,"30*")&gt;0,COUNTIF(J2212,"*30*")&gt;0,COUNTIF(I2212,"31*")&gt;0,COUNTIF(J2212,"*31*")&gt;0,COUNTIF(I2212,"32*")&gt;0,COUNTIF(J2212,"*32*")&gt;0,COUNTIF(I2212,"33*")&gt;0,COUNTIF(J2212,"*33*")&gt;0,COUNTIF(I2212,"41*")&gt;0,COUNTIF(J2212,"*41*")&gt;0,COUNTIF(I2212,"42*")&gt;0,COUNTIF(J2212,"*42*")&gt;0,COUNTIF(I2212,"43*")&gt;0,COUNTIF(J2212,"*43*")&gt;0,COUNTIF(I2212,"49*")&gt;0,COUNTIF(J2212,"*49*")&gt;0,COUNTIF(I2212,"52*")&gt;0,COUNTIF(J2212,"*52*")&gt;0,COUNTIF(I2212,"55*")&gt;0,COUNTIF(J2212,"*55*")&gt;0,COUNTIF(I2212,"56*")&gt;0,COUNTIF(J2212,"*56*")&gt;0,COUNTIF(I2212,"68*")&gt;0,COUNTIF(J2212,"*68*")&gt;0,COUNTIF(I2212,"78*")&gt;0,COUNTIF(J2212,"*78*")&gt;0,COUNTIF(I2212,"81*")&gt;0,COUNTIF(J2212,"*81*")&gt;0,COUNTIF(I2212,"82*")&gt;0,COUNTIF(J2212,"*82*")&gt;0,COUNTIF(I2212,"64*")&gt;0,COUNTIF(J2212,"*64*")&gt;0,COUNTIF(I2212,"65*")&gt;0,COUNTIF(J2212,"*65*")&gt;0,COUNTIF(I2212,"66*")&gt;0,COUNTIF(J2212,"*66*")&gt;0,COUNTIF(I2212,"61*")&gt;0,COUNTIF(J2212,"*61*")&gt;0,COUNTIF(I2212,"62*")&gt;0,COUNTIF(J2212,"*62*")&gt;0,COUNTIF(I2212,"63*")&gt;0,COUNTIF(J2212,"*63*")&gt;0,COUNTIF(I2212,"85*")&gt;0,COUNTIF(J2212,"*85*")&gt;0,COUNTIF(I2212,"86*")&gt;0,COUNTIF(J2212,"*86*")&gt;0),"Да","Нет"))</f>
        <v/>
      </c>
      <c r="M2212" s="13">
        <f>IF(OR(G2212="",L2212&lt;&gt;"Да"),"",IF(G2212&lt;=100,"До 100",IF(G2212&lt;=200,"До 200",IF(G2212&lt;=500,"До 500","Отдельное КП"))))</f>
        <v/>
      </c>
      <c r="N2212" s="15">
        <f>IF(OR(G2212="",L2212&lt;&gt;"Да"),"",IF(G2212&lt;=100,33600,IF(G2212&lt;=200,62400,IF(G2212&lt;=500,144000,""))))</f>
        <v/>
      </c>
      <c r="O2212" s="16">
        <f>IF(G2212="","",IF(G2212&lt;=15,"1–15",IF(G2212&lt;=30,"16–30",IF(G2212&lt;=50,"31–50",IF(G2212&lt;=100,"51–100",IF(G2212&lt;=150,"101–150",IF(G2212&lt;=200,"151–200",IF(G2212&lt;=500,"201–500","500+"))))))))</f>
        <v/>
      </c>
      <c r="P2212" s="16" t="inlineStr">
        <is>
          <t>Нет совпадения в предоставленной выгрузке ССЧР</t>
        </is>
      </c>
      <c r="Q2212" s="16" t="n"/>
      <c r="R2212" s="16">
        <f>HYPERLINK("https://checko.ru/search?query=3801001629","Чекко: проверить")</f>
        <v/>
      </c>
      <c r="S2212" t="n">
        <v>0</v>
      </c>
    </row>
    <row r="2213" ht="15" customHeight="1" s="24">
      <c r="A2213" s="13" t="n">
        <v>5000094645</v>
      </c>
      <c r="B2213" s="13" t="inlineStr">
        <is>
          <t>МКОУ "СОШ С.П. Верхний Курп"</t>
        </is>
      </c>
      <c r="C2213" s="13" t="n">
        <v>705002381</v>
      </c>
      <c r="D2213" s="13" t="n"/>
      <c r="E2213" s="13" t="inlineStr">
        <is>
          <t>Не определён</t>
        </is>
      </c>
      <c r="F2213" s="13" t="inlineStr">
        <is>
          <t>705002381</t>
        </is>
      </c>
      <c r="G2213" s="14" t="n"/>
      <c r="H2213" s="14" t="n"/>
      <c r="I2213" s="14" t="n"/>
      <c r="J2213" s="14" t="n"/>
      <c r="K2213" s="13">
        <f>IF(G2213="","",IF(G2213&gt;=22,"Да","Нет"))</f>
        <v/>
      </c>
      <c r="L2213" s="13">
        <f>IF(OR(I2213="",J2213=""),"Не определено",IF(OR(COUNTIF(I2213,"45*")&gt;0,COUNTIF(J2213,"*45*")&gt;0,COUNTIF(I2213,"46*")&gt;0,COUNTIF(J2213,"*46*")&gt;0,COUNTIF(I2213,"47*")&gt;0,COUNTIF(J2213,"*47*")&gt;0,COUNTIF(I2213,"10*")&gt;0,COUNTIF(J2213,"*10*")&gt;0,COUNTIF(I2213,"11*")&gt;0,COUNTIF(J2213,"*11*")&gt;0,COUNTIF(I2213,"12*")&gt;0,COUNTIF(J2213,"*12*")&gt;0,COUNTIF(I2213,"13*")&gt;0,COUNTIF(J2213,"*13*")&gt;0,COUNTIF(I2213,"14*")&gt;0,COUNTIF(J2213,"*14*")&gt;0,COUNTIF(I2213,"15*")&gt;0,COUNTIF(J2213,"*15*")&gt;0,COUNTIF(I2213,"16*")&gt;0,COUNTIF(J2213,"*16*")&gt;0,COUNTIF(I2213,"17*")&gt;0,COUNTIF(J2213,"*17*")&gt;0,COUNTIF(I2213,"18*")&gt;0,COUNTIF(J2213,"*18*")&gt;0,COUNTIF(I2213,"19*")&gt;0,COUNTIF(J2213,"*19*")&gt;0,COUNTIF(I2213,"20*")&gt;0,COUNTIF(J2213,"*20*")&gt;0,COUNTIF(I2213,"21*")&gt;0,COUNTIF(J2213,"*21*")&gt;0,COUNTIF(I2213,"22*")&gt;0,COUNTIF(J2213,"*22*")&gt;0,COUNTIF(I2213,"23*")&gt;0,COUNTIF(J2213,"*23*")&gt;0,COUNTIF(I2213,"24*")&gt;0,COUNTIF(J2213,"*24*")&gt;0,COUNTIF(I2213,"25*")&gt;0,COUNTIF(J2213,"*25*")&gt;0,COUNTIF(I2213,"26*")&gt;0,COUNTIF(J2213,"*26*")&gt;0,COUNTIF(I2213,"27*")&gt;0,COUNTIF(J2213,"*27*")&gt;0,COUNTIF(I2213,"28*")&gt;0,COUNTIF(J2213,"*28*")&gt;0,COUNTIF(I2213,"29*")&gt;0,COUNTIF(J2213,"*29*")&gt;0,COUNTIF(I2213,"30*")&gt;0,COUNTIF(J2213,"*30*")&gt;0,COUNTIF(I2213,"31*")&gt;0,COUNTIF(J2213,"*31*")&gt;0,COUNTIF(I2213,"32*")&gt;0,COUNTIF(J2213,"*32*")&gt;0,COUNTIF(I2213,"33*")&gt;0,COUNTIF(J2213,"*33*")&gt;0,COUNTIF(I2213,"41*")&gt;0,COUNTIF(J2213,"*41*")&gt;0,COUNTIF(I2213,"42*")&gt;0,COUNTIF(J2213,"*42*")&gt;0,COUNTIF(I2213,"43*")&gt;0,COUNTIF(J2213,"*43*")&gt;0,COUNTIF(I2213,"49*")&gt;0,COUNTIF(J2213,"*49*")&gt;0,COUNTIF(I2213,"52*")&gt;0,COUNTIF(J2213,"*52*")&gt;0,COUNTIF(I2213,"55*")&gt;0,COUNTIF(J2213,"*55*")&gt;0,COUNTIF(I2213,"56*")&gt;0,COUNTIF(J2213,"*56*")&gt;0,COUNTIF(I2213,"68*")&gt;0,COUNTIF(J2213,"*68*")&gt;0,COUNTIF(I2213,"78*")&gt;0,COUNTIF(J2213,"*78*")&gt;0,COUNTIF(I2213,"81*")&gt;0,COUNTIF(J2213,"*81*")&gt;0,COUNTIF(I2213,"82*")&gt;0,COUNTIF(J2213,"*82*")&gt;0,COUNTIF(I2213,"64*")&gt;0,COUNTIF(J2213,"*64*")&gt;0,COUNTIF(I2213,"65*")&gt;0,COUNTIF(J2213,"*65*")&gt;0,COUNTIF(I2213,"66*")&gt;0,COUNTIF(J2213,"*66*")&gt;0,COUNTIF(I2213,"61*")&gt;0,COUNTIF(J2213,"*61*")&gt;0,COUNTIF(I2213,"62*")&gt;0,COUNTIF(J2213,"*62*")&gt;0,COUNTIF(I2213,"63*")&gt;0,COUNTIF(J2213,"*63*")&gt;0,COUNTIF(I2213,"85*")&gt;0,COUNTIF(J2213,"*85*")&gt;0,COUNTIF(I2213,"86*")&gt;0,COUNTIF(J2213,"*86*")&gt;0),"Да","Нет"))</f>
        <v/>
      </c>
      <c r="M2213" s="13">
        <f>IF(OR(G2213="",L2213&lt;&gt;"Да"),"",IF(G2213&lt;=100,"До 100",IF(G2213&lt;=200,"До 200",IF(G2213&lt;=500,"До 500","Отдельное КП"))))</f>
        <v/>
      </c>
      <c r="N2213" s="15">
        <f>IF(OR(G2213="",L2213&lt;&gt;"Да"),"",IF(G2213&lt;=100,33600,IF(G2213&lt;=200,62400,IF(G2213&lt;=500,144000,""))))</f>
        <v/>
      </c>
      <c r="O2213" s="16">
        <f>IF(G2213="","",IF(G2213&lt;=15,"1–15",IF(G2213&lt;=30,"16–30",IF(G2213&lt;=50,"31–50",IF(G2213&lt;=100,"51–100",IF(G2213&lt;=150,"101–150",IF(G2213&lt;=200,"151–200",IF(G2213&lt;=500,"201–500","500+"))))))))</f>
        <v/>
      </c>
      <c r="P2213" s="16" t="inlineStr">
        <is>
          <t>Нет совпадения в предоставленной выгрузке ССЧР</t>
        </is>
      </c>
      <c r="Q2213" s="16" t="n"/>
      <c r="R2213" s="16">
        <f>HYPERLINK("https://checko.ru/search?query=3801001629","Чекко: проверить")</f>
        <v/>
      </c>
      <c r="S2213" t="n">
        <v>0</v>
      </c>
    </row>
    <row r="2214" ht="15" customHeight="1" s="24">
      <c r="A2214" s="13" t="n">
        <v>5000094715</v>
      </c>
      <c r="B2214" s="13" t="inlineStr">
        <is>
          <t>МКУ УСХП</t>
        </is>
      </c>
      <c r="C2214" s="13" t="n">
        <v>706001969</v>
      </c>
      <c r="D2214" s="13" t="n"/>
      <c r="E2214" s="13" t="inlineStr">
        <is>
          <t>Не определён</t>
        </is>
      </c>
      <c r="F2214" s="13" t="inlineStr">
        <is>
          <t>706001969</t>
        </is>
      </c>
      <c r="G2214" s="14" t="n"/>
      <c r="H2214" s="14" t="n"/>
      <c r="I2214" s="14" t="n"/>
      <c r="J2214" s="14" t="n"/>
      <c r="K2214" s="13">
        <f>IF(G2214="","",IF(G2214&gt;=22,"Да","Нет"))</f>
        <v/>
      </c>
      <c r="L2214" s="13">
        <f>IF(OR(I2214="",J2214=""),"Не определено",IF(OR(COUNTIF(I2214,"45*")&gt;0,COUNTIF(J2214,"*45*")&gt;0,COUNTIF(I2214,"46*")&gt;0,COUNTIF(J2214,"*46*")&gt;0,COUNTIF(I2214,"47*")&gt;0,COUNTIF(J2214,"*47*")&gt;0,COUNTIF(I2214,"10*")&gt;0,COUNTIF(J2214,"*10*")&gt;0,COUNTIF(I2214,"11*")&gt;0,COUNTIF(J2214,"*11*")&gt;0,COUNTIF(I2214,"12*")&gt;0,COUNTIF(J2214,"*12*")&gt;0,COUNTIF(I2214,"13*")&gt;0,COUNTIF(J2214,"*13*")&gt;0,COUNTIF(I2214,"14*")&gt;0,COUNTIF(J2214,"*14*")&gt;0,COUNTIF(I2214,"15*")&gt;0,COUNTIF(J2214,"*15*")&gt;0,COUNTIF(I2214,"16*")&gt;0,COUNTIF(J2214,"*16*")&gt;0,COUNTIF(I2214,"17*")&gt;0,COUNTIF(J2214,"*17*")&gt;0,COUNTIF(I2214,"18*")&gt;0,COUNTIF(J2214,"*18*")&gt;0,COUNTIF(I2214,"19*")&gt;0,COUNTIF(J2214,"*19*")&gt;0,COUNTIF(I2214,"20*")&gt;0,COUNTIF(J2214,"*20*")&gt;0,COUNTIF(I2214,"21*")&gt;0,COUNTIF(J2214,"*21*")&gt;0,COUNTIF(I2214,"22*")&gt;0,COUNTIF(J2214,"*22*")&gt;0,COUNTIF(I2214,"23*")&gt;0,COUNTIF(J2214,"*23*")&gt;0,COUNTIF(I2214,"24*")&gt;0,COUNTIF(J2214,"*24*")&gt;0,COUNTIF(I2214,"25*")&gt;0,COUNTIF(J2214,"*25*")&gt;0,COUNTIF(I2214,"26*")&gt;0,COUNTIF(J2214,"*26*")&gt;0,COUNTIF(I2214,"27*")&gt;0,COUNTIF(J2214,"*27*")&gt;0,COUNTIF(I2214,"28*")&gt;0,COUNTIF(J2214,"*28*")&gt;0,COUNTIF(I2214,"29*")&gt;0,COUNTIF(J2214,"*29*")&gt;0,COUNTIF(I2214,"30*")&gt;0,COUNTIF(J2214,"*30*")&gt;0,COUNTIF(I2214,"31*")&gt;0,COUNTIF(J2214,"*31*")&gt;0,COUNTIF(I2214,"32*")&gt;0,COUNTIF(J2214,"*32*")&gt;0,COUNTIF(I2214,"33*")&gt;0,COUNTIF(J2214,"*33*")&gt;0,COUNTIF(I2214,"41*")&gt;0,COUNTIF(J2214,"*41*")&gt;0,COUNTIF(I2214,"42*")&gt;0,COUNTIF(J2214,"*42*")&gt;0,COUNTIF(I2214,"43*")&gt;0,COUNTIF(J2214,"*43*")&gt;0,COUNTIF(I2214,"49*")&gt;0,COUNTIF(J2214,"*49*")&gt;0,COUNTIF(I2214,"52*")&gt;0,COUNTIF(J2214,"*52*")&gt;0,COUNTIF(I2214,"55*")&gt;0,COUNTIF(J2214,"*55*")&gt;0,COUNTIF(I2214,"56*")&gt;0,COUNTIF(J2214,"*56*")&gt;0,COUNTIF(I2214,"68*")&gt;0,COUNTIF(J2214,"*68*")&gt;0,COUNTIF(I2214,"78*")&gt;0,COUNTIF(J2214,"*78*")&gt;0,COUNTIF(I2214,"81*")&gt;0,COUNTIF(J2214,"*81*")&gt;0,COUNTIF(I2214,"82*")&gt;0,COUNTIF(J2214,"*82*")&gt;0,COUNTIF(I2214,"64*")&gt;0,COUNTIF(J2214,"*64*")&gt;0,COUNTIF(I2214,"65*")&gt;0,COUNTIF(J2214,"*65*")&gt;0,COUNTIF(I2214,"66*")&gt;0,COUNTIF(J2214,"*66*")&gt;0,COUNTIF(I2214,"61*")&gt;0,COUNTIF(J2214,"*61*")&gt;0,COUNTIF(I2214,"62*")&gt;0,COUNTIF(J2214,"*62*")&gt;0,COUNTIF(I2214,"63*")&gt;0,COUNTIF(J2214,"*63*")&gt;0,COUNTIF(I2214,"85*")&gt;0,COUNTIF(J2214,"*85*")&gt;0,COUNTIF(I2214,"86*")&gt;0,COUNTIF(J2214,"*86*")&gt;0),"Да","Нет"))</f>
        <v/>
      </c>
      <c r="M2214" s="13">
        <f>IF(OR(G2214="",L2214&lt;&gt;"Да"),"",IF(G2214&lt;=100,"До 100",IF(G2214&lt;=200,"До 200",IF(G2214&lt;=500,"До 500","Отдельное КП"))))</f>
        <v/>
      </c>
      <c r="N2214" s="15">
        <f>IF(OR(G2214="",L2214&lt;&gt;"Да"),"",IF(G2214&lt;=100,33600,IF(G2214&lt;=200,62400,IF(G2214&lt;=500,144000,""))))</f>
        <v/>
      </c>
      <c r="O2214" s="16">
        <f>IF(G2214="","",IF(G2214&lt;=15,"1–15",IF(G2214&lt;=30,"16–30",IF(G2214&lt;=50,"31–50",IF(G2214&lt;=100,"51–100",IF(G2214&lt;=150,"101–150",IF(G2214&lt;=200,"151–200",IF(G2214&lt;=500,"201–500","500+"))))))))</f>
        <v/>
      </c>
      <c r="P2214" s="16" t="inlineStr">
        <is>
          <t>Нет совпадения в предоставленной выгрузке ССЧР</t>
        </is>
      </c>
      <c r="Q2214" s="16" t="n"/>
      <c r="R2214" s="16">
        <f>HYPERLINK("https://checko.ru/search?query=3801001629","Чекко: проверить")</f>
        <v/>
      </c>
      <c r="S2214" t="n">
        <v>0</v>
      </c>
    </row>
    <row r="2215" ht="15" customHeight="1" s="24">
      <c r="A2215" s="13" t="n">
        <v>5000094716</v>
      </c>
      <c r="B2215" s="13" t="inlineStr">
        <is>
          <t>МКУ УО и МП</t>
        </is>
      </c>
      <c r="C2215" s="13" t="n">
        <v>706001983</v>
      </c>
      <c r="D2215" s="13" t="n"/>
      <c r="E2215" s="13" t="inlineStr">
        <is>
          <t>Не определён</t>
        </is>
      </c>
      <c r="F2215" s="13" t="inlineStr">
        <is>
          <t>706001983</t>
        </is>
      </c>
      <c r="G2215" s="14" t="n"/>
      <c r="H2215" s="14" t="n"/>
      <c r="I2215" s="14" t="n"/>
      <c r="J2215" s="14" t="n"/>
      <c r="K2215" s="13">
        <f>IF(G2215="","",IF(G2215&gt;=22,"Да","Нет"))</f>
        <v/>
      </c>
      <c r="L2215" s="13">
        <f>IF(OR(I2215="",J2215=""),"Не определено",IF(OR(COUNTIF(I2215,"45*")&gt;0,COUNTIF(J2215,"*45*")&gt;0,COUNTIF(I2215,"46*")&gt;0,COUNTIF(J2215,"*46*")&gt;0,COUNTIF(I2215,"47*")&gt;0,COUNTIF(J2215,"*47*")&gt;0,COUNTIF(I2215,"10*")&gt;0,COUNTIF(J2215,"*10*")&gt;0,COUNTIF(I2215,"11*")&gt;0,COUNTIF(J2215,"*11*")&gt;0,COUNTIF(I2215,"12*")&gt;0,COUNTIF(J2215,"*12*")&gt;0,COUNTIF(I2215,"13*")&gt;0,COUNTIF(J2215,"*13*")&gt;0,COUNTIF(I2215,"14*")&gt;0,COUNTIF(J2215,"*14*")&gt;0,COUNTIF(I2215,"15*")&gt;0,COUNTIF(J2215,"*15*")&gt;0,COUNTIF(I2215,"16*")&gt;0,COUNTIF(J2215,"*16*")&gt;0,COUNTIF(I2215,"17*")&gt;0,COUNTIF(J2215,"*17*")&gt;0,COUNTIF(I2215,"18*")&gt;0,COUNTIF(J2215,"*18*")&gt;0,COUNTIF(I2215,"19*")&gt;0,COUNTIF(J2215,"*19*")&gt;0,COUNTIF(I2215,"20*")&gt;0,COUNTIF(J2215,"*20*")&gt;0,COUNTIF(I2215,"21*")&gt;0,COUNTIF(J2215,"*21*")&gt;0,COUNTIF(I2215,"22*")&gt;0,COUNTIF(J2215,"*22*")&gt;0,COUNTIF(I2215,"23*")&gt;0,COUNTIF(J2215,"*23*")&gt;0,COUNTIF(I2215,"24*")&gt;0,COUNTIF(J2215,"*24*")&gt;0,COUNTIF(I2215,"25*")&gt;0,COUNTIF(J2215,"*25*")&gt;0,COUNTIF(I2215,"26*")&gt;0,COUNTIF(J2215,"*26*")&gt;0,COUNTIF(I2215,"27*")&gt;0,COUNTIF(J2215,"*27*")&gt;0,COUNTIF(I2215,"28*")&gt;0,COUNTIF(J2215,"*28*")&gt;0,COUNTIF(I2215,"29*")&gt;0,COUNTIF(J2215,"*29*")&gt;0,COUNTIF(I2215,"30*")&gt;0,COUNTIF(J2215,"*30*")&gt;0,COUNTIF(I2215,"31*")&gt;0,COUNTIF(J2215,"*31*")&gt;0,COUNTIF(I2215,"32*")&gt;0,COUNTIF(J2215,"*32*")&gt;0,COUNTIF(I2215,"33*")&gt;0,COUNTIF(J2215,"*33*")&gt;0,COUNTIF(I2215,"41*")&gt;0,COUNTIF(J2215,"*41*")&gt;0,COUNTIF(I2215,"42*")&gt;0,COUNTIF(J2215,"*42*")&gt;0,COUNTIF(I2215,"43*")&gt;0,COUNTIF(J2215,"*43*")&gt;0,COUNTIF(I2215,"49*")&gt;0,COUNTIF(J2215,"*49*")&gt;0,COUNTIF(I2215,"52*")&gt;0,COUNTIF(J2215,"*52*")&gt;0,COUNTIF(I2215,"55*")&gt;0,COUNTIF(J2215,"*55*")&gt;0,COUNTIF(I2215,"56*")&gt;0,COUNTIF(J2215,"*56*")&gt;0,COUNTIF(I2215,"68*")&gt;0,COUNTIF(J2215,"*68*")&gt;0,COUNTIF(I2215,"78*")&gt;0,COUNTIF(J2215,"*78*")&gt;0,COUNTIF(I2215,"81*")&gt;0,COUNTIF(J2215,"*81*")&gt;0,COUNTIF(I2215,"82*")&gt;0,COUNTIF(J2215,"*82*")&gt;0,COUNTIF(I2215,"64*")&gt;0,COUNTIF(J2215,"*64*")&gt;0,COUNTIF(I2215,"65*")&gt;0,COUNTIF(J2215,"*65*")&gt;0,COUNTIF(I2215,"66*")&gt;0,COUNTIF(J2215,"*66*")&gt;0,COUNTIF(I2215,"61*")&gt;0,COUNTIF(J2215,"*61*")&gt;0,COUNTIF(I2215,"62*")&gt;0,COUNTIF(J2215,"*62*")&gt;0,COUNTIF(I2215,"63*")&gt;0,COUNTIF(J2215,"*63*")&gt;0,COUNTIF(I2215,"85*")&gt;0,COUNTIF(J2215,"*85*")&gt;0,COUNTIF(I2215,"86*")&gt;0,COUNTIF(J2215,"*86*")&gt;0),"Да","Нет"))</f>
        <v/>
      </c>
      <c r="M2215" s="13">
        <f>IF(OR(G2215="",L2215&lt;&gt;"Да"),"",IF(G2215&lt;=100,"До 100",IF(G2215&lt;=200,"До 200",IF(G2215&lt;=500,"До 500","Отдельное КП"))))</f>
        <v/>
      </c>
      <c r="N2215" s="15">
        <f>IF(OR(G2215="",L2215&lt;&gt;"Да"),"",IF(G2215&lt;=100,33600,IF(G2215&lt;=200,62400,IF(G2215&lt;=500,144000,""))))</f>
        <v/>
      </c>
      <c r="O2215" s="16">
        <f>IF(G2215="","",IF(G2215&lt;=15,"1–15",IF(G2215&lt;=30,"16–30",IF(G2215&lt;=50,"31–50",IF(G2215&lt;=100,"51–100",IF(G2215&lt;=150,"101–150",IF(G2215&lt;=200,"151–200",IF(G2215&lt;=500,"201–500","500+"))))))))</f>
        <v/>
      </c>
      <c r="P2215" s="16" t="inlineStr">
        <is>
          <t>Нет совпадения в предоставленной выгрузке ССЧР</t>
        </is>
      </c>
      <c r="Q2215" s="16" t="n"/>
      <c r="R2215" s="16">
        <f>HYPERLINK("https://checko.ru/search?query=3801001629","Чекко: проверить")</f>
        <v/>
      </c>
      <c r="S2215" t="n">
        <v>0</v>
      </c>
    </row>
    <row r="2216" ht="15" customHeight="1" s="24">
      <c r="A2216" s="13" t="n">
        <v>5000094699</v>
      </c>
      <c r="B2216" s="13" t="inlineStr">
        <is>
          <t>"Местная администрация с.Аушигер"</t>
        </is>
      </c>
      <c r="C2216" s="13" t="n">
        <v>706001655</v>
      </c>
      <c r="D2216" s="13" t="n"/>
      <c r="E2216" s="13" t="inlineStr">
        <is>
          <t>Не определён</t>
        </is>
      </c>
      <c r="F2216" s="13" t="inlineStr">
        <is>
          <t>706001655</t>
        </is>
      </c>
      <c r="G2216" s="14" t="n"/>
      <c r="H2216" s="14" t="n"/>
      <c r="I2216" s="14" t="n"/>
      <c r="J2216" s="14" t="n"/>
      <c r="K2216" s="13">
        <f>IF(G2216="","",IF(G2216&gt;=22,"Да","Нет"))</f>
        <v/>
      </c>
      <c r="L2216" s="13">
        <f>IF(OR(I2216="",J2216=""),"Не определено",IF(OR(COUNTIF(I2216,"45*")&gt;0,COUNTIF(J2216,"*45*")&gt;0,COUNTIF(I2216,"46*")&gt;0,COUNTIF(J2216,"*46*")&gt;0,COUNTIF(I2216,"47*")&gt;0,COUNTIF(J2216,"*47*")&gt;0,COUNTIF(I2216,"10*")&gt;0,COUNTIF(J2216,"*10*")&gt;0,COUNTIF(I2216,"11*")&gt;0,COUNTIF(J2216,"*11*")&gt;0,COUNTIF(I2216,"12*")&gt;0,COUNTIF(J2216,"*12*")&gt;0,COUNTIF(I2216,"13*")&gt;0,COUNTIF(J2216,"*13*")&gt;0,COUNTIF(I2216,"14*")&gt;0,COUNTIF(J2216,"*14*")&gt;0,COUNTIF(I2216,"15*")&gt;0,COUNTIF(J2216,"*15*")&gt;0,COUNTIF(I2216,"16*")&gt;0,COUNTIF(J2216,"*16*")&gt;0,COUNTIF(I2216,"17*")&gt;0,COUNTIF(J2216,"*17*")&gt;0,COUNTIF(I2216,"18*")&gt;0,COUNTIF(J2216,"*18*")&gt;0,COUNTIF(I2216,"19*")&gt;0,COUNTIF(J2216,"*19*")&gt;0,COUNTIF(I2216,"20*")&gt;0,COUNTIF(J2216,"*20*")&gt;0,COUNTIF(I2216,"21*")&gt;0,COUNTIF(J2216,"*21*")&gt;0,COUNTIF(I2216,"22*")&gt;0,COUNTIF(J2216,"*22*")&gt;0,COUNTIF(I2216,"23*")&gt;0,COUNTIF(J2216,"*23*")&gt;0,COUNTIF(I2216,"24*")&gt;0,COUNTIF(J2216,"*24*")&gt;0,COUNTIF(I2216,"25*")&gt;0,COUNTIF(J2216,"*25*")&gt;0,COUNTIF(I2216,"26*")&gt;0,COUNTIF(J2216,"*26*")&gt;0,COUNTIF(I2216,"27*")&gt;0,COUNTIF(J2216,"*27*")&gt;0,COUNTIF(I2216,"28*")&gt;0,COUNTIF(J2216,"*28*")&gt;0,COUNTIF(I2216,"29*")&gt;0,COUNTIF(J2216,"*29*")&gt;0,COUNTIF(I2216,"30*")&gt;0,COUNTIF(J2216,"*30*")&gt;0,COUNTIF(I2216,"31*")&gt;0,COUNTIF(J2216,"*31*")&gt;0,COUNTIF(I2216,"32*")&gt;0,COUNTIF(J2216,"*32*")&gt;0,COUNTIF(I2216,"33*")&gt;0,COUNTIF(J2216,"*33*")&gt;0,COUNTIF(I2216,"41*")&gt;0,COUNTIF(J2216,"*41*")&gt;0,COUNTIF(I2216,"42*")&gt;0,COUNTIF(J2216,"*42*")&gt;0,COUNTIF(I2216,"43*")&gt;0,COUNTIF(J2216,"*43*")&gt;0,COUNTIF(I2216,"49*")&gt;0,COUNTIF(J2216,"*49*")&gt;0,COUNTIF(I2216,"52*")&gt;0,COUNTIF(J2216,"*52*")&gt;0,COUNTIF(I2216,"55*")&gt;0,COUNTIF(J2216,"*55*")&gt;0,COUNTIF(I2216,"56*")&gt;0,COUNTIF(J2216,"*56*")&gt;0,COUNTIF(I2216,"68*")&gt;0,COUNTIF(J2216,"*68*")&gt;0,COUNTIF(I2216,"78*")&gt;0,COUNTIF(J2216,"*78*")&gt;0,COUNTIF(I2216,"81*")&gt;0,COUNTIF(J2216,"*81*")&gt;0,COUNTIF(I2216,"82*")&gt;0,COUNTIF(J2216,"*82*")&gt;0,COUNTIF(I2216,"64*")&gt;0,COUNTIF(J2216,"*64*")&gt;0,COUNTIF(I2216,"65*")&gt;0,COUNTIF(J2216,"*65*")&gt;0,COUNTIF(I2216,"66*")&gt;0,COUNTIF(J2216,"*66*")&gt;0,COUNTIF(I2216,"61*")&gt;0,COUNTIF(J2216,"*61*")&gt;0,COUNTIF(I2216,"62*")&gt;0,COUNTIF(J2216,"*62*")&gt;0,COUNTIF(I2216,"63*")&gt;0,COUNTIF(J2216,"*63*")&gt;0,COUNTIF(I2216,"85*")&gt;0,COUNTIF(J2216,"*85*")&gt;0,COUNTIF(I2216,"86*")&gt;0,COUNTIF(J2216,"*86*")&gt;0),"Да","Нет"))</f>
        <v/>
      </c>
      <c r="M2216" s="13">
        <f>IF(OR(G2216="",L2216&lt;&gt;"Да"),"",IF(G2216&lt;=100,"До 100",IF(G2216&lt;=200,"До 200",IF(G2216&lt;=500,"До 500","Отдельное КП"))))</f>
        <v/>
      </c>
      <c r="N2216" s="15">
        <f>IF(OR(G2216="",L2216&lt;&gt;"Да"),"",IF(G2216&lt;=100,33600,IF(G2216&lt;=200,62400,IF(G2216&lt;=500,144000,""))))</f>
        <v/>
      </c>
      <c r="O2216" s="16">
        <f>IF(G2216="","",IF(G2216&lt;=15,"1–15",IF(G2216&lt;=30,"16–30",IF(G2216&lt;=50,"31–50",IF(G2216&lt;=100,"51–100",IF(G2216&lt;=150,"101–150",IF(G2216&lt;=200,"151–200",IF(G2216&lt;=500,"201–500","500+"))))))))</f>
        <v/>
      </c>
      <c r="P2216" s="16" t="inlineStr">
        <is>
          <t>Нет совпадения в предоставленной выгрузке ССЧР</t>
        </is>
      </c>
      <c r="Q2216" s="16" t="n"/>
      <c r="R2216" s="16">
        <f>HYPERLINK("https://checko.ru/search?query=3801001629","Чекко: проверить")</f>
        <v/>
      </c>
      <c r="S2216" t="n">
        <v>0</v>
      </c>
    </row>
    <row r="2217" ht="15" customHeight="1" s="24">
      <c r="A2217" s="13" t="n">
        <v>5000094700</v>
      </c>
      <c r="B2217" s="13" t="inlineStr">
        <is>
          <t>"Местная администрация с. Герпегеж"</t>
        </is>
      </c>
      <c r="C2217" s="13" t="n">
        <v>706001662</v>
      </c>
      <c r="D2217" s="13" t="n"/>
      <c r="E2217" s="13" t="inlineStr">
        <is>
          <t>Не определён</t>
        </is>
      </c>
      <c r="F2217" s="13" t="inlineStr">
        <is>
          <t>706001662</t>
        </is>
      </c>
      <c r="G2217" s="14" t="n"/>
      <c r="H2217" s="14" t="n"/>
      <c r="I2217" s="14" t="n"/>
      <c r="J2217" s="14" t="n"/>
      <c r="K2217" s="13">
        <f>IF(G2217="","",IF(G2217&gt;=22,"Да","Нет"))</f>
        <v/>
      </c>
      <c r="L2217" s="13">
        <f>IF(OR(I2217="",J2217=""),"Не определено",IF(OR(COUNTIF(I2217,"45*")&gt;0,COUNTIF(J2217,"*45*")&gt;0,COUNTIF(I2217,"46*")&gt;0,COUNTIF(J2217,"*46*")&gt;0,COUNTIF(I2217,"47*")&gt;0,COUNTIF(J2217,"*47*")&gt;0,COUNTIF(I2217,"10*")&gt;0,COUNTIF(J2217,"*10*")&gt;0,COUNTIF(I2217,"11*")&gt;0,COUNTIF(J2217,"*11*")&gt;0,COUNTIF(I2217,"12*")&gt;0,COUNTIF(J2217,"*12*")&gt;0,COUNTIF(I2217,"13*")&gt;0,COUNTIF(J2217,"*13*")&gt;0,COUNTIF(I2217,"14*")&gt;0,COUNTIF(J2217,"*14*")&gt;0,COUNTIF(I2217,"15*")&gt;0,COUNTIF(J2217,"*15*")&gt;0,COUNTIF(I2217,"16*")&gt;0,COUNTIF(J2217,"*16*")&gt;0,COUNTIF(I2217,"17*")&gt;0,COUNTIF(J2217,"*17*")&gt;0,COUNTIF(I2217,"18*")&gt;0,COUNTIF(J2217,"*18*")&gt;0,COUNTIF(I2217,"19*")&gt;0,COUNTIF(J2217,"*19*")&gt;0,COUNTIF(I2217,"20*")&gt;0,COUNTIF(J2217,"*20*")&gt;0,COUNTIF(I2217,"21*")&gt;0,COUNTIF(J2217,"*21*")&gt;0,COUNTIF(I2217,"22*")&gt;0,COUNTIF(J2217,"*22*")&gt;0,COUNTIF(I2217,"23*")&gt;0,COUNTIF(J2217,"*23*")&gt;0,COUNTIF(I2217,"24*")&gt;0,COUNTIF(J2217,"*24*")&gt;0,COUNTIF(I2217,"25*")&gt;0,COUNTIF(J2217,"*25*")&gt;0,COUNTIF(I2217,"26*")&gt;0,COUNTIF(J2217,"*26*")&gt;0,COUNTIF(I2217,"27*")&gt;0,COUNTIF(J2217,"*27*")&gt;0,COUNTIF(I2217,"28*")&gt;0,COUNTIF(J2217,"*28*")&gt;0,COUNTIF(I2217,"29*")&gt;0,COUNTIF(J2217,"*29*")&gt;0,COUNTIF(I2217,"30*")&gt;0,COUNTIF(J2217,"*30*")&gt;0,COUNTIF(I2217,"31*")&gt;0,COUNTIF(J2217,"*31*")&gt;0,COUNTIF(I2217,"32*")&gt;0,COUNTIF(J2217,"*32*")&gt;0,COUNTIF(I2217,"33*")&gt;0,COUNTIF(J2217,"*33*")&gt;0,COUNTIF(I2217,"41*")&gt;0,COUNTIF(J2217,"*41*")&gt;0,COUNTIF(I2217,"42*")&gt;0,COUNTIF(J2217,"*42*")&gt;0,COUNTIF(I2217,"43*")&gt;0,COUNTIF(J2217,"*43*")&gt;0,COUNTIF(I2217,"49*")&gt;0,COUNTIF(J2217,"*49*")&gt;0,COUNTIF(I2217,"52*")&gt;0,COUNTIF(J2217,"*52*")&gt;0,COUNTIF(I2217,"55*")&gt;0,COUNTIF(J2217,"*55*")&gt;0,COUNTIF(I2217,"56*")&gt;0,COUNTIF(J2217,"*56*")&gt;0,COUNTIF(I2217,"68*")&gt;0,COUNTIF(J2217,"*68*")&gt;0,COUNTIF(I2217,"78*")&gt;0,COUNTIF(J2217,"*78*")&gt;0,COUNTIF(I2217,"81*")&gt;0,COUNTIF(J2217,"*81*")&gt;0,COUNTIF(I2217,"82*")&gt;0,COUNTIF(J2217,"*82*")&gt;0,COUNTIF(I2217,"64*")&gt;0,COUNTIF(J2217,"*64*")&gt;0,COUNTIF(I2217,"65*")&gt;0,COUNTIF(J2217,"*65*")&gt;0,COUNTIF(I2217,"66*")&gt;0,COUNTIF(J2217,"*66*")&gt;0,COUNTIF(I2217,"61*")&gt;0,COUNTIF(J2217,"*61*")&gt;0,COUNTIF(I2217,"62*")&gt;0,COUNTIF(J2217,"*62*")&gt;0,COUNTIF(I2217,"63*")&gt;0,COUNTIF(J2217,"*63*")&gt;0,COUNTIF(I2217,"85*")&gt;0,COUNTIF(J2217,"*85*")&gt;0,COUNTIF(I2217,"86*")&gt;0,COUNTIF(J2217,"*86*")&gt;0),"Да","Нет"))</f>
        <v/>
      </c>
      <c r="M2217" s="13">
        <f>IF(OR(G2217="",L2217&lt;&gt;"Да"),"",IF(G2217&lt;=100,"До 100",IF(G2217&lt;=200,"До 200",IF(G2217&lt;=500,"До 500","Отдельное КП"))))</f>
        <v/>
      </c>
      <c r="N2217" s="15">
        <f>IF(OR(G2217="",L2217&lt;&gt;"Да"),"",IF(G2217&lt;=100,33600,IF(G2217&lt;=200,62400,IF(G2217&lt;=500,144000,""))))</f>
        <v/>
      </c>
      <c r="O2217" s="16">
        <f>IF(G2217="","",IF(G2217&lt;=15,"1–15",IF(G2217&lt;=30,"16–30",IF(G2217&lt;=50,"31–50",IF(G2217&lt;=100,"51–100",IF(G2217&lt;=150,"101–150",IF(G2217&lt;=200,"151–200",IF(G2217&lt;=500,"201–500","500+"))))))))</f>
        <v/>
      </c>
      <c r="P2217" s="16" t="inlineStr">
        <is>
          <t>Нет совпадения в предоставленной выгрузке ССЧР</t>
        </is>
      </c>
      <c r="Q2217" s="16" t="n"/>
      <c r="R2217" s="16">
        <f>HYPERLINK("https://checko.ru/search?query=3801001629","Чекко: проверить")</f>
        <v/>
      </c>
      <c r="S2217" t="n">
        <v>0</v>
      </c>
    </row>
    <row r="2218" ht="15" customHeight="1" s="24">
      <c r="A2218" s="13" t="n">
        <v>5000094701</v>
      </c>
      <c r="B2218" s="13" t="inlineStr">
        <is>
          <t>Местная администрация с.п. Карасу</t>
        </is>
      </c>
      <c r="C2218" s="13" t="n">
        <v>706001670</v>
      </c>
      <c r="D2218" s="13" t="n"/>
      <c r="E2218" s="13" t="inlineStr">
        <is>
          <t>Не определён</t>
        </is>
      </c>
      <c r="F2218" s="13" t="inlineStr">
        <is>
          <t>706001670</t>
        </is>
      </c>
      <c r="G2218" s="14" t="n"/>
      <c r="H2218" s="14" t="n"/>
      <c r="I2218" s="14" t="n"/>
      <c r="J2218" s="14" t="n"/>
      <c r="K2218" s="13">
        <f>IF(G2218="","",IF(G2218&gt;=22,"Да","Нет"))</f>
        <v/>
      </c>
      <c r="L2218" s="13">
        <f>IF(OR(I2218="",J2218=""),"Не определено",IF(OR(COUNTIF(I2218,"45*")&gt;0,COUNTIF(J2218,"*45*")&gt;0,COUNTIF(I2218,"46*")&gt;0,COUNTIF(J2218,"*46*")&gt;0,COUNTIF(I2218,"47*")&gt;0,COUNTIF(J2218,"*47*")&gt;0,COUNTIF(I2218,"10*")&gt;0,COUNTIF(J2218,"*10*")&gt;0,COUNTIF(I2218,"11*")&gt;0,COUNTIF(J2218,"*11*")&gt;0,COUNTIF(I2218,"12*")&gt;0,COUNTIF(J2218,"*12*")&gt;0,COUNTIF(I2218,"13*")&gt;0,COUNTIF(J2218,"*13*")&gt;0,COUNTIF(I2218,"14*")&gt;0,COUNTIF(J2218,"*14*")&gt;0,COUNTIF(I2218,"15*")&gt;0,COUNTIF(J2218,"*15*")&gt;0,COUNTIF(I2218,"16*")&gt;0,COUNTIF(J2218,"*16*")&gt;0,COUNTIF(I2218,"17*")&gt;0,COUNTIF(J2218,"*17*")&gt;0,COUNTIF(I2218,"18*")&gt;0,COUNTIF(J2218,"*18*")&gt;0,COUNTIF(I2218,"19*")&gt;0,COUNTIF(J2218,"*19*")&gt;0,COUNTIF(I2218,"20*")&gt;0,COUNTIF(J2218,"*20*")&gt;0,COUNTIF(I2218,"21*")&gt;0,COUNTIF(J2218,"*21*")&gt;0,COUNTIF(I2218,"22*")&gt;0,COUNTIF(J2218,"*22*")&gt;0,COUNTIF(I2218,"23*")&gt;0,COUNTIF(J2218,"*23*")&gt;0,COUNTIF(I2218,"24*")&gt;0,COUNTIF(J2218,"*24*")&gt;0,COUNTIF(I2218,"25*")&gt;0,COUNTIF(J2218,"*25*")&gt;0,COUNTIF(I2218,"26*")&gt;0,COUNTIF(J2218,"*26*")&gt;0,COUNTIF(I2218,"27*")&gt;0,COUNTIF(J2218,"*27*")&gt;0,COUNTIF(I2218,"28*")&gt;0,COUNTIF(J2218,"*28*")&gt;0,COUNTIF(I2218,"29*")&gt;0,COUNTIF(J2218,"*29*")&gt;0,COUNTIF(I2218,"30*")&gt;0,COUNTIF(J2218,"*30*")&gt;0,COUNTIF(I2218,"31*")&gt;0,COUNTIF(J2218,"*31*")&gt;0,COUNTIF(I2218,"32*")&gt;0,COUNTIF(J2218,"*32*")&gt;0,COUNTIF(I2218,"33*")&gt;0,COUNTIF(J2218,"*33*")&gt;0,COUNTIF(I2218,"41*")&gt;0,COUNTIF(J2218,"*41*")&gt;0,COUNTIF(I2218,"42*")&gt;0,COUNTIF(J2218,"*42*")&gt;0,COUNTIF(I2218,"43*")&gt;0,COUNTIF(J2218,"*43*")&gt;0,COUNTIF(I2218,"49*")&gt;0,COUNTIF(J2218,"*49*")&gt;0,COUNTIF(I2218,"52*")&gt;0,COUNTIF(J2218,"*52*")&gt;0,COUNTIF(I2218,"55*")&gt;0,COUNTIF(J2218,"*55*")&gt;0,COUNTIF(I2218,"56*")&gt;0,COUNTIF(J2218,"*56*")&gt;0,COUNTIF(I2218,"68*")&gt;0,COUNTIF(J2218,"*68*")&gt;0,COUNTIF(I2218,"78*")&gt;0,COUNTIF(J2218,"*78*")&gt;0,COUNTIF(I2218,"81*")&gt;0,COUNTIF(J2218,"*81*")&gt;0,COUNTIF(I2218,"82*")&gt;0,COUNTIF(J2218,"*82*")&gt;0,COUNTIF(I2218,"64*")&gt;0,COUNTIF(J2218,"*64*")&gt;0,COUNTIF(I2218,"65*")&gt;0,COUNTIF(J2218,"*65*")&gt;0,COUNTIF(I2218,"66*")&gt;0,COUNTIF(J2218,"*66*")&gt;0,COUNTIF(I2218,"61*")&gt;0,COUNTIF(J2218,"*61*")&gt;0,COUNTIF(I2218,"62*")&gt;0,COUNTIF(J2218,"*62*")&gt;0,COUNTIF(I2218,"63*")&gt;0,COUNTIF(J2218,"*63*")&gt;0,COUNTIF(I2218,"85*")&gt;0,COUNTIF(J2218,"*85*")&gt;0,COUNTIF(I2218,"86*")&gt;0,COUNTIF(J2218,"*86*")&gt;0),"Да","Нет"))</f>
        <v/>
      </c>
      <c r="M2218" s="13">
        <f>IF(OR(G2218="",L2218&lt;&gt;"Да"),"",IF(G2218&lt;=100,"До 100",IF(G2218&lt;=200,"До 200",IF(G2218&lt;=500,"До 500","Отдельное КП"))))</f>
        <v/>
      </c>
      <c r="N2218" s="15">
        <f>IF(OR(G2218="",L2218&lt;&gt;"Да"),"",IF(G2218&lt;=100,33600,IF(G2218&lt;=200,62400,IF(G2218&lt;=500,144000,""))))</f>
        <v/>
      </c>
      <c r="O2218" s="16">
        <f>IF(G2218="","",IF(G2218&lt;=15,"1–15",IF(G2218&lt;=30,"16–30",IF(G2218&lt;=50,"31–50",IF(G2218&lt;=100,"51–100",IF(G2218&lt;=150,"101–150",IF(G2218&lt;=200,"151–200",IF(G2218&lt;=500,"201–500","500+"))))))))</f>
        <v/>
      </c>
      <c r="P2218" s="16" t="inlineStr">
        <is>
          <t>Нет совпадения в предоставленной выгрузке ССЧР</t>
        </is>
      </c>
      <c r="Q2218" s="16" t="n"/>
      <c r="R2218" s="16">
        <f>HYPERLINK("https://checko.ru/search?query=3801001629","Чекко: проверить")</f>
        <v/>
      </c>
      <c r="S2218" t="n">
        <v>0</v>
      </c>
    </row>
    <row r="2219" ht="27.75" customHeight="1" s="24">
      <c r="A2219" s="13" t="n">
        <v>5000095302</v>
      </c>
      <c r="B2219" s="13" t="inlineStr">
        <is>
          <t>"Местная администрация селения Верхняя Жемтала"</t>
        </is>
      </c>
      <c r="C2219" s="13" t="n">
        <v>706001687</v>
      </c>
      <c r="D2219" s="13" t="n"/>
      <c r="E2219" s="13" t="inlineStr">
        <is>
          <t>Не определён</t>
        </is>
      </c>
      <c r="F2219" s="13" t="inlineStr">
        <is>
          <t>706001687</t>
        </is>
      </c>
      <c r="G2219" s="14" t="n"/>
      <c r="H2219" s="14" t="n"/>
      <c r="I2219" s="14" t="n"/>
      <c r="J2219" s="14" t="n"/>
      <c r="K2219" s="13">
        <f>IF(G2219="","",IF(G2219&gt;=22,"Да","Нет"))</f>
        <v/>
      </c>
      <c r="L2219" s="13">
        <f>IF(OR(I2219="",J2219=""),"Не определено",IF(OR(COUNTIF(I2219,"45*")&gt;0,COUNTIF(J2219,"*45*")&gt;0,COUNTIF(I2219,"46*")&gt;0,COUNTIF(J2219,"*46*")&gt;0,COUNTIF(I2219,"47*")&gt;0,COUNTIF(J2219,"*47*")&gt;0,COUNTIF(I2219,"10*")&gt;0,COUNTIF(J2219,"*10*")&gt;0,COUNTIF(I2219,"11*")&gt;0,COUNTIF(J2219,"*11*")&gt;0,COUNTIF(I2219,"12*")&gt;0,COUNTIF(J2219,"*12*")&gt;0,COUNTIF(I2219,"13*")&gt;0,COUNTIF(J2219,"*13*")&gt;0,COUNTIF(I2219,"14*")&gt;0,COUNTIF(J2219,"*14*")&gt;0,COUNTIF(I2219,"15*")&gt;0,COUNTIF(J2219,"*15*")&gt;0,COUNTIF(I2219,"16*")&gt;0,COUNTIF(J2219,"*16*")&gt;0,COUNTIF(I2219,"17*")&gt;0,COUNTIF(J2219,"*17*")&gt;0,COUNTIF(I2219,"18*")&gt;0,COUNTIF(J2219,"*18*")&gt;0,COUNTIF(I2219,"19*")&gt;0,COUNTIF(J2219,"*19*")&gt;0,COUNTIF(I2219,"20*")&gt;0,COUNTIF(J2219,"*20*")&gt;0,COUNTIF(I2219,"21*")&gt;0,COUNTIF(J2219,"*21*")&gt;0,COUNTIF(I2219,"22*")&gt;0,COUNTIF(J2219,"*22*")&gt;0,COUNTIF(I2219,"23*")&gt;0,COUNTIF(J2219,"*23*")&gt;0,COUNTIF(I2219,"24*")&gt;0,COUNTIF(J2219,"*24*")&gt;0,COUNTIF(I2219,"25*")&gt;0,COUNTIF(J2219,"*25*")&gt;0,COUNTIF(I2219,"26*")&gt;0,COUNTIF(J2219,"*26*")&gt;0,COUNTIF(I2219,"27*")&gt;0,COUNTIF(J2219,"*27*")&gt;0,COUNTIF(I2219,"28*")&gt;0,COUNTIF(J2219,"*28*")&gt;0,COUNTIF(I2219,"29*")&gt;0,COUNTIF(J2219,"*29*")&gt;0,COUNTIF(I2219,"30*")&gt;0,COUNTIF(J2219,"*30*")&gt;0,COUNTIF(I2219,"31*")&gt;0,COUNTIF(J2219,"*31*")&gt;0,COUNTIF(I2219,"32*")&gt;0,COUNTIF(J2219,"*32*")&gt;0,COUNTIF(I2219,"33*")&gt;0,COUNTIF(J2219,"*33*")&gt;0,COUNTIF(I2219,"41*")&gt;0,COUNTIF(J2219,"*41*")&gt;0,COUNTIF(I2219,"42*")&gt;0,COUNTIF(J2219,"*42*")&gt;0,COUNTIF(I2219,"43*")&gt;0,COUNTIF(J2219,"*43*")&gt;0,COUNTIF(I2219,"49*")&gt;0,COUNTIF(J2219,"*49*")&gt;0,COUNTIF(I2219,"52*")&gt;0,COUNTIF(J2219,"*52*")&gt;0,COUNTIF(I2219,"55*")&gt;0,COUNTIF(J2219,"*55*")&gt;0,COUNTIF(I2219,"56*")&gt;0,COUNTIF(J2219,"*56*")&gt;0,COUNTIF(I2219,"68*")&gt;0,COUNTIF(J2219,"*68*")&gt;0,COUNTIF(I2219,"78*")&gt;0,COUNTIF(J2219,"*78*")&gt;0,COUNTIF(I2219,"81*")&gt;0,COUNTIF(J2219,"*81*")&gt;0,COUNTIF(I2219,"82*")&gt;0,COUNTIF(J2219,"*82*")&gt;0,COUNTIF(I2219,"64*")&gt;0,COUNTIF(J2219,"*64*")&gt;0,COUNTIF(I2219,"65*")&gt;0,COUNTIF(J2219,"*65*")&gt;0,COUNTIF(I2219,"66*")&gt;0,COUNTIF(J2219,"*66*")&gt;0,COUNTIF(I2219,"61*")&gt;0,COUNTIF(J2219,"*61*")&gt;0,COUNTIF(I2219,"62*")&gt;0,COUNTIF(J2219,"*62*")&gt;0,COUNTIF(I2219,"63*")&gt;0,COUNTIF(J2219,"*63*")&gt;0,COUNTIF(I2219,"85*")&gt;0,COUNTIF(J2219,"*85*")&gt;0,COUNTIF(I2219,"86*")&gt;0,COUNTIF(J2219,"*86*")&gt;0),"Да","Нет"))</f>
        <v/>
      </c>
      <c r="M2219" s="13">
        <f>IF(OR(G2219="",L2219&lt;&gt;"Да"),"",IF(G2219&lt;=100,"До 100",IF(G2219&lt;=200,"До 200",IF(G2219&lt;=500,"До 500","Отдельное КП"))))</f>
        <v/>
      </c>
      <c r="N2219" s="15">
        <f>IF(OR(G2219="",L2219&lt;&gt;"Да"),"",IF(G2219&lt;=100,33600,IF(G2219&lt;=200,62400,IF(G2219&lt;=500,144000,""))))</f>
        <v/>
      </c>
      <c r="O2219" s="16">
        <f>IF(G2219="","",IF(G2219&lt;=15,"1–15",IF(G2219&lt;=30,"16–30",IF(G2219&lt;=50,"31–50",IF(G2219&lt;=100,"51–100",IF(G2219&lt;=150,"101–150",IF(G2219&lt;=200,"151–200",IF(G2219&lt;=500,"201–500","500+"))))))))</f>
        <v/>
      </c>
      <c r="P2219" s="16" t="inlineStr">
        <is>
          <t>Нет совпадения в предоставленной выгрузке ССЧР</t>
        </is>
      </c>
      <c r="Q2219" s="16" t="n"/>
      <c r="R2219" s="16">
        <f>HYPERLINK("https://checko.ru/search?query=3801001629","Чекко: проверить")</f>
        <v/>
      </c>
      <c r="S2219" t="n">
        <v>0</v>
      </c>
    </row>
    <row r="2220" ht="15" customHeight="1" s="24">
      <c r="A2220" s="13" t="n">
        <v>5000094703</v>
      </c>
      <c r="B2220" s="13" t="inlineStr">
        <is>
          <t>"Местная администрация с.Бабугент"</t>
        </is>
      </c>
      <c r="C2220" s="13" t="n">
        <v>706001694</v>
      </c>
      <c r="D2220" s="13" t="n"/>
      <c r="E2220" s="13" t="inlineStr">
        <is>
          <t>Не определён</t>
        </is>
      </c>
      <c r="F2220" s="13" t="inlineStr">
        <is>
          <t>706001694</t>
        </is>
      </c>
      <c r="G2220" s="14" t="n"/>
      <c r="H2220" s="14" t="n"/>
      <c r="I2220" s="14" t="n"/>
      <c r="J2220" s="14" t="n"/>
      <c r="K2220" s="13">
        <f>IF(G2220="","",IF(G2220&gt;=22,"Да","Нет"))</f>
        <v/>
      </c>
      <c r="L2220" s="13">
        <f>IF(OR(I2220="",J2220=""),"Не определено",IF(OR(COUNTIF(I2220,"45*")&gt;0,COUNTIF(J2220,"*45*")&gt;0,COUNTIF(I2220,"46*")&gt;0,COUNTIF(J2220,"*46*")&gt;0,COUNTIF(I2220,"47*")&gt;0,COUNTIF(J2220,"*47*")&gt;0,COUNTIF(I2220,"10*")&gt;0,COUNTIF(J2220,"*10*")&gt;0,COUNTIF(I2220,"11*")&gt;0,COUNTIF(J2220,"*11*")&gt;0,COUNTIF(I2220,"12*")&gt;0,COUNTIF(J2220,"*12*")&gt;0,COUNTIF(I2220,"13*")&gt;0,COUNTIF(J2220,"*13*")&gt;0,COUNTIF(I2220,"14*")&gt;0,COUNTIF(J2220,"*14*")&gt;0,COUNTIF(I2220,"15*")&gt;0,COUNTIF(J2220,"*15*")&gt;0,COUNTIF(I2220,"16*")&gt;0,COUNTIF(J2220,"*16*")&gt;0,COUNTIF(I2220,"17*")&gt;0,COUNTIF(J2220,"*17*")&gt;0,COUNTIF(I2220,"18*")&gt;0,COUNTIF(J2220,"*18*")&gt;0,COUNTIF(I2220,"19*")&gt;0,COUNTIF(J2220,"*19*")&gt;0,COUNTIF(I2220,"20*")&gt;0,COUNTIF(J2220,"*20*")&gt;0,COUNTIF(I2220,"21*")&gt;0,COUNTIF(J2220,"*21*")&gt;0,COUNTIF(I2220,"22*")&gt;0,COUNTIF(J2220,"*22*")&gt;0,COUNTIF(I2220,"23*")&gt;0,COUNTIF(J2220,"*23*")&gt;0,COUNTIF(I2220,"24*")&gt;0,COUNTIF(J2220,"*24*")&gt;0,COUNTIF(I2220,"25*")&gt;0,COUNTIF(J2220,"*25*")&gt;0,COUNTIF(I2220,"26*")&gt;0,COUNTIF(J2220,"*26*")&gt;0,COUNTIF(I2220,"27*")&gt;0,COUNTIF(J2220,"*27*")&gt;0,COUNTIF(I2220,"28*")&gt;0,COUNTIF(J2220,"*28*")&gt;0,COUNTIF(I2220,"29*")&gt;0,COUNTIF(J2220,"*29*")&gt;0,COUNTIF(I2220,"30*")&gt;0,COUNTIF(J2220,"*30*")&gt;0,COUNTIF(I2220,"31*")&gt;0,COUNTIF(J2220,"*31*")&gt;0,COUNTIF(I2220,"32*")&gt;0,COUNTIF(J2220,"*32*")&gt;0,COUNTIF(I2220,"33*")&gt;0,COUNTIF(J2220,"*33*")&gt;0,COUNTIF(I2220,"41*")&gt;0,COUNTIF(J2220,"*41*")&gt;0,COUNTIF(I2220,"42*")&gt;0,COUNTIF(J2220,"*42*")&gt;0,COUNTIF(I2220,"43*")&gt;0,COUNTIF(J2220,"*43*")&gt;0,COUNTIF(I2220,"49*")&gt;0,COUNTIF(J2220,"*49*")&gt;0,COUNTIF(I2220,"52*")&gt;0,COUNTIF(J2220,"*52*")&gt;0,COUNTIF(I2220,"55*")&gt;0,COUNTIF(J2220,"*55*")&gt;0,COUNTIF(I2220,"56*")&gt;0,COUNTIF(J2220,"*56*")&gt;0,COUNTIF(I2220,"68*")&gt;0,COUNTIF(J2220,"*68*")&gt;0,COUNTIF(I2220,"78*")&gt;0,COUNTIF(J2220,"*78*")&gt;0,COUNTIF(I2220,"81*")&gt;0,COUNTIF(J2220,"*81*")&gt;0,COUNTIF(I2220,"82*")&gt;0,COUNTIF(J2220,"*82*")&gt;0,COUNTIF(I2220,"64*")&gt;0,COUNTIF(J2220,"*64*")&gt;0,COUNTIF(I2220,"65*")&gt;0,COUNTIF(J2220,"*65*")&gt;0,COUNTIF(I2220,"66*")&gt;0,COUNTIF(J2220,"*66*")&gt;0,COUNTIF(I2220,"61*")&gt;0,COUNTIF(J2220,"*61*")&gt;0,COUNTIF(I2220,"62*")&gt;0,COUNTIF(J2220,"*62*")&gt;0,COUNTIF(I2220,"63*")&gt;0,COUNTIF(J2220,"*63*")&gt;0,COUNTIF(I2220,"85*")&gt;0,COUNTIF(J2220,"*85*")&gt;0,COUNTIF(I2220,"86*")&gt;0,COUNTIF(J2220,"*86*")&gt;0),"Да","Нет"))</f>
        <v/>
      </c>
      <c r="M2220" s="13">
        <f>IF(OR(G2220="",L2220&lt;&gt;"Да"),"",IF(G2220&lt;=100,"До 100",IF(G2220&lt;=200,"До 200",IF(G2220&lt;=500,"До 500","Отдельное КП"))))</f>
        <v/>
      </c>
      <c r="N2220" s="15">
        <f>IF(OR(G2220="",L2220&lt;&gt;"Да"),"",IF(G2220&lt;=100,33600,IF(G2220&lt;=200,62400,IF(G2220&lt;=500,144000,""))))</f>
        <v/>
      </c>
      <c r="O2220" s="16">
        <f>IF(G2220="","",IF(G2220&lt;=15,"1–15",IF(G2220&lt;=30,"16–30",IF(G2220&lt;=50,"31–50",IF(G2220&lt;=100,"51–100",IF(G2220&lt;=150,"101–150",IF(G2220&lt;=200,"151–200",IF(G2220&lt;=500,"201–500","500+"))))))))</f>
        <v/>
      </c>
      <c r="P2220" s="16" t="inlineStr">
        <is>
          <t>Нет совпадения в предоставленной выгрузке ССЧР</t>
        </is>
      </c>
      <c r="Q2220" s="16" t="n"/>
      <c r="R2220" s="16">
        <f>HYPERLINK("https://checko.ru/search?query=3801001629","Чекко: проверить")</f>
        <v/>
      </c>
      <c r="S2220" t="n">
        <v>0</v>
      </c>
    </row>
    <row r="2221" ht="15" customHeight="1" s="24">
      <c r="A2221" s="13" t="n">
        <v>5000094704</v>
      </c>
      <c r="B2221" s="13" t="inlineStr">
        <is>
          <t>Местная администрация с. Верхняя Балкария</t>
        </is>
      </c>
      <c r="C2221" s="13" t="n">
        <v>706001704</v>
      </c>
      <c r="D2221" s="13" t="n"/>
      <c r="E2221" s="13" t="inlineStr">
        <is>
          <t>Не определён</t>
        </is>
      </c>
      <c r="F2221" s="13" t="inlineStr">
        <is>
          <t>706001704</t>
        </is>
      </c>
      <c r="G2221" s="14" t="n"/>
      <c r="H2221" s="14" t="n"/>
      <c r="I2221" s="14" t="n"/>
      <c r="J2221" s="14" t="n"/>
      <c r="K2221" s="13">
        <f>IF(G2221="","",IF(G2221&gt;=22,"Да","Нет"))</f>
        <v/>
      </c>
      <c r="L2221" s="13">
        <f>IF(OR(I2221="",J2221=""),"Не определено",IF(OR(COUNTIF(I2221,"45*")&gt;0,COUNTIF(J2221,"*45*")&gt;0,COUNTIF(I2221,"46*")&gt;0,COUNTIF(J2221,"*46*")&gt;0,COUNTIF(I2221,"47*")&gt;0,COUNTIF(J2221,"*47*")&gt;0,COUNTIF(I2221,"10*")&gt;0,COUNTIF(J2221,"*10*")&gt;0,COUNTIF(I2221,"11*")&gt;0,COUNTIF(J2221,"*11*")&gt;0,COUNTIF(I2221,"12*")&gt;0,COUNTIF(J2221,"*12*")&gt;0,COUNTIF(I2221,"13*")&gt;0,COUNTIF(J2221,"*13*")&gt;0,COUNTIF(I2221,"14*")&gt;0,COUNTIF(J2221,"*14*")&gt;0,COUNTIF(I2221,"15*")&gt;0,COUNTIF(J2221,"*15*")&gt;0,COUNTIF(I2221,"16*")&gt;0,COUNTIF(J2221,"*16*")&gt;0,COUNTIF(I2221,"17*")&gt;0,COUNTIF(J2221,"*17*")&gt;0,COUNTIF(I2221,"18*")&gt;0,COUNTIF(J2221,"*18*")&gt;0,COUNTIF(I2221,"19*")&gt;0,COUNTIF(J2221,"*19*")&gt;0,COUNTIF(I2221,"20*")&gt;0,COUNTIF(J2221,"*20*")&gt;0,COUNTIF(I2221,"21*")&gt;0,COUNTIF(J2221,"*21*")&gt;0,COUNTIF(I2221,"22*")&gt;0,COUNTIF(J2221,"*22*")&gt;0,COUNTIF(I2221,"23*")&gt;0,COUNTIF(J2221,"*23*")&gt;0,COUNTIF(I2221,"24*")&gt;0,COUNTIF(J2221,"*24*")&gt;0,COUNTIF(I2221,"25*")&gt;0,COUNTIF(J2221,"*25*")&gt;0,COUNTIF(I2221,"26*")&gt;0,COUNTIF(J2221,"*26*")&gt;0,COUNTIF(I2221,"27*")&gt;0,COUNTIF(J2221,"*27*")&gt;0,COUNTIF(I2221,"28*")&gt;0,COUNTIF(J2221,"*28*")&gt;0,COUNTIF(I2221,"29*")&gt;0,COUNTIF(J2221,"*29*")&gt;0,COUNTIF(I2221,"30*")&gt;0,COUNTIF(J2221,"*30*")&gt;0,COUNTIF(I2221,"31*")&gt;0,COUNTIF(J2221,"*31*")&gt;0,COUNTIF(I2221,"32*")&gt;0,COUNTIF(J2221,"*32*")&gt;0,COUNTIF(I2221,"33*")&gt;0,COUNTIF(J2221,"*33*")&gt;0,COUNTIF(I2221,"41*")&gt;0,COUNTIF(J2221,"*41*")&gt;0,COUNTIF(I2221,"42*")&gt;0,COUNTIF(J2221,"*42*")&gt;0,COUNTIF(I2221,"43*")&gt;0,COUNTIF(J2221,"*43*")&gt;0,COUNTIF(I2221,"49*")&gt;0,COUNTIF(J2221,"*49*")&gt;0,COUNTIF(I2221,"52*")&gt;0,COUNTIF(J2221,"*52*")&gt;0,COUNTIF(I2221,"55*")&gt;0,COUNTIF(J2221,"*55*")&gt;0,COUNTIF(I2221,"56*")&gt;0,COUNTIF(J2221,"*56*")&gt;0,COUNTIF(I2221,"68*")&gt;0,COUNTIF(J2221,"*68*")&gt;0,COUNTIF(I2221,"78*")&gt;0,COUNTIF(J2221,"*78*")&gt;0,COUNTIF(I2221,"81*")&gt;0,COUNTIF(J2221,"*81*")&gt;0,COUNTIF(I2221,"82*")&gt;0,COUNTIF(J2221,"*82*")&gt;0,COUNTIF(I2221,"64*")&gt;0,COUNTIF(J2221,"*64*")&gt;0,COUNTIF(I2221,"65*")&gt;0,COUNTIF(J2221,"*65*")&gt;0,COUNTIF(I2221,"66*")&gt;0,COUNTIF(J2221,"*66*")&gt;0,COUNTIF(I2221,"61*")&gt;0,COUNTIF(J2221,"*61*")&gt;0,COUNTIF(I2221,"62*")&gt;0,COUNTIF(J2221,"*62*")&gt;0,COUNTIF(I2221,"63*")&gt;0,COUNTIF(J2221,"*63*")&gt;0,COUNTIF(I2221,"85*")&gt;0,COUNTIF(J2221,"*85*")&gt;0,COUNTIF(I2221,"86*")&gt;0,COUNTIF(J2221,"*86*")&gt;0),"Да","Нет"))</f>
        <v/>
      </c>
      <c r="M2221" s="13">
        <f>IF(OR(G2221="",L2221&lt;&gt;"Да"),"",IF(G2221&lt;=100,"До 100",IF(G2221&lt;=200,"До 200",IF(G2221&lt;=500,"До 500","Отдельное КП"))))</f>
        <v/>
      </c>
      <c r="N2221" s="15">
        <f>IF(OR(G2221="",L2221&lt;&gt;"Да"),"",IF(G2221&lt;=100,33600,IF(G2221&lt;=200,62400,IF(G2221&lt;=500,144000,""))))</f>
        <v/>
      </c>
      <c r="O2221" s="16">
        <f>IF(G2221="","",IF(G2221&lt;=15,"1–15",IF(G2221&lt;=30,"16–30",IF(G2221&lt;=50,"31–50",IF(G2221&lt;=100,"51–100",IF(G2221&lt;=150,"101–150",IF(G2221&lt;=200,"151–200",IF(G2221&lt;=500,"201–500","500+"))))))))</f>
        <v/>
      </c>
      <c r="P2221" s="16" t="inlineStr">
        <is>
          <t>Нет совпадения в предоставленной выгрузке ССЧР</t>
        </is>
      </c>
      <c r="Q2221" s="16" t="n"/>
      <c r="R2221" s="16">
        <f>HYPERLINK("https://checko.ru/search?query=3801001629","Чекко: проверить")</f>
        <v/>
      </c>
      <c r="S2221" t="n">
        <v>0</v>
      </c>
    </row>
    <row r="2222" ht="15" customHeight="1" s="24">
      <c r="A2222" s="13" t="n">
        <v>5000094705</v>
      </c>
      <c r="B2222" s="13" t="inlineStr">
        <is>
          <t>АДМИНИСТРАЦИЯ ЧЕРЕКСКОГО РАЙОНА</t>
        </is>
      </c>
      <c r="C2222" s="13" t="n">
        <v>706001711</v>
      </c>
      <c r="D2222" s="13" t="n"/>
      <c r="E2222" s="13" t="inlineStr">
        <is>
          <t>Не определён</t>
        </is>
      </c>
      <c r="F2222" s="13" t="inlineStr">
        <is>
          <t>706001711</t>
        </is>
      </c>
      <c r="G2222" s="14" t="n"/>
      <c r="H2222" s="14" t="n"/>
      <c r="I2222" s="14" t="n"/>
      <c r="J2222" s="14" t="n"/>
      <c r="K2222" s="13">
        <f>IF(G2222="","",IF(G2222&gt;=22,"Да","Нет"))</f>
        <v/>
      </c>
      <c r="L2222" s="13">
        <f>IF(OR(I2222="",J2222=""),"Не определено",IF(OR(COUNTIF(I2222,"45*")&gt;0,COUNTIF(J2222,"*45*")&gt;0,COUNTIF(I2222,"46*")&gt;0,COUNTIF(J2222,"*46*")&gt;0,COUNTIF(I2222,"47*")&gt;0,COUNTIF(J2222,"*47*")&gt;0,COUNTIF(I2222,"10*")&gt;0,COUNTIF(J2222,"*10*")&gt;0,COUNTIF(I2222,"11*")&gt;0,COUNTIF(J2222,"*11*")&gt;0,COUNTIF(I2222,"12*")&gt;0,COUNTIF(J2222,"*12*")&gt;0,COUNTIF(I2222,"13*")&gt;0,COUNTIF(J2222,"*13*")&gt;0,COUNTIF(I2222,"14*")&gt;0,COUNTIF(J2222,"*14*")&gt;0,COUNTIF(I2222,"15*")&gt;0,COUNTIF(J2222,"*15*")&gt;0,COUNTIF(I2222,"16*")&gt;0,COUNTIF(J2222,"*16*")&gt;0,COUNTIF(I2222,"17*")&gt;0,COUNTIF(J2222,"*17*")&gt;0,COUNTIF(I2222,"18*")&gt;0,COUNTIF(J2222,"*18*")&gt;0,COUNTIF(I2222,"19*")&gt;0,COUNTIF(J2222,"*19*")&gt;0,COUNTIF(I2222,"20*")&gt;0,COUNTIF(J2222,"*20*")&gt;0,COUNTIF(I2222,"21*")&gt;0,COUNTIF(J2222,"*21*")&gt;0,COUNTIF(I2222,"22*")&gt;0,COUNTIF(J2222,"*22*")&gt;0,COUNTIF(I2222,"23*")&gt;0,COUNTIF(J2222,"*23*")&gt;0,COUNTIF(I2222,"24*")&gt;0,COUNTIF(J2222,"*24*")&gt;0,COUNTIF(I2222,"25*")&gt;0,COUNTIF(J2222,"*25*")&gt;0,COUNTIF(I2222,"26*")&gt;0,COUNTIF(J2222,"*26*")&gt;0,COUNTIF(I2222,"27*")&gt;0,COUNTIF(J2222,"*27*")&gt;0,COUNTIF(I2222,"28*")&gt;0,COUNTIF(J2222,"*28*")&gt;0,COUNTIF(I2222,"29*")&gt;0,COUNTIF(J2222,"*29*")&gt;0,COUNTIF(I2222,"30*")&gt;0,COUNTIF(J2222,"*30*")&gt;0,COUNTIF(I2222,"31*")&gt;0,COUNTIF(J2222,"*31*")&gt;0,COUNTIF(I2222,"32*")&gt;0,COUNTIF(J2222,"*32*")&gt;0,COUNTIF(I2222,"33*")&gt;0,COUNTIF(J2222,"*33*")&gt;0,COUNTIF(I2222,"41*")&gt;0,COUNTIF(J2222,"*41*")&gt;0,COUNTIF(I2222,"42*")&gt;0,COUNTIF(J2222,"*42*")&gt;0,COUNTIF(I2222,"43*")&gt;0,COUNTIF(J2222,"*43*")&gt;0,COUNTIF(I2222,"49*")&gt;0,COUNTIF(J2222,"*49*")&gt;0,COUNTIF(I2222,"52*")&gt;0,COUNTIF(J2222,"*52*")&gt;0,COUNTIF(I2222,"55*")&gt;0,COUNTIF(J2222,"*55*")&gt;0,COUNTIF(I2222,"56*")&gt;0,COUNTIF(J2222,"*56*")&gt;0,COUNTIF(I2222,"68*")&gt;0,COUNTIF(J2222,"*68*")&gt;0,COUNTIF(I2222,"78*")&gt;0,COUNTIF(J2222,"*78*")&gt;0,COUNTIF(I2222,"81*")&gt;0,COUNTIF(J2222,"*81*")&gt;0,COUNTIF(I2222,"82*")&gt;0,COUNTIF(J2222,"*82*")&gt;0,COUNTIF(I2222,"64*")&gt;0,COUNTIF(J2222,"*64*")&gt;0,COUNTIF(I2222,"65*")&gt;0,COUNTIF(J2222,"*65*")&gt;0,COUNTIF(I2222,"66*")&gt;0,COUNTIF(J2222,"*66*")&gt;0,COUNTIF(I2222,"61*")&gt;0,COUNTIF(J2222,"*61*")&gt;0,COUNTIF(I2222,"62*")&gt;0,COUNTIF(J2222,"*62*")&gt;0,COUNTIF(I2222,"63*")&gt;0,COUNTIF(J2222,"*63*")&gt;0,COUNTIF(I2222,"85*")&gt;0,COUNTIF(J2222,"*85*")&gt;0,COUNTIF(I2222,"86*")&gt;0,COUNTIF(J2222,"*86*")&gt;0),"Да","Нет"))</f>
        <v/>
      </c>
      <c r="M2222" s="13">
        <f>IF(OR(G2222="",L2222&lt;&gt;"Да"),"",IF(G2222&lt;=100,"До 100",IF(G2222&lt;=200,"До 200",IF(G2222&lt;=500,"До 500","Отдельное КП"))))</f>
        <v/>
      </c>
      <c r="N2222" s="15">
        <f>IF(OR(G2222="",L2222&lt;&gt;"Да"),"",IF(G2222&lt;=100,33600,IF(G2222&lt;=200,62400,IF(G2222&lt;=500,144000,""))))</f>
        <v/>
      </c>
      <c r="O2222" s="16">
        <f>IF(G2222="","",IF(G2222&lt;=15,"1–15",IF(G2222&lt;=30,"16–30",IF(G2222&lt;=50,"31–50",IF(G2222&lt;=100,"51–100",IF(G2222&lt;=150,"101–150",IF(G2222&lt;=200,"151–200",IF(G2222&lt;=500,"201–500","500+"))))))))</f>
        <v/>
      </c>
      <c r="P2222" s="16" t="inlineStr">
        <is>
          <t>Нет совпадения в предоставленной выгрузке ССЧР</t>
        </is>
      </c>
      <c r="Q2222" s="16" t="n"/>
      <c r="R2222" s="16">
        <f>HYPERLINK("https://checko.ru/search?query=3801001629","Чекко: проверить")</f>
        <v/>
      </c>
      <c r="S2222" t="n">
        <v>0</v>
      </c>
    </row>
    <row r="2223" ht="15" customHeight="1" s="24">
      <c r="A2223" s="13" t="n">
        <v>5000094706</v>
      </c>
      <c r="B2223" s="13" t="inlineStr">
        <is>
          <t>МКОУ СОШ №1 с.п.Жемтала</t>
        </is>
      </c>
      <c r="C2223" s="13" t="n">
        <v>706001729</v>
      </c>
      <c r="D2223" s="13" t="n"/>
      <c r="E2223" s="13" t="inlineStr">
        <is>
          <t>Не определён</t>
        </is>
      </c>
      <c r="F2223" s="13" t="inlineStr">
        <is>
          <t>706001729</t>
        </is>
      </c>
      <c r="G2223" s="14" t="n"/>
      <c r="H2223" s="14" t="n"/>
      <c r="I2223" s="14" t="n"/>
      <c r="J2223" s="14" t="n"/>
      <c r="K2223" s="13">
        <f>IF(G2223="","",IF(G2223&gt;=22,"Да","Нет"))</f>
        <v/>
      </c>
      <c r="L2223" s="13">
        <f>IF(OR(I2223="",J2223=""),"Не определено",IF(OR(COUNTIF(I2223,"45*")&gt;0,COUNTIF(J2223,"*45*")&gt;0,COUNTIF(I2223,"46*")&gt;0,COUNTIF(J2223,"*46*")&gt;0,COUNTIF(I2223,"47*")&gt;0,COUNTIF(J2223,"*47*")&gt;0,COUNTIF(I2223,"10*")&gt;0,COUNTIF(J2223,"*10*")&gt;0,COUNTIF(I2223,"11*")&gt;0,COUNTIF(J2223,"*11*")&gt;0,COUNTIF(I2223,"12*")&gt;0,COUNTIF(J2223,"*12*")&gt;0,COUNTIF(I2223,"13*")&gt;0,COUNTIF(J2223,"*13*")&gt;0,COUNTIF(I2223,"14*")&gt;0,COUNTIF(J2223,"*14*")&gt;0,COUNTIF(I2223,"15*")&gt;0,COUNTIF(J2223,"*15*")&gt;0,COUNTIF(I2223,"16*")&gt;0,COUNTIF(J2223,"*16*")&gt;0,COUNTIF(I2223,"17*")&gt;0,COUNTIF(J2223,"*17*")&gt;0,COUNTIF(I2223,"18*")&gt;0,COUNTIF(J2223,"*18*")&gt;0,COUNTIF(I2223,"19*")&gt;0,COUNTIF(J2223,"*19*")&gt;0,COUNTIF(I2223,"20*")&gt;0,COUNTIF(J2223,"*20*")&gt;0,COUNTIF(I2223,"21*")&gt;0,COUNTIF(J2223,"*21*")&gt;0,COUNTIF(I2223,"22*")&gt;0,COUNTIF(J2223,"*22*")&gt;0,COUNTIF(I2223,"23*")&gt;0,COUNTIF(J2223,"*23*")&gt;0,COUNTIF(I2223,"24*")&gt;0,COUNTIF(J2223,"*24*")&gt;0,COUNTIF(I2223,"25*")&gt;0,COUNTIF(J2223,"*25*")&gt;0,COUNTIF(I2223,"26*")&gt;0,COUNTIF(J2223,"*26*")&gt;0,COUNTIF(I2223,"27*")&gt;0,COUNTIF(J2223,"*27*")&gt;0,COUNTIF(I2223,"28*")&gt;0,COUNTIF(J2223,"*28*")&gt;0,COUNTIF(I2223,"29*")&gt;0,COUNTIF(J2223,"*29*")&gt;0,COUNTIF(I2223,"30*")&gt;0,COUNTIF(J2223,"*30*")&gt;0,COUNTIF(I2223,"31*")&gt;0,COUNTIF(J2223,"*31*")&gt;0,COUNTIF(I2223,"32*")&gt;0,COUNTIF(J2223,"*32*")&gt;0,COUNTIF(I2223,"33*")&gt;0,COUNTIF(J2223,"*33*")&gt;0,COUNTIF(I2223,"41*")&gt;0,COUNTIF(J2223,"*41*")&gt;0,COUNTIF(I2223,"42*")&gt;0,COUNTIF(J2223,"*42*")&gt;0,COUNTIF(I2223,"43*")&gt;0,COUNTIF(J2223,"*43*")&gt;0,COUNTIF(I2223,"49*")&gt;0,COUNTIF(J2223,"*49*")&gt;0,COUNTIF(I2223,"52*")&gt;0,COUNTIF(J2223,"*52*")&gt;0,COUNTIF(I2223,"55*")&gt;0,COUNTIF(J2223,"*55*")&gt;0,COUNTIF(I2223,"56*")&gt;0,COUNTIF(J2223,"*56*")&gt;0,COUNTIF(I2223,"68*")&gt;0,COUNTIF(J2223,"*68*")&gt;0,COUNTIF(I2223,"78*")&gt;0,COUNTIF(J2223,"*78*")&gt;0,COUNTIF(I2223,"81*")&gt;0,COUNTIF(J2223,"*81*")&gt;0,COUNTIF(I2223,"82*")&gt;0,COUNTIF(J2223,"*82*")&gt;0,COUNTIF(I2223,"64*")&gt;0,COUNTIF(J2223,"*64*")&gt;0,COUNTIF(I2223,"65*")&gt;0,COUNTIF(J2223,"*65*")&gt;0,COUNTIF(I2223,"66*")&gt;0,COUNTIF(J2223,"*66*")&gt;0,COUNTIF(I2223,"61*")&gt;0,COUNTIF(J2223,"*61*")&gt;0,COUNTIF(I2223,"62*")&gt;0,COUNTIF(J2223,"*62*")&gt;0,COUNTIF(I2223,"63*")&gt;0,COUNTIF(J2223,"*63*")&gt;0,COUNTIF(I2223,"85*")&gt;0,COUNTIF(J2223,"*85*")&gt;0,COUNTIF(I2223,"86*")&gt;0,COUNTIF(J2223,"*86*")&gt;0),"Да","Нет"))</f>
        <v/>
      </c>
      <c r="M2223" s="13">
        <f>IF(OR(G2223="",L2223&lt;&gt;"Да"),"",IF(G2223&lt;=100,"До 100",IF(G2223&lt;=200,"До 200",IF(G2223&lt;=500,"До 500","Отдельное КП"))))</f>
        <v/>
      </c>
      <c r="N2223" s="15">
        <f>IF(OR(G2223="",L2223&lt;&gt;"Да"),"",IF(G2223&lt;=100,33600,IF(G2223&lt;=200,62400,IF(G2223&lt;=500,144000,""))))</f>
        <v/>
      </c>
      <c r="O2223" s="16">
        <f>IF(G2223="","",IF(G2223&lt;=15,"1–15",IF(G2223&lt;=30,"16–30",IF(G2223&lt;=50,"31–50",IF(G2223&lt;=100,"51–100",IF(G2223&lt;=150,"101–150",IF(G2223&lt;=200,"151–200",IF(G2223&lt;=500,"201–500","500+"))))))))</f>
        <v/>
      </c>
      <c r="P2223" s="16" t="inlineStr">
        <is>
          <t>Нет совпадения в предоставленной выгрузке ССЧР</t>
        </is>
      </c>
      <c r="Q2223" s="16" t="n"/>
      <c r="R2223" s="16">
        <f>HYPERLINK("https://checko.ru/search?query=3801001629","Чекко: проверить")</f>
        <v/>
      </c>
      <c r="S2223" t="n">
        <v>0</v>
      </c>
    </row>
    <row r="2224" ht="15" customHeight="1" s="24">
      <c r="A2224" s="13" t="n">
        <v>5000094707</v>
      </c>
      <c r="B2224" s="13" t="inlineStr">
        <is>
          <t>МКОУ СОШ с.п. Зарагиж</t>
        </is>
      </c>
      <c r="C2224" s="13" t="n">
        <v>706001736</v>
      </c>
      <c r="D2224" s="13" t="n"/>
      <c r="E2224" s="13" t="inlineStr">
        <is>
          <t>Не определён</t>
        </is>
      </c>
      <c r="F2224" s="13" t="inlineStr">
        <is>
          <t>706001736</t>
        </is>
      </c>
      <c r="G2224" s="14" t="n"/>
      <c r="H2224" s="14" t="n"/>
      <c r="I2224" s="14" t="n"/>
      <c r="J2224" s="14" t="n"/>
      <c r="K2224" s="13">
        <f>IF(G2224="","",IF(G2224&gt;=22,"Да","Нет"))</f>
        <v/>
      </c>
      <c r="L2224" s="13">
        <f>IF(OR(I2224="",J2224=""),"Не определено",IF(OR(COUNTIF(I2224,"45*")&gt;0,COUNTIF(J2224,"*45*")&gt;0,COUNTIF(I2224,"46*")&gt;0,COUNTIF(J2224,"*46*")&gt;0,COUNTIF(I2224,"47*")&gt;0,COUNTIF(J2224,"*47*")&gt;0,COUNTIF(I2224,"10*")&gt;0,COUNTIF(J2224,"*10*")&gt;0,COUNTIF(I2224,"11*")&gt;0,COUNTIF(J2224,"*11*")&gt;0,COUNTIF(I2224,"12*")&gt;0,COUNTIF(J2224,"*12*")&gt;0,COUNTIF(I2224,"13*")&gt;0,COUNTIF(J2224,"*13*")&gt;0,COUNTIF(I2224,"14*")&gt;0,COUNTIF(J2224,"*14*")&gt;0,COUNTIF(I2224,"15*")&gt;0,COUNTIF(J2224,"*15*")&gt;0,COUNTIF(I2224,"16*")&gt;0,COUNTIF(J2224,"*16*")&gt;0,COUNTIF(I2224,"17*")&gt;0,COUNTIF(J2224,"*17*")&gt;0,COUNTIF(I2224,"18*")&gt;0,COUNTIF(J2224,"*18*")&gt;0,COUNTIF(I2224,"19*")&gt;0,COUNTIF(J2224,"*19*")&gt;0,COUNTIF(I2224,"20*")&gt;0,COUNTIF(J2224,"*20*")&gt;0,COUNTIF(I2224,"21*")&gt;0,COUNTIF(J2224,"*21*")&gt;0,COUNTIF(I2224,"22*")&gt;0,COUNTIF(J2224,"*22*")&gt;0,COUNTIF(I2224,"23*")&gt;0,COUNTIF(J2224,"*23*")&gt;0,COUNTIF(I2224,"24*")&gt;0,COUNTIF(J2224,"*24*")&gt;0,COUNTIF(I2224,"25*")&gt;0,COUNTIF(J2224,"*25*")&gt;0,COUNTIF(I2224,"26*")&gt;0,COUNTIF(J2224,"*26*")&gt;0,COUNTIF(I2224,"27*")&gt;0,COUNTIF(J2224,"*27*")&gt;0,COUNTIF(I2224,"28*")&gt;0,COUNTIF(J2224,"*28*")&gt;0,COUNTIF(I2224,"29*")&gt;0,COUNTIF(J2224,"*29*")&gt;0,COUNTIF(I2224,"30*")&gt;0,COUNTIF(J2224,"*30*")&gt;0,COUNTIF(I2224,"31*")&gt;0,COUNTIF(J2224,"*31*")&gt;0,COUNTIF(I2224,"32*")&gt;0,COUNTIF(J2224,"*32*")&gt;0,COUNTIF(I2224,"33*")&gt;0,COUNTIF(J2224,"*33*")&gt;0,COUNTIF(I2224,"41*")&gt;0,COUNTIF(J2224,"*41*")&gt;0,COUNTIF(I2224,"42*")&gt;0,COUNTIF(J2224,"*42*")&gt;0,COUNTIF(I2224,"43*")&gt;0,COUNTIF(J2224,"*43*")&gt;0,COUNTIF(I2224,"49*")&gt;0,COUNTIF(J2224,"*49*")&gt;0,COUNTIF(I2224,"52*")&gt;0,COUNTIF(J2224,"*52*")&gt;0,COUNTIF(I2224,"55*")&gt;0,COUNTIF(J2224,"*55*")&gt;0,COUNTIF(I2224,"56*")&gt;0,COUNTIF(J2224,"*56*")&gt;0,COUNTIF(I2224,"68*")&gt;0,COUNTIF(J2224,"*68*")&gt;0,COUNTIF(I2224,"78*")&gt;0,COUNTIF(J2224,"*78*")&gt;0,COUNTIF(I2224,"81*")&gt;0,COUNTIF(J2224,"*81*")&gt;0,COUNTIF(I2224,"82*")&gt;0,COUNTIF(J2224,"*82*")&gt;0,COUNTIF(I2224,"64*")&gt;0,COUNTIF(J2224,"*64*")&gt;0,COUNTIF(I2224,"65*")&gt;0,COUNTIF(J2224,"*65*")&gt;0,COUNTIF(I2224,"66*")&gt;0,COUNTIF(J2224,"*66*")&gt;0,COUNTIF(I2224,"61*")&gt;0,COUNTIF(J2224,"*61*")&gt;0,COUNTIF(I2224,"62*")&gt;0,COUNTIF(J2224,"*62*")&gt;0,COUNTIF(I2224,"63*")&gt;0,COUNTIF(J2224,"*63*")&gt;0,COUNTIF(I2224,"85*")&gt;0,COUNTIF(J2224,"*85*")&gt;0,COUNTIF(I2224,"86*")&gt;0,COUNTIF(J2224,"*86*")&gt;0),"Да","Нет"))</f>
        <v/>
      </c>
      <c r="M2224" s="13">
        <f>IF(OR(G2224="",L2224&lt;&gt;"Да"),"",IF(G2224&lt;=100,"До 100",IF(G2224&lt;=200,"До 200",IF(G2224&lt;=500,"До 500","Отдельное КП"))))</f>
        <v/>
      </c>
      <c r="N2224" s="15">
        <f>IF(OR(G2224="",L2224&lt;&gt;"Да"),"",IF(G2224&lt;=100,33600,IF(G2224&lt;=200,62400,IF(G2224&lt;=500,144000,""))))</f>
        <v/>
      </c>
      <c r="O2224" s="16">
        <f>IF(G2224="","",IF(G2224&lt;=15,"1–15",IF(G2224&lt;=30,"16–30",IF(G2224&lt;=50,"31–50",IF(G2224&lt;=100,"51–100",IF(G2224&lt;=150,"101–150",IF(G2224&lt;=200,"151–200",IF(G2224&lt;=500,"201–500","500+"))))))))</f>
        <v/>
      </c>
      <c r="P2224" s="16" t="inlineStr">
        <is>
          <t>Нет совпадения в предоставленной выгрузке ССЧР</t>
        </is>
      </c>
      <c r="Q2224" s="16" t="n"/>
      <c r="R2224" s="16">
        <f>HYPERLINK("https://checko.ru/search?query=3801001629","Чекко: проверить")</f>
        <v/>
      </c>
      <c r="S2224" t="n">
        <v>0</v>
      </c>
    </row>
    <row r="2225" ht="15" customHeight="1" s="24">
      <c r="A2225" s="13" t="n">
        <v>5000094708</v>
      </c>
      <c r="B2225" s="13" t="inlineStr">
        <is>
          <t>МКОУ СОШ №2 с.п.Верхняя Балкария</t>
        </is>
      </c>
      <c r="C2225" s="13" t="n">
        <v>706001743</v>
      </c>
      <c r="D2225" s="13" t="n"/>
      <c r="E2225" s="13" t="inlineStr">
        <is>
          <t>Не определён</t>
        </is>
      </c>
      <c r="F2225" s="13" t="inlineStr">
        <is>
          <t>706001743</t>
        </is>
      </c>
      <c r="G2225" s="14" t="n"/>
      <c r="H2225" s="14" t="n"/>
      <c r="I2225" s="14" t="n"/>
      <c r="J2225" s="14" t="n"/>
      <c r="K2225" s="13">
        <f>IF(G2225="","",IF(G2225&gt;=22,"Да","Нет"))</f>
        <v/>
      </c>
      <c r="L2225" s="13">
        <f>IF(OR(I2225="",J2225=""),"Не определено",IF(OR(COUNTIF(I2225,"45*")&gt;0,COUNTIF(J2225,"*45*")&gt;0,COUNTIF(I2225,"46*")&gt;0,COUNTIF(J2225,"*46*")&gt;0,COUNTIF(I2225,"47*")&gt;0,COUNTIF(J2225,"*47*")&gt;0,COUNTIF(I2225,"10*")&gt;0,COUNTIF(J2225,"*10*")&gt;0,COUNTIF(I2225,"11*")&gt;0,COUNTIF(J2225,"*11*")&gt;0,COUNTIF(I2225,"12*")&gt;0,COUNTIF(J2225,"*12*")&gt;0,COUNTIF(I2225,"13*")&gt;0,COUNTIF(J2225,"*13*")&gt;0,COUNTIF(I2225,"14*")&gt;0,COUNTIF(J2225,"*14*")&gt;0,COUNTIF(I2225,"15*")&gt;0,COUNTIF(J2225,"*15*")&gt;0,COUNTIF(I2225,"16*")&gt;0,COUNTIF(J2225,"*16*")&gt;0,COUNTIF(I2225,"17*")&gt;0,COUNTIF(J2225,"*17*")&gt;0,COUNTIF(I2225,"18*")&gt;0,COUNTIF(J2225,"*18*")&gt;0,COUNTIF(I2225,"19*")&gt;0,COUNTIF(J2225,"*19*")&gt;0,COUNTIF(I2225,"20*")&gt;0,COUNTIF(J2225,"*20*")&gt;0,COUNTIF(I2225,"21*")&gt;0,COUNTIF(J2225,"*21*")&gt;0,COUNTIF(I2225,"22*")&gt;0,COUNTIF(J2225,"*22*")&gt;0,COUNTIF(I2225,"23*")&gt;0,COUNTIF(J2225,"*23*")&gt;0,COUNTIF(I2225,"24*")&gt;0,COUNTIF(J2225,"*24*")&gt;0,COUNTIF(I2225,"25*")&gt;0,COUNTIF(J2225,"*25*")&gt;0,COUNTIF(I2225,"26*")&gt;0,COUNTIF(J2225,"*26*")&gt;0,COUNTIF(I2225,"27*")&gt;0,COUNTIF(J2225,"*27*")&gt;0,COUNTIF(I2225,"28*")&gt;0,COUNTIF(J2225,"*28*")&gt;0,COUNTIF(I2225,"29*")&gt;0,COUNTIF(J2225,"*29*")&gt;0,COUNTIF(I2225,"30*")&gt;0,COUNTIF(J2225,"*30*")&gt;0,COUNTIF(I2225,"31*")&gt;0,COUNTIF(J2225,"*31*")&gt;0,COUNTIF(I2225,"32*")&gt;0,COUNTIF(J2225,"*32*")&gt;0,COUNTIF(I2225,"33*")&gt;0,COUNTIF(J2225,"*33*")&gt;0,COUNTIF(I2225,"41*")&gt;0,COUNTIF(J2225,"*41*")&gt;0,COUNTIF(I2225,"42*")&gt;0,COUNTIF(J2225,"*42*")&gt;0,COUNTIF(I2225,"43*")&gt;0,COUNTIF(J2225,"*43*")&gt;0,COUNTIF(I2225,"49*")&gt;0,COUNTIF(J2225,"*49*")&gt;0,COUNTIF(I2225,"52*")&gt;0,COUNTIF(J2225,"*52*")&gt;0,COUNTIF(I2225,"55*")&gt;0,COUNTIF(J2225,"*55*")&gt;0,COUNTIF(I2225,"56*")&gt;0,COUNTIF(J2225,"*56*")&gt;0,COUNTIF(I2225,"68*")&gt;0,COUNTIF(J2225,"*68*")&gt;0,COUNTIF(I2225,"78*")&gt;0,COUNTIF(J2225,"*78*")&gt;0,COUNTIF(I2225,"81*")&gt;0,COUNTIF(J2225,"*81*")&gt;0,COUNTIF(I2225,"82*")&gt;0,COUNTIF(J2225,"*82*")&gt;0,COUNTIF(I2225,"64*")&gt;0,COUNTIF(J2225,"*64*")&gt;0,COUNTIF(I2225,"65*")&gt;0,COUNTIF(J2225,"*65*")&gt;0,COUNTIF(I2225,"66*")&gt;0,COUNTIF(J2225,"*66*")&gt;0,COUNTIF(I2225,"61*")&gt;0,COUNTIF(J2225,"*61*")&gt;0,COUNTIF(I2225,"62*")&gt;0,COUNTIF(J2225,"*62*")&gt;0,COUNTIF(I2225,"63*")&gt;0,COUNTIF(J2225,"*63*")&gt;0,COUNTIF(I2225,"85*")&gt;0,COUNTIF(J2225,"*85*")&gt;0,COUNTIF(I2225,"86*")&gt;0,COUNTIF(J2225,"*86*")&gt;0),"Да","Нет"))</f>
        <v/>
      </c>
      <c r="M2225" s="13">
        <f>IF(OR(G2225="",L2225&lt;&gt;"Да"),"",IF(G2225&lt;=100,"До 100",IF(G2225&lt;=200,"До 200",IF(G2225&lt;=500,"До 500","Отдельное КП"))))</f>
        <v/>
      </c>
      <c r="N2225" s="15">
        <f>IF(OR(G2225="",L2225&lt;&gt;"Да"),"",IF(G2225&lt;=100,33600,IF(G2225&lt;=200,62400,IF(G2225&lt;=500,144000,""))))</f>
        <v/>
      </c>
      <c r="O2225" s="16">
        <f>IF(G2225="","",IF(G2225&lt;=15,"1–15",IF(G2225&lt;=30,"16–30",IF(G2225&lt;=50,"31–50",IF(G2225&lt;=100,"51–100",IF(G2225&lt;=150,"101–150",IF(G2225&lt;=200,"151–200",IF(G2225&lt;=500,"201–500","500+"))))))))</f>
        <v/>
      </c>
      <c r="P2225" s="16" t="inlineStr">
        <is>
          <t>Нет совпадения в предоставленной выгрузке ССЧР</t>
        </is>
      </c>
      <c r="Q2225" s="16" t="n"/>
      <c r="R2225" s="16">
        <f>HYPERLINK("https://checko.ru/search?query=3801001629","Чекко: проверить")</f>
        <v/>
      </c>
      <c r="S2225" t="n">
        <v>0</v>
      </c>
    </row>
    <row r="2226" ht="15" customHeight="1" s="24">
      <c r="A2226" s="13" t="n">
        <v>5000094709</v>
      </c>
      <c r="B2226" s="13" t="inlineStr">
        <is>
          <t>МКОУ СОШ им.Р.А. Батчаевой с.п. Бабугент</t>
        </is>
      </c>
      <c r="C2226" s="13" t="n">
        <v>706001768</v>
      </c>
      <c r="D2226" s="13" t="n"/>
      <c r="E2226" s="13" t="inlineStr">
        <is>
          <t>Не определён</t>
        </is>
      </c>
      <c r="F2226" s="13" t="inlineStr">
        <is>
          <t>706001768</t>
        </is>
      </c>
      <c r="G2226" s="14" t="n"/>
      <c r="H2226" s="14" t="n"/>
      <c r="I2226" s="14" t="n"/>
      <c r="J2226" s="14" t="n"/>
      <c r="K2226" s="13">
        <f>IF(G2226="","",IF(G2226&gt;=22,"Да","Нет"))</f>
        <v/>
      </c>
      <c r="L2226" s="13">
        <f>IF(OR(I2226="",J2226=""),"Не определено",IF(OR(COUNTIF(I2226,"45*")&gt;0,COUNTIF(J2226,"*45*")&gt;0,COUNTIF(I2226,"46*")&gt;0,COUNTIF(J2226,"*46*")&gt;0,COUNTIF(I2226,"47*")&gt;0,COUNTIF(J2226,"*47*")&gt;0,COUNTIF(I2226,"10*")&gt;0,COUNTIF(J2226,"*10*")&gt;0,COUNTIF(I2226,"11*")&gt;0,COUNTIF(J2226,"*11*")&gt;0,COUNTIF(I2226,"12*")&gt;0,COUNTIF(J2226,"*12*")&gt;0,COUNTIF(I2226,"13*")&gt;0,COUNTIF(J2226,"*13*")&gt;0,COUNTIF(I2226,"14*")&gt;0,COUNTIF(J2226,"*14*")&gt;0,COUNTIF(I2226,"15*")&gt;0,COUNTIF(J2226,"*15*")&gt;0,COUNTIF(I2226,"16*")&gt;0,COUNTIF(J2226,"*16*")&gt;0,COUNTIF(I2226,"17*")&gt;0,COUNTIF(J2226,"*17*")&gt;0,COUNTIF(I2226,"18*")&gt;0,COUNTIF(J2226,"*18*")&gt;0,COUNTIF(I2226,"19*")&gt;0,COUNTIF(J2226,"*19*")&gt;0,COUNTIF(I2226,"20*")&gt;0,COUNTIF(J2226,"*20*")&gt;0,COUNTIF(I2226,"21*")&gt;0,COUNTIF(J2226,"*21*")&gt;0,COUNTIF(I2226,"22*")&gt;0,COUNTIF(J2226,"*22*")&gt;0,COUNTIF(I2226,"23*")&gt;0,COUNTIF(J2226,"*23*")&gt;0,COUNTIF(I2226,"24*")&gt;0,COUNTIF(J2226,"*24*")&gt;0,COUNTIF(I2226,"25*")&gt;0,COUNTIF(J2226,"*25*")&gt;0,COUNTIF(I2226,"26*")&gt;0,COUNTIF(J2226,"*26*")&gt;0,COUNTIF(I2226,"27*")&gt;0,COUNTIF(J2226,"*27*")&gt;0,COUNTIF(I2226,"28*")&gt;0,COUNTIF(J2226,"*28*")&gt;0,COUNTIF(I2226,"29*")&gt;0,COUNTIF(J2226,"*29*")&gt;0,COUNTIF(I2226,"30*")&gt;0,COUNTIF(J2226,"*30*")&gt;0,COUNTIF(I2226,"31*")&gt;0,COUNTIF(J2226,"*31*")&gt;0,COUNTIF(I2226,"32*")&gt;0,COUNTIF(J2226,"*32*")&gt;0,COUNTIF(I2226,"33*")&gt;0,COUNTIF(J2226,"*33*")&gt;0,COUNTIF(I2226,"41*")&gt;0,COUNTIF(J2226,"*41*")&gt;0,COUNTIF(I2226,"42*")&gt;0,COUNTIF(J2226,"*42*")&gt;0,COUNTIF(I2226,"43*")&gt;0,COUNTIF(J2226,"*43*")&gt;0,COUNTIF(I2226,"49*")&gt;0,COUNTIF(J2226,"*49*")&gt;0,COUNTIF(I2226,"52*")&gt;0,COUNTIF(J2226,"*52*")&gt;0,COUNTIF(I2226,"55*")&gt;0,COUNTIF(J2226,"*55*")&gt;0,COUNTIF(I2226,"56*")&gt;0,COUNTIF(J2226,"*56*")&gt;0,COUNTIF(I2226,"68*")&gt;0,COUNTIF(J2226,"*68*")&gt;0,COUNTIF(I2226,"78*")&gt;0,COUNTIF(J2226,"*78*")&gt;0,COUNTIF(I2226,"81*")&gt;0,COUNTIF(J2226,"*81*")&gt;0,COUNTIF(I2226,"82*")&gt;0,COUNTIF(J2226,"*82*")&gt;0,COUNTIF(I2226,"64*")&gt;0,COUNTIF(J2226,"*64*")&gt;0,COUNTIF(I2226,"65*")&gt;0,COUNTIF(J2226,"*65*")&gt;0,COUNTIF(I2226,"66*")&gt;0,COUNTIF(J2226,"*66*")&gt;0,COUNTIF(I2226,"61*")&gt;0,COUNTIF(J2226,"*61*")&gt;0,COUNTIF(I2226,"62*")&gt;0,COUNTIF(J2226,"*62*")&gt;0,COUNTIF(I2226,"63*")&gt;0,COUNTIF(J2226,"*63*")&gt;0,COUNTIF(I2226,"85*")&gt;0,COUNTIF(J2226,"*85*")&gt;0,COUNTIF(I2226,"86*")&gt;0,COUNTIF(J2226,"*86*")&gt;0),"Да","Нет"))</f>
        <v/>
      </c>
      <c r="M2226" s="13">
        <f>IF(OR(G2226="",L2226&lt;&gt;"Да"),"",IF(G2226&lt;=100,"До 100",IF(G2226&lt;=200,"До 200",IF(G2226&lt;=500,"До 500","Отдельное КП"))))</f>
        <v/>
      </c>
      <c r="N2226" s="15">
        <f>IF(OR(G2226="",L2226&lt;&gt;"Да"),"",IF(G2226&lt;=100,33600,IF(G2226&lt;=200,62400,IF(G2226&lt;=500,144000,""))))</f>
        <v/>
      </c>
      <c r="O2226" s="16">
        <f>IF(G2226="","",IF(G2226&lt;=15,"1–15",IF(G2226&lt;=30,"16–30",IF(G2226&lt;=50,"31–50",IF(G2226&lt;=100,"51–100",IF(G2226&lt;=150,"101–150",IF(G2226&lt;=200,"151–200",IF(G2226&lt;=500,"201–500","500+"))))))))</f>
        <v/>
      </c>
      <c r="P2226" s="16" t="inlineStr">
        <is>
          <t>Нет совпадения в предоставленной выгрузке ССЧР</t>
        </is>
      </c>
      <c r="Q2226" s="16" t="n"/>
      <c r="R2226" s="16">
        <f>HYPERLINK("https://checko.ru/search?query=3801001629","Чекко: проверить")</f>
        <v/>
      </c>
      <c r="S2226" t="n">
        <v>0</v>
      </c>
    </row>
    <row r="2227" ht="15" customHeight="1" s="24">
      <c r="A2227" s="13" t="n">
        <v>5000094710</v>
      </c>
      <c r="B2227" s="13" t="inlineStr">
        <is>
          <t>МКОУ СОШ с.п.Безенги</t>
        </is>
      </c>
      <c r="C2227" s="13" t="n">
        <v>706001790</v>
      </c>
      <c r="D2227" s="13" t="n"/>
      <c r="E2227" s="13" t="inlineStr">
        <is>
          <t>Не определён</t>
        </is>
      </c>
      <c r="F2227" s="13" t="inlineStr">
        <is>
          <t>706001790</t>
        </is>
      </c>
      <c r="G2227" s="14" t="n"/>
      <c r="H2227" s="14" t="n"/>
      <c r="I2227" s="14" t="n"/>
      <c r="J2227" s="14" t="n"/>
      <c r="K2227" s="13">
        <f>IF(G2227="","",IF(G2227&gt;=22,"Да","Нет"))</f>
        <v/>
      </c>
      <c r="L2227" s="13">
        <f>IF(OR(I2227="",J2227=""),"Не определено",IF(OR(COUNTIF(I2227,"45*")&gt;0,COUNTIF(J2227,"*45*")&gt;0,COUNTIF(I2227,"46*")&gt;0,COUNTIF(J2227,"*46*")&gt;0,COUNTIF(I2227,"47*")&gt;0,COUNTIF(J2227,"*47*")&gt;0,COUNTIF(I2227,"10*")&gt;0,COUNTIF(J2227,"*10*")&gt;0,COUNTIF(I2227,"11*")&gt;0,COUNTIF(J2227,"*11*")&gt;0,COUNTIF(I2227,"12*")&gt;0,COUNTIF(J2227,"*12*")&gt;0,COUNTIF(I2227,"13*")&gt;0,COUNTIF(J2227,"*13*")&gt;0,COUNTIF(I2227,"14*")&gt;0,COUNTIF(J2227,"*14*")&gt;0,COUNTIF(I2227,"15*")&gt;0,COUNTIF(J2227,"*15*")&gt;0,COUNTIF(I2227,"16*")&gt;0,COUNTIF(J2227,"*16*")&gt;0,COUNTIF(I2227,"17*")&gt;0,COUNTIF(J2227,"*17*")&gt;0,COUNTIF(I2227,"18*")&gt;0,COUNTIF(J2227,"*18*")&gt;0,COUNTIF(I2227,"19*")&gt;0,COUNTIF(J2227,"*19*")&gt;0,COUNTIF(I2227,"20*")&gt;0,COUNTIF(J2227,"*20*")&gt;0,COUNTIF(I2227,"21*")&gt;0,COUNTIF(J2227,"*21*")&gt;0,COUNTIF(I2227,"22*")&gt;0,COUNTIF(J2227,"*22*")&gt;0,COUNTIF(I2227,"23*")&gt;0,COUNTIF(J2227,"*23*")&gt;0,COUNTIF(I2227,"24*")&gt;0,COUNTIF(J2227,"*24*")&gt;0,COUNTIF(I2227,"25*")&gt;0,COUNTIF(J2227,"*25*")&gt;0,COUNTIF(I2227,"26*")&gt;0,COUNTIF(J2227,"*26*")&gt;0,COUNTIF(I2227,"27*")&gt;0,COUNTIF(J2227,"*27*")&gt;0,COUNTIF(I2227,"28*")&gt;0,COUNTIF(J2227,"*28*")&gt;0,COUNTIF(I2227,"29*")&gt;0,COUNTIF(J2227,"*29*")&gt;0,COUNTIF(I2227,"30*")&gt;0,COUNTIF(J2227,"*30*")&gt;0,COUNTIF(I2227,"31*")&gt;0,COUNTIF(J2227,"*31*")&gt;0,COUNTIF(I2227,"32*")&gt;0,COUNTIF(J2227,"*32*")&gt;0,COUNTIF(I2227,"33*")&gt;0,COUNTIF(J2227,"*33*")&gt;0,COUNTIF(I2227,"41*")&gt;0,COUNTIF(J2227,"*41*")&gt;0,COUNTIF(I2227,"42*")&gt;0,COUNTIF(J2227,"*42*")&gt;0,COUNTIF(I2227,"43*")&gt;0,COUNTIF(J2227,"*43*")&gt;0,COUNTIF(I2227,"49*")&gt;0,COUNTIF(J2227,"*49*")&gt;0,COUNTIF(I2227,"52*")&gt;0,COUNTIF(J2227,"*52*")&gt;0,COUNTIF(I2227,"55*")&gt;0,COUNTIF(J2227,"*55*")&gt;0,COUNTIF(I2227,"56*")&gt;0,COUNTIF(J2227,"*56*")&gt;0,COUNTIF(I2227,"68*")&gt;0,COUNTIF(J2227,"*68*")&gt;0,COUNTIF(I2227,"78*")&gt;0,COUNTIF(J2227,"*78*")&gt;0,COUNTIF(I2227,"81*")&gt;0,COUNTIF(J2227,"*81*")&gt;0,COUNTIF(I2227,"82*")&gt;0,COUNTIF(J2227,"*82*")&gt;0,COUNTIF(I2227,"64*")&gt;0,COUNTIF(J2227,"*64*")&gt;0,COUNTIF(I2227,"65*")&gt;0,COUNTIF(J2227,"*65*")&gt;0,COUNTIF(I2227,"66*")&gt;0,COUNTIF(J2227,"*66*")&gt;0,COUNTIF(I2227,"61*")&gt;0,COUNTIF(J2227,"*61*")&gt;0,COUNTIF(I2227,"62*")&gt;0,COUNTIF(J2227,"*62*")&gt;0,COUNTIF(I2227,"63*")&gt;0,COUNTIF(J2227,"*63*")&gt;0,COUNTIF(I2227,"85*")&gt;0,COUNTIF(J2227,"*85*")&gt;0,COUNTIF(I2227,"86*")&gt;0,COUNTIF(J2227,"*86*")&gt;0),"Да","Нет"))</f>
        <v/>
      </c>
      <c r="M2227" s="13">
        <f>IF(OR(G2227="",L2227&lt;&gt;"Да"),"",IF(G2227&lt;=100,"До 100",IF(G2227&lt;=200,"До 200",IF(G2227&lt;=500,"До 500","Отдельное КП"))))</f>
        <v/>
      </c>
      <c r="N2227" s="15">
        <f>IF(OR(G2227="",L2227&lt;&gt;"Да"),"",IF(G2227&lt;=100,33600,IF(G2227&lt;=200,62400,IF(G2227&lt;=500,144000,""))))</f>
        <v/>
      </c>
      <c r="O2227" s="16">
        <f>IF(G2227="","",IF(G2227&lt;=15,"1–15",IF(G2227&lt;=30,"16–30",IF(G2227&lt;=50,"31–50",IF(G2227&lt;=100,"51–100",IF(G2227&lt;=150,"101–150",IF(G2227&lt;=200,"151–200",IF(G2227&lt;=500,"201–500","500+"))))))))</f>
        <v/>
      </c>
      <c r="P2227" s="16" t="inlineStr">
        <is>
          <t>Нет совпадения в предоставленной выгрузке ССЧР</t>
        </is>
      </c>
      <c r="Q2227" s="16" t="n"/>
      <c r="R2227" s="16">
        <f>HYPERLINK("https://checko.ru/search?query=3801001629","Чекко: проверить")</f>
        <v/>
      </c>
      <c r="S2227" t="n">
        <v>0</v>
      </c>
    </row>
    <row r="2228" ht="15" customHeight="1" s="24">
      <c r="A2228" s="13" t="n">
        <v>5000094711</v>
      </c>
      <c r="B2228" s="13" t="inlineStr">
        <is>
          <t>МКОУ СОШ С.П. КАРАСУ</t>
        </is>
      </c>
      <c r="C2228" s="13" t="n">
        <v>706001800</v>
      </c>
      <c r="D2228" s="13" t="n"/>
      <c r="E2228" s="13" t="inlineStr">
        <is>
          <t>Не определён</t>
        </is>
      </c>
      <c r="F2228" s="13" t="inlineStr">
        <is>
          <t>706001800</t>
        </is>
      </c>
      <c r="G2228" s="14" t="n"/>
      <c r="H2228" s="14" t="n"/>
      <c r="I2228" s="14" t="n"/>
      <c r="J2228" s="14" t="n"/>
      <c r="K2228" s="13">
        <f>IF(G2228="","",IF(G2228&gt;=22,"Да","Нет"))</f>
        <v/>
      </c>
      <c r="L2228" s="13">
        <f>IF(OR(I2228="",J2228=""),"Не определено",IF(OR(COUNTIF(I2228,"45*")&gt;0,COUNTIF(J2228,"*45*")&gt;0,COUNTIF(I2228,"46*")&gt;0,COUNTIF(J2228,"*46*")&gt;0,COUNTIF(I2228,"47*")&gt;0,COUNTIF(J2228,"*47*")&gt;0,COUNTIF(I2228,"10*")&gt;0,COUNTIF(J2228,"*10*")&gt;0,COUNTIF(I2228,"11*")&gt;0,COUNTIF(J2228,"*11*")&gt;0,COUNTIF(I2228,"12*")&gt;0,COUNTIF(J2228,"*12*")&gt;0,COUNTIF(I2228,"13*")&gt;0,COUNTIF(J2228,"*13*")&gt;0,COUNTIF(I2228,"14*")&gt;0,COUNTIF(J2228,"*14*")&gt;0,COUNTIF(I2228,"15*")&gt;0,COUNTIF(J2228,"*15*")&gt;0,COUNTIF(I2228,"16*")&gt;0,COUNTIF(J2228,"*16*")&gt;0,COUNTIF(I2228,"17*")&gt;0,COUNTIF(J2228,"*17*")&gt;0,COUNTIF(I2228,"18*")&gt;0,COUNTIF(J2228,"*18*")&gt;0,COUNTIF(I2228,"19*")&gt;0,COUNTIF(J2228,"*19*")&gt;0,COUNTIF(I2228,"20*")&gt;0,COUNTIF(J2228,"*20*")&gt;0,COUNTIF(I2228,"21*")&gt;0,COUNTIF(J2228,"*21*")&gt;0,COUNTIF(I2228,"22*")&gt;0,COUNTIF(J2228,"*22*")&gt;0,COUNTIF(I2228,"23*")&gt;0,COUNTIF(J2228,"*23*")&gt;0,COUNTIF(I2228,"24*")&gt;0,COUNTIF(J2228,"*24*")&gt;0,COUNTIF(I2228,"25*")&gt;0,COUNTIF(J2228,"*25*")&gt;0,COUNTIF(I2228,"26*")&gt;0,COUNTIF(J2228,"*26*")&gt;0,COUNTIF(I2228,"27*")&gt;0,COUNTIF(J2228,"*27*")&gt;0,COUNTIF(I2228,"28*")&gt;0,COUNTIF(J2228,"*28*")&gt;0,COUNTIF(I2228,"29*")&gt;0,COUNTIF(J2228,"*29*")&gt;0,COUNTIF(I2228,"30*")&gt;0,COUNTIF(J2228,"*30*")&gt;0,COUNTIF(I2228,"31*")&gt;0,COUNTIF(J2228,"*31*")&gt;0,COUNTIF(I2228,"32*")&gt;0,COUNTIF(J2228,"*32*")&gt;0,COUNTIF(I2228,"33*")&gt;0,COUNTIF(J2228,"*33*")&gt;0,COUNTIF(I2228,"41*")&gt;0,COUNTIF(J2228,"*41*")&gt;0,COUNTIF(I2228,"42*")&gt;0,COUNTIF(J2228,"*42*")&gt;0,COUNTIF(I2228,"43*")&gt;0,COUNTIF(J2228,"*43*")&gt;0,COUNTIF(I2228,"49*")&gt;0,COUNTIF(J2228,"*49*")&gt;0,COUNTIF(I2228,"52*")&gt;0,COUNTIF(J2228,"*52*")&gt;0,COUNTIF(I2228,"55*")&gt;0,COUNTIF(J2228,"*55*")&gt;0,COUNTIF(I2228,"56*")&gt;0,COUNTIF(J2228,"*56*")&gt;0,COUNTIF(I2228,"68*")&gt;0,COUNTIF(J2228,"*68*")&gt;0,COUNTIF(I2228,"78*")&gt;0,COUNTIF(J2228,"*78*")&gt;0,COUNTIF(I2228,"81*")&gt;0,COUNTIF(J2228,"*81*")&gt;0,COUNTIF(I2228,"82*")&gt;0,COUNTIF(J2228,"*82*")&gt;0,COUNTIF(I2228,"64*")&gt;0,COUNTIF(J2228,"*64*")&gt;0,COUNTIF(I2228,"65*")&gt;0,COUNTIF(J2228,"*65*")&gt;0,COUNTIF(I2228,"66*")&gt;0,COUNTIF(J2228,"*66*")&gt;0,COUNTIF(I2228,"61*")&gt;0,COUNTIF(J2228,"*61*")&gt;0,COUNTIF(I2228,"62*")&gt;0,COUNTIF(J2228,"*62*")&gt;0,COUNTIF(I2228,"63*")&gt;0,COUNTIF(J2228,"*63*")&gt;0,COUNTIF(I2228,"85*")&gt;0,COUNTIF(J2228,"*85*")&gt;0,COUNTIF(I2228,"86*")&gt;0,COUNTIF(J2228,"*86*")&gt;0),"Да","Нет"))</f>
        <v/>
      </c>
      <c r="M2228" s="13">
        <f>IF(OR(G2228="",L2228&lt;&gt;"Да"),"",IF(G2228&lt;=100,"До 100",IF(G2228&lt;=200,"До 200",IF(G2228&lt;=500,"До 500","Отдельное КП"))))</f>
        <v/>
      </c>
      <c r="N2228" s="15">
        <f>IF(OR(G2228="",L2228&lt;&gt;"Да"),"",IF(G2228&lt;=100,33600,IF(G2228&lt;=200,62400,IF(G2228&lt;=500,144000,""))))</f>
        <v/>
      </c>
      <c r="O2228" s="16">
        <f>IF(G2228="","",IF(G2228&lt;=15,"1–15",IF(G2228&lt;=30,"16–30",IF(G2228&lt;=50,"31–50",IF(G2228&lt;=100,"51–100",IF(G2228&lt;=150,"101–150",IF(G2228&lt;=200,"151–200",IF(G2228&lt;=500,"201–500","500+"))))))))</f>
        <v/>
      </c>
      <c r="P2228" s="16" t="inlineStr">
        <is>
          <t>Нет совпадения в предоставленной выгрузке ССЧР</t>
        </is>
      </c>
      <c r="Q2228" s="16" t="n"/>
      <c r="R2228" s="16">
        <f>HYPERLINK("https://checko.ru/search?query=3801001629","Чекко: проверить")</f>
        <v/>
      </c>
      <c r="S2228" t="n">
        <v>0</v>
      </c>
    </row>
    <row r="2229" ht="15" customHeight="1" s="24">
      <c r="A2229" s="13" t="n">
        <v>5000094712</v>
      </c>
      <c r="B2229" s="13" t="inlineStr">
        <is>
          <t>МКОУ СОШ №2 с.п.Жемтала</t>
        </is>
      </c>
      <c r="C2229" s="13" t="n">
        <v>706001817</v>
      </c>
      <c r="D2229" s="13" t="n"/>
      <c r="E2229" s="13" t="inlineStr">
        <is>
          <t>Не определён</t>
        </is>
      </c>
      <c r="F2229" s="13" t="inlineStr">
        <is>
          <t>706001817</t>
        </is>
      </c>
      <c r="G2229" s="14" t="n"/>
      <c r="H2229" s="14" t="n"/>
      <c r="I2229" s="14" t="n"/>
      <c r="J2229" s="14" t="n"/>
      <c r="K2229" s="13">
        <f>IF(G2229="","",IF(G2229&gt;=22,"Да","Нет"))</f>
        <v/>
      </c>
      <c r="L2229" s="13">
        <f>IF(OR(I2229="",J2229=""),"Не определено",IF(OR(COUNTIF(I2229,"45*")&gt;0,COUNTIF(J2229,"*45*")&gt;0,COUNTIF(I2229,"46*")&gt;0,COUNTIF(J2229,"*46*")&gt;0,COUNTIF(I2229,"47*")&gt;0,COUNTIF(J2229,"*47*")&gt;0,COUNTIF(I2229,"10*")&gt;0,COUNTIF(J2229,"*10*")&gt;0,COUNTIF(I2229,"11*")&gt;0,COUNTIF(J2229,"*11*")&gt;0,COUNTIF(I2229,"12*")&gt;0,COUNTIF(J2229,"*12*")&gt;0,COUNTIF(I2229,"13*")&gt;0,COUNTIF(J2229,"*13*")&gt;0,COUNTIF(I2229,"14*")&gt;0,COUNTIF(J2229,"*14*")&gt;0,COUNTIF(I2229,"15*")&gt;0,COUNTIF(J2229,"*15*")&gt;0,COUNTIF(I2229,"16*")&gt;0,COUNTIF(J2229,"*16*")&gt;0,COUNTIF(I2229,"17*")&gt;0,COUNTIF(J2229,"*17*")&gt;0,COUNTIF(I2229,"18*")&gt;0,COUNTIF(J2229,"*18*")&gt;0,COUNTIF(I2229,"19*")&gt;0,COUNTIF(J2229,"*19*")&gt;0,COUNTIF(I2229,"20*")&gt;0,COUNTIF(J2229,"*20*")&gt;0,COUNTIF(I2229,"21*")&gt;0,COUNTIF(J2229,"*21*")&gt;0,COUNTIF(I2229,"22*")&gt;0,COUNTIF(J2229,"*22*")&gt;0,COUNTIF(I2229,"23*")&gt;0,COUNTIF(J2229,"*23*")&gt;0,COUNTIF(I2229,"24*")&gt;0,COUNTIF(J2229,"*24*")&gt;0,COUNTIF(I2229,"25*")&gt;0,COUNTIF(J2229,"*25*")&gt;0,COUNTIF(I2229,"26*")&gt;0,COUNTIF(J2229,"*26*")&gt;0,COUNTIF(I2229,"27*")&gt;0,COUNTIF(J2229,"*27*")&gt;0,COUNTIF(I2229,"28*")&gt;0,COUNTIF(J2229,"*28*")&gt;0,COUNTIF(I2229,"29*")&gt;0,COUNTIF(J2229,"*29*")&gt;0,COUNTIF(I2229,"30*")&gt;0,COUNTIF(J2229,"*30*")&gt;0,COUNTIF(I2229,"31*")&gt;0,COUNTIF(J2229,"*31*")&gt;0,COUNTIF(I2229,"32*")&gt;0,COUNTIF(J2229,"*32*")&gt;0,COUNTIF(I2229,"33*")&gt;0,COUNTIF(J2229,"*33*")&gt;0,COUNTIF(I2229,"41*")&gt;0,COUNTIF(J2229,"*41*")&gt;0,COUNTIF(I2229,"42*")&gt;0,COUNTIF(J2229,"*42*")&gt;0,COUNTIF(I2229,"43*")&gt;0,COUNTIF(J2229,"*43*")&gt;0,COUNTIF(I2229,"49*")&gt;0,COUNTIF(J2229,"*49*")&gt;0,COUNTIF(I2229,"52*")&gt;0,COUNTIF(J2229,"*52*")&gt;0,COUNTIF(I2229,"55*")&gt;0,COUNTIF(J2229,"*55*")&gt;0,COUNTIF(I2229,"56*")&gt;0,COUNTIF(J2229,"*56*")&gt;0,COUNTIF(I2229,"68*")&gt;0,COUNTIF(J2229,"*68*")&gt;0,COUNTIF(I2229,"78*")&gt;0,COUNTIF(J2229,"*78*")&gt;0,COUNTIF(I2229,"81*")&gt;0,COUNTIF(J2229,"*81*")&gt;0,COUNTIF(I2229,"82*")&gt;0,COUNTIF(J2229,"*82*")&gt;0,COUNTIF(I2229,"64*")&gt;0,COUNTIF(J2229,"*64*")&gt;0,COUNTIF(I2229,"65*")&gt;0,COUNTIF(J2229,"*65*")&gt;0,COUNTIF(I2229,"66*")&gt;0,COUNTIF(J2229,"*66*")&gt;0,COUNTIF(I2229,"61*")&gt;0,COUNTIF(J2229,"*61*")&gt;0,COUNTIF(I2229,"62*")&gt;0,COUNTIF(J2229,"*62*")&gt;0,COUNTIF(I2229,"63*")&gt;0,COUNTIF(J2229,"*63*")&gt;0,COUNTIF(I2229,"85*")&gt;0,COUNTIF(J2229,"*85*")&gt;0,COUNTIF(I2229,"86*")&gt;0,COUNTIF(J2229,"*86*")&gt;0),"Да","Нет"))</f>
        <v/>
      </c>
      <c r="M2229" s="13">
        <f>IF(OR(G2229="",L2229&lt;&gt;"Да"),"",IF(G2229&lt;=100,"До 100",IF(G2229&lt;=200,"До 200",IF(G2229&lt;=500,"До 500","Отдельное КП"))))</f>
        <v/>
      </c>
      <c r="N2229" s="15">
        <f>IF(OR(G2229="",L2229&lt;&gt;"Да"),"",IF(G2229&lt;=100,33600,IF(G2229&lt;=200,62400,IF(G2229&lt;=500,144000,""))))</f>
        <v/>
      </c>
      <c r="O2229" s="16">
        <f>IF(G2229="","",IF(G2229&lt;=15,"1–15",IF(G2229&lt;=30,"16–30",IF(G2229&lt;=50,"31–50",IF(G2229&lt;=100,"51–100",IF(G2229&lt;=150,"101–150",IF(G2229&lt;=200,"151–200",IF(G2229&lt;=500,"201–500","500+"))))))))</f>
        <v/>
      </c>
      <c r="P2229" s="16" t="inlineStr">
        <is>
          <t>Нет совпадения в предоставленной выгрузке ССЧР</t>
        </is>
      </c>
      <c r="Q2229" s="16" t="n"/>
      <c r="R2229" s="16">
        <f>HYPERLINK("https://checko.ru/search?query=3801001629","Чекко: проверить")</f>
        <v/>
      </c>
      <c r="S2229" t="n">
        <v>0</v>
      </c>
    </row>
    <row r="2230" ht="15" customHeight="1" s="24">
      <c r="A2230" s="13" t="n">
        <v>5000094713</v>
      </c>
      <c r="B2230" s="13" t="inlineStr">
        <is>
          <t>МКОУ СОШ с.п.В.Жемтала</t>
        </is>
      </c>
      <c r="C2230" s="13" t="n">
        <v>706001824</v>
      </c>
      <c r="D2230" s="13" t="n"/>
      <c r="E2230" s="13" t="inlineStr">
        <is>
          <t>Не определён</t>
        </is>
      </c>
      <c r="F2230" s="13" t="inlineStr">
        <is>
          <t>706001824</t>
        </is>
      </c>
      <c r="G2230" s="14" t="n"/>
      <c r="H2230" s="14" t="n"/>
      <c r="I2230" s="14" t="n"/>
      <c r="J2230" s="14" t="n"/>
      <c r="K2230" s="13">
        <f>IF(G2230="","",IF(G2230&gt;=22,"Да","Нет"))</f>
        <v/>
      </c>
      <c r="L2230" s="13">
        <f>IF(OR(I2230="",J2230=""),"Не определено",IF(OR(COUNTIF(I2230,"45*")&gt;0,COUNTIF(J2230,"*45*")&gt;0,COUNTIF(I2230,"46*")&gt;0,COUNTIF(J2230,"*46*")&gt;0,COUNTIF(I2230,"47*")&gt;0,COUNTIF(J2230,"*47*")&gt;0,COUNTIF(I2230,"10*")&gt;0,COUNTIF(J2230,"*10*")&gt;0,COUNTIF(I2230,"11*")&gt;0,COUNTIF(J2230,"*11*")&gt;0,COUNTIF(I2230,"12*")&gt;0,COUNTIF(J2230,"*12*")&gt;0,COUNTIF(I2230,"13*")&gt;0,COUNTIF(J2230,"*13*")&gt;0,COUNTIF(I2230,"14*")&gt;0,COUNTIF(J2230,"*14*")&gt;0,COUNTIF(I2230,"15*")&gt;0,COUNTIF(J2230,"*15*")&gt;0,COUNTIF(I2230,"16*")&gt;0,COUNTIF(J2230,"*16*")&gt;0,COUNTIF(I2230,"17*")&gt;0,COUNTIF(J2230,"*17*")&gt;0,COUNTIF(I2230,"18*")&gt;0,COUNTIF(J2230,"*18*")&gt;0,COUNTIF(I2230,"19*")&gt;0,COUNTIF(J2230,"*19*")&gt;0,COUNTIF(I2230,"20*")&gt;0,COUNTIF(J2230,"*20*")&gt;0,COUNTIF(I2230,"21*")&gt;0,COUNTIF(J2230,"*21*")&gt;0,COUNTIF(I2230,"22*")&gt;0,COUNTIF(J2230,"*22*")&gt;0,COUNTIF(I2230,"23*")&gt;0,COUNTIF(J2230,"*23*")&gt;0,COUNTIF(I2230,"24*")&gt;0,COUNTIF(J2230,"*24*")&gt;0,COUNTIF(I2230,"25*")&gt;0,COUNTIF(J2230,"*25*")&gt;0,COUNTIF(I2230,"26*")&gt;0,COUNTIF(J2230,"*26*")&gt;0,COUNTIF(I2230,"27*")&gt;0,COUNTIF(J2230,"*27*")&gt;0,COUNTIF(I2230,"28*")&gt;0,COUNTIF(J2230,"*28*")&gt;0,COUNTIF(I2230,"29*")&gt;0,COUNTIF(J2230,"*29*")&gt;0,COUNTIF(I2230,"30*")&gt;0,COUNTIF(J2230,"*30*")&gt;0,COUNTIF(I2230,"31*")&gt;0,COUNTIF(J2230,"*31*")&gt;0,COUNTIF(I2230,"32*")&gt;0,COUNTIF(J2230,"*32*")&gt;0,COUNTIF(I2230,"33*")&gt;0,COUNTIF(J2230,"*33*")&gt;0,COUNTIF(I2230,"41*")&gt;0,COUNTIF(J2230,"*41*")&gt;0,COUNTIF(I2230,"42*")&gt;0,COUNTIF(J2230,"*42*")&gt;0,COUNTIF(I2230,"43*")&gt;0,COUNTIF(J2230,"*43*")&gt;0,COUNTIF(I2230,"49*")&gt;0,COUNTIF(J2230,"*49*")&gt;0,COUNTIF(I2230,"52*")&gt;0,COUNTIF(J2230,"*52*")&gt;0,COUNTIF(I2230,"55*")&gt;0,COUNTIF(J2230,"*55*")&gt;0,COUNTIF(I2230,"56*")&gt;0,COUNTIF(J2230,"*56*")&gt;0,COUNTIF(I2230,"68*")&gt;0,COUNTIF(J2230,"*68*")&gt;0,COUNTIF(I2230,"78*")&gt;0,COUNTIF(J2230,"*78*")&gt;0,COUNTIF(I2230,"81*")&gt;0,COUNTIF(J2230,"*81*")&gt;0,COUNTIF(I2230,"82*")&gt;0,COUNTIF(J2230,"*82*")&gt;0,COUNTIF(I2230,"64*")&gt;0,COUNTIF(J2230,"*64*")&gt;0,COUNTIF(I2230,"65*")&gt;0,COUNTIF(J2230,"*65*")&gt;0,COUNTIF(I2230,"66*")&gt;0,COUNTIF(J2230,"*66*")&gt;0,COUNTIF(I2230,"61*")&gt;0,COUNTIF(J2230,"*61*")&gt;0,COUNTIF(I2230,"62*")&gt;0,COUNTIF(J2230,"*62*")&gt;0,COUNTIF(I2230,"63*")&gt;0,COUNTIF(J2230,"*63*")&gt;0,COUNTIF(I2230,"85*")&gt;0,COUNTIF(J2230,"*85*")&gt;0,COUNTIF(I2230,"86*")&gt;0,COUNTIF(J2230,"*86*")&gt;0),"Да","Нет"))</f>
        <v/>
      </c>
      <c r="M2230" s="13">
        <f>IF(OR(G2230="",L2230&lt;&gt;"Да"),"",IF(G2230&lt;=100,"До 100",IF(G2230&lt;=200,"До 200",IF(G2230&lt;=500,"До 500","Отдельное КП"))))</f>
        <v/>
      </c>
      <c r="N2230" s="15">
        <f>IF(OR(G2230="",L2230&lt;&gt;"Да"),"",IF(G2230&lt;=100,33600,IF(G2230&lt;=200,62400,IF(G2230&lt;=500,144000,""))))</f>
        <v/>
      </c>
      <c r="O2230" s="16">
        <f>IF(G2230="","",IF(G2230&lt;=15,"1–15",IF(G2230&lt;=30,"16–30",IF(G2230&lt;=50,"31–50",IF(G2230&lt;=100,"51–100",IF(G2230&lt;=150,"101–150",IF(G2230&lt;=200,"151–200",IF(G2230&lt;=500,"201–500","500+"))))))))</f>
        <v/>
      </c>
      <c r="P2230" s="16" t="inlineStr">
        <is>
          <t>Нет совпадения в предоставленной выгрузке ССЧР</t>
        </is>
      </c>
      <c r="Q2230" s="16" t="n"/>
      <c r="R2230" s="16">
        <f>HYPERLINK("https://checko.ru/search?query=3801001629","Чекко: проверить")</f>
        <v/>
      </c>
      <c r="S2230" t="n">
        <v>0</v>
      </c>
    </row>
    <row r="2231" ht="15" customHeight="1" s="24">
      <c r="A2231" s="13" t="n">
        <v>5000094714</v>
      </c>
      <c r="B2231" s="13" t="inlineStr">
        <is>
          <t>МКУ "УФ Черекского района"</t>
        </is>
      </c>
      <c r="C2231" s="13" t="n">
        <v>706001937</v>
      </c>
      <c r="D2231" s="13" t="n"/>
      <c r="E2231" s="13" t="inlineStr">
        <is>
          <t>Не определён</t>
        </is>
      </c>
      <c r="F2231" s="13" t="inlineStr">
        <is>
          <t>706001937</t>
        </is>
      </c>
      <c r="G2231" s="14" t="n"/>
      <c r="H2231" s="14" t="n"/>
      <c r="I2231" s="14" t="n"/>
      <c r="J2231" s="14" t="n"/>
      <c r="K2231" s="13">
        <f>IF(G2231="","",IF(G2231&gt;=22,"Да","Нет"))</f>
        <v/>
      </c>
      <c r="L2231" s="13">
        <f>IF(OR(I2231="",J2231=""),"Не определено",IF(OR(COUNTIF(I2231,"45*")&gt;0,COUNTIF(J2231,"*45*")&gt;0,COUNTIF(I2231,"46*")&gt;0,COUNTIF(J2231,"*46*")&gt;0,COUNTIF(I2231,"47*")&gt;0,COUNTIF(J2231,"*47*")&gt;0,COUNTIF(I2231,"10*")&gt;0,COUNTIF(J2231,"*10*")&gt;0,COUNTIF(I2231,"11*")&gt;0,COUNTIF(J2231,"*11*")&gt;0,COUNTIF(I2231,"12*")&gt;0,COUNTIF(J2231,"*12*")&gt;0,COUNTIF(I2231,"13*")&gt;0,COUNTIF(J2231,"*13*")&gt;0,COUNTIF(I2231,"14*")&gt;0,COUNTIF(J2231,"*14*")&gt;0,COUNTIF(I2231,"15*")&gt;0,COUNTIF(J2231,"*15*")&gt;0,COUNTIF(I2231,"16*")&gt;0,COUNTIF(J2231,"*16*")&gt;0,COUNTIF(I2231,"17*")&gt;0,COUNTIF(J2231,"*17*")&gt;0,COUNTIF(I2231,"18*")&gt;0,COUNTIF(J2231,"*18*")&gt;0,COUNTIF(I2231,"19*")&gt;0,COUNTIF(J2231,"*19*")&gt;0,COUNTIF(I2231,"20*")&gt;0,COUNTIF(J2231,"*20*")&gt;0,COUNTIF(I2231,"21*")&gt;0,COUNTIF(J2231,"*21*")&gt;0,COUNTIF(I2231,"22*")&gt;0,COUNTIF(J2231,"*22*")&gt;0,COUNTIF(I2231,"23*")&gt;0,COUNTIF(J2231,"*23*")&gt;0,COUNTIF(I2231,"24*")&gt;0,COUNTIF(J2231,"*24*")&gt;0,COUNTIF(I2231,"25*")&gt;0,COUNTIF(J2231,"*25*")&gt;0,COUNTIF(I2231,"26*")&gt;0,COUNTIF(J2231,"*26*")&gt;0,COUNTIF(I2231,"27*")&gt;0,COUNTIF(J2231,"*27*")&gt;0,COUNTIF(I2231,"28*")&gt;0,COUNTIF(J2231,"*28*")&gt;0,COUNTIF(I2231,"29*")&gt;0,COUNTIF(J2231,"*29*")&gt;0,COUNTIF(I2231,"30*")&gt;0,COUNTIF(J2231,"*30*")&gt;0,COUNTIF(I2231,"31*")&gt;0,COUNTIF(J2231,"*31*")&gt;0,COUNTIF(I2231,"32*")&gt;0,COUNTIF(J2231,"*32*")&gt;0,COUNTIF(I2231,"33*")&gt;0,COUNTIF(J2231,"*33*")&gt;0,COUNTIF(I2231,"41*")&gt;0,COUNTIF(J2231,"*41*")&gt;0,COUNTIF(I2231,"42*")&gt;0,COUNTIF(J2231,"*42*")&gt;0,COUNTIF(I2231,"43*")&gt;0,COUNTIF(J2231,"*43*")&gt;0,COUNTIF(I2231,"49*")&gt;0,COUNTIF(J2231,"*49*")&gt;0,COUNTIF(I2231,"52*")&gt;0,COUNTIF(J2231,"*52*")&gt;0,COUNTIF(I2231,"55*")&gt;0,COUNTIF(J2231,"*55*")&gt;0,COUNTIF(I2231,"56*")&gt;0,COUNTIF(J2231,"*56*")&gt;0,COUNTIF(I2231,"68*")&gt;0,COUNTIF(J2231,"*68*")&gt;0,COUNTIF(I2231,"78*")&gt;0,COUNTIF(J2231,"*78*")&gt;0,COUNTIF(I2231,"81*")&gt;0,COUNTIF(J2231,"*81*")&gt;0,COUNTIF(I2231,"82*")&gt;0,COUNTIF(J2231,"*82*")&gt;0,COUNTIF(I2231,"64*")&gt;0,COUNTIF(J2231,"*64*")&gt;0,COUNTIF(I2231,"65*")&gt;0,COUNTIF(J2231,"*65*")&gt;0,COUNTIF(I2231,"66*")&gt;0,COUNTIF(J2231,"*66*")&gt;0,COUNTIF(I2231,"61*")&gt;0,COUNTIF(J2231,"*61*")&gt;0,COUNTIF(I2231,"62*")&gt;0,COUNTIF(J2231,"*62*")&gt;0,COUNTIF(I2231,"63*")&gt;0,COUNTIF(J2231,"*63*")&gt;0,COUNTIF(I2231,"85*")&gt;0,COUNTIF(J2231,"*85*")&gt;0,COUNTIF(I2231,"86*")&gt;0,COUNTIF(J2231,"*86*")&gt;0),"Да","Нет"))</f>
        <v/>
      </c>
      <c r="M2231" s="13">
        <f>IF(OR(G2231="",L2231&lt;&gt;"Да"),"",IF(G2231&lt;=100,"До 100",IF(G2231&lt;=200,"До 200",IF(G2231&lt;=500,"До 500","Отдельное КП"))))</f>
        <v/>
      </c>
      <c r="N2231" s="15">
        <f>IF(OR(G2231="",L2231&lt;&gt;"Да"),"",IF(G2231&lt;=100,33600,IF(G2231&lt;=200,62400,IF(G2231&lt;=500,144000,""))))</f>
        <v/>
      </c>
      <c r="O2231" s="16">
        <f>IF(G2231="","",IF(G2231&lt;=15,"1–15",IF(G2231&lt;=30,"16–30",IF(G2231&lt;=50,"31–50",IF(G2231&lt;=100,"51–100",IF(G2231&lt;=150,"101–150",IF(G2231&lt;=200,"151–200",IF(G2231&lt;=500,"201–500","500+"))))))))</f>
        <v/>
      </c>
      <c r="P2231" s="16" t="inlineStr">
        <is>
          <t>Нет совпадения в предоставленной выгрузке ССЧР</t>
        </is>
      </c>
      <c r="Q2231" s="16" t="n"/>
      <c r="R2231" s="16">
        <f>HYPERLINK("https://checko.ru/search?query=3801001629","Чекко: проверить")</f>
        <v/>
      </c>
      <c r="S2231" t="n">
        <v>0</v>
      </c>
    </row>
    <row r="2232" ht="15" customHeight="1" s="24">
      <c r="A2232" s="13" t="n">
        <v>5000094830</v>
      </c>
      <c r="B2232" s="13" t="inlineStr">
        <is>
          <t>МКУ ДК с.п. Анзорей</t>
        </is>
      </c>
      <c r="C2232" s="13" t="n">
        <v>707013950</v>
      </c>
      <c r="D2232" s="13" t="n"/>
      <c r="E2232" s="13" t="inlineStr">
        <is>
          <t>Не определён</t>
        </is>
      </c>
      <c r="F2232" s="13" t="inlineStr">
        <is>
          <t>707013950</t>
        </is>
      </c>
      <c r="G2232" s="14" t="n"/>
      <c r="H2232" s="14" t="n"/>
      <c r="I2232" s="14" t="n"/>
      <c r="J2232" s="14" t="n"/>
      <c r="K2232" s="13">
        <f>IF(G2232="","",IF(G2232&gt;=22,"Да","Нет"))</f>
        <v/>
      </c>
      <c r="L2232" s="13">
        <f>IF(OR(I2232="",J2232=""),"Не определено",IF(OR(COUNTIF(I2232,"45*")&gt;0,COUNTIF(J2232,"*45*")&gt;0,COUNTIF(I2232,"46*")&gt;0,COUNTIF(J2232,"*46*")&gt;0,COUNTIF(I2232,"47*")&gt;0,COUNTIF(J2232,"*47*")&gt;0,COUNTIF(I2232,"10*")&gt;0,COUNTIF(J2232,"*10*")&gt;0,COUNTIF(I2232,"11*")&gt;0,COUNTIF(J2232,"*11*")&gt;0,COUNTIF(I2232,"12*")&gt;0,COUNTIF(J2232,"*12*")&gt;0,COUNTIF(I2232,"13*")&gt;0,COUNTIF(J2232,"*13*")&gt;0,COUNTIF(I2232,"14*")&gt;0,COUNTIF(J2232,"*14*")&gt;0,COUNTIF(I2232,"15*")&gt;0,COUNTIF(J2232,"*15*")&gt;0,COUNTIF(I2232,"16*")&gt;0,COUNTIF(J2232,"*16*")&gt;0,COUNTIF(I2232,"17*")&gt;0,COUNTIF(J2232,"*17*")&gt;0,COUNTIF(I2232,"18*")&gt;0,COUNTIF(J2232,"*18*")&gt;0,COUNTIF(I2232,"19*")&gt;0,COUNTIF(J2232,"*19*")&gt;0,COUNTIF(I2232,"20*")&gt;0,COUNTIF(J2232,"*20*")&gt;0,COUNTIF(I2232,"21*")&gt;0,COUNTIF(J2232,"*21*")&gt;0,COUNTIF(I2232,"22*")&gt;0,COUNTIF(J2232,"*22*")&gt;0,COUNTIF(I2232,"23*")&gt;0,COUNTIF(J2232,"*23*")&gt;0,COUNTIF(I2232,"24*")&gt;0,COUNTIF(J2232,"*24*")&gt;0,COUNTIF(I2232,"25*")&gt;0,COUNTIF(J2232,"*25*")&gt;0,COUNTIF(I2232,"26*")&gt;0,COUNTIF(J2232,"*26*")&gt;0,COUNTIF(I2232,"27*")&gt;0,COUNTIF(J2232,"*27*")&gt;0,COUNTIF(I2232,"28*")&gt;0,COUNTIF(J2232,"*28*")&gt;0,COUNTIF(I2232,"29*")&gt;0,COUNTIF(J2232,"*29*")&gt;0,COUNTIF(I2232,"30*")&gt;0,COUNTIF(J2232,"*30*")&gt;0,COUNTIF(I2232,"31*")&gt;0,COUNTIF(J2232,"*31*")&gt;0,COUNTIF(I2232,"32*")&gt;0,COUNTIF(J2232,"*32*")&gt;0,COUNTIF(I2232,"33*")&gt;0,COUNTIF(J2232,"*33*")&gt;0,COUNTIF(I2232,"41*")&gt;0,COUNTIF(J2232,"*41*")&gt;0,COUNTIF(I2232,"42*")&gt;0,COUNTIF(J2232,"*42*")&gt;0,COUNTIF(I2232,"43*")&gt;0,COUNTIF(J2232,"*43*")&gt;0,COUNTIF(I2232,"49*")&gt;0,COUNTIF(J2232,"*49*")&gt;0,COUNTIF(I2232,"52*")&gt;0,COUNTIF(J2232,"*52*")&gt;0,COUNTIF(I2232,"55*")&gt;0,COUNTIF(J2232,"*55*")&gt;0,COUNTIF(I2232,"56*")&gt;0,COUNTIF(J2232,"*56*")&gt;0,COUNTIF(I2232,"68*")&gt;0,COUNTIF(J2232,"*68*")&gt;0,COUNTIF(I2232,"78*")&gt;0,COUNTIF(J2232,"*78*")&gt;0,COUNTIF(I2232,"81*")&gt;0,COUNTIF(J2232,"*81*")&gt;0,COUNTIF(I2232,"82*")&gt;0,COUNTIF(J2232,"*82*")&gt;0,COUNTIF(I2232,"64*")&gt;0,COUNTIF(J2232,"*64*")&gt;0,COUNTIF(I2232,"65*")&gt;0,COUNTIF(J2232,"*65*")&gt;0,COUNTIF(I2232,"66*")&gt;0,COUNTIF(J2232,"*66*")&gt;0,COUNTIF(I2232,"61*")&gt;0,COUNTIF(J2232,"*61*")&gt;0,COUNTIF(I2232,"62*")&gt;0,COUNTIF(J2232,"*62*")&gt;0,COUNTIF(I2232,"63*")&gt;0,COUNTIF(J2232,"*63*")&gt;0,COUNTIF(I2232,"85*")&gt;0,COUNTIF(J2232,"*85*")&gt;0,COUNTIF(I2232,"86*")&gt;0,COUNTIF(J2232,"*86*")&gt;0),"Да","Нет"))</f>
        <v/>
      </c>
      <c r="M2232" s="13">
        <f>IF(OR(G2232="",L2232&lt;&gt;"Да"),"",IF(G2232&lt;=100,"До 100",IF(G2232&lt;=200,"До 200",IF(G2232&lt;=500,"До 500","Отдельное КП"))))</f>
        <v/>
      </c>
      <c r="N2232" s="15">
        <f>IF(OR(G2232="",L2232&lt;&gt;"Да"),"",IF(G2232&lt;=100,33600,IF(G2232&lt;=200,62400,IF(G2232&lt;=500,144000,""))))</f>
        <v/>
      </c>
      <c r="O2232" s="16">
        <f>IF(G2232="","",IF(G2232&lt;=15,"1–15",IF(G2232&lt;=30,"16–30",IF(G2232&lt;=50,"31–50",IF(G2232&lt;=100,"51–100",IF(G2232&lt;=150,"101–150",IF(G2232&lt;=200,"151–200",IF(G2232&lt;=500,"201–500","500+"))))))))</f>
        <v/>
      </c>
      <c r="P2232" s="16" t="inlineStr">
        <is>
          <t>Нет совпадения в предоставленной выгрузке ССЧР</t>
        </is>
      </c>
      <c r="Q2232" s="16" t="n"/>
      <c r="R2232" s="16">
        <f>HYPERLINK("https://checko.ru/search?query=3801001629","Чекко: проверить")</f>
        <v/>
      </c>
      <c r="S2232" t="n">
        <v>0</v>
      </c>
    </row>
    <row r="2233" ht="15" customHeight="1" s="24">
      <c r="A2233" s="13" t="n">
        <v>5000094848</v>
      </c>
      <c r="B2233" s="13" t="inlineStr">
        <is>
          <t>МКОУ СОШ №3 г.п.Чегем</t>
        </is>
      </c>
      <c r="C2233" s="13" t="n">
        <v>708003792</v>
      </c>
      <c r="D2233" s="13" t="n"/>
      <c r="E2233" s="13" t="inlineStr">
        <is>
          <t>Не определён</t>
        </is>
      </c>
      <c r="F2233" s="13" t="inlineStr">
        <is>
          <t>708003792</t>
        </is>
      </c>
      <c r="G2233" s="14" t="n"/>
      <c r="H2233" s="14" t="n"/>
      <c r="I2233" s="14" t="n"/>
      <c r="J2233" s="14" t="n"/>
      <c r="K2233" s="13">
        <f>IF(G2233="","",IF(G2233&gt;=22,"Да","Нет"))</f>
        <v/>
      </c>
      <c r="L2233" s="13">
        <f>IF(OR(I2233="",J2233=""),"Не определено",IF(OR(COUNTIF(I2233,"45*")&gt;0,COUNTIF(J2233,"*45*")&gt;0,COUNTIF(I2233,"46*")&gt;0,COUNTIF(J2233,"*46*")&gt;0,COUNTIF(I2233,"47*")&gt;0,COUNTIF(J2233,"*47*")&gt;0,COUNTIF(I2233,"10*")&gt;0,COUNTIF(J2233,"*10*")&gt;0,COUNTIF(I2233,"11*")&gt;0,COUNTIF(J2233,"*11*")&gt;0,COUNTIF(I2233,"12*")&gt;0,COUNTIF(J2233,"*12*")&gt;0,COUNTIF(I2233,"13*")&gt;0,COUNTIF(J2233,"*13*")&gt;0,COUNTIF(I2233,"14*")&gt;0,COUNTIF(J2233,"*14*")&gt;0,COUNTIF(I2233,"15*")&gt;0,COUNTIF(J2233,"*15*")&gt;0,COUNTIF(I2233,"16*")&gt;0,COUNTIF(J2233,"*16*")&gt;0,COUNTIF(I2233,"17*")&gt;0,COUNTIF(J2233,"*17*")&gt;0,COUNTIF(I2233,"18*")&gt;0,COUNTIF(J2233,"*18*")&gt;0,COUNTIF(I2233,"19*")&gt;0,COUNTIF(J2233,"*19*")&gt;0,COUNTIF(I2233,"20*")&gt;0,COUNTIF(J2233,"*20*")&gt;0,COUNTIF(I2233,"21*")&gt;0,COUNTIF(J2233,"*21*")&gt;0,COUNTIF(I2233,"22*")&gt;0,COUNTIF(J2233,"*22*")&gt;0,COUNTIF(I2233,"23*")&gt;0,COUNTIF(J2233,"*23*")&gt;0,COUNTIF(I2233,"24*")&gt;0,COUNTIF(J2233,"*24*")&gt;0,COUNTIF(I2233,"25*")&gt;0,COUNTIF(J2233,"*25*")&gt;0,COUNTIF(I2233,"26*")&gt;0,COUNTIF(J2233,"*26*")&gt;0,COUNTIF(I2233,"27*")&gt;0,COUNTIF(J2233,"*27*")&gt;0,COUNTIF(I2233,"28*")&gt;0,COUNTIF(J2233,"*28*")&gt;0,COUNTIF(I2233,"29*")&gt;0,COUNTIF(J2233,"*29*")&gt;0,COUNTIF(I2233,"30*")&gt;0,COUNTIF(J2233,"*30*")&gt;0,COUNTIF(I2233,"31*")&gt;0,COUNTIF(J2233,"*31*")&gt;0,COUNTIF(I2233,"32*")&gt;0,COUNTIF(J2233,"*32*")&gt;0,COUNTIF(I2233,"33*")&gt;0,COUNTIF(J2233,"*33*")&gt;0,COUNTIF(I2233,"41*")&gt;0,COUNTIF(J2233,"*41*")&gt;0,COUNTIF(I2233,"42*")&gt;0,COUNTIF(J2233,"*42*")&gt;0,COUNTIF(I2233,"43*")&gt;0,COUNTIF(J2233,"*43*")&gt;0,COUNTIF(I2233,"49*")&gt;0,COUNTIF(J2233,"*49*")&gt;0,COUNTIF(I2233,"52*")&gt;0,COUNTIF(J2233,"*52*")&gt;0,COUNTIF(I2233,"55*")&gt;0,COUNTIF(J2233,"*55*")&gt;0,COUNTIF(I2233,"56*")&gt;0,COUNTIF(J2233,"*56*")&gt;0,COUNTIF(I2233,"68*")&gt;0,COUNTIF(J2233,"*68*")&gt;0,COUNTIF(I2233,"78*")&gt;0,COUNTIF(J2233,"*78*")&gt;0,COUNTIF(I2233,"81*")&gt;0,COUNTIF(J2233,"*81*")&gt;0,COUNTIF(I2233,"82*")&gt;0,COUNTIF(J2233,"*82*")&gt;0,COUNTIF(I2233,"64*")&gt;0,COUNTIF(J2233,"*64*")&gt;0,COUNTIF(I2233,"65*")&gt;0,COUNTIF(J2233,"*65*")&gt;0,COUNTIF(I2233,"66*")&gt;0,COUNTIF(J2233,"*66*")&gt;0,COUNTIF(I2233,"61*")&gt;0,COUNTIF(J2233,"*61*")&gt;0,COUNTIF(I2233,"62*")&gt;0,COUNTIF(J2233,"*62*")&gt;0,COUNTIF(I2233,"63*")&gt;0,COUNTIF(J2233,"*63*")&gt;0,COUNTIF(I2233,"85*")&gt;0,COUNTIF(J2233,"*85*")&gt;0,COUNTIF(I2233,"86*")&gt;0,COUNTIF(J2233,"*86*")&gt;0),"Да","Нет"))</f>
        <v/>
      </c>
      <c r="M2233" s="13">
        <f>IF(OR(G2233="",L2233&lt;&gt;"Да"),"",IF(G2233&lt;=100,"До 100",IF(G2233&lt;=200,"До 200",IF(G2233&lt;=500,"До 500","Отдельное КП"))))</f>
        <v/>
      </c>
      <c r="N2233" s="15">
        <f>IF(OR(G2233="",L2233&lt;&gt;"Да"),"",IF(G2233&lt;=100,33600,IF(G2233&lt;=200,62400,IF(G2233&lt;=500,144000,""))))</f>
        <v/>
      </c>
      <c r="O2233" s="16">
        <f>IF(G2233="","",IF(G2233&lt;=15,"1–15",IF(G2233&lt;=30,"16–30",IF(G2233&lt;=50,"31–50",IF(G2233&lt;=100,"51–100",IF(G2233&lt;=150,"101–150",IF(G2233&lt;=200,"151–200",IF(G2233&lt;=500,"201–500","500+"))))))))</f>
        <v/>
      </c>
      <c r="P2233" s="16" t="inlineStr">
        <is>
          <t>Нет совпадения в предоставленной выгрузке ССЧР</t>
        </is>
      </c>
      <c r="Q2233" s="16" t="n"/>
      <c r="R2233" s="16">
        <f>HYPERLINK("https://checko.ru/search?query=3801001629","Чекко: проверить")</f>
        <v/>
      </c>
      <c r="S2233" t="n">
        <v>0</v>
      </c>
    </row>
    <row r="2234" ht="15" customHeight="1" s="24">
      <c r="A2234" s="13" t="n">
        <v>5000094849</v>
      </c>
      <c r="B2234" s="13" t="inlineStr">
        <is>
          <t>МКОУ "СОШ №1 им.Н.Т.Канукоева" с.п.Лечинкай</t>
        </is>
      </c>
      <c r="C2234" s="13" t="n">
        <v>708003810</v>
      </c>
      <c r="D2234" s="13" t="n"/>
      <c r="E2234" s="13" t="inlineStr">
        <is>
          <t>Не определён</t>
        </is>
      </c>
      <c r="F2234" s="13" t="inlineStr">
        <is>
          <t>708003810</t>
        </is>
      </c>
      <c r="G2234" s="14" t="n"/>
      <c r="H2234" s="14" t="n"/>
      <c r="I2234" s="14" t="n"/>
      <c r="J2234" s="14" t="n"/>
      <c r="K2234" s="13">
        <f>IF(G2234="","",IF(G2234&gt;=22,"Да","Нет"))</f>
        <v/>
      </c>
      <c r="L2234" s="13">
        <f>IF(OR(I2234="",J2234=""),"Не определено",IF(OR(COUNTIF(I2234,"45*")&gt;0,COUNTIF(J2234,"*45*")&gt;0,COUNTIF(I2234,"46*")&gt;0,COUNTIF(J2234,"*46*")&gt;0,COUNTIF(I2234,"47*")&gt;0,COUNTIF(J2234,"*47*")&gt;0,COUNTIF(I2234,"10*")&gt;0,COUNTIF(J2234,"*10*")&gt;0,COUNTIF(I2234,"11*")&gt;0,COUNTIF(J2234,"*11*")&gt;0,COUNTIF(I2234,"12*")&gt;0,COUNTIF(J2234,"*12*")&gt;0,COUNTIF(I2234,"13*")&gt;0,COUNTIF(J2234,"*13*")&gt;0,COUNTIF(I2234,"14*")&gt;0,COUNTIF(J2234,"*14*")&gt;0,COUNTIF(I2234,"15*")&gt;0,COUNTIF(J2234,"*15*")&gt;0,COUNTIF(I2234,"16*")&gt;0,COUNTIF(J2234,"*16*")&gt;0,COUNTIF(I2234,"17*")&gt;0,COUNTIF(J2234,"*17*")&gt;0,COUNTIF(I2234,"18*")&gt;0,COUNTIF(J2234,"*18*")&gt;0,COUNTIF(I2234,"19*")&gt;0,COUNTIF(J2234,"*19*")&gt;0,COUNTIF(I2234,"20*")&gt;0,COUNTIF(J2234,"*20*")&gt;0,COUNTIF(I2234,"21*")&gt;0,COUNTIF(J2234,"*21*")&gt;0,COUNTIF(I2234,"22*")&gt;0,COUNTIF(J2234,"*22*")&gt;0,COUNTIF(I2234,"23*")&gt;0,COUNTIF(J2234,"*23*")&gt;0,COUNTIF(I2234,"24*")&gt;0,COUNTIF(J2234,"*24*")&gt;0,COUNTIF(I2234,"25*")&gt;0,COUNTIF(J2234,"*25*")&gt;0,COUNTIF(I2234,"26*")&gt;0,COUNTIF(J2234,"*26*")&gt;0,COUNTIF(I2234,"27*")&gt;0,COUNTIF(J2234,"*27*")&gt;0,COUNTIF(I2234,"28*")&gt;0,COUNTIF(J2234,"*28*")&gt;0,COUNTIF(I2234,"29*")&gt;0,COUNTIF(J2234,"*29*")&gt;0,COUNTIF(I2234,"30*")&gt;0,COUNTIF(J2234,"*30*")&gt;0,COUNTIF(I2234,"31*")&gt;0,COUNTIF(J2234,"*31*")&gt;0,COUNTIF(I2234,"32*")&gt;0,COUNTIF(J2234,"*32*")&gt;0,COUNTIF(I2234,"33*")&gt;0,COUNTIF(J2234,"*33*")&gt;0,COUNTIF(I2234,"41*")&gt;0,COUNTIF(J2234,"*41*")&gt;0,COUNTIF(I2234,"42*")&gt;0,COUNTIF(J2234,"*42*")&gt;0,COUNTIF(I2234,"43*")&gt;0,COUNTIF(J2234,"*43*")&gt;0,COUNTIF(I2234,"49*")&gt;0,COUNTIF(J2234,"*49*")&gt;0,COUNTIF(I2234,"52*")&gt;0,COUNTIF(J2234,"*52*")&gt;0,COUNTIF(I2234,"55*")&gt;0,COUNTIF(J2234,"*55*")&gt;0,COUNTIF(I2234,"56*")&gt;0,COUNTIF(J2234,"*56*")&gt;0,COUNTIF(I2234,"68*")&gt;0,COUNTIF(J2234,"*68*")&gt;0,COUNTIF(I2234,"78*")&gt;0,COUNTIF(J2234,"*78*")&gt;0,COUNTIF(I2234,"81*")&gt;0,COUNTIF(J2234,"*81*")&gt;0,COUNTIF(I2234,"82*")&gt;0,COUNTIF(J2234,"*82*")&gt;0,COUNTIF(I2234,"64*")&gt;0,COUNTIF(J2234,"*64*")&gt;0,COUNTIF(I2234,"65*")&gt;0,COUNTIF(J2234,"*65*")&gt;0,COUNTIF(I2234,"66*")&gt;0,COUNTIF(J2234,"*66*")&gt;0,COUNTIF(I2234,"61*")&gt;0,COUNTIF(J2234,"*61*")&gt;0,COUNTIF(I2234,"62*")&gt;0,COUNTIF(J2234,"*62*")&gt;0,COUNTIF(I2234,"63*")&gt;0,COUNTIF(J2234,"*63*")&gt;0,COUNTIF(I2234,"85*")&gt;0,COUNTIF(J2234,"*85*")&gt;0,COUNTIF(I2234,"86*")&gt;0,COUNTIF(J2234,"*86*")&gt;0),"Да","Нет"))</f>
        <v/>
      </c>
      <c r="M2234" s="13">
        <f>IF(OR(G2234="",L2234&lt;&gt;"Да"),"",IF(G2234&lt;=100,"До 100",IF(G2234&lt;=200,"До 200",IF(G2234&lt;=500,"До 500","Отдельное КП"))))</f>
        <v/>
      </c>
      <c r="N2234" s="15">
        <f>IF(OR(G2234="",L2234&lt;&gt;"Да"),"",IF(G2234&lt;=100,33600,IF(G2234&lt;=200,62400,IF(G2234&lt;=500,144000,""))))</f>
        <v/>
      </c>
      <c r="O2234" s="16">
        <f>IF(G2234="","",IF(G2234&lt;=15,"1–15",IF(G2234&lt;=30,"16–30",IF(G2234&lt;=50,"31–50",IF(G2234&lt;=100,"51–100",IF(G2234&lt;=150,"101–150",IF(G2234&lt;=200,"151–200",IF(G2234&lt;=500,"201–500","500+"))))))))</f>
        <v/>
      </c>
      <c r="P2234" s="16" t="inlineStr">
        <is>
          <t>Нет совпадения в предоставленной выгрузке ССЧР</t>
        </is>
      </c>
      <c r="Q2234" s="16" t="n"/>
      <c r="R2234" s="16">
        <f>HYPERLINK("https://checko.ru/search?query=3801001629","Чекко: проверить")</f>
        <v/>
      </c>
      <c r="S2234" t="n">
        <v>0</v>
      </c>
    </row>
    <row r="2235" ht="15" customHeight="1" s="24">
      <c r="A2235" s="13" t="n">
        <v>5000094850</v>
      </c>
      <c r="B2235" s="13" t="inlineStr">
        <is>
          <t>Администрация с.п. Шалушка</t>
        </is>
      </c>
      <c r="C2235" s="13" t="n">
        <v>708003873</v>
      </c>
      <c r="D2235" s="13" t="n"/>
      <c r="E2235" s="13" t="inlineStr">
        <is>
          <t>Не определён</t>
        </is>
      </c>
      <c r="F2235" s="13" t="inlineStr">
        <is>
          <t>708003873</t>
        </is>
      </c>
      <c r="G2235" s="14" t="n"/>
      <c r="H2235" s="14" t="n"/>
      <c r="I2235" s="14" t="n"/>
      <c r="J2235" s="14" t="n"/>
      <c r="K2235" s="13">
        <f>IF(G2235="","",IF(G2235&gt;=22,"Да","Нет"))</f>
        <v/>
      </c>
      <c r="L2235" s="13">
        <f>IF(OR(I2235="",J2235=""),"Не определено",IF(OR(COUNTIF(I2235,"45*")&gt;0,COUNTIF(J2235,"*45*")&gt;0,COUNTIF(I2235,"46*")&gt;0,COUNTIF(J2235,"*46*")&gt;0,COUNTIF(I2235,"47*")&gt;0,COUNTIF(J2235,"*47*")&gt;0,COUNTIF(I2235,"10*")&gt;0,COUNTIF(J2235,"*10*")&gt;0,COUNTIF(I2235,"11*")&gt;0,COUNTIF(J2235,"*11*")&gt;0,COUNTIF(I2235,"12*")&gt;0,COUNTIF(J2235,"*12*")&gt;0,COUNTIF(I2235,"13*")&gt;0,COUNTIF(J2235,"*13*")&gt;0,COUNTIF(I2235,"14*")&gt;0,COUNTIF(J2235,"*14*")&gt;0,COUNTIF(I2235,"15*")&gt;0,COUNTIF(J2235,"*15*")&gt;0,COUNTIF(I2235,"16*")&gt;0,COUNTIF(J2235,"*16*")&gt;0,COUNTIF(I2235,"17*")&gt;0,COUNTIF(J2235,"*17*")&gt;0,COUNTIF(I2235,"18*")&gt;0,COUNTIF(J2235,"*18*")&gt;0,COUNTIF(I2235,"19*")&gt;0,COUNTIF(J2235,"*19*")&gt;0,COUNTIF(I2235,"20*")&gt;0,COUNTIF(J2235,"*20*")&gt;0,COUNTIF(I2235,"21*")&gt;0,COUNTIF(J2235,"*21*")&gt;0,COUNTIF(I2235,"22*")&gt;0,COUNTIF(J2235,"*22*")&gt;0,COUNTIF(I2235,"23*")&gt;0,COUNTIF(J2235,"*23*")&gt;0,COUNTIF(I2235,"24*")&gt;0,COUNTIF(J2235,"*24*")&gt;0,COUNTIF(I2235,"25*")&gt;0,COUNTIF(J2235,"*25*")&gt;0,COUNTIF(I2235,"26*")&gt;0,COUNTIF(J2235,"*26*")&gt;0,COUNTIF(I2235,"27*")&gt;0,COUNTIF(J2235,"*27*")&gt;0,COUNTIF(I2235,"28*")&gt;0,COUNTIF(J2235,"*28*")&gt;0,COUNTIF(I2235,"29*")&gt;0,COUNTIF(J2235,"*29*")&gt;0,COUNTIF(I2235,"30*")&gt;0,COUNTIF(J2235,"*30*")&gt;0,COUNTIF(I2235,"31*")&gt;0,COUNTIF(J2235,"*31*")&gt;0,COUNTIF(I2235,"32*")&gt;0,COUNTIF(J2235,"*32*")&gt;0,COUNTIF(I2235,"33*")&gt;0,COUNTIF(J2235,"*33*")&gt;0,COUNTIF(I2235,"41*")&gt;0,COUNTIF(J2235,"*41*")&gt;0,COUNTIF(I2235,"42*")&gt;0,COUNTIF(J2235,"*42*")&gt;0,COUNTIF(I2235,"43*")&gt;0,COUNTIF(J2235,"*43*")&gt;0,COUNTIF(I2235,"49*")&gt;0,COUNTIF(J2235,"*49*")&gt;0,COUNTIF(I2235,"52*")&gt;0,COUNTIF(J2235,"*52*")&gt;0,COUNTIF(I2235,"55*")&gt;0,COUNTIF(J2235,"*55*")&gt;0,COUNTIF(I2235,"56*")&gt;0,COUNTIF(J2235,"*56*")&gt;0,COUNTIF(I2235,"68*")&gt;0,COUNTIF(J2235,"*68*")&gt;0,COUNTIF(I2235,"78*")&gt;0,COUNTIF(J2235,"*78*")&gt;0,COUNTIF(I2235,"81*")&gt;0,COUNTIF(J2235,"*81*")&gt;0,COUNTIF(I2235,"82*")&gt;0,COUNTIF(J2235,"*82*")&gt;0,COUNTIF(I2235,"64*")&gt;0,COUNTIF(J2235,"*64*")&gt;0,COUNTIF(I2235,"65*")&gt;0,COUNTIF(J2235,"*65*")&gt;0,COUNTIF(I2235,"66*")&gt;0,COUNTIF(J2235,"*66*")&gt;0,COUNTIF(I2235,"61*")&gt;0,COUNTIF(J2235,"*61*")&gt;0,COUNTIF(I2235,"62*")&gt;0,COUNTIF(J2235,"*62*")&gt;0,COUNTIF(I2235,"63*")&gt;0,COUNTIF(J2235,"*63*")&gt;0,COUNTIF(I2235,"85*")&gt;0,COUNTIF(J2235,"*85*")&gt;0,COUNTIF(I2235,"86*")&gt;0,COUNTIF(J2235,"*86*")&gt;0),"Да","Нет"))</f>
        <v/>
      </c>
      <c r="M2235" s="13">
        <f>IF(OR(G2235="",L2235&lt;&gt;"Да"),"",IF(G2235&lt;=100,"До 100",IF(G2235&lt;=200,"До 200",IF(G2235&lt;=500,"До 500","Отдельное КП"))))</f>
        <v/>
      </c>
      <c r="N2235" s="15">
        <f>IF(OR(G2235="",L2235&lt;&gt;"Да"),"",IF(G2235&lt;=100,33600,IF(G2235&lt;=200,62400,IF(G2235&lt;=500,144000,""))))</f>
        <v/>
      </c>
      <c r="O2235" s="16">
        <f>IF(G2235="","",IF(G2235&lt;=15,"1–15",IF(G2235&lt;=30,"16–30",IF(G2235&lt;=50,"31–50",IF(G2235&lt;=100,"51–100",IF(G2235&lt;=150,"101–150",IF(G2235&lt;=200,"151–200",IF(G2235&lt;=500,"201–500","500+"))))))))</f>
        <v/>
      </c>
      <c r="P2235" s="16" t="inlineStr">
        <is>
          <t>Нет совпадения в предоставленной выгрузке ССЧР</t>
        </is>
      </c>
      <c r="Q2235" s="16" t="n"/>
      <c r="R2235" s="16">
        <f>HYPERLINK("https://checko.ru/search?query=3801001629","Чекко: проверить")</f>
        <v/>
      </c>
      <c r="S2235" t="n">
        <v>0</v>
      </c>
    </row>
    <row r="2236" ht="27.75" customHeight="1" s="24">
      <c r="A2236" s="13" t="n">
        <v>5000094851</v>
      </c>
      <c r="B2236" s="13" t="inlineStr">
        <is>
          <t>МКОУ "СОШ №2 имени Инала Пшибиева" с.п.Нартан</t>
        </is>
      </c>
      <c r="C2236" s="13" t="n">
        <v>708003880</v>
      </c>
      <c r="D2236" s="13" t="n"/>
      <c r="E2236" s="13" t="inlineStr">
        <is>
          <t>Не определён</t>
        </is>
      </c>
      <c r="F2236" s="13" t="inlineStr">
        <is>
          <t>708003880</t>
        </is>
      </c>
      <c r="G2236" s="14" t="n"/>
      <c r="H2236" s="14" t="n"/>
      <c r="I2236" s="14" t="n"/>
      <c r="J2236" s="14" t="n"/>
      <c r="K2236" s="13">
        <f>IF(G2236="","",IF(G2236&gt;=22,"Да","Нет"))</f>
        <v/>
      </c>
      <c r="L2236" s="13">
        <f>IF(OR(I2236="",J2236=""),"Не определено",IF(OR(COUNTIF(I2236,"45*")&gt;0,COUNTIF(J2236,"*45*")&gt;0,COUNTIF(I2236,"46*")&gt;0,COUNTIF(J2236,"*46*")&gt;0,COUNTIF(I2236,"47*")&gt;0,COUNTIF(J2236,"*47*")&gt;0,COUNTIF(I2236,"10*")&gt;0,COUNTIF(J2236,"*10*")&gt;0,COUNTIF(I2236,"11*")&gt;0,COUNTIF(J2236,"*11*")&gt;0,COUNTIF(I2236,"12*")&gt;0,COUNTIF(J2236,"*12*")&gt;0,COUNTIF(I2236,"13*")&gt;0,COUNTIF(J2236,"*13*")&gt;0,COUNTIF(I2236,"14*")&gt;0,COUNTIF(J2236,"*14*")&gt;0,COUNTIF(I2236,"15*")&gt;0,COUNTIF(J2236,"*15*")&gt;0,COUNTIF(I2236,"16*")&gt;0,COUNTIF(J2236,"*16*")&gt;0,COUNTIF(I2236,"17*")&gt;0,COUNTIF(J2236,"*17*")&gt;0,COUNTIF(I2236,"18*")&gt;0,COUNTIF(J2236,"*18*")&gt;0,COUNTIF(I2236,"19*")&gt;0,COUNTIF(J2236,"*19*")&gt;0,COUNTIF(I2236,"20*")&gt;0,COUNTIF(J2236,"*20*")&gt;0,COUNTIF(I2236,"21*")&gt;0,COUNTIF(J2236,"*21*")&gt;0,COUNTIF(I2236,"22*")&gt;0,COUNTIF(J2236,"*22*")&gt;0,COUNTIF(I2236,"23*")&gt;0,COUNTIF(J2236,"*23*")&gt;0,COUNTIF(I2236,"24*")&gt;0,COUNTIF(J2236,"*24*")&gt;0,COUNTIF(I2236,"25*")&gt;0,COUNTIF(J2236,"*25*")&gt;0,COUNTIF(I2236,"26*")&gt;0,COUNTIF(J2236,"*26*")&gt;0,COUNTIF(I2236,"27*")&gt;0,COUNTIF(J2236,"*27*")&gt;0,COUNTIF(I2236,"28*")&gt;0,COUNTIF(J2236,"*28*")&gt;0,COUNTIF(I2236,"29*")&gt;0,COUNTIF(J2236,"*29*")&gt;0,COUNTIF(I2236,"30*")&gt;0,COUNTIF(J2236,"*30*")&gt;0,COUNTIF(I2236,"31*")&gt;0,COUNTIF(J2236,"*31*")&gt;0,COUNTIF(I2236,"32*")&gt;0,COUNTIF(J2236,"*32*")&gt;0,COUNTIF(I2236,"33*")&gt;0,COUNTIF(J2236,"*33*")&gt;0,COUNTIF(I2236,"41*")&gt;0,COUNTIF(J2236,"*41*")&gt;0,COUNTIF(I2236,"42*")&gt;0,COUNTIF(J2236,"*42*")&gt;0,COUNTIF(I2236,"43*")&gt;0,COUNTIF(J2236,"*43*")&gt;0,COUNTIF(I2236,"49*")&gt;0,COUNTIF(J2236,"*49*")&gt;0,COUNTIF(I2236,"52*")&gt;0,COUNTIF(J2236,"*52*")&gt;0,COUNTIF(I2236,"55*")&gt;0,COUNTIF(J2236,"*55*")&gt;0,COUNTIF(I2236,"56*")&gt;0,COUNTIF(J2236,"*56*")&gt;0,COUNTIF(I2236,"68*")&gt;0,COUNTIF(J2236,"*68*")&gt;0,COUNTIF(I2236,"78*")&gt;0,COUNTIF(J2236,"*78*")&gt;0,COUNTIF(I2236,"81*")&gt;0,COUNTIF(J2236,"*81*")&gt;0,COUNTIF(I2236,"82*")&gt;0,COUNTIF(J2236,"*82*")&gt;0,COUNTIF(I2236,"64*")&gt;0,COUNTIF(J2236,"*64*")&gt;0,COUNTIF(I2236,"65*")&gt;0,COUNTIF(J2236,"*65*")&gt;0,COUNTIF(I2236,"66*")&gt;0,COUNTIF(J2236,"*66*")&gt;0,COUNTIF(I2236,"61*")&gt;0,COUNTIF(J2236,"*61*")&gt;0,COUNTIF(I2236,"62*")&gt;0,COUNTIF(J2236,"*62*")&gt;0,COUNTIF(I2236,"63*")&gt;0,COUNTIF(J2236,"*63*")&gt;0,COUNTIF(I2236,"85*")&gt;0,COUNTIF(J2236,"*85*")&gt;0,COUNTIF(I2236,"86*")&gt;0,COUNTIF(J2236,"*86*")&gt;0),"Да","Нет"))</f>
        <v/>
      </c>
      <c r="M2236" s="13">
        <f>IF(OR(G2236="",L2236&lt;&gt;"Да"),"",IF(G2236&lt;=100,"До 100",IF(G2236&lt;=200,"До 200",IF(G2236&lt;=500,"До 500","Отдельное КП"))))</f>
        <v/>
      </c>
      <c r="N2236" s="15">
        <f>IF(OR(G2236="",L2236&lt;&gt;"Да"),"",IF(G2236&lt;=100,33600,IF(G2236&lt;=200,62400,IF(G2236&lt;=500,144000,""))))</f>
        <v/>
      </c>
      <c r="O2236" s="16">
        <f>IF(G2236="","",IF(G2236&lt;=15,"1–15",IF(G2236&lt;=30,"16–30",IF(G2236&lt;=50,"31–50",IF(G2236&lt;=100,"51–100",IF(G2236&lt;=150,"101–150",IF(G2236&lt;=200,"151–200",IF(G2236&lt;=500,"201–500","500+"))))))))</f>
        <v/>
      </c>
      <c r="P2236" s="16" t="inlineStr">
        <is>
          <t>Нет совпадения в предоставленной выгрузке ССЧР</t>
        </is>
      </c>
      <c r="Q2236" s="16" t="n"/>
      <c r="R2236" s="16">
        <f>HYPERLINK("https://checko.ru/search?query=3801001629","Чекко: проверить")</f>
        <v/>
      </c>
      <c r="S2236" t="n">
        <v>0</v>
      </c>
    </row>
    <row r="2237" ht="15" customHeight="1" s="24">
      <c r="A2237" s="13" t="n">
        <v>5000094831</v>
      </c>
      <c r="B2237" s="13" t="inlineStr">
        <is>
          <t>МКУ ДО СЮТ</t>
        </is>
      </c>
      <c r="C2237" s="13" t="n">
        <v>707014294</v>
      </c>
      <c r="D2237" s="13" t="n"/>
      <c r="E2237" s="13" t="inlineStr">
        <is>
          <t>Не определён</t>
        </is>
      </c>
      <c r="F2237" s="13" t="inlineStr">
        <is>
          <t>707014294</t>
        </is>
      </c>
      <c r="G2237" s="14" t="n"/>
      <c r="H2237" s="14" t="n"/>
      <c r="I2237" s="14" t="n"/>
      <c r="J2237" s="14" t="n"/>
      <c r="K2237" s="13">
        <f>IF(G2237="","",IF(G2237&gt;=22,"Да","Нет"))</f>
        <v/>
      </c>
      <c r="L2237" s="13">
        <f>IF(OR(I2237="",J2237=""),"Не определено",IF(OR(COUNTIF(I2237,"45*")&gt;0,COUNTIF(J2237,"*45*")&gt;0,COUNTIF(I2237,"46*")&gt;0,COUNTIF(J2237,"*46*")&gt;0,COUNTIF(I2237,"47*")&gt;0,COUNTIF(J2237,"*47*")&gt;0,COUNTIF(I2237,"10*")&gt;0,COUNTIF(J2237,"*10*")&gt;0,COUNTIF(I2237,"11*")&gt;0,COUNTIF(J2237,"*11*")&gt;0,COUNTIF(I2237,"12*")&gt;0,COUNTIF(J2237,"*12*")&gt;0,COUNTIF(I2237,"13*")&gt;0,COUNTIF(J2237,"*13*")&gt;0,COUNTIF(I2237,"14*")&gt;0,COUNTIF(J2237,"*14*")&gt;0,COUNTIF(I2237,"15*")&gt;0,COUNTIF(J2237,"*15*")&gt;0,COUNTIF(I2237,"16*")&gt;0,COUNTIF(J2237,"*16*")&gt;0,COUNTIF(I2237,"17*")&gt;0,COUNTIF(J2237,"*17*")&gt;0,COUNTIF(I2237,"18*")&gt;0,COUNTIF(J2237,"*18*")&gt;0,COUNTIF(I2237,"19*")&gt;0,COUNTIF(J2237,"*19*")&gt;0,COUNTIF(I2237,"20*")&gt;0,COUNTIF(J2237,"*20*")&gt;0,COUNTIF(I2237,"21*")&gt;0,COUNTIF(J2237,"*21*")&gt;0,COUNTIF(I2237,"22*")&gt;0,COUNTIF(J2237,"*22*")&gt;0,COUNTIF(I2237,"23*")&gt;0,COUNTIF(J2237,"*23*")&gt;0,COUNTIF(I2237,"24*")&gt;0,COUNTIF(J2237,"*24*")&gt;0,COUNTIF(I2237,"25*")&gt;0,COUNTIF(J2237,"*25*")&gt;0,COUNTIF(I2237,"26*")&gt;0,COUNTIF(J2237,"*26*")&gt;0,COUNTIF(I2237,"27*")&gt;0,COUNTIF(J2237,"*27*")&gt;0,COUNTIF(I2237,"28*")&gt;0,COUNTIF(J2237,"*28*")&gt;0,COUNTIF(I2237,"29*")&gt;0,COUNTIF(J2237,"*29*")&gt;0,COUNTIF(I2237,"30*")&gt;0,COUNTIF(J2237,"*30*")&gt;0,COUNTIF(I2237,"31*")&gt;0,COUNTIF(J2237,"*31*")&gt;0,COUNTIF(I2237,"32*")&gt;0,COUNTIF(J2237,"*32*")&gt;0,COUNTIF(I2237,"33*")&gt;0,COUNTIF(J2237,"*33*")&gt;0,COUNTIF(I2237,"41*")&gt;0,COUNTIF(J2237,"*41*")&gt;0,COUNTIF(I2237,"42*")&gt;0,COUNTIF(J2237,"*42*")&gt;0,COUNTIF(I2237,"43*")&gt;0,COUNTIF(J2237,"*43*")&gt;0,COUNTIF(I2237,"49*")&gt;0,COUNTIF(J2237,"*49*")&gt;0,COUNTIF(I2237,"52*")&gt;0,COUNTIF(J2237,"*52*")&gt;0,COUNTIF(I2237,"55*")&gt;0,COUNTIF(J2237,"*55*")&gt;0,COUNTIF(I2237,"56*")&gt;0,COUNTIF(J2237,"*56*")&gt;0,COUNTIF(I2237,"68*")&gt;0,COUNTIF(J2237,"*68*")&gt;0,COUNTIF(I2237,"78*")&gt;0,COUNTIF(J2237,"*78*")&gt;0,COUNTIF(I2237,"81*")&gt;0,COUNTIF(J2237,"*81*")&gt;0,COUNTIF(I2237,"82*")&gt;0,COUNTIF(J2237,"*82*")&gt;0,COUNTIF(I2237,"64*")&gt;0,COUNTIF(J2237,"*64*")&gt;0,COUNTIF(I2237,"65*")&gt;0,COUNTIF(J2237,"*65*")&gt;0,COUNTIF(I2237,"66*")&gt;0,COUNTIF(J2237,"*66*")&gt;0,COUNTIF(I2237,"61*")&gt;0,COUNTIF(J2237,"*61*")&gt;0,COUNTIF(I2237,"62*")&gt;0,COUNTIF(J2237,"*62*")&gt;0,COUNTIF(I2237,"63*")&gt;0,COUNTIF(J2237,"*63*")&gt;0,COUNTIF(I2237,"85*")&gt;0,COUNTIF(J2237,"*85*")&gt;0,COUNTIF(I2237,"86*")&gt;0,COUNTIF(J2237,"*86*")&gt;0),"Да","Нет"))</f>
        <v/>
      </c>
      <c r="M2237" s="13">
        <f>IF(OR(G2237="",L2237&lt;&gt;"Да"),"",IF(G2237&lt;=100,"До 100",IF(G2237&lt;=200,"До 200",IF(G2237&lt;=500,"До 500","Отдельное КП"))))</f>
        <v/>
      </c>
      <c r="N2237" s="15">
        <f>IF(OR(G2237="",L2237&lt;&gt;"Да"),"",IF(G2237&lt;=100,33600,IF(G2237&lt;=200,62400,IF(G2237&lt;=500,144000,""))))</f>
        <v/>
      </c>
      <c r="O2237" s="16">
        <f>IF(G2237="","",IF(G2237&lt;=15,"1–15",IF(G2237&lt;=30,"16–30",IF(G2237&lt;=50,"31–50",IF(G2237&lt;=100,"51–100",IF(G2237&lt;=150,"101–150",IF(G2237&lt;=200,"151–200",IF(G2237&lt;=500,"201–500","500+"))))))))</f>
        <v/>
      </c>
      <c r="P2237" s="16" t="inlineStr">
        <is>
          <t>Нет совпадения в предоставленной выгрузке ССЧР</t>
        </is>
      </c>
      <c r="Q2237" s="16" t="n"/>
      <c r="R2237" s="16">
        <f>HYPERLINK("https://checko.ru/search?query=3801001629","Чекко: проверить")</f>
        <v/>
      </c>
      <c r="S2237" t="n">
        <v>0</v>
      </c>
    </row>
    <row r="2238" ht="15" customHeight="1" s="24">
      <c r="A2238" s="13" t="n">
        <v>5000094717</v>
      </c>
      <c r="B2238" s="13" t="inlineStr">
        <is>
          <t>МКОУ СОШ ИМ А.Т. КУЧМЕЗОВА С.П.ГЕРПЕГЕЖ</t>
        </is>
      </c>
      <c r="C2238" s="13" t="n">
        <v>706002017</v>
      </c>
      <c r="D2238" s="13" t="n"/>
      <c r="E2238" s="13" t="inlineStr">
        <is>
          <t>Не определён</t>
        </is>
      </c>
      <c r="F2238" s="13" t="inlineStr">
        <is>
          <t>706002017</t>
        </is>
      </c>
      <c r="G2238" s="14" t="n"/>
      <c r="H2238" s="14" t="n"/>
      <c r="I2238" s="14" t="n"/>
      <c r="J2238" s="14" t="n"/>
      <c r="K2238" s="13">
        <f>IF(G2238="","",IF(G2238&gt;=22,"Да","Нет"))</f>
        <v/>
      </c>
      <c r="L2238" s="13">
        <f>IF(OR(I2238="",J2238=""),"Не определено",IF(OR(COUNTIF(I2238,"45*")&gt;0,COUNTIF(J2238,"*45*")&gt;0,COUNTIF(I2238,"46*")&gt;0,COUNTIF(J2238,"*46*")&gt;0,COUNTIF(I2238,"47*")&gt;0,COUNTIF(J2238,"*47*")&gt;0,COUNTIF(I2238,"10*")&gt;0,COUNTIF(J2238,"*10*")&gt;0,COUNTIF(I2238,"11*")&gt;0,COUNTIF(J2238,"*11*")&gt;0,COUNTIF(I2238,"12*")&gt;0,COUNTIF(J2238,"*12*")&gt;0,COUNTIF(I2238,"13*")&gt;0,COUNTIF(J2238,"*13*")&gt;0,COUNTIF(I2238,"14*")&gt;0,COUNTIF(J2238,"*14*")&gt;0,COUNTIF(I2238,"15*")&gt;0,COUNTIF(J2238,"*15*")&gt;0,COUNTIF(I2238,"16*")&gt;0,COUNTIF(J2238,"*16*")&gt;0,COUNTIF(I2238,"17*")&gt;0,COUNTIF(J2238,"*17*")&gt;0,COUNTIF(I2238,"18*")&gt;0,COUNTIF(J2238,"*18*")&gt;0,COUNTIF(I2238,"19*")&gt;0,COUNTIF(J2238,"*19*")&gt;0,COUNTIF(I2238,"20*")&gt;0,COUNTIF(J2238,"*20*")&gt;0,COUNTIF(I2238,"21*")&gt;0,COUNTIF(J2238,"*21*")&gt;0,COUNTIF(I2238,"22*")&gt;0,COUNTIF(J2238,"*22*")&gt;0,COUNTIF(I2238,"23*")&gt;0,COUNTIF(J2238,"*23*")&gt;0,COUNTIF(I2238,"24*")&gt;0,COUNTIF(J2238,"*24*")&gt;0,COUNTIF(I2238,"25*")&gt;0,COUNTIF(J2238,"*25*")&gt;0,COUNTIF(I2238,"26*")&gt;0,COUNTIF(J2238,"*26*")&gt;0,COUNTIF(I2238,"27*")&gt;0,COUNTIF(J2238,"*27*")&gt;0,COUNTIF(I2238,"28*")&gt;0,COUNTIF(J2238,"*28*")&gt;0,COUNTIF(I2238,"29*")&gt;0,COUNTIF(J2238,"*29*")&gt;0,COUNTIF(I2238,"30*")&gt;0,COUNTIF(J2238,"*30*")&gt;0,COUNTIF(I2238,"31*")&gt;0,COUNTIF(J2238,"*31*")&gt;0,COUNTIF(I2238,"32*")&gt;0,COUNTIF(J2238,"*32*")&gt;0,COUNTIF(I2238,"33*")&gt;0,COUNTIF(J2238,"*33*")&gt;0,COUNTIF(I2238,"41*")&gt;0,COUNTIF(J2238,"*41*")&gt;0,COUNTIF(I2238,"42*")&gt;0,COUNTIF(J2238,"*42*")&gt;0,COUNTIF(I2238,"43*")&gt;0,COUNTIF(J2238,"*43*")&gt;0,COUNTIF(I2238,"49*")&gt;0,COUNTIF(J2238,"*49*")&gt;0,COUNTIF(I2238,"52*")&gt;0,COUNTIF(J2238,"*52*")&gt;0,COUNTIF(I2238,"55*")&gt;0,COUNTIF(J2238,"*55*")&gt;0,COUNTIF(I2238,"56*")&gt;0,COUNTIF(J2238,"*56*")&gt;0,COUNTIF(I2238,"68*")&gt;0,COUNTIF(J2238,"*68*")&gt;0,COUNTIF(I2238,"78*")&gt;0,COUNTIF(J2238,"*78*")&gt;0,COUNTIF(I2238,"81*")&gt;0,COUNTIF(J2238,"*81*")&gt;0,COUNTIF(I2238,"82*")&gt;0,COUNTIF(J2238,"*82*")&gt;0,COUNTIF(I2238,"64*")&gt;0,COUNTIF(J2238,"*64*")&gt;0,COUNTIF(I2238,"65*")&gt;0,COUNTIF(J2238,"*65*")&gt;0,COUNTIF(I2238,"66*")&gt;0,COUNTIF(J2238,"*66*")&gt;0,COUNTIF(I2238,"61*")&gt;0,COUNTIF(J2238,"*61*")&gt;0,COUNTIF(I2238,"62*")&gt;0,COUNTIF(J2238,"*62*")&gt;0,COUNTIF(I2238,"63*")&gt;0,COUNTIF(J2238,"*63*")&gt;0,COUNTIF(I2238,"85*")&gt;0,COUNTIF(J2238,"*85*")&gt;0,COUNTIF(I2238,"86*")&gt;0,COUNTIF(J2238,"*86*")&gt;0),"Да","Нет"))</f>
        <v/>
      </c>
      <c r="M2238" s="13">
        <f>IF(OR(G2238="",L2238&lt;&gt;"Да"),"",IF(G2238&lt;=100,"До 100",IF(G2238&lt;=200,"До 200",IF(G2238&lt;=500,"До 500","Отдельное КП"))))</f>
        <v/>
      </c>
      <c r="N2238" s="15">
        <f>IF(OR(G2238="",L2238&lt;&gt;"Да"),"",IF(G2238&lt;=100,33600,IF(G2238&lt;=200,62400,IF(G2238&lt;=500,144000,""))))</f>
        <v/>
      </c>
      <c r="O2238" s="16">
        <f>IF(G2238="","",IF(G2238&lt;=15,"1–15",IF(G2238&lt;=30,"16–30",IF(G2238&lt;=50,"31–50",IF(G2238&lt;=100,"51–100",IF(G2238&lt;=150,"101–150",IF(G2238&lt;=200,"151–200",IF(G2238&lt;=500,"201–500","500+"))))))))</f>
        <v/>
      </c>
      <c r="P2238" s="16" t="inlineStr">
        <is>
          <t>Нет совпадения в предоставленной выгрузке ССЧР</t>
        </is>
      </c>
      <c r="Q2238" s="16" t="n"/>
      <c r="R2238" s="16">
        <f>HYPERLINK("https://checko.ru/search?query=3801001629","Чекко: проверить")</f>
        <v/>
      </c>
      <c r="S2238" t="n">
        <v>0</v>
      </c>
    </row>
    <row r="2239" ht="15" customHeight="1" s="24">
      <c r="A2239" s="13" t="n">
        <v>5000094718</v>
      </c>
      <c r="B2239" s="13" t="inlineStr">
        <is>
          <t>МКУ РДК Г.П. КАШХАТАУ</t>
        </is>
      </c>
      <c r="C2239" s="13" t="n">
        <v>706002031</v>
      </c>
      <c r="D2239" s="13" t="n"/>
      <c r="E2239" s="13" t="inlineStr">
        <is>
          <t>Не определён</t>
        </is>
      </c>
      <c r="F2239" s="13" t="inlineStr">
        <is>
          <t>706002031</t>
        </is>
      </c>
      <c r="G2239" s="14" t="n"/>
      <c r="H2239" s="14" t="n"/>
      <c r="I2239" s="14" t="n"/>
      <c r="J2239" s="14" t="n"/>
      <c r="K2239" s="13">
        <f>IF(G2239="","",IF(G2239&gt;=22,"Да","Нет"))</f>
        <v/>
      </c>
      <c r="L2239" s="13">
        <f>IF(OR(I2239="",J2239=""),"Не определено",IF(OR(COUNTIF(I2239,"45*")&gt;0,COUNTIF(J2239,"*45*")&gt;0,COUNTIF(I2239,"46*")&gt;0,COUNTIF(J2239,"*46*")&gt;0,COUNTIF(I2239,"47*")&gt;0,COUNTIF(J2239,"*47*")&gt;0,COUNTIF(I2239,"10*")&gt;0,COUNTIF(J2239,"*10*")&gt;0,COUNTIF(I2239,"11*")&gt;0,COUNTIF(J2239,"*11*")&gt;0,COUNTIF(I2239,"12*")&gt;0,COUNTIF(J2239,"*12*")&gt;0,COUNTIF(I2239,"13*")&gt;0,COUNTIF(J2239,"*13*")&gt;0,COUNTIF(I2239,"14*")&gt;0,COUNTIF(J2239,"*14*")&gt;0,COUNTIF(I2239,"15*")&gt;0,COUNTIF(J2239,"*15*")&gt;0,COUNTIF(I2239,"16*")&gt;0,COUNTIF(J2239,"*16*")&gt;0,COUNTIF(I2239,"17*")&gt;0,COUNTIF(J2239,"*17*")&gt;0,COUNTIF(I2239,"18*")&gt;0,COUNTIF(J2239,"*18*")&gt;0,COUNTIF(I2239,"19*")&gt;0,COUNTIF(J2239,"*19*")&gt;0,COUNTIF(I2239,"20*")&gt;0,COUNTIF(J2239,"*20*")&gt;0,COUNTIF(I2239,"21*")&gt;0,COUNTIF(J2239,"*21*")&gt;0,COUNTIF(I2239,"22*")&gt;0,COUNTIF(J2239,"*22*")&gt;0,COUNTIF(I2239,"23*")&gt;0,COUNTIF(J2239,"*23*")&gt;0,COUNTIF(I2239,"24*")&gt;0,COUNTIF(J2239,"*24*")&gt;0,COUNTIF(I2239,"25*")&gt;0,COUNTIF(J2239,"*25*")&gt;0,COUNTIF(I2239,"26*")&gt;0,COUNTIF(J2239,"*26*")&gt;0,COUNTIF(I2239,"27*")&gt;0,COUNTIF(J2239,"*27*")&gt;0,COUNTIF(I2239,"28*")&gt;0,COUNTIF(J2239,"*28*")&gt;0,COUNTIF(I2239,"29*")&gt;0,COUNTIF(J2239,"*29*")&gt;0,COUNTIF(I2239,"30*")&gt;0,COUNTIF(J2239,"*30*")&gt;0,COUNTIF(I2239,"31*")&gt;0,COUNTIF(J2239,"*31*")&gt;0,COUNTIF(I2239,"32*")&gt;0,COUNTIF(J2239,"*32*")&gt;0,COUNTIF(I2239,"33*")&gt;0,COUNTIF(J2239,"*33*")&gt;0,COUNTIF(I2239,"41*")&gt;0,COUNTIF(J2239,"*41*")&gt;0,COUNTIF(I2239,"42*")&gt;0,COUNTIF(J2239,"*42*")&gt;0,COUNTIF(I2239,"43*")&gt;0,COUNTIF(J2239,"*43*")&gt;0,COUNTIF(I2239,"49*")&gt;0,COUNTIF(J2239,"*49*")&gt;0,COUNTIF(I2239,"52*")&gt;0,COUNTIF(J2239,"*52*")&gt;0,COUNTIF(I2239,"55*")&gt;0,COUNTIF(J2239,"*55*")&gt;0,COUNTIF(I2239,"56*")&gt;0,COUNTIF(J2239,"*56*")&gt;0,COUNTIF(I2239,"68*")&gt;0,COUNTIF(J2239,"*68*")&gt;0,COUNTIF(I2239,"78*")&gt;0,COUNTIF(J2239,"*78*")&gt;0,COUNTIF(I2239,"81*")&gt;0,COUNTIF(J2239,"*81*")&gt;0,COUNTIF(I2239,"82*")&gt;0,COUNTIF(J2239,"*82*")&gt;0,COUNTIF(I2239,"64*")&gt;0,COUNTIF(J2239,"*64*")&gt;0,COUNTIF(I2239,"65*")&gt;0,COUNTIF(J2239,"*65*")&gt;0,COUNTIF(I2239,"66*")&gt;0,COUNTIF(J2239,"*66*")&gt;0,COUNTIF(I2239,"61*")&gt;0,COUNTIF(J2239,"*61*")&gt;0,COUNTIF(I2239,"62*")&gt;0,COUNTIF(J2239,"*62*")&gt;0,COUNTIF(I2239,"63*")&gt;0,COUNTIF(J2239,"*63*")&gt;0,COUNTIF(I2239,"85*")&gt;0,COUNTIF(J2239,"*85*")&gt;0,COUNTIF(I2239,"86*")&gt;0,COUNTIF(J2239,"*86*")&gt;0),"Да","Нет"))</f>
        <v/>
      </c>
      <c r="M2239" s="13">
        <f>IF(OR(G2239="",L2239&lt;&gt;"Да"),"",IF(G2239&lt;=100,"До 100",IF(G2239&lt;=200,"До 200",IF(G2239&lt;=500,"До 500","Отдельное КП"))))</f>
        <v/>
      </c>
      <c r="N2239" s="15">
        <f>IF(OR(G2239="",L2239&lt;&gt;"Да"),"",IF(G2239&lt;=100,33600,IF(G2239&lt;=200,62400,IF(G2239&lt;=500,144000,""))))</f>
        <v/>
      </c>
      <c r="O2239" s="16">
        <f>IF(G2239="","",IF(G2239&lt;=15,"1–15",IF(G2239&lt;=30,"16–30",IF(G2239&lt;=50,"31–50",IF(G2239&lt;=100,"51–100",IF(G2239&lt;=150,"101–150",IF(G2239&lt;=200,"151–200",IF(G2239&lt;=500,"201–500","500+"))))))))</f>
        <v/>
      </c>
      <c r="P2239" s="16" t="inlineStr">
        <is>
          <t>Нет совпадения в предоставленной выгрузке ССЧР</t>
        </is>
      </c>
      <c r="Q2239" s="16" t="n"/>
      <c r="R2239" s="16">
        <f>HYPERLINK("https://checko.ru/search?query=3801001629","Чекко: проверить")</f>
        <v/>
      </c>
      <c r="S2239" t="n">
        <v>0</v>
      </c>
    </row>
    <row r="2240" ht="27.75" customHeight="1" s="24">
      <c r="A2240" s="13" t="n">
        <v>5000094719</v>
      </c>
      <c r="B2240" s="13" t="inlineStr">
        <is>
          <t>ГБОУ "Кадетская школа-интернат №2 им. Х.С. Депуева" Минпросвещения КБР</t>
        </is>
      </c>
      <c r="C2240" s="13" t="n">
        <v>706002730</v>
      </c>
      <c r="D2240" s="13" t="n"/>
      <c r="E2240" s="13" t="inlineStr">
        <is>
          <t>Не определён</t>
        </is>
      </c>
      <c r="F2240" s="13" t="inlineStr">
        <is>
          <t>706002730</t>
        </is>
      </c>
      <c r="G2240" s="14" t="n"/>
      <c r="H2240" s="14" t="n"/>
      <c r="I2240" s="14" t="n"/>
      <c r="J2240" s="14" t="n"/>
      <c r="K2240" s="13">
        <f>IF(G2240="","",IF(G2240&gt;=22,"Да","Нет"))</f>
        <v/>
      </c>
      <c r="L2240" s="13">
        <f>IF(OR(I2240="",J2240=""),"Не определено",IF(OR(COUNTIF(I2240,"45*")&gt;0,COUNTIF(J2240,"*45*")&gt;0,COUNTIF(I2240,"46*")&gt;0,COUNTIF(J2240,"*46*")&gt;0,COUNTIF(I2240,"47*")&gt;0,COUNTIF(J2240,"*47*")&gt;0,COUNTIF(I2240,"10*")&gt;0,COUNTIF(J2240,"*10*")&gt;0,COUNTIF(I2240,"11*")&gt;0,COUNTIF(J2240,"*11*")&gt;0,COUNTIF(I2240,"12*")&gt;0,COUNTIF(J2240,"*12*")&gt;0,COUNTIF(I2240,"13*")&gt;0,COUNTIF(J2240,"*13*")&gt;0,COUNTIF(I2240,"14*")&gt;0,COUNTIF(J2240,"*14*")&gt;0,COUNTIF(I2240,"15*")&gt;0,COUNTIF(J2240,"*15*")&gt;0,COUNTIF(I2240,"16*")&gt;0,COUNTIF(J2240,"*16*")&gt;0,COUNTIF(I2240,"17*")&gt;0,COUNTIF(J2240,"*17*")&gt;0,COUNTIF(I2240,"18*")&gt;0,COUNTIF(J2240,"*18*")&gt;0,COUNTIF(I2240,"19*")&gt;0,COUNTIF(J2240,"*19*")&gt;0,COUNTIF(I2240,"20*")&gt;0,COUNTIF(J2240,"*20*")&gt;0,COUNTIF(I2240,"21*")&gt;0,COUNTIF(J2240,"*21*")&gt;0,COUNTIF(I2240,"22*")&gt;0,COUNTIF(J2240,"*22*")&gt;0,COUNTIF(I2240,"23*")&gt;0,COUNTIF(J2240,"*23*")&gt;0,COUNTIF(I2240,"24*")&gt;0,COUNTIF(J2240,"*24*")&gt;0,COUNTIF(I2240,"25*")&gt;0,COUNTIF(J2240,"*25*")&gt;0,COUNTIF(I2240,"26*")&gt;0,COUNTIF(J2240,"*26*")&gt;0,COUNTIF(I2240,"27*")&gt;0,COUNTIF(J2240,"*27*")&gt;0,COUNTIF(I2240,"28*")&gt;0,COUNTIF(J2240,"*28*")&gt;0,COUNTIF(I2240,"29*")&gt;0,COUNTIF(J2240,"*29*")&gt;0,COUNTIF(I2240,"30*")&gt;0,COUNTIF(J2240,"*30*")&gt;0,COUNTIF(I2240,"31*")&gt;0,COUNTIF(J2240,"*31*")&gt;0,COUNTIF(I2240,"32*")&gt;0,COUNTIF(J2240,"*32*")&gt;0,COUNTIF(I2240,"33*")&gt;0,COUNTIF(J2240,"*33*")&gt;0,COUNTIF(I2240,"41*")&gt;0,COUNTIF(J2240,"*41*")&gt;0,COUNTIF(I2240,"42*")&gt;0,COUNTIF(J2240,"*42*")&gt;0,COUNTIF(I2240,"43*")&gt;0,COUNTIF(J2240,"*43*")&gt;0,COUNTIF(I2240,"49*")&gt;0,COUNTIF(J2240,"*49*")&gt;0,COUNTIF(I2240,"52*")&gt;0,COUNTIF(J2240,"*52*")&gt;0,COUNTIF(I2240,"55*")&gt;0,COUNTIF(J2240,"*55*")&gt;0,COUNTIF(I2240,"56*")&gt;0,COUNTIF(J2240,"*56*")&gt;0,COUNTIF(I2240,"68*")&gt;0,COUNTIF(J2240,"*68*")&gt;0,COUNTIF(I2240,"78*")&gt;0,COUNTIF(J2240,"*78*")&gt;0,COUNTIF(I2240,"81*")&gt;0,COUNTIF(J2240,"*81*")&gt;0,COUNTIF(I2240,"82*")&gt;0,COUNTIF(J2240,"*82*")&gt;0,COUNTIF(I2240,"64*")&gt;0,COUNTIF(J2240,"*64*")&gt;0,COUNTIF(I2240,"65*")&gt;0,COUNTIF(J2240,"*65*")&gt;0,COUNTIF(I2240,"66*")&gt;0,COUNTIF(J2240,"*66*")&gt;0,COUNTIF(I2240,"61*")&gt;0,COUNTIF(J2240,"*61*")&gt;0,COUNTIF(I2240,"62*")&gt;0,COUNTIF(J2240,"*62*")&gt;0,COUNTIF(I2240,"63*")&gt;0,COUNTIF(J2240,"*63*")&gt;0,COUNTIF(I2240,"85*")&gt;0,COUNTIF(J2240,"*85*")&gt;0,COUNTIF(I2240,"86*")&gt;0,COUNTIF(J2240,"*86*")&gt;0),"Да","Нет"))</f>
        <v/>
      </c>
      <c r="M2240" s="13">
        <f>IF(OR(G2240="",L2240&lt;&gt;"Да"),"",IF(G2240&lt;=100,"До 100",IF(G2240&lt;=200,"До 200",IF(G2240&lt;=500,"До 500","Отдельное КП"))))</f>
        <v/>
      </c>
      <c r="N2240" s="15">
        <f>IF(OR(G2240="",L2240&lt;&gt;"Да"),"",IF(G2240&lt;=100,33600,IF(G2240&lt;=200,62400,IF(G2240&lt;=500,144000,""))))</f>
        <v/>
      </c>
      <c r="O2240" s="16">
        <f>IF(G2240="","",IF(G2240&lt;=15,"1–15",IF(G2240&lt;=30,"16–30",IF(G2240&lt;=50,"31–50",IF(G2240&lt;=100,"51–100",IF(G2240&lt;=150,"101–150",IF(G2240&lt;=200,"151–200",IF(G2240&lt;=500,"201–500","500+"))))))))</f>
        <v/>
      </c>
      <c r="P2240" s="16" t="inlineStr">
        <is>
          <t>Нет совпадения в предоставленной выгрузке ССЧР</t>
        </is>
      </c>
      <c r="Q2240" s="16" t="n"/>
      <c r="R2240" s="16">
        <f>HYPERLINK("https://checko.ru/search?query=3801001629","Чекко: проверить")</f>
        <v/>
      </c>
      <c r="S2240" t="n">
        <v>0</v>
      </c>
    </row>
    <row r="2241" ht="15" customHeight="1" s="24">
      <c r="A2241" s="13" t="n">
        <v>5000094720</v>
      </c>
      <c r="B2241" s="13" t="inlineStr">
        <is>
          <t>МКУ ДО РДДТ</t>
        </is>
      </c>
      <c r="C2241" s="13" t="n">
        <v>706002779</v>
      </c>
      <c r="D2241" s="13" t="n"/>
      <c r="E2241" s="13" t="inlineStr">
        <is>
          <t>Не определён</t>
        </is>
      </c>
      <c r="F2241" s="13" t="inlineStr">
        <is>
          <t>706002779</t>
        </is>
      </c>
      <c r="G2241" s="14" t="n"/>
      <c r="H2241" s="14" t="n"/>
      <c r="I2241" s="14" t="n"/>
      <c r="J2241" s="14" t="n"/>
      <c r="K2241" s="13">
        <f>IF(G2241="","",IF(G2241&gt;=22,"Да","Нет"))</f>
        <v/>
      </c>
      <c r="L2241" s="13">
        <f>IF(OR(I2241="",J2241=""),"Не определено",IF(OR(COUNTIF(I2241,"45*")&gt;0,COUNTIF(J2241,"*45*")&gt;0,COUNTIF(I2241,"46*")&gt;0,COUNTIF(J2241,"*46*")&gt;0,COUNTIF(I2241,"47*")&gt;0,COUNTIF(J2241,"*47*")&gt;0,COUNTIF(I2241,"10*")&gt;0,COUNTIF(J2241,"*10*")&gt;0,COUNTIF(I2241,"11*")&gt;0,COUNTIF(J2241,"*11*")&gt;0,COUNTIF(I2241,"12*")&gt;0,COUNTIF(J2241,"*12*")&gt;0,COUNTIF(I2241,"13*")&gt;0,COUNTIF(J2241,"*13*")&gt;0,COUNTIF(I2241,"14*")&gt;0,COUNTIF(J2241,"*14*")&gt;0,COUNTIF(I2241,"15*")&gt;0,COUNTIF(J2241,"*15*")&gt;0,COUNTIF(I2241,"16*")&gt;0,COUNTIF(J2241,"*16*")&gt;0,COUNTIF(I2241,"17*")&gt;0,COUNTIF(J2241,"*17*")&gt;0,COUNTIF(I2241,"18*")&gt;0,COUNTIF(J2241,"*18*")&gt;0,COUNTIF(I2241,"19*")&gt;0,COUNTIF(J2241,"*19*")&gt;0,COUNTIF(I2241,"20*")&gt;0,COUNTIF(J2241,"*20*")&gt;0,COUNTIF(I2241,"21*")&gt;0,COUNTIF(J2241,"*21*")&gt;0,COUNTIF(I2241,"22*")&gt;0,COUNTIF(J2241,"*22*")&gt;0,COUNTIF(I2241,"23*")&gt;0,COUNTIF(J2241,"*23*")&gt;0,COUNTIF(I2241,"24*")&gt;0,COUNTIF(J2241,"*24*")&gt;0,COUNTIF(I2241,"25*")&gt;0,COUNTIF(J2241,"*25*")&gt;0,COUNTIF(I2241,"26*")&gt;0,COUNTIF(J2241,"*26*")&gt;0,COUNTIF(I2241,"27*")&gt;0,COUNTIF(J2241,"*27*")&gt;0,COUNTIF(I2241,"28*")&gt;0,COUNTIF(J2241,"*28*")&gt;0,COUNTIF(I2241,"29*")&gt;0,COUNTIF(J2241,"*29*")&gt;0,COUNTIF(I2241,"30*")&gt;0,COUNTIF(J2241,"*30*")&gt;0,COUNTIF(I2241,"31*")&gt;0,COUNTIF(J2241,"*31*")&gt;0,COUNTIF(I2241,"32*")&gt;0,COUNTIF(J2241,"*32*")&gt;0,COUNTIF(I2241,"33*")&gt;0,COUNTIF(J2241,"*33*")&gt;0,COUNTIF(I2241,"41*")&gt;0,COUNTIF(J2241,"*41*")&gt;0,COUNTIF(I2241,"42*")&gt;0,COUNTIF(J2241,"*42*")&gt;0,COUNTIF(I2241,"43*")&gt;0,COUNTIF(J2241,"*43*")&gt;0,COUNTIF(I2241,"49*")&gt;0,COUNTIF(J2241,"*49*")&gt;0,COUNTIF(I2241,"52*")&gt;0,COUNTIF(J2241,"*52*")&gt;0,COUNTIF(I2241,"55*")&gt;0,COUNTIF(J2241,"*55*")&gt;0,COUNTIF(I2241,"56*")&gt;0,COUNTIF(J2241,"*56*")&gt;0,COUNTIF(I2241,"68*")&gt;0,COUNTIF(J2241,"*68*")&gt;0,COUNTIF(I2241,"78*")&gt;0,COUNTIF(J2241,"*78*")&gt;0,COUNTIF(I2241,"81*")&gt;0,COUNTIF(J2241,"*81*")&gt;0,COUNTIF(I2241,"82*")&gt;0,COUNTIF(J2241,"*82*")&gt;0,COUNTIF(I2241,"64*")&gt;0,COUNTIF(J2241,"*64*")&gt;0,COUNTIF(I2241,"65*")&gt;0,COUNTIF(J2241,"*65*")&gt;0,COUNTIF(I2241,"66*")&gt;0,COUNTIF(J2241,"*66*")&gt;0,COUNTIF(I2241,"61*")&gt;0,COUNTIF(J2241,"*61*")&gt;0,COUNTIF(I2241,"62*")&gt;0,COUNTIF(J2241,"*62*")&gt;0,COUNTIF(I2241,"63*")&gt;0,COUNTIF(J2241,"*63*")&gt;0,COUNTIF(I2241,"85*")&gt;0,COUNTIF(J2241,"*85*")&gt;0,COUNTIF(I2241,"86*")&gt;0,COUNTIF(J2241,"*86*")&gt;0),"Да","Нет"))</f>
        <v/>
      </c>
      <c r="M2241" s="13">
        <f>IF(OR(G2241="",L2241&lt;&gt;"Да"),"",IF(G2241&lt;=100,"До 100",IF(G2241&lt;=200,"До 200",IF(G2241&lt;=500,"До 500","Отдельное КП"))))</f>
        <v/>
      </c>
      <c r="N2241" s="15">
        <f>IF(OR(G2241="",L2241&lt;&gt;"Да"),"",IF(G2241&lt;=100,33600,IF(G2241&lt;=200,62400,IF(G2241&lt;=500,144000,""))))</f>
        <v/>
      </c>
      <c r="O2241" s="16">
        <f>IF(G2241="","",IF(G2241&lt;=15,"1–15",IF(G2241&lt;=30,"16–30",IF(G2241&lt;=50,"31–50",IF(G2241&lt;=100,"51–100",IF(G2241&lt;=150,"101–150",IF(G2241&lt;=200,"151–200",IF(G2241&lt;=500,"201–500","500+"))))))))</f>
        <v/>
      </c>
      <c r="P2241" s="16" t="inlineStr">
        <is>
          <t>Нет совпадения в предоставленной выгрузке ССЧР</t>
        </is>
      </c>
      <c r="Q2241" s="16" t="n"/>
      <c r="R2241" s="16">
        <f>HYPERLINK("https://checko.ru/search?query=3801001629","Чекко: проверить")</f>
        <v/>
      </c>
      <c r="S2241" t="n">
        <v>0</v>
      </c>
    </row>
    <row r="2242" ht="15" customHeight="1" s="24">
      <c r="A2242" s="13" t="n">
        <v>5000094721</v>
      </c>
      <c r="B2242" s="13" t="inlineStr">
        <is>
          <t>МКОУ ДОД ДШИ</t>
        </is>
      </c>
      <c r="C2242" s="13" t="n">
        <v>706002899</v>
      </c>
      <c r="D2242" s="13" t="n"/>
      <c r="E2242" s="13" t="inlineStr">
        <is>
          <t>Не определён</t>
        </is>
      </c>
      <c r="F2242" s="13" t="inlineStr">
        <is>
          <t>706002899</t>
        </is>
      </c>
      <c r="G2242" s="14" t="n"/>
      <c r="H2242" s="14" t="n"/>
      <c r="I2242" s="14" t="n"/>
      <c r="J2242" s="14" t="n"/>
      <c r="K2242" s="13">
        <f>IF(G2242="","",IF(G2242&gt;=22,"Да","Нет"))</f>
        <v/>
      </c>
      <c r="L2242" s="13">
        <f>IF(OR(I2242="",J2242=""),"Не определено",IF(OR(COUNTIF(I2242,"45*")&gt;0,COUNTIF(J2242,"*45*")&gt;0,COUNTIF(I2242,"46*")&gt;0,COUNTIF(J2242,"*46*")&gt;0,COUNTIF(I2242,"47*")&gt;0,COUNTIF(J2242,"*47*")&gt;0,COUNTIF(I2242,"10*")&gt;0,COUNTIF(J2242,"*10*")&gt;0,COUNTIF(I2242,"11*")&gt;0,COUNTIF(J2242,"*11*")&gt;0,COUNTIF(I2242,"12*")&gt;0,COUNTIF(J2242,"*12*")&gt;0,COUNTIF(I2242,"13*")&gt;0,COUNTIF(J2242,"*13*")&gt;0,COUNTIF(I2242,"14*")&gt;0,COUNTIF(J2242,"*14*")&gt;0,COUNTIF(I2242,"15*")&gt;0,COUNTIF(J2242,"*15*")&gt;0,COUNTIF(I2242,"16*")&gt;0,COUNTIF(J2242,"*16*")&gt;0,COUNTIF(I2242,"17*")&gt;0,COUNTIF(J2242,"*17*")&gt;0,COUNTIF(I2242,"18*")&gt;0,COUNTIF(J2242,"*18*")&gt;0,COUNTIF(I2242,"19*")&gt;0,COUNTIF(J2242,"*19*")&gt;0,COUNTIF(I2242,"20*")&gt;0,COUNTIF(J2242,"*20*")&gt;0,COUNTIF(I2242,"21*")&gt;0,COUNTIF(J2242,"*21*")&gt;0,COUNTIF(I2242,"22*")&gt;0,COUNTIF(J2242,"*22*")&gt;0,COUNTIF(I2242,"23*")&gt;0,COUNTIF(J2242,"*23*")&gt;0,COUNTIF(I2242,"24*")&gt;0,COUNTIF(J2242,"*24*")&gt;0,COUNTIF(I2242,"25*")&gt;0,COUNTIF(J2242,"*25*")&gt;0,COUNTIF(I2242,"26*")&gt;0,COUNTIF(J2242,"*26*")&gt;0,COUNTIF(I2242,"27*")&gt;0,COUNTIF(J2242,"*27*")&gt;0,COUNTIF(I2242,"28*")&gt;0,COUNTIF(J2242,"*28*")&gt;0,COUNTIF(I2242,"29*")&gt;0,COUNTIF(J2242,"*29*")&gt;0,COUNTIF(I2242,"30*")&gt;0,COUNTIF(J2242,"*30*")&gt;0,COUNTIF(I2242,"31*")&gt;0,COUNTIF(J2242,"*31*")&gt;0,COUNTIF(I2242,"32*")&gt;0,COUNTIF(J2242,"*32*")&gt;0,COUNTIF(I2242,"33*")&gt;0,COUNTIF(J2242,"*33*")&gt;0,COUNTIF(I2242,"41*")&gt;0,COUNTIF(J2242,"*41*")&gt;0,COUNTIF(I2242,"42*")&gt;0,COUNTIF(J2242,"*42*")&gt;0,COUNTIF(I2242,"43*")&gt;0,COUNTIF(J2242,"*43*")&gt;0,COUNTIF(I2242,"49*")&gt;0,COUNTIF(J2242,"*49*")&gt;0,COUNTIF(I2242,"52*")&gt;0,COUNTIF(J2242,"*52*")&gt;0,COUNTIF(I2242,"55*")&gt;0,COUNTIF(J2242,"*55*")&gt;0,COUNTIF(I2242,"56*")&gt;0,COUNTIF(J2242,"*56*")&gt;0,COUNTIF(I2242,"68*")&gt;0,COUNTIF(J2242,"*68*")&gt;0,COUNTIF(I2242,"78*")&gt;0,COUNTIF(J2242,"*78*")&gt;0,COUNTIF(I2242,"81*")&gt;0,COUNTIF(J2242,"*81*")&gt;0,COUNTIF(I2242,"82*")&gt;0,COUNTIF(J2242,"*82*")&gt;0,COUNTIF(I2242,"64*")&gt;0,COUNTIF(J2242,"*64*")&gt;0,COUNTIF(I2242,"65*")&gt;0,COUNTIF(J2242,"*65*")&gt;0,COUNTIF(I2242,"66*")&gt;0,COUNTIF(J2242,"*66*")&gt;0,COUNTIF(I2242,"61*")&gt;0,COUNTIF(J2242,"*61*")&gt;0,COUNTIF(I2242,"62*")&gt;0,COUNTIF(J2242,"*62*")&gt;0,COUNTIF(I2242,"63*")&gt;0,COUNTIF(J2242,"*63*")&gt;0,COUNTIF(I2242,"85*")&gt;0,COUNTIF(J2242,"*85*")&gt;0,COUNTIF(I2242,"86*")&gt;0,COUNTIF(J2242,"*86*")&gt;0),"Да","Нет"))</f>
        <v/>
      </c>
      <c r="M2242" s="13">
        <f>IF(OR(G2242="",L2242&lt;&gt;"Да"),"",IF(G2242&lt;=100,"До 100",IF(G2242&lt;=200,"До 200",IF(G2242&lt;=500,"До 500","Отдельное КП"))))</f>
        <v/>
      </c>
      <c r="N2242" s="15">
        <f>IF(OR(G2242="",L2242&lt;&gt;"Да"),"",IF(G2242&lt;=100,33600,IF(G2242&lt;=200,62400,IF(G2242&lt;=500,144000,""))))</f>
        <v/>
      </c>
      <c r="O2242" s="16">
        <f>IF(G2242="","",IF(G2242&lt;=15,"1–15",IF(G2242&lt;=30,"16–30",IF(G2242&lt;=50,"31–50",IF(G2242&lt;=100,"51–100",IF(G2242&lt;=150,"101–150",IF(G2242&lt;=200,"151–200",IF(G2242&lt;=500,"201–500","500+"))))))))</f>
        <v/>
      </c>
      <c r="P2242" s="16" t="inlineStr">
        <is>
          <t>Нет совпадения в предоставленной выгрузке ССЧР</t>
        </is>
      </c>
      <c r="Q2242" s="16" t="n"/>
      <c r="R2242" s="16">
        <f>HYPERLINK("https://checko.ru/search?query=3801001629","Чекко: проверить")</f>
        <v/>
      </c>
      <c r="S2242" t="n">
        <v>0</v>
      </c>
    </row>
    <row r="2243" ht="15" customHeight="1" s="24">
      <c r="A2243" s="13" t="n">
        <v>5000094722</v>
      </c>
      <c r="B2243" s="13" t="inlineStr">
        <is>
          <t>СПОРТИВНАЯ ШКОЛА №2 ЧЕРЕКСКОГО РАЙОНА</t>
        </is>
      </c>
      <c r="C2243" s="13" t="n">
        <v>706003050</v>
      </c>
      <c r="D2243" s="13" t="n"/>
      <c r="E2243" s="13" t="inlineStr">
        <is>
          <t>Не определён</t>
        </is>
      </c>
      <c r="F2243" s="13" t="inlineStr">
        <is>
          <t>706003050</t>
        </is>
      </c>
      <c r="G2243" s="14" t="n"/>
      <c r="H2243" s="14" t="n"/>
      <c r="I2243" s="14" t="n"/>
      <c r="J2243" s="14" t="n"/>
      <c r="K2243" s="13">
        <f>IF(G2243="","",IF(G2243&gt;=22,"Да","Нет"))</f>
        <v/>
      </c>
      <c r="L2243" s="13">
        <f>IF(OR(I2243="",J2243=""),"Не определено",IF(OR(COUNTIF(I2243,"45*")&gt;0,COUNTIF(J2243,"*45*")&gt;0,COUNTIF(I2243,"46*")&gt;0,COUNTIF(J2243,"*46*")&gt;0,COUNTIF(I2243,"47*")&gt;0,COUNTIF(J2243,"*47*")&gt;0,COUNTIF(I2243,"10*")&gt;0,COUNTIF(J2243,"*10*")&gt;0,COUNTIF(I2243,"11*")&gt;0,COUNTIF(J2243,"*11*")&gt;0,COUNTIF(I2243,"12*")&gt;0,COUNTIF(J2243,"*12*")&gt;0,COUNTIF(I2243,"13*")&gt;0,COUNTIF(J2243,"*13*")&gt;0,COUNTIF(I2243,"14*")&gt;0,COUNTIF(J2243,"*14*")&gt;0,COUNTIF(I2243,"15*")&gt;0,COUNTIF(J2243,"*15*")&gt;0,COUNTIF(I2243,"16*")&gt;0,COUNTIF(J2243,"*16*")&gt;0,COUNTIF(I2243,"17*")&gt;0,COUNTIF(J2243,"*17*")&gt;0,COUNTIF(I2243,"18*")&gt;0,COUNTIF(J2243,"*18*")&gt;0,COUNTIF(I2243,"19*")&gt;0,COUNTIF(J2243,"*19*")&gt;0,COUNTIF(I2243,"20*")&gt;0,COUNTIF(J2243,"*20*")&gt;0,COUNTIF(I2243,"21*")&gt;0,COUNTIF(J2243,"*21*")&gt;0,COUNTIF(I2243,"22*")&gt;0,COUNTIF(J2243,"*22*")&gt;0,COUNTIF(I2243,"23*")&gt;0,COUNTIF(J2243,"*23*")&gt;0,COUNTIF(I2243,"24*")&gt;0,COUNTIF(J2243,"*24*")&gt;0,COUNTIF(I2243,"25*")&gt;0,COUNTIF(J2243,"*25*")&gt;0,COUNTIF(I2243,"26*")&gt;0,COUNTIF(J2243,"*26*")&gt;0,COUNTIF(I2243,"27*")&gt;0,COUNTIF(J2243,"*27*")&gt;0,COUNTIF(I2243,"28*")&gt;0,COUNTIF(J2243,"*28*")&gt;0,COUNTIF(I2243,"29*")&gt;0,COUNTIF(J2243,"*29*")&gt;0,COUNTIF(I2243,"30*")&gt;0,COUNTIF(J2243,"*30*")&gt;0,COUNTIF(I2243,"31*")&gt;0,COUNTIF(J2243,"*31*")&gt;0,COUNTIF(I2243,"32*")&gt;0,COUNTIF(J2243,"*32*")&gt;0,COUNTIF(I2243,"33*")&gt;0,COUNTIF(J2243,"*33*")&gt;0,COUNTIF(I2243,"41*")&gt;0,COUNTIF(J2243,"*41*")&gt;0,COUNTIF(I2243,"42*")&gt;0,COUNTIF(J2243,"*42*")&gt;0,COUNTIF(I2243,"43*")&gt;0,COUNTIF(J2243,"*43*")&gt;0,COUNTIF(I2243,"49*")&gt;0,COUNTIF(J2243,"*49*")&gt;0,COUNTIF(I2243,"52*")&gt;0,COUNTIF(J2243,"*52*")&gt;0,COUNTIF(I2243,"55*")&gt;0,COUNTIF(J2243,"*55*")&gt;0,COUNTIF(I2243,"56*")&gt;0,COUNTIF(J2243,"*56*")&gt;0,COUNTIF(I2243,"68*")&gt;0,COUNTIF(J2243,"*68*")&gt;0,COUNTIF(I2243,"78*")&gt;0,COUNTIF(J2243,"*78*")&gt;0,COUNTIF(I2243,"81*")&gt;0,COUNTIF(J2243,"*81*")&gt;0,COUNTIF(I2243,"82*")&gt;0,COUNTIF(J2243,"*82*")&gt;0,COUNTIF(I2243,"64*")&gt;0,COUNTIF(J2243,"*64*")&gt;0,COUNTIF(I2243,"65*")&gt;0,COUNTIF(J2243,"*65*")&gt;0,COUNTIF(I2243,"66*")&gt;0,COUNTIF(J2243,"*66*")&gt;0,COUNTIF(I2243,"61*")&gt;0,COUNTIF(J2243,"*61*")&gt;0,COUNTIF(I2243,"62*")&gt;0,COUNTIF(J2243,"*62*")&gt;0,COUNTIF(I2243,"63*")&gt;0,COUNTIF(J2243,"*63*")&gt;0,COUNTIF(I2243,"85*")&gt;0,COUNTIF(J2243,"*85*")&gt;0,COUNTIF(I2243,"86*")&gt;0,COUNTIF(J2243,"*86*")&gt;0),"Да","Нет"))</f>
        <v/>
      </c>
      <c r="M2243" s="13">
        <f>IF(OR(G2243="",L2243&lt;&gt;"Да"),"",IF(G2243&lt;=100,"До 100",IF(G2243&lt;=200,"До 200",IF(G2243&lt;=500,"До 500","Отдельное КП"))))</f>
        <v/>
      </c>
      <c r="N2243" s="15">
        <f>IF(OR(G2243="",L2243&lt;&gt;"Да"),"",IF(G2243&lt;=100,33600,IF(G2243&lt;=200,62400,IF(G2243&lt;=500,144000,""))))</f>
        <v/>
      </c>
      <c r="O2243" s="16">
        <f>IF(G2243="","",IF(G2243&lt;=15,"1–15",IF(G2243&lt;=30,"16–30",IF(G2243&lt;=50,"31–50",IF(G2243&lt;=100,"51–100",IF(G2243&lt;=150,"101–150",IF(G2243&lt;=200,"151–200",IF(G2243&lt;=500,"201–500","500+"))))))))</f>
        <v/>
      </c>
      <c r="P2243" s="16" t="inlineStr">
        <is>
          <t>Нет совпадения в предоставленной выгрузке ССЧР</t>
        </is>
      </c>
      <c r="Q2243" s="16" t="n"/>
      <c r="R2243" s="16">
        <f>HYPERLINK("https://checko.ru/search?query=3801001629","Чекко: проверить")</f>
        <v/>
      </c>
      <c r="S2243" t="n">
        <v>0</v>
      </c>
    </row>
    <row r="2244" ht="15" customHeight="1" s="24">
      <c r="A2244" s="13" t="n">
        <v>5000094723</v>
      </c>
      <c r="B2244" s="13" t="inlineStr">
        <is>
          <t>ГБУЗ "Участковая больница" с.п.В.Балкария</t>
        </is>
      </c>
      <c r="C2244" s="13" t="n">
        <v>706003130</v>
      </c>
      <c r="D2244" s="13" t="n"/>
      <c r="E2244" s="13" t="inlineStr">
        <is>
          <t>Не определён</t>
        </is>
      </c>
      <c r="F2244" s="13" t="inlineStr">
        <is>
          <t>706003130</t>
        </is>
      </c>
      <c r="G2244" s="14" t="n"/>
      <c r="H2244" s="14" t="n"/>
      <c r="I2244" s="14" t="n"/>
      <c r="J2244" s="14" t="n"/>
      <c r="K2244" s="13">
        <f>IF(G2244="","",IF(G2244&gt;=22,"Да","Нет"))</f>
        <v/>
      </c>
      <c r="L2244" s="13">
        <f>IF(OR(I2244="",J2244=""),"Не определено",IF(OR(COUNTIF(I2244,"45*")&gt;0,COUNTIF(J2244,"*45*")&gt;0,COUNTIF(I2244,"46*")&gt;0,COUNTIF(J2244,"*46*")&gt;0,COUNTIF(I2244,"47*")&gt;0,COUNTIF(J2244,"*47*")&gt;0,COUNTIF(I2244,"10*")&gt;0,COUNTIF(J2244,"*10*")&gt;0,COUNTIF(I2244,"11*")&gt;0,COUNTIF(J2244,"*11*")&gt;0,COUNTIF(I2244,"12*")&gt;0,COUNTIF(J2244,"*12*")&gt;0,COUNTIF(I2244,"13*")&gt;0,COUNTIF(J2244,"*13*")&gt;0,COUNTIF(I2244,"14*")&gt;0,COUNTIF(J2244,"*14*")&gt;0,COUNTIF(I2244,"15*")&gt;0,COUNTIF(J2244,"*15*")&gt;0,COUNTIF(I2244,"16*")&gt;0,COUNTIF(J2244,"*16*")&gt;0,COUNTIF(I2244,"17*")&gt;0,COUNTIF(J2244,"*17*")&gt;0,COUNTIF(I2244,"18*")&gt;0,COUNTIF(J2244,"*18*")&gt;0,COUNTIF(I2244,"19*")&gt;0,COUNTIF(J2244,"*19*")&gt;0,COUNTIF(I2244,"20*")&gt;0,COUNTIF(J2244,"*20*")&gt;0,COUNTIF(I2244,"21*")&gt;0,COUNTIF(J2244,"*21*")&gt;0,COUNTIF(I2244,"22*")&gt;0,COUNTIF(J2244,"*22*")&gt;0,COUNTIF(I2244,"23*")&gt;0,COUNTIF(J2244,"*23*")&gt;0,COUNTIF(I2244,"24*")&gt;0,COUNTIF(J2244,"*24*")&gt;0,COUNTIF(I2244,"25*")&gt;0,COUNTIF(J2244,"*25*")&gt;0,COUNTIF(I2244,"26*")&gt;0,COUNTIF(J2244,"*26*")&gt;0,COUNTIF(I2244,"27*")&gt;0,COUNTIF(J2244,"*27*")&gt;0,COUNTIF(I2244,"28*")&gt;0,COUNTIF(J2244,"*28*")&gt;0,COUNTIF(I2244,"29*")&gt;0,COUNTIF(J2244,"*29*")&gt;0,COUNTIF(I2244,"30*")&gt;0,COUNTIF(J2244,"*30*")&gt;0,COUNTIF(I2244,"31*")&gt;0,COUNTIF(J2244,"*31*")&gt;0,COUNTIF(I2244,"32*")&gt;0,COUNTIF(J2244,"*32*")&gt;0,COUNTIF(I2244,"33*")&gt;0,COUNTIF(J2244,"*33*")&gt;0,COUNTIF(I2244,"41*")&gt;0,COUNTIF(J2244,"*41*")&gt;0,COUNTIF(I2244,"42*")&gt;0,COUNTIF(J2244,"*42*")&gt;0,COUNTIF(I2244,"43*")&gt;0,COUNTIF(J2244,"*43*")&gt;0,COUNTIF(I2244,"49*")&gt;0,COUNTIF(J2244,"*49*")&gt;0,COUNTIF(I2244,"52*")&gt;0,COUNTIF(J2244,"*52*")&gt;0,COUNTIF(I2244,"55*")&gt;0,COUNTIF(J2244,"*55*")&gt;0,COUNTIF(I2244,"56*")&gt;0,COUNTIF(J2244,"*56*")&gt;0,COUNTIF(I2244,"68*")&gt;0,COUNTIF(J2244,"*68*")&gt;0,COUNTIF(I2244,"78*")&gt;0,COUNTIF(J2244,"*78*")&gt;0,COUNTIF(I2244,"81*")&gt;0,COUNTIF(J2244,"*81*")&gt;0,COUNTIF(I2244,"82*")&gt;0,COUNTIF(J2244,"*82*")&gt;0,COUNTIF(I2244,"64*")&gt;0,COUNTIF(J2244,"*64*")&gt;0,COUNTIF(I2244,"65*")&gt;0,COUNTIF(J2244,"*65*")&gt;0,COUNTIF(I2244,"66*")&gt;0,COUNTIF(J2244,"*66*")&gt;0,COUNTIF(I2244,"61*")&gt;0,COUNTIF(J2244,"*61*")&gt;0,COUNTIF(I2244,"62*")&gt;0,COUNTIF(J2244,"*62*")&gt;0,COUNTIF(I2244,"63*")&gt;0,COUNTIF(J2244,"*63*")&gt;0,COUNTIF(I2244,"85*")&gt;0,COUNTIF(J2244,"*85*")&gt;0,COUNTIF(I2244,"86*")&gt;0,COUNTIF(J2244,"*86*")&gt;0),"Да","Нет"))</f>
        <v/>
      </c>
      <c r="M2244" s="13">
        <f>IF(OR(G2244="",L2244&lt;&gt;"Да"),"",IF(G2244&lt;=100,"До 100",IF(G2244&lt;=200,"До 200",IF(G2244&lt;=500,"До 500","Отдельное КП"))))</f>
        <v/>
      </c>
      <c r="N2244" s="15">
        <f>IF(OR(G2244="",L2244&lt;&gt;"Да"),"",IF(G2244&lt;=100,33600,IF(G2244&lt;=200,62400,IF(G2244&lt;=500,144000,""))))</f>
        <v/>
      </c>
      <c r="O2244" s="16">
        <f>IF(G2244="","",IF(G2244&lt;=15,"1–15",IF(G2244&lt;=30,"16–30",IF(G2244&lt;=50,"31–50",IF(G2244&lt;=100,"51–100",IF(G2244&lt;=150,"101–150",IF(G2244&lt;=200,"151–200",IF(G2244&lt;=500,"201–500","500+"))))))))</f>
        <v/>
      </c>
      <c r="P2244" s="16" t="inlineStr">
        <is>
          <t>Нет совпадения в предоставленной выгрузке ССЧР</t>
        </is>
      </c>
      <c r="Q2244" s="16" t="n"/>
      <c r="R2244" s="16">
        <f>HYPERLINK("https://checko.ru/search?query=3801001629","Чекко: проверить")</f>
        <v/>
      </c>
      <c r="S2244" t="n">
        <v>0</v>
      </c>
    </row>
    <row r="2245" ht="15" customHeight="1" s="24">
      <c r="A2245" s="13" t="n">
        <v>5000094724</v>
      </c>
      <c r="B2245" s="13" t="inlineStr">
        <is>
          <t>МКОУ СОШ г.п. Кашхатау</t>
        </is>
      </c>
      <c r="C2245" s="13" t="n">
        <v>706003187</v>
      </c>
      <c r="D2245" s="13" t="n"/>
      <c r="E2245" s="13" t="inlineStr">
        <is>
          <t>Не определён</t>
        </is>
      </c>
      <c r="F2245" s="13" t="inlineStr">
        <is>
          <t>706003187</t>
        </is>
      </c>
      <c r="G2245" s="14" t="n"/>
      <c r="H2245" s="14" t="n"/>
      <c r="I2245" s="14" t="n"/>
      <c r="J2245" s="14" t="n"/>
      <c r="K2245" s="13">
        <f>IF(G2245="","",IF(G2245&gt;=22,"Да","Нет"))</f>
        <v/>
      </c>
      <c r="L2245" s="13">
        <f>IF(OR(I2245="",J2245=""),"Не определено",IF(OR(COUNTIF(I2245,"45*")&gt;0,COUNTIF(J2245,"*45*")&gt;0,COUNTIF(I2245,"46*")&gt;0,COUNTIF(J2245,"*46*")&gt;0,COUNTIF(I2245,"47*")&gt;0,COUNTIF(J2245,"*47*")&gt;0,COUNTIF(I2245,"10*")&gt;0,COUNTIF(J2245,"*10*")&gt;0,COUNTIF(I2245,"11*")&gt;0,COUNTIF(J2245,"*11*")&gt;0,COUNTIF(I2245,"12*")&gt;0,COUNTIF(J2245,"*12*")&gt;0,COUNTIF(I2245,"13*")&gt;0,COUNTIF(J2245,"*13*")&gt;0,COUNTIF(I2245,"14*")&gt;0,COUNTIF(J2245,"*14*")&gt;0,COUNTIF(I2245,"15*")&gt;0,COUNTIF(J2245,"*15*")&gt;0,COUNTIF(I2245,"16*")&gt;0,COUNTIF(J2245,"*16*")&gt;0,COUNTIF(I2245,"17*")&gt;0,COUNTIF(J2245,"*17*")&gt;0,COUNTIF(I2245,"18*")&gt;0,COUNTIF(J2245,"*18*")&gt;0,COUNTIF(I2245,"19*")&gt;0,COUNTIF(J2245,"*19*")&gt;0,COUNTIF(I2245,"20*")&gt;0,COUNTIF(J2245,"*20*")&gt;0,COUNTIF(I2245,"21*")&gt;0,COUNTIF(J2245,"*21*")&gt;0,COUNTIF(I2245,"22*")&gt;0,COUNTIF(J2245,"*22*")&gt;0,COUNTIF(I2245,"23*")&gt;0,COUNTIF(J2245,"*23*")&gt;0,COUNTIF(I2245,"24*")&gt;0,COUNTIF(J2245,"*24*")&gt;0,COUNTIF(I2245,"25*")&gt;0,COUNTIF(J2245,"*25*")&gt;0,COUNTIF(I2245,"26*")&gt;0,COUNTIF(J2245,"*26*")&gt;0,COUNTIF(I2245,"27*")&gt;0,COUNTIF(J2245,"*27*")&gt;0,COUNTIF(I2245,"28*")&gt;0,COUNTIF(J2245,"*28*")&gt;0,COUNTIF(I2245,"29*")&gt;0,COUNTIF(J2245,"*29*")&gt;0,COUNTIF(I2245,"30*")&gt;0,COUNTIF(J2245,"*30*")&gt;0,COUNTIF(I2245,"31*")&gt;0,COUNTIF(J2245,"*31*")&gt;0,COUNTIF(I2245,"32*")&gt;0,COUNTIF(J2245,"*32*")&gt;0,COUNTIF(I2245,"33*")&gt;0,COUNTIF(J2245,"*33*")&gt;0,COUNTIF(I2245,"41*")&gt;0,COUNTIF(J2245,"*41*")&gt;0,COUNTIF(I2245,"42*")&gt;0,COUNTIF(J2245,"*42*")&gt;0,COUNTIF(I2245,"43*")&gt;0,COUNTIF(J2245,"*43*")&gt;0,COUNTIF(I2245,"49*")&gt;0,COUNTIF(J2245,"*49*")&gt;0,COUNTIF(I2245,"52*")&gt;0,COUNTIF(J2245,"*52*")&gt;0,COUNTIF(I2245,"55*")&gt;0,COUNTIF(J2245,"*55*")&gt;0,COUNTIF(I2245,"56*")&gt;0,COUNTIF(J2245,"*56*")&gt;0,COUNTIF(I2245,"68*")&gt;0,COUNTIF(J2245,"*68*")&gt;0,COUNTIF(I2245,"78*")&gt;0,COUNTIF(J2245,"*78*")&gt;0,COUNTIF(I2245,"81*")&gt;0,COUNTIF(J2245,"*81*")&gt;0,COUNTIF(I2245,"82*")&gt;0,COUNTIF(J2245,"*82*")&gt;0,COUNTIF(I2245,"64*")&gt;0,COUNTIF(J2245,"*64*")&gt;0,COUNTIF(I2245,"65*")&gt;0,COUNTIF(J2245,"*65*")&gt;0,COUNTIF(I2245,"66*")&gt;0,COUNTIF(J2245,"*66*")&gt;0,COUNTIF(I2245,"61*")&gt;0,COUNTIF(J2245,"*61*")&gt;0,COUNTIF(I2245,"62*")&gt;0,COUNTIF(J2245,"*62*")&gt;0,COUNTIF(I2245,"63*")&gt;0,COUNTIF(J2245,"*63*")&gt;0,COUNTIF(I2245,"85*")&gt;0,COUNTIF(J2245,"*85*")&gt;0,COUNTIF(I2245,"86*")&gt;0,COUNTIF(J2245,"*86*")&gt;0),"Да","Нет"))</f>
        <v/>
      </c>
      <c r="M2245" s="13">
        <f>IF(OR(G2245="",L2245&lt;&gt;"Да"),"",IF(G2245&lt;=100,"До 100",IF(G2245&lt;=200,"До 200",IF(G2245&lt;=500,"До 500","Отдельное КП"))))</f>
        <v/>
      </c>
      <c r="N2245" s="15">
        <f>IF(OR(G2245="",L2245&lt;&gt;"Да"),"",IF(G2245&lt;=100,33600,IF(G2245&lt;=200,62400,IF(G2245&lt;=500,144000,""))))</f>
        <v/>
      </c>
      <c r="O2245" s="16">
        <f>IF(G2245="","",IF(G2245&lt;=15,"1–15",IF(G2245&lt;=30,"16–30",IF(G2245&lt;=50,"31–50",IF(G2245&lt;=100,"51–100",IF(G2245&lt;=150,"101–150",IF(G2245&lt;=200,"151–200",IF(G2245&lt;=500,"201–500","500+"))))))))</f>
        <v/>
      </c>
      <c r="P2245" s="16" t="inlineStr">
        <is>
          <t>Нет совпадения в предоставленной выгрузке ССЧР</t>
        </is>
      </c>
      <c r="Q2245" s="16" t="n"/>
      <c r="R2245" s="16">
        <f>HYPERLINK("https://checko.ru/search?query=3801001629","Чекко: проверить")</f>
        <v/>
      </c>
      <c r="S2245" t="n">
        <v>0</v>
      </c>
    </row>
    <row r="2246" ht="15" customHeight="1" s="24">
      <c r="A2246" s="13" t="n">
        <v>5000094725</v>
      </c>
      <c r="B2246" s="13" t="inlineStr">
        <is>
          <t>СПОРТИВНАЯ ШКОЛА №1 ЧЕРЕКСКОГО РАЙОНА</t>
        </is>
      </c>
      <c r="C2246" s="13" t="n">
        <v>706003370</v>
      </c>
      <c r="D2246" s="13" t="n"/>
      <c r="E2246" s="13" t="inlineStr">
        <is>
          <t>Не определён</t>
        </is>
      </c>
      <c r="F2246" s="13" t="inlineStr">
        <is>
          <t>706003370</t>
        </is>
      </c>
      <c r="G2246" s="14" t="n"/>
      <c r="H2246" s="14" t="n"/>
      <c r="I2246" s="14" t="n"/>
      <c r="J2246" s="14" t="n"/>
      <c r="K2246" s="13">
        <f>IF(G2246="","",IF(G2246&gt;=22,"Да","Нет"))</f>
        <v/>
      </c>
      <c r="L2246" s="13">
        <f>IF(OR(I2246="",J2246=""),"Не определено",IF(OR(COUNTIF(I2246,"45*")&gt;0,COUNTIF(J2246,"*45*")&gt;0,COUNTIF(I2246,"46*")&gt;0,COUNTIF(J2246,"*46*")&gt;0,COUNTIF(I2246,"47*")&gt;0,COUNTIF(J2246,"*47*")&gt;0,COUNTIF(I2246,"10*")&gt;0,COUNTIF(J2246,"*10*")&gt;0,COUNTIF(I2246,"11*")&gt;0,COUNTIF(J2246,"*11*")&gt;0,COUNTIF(I2246,"12*")&gt;0,COUNTIF(J2246,"*12*")&gt;0,COUNTIF(I2246,"13*")&gt;0,COUNTIF(J2246,"*13*")&gt;0,COUNTIF(I2246,"14*")&gt;0,COUNTIF(J2246,"*14*")&gt;0,COUNTIF(I2246,"15*")&gt;0,COUNTIF(J2246,"*15*")&gt;0,COUNTIF(I2246,"16*")&gt;0,COUNTIF(J2246,"*16*")&gt;0,COUNTIF(I2246,"17*")&gt;0,COUNTIF(J2246,"*17*")&gt;0,COUNTIF(I2246,"18*")&gt;0,COUNTIF(J2246,"*18*")&gt;0,COUNTIF(I2246,"19*")&gt;0,COUNTIF(J2246,"*19*")&gt;0,COUNTIF(I2246,"20*")&gt;0,COUNTIF(J2246,"*20*")&gt;0,COUNTIF(I2246,"21*")&gt;0,COUNTIF(J2246,"*21*")&gt;0,COUNTIF(I2246,"22*")&gt;0,COUNTIF(J2246,"*22*")&gt;0,COUNTIF(I2246,"23*")&gt;0,COUNTIF(J2246,"*23*")&gt;0,COUNTIF(I2246,"24*")&gt;0,COUNTIF(J2246,"*24*")&gt;0,COUNTIF(I2246,"25*")&gt;0,COUNTIF(J2246,"*25*")&gt;0,COUNTIF(I2246,"26*")&gt;0,COUNTIF(J2246,"*26*")&gt;0,COUNTIF(I2246,"27*")&gt;0,COUNTIF(J2246,"*27*")&gt;0,COUNTIF(I2246,"28*")&gt;0,COUNTIF(J2246,"*28*")&gt;0,COUNTIF(I2246,"29*")&gt;0,COUNTIF(J2246,"*29*")&gt;0,COUNTIF(I2246,"30*")&gt;0,COUNTIF(J2246,"*30*")&gt;0,COUNTIF(I2246,"31*")&gt;0,COUNTIF(J2246,"*31*")&gt;0,COUNTIF(I2246,"32*")&gt;0,COUNTIF(J2246,"*32*")&gt;0,COUNTIF(I2246,"33*")&gt;0,COUNTIF(J2246,"*33*")&gt;0,COUNTIF(I2246,"41*")&gt;0,COUNTIF(J2246,"*41*")&gt;0,COUNTIF(I2246,"42*")&gt;0,COUNTIF(J2246,"*42*")&gt;0,COUNTIF(I2246,"43*")&gt;0,COUNTIF(J2246,"*43*")&gt;0,COUNTIF(I2246,"49*")&gt;0,COUNTIF(J2246,"*49*")&gt;0,COUNTIF(I2246,"52*")&gt;0,COUNTIF(J2246,"*52*")&gt;0,COUNTIF(I2246,"55*")&gt;0,COUNTIF(J2246,"*55*")&gt;0,COUNTIF(I2246,"56*")&gt;0,COUNTIF(J2246,"*56*")&gt;0,COUNTIF(I2246,"68*")&gt;0,COUNTIF(J2246,"*68*")&gt;0,COUNTIF(I2246,"78*")&gt;0,COUNTIF(J2246,"*78*")&gt;0,COUNTIF(I2246,"81*")&gt;0,COUNTIF(J2246,"*81*")&gt;0,COUNTIF(I2246,"82*")&gt;0,COUNTIF(J2246,"*82*")&gt;0,COUNTIF(I2246,"64*")&gt;0,COUNTIF(J2246,"*64*")&gt;0,COUNTIF(I2246,"65*")&gt;0,COUNTIF(J2246,"*65*")&gt;0,COUNTIF(I2246,"66*")&gt;0,COUNTIF(J2246,"*66*")&gt;0,COUNTIF(I2246,"61*")&gt;0,COUNTIF(J2246,"*61*")&gt;0,COUNTIF(I2246,"62*")&gt;0,COUNTIF(J2246,"*62*")&gt;0,COUNTIF(I2246,"63*")&gt;0,COUNTIF(J2246,"*63*")&gt;0,COUNTIF(I2246,"85*")&gt;0,COUNTIF(J2246,"*85*")&gt;0,COUNTIF(I2246,"86*")&gt;0,COUNTIF(J2246,"*86*")&gt;0),"Да","Нет"))</f>
        <v/>
      </c>
      <c r="M2246" s="13">
        <f>IF(OR(G2246="",L2246&lt;&gt;"Да"),"",IF(G2246&lt;=100,"До 100",IF(G2246&lt;=200,"До 200",IF(G2246&lt;=500,"До 500","Отдельное КП"))))</f>
        <v/>
      </c>
      <c r="N2246" s="15">
        <f>IF(OR(G2246="",L2246&lt;&gt;"Да"),"",IF(G2246&lt;=100,33600,IF(G2246&lt;=200,62400,IF(G2246&lt;=500,144000,""))))</f>
        <v/>
      </c>
      <c r="O2246" s="16">
        <f>IF(G2246="","",IF(G2246&lt;=15,"1–15",IF(G2246&lt;=30,"16–30",IF(G2246&lt;=50,"31–50",IF(G2246&lt;=100,"51–100",IF(G2246&lt;=150,"101–150",IF(G2246&lt;=200,"151–200",IF(G2246&lt;=500,"201–500","500+"))))))))</f>
        <v/>
      </c>
      <c r="P2246" s="16" t="inlineStr">
        <is>
          <t>Нет совпадения в предоставленной выгрузке ССЧР</t>
        </is>
      </c>
      <c r="Q2246" s="16" t="n"/>
      <c r="R2246" s="16">
        <f>HYPERLINK("https://checko.ru/search?query=3801001629","Чекко: проверить")</f>
        <v/>
      </c>
      <c r="S2246" t="n">
        <v>0</v>
      </c>
    </row>
    <row r="2247" ht="15" customHeight="1" s="24">
      <c r="A2247" s="13" t="n">
        <v>5000094727</v>
      </c>
      <c r="B2247" s="13" t="inlineStr">
        <is>
          <t>МКОУ СОШ №1 им.М.Уммаева с.п.В.Балкария</t>
        </is>
      </c>
      <c r="C2247" s="13" t="n">
        <v>706004423</v>
      </c>
      <c r="D2247" s="13" t="n"/>
      <c r="E2247" s="13" t="inlineStr">
        <is>
          <t>Не определён</t>
        </is>
      </c>
      <c r="F2247" s="13" t="inlineStr">
        <is>
          <t>706004423</t>
        </is>
      </c>
      <c r="G2247" s="14" t="n"/>
      <c r="H2247" s="14" t="n"/>
      <c r="I2247" s="14" t="n"/>
      <c r="J2247" s="14" t="n"/>
      <c r="K2247" s="13">
        <f>IF(G2247="","",IF(G2247&gt;=22,"Да","Нет"))</f>
        <v/>
      </c>
      <c r="L2247" s="13">
        <f>IF(OR(I2247="",J2247=""),"Не определено",IF(OR(COUNTIF(I2247,"45*")&gt;0,COUNTIF(J2247,"*45*")&gt;0,COUNTIF(I2247,"46*")&gt;0,COUNTIF(J2247,"*46*")&gt;0,COUNTIF(I2247,"47*")&gt;0,COUNTIF(J2247,"*47*")&gt;0,COUNTIF(I2247,"10*")&gt;0,COUNTIF(J2247,"*10*")&gt;0,COUNTIF(I2247,"11*")&gt;0,COUNTIF(J2247,"*11*")&gt;0,COUNTIF(I2247,"12*")&gt;0,COUNTIF(J2247,"*12*")&gt;0,COUNTIF(I2247,"13*")&gt;0,COUNTIF(J2247,"*13*")&gt;0,COUNTIF(I2247,"14*")&gt;0,COUNTIF(J2247,"*14*")&gt;0,COUNTIF(I2247,"15*")&gt;0,COUNTIF(J2247,"*15*")&gt;0,COUNTIF(I2247,"16*")&gt;0,COUNTIF(J2247,"*16*")&gt;0,COUNTIF(I2247,"17*")&gt;0,COUNTIF(J2247,"*17*")&gt;0,COUNTIF(I2247,"18*")&gt;0,COUNTIF(J2247,"*18*")&gt;0,COUNTIF(I2247,"19*")&gt;0,COUNTIF(J2247,"*19*")&gt;0,COUNTIF(I2247,"20*")&gt;0,COUNTIF(J2247,"*20*")&gt;0,COUNTIF(I2247,"21*")&gt;0,COUNTIF(J2247,"*21*")&gt;0,COUNTIF(I2247,"22*")&gt;0,COUNTIF(J2247,"*22*")&gt;0,COUNTIF(I2247,"23*")&gt;0,COUNTIF(J2247,"*23*")&gt;0,COUNTIF(I2247,"24*")&gt;0,COUNTIF(J2247,"*24*")&gt;0,COUNTIF(I2247,"25*")&gt;0,COUNTIF(J2247,"*25*")&gt;0,COUNTIF(I2247,"26*")&gt;0,COUNTIF(J2247,"*26*")&gt;0,COUNTIF(I2247,"27*")&gt;0,COUNTIF(J2247,"*27*")&gt;0,COUNTIF(I2247,"28*")&gt;0,COUNTIF(J2247,"*28*")&gt;0,COUNTIF(I2247,"29*")&gt;0,COUNTIF(J2247,"*29*")&gt;0,COUNTIF(I2247,"30*")&gt;0,COUNTIF(J2247,"*30*")&gt;0,COUNTIF(I2247,"31*")&gt;0,COUNTIF(J2247,"*31*")&gt;0,COUNTIF(I2247,"32*")&gt;0,COUNTIF(J2247,"*32*")&gt;0,COUNTIF(I2247,"33*")&gt;0,COUNTIF(J2247,"*33*")&gt;0,COUNTIF(I2247,"41*")&gt;0,COUNTIF(J2247,"*41*")&gt;0,COUNTIF(I2247,"42*")&gt;0,COUNTIF(J2247,"*42*")&gt;0,COUNTIF(I2247,"43*")&gt;0,COUNTIF(J2247,"*43*")&gt;0,COUNTIF(I2247,"49*")&gt;0,COUNTIF(J2247,"*49*")&gt;0,COUNTIF(I2247,"52*")&gt;0,COUNTIF(J2247,"*52*")&gt;0,COUNTIF(I2247,"55*")&gt;0,COUNTIF(J2247,"*55*")&gt;0,COUNTIF(I2247,"56*")&gt;0,COUNTIF(J2247,"*56*")&gt;0,COUNTIF(I2247,"68*")&gt;0,COUNTIF(J2247,"*68*")&gt;0,COUNTIF(I2247,"78*")&gt;0,COUNTIF(J2247,"*78*")&gt;0,COUNTIF(I2247,"81*")&gt;0,COUNTIF(J2247,"*81*")&gt;0,COUNTIF(I2247,"82*")&gt;0,COUNTIF(J2247,"*82*")&gt;0,COUNTIF(I2247,"64*")&gt;0,COUNTIF(J2247,"*64*")&gt;0,COUNTIF(I2247,"65*")&gt;0,COUNTIF(J2247,"*65*")&gt;0,COUNTIF(I2247,"66*")&gt;0,COUNTIF(J2247,"*66*")&gt;0,COUNTIF(I2247,"61*")&gt;0,COUNTIF(J2247,"*61*")&gt;0,COUNTIF(I2247,"62*")&gt;0,COUNTIF(J2247,"*62*")&gt;0,COUNTIF(I2247,"63*")&gt;0,COUNTIF(J2247,"*63*")&gt;0,COUNTIF(I2247,"85*")&gt;0,COUNTIF(J2247,"*85*")&gt;0,COUNTIF(I2247,"86*")&gt;0,COUNTIF(J2247,"*86*")&gt;0),"Да","Нет"))</f>
        <v/>
      </c>
      <c r="M2247" s="13">
        <f>IF(OR(G2247="",L2247&lt;&gt;"Да"),"",IF(G2247&lt;=100,"До 100",IF(G2247&lt;=200,"До 200",IF(G2247&lt;=500,"До 500","Отдельное КП"))))</f>
        <v/>
      </c>
      <c r="N2247" s="15">
        <f>IF(OR(G2247="",L2247&lt;&gt;"Да"),"",IF(G2247&lt;=100,33600,IF(G2247&lt;=200,62400,IF(G2247&lt;=500,144000,""))))</f>
        <v/>
      </c>
      <c r="O2247" s="16">
        <f>IF(G2247="","",IF(G2247&lt;=15,"1–15",IF(G2247&lt;=30,"16–30",IF(G2247&lt;=50,"31–50",IF(G2247&lt;=100,"51–100",IF(G2247&lt;=150,"101–150",IF(G2247&lt;=200,"151–200",IF(G2247&lt;=500,"201–500","500+"))))))))</f>
        <v/>
      </c>
      <c r="P2247" s="16" t="inlineStr">
        <is>
          <t>Нет совпадения в предоставленной выгрузке ССЧР</t>
        </is>
      </c>
      <c r="Q2247" s="16" t="n"/>
      <c r="R2247" s="16">
        <f>HYPERLINK("https://checko.ru/search?query=3801001629","Чекко: проверить")</f>
        <v/>
      </c>
      <c r="S2247" t="n">
        <v>0</v>
      </c>
    </row>
    <row r="2248" ht="15" customHeight="1" s="24">
      <c r="A2248" s="13" t="n">
        <v>5000094728</v>
      </c>
      <c r="B2248" s="13" t="inlineStr">
        <is>
          <t>МКОУ СОШ с.п.Аушигер</t>
        </is>
      </c>
      <c r="C2248" s="13" t="n">
        <v>706004455</v>
      </c>
      <c r="D2248" s="13" t="n"/>
      <c r="E2248" s="13" t="inlineStr">
        <is>
          <t>Не определён</t>
        </is>
      </c>
      <c r="F2248" s="13" t="inlineStr">
        <is>
          <t>706004455</t>
        </is>
      </c>
      <c r="G2248" s="14" t="n"/>
      <c r="H2248" s="14" t="n"/>
      <c r="I2248" s="14" t="n"/>
      <c r="J2248" s="14" t="n"/>
      <c r="K2248" s="13">
        <f>IF(G2248="","",IF(G2248&gt;=22,"Да","Нет"))</f>
        <v/>
      </c>
      <c r="L2248" s="13">
        <f>IF(OR(I2248="",J2248=""),"Не определено",IF(OR(COUNTIF(I2248,"45*")&gt;0,COUNTIF(J2248,"*45*")&gt;0,COUNTIF(I2248,"46*")&gt;0,COUNTIF(J2248,"*46*")&gt;0,COUNTIF(I2248,"47*")&gt;0,COUNTIF(J2248,"*47*")&gt;0,COUNTIF(I2248,"10*")&gt;0,COUNTIF(J2248,"*10*")&gt;0,COUNTIF(I2248,"11*")&gt;0,COUNTIF(J2248,"*11*")&gt;0,COUNTIF(I2248,"12*")&gt;0,COUNTIF(J2248,"*12*")&gt;0,COUNTIF(I2248,"13*")&gt;0,COUNTIF(J2248,"*13*")&gt;0,COUNTIF(I2248,"14*")&gt;0,COUNTIF(J2248,"*14*")&gt;0,COUNTIF(I2248,"15*")&gt;0,COUNTIF(J2248,"*15*")&gt;0,COUNTIF(I2248,"16*")&gt;0,COUNTIF(J2248,"*16*")&gt;0,COUNTIF(I2248,"17*")&gt;0,COUNTIF(J2248,"*17*")&gt;0,COUNTIF(I2248,"18*")&gt;0,COUNTIF(J2248,"*18*")&gt;0,COUNTIF(I2248,"19*")&gt;0,COUNTIF(J2248,"*19*")&gt;0,COUNTIF(I2248,"20*")&gt;0,COUNTIF(J2248,"*20*")&gt;0,COUNTIF(I2248,"21*")&gt;0,COUNTIF(J2248,"*21*")&gt;0,COUNTIF(I2248,"22*")&gt;0,COUNTIF(J2248,"*22*")&gt;0,COUNTIF(I2248,"23*")&gt;0,COUNTIF(J2248,"*23*")&gt;0,COUNTIF(I2248,"24*")&gt;0,COUNTIF(J2248,"*24*")&gt;0,COUNTIF(I2248,"25*")&gt;0,COUNTIF(J2248,"*25*")&gt;0,COUNTIF(I2248,"26*")&gt;0,COUNTIF(J2248,"*26*")&gt;0,COUNTIF(I2248,"27*")&gt;0,COUNTIF(J2248,"*27*")&gt;0,COUNTIF(I2248,"28*")&gt;0,COUNTIF(J2248,"*28*")&gt;0,COUNTIF(I2248,"29*")&gt;0,COUNTIF(J2248,"*29*")&gt;0,COUNTIF(I2248,"30*")&gt;0,COUNTIF(J2248,"*30*")&gt;0,COUNTIF(I2248,"31*")&gt;0,COUNTIF(J2248,"*31*")&gt;0,COUNTIF(I2248,"32*")&gt;0,COUNTIF(J2248,"*32*")&gt;0,COUNTIF(I2248,"33*")&gt;0,COUNTIF(J2248,"*33*")&gt;0,COUNTIF(I2248,"41*")&gt;0,COUNTIF(J2248,"*41*")&gt;0,COUNTIF(I2248,"42*")&gt;0,COUNTIF(J2248,"*42*")&gt;0,COUNTIF(I2248,"43*")&gt;0,COUNTIF(J2248,"*43*")&gt;0,COUNTIF(I2248,"49*")&gt;0,COUNTIF(J2248,"*49*")&gt;0,COUNTIF(I2248,"52*")&gt;0,COUNTIF(J2248,"*52*")&gt;0,COUNTIF(I2248,"55*")&gt;0,COUNTIF(J2248,"*55*")&gt;0,COUNTIF(I2248,"56*")&gt;0,COUNTIF(J2248,"*56*")&gt;0,COUNTIF(I2248,"68*")&gt;0,COUNTIF(J2248,"*68*")&gt;0,COUNTIF(I2248,"78*")&gt;0,COUNTIF(J2248,"*78*")&gt;0,COUNTIF(I2248,"81*")&gt;0,COUNTIF(J2248,"*81*")&gt;0,COUNTIF(I2248,"82*")&gt;0,COUNTIF(J2248,"*82*")&gt;0,COUNTIF(I2248,"64*")&gt;0,COUNTIF(J2248,"*64*")&gt;0,COUNTIF(I2248,"65*")&gt;0,COUNTIF(J2248,"*65*")&gt;0,COUNTIF(I2248,"66*")&gt;0,COUNTIF(J2248,"*66*")&gt;0,COUNTIF(I2248,"61*")&gt;0,COUNTIF(J2248,"*61*")&gt;0,COUNTIF(I2248,"62*")&gt;0,COUNTIF(J2248,"*62*")&gt;0,COUNTIF(I2248,"63*")&gt;0,COUNTIF(J2248,"*63*")&gt;0,COUNTIF(I2248,"85*")&gt;0,COUNTIF(J2248,"*85*")&gt;0,COUNTIF(I2248,"86*")&gt;0,COUNTIF(J2248,"*86*")&gt;0),"Да","Нет"))</f>
        <v/>
      </c>
      <c r="M2248" s="13">
        <f>IF(OR(G2248="",L2248&lt;&gt;"Да"),"",IF(G2248&lt;=100,"До 100",IF(G2248&lt;=200,"До 200",IF(G2248&lt;=500,"До 500","Отдельное КП"))))</f>
        <v/>
      </c>
      <c r="N2248" s="15">
        <f>IF(OR(G2248="",L2248&lt;&gt;"Да"),"",IF(G2248&lt;=100,33600,IF(G2248&lt;=200,62400,IF(G2248&lt;=500,144000,""))))</f>
        <v/>
      </c>
      <c r="O2248" s="16">
        <f>IF(G2248="","",IF(G2248&lt;=15,"1–15",IF(G2248&lt;=30,"16–30",IF(G2248&lt;=50,"31–50",IF(G2248&lt;=100,"51–100",IF(G2248&lt;=150,"101–150",IF(G2248&lt;=200,"151–200",IF(G2248&lt;=500,"201–500","500+"))))))))</f>
        <v/>
      </c>
      <c r="P2248" s="16" t="inlineStr">
        <is>
          <t>Нет совпадения в предоставленной выгрузке ССЧР</t>
        </is>
      </c>
      <c r="Q2248" s="16" t="n"/>
      <c r="R2248" s="16">
        <f>HYPERLINK("https://checko.ru/search?query=3801001629","Чекко: проверить")</f>
        <v/>
      </c>
      <c r="S2248" t="n">
        <v>0</v>
      </c>
    </row>
    <row r="2249" ht="15" customHeight="1" s="24">
      <c r="A2249" s="13" t="n">
        <v>5000094729</v>
      </c>
      <c r="B2249" s="13" t="inlineStr">
        <is>
          <t>ЧЕРЕКСКИЙ РАЙСПОРТКОМИТЕТ</t>
        </is>
      </c>
      <c r="C2249" s="13" t="n">
        <v>706004984</v>
      </c>
      <c r="D2249" s="13" t="n"/>
      <c r="E2249" s="13" t="inlineStr">
        <is>
          <t>Не определён</t>
        </is>
      </c>
      <c r="F2249" s="13" t="inlineStr">
        <is>
          <t>706004984</t>
        </is>
      </c>
      <c r="G2249" s="14" t="n"/>
      <c r="H2249" s="14" t="n"/>
      <c r="I2249" s="14" t="n"/>
      <c r="J2249" s="14" t="n"/>
      <c r="K2249" s="13">
        <f>IF(G2249="","",IF(G2249&gt;=22,"Да","Нет"))</f>
        <v/>
      </c>
      <c r="L2249" s="13">
        <f>IF(OR(I2249="",J2249=""),"Не определено",IF(OR(COUNTIF(I2249,"45*")&gt;0,COUNTIF(J2249,"*45*")&gt;0,COUNTIF(I2249,"46*")&gt;0,COUNTIF(J2249,"*46*")&gt;0,COUNTIF(I2249,"47*")&gt;0,COUNTIF(J2249,"*47*")&gt;0,COUNTIF(I2249,"10*")&gt;0,COUNTIF(J2249,"*10*")&gt;0,COUNTIF(I2249,"11*")&gt;0,COUNTIF(J2249,"*11*")&gt;0,COUNTIF(I2249,"12*")&gt;0,COUNTIF(J2249,"*12*")&gt;0,COUNTIF(I2249,"13*")&gt;0,COUNTIF(J2249,"*13*")&gt;0,COUNTIF(I2249,"14*")&gt;0,COUNTIF(J2249,"*14*")&gt;0,COUNTIF(I2249,"15*")&gt;0,COUNTIF(J2249,"*15*")&gt;0,COUNTIF(I2249,"16*")&gt;0,COUNTIF(J2249,"*16*")&gt;0,COUNTIF(I2249,"17*")&gt;0,COUNTIF(J2249,"*17*")&gt;0,COUNTIF(I2249,"18*")&gt;0,COUNTIF(J2249,"*18*")&gt;0,COUNTIF(I2249,"19*")&gt;0,COUNTIF(J2249,"*19*")&gt;0,COUNTIF(I2249,"20*")&gt;0,COUNTIF(J2249,"*20*")&gt;0,COUNTIF(I2249,"21*")&gt;0,COUNTIF(J2249,"*21*")&gt;0,COUNTIF(I2249,"22*")&gt;0,COUNTIF(J2249,"*22*")&gt;0,COUNTIF(I2249,"23*")&gt;0,COUNTIF(J2249,"*23*")&gt;0,COUNTIF(I2249,"24*")&gt;0,COUNTIF(J2249,"*24*")&gt;0,COUNTIF(I2249,"25*")&gt;0,COUNTIF(J2249,"*25*")&gt;0,COUNTIF(I2249,"26*")&gt;0,COUNTIF(J2249,"*26*")&gt;0,COUNTIF(I2249,"27*")&gt;0,COUNTIF(J2249,"*27*")&gt;0,COUNTIF(I2249,"28*")&gt;0,COUNTIF(J2249,"*28*")&gt;0,COUNTIF(I2249,"29*")&gt;0,COUNTIF(J2249,"*29*")&gt;0,COUNTIF(I2249,"30*")&gt;0,COUNTIF(J2249,"*30*")&gt;0,COUNTIF(I2249,"31*")&gt;0,COUNTIF(J2249,"*31*")&gt;0,COUNTIF(I2249,"32*")&gt;0,COUNTIF(J2249,"*32*")&gt;0,COUNTIF(I2249,"33*")&gt;0,COUNTIF(J2249,"*33*")&gt;0,COUNTIF(I2249,"41*")&gt;0,COUNTIF(J2249,"*41*")&gt;0,COUNTIF(I2249,"42*")&gt;0,COUNTIF(J2249,"*42*")&gt;0,COUNTIF(I2249,"43*")&gt;0,COUNTIF(J2249,"*43*")&gt;0,COUNTIF(I2249,"49*")&gt;0,COUNTIF(J2249,"*49*")&gt;0,COUNTIF(I2249,"52*")&gt;0,COUNTIF(J2249,"*52*")&gt;0,COUNTIF(I2249,"55*")&gt;0,COUNTIF(J2249,"*55*")&gt;0,COUNTIF(I2249,"56*")&gt;0,COUNTIF(J2249,"*56*")&gt;0,COUNTIF(I2249,"68*")&gt;0,COUNTIF(J2249,"*68*")&gt;0,COUNTIF(I2249,"78*")&gt;0,COUNTIF(J2249,"*78*")&gt;0,COUNTIF(I2249,"81*")&gt;0,COUNTIF(J2249,"*81*")&gt;0,COUNTIF(I2249,"82*")&gt;0,COUNTIF(J2249,"*82*")&gt;0,COUNTIF(I2249,"64*")&gt;0,COUNTIF(J2249,"*64*")&gt;0,COUNTIF(I2249,"65*")&gt;0,COUNTIF(J2249,"*65*")&gt;0,COUNTIF(I2249,"66*")&gt;0,COUNTIF(J2249,"*66*")&gt;0,COUNTIF(I2249,"61*")&gt;0,COUNTIF(J2249,"*61*")&gt;0,COUNTIF(I2249,"62*")&gt;0,COUNTIF(J2249,"*62*")&gt;0,COUNTIF(I2249,"63*")&gt;0,COUNTIF(J2249,"*63*")&gt;0,COUNTIF(I2249,"85*")&gt;0,COUNTIF(J2249,"*85*")&gt;0,COUNTIF(I2249,"86*")&gt;0,COUNTIF(J2249,"*86*")&gt;0),"Да","Нет"))</f>
        <v/>
      </c>
      <c r="M2249" s="13">
        <f>IF(OR(G2249="",L2249&lt;&gt;"Да"),"",IF(G2249&lt;=100,"До 100",IF(G2249&lt;=200,"До 200",IF(G2249&lt;=500,"До 500","Отдельное КП"))))</f>
        <v/>
      </c>
      <c r="N2249" s="15">
        <f>IF(OR(G2249="",L2249&lt;&gt;"Да"),"",IF(G2249&lt;=100,33600,IF(G2249&lt;=200,62400,IF(G2249&lt;=500,144000,""))))</f>
        <v/>
      </c>
      <c r="O2249" s="16">
        <f>IF(G2249="","",IF(G2249&lt;=15,"1–15",IF(G2249&lt;=30,"16–30",IF(G2249&lt;=50,"31–50",IF(G2249&lt;=100,"51–100",IF(G2249&lt;=150,"101–150",IF(G2249&lt;=200,"151–200",IF(G2249&lt;=500,"201–500","500+"))))))))</f>
        <v/>
      </c>
      <c r="P2249" s="16" t="inlineStr">
        <is>
          <t>Нет совпадения в предоставленной выгрузке ССЧР</t>
        </is>
      </c>
      <c r="Q2249" s="16" t="n"/>
      <c r="R2249" s="16">
        <f>HYPERLINK("https://checko.ru/search?query=3801001629","Чекко: проверить")</f>
        <v/>
      </c>
      <c r="S2249" t="n">
        <v>0</v>
      </c>
    </row>
    <row r="2250" ht="15" customHeight="1" s="24">
      <c r="A2250" s="13" t="n">
        <v>5000094731</v>
      </c>
      <c r="B2250" s="13" t="inlineStr">
        <is>
          <t>СДК С.П. БАБУГЕНТ</t>
        </is>
      </c>
      <c r="C2250" s="13" t="n">
        <v>706005321</v>
      </c>
      <c r="D2250" s="13" t="n"/>
      <c r="E2250" s="13" t="inlineStr">
        <is>
          <t>Не определён</t>
        </is>
      </c>
      <c r="F2250" s="13" t="inlineStr">
        <is>
          <t>706005321</t>
        </is>
      </c>
      <c r="G2250" s="14" t="n"/>
      <c r="H2250" s="14" t="n"/>
      <c r="I2250" s="14" t="n"/>
      <c r="J2250" s="14" t="n"/>
      <c r="K2250" s="13">
        <f>IF(G2250="","",IF(G2250&gt;=22,"Да","Нет"))</f>
        <v/>
      </c>
      <c r="L2250" s="13">
        <f>IF(OR(I2250="",J2250=""),"Не определено",IF(OR(COUNTIF(I2250,"45*")&gt;0,COUNTIF(J2250,"*45*")&gt;0,COUNTIF(I2250,"46*")&gt;0,COUNTIF(J2250,"*46*")&gt;0,COUNTIF(I2250,"47*")&gt;0,COUNTIF(J2250,"*47*")&gt;0,COUNTIF(I2250,"10*")&gt;0,COUNTIF(J2250,"*10*")&gt;0,COUNTIF(I2250,"11*")&gt;0,COUNTIF(J2250,"*11*")&gt;0,COUNTIF(I2250,"12*")&gt;0,COUNTIF(J2250,"*12*")&gt;0,COUNTIF(I2250,"13*")&gt;0,COUNTIF(J2250,"*13*")&gt;0,COUNTIF(I2250,"14*")&gt;0,COUNTIF(J2250,"*14*")&gt;0,COUNTIF(I2250,"15*")&gt;0,COUNTIF(J2250,"*15*")&gt;0,COUNTIF(I2250,"16*")&gt;0,COUNTIF(J2250,"*16*")&gt;0,COUNTIF(I2250,"17*")&gt;0,COUNTIF(J2250,"*17*")&gt;0,COUNTIF(I2250,"18*")&gt;0,COUNTIF(J2250,"*18*")&gt;0,COUNTIF(I2250,"19*")&gt;0,COUNTIF(J2250,"*19*")&gt;0,COUNTIF(I2250,"20*")&gt;0,COUNTIF(J2250,"*20*")&gt;0,COUNTIF(I2250,"21*")&gt;0,COUNTIF(J2250,"*21*")&gt;0,COUNTIF(I2250,"22*")&gt;0,COUNTIF(J2250,"*22*")&gt;0,COUNTIF(I2250,"23*")&gt;0,COUNTIF(J2250,"*23*")&gt;0,COUNTIF(I2250,"24*")&gt;0,COUNTIF(J2250,"*24*")&gt;0,COUNTIF(I2250,"25*")&gt;0,COUNTIF(J2250,"*25*")&gt;0,COUNTIF(I2250,"26*")&gt;0,COUNTIF(J2250,"*26*")&gt;0,COUNTIF(I2250,"27*")&gt;0,COUNTIF(J2250,"*27*")&gt;0,COUNTIF(I2250,"28*")&gt;0,COUNTIF(J2250,"*28*")&gt;0,COUNTIF(I2250,"29*")&gt;0,COUNTIF(J2250,"*29*")&gt;0,COUNTIF(I2250,"30*")&gt;0,COUNTIF(J2250,"*30*")&gt;0,COUNTIF(I2250,"31*")&gt;0,COUNTIF(J2250,"*31*")&gt;0,COUNTIF(I2250,"32*")&gt;0,COUNTIF(J2250,"*32*")&gt;0,COUNTIF(I2250,"33*")&gt;0,COUNTIF(J2250,"*33*")&gt;0,COUNTIF(I2250,"41*")&gt;0,COUNTIF(J2250,"*41*")&gt;0,COUNTIF(I2250,"42*")&gt;0,COUNTIF(J2250,"*42*")&gt;0,COUNTIF(I2250,"43*")&gt;0,COUNTIF(J2250,"*43*")&gt;0,COUNTIF(I2250,"49*")&gt;0,COUNTIF(J2250,"*49*")&gt;0,COUNTIF(I2250,"52*")&gt;0,COUNTIF(J2250,"*52*")&gt;0,COUNTIF(I2250,"55*")&gt;0,COUNTIF(J2250,"*55*")&gt;0,COUNTIF(I2250,"56*")&gt;0,COUNTIF(J2250,"*56*")&gt;0,COUNTIF(I2250,"68*")&gt;0,COUNTIF(J2250,"*68*")&gt;0,COUNTIF(I2250,"78*")&gt;0,COUNTIF(J2250,"*78*")&gt;0,COUNTIF(I2250,"81*")&gt;0,COUNTIF(J2250,"*81*")&gt;0,COUNTIF(I2250,"82*")&gt;0,COUNTIF(J2250,"*82*")&gt;0,COUNTIF(I2250,"64*")&gt;0,COUNTIF(J2250,"*64*")&gt;0,COUNTIF(I2250,"65*")&gt;0,COUNTIF(J2250,"*65*")&gt;0,COUNTIF(I2250,"66*")&gt;0,COUNTIF(J2250,"*66*")&gt;0,COUNTIF(I2250,"61*")&gt;0,COUNTIF(J2250,"*61*")&gt;0,COUNTIF(I2250,"62*")&gt;0,COUNTIF(J2250,"*62*")&gt;0,COUNTIF(I2250,"63*")&gt;0,COUNTIF(J2250,"*63*")&gt;0,COUNTIF(I2250,"85*")&gt;0,COUNTIF(J2250,"*85*")&gt;0,COUNTIF(I2250,"86*")&gt;0,COUNTIF(J2250,"*86*")&gt;0),"Да","Нет"))</f>
        <v/>
      </c>
      <c r="M2250" s="13">
        <f>IF(OR(G2250="",L2250&lt;&gt;"Да"),"",IF(G2250&lt;=100,"До 100",IF(G2250&lt;=200,"До 200",IF(G2250&lt;=500,"До 500","Отдельное КП"))))</f>
        <v/>
      </c>
      <c r="N2250" s="15">
        <f>IF(OR(G2250="",L2250&lt;&gt;"Да"),"",IF(G2250&lt;=100,33600,IF(G2250&lt;=200,62400,IF(G2250&lt;=500,144000,""))))</f>
        <v/>
      </c>
      <c r="O2250" s="16">
        <f>IF(G2250="","",IF(G2250&lt;=15,"1–15",IF(G2250&lt;=30,"16–30",IF(G2250&lt;=50,"31–50",IF(G2250&lt;=100,"51–100",IF(G2250&lt;=150,"101–150",IF(G2250&lt;=200,"151–200",IF(G2250&lt;=500,"201–500","500+"))))))))</f>
        <v/>
      </c>
      <c r="P2250" s="16" t="inlineStr">
        <is>
          <t>Нет совпадения в предоставленной выгрузке ССЧР</t>
        </is>
      </c>
      <c r="Q2250" s="16" t="n"/>
      <c r="R2250" s="16">
        <f>HYPERLINK("https://checko.ru/search?query=3801001629","Чекко: проверить")</f>
        <v/>
      </c>
      <c r="S2250" t="n">
        <v>0</v>
      </c>
    </row>
    <row r="2251" ht="15" customHeight="1" s="24">
      <c r="A2251" s="13" t="n">
        <v>5000094732</v>
      </c>
      <c r="B2251" s="13" t="inlineStr">
        <is>
          <t>МКУ "СЕЛЬСКИЙ ДОМ КУЛЬТУРЫ" С.П. ЖЕМТАЛА</t>
        </is>
      </c>
      <c r="C2251" s="13" t="n">
        <v>706005339</v>
      </c>
      <c r="D2251" s="13" t="n"/>
      <c r="E2251" s="13" t="inlineStr">
        <is>
          <t>Не определён</t>
        </is>
      </c>
      <c r="F2251" s="13" t="inlineStr">
        <is>
          <t>706005339</t>
        </is>
      </c>
      <c r="G2251" s="14" t="n"/>
      <c r="H2251" s="14" t="n"/>
      <c r="I2251" s="14" t="n"/>
      <c r="J2251" s="14" t="n"/>
      <c r="K2251" s="13">
        <f>IF(G2251="","",IF(G2251&gt;=22,"Да","Нет"))</f>
        <v/>
      </c>
      <c r="L2251" s="13">
        <f>IF(OR(I2251="",J2251=""),"Не определено",IF(OR(COUNTIF(I2251,"45*")&gt;0,COUNTIF(J2251,"*45*")&gt;0,COUNTIF(I2251,"46*")&gt;0,COUNTIF(J2251,"*46*")&gt;0,COUNTIF(I2251,"47*")&gt;0,COUNTIF(J2251,"*47*")&gt;0,COUNTIF(I2251,"10*")&gt;0,COUNTIF(J2251,"*10*")&gt;0,COUNTIF(I2251,"11*")&gt;0,COUNTIF(J2251,"*11*")&gt;0,COUNTIF(I2251,"12*")&gt;0,COUNTIF(J2251,"*12*")&gt;0,COUNTIF(I2251,"13*")&gt;0,COUNTIF(J2251,"*13*")&gt;0,COUNTIF(I2251,"14*")&gt;0,COUNTIF(J2251,"*14*")&gt;0,COUNTIF(I2251,"15*")&gt;0,COUNTIF(J2251,"*15*")&gt;0,COUNTIF(I2251,"16*")&gt;0,COUNTIF(J2251,"*16*")&gt;0,COUNTIF(I2251,"17*")&gt;0,COUNTIF(J2251,"*17*")&gt;0,COUNTIF(I2251,"18*")&gt;0,COUNTIF(J2251,"*18*")&gt;0,COUNTIF(I2251,"19*")&gt;0,COUNTIF(J2251,"*19*")&gt;0,COUNTIF(I2251,"20*")&gt;0,COUNTIF(J2251,"*20*")&gt;0,COUNTIF(I2251,"21*")&gt;0,COUNTIF(J2251,"*21*")&gt;0,COUNTIF(I2251,"22*")&gt;0,COUNTIF(J2251,"*22*")&gt;0,COUNTIF(I2251,"23*")&gt;0,COUNTIF(J2251,"*23*")&gt;0,COUNTIF(I2251,"24*")&gt;0,COUNTIF(J2251,"*24*")&gt;0,COUNTIF(I2251,"25*")&gt;0,COUNTIF(J2251,"*25*")&gt;0,COUNTIF(I2251,"26*")&gt;0,COUNTIF(J2251,"*26*")&gt;0,COUNTIF(I2251,"27*")&gt;0,COUNTIF(J2251,"*27*")&gt;0,COUNTIF(I2251,"28*")&gt;0,COUNTIF(J2251,"*28*")&gt;0,COUNTIF(I2251,"29*")&gt;0,COUNTIF(J2251,"*29*")&gt;0,COUNTIF(I2251,"30*")&gt;0,COUNTIF(J2251,"*30*")&gt;0,COUNTIF(I2251,"31*")&gt;0,COUNTIF(J2251,"*31*")&gt;0,COUNTIF(I2251,"32*")&gt;0,COUNTIF(J2251,"*32*")&gt;0,COUNTIF(I2251,"33*")&gt;0,COUNTIF(J2251,"*33*")&gt;0,COUNTIF(I2251,"41*")&gt;0,COUNTIF(J2251,"*41*")&gt;0,COUNTIF(I2251,"42*")&gt;0,COUNTIF(J2251,"*42*")&gt;0,COUNTIF(I2251,"43*")&gt;0,COUNTIF(J2251,"*43*")&gt;0,COUNTIF(I2251,"49*")&gt;0,COUNTIF(J2251,"*49*")&gt;0,COUNTIF(I2251,"52*")&gt;0,COUNTIF(J2251,"*52*")&gt;0,COUNTIF(I2251,"55*")&gt;0,COUNTIF(J2251,"*55*")&gt;0,COUNTIF(I2251,"56*")&gt;0,COUNTIF(J2251,"*56*")&gt;0,COUNTIF(I2251,"68*")&gt;0,COUNTIF(J2251,"*68*")&gt;0,COUNTIF(I2251,"78*")&gt;0,COUNTIF(J2251,"*78*")&gt;0,COUNTIF(I2251,"81*")&gt;0,COUNTIF(J2251,"*81*")&gt;0,COUNTIF(I2251,"82*")&gt;0,COUNTIF(J2251,"*82*")&gt;0,COUNTIF(I2251,"64*")&gt;0,COUNTIF(J2251,"*64*")&gt;0,COUNTIF(I2251,"65*")&gt;0,COUNTIF(J2251,"*65*")&gt;0,COUNTIF(I2251,"66*")&gt;0,COUNTIF(J2251,"*66*")&gt;0,COUNTIF(I2251,"61*")&gt;0,COUNTIF(J2251,"*61*")&gt;0,COUNTIF(I2251,"62*")&gt;0,COUNTIF(J2251,"*62*")&gt;0,COUNTIF(I2251,"63*")&gt;0,COUNTIF(J2251,"*63*")&gt;0,COUNTIF(I2251,"85*")&gt;0,COUNTIF(J2251,"*85*")&gt;0,COUNTIF(I2251,"86*")&gt;0,COUNTIF(J2251,"*86*")&gt;0),"Да","Нет"))</f>
        <v/>
      </c>
      <c r="M2251" s="13">
        <f>IF(OR(G2251="",L2251&lt;&gt;"Да"),"",IF(G2251&lt;=100,"До 100",IF(G2251&lt;=200,"До 200",IF(G2251&lt;=500,"До 500","Отдельное КП"))))</f>
        <v/>
      </c>
      <c r="N2251" s="15">
        <f>IF(OR(G2251="",L2251&lt;&gt;"Да"),"",IF(G2251&lt;=100,33600,IF(G2251&lt;=200,62400,IF(G2251&lt;=500,144000,""))))</f>
        <v/>
      </c>
      <c r="O2251" s="16">
        <f>IF(G2251="","",IF(G2251&lt;=15,"1–15",IF(G2251&lt;=30,"16–30",IF(G2251&lt;=50,"31–50",IF(G2251&lt;=100,"51–100",IF(G2251&lt;=150,"101–150",IF(G2251&lt;=200,"151–200",IF(G2251&lt;=500,"201–500","500+"))))))))</f>
        <v/>
      </c>
      <c r="P2251" s="16" t="inlineStr">
        <is>
          <t>Нет совпадения в предоставленной выгрузке ССЧР</t>
        </is>
      </c>
      <c r="Q2251" s="16" t="n"/>
      <c r="R2251" s="16">
        <f>HYPERLINK("https://checko.ru/search?query=3801001629","Чекко: проверить")</f>
        <v/>
      </c>
      <c r="S2251" t="n">
        <v>0</v>
      </c>
    </row>
    <row r="2252" ht="15" customHeight="1" s="24">
      <c r="A2252" s="13" t="n">
        <v>5000094733</v>
      </c>
      <c r="B2252" s="13" t="inlineStr">
        <is>
          <t>МКУ СДК С.П.ГЕРПЕГЕЖ</t>
        </is>
      </c>
      <c r="C2252" s="13" t="n">
        <v>706005346</v>
      </c>
      <c r="D2252" s="13" t="n"/>
      <c r="E2252" s="13" t="inlineStr">
        <is>
          <t>Не определён</t>
        </is>
      </c>
      <c r="F2252" s="13" t="inlineStr">
        <is>
          <t>706005346</t>
        </is>
      </c>
      <c r="G2252" s="14" t="n"/>
      <c r="H2252" s="14" t="n"/>
      <c r="I2252" s="14" t="n"/>
      <c r="J2252" s="14" t="n"/>
      <c r="K2252" s="13">
        <f>IF(G2252="","",IF(G2252&gt;=22,"Да","Нет"))</f>
        <v/>
      </c>
      <c r="L2252" s="13">
        <f>IF(OR(I2252="",J2252=""),"Не определено",IF(OR(COUNTIF(I2252,"45*")&gt;0,COUNTIF(J2252,"*45*")&gt;0,COUNTIF(I2252,"46*")&gt;0,COUNTIF(J2252,"*46*")&gt;0,COUNTIF(I2252,"47*")&gt;0,COUNTIF(J2252,"*47*")&gt;0,COUNTIF(I2252,"10*")&gt;0,COUNTIF(J2252,"*10*")&gt;0,COUNTIF(I2252,"11*")&gt;0,COUNTIF(J2252,"*11*")&gt;0,COUNTIF(I2252,"12*")&gt;0,COUNTIF(J2252,"*12*")&gt;0,COUNTIF(I2252,"13*")&gt;0,COUNTIF(J2252,"*13*")&gt;0,COUNTIF(I2252,"14*")&gt;0,COUNTIF(J2252,"*14*")&gt;0,COUNTIF(I2252,"15*")&gt;0,COUNTIF(J2252,"*15*")&gt;0,COUNTIF(I2252,"16*")&gt;0,COUNTIF(J2252,"*16*")&gt;0,COUNTIF(I2252,"17*")&gt;0,COUNTIF(J2252,"*17*")&gt;0,COUNTIF(I2252,"18*")&gt;0,COUNTIF(J2252,"*18*")&gt;0,COUNTIF(I2252,"19*")&gt;0,COUNTIF(J2252,"*19*")&gt;0,COUNTIF(I2252,"20*")&gt;0,COUNTIF(J2252,"*20*")&gt;0,COUNTIF(I2252,"21*")&gt;0,COUNTIF(J2252,"*21*")&gt;0,COUNTIF(I2252,"22*")&gt;0,COUNTIF(J2252,"*22*")&gt;0,COUNTIF(I2252,"23*")&gt;0,COUNTIF(J2252,"*23*")&gt;0,COUNTIF(I2252,"24*")&gt;0,COUNTIF(J2252,"*24*")&gt;0,COUNTIF(I2252,"25*")&gt;0,COUNTIF(J2252,"*25*")&gt;0,COUNTIF(I2252,"26*")&gt;0,COUNTIF(J2252,"*26*")&gt;0,COUNTIF(I2252,"27*")&gt;0,COUNTIF(J2252,"*27*")&gt;0,COUNTIF(I2252,"28*")&gt;0,COUNTIF(J2252,"*28*")&gt;0,COUNTIF(I2252,"29*")&gt;0,COUNTIF(J2252,"*29*")&gt;0,COUNTIF(I2252,"30*")&gt;0,COUNTIF(J2252,"*30*")&gt;0,COUNTIF(I2252,"31*")&gt;0,COUNTIF(J2252,"*31*")&gt;0,COUNTIF(I2252,"32*")&gt;0,COUNTIF(J2252,"*32*")&gt;0,COUNTIF(I2252,"33*")&gt;0,COUNTIF(J2252,"*33*")&gt;0,COUNTIF(I2252,"41*")&gt;0,COUNTIF(J2252,"*41*")&gt;0,COUNTIF(I2252,"42*")&gt;0,COUNTIF(J2252,"*42*")&gt;0,COUNTIF(I2252,"43*")&gt;0,COUNTIF(J2252,"*43*")&gt;0,COUNTIF(I2252,"49*")&gt;0,COUNTIF(J2252,"*49*")&gt;0,COUNTIF(I2252,"52*")&gt;0,COUNTIF(J2252,"*52*")&gt;0,COUNTIF(I2252,"55*")&gt;0,COUNTIF(J2252,"*55*")&gt;0,COUNTIF(I2252,"56*")&gt;0,COUNTIF(J2252,"*56*")&gt;0,COUNTIF(I2252,"68*")&gt;0,COUNTIF(J2252,"*68*")&gt;0,COUNTIF(I2252,"78*")&gt;0,COUNTIF(J2252,"*78*")&gt;0,COUNTIF(I2252,"81*")&gt;0,COUNTIF(J2252,"*81*")&gt;0,COUNTIF(I2252,"82*")&gt;0,COUNTIF(J2252,"*82*")&gt;0,COUNTIF(I2252,"64*")&gt;0,COUNTIF(J2252,"*64*")&gt;0,COUNTIF(I2252,"65*")&gt;0,COUNTIF(J2252,"*65*")&gt;0,COUNTIF(I2252,"66*")&gt;0,COUNTIF(J2252,"*66*")&gt;0,COUNTIF(I2252,"61*")&gt;0,COUNTIF(J2252,"*61*")&gt;0,COUNTIF(I2252,"62*")&gt;0,COUNTIF(J2252,"*62*")&gt;0,COUNTIF(I2252,"63*")&gt;0,COUNTIF(J2252,"*63*")&gt;0,COUNTIF(I2252,"85*")&gt;0,COUNTIF(J2252,"*85*")&gt;0,COUNTIF(I2252,"86*")&gt;0,COUNTIF(J2252,"*86*")&gt;0),"Да","Нет"))</f>
        <v/>
      </c>
      <c r="M2252" s="13">
        <f>IF(OR(G2252="",L2252&lt;&gt;"Да"),"",IF(G2252&lt;=100,"До 100",IF(G2252&lt;=200,"До 200",IF(G2252&lt;=500,"До 500","Отдельное КП"))))</f>
        <v/>
      </c>
      <c r="N2252" s="15">
        <f>IF(OR(G2252="",L2252&lt;&gt;"Да"),"",IF(G2252&lt;=100,33600,IF(G2252&lt;=200,62400,IF(G2252&lt;=500,144000,""))))</f>
        <v/>
      </c>
      <c r="O2252" s="16">
        <f>IF(G2252="","",IF(G2252&lt;=15,"1–15",IF(G2252&lt;=30,"16–30",IF(G2252&lt;=50,"31–50",IF(G2252&lt;=100,"51–100",IF(G2252&lt;=150,"101–150",IF(G2252&lt;=200,"151–200",IF(G2252&lt;=500,"201–500","500+"))))))))</f>
        <v/>
      </c>
      <c r="P2252" s="16" t="inlineStr">
        <is>
          <t>Нет совпадения в предоставленной выгрузке ССЧР</t>
        </is>
      </c>
      <c r="Q2252" s="16" t="n"/>
      <c r="R2252" s="16">
        <f>HYPERLINK("https://checko.ru/search?query=3801001629","Чекко: проверить")</f>
        <v/>
      </c>
      <c r="S2252" t="n">
        <v>0</v>
      </c>
    </row>
    <row r="2253" ht="15" customHeight="1" s="24">
      <c r="A2253" s="13" t="n">
        <v>5000094734</v>
      </c>
      <c r="B2253" s="13" t="inlineStr">
        <is>
          <t>МКУ "СЕЛЬСКИЙ ДОМ КУЛЬТУРЫ" С.П.ЗАРАГИЖ</t>
        </is>
      </c>
      <c r="C2253" s="13" t="n">
        <v>706005353</v>
      </c>
      <c r="D2253" s="13" t="n"/>
      <c r="E2253" s="13" t="inlineStr">
        <is>
          <t>Не определён</t>
        </is>
      </c>
      <c r="F2253" s="13" t="inlineStr">
        <is>
          <t>706005353</t>
        </is>
      </c>
      <c r="G2253" s="14" t="n"/>
      <c r="H2253" s="14" t="n"/>
      <c r="I2253" s="14" t="n"/>
      <c r="J2253" s="14" t="n"/>
      <c r="K2253" s="13">
        <f>IF(G2253="","",IF(G2253&gt;=22,"Да","Нет"))</f>
        <v/>
      </c>
      <c r="L2253" s="13">
        <f>IF(OR(I2253="",J2253=""),"Не определено",IF(OR(COUNTIF(I2253,"45*")&gt;0,COUNTIF(J2253,"*45*")&gt;0,COUNTIF(I2253,"46*")&gt;0,COUNTIF(J2253,"*46*")&gt;0,COUNTIF(I2253,"47*")&gt;0,COUNTIF(J2253,"*47*")&gt;0,COUNTIF(I2253,"10*")&gt;0,COUNTIF(J2253,"*10*")&gt;0,COUNTIF(I2253,"11*")&gt;0,COUNTIF(J2253,"*11*")&gt;0,COUNTIF(I2253,"12*")&gt;0,COUNTIF(J2253,"*12*")&gt;0,COUNTIF(I2253,"13*")&gt;0,COUNTIF(J2253,"*13*")&gt;0,COUNTIF(I2253,"14*")&gt;0,COUNTIF(J2253,"*14*")&gt;0,COUNTIF(I2253,"15*")&gt;0,COUNTIF(J2253,"*15*")&gt;0,COUNTIF(I2253,"16*")&gt;0,COUNTIF(J2253,"*16*")&gt;0,COUNTIF(I2253,"17*")&gt;0,COUNTIF(J2253,"*17*")&gt;0,COUNTIF(I2253,"18*")&gt;0,COUNTIF(J2253,"*18*")&gt;0,COUNTIF(I2253,"19*")&gt;0,COUNTIF(J2253,"*19*")&gt;0,COUNTIF(I2253,"20*")&gt;0,COUNTIF(J2253,"*20*")&gt;0,COUNTIF(I2253,"21*")&gt;0,COUNTIF(J2253,"*21*")&gt;0,COUNTIF(I2253,"22*")&gt;0,COUNTIF(J2253,"*22*")&gt;0,COUNTIF(I2253,"23*")&gt;0,COUNTIF(J2253,"*23*")&gt;0,COUNTIF(I2253,"24*")&gt;0,COUNTIF(J2253,"*24*")&gt;0,COUNTIF(I2253,"25*")&gt;0,COUNTIF(J2253,"*25*")&gt;0,COUNTIF(I2253,"26*")&gt;0,COUNTIF(J2253,"*26*")&gt;0,COUNTIF(I2253,"27*")&gt;0,COUNTIF(J2253,"*27*")&gt;0,COUNTIF(I2253,"28*")&gt;0,COUNTIF(J2253,"*28*")&gt;0,COUNTIF(I2253,"29*")&gt;0,COUNTIF(J2253,"*29*")&gt;0,COUNTIF(I2253,"30*")&gt;0,COUNTIF(J2253,"*30*")&gt;0,COUNTIF(I2253,"31*")&gt;0,COUNTIF(J2253,"*31*")&gt;0,COUNTIF(I2253,"32*")&gt;0,COUNTIF(J2253,"*32*")&gt;0,COUNTIF(I2253,"33*")&gt;0,COUNTIF(J2253,"*33*")&gt;0,COUNTIF(I2253,"41*")&gt;0,COUNTIF(J2253,"*41*")&gt;0,COUNTIF(I2253,"42*")&gt;0,COUNTIF(J2253,"*42*")&gt;0,COUNTIF(I2253,"43*")&gt;0,COUNTIF(J2253,"*43*")&gt;0,COUNTIF(I2253,"49*")&gt;0,COUNTIF(J2253,"*49*")&gt;0,COUNTIF(I2253,"52*")&gt;0,COUNTIF(J2253,"*52*")&gt;0,COUNTIF(I2253,"55*")&gt;0,COUNTIF(J2253,"*55*")&gt;0,COUNTIF(I2253,"56*")&gt;0,COUNTIF(J2253,"*56*")&gt;0,COUNTIF(I2253,"68*")&gt;0,COUNTIF(J2253,"*68*")&gt;0,COUNTIF(I2253,"78*")&gt;0,COUNTIF(J2253,"*78*")&gt;0,COUNTIF(I2253,"81*")&gt;0,COUNTIF(J2253,"*81*")&gt;0,COUNTIF(I2253,"82*")&gt;0,COUNTIF(J2253,"*82*")&gt;0,COUNTIF(I2253,"64*")&gt;0,COUNTIF(J2253,"*64*")&gt;0,COUNTIF(I2253,"65*")&gt;0,COUNTIF(J2253,"*65*")&gt;0,COUNTIF(I2253,"66*")&gt;0,COUNTIF(J2253,"*66*")&gt;0,COUNTIF(I2253,"61*")&gt;0,COUNTIF(J2253,"*61*")&gt;0,COUNTIF(I2253,"62*")&gt;0,COUNTIF(J2253,"*62*")&gt;0,COUNTIF(I2253,"63*")&gt;0,COUNTIF(J2253,"*63*")&gt;0,COUNTIF(I2253,"85*")&gt;0,COUNTIF(J2253,"*85*")&gt;0,COUNTIF(I2253,"86*")&gt;0,COUNTIF(J2253,"*86*")&gt;0),"Да","Нет"))</f>
        <v/>
      </c>
      <c r="M2253" s="13">
        <f>IF(OR(G2253="",L2253&lt;&gt;"Да"),"",IF(G2253&lt;=100,"До 100",IF(G2253&lt;=200,"До 200",IF(G2253&lt;=500,"До 500","Отдельное КП"))))</f>
        <v/>
      </c>
      <c r="N2253" s="15">
        <f>IF(OR(G2253="",L2253&lt;&gt;"Да"),"",IF(G2253&lt;=100,33600,IF(G2253&lt;=200,62400,IF(G2253&lt;=500,144000,""))))</f>
        <v/>
      </c>
      <c r="O2253" s="16">
        <f>IF(G2253="","",IF(G2253&lt;=15,"1–15",IF(G2253&lt;=30,"16–30",IF(G2253&lt;=50,"31–50",IF(G2253&lt;=100,"51–100",IF(G2253&lt;=150,"101–150",IF(G2253&lt;=200,"151–200",IF(G2253&lt;=500,"201–500","500+"))))))))</f>
        <v/>
      </c>
      <c r="P2253" s="16" t="inlineStr">
        <is>
          <t>Нет совпадения в предоставленной выгрузке ССЧР</t>
        </is>
      </c>
      <c r="Q2253" s="16" t="n"/>
      <c r="R2253" s="16">
        <f>HYPERLINK("https://checko.ru/search?query=3801001629","Чекко: проверить")</f>
        <v/>
      </c>
      <c r="S2253" t="n">
        <v>0</v>
      </c>
    </row>
    <row r="2254" ht="15" customHeight="1" s="24">
      <c r="A2254" s="13" t="n">
        <v>5000094735</v>
      </c>
      <c r="B2254" s="13" t="inlineStr">
        <is>
          <t>СДК С.П.АУШИГЕР</t>
        </is>
      </c>
      <c r="C2254" s="13" t="n">
        <v>706005360</v>
      </c>
      <c r="D2254" s="13" t="n"/>
      <c r="E2254" s="13" t="inlineStr">
        <is>
          <t>Не определён</t>
        </is>
      </c>
      <c r="F2254" s="13" t="inlineStr">
        <is>
          <t>706005360</t>
        </is>
      </c>
      <c r="G2254" s="14" t="n"/>
      <c r="H2254" s="14" t="n"/>
      <c r="I2254" s="14" t="n"/>
      <c r="J2254" s="14" t="n"/>
      <c r="K2254" s="13">
        <f>IF(G2254="","",IF(G2254&gt;=22,"Да","Нет"))</f>
        <v/>
      </c>
      <c r="L2254" s="13">
        <f>IF(OR(I2254="",J2254=""),"Не определено",IF(OR(COUNTIF(I2254,"45*")&gt;0,COUNTIF(J2254,"*45*")&gt;0,COUNTIF(I2254,"46*")&gt;0,COUNTIF(J2254,"*46*")&gt;0,COUNTIF(I2254,"47*")&gt;0,COUNTIF(J2254,"*47*")&gt;0,COUNTIF(I2254,"10*")&gt;0,COUNTIF(J2254,"*10*")&gt;0,COUNTIF(I2254,"11*")&gt;0,COUNTIF(J2254,"*11*")&gt;0,COUNTIF(I2254,"12*")&gt;0,COUNTIF(J2254,"*12*")&gt;0,COUNTIF(I2254,"13*")&gt;0,COUNTIF(J2254,"*13*")&gt;0,COUNTIF(I2254,"14*")&gt;0,COUNTIF(J2254,"*14*")&gt;0,COUNTIF(I2254,"15*")&gt;0,COUNTIF(J2254,"*15*")&gt;0,COUNTIF(I2254,"16*")&gt;0,COUNTIF(J2254,"*16*")&gt;0,COUNTIF(I2254,"17*")&gt;0,COUNTIF(J2254,"*17*")&gt;0,COUNTIF(I2254,"18*")&gt;0,COUNTIF(J2254,"*18*")&gt;0,COUNTIF(I2254,"19*")&gt;0,COUNTIF(J2254,"*19*")&gt;0,COUNTIF(I2254,"20*")&gt;0,COUNTIF(J2254,"*20*")&gt;0,COUNTIF(I2254,"21*")&gt;0,COUNTIF(J2254,"*21*")&gt;0,COUNTIF(I2254,"22*")&gt;0,COUNTIF(J2254,"*22*")&gt;0,COUNTIF(I2254,"23*")&gt;0,COUNTIF(J2254,"*23*")&gt;0,COUNTIF(I2254,"24*")&gt;0,COUNTIF(J2254,"*24*")&gt;0,COUNTIF(I2254,"25*")&gt;0,COUNTIF(J2254,"*25*")&gt;0,COUNTIF(I2254,"26*")&gt;0,COUNTIF(J2254,"*26*")&gt;0,COUNTIF(I2254,"27*")&gt;0,COUNTIF(J2254,"*27*")&gt;0,COUNTIF(I2254,"28*")&gt;0,COUNTIF(J2254,"*28*")&gt;0,COUNTIF(I2254,"29*")&gt;0,COUNTIF(J2254,"*29*")&gt;0,COUNTIF(I2254,"30*")&gt;0,COUNTIF(J2254,"*30*")&gt;0,COUNTIF(I2254,"31*")&gt;0,COUNTIF(J2254,"*31*")&gt;0,COUNTIF(I2254,"32*")&gt;0,COUNTIF(J2254,"*32*")&gt;0,COUNTIF(I2254,"33*")&gt;0,COUNTIF(J2254,"*33*")&gt;0,COUNTIF(I2254,"41*")&gt;0,COUNTIF(J2254,"*41*")&gt;0,COUNTIF(I2254,"42*")&gt;0,COUNTIF(J2254,"*42*")&gt;0,COUNTIF(I2254,"43*")&gt;0,COUNTIF(J2254,"*43*")&gt;0,COUNTIF(I2254,"49*")&gt;0,COUNTIF(J2254,"*49*")&gt;0,COUNTIF(I2254,"52*")&gt;0,COUNTIF(J2254,"*52*")&gt;0,COUNTIF(I2254,"55*")&gt;0,COUNTIF(J2254,"*55*")&gt;0,COUNTIF(I2254,"56*")&gt;0,COUNTIF(J2254,"*56*")&gt;0,COUNTIF(I2254,"68*")&gt;0,COUNTIF(J2254,"*68*")&gt;0,COUNTIF(I2254,"78*")&gt;0,COUNTIF(J2254,"*78*")&gt;0,COUNTIF(I2254,"81*")&gt;0,COUNTIF(J2254,"*81*")&gt;0,COUNTIF(I2254,"82*")&gt;0,COUNTIF(J2254,"*82*")&gt;0,COUNTIF(I2254,"64*")&gt;0,COUNTIF(J2254,"*64*")&gt;0,COUNTIF(I2254,"65*")&gt;0,COUNTIF(J2254,"*65*")&gt;0,COUNTIF(I2254,"66*")&gt;0,COUNTIF(J2254,"*66*")&gt;0,COUNTIF(I2254,"61*")&gt;0,COUNTIF(J2254,"*61*")&gt;0,COUNTIF(I2254,"62*")&gt;0,COUNTIF(J2254,"*62*")&gt;0,COUNTIF(I2254,"63*")&gt;0,COUNTIF(J2254,"*63*")&gt;0,COUNTIF(I2254,"85*")&gt;0,COUNTIF(J2254,"*85*")&gt;0,COUNTIF(I2254,"86*")&gt;0,COUNTIF(J2254,"*86*")&gt;0),"Да","Нет"))</f>
        <v/>
      </c>
      <c r="M2254" s="13">
        <f>IF(OR(G2254="",L2254&lt;&gt;"Да"),"",IF(G2254&lt;=100,"До 100",IF(G2254&lt;=200,"До 200",IF(G2254&lt;=500,"До 500","Отдельное КП"))))</f>
        <v/>
      </c>
      <c r="N2254" s="15">
        <f>IF(OR(G2254="",L2254&lt;&gt;"Да"),"",IF(G2254&lt;=100,33600,IF(G2254&lt;=200,62400,IF(G2254&lt;=500,144000,""))))</f>
        <v/>
      </c>
      <c r="O2254" s="16">
        <f>IF(G2254="","",IF(G2254&lt;=15,"1–15",IF(G2254&lt;=30,"16–30",IF(G2254&lt;=50,"31–50",IF(G2254&lt;=100,"51–100",IF(G2254&lt;=150,"101–150",IF(G2254&lt;=200,"151–200",IF(G2254&lt;=500,"201–500","500+"))))))))</f>
        <v/>
      </c>
      <c r="P2254" s="16" t="inlineStr">
        <is>
          <t>Нет совпадения в предоставленной выгрузке ССЧР</t>
        </is>
      </c>
      <c r="Q2254" s="16" t="n"/>
      <c r="R2254" s="16">
        <f>HYPERLINK("https://checko.ru/search?query=3801001629","Чекко: проверить")</f>
        <v/>
      </c>
      <c r="S2254" t="n">
        <v>0</v>
      </c>
    </row>
    <row r="2255" ht="15" customHeight="1" s="24">
      <c r="A2255" s="13" t="n">
        <v>5000094736</v>
      </c>
      <c r="B2255" s="13" t="inlineStr">
        <is>
          <t>МКУ СДК С.П. КАРАСУ</t>
        </is>
      </c>
      <c r="C2255" s="13" t="n">
        <v>706005378</v>
      </c>
      <c r="D2255" s="13" t="n"/>
      <c r="E2255" s="13" t="inlineStr">
        <is>
          <t>Не определён</t>
        </is>
      </c>
      <c r="F2255" s="13" t="inlineStr">
        <is>
          <t>706005378</t>
        </is>
      </c>
      <c r="G2255" s="14" t="n"/>
      <c r="H2255" s="14" t="n"/>
      <c r="I2255" s="14" t="n"/>
      <c r="J2255" s="14" t="n"/>
      <c r="K2255" s="13">
        <f>IF(G2255="","",IF(G2255&gt;=22,"Да","Нет"))</f>
        <v/>
      </c>
      <c r="L2255" s="13">
        <f>IF(OR(I2255="",J2255=""),"Не определено",IF(OR(COUNTIF(I2255,"45*")&gt;0,COUNTIF(J2255,"*45*")&gt;0,COUNTIF(I2255,"46*")&gt;0,COUNTIF(J2255,"*46*")&gt;0,COUNTIF(I2255,"47*")&gt;0,COUNTIF(J2255,"*47*")&gt;0,COUNTIF(I2255,"10*")&gt;0,COUNTIF(J2255,"*10*")&gt;0,COUNTIF(I2255,"11*")&gt;0,COUNTIF(J2255,"*11*")&gt;0,COUNTIF(I2255,"12*")&gt;0,COUNTIF(J2255,"*12*")&gt;0,COUNTIF(I2255,"13*")&gt;0,COUNTIF(J2255,"*13*")&gt;0,COUNTIF(I2255,"14*")&gt;0,COUNTIF(J2255,"*14*")&gt;0,COUNTIF(I2255,"15*")&gt;0,COUNTIF(J2255,"*15*")&gt;0,COUNTIF(I2255,"16*")&gt;0,COUNTIF(J2255,"*16*")&gt;0,COUNTIF(I2255,"17*")&gt;0,COUNTIF(J2255,"*17*")&gt;0,COUNTIF(I2255,"18*")&gt;0,COUNTIF(J2255,"*18*")&gt;0,COUNTIF(I2255,"19*")&gt;0,COUNTIF(J2255,"*19*")&gt;0,COUNTIF(I2255,"20*")&gt;0,COUNTIF(J2255,"*20*")&gt;0,COUNTIF(I2255,"21*")&gt;0,COUNTIF(J2255,"*21*")&gt;0,COUNTIF(I2255,"22*")&gt;0,COUNTIF(J2255,"*22*")&gt;0,COUNTIF(I2255,"23*")&gt;0,COUNTIF(J2255,"*23*")&gt;0,COUNTIF(I2255,"24*")&gt;0,COUNTIF(J2255,"*24*")&gt;0,COUNTIF(I2255,"25*")&gt;0,COUNTIF(J2255,"*25*")&gt;0,COUNTIF(I2255,"26*")&gt;0,COUNTIF(J2255,"*26*")&gt;0,COUNTIF(I2255,"27*")&gt;0,COUNTIF(J2255,"*27*")&gt;0,COUNTIF(I2255,"28*")&gt;0,COUNTIF(J2255,"*28*")&gt;0,COUNTIF(I2255,"29*")&gt;0,COUNTIF(J2255,"*29*")&gt;0,COUNTIF(I2255,"30*")&gt;0,COUNTIF(J2255,"*30*")&gt;0,COUNTIF(I2255,"31*")&gt;0,COUNTIF(J2255,"*31*")&gt;0,COUNTIF(I2255,"32*")&gt;0,COUNTIF(J2255,"*32*")&gt;0,COUNTIF(I2255,"33*")&gt;0,COUNTIF(J2255,"*33*")&gt;0,COUNTIF(I2255,"41*")&gt;0,COUNTIF(J2255,"*41*")&gt;0,COUNTIF(I2255,"42*")&gt;0,COUNTIF(J2255,"*42*")&gt;0,COUNTIF(I2255,"43*")&gt;0,COUNTIF(J2255,"*43*")&gt;0,COUNTIF(I2255,"49*")&gt;0,COUNTIF(J2255,"*49*")&gt;0,COUNTIF(I2255,"52*")&gt;0,COUNTIF(J2255,"*52*")&gt;0,COUNTIF(I2255,"55*")&gt;0,COUNTIF(J2255,"*55*")&gt;0,COUNTIF(I2255,"56*")&gt;0,COUNTIF(J2255,"*56*")&gt;0,COUNTIF(I2255,"68*")&gt;0,COUNTIF(J2255,"*68*")&gt;0,COUNTIF(I2255,"78*")&gt;0,COUNTIF(J2255,"*78*")&gt;0,COUNTIF(I2255,"81*")&gt;0,COUNTIF(J2255,"*81*")&gt;0,COUNTIF(I2255,"82*")&gt;0,COUNTIF(J2255,"*82*")&gt;0,COUNTIF(I2255,"64*")&gt;0,COUNTIF(J2255,"*64*")&gt;0,COUNTIF(I2255,"65*")&gt;0,COUNTIF(J2255,"*65*")&gt;0,COUNTIF(I2255,"66*")&gt;0,COUNTIF(J2255,"*66*")&gt;0,COUNTIF(I2255,"61*")&gt;0,COUNTIF(J2255,"*61*")&gt;0,COUNTIF(I2255,"62*")&gt;0,COUNTIF(J2255,"*62*")&gt;0,COUNTIF(I2255,"63*")&gt;0,COUNTIF(J2255,"*63*")&gt;0,COUNTIF(I2255,"85*")&gt;0,COUNTIF(J2255,"*85*")&gt;0,COUNTIF(I2255,"86*")&gt;0,COUNTIF(J2255,"*86*")&gt;0),"Да","Нет"))</f>
        <v/>
      </c>
      <c r="M2255" s="13">
        <f>IF(OR(G2255="",L2255&lt;&gt;"Да"),"",IF(G2255&lt;=100,"До 100",IF(G2255&lt;=200,"До 200",IF(G2255&lt;=500,"До 500","Отдельное КП"))))</f>
        <v/>
      </c>
      <c r="N2255" s="15">
        <f>IF(OR(G2255="",L2255&lt;&gt;"Да"),"",IF(G2255&lt;=100,33600,IF(G2255&lt;=200,62400,IF(G2255&lt;=500,144000,""))))</f>
        <v/>
      </c>
      <c r="O2255" s="16">
        <f>IF(G2255="","",IF(G2255&lt;=15,"1–15",IF(G2255&lt;=30,"16–30",IF(G2255&lt;=50,"31–50",IF(G2255&lt;=100,"51–100",IF(G2255&lt;=150,"101–150",IF(G2255&lt;=200,"151–200",IF(G2255&lt;=500,"201–500","500+"))))))))</f>
        <v/>
      </c>
      <c r="P2255" s="16" t="inlineStr">
        <is>
          <t>Нет совпадения в предоставленной выгрузке ССЧР</t>
        </is>
      </c>
      <c r="Q2255" s="16" t="n"/>
      <c r="R2255" s="16">
        <f>HYPERLINK("https://checko.ru/search?query=3801001629","Чекко: проверить")</f>
        <v/>
      </c>
      <c r="S2255" t="n">
        <v>0</v>
      </c>
    </row>
    <row r="2256" ht="15" customHeight="1" s="24">
      <c r="A2256" s="13" t="n">
        <v>5000094737</v>
      </c>
      <c r="B2256" s="13" t="inlineStr">
        <is>
          <t>СДК С.П.ВЕРХНЯЯ БАЛКАРИЯ</t>
        </is>
      </c>
      <c r="C2256" s="13" t="n">
        <v>706005385</v>
      </c>
      <c r="D2256" s="13" t="n"/>
      <c r="E2256" s="13" t="inlineStr">
        <is>
          <t>Не определён</t>
        </is>
      </c>
      <c r="F2256" s="13" t="inlineStr">
        <is>
          <t>706005385</t>
        </is>
      </c>
      <c r="G2256" s="14" t="n"/>
      <c r="H2256" s="14" t="n"/>
      <c r="I2256" s="14" t="n"/>
      <c r="J2256" s="14" t="n"/>
      <c r="K2256" s="13">
        <f>IF(G2256="","",IF(G2256&gt;=22,"Да","Нет"))</f>
        <v/>
      </c>
      <c r="L2256" s="13">
        <f>IF(OR(I2256="",J2256=""),"Не определено",IF(OR(COUNTIF(I2256,"45*")&gt;0,COUNTIF(J2256,"*45*")&gt;0,COUNTIF(I2256,"46*")&gt;0,COUNTIF(J2256,"*46*")&gt;0,COUNTIF(I2256,"47*")&gt;0,COUNTIF(J2256,"*47*")&gt;0,COUNTIF(I2256,"10*")&gt;0,COUNTIF(J2256,"*10*")&gt;0,COUNTIF(I2256,"11*")&gt;0,COUNTIF(J2256,"*11*")&gt;0,COUNTIF(I2256,"12*")&gt;0,COUNTIF(J2256,"*12*")&gt;0,COUNTIF(I2256,"13*")&gt;0,COUNTIF(J2256,"*13*")&gt;0,COUNTIF(I2256,"14*")&gt;0,COUNTIF(J2256,"*14*")&gt;0,COUNTIF(I2256,"15*")&gt;0,COUNTIF(J2256,"*15*")&gt;0,COUNTIF(I2256,"16*")&gt;0,COUNTIF(J2256,"*16*")&gt;0,COUNTIF(I2256,"17*")&gt;0,COUNTIF(J2256,"*17*")&gt;0,COUNTIF(I2256,"18*")&gt;0,COUNTIF(J2256,"*18*")&gt;0,COUNTIF(I2256,"19*")&gt;0,COUNTIF(J2256,"*19*")&gt;0,COUNTIF(I2256,"20*")&gt;0,COUNTIF(J2256,"*20*")&gt;0,COUNTIF(I2256,"21*")&gt;0,COUNTIF(J2256,"*21*")&gt;0,COUNTIF(I2256,"22*")&gt;0,COUNTIF(J2256,"*22*")&gt;0,COUNTIF(I2256,"23*")&gt;0,COUNTIF(J2256,"*23*")&gt;0,COUNTIF(I2256,"24*")&gt;0,COUNTIF(J2256,"*24*")&gt;0,COUNTIF(I2256,"25*")&gt;0,COUNTIF(J2256,"*25*")&gt;0,COUNTIF(I2256,"26*")&gt;0,COUNTIF(J2256,"*26*")&gt;0,COUNTIF(I2256,"27*")&gt;0,COUNTIF(J2256,"*27*")&gt;0,COUNTIF(I2256,"28*")&gt;0,COUNTIF(J2256,"*28*")&gt;0,COUNTIF(I2256,"29*")&gt;0,COUNTIF(J2256,"*29*")&gt;0,COUNTIF(I2256,"30*")&gt;0,COUNTIF(J2256,"*30*")&gt;0,COUNTIF(I2256,"31*")&gt;0,COUNTIF(J2256,"*31*")&gt;0,COUNTIF(I2256,"32*")&gt;0,COUNTIF(J2256,"*32*")&gt;0,COUNTIF(I2256,"33*")&gt;0,COUNTIF(J2256,"*33*")&gt;0,COUNTIF(I2256,"41*")&gt;0,COUNTIF(J2256,"*41*")&gt;0,COUNTIF(I2256,"42*")&gt;0,COUNTIF(J2256,"*42*")&gt;0,COUNTIF(I2256,"43*")&gt;0,COUNTIF(J2256,"*43*")&gt;0,COUNTIF(I2256,"49*")&gt;0,COUNTIF(J2256,"*49*")&gt;0,COUNTIF(I2256,"52*")&gt;0,COUNTIF(J2256,"*52*")&gt;0,COUNTIF(I2256,"55*")&gt;0,COUNTIF(J2256,"*55*")&gt;0,COUNTIF(I2256,"56*")&gt;0,COUNTIF(J2256,"*56*")&gt;0,COUNTIF(I2256,"68*")&gt;0,COUNTIF(J2256,"*68*")&gt;0,COUNTIF(I2256,"78*")&gt;0,COUNTIF(J2256,"*78*")&gt;0,COUNTIF(I2256,"81*")&gt;0,COUNTIF(J2256,"*81*")&gt;0,COUNTIF(I2256,"82*")&gt;0,COUNTIF(J2256,"*82*")&gt;0,COUNTIF(I2256,"64*")&gt;0,COUNTIF(J2256,"*64*")&gt;0,COUNTIF(I2256,"65*")&gt;0,COUNTIF(J2256,"*65*")&gt;0,COUNTIF(I2256,"66*")&gt;0,COUNTIF(J2256,"*66*")&gt;0,COUNTIF(I2256,"61*")&gt;0,COUNTIF(J2256,"*61*")&gt;0,COUNTIF(I2256,"62*")&gt;0,COUNTIF(J2256,"*62*")&gt;0,COUNTIF(I2256,"63*")&gt;0,COUNTIF(J2256,"*63*")&gt;0,COUNTIF(I2256,"85*")&gt;0,COUNTIF(J2256,"*85*")&gt;0,COUNTIF(I2256,"86*")&gt;0,COUNTIF(J2256,"*86*")&gt;0),"Да","Нет"))</f>
        <v/>
      </c>
      <c r="M2256" s="13">
        <f>IF(OR(G2256="",L2256&lt;&gt;"Да"),"",IF(G2256&lt;=100,"До 100",IF(G2256&lt;=200,"До 200",IF(G2256&lt;=500,"До 500","Отдельное КП"))))</f>
        <v/>
      </c>
      <c r="N2256" s="15">
        <f>IF(OR(G2256="",L2256&lt;&gt;"Да"),"",IF(G2256&lt;=100,33600,IF(G2256&lt;=200,62400,IF(G2256&lt;=500,144000,""))))</f>
        <v/>
      </c>
      <c r="O2256" s="16">
        <f>IF(G2256="","",IF(G2256&lt;=15,"1–15",IF(G2256&lt;=30,"16–30",IF(G2256&lt;=50,"31–50",IF(G2256&lt;=100,"51–100",IF(G2256&lt;=150,"101–150",IF(G2256&lt;=200,"151–200",IF(G2256&lt;=500,"201–500","500+"))))))))</f>
        <v/>
      </c>
      <c r="P2256" s="16" t="inlineStr">
        <is>
          <t>Нет совпадения в предоставленной выгрузке ССЧР</t>
        </is>
      </c>
      <c r="Q2256" s="16" t="n"/>
      <c r="R2256" s="16">
        <f>HYPERLINK("https://checko.ru/search?query=3801001629","Чекко: проверить")</f>
        <v/>
      </c>
      <c r="S2256" t="n">
        <v>0</v>
      </c>
    </row>
    <row r="2257" ht="15" customHeight="1" s="24">
      <c r="A2257" s="13" t="n">
        <v>5000094738</v>
      </c>
      <c r="B2257" s="13" t="inlineStr">
        <is>
          <t>МКУ СДК С.П. БЕЗЕНГИ</t>
        </is>
      </c>
      <c r="C2257" s="13" t="n">
        <v>706005402</v>
      </c>
      <c r="D2257" s="13" t="n"/>
      <c r="E2257" s="13" t="inlineStr">
        <is>
          <t>Не определён</t>
        </is>
      </c>
      <c r="F2257" s="13" t="inlineStr">
        <is>
          <t>706005402</t>
        </is>
      </c>
      <c r="G2257" s="14" t="n"/>
      <c r="H2257" s="14" t="n"/>
      <c r="I2257" s="14" t="n"/>
      <c r="J2257" s="14" t="n"/>
      <c r="K2257" s="13">
        <f>IF(G2257="","",IF(G2257&gt;=22,"Да","Нет"))</f>
        <v/>
      </c>
      <c r="L2257" s="13">
        <f>IF(OR(I2257="",J2257=""),"Не определено",IF(OR(COUNTIF(I2257,"45*")&gt;0,COUNTIF(J2257,"*45*")&gt;0,COUNTIF(I2257,"46*")&gt;0,COUNTIF(J2257,"*46*")&gt;0,COUNTIF(I2257,"47*")&gt;0,COUNTIF(J2257,"*47*")&gt;0,COUNTIF(I2257,"10*")&gt;0,COUNTIF(J2257,"*10*")&gt;0,COUNTIF(I2257,"11*")&gt;0,COUNTIF(J2257,"*11*")&gt;0,COUNTIF(I2257,"12*")&gt;0,COUNTIF(J2257,"*12*")&gt;0,COUNTIF(I2257,"13*")&gt;0,COUNTIF(J2257,"*13*")&gt;0,COUNTIF(I2257,"14*")&gt;0,COUNTIF(J2257,"*14*")&gt;0,COUNTIF(I2257,"15*")&gt;0,COUNTIF(J2257,"*15*")&gt;0,COUNTIF(I2257,"16*")&gt;0,COUNTIF(J2257,"*16*")&gt;0,COUNTIF(I2257,"17*")&gt;0,COUNTIF(J2257,"*17*")&gt;0,COUNTIF(I2257,"18*")&gt;0,COUNTIF(J2257,"*18*")&gt;0,COUNTIF(I2257,"19*")&gt;0,COUNTIF(J2257,"*19*")&gt;0,COUNTIF(I2257,"20*")&gt;0,COUNTIF(J2257,"*20*")&gt;0,COUNTIF(I2257,"21*")&gt;0,COUNTIF(J2257,"*21*")&gt;0,COUNTIF(I2257,"22*")&gt;0,COUNTIF(J2257,"*22*")&gt;0,COUNTIF(I2257,"23*")&gt;0,COUNTIF(J2257,"*23*")&gt;0,COUNTIF(I2257,"24*")&gt;0,COUNTIF(J2257,"*24*")&gt;0,COUNTIF(I2257,"25*")&gt;0,COUNTIF(J2257,"*25*")&gt;0,COUNTIF(I2257,"26*")&gt;0,COUNTIF(J2257,"*26*")&gt;0,COUNTIF(I2257,"27*")&gt;0,COUNTIF(J2257,"*27*")&gt;0,COUNTIF(I2257,"28*")&gt;0,COUNTIF(J2257,"*28*")&gt;0,COUNTIF(I2257,"29*")&gt;0,COUNTIF(J2257,"*29*")&gt;0,COUNTIF(I2257,"30*")&gt;0,COUNTIF(J2257,"*30*")&gt;0,COUNTIF(I2257,"31*")&gt;0,COUNTIF(J2257,"*31*")&gt;0,COUNTIF(I2257,"32*")&gt;0,COUNTIF(J2257,"*32*")&gt;0,COUNTIF(I2257,"33*")&gt;0,COUNTIF(J2257,"*33*")&gt;0,COUNTIF(I2257,"41*")&gt;0,COUNTIF(J2257,"*41*")&gt;0,COUNTIF(I2257,"42*")&gt;0,COUNTIF(J2257,"*42*")&gt;0,COUNTIF(I2257,"43*")&gt;0,COUNTIF(J2257,"*43*")&gt;0,COUNTIF(I2257,"49*")&gt;0,COUNTIF(J2257,"*49*")&gt;0,COUNTIF(I2257,"52*")&gt;0,COUNTIF(J2257,"*52*")&gt;0,COUNTIF(I2257,"55*")&gt;0,COUNTIF(J2257,"*55*")&gt;0,COUNTIF(I2257,"56*")&gt;0,COUNTIF(J2257,"*56*")&gt;0,COUNTIF(I2257,"68*")&gt;0,COUNTIF(J2257,"*68*")&gt;0,COUNTIF(I2257,"78*")&gt;0,COUNTIF(J2257,"*78*")&gt;0,COUNTIF(I2257,"81*")&gt;0,COUNTIF(J2257,"*81*")&gt;0,COUNTIF(I2257,"82*")&gt;0,COUNTIF(J2257,"*82*")&gt;0,COUNTIF(I2257,"64*")&gt;0,COUNTIF(J2257,"*64*")&gt;0,COUNTIF(I2257,"65*")&gt;0,COUNTIF(J2257,"*65*")&gt;0,COUNTIF(I2257,"66*")&gt;0,COUNTIF(J2257,"*66*")&gt;0,COUNTIF(I2257,"61*")&gt;0,COUNTIF(J2257,"*61*")&gt;0,COUNTIF(I2257,"62*")&gt;0,COUNTIF(J2257,"*62*")&gt;0,COUNTIF(I2257,"63*")&gt;0,COUNTIF(J2257,"*63*")&gt;0,COUNTIF(I2257,"85*")&gt;0,COUNTIF(J2257,"*85*")&gt;0,COUNTIF(I2257,"86*")&gt;0,COUNTIF(J2257,"*86*")&gt;0),"Да","Нет"))</f>
        <v/>
      </c>
      <c r="M2257" s="13">
        <f>IF(OR(G2257="",L2257&lt;&gt;"Да"),"",IF(G2257&lt;=100,"До 100",IF(G2257&lt;=200,"До 200",IF(G2257&lt;=500,"До 500","Отдельное КП"))))</f>
        <v/>
      </c>
      <c r="N2257" s="15">
        <f>IF(OR(G2257="",L2257&lt;&gt;"Да"),"",IF(G2257&lt;=100,33600,IF(G2257&lt;=200,62400,IF(G2257&lt;=500,144000,""))))</f>
        <v/>
      </c>
      <c r="O2257" s="16">
        <f>IF(G2257="","",IF(G2257&lt;=15,"1–15",IF(G2257&lt;=30,"16–30",IF(G2257&lt;=50,"31–50",IF(G2257&lt;=100,"51–100",IF(G2257&lt;=150,"101–150",IF(G2257&lt;=200,"151–200",IF(G2257&lt;=500,"201–500","500+"))))))))</f>
        <v/>
      </c>
      <c r="P2257" s="16" t="inlineStr">
        <is>
          <t>Нет совпадения в предоставленной выгрузке ССЧР</t>
        </is>
      </c>
      <c r="Q2257" s="16" t="n"/>
      <c r="R2257" s="16">
        <f>HYPERLINK("https://checko.ru/search?query=3801001629","Чекко: проверить")</f>
        <v/>
      </c>
      <c r="S2257" t="n">
        <v>0</v>
      </c>
    </row>
    <row r="2258" ht="15" customHeight="1" s="24">
      <c r="A2258" s="13" t="n">
        <v>5000094739</v>
      </c>
      <c r="B2258" s="13" t="inlineStr">
        <is>
          <t>СОВЕТ МСУ ЧЕРЕКСКОГО РАЙОНА</t>
        </is>
      </c>
      <c r="C2258" s="13" t="n">
        <v>706005642</v>
      </c>
      <c r="D2258" s="13" t="n"/>
      <c r="E2258" s="13" t="inlineStr">
        <is>
          <t>Не определён</t>
        </is>
      </c>
      <c r="F2258" s="13" t="inlineStr">
        <is>
          <t>706005642</t>
        </is>
      </c>
      <c r="G2258" s="14" t="n"/>
      <c r="H2258" s="14" t="n"/>
      <c r="I2258" s="14" t="n"/>
      <c r="J2258" s="14" t="n"/>
      <c r="K2258" s="13">
        <f>IF(G2258="","",IF(G2258&gt;=22,"Да","Нет"))</f>
        <v/>
      </c>
      <c r="L2258" s="13">
        <f>IF(OR(I2258="",J2258=""),"Не определено",IF(OR(COUNTIF(I2258,"45*")&gt;0,COUNTIF(J2258,"*45*")&gt;0,COUNTIF(I2258,"46*")&gt;0,COUNTIF(J2258,"*46*")&gt;0,COUNTIF(I2258,"47*")&gt;0,COUNTIF(J2258,"*47*")&gt;0,COUNTIF(I2258,"10*")&gt;0,COUNTIF(J2258,"*10*")&gt;0,COUNTIF(I2258,"11*")&gt;0,COUNTIF(J2258,"*11*")&gt;0,COUNTIF(I2258,"12*")&gt;0,COUNTIF(J2258,"*12*")&gt;0,COUNTIF(I2258,"13*")&gt;0,COUNTIF(J2258,"*13*")&gt;0,COUNTIF(I2258,"14*")&gt;0,COUNTIF(J2258,"*14*")&gt;0,COUNTIF(I2258,"15*")&gt;0,COUNTIF(J2258,"*15*")&gt;0,COUNTIF(I2258,"16*")&gt;0,COUNTIF(J2258,"*16*")&gt;0,COUNTIF(I2258,"17*")&gt;0,COUNTIF(J2258,"*17*")&gt;0,COUNTIF(I2258,"18*")&gt;0,COUNTIF(J2258,"*18*")&gt;0,COUNTIF(I2258,"19*")&gt;0,COUNTIF(J2258,"*19*")&gt;0,COUNTIF(I2258,"20*")&gt;0,COUNTIF(J2258,"*20*")&gt;0,COUNTIF(I2258,"21*")&gt;0,COUNTIF(J2258,"*21*")&gt;0,COUNTIF(I2258,"22*")&gt;0,COUNTIF(J2258,"*22*")&gt;0,COUNTIF(I2258,"23*")&gt;0,COUNTIF(J2258,"*23*")&gt;0,COUNTIF(I2258,"24*")&gt;0,COUNTIF(J2258,"*24*")&gt;0,COUNTIF(I2258,"25*")&gt;0,COUNTIF(J2258,"*25*")&gt;0,COUNTIF(I2258,"26*")&gt;0,COUNTIF(J2258,"*26*")&gt;0,COUNTIF(I2258,"27*")&gt;0,COUNTIF(J2258,"*27*")&gt;0,COUNTIF(I2258,"28*")&gt;0,COUNTIF(J2258,"*28*")&gt;0,COUNTIF(I2258,"29*")&gt;0,COUNTIF(J2258,"*29*")&gt;0,COUNTIF(I2258,"30*")&gt;0,COUNTIF(J2258,"*30*")&gt;0,COUNTIF(I2258,"31*")&gt;0,COUNTIF(J2258,"*31*")&gt;0,COUNTIF(I2258,"32*")&gt;0,COUNTIF(J2258,"*32*")&gt;0,COUNTIF(I2258,"33*")&gt;0,COUNTIF(J2258,"*33*")&gt;0,COUNTIF(I2258,"41*")&gt;0,COUNTIF(J2258,"*41*")&gt;0,COUNTIF(I2258,"42*")&gt;0,COUNTIF(J2258,"*42*")&gt;0,COUNTIF(I2258,"43*")&gt;0,COUNTIF(J2258,"*43*")&gt;0,COUNTIF(I2258,"49*")&gt;0,COUNTIF(J2258,"*49*")&gt;0,COUNTIF(I2258,"52*")&gt;0,COUNTIF(J2258,"*52*")&gt;0,COUNTIF(I2258,"55*")&gt;0,COUNTIF(J2258,"*55*")&gt;0,COUNTIF(I2258,"56*")&gt;0,COUNTIF(J2258,"*56*")&gt;0,COUNTIF(I2258,"68*")&gt;0,COUNTIF(J2258,"*68*")&gt;0,COUNTIF(I2258,"78*")&gt;0,COUNTIF(J2258,"*78*")&gt;0,COUNTIF(I2258,"81*")&gt;0,COUNTIF(J2258,"*81*")&gt;0,COUNTIF(I2258,"82*")&gt;0,COUNTIF(J2258,"*82*")&gt;0,COUNTIF(I2258,"64*")&gt;0,COUNTIF(J2258,"*64*")&gt;0,COUNTIF(I2258,"65*")&gt;0,COUNTIF(J2258,"*65*")&gt;0,COUNTIF(I2258,"66*")&gt;0,COUNTIF(J2258,"*66*")&gt;0,COUNTIF(I2258,"61*")&gt;0,COUNTIF(J2258,"*61*")&gt;0,COUNTIF(I2258,"62*")&gt;0,COUNTIF(J2258,"*62*")&gt;0,COUNTIF(I2258,"63*")&gt;0,COUNTIF(J2258,"*63*")&gt;0,COUNTIF(I2258,"85*")&gt;0,COUNTIF(J2258,"*85*")&gt;0,COUNTIF(I2258,"86*")&gt;0,COUNTIF(J2258,"*86*")&gt;0),"Да","Нет"))</f>
        <v/>
      </c>
      <c r="M2258" s="13">
        <f>IF(OR(G2258="",L2258&lt;&gt;"Да"),"",IF(G2258&lt;=100,"До 100",IF(G2258&lt;=200,"До 200",IF(G2258&lt;=500,"До 500","Отдельное КП"))))</f>
        <v/>
      </c>
      <c r="N2258" s="15">
        <f>IF(OR(G2258="",L2258&lt;&gt;"Да"),"",IF(G2258&lt;=100,33600,IF(G2258&lt;=200,62400,IF(G2258&lt;=500,144000,""))))</f>
        <v/>
      </c>
      <c r="O2258" s="16">
        <f>IF(G2258="","",IF(G2258&lt;=15,"1–15",IF(G2258&lt;=30,"16–30",IF(G2258&lt;=50,"31–50",IF(G2258&lt;=100,"51–100",IF(G2258&lt;=150,"101–150",IF(G2258&lt;=200,"151–200",IF(G2258&lt;=500,"201–500","500+"))))))))</f>
        <v/>
      </c>
      <c r="P2258" s="16" t="inlineStr">
        <is>
          <t>Нет совпадения в предоставленной выгрузке ССЧР</t>
        </is>
      </c>
      <c r="Q2258" s="16" t="n"/>
      <c r="R2258" s="16">
        <f>HYPERLINK("https://checko.ru/search?query=3801001629","Чекко: проверить")</f>
        <v/>
      </c>
      <c r="S2258" t="n">
        <v>0</v>
      </c>
    </row>
    <row r="2259" ht="15" customHeight="1" s="24">
      <c r="A2259" s="13" t="n">
        <v>5000094740</v>
      </c>
      <c r="B2259" s="13" t="inlineStr">
        <is>
          <t>Центральная библиотека Черекского района</t>
        </is>
      </c>
      <c r="C2259" s="13" t="n">
        <v>706006036</v>
      </c>
      <c r="D2259" s="13" t="n"/>
      <c r="E2259" s="13" t="inlineStr">
        <is>
          <t>Не определён</t>
        </is>
      </c>
      <c r="F2259" s="13" t="inlineStr">
        <is>
          <t>706006036</t>
        </is>
      </c>
      <c r="G2259" s="14" t="n"/>
      <c r="H2259" s="14" t="n"/>
      <c r="I2259" s="14" t="n"/>
      <c r="J2259" s="14" t="n"/>
      <c r="K2259" s="13">
        <f>IF(G2259="","",IF(G2259&gt;=22,"Да","Нет"))</f>
        <v/>
      </c>
      <c r="L2259" s="13">
        <f>IF(OR(I2259="",J2259=""),"Не определено",IF(OR(COUNTIF(I2259,"45*")&gt;0,COUNTIF(J2259,"*45*")&gt;0,COUNTIF(I2259,"46*")&gt;0,COUNTIF(J2259,"*46*")&gt;0,COUNTIF(I2259,"47*")&gt;0,COUNTIF(J2259,"*47*")&gt;0,COUNTIF(I2259,"10*")&gt;0,COUNTIF(J2259,"*10*")&gt;0,COUNTIF(I2259,"11*")&gt;0,COUNTIF(J2259,"*11*")&gt;0,COUNTIF(I2259,"12*")&gt;0,COUNTIF(J2259,"*12*")&gt;0,COUNTIF(I2259,"13*")&gt;0,COUNTIF(J2259,"*13*")&gt;0,COUNTIF(I2259,"14*")&gt;0,COUNTIF(J2259,"*14*")&gt;0,COUNTIF(I2259,"15*")&gt;0,COUNTIF(J2259,"*15*")&gt;0,COUNTIF(I2259,"16*")&gt;0,COUNTIF(J2259,"*16*")&gt;0,COUNTIF(I2259,"17*")&gt;0,COUNTIF(J2259,"*17*")&gt;0,COUNTIF(I2259,"18*")&gt;0,COUNTIF(J2259,"*18*")&gt;0,COUNTIF(I2259,"19*")&gt;0,COUNTIF(J2259,"*19*")&gt;0,COUNTIF(I2259,"20*")&gt;0,COUNTIF(J2259,"*20*")&gt;0,COUNTIF(I2259,"21*")&gt;0,COUNTIF(J2259,"*21*")&gt;0,COUNTIF(I2259,"22*")&gt;0,COUNTIF(J2259,"*22*")&gt;0,COUNTIF(I2259,"23*")&gt;0,COUNTIF(J2259,"*23*")&gt;0,COUNTIF(I2259,"24*")&gt;0,COUNTIF(J2259,"*24*")&gt;0,COUNTIF(I2259,"25*")&gt;0,COUNTIF(J2259,"*25*")&gt;0,COUNTIF(I2259,"26*")&gt;0,COUNTIF(J2259,"*26*")&gt;0,COUNTIF(I2259,"27*")&gt;0,COUNTIF(J2259,"*27*")&gt;0,COUNTIF(I2259,"28*")&gt;0,COUNTIF(J2259,"*28*")&gt;0,COUNTIF(I2259,"29*")&gt;0,COUNTIF(J2259,"*29*")&gt;0,COUNTIF(I2259,"30*")&gt;0,COUNTIF(J2259,"*30*")&gt;0,COUNTIF(I2259,"31*")&gt;0,COUNTIF(J2259,"*31*")&gt;0,COUNTIF(I2259,"32*")&gt;0,COUNTIF(J2259,"*32*")&gt;0,COUNTIF(I2259,"33*")&gt;0,COUNTIF(J2259,"*33*")&gt;0,COUNTIF(I2259,"41*")&gt;0,COUNTIF(J2259,"*41*")&gt;0,COUNTIF(I2259,"42*")&gt;0,COUNTIF(J2259,"*42*")&gt;0,COUNTIF(I2259,"43*")&gt;0,COUNTIF(J2259,"*43*")&gt;0,COUNTIF(I2259,"49*")&gt;0,COUNTIF(J2259,"*49*")&gt;0,COUNTIF(I2259,"52*")&gt;0,COUNTIF(J2259,"*52*")&gt;0,COUNTIF(I2259,"55*")&gt;0,COUNTIF(J2259,"*55*")&gt;0,COUNTIF(I2259,"56*")&gt;0,COUNTIF(J2259,"*56*")&gt;0,COUNTIF(I2259,"68*")&gt;0,COUNTIF(J2259,"*68*")&gt;0,COUNTIF(I2259,"78*")&gt;0,COUNTIF(J2259,"*78*")&gt;0,COUNTIF(I2259,"81*")&gt;0,COUNTIF(J2259,"*81*")&gt;0,COUNTIF(I2259,"82*")&gt;0,COUNTIF(J2259,"*82*")&gt;0,COUNTIF(I2259,"64*")&gt;0,COUNTIF(J2259,"*64*")&gt;0,COUNTIF(I2259,"65*")&gt;0,COUNTIF(J2259,"*65*")&gt;0,COUNTIF(I2259,"66*")&gt;0,COUNTIF(J2259,"*66*")&gt;0,COUNTIF(I2259,"61*")&gt;0,COUNTIF(J2259,"*61*")&gt;0,COUNTIF(I2259,"62*")&gt;0,COUNTIF(J2259,"*62*")&gt;0,COUNTIF(I2259,"63*")&gt;0,COUNTIF(J2259,"*63*")&gt;0,COUNTIF(I2259,"85*")&gt;0,COUNTIF(J2259,"*85*")&gt;0,COUNTIF(I2259,"86*")&gt;0,COUNTIF(J2259,"*86*")&gt;0),"Да","Нет"))</f>
        <v/>
      </c>
      <c r="M2259" s="13">
        <f>IF(OR(G2259="",L2259&lt;&gt;"Да"),"",IF(G2259&lt;=100,"До 100",IF(G2259&lt;=200,"До 200",IF(G2259&lt;=500,"До 500","Отдельное КП"))))</f>
        <v/>
      </c>
      <c r="N2259" s="15">
        <f>IF(OR(G2259="",L2259&lt;&gt;"Да"),"",IF(G2259&lt;=100,33600,IF(G2259&lt;=200,62400,IF(G2259&lt;=500,144000,""))))</f>
        <v/>
      </c>
      <c r="O2259" s="16">
        <f>IF(G2259="","",IF(G2259&lt;=15,"1–15",IF(G2259&lt;=30,"16–30",IF(G2259&lt;=50,"31–50",IF(G2259&lt;=100,"51–100",IF(G2259&lt;=150,"101–150",IF(G2259&lt;=200,"151–200",IF(G2259&lt;=500,"201–500","500+"))))))))</f>
        <v/>
      </c>
      <c r="P2259" s="16" t="inlineStr">
        <is>
          <t>Нет совпадения в предоставленной выгрузке ССЧР</t>
        </is>
      </c>
      <c r="Q2259" s="16" t="n"/>
      <c r="R2259" s="16">
        <f>HYPERLINK("https://checko.ru/search?query=3801001629","Чекко: проверить")</f>
        <v/>
      </c>
      <c r="S2259" t="n">
        <v>0</v>
      </c>
    </row>
    <row r="2260" ht="15" customHeight="1" s="24">
      <c r="A2260" s="13" t="n">
        <v>5000094741</v>
      </c>
      <c r="B2260" s="13" t="inlineStr">
        <is>
          <t>МКУ "Редакция газеты "Маяк- 07"</t>
        </is>
      </c>
      <c r="C2260" s="13" t="n">
        <v>707002588</v>
      </c>
      <c r="D2260" s="13" t="n"/>
      <c r="E2260" s="13" t="inlineStr">
        <is>
          <t>Не определён</t>
        </is>
      </c>
      <c r="F2260" s="13" t="inlineStr">
        <is>
          <t>707002588</t>
        </is>
      </c>
      <c r="G2260" s="14" t="n"/>
      <c r="H2260" s="14" t="n"/>
      <c r="I2260" s="14" t="n"/>
      <c r="J2260" s="14" t="n"/>
      <c r="K2260" s="13">
        <f>IF(G2260="","",IF(G2260&gt;=22,"Да","Нет"))</f>
        <v/>
      </c>
      <c r="L2260" s="13">
        <f>IF(OR(I2260="",J2260=""),"Не определено",IF(OR(COUNTIF(I2260,"45*")&gt;0,COUNTIF(J2260,"*45*")&gt;0,COUNTIF(I2260,"46*")&gt;0,COUNTIF(J2260,"*46*")&gt;0,COUNTIF(I2260,"47*")&gt;0,COUNTIF(J2260,"*47*")&gt;0,COUNTIF(I2260,"10*")&gt;0,COUNTIF(J2260,"*10*")&gt;0,COUNTIF(I2260,"11*")&gt;0,COUNTIF(J2260,"*11*")&gt;0,COUNTIF(I2260,"12*")&gt;0,COUNTIF(J2260,"*12*")&gt;0,COUNTIF(I2260,"13*")&gt;0,COUNTIF(J2260,"*13*")&gt;0,COUNTIF(I2260,"14*")&gt;0,COUNTIF(J2260,"*14*")&gt;0,COUNTIF(I2260,"15*")&gt;0,COUNTIF(J2260,"*15*")&gt;0,COUNTIF(I2260,"16*")&gt;0,COUNTIF(J2260,"*16*")&gt;0,COUNTIF(I2260,"17*")&gt;0,COUNTIF(J2260,"*17*")&gt;0,COUNTIF(I2260,"18*")&gt;0,COUNTIF(J2260,"*18*")&gt;0,COUNTIF(I2260,"19*")&gt;0,COUNTIF(J2260,"*19*")&gt;0,COUNTIF(I2260,"20*")&gt;0,COUNTIF(J2260,"*20*")&gt;0,COUNTIF(I2260,"21*")&gt;0,COUNTIF(J2260,"*21*")&gt;0,COUNTIF(I2260,"22*")&gt;0,COUNTIF(J2260,"*22*")&gt;0,COUNTIF(I2260,"23*")&gt;0,COUNTIF(J2260,"*23*")&gt;0,COUNTIF(I2260,"24*")&gt;0,COUNTIF(J2260,"*24*")&gt;0,COUNTIF(I2260,"25*")&gt;0,COUNTIF(J2260,"*25*")&gt;0,COUNTIF(I2260,"26*")&gt;0,COUNTIF(J2260,"*26*")&gt;0,COUNTIF(I2260,"27*")&gt;0,COUNTIF(J2260,"*27*")&gt;0,COUNTIF(I2260,"28*")&gt;0,COUNTIF(J2260,"*28*")&gt;0,COUNTIF(I2260,"29*")&gt;0,COUNTIF(J2260,"*29*")&gt;0,COUNTIF(I2260,"30*")&gt;0,COUNTIF(J2260,"*30*")&gt;0,COUNTIF(I2260,"31*")&gt;0,COUNTIF(J2260,"*31*")&gt;0,COUNTIF(I2260,"32*")&gt;0,COUNTIF(J2260,"*32*")&gt;0,COUNTIF(I2260,"33*")&gt;0,COUNTIF(J2260,"*33*")&gt;0,COUNTIF(I2260,"41*")&gt;0,COUNTIF(J2260,"*41*")&gt;0,COUNTIF(I2260,"42*")&gt;0,COUNTIF(J2260,"*42*")&gt;0,COUNTIF(I2260,"43*")&gt;0,COUNTIF(J2260,"*43*")&gt;0,COUNTIF(I2260,"49*")&gt;0,COUNTIF(J2260,"*49*")&gt;0,COUNTIF(I2260,"52*")&gt;0,COUNTIF(J2260,"*52*")&gt;0,COUNTIF(I2260,"55*")&gt;0,COUNTIF(J2260,"*55*")&gt;0,COUNTIF(I2260,"56*")&gt;0,COUNTIF(J2260,"*56*")&gt;0,COUNTIF(I2260,"68*")&gt;0,COUNTIF(J2260,"*68*")&gt;0,COUNTIF(I2260,"78*")&gt;0,COUNTIF(J2260,"*78*")&gt;0,COUNTIF(I2260,"81*")&gt;0,COUNTIF(J2260,"*81*")&gt;0,COUNTIF(I2260,"82*")&gt;0,COUNTIF(J2260,"*82*")&gt;0,COUNTIF(I2260,"64*")&gt;0,COUNTIF(J2260,"*64*")&gt;0,COUNTIF(I2260,"65*")&gt;0,COUNTIF(J2260,"*65*")&gt;0,COUNTIF(I2260,"66*")&gt;0,COUNTIF(J2260,"*66*")&gt;0,COUNTIF(I2260,"61*")&gt;0,COUNTIF(J2260,"*61*")&gt;0,COUNTIF(I2260,"62*")&gt;0,COUNTIF(J2260,"*62*")&gt;0,COUNTIF(I2260,"63*")&gt;0,COUNTIF(J2260,"*63*")&gt;0,COUNTIF(I2260,"85*")&gt;0,COUNTIF(J2260,"*85*")&gt;0,COUNTIF(I2260,"86*")&gt;0,COUNTIF(J2260,"*86*")&gt;0),"Да","Нет"))</f>
        <v/>
      </c>
      <c r="M2260" s="13">
        <f>IF(OR(G2260="",L2260&lt;&gt;"Да"),"",IF(G2260&lt;=100,"До 100",IF(G2260&lt;=200,"До 200",IF(G2260&lt;=500,"До 500","Отдельное КП"))))</f>
        <v/>
      </c>
      <c r="N2260" s="15">
        <f>IF(OR(G2260="",L2260&lt;&gt;"Да"),"",IF(G2260&lt;=100,33600,IF(G2260&lt;=200,62400,IF(G2260&lt;=500,144000,""))))</f>
        <v/>
      </c>
      <c r="O2260" s="16">
        <f>IF(G2260="","",IF(G2260&lt;=15,"1–15",IF(G2260&lt;=30,"16–30",IF(G2260&lt;=50,"31–50",IF(G2260&lt;=100,"51–100",IF(G2260&lt;=150,"101–150",IF(G2260&lt;=200,"151–200",IF(G2260&lt;=500,"201–500","500+"))))))))</f>
        <v/>
      </c>
      <c r="P2260" s="16" t="inlineStr">
        <is>
          <t>Нет совпадения в предоставленной выгрузке ССЧР</t>
        </is>
      </c>
      <c r="Q2260" s="16" t="n"/>
      <c r="R2260" s="16">
        <f>HYPERLINK("https://checko.ru/search?query=3801001629","Чекко: проверить")</f>
        <v/>
      </c>
      <c r="S2260" t="n">
        <v>0</v>
      </c>
    </row>
    <row r="2261" ht="15" customHeight="1" s="24">
      <c r="A2261" s="13" t="n">
        <v>5000094743</v>
      </c>
      <c r="B2261" s="13" t="inlineStr">
        <is>
          <t>МУ "Администрация с.п. Второй Лескен "</t>
        </is>
      </c>
      <c r="C2261" s="13" t="n">
        <v>707002669</v>
      </c>
      <c r="D2261" s="13" t="n"/>
      <c r="E2261" s="13" t="inlineStr">
        <is>
          <t>Не определён</t>
        </is>
      </c>
      <c r="F2261" s="13" t="inlineStr">
        <is>
          <t>707002669</t>
        </is>
      </c>
      <c r="G2261" s="14" t="n"/>
      <c r="H2261" s="14" t="n"/>
      <c r="I2261" s="14" t="n"/>
      <c r="J2261" s="14" t="n"/>
      <c r="K2261" s="13">
        <f>IF(G2261="","",IF(G2261&gt;=22,"Да","Нет"))</f>
        <v/>
      </c>
      <c r="L2261" s="13">
        <f>IF(OR(I2261="",J2261=""),"Не определено",IF(OR(COUNTIF(I2261,"45*")&gt;0,COUNTIF(J2261,"*45*")&gt;0,COUNTIF(I2261,"46*")&gt;0,COUNTIF(J2261,"*46*")&gt;0,COUNTIF(I2261,"47*")&gt;0,COUNTIF(J2261,"*47*")&gt;0,COUNTIF(I2261,"10*")&gt;0,COUNTIF(J2261,"*10*")&gt;0,COUNTIF(I2261,"11*")&gt;0,COUNTIF(J2261,"*11*")&gt;0,COUNTIF(I2261,"12*")&gt;0,COUNTIF(J2261,"*12*")&gt;0,COUNTIF(I2261,"13*")&gt;0,COUNTIF(J2261,"*13*")&gt;0,COUNTIF(I2261,"14*")&gt;0,COUNTIF(J2261,"*14*")&gt;0,COUNTIF(I2261,"15*")&gt;0,COUNTIF(J2261,"*15*")&gt;0,COUNTIF(I2261,"16*")&gt;0,COUNTIF(J2261,"*16*")&gt;0,COUNTIF(I2261,"17*")&gt;0,COUNTIF(J2261,"*17*")&gt;0,COUNTIF(I2261,"18*")&gt;0,COUNTIF(J2261,"*18*")&gt;0,COUNTIF(I2261,"19*")&gt;0,COUNTIF(J2261,"*19*")&gt;0,COUNTIF(I2261,"20*")&gt;0,COUNTIF(J2261,"*20*")&gt;0,COUNTIF(I2261,"21*")&gt;0,COUNTIF(J2261,"*21*")&gt;0,COUNTIF(I2261,"22*")&gt;0,COUNTIF(J2261,"*22*")&gt;0,COUNTIF(I2261,"23*")&gt;0,COUNTIF(J2261,"*23*")&gt;0,COUNTIF(I2261,"24*")&gt;0,COUNTIF(J2261,"*24*")&gt;0,COUNTIF(I2261,"25*")&gt;0,COUNTIF(J2261,"*25*")&gt;0,COUNTIF(I2261,"26*")&gt;0,COUNTIF(J2261,"*26*")&gt;0,COUNTIF(I2261,"27*")&gt;0,COUNTIF(J2261,"*27*")&gt;0,COUNTIF(I2261,"28*")&gt;0,COUNTIF(J2261,"*28*")&gt;0,COUNTIF(I2261,"29*")&gt;0,COUNTIF(J2261,"*29*")&gt;0,COUNTIF(I2261,"30*")&gt;0,COUNTIF(J2261,"*30*")&gt;0,COUNTIF(I2261,"31*")&gt;0,COUNTIF(J2261,"*31*")&gt;0,COUNTIF(I2261,"32*")&gt;0,COUNTIF(J2261,"*32*")&gt;0,COUNTIF(I2261,"33*")&gt;0,COUNTIF(J2261,"*33*")&gt;0,COUNTIF(I2261,"41*")&gt;0,COUNTIF(J2261,"*41*")&gt;0,COUNTIF(I2261,"42*")&gt;0,COUNTIF(J2261,"*42*")&gt;0,COUNTIF(I2261,"43*")&gt;0,COUNTIF(J2261,"*43*")&gt;0,COUNTIF(I2261,"49*")&gt;0,COUNTIF(J2261,"*49*")&gt;0,COUNTIF(I2261,"52*")&gt;0,COUNTIF(J2261,"*52*")&gt;0,COUNTIF(I2261,"55*")&gt;0,COUNTIF(J2261,"*55*")&gt;0,COUNTIF(I2261,"56*")&gt;0,COUNTIF(J2261,"*56*")&gt;0,COUNTIF(I2261,"68*")&gt;0,COUNTIF(J2261,"*68*")&gt;0,COUNTIF(I2261,"78*")&gt;0,COUNTIF(J2261,"*78*")&gt;0,COUNTIF(I2261,"81*")&gt;0,COUNTIF(J2261,"*81*")&gt;0,COUNTIF(I2261,"82*")&gt;0,COUNTIF(J2261,"*82*")&gt;0,COUNTIF(I2261,"64*")&gt;0,COUNTIF(J2261,"*64*")&gt;0,COUNTIF(I2261,"65*")&gt;0,COUNTIF(J2261,"*65*")&gt;0,COUNTIF(I2261,"66*")&gt;0,COUNTIF(J2261,"*66*")&gt;0,COUNTIF(I2261,"61*")&gt;0,COUNTIF(J2261,"*61*")&gt;0,COUNTIF(I2261,"62*")&gt;0,COUNTIF(J2261,"*62*")&gt;0,COUNTIF(I2261,"63*")&gt;0,COUNTIF(J2261,"*63*")&gt;0,COUNTIF(I2261,"85*")&gt;0,COUNTIF(J2261,"*85*")&gt;0,COUNTIF(I2261,"86*")&gt;0,COUNTIF(J2261,"*86*")&gt;0),"Да","Нет"))</f>
        <v/>
      </c>
      <c r="M2261" s="13">
        <f>IF(OR(G2261="",L2261&lt;&gt;"Да"),"",IF(G2261&lt;=100,"До 100",IF(G2261&lt;=200,"До 200",IF(G2261&lt;=500,"До 500","Отдельное КП"))))</f>
        <v/>
      </c>
      <c r="N2261" s="15">
        <f>IF(OR(G2261="",L2261&lt;&gt;"Да"),"",IF(G2261&lt;=100,33600,IF(G2261&lt;=200,62400,IF(G2261&lt;=500,144000,""))))</f>
        <v/>
      </c>
      <c r="O2261" s="16">
        <f>IF(G2261="","",IF(G2261&lt;=15,"1–15",IF(G2261&lt;=30,"16–30",IF(G2261&lt;=50,"31–50",IF(G2261&lt;=100,"51–100",IF(G2261&lt;=150,"101–150",IF(G2261&lt;=200,"151–200",IF(G2261&lt;=500,"201–500","500+"))))))))</f>
        <v/>
      </c>
      <c r="P2261" s="16" t="inlineStr">
        <is>
          <t>Нет совпадения в предоставленной выгрузке ССЧР</t>
        </is>
      </c>
      <c r="Q2261" s="16" t="n"/>
      <c r="R2261" s="16">
        <f>HYPERLINK("https://checko.ru/search?query=3801001629","Чекко: проверить")</f>
        <v/>
      </c>
      <c r="S2261" t="n">
        <v>0</v>
      </c>
    </row>
    <row r="2262" ht="15" customHeight="1" s="24">
      <c r="A2262" s="13" t="n">
        <v>5000094744</v>
      </c>
      <c r="B2262" s="13" t="inlineStr">
        <is>
          <t>МКУ "Местная администрация с.п. Хатуей"</t>
        </is>
      </c>
      <c r="C2262" s="13" t="n">
        <v>707002852</v>
      </c>
      <c r="D2262" s="13" t="n"/>
      <c r="E2262" s="13" t="inlineStr">
        <is>
          <t>Не определён</t>
        </is>
      </c>
      <c r="F2262" s="13" t="inlineStr">
        <is>
          <t>707002852</t>
        </is>
      </c>
      <c r="G2262" s="14" t="n"/>
      <c r="H2262" s="14" t="n"/>
      <c r="I2262" s="14" t="n"/>
      <c r="J2262" s="14" t="n"/>
      <c r="K2262" s="13">
        <f>IF(G2262="","",IF(G2262&gt;=22,"Да","Нет"))</f>
        <v/>
      </c>
      <c r="L2262" s="13">
        <f>IF(OR(I2262="",J2262=""),"Не определено",IF(OR(COUNTIF(I2262,"45*")&gt;0,COUNTIF(J2262,"*45*")&gt;0,COUNTIF(I2262,"46*")&gt;0,COUNTIF(J2262,"*46*")&gt;0,COUNTIF(I2262,"47*")&gt;0,COUNTIF(J2262,"*47*")&gt;0,COUNTIF(I2262,"10*")&gt;0,COUNTIF(J2262,"*10*")&gt;0,COUNTIF(I2262,"11*")&gt;0,COUNTIF(J2262,"*11*")&gt;0,COUNTIF(I2262,"12*")&gt;0,COUNTIF(J2262,"*12*")&gt;0,COUNTIF(I2262,"13*")&gt;0,COUNTIF(J2262,"*13*")&gt;0,COUNTIF(I2262,"14*")&gt;0,COUNTIF(J2262,"*14*")&gt;0,COUNTIF(I2262,"15*")&gt;0,COUNTIF(J2262,"*15*")&gt;0,COUNTIF(I2262,"16*")&gt;0,COUNTIF(J2262,"*16*")&gt;0,COUNTIF(I2262,"17*")&gt;0,COUNTIF(J2262,"*17*")&gt;0,COUNTIF(I2262,"18*")&gt;0,COUNTIF(J2262,"*18*")&gt;0,COUNTIF(I2262,"19*")&gt;0,COUNTIF(J2262,"*19*")&gt;0,COUNTIF(I2262,"20*")&gt;0,COUNTIF(J2262,"*20*")&gt;0,COUNTIF(I2262,"21*")&gt;0,COUNTIF(J2262,"*21*")&gt;0,COUNTIF(I2262,"22*")&gt;0,COUNTIF(J2262,"*22*")&gt;0,COUNTIF(I2262,"23*")&gt;0,COUNTIF(J2262,"*23*")&gt;0,COUNTIF(I2262,"24*")&gt;0,COUNTIF(J2262,"*24*")&gt;0,COUNTIF(I2262,"25*")&gt;0,COUNTIF(J2262,"*25*")&gt;0,COUNTIF(I2262,"26*")&gt;0,COUNTIF(J2262,"*26*")&gt;0,COUNTIF(I2262,"27*")&gt;0,COUNTIF(J2262,"*27*")&gt;0,COUNTIF(I2262,"28*")&gt;0,COUNTIF(J2262,"*28*")&gt;0,COUNTIF(I2262,"29*")&gt;0,COUNTIF(J2262,"*29*")&gt;0,COUNTIF(I2262,"30*")&gt;0,COUNTIF(J2262,"*30*")&gt;0,COUNTIF(I2262,"31*")&gt;0,COUNTIF(J2262,"*31*")&gt;0,COUNTIF(I2262,"32*")&gt;0,COUNTIF(J2262,"*32*")&gt;0,COUNTIF(I2262,"33*")&gt;0,COUNTIF(J2262,"*33*")&gt;0,COUNTIF(I2262,"41*")&gt;0,COUNTIF(J2262,"*41*")&gt;0,COUNTIF(I2262,"42*")&gt;0,COUNTIF(J2262,"*42*")&gt;0,COUNTIF(I2262,"43*")&gt;0,COUNTIF(J2262,"*43*")&gt;0,COUNTIF(I2262,"49*")&gt;0,COUNTIF(J2262,"*49*")&gt;0,COUNTIF(I2262,"52*")&gt;0,COUNTIF(J2262,"*52*")&gt;0,COUNTIF(I2262,"55*")&gt;0,COUNTIF(J2262,"*55*")&gt;0,COUNTIF(I2262,"56*")&gt;0,COUNTIF(J2262,"*56*")&gt;0,COUNTIF(I2262,"68*")&gt;0,COUNTIF(J2262,"*68*")&gt;0,COUNTIF(I2262,"78*")&gt;0,COUNTIF(J2262,"*78*")&gt;0,COUNTIF(I2262,"81*")&gt;0,COUNTIF(J2262,"*81*")&gt;0,COUNTIF(I2262,"82*")&gt;0,COUNTIF(J2262,"*82*")&gt;0,COUNTIF(I2262,"64*")&gt;0,COUNTIF(J2262,"*64*")&gt;0,COUNTIF(I2262,"65*")&gt;0,COUNTIF(J2262,"*65*")&gt;0,COUNTIF(I2262,"66*")&gt;0,COUNTIF(J2262,"*66*")&gt;0,COUNTIF(I2262,"61*")&gt;0,COUNTIF(J2262,"*61*")&gt;0,COUNTIF(I2262,"62*")&gt;0,COUNTIF(J2262,"*62*")&gt;0,COUNTIF(I2262,"63*")&gt;0,COUNTIF(J2262,"*63*")&gt;0,COUNTIF(I2262,"85*")&gt;0,COUNTIF(J2262,"*85*")&gt;0,COUNTIF(I2262,"86*")&gt;0,COUNTIF(J2262,"*86*")&gt;0),"Да","Нет"))</f>
        <v/>
      </c>
      <c r="M2262" s="13">
        <f>IF(OR(G2262="",L2262&lt;&gt;"Да"),"",IF(G2262&lt;=100,"До 100",IF(G2262&lt;=200,"До 200",IF(G2262&lt;=500,"До 500","Отдельное КП"))))</f>
        <v/>
      </c>
      <c r="N2262" s="15">
        <f>IF(OR(G2262="",L2262&lt;&gt;"Да"),"",IF(G2262&lt;=100,33600,IF(G2262&lt;=200,62400,IF(G2262&lt;=500,144000,""))))</f>
        <v/>
      </c>
      <c r="O2262" s="16">
        <f>IF(G2262="","",IF(G2262&lt;=15,"1–15",IF(G2262&lt;=30,"16–30",IF(G2262&lt;=50,"31–50",IF(G2262&lt;=100,"51–100",IF(G2262&lt;=150,"101–150",IF(G2262&lt;=200,"151–200",IF(G2262&lt;=500,"201–500","500+"))))))))</f>
        <v/>
      </c>
      <c r="P2262" s="16" t="inlineStr">
        <is>
          <t>Нет совпадения в предоставленной выгрузке ССЧР</t>
        </is>
      </c>
      <c r="Q2262" s="16" t="n"/>
      <c r="R2262" s="16">
        <f>HYPERLINK("https://checko.ru/search?query=3801001629","Чекко: проверить")</f>
        <v/>
      </c>
      <c r="S2262" t="n">
        <v>0</v>
      </c>
    </row>
    <row r="2263" ht="15" customHeight="1" s="24">
      <c r="A2263" s="13" t="n">
        <v>5000094747</v>
      </c>
      <c r="B2263" s="13" t="inlineStr">
        <is>
          <t>МКУ "Местная администрация с.п.Ерокко КБР"</t>
        </is>
      </c>
      <c r="C2263" s="13" t="n">
        <v>707003334</v>
      </c>
      <c r="D2263" s="13" t="n"/>
      <c r="E2263" s="13" t="inlineStr">
        <is>
          <t>Не определён</t>
        </is>
      </c>
      <c r="F2263" s="13" t="inlineStr">
        <is>
          <t>707003334</t>
        </is>
      </c>
      <c r="G2263" s="14" t="n"/>
      <c r="H2263" s="14" t="n"/>
      <c r="I2263" s="14" t="n"/>
      <c r="J2263" s="14" t="n"/>
      <c r="K2263" s="13">
        <f>IF(G2263="","",IF(G2263&gt;=22,"Да","Нет"))</f>
        <v/>
      </c>
      <c r="L2263" s="13">
        <f>IF(OR(I2263="",J2263=""),"Не определено",IF(OR(COUNTIF(I2263,"45*")&gt;0,COUNTIF(J2263,"*45*")&gt;0,COUNTIF(I2263,"46*")&gt;0,COUNTIF(J2263,"*46*")&gt;0,COUNTIF(I2263,"47*")&gt;0,COUNTIF(J2263,"*47*")&gt;0,COUNTIF(I2263,"10*")&gt;0,COUNTIF(J2263,"*10*")&gt;0,COUNTIF(I2263,"11*")&gt;0,COUNTIF(J2263,"*11*")&gt;0,COUNTIF(I2263,"12*")&gt;0,COUNTIF(J2263,"*12*")&gt;0,COUNTIF(I2263,"13*")&gt;0,COUNTIF(J2263,"*13*")&gt;0,COUNTIF(I2263,"14*")&gt;0,COUNTIF(J2263,"*14*")&gt;0,COUNTIF(I2263,"15*")&gt;0,COUNTIF(J2263,"*15*")&gt;0,COUNTIF(I2263,"16*")&gt;0,COUNTIF(J2263,"*16*")&gt;0,COUNTIF(I2263,"17*")&gt;0,COUNTIF(J2263,"*17*")&gt;0,COUNTIF(I2263,"18*")&gt;0,COUNTIF(J2263,"*18*")&gt;0,COUNTIF(I2263,"19*")&gt;0,COUNTIF(J2263,"*19*")&gt;0,COUNTIF(I2263,"20*")&gt;0,COUNTIF(J2263,"*20*")&gt;0,COUNTIF(I2263,"21*")&gt;0,COUNTIF(J2263,"*21*")&gt;0,COUNTIF(I2263,"22*")&gt;0,COUNTIF(J2263,"*22*")&gt;0,COUNTIF(I2263,"23*")&gt;0,COUNTIF(J2263,"*23*")&gt;0,COUNTIF(I2263,"24*")&gt;0,COUNTIF(J2263,"*24*")&gt;0,COUNTIF(I2263,"25*")&gt;0,COUNTIF(J2263,"*25*")&gt;0,COUNTIF(I2263,"26*")&gt;0,COUNTIF(J2263,"*26*")&gt;0,COUNTIF(I2263,"27*")&gt;0,COUNTIF(J2263,"*27*")&gt;0,COUNTIF(I2263,"28*")&gt;0,COUNTIF(J2263,"*28*")&gt;0,COUNTIF(I2263,"29*")&gt;0,COUNTIF(J2263,"*29*")&gt;0,COUNTIF(I2263,"30*")&gt;0,COUNTIF(J2263,"*30*")&gt;0,COUNTIF(I2263,"31*")&gt;0,COUNTIF(J2263,"*31*")&gt;0,COUNTIF(I2263,"32*")&gt;0,COUNTIF(J2263,"*32*")&gt;0,COUNTIF(I2263,"33*")&gt;0,COUNTIF(J2263,"*33*")&gt;0,COUNTIF(I2263,"41*")&gt;0,COUNTIF(J2263,"*41*")&gt;0,COUNTIF(I2263,"42*")&gt;0,COUNTIF(J2263,"*42*")&gt;0,COUNTIF(I2263,"43*")&gt;0,COUNTIF(J2263,"*43*")&gt;0,COUNTIF(I2263,"49*")&gt;0,COUNTIF(J2263,"*49*")&gt;0,COUNTIF(I2263,"52*")&gt;0,COUNTIF(J2263,"*52*")&gt;0,COUNTIF(I2263,"55*")&gt;0,COUNTIF(J2263,"*55*")&gt;0,COUNTIF(I2263,"56*")&gt;0,COUNTIF(J2263,"*56*")&gt;0,COUNTIF(I2263,"68*")&gt;0,COUNTIF(J2263,"*68*")&gt;0,COUNTIF(I2263,"78*")&gt;0,COUNTIF(J2263,"*78*")&gt;0,COUNTIF(I2263,"81*")&gt;0,COUNTIF(J2263,"*81*")&gt;0,COUNTIF(I2263,"82*")&gt;0,COUNTIF(J2263,"*82*")&gt;0,COUNTIF(I2263,"64*")&gt;0,COUNTIF(J2263,"*64*")&gt;0,COUNTIF(I2263,"65*")&gt;0,COUNTIF(J2263,"*65*")&gt;0,COUNTIF(I2263,"66*")&gt;0,COUNTIF(J2263,"*66*")&gt;0,COUNTIF(I2263,"61*")&gt;0,COUNTIF(J2263,"*61*")&gt;0,COUNTIF(I2263,"62*")&gt;0,COUNTIF(J2263,"*62*")&gt;0,COUNTIF(I2263,"63*")&gt;0,COUNTIF(J2263,"*63*")&gt;0,COUNTIF(I2263,"85*")&gt;0,COUNTIF(J2263,"*85*")&gt;0,COUNTIF(I2263,"86*")&gt;0,COUNTIF(J2263,"*86*")&gt;0),"Да","Нет"))</f>
        <v/>
      </c>
      <c r="M2263" s="13">
        <f>IF(OR(G2263="",L2263&lt;&gt;"Да"),"",IF(G2263&lt;=100,"До 100",IF(G2263&lt;=200,"До 200",IF(G2263&lt;=500,"До 500","Отдельное КП"))))</f>
        <v/>
      </c>
      <c r="N2263" s="15">
        <f>IF(OR(G2263="",L2263&lt;&gt;"Да"),"",IF(G2263&lt;=100,33600,IF(G2263&lt;=200,62400,IF(G2263&lt;=500,144000,""))))</f>
        <v/>
      </c>
      <c r="O2263" s="16">
        <f>IF(G2263="","",IF(G2263&lt;=15,"1–15",IF(G2263&lt;=30,"16–30",IF(G2263&lt;=50,"31–50",IF(G2263&lt;=100,"51–100",IF(G2263&lt;=150,"101–150",IF(G2263&lt;=200,"151–200",IF(G2263&lt;=500,"201–500","500+"))))))))</f>
        <v/>
      </c>
      <c r="P2263" s="16" t="inlineStr">
        <is>
          <t>Нет совпадения в предоставленной выгрузке ССЧР</t>
        </is>
      </c>
      <c r="Q2263" s="16" t="n"/>
      <c r="R2263" s="16">
        <f>HYPERLINK("https://checko.ru/search?query=3801001629","Чекко: проверить")</f>
        <v/>
      </c>
      <c r="S2263" t="n">
        <v>0</v>
      </c>
    </row>
    <row r="2264" ht="27.75" customHeight="1" s="24">
      <c r="A2264" s="13" t="n">
        <v>5000094749</v>
      </c>
      <c r="B2264" s="13" t="inlineStr">
        <is>
          <t>МКУ "Местная администрация с.п. Верхний Лескен"</t>
        </is>
      </c>
      <c r="C2264" s="13" t="n">
        <v>707005042</v>
      </c>
      <c r="D2264" s="13" t="n"/>
      <c r="E2264" s="13" t="inlineStr">
        <is>
          <t>Не определён</t>
        </is>
      </c>
      <c r="F2264" s="13" t="inlineStr">
        <is>
          <t>707005042</t>
        </is>
      </c>
      <c r="G2264" s="14" t="n"/>
      <c r="H2264" s="14" t="n"/>
      <c r="I2264" s="14" t="n"/>
      <c r="J2264" s="14" t="n"/>
      <c r="K2264" s="13">
        <f>IF(G2264="","",IF(G2264&gt;=22,"Да","Нет"))</f>
        <v/>
      </c>
      <c r="L2264" s="13">
        <f>IF(OR(I2264="",J2264=""),"Не определено",IF(OR(COUNTIF(I2264,"45*")&gt;0,COUNTIF(J2264,"*45*")&gt;0,COUNTIF(I2264,"46*")&gt;0,COUNTIF(J2264,"*46*")&gt;0,COUNTIF(I2264,"47*")&gt;0,COUNTIF(J2264,"*47*")&gt;0,COUNTIF(I2264,"10*")&gt;0,COUNTIF(J2264,"*10*")&gt;0,COUNTIF(I2264,"11*")&gt;0,COUNTIF(J2264,"*11*")&gt;0,COUNTIF(I2264,"12*")&gt;0,COUNTIF(J2264,"*12*")&gt;0,COUNTIF(I2264,"13*")&gt;0,COUNTIF(J2264,"*13*")&gt;0,COUNTIF(I2264,"14*")&gt;0,COUNTIF(J2264,"*14*")&gt;0,COUNTIF(I2264,"15*")&gt;0,COUNTIF(J2264,"*15*")&gt;0,COUNTIF(I2264,"16*")&gt;0,COUNTIF(J2264,"*16*")&gt;0,COUNTIF(I2264,"17*")&gt;0,COUNTIF(J2264,"*17*")&gt;0,COUNTIF(I2264,"18*")&gt;0,COUNTIF(J2264,"*18*")&gt;0,COUNTIF(I2264,"19*")&gt;0,COUNTIF(J2264,"*19*")&gt;0,COUNTIF(I2264,"20*")&gt;0,COUNTIF(J2264,"*20*")&gt;0,COUNTIF(I2264,"21*")&gt;0,COUNTIF(J2264,"*21*")&gt;0,COUNTIF(I2264,"22*")&gt;0,COUNTIF(J2264,"*22*")&gt;0,COUNTIF(I2264,"23*")&gt;0,COUNTIF(J2264,"*23*")&gt;0,COUNTIF(I2264,"24*")&gt;0,COUNTIF(J2264,"*24*")&gt;0,COUNTIF(I2264,"25*")&gt;0,COUNTIF(J2264,"*25*")&gt;0,COUNTIF(I2264,"26*")&gt;0,COUNTIF(J2264,"*26*")&gt;0,COUNTIF(I2264,"27*")&gt;0,COUNTIF(J2264,"*27*")&gt;0,COUNTIF(I2264,"28*")&gt;0,COUNTIF(J2264,"*28*")&gt;0,COUNTIF(I2264,"29*")&gt;0,COUNTIF(J2264,"*29*")&gt;0,COUNTIF(I2264,"30*")&gt;0,COUNTIF(J2264,"*30*")&gt;0,COUNTIF(I2264,"31*")&gt;0,COUNTIF(J2264,"*31*")&gt;0,COUNTIF(I2264,"32*")&gt;0,COUNTIF(J2264,"*32*")&gt;0,COUNTIF(I2264,"33*")&gt;0,COUNTIF(J2264,"*33*")&gt;0,COUNTIF(I2264,"41*")&gt;0,COUNTIF(J2264,"*41*")&gt;0,COUNTIF(I2264,"42*")&gt;0,COUNTIF(J2264,"*42*")&gt;0,COUNTIF(I2264,"43*")&gt;0,COUNTIF(J2264,"*43*")&gt;0,COUNTIF(I2264,"49*")&gt;0,COUNTIF(J2264,"*49*")&gt;0,COUNTIF(I2264,"52*")&gt;0,COUNTIF(J2264,"*52*")&gt;0,COUNTIF(I2264,"55*")&gt;0,COUNTIF(J2264,"*55*")&gt;0,COUNTIF(I2264,"56*")&gt;0,COUNTIF(J2264,"*56*")&gt;0,COUNTIF(I2264,"68*")&gt;0,COUNTIF(J2264,"*68*")&gt;0,COUNTIF(I2264,"78*")&gt;0,COUNTIF(J2264,"*78*")&gt;0,COUNTIF(I2264,"81*")&gt;0,COUNTIF(J2264,"*81*")&gt;0,COUNTIF(I2264,"82*")&gt;0,COUNTIF(J2264,"*82*")&gt;0,COUNTIF(I2264,"64*")&gt;0,COUNTIF(J2264,"*64*")&gt;0,COUNTIF(I2264,"65*")&gt;0,COUNTIF(J2264,"*65*")&gt;0,COUNTIF(I2264,"66*")&gt;0,COUNTIF(J2264,"*66*")&gt;0,COUNTIF(I2264,"61*")&gt;0,COUNTIF(J2264,"*61*")&gt;0,COUNTIF(I2264,"62*")&gt;0,COUNTIF(J2264,"*62*")&gt;0,COUNTIF(I2264,"63*")&gt;0,COUNTIF(J2264,"*63*")&gt;0,COUNTIF(I2264,"85*")&gt;0,COUNTIF(J2264,"*85*")&gt;0,COUNTIF(I2264,"86*")&gt;0,COUNTIF(J2264,"*86*")&gt;0),"Да","Нет"))</f>
        <v/>
      </c>
      <c r="M2264" s="13">
        <f>IF(OR(G2264="",L2264&lt;&gt;"Да"),"",IF(G2264&lt;=100,"До 100",IF(G2264&lt;=200,"До 200",IF(G2264&lt;=500,"До 500","Отдельное КП"))))</f>
        <v/>
      </c>
      <c r="N2264" s="15">
        <f>IF(OR(G2264="",L2264&lt;&gt;"Да"),"",IF(G2264&lt;=100,33600,IF(G2264&lt;=200,62400,IF(G2264&lt;=500,144000,""))))</f>
        <v/>
      </c>
      <c r="O2264" s="16">
        <f>IF(G2264="","",IF(G2264&lt;=15,"1–15",IF(G2264&lt;=30,"16–30",IF(G2264&lt;=50,"31–50",IF(G2264&lt;=100,"51–100",IF(G2264&lt;=150,"101–150",IF(G2264&lt;=200,"151–200",IF(G2264&lt;=500,"201–500","500+"))))))))</f>
        <v/>
      </c>
      <c r="P2264" s="16" t="inlineStr">
        <is>
          <t>Нет совпадения в предоставленной выгрузке ССЧР</t>
        </is>
      </c>
      <c r="Q2264" s="16" t="n"/>
      <c r="R2264" s="16">
        <f>HYPERLINK("https://checko.ru/search?query=3801001629","Чекко: проверить")</f>
        <v/>
      </c>
      <c r="S2264" t="n">
        <v>0</v>
      </c>
    </row>
    <row r="2265" ht="15" customHeight="1" s="24">
      <c r="A2265" s="13" t="n">
        <v>5000094751</v>
      </c>
      <c r="B2265" s="13" t="inlineStr">
        <is>
          <t>МКОУ СОШ № 2 г.Нарткала</t>
        </is>
      </c>
      <c r="C2265" s="13" t="n">
        <v>707005395</v>
      </c>
      <c r="D2265" s="13" t="n"/>
      <c r="E2265" s="13" t="inlineStr">
        <is>
          <t>Не определён</t>
        </is>
      </c>
      <c r="F2265" s="13" t="inlineStr">
        <is>
          <t>707005395</t>
        </is>
      </c>
      <c r="G2265" s="14" t="n"/>
      <c r="H2265" s="14" t="n"/>
      <c r="I2265" s="14" t="n"/>
      <c r="J2265" s="14" t="n"/>
      <c r="K2265" s="13">
        <f>IF(G2265="","",IF(G2265&gt;=22,"Да","Нет"))</f>
        <v/>
      </c>
      <c r="L2265" s="13">
        <f>IF(OR(I2265="",J2265=""),"Не определено",IF(OR(COUNTIF(I2265,"45*")&gt;0,COUNTIF(J2265,"*45*")&gt;0,COUNTIF(I2265,"46*")&gt;0,COUNTIF(J2265,"*46*")&gt;0,COUNTIF(I2265,"47*")&gt;0,COUNTIF(J2265,"*47*")&gt;0,COUNTIF(I2265,"10*")&gt;0,COUNTIF(J2265,"*10*")&gt;0,COUNTIF(I2265,"11*")&gt;0,COUNTIF(J2265,"*11*")&gt;0,COUNTIF(I2265,"12*")&gt;0,COUNTIF(J2265,"*12*")&gt;0,COUNTIF(I2265,"13*")&gt;0,COUNTIF(J2265,"*13*")&gt;0,COUNTIF(I2265,"14*")&gt;0,COUNTIF(J2265,"*14*")&gt;0,COUNTIF(I2265,"15*")&gt;0,COUNTIF(J2265,"*15*")&gt;0,COUNTIF(I2265,"16*")&gt;0,COUNTIF(J2265,"*16*")&gt;0,COUNTIF(I2265,"17*")&gt;0,COUNTIF(J2265,"*17*")&gt;0,COUNTIF(I2265,"18*")&gt;0,COUNTIF(J2265,"*18*")&gt;0,COUNTIF(I2265,"19*")&gt;0,COUNTIF(J2265,"*19*")&gt;0,COUNTIF(I2265,"20*")&gt;0,COUNTIF(J2265,"*20*")&gt;0,COUNTIF(I2265,"21*")&gt;0,COUNTIF(J2265,"*21*")&gt;0,COUNTIF(I2265,"22*")&gt;0,COUNTIF(J2265,"*22*")&gt;0,COUNTIF(I2265,"23*")&gt;0,COUNTIF(J2265,"*23*")&gt;0,COUNTIF(I2265,"24*")&gt;0,COUNTIF(J2265,"*24*")&gt;0,COUNTIF(I2265,"25*")&gt;0,COUNTIF(J2265,"*25*")&gt;0,COUNTIF(I2265,"26*")&gt;0,COUNTIF(J2265,"*26*")&gt;0,COUNTIF(I2265,"27*")&gt;0,COUNTIF(J2265,"*27*")&gt;0,COUNTIF(I2265,"28*")&gt;0,COUNTIF(J2265,"*28*")&gt;0,COUNTIF(I2265,"29*")&gt;0,COUNTIF(J2265,"*29*")&gt;0,COUNTIF(I2265,"30*")&gt;0,COUNTIF(J2265,"*30*")&gt;0,COUNTIF(I2265,"31*")&gt;0,COUNTIF(J2265,"*31*")&gt;0,COUNTIF(I2265,"32*")&gt;0,COUNTIF(J2265,"*32*")&gt;0,COUNTIF(I2265,"33*")&gt;0,COUNTIF(J2265,"*33*")&gt;0,COUNTIF(I2265,"41*")&gt;0,COUNTIF(J2265,"*41*")&gt;0,COUNTIF(I2265,"42*")&gt;0,COUNTIF(J2265,"*42*")&gt;0,COUNTIF(I2265,"43*")&gt;0,COUNTIF(J2265,"*43*")&gt;0,COUNTIF(I2265,"49*")&gt;0,COUNTIF(J2265,"*49*")&gt;0,COUNTIF(I2265,"52*")&gt;0,COUNTIF(J2265,"*52*")&gt;0,COUNTIF(I2265,"55*")&gt;0,COUNTIF(J2265,"*55*")&gt;0,COUNTIF(I2265,"56*")&gt;0,COUNTIF(J2265,"*56*")&gt;0,COUNTIF(I2265,"68*")&gt;0,COUNTIF(J2265,"*68*")&gt;0,COUNTIF(I2265,"78*")&gt;0,COUNTIF(J2265,"*78*")&gt;0,COUNTIF(I2265,"81*")&gt;0,COUNTIF(J2265,"*81*")&gt;0,COUNTIF(I2265,"82*")&gt;0,COUNTIF(J2265,"*82*")&gt;0,COUNTIF(I2265,"64*")&gt;0,COUNTIF(J2265,"*64*")&gt;0,COUNTIF(I2265,"65*")&gt;0,COUNTIF(J2265,"*65*")&gt;0,COUNTIF(I2265,"66*")&gt;0,COUNTIF(J2265,"*66*")&gt;0,COUNTIF(I2265,"61*")&gt;0,COUNTIF(J2265,"*61*")&gt;0,COUNTIF(I2265,"62*")&gt;0,COUNTIF(J2265,"*62*")&gt;0,COUNTIF(I2265,"63*")&gt;0,COUNTIF(J2265,"*63*")&gt;0,COUNTIF(I2265,"85*")&gt;0,COUNTIF(J2265,"*85*")&gt;0,COUNTIF(I2265,"86*")&gt;0,COUNTIF(J2265,"*86*")&gt;0),"Да","Нет"))</f>
        <v/>
      </c>
      <c r="M2265" s="13">
        <f>IF(OR(G2265="",L2265&lt;&gt;"Да"),"",IF(G2265&lt;=100,"До 100",IF(G2265&lt;=200,"До 200",IF(G2265&lt;=500,"До 500","Отдельное КП"))))</f>
        <v/>
      </c>
      <c r="N2265" s="15">
        <f>IF(OR(G2265="",L2265&lt;&gt;"Да"),"",IF(G2265&lt;=100,33600,IF(G2265&lt;=200,62400,IF(G2265&lt;=500,144000,""))))</f>
        <v/>
      </c>
      <c r="O2265" s="16">
        <f>IF(G2265="","",IF(G2265&lt;=15,"1–15",IF(G2265&lt;=30,"16–30",IF(G2265&lt;=50,"31–50",IF(G2265&lt;=100,"51–100",IF(G2265&lt;=150,"101–150",IF(G2265&lt;=200,"151–200",IF(G2265&lt;=500,"201–500","500+"))))))))</f>
        <v/>
      </c>
      <c r="P2265" s="16" t="inlineStr">
        <is>
          <t>Нет совпадения в предоставленной выгрузке ССЧР</t>
        </is>
      </c>
      <c r="Q2265" s="16" t="n"/>
      <c r="R2265" s="16">
        <f>HYPERLINK("https://checko.ru/search?query=3801001629","Чекко: проверить")</f>
        <v/>
      </c>
      <c r="S2265" t="n">
        <v>0</v>
      </c>
    </row>
    <row r="2266" ht="15" customHeight="1" s="24">
      <c r="A2266" s="13" t="n">
        <v>5000094753</v>
      </c>
      <c r="B2266" s="13" t="inlineStr">
        <is>
          <t>МКУ "Местная администрация с.п. Аргудан"</t>
        </is>
      </c>
      <c r="C2266" s="13" t="n">
        <v>707005490</v>
      </c>
      <c r="D2266" s="13" t="n"/>
      <c r="E2266" s="13" t="inlineStr">
        <is>
          <t>Не определён</t>
        </is>
      </c>
      <c r="F2266" s="13" t="inlineStr">
        <is>
          <t>707005490</t>
        </is>
      </c>
      <c r="G2266" s="14" t="n"/>
      <c r="H2266" s="14" t="n"/>
      <c r="I2266" s="14" t="n"/>
      <c r="J2266" s="14" t="n"/>
      <c r="K2266" s="13">
        <f>IF(G2266="","",IF(G2266&gt;=22,"Да","Нет"))</f>
        <v/>
      </c>
      <c r="L2266" s="13">
        <f>IF(OR(I2266="",J2266=""),"Не определено",IF(OR(COUNTIF(I2266,"45*")&gt;0,COUNTIF(J2266,"*45*")&gt;0,COUNTIF(I2266,"46*")&gt;0,COUNTIF(J2266,"*46*")&gt;0,COUNTIF(I2266,"47*")&gt;0,COUNTIF(J2266,"*47*")&gt;0,COUNTIF(I2266,"10*")&gt;0,COUNTIF(J2266,"*10*")&gt;0,COUNTIF(I2266,"11*")&gt;0,COUNTIF(J2266,"*11*")&gt;0,COUNTIF(I2266,"12*")&gt;0,COUNTIF(J2266,"*12*")&gt;0,COUNTIF(I2266,"13*")&gt;0,COUNTIF(J2266,"*13*")&gt;0,COUNTIF(I2266,"14*")&gt;0,COUNTIF(J2266,"*14*")&gt;0,COUNTIF(I2266,"15*")&gt;0,COUNTIF(J2266,"*15*")&gt;0,COUNTIF(I2266,"16*")&gt;0,COUNTIF(J2266,"*16*")&gt;0,COUNTIF(I2266,"17*")&gt;0,COUNTIF(J2266,"*17*")&gt;0,COUNTIF(I2266,"18*")&gt;0,COUNTIF(J2266,"*18*")&gt;0,COUNTIF(I2266,"19*")&gt;0,COUNTIF(J2266,"*19*")&gt;0,COUNTIF(I2266,"20*")&gt;0,COUNTIF(J2266,"*20*")&gt;0,COUNTIF(I2266,"21*")&gt;0,COUNTIF(J2266,"*21*")&gt;0,COUNTIF(I2266,"22*")&gt;0,COUNTIF(J2266,"*22*")&gt;0,COUNTIF(I2266,"23*")&gt;0,COUNTIF(J2266,"*23*")&gt;0,COUNTIF(I2266,"24*")&gt;0,COUNTIF(J2266,"*24*")&gt;0,COUNTIF(I2266,"25*")&gt;0,COUNTIF(J2266,"*25*")&gt;0,COUNTIF(I2266,"26*")&gt;0,COUNTIF(J2266,"*26*")&gt;0,COUNTIF(I2266,"27*")&gt;0,COUNTIF(J2266,"*27*")&gt;0,COUNTIF(I2266,"28*")&gt;0,COUNTIF(J2266,"*28*")&gt;0,COUNTIF(I2266,"29*")&gt;0,COUNTIF(J2266,"*29*")&gt;0,COUNTIF(I2266,"30*")&gt;0,COUNTIF(J2266,"*30*")&gt;0,COUNTIF(I2266,"31*")&gt;0,COUNTIF(J2266,"*31*")&gt;0,COUNTIF(I2266,"32*")&gt;0,COUNTIF(J2266,"*32*")&gt;0,COUNTIF(I2266,"33*")&gt;0,COUNTIF(J2266,"*33*")&gt;0,COUNTIF(I2266,"41*")&gt;0,COUNTIF(J2266,"*41*")&gt;0,COUNTIF(I2266,"42*")&gt;0,COUNTIF(J2266,"*42*")&gt;0,COUNTIF(I2266,"43*")&gt;0,COUNTIF(J2266,"*43*")&gt;0,COUNTIF(I2266,"49*")&gt;0,COUNTIF(J2266,"*49*")&gt;0,COUNTIF(I2266,"52*")&gt;0,COUNTIF(J2266,"*52*")&gt;0,COUNTIF(I2266,"55*")&gt;0,COUNTIF(J2266,"*55*")&gt;0,COUNTIF(I2266,"56*")&gt;0,COUNTIF(J2266,"*56*")&gt;0,COUNTIF(I2266,"68*")&gt;0,COUNTIF(J2266,"*68*")&gt;0,COUNTIF(I2266,"78*")&gt;0,COUNTIF(J2266,"*78*")&gt;0,COUNTIF(I2266,"81*")&gt;0,COUNTIF(J2266,"*81*")&gt;0,COUNTIF(I2266,"82*")&gt;0,COUNTIF(J2266,"*82*")&gt;0,COUNTIF(I2266,"64*")&gt;0,COUNTIF(J2266,"*64*")&gt;0,COUNTIF(I2266,"65*")&gt;0,COUNTIF(J2266,"*65*")&gt;0,COUNTIF(I2266,"66*")&gt;0,COUNTIF(J2266,"*66*")&gt;0,COUNTIF(I2266,"61*")&gt;0,COUNTIF(J2266,"*61*")&gt;0,COUNTIF(I2266,"62*")&gt;0,COUNTIF(J2266,"*62*")&gt;0,COUNTIF(I2266,"63*")&gt;0,COUNTIF(J2266,"*63*")&gt;0,COUNTIF(I2266,"85*")&gt;0,COUNTIF(J2266,"*85*")&gt;0,COUNTIF(I2266,"86*")&gt;0,COUNTIF(J2266,"*86*")&gt;0),"Да","Нет"))</f>
        <v/>
      </c>
      <c r="M2266" s="13">
        <f>IF(OR(G2266="",L2266&lt;&gt;"Да"),"",IF(G2266&lt;=100,"До 100",IF(G2266&lt;=200,"До 200",IF(G2266&lt;=500,"До 500","Отдельное КП"))))</f>
        <v/>
      </c>
      <c r="N2266" s="15">
        <f>IF(OR(G2266="",L2266&lt;&gt;"Да"),"",IF(G2266&lt;=100,33600,IF(G2266&lt;=200,62400,IF(G2266&lt;=500,144000,""))))</f>
        <v/>
      </c>
      <c r="O2266" s="16">
        <f>IF(G2266="","",IF(G2266&lt;=15,"1–15",IF(G2266&lt;=30,"16–30",IF(G2266&lt;=50,"31–50",IF(G2266&lt;=100,"51–100",IF(G2266&lt;=150,"101–150",IF(G2266&lt;=200,"151–200",IF(G2266&lt;=500,"201–500","500+"))))))))</f>
        <v/>
      </c>
      <c r="P2266" s="16" t="inlineStr">
        <is>
          <t>Нет совпадения в предоставленной выгрузке ССЧР</t>
        </is>
      </c>
      <c r="Q2266" s="16" t="n"/>
      <c r="R2266" s="16">
        <f>HYPERLINK("https://checko.ru/search?query=3801001629","Чекко: проверить")</f>
        <v/>
      </c>
      <c r="S2266" t="n">
        <v>0</v>
      </c>
    </row>
    <row r="2267" ht="15" customHeight="1" s="24">
      <c r="A2267" s="13" t="n">
        <v>5000094754</v>
      </c>
      <c r="B2267" s="13" t="inlineStr">
        <is>
          <t>МКУ "Местная администрация с.п. Урух"</t>
        </is>
      </c>
      <c r="C2267" s="13" t="n">
        <v>707005564</v>
      </c>
      <c r="D2267" s="13" t="n"/>
      <c r="E2267" s="13" t="inlineStr">
        <is>
          <t>Не определён</t>
        </is>
      </c>
      <c r="F2267" s="13" t="inlineStr">
        <is>
          <t>707005564</t>
        </is>
      </c>
      <c r="G2267" s="14" t="n"/>
      <c r="H2267" s="14" t="n"/>
      <c r="I2267" s="14" t="n"/>
      <c r="J2267" s="14" t="n"/>
      <c r="K2267" s="13">
        <f>IF(G2267="","",IF(G2267&gt;=22,"Да","Нет"))</f>
        <v/>
      </c>
      <c r="L2267" s="13">
        <f>IF(OR(I2267="",J2267=""),"Не определено",IF(OR(COUNTIF(I2267,"45*")&gt;0,COUNTIF(J2267,"*45*")&gt;0,COUNTIF(I2267,"46*")&gt;0,COUNTIF(J2267,"*46*")&gt;0,COUNTIF(I2267,"47*")&gt;0,COUNTIF(J2267,"*47*")&gt;0,COUNTIF(I2267,"10*")&gt;0,COUNTIF(J2267,"*10*")&gt;0,COUNTIF(I2267,"11*")&gt;0,COUNTIF(J2267,"*11*")&gt;0,COUNTIF(I2267,"12*")&gt;0,COUNTIF(J2267,"*12*")&gt;0,COUNTIF(I2267,"13*")&gt;0,COUNTIF(J2267,"*13*")&gt;0,COUNTIF(I2267,"14*")&gt;0,COUNTIF(J2267,"*14*")&gt;0,COUNTIF(I2267,"15*")&gt;0,COUNTIF(J2267,"*15*")&gt;0,COUNTIF(I2267,"16*")&gt;0,COUNTIF(J2267,"*16*")&gt;0,COUNTIF(I2267,"17*")&gt;0,COUNTIF(J2267,"*17*")&gt;0,COUNTIF(I2267,"18*")&gt;0,COUNTIF(J2267,"*18*")&gt;0,COUNTIF(I2267,"19*")&gt;0,COUNTIF(J2267,"*19*")&gt;0,COUNTIF(I2267,"20*")&gt;0,COUNTIF(J2267,"*20*")&gt;0,COUNTIF(I2267,"21*")&gt;0,COUNTIF(J2267,"*21*")&gt;0,COUNTIF(I2267,"22*")&gt;0,COUNTIF(J2267,"*22*")&gt;0,COUNTIF(I2267,"23*")&gt;0,COUNTIF(J2267,"*23*")&gt;0,COUNTIF(I2267,"24*")&gt;0,COUNTIF(J2267,"*24*")&gt;0,COUNTIF(I2267,"25*")&gt;0,COUNTIF(J2267,"*25*")&gt;0,COUNTIF(I2267,"26*")&gt;0,COUNTIF(J2267,"*26*")&gt;0,COUNTIF(I2267,"27*")&gt;0,COUNTIF(J2267,"*27*")&gt;0,COUNTIF(I2267,"28*")&gt;0,COUNTIF(J2267,"*28*")&gt;0,COUNTIF(I2267,"29*")&gt;0,COUNTIF(J2267,"*29*")&gt;0,COUNTIF(I2267,"30*")&gt;0,COUNTIF(J2267,"*30*")&gt;0,COUNTIF(I2267,"31*")&gt;0,COUNTIF(J2267,"*31*")&gt;0,COUNTIF(I2267,"32*")&gt;0,COUNTIF(J2267,"*32*")&gt;0,COUNTIF(I2267,"33*")&gt;0,COUNTIF(J2267,"*33*")&gt;0,COUNTIF(I2267,"41*")&gt;0,COUNTIF(J2267,"*41*")&gt;0,COUNTIF(I2267,"42*")&gt;0,COUNTIF(J2267,"*42*")&gt;0,COUNTIF(I2267,"43*")&gt;0,COUNTIF(J2267,"*43*")&gt;0,COUNTIF(I2267,"49*")&gt;0,COUNTIF(J2267,"*49*")&gt;0,COUNTIF(I2267,"52*")&gt;0,COUNTIF(J2267,"*52*")&gt;0,COUNTIF(I2267,"55*")&gt;0,COUNTIF(J2267,"*55*")&gt;0,COUNTIF(I2267,"56*")&gt;0,COUNTIF(J2267,"*56*")&gt;0,COUNTIF(I2267,"68*")&gt;0,COUNTIF(J2267,"*68*")&gt;0,COUNTIF(I2267,"78*")&gt;0,COUNTIF(J2267,"*78*")&gt;0,COUNTIF(I2267,"81*")&gt;0,COUNTIF(J2267,"*81*")&gt;0,COUNTIF(I2267,"82*")&gt;0,COUNTIF(J2267,"*82*")&gt;0,COUNTIF(I2267,"64*")&gt;0,COUNTIF(J2267,"*64*")&gt;0,COUNTIF(I2267,"65*")&gt;0,COUNTIF(J2267,"*65*")&gt;0,COUNTIF(I2267,"66*")&gt;0,COUNTIF(J2267,"*66*")&gt;0,COUNTIF(I2267,"61*")&gt;0,COUNTIF(J2267,"*61*")&gt;0,COUNTIF(I2267,"62*")&gt;0,COUNTIF(J2267,"*62*")&gt;0,COUNTIF(I2267,"63*")&gt;0,COUNTIF(J2267,"*63*")&gt;0,COUNTIF(I2267,"85*")&gt;0,COUNTIF(J2267,"*85*")&gt;0,COUNTIF(I2267,"86*")&gt;0,COUNTIF(J2267,"*86*")&gt;0),"Да","Нет"))</f>
        <v/>
      </c>
      <c r="M2267" s="13">
        <f>IF(OR(G2267="",L2267&lt;&gt;"Да"),"",IF(G2267&lt;=100,"До 100",IF(G2267&lt;=200,"До 200",IF(G2267&lt;=500,"До 500","Отдельное КП"))))</f>
        <v/>
      </c>
      <c r="N2267" s="15">
        <f>IF(OR(G2267="",L2267&lt;&gt;"Да"),"",IF(G2267&lt;=100,33600,IF(G2267&lt;=200,62400,IF(G2267&lt;=500,144000,""))))</f>
        <v/>
      </c>
      <c r="O2267" s="16">
        <f>IF(G2267="","",IF(G2267&lt;=15,"1–15",IF(G2267&lt;=30,"16–30",IF(G2267&lt;=50,"31–50",IF(G2267&lt;=100,"51–100",IF(G2267&lt;=150,"101–150",IF(G2267&lt;=200,"151–200",IF(G2267&lt;=500,"201–500","500+"))))))))</f>
        <v/>
      </c>
      <c r="P2267" s="16" t="inlineStr">
        <is>
          <t>Нет совпадения в предоставленной выгрузке ССЧР</t>
        </is>
      </c>
      <c r="Q2267" s="16" t="n"/>
      <c r="R2267" s="16">
        <f>HYPERLINK("https://checko.ru/search?query=3801001629","Чекко: проверить")</f>
        <v/>
      </c>
      <c r="S2267" t="n">
        <v>0</v>
      </c>
    </row>
    <row r="2268" ht="15" customHeight="1" s="24">
      <c r="A2268" s="13" t="n">
        <v>5000094761</v>
      </c>
      <c r="B2268" s="13" t="inlineStr">
        <is>
          <t>Администрация с.Черная Речка Урванского района</t>
        </is>
      </c>
      <c r="C2268" s="13" t="n">
        <v>707006180</v>
      </c>
      <c r="D2268" s="13" t="n"/>
      <c r="E2268" s="13" t="inlineStr">
        <is>
          <t>Не определён</t>
        </is>
      </c>
      <c r="F2268" s="13" t="inlineStr">
        <is>
          <t>707006180</t>
        </is>
      </c>
      <c r="G2268" s="14" t="n"/>
      <c r="H2268" s="14" t="n"/>
      <c r="I2268" s="14" t="n"/>
      <c r="J2268" s="14" t="n"/>
      <c r="K2268" s="13">
        <f>IF(G2268="","",IF(G2268&gt;=22,"Да","Нет"))</f>
        <v/>
      </c>
      <c r="L2268" s="13">
        <f>IF(OR(I2268="",J2268=""),"Не определено",IF(OR(COUNTIF(I2268,"45*")&gt;0,COUNTIF(J2268,"*45*")&gt;0,COUNTIF(I2268,"46*")&gt;0,COUNTIF(J2268,"*46*")&gt;0,COUNTIF(I2268,"47*")&gt;0,COUNTIF(J2268,"*47*")&gt;0,COUNTIF(I2268,"10*")&gt;0,COUNTIF(J2268,"*10*")&gt;0,COUNTIF(I2268,"11*")&gt;0,COUNTIF(J2268,"*11*")&gt;0,COUNTIF(I2268,"12*")&gt;0,COUNTIF(J2268,"*12*")&gt;0,COUNTIF(I2268,"13*")&gt;0,COUNTIF(J2268,"*13*")&gt;0,COUNTIF(I2268,"14*")&gt;0,COUNTIF(J2268,"*14*")&gt;0,COUNTIF(I2268,"15*")&gt;0,COUNTIF(J2268,"*15*")&gt;0,COUNTIF(I2268,"16*")&gt;0,COUNTIF(J2268,"*16*")&gt;0,COUNTIF(I2268,"17*")&gt;0,COUNTIF(J2268,"*17*")&gt;0,COUNTIF(I2268,"18*")&gt;0,COUNTIF(J2268,"*18*")&gt;0,COUNTIF(I2268,"19*")&gt;0,COUNTIF(J2268,"*19*")&gt;0,COUNTIF(I2268,"20*")&gt;0,COUNTIF(J2268,"*20*")&gt;0,COUNTIF(I2268,"21*")&gt;0,COUNTIF(J2268,"*21*")&gt;0,COUNTIF(I2268,"22*")&gt;0,COUNTIF(J2268,"*22*")&gt;0,COUNTIF(I2268,"23*")&gt;0,COUNTIF(J2268,"*23*")&gt;0,COUNTIF(I2268,"24*")&gt;0,COUNTIF(J2268,"*24*")&gt;0,COUNTIF(I2268,"25*")&gt;0,COUNTIF(J2268,"*25*")&gt;0,COUNTIF(I2268,"26*")&gt;0,COUNTIF(J2268,"*26*")&gt;0,COUNTIF(I2268,"27*")&gt;0,COUNTIF(J2268,"*27*")&gt;0,COUNTIF(I2268,"28*")&gt;0,COUNTIF(J2268,"*28*")&gt;0,COUNTIF(I2268,"29*")&gt;0,COUNTIF(J2268,"*29*")&gt;0,COUNTIF(I2268,"30*")&gt;0,COUNTIF(J2268,"*30*")&gt;0,COUNTIF(I2268,"31*")&gt;0,COUNTIF(J2268,"*31*")&gt;0,COUNTIF(I2268,"32*")&gt;0,COUNTIF(J2268,"*32*")&gt;0,COUNTIF(I2268,"33*")&gt;0,COUNTIF(J2268,"*33*")&gt;0,COUNTIF(I2268,"41*")&gt;0,COUNTIF(J2268,"*41*")&gt;0,COUNTIF(I2268,"42*")&gt;0,COUNTIF(J2268,"*42*")&gt;0,COUNTIF(I2268,"43*")&gt;0,COUNTIF(J2268,"*43*")&gt;0,COUNTIF(I2268,"49*")&gt;0,COUNTIF(J2268,"*49*")&gt;0,COUNTIF(I2268,"52*")&gt;0,COUNTIF(J2268,"*52*")&gt;0,COUNTIF(I2268,"55*")&gt;0,COUNTIF(J2268,"*55*")&gt;0,COUNTIF(I2268,"56*")&gt;0,COUNTIF(J2268,"*56*")&gt;0,COUNTIF(I2268,"68*")&gt;0,COUNTIF(J2268,"*68*")&gt;0,COUNTIF(I2268,"78*")&gt;0,COUNTIF(J2268,"*78*")&gt;0,COUNTIF(I2268,"81*")&gt;0,COUNTIF(J2268,"*81*")&gt;0,COUNTIF(I2268,"82*")&gt;0,COUNTIF(J2268,"*82*")&gt;0,COUNTIF(I2268,"64*")&gt;0,COUNTIF(J2268,"*64*")&gt;0,COUNTIF(I2268,"65*")&gt;0,COUNTIF(J2268,"*65*")&gt;0,COUNTIF(I2268,"66*")&gt;0,COUNTIF(J2268,"*66*")&gt;0,COUNTIF(I2268,"61*")&gt;0,COUNTIF(J2268,"*61*")&gt;0,COUNTIF(I2268,"62*")&gt;0,COUNTIF(J2268,"*62*")&gt;0,COUNTIF(I2268,"63*")&gt;0,COUNTIF(J2268,"*63*")&gt;0,COUNTIF(I2268,"85*")&gt;0,COUNTIF(J2268,"*85*")&gt;0,COUNTIF(I2268,"86*")&gt;0,COUNTIF(J2268,"*86*")&gt;0),"Да","Нет"))</f>
        <v/>
      </c>
      <c r="M2268" s="13">
        <f>IF(OR(G2268="",L2268&lt;&gt;"Да"),"",IF(G2268&lt;=100,"До 100",IF(G2268&lt;=200,"До 200",IF(G2268&lt;=500,"До 500","Отдельное КП"))))</f>
        <v/>
      </c>
      <c r="N2268" s="15">
        <f>IF(OR(G2268="",L2268&lt;&gt;"Да"),"",IF(G2268&lt;=100,33600,IF(G2268&lt;=200,62400,IF(G2268&lt;=500,144000,""))))</f>
        <v/>
      </c>
      <c r="O2268" s="16">
        <f>IF(G2268="","",IF(G2268&lt;=15,"1–15",IF(G2268&lt;=30,"16–30",IF(G2268&lt;=50,"31–50",IF(G2268&lt;=100,"51–100",IF(G2268&lt;=150,"101–150",IF(G2268&lt;=200,"151–200",IF(G2268&lt;=500,"201–500","500+"))))))))</f>
        <v/>
      </c>
      <c r="P2268" s="16" t="inlineStr">
        <is>
          <t>Нет совпадения в предоставленной выгрузке ССЧР</t>
        </is>
      </c>
      <c r="Q2268" s="16" t="n"/>
      <c r="R2268" s="16">
        <f>HYPERLINK("https://checko.ru/search?query=3801001629","Чекко: проверить")</f>
        <v/>
      </c>
      <c r="S2268" t="n">
        <v>0</v>
      </c>
    </row>
    <row r="2269" ht="27.75" customHeight="1" s="24">
      <c r="A2269" s="13" t="n">
        <v>5000094762</v>
      </c>
      <c r="B2269" s="13" t="inlineStr">
        <is>
          <t>Администрация сельского поселения Старый Черек</t>
        </is>
      </c>
      <c r="C2269" s="13" t="n">
        <v>707006198</v>
      </c>
      <c r="D2269" s="13" t="n"/>
      <c r="E2269" s="13" t="inlineStr">
        <is>
          <t>Не определён</t>
        </is>
      </c>
      <c r="F2269" s="13" t="inlineStr">
        <is>
          <t>707006198</t>
        </is>
      </c>
      <c r="G2269" s="14" t="n"/>
      <c r="H2269" s="14" t="n"/>
      <c r="I2269" s="14" t="n"/>
      <c r="J2269" s="14" t="n"/>
      <c r="K2269" s="13">
        <f>IF(G2269="","",IF(G2269&gt;=22,"Да","Нет"))</f>
        <v/>
      </c>
      <c r="L2269" s="13">
        <f>IF(OR(I2269="",J2269=""),"Не определено",IF(OR(COUNTIF(I2269,"45*")&gt;0,COUNTIF(J2269,"*45*")&gt;0,COUNTIF(I2269,"46*")&gt;0,COUNTIF(J2269,"*46*")&gt;0,COUNTIF(I2269,"47*")&gt;0,COUNTIF(J2269,"*47*")&gt;0,COUNTIF(I2269,"10*")&gt;0,COUNTIF(J2269,"*10*")&gt;0,COUNTIF(I2269,"11*")&gt;0,COUNTIF(J2269,"*11*")&gt;0,COUNTIF(I2269,"12*")&gt;0,COUNTIF(J2269,"*12*")&gt;0,COUNTIF(I2269,"13*")&gt;0,COUNTIF(J2269,"*13*")&gt;0,COUNTIF(I2269,"14*")&gt;0,COUNTIF(J2269,"*14*")&gt;0,COUNTIF(I2269,"15*")&gt;0,COUNTIF(J2269,"*15*")&gt;0,COUNTIF(I2269,"16*")&gt;0,COUNTIF(J2269,"*16*")&gt;0,COUNTIF(I2269,"17*")&gt;0,COUNTIF(J2269,"*17*")&gt;0,COUNTIF(I2269,"18*")&gt;0,COUNTIF(J2269,"*18*")&gt;0,COUNTIF(I2269,"19*")&gt;0,COUNTIF(J2269,"*19*")&gt;0,COUNTIF(I2269,"20*")&gt;0,COUNTIF(J2269,"*20*")&gt;0,COUNTIF(I2269,"21*")&gt;0,COUNTIF(J2269,"*21*")&gt;0,COUNTIF(I2269,"22*")&gt;0,COUNTIF(J2269,"*22*")&gt;0,COUNTIF(I2269,"23*")&gt;0,COUNTIF(J2269,"*23*")&gt;0,COUNTIF(I2269,"24*")&gt;0,COUNTIF(J2269,"*24*")&gt;0,COUNTIF(I2269,"25*")&gt;0,COUNTIF(J2269,"*25*")&gt;0,COUNTIF(I2269,"26*")&gt;0,COUNTIF(J2269,"*26*")&gt;0,COUNTIF(I2269,"27*")&gt;0,COUNTIF(J2269,"*27*")&gt;0,COUNTIF(I2269,"28*")&gt;0,COUNTIF(J2269,"*28*")&gt;0,COUNTIF(I2269,"29*")&gt;0,COUNTIF(J2269,"*29*")&gt;0,COUNTIF(I2269,"30*")&gt;0,COUNTIF(J2269,"*30*")&gt;0,COUNTIF(I2269,"31*")&gt;0,COUNTIF(J2269,"*31*")&gt;0,COUNTIF(I2269,"32*")&gt;0,COUNTIF(J2269,"*32*")&gt;0,COUNTIF(I2269,"33*")&gt;0,COUNTIF(J2269,"*33*")&gt;0,COUNTIF(I2269,"41*")&gt;0,COUNTIF(J2269,"*41*")&gt;0,COUNTIF(I2269,"42*")&gt;0,COUNTIF(J2269,"*42*")&gt;0,COUNTIF(I2269,"43*")&gt;0,COUNTIF(J2269,"*43*")&gt;0,COUNTIF(I2269,"49*")&gt;0,COUNTIF(J2269,"*49*")&gt;0,COUNTIF(I2269,"52*")&gt;0,COUNTIF(J2269,"*52*")&gt;0,COUNTIF(I2269,"55*")&gt;0,COUNTIF(J2269,"*55*")&gt;0,COUNTIF(I2269,"56*")&gt;0,COUNTIF(J2269,"*56*")&gt;0,COUNTIF(I2269,"68*")&gt;0,COUNTIF(J2269,"*68*")&gt;0,COUNTIF(I2269,"78*")&gt;0,COUNTIF(J2269,"*78*")&gt;0,COUNTIF(I2269,"81*")&gt;0,COUNTIF(J2269,"*81*")&gt;0,COUNTIF(I2269,"82*")&gt;0,COUNTIF(J2269,"*82*")&gt;0,COUNTIF(I2269,"64*")&gt;0,COUNTIF(J2269,"*64*")&gt;0,COUNTIF(I2269,"65*")&gt;0,COUNTIF(J2269,"*65*")&gt;0,COUNTIF(I2269,"66*")&gt;0,COUNTIF(J2269,"*66*")&gt;0,COUNTIF(I2269,"61*")&gt;0,COUNTIF(J2269,"*61*")&gt;0,COUNTIF(I2269,"62*")&gt;0,COUNTIF(J2269,"*62*")&gt;0,COUNTIF(I2269,"63*")&gt;0,COUNTIF(J2269,"*63*")&gt;0,COUNTIF(I2269,"85*")&gt;0,COUNTIF(J2269,"*85*")&gt;0,COUNTIF(I2269,"86*")&gt;0,COUNTIF(J2269,"*86*")&gt;0),"Да","Нет"))</f>
        <v/>
      </c>
      <c r="M2269" s="13">
        <f>IF(OR(G2269="",L2269&lt;&gt;"Да"),"",IF(G2269&lt;=100,"До 100",IF(G2269&lt;=200,"До 200",IF(G2269&lt;=500,"До 500","Отдельное КП"))))</f>
        <v/>
      </c>
      <c r="N2269" s="15">
        <f>IF(OR(G2269="",L2269&lt;&gt;"Да"),"",IF(G2269&lt;=100,33600,IF(G2269&lt;=200,62400,IF(G2269&lt;=500,144000,""))))</f>
        <v/>
      </c>
      <c r="O2269" s="16">
        <f>IF(G2269="","",IF(G2269&lt;=15,"1–15",IF(G2269&lt;=30,"16–30",IF(G2269&lt;=50,"31–50",IF(G2269&lt;=100,"51–100",IF(G2269&lt;=150,"101–150",IF(G2269&lt;=200,"151–200",IF(G2269&lt;=500,"201–500","500+"))))))))</f>
        <v/>
      </c>
      <c r="P2269" s="16" t="inlineStr">
        <is>
          <t>Нет совпадения в предоставленной выгрузке ССЧР</t>
        </is>
      </c>
      <c r="Q2269" s="16" t="n"/>
      <c r="R2269" s="16">
        <f>HYPERLINK("https://checko.ru/search?query=3801001629","Чекко: проверить")</f>
        <v/>
      </c>
      <c r="S2269" t="n">
        <v>0</v>
      </c>
    </row>
    <row r="2270" ht="27.75" customHeight="1" s="24">
      <c r="A2270" s="13" t="n">
        <v>5000094890</v>
      </c>
      <c r="B2270" s="13" t="inlineStr">
        <is>
          <t>МКУ ДО "СШ Г.П.ЧЕГЕМ" ЧЕГЕМСКОГО МУНИЦИПАЛЬНОГО РАЙОНА</t>
        </is>
      </c>
      <c r="C2270" s="13" t="n">
        <v>708011472</v>
      </c>
      <c r="D2270" s="13" t="n"/>
      <c r="E2270" s="13" t="inlineStr">
        <is>
          <t>Не определён</t>
        </is>
      </c>
      <c r="F2270" s="13" t="inlineStr">
        <is>
          <t>708011472</t>
        </is>
      </c>
      <c r="G2270" s="14" t="n"/>
      <c r="H2270" s="14" t="n"/>
      <c r="I2270" s="14" t="n"/>
      <c r="J2270" s="14" t="n"/>
      <c r="K2270" s="13">
        <f>IF(G2270="","",IF(G2270&gt;=22,"Да","Нет"))</f>
        <v/>
      </c>
      <c r="L2270" s="13">
        <f>IF(OR(I2270="",J2270=""),"Не определено",IF(OR(COUNTIF(I2270,"45*")&gt;0,COUNTIF(J2270,"*45*")&gt;0,COUNTIF(I2270,"46*")&gt;0,COUNTIF(J2270,"*46*")&gt;0,COUNTIF(I2270,"47*")&gt;0,COUNTIF(J2270,"*47*")&gt;0,COUNTIF(I2270,"10*")&gt;0,COUNTIF(J2270,"*10*")&gt;0,COUNTIF(I2270,"11*")&gt;0,COUNTIF(J2270,"*11*")&gt;0,COUNTIF(I2270,"12*")&gt;0,COUNTIF(J2270,"*12*")&gt;0,COUNTIF(I2270,"13*")&gt;0,COUNTIF(J2270,"*13*")&gt;0,COUNTIF(I2270,"14*")&gt;0,COUNTIF(J2270,"*14*")&gt;0,COUNTIF(I2270,"15*")&gt;0,COUNTIF(J2270,"*15*")&gt;0,COUNTIF(I2270,"16*")&gt;0,COUNTIF(J2270,"*16*")&gt;0,COUNTIF(I2270,"17*")&gt;0,COUNTIF(J2270,"*17*")&gt;0,COUNTIF(I2270,"18*")&gt;0,COUNTIF(J2270,"*18*")&gt;0,COUNTIF(I2270,"19*")&gt;0,COUNTIF(J2270,"*19*")&gt;0,COUNTIF(I2270,"20*")&gt;0,COUNTIF(J2270,"*20*")&gt;0,COUNTIF(I2270,"21*")&gt;0,COUNTIF(J2270,"*21*")&gt;0,COUNTIF(I2270,"22*")&gt;0,COUNTIF(J2270,"*22*")&gt;0,COUNTIF(I2270,"23*")&gt;0,COUNTIF(J2270,"*23*")&gt;0,COUNTIF(I2270,"24*")&gt;0,COUNTIF(J2270,"*24*")&gt;0,COUNTIF(I2270,"25*")&gt;0,COUNTIF(J2270,"*25*")&gt;0,COUNTIF(I2270,"26*")&gt;0,COUNTIF(J2270,"*26*")&gt;0,COUNTIF(I2270,"27*")&gt;0,COUNTIF(J2270,"*27*")&gt;0,COUNTIF(I2270,"28*")&gt;0,COUNTIF(J2270,"*28*")&gt;0,COUNTIF(I2270,"29*")&gt;0,COUNTIF(J2270,"*29*")&gt;0,COUNTIF(I2270,"30*")&gt;0,COUNTIF(J2270,"*30*")&gt;0,COUNTIF(I2270,"31*")&gt;0,COUNTIF(J2270,"*31*")&gt;0,COUNTIF(I2270,"32*")&gt;0,COUNTIF(J2270,"*32*")&gt;0,COUNTIF(I2270,"33*")&gt;0,COUNTIF(J2270,"*33*")&gt;0,COUNTIF(I2270,"41*")&gt;0,COUNTIF(J2270,"*41*")&gt;0,COUNTIF(I2270,"42*")&gt;0,COUNTIF(J2270,"*42*")&gt;0,COUNTIF(I2270,"43*")&gt;0,COUNTIF(J2270,"*43*")&gt;0,COUNTIF(I2270,"49*")&gt;0,COUNTIF(J2270,"*49*")&gt;0,COUNTIF(I2270,"52*")&gt;0,COUNTIF(J2270,"*52*")&gt;0,COUNTIF(I2270,"55*")&gt;0,COUNTIF(J2270,"*55*")&gt;0,COUNTIF(I2270,"56*")&gt;0,COUNTIF(J2270,"*56*")&gt;0,COUNTIF(I2270,"68*")&gt;0,COUNTIF(J2270,"*68*")&gt;0,COUNTIF(I2270,"78*")&gt;0,COUNTIF(J2270,"*78*")&gt;0,COUNTIF(I2270,"81*")&gt;0,COUNTIF(J2270,"*81*")&gt;0,COUNTIF(I2270,"82*")&gt;0,COUNTIF(J2270,"*82*")&gt;0,COUNTIF(I2270,"64*")&gt;0,COUNTIF(J2270,"*64*")&gt;0,COUNTIF(I2270,"65*")&gt;0,COUNTIF(J2270,"*65*")&gt;0,COUNTIF(I2270,"66*")&gt;0,COUNTIF(J2270,"*66*")&gt;0,COUNTIF(I2270,"61*")&gt;0,COUNTIF(J2270,"*61*")&gt;0,COUNTIF(I2270,"62*")&gt;0,COUNTIF(J2270,"*62*")&gt;0,COUNTIF(I2270,"63*")&gt;0,COUNTIF(J2270,"*63*")&gt;0,COUNTIF(I2270,"85*")&gt;0,COUNTIF(J2270,"*85*")&gt;0,COUNTIF(I2270,"86*")&gt;0,COUNTIF(J2270,"*86*")&gt;0),"Да","Нет"))</f>
        <v/>
      </c>
      <c r="M2270" s="13">
        <f>IF(OR(G2270="",L2270&lt;&gt;"Да"),"",IF(G2270&lt;=100,"До 100",IF(G2270&lt;=200,"До 200",IF(G2270&lt;=500,"До 500","Отдельное КП"))))</f>
        <v/>
      </c>
      <c r="N2270" s="15">
        <f>IF(OR(G2270="",L2270&lt;&gt;"Да"),"",IF(G2270&lt;=100,33600,IF(G2270&lt;=200,62400,IF(G2270&lt;=500,144000,""))))</f>
        <v/>
      </c>
      <c r="O2270" s="16">
        <f>IF(G2270="","",IF(G2270&lt;=15,"1–15",IF(G2270&lt;=30,"16–30",IF(G2270&lt;=50,"31–50",IF(G2270&lt;=100,"51–100",IF(G2270&lt;=150,"101–150",IF(G2270&lt;=200,"151–200",IF(G2270&lt;=500,"201–500","500+"))))))))</f>
        <v/>
      </c>
      <c r="P2270" s="16" t="inlineStr">
        <is>
          <t>Нет совпадения в предоставленной выгрузке ССЧР</t>
        </is>
      </c>
      <c r="Q2270" s="16" t="n"/>
      <c r="R2270" s="16">
        <f>HYPERLINK("https://checko.ru/search?query=3801001629","Чекко: проверить")</f>
        <v/>
      </c>
      <c r="S2270" t="n">
        <v>0</v>
      </c>
    </row>
    <row r="2271" ht="15" customHeight="1" s="24">
      <c r="A2271" s="13" t="n">
        <v>5000094765</v>
      </c>
      <c r="B2271" s="13" t="inlineStr">
        <is>
          <t>МКУ "Местная администрация с.п.Озрек"</t>
        </is>
      </c>
      <c r="C2271" s="13" t="n">
        <v>707006430</v>
      </c>
      <c r="D2271" s="13" t="n"/>
      <c r="E2271" s="13" t="inlineStr">
        <is>
          <t>Не определён</t>
        </is>
      </c>
      <c r="F2271" s="13" t="inlineStr">
        <is>
          <t>707006430</t>
        </is>
      </c>
      <c r="G2271" s="14" t="n"/>
      <c r="H2271" s="14" t="n"/>
      <c r="I2271" s="14" t="n"/>
      <c r="J2271" s="14" t="n"/>
      <c r="K2271" s="13">
        <f>IF(G2271="","",IF(G2271&gt;=22,"Да","Нет"))</f>
        <v/>
      </c>
      <c r="L2271" s="13">
        <f>IF(OR(I2271="",J2271=""),"Не определено",IF(OR(COUNTIF(I2271,"45*")&gt;0,COUNTIF(J2271,"*45*")&gt;0,COUNTIF(I2271,"46*")&gt;0,COUNTIF(J2271,"*46*")&gt;0,COUNTIF(I2271,"47*")&gt;0,COUNTIF(J2271,"*47*")&gt;0,COUNTIF(I2271,"10*")&gt;0,COUNTIF(J2271,"*10*")&gt;0,COUNTIF(I2271,"11*")&gt;0,COUNTIF(J2271,"*11*")&gt;0,COUNTIF(I2271,"12*")&gt;0,COUNTIF(J2271,"*12*")&gt;0,COUNTIF(I2271,"13*")&gt;0,COUNTIF(J2271,"*13*")&gt;0,COUNTIF(I2271,"14*")&gt;0,COUNTIF(J2271,"*14*")&gt;0,COUNTIF(I2271,"15*")&gt;0,COUNTIF(J2271,"*15*")&gt;0,COUNTIF(I2271,"16*")&gt;0,COUNTIF(J2271,"*16*")&gt;0,COUNTIF(I2271,"17*")&gt;0,COUNTIF(J2271,"*17*")&gt;0,COUNTIF(I2271,"18*")&gt;0,COUNTIF(J2271,"*18*")&gt;0,COUNTIF(I2271,"19*")&gt;0,COUNTIF(J2271,"*19*")&gt;0,COUNTIF(I2271,"20*")&gt;0,COUNTIF(J2271,"*20*")&gt;0,COUNTIF(I2271,"21*")&gt;0,COUNTIF(J2271,"*21*")&gt;0,COUNTIF(I2271,"22*")&gt;0,COUNTIF(J2271,"*22*")&gt;0,COUNTIF(I2271,"23*")&gt;0,COUNTIF(J2271,"*23*")&gt;0,COUNTIF(I2271,"24*")&gt;0,COUNTIF(J2271,"*24*")&gt;0,COUNTIF(I2271,"25*")&gt;0,COUNTIF(J2271,"*25*")&gt;0,COUNTIF(I2271,"26*")&gt;0,COUNTIF(J2271,"*26*")&gt;0,COUNTIF(I2271,"27*")&gt;0,COUNTIF(J2271,"*27*")&gt;0,COUNTIF(I2271,"28*")&gt;0,COUNTIF(J2271,"*28*")&gt;0,COUNTIF(I2271,"29*")&gt;0,COUNTIF(J2271,"*29*")&gt;0,COUNTIF(I2271,"30*")&gt;0,COUNTIF(J2271,"*30*")&gt;0,COUNTIF(I2271,"31*")&gt;0,COUNTIF(J2271,"*31*")&gt;0,COUNTIF(I2271,"32*")&gt;0,COUNTIF(J2271,"*32*")&gt;0,COUNTIF(I2271,"33*")&gt;0,COUNTIF(J2271,"*33*")&gt;0,COUNTIF(I2271,"41*")&gt;0,COUNTIF(J2271,"*41*")&gt;0,COUNTIF(I2271,"42*")&gt;0,COUNTIF(J2271,"*42*")&gt;0,COUNTIF(I2271,"43*")&gt;0,COUNTIF(J2271,"*43*")&gt;0,COUNTIF(I2271,"49*")&gt;0,COUNTIF(J2271,"*49*")&gt;0,COUNTIF(I2271,"52*")&gt;0,COUNTIF(J2271,"*52*")&gt;0,COUNTIF(I2271,"55*")&gt;0,COUNTIF(J2271,"*55*")&gt;0,COUNTIF(I2271,"56*")&gt;0,COUNTIF(J2271,"*56*")&gt;0,COUNTIF(I2271,"68*")&gt;0,COUNTIF(J2271,"*68*")&gt;0,COUNTIF(I2271,"78*")&gt;0,COUNTIF(J2271,"*78*")&gt;0,COUNTIF(I2271,"81*")&gt;0,COUNTIF(J2271,"*81*")&gt;0,COUNTIF(I2271,"82*")&gt;0,COUNTIF(J2271,"*82*")&gt;0,COUNTIF(I2271,"64*")&gt;0,COUNTIF(J2271,"*64*")&gt;0,COUNTIF(I2271,"65*")&gt;0,COUNTIF(J2271,"*65*")&gt;0,COUNTIF(I2271,"66*")&gt;0,COUNTIF(J2271,"*66*")&gt;0,COUNTIF(I2271,"61*")&gt;0,COUNTIF(J2271,"*61*")&gt;0,COUNTIF(I2271,"62*")&gt;0,COUNTIF(J2271,"*62*")&gt;0,COUNTIF(I2271,"63*")&gt;0,COUNTIF(J2271,"*63*")&gt;0,COUNTIF(I2271,"85*")&gt;0,COUNTIF(J2271,"*85*")&gt;0,COUNTIF(I2271,"86*")&gt;0,COUNTIF(J2271,"*86*")&gt;0),"Да","Нет"))</f>
        <v/>
      </c>
      <c r="M2271" s="13">
        <f>IF(OR(G2271="",L2271&lt;&gt;"Да"),"",IF(G2271&lt;=100,"До 100",IF(G2271&lt;=200,"До 200",IF(G2271&lt;=500,"До 500","Отдельное КП"))))</f>
        <v/>
      </c>
      <c r="N2271" s="15">
        <f>IF(OR(G2271="",L2271&lt;&gt;"Да"),"",IF(G2271&lt;=100,33600,IF(G2271&lt;=200,62400,IF(G2271&lt;=500,144000,""))))</f>
        <v/>
      </c>
      <c r="O2271" s="16">
        <f>IF(G2271="","",IF(G2271&lt;=15,"1–15",IF(G2271&lt;=30,"16–30",IF(G2271&lt;=50,"31–50",IF(G2271&lt;=100,"51–100",IF(G2271&lt;=150,"101–150",IF(G2271&lt;=200,"151–200",IF(G2271&lt;=500,"201–500","500+"))))))))</f>
        <v/>
      </c>
      <c r="P2271" s="16" t="inlineStr">
        <is>
          <t>Нет совпадения в предоставленной выгрузке ССЧР</t>
        </is>
      </c>
      <c r="Q2271" s="16" t="n"/>
      <c r="R2271" s="16">
        <f>HYPERLINK("https://checko.ru/search?query=3801001629","Чекко: проверить")</f>
        <v/>
      </c>
      <c r="S2271" t="n">
        <v>0</v>
      </c>
    </row>
    <row r="2272" ht="15" customHeight="1" s="24">
      <c r="A2272" s="13" t="n">
        <v>5000094767</v>
      </c>
      <c r="B2272" s="13" t="inlineStr">
        <is>
          <t>Администрация с.п. Урвань</t>
        </is>
      </c>
      <c r="C2272" s="13" t="n">
        <v>707007025</v>
      </c>
      <c r="D2272" s="13" t="n"/>
      <c r="E2272" s="13" t="inlineStr">
        <is>
          <t>Не определён</t>
        </is>
      </c>
      <c r="F2272" s="13" t="inlineStr">
        <is>
          <t>707007025</t>
        </is>
      </c>
      <c r="G2272" s="14" t="n"/>
      <c r="H2272" s="14" t="n"/>
      <c r="I2272" s="14" t="n"/>
      <c r="J2272" s="14" t="n"/>
      <c r="K2272" s="13">
        <f>IF(G2272="","",IF(G2272&gt;=22,"Да","Нет"))</f>
        <v/>
      </c>
      <c r="L2272" s="13">
        <f>IF(OR(I2272="",J2272=""),"Не определено",IF(OR(COUNTIF(I2272,"45*")&gt;0,COUNTIF(J2272,"*45*")&gt;0,COUNTIF(I2272,"46*")&gt;0,COUNTIF(J2272,"*46*")&gt;0,COUNTIF(I2272,"47*")&gt;0,COUNTIF(J2272,"*47*")&gt;0,COUNTIF(I2272,"10*")&gt;0,COUNTIF(J2272,"*10*")&gt;0,COUNTIF(I2272,"11*")&gt;0,COUNTIF(J2272,"*11*")&gt;0,COUNTIF(I2272,"12*")&gt;0,COUNTIF(J2272,"*12*")&gt;0,COUNTIF(I2272,"13*")&gt;0,COUNTIF(J2272,"*13*")&gt;0,COUNTIF(I2272,"14*")&gt;0,COUNTIF(J2272,"*14*")&gt;0,COUNTIF(I2272,"15*")&gt;0,COUNTIF(J2272,"*15*")&gt;0,COUNTIF(I2272,"16*")&gt;0,COUNTIF(J2272,"*16*")&gt;0,COUNTIF(I2272,"17*")&gt;0,COUNTIF(J2272,"*17*")&gt;0,COUNTIF(I2272,"18*")&gt;0,COUNTIF(J2272,"*18*")&gt;0,COUNTIF(I2272,"19*")&gt;0,COUNTIF(J2272,"*19*")&gt;0,COUNTIF(I2272,"20*")&gt;0,COUNTIF(J2272,"*20*")&gt;0,COUNTIF(I2272,"21*")&gt;0,COUNTIF(J2272,"*21*")&gt;0,COUNTIF(I2272,"22*")&gt;0,COUNTIF(J2272,"*22*")&gt;0,COUNTIF(I2272,"23*")&gt;0,COUNTIF(J2272,"*23*")&gt;0,COUNTIF(I2272,"24*")&gt;0,COUNTIF(J2272,"*24*")&gt;0,COUNTIF(I2272,"25*")&gt;0,COUNTIF(J2272,"*25*")&gt;0,COUNTIF(I2272,"26*")&gt;0,COUNTIF(J2272,"*26*")&gt;0,COUNTIF(I2272,"27*")&gt;0,COUNTIF(J2272,"*27*")&gt;0,COUNTIF(I2272,"28*")&gt;0,COUNTIF(J2272,"*28*")&gt;0,COUNTIF(I2272,"29*")&gt;0,COUNTIF(J2272,"*29*")&gt;0,COUNTIF(I2272,"30*")&gt;0,COUNTIF(J2272,"*30*")&gt;0,COUNTIF(I2272,"31*")&gt;0,COUNTIF(J2272,"*31*")&gt;0,COUNTIF(I2272,"32*")&gt;0,COUNTIF(J2272,"*32*")&gt;0,COUNTIF(I2272,"33*")&gt;0,COUNTIF(J2272,"*33*")&gt;0,COUNTIF(I2272,"41*")&gt;0,COUNTIF(J2272,"*41*")&gt;0,COUNTIF(I2272,"42*")&gt;0,COUNTIF(J2272,"*42*")&gt;0,COUNTIF(I2272,"43*")&gt;0,COUNTIF(J2272,"*43*")&gt;0,COUNTIF(I2272,"49*")&gt;0,COUNTIF(J2272,"*49*")&gt;0,COUNTIF(I2272,"52*")&gt;0,COUNTIF(J2272,"*52*")&gt;0,COUNTIF(I2272,"55*")&gt;0,COUNTIF(J2272,"*55*")&gt;0,COUNTIF(I2272,"56*")&gt;0,COUNTIF(J2272,"*56*")&gt;0,COUNTIF(I2272,"68*")&gt;0,COUNTIF(J2272,"*68*")&gt;0,COUNTIF(I2272,"78*")&gt;0,COUNTIF(J2272,"*78*")&gt;0,COUNTIF(I2272,"81*")&gt;0,COUNTIF(J2272,"*81*")&gt;0,COUNTIF(I2272,"82*")&gt;0,COUNTIF(J2272,"*82*")&gt;0,COUNTIF(I2272,"64*")&gt;0,COUNTIF(J2272,"*64*")&gt;0,COUNTIF(I2272,"65*")&gt;0,COUNTIF(J2272,"*65*")&gt;0,COUNTIF(I2272,"66*")&gt;0,COUNTIF(J2272,"*66*")&gt;0,COUNTIF(I2272,"61*")&gt;0,COUNTIF(J2272,"*61*")&gt;0,COUNTIF(I2272,"62*")&gt;0,COUNTIF(J2272,"*62*")&gt;0,COUNTIF(I2272,"63*")&gt;0,COUNTIF(J2272,"*63*")&gt;0,COUNTIF(I2272,"85*")&gt;0,COUNTIF(J2272,"*85*")&gt;0,COUNTIF(I2272,"86*")&gt;0,COUNTIF(J2272,"*86*")&gt;0),"Да","Нет"))</f>
        <v/>
      </c>
      <c r="M2272" s="13">
        <f>IF(OR(G2272="",L2272&lt;&gt;"Да"),"",IF(G2272&lt;=100,"До 100",IF(G2272&lt;=200,"До 200",IF(G2272&lt;=500,"До 500","Отдельное КП"))))</f>
        <v/>
      </c>
      <c r="N2272" s="15">
        <f>IF(OR(G2272="",L2272&lt;&gt;"Да"),"",IF(G2272&lt;=100,33600,IF(G2272&lt;=200,62400,IF(G2272&lt;=500,144000,""))))</f>
        <v/>
      </c>
      <c r="O2272" s="16">
        <f>IF(G2272="","",IF(G2272&lt;=15,"1–15",IF(G2272&lt;=30,"16–30",IF(G2272&lt;=50,"31–50",IF(G2272&lt;=100,"51–100",IF(G2272&lt;=150,"101–150",IF(G2272&lt;=200,"151–200",IF(G2272&lt;=500,"201–500","500+"))))))))</f>
        <v/>
      </c>
      <c r="P2272" s="16" t="inlineStr">
        <is>
          <t>Нет совпадения в предоставленной выгрузке ССЧР</t>
        </is>
      </c>
      <c r="Q2272" s="16" t="n"/>
      <c r="R2272" s="16">
        <f>HYPERLINK("https://checko.ru/search?query=3801001629","Чекко: проверить")</f>
        <v/>
      </c>
      <c r="S2272" t="n">
        <v>0</v>
      </c>
    </row>
    <row r="2273" ht="15" customHeight="1" s="24">
      <c r="A2273" s="13" t="n">
        <v>5000094769</v>
      </c>
      <c r="B2273" s="13" t="inlineStr">
        <is>
          <t>МКУ "Отдел культуры Урванского района"</t>
        </is>
      </c>
      <c r="C2273" s="13" t="n">
        <v>707007280</v>
      </c>
      <c r="D2273" s="13" t="n"/>
      <c r="E2273" s="13" t="inlineStr">
        <is>
          <t>Не определён</t>
        </is>
      </c>
      <c r="F2273" s="13" t="inlineStr">
        <is>
          <t>707007280</t>
        </is>
      </c>
      <c r="G2273" s="14" t="n"/>
      <c r="H2273" s="14" t="n"/>
      <c r="I2273" s="14" t="n"/>
      <c r="J2273" s="14" t="n"/>
      <c r="K2273" s="13">
        <f>IF(G2273="","",IF(G2273&gt;=22,"Да","Нет"))</f>
        <v/>
      </c>
      <c r="L2273" s="13">
        <f>IF(OR(I2273="",J2273=""),"Не определено",IF(OR(COUNTIF(I2273,"45*")&gt;0,COUNTIF(J2273,"*45*")&gt;0,COUNTIF(I2273,"46*")&gt;0,COUNTIF(J2273,"*46*")&gt;0,COUNTIF(I2273,"47*")&gt;0,COUNTIF(J2273,"*47*")&gt;0,COUNTIF(I2273,"10*")&gt;0,COUNTIF(J2273,"*10*")&gt;0,COUNTIF(I2273,"11*")&gt;0,COUNTIF(J2273,"*11*")&gt;0,COUNTIF(I2273,"12*")&gt;0,COUNTIF(J2273,"*12*")&gt;0,COUNTIF(I2273,"13*")&gt;0,COUNTIF(J2273,"*13*")&gt;0,COUNTIF(I2273,"14*")&gt;0,COUNTIF(J2273,"*14*")&gt;0,COUNTIF(I2273,"15*")&gt;0,COUNTIF(J2273,"*15*")&gt;0,COUNTIF(I2273,"16*")&gt;0,COUNTIF(J2273,"*16*")&gt;0,COUNTIF(I2273,"17*")&gt;0,COUNTIF(J2273,"*17*")&gt;0,COUNTIF(I2273,"18*")&gt;0,COUNTIF(J2273,"*18*")&gt;0,COUNTIF(I2273,"19*")&gt;0,COUNTIF(J2273,"*19*")&gt;0,COUNTIF(I2273,"20*")&gt;0,COUNTIF(J2273,"*20*")&gt;0,COUNTIF(I2273,"21*")&gt;0,COUNTIF(J2273,"*21*")&gt;0,COUNTIF(I2273,"22*")&gt;0,COUNTIF(J2273,"*22*")&gt;0,COUNTIF(I2273,"23*")&gt;0,COUNTIF(J2273,"*23*")&gt;0,COUNTIF(I2273,"24*")&gt;0,COUNTIF(J2273,"*24*")&gt;0,COUNTIF(I2273,"25*")&gt;0,COUNTIF(J2273,"*25*")&gt;0,COUNTIF(I2273,"26*")&gt;0,COUNTIF(J2273,"*26*")&gt;0,COUNTIF(I2273,"27*")&gt;0,COUNTIF(J2273,"*27*")&gt;0,COUNTIF(I2273,"28*")&gt;0,COUNTIF(J2273,"*28*")&gt;0,COUNTIF(I2273,"29*")&gt;0,COUNTIF(J2273,"*29*")&gt;0,COUNTIF(I2273,"30*")&gt;0,COUNTIF(J2273,"*30*")&gt;0,COUNTIF(I2273,"31*")&gt;0,COUNTIF(J2273,"*31*")&gt;0,COUNTIF(I2273,"32*")&gt;0,COUNTIF(J2273,"*32*")&gt;0,COUNTIF(I2273,"33*")&gt;0,COUNTIF(J2273,"*33*")&gt;0,COUNTIF(I2273,"41*")&gt;0,COUNTIF(J2273,"*41*")&gt;0,COUNTIF(I2273,"42*")&gt;0,COUNTIF(J2273,"*42*")&gt;0,COUNTIF(I2273,"43*")&gt;0,COUNTIF(J2273,"*43*")&gt;0,COUNTIF(I2273,"49*")&gt;0,COUNTIF(J2273,"*49*")&gt;0,COUNTIF(I2273,"52*")&gt;0,COUNTIF(J2273,"*52*")&gt;0,COUNTIF(I2273,"55*")&gt;0,COUNTIF(J2273,"*55*")&gt;0,COUNTIF(I2273,"56*")&gt;0,COUNTIF(J2273,"*56*")&gt;0,COUNTIF(I2273,"68*")&gt;0,COUNTIF(J2273,"*68*")&gt;0,COUNTIF(I2273,"78*")&gt;0,COUNTIF(J2273,"*78*")&gt;0,COUNTIF(I2273,"81*")&gt;0,COUNTIF(J2273,"*81*")&gt;0,COUNTIF(I2273,"82*")&gt;0,COUNTIF(J2273,"*82*")&gt;0,COUNTIF(I2273,"64*")&gt;0,COUNTIF(J2273,"*64*")&gt;0,COUNTIF(I2273,"65*")&gt;0,COUNTIF(J2273,"*65*")&gt;0,COUNTIF(I2273,"66*")&gt;0,COUNTIF(J2273,"*66*")&gt;0,COUNTIF(I2273,"61*")&gt;0,COUNTIF(J2273,"*61*")&gt;0,COUNTIF(I2273,"62*")&gt;0,COUNTIF(J2273,"*62*")&gt;0,COUNTIF(I2273,"63*")&gt;0,COUNTIF(J2273,"*63*")&gt;0,COUNTIF(I2273,"85*")&gt;0,COUNTIF(J2273,"*85*")&gt;0,COUNTIF(I2273,"86*")&gt;0,COUNTIF(J2273,"*86*")&gt;0),"Да","Нет"))</f>
        <v/>
      </c>
      <c r="M2273" s="13">
        <f>IF(OR(G2273="",L2273&lt;&gt;"Да"),"",IF(G2273&lt;=100,"До 100",IF(G2273&lt;=200,"До 200",IF(G2273&lt;=500,"До 500","Отдельное КП"))))</f>
        <v/>
      </c>
      <c r="N2273" s="15">
        <f>IF(OR(G2273="",L2273&lt;&gt;"Да"),"",IF(G2273&lt;=100,33600,IF(G2273&lt;=200,62400,IF(G2273&lt;=500,144000,""))))</f>
        <v/>
      </c>
      <c r="O2273" s="16">
        <f>IF(G2273="","",IF(G2273&lt;=15,"1–15",IF(G2273&lt;=30,"16–30",IF(G2273&lt;=50,"31–50",IF(G2273&lt;=100,"51–100",IF(G2273&lt;=150,"101–150",IF(G2273&lt;=200,"151–200",IF(G2273&lt;=500,"201–500","500+"))))))))</f>
        <v/>
      </c>
      <c r="P2273" s="16" t="inlineStr">
        <is>
          <t>Нет совпадения в предоставленной выгрузке ССЧР</t>
        </is>
      </c>
      <c r="Q2273" s="16" t="n"/>
      <c r="R2273" s="16">
        <f>HYPERLINK("https://checko.ru/search?query=3801001629","Чекко: проверить")</f>
        <v/>
      </c>
      <c r="S2273" t="n">
        <v>0</v>
      </c>
    </row>
    <row r="2274" ht="15" customHeight="1" s="24">
      <c r="A2274" s="13" t="n">
        <v>5000094832</v>
      </c>
      <c r="B2274" s="13" t="inlineStr">
        <is>
          <t>МКУ "ОКМП"</t>
        </is>
      </c>
      <c r="C2274" s="13" t="n">
        <v>707014872</v>
      </c>
      <c r="D2274" s="13" t="n"/>
      <c r="E2274" s="13" t="inlineStr">
        <is>
          <t>Не определён</t>
        </is>
      </c>
      <c r="F2274" s="13" t="inlineStr">
        <is>
          <t>707014872</t>
        </is>
      </c>
      <c r="G2274" s="14" t="n"/>
      <c r="H2274" s="14" t="n"/>
      <c r="I2274" s="14" t="n"/>
      <c r="J2274" s="14" t="n"/>
      <c r="K2274" s="13">
        <f>IF(G2274="","",IF(G2274&gt;=22,"Да","Нет"))</f>
        <v/>
      </c>
      <c r="L2274" s="13">
        <f>IF(OR(I2274="",J2274=""),"Не определено",IF(OR(COUNTIF(I2274,"45*")&gt;0,COUNTIF(J2274,"*45*")&gt;0,COUNTIF(I2274,"46*")&gt;0,COUNTIF(J2274,"*46*")&gt;0,COUNTIF(I2274,"47*")&gt;0,COUNTIF(J2274,"*47*")&gt;0,COUNTIF(I2274,"10*")&gt;0,COUNTIF(J2274,"*10*")&gt;0,COUNTIF(I2274,"11*")&gt;0,COUNTIF(J2274,"*11*")&gt;0,COUNTIF(I2274,"12*")&gt;0,COUNTIF(J2274,"*12*")&gt;0,COUNTIF(I2274,"13*")&gt;0,COUNTIF(J2274,"*13*")&gt;0,COUNTIF(I2274,"14*")&gt;0,COUNTIF(J2274,"*14*")&gt;0,COUNTIF(I2274,"15*")&gt;0,COUNTIF(J2274,"*15*")&gt;0,COUNTIF(I2274,"16*")&gt;0,COUNTIF(J2274,"*16*")&gt;0,COUNTIF(I2274,"17*")&gt;0,COUNTIF(J2274,"*17*")&gt;0,COUNTIF(I2274,"18*")&gt;0,COUNTIF(J2274,"*18*")&gt;0,COUNTIF(I2274,"19*")&gt;0,COUNTIF(J2274,"*19*")&gt;0,COUNTIF(I2274,"20*")&gt;0,COUNTIF(J2274,"*20*")&gt;0,COUNTIF(I2274,"21*")&gt;0,COUNTIF(J2274,"*21*")&gt;0,COUNTIF(I2274,"22*")&gt;0,COUNTIF(J2274,"*22*")&gt;0,COUNTIF(I2274,"23*")&gt;0,COUNTIF(J2274,"*23*")&gt;0,COUNTIF(I2274,"24*")&gt;0,COUNTIF(J2274,"*24*")&gt;0,COUNTIF(I2274,"25*")&gt;0,COUNTIF(J2274,"*25*")&gt;0,COUNTIF(I2274,"26*")&gt;0,COUNTIF(J2274,"*26*")&gt;0,COUNTIF(I2274,"27*")&gt;0,COUNTIF(J2274,"*27*")&gt;0,COUNTIF(I2274,"28*")&gt;0,COUNTIF(J2274,"*28*")&gt;0,COUNTIF(I2274,"29*")&gt;0,COUNTIF(J2274,"*29*")&gt;0,COUNTIF(I2274,"30*")&gt;0,COUNTIF(J2274,"*30*")&gt;0,COUNTIF(I2274,"31*")&gt;0,COUNTIF(J2274,"*31*")&gt;0,COUNTIF(I2274,"32*")&gt;0,COUNTIF(J2274,"*32*")&gt;0,COUNTIF(I2274,"33*")&gt;0,COUNTIF(J2274,"*33*")&gt;0,COUNTIF(I2274,"41*")&gt;0,COUNTIF(J2274,"*41*")&gt;0,COUNTIF(I2274,"42*")&gt;0,COUNTIF(J2274,"*42*")&gt;0,COUNTIF(I2274,"43*")&gt;0,COUNTIF(J2274,"*43*")&gt;0,COUNTIF(I2274,"49*")&gt;0,COUNTIF(J2274,"*49*")&gt;0,COUNTIF(I2274,"52*")&gt;0,COUNTIF(J2274,"*52*")&gt;0,COUNTIF(I2274,"55*")&gt;0,COUNTIF(J2274,"*55*")&gt;0,COUNTIF(I2274,"56*")&gt;0,COUNTIF(J2274,"*56*")&gt;0,COUNTIF(I2274,"68*")&gt;0,COUNTIF(J2274,"*68*")&gt;0,COUNTIF(I2274,"78*")&gt;0,COUNTIF(J2274,"*78*")&gt;0,COUNTIF(I2274,"81*")&gt;0,COUNTIF(J2274,"*81*")&gt;0,COUNTIF(I2274,"82*")&gt;0,COUNTIF(J2274,"*82*")&gt;0,COUNTIF(I2274,"64*")&gt;0,COUNTIF(J2274,"*64*")&gt;0,COUNTIF(I2274,"65*")&gt;0,COUNTIF(J2274,"*65*")&gt;0,COUNTIF(I2274,"66*")&gt;0,COUNTIF(J2274,"*66*")&gt;0,COUNTIF(I2274,"61*")&gt;0,COUNTIF(J2274,"*61*")&gt;0,COUNTIF(I2274,"62*")&gt;0,COUNTIF(J2274,"*62*")&gt;0,COUNTIF(I2274,"63*")&gt;0,COUNTIF(J2274,"*63*")&gt;0,COUNTIF(I2274,"85*")&gt;0,COUNTIF(J2274,"*85*")&gt;0,COUNTIF(I2274,"86*")&gt;0,COUNTIF(J2274,"*86*")&gt;0),"Да","Нет"))</f>
        <v/>
      </c>
      <c r="M2274" s="13">
        <f>IF(OR(G2274="",L2274&lt;&gt;"Да"),"",IF(G2274&lt;=100,"До 100",IF(G2274&lt;=200,"До 200",IF(G2274&lt;=500,"До 500","Отдельное КП"))))</f>
        <v/>
      </c>
      <c r="N2274" s="15">
        <f>IF(OR(G2274="",L2274&lt;&gt;"Да"),"",IF(G2274&lt;=100,33600,IF(G2274&lt;=200,62400,IF(G2274&lt;=500,144000,""))))</f>
        <v/>
      </c>
      <c r="O2274" s="16">
        <f>IF(G2274="","",IF(G2274&lt;=15,"1–15",IF(G2274&lt;=30,"16–30",IF(G2274&lt;=50,"31–50",IF(G2274&lt;=100,"51–100",IF(G2274&lt;=150,"101–150",IF(G2274&lt;=200,"151–200",IF(G2274&lt;=500,"201–500","500+"))))))))</f>
        <v/>
      </c>
      <c r="P2274" s="16" t="inlineStr">
        <is>
          <t>Нет совпадения в предоставленной выгрузке ССЧР</t>
        </is>
      </c>
      <c r="Q2274" s="16" t="n"/>
      <c r="R2274" s="16">
        <f>HYPERLINK("https://checko.ru/search?query=3801001629","Чекко: проверить")</f>
        <v/>
      </c>
      <c r="S2274" t="n">
        <v>0</v>
      </c>
    </row>
    <row r="2275" ht="15" customHeight="1" s="24">
      <c r="A2275" s="13" t="n">
        <v>5000094833</v>
      </c>
      <c r="B2275" s="13" t="inlineStr">
        <is>
          <t>МКУК "УРДК"</t>
        </is>
      </c>
      <c r="C2275" s="13" t="n">
        <v>707015114</v>
      </c>
      <c r="D2275" s="13" t="n"/>
      <c r="E2275" s="13" t="inlineStr">
        <is>
          <t>Не определён</t>
        </is>
      </c>
      <c r="F2275" s="13" t="inlineStr">
        <is>
          <t>707015114</t>
        </is>
      </c>
      <c r="G2275" s="14" t="n"/>
      <c r="H2275" s="14" t="n"/>
      <c r="I2275" s="14" t="n"/>
      <c r="J2275" s="14" t="n"/>
      <c r="K2275" s="13">
        <f>IF(G2275="","",IF(G2275&gt;=22,"Да","Нет"))</f>
        <v/>
      </c>
      <c r="L2275" s="13">
        <f>IF(OR(I2275="",J2275=""),"Не определено",IF(OR(COUNTIF(I2275,"45*")&gt;0,COUNTIF(J2275,"*45*")&gt;0,COUNTIF(I2275,"46*")&gt;0,COUNTIF(J2275,"*46*")&gt;0,COUNTIF(I2275,"47*")&gt;0,COUNTIF(J2275,"*47*")&gt;0,COUNTIF(I2275,"10*")&gt;0,COUNTIF(J2275,"*10*")&gt;0,COUNTIF(I2275,"11*")&gt;0,COUNTIF(J2275,"*11*")&gt;0,COUNTIF(I2275,"12*")&gt;0,COUNTIF(J2275,"*12*")&gt;0,COUNTIF(I2275,"13*")&gt;0,COUNTIF(J2275,"*13*")&gt;0,COUNTIF(I2275,"14*")&gt;0,COUNTIF(J2275,"*14*")&gt;0,COUNTIF(I2275,"15*")&gt;0,COUNTIF(J2275,"*15*")&gt;0,COUNTIF(I2275,"16*")&gt;0,COUNTIF(J2275,"*16*")&gt;0,COUNTIF(I2275,"17*")&gt;0,COUNTIF(J2275,"*17*")&gt;0,COUNTIF(I2275,"18*")&gt;0,COUNTIF(J2275,"*18*")&gt;0,COUNTIF(I2275,"19*")&gt;0,COUNTIF(J2275,"*19*")&gt;0,COUNTIF(I2275,"20*")&gt;0,COUNTIF(J2275,"*20*")&gt;0,COUNTIF(I2275,"21*")&gt;0,COUNTIF(J2275,"*21*")&gt;0,COUNTIF(I2275,"22*")&gt;0,COUNTIF(J2275,"*22*")&gt;0,COUNTIF(I2275,"23*")&gt;0,COUNTIF(J2275,"*23*")&gt;0,COUNTIF(I2275,"24*")&gt;0,COUNTIF(J2275,"*24*")&gt;0,COUNTIF(I2275,"25*")&gt;0,COUNTIF(J2275,"*25*")&gt;0,COUNTIF(I2275,"26*")&gt;0,COUNTIF(J2275,"*26*")&gt;0,COUNTIF(I2275,"27*")&gt;0,COUNTIF(J2275,"*27*")&gt;0,COUNTIF(I2275,"28*")&gt;0,COUNTIF(J2275,"*28*")&gt;0,COUNTIF(I2275,"29*")&gt;0,COUNTIF(J2275,"*29*")&gt;0,COUNTIF(I2275,"30*")&gt;0,COUNTIF(J2275,"*30*")&gt;0,COUNTIF(I2275,"31*")&gt;0,COUNTIF(J2275,"*31*")&gt;0,COUNTIF(I2275,"32*")&gt;0,COUNTIF(J2275,"*32*")&gt;0,COUNTIF(I2275,"33*")&gt;0,COUNTIF(J2275,"*33*")&gt;0,COUNTIF(I2275,"41*")&gt;0,COUNTIF(J2275,"*41*")&gt;0,COUNTIF(I2275,"42*")&gt;0,COUNTIF(J2275,"*42*")&gt;0,COUNTIF(I2275,"43*")&gt;0,COUNTIF(J2275,"*43*")&gt;0,COUNTIF(I2275,"49*")&gt;0,COUNTIF(J2275,"*49*")&gt;0,COUNTIF(I2275,"52*")&gt;0,COUNTIF(J2275,"*52*")&gt;0,COUNTIF(I2275,"55*")&gt;0,COUNTIF(J2275,"*55*")&gt;0,COUNTIF(I2275,"56*")&gt;0,COUNTIF(J2275,"*56*")&gt;0,COUNTIF(I2275,"68*")&gt;0,COUNTIF(J2275,"*68*")&gt;0,COUNTIF(I2275,"78*")&gt;0,COUNTIF(J2275,"*78*")&gt;0,COUNTIF(I2275,"81*")&gt;0,COUNTIF(J2275,"*81*")&gt;0,COUNTIF(I2275,"82*")&gt;0,COUNTIF(J2275,"*82*")&gt;0,COUNTIF(I2275,"64*")&gt;0,COUNTIF(J2275,"*64*")&gt;0,COUNTIF(I2275,"65*")&gt;0,COUNTIF(J2275,"*65*")&gt;0,COUNTIF(I2275,"66*")&gt;0,COUNTIF(J2275,"*66*")&gt;0,COUNTIF(I2275,"61*")&gt;0,COUNTIF(J2275,"*61*")&gt;0,COUNTIF(I2275,"62*")&gt;0,COUNTIF(J2275,"*62*")&gt;0,COUNTIF(I2275,"63*")&gt;0,COUNTIF(J2275,"*63*")&gt;0,COUNTIF(I2275,"85*")&gt;0,COUNTIF(J2275,"*85*")&gt;0,COUNTIF(I2275,"86*")&gt;0,COUNTIF(J2275,"*86*")&gt;0),"Да","Нет"))</f>
        <v/>
      </c>
      <c r="M2275" s="13">
        <f>IF(OR(G2275="",L2275&lt;&gt;"Да"),"",IF(G2275&lt;=100,"До 100",IF(G2275&lt;=200,"До 200",IF(G2275&lt;=500,"До 500","Отдельное КП"))))</f>
        <v/>
      </c>
      <c r="N2275" s="15">
        <f>IF(OR(G2275="",L2275&lt;&gt;"Да"),"",IF(G2275&lt;=100,33600,IF(G2275&lt;=200,62400,IF(G2275&lt;=500,144000,""))))</f>
        <v/>
      </c>
      <c r="O2275" s="16">
        <f>IF(G2275="","",IF(G2275&lt;=15,"1–15",IF(G2275&lt;=30,"16–30",IF(G2275&lt;=50,"31–50",IF(G2275&lt;=100,"51–100",IF(G2275&lt;=150,"101–150",IF(G2275&lt;=200,"151–200",IF(G2275&lt;=500,"201–500","500+"))))))))</f>
        <v/>
      </c>
      <c r="P2275" s="16" t="inlineStr">
        <is>
          <t>Нет совпадения в предоставленной выгрузке ССЧР</t>
        </is>
      </c>
      <c r="Q2275" s="16" t="n"/>
      <c r="R2275" s="16">
        <f>HYPERLINK("https://checko.ru/search?query=3801001629","Чекко: проверить")</f>
        <v/>
      </c>
      <c r="S2275" t="n">
        <v>0</v>
      </c>
    </row>
    <row r="2276" ht="15" customHeight="1" s="24">
      <c r="A2276" s="13" t="n">
        <v>5000094808</v>
      </c>
      <c r="B2276" s="13" t="inlineStr">
        <is>
          <t>МКОУ "СОШ №2 с. п. Аргудан"</t>
        </is>
      </c>
      <c r="C2276" s="13" t="n">
        <v>707011649</v>
      </c>
      <c r="D2276" s="13" t="n"/>
      <c r="E2276" s="13" t="inlineStr">
        <is>
          <t>Не определён</t>
        </is>
      </c>
      <c r="F2276" s="13" t="inlineStr">
        <is>
          <t>707011649</t>
        </is>
      </c>
      <c r="G2276" s="14" t="n"/>
      <c r="H2276" s="14" t="n"/>
      <c r="I2276" s="14" t="n"/>
      <c r="J2276" s="14" t="n"/>
      <c r="K2276" s="13">
        <f>IF(G2276="","",IF(G2276&gt;=22,"Да","Нет"))</f>
        <v/>
      </c>
      <c r="L2276" s="13">
        <f>IF(OR(I2276="",J2276=""),"Не определено",IF(OR(COUNTIF(I2276,"45*")&gt;0,COUNTIF(J2276,"*45*")&gt;0,COUNTIF(I2276,"46*")&gt;0,COUNTIF(J2276,"*46*")&gt;0,COUNTIF(I2276,"47*")&gt;0,COUNTIF(J2276,"*47*")&gt;0,COUNTIF(I2276,"10*")&gt;0,COUNTIF(J2276,"*10*")&gt;0,COUNTIF(I2276,"11*")&gt;0,COUNTIF(J2276,"*11*")&gt;0,COUNTIF(I2276,"12*")&gt;0,COUNTIF(J2276,"*12*")&gt;0,COUNTIF(I2276,"13*")&gt;0,COUNTIF(J2276,"*13*")&gt;0,COUNTIF(I2276,"14*")&gt;0,COUNTIF(J2276,"*14*")&gt;0,COUNTIF(I2276,"15*")&gt;0,COUNTIF(J2276,"*15*")&gt;0,COUNTIF(I2276,"16*")&gt;0,COUNTIF(J2276,"*16*")&gt;0,COUNTIF(I2276,"17*")&gt;0,COUNTIF(J2276,"*17*")&gt;0,COUNTIF(I2276,"18*")&gt;0,COUNTIF(J2276,"*18*")&gt;0,COUNTIF(I2276,"19*")&gt;0,COUNTIF(J2276,"*19*")&gt;0,COUNTIF(I2276,"20*")&gt;0,COUNTIF(J2276,"*20*")&gt;0,COUNTIF(I2276,"21*")&gt;0,COUNTIF(J2276,"*21*")&gt;0,COUNTIF(I2276,"22*")&gt;0,COUNTIF(J2276,"*22*")&gt;0,COUNTIF(I2276,"23*")&gt;0,COUNTIF(J2276,"*23*")&gt;0,COUNTIF(I2276,"24*")&gt;0,COUNTIF(J2276,"*24*")&gt;0,COUNTIF(I2276,"25*")&gt;0,COUNTIF(J2276,"*25*")&gt;0,COUNTIF(I2276,"26*")&gt;0,COUNTIF(J2276,"*26*")&gt;0,COUNTIF(I2276,"27*")&gt;0,COUNTIF(J2276,"*27*")&gt;0,COUNTIF(I2276,"28*")&gt;0,COUNTIF(J2276,"*28*")&gt;0,COUNTIF(I2276,"29*")&gt;0,COUNTIF(J2276,"*29*")&gt;0,COUNTIF(I2276,"30*")&gt;0,COUNTIF(J2276,"*30*")&gt;0,COUNTIF(I2276,"31*")&gt;0,COUNTIF(J2276,"*31*")&gt;0,COUNTIF(I2276,"32*")&gt;0,COUNTIF(J2276,"*32*")&gt;0,COUNTIF(I2276,"33*")&gt;0,COUNTIF(J2276,"*33*")&gt;0,COUNTIF(I2276,"41*")&gt;0,COUNTIF(J2276,"*41*")&gt;0,COUNTIF(I2276,"42*")&gt;0,COUNTIF(J2276,"*42*")&gt;0,COUNTIF(I2276,"43*")&gt;0,COUNTIF(J2276,"*43*")&gt;0,COUNTIF(I2276,"49*")&gt;0,COUNTIF(J2276,"*49*")&gt;0,COUNTIF(I2276,"52*")&gt;0,COUNTIF(J2276,"*52*")&gt;0,COUNTIF(I2276,"55*")&gt;0,COUNTIF(J2276,"*55*")&gt;0,COUNTIF(I2276,"56*")&gt;0,COUNTIF(J2276,"*56*")&gt;0,COUNTIF(I2276,"68*")&gt;0,COUNTIF(J2276,"*68*")&gt;0,COUNTIF(I2276,"78*")&gt;0,COUNTIF(J2276,"*78*")&gt;0,COUNTIF(I2276,"81*")&gt;0,COUNTIF(J2276,"*81*")&gt;0,COUNTIF(I2276,"82*")&gt;0,COUNTIF(J2276,"*82*")&gt;0,COUNTIF(I2276,"64*")&gt;0,COUNTIF(J2276,"*64*")&gt;0,COUNTIF(I2276,"65*")&gt;0,COUNTIF(J2276,"*65*")&gt;0,COUNTIF(I2276,"66*")&gt;0,COUNTIF(J2276,"*66*")&gt;0,COUNTIF(I2276,"61*")&gt;0,COUNTIF(J2276,"*61*")&gt;0,COUNTIF(I2276,"62*")&gt;0,COUNTIF(J2276,"*62*")&gt;0,COUNTIF(I2276,"63*")&gt;0,COUNTIF(J2276,"*63*")&gt;0,COUNTIF(I2276,"85*")&gt;0,COUNTIF(J2276,"*85*")&gt;0,COUNTIF(I2276,"86*")&gt;0,COUNTIF(J2276,"*86*")&gt;0),"Да","Нет"))</f>
        <v/>
      </c>
      <c r="M2276" s="13">
        <f>IF(OR(G2276="",L2276&lt;&gt;"Да"),"",IF(G2276&lt;=100,"До 100",IF(G2276&lt;=200,"До 200",IF(G2276&lt;=500,"До 500","Отдельное КП"))))</f>
        <v/>
      </c>
      <c r="N2276" s="15">
        <f>IF(OR(G2276="",L2276&lt;&gt;"Да"),"",IF(G2276&lt;=100,33600,IF(G2276&lt;=200,62400,IF(G2276&lt;=500,144000,""))))</f>
        <v/>
      </c>
      <c r="O2276" s="16">
        <f>IF(G2276="","",IF(G2276&lt;=15,"1–15",IF(G2276&lt;=30,"16–30",IF(G2276&lt;=50,"31–50",IF(G2276&lt;=100,"51–100",IF(G2276&lt;=150,"101–150",IF(G2276&lt;=200,"151–200",IF(G2276&lt;=500,"201–500","500+"))))))))</f>
        <v/>
      </c>
      <c r="P2276" s="16" t="inlineStr">
        <is>
          <t>Нет совпадения в предоставленной выгрузке ССЧР</t>
        </is>
      </c>
      <c r="Q2276" s="16" t="n"/>
      <c r="R2276" s="16">
        <f>HYPERLINK("https://checko.ru/search?query=3801001629","Чекко: проверить")</f>
        <v/>
      </c>
      <c r="S2276" t="n">
        <v>0</v>
      </c>
    </row>
    <row r="2277" ht="15" customHeight="1" s="24">
      <c r="A2277" s="13" t="n">
        <v>5000094811</v>
      </c>
      <c r="B2277" s="13" t="inlineStr">
        <is>
          <t>МКОУ "СОШ №1" с.п. Анзорей</t>
        </is>
      </c>
      <c r="C2277" s="13" t="n">
        <v>707011712</v>
      </c>
      <c r="D2277" s="13" t="n"/>
      <c r="E2277" s="13" t="inlineStr">
        <is>
          <t>Не определён</t>
        </is>
      </c>
      <c r="F2277" s="13" t="inlineStr">
        <is>
          <t>707011712</t>
        </is>
      </c>
      <c r="G2277" s="14" t="n"/>
      <c r="H2277" s="14" t="n"/>
      <c r="I2277" s="14" t="n"/>
      <c r="J2277" s="14" t="n"/>
      <c r="K2277" s="13">
        <f>IF(G2277="","",IF(G2277&gt;=22,"Да","Нет"))</f>
        <v/>
      </c>
      <c r="L2277" s="13">
        <f>IF(OR(I2277="",J2277=""),"Не определено",IF(OR(COUNTIF(I2277,"45*")&gt;0,COUNTIF(J2277,"*45*")&gt;0,COUNTIF(I2277,"46*")&gt;0,COUNTIF(J2277,"*46*")&gt;0,COUNTIF(I2277,"47*")&gt;0,COUNTIF(J2277,"*47*")&gt;0,COUNTIF(I2277,"10*")&gt;0,COUNTIF(J2277,"*10*")&gt;0,COUNTIF(I2277,"11*")&gt;0,COUNTIF(J2277,"*11*")&gt;0,COUNTIF(I2277,"12*")&gt;0,COUNTIF(J2277,"*12*")&gt;0,COUNTIF(I2277,"13*")&gt;0,COUNTIF(J2277,"*13*")&gt;0,COUNTIF(I2277,"14*")&gt;0,COUNTIF(J2277,"*14*")&gt;0,COUNTIF(I2277,"15*")&gt;0,COUNTIF(J2277,"*15*")&gt;0,COUNTIF(I2277,"16*")&gt;0,COUNTIF(J2277,"*16*")&gt;0,COUNTIF(I2277,"17*")&gt;0,COUNTIF(J2277,"*17*")&gt;0,COUNTIF(I2277,"18*")&gt;0,COUNTIF(J2277,"*18*")&gt;0,COUNTIF(I2277,"19*")&gt;0,COUNTIF(J2277,"*19*")&gt;0,COUNTIF(I2277,"20*")&gt;0,COUNTIF(J2277,"*20*")&gt;0,COUNTIF(I2277,"21*")&gt;0,COUNTIF(J2277,"*21*")&gt;0,COUNTIF(I2277,"22*")&gt;0,COUNTIF(J2277,"*22*")&gt;0,COUNTIF(I2277,"23*")&gt;0,COUNTIF(J2277,"*23*")&gt;0,COUNTIF(I2277,"24*")&gt;0,COUNTIF(J2277,"*24*")&gt;0,COUNTIF(I2277,"25*")&gt;0,COUNTIF(J2277,"*25*")&gt;0,COUNTIF(I2277,"26*")&gt;0,COUNTIF(J2277,"*26*")&gt;0,COUNTIF(I2277,"27*")&gt;0,COUNTIF(J2277,"*27*")&gt;0,COUNTIF(I2277,"28*")&gt;0,COUNTIF(J2277,"*28*")&gt;0,COUNTIF(I2277,"29*")&gt;0,COUNTIF(J2277,"*29*")&gt;0,COUNTIF(I2277,"30*")&gt;0,COUNTIF(J2277,"*30*")&gt;0,COUNTIF(I2277,"31*")&gt;0,COUNTIF(J2277,"*31*")&gt;0,COUNTIF(I2277,"32*")&gt;0,COUNTIF(J2277,"*32*")&gt;0,COUNTIF(I2277,"33*")&gt;0,COUNTIF(J2277,"*33*")&gt;0,COUNTIF(I2277,"41*")&gt;0,COUNTIF(J2277,"*41*")&gt;0,COUNTIF(I2277,"42*")&gt;0,COUNTIF(J2277,"*42*")&gt;0,COUNTIF(I2277,"43*")&gt;0,COUNTIF(J2277,"*43*")&gt;0,COUNTIF(I2277,"49*")&gt;0,COUNTIF(J2277,"*49*")&gt;0,COUNTIF(I2277,"52*")&gt;0,COUNTIF(J2277,"*52*")&gt;0,COUNTIF(I2277,"55*")&gt;0,COUNTIF(J2277,"*55*")&gt;0,COUNTIF(I2277,"56*")&gt;0,COUNTIF(J2277,"*56*")&gt;0,COUNTIF(I2277,"68*")&gt;0,COUNTIF(J2277,"*68*")&gt;0,COUNTIF(I2277,"78*")&gt;0,COUNTIF(J2277,"*78*")&gt;0,COUNTIF(I2277,"81*")&gt;0,COUNTIF(J2277,"*81*")&gt;0,COUNTIF(I2277,"82*")&gt;0,COUNTIF(J2277,"*82*")&gt;0,COUNTIF(I2277,"64*")&gt;0,COUNTIF(J2277,"*64*")&gt;0,COUNTIF(I2277,"65*")&gt;0,COUNTIF(J2277,"*65*")&gt;0,COUNTIF(I2277,"66*")&gt;0,COUNTIF(J2277,"*66*")&gt;0,COUNTIF(I2277,"61*")&gt;0,COUNTIF(J2277,"*61*")&gt;0,COUNTIF(I2277,"62*")&gt;0,COUNTIF(J2277,"*62*")&gt;0,COUNTIF(I2277,"63*")&gt;0,COUNTIF(J2277,"*63*")&gt;0,COUNTIF(I2277,"85*")&gt;0,COUNTIF(J2277,"*85*")&gt;0,COUNTIF(I2277,"86*")&gt;0,COUNTIF(J2277,"*86*")&gt;0),"Да","Нет"))</f>
        <v/>
      </c>
      <c r="M2277" s="13">
        <f>IF(OR(G2277="",L2277&lt;&gt;"Да"),"",IF(G2277&lt;=100,"До 100",IF(G2277&lt;=200,"До 200",IF(G2277&lt;=500,"До 500","Отдельное КП"))))</f>
        <v/>
      </c>
      <c r="N2277" s="15">
        <f>IF(OR(G2277="",L2277&lt;&gt;"Да"),"",IF(G2277&lt;=100,33600,IF(G2277&lt;=200,62400,IF(G2277&lt;=500,144000,""))))</f>
        <v/>
      </c>
      <c r="O2277" s="16">
        <f>IF(G2277="","",IF(G2277&lt;=15,"1–15",IF(G2277&lt;=30,"16–30",IF(G2277&lt;=50,"31–50",IF(G2277&lt;=100,"51–100",IF(G2277&lt;=150,"101–150",IF(G2277&lt;=200,"151–200",IF(G2277&lt;=500,"201–500","500+"))))))))</f>
        <v/>
      </c>
      <c r="P2277" s="16" t="inlineStr">
        <is>
          <t>Нет совпадения в предоставленной выгрузке ССЧР</t>
        </is>
      </c>
      <c r="Q2277" s="16" t="n"/>
      <c r="R2277" s="16">
        <f>HYPERLINK("https://checko.ru/search?query=3801001629","Чекко: проверить")</f>
        <v/>
      </c>
      <c r="S2277" t="n">
        <v>0</v>
      </c>
    </row>
    <row r="2278" ht="15" customHeight="1" s="24">
      <c r="A2278" s="13" t="n">
        <v>5000094812</v>
      </c>
      <c r="B2278" s="13" t="inlineStr">
        <is>
          <t>МКОУ СОШ имени Х.К. Табухова с. п. Анзорей</t>
        </is>
      </c>
      <c r="C2278" s="13" t="n">
        <v>707011720</v>
      </c>
      <c r="D2278" s="13" t="n"/>
      <c r="E2278" s="13" t="inlineStr">
        <is>
          <t>Не определён</t>
        </is>
      </c>
      <c r="F2278" s="13" t="inlineStr">
        <is>
          <t>707011720</t>
        </is>
      </c>
      <c r="G2278" s="14" t="n"/>
      <c r="H2278" s="14" t="n"/>
      <c r="I2278" s="14" t="n"/>
      <c r="J2278" s="14" t="n"/>
      <c r="K2278" s="13">
        <f>IF(G2278="","",IF(G2278&gt;=22,"Да","Нет"))</f>
        <v/>
      </c>
      <c r="L2278" s="13">
        <f>IF(OR(I2278="",J2278=""),"Не определено",IF(OR(COUNTIF(I2278,"45*")&gt;0,COUNTIF(J2278,"*45*")&gt;0,COUNTIF(I2278,"46*")&gt;0,COUNTIF(J2278,"*46*")&gt;0,COUNTIF(I2278,"47*")&gt;0,COUNTIF(J2278,"*47*")&gt;0,COUNTIF(I2278,"10*")&gt;0,COUNTIF(J2278,"*10*")&gt;0,COUNTIF(I2278,"11*")&gt;0,COUNTIF(J2278,"*11*")&gt;0,COUNTIF(I2278,"12*")&gt;0,COUNTIF(J2278,"*12*")&gt;0,COUNTIF(I2278,"13*")&gt;0,COUNTIF(J2278,"*13*")&gt;0,COUNTIF(I2278,"14*")&gt;0,COUNTIF(J2278,"*14*")&gt;0,COUNTIF(I2278,"15*")&gt;0,COUNTIF(J2278,"*15*")&gt;0,COUNTIF(I2278,"16*")&gt;0,COUNTIF(J2278,"*16*")&gt;0,COUNTIF(I2278,"17*")&gt;0,COUNTIF(J2278,"*17*")&gt;0,COUNTIF(I2278,"18*")&gt;0,COUNTIF(J2278,"*18*")&gt;0,COUNTIF(I2278,"19*")&gt;0,COUNTIF(J2278,"*19*")&gt;0,COUNTIF(I2278,"20*")&gt;0,COUNTIF(J2278,"*20*")&gt;0,COUNTIF(I2278,"21*")&gt;0,COUNTIF(J2278,"*21*")&gt;0,COUNTIF(I2278,"22*")&gt;0,COUNTIF(J2278,"*22*")&gt;0,COUNTIF(I2278,"23*")&gt;0,COUNTIF(J2278,"*23*")&gt;0,COUNTIF(I2278,"24*")&gt;0,COUNTIF(J2278,"*24*")&gt;0,COUNTIF(I2278,"25*")&gt;0,COUNTIF(J2278,"*25*")&gt;0,COUNTIF(I2278,"26*")&gt;0,COUNTIF(J2278,"*26*")&gt;0,COUNTIF(I2278,"27*")&gt;0,COUNTIF(J2278,"*27*")&gt;0,COUNTIF(I2278,"28*")&gt;0,COUNTIF(J2278,"*28*")&gt;0,COUNTIF(I2278,"29*")&gt;0,COUNTIF(J2278,"*29*")&gt;0,COUNTIF(I2278,"30*")&gt;0,COUNTIF(J2278,"*30*")&gt;0,COUNTIF(I2278,"31*")&gt;0,COUNTIF(J2278,"*31*")&gt;0,COUNTIF(I2278,"32*")&gt;0,COUNTIF(J2278,"*32*")&gt;0,COUNTIF(I2278,"33*")&gt;0,COUNTIF(J2278,"*33*")&gt;0,COUNTIF(I2278,"41*")&gt;0,COUNTIF(J2278,"*41*")&gt;0,COUNTIF(I2278,"42*")&gt;0,COUNTIF(J2278,"*42*")&gt;0,COUNTIF(I2278,"43*")&gt;0,COUNTIF(J2278,"*43*")&gt;0,COUNTIF(I2278,"49*")&gt;0,COUNTIF(J2278,"*49*")&gt;0,COUNTIF(I2278,"52*")&gt;0,COUNTIF(J2278,"*52*")&gt;0,COUNTIF(I2278,"55*")&gt;0,COUNTIF(J2278,"*55*")&gt;0,COUNTIF(I2278,"56*")&gt;0,COUNTIF(J2278,"*56*")&gt;0,COUNTIF(I2278,"68*")&gt;0,COUNTIF(J2278,"*68*")&gt;0,COUNTIF(I2278,"78*")&gt;0,COUNTIF(J2278,"*78*")&gt;0,COUNTIF(I2278,"81*")&gt;0,COUNTIF(J2278,"*81*")&gt;0,COUNTIF(I2278,"82*")&gt;0,COUNTIF(J2278,"*82*")&gt;0,COUNTIF(I2278,"64*")&gt;0,COUNTIF(J2278,"*64*")&gt;0,COUNTIF(I2278,"65*")&gt;0,COUNTIF(J2278,"*65*")&gt;0,COUNTIF(I2278,"66*")&gt;0,COUNTIF(J2278,"*66*")&gt;0,COUNTIF(I2278,"61*")&gt;0,COUNTIF(J2278,"*61*")&gt;0,COUNTIF(I2278,"62*")&gt;0,COUNTIF(J2278,"*62*")&gt;0,COUNTIF(I2278,"63*")&gt;0,COUNTIF(J2278,"*63*")&gt;0,COUNTIF(I2278,"85*")&gt;0,COUNTIF(J2278,"*85*")&gt;0,COUNTIF(I2278,"86*")&gt;0,COUNTIF(J2278,"*86*")&gt;0),"Да","Нет"))</f>
        <v/>
      </c>
      <c r="M2278" s="13">
        <f>IF(OR(G2278="",L2278&lt;&gt;"Да"),"",IF(G2278&lt;=100,"До 100",IF(G2278&lt;=200,"До 200",IF(G2278&lt;=500,"До 500","Отдельное КП"))))</f>
        <v/>
      </c>
      <c r="N2278" s="15">
        <f>IF(OR(G2278="",L2278&lt;&gt;"Да"),"",IF(G2278&lt;=100,33600,IF(G2278&lt;=200,62400,IF(G2278&lt;=500,144000,""))))</f>
        <v/>
      </c>
      <c r="O2278" s="16">
        <f>IF(G2278="","",IF(G2278&lt;=15,"1–15",IF(G2278&lt;=30,"16–30",IF(G2278&lt;=50,"31–50",IF(G2278&lt;=100,"51–100",IF(G2278&lt;=150,"101–150",IF(G2278&lt;=200,"151–200",IF(G2278&lt;=500,"201–500","500+"))))))))</f>
        <v/>
      </c>
      <c r="P2278" s="16" t="inlineStr">
        <is>
          <t>Нет совпадения в предоставленной выгрузке ССЧР</t>
        </is>
      </c>
      <c r="Q2278" s="16" t="n"/>
      <c r="R2278" s="16">
        <f>HYPERLINK("https://checko.ru/search?query=3801001629","Чекко: проверить")</f>
        <v/>
      </c>
      <c r="S2278" t="n">
        <v>0</v>
      </c>
    </row>
    <row r="2279" ht="15" customHeight="1" s="24">
      <c r="A2279" s="13" t="n">
        <v>5000094813</v>
      </c>
      <c r="B2279" s="13" t="inlineStr">
        <is>
          <t>МКОУ СОШ с.п. Второй Лескен</t>
        </is>
      </c>
      <c r="C2279" s="13" t="n">
        <v>707011737</v>
      </c>
      <c r="D2279" s="13" t="n"/>
      <c r="E2279" s="13" t="inlineStr">
        <is>
          <t>Не определён</t>
        </is>
      </c>
      <c r="F2279" s="13" t="inlineStr">
        <is>
          <t>707011737</t>
        </is>
      </c>
      <c r="G2279" s="14" t="n"/>
      <c r="H2279" s="14" t="n"/>
      <c r="I2279" s="14" t="n"/>
      <c r="J2279" s="14" t="n"/>
      <c r="K2279" s="13">
        <f>IF(G2279="","",IF(G2279&gt;=22,"Да","Нет"))</f>
        <v/>
      </c>
      <c r="L2279" s="13">
        <f>IF(OR(I2279="",J2279=""),"Не определено",IF(OR(COUNTIF(I2279,"45*")&gt;0,COUNTIF(J2279,"*45*")&gt;0,COUNTIF(I2279,"46*")&gt;0,COUNTIF(J2279,"*46*")&gt;0,COUNTIF(I2279,"47*")&gt;0,COUNTIF(J2279,"*47*")&gt;0,COUNTIF(I2279,"10*")&gt;0,COUNTIF(J2279,"*10*")&gt;0,COUNTIF(I2279,"11*")&gt;0,COUNTIF(J2279,"*11*")&gt;0,COUNTIF(I2279,"12*")&gt;0,COUNTIF(J2279,"*12*")&gt;0,COUNTIF(I2279,"13*")&gt;0,COUNTIF(J2279,"*13*")&gt;0,COUNTIF(I2279,"14*")&gt;0,COUNTIF(J2279,"*14*")&gt;0,COUNTIF(I2279,"15*")&gt;0,COUNTIF(J2279,"*15*")&gt;0,COUNTIF(I2279,"16*")&gt;0,COUNTIF(J2279,"*16*")&gt;0,COUNTIF(I2279,"17*")&gt;0,COUNTIF(J2279,"*17*")&gt;0,COUNTIF(I2279,"18*")&gt;0,COUNTIF(J2279,"*18*")&gt;0,COUNTIF(I2279,"19*")&gt;0,COUNTIF(J2279,"*19*")&gt;0,COUNTIF(I2279,"20*")&gt;0,COUNTIF(J2279,"*20*")&gt;0,COUNTIF(I2279,"21*")&gt;0,COUNTIF(J2279,"*21*")&gt;0,COUNTIF(I2279,"22*")&gt;0,COUNTIF(J2279,"*22*")&gt;0,COUNTIF(I2279,"23*")&gt;0,COUNTIF(J2279,"*23*")&gt;0,COUNTIF(I2279,"24*")&gt;0,COUNTIF(J2279,"*24*")&gt;0,COUNTIF(I2279,"25*")&gt;0,COUNTIF(J2279,"*25*")&gt;0,COUNTIF(I2279,"26*")&gt;0,COUNTIF(J2279,"*26*")&gt;0,COUNTIF(I2279,"27*")&gt;0,COUNTIF(J2279,"*27*")&gt;0,COUNTIF(I2279,"28*")&gt;0,COUNTIF(J2279,"*28*")&gt;0,COUNTIF(I2279,"29*")&gt;0,COUNTIF(J2279,"*29*")&gt;0,COUNTIF(I2279,"30*")&gt;0,COUNTIF(J2279,"*30*")&gt;0,COUNTIF(I2279,"31*")&gt;0,COUNTIF(J2279,"*31*")&gt;0,COUNTIF(I2279,"32*")&gt;0,COUNTIF(J2279,"*32*")&gt;0,COUNTIF(I2279,"33*")&gt;0,COUNTIF(J2279,"*33*")&gt;0,COUNTIF(I2279,"41*")&gt;0,COUNTIF(J2279,"*41*")&gt;0,COUNTIF(I2279,"42*")&gt;0,COUNTIF(J2279,"*42*")&gt;0,COUNTIF(I2279,"43*")&gt;0,COUNTIF(J2279,"*43*")&gt;0,COUNTIF(I2279,"49*")&gt;0,COUNTIF(J2279,"*49*")&gt;0,COUNTIF(I2279,"52*")&gt;0,COUNTIF(J2279,"*52*")&gt;0,COUNTIF(I2279,"55*")&gt;0,COUNTIF(J2279,"*55*")&gt;0,COUNTIF(I2279,"56*")&gt;0,COUNTIF(J2279,"*56*")&gt;0,COUNTIF(I2279,"68*")&gt;0,COUNTIF(J2279,"*68*")&gt;0,COUNTIF(I2279,"78*")&gt;0,COUNTIF(J2279,"*78*")&gt;0,COUNTIF(I2279,"81*")&gt;0,COUNTIF(J2279,"*81*")&gt;0,COUNTIF(I2279,"82*")&gt;0,COUNTIF(J2279,"*82*")&gt;0,COUNTIF(I2279,"64*")&gt;0,COUNTIF(J2279,"*64*")&gt;0,COUNTIF(I2279,"65*")&gt;0,COUNTIF(J2279,"*65*")&gt;0,COUNTIF(I2279,"66*")&gt;0,COUNTIF(J2279,"*66*")&gt;0,COUNTIF(I2279,"61*")&gt;0,COUNTIF(J2279,"*61*")&gt;0,COUNTIF(I2279,"62*")&gt;0,COUNTIF(J2279,"*62*")&gt;0,COUNTIF(I2279,"63*")&gt;0,COUNTIF(J2279,"*63*")&gt;0,COUNTIF(I2279,"85*")&gt;0,COUNTIF(J2279,"*85*")&gt;0,COUNTIF(I2279,"86*")&gt;0,COUNTIF(J2279,"*86*")&gt;0),"Да","Нет"))</f>
        <v/>
      </c>
      <c r="M2279" s="13">
        <f>IF(OR(G2279="",L2279&lt;&gt;"Да"),"",IF(G2279&lt;=100,"До 100",IF(G2279&lt;=200,"До 200",IF(G2279&lt;=500,"До 500","Отдельное КП"))))</f>
        <v/>
      </c>
      <c r="N2279" s="15">
        <f>IF(OR(G2279="",L2279&lt;&gt;"Да"),"",IF(G2279&lt;=100,33600,IF(G2279&lt;=200,62400,IF(G2279&lt;=500,144000,""))))</f>
        <v/>
      </c>
      <c r="O2279" s="16">
        <f>IF(G2279="","",IF(G2279&lt;=15,"1–15",IF(G2279&lt;=30,"16–30",IF(G2279&lt;=50,"31–50",IF(G2279&lt;=100,"51–100",IF(G2279&lt;=150,"101–150",IF(G2279&lt;=200,"151–200",IF(G2279&lt;=500,"201–500","500+"))))))))</f>
        <v/>
      </c>
      <c r="P2279" s="16" t="inlineStr">
        <is>
          <t>Нет совпадения в предоставленной выгрузке ССЧР</t>
        </is>
      </c>
      <c r="Q2279" s="16" t="n"/>
      <c r="R2279" s="16">
        <f>HYPERLINK("https://checko.ru/search?query=3801001629","Чекко: проверить")</f>
        <v/>
      </c>
      <c r="S2279" t="n">
        <v>0</v>
      </c>
    </row>
    <row r="2280" ht="15" customHeight="1" s="24">
      <c r="A2280" s="13" t="n">
        <v>5000094816</v>
      </c>
      <c r="B2280" s="13" t="inlineStr">
        <is>
          <t>МКОУ СОШ им. М.Х. Кебекова с.п. Озрек</t>
        </is>
      </c>
      <c r="C2280" s="13" t="n">
        <v>707011783</v>
      </c>
      <c r="D2280" s="13" t="n"/>
      <c r="E2280" s="13" t="inlineStr">
        <is>
          <t>Не определён</t>
        </is>
      </c>
      <c r="F2280" s="13" t="inlineStr">
        <is>
          <t>707011783</t>
        </is>
      </c>
      <c r="G2280" s="14" t="n"/>
      <c r="H2280" s="14" t="n"/>
      <c r="I2280" s="14" t="n"/>
      <c r="J2280" s="14" t="n"/>
      <c r="K2280" s="13">
        <f>IF(G2280="","",IF(G2280&gt;=22,"Да","Нет"))</f>
        <v/>
      </c>
      <c r="L2280" s="13">
        <f>IF(OR(I2280="",J2280=""),"Не определено",IF(OR(COUNTIF(I2280,"45*")&gt;0,COUNTIF(J2280,"*45*")&gt;0,COUNTIF(I2280,"46*")&gt;0,COUNTIF(J2280,"*46*")&gt;0,COUNTIF(I2280,"47*")&gt;0,COUNTIF(J2280,"*47*")&gt;0,COUNTIF(I2280,"10*")&gt;0,COUNTIF(J2280,"*10*")&gt;0,COUNTIF(I2280,"11*")&gt;0,COUNTIF(J2280,"*11*")&gt;0,COUNTIF(I2280,"12*")&gt;0,COUNTIF(J2280,"*12*")&gt;0,COUNTIF(I2280,"13*")&gt;0,COUNTIF(J2280,"*13*")&gt;0,COUNTIF(I2280,"14*")&gt;0,COUNTIF(J2280,"*14*")&gt;0,COUNTIF(I2280,"15*")&gt;0,COUNTIF(J2280,"*15*")&gt;0,COUNTIF(I2280,"16*")&gt;0,COUNTIF(J2280,"*16*")&gt;0,COUNTIF(I2280,"17*")&gt;0,COUNTIF(J2280,"*17*")&gt;0,COUNTIF(I2280,"18*")&gt;0,COUNTIF(J2280,"*18*")&gt;0,COUNTIF(I2280,"19*")&gt;0,COUNTIF(J2280,"*19*")&gt;0,COUNTIF(I2280,"20*")&gt;0,COUNTIF(J2280,"*20*")&gt;0,COUNTIF(I2280,"21*")&gt;0,COUNTIF(J2280,"*21*")&gt;0,COUNTIF(I2280,"22*")&gt;0,COUNTIF(J2280,"*22*")&gt;0,COUNTIF(I2280,"23*")&gt;0,COUNTIF(J2280,"*23*")&gt;0,COUNTIF(I2280,"24*")&gt;0,COUNTIF(J2280,"*24*")&gt;0,COUNTIF(I2280,"25*")&gt;0,COUNTIF(J2280,"*25*")&gt;0,COUNTIF(I2280,"26*")&gt;0,COUNTIF(J2280,"*26*")&gt;0,COUNTIF(I2280,"27*")&gt;0,COUNTIF(J2280,"*27*")&gt;0,COUNTIF(I2280,"28*")&gt;0,COUNTIF(J2280,"*28*")&gt;0,COUNTIF(I2280,"29*")&gt;0,COUNTIF(J2280,"*29*")&gt;0,COUNTIF(I2280,"30*")&gt;0,COUNTIF(J2280,"*30*")&gt;0,COUNTIF(I2280,"31*")&gt;0,COUNTIF(J2280,"*31*")&gt;0,COUNTIF(I2280,"32*")&gt;0,COUNTIF(J2280,"*32*")&gt;0,COUNTIF(I2280,"33*")&gt;0,COUNTIF(J2280,"*33*")&gt;0,COUNTIF(I2280,"41*")&gt;0,COUNTIF(J2280,"*41*")&gt;0,COUNTIF(I2280,"42*")&gt;0,COUNTIF(J2280,"*42*")&gt;0,COUNTIF(I2280,"43*")&gt;0,COUNTIF(J2280,"*43*")&gt;0,COUNTIF(I2280,"49*")&gt;0,COUNTIF(J2280,"*49*")&gt;0,COUNTIF(I2280,"52*")&gt;0,COUNTIF(J2280,"*52*")&gt;0,COUNTIF(I2280,"55*")&gt;0,COUNTIF(J2280,"*55*")&gt;0,COUNTIF(I2280,"56*")&gt;0,COUNTIF(J2280,"*56*")&gt;0,COUNTIF(I2280,"68*")&gt;0,COUNTIF(J2280,"*68*")&gt;0,COUNTIF(I2280,"78*")&gt;0,COUNTIF(J2280,"*78*")&gt;0,COUNTIF(I2280,"81*")&gt;0,COUNTIF(J2280,"*81*")&gt;0,COUNTIF(I2280,"82*")&gt;0,COUNTIF(J2280,"*82*")&gt;0,COUNTIF(I2280,"64*")&gt;0,COUNTIF(J2280,"*64*")&gt;0,COUNTIF(I2280,"65*")&gt;0,COUNTIF(J2280,"*65*")&gt;0,COUNTIF(I2280,"66*")&gt;0,COUNTIF(J2280,"*66*")&gt;0,COUNTIF(I2280,"61*")&gt;0,COUNTIF(J2280,"*61*")&gt;0,COUNTIF(I2280,"62*")&gt;0,COUNTIF(J2280,"*62*")&gt;0,COUNTIF(I2280,"63*")&gt;0,COUNTIF(J2280,"*63*")&gt;0,COUNTIF(I2280,"85*")&gt;0,COUNTIF(J2280,"*85*")&gt;0,COUNTIF(I2280,"86*")&gt;0,COUNTIF(J2280,"*86*")&gt;0),"Да","Нет"))</f>
        <v/>
      </c>
      <c r="M2280" s="13">
        <f>IF(OR(G2280="",L2280&lt;&gt;"Да"),"",IF(G2280&lt;=100,"До 100",IF(G2280&lt;=200,"До 200",IF(G2280&lt;=500,"До 500","Отдельное КП"))))</f>
        <v/>
      </c>
      <c r="N2280" s="15">
        <f>IF(OR(G2280="",L2280&lt;&gt;"Да"),"",IF(G2280&lt;=100,33600,IF(G2280&lt;=200,62400,IF(G2280&lt;=500,144000,""))))</f>
        <v/>
      </c>
      <c r="O2280" s="16">
        <f>IF(G2280="","",IF(G2280&lt;=15,"1–15",IF(G2280&lt;=30,"16–30",IF(G2280&lt;=50,"31–50",IF(G2280&lt;=100,"51–100",IF(G2280&lt;=150,"101–150",IF(G2280&lt;=200,"151–200",IF(G2280&lt;=500,"201–500","500+"))))))))</f>
        <v/>
      </c>
      <c r="P2280" s="16" t="inlineStr">
        <is>
          <t>Нет совпадения в предоставленной выгрузке ССЧР</t>
        </is>
      </c>
      <c r="Q2280" s="16" t="n"/>
      <c r="R2280" s="16">
        <f>HYPERLINK("https://checko.ru/search?query=3801001629","Чекко: проверить")</f>
        <v/>
      </c>
      <c r="S2280" t="n">
        <v>0</v>
      </c>
    </row>
    <row r="2281" ht="15" customHeight="1" s="24">
      <c r="A2281" s="13" t="n">
        <v>5000094818</v>
      </c>
      <c r="B2281" s="13" t="inlineStr">
        <is>
          <t>МКУ "Спортивная школа №1"</t>
        </is>
      </c>
      <c r="C2281" s="13" t="n">
        <v>707011864</v>
      </c>
      <c r="D2281" s="13" t="n"/>
      <c r="E2281" s="13" t="inlineStr">
        <is>
          <t>Не определён</t>
        </is>
      </c>
      <c r="F2281" s="13" t="inlineStr">
        <is>
          <t>707011864</t>
        </is>
      </c>
      <c r="G2281" s="14" t="n"/>
      <c r="H2281" s="14" t="n"/>
      <c r="I2281" s="14" t="n"/>
      <c r="J2281" s="14" t="n"/>
      <c r="K2281" s="13">
        <f>IF(G2281="","",IF(G2281&gt;=22,"Да","Нет"))</f>
        <v/>
      </c>
      <c r="L2281" s="13">
        <f>IF(OR(I2281="",J2281=""),"Не определено",IF(OR(COUNTIF(I2281,"45*")&gt;0,COUNTIF(J2281,"*45*")&gt;0,COUNTIF(I2281,"46*")&gt;0,COUNTIF(J2281,"*46*")&gt;0,COUNTIF(I2281,"47*")&gt;0,COUNTIF(J2281,"*47*")&gt;0,COUNTIF(I2281,"10*")&gt;0,COUNTIF(J2281,"*10*")&gt;0,COUNTIF(I2281,"11*")&gt;0,COUNTIF(J2281,"*11*")&gt;0,COUNTIF(I2281,"12*")&gt;0,COUNTIF(J2281,"*12*")&gt;0,COUNTIF(I2281,"13*")&gt;0,COUNTIF(J2281,"*13*")&gt;0,COUNTIF(I2281,"14*")&gt;0,COUNTIF(J2281,"*14*")&gt;0,COUNTIF(I2281,"15*")&gt;0,COUNTIF(J2281,"*15*")&gt;0,COUNTIF(I2281,"16*")&gt;0,COUNTIF(J2281,"*16*")&gt;0,COUNTIF(I2281,"17*")&gt;0,COUNTIF(J2281,"*17*")&gt;0,COUNTIF(I2281,"18*")&gt;0,COUNTIF(J2281,"*18*")&gt;0,COUNTIF(I2281,"19*")&gt;0,COUNTIF(J2281,"*19*")&gt;0,COUNTIF(I2281,"20*")&gt;0,COUNTIF(J2281,"*20*")&gt;0,COUNTIF(I2281,"21*")&gt;0,COUNTIF(J2281,"*21*")&gt;0,COUNTIF(I2281,"22*")&gt;0,COUNTIF(J2281,"*22*")&gt;0,COUNTIF(I2281,"23*")&gt;0,COUNTIF(J2281,"*23*")&gt;0,COUNTIF(I2281,"24*")&gt;0,COUNTIF(J2281,"*24*")&gt;0,COUNTIF(I2281,"25*")&gt;0,COUNTIF(J2281,"*25*")&gt;0,COUNTIF(I2281,"26*")&gt;0,COUNTIF(J2281,"*26*")&gt;0,COUNTIF(I2281,"27*")&gt;0,COUNTIF(J2281,"*27*")&gt;0,COUNTIF(I2281,"28*")&gt;0,COUNTIF(J2281,"*28*")&gt;0,COUNTIF(I2281,"29*")&gt;0,COUNTIF(J2281,"*29*")&gt;0,COUNTIF(I2281,"30*")&gt;0,COUNTIF(J2281,"*30*")&gt;0,COUNTIF(I2281,"31*")&gt;0,COUNTIF(J2281,"*31*")&gt;0,COUNTIF(I2281,"32*")&gt;0,COUNTIF(J2281,"*32*")&gt;0,COUNTIF(I2281,"33*")&gt;0,COUNTIF(J2281,"*33*")&gt;0,COUNTIF(I2281,"41*")&gt;0,COUNTIF(J2281,"*41*")&gt;0,COUNTIF(I2281,"42*")&gt;0,COUNTIF(J2281,"*42*")&gt;0,COUNTIF(I2281,"43*")&gt;0,COUNTIF(J2281,"*43*")&gt;0,COUNTIF(I2281,"49*")&gt;0,COUNTIF(J2281,"*49*")&gt;0,COUNTIF(I2281,"52*")&gt;0,COUNTIF(J2281,"*52*")&gt;0,COUNTIF(I2281,"55*")&gt;0,COUNTIF(J2281,"*55*")&gt;0,COUNTIF(I2281,"56*")&gt;0,COUNTIF(J2281,"*56*")&gt;0,COUNTIF(I2281,"68*")&gt;0,COUNTIF(J2281,"*68*")&gt;0,COUNTIF(I2281,"78*")&gt;0,COUNTIF(J2281,"*78*")&gt;0,COUNTIF(I2281,"81*")&gt;0,COUNTIF(J2281,"*81*")&gt;0,COUNTIF(I2281,"82*")&gt;0,COUNTIF(J2281,"*82*")&gt;0,COUNTIF(I2281,"64*")&gt;0,COUNTIF(J2281,"*64*")&gt;0,COUNTIF(I2281,"65*")&gt;0,COUNTIF(J2281,"*65*")&gt;0,COUNTIF(I2281,"66*")&gt;0,COUNTIF(J2281,"*66*")&gt;0,COUNTIF(I2281,"61*")&gt;0,COUNTIF(J2281,"*61*")&gt;0,COUNTIF(I2281,"62*")&gt;0,COUNTIF(J2281,"*62*")&gt;0,COUNTIF(I2281,"63*")&gt;0,COUNTIF(J2281,"*63*")&gt;0,COUNTIF(I2281,"85*")&gt;0,COUNTIF(J2281,"*85*")&gt;0,COUNTIF(I2281,"86*")&gt;0,COUNTIF(J2281,"*86*")&gt;0),"Да","Нет"))</f>
        <v/>
      </c>
      <c r="M2281" s="13">
        <f>IF(OR(G2281="",L2281&lt;&gt;"Да"),"",IF(G2281&lt;=100,"До 100",IF(G2281&lt;=200,"До 200",IF(G2281&lt;=500,"До 500","Отдельное КП"))))</f>
        <v/>
      </c>
      <c r="N2281" s="15">
        <f>IF(OR(G2281="",L2281&lt;&gt;"Да"),"",IF(G2281&lt;=100,33600,IF(G2281&lt;=200,62400,IF(G2281&lt;=500,144000,""))))</f>
        <v/>
      </c>
      <c r="O2281" s="16">
        <f>IF(G2281="","",IF(G2281&lt;=15,"1–15",IF(G2281&lt;=30,"16–30",IF(G2281&lt;=50,"31–50",IF(G2281&lt;=100,"51–100",IF(G2281&lt;=150,"101–150",IF(G2281&lt;=200,"151–200",IF(G2281&lt;=500,"201–500","500+"))))))))</f>
        <v/>
      </c>
      <c r="P2281" s="16" t="inlineStr">
        <is>
          <t>Нет совпадения в предоставленной выгрузке ССЧР</t>
        </is>
      </c>
      <c r="Q2281" s="16" t="n"/>
      <c r="R2281" s="16">
        <f>HYPERLINK("https://checko.ru/search?query=3801001629","Чекко: проверить")</f>
        <v/>
      </c>
      <c r="S2281" t="n">
        <v>0</v>
      </c>
    </row>
    <row r="2282" ht="15" customHeight="1" s="24">
      <c r="A2282" s="13" t="n">
        <v>5000094819</v>
      </c>
      <c r="B2282" s="13" t="inlineStr">
        <is>
          <t>МКОУ СОШ им.А.Я.Масаева</t>
        </is>
      </c>
      <c r="C2282" s="13" t="n">
        <v>707012000</v>
      </c>
      <c r="D2282" s="13" t="n"/>
      <c r="E2282" s="13" t="inlineStr">
        <is>
          <t>Не определён</t>
        </is>
      </c>
      <c r="F2282" s="13" t="inlineStr">
        <is>
          <t>707012000</t>
        </is>
      </c>
      <c r="G2282" s="14" t="n"/>
      <c r="H2282" s="14" t="n"/>
      <c r="I2282" s="14" t="n"/>
      <c r="J2282" s="14" t="n"/>
      <c r="K2282" s="13">
        <f>IF(G2282="","",IF(G2282&gt;=22,"Да","Нет"))</f>
        <v/>
      </c>
      <c r="L2282" s="13">
        <f>IF(OR(I2282="",J2282=""),"Не определено",IF(OR(COUNTIF(I2282,"45*")&gt;0,COUNTIF(J2282,"*45*")&gt;0,COUNTIF(I2282,"46*")&gt;0,COUNTIF(J2282,"*46*")&gt;0,COUNTIF(I2282,"47*")&gt;0,COUNTIF(J2282,"*47*")&gt;0,COUNTIF(I2282,"10*")&gt;0,COUNTIF(J2282,"*10*")&gt;0,COUNTIF(I2282,"11*")&gt;0,COUNTIF(J2282,"*11*")&gt;0,COUNTIF(I2282,"12*")&gt;0,COUNTIF(J2282,"*12*")&gt;0,COUNTIF(I2282,"13*")&gt;0,COUNTIF(J2282,"*13*")&gt;0,COUNTIF(I2282,"14*")&gt;0,COUNTIF(J2282,"*14*")&gt;0,COUNTIF(I2282,"15*")&gt;0,COUNTIF(J2282,"*15*")&gt;0,COUNTIF(I2282,"16*")&gt;0,COUNTIF(J2282,"*16*")&gt;0,COUNTIF(I2282,"17*")&gt;0,COUNTIF(J2282,"*17*")&gt;0,COUNTIF(I2282,"18*")&gt;0,COUNTIF(J2282,"*18*")&gt;0,COUNTIF(I2282,"19*")&gt;0,COUNTIF(J2282,"*19*")&gt;0,COUNTIF(I2282,"20*")&gt;0,COUNTIF(J2282,"*20*")&gt;0,COUNTIF(I2282,"21*")&gt;0,COUNTIF(J2282,"*21*")&gt;0,COUNTIF(I2282,"22*")&gt;0,COUNTIF(J2282,"*22*")&gt;0,COUNTIF(I2282,"23*")&gt;0,COUNTIF(J2282,"*23*")&gt;0,COUNTIF(I2282,"24*")&gt;0,COUNTIF(J2282,"*24*")&gt;0,COUNTIF(I2282,"25*")&gt;0,COUNTIF(J2282,"*25*")&gt;0,COUNTIF(I2282,"26*")&gt;0,COUNTIF(J2282,"*26*")&gt;0,COUNTIF(I2282,"27*")&gt;0,COUNTIF(J2282,"*27*")&gt;0,COUNTIF(I2282,"28*")&gt;0,COUNTIF(J2282,"*28*")&gt;0,COUNTIF(I2282,"29*")&gt;0,COUNTIF(J2282,"*29*")&gt;0,COUNTIF(I2282,"30*")&gt;0,COUNTIF(J2282,"*30*")&gt;0,COUNTIF(I2282,"31*")&gt;0,COUNTIF(J2282,"*31*")&gt;0,COUNTIF(I2282,"32*")&gt;0,COUNTIF(J2282,"*32*")&gt;0,COUNTIF(I2282,"33*")&gt;0,COUNTIF(J2282,"*33*")&gt;0,COUNTIF(I2282,"41*")&gt;0,COUNTIF(J2282,"*41*")&gt;0,COUNTIF(I2282,"42*")&gt;0,COUNTIF(J2282,"*42*")&gt;0,COUNTIF(I2282,"43*")&gt;0,COUNTIF(J2282,"*43*")&gt;0,COUNTIF(I2282,"49*")&gt;0,COUNTIF(J2282,"*49*")&gt;0,COUNTIF(I2282,"52*")&gt;0,COUNTIF(J2282,"*52*")&gt;0,COUNTIF(I2282,"55*")&gt;0,COUNTIF(J2282,"*55*")&gt;0,COUNTIF(I2282,"56*")&gt;0,COUNTIF(J2282,"*56*")&gt;0,COUNTIF(I2282,"68*")&gt;0,COUNTIF(J2282,"*68*")&gt;0,COUNTIF(I2282,"78*")&gt;0,COUNTIF(J2282,"*78*")&gt;0,COUNTIF(I2282,"81*")&gt;0,COUNTIF(J2282,"*81*")&gt;0,COUNTIF(I2282,"82*")&gt;0,COUNTIF(J2282,"*82*")&gt;0,COUNTIF(I2282,"64*")&gt;0,COUNTIF(J2282,"*64*")&gt;0,COUNTIF(I2282,"65*")&gt;0,COUNTIF(J2282,"*65*")&gt;0,COUNTIF(I2282,"66*")&gt;0,COUNTIF(J2282,"*66*")&gt;0,COUNTIF(I2282,"61*")&gt;0,COUNTIF(J2282,"*61*")&gt;0,COUNTIF(I2282,"62*")&gt;0,COUNTIF(J2282,"*62*")&gt;0,COUNTIF(I2282,"63*")&gt;0,COUNTIF(J2282,"*63*")&gt;0,COUNTIF(I2282,"85*")&gt;0,COUNTIF(J2282,"*85*")&gt;0,COUNTIF(I2282,"86*")&gt;0,COUNTIF(J2282,"*86*")&gt;0),"Да","Нет"))</f>
        <v/>
      </c>
      <c r="M2282" s="13">
        <f>IF(OR(G2282="",L2282&lt;&gt;"Да"),"",IF(G2282&lt;=100,"До 100",IF(G2282&lt;=200,"До 200",IF(G2282&lt;=500,"До 500","Отдельное КП"))))</f>
        <v/>
      </c>
      <c r="N2282" s="15">
        <f>IF(OR(G2282="",L2282&lt;&gt;"Да"),"",IF(G2282&lt;=100,33600,IF(G2282&lt;=200,62400,IF(G2282&lt;=500,144000,""))))</f>
        <v/>
      </c>
      <c r="O2282" s="16">
        <f>IF(G2282="","",IF(G2282&lt;=15,"1–15",IF(G2282&lt;=30,"16–30",IF(G2282&lt;=50,"31–50",IF(G2282&lt;=100,"51–100",IF(G2282&lt;=150,"101–150",IF(G2282&lt;=200,"151–200",IF(G2282&lt;=500,"201–500","500+"))))))))</f>
        <v/>
      </c>
      <c r="P2282" s="16" t="inlineStr">
        <is>
          <t>Нет совпадения в предоставленной выгрузке ССЧР</t>
        </is>
      </c>
      <c r="Q2282" s="16" t="n"/>
      <c r="R2282" s="16">
        <f>HYPERLINK("https://checko.ru/search?query=3801001629","Чекко: проверить")</f>
        <v/>
      </c>
      <c r="S2282" t="n">
        <v>0</v>
      </c>
    </row>
    <row r="2283" ht="15" customHeight="1" s="24">
      <c r="A2283" s="13" t="n">
        <v>5000094820</v>
      </c>
      <c r="B2283" s="13" t="inlineStr">
        <is>
          <t>МКУ "ДК с.п. Озрек"</t>
        </is>
      </c>
      <c r="C2283" s="13" t="n">
        <v>707012071</v>
      </c>
      <c r="D2283" s="13" t="n"/>
      <c r="E2283" s="13" t="inlineStr">
        <is>
          <t>Не определён</t>
        </is>
      </c>
      <c r="F2283" s="13" t="inlineStr">
        <is>
          <t>707012071</t>
        </is>
      </c>
      <c r="G2283" s="14" t="n"/>
      <c r="H2283" s="14" t="n"/>
      <c r="I2283" s="14" t="n"/>
      <c r="J2283" s="14" t="n"/>
      <c r="K2283" s="13">
        <f>IF(G2283="","",IF(G2283&gt;=22,"Да","Нет"))</f>
        <v/>
      </c>
      <c r="L2283" s="13">
        <f>IF(OR(I2283="",J2283=""),"Не определено",IF(OR(COUNTIF(I2283,"45*")&gt;0,COUNTIF(J2283,"*45*")&gt;0,COUNTIF(I2283,"46*")&gt;0,COUNTIF(J2283,"*46*")&gt;0,COUNTIF(I2283,"47*")&gt;0,COUNTIF(J2283,"*47*")&gt;0,COUNTIF(I2283,"10*")&gt;0,COUNTIF(J2283,"*10*")&gt;0,COUNTIF(I2283,"11*")&gt;0,COUNTIF(J2283,"*11*")&gt;0,COUNTIF(I2283,"12*")&gt;0,COUNTIF(J2283,"*12*")&gt;0,COUNTIF(I2283,"13*")&gt;0,COUNTIF(J2283,"*13*")&gt;0,COUNTIF(I2283,"14*")&gt;0,COUNTIF(J2283,"*14*")&gt;0,COUNTIF(I2283,"15*")&gt;0,COUNTIF(J2283,"*15*")&gt;0,COUNTIF(I2283,"16*")&gt;0,COUNTIF(J2283,"*16*")&gt;0,COUNTIF(I2283,"17*")&gt;0,COUNTIF(J2283,"*17*")&gt;0,COUNTIF(I2283,"18*")&gt;0,COUNTIF(J2283,"*18*")&gt;0,COUNTIF(I2283,"19*")&gt;0,COUNTIF(J2283,"*19*")&gt;0,COUNTIF(I2283,"20*")&gt;0,COUNTIF(J2283,"*20*")&gt;0,COUNTIF(I2283,"21*")&gt;0,COUNTIF(J2283,"*21*")&gt;0,COUNTIF(I2283,"22*")&gt;0,COUNTIF(J2283,"*22*")&gt;0,COUNTIF(I2283,"23*")&gt;0,COUNTIF(J2283,"*23*")&gt;0,COUNTIF(I2283,"24*")&gt;0,COUNTIF(J2283,"*24*")&gt;0,COUNTIF(I2283,"25*")&gt;0,COUNTIF(J2283,"*25*")&gt;0,COUNTIF(I2283,"26*")&gt;0,COUNTIF(J2283,"*26*")&gt;0,COUNTIF(I2283,"27*")&gt;0,COUNTIF(J2283,"*27*")&gt;0,COUNTIF(I2283,"28*")&gt;0,COUNTIF(J2283,"*28*")&gt;0,COUNTIF(I2283,"29*")&gt;0,COUNTIF(J2283,"*29*")&gt;0,COUNTIF(I2283,"30*")&gt;0,COUNTIF(J2283,"*30*")&gt;0,COUNTIF(I2283,"31*")&gt;0,COUNTIF(J2283,"*31*")&gt;0,COUNTIF(I2283,"32*")&gt;0,COUNTIF(J2283,"*32*")&gt;0,COUNTIF(I2283,"33*")&gt;0,COUNTIF(J2283,"*33*")&gt;0,COUNTIF(I2283,"41*")&gt;0,COUNTIF(J2283,"*41*")&gt;0,COUNTIF(I2283,"42*")&gt;0,COUNTIF(J2283,"*42*")&gt;0,COUNTIF(I2283,"43*")&gt;0,COUNTIF(J2283,"*43*")&gt;0,COUNTIF(I2283,"49*")&gt;0,COUNTIF(J2283,"*49*")&gt;0,COUNTIF(I2283,"52*")&gt;0,COUNTIF(J2283,"*52*")&gt;0,COUNTIF(I2283,"55*")&gt;0,COUNTIF(J2283,"*55*")&gt;0,COUNTIF(I2283,"56*")&gt;0,COUNTIF(J2283,"*56*")&gt;0,COUNTIF(I2283,"68*")&gt;0,COUNTIF(J2283,"*68*")&gt;0,COUNTIF(I2283,"78*")&gt;0,COUNTIF(J2283,"*78*")&gt;0,COUNTIF(I2283,"81*")&gt;0,COUNTIF(J2283,"*81*")&gt;0,COUNTIF(I2283,"82*")&gt;0,COUNTIF(J2283,"*82*")&gt;0,COUNTIF(I2283,"64*")&gt;0,COUNTIF(J2283,"*64*")&gt;0,COUNTIF(I2283,"65*")&gt;0,COUNTIF(J2283,"*65*")&gt;0,COUNTIF(I2283,"66*")&gt;0,COUNTIF(J2283,"*66*")&gt;0,COUNTIF(I2283,"61*")&gt;0,COUNTIF(J2283,"*61*")&gt;0,COUNTIF(I2283,"62*")&gt;0,COUNTIF(J2283,"*62*")&gt;0,COUNTIF(I2283,"63*")&gt;0,COUNTIF(J2283,"*63*")&gt;0,COUNTIF(I2283,"85*")&gt;0,COUNTIF(J2283,"*85*")&gt;0,COUNTIF(I2283,"86*")&gt;0,COUNTIF(J2283,"*86*")&gt;0),"Да","Нет"))</f>
        <v/>
      </c>
      <c r="M2283" s="13">
        <f>IF(OR(G2283="",L2283&lt;&gt;"Да"),"",IF(G2283&lt;=100,"До 100",IF(G2283&lt;=200,"До 200",IF(G2283&lt;=500,"До 500","Отдельное КП"))))</f>
        <v/>
      </c>
      <c r="N2283" s="15">
        <f>IF(OR(G2283="",L2283&lt;&gt;"Да"),"",IF(G2283&lt;=100,33600,IF(G2283&lt;=200,62400,IF(G2283&lt;=500,144000,""))))</f>
        <v/>
      </c>
      <c r="O2283" s="16">
        <f>IF(G2283="","",IF(G2283&lt;=15,"1–15",IF(G2283&lt;=30,"16–30",IF(G2283&lt;=50,"31–50",IF(G2283&lt;=100,"51–100",IF(G2283&lt;=150,"101–150",IF(G2283&lt;=200,"151–200",IF(G2283&lt;=500,"201–500","500+"))))))))</f>
        <v/>
      </c>
      <c r="P2283" s="16" t="inlineStr">
        <is>
          <t>Нет совпадения в предоставленной выгрузке ССЧР</t>
        </is>
      </c>
      <c r="Q2283" s="16" t="n"/>
      <c r="R2283" s="16">
        <f>HYPERLINK("https://checko.ru/search?query=3801001629","Чекко: проверить")</f>
        <v/>
      </c>
      <c r="S2283" t="n">
        <v>0</v>
      </c>
    </row>
    <row r="2284" ht="15" customHeight="1" s="24">
      <c r="A2284" s="13" t="n">
        <v>5000094821</v>
      </c>
      <c r="B2284" s="13" t="inlineStr">
        <is>
          <t>МКУ "ДК с.п. Аргудан"</t>
        </is>
      </c>
      <c r="C2284" s="13" t="n">
        <v>707012307</v>
      </c>
      <c r="D2284" s="13" t="n"/>
      <c r="E2284" s="13" t="inlineStr">
        <is>
          <t>Не определён</t>
        </is>
      </c>
      <c r="F2284" s="13" t="inlineStr">
        <is>
          <t>707012307</t>
        </is>
      </c>
      <c r="G2284" s="14" t="n"/>
      <c r="H2284" s="14" t="n"/>
      <c r="I2284" s="14" t="n"/>
      <c r="J2284" s="14" t="n"/>
      <c r="K2284" s="13">
        <f>IF(G2284="","",IF(G2284&gt;=22,"Да","Нет"))</f>
        <v/>
      </c>
      <c r="L2284" s="13">
        <f>IF(OR(I2284="",J2284=""),"Не определено",IF(OR(COUNTIF(I2284,"45*")&gt;0,COUNTIF(J2284,"*45*")&gt;0,COUNTIF(I2284,"46*")&gt;0,COUNTIF(J2284,"*46*")&gt;0,COUNTIF(I2284,"47*")&gt;0,COUNTIF(J2284,"*47*")&gt;0,COUNTIF(I2284,"10*")&gt;0,COUNTIF(J2284,"*10*")&gt;0,COUNTIF(I2284,"11*")&gt;0,COUNTIF(J2284,"*11*")&gt;0,COUNTIF(I2284,"12*")&gt;0,COUNTIF(J2284,"*12*")&gt;0,COUNTIF(I2284,"13*")&gt;0,COUNTIF(J2284,"*13*")&gt;0,COUNTIF(I2284,"14*")&gt;0,COUNTIF(J2284,"*14*")&gt;0,COUNTIF(I2284,"15*")&gt;0,COUNTIF(J2284,"*15*")&gt;0,COUNTIF(I2284,"16*")&gt;0,COUNTIF(J2284,"*16*")&gt;0,COUNTIF(I2284,"17*")&gt;0,COUNTIF(J2284,"*17*")&gt;0,COUNTIF(I2284,"18*")&gt;0,COUNTIF(J2284,"*18*")&gt;0,COUNTIF(I2284,"19*")&gt;0,COUNTIF(J2284,"*19*")&gt;0,COUNTIF(I2284,"20*")&gt;0,COUNTIF(J2284,"*20*")&gt;0,COUNTIF(I2284,"21*")&gt;0,COUNTIF(J2284,"*21*")&gt;0,COUNTIF(I2284,"22*")&gt;0,COUNTIF(J2284,"*22*")&gt;0,COUNTIF(I2284,"23*")&gt;0,COUNTIF(J2284,"*23*")&gt;0,COUNTIF(I2284,"24*")&gt;0,COUNTIF(J2284,"*24*")&gt;0,COUNTIF(I2284,"25*")&gt;0,COUNTIF(J2284,"*25*")&gt;0,COUNTIF(I2284,"26*")&gt;0,COUNTIF(J2284,"*26*")&gt;0,COUNTIF(I2284,"27*")&gt;0,COUNTIF(J2284,"*27*")&gt;0,COUNTIF(I2284,"28*")&gt;0,COUNTIF(J2284,"*28*")&gt;0,COUNTIF(I2284,"29*")&gt;0,COUNTIF(J2284,"*29*")&gt;0,COUNTIF(I2284,"30*")&gt;0,COUNTIF(J2284,"*30*")&gt;0,COUNTIF(I2284,"31*")&gt;0,COUNTIF(J2284,"*31*")&gt;0,COUNTIF(I2284,"32*")&gt;0,COUNTIF(J2284,"*32*")&gt;0,COUNTIF(I2284,"33*")&gt;0,COUNTIF(J2284,"*33*")&gt;0,COUNTIF(I2284,"41*")&gt;0,COUNTIF(J2284,"*41*")&gt;0,COUNTIF(I2284,"42*")&gt;0,COUNTIF(J2284,"*42*")&gt;0,COUNTIF(I2284,"43*")&gt;0,COUNTIF(J2284,"*43*")&gt;0,COUNTIF(I2284,"49*")&gt;0,COUNTIF(J2284,"*49*")&gt;0,COUNTIF(I2284,"52*")&gt;0,COUNTIF(J2284,"*52*")&gt;0,COUNTIF(I2284,"55*")&gt;0,COUNTIF(J2284,"*55*")&gt;0,COUNTIF(I2284,"56*")&gt;0,COUNTIF(J2284,"*56*")&gt;0,COUNTIF(I2284,"68*")&gt;0,COUNTIF(J2284,"*68*")&gt;0,COUNTIF(I2284,"78*")&gt;0,COUNTIF(J2284,"*78*")&gt;0,COUNTIF(I2284,"81*")&gt;0,COUNTIF(J2284,"*81*")&gt;0,COUNTIF(I2284,"82*")&gt;0,COUNTIF(J2284,"*82*")&gt;0,COUNTIF(I2284,"64*")&gt;0,COUNTIF(J2284,"*64*")&gt;0,COUNTIF(I2284,"65*")&gt;0,COUNTIF(J2284,"*65*")&gt;0,COUNTIF(I2284,"66*")&gt;0,COUNTIF(J2284,"*66*")&gt;0,COUNTIF(I2284,"61*")&gt;0,COUNTIF(J2284,"*61*")&gt;0,COUNTIF(I2284,"62*")&gt;0,COUNTIF(J2284,"*62*")&gt;0,COUNTIF(I2284,"63*")&gt;0,COUNTIF(J2284,"*63*")&gt;0,COUNTIF(I2284,"85*")&gt;0,COUNTIF(J2284,"*85*")&gt;0,COUNTIF(I2284,"86*")&gt;0,COUNTIF(J2284,"*86*")&gt;0),"Да","Нет"))</f>
        <v/>
      </c>
      <c r="M2284" s="13">
        <f>IF(OR(G2284="",L2284&lt;&gt;"Да"),"",IF(G2284&lt;=100,"До 100",IF(G2284&lt;=200,"До 200",IF(G2284&lt;=500,"До 500","Отдельное КП"))))</f>
        <v/>
      </c>
      <c r="N2284" s="15">
        <f>IF(OR(G2284="",L2284&lt;&gt;"Да"),"",IF(G2284&lt;=100,33600,IF(G2284&lt;=200,62400,IF(G2284&lt;=500,144000,""))))</f>
        <v/>
      </c>
      <c r="O2284" s="16">
        <f>IF(G2284="","",IF(G2284&lt;=15,"1–15",IF(G2284&lt;=30,"16–30",IF(G2284&lt;=50,"31–50",IF(G2284&lt;=100,"51–100",IF(G2284&lt;=150,"101–150",IF(G2284&lt;=200,"151–200",IF(G2284&lt;=500,"201–500","500+"))))))))</f>
        <v/>
      </c>
      <c r="P2284" s="16" t="inlineStr">
        <is>
          <t>Нет совпадения в предоставленной выгрузке ССЧР</t>
        </is>
      </c>
      <c r="Q2284" s="16" t="n"/>
      <c r="R2284" s="16">
        <f>HYPERLINK("https://checko.ru/search?query=3801001629","Чекко: проверить")</f>
        <v/>
      </c>
      <c r="S2284" t="n">
        <v>0</v>
      </c>
    </row>
    <row r="2285" ht="15" customHeight="1" s="24">
      <c r="A2285" s="13" t="n">
        <v>5000094822</v>
      </c>
      <c r="B2285" s="13" t="inlineStr">
        <is>
          <t>МКУ "ДК с.п.Хатуей"</t>
        </is>
      </c>
      <c r="C2285" s="13" t="n">
        <v>707012547</v>
      </c>
      <c r="D2285" s="13" t="n"/>
      <c r="E2285" s="13" t="inlineStr">
        <is>
          <t>Не определён</t>
        </is>
      </c>
      <c r="F2285" s="13" t="inlineStr">
        <is>
          <t>707012547</t>
        </is>
      </c>
      <c r="G2285" s="14" t="n"/>
      <c r="H2285" s="14" t="n"/>
      <c r="I2285" s="14" t="n"/>
      <c r="J2285" s="14" t="n"/>
      <c r="K2285" s="13">
        <f>IF(G2285="","",IF(G2285&gt;=22,"Да","Нет"))</f>
        <v/>
      </c>
      <c r="L2285" s="13">
        <f>IF(OR(I2285="",J2285=""),"Не определено",IF(OR(COUNTIF(I2285,"45*")&gt;0,COUNTIF(J2285,"*45*")&gt;0,COUNTIF(I2285,"46*")&gt;0,COUNTIF(J2285,"*46*")&gt;0,COUNTIF(I2285,"47*")&gt;0,COUNTIF(J2285,"*47*")&gt;0,COUNTIF(I2285,"10*")&gt;0,COUNTIF(J2285,"*10*")&gt;0,COUNTIF(I2285,"11*")&gt;0,COUNTIF(J2285,"*11*")&gt;0,COUNTIF(I2285,"12*")&gt;0,COUNTIF(J2285,"*12*")&gt;0,COUNTIF(I2285,"13*")&gt;0,COUNTIF(J2285,"*13*")&gt;0,COUNTIF(I2285,"14*")&gt;0,COUNTIF(J2285,"*14*")&gt;0,COUNTIF(I2285,"15*")&gt;0,COUNTIF(J2285,"*15*")&gt;0,COUNTIF(I2285,"16*")&gt;0,COUNTIF(J2285,"*16*")&gt;0,COUNTIF(I2285,"17*")&gt;0,COUNTIF(J2285,"*17*")&gt;0,COUNTIF(I2285,"18*")&gt;0,COUNTIF(J2285,"*18*")&gt;0,COUNTIF(I2285,"19*")&gt;0,COUNTIF(J2285,"*19*")&gt;0,COUNTIF(I2285,"20*")&gt;0,COUNTIF(J2285,"*20*")&gt;0,COUNTIF(I2285,"21*")&gt;0,COUNTIF(J2285,"*21*")&gt;0,COUNTIF(I2285,"22*")&gt;0,COUNTIF(J2285,"*22*")&gt;0,COUNTIF(I2285,"23*")&gt;0,COUNTIF(J2285,"*23*")&gt;0,COUNTIF(I2285,"24*")&gt;0,COUNTIF(J2285,"*24*")&gt;0,COUNTIF(I2285,"25*")&gt;0,COUNTIF(J2285,"*25*")&gt;0,COUNTIF(I2285,"26*")&gt;0,COUNTIF(J2285,"*26*")&gt;0,COUNTIF(I2285,"27*")&gt;0,COUNTIF(J2285,"*27*")&gt;0,COUNTIF(I2285,"28*")&gt;0,COUNTIF(J2285,"*28*")&gt;0,COUNTIF(I2285,"29*")&gt;0,COUNTIF(J2285,"*29*")&gt;0,COUNTIF(I2285,"30*")&gt;0,COUNTIF(J2285,"*30*")&gt;0,COUNTIF(I2285,"31*")&gt;0,COUNTIF(J2285,"*31*")&gt;0,COUNTIF(I2285,"32*")&gt;0,COUNTIF(J2285,"*32*")&gt;0,COUNTIF(I2285,"33*")&gt;0,COUNTIF(J2285,"*33*")&gt;0,COUNTIF(I2285,"41*")&gt;0,COUNTIF(J2285,"*41*")&gt;0,COUNTIF(I2285,"42*")&gt;0,COUNTIF(J2285,"*42*")&gt;0,COUNTIF(I2285,"43*")&gt;0,COUNTIF(J2285,"*43*")&gt;0,COUNTIF(I2285,"49*")&gt;0,COUNTIF(J2285,"*49*")&gt;0,COUNTIF(I2285,"52*")&gt;0,COUNTIF(J2285,"*52*")&gt;0,COUNTIF(I2285,"55*")&gt;0,COUNTIF(J2285,"*55*")&gt;0,COUNTIF(I2285,"56*")&gt;0,COUNTIF(J2285,"*56*")&gt;0,COUNTIF(I2285,"68*")&gt;0,COUNTIF(J2285,"*68*")&gt;0,COUNTIF(I2285,"78*")&gt;0,COUNTIF(J2285,"*78*")&gt;0,COUNTIF(I2285,"81*")&gt;0,COUNTIF(J2285,"*81*")&gt;0,COUNTIF(I2285,"82*")&gt;0,COUNTIF(J2285,"*82*")&gt;0,COUNTIF(I2285,"64*")&gt;0,COUNTIF(J2285,"*64*")&gt;0,COUNTIF(I2285,"65*")&gt;0,COUNTIF(J2285,"*65*")&gt;0,COUNTIF(I2285,"66*")&gt;0,COUNTIF(J2285,"*66*")&gt;0,COUNTIF(I2285,"61*")&gt;0,COUNTIF(J2285,"*61*")&gt;0,COUNTIF(I2285,"62*")&gt;0,COUNTIF(J2285,"*62*")&gt;0,COUNTIF(I2285,"63*")&gt;0,COUNTIF(J2285,"*63*")&gt;0,COUNTIF(I2285,"85*")&gt;0,COUNTIF(J2285,"*85*")&gt;0,COUNTIF(I2285,"86*")&gt;0,COUNTIF(J2285,"*86*")&gt;0),"Да","Нет"))</f>
        <v/>
      </c>
      <c r="M2285" s="13">
        <f>IF(OR(G2285="",L2285&lt;&gt;"Да"),"",IF(G2285&lt;=100,"До 100",IF(G2285&lt;=200,"До 200",IF(G2285&lt;=500,"До 500","Отдельное КП"))))</f>
        <v/>
      </c>
      <c r="N2285" s="15">
        <f>IF(OR(G2285="",L2285&lt;&gt;"Да"),"",IF(G2285&lt;=100,33600,IF(G2285&lt;=200,62400,IF(G2285&lt;=500,144000,""))))</f>
        <v/>
      </c>
      <c r="O2285" s="16">
        <f>IF(G2285="","",IF(G2285&lt;=15,"1–15",IF(G2285&lt;=30,"16–30",IF(G2285&lt;=50,"31–50",IF(G2285&lt;=100,"51–100",IF(G2285&lt;=150,"101–150",IF(G2285&lt;=200,"151–200",IF(G2285&lt;=500,"201–500","500+"))))))))</f>
        <v/>
      </c>
      <c r="P2285" s="16" t="inlineStr">
        <is>
          <t>Нет совпадения в предоставленной выгрузке ССЧР</t>
        </is>
      </c>
      <c r="Q2285" s="16" t="n"/>
      <c r="R2285" s="16">
        <f>HYPERLINK("https://checko.ru/search?query=3801001629","Чекко: проверить")</f>
        <v/>
      </c>
      <c r="S2285" t="n">
        <v>0</v>
      </c>
    </row>
    <row r="2286" ht="15" customHeight="1" s="24">
      <c r="A2286" s="13" t="n">
        <v>5000094823</v>
      </c>
      <c r="B2286" s="13" t="inlineStr">
        <is>
          <t>МКУ "ДК с.п.Второй Лескен"</t>
        </is>
      </c>
      <c r="C2286" s="13" t="n">
        <v>707012681</v>
      </c>
      <c r="D2286" s="13" t="n"/>
      <c r="E2286" s="13" t="inlineStr">
        <is>
          <t>Не определён</t>
        </is>
      </c>
      <c r="F2286" s="13" t="inlineStr">
        <is>
          <t>707012681</t>
        </is>
      </c>
      <c r="G2286" s="14" t="n"/>
      <c r="H2286" s="14" t="n"/>
      <c r="I2286" s="14" t="n"/>
      <c r="J2286" s="14" t="n"/>
      <c r="K2286" s="13">
        <f>IF(G2286="","",IF(G2286&gt;=22,"Да","Нет"))</f>
        <v/>
      </c>
      <c r="L2286" s="13">
        <f>IF(OR(I2286="",J2286=""),"Не определено",IF(OR(COUNTIF(I2286,"45*")&gt;0,COUNTIF(J2286,"*45*")&gt;0,COUNTIF(I2286,"46*")&gt;0,COUNTIF(J2286,"*46*")&gt;0,COUNTIF(I2286,"47*")&gt;0,COUNTIF(J2286,"*47*")&gt;0,COUNTIF(I2286,"10*")&gt;0,COUNTIF(J2286,"*10*")&gt;0,COUNTIF(I2286,"11*")&gt;0,COUNTIF(J2286,"*11*")&gt;0,COUNTIF(I2286,"12*")&gt;0,COUNTIF(J2286,"*12*")&gt;0,COUNTIF(I2286,"13*")&gt;0,COUNTIF(J2286,"*13*")&gt;0,COUNTIF(I2286,"14*")&gt;0,COUNTIF(J2286,"*14*")&gt;0,COUNTIF(I2286,"15*")&gt;0,COUNTIF(J2286,"*15*")&gt;0,COUNTIF(I2286,"16*")&gt;0,COUNTIF(J2286,"*16*")&gt;0,COUNTIF(I2286,"17*")&gt;0,COUNTIF(J2286,"*17*")&gt;0,COUNTIF(I2286,"18*")&gt;0,COUNTIF(J2286,"*18*")&gt;0,COUNTIF(I2286,"19*")&gt;0,COUNTIF(J2286,"*19*")&gt;0,COUNTIF(I2286,"20*")&gt;0,COUNTIF(J2286,"*20*")&gt;0,COUNTIF(I2286,"21*")&gt;0,COUNTIF(J2286,"*21*")&gt;0,COUNTIF(I2286,"22*")&gt;0,COUNTIF(J2286,"*22*")&gt;0,COUNTIF(I2286,"23*")&gt;0,COUNTIF(J2286,"*23*")&gt;0,COUNTIF(I2286,"24*")&gt;0,COUNTIF(J2286,"*24*")&gt;0,COUNTIF(I2286,"25*")&gt;0,COUNTIF(J2286,"*25*")&gt;0,COUNTIF(I2286,"26*")&gt;0,COUNTIF(J2286,"*26*")&gt;0,COUNTIF(I2286,"27*")&gt;0,COUNTIF(J2286,"*27*")&gt;0,COUNTIF(I2286,"28*")&gt;0,COUNTIF(J2286,"*28*")&gt;0,COUNTIF(I2286,"29*")&gt;0,COUNTIF(J2286,"*29*")&gt;0,COUNTIF(I2286,"30*")&gt;0,COUNTIF(J2286,"*30*")&gt;0,COUNTIF(I2286,"31*")&gt;0,COUNTIF(J2286,"*31*")&gt;0,COUNTIF(I2286,"32*")&gt;0,COUNTIF(J2286,"*32*")&gt;0,COUNTIF(I2286,"33*")&gt;0,COUNTIF(J2286,"*33*")&gt;0,COUNTIF(I2286,"41*")&gt;0,COUNTIF(J2286,"*41*")&gt;0,COUNTIF(I2286,"42*")&gt;0,COUNTIF(J2286,"*42*")&gt;0,COUNTIF(I2286,"43*")&gt;0,COUNTIF(J2286,"*43*")&gt;0,COUNTIF(I2286,"49*")&gt;0,COUNTIF(J2286,"*49*")&gt;0,COUNTIF(I2286,"52*")&gt;0,COUNTIF(J2286,"*52*")&gt;0,COUNTIF(I2286,"55*")&gt;0,COUNTIF(J2286,"*55*")&gt;0,COUNTIF(I2286,"56*")&gt;0,COUNTIF(J2286,"*56*")&gt;0,COUNTIF(I2286,"68*")&gt;0,COUNTIF(J2286,"*68*")&gt;0,COUNTIF(I2286,"78*")&gt;0,COUNTIF(J2286,"*78*")&gt;0,COUNTIF(I2286,"81*")&gt;0,COUNTIF(J2286,"*81*")&gt;0,COUNTIF(I2286,"82*")&gt;0,COUNTIF(J2286,"*82*")&gt;0,COUNTIF(I2286,"64*")&gt;0,COUNTIF(J2286,"*64*")&gt;0,COUNTIF(I2286,"65*")&gt;0,COUNTIF(J2286,"*65*")&gt;0,COUNTIF(I2286,"66*")&gt;0,COUNTIF(J2286,"*66*")&gt;0,COUNTIF(I2286,"61*")&gt;0,COUNTIF(J2286,"*61*")&gt;0,COUNTIF(I2286,"62*")&gt;0,COUNTIF(J2286,"*62*")&gt;0,COUNTIF(I2286,"63*")&gt;0,COUNTIF(J2286,"*63*")&gt;0,COUNTIF(I2286,"85*")&gt;0,COUNTIF(J2286,"*85*")&gt;0,COUNTIF(I2286,"86*")&gt;0,COUNTIF(J2286,"*86*")&gt;0),"Да","Нет"))</f>
        <v/>
      </c>
      <c r="M2286" s="13">
        <f>IF(OR(G2286="",L2286&lt;&gt;"Да"),"",IF(G2286&lt;=100,"До 100",IF(G2286&lt;=200,"До 200",IF(G2286&lt;=500,"До 500","Отдельное КП"))))</f>
        <v/>
      </c>
      <c r="N2286" s="15">
        <f>IF(OR(G2286="",L2286&lt;&gt;"Да"),"",IF(G2286&lt;=100,33600,IF(G2286&lt;=200,62400,IF(G2286&lt;=500,144000,""))))</f>
        <v/>
      </c>
      <c r="O2286" s="16">
        <f>IF(G2286="","",IF(G2286&lt;=15,"1–15",IF(G2286&lt;=30,"16–30",IF(G2286&lt;=50,"31–50",IF(G2286&lt;=100,"51–100",IF(G2286&lt;=150,"101–150",IF(G2286&lt;=200,"151–200",IF(G2286&lt;=500,"201–500","500+"))))))))</f>
        <v/>
      </c>
      <c r="P2286" s="16" t="inlineStr">
        <is>
          <t>Нет совпадения в предоставленной выгрузке ССЧР</t>
        </is>
      </c>
      <c r="Q2286" s="16" t="n"/>
      <c r="R2286" s="16">
        <f>HYPERLINK("https://checko.ru/search?query=3801001629","Чекко: проверить")</f>
        <v/>
      </c>
      <c r="S2286" t="n">
        <v>0</v>
      </c>
    </row>
    <row r="2287" ht="15" customHeight="1" s="24">
      <c r="A2287" s="13" t="n">
        <v>5000094826</v>
      </c>
      <c r="B2287" s="13" t="inlineStr">
        <is>
          <t>МКДОУ "Детский сад №1" с.п. Урух</t>
        </is>
      </c>
      <c r="C2287" s="13" t="n">
        <v>707012949</v>
      </c>
      <c r="D2287" s="13" t="n"/>
      <c r="E2287" s="13" t="inlineStr">
        <is>
          <t>Не определён</t>
        </is>
      </c>
      <c r="F2287" s="13" t="inlineStr">
        <is>
          <t>707012949</t>
        </is>
      </c>
      <c r="G2287" s="14" t="n"/>
      <c r="H2287" s="14" t="n"/>
      <c r="I2287" s="14" t="n"/>
      <c r="J2287" s="14" t="n"/>
      <c r="K2287" s="13">
        <f>IF(G2287="","",IF(G2287&gt;=22,"Да","Нет"))</f>
        <v/>
      </c>
      <c r="L2287" s="13">
        <f>IF(OR(I2287="",J2287=""),"Не определено",IF(OR(COUNTIF(I2287,"45*")&gt;0,COUNTIF(J2287,"*45*")&gt;0,COUNTIF(I2287,"46*")&gt;0,COUNTIF(J2287,"*46*")&gt;0,COUNTIF(I2287,"47*")&gt;0,COUNTIF(J2287,"*47*")&gt;0,COUNTIF(I2287,"10*")&gt;0,COUNTIF(J2287,"*10*")&gt;0,COUNTIF(I2287,"11*")&gt;0,COUNTIF(J2287,"*11*")&gt;0,COUNTIF(I2287,"12*")&gt;0,COUNTIF(J2287,"*12*")&gt;0,COUNTIF(I2287,"13*")&gt;0,COUNTIF(J2287,"*13*")&gt;0,COUNTIF(I2287,"14*")&gt;0,COUNTIF(J2287,"*14*")&gt;0,COUNTIF(I2287,"15*")&gt;0,COUNTIF(J2287,"*15*")&gt;0,COUNTIF(I2287,"16*")&gt;0,COUNTIF(J2287,"*16*")&gt;0,COUNTIF(I2287,"17*")&gt;0,COUNTIF(J2287,"*17*")&gt;0,COUNTIF(I2287,"18*")&gt;0,COUNTIF(J2287,"*18*")&gt;0,COUNTIF(I2287,"19*")&gt;0,COUNTIF(J2287,"*19*")&gt;0,COUNTIF(I2287,"20*")&gt;0,COUNTIF(J2287,"*20*")&gt;0,COUNTIF(I2287,"21*")&gt;0,COUNTIF(J2287,"*21*")&gt;0,COUNTIF(I2287,"22*")&gt;0,COUNTIF(J2287,"*22*")&gt;0,COUNTIF(I2287,"23*")&gt;0,COUNTIF(J2287,"*23*")&gt;0,COUNTIF(I2287,"24*")&gt;0,COUNTIF(J2287,"*24*")&gt;0,COUNTIF(I2287,"25*")&gt;0,COUNTIF(J2287,"*25*")&gt;0,COUNTIF(I2287,"26*")&gt;0,COUNTIF(J2287,"*26*")&gt;0,COUNTIF(I2287,"27*")&gt;0,COUNTIF(J2287,"*27*")&gt;0,COUNTIF(I2287,"28*")&gt;0,COUNTIF(J2287,"*28*")&gt;0,COUNTIF(I2287,"29*")&gt;0,COUNTIF(J2287,"*29*")&gt;0,COUNTIF(I2287,"30*")&gt;0,COUNTIF(J2287,"*30*")&gt;0,COUNTIF(I2287,"31*")&gt;0,COUNTIF(J2287,"*31*")&gt;0,COUNTIF(I2287,"32*")&gt;0,COUNTIF(J2287,"*32*")&gt;0,COUNTIF(I2287,"33*")&gt;0,COUNTIF(J2287,"*33*")&gt;0,COUNTIF(I2287,"41*")&gt;0,COUNTIF(J2287,"*41*")&gt;0,COUNTIF(I2287,"42*")&gt;0,COUNTIF(J2287,"*42*")&gt;0,COUNTIF(I2287,"43*")&gt;0,COUNTIF(J2287,"*43*")&gt;0,COUNTIF(I2287,"49*")&gt;0,COUNTIF(J2287,"*49*")&gt;0,COUNTIF(I2287,"52*")&gt;0,COUNTIF(J2287,"*52*")&gt;0,COUNTIF(I2287,"55*")&gt;0,COUNTIF(J2287,"*55*")&gt;0,COUNTIF(I2287,"56*")&gt;0,COUNTIF(J2287,"*56*")&gt;0,COUNTIF(I2287,"68*")&gt;0,COUNTIF(J2287,"*68*")&gt;0,COUNTIF(I2287,"78*")&gt;0,COUNTIF(J2287,"*78*")&gt;0,COUNTIF(I2287,"81*")&gt;0,COUNTIF(J2287,"*81*")&gt;0,COUNTIF(I2287,"82*")&gt;0,COUNTIF(J2287,"*82*")&gt;0,COUNTIF(I2287,"64*")&gt;0,COUNTIF(J2287,"*64*")&gt;0,COUNTIF(I2287,"65*")&gt;0,COUNTIF(J2287,"*65*")&gt;0,COUNTIF(I2287,"66*")&gt;0,COUNTIF(J2287,"*66*")&gt;0,COUNTIF(I2287,"61*")&gt;0,COUNTIF(J2287,"*61*")&gt;0,COUNTIF(I2287,"62*")&gt;0,COUNTIF(J2287,"*62*")&gt;0,COUNTIF(I2287,"63*")&gt;0,COUNTIF(J2287,"*63*")&gt;0,COUNTIF(I2287,"85*")&gt;0,COUNTIF(J2287,"*85*")&gt;0,COUNTIF(I2287,"86*")&gt;0,COUNTIF(J2287,"*86*")&gt;0),"Да","Нет"))</f>
        <v/>
      </c>
      <c r="M2287" s="13">
        <f>IF(OR(G2287="",L2287&lt;&gt;"Да"),"",IF(G2287&lt;=100,"До 100",IF(G2287&lt;=200,"До 200",IF(G2287&lt;=500,"До 500","Отдельное КП"))))</f>
        <v/>
      </c>
      <c r="N2287" s="15">
        <f>IF(OR(G2287="",L2287&lt;&gt;"Да"),"",IF(G2287&lt;=100,33600,IF(G2287&lt;=200,62400,IF(G2287&lt;=500,144000,""))))</f>
        <v/>
      </c>
      <c r="O2287" s="16">
        <f>IF(G2287="","",IF(G2287&lt;=15,"1–15",IF(G2287&lt;=30,"16–30",IF(G2287&lt;=50,"31–50",IF(G2287&lt;=100,"51–100",IF(G2287&lt;=150,"101–150",IF(G2287&lt;=200,"151–200",IF(G2287&lt;=500,"201–500","500+"))))))))</f>
        <v/>
      </c>
      <c r="P2287" s="16" t="inlineStr">
        <is>
          <t>Нет совпадения в предоставленной выгрузке ССЧР</t>
        </is>
      </c>
      <c r="Q2287" s="16" t="n"/>
      <c r="R2287" s="16">
        <f>HYPERLINK("https://checko.ru/search?query=3801001629","Чекко: проверить")</f>
        <v/>
      </c>
      <c r="S2287" t="n">
        <v>0</v>
      </c>
    </row>
    <row r="2288" ht="15" customHeight="1" s="24">
      <c r="A2288" s="13" t="n">
        <v>5000094827</v>
      </c>
      <c r="B2288" s="13" t="inlineStr">
        <is>
          <t>МКУ Управление образования</t>
        </is>
      </c>
      <c r="C2288" s="13" t="n">
        <v>707012995</v>
      </c>
      <c r="D2288" s="13" t="n"/>
      <c r="E2288" s="13" t="inlineStr">
        <is>
          <t>Не определён</t>
        </is>
      </c>
      <c r="F2288" s="13" t="inlineStr">
        <is>
          <t>707012995</t>
        </is>
      </c>
      <c r="G2288" s="14" t="n"/>
      <c r="H2288" s="14" t="n"/>
      <c r="I2288" s="14" t="n"/>
      <c r="J2288" s="14" t="n"/>
      <c r="K2288" s="13">
        <f>IF(G2288="","",IF(G2288&gt;=22,"Да","Нет"))</f>
        <v/>
      </c>
      <c r="L2288" s="13">
        <f>IF(OR(I2288="",J2288=""),"Не определено",IF(OR(COUNTIF(I2288,"45*")&gt;0,COUNTIF(J2288,"*45*")&gt;0,COUNTIF(I2288,"46*")&gt;0,COUNTIF(J2288,"*46*")&gt;0,COUNTIF(I2288,"47*")&gt;0,COUNTIF(J2288,"*47*")&gt;0,COUNTIF(I2288,"10*")&gt;0,COUNTIF(J2288,"*10*")&gt;0,COUNTIF(I2288,"11*")&gt;0,COUNTIF(J2288,"*11*")&gt;0,COUNTIF(I2288,"12*")&gt;0,COUNTIF(J2288,"*12*")&gt;0,COUNTIF(I2288,"13*")&gt;0,COUNTIF(J2288,"*13*")&gt;0,COUNTIF(I2288,"14*")&gt;0,COUNTIF(J2288,"*14*")&gt;0,COUNTIF(I2288,"15*")&gt;0,COUNTIF(J2288,"*15*")&gt;0,COUNTIF(I2288,"16*")&gt;0,COUNTIF(J2288,"*16*")&gt;0,COUNTIF(I2288,"17*")&gt;0,COUNTIF(J2288,"*17*")&gt;0,COUNTIF(I2288,"18*")&gt;0,COUNTIF(J2288,"*18*")&gt;0,COUNTIF(I2288,"19*")&gt;0,COUNTIF(J2288,"*19*")&gt;0,COUNTIF(I2288,"20*")&gt;0,COUNTIF(J2288,"*20*")&gt;0,COUNTIF(I2288,"21*")&gt;0,COUNTIF(J2288,"*21*")&gt;0,COUNTIF(I2288,"22*")&gt;0,COUNTIF(J2288,"*22*")&gt;0,COUNTIF(I2288,"23*")&gt;0,COUNTIF(J2288,"*23*")&gt;0,COUNTIF(I2288,"24*")&gt;0,COUNTIF(J2288,"*24*")&gt;0,COUNTIF(I2288,"25*")&gt;0,COUNTIF(J2288,"*25*")&gt;0,COUNTIF(I2288,"26*")&gt;0,COUNTIF(J2288,"*26*")&gt;0,COUNTIF(I2288,"27*")&gt;0,COUNTIF(J2288,"*27*")&gt;0,COUNTIF(I2288,"28*")&gt;0,COUNTIF(J2288,"*28*")&gt;0,COUNTIF(I2288,"29*")&gt;0,COUNTIF(J2288,"*29*")&gt;0,COUNTIF(I2288,"30*")&gt;0,COUNTIF(J2288,"*30*")&gt;0,COUNTIF(I2288,"31*")&gt;0,COUNTIF(J2288,"*31*")&gt;0,COUNTIF(I2288,"32*")&gt;0,COUNTIF(J2288,"*32*")&gt;0,COUNTIF(I2288,"33*")&gt;0,COUNTIF(J2288,"*33*")&gt;0,COUNTIF(I2288,"41*")&gt;0,COUNTIF(J2288,"*41*")&gt;0,COUNTIF(I2288,"42*")&gt;0,COUNTIF(J2288,"*42*")&gt;0,COUNTIF(I2288,"43*")&gt;0,COUNTIF(J2288,"*43*")&gt;0,COUNTIF(I2288,"49*")&gt;0,COUNTIF(J2288,"*49*")&gt;0,COUNTIF(I2288,"52*")&gt;0,COUNTIF(J2288,"*52*")&gt;0,COUNTIF(I2288,"55*")&gt;0,COUNTIF(J2288,"*55*")&gt;0,COUNTIF(I2288,"56*")&gt;0,COUNTIF(J2288,"*56*")&gt;0,COUNTIF(I2288,"68*")&gt;0,COUNTIF(J2288,"*68*")&gt;0,COUNTIF(I2288,"78*")&gt;0,COUNTIF(J2288,"*78*")&gt;0,COUNTIF(I2288,"81*")&gt;0,COUNTIF(J2288,"*81*")&gt;0,COUNTIF(I2288,"82*")&gt;0,COUNTIF(J2288,"*82*")&gt;0,COUNTIF(I2288,"64*")&gt;0,COUNTIF(J2288,"*64*")&gt;0,COUNTIF(I2288,"65*")&gt;0,COUNTIF(J2288,"*65*")&gt;0,COUNTIF(I2288,"66*")&gt;0,COUNTIF(J2288,"*66*")&gt;0,COUNTIF(I2288,"61*")&gt;0,COUNTIF(J2288,"*61*")&gt;0,COUNTIF(I2288,"62*")&gt;0,COUNTIF(J2288,"*62*")&gt;0,COUNTIF(I2288,"63*")&gt;0,COUNTIF(J2288,"*63*")&gt;0,COUNTIF(I2288,"85*")&gt;0,COUNTIF(J2288,"*85*")&gt;0,COUNTIF(I2288,"86*")&gt;0,COUNTIF(J2288,"*86*")&gt;0),"Да","Нет"))</f>
        <v/>
      </c>
      <c r="M2288" s="13">
        <f>IF(OR(G2288="",L2288&lt;&gt;"Да"),"",IF(G2288&lt;=100,"До 100",IF(G2288&lt;=200,"До 200",IF(G2288&lt;=500,"До 500","Отдельное КП"))))</f>
        <v/>
      </c>
      <c r="N2288" s="15">
        <f>IF(OR(G2288="",L2288&lt;&gt;"Да"),"",IF(G2288&lt;=100,33600,IF(G2288&lt;=200,62400,IF(G2288&lt;=500,144000,""))))</f>
        <v/>
      </c>
      <c r="O2288" s="16">
        <f>IF(G2288="","",IF(G2288&lt;=15,"1–15",IF(G2288&lt;=30,"16–30",IF(G2288&lt;=50,"31–50",IF(G2288&lt;=100,"51–100",IF(G2288&lt;=150,"101–150",IF(G2288&lt;=200,"151–200",IF(G2288&lt;=500,"201–500","500+"))))))))</f>
        <v/>
      </c>
      <c r="P2288" s="16" t="inlineStr">
        <is>
          <t>Нет совпадения в предоставленной выгрузке ССЧР</t>
        </is>
      </c>
      <c r="Q2288" s="16" t="n"/>
      <c r="R2288" s="16">
        <f>HYPERLINK("https://checko.ru/search?query=3801001629","Чекко: проверить")</f>
        <v/>
      </c>
      <c r="S2288" t="n">
        <v>0</v>
      </c>
    </row>
    <row r="2289" ht="15" customHeight="1" s="24">
      <c r="A2289" s="13" t="n">
        <v>5000094829</v>
      </c>
      <c r="B2289" s="13" t="inlineStr">
        <is>
          <t>МКУ "Редакция газеты "Лескенская газета"</t>
        </is>
      </c>
      <c r="C2289" s="13" t="n">
        <v>707013156</v>
      </c>
      <c r="D2289" s="13" t="n"/>
      <c r="E2289" s="13" t="inlineStr">
        <is>
          <t>Не определён</t>
        </is>
      </c>
      <c r="F2289" s="13" t="inlineStr">
        <is>
          <t>707013156</t>
        </is>
      </c>
      <c r="G2289" s="14" t="n"/>
      <c r="H2289" s="14" t="n"/>
      <c r="I2289" s="14" t="n"/>
      <c r="J2289" s="14" t="n"/>
      <c r="K2289" s="13">
        <f>IF(G2289="","",IF(G2289&gt;=22,"Да","Нет"))</f>
        <v/>
      </c>
      <c r="L2289" s="13">
        <f>IF(OR(I2289="",J2289=""),"Не определено",IF(OR(COUNTIF(I2289,"45*")&gt;0,COUNTIF(J2289,"*45*")&gt;0,COUNTIF(I2289,"46*")&gt;0,COUNTIF(J2289,"*46*")&gt;0,COUNTIF(I2289,"47*")&gt;0,COUNTIF(J2289,"*47*")&gt;0,COUNTIF(I2289,"10*")&gt;0,COUNTIF(J2289,"*10*")&gt;0,COUNTIF(I2289,"11*")&gt;0,COUNTIF(J2289,"*11*")&gt;0,COUNTIF(I2289,"12*")&gt;0,COUNTIF(J2289,"*12*")&gt;0,COUNTIF(I2289,"13*")&gt;0,COUNTIF(J2289,"*13*")&gt;0,COUNTIF(I2289,"14*")&gt;0,COUNTIF(J2289,"*14*")&gt;0,COUNTIF(I2289,"15*")&gt;0,COUNTIF(J2289,"*15*")&gt;0,COUNTIF(I2289,"16*")&gt;0,COUNTIF(J2289,"*16*")&gt;0,COUNTIF(I2289,"17*")&gt;0,COUNTIF(J2289,"*17*")&gt;0,COUNTIF(I2289,"18*")&gt;0,COUNTIF(J2289,"*18*")&gt;0,COUNTIF(I2289,"19*")&gt;0,COUNTIF(J2289,"*19*")&gt;0,COUNTIF(I2289,"20*")&gt;0,COUNTIF(J2289,"*20*")&gt;0,COUNTIF(I2289,"21*")&gt;0,COUNTIF(J2289,"*21*")&gt;0,COUNTIF(I2289,"22*")&gt;0,COUNTIF(J2289,"*22*")&gt;0,COUNTIF(I2289,"23*")&gt;0,COUNTIF(J2289,"*23*")&gt;0,COUNTIF(I2289,"24*")&gt;0,COUNTIF(J2289,"*24*")&gt;0,COUNTIF(I2289,"25*")&gt;0,COUNTIF(J2289,"*25*")&gt;0,COUNTIF(I2289,"26*")&gt;0,COUNTIF(J2289,"*26*")&gt;0,COUNTIF(I2289,"27*")&gt;0,COUNTIF(J2289,"*27*")&gt;0,COUNTIF(I2289,"28*")&gt;0,COUNTIF(J2289,"*28*")&gt;0,COUNTIF(I2289,"29*")&gt;0,COUNTIF(J2289,"*29*")&gt;0,COUNTIF(I2289,"30*")&gt;0,COUNTIF(J2289,"*30*")&gt;0,COUNTIF(I2289,"31*")&gt;0,COUNTIF(J2289,"*31*")&gt;0,COUNTIF(I2289,"32*")&gt;0,COUNTIF(J2289,"*32*")&gt;0,COUNTIF(I2289,"33*")&gt;0,COUNTIF(J2289,"*33*")&gt;0,COUNTIF(I2289,"41*")&gt;0,COUNTIF(J2289,"*41*")&gt;0,COUNTIF(I2289,"42*")&gt;0,COUNTIF(J2289,"*42*")&gt;0,COUNTIF(I2289,"43*")&gt;0,COUNTIF(J2289,"*43*")&gt;0,COUNTIF(I2289,"49*")&gt;0,COUNTIF(J2289,"*49*")&gt;0,COUNTIF(I2289,"52*")&gt;0,COUNTIF(J2289,"*52*")&gt;0,COUNTIF(I2289,"55*")&gt;0,COUNTIF(J2289,"*55*")&gt;0,COUNTIF(I2289,"56*")&gt;0,COUNTIF(J2289,"*56*")&gt;0,COUNTIF(I2289,"68*")&gt;0,COUNTIF(J2289,"*68*")&gt;0,COUNTIF(I2289,"78*")&gt;0,COUNTIF(J2289,"*78*")&gt;0,COUNTIF(I2289,"81*")&gt;0,COUNTIF(J2289,"*81*")&gt;0,COUNTIF(I2289,"82*")&gt;0,COUNTIF(J2289,"*82*")&gt;0,COUNTIF(I2289,"64*")&gt;0,COUNTIF(J2289,"*64*")&gt;0,COUNTIF(I2289,"65*")&gt;0,COUNTIF(J2289,"*65*")&gt;0,COUNTIF(I2289,"66*")&gt;0,COUNTIF(J2289,"*66*")&gt;0,COUNTIF(I2289,"61*")&gt;0,COUNTIF(J2289,"*61*")&gt;0,COUNTIF(I2289,"62*")&gt;0,COUNTIF(J2289,"*62*")&gt;0,COUNTIF(I2289,"63*")&gt;0,COUNTIF(J2289,"*63*")&gt;0,COUNTIF(I2289,"85*")&gt;0,COUNTIF(J2289,"*85*")&gt;0,COUNTIF(I2289,"86*")&gt;0,COUNTIF(J2289,"*86*")&gt;0),"Да","Нет"))</f>
        <v/>
      </c>
      <c r="M2289" s="13">
        <f>IF(OR(G2289="",L2289&lt;&gt;"Да"),"",IF(G2289&lt;=100,"До 100",IF(G2289&lt;=200,"До 200",IF(G2289&lt;=500,"До 500","Отдельное КП"))))</f>
        <v/>
      </c>
      <c r="N2289" s="15">
        <f>IF(OR(G2289="",L2289&lt;&gt;"Да"),"",IF(G2289&lt;=100,33600,IF(G2289&lt;=200,62400,IF(G2289&lt;=500,144000,""))))</f>
        <v/>
      </c>
      <c r="O2289" s="16">
        <f>IF(G2289="","",IF(G2289&lt;=15,"1–15",IF(G2289&lt;=30,"16–30",IF(G2289&lt;=50,"31–50",IF(G2289&lt;=100,"51–100",IF(G2289&lt;=150,"101–150",IF(G2289&lt;=200,"151–200",IF(G2289&lt;=500,"201–500","500+"))))))))</f>
        <v/>
      </c>
      <c r="P2289" s="16" t="inlineStr">
        <is>
          <t>Нет совпадения в предоставленной выгрузке ССЧР</t>
        </is>
      </c>
      <c r="Q2289" s="16" t="n"/>
      <c r="R2289" s="16">
        <f>HYPERLINK("https://checko.ru/search?query=3801001629","Чекко: проверить")</f>
        <v/>
      </c>
      <c r="S2289" t="n">
        <v>0</v>
      </c>
    </row>
    <row r="2290" ht="15" customHeight="1" s="24">
      <c r="A2290" s="13" t="n">
        <v>5000094852</v>
      </c>
      <c r="B2290" s="13" t="inlineStr">
        <is>
          <t>МКОУ СОШ им. Гижгиева З.И. с.п. Хушто-Сырт</t>
        </is>
      </c>
      <c r="C2290" s="13" t="n">
        <v>708003898</v>
      </c>
      <c r="D2290" s="13" t="n"/>
      <c r="E2290" s="13" t="inlineStr">
        <is>
          <t>Не определён</t>
        </is>
      </c>
      <c r="F2290" s="13" t="inlineStr">
        <is>
          <t>708003898</t>
        </is>
      </c>
      <c r="G2290" s="14" t="n"/>
      <c r="H2290" s="14" t="n"/>
      <c r="I2290" s="14" t="n"/>
      <c r="J2290" s="14" t="n"/>
      <c r="K2290" s="13">
        <f>IF(G2290="","",IF(G2290&gt;=22,"Да","Нет"))</f>
        <v/>
      </c>
      <c r="L2290" s="13">
        <f>IF(OR(I2290="",J2290=""),"Не определено",IF(OR(COUNTIF(I2290,"45*")&gt;0,COUNTIF(J2290,"*45*")&gt;0,COUNTIF(I2290,"46*")&gt;0,COUNTIF(J2290,"*46*")&gt;0,COUNTIF(I2290,"47*")&gt;0,COUNTIF(J2290,"*47*")&gt;0,COUNTIF(I2290,"10*")&gt;0,COUNTIF(J2290,"*10*")&gt;0,COUNTIF(I2290,"11*")&gt;0,COUNTIF(J2290,"*11*")&gt;0,COUNTIF(I2290,"12*")&gt;0,COUNTIF(J2290,"*12*")&gt;0,COUNTIF(I2290,"13*")&gt;0,COUNTIF(J2290,"*13*")&gt;0,COUNTIF(I2290,"14*")&gt;0,COUNTIF(J2290,"*14*")&gt;0,COUNTIF(I2290,"15*")&gt;0,COUNTIF(J2290,"*15*")&gt;0,COUNTIF(I2290,"16*")&gt;0,COUNTIF(J2290,"*16*")&gt;0,COUNTIF(I2290,"17*")&gt;0,COUNTIF(J2290,"*17*")&gt;0,COUNTIF(I2290,"18*")&gt;0,COUNTIF(J2290,"*18*")&gt;0,COUNTIF(I2290,"19*")&gt;0,COUNTIF(J2290,"*19*")&gt;0,COUNTIF(I2290,"20*")&gt;0,COUNTIF(J2290,"*20*")&gt;0,COUNTIF(I2290,"21*")&gt;0,COUNTIF(J2290,"*21*")&gt;0,COUNTIF(I2290,"22*")&gt;0,COUNTIF(J2290,"*22*")&gt;0,COUNTIF(I2290,"23*")&gt;0,COUNTIF(J2290,"*23*")&gt;0,COUNTIF(I2290,"24*")&gt;0,COUNTIF(J2290,"*24*")&gt;0,COUNTIF(I2290,"25*")&gt;0,COUNTIF(J2290,"*25*")&gt;0,COUNTIF(I2290,"26*")&gt;0,COUNTIF(J2290,"*26*")&gt;0,COUNTIF(I2290,"27*")&gt;0,COUNTIF(J2290,"*27*")&gt;0,COUNTIF(I2290,"28*")&gt;0,COUNTIF(J2290,"*28*")&gt;0,COUNTIF(I2290,"29*")&gt;0,COUNTIF(J2290,"*29*")&gt;0,COUNTIF(I2290,"30*")&gt;0,COUNTIF(J2290,"*30*")&gt;0,COUNTIF(I2290,"31*")&gt;0,COUNTIF(J2290,"*31*")&gt;0,COUNTIF(I2290,"32*")&gt;0,COUNTIF(J2290,"*32*")&gt;0,COUNTIF(I2290,"33*")&gt;0,COUNTIF(J2290,"*33*")&gt;0,COUNTIF(I2290,"41*")&gt;0,COUNTIF(J2290,"*41*")&gt;0,COUNTIF(I2290,"42*")&gt;0,COUNTIF(J2290,"*42*")&gt;0,COUNTIF(I2290,"43*")&gt;0,COUNTIF(J2290,"*43*")&gt;0,COUNTIF(I2290,"49*")&gt;0,COUNTIF(J2290,"*49*")&gt;0,COUNTIF(I2290,"52*")&gt;0,COUNTIF(J2290,"*52*")&gt;0,COUNTIF(I2290,"55*")&gt;0,COUNTIF(J2290,"*55*")&gt;0,COUNTIF(I2290,"56*")&gt;0,COUNTIF(J2290,"*56*")&gt;0,COUNTIF(I2290,"68*")&gt;0,COUNTIF(J2290,"*68*")&gt;0,COUNTIF(I2290,"78*")&gt;0,COUNTIF(J2290,"*78*")&gt;0,COUNTIF(I2290,"81*")&gt;0,COUNTIF(J2290,"*81*")&gt;0,COUNTIF(I2290,"82*")&gt;0,COUNTIF(J2290,"*82*")&gt;0,COUNTIF(I2290,"64*")&gt;0,COUNTIF(J2290,"*64*")&gt;0,COUNTIF(I2290,"65*")&gt;0,COUNTIF(J2290,"*65*")&gt;0,COUNTIF(I2290,"66*")&gt;0,COUNTIF(J2290,"*66*")&gt;0,COUNTIF(I2290,"61*")&gt;0,COUNTIF(J2290,"*61*")&gt;0,COUNTIF(I2290,"62*")&gt;0,COUNTIF(J2290,"*62*")&gt;0,COUNTIF(I2290,"63*")&gt;0,COUNTIF(J2290,"*63*")&gt;0,COUNTIF(I2290,"85*")&gt;0,COUNTIF(J2290,"*85*")&gt;0,COUNTIF(I2290,"86*")&gt;0,COUNTIF(J2290,"*86*")&gt;0),"Да","Нет"))</f>
        <v/>
      </c>
      <c r="M2290" s="13">
        <f>IF(OR(G2290="",L2290&lt;&gt;"Да"),"",IF(G2290&lt;=100,"До 100",IF(G2290&lt;=200,"До 200",IF(G2290&lt;=500,"До 500","Отдельное КП"))))</f>
        <v/>
      </c>
      <c r="N2290" s="15">
        <f>IF(OR(G2290="",L2290&lt;&gt;"Да"),"",IF(G2290&lt;=100,33600,IF(G2290&lt;=200,62400,IF(G2290&lt;=500,144000,""))))</f>
        <v/>
      </c>
      <c r="O2290" s="16">
        <f>IF(G2290="","",IF(G2290&lt;=15,"1–15",IF(G2290&lt;=30,"16–30",IF(G2290&lt;=50,"31–50",IF(G2290&lt;=100,"51–100",IF(G2290&lt;=150,"101–150",IF(G2290&lt;=200,"151–200",IF(G2290&lt;=500,"201–500","500+"))))))))</f>
        <v/>
      </c>
      <c r="P2290" s="16" t="inlineStr">
        <is>
          <t>Нет совпадения в предоставленной выгрузке ССЧР</t>
        </is>
      </c>
      <c r="Q2290" s="16" t="n"/>
      <c r="R2290" s="16">
        <f>HYPERLINK("https://checko.ru/search?query=3801001629","Чекко: проверить")</f>
        <v/>
      </c>
      <c r="S2290" t="n">
        <v>0</v>
      </c>
    </row>
    <row r="2291" ht="15" customHeight="1" s="24">
      <c r="A2291" s="13" t="n">
        <v>5000094853</v>
      </c>
      <c r="B2291" s="13" t="inlineStr">
        <is>
          <t>МКОУ СОШ №1 с.п.Нартан</t>
        </is>
      </c>
      <c r="C2291" s="13" t="n">
        <v>708004080</v>
      </c>
      <c r="D2291" s="13" t="n"/>
      <c r="E2291" s="13" t="inlineStr">
        <is>
          <t>Не определён</t>
        </is>
      </c>
      <c r="F2291" s="13" t="inlineStr">
        <is>
          <t>708004080</t>
        </is>
      </c>
      <c r="G2291" s="14" t="n"/>
      <c r="H2291" s="14" t="n"/>
      <c r="I2291" s="14" t="n"/>
      <c r="J2291" s="14" t="n"/>
      <c r="K2291" s="13">
        <f>IF(G2291="","",IF(G2291&gt;=22,"Да","Нет"))</f>
        <v/>
      </c>
      <c r="L2291" s="13">
        <f>IF(OR(I2291="",J2291=""),"Не определено",IF(OR(COUNTIF(I2291,"45*")&gt;0,COUNTIF(J2291,"*45*")&gt;0,COUNTIF(I2291,"46*")&gt;0,COUNTIF(J2291,"*46*")&gt;0,COUNTIF(I2291,"47*")&gt;0,COUNTIF(J2291,"*47*")&gt;0,COUNTIF(I2291,"10*")&gt;0,COUNTIF(J2291,"*10*")&gt;0,COUNTIF(I2291,"11*")&gt;0,COUNTIF(J2291,"*11*")&gt;0,COUNTIF(I2291,"12*")&gt;0,COUNTIF(J2291,"*12*")&gt;0,COUNTIF(I2291,"13*")&gt;0,COUNTIF(J2291,"*13*")&gt;0,COUNTIF(I2291,"14*")&gt;0,COUNTIF(J2291,"*14*")&gt;0,COUNTIF(I2291,"15*")&gt;0,COUNTIF(J2291,"*15*")&gt;0,COUNTIF(I2291,"16*")&gt;0,COUNTIF(J2291,"*16*")&gt;0,COUNTIF(I2291,"17*")&gt;0,COUNTIF(J2291,"*17*")&gt;0,COUNTIF(I2291,"18*")&gt;0,COUNTIF(J2291,"*18*")&gt;0,COUNTIF(I2291,"19*")&gt;0,COUNTIF(J2291,"*19*")&gt;0,COUNTIF(I2291,"20*")&gt;0,COUNTIF(J2291,"*20*")&gt;0,COUNTIF(I2291,"21*")&gt;0,COUNTIF(J2291,"*21*")&gt;0,COUNTIF(I2291,"22*")&gt;0,COUNTIF(J2291,"*22*")&gt;0,COUNTIF(I2291,"23*")&gt;0,COUNTIF(J2291,"*23*")&gt;0,COUNTIF(I2291,"24*")&gt;0,COUNTIF(J2291,"*24*")&gt;0,COUNTIF(I2291,"25*")&gt;0,COUNTIF(J2291,"*25*")&gt;0,COUNTIF(I2291,"26*")&gt;0,COUNTIF(J2291,"*26*")&gt;0,COUNTIF(I2291,"27*")&gt;0,COUNTIF(J2291,"*27*")&gt;0,COUNTIF(I2291,"28*")&gt;0,COUNTIF(J2291,"*28*")&gt;0,COUNTIF(I2291,"29*")&gt;0,COUNTIF(J2291,"*29*")&gt;0,COUNTIF(I2291,"30*")&gt;0,COUNTIF(J2291,"*30*")&gt;0,COUNTIF(I2291,"31*")&gt;0,COUNTIF(J2291,"*31*")&gt;0,COUNTIF(I2291,"32*")&gt;0,COUNTIF(J2291,"*32*")&gt;0,COUNTIF(I2291,"33*")&gt;0,COUNTIF(J2291,"*33*")&gt;0,COUNTIF(I2291,"41*")&gt;0,COUNTIF(J2291,"*41*")&gt;0,COUNTIF(I2291,"42*")&gt;0,COUNTIF(J2291,"*42*")&gt;0,COUNTIF(I2291,"43*")&gt;0,COUNTIF(J2291,"*43*")&gt;0,COUNTIF(I2291,"49*")&gt;0,COUNTIF(J2291,"*49*")&gt;0,COUNTIF(I2291,"52*")&gt;0,COUNTIF(J2291,"*52*")&gt;0,COUNTIF(I2291,"55*")&gt;0,COUNTIF(J2291,"*55*")&gt;0,COUNTIF(I2291,"56*")&gt;0,COUNTIF(J2291,"*56*")&gt;0,COUNTIF(I2291,"68*")&gt;0,COUNTIF(J2291,"*68*")&gt;0,COUNTIF(I2291,"78*")&gt;0,COUNTIF(J2291,"*78*")&gt;0,COUNTIF(I2291,"81*")&gt;0,COUNTIF(J2291,"*81*")&gt;0,COUNTIF(I2291,"82*")&gt;0,COUNTIF(J2291,"*82*")&gt;0,COUNTIF(I2291,"64*")&gt;0,COUNTIF(J2291,"*64*")&gt;0,COUNTIF(I2291,"65*")&gt;0,COUNTIF(J2291,"*65*")&gt;0,COUNTIF(I2291,"66*")&gt;0,COUNTIF(J2291,"*66*")&gt;0,COUNTIF(I2291,"61*")&gt;0,COUNTIF(J2291,"*61*")&gt;0,COUNTIF(I2291,"62*")&gt;0,COUNTIF(J2291,"*62*")&gt;0,COUNTIF(I2291,"63*")&gt;0,COUNTIF(J2291,"*63*")&gt;0,COUNTIF(I2291,"85*")&gt;0,COUNTIF(J2291,"*85*")&gt;0,COUNTIF(I2291,"86*")&gt;0,COUNTIF(J2291,"*86*")&gt;0),"Да","Нет"))</f>
        <v/>
      </c>
      <c r="M2291" s="13">
        <f>IF(OR(G2291="",L2291&lt;&gt;"Да"),"",IF(G2291&lt;=100,"До 100",IF(G2291&lt;=200,"До 200",IF(G2291&lt;=500,"До 500","Отдельное КП"))))</f>
        <v/>
      </c>
      <c r="N2291" s="15">
        <f>IF(OR(G2291="",L2291&lt;&gt;"Да"),"",IF(G2291&lt;=100,33600,IF(G2291&lt;=200,62400,IF(G2291&lt;=500,144000,""))))</f>
        <v/>
      </c>
      <c r="O2291" s="16">
        <f>IF(G2291="","",IF(G2291&lt;=15,"1–15",IF(G2291&lt;=30,"16–30",IF(G2291&lt;=50,"31–50",IF(G2291&lt;=100,"51–100",IF(G2291&lt;=150,"101–150",IF(G2291&lt;=200,"151–200",IF(G2291&lt;=500,"201–500","500+"))))))))</f>
        <v/>
      </c>
      <c r="P2291" s="16" t="inlineStr">
        <is>
          <t>Нет совпадения в предоставленной выгрузке ССЧР</t>
        </is>
      </c>
      <c r="Q2291" s="16" t="n"/>
      <c r="R2291" s="16">
        <f>HYPERLINK("https://checko.ru/search?query=3801001629","Чекко: проверить")</f>
        <v/>
      </c>
      <c r="S2291" t="n">
        <v>0</v>
      </c>
    </row>
    <row r="2292" ht="15" customHeight="1" s="24">
      <c r="A2292" s="13" t="n">
        <v>5000094854</v>
      </c>
      <c r="B2292" s="13" t="inlineStr">
        <is>
          <t>Местная Администрация с.п.Чегем Второй</t>
        </is>
      </c>
      <c r="C2292" s="13" t="n">
        <v>708004228</v>
      </c>
      <c r="D2292" s="13" t="n"/>
      <c r="E2292" s="13" t="inlineStr">
        <is>
          <t>Не определён</t>
        </is>
      </c>
      <c r="F2292" s="13" t="inlineStr">
        <is>
          <t>708004228</t>
        </is>
      </c>
      <c r="G2292" s="14" t="n"/>
      <c r="H2292" s="14" t="n"/>
      <c r="I2292" s="14" t="n"/>
      <c r="J2292" s="14" t="n"/>
      <c r="K2292" s="13">
        <f>IF(G2292="","",IF(G2292&gt;=22,"Да","Нет"))</f>
        <v/>
      </c>
      <c r="L2292" s="13">
        <f>IF(OR(I2292="",J2292=""),"Не определено",IF(OR(COUNTIF(I2292,"45*")&gt;0,COUNTIF(J2292,"*45*")&gt;0,COUNTIF(I2292,"46*")&gt;0,COUNTIF(J2292,"*46*")&gt;0,COUNTIF(I2292,"47*")&gt;0,COUNTIF(J2292,"*47*")&gt;0,COUNTIF(I2292,"10*")&gt;0,COUNTIF(J2292,"*10*")&gt;0,COUNTIF(I2292,"11*")&gt;0,COUNTIF(J2292,"*11*")&gt;0,COUNTIF(I2292,"12*")&gt;0,COUNTIF(J2292,"*12*")&gt;0,COUNTIF(I2292,"13*")&gt;0,COUNTIF(J2292,"*13*")&gt;0,COUNTIF(I2292,"14*")&gt;0,COUNTIF(J2292,"*14*")&gt;0,COUNTIF(I2292,"15*")&gt;0,COUNTIF(J2292,"*15*")&gt;0,COUNTIF(I2292,"16*")&gt;0,COUNTIF(J2292,"*16*")&gt;0,COUNTIF(I2292,"17*")&gt;0,COUNTIF(J2292,"*17*")&gt;0,COUNTIF(I2292,"18*")&gt;0,COUNTIF(J2292,"*18*")&gt;0,COUNTIF(I2292,"19*")&gt;0,COUNTIF(J2292,"*19*")&gt;0,COUNTIF(I2292,"20*")&gt;0,COUNTIF(J2292,"*20*")&gt;0,COUNTIF(I2292,"21*")&gt;0,COUNTIF(J2292,"*21*")&gt;0,COUNTIF(I2292,"22*")&gt;0,COUNTIF(J2292,"*22*")&gt;0,COUNTIF(I2292,"23*")&gt;0,COUNTIF(J2292,"*23*")&gt;0,COUNTIF(I2292,"24*")&gt;0,COUNTIF(J2292,"*24*")&gt;0,COUNTIF(I2292,"25*")&gt;0,COUNTIF(J2292,"*25*")&gt;0,COUNTIF(I2292,"26*")&gt;0,COUNTIF(J2292,"*26*")&gt;0,COUNTIF(I2292,"27*")&gt;0,COUNTIF(J2292,"*27*")&gt;0,COUNTIF(I2292,"28*")&gt;0,COUNTIF(J2292,"*28*")&gt;0,COUNTIF(I2292,"29*")&gt;0,COUNTIF(J2292,"*29*")&gt;0,COUNTIF(I2292,"30*")&gt;0,COUNTIF(J2292,"*30*")&gt;0,COUNTIF(I2292,"31*")&gt;0,COUNTIF(J2292,"*31*")&gt;0,COUNTIF(I2292,"32*")&gt;0,COUNTIF(J2292,"*32*")&gt;0,COUNTIF(I2292,"33*")&gt;0,COUNTIF(J2292,"*33*")&gt;0,COUNTIF(I2292,"41*")&gt;0,COUNTIF(J2292,"*41*")&gt;0,COUNTIF(I2292,"42*")&gt;0,COUNTIF(J2292,"*42*")&gt;0,COUNTIF(I2292,"43*")&gt;0,COUNTIF(J2292,"*43*")&gt;0,COUNTIF(I2292,"49*")&gt;0,COUNTIF(J2292,"*49*")&gt;0,COUNTIF(I2292,"52*")&gt;0,COUNTIF(J2292,"*52*")&gt;0,COUNTIF(I2292,"55*")&gt;0,COUNTIF(J2292,"*55*")&gt;0,COUNTIF(I2292,"56*")&gt;0,COUNTIF(J2292,"*56*")&gt;0,COUNTIF(I2292,"68*")&gt;0,COUNTIF(J2292,"*68*")&gt;0,COUNTIF(I2292,"78*")&gt;0,COUNTIF(J2292,"*78*")&gt;0,COUNTIF(I2292,"81*")&gt;0,COUNTIF(J2292,"*81*")&gt;0,COUNTIF(I2292,"82*")&gt;0,COUNTIF(J2292,"*82*")&gt;0,COUNTIF(I2292,"64*")&gt;0,COUNTIF(J2292,"*64*")&gt;0,COUNTIF(I2292,"65*")&gt;0,COUNTIF(J2292,"*65*")&gt;0,COUNTIF(I2292,"66*")&gt;0,COUNTIF(J2292,"*66*")&gt;0,COUNTIF(I2292,"61*")&gt;0,COUNTIF(J2292,"*61*")&gt;0,COUNTIF(I2292,"62*")&gt;0,COUNTIF(J2292,"*62*")&gt;0,COUNTIF(I2292,"63*")&gt;0,COUNTIF(J2292,"*63*")&gt;0,COUNTIF(I2292,"85*")&gt;0,COUNTIF(J2292,"*85*")&gt;0,COUNTIF(I2292,"86*")&gt;0,COUNTIF(J2292,"*86*")&gt;0),"Да","Нет"))</f>
        <v/>
      </c>
      <c r="M2292" s="13">
        <f>IF(OR(G2292="",L2292&lt;&gt;"Да"),"",IF(G2292&lt;=100,"До 100",IF(G2292&lt;=200,"До 200",IF(G2292&lt;=500,"До 500","Отдельное КП"))))</f>
        <v/>
      </c>
      <c r="N2292" s="15">
        <f>IF(OR(G2292="",L2292&lt;&gt;"Да"),"",IF(G2292&lt;=100,33600,IF(G2292&lt;=200,62400,IF(G2292&lt;=500,144000,""))))</f>
        <v/>
      </c>
      <c r="O2292" s="16">
        <f>IF(G2292="","",IF(G2292&lt;=15,"1–15",IF(G2292&lt;=30,"16–30",IF(G2292&lt;=50,"31–50",IF(G2292&lt;=100,"51–100",IF(G2292&lt;=150,"101–150",IF(G2292&lt;=200,"151–200",IF(G2292&lt;=500,"201–500","500+"))))))))</f>
        <v/>
      </c>
      <c r="P2292" s="16" t="inlineStr">
        <is>
          <t>Нет совпадения в предоставленной выгрузке ССЧР</t>
        </is>
      </c>
      <c r="Q2292" s="16" t="n"/>
      <c r="R2292" s="16">
        <f>HYPERLINK("https://checko.ru/search?query=3801001629","Чекко: проверить")</f>
        <v/>
      </c>
      <c r="S2292" t="n">
        <v>0</v>
      </c>
    </row>
    <row r="2293" ht="15" customHeight="1" s="24">
      <c r="A2293" s="13" t="n">
        <v>5000094855</v>
      </c>
      <c r="B2293" s="13" t="inlineStr">
        <is>
          <t>МКОУ СОШ №2 с.п. Чегем Второй</t>
        </is>
      </c>
      <c r="C2293" s="13" t="n">
        <v>708004299</v>
      </c>
      <c r="D2293" s="13" t="n"/>
      <c r="E2293" s="13" t="inlineStr">
        <is>
          <t>Не определён</t>
        </is>
      </c>
      <c r="F2293" s="13" t="inlineStr">
        <is>
          <t>708004299</t>
        </is>
      </c>
      <c r="G2293" s="14" t="n"/>
      <c r="H2293" s="14" t="n"/>
      <c r="I2293" s="14" t="n"/>
      <c r="J2293" s="14" t="n"/>
      <c r="K2293" s="13">
        <f>IF(G2293="","",IF(G2293&gt;=22,"Да","Нет"))</f>
        <v/>
      </c>
      <c r="L2293" s="13">
        <f>IF(OR(I2293="",J2293=""),"Не определено",IF(OR(COUNTIF(I2293,"45*")&gt;0,COUNTIF(J2293,"*45*")&gt;0,COUNTIF(I2293,"46*")&gt;0,COUNTIF(J2293,"*46*")&gt;0,COUNTIF(I2293,"47*")&gt;0,COUNTIF(J2293,"*47*")&gt;0,COUNTIF(I2293,"10*")&gt;0,COUNTIF(J2293,"*10*")&gt;0,COUNTIF(I2293,"11*")&gt;0,COUNTIF(J2293,"*11*")&gt;0,COUNTIF(I2293,"12*")&gt;0,COUNTIF(J2293,"*12*")&gt;0,COUNTIF(I2293,"13*")&gt;0,COUNTIF(J2293,"*13*")&gt;0,COUNTIF(I2293,"14*")&gt;0,COUNTIF(J2293,"*14*")&gt;0,COUNTIF(I2293,"15*")&gt;0,COUNTIF(J2293,"*15*")&gt;0,COUNTIF(I2293,"16*")&gt;0,COUNTIF(J2293,"*16*")&gt;0,COUNTIF(I2293,"17*")&gt;0,COUNTIF(J2293,"*17*")&gt;0,COUNTIF(I2293,"18*")&gt;0,COUNTIF(J2293,"*18*")&gt;0,COUNTIF(I2293,"19*")&gt;0,COUNTIF(J2293,"*19*")&gt;0,COUNTIF(I2293,"20*")&gt;0,COUNTIF(J2293,"*20*")&gt;0,COUNTIF(I2293,"21*")&gt;0,COUNTIF(J2293,"*21*")&gt;0,COUNTIF(I2293,"22*")&gt;0,COUNTIF(J2293,"*22*")&gt;0,COUNTIF(I2293,"23*")&gt;0,COUNTIF(J2293,"*23*")&gt;0,COUNTIF(I2293,"24*")&gt;0,COUNTIF(J2293,"*24*")&gt;0,COUNTIF(I2293,"25*")&gt;0,COUNTIF(J2293,"*25*")&gt;0,COUNTIF(I2293,"26*")&gt;0,COUNTIF(J2293,"*26*")&gt;0,COUNTIF(I2293,"27*")&gt;0,COUNTIF(J2293,"*27*")&gt;0,COUNTIF(I2293,"28*")&gt;0,COUNTIF(J2293,"*28*")&gt;0,COUNTIF(I2293,"29*")&gt;0,COUNTIF(J2293,"*29*")&gt;0,COUNTIF(I2293,"30*")&gt;0,COUNTIF(J2293,"*30*")&gt;0,COUNTIF(I2293,"31*")&gt;0,COUNTIF(J2293,"*31*")&gt;0,COUNTIF(I2293,"32*")&gt;0,COUNTIF(J2293,"*32*")&gt;0,COUNTIF(I2293,"33*")&gt;0,COUNTIF(J2293,"*33*")&gt;0,COUNTIF(I2293,"41*")&gt;0,COUNTIF(J2293,"*41*")&gt;0,COUNTIF(I2293,"42*")&gt;0,COUNTIF(J2293,"*42*")&gt;0,COUNTIF(I2293,"43*")&gt;0,COUNTIF(J2293,"*43*")&gt;0,COUNTIF(I2293,"49*")&gt;0,COUNTIF(J2293,"*49*")&gt;0,COUNTIF(I2293,"52*")&gt;0,COUNTIF(J2293,"*52*")&gt;0,COUNTIF(I2293,"55*")&gt;0,COUNTIF(J2293,"*55*")&gt;0,COUNTIF(I2293,"56*")&gt;0,COUNTIF(J2293,"*56*")&gt;0,COUNTIF(I2293,"68*")&gt;0,COUNTIF(J2293,"*68*")&gt;0,COUNTIF(I2293,"78*")&gt;0,COUNTIF(J2293,"*78*")&gt;0,COUNTIF(I2293,"81*")&gt;0,COUNTIF(J2293,"*81*")&gt;0,COUNTIF(I2293,"82*")&gt;0,COUNTIF(J2293,"*82*")&gt;0,COUNTIF(I2293,"64*")&gt;0,COUNTIF(J2293,"*64*")&gt;0,COUNTIF(I2293,"65*")&gt;0,COUNTIF(J2293,"*65*")&gt;0,COUNTIF(I2293,"66*")&gt;0,COUNTIF(J2293,"*66*")&gt;0,COUNTIF(I2293,"61*")&gt;0,COUNTIF(J2293,"*61*")&gt;0,COUNTIF(I2293,"62*")&gt;0,COUNTIF(J2293,"*62*")&gt;0,COUNTIF(I2293,"63*")&gt;0,COUNTIF(J2293,"*63*")&gt;0,COUNTIF(I2293,"85*")&gt;0,COUNTIF(J2293,"*85*")&gt;0,COUNTIF(I2293,"86*")&gt;0,COUNTIF(J2293,"*86*")&gt;0),"Да","Нет"))</f>
        <v/>
      </c>
      <c r="M2293" s="13">
        <f>IF(OR(G2293="",L2293&lt;&gt;"Да"),"",IF(G2293&lt;=100,"До 100",IF(G2293&lt;=200,"До 200",IF(G2293&lt;=500,"До 500","Отдельное КП"))))</f>
        <v/>
      </c>
      <c r="N2293" s="15">
        <f>IF(OR(G2293="",L2293&lt;&gt;"Да"),"",IF(G2293&lt;=100,33600,IF(G2293&lt;=200,62400,IF(G2293&lt;=500,144000,""))))</f>
        <v/>
      </c>
      <c r="O2293" s="16">
        <f>IF(G2293="","",IF(G2293&lt;=15,"1–15",IF(G2293&lt;=30,"16–30",IF(G2293&lt;=50,"31–50",IF(G2293&lt;=100,"51–100",IF(G2293&lt;=150,"101–150",IF(G2293&lt;=200,"151–200",IF(G2293&lt;=500,"201–500","500+"))))))))</f>
        <v/>
      </c>
      <c r="P2293" s="16" t="inlineStr">
        <is>
          <t>Нет совпадения в предоставленной выгрузке ССЧР</t>
        </is>
      </c>
      <c r="Q2293" s="16" t="n"/>
      <c r="R2293" s="16">
        <f>HYPERLINK("https://checko.ru/search?query=3801001629","Чекко: проверить")</f>
        <v/>
      </c>
      <c r="S2293" t="n">
        <v>0</v>
      </c>
    </row>
    <row r="2294" ht="15" customHeight="1" s="24">
      <c r="A2294" s="13" t="n">
        <v>5000094856</v>
      </c>
      <c r="B2294" s="13" t="inlineStr">
        <is>
          <t>МКОУ СОШ №1 с.п.Чегем Второй</t>
        </is>
      </c>
      <c r="C2294" s="13" t="n">
        <v>708004309</v>
      </c>
      <c r="D2294" s="13" t="n"/>
      <c r="E2294" s="13" t="inlineStr">
        <is>
          <t>Не определён</t>
        </is>
      </c>
      <c r="F2294" s="13" t="inlineStr">
        <is>
          <t>708004309</t>
        </is>
      </c>
      <c r="G2294" s="14" t="n"/>
      <c r="H2294" s="14" t="n"/>
      <c r="I2294" s="14" t="n"/>
      <c r="J2294" s="14" t="n"/>
      <c r="K2294" s="13">
        <f>IF(G2294="","",IF(G2294&gt;=22,"Да","Нет"))</f>
        <v/>
      </c>
      <c r="L2294" s="13">
        <f>IF(OR(I2294="",J2294=""),"Не определено",IF(OR(COUNTIF(I2294,"45*")&gt;0,COUNTIF(J2294,"*45*")&gt;0,COUNTIF(I2294,"46*")&gt;0,COUNTIF(J2294,"*46*")&gt;0,COUNTIF(I2294,"47*")&gt;0,COUNTIF(J2294,"*47*")&gt;0,COUNTIF(I2294,"10*")&gt;0,COUNTIF(J2294,"*10*")&gt;0,COUNTIF(I2294,"11*")&gt;0,COUNTIF(J2294,"*11*")&gt;0,COUNTIF(I2294,"12*")&gt;0,COUNTIF(J2294,"*12*")&gt;0,COUNTIF(I2294,"13*")&gt;0,COUNTIF(J2294,"*13*")&gt;0,COUNTIF(I2294,"14*")&gt;0,COUNTIF(J2294,"*14*")&gt;0,COUNTIF(I2294,"15*")&gt;0,COUNTIF(J2294,"*15*")&gt;0,COUNTIF(I2294,"16*")&gt;0,COUNTIF(J2294,"*16*")&gt;0,COUNTIF(I2294,"17*")&gt;0,COUNTIF(J2294,"*17*")&gt;0,COUNTIF(I2294,"18*")&gt;0,COUNTIF(J2294,"*18*")&gt;0,COUNTIF(I2294,"19*")&gt;0,COUNTIF(J2294,"*19*")&gt;0,COUNTIF(I2294,"20*")&gt;0,COUNTIF(J2294,"*20*")&gt;0,COUNTIF(I2294,"21*")&gt;0,COUNTIF(J2294,"*21*")&gt;0,COUNTIF(I2294,"22*")&gt;0,COUNTIF(J2294,"*22*")&gt;0,COUNTIF(I2294,"23*")&gt;0,COUNTIF(J2294,"*23*")&gt;0,COUNTIF(I2294,"24*")&gt;0,COUNTIF(J2294,"*24*")&gt;0,COUNTIF(I2294,"25*")&gt;0,COUNTIF(J2294,"*25*")&gt;0,COUNTIF(I2294,"26*")&gt;0,COUNTIF(J2294,"*26*")&gt;0,COUNTIF(I2294,"27*")&gt;0,COUNTIF(J2294,"*27*")&gt;0,COUNTIF(I2294,"28*")&gt;0,COUNTIF(J2294,"*28*")&gt;0,COUNTIF(I2294,"29*")&gt;0,COUNTIF(J2294,"*29*")&gt;0,COUNTIF(I2294,"30*")&gt;0,COUNTIF(J2294,"*30*")&gt;0,COUNTIF(I2294,"31*")&gt;0,COUNTIF(J2294,"*31*")&gt;0,COUNTIF(I2294,"32*")&gt;0,COUNTIF(J2294,"*32*")&gt;0,COUNTIF(I2294,"33*")&gt;0,COUNTIF(J2294,"*33*")&gt;0,COUNTIF(I2294,"41*")&gt;0,COUNTIF(J2294,"*41*")&gt;0,COUNTIF(I2294,"42*")&gt;0,COUNTIF(J2294,"*42*")&gt;0,COUNTIF(I2294,"43*")&gt;0,COUNTIF(J2294,"*43*")&gt;0,COUNTIF(I2294,"49*")&gt;0,COUNTIF(J2294,"*49*")&gt;0,COUNTIF(I2294,"52*")&gt;0,COUNTIF(J2294,"*52*")&gt;0,COUNTIF(I2294,"55*")&gt;0,COUNTIF(J2294,"*55*")&gt;0,COUNTIF(I2294,"56*")&gt;0,COUNTIF(J2294,"*56*")&gt;0,COUNTIF(I2294,"68*")&gt;0,COUNTIF(J2294,"*68*")&gt;0,COUNTIF(I2294,"78*")&gt;0,COUNTIF(J2294,"*78*")&gt;0,COUNTIF(I2294,"81*")&gt;0,COUNTIF(J2294,"*81*")&gt;0,COUNTIF(I2294,"82*")&gt;0,COUNTIF(J2294,"*82*")&gt;0,COUNTIF(I2294,"64*")&gt;0,COUNTIF(J2294,"*64*")&gt;0,COUNTIF(I2294,"65*")&gt;0,COUNTIF(J2294,"*65*")&gt;0,COUNTIF(I2294,"66*")&gt;0,COUNTIF(J2294,"*66*")&gt;0,COUNTIF(I2294,"61*")&gt;0,COUNTIF(J2294,"*61*")&gt;0,COUNTIF(I2294,"62*")&gt;0,COUNTIF(J2294,"*62*")&gt;0,COUNTIF(I2294,"63*")&gt;0,COUNTIF(J2294,"*63*")&gt;0,COUNTIF(I2294,"85*")&gt;0,COUNTIF(J2294,"*85*")&gt;0,COUNTIF(I2294,"86*")&gt;0,COUNTIF(J2294,"*86*")&gt;0),"Да","Нет"))</f>
        <v/>
      </c>
      <c r="M2294" s="13">
        <f>IF(OR(G2294="",L2294&lt;&gt;"Да"),"",IF(G2294&lt;=100,"До 100",IF(G2294&lt;=200,"До 200",IF(G2294&lt;=500,"До 500","Отдельное КП"))))</f>
        <v/>
      </c>
      <c r="N2294" s="15">
        <f>IF(OR(G2294="",L2294&lt;&gt;"Да"),"",IF(G2294&lt;=100,33600,IF(G2294&lt;=200,62400,IF(G2294&lt;=500,144000,""))))</f>
        <v/>
      </c>
      <c r="O2294" s="16">
        <f>IF(G2294="","",IF(G2294&lt;=15,"1–15",IF(G2294&lt;=30,"16–30",IF(G2294&lt;=50,"31–50",IF(G2294&lt;=100,"51–100",IF(G2294&lt;=150,"101–150",IF(G2294&lt;=200,"151–200",IF(G2294&lt;=500,"201–500","500+"))))))))</f>
        <v/>
      </c>
      <c r="P2294" s="16" t="inlineStr">
        <is>
          <t>Нет совпадения в предоставленной выгрузке ССЧР</t>
        </is>
      </c>
      <c r="Q2294" s="16" t="n"/>
      <c r="R2294" s="16">
        <f>HYPERLINK("https://checko.ru/search?query=3801001629","Чекко: проверить")</f>
        <v/>
      </c>
      <c r="S2294" t="n">
        <v>0</v>
      </c>
    </row>
    <row r="2295" ht="15" customHeight="1" s="24">
      <c r="A2295" s="13" t="n">
        <v>5000094857</v>
      </c>
      <c r="B2295" s="13" t="inlineStr">
        <is>
          <t>МКОУ "СОШ №1" с.п. Шалушка</t>
        </is>
      </c>
      <c r="C2295" s="13" t="n">
        <v>708004348</v>
      </c>
      <c r="D2295" s="13" t="n"/>
      <c r="E2295" s="13" t="inlineStr">
        <is>
          <t>Не определён</t>
        </is>
      </c>
      <c r="F2295" s="13" t="inlineStr">
        <is>
          <t>708004348</t>
        </is>
      </c>
      <c r="G2295" s="14" t="n"/>
      <c r="H2295" s="14" t="n"/>
      <c r="I2295" s="14" t="n"/>
      <c r="J2295" s="14" t="n"/>
      <c r="K2295" s="13">
        <f>IF(G2295="","",IF(G2295&gt;=22,"Да","Нет"))</f>
        <v/>
      </c>
      <c r="L2295" s="13">
        <f>IF(OR(I2295="",J2295=""),"Не определено",IF(OR(COUNTIF(I2295,"45*")&gt;0,COUNTIF(J2295,"*45*")&gt;0,COUNTIF(I2295,"46*")&gt;0,COUNTIF(J2295,"*46*")&gt;0,COUNTIF(I2295,"47*")&gt;0,COUNTIF(J2295,"*47*")&gt;0,COUNTIF(I2295,"10*")&gt;0,COUNTIF(J2295,"*10*")&gt;0,COUNTIF(I2295,"11*")&gt;0,COUNTIF(J2295,"*11*")&gt;0,COUNTIF(I2295,"12*")&gt;0,COUNTIF(J2295,"*12*")&gt;0,COUNTIF(I2295,"13*")&gt;0,COUNTIF(J2295,"*13*")&gt;0,COUNTIF(I2295,"14*")&gt;0,COUNTIF(J2295,"*14*")&gt;0,COUNTIF(I2295,"15*")&gt;0,COUNTIF(J2295,"*15*")&gt;0,COUNTIF(I2295,"16*")&gt;0,COUNTIF(J2295,"*16*")&gt;0,COUNTIF(I2295,"17*")&gt;0,COUNTIF(J2295,"*17*")&gt;0,COUNTIF(I2295,"18*")&gt;0,COUNTIF(J2295,"*18*")&gt;0,COUNTIF(I2295,"19*")&gt;0,COUNTIF(J2295,"*19*")&gt;0,COUNTIF(I2295,"20*")&gt;0,COUNTIF(J2295,"*20*")&gt;0,COUNTIF(I2295,"21*")&gt;0,COUNTIF(J2295,"*21*")&gt;0,COUNTIF(I2295,"22*")&gt;0,COUNTIF(J2295,"*22*")&gt;0,COUNTIF(I2295,"23*")&gt;0,COUNTIF(J2295,"*23*")&gt;0,COUNTIF(I2295,"24*")&gt;0,COUNTIF(J2295,"*24*")&gt;0,COUNTIF(I2295,"25*")&gt;0,COUNTIF(J2295,"*25*")&gt;0,COUNTIF(I2295,"26*")&gt;0,COUNTIF(J2295,"*26*")&gt;0,COUNTIF(I2295,"27*")&gt;0,COUNTIF(J2295,"*27*")&gt;0,COUNTIF(I2295,"28*")&gt;0,COUNTIF(J2295,"*28*")&gt;0,COUNTIF(I2295,"29*")&gt;0,COUNTIF(J2295,"*29*")&gt;0,COUNTIF(I2295,"30*")&gt;0,COUNTIF(J2295,"*30*")&gt;0,COUNTIF(I2295,"31*")&gt;0,COUNTIF(J2295,"*31*")&gt;0,COUNTIF(I2295,"32*")&gt;0,COUNTIF(J2295,"*32*")&gt;0,COUNTIF(I2295,"33*")&gt;0,COUNTIF(J2295,"*33*")&gt;0,COUNTIF(I2295,"41*")&gt;0,COUNTIF(J2295,"*41*")&gt;0,COUNTIF(I2295,"42*")&gt;0,COUNTIF(J2295,"*42*")&gt;0,COUNTIF(I2295,"43*")&gt;0,COUNTIF(J2295,"*43*")&gt;0,COUNTIF(I2295,"49*")&gt;0,COUNTIF(J2295,"*49*")&gt;0,COUNTIF(I2295,"52*")&gt;0,COUNTIF(J2295,"*52*")&gt;0,COUNTIF(I2295,"55*")&gt;0,COUNTIF(J2295,"*55*")&gt;0,COUNTIF(I2295,"56*")&gt;0,COUNTIF(J2295,"*56*")&gt;0,COUNTIF(I2295,"68*")&gt;0,COUNTIF(J2295,"*68*")&gt;0,COUNTIF(I2295,"78*")&gt;0,COUNTIF(J2295,"*78*")&gt;0,COUNTIF(I2295,"81*")&gt;0,COUNTIF(J2295,"*81*")&gt;0,COUNTIF(I2295,"82*")&gt;0,COUNTIF(J2295,"*82*")&gt;0,COUNTIF(I2295,"64*")&gt;0,COUNTIF(J2295,"*64*")&gt;0,COUNTIF(I2295,"65*")&gt;0,COUNTIF(J2295,"*65*")&gt;0,COUNTIF(I2295,"66*")&gt;0,COUNTIF(J2295,"*66*")&gt;0,COUNTIF(I2295,"61*")&gt;0,COUNTIF(J2295,"*61*")&gt;0,COUNTIF(I2295,"62*")&gt;0,COUNTIF(J2295,"*62*")&gt;0,COUNTIF(I2295,"63*")&gt;0,COUNTIF(J2295,"*63*")&gt;0,COUNTIF(I2295,"85*")&gt;0,COUNTIF(J2295,"*85*")&gt;0,COUNTIF(I2295,"86*")&gt;0,COUNTIF(J2295,"*86*")&gt;0),"Да","Нет"))</f>
        <v/>
      </c>
      <c r="M2295" s="13">
        <f>IF(OR(G2295="",L2295&lt;&gt;"Да"),"",IF(G2295&lt;=100,"До 100",IF(G2295&lt;=200,"До 200",IF(G2295&lt;=500,"До 500","Отдельное КП"))))</f>
        <v/>
      </c>
      <c r="N2295" s="15">
        <f>IF(OR(G2295="",L2295&lt;&gt;"Да"),"",IF(G2295&lt;=100,33600,IF(G2295&lt;=200,62400,IF(G2295&lt;=500,144000,""))))</f>
        <v/>
      </c>
      <c r="O2295" s="16">
        <f>IF(G2295="","",IF(G2295&lt;=15,"1–15",IF(G2295&lt;=30,"16–30",IF(G2295&lt;=50,"31–50",IF(G2295&lt;=100,"51–100",IF(G2295&lt;=150,"101–150",IF(G2295&lt;=200,"151–200",IF(G2295&lt;=500,"201–500","500+"))))))))</f>
        <v/>
      </c>
      <c r="P2295" s="16" t="inlineStr">
        <is>
          <t>Нет совпадения в предоставленной выгрузке ССЧР</t>
        </is>
      </c>
      <c r="Q2295" s="16" t="n"/>
      <c r="R2295" s="16">
        <f>HYPERLINK("https://checko.ru/search?query=3801001629","Чекко: проверить")</f>
        <v/>
      </c>
      <c r="S2295" t="n">
        <v>0</v>
      </c>
    </row>
    <row r="2296" ht="15" customHeight="1" s="24">
      <c r="A2296" s="13" t="n">
        <v>5000094858</v>
      </c>
      <c r="B2296" s="13" t="inlineStr">
        <is>
          <t>МКОУ "СОШ №2 им. Х.М.Шогенова" г.п.Чегем</t>
        </is>
      </c>
      <c r="C2296" s="13" t="n">
        <v>708004370</v>
      </c>
      <c r="D2296" s="13" t="n"/>
      <c r="E2296" s="13" t="inlineStr">
        <is>
          <t>Не определён</t>
        </is>
      </c>
      <c r="F2296" s="13" t="inlineStr">
        <is>
          <t>708004370</t>
        </is>
      </c>
      <c r="G2296" s="14" t="n"/>
      <c r="H2296" s="14" t="n"/>
      <c r="I2296" s="14" t="n"/>
      <c r="J2296" s="14" t="n"/>
      <c r="K2296" s="13">
        <f>IF(G2296="","",IF(G2296&gt;=22,"Да","Нет"))</f>
        <v/>
      </c>
      <c r="L2296" s="13">
        <f>IF(OR(I2296="",J2296=""),"Не определено",IF(OR(COUNTIF(I2296,"45*")&gt;0,COUNTIF(J2296,"*45*")&gt;0,COUNTIF(I2296,"46*")&gt;0,COUNTIF(J2296,"*46*")&gt;0,COUNTIF(I2296,"47*")&gt;0,COUNTIF(J2296,"*47*")&gt;0,COUNTIF(I2296,"10*")&gt;0,COUNTIF(J2296,"*10*")&gt;0,COUNTIF(I2296,"11*")&gt;0,COUNTIF(J2296,"*11*")&gt;0,COUNTIF(I2296,"12*")&gt;0,COUNTIF(J2296,"*12*")&gt;0,COUNTIF(I2296,"13*")&gt;0,COUNTIF(J2296,"*13*")&gt;0,COUNTIF(I2296,"14*")&gt;0,COUNTIF(J2296,"*14*")&gt;0,COUNTIF(I2296,"15*")&gt;0,COUNTIF(J2296,"*15*")&gt;0,COUNTIF(I2296,"16*")&gt;0,COUNTIF(J2296,"*16*")&gt;0,COUNTIF(I2296,"17*")&gt;0,COUNTIF(J2296,"*17*")&gt;0,COUNTIF(I2296,"18*")&gt;0,COUNTIF(J2296,"*18*")&gt;0,COUNTIF(I2296,"19*")&gt;0,COUNTIF(J2296,"*19*")&gt;0,COUNTIF(I2296,"20*")&gt;0,COUNTIF(J2296,"*20*")&gt;0,COUNTIF(I2296,"21*")&gt;0,COUNTIF(J2296,"*21*")&gt;0,COUNTIF(I2296,"22*")&gt;0,COUNTIF(J2296,"*22*")&gt;0,COUNTIF(I2296,"23*")&gt;0,COUNTIF(J2296,"*23*")&gt;0,COUNTIF(I2296,"24*")&gt;0,COUNTIF(J2296,"*24*")&gt;0,COUNTIF(I2296,"25*")&gt;0,COUNTIF(J2296,"*25*")&gt;0,COUNTIF(I2296,"26*")&gt;0,COUNTIF(J2296,"*26*")&gt;0,COUNTIF(I2296,"27*")&gt;0,COUNTIF(J2296,"*27*")&gt;0,COUNTIF(I2296,"28*")&gt;0,COUNTIF(J2296,"*28*")&gt;0,COUNTIF(I2296,"29*")&gt;0,COUNTIF(J2296,"*29*")&gt;0,COUNTIF(I2296,"30*")&gt;0,COUNTIF(J2296,"*30*")&gt;0,COUNTIF(I2296,"31*")&gt;0,COUNTIF(J2296,"*31*")&gt;0,COUNTIF(I2296,"32*")&gt;0,COUNTIF(J2296,"*32*")&gt;0,COUNTIF(I2296,"33*")&gt;0,COUNTIF(J2296,"*33*")&gt;0,COUNTIF(I2296,"41*")&gt;0,COUNTIF(J2296,"*41*")&gt;0,COUNTIF(I2296,"42*")&gt;0,COUNTIF(J2296,"*42*")&gt;0,COUNTIF(I2296,"43*")&gt;0,COUNTIF(J2296,"*43*")&gt;0,COUNTIF(I2296,"49*")&gt;0,COUNTIF(J2296,"*49*")&gt;0,COUNTIF(I2296,"52*")&gt;0,COUNTIF(J2296,"*52*")&gt;0,COUNTIF(I2296,"55*")&gt;0,COUNTIF(J2296,"*55*")&gt;0,COUNTIF(I2296,"56*")&gt;0,COUNTIF(J2296,"*56*")&gt;0,COUNTIF(I2296,"68*")&gt;0,COUNTIF(J2296,"*68*")&gt;0,COUNTIF(I2296,"78*")&gt;0,COUNTIF(J2296,"*78*")&gt;0,COUNTIF(I2296,"81*")&gt;0,COUNTIF(J2296,"*81*")&gt;0,COUNTIF(I2296,"82*")&gt;0,COUNTIF(J2296,"*82*")&gt;0,COUNTIF(I2296,"64*")&gt;0,COUNTIF(J2296,"*64*")&gt;0,COUNTIF(I2296,"65*")&gt;0,COUNTIF(J2296,"*65*")&gt;0,COUNTIF(I2296,"66*")&gt;0,COUNTIF(J2296,"*66*")&gt;0,COUNTIF(I2296,"61*")&gt;0,COUNTIF(J2296,"*61*")&gt;0,COUNTIF(I2296,"62*")&gt;0,COUNTIF(J2296,"*62*")&gt;0,COUNTIF(I2296,"63*")&gt;0,COUNTIF(J2296,"*63*")&gt;0,COUNTIF(I2296,"85*")&gt;0,COUNTIF(J2296,"*85*")&gt;0,COUNTIF(I2296,"86*")&gt;0,COUNTIF(J2296,"*86*")&gt;0),"Да","Нет"))</f>
        <v/>
      </c>
      <c r="M2296" s="13">
        <f>IF(OR(G2296="",L2296&lt;&gt;"Да"),"",IF(G2296&lt;=100,"До 100",IF(G2296&lt;=200,"До 200",IF(G2296&lt;=500,"До 500","Отдельное КП"))))</f>
        <v/>
      </c>
      <c r="N2296" s="15">
        <f>IF(OR(G2296="",L2296&lt;&gt;"Да"),"",IF(G2296&lt;=100,33600,IF(G2296&lt;=200,62400,IF(G2296&lt;=500,144000,""))))</f>
        <v/>
      </c>
      <c r="O2296" s="16">
        <f>IF(G2296="","",IF(G2296&lt;=15,"1–15",IF(G2296&lt;=30,"16–30",IF(G2296&lt;=50,"31–50",IF(G2296&lt;=100,"51–100",IF(G2296&lt;=150,"101–150",IF(G2296&lt;=200,"151–200",IF(G2296&lt;=500,"201–500","500+"))))))))</f>
        <v/>
      </c>
      <c r="P2296" s="16" t="inlineStr">
        <is>
          <t>Нет совпадения в предоставленной выгрузке ССЧР</t>
        </is>
      </c>
      <c r="Q2296" s="16" t="n"/>
      <c r="R2296" s="16">
        <f>HYPERLINK("https://checko.ru/search?query=3801001629","Чекко: проверить")</f>
        <v/>
      </c>
      <c r="S2296" t="n">
        <v>0</v>
      </c>
    </row>
    <row r="2297" ht="15" customHeight="1" s="24">
      <c r="A2297" s="13" t="n">
        <v>5000094859</v>
      </c>
      <c r="B2297" s="13" t="inlineStr">
        <is>
          <t>МКОУ "СОШ" с.п.Нижний Чегем</t>
        </is>
      </c>
      <c r="C2297" s="13" t="n">
        <v>708004387</v>
      </c>
      <c r="D2297" s="13" t="n"/>
      <c r="E2297" s="13" t="inlineStr">
        <is>
          <t>Не определён</t>
        </is>
      </c>
      <c r="F2297" s="13" t="inlineStr">
        <is>
          <t>708004387</t>
        </is>
      </c>
      <c r="G2297" s="14" t="n"/>
      <c r="H2297" s="14" t="n"/>
      <c r="I2297" s="14" t="n"/>
      <c r="J2297" s="14" t="n"/>
      <c r="K2297" s="13">
        <f>IF(G2297="","",IF(G2297&gt;=22,"Да","Нет"))</f>
        <v/>
      </c>
      <c r="L2297" s="13">
        <f>IF(OR(I2297="",J2297=""),"Не определено",IF(OR(COUNTIF(I2297,"45*")&gt;0,COUNTIF(J2297,"*45*")&gt;0,COUNTIF(I2297,"46*")&gt;0,COUNTIF(J2297,"*46*")&gt;0,COUNTIF(I2297,"47*")&gt;0,COUNTIF(J2297,"*47*")&gt;0,COUNTIF(I2297,"10*")&gt;0,COUNTIF(J2297,"*10*")&gt;0,COUNTIF(I2297,"11*")&gt;0,COUNTIF(J2297,"*11*")&gt;0,COUNTIF(I2297,"12*")&gt;0,COUNTIF(J2297,"*12*")&gt;0,COUNTIF(I2297,"13*")&gt;0,COUNTIF(J2297,"*13*")&gt;0,COUNTIF(I2297,"14*")&gt;0,COUNTIF(J2297,"*14*")&gt;0,COUNTIF(I2297,"15*")&gt;0,COUNTIF(J2297,"*15*")&gt;0,COUNTIF(I2297,"16*")&gt;0,COUNTIF(J2297,"*16*")&gt;0,COUNTIF(I2297,"17*")&gt;0,COUNTIF(J2297,"*17*")&gt;0,COUNTIF(I2297,"18*")&gt;0,COUNTIF(J2297,"*18*")&gt;0,COUNTIF(I2297,"19*")&gt;0,COUNTIF(J2297,"*19*")&gt;0,COUNTIF(I2297,"20*")&gt;0,COUNTIF(J2297,"*20*")&gt;0,COUNTIF(I2297,"21*")&gt;0,COUNTIF(J2297,"*21*")&gt;0,COUNTIF(I2297,"22*")&gt;0,COUNTIF(J2297,"*22*")&gt;0,COUNTIF(I2297,"23*")&gt;0,COUNTIF(J2297,"*23*")&gt;0,COUNTIF(I2297,"24*")&gt;0,COUNTIF(J2297,"*24*")&gt;0,COUNTIF(I2297,"25*")&gt;0,COUNTIF(J2297,"*25*")&gt;0,COUNTIF(I2297,"26*")&gt;0,COUNTIF(J2297,"*26*")&gt;0,COUNTIF(I2297,"27*")&gt;0,COUNTIF(J2297,"*27*")&gt;0,COUNTIF(I2297,"28*")&gt;0,COUNTIF(J2297,"*28*")&gt;0,COUNTIF(I2297,"29*")&gt;0,COUNTIF(J2297,"*29*")&gt;0,COUNTIF(I2297,"30*")&gt;0,COUNTIF(J2297,"*30*")&gt;0,COUNTIF(I2297,"31*")&gt;0,COUNTIF(J2297,"*31*")&gt;0,COUNTIF(I2297,"32*")&gt;0,COUNTIF(J2297,"*32*")&gt;0,COUNTIF(I2297,"33*")&gt;0,COUNTIF(J2297,"*33*")&gt;0,COUNTIF(I2297,"41*")&gt;0,COUNTIF(J2297,"*41*")&gt;0,COUNTIF(I2297,"42*")&gt;0,COUNTIF(J2297,"*42*")&gt;0,COUNTIF(I2297,"43*")&gt;0,COUNTIF(J2297,"*43*")&gt;0,COUNTIF(I2297,"49*")&gt;0,COUNTIF(J2297,"*49*")&gt;0,COUNTIF(I2297,"52*")&gt;0,COUNTIF(J2297,"*52*")&gt;0,COUNTIF(I2297,"55*")&gt;0,COUNTIF(J2297,"*55*")&gt;0,COUNTIF(I2297,"56*")&gt;0,COUNTIF(J2297,"*56*")&gt;0,COUNTIF(I2297,"68*")&gt;0,COUNTIF(J2297,"*68*")&gt;0,COUNTIF(I2297,"78*")&gt;0,COUNTIF(J2297,"*78*")&gt;0,COUNTIF(I2297,"81*")&gt;0,COUNTIF(J2297,"*81*")&gt;0,COUNTIF(I2297,"82*")&gt;0,COUNTIF(J2297,"*82*")&gt;0,COUNTIF(I2297,"64*")&gt;0,COUNTIF(J2297,"*64*")&gt;0,COUNTIF(I2297,"65*")&gt;0,COUNTIF(J2297,"*65*")&gt;0,COUNTIF(I2297,"66*")&gt;0,COUNTIF(J2297,"*66*")&gt;0,COUNTIF(I2297,"61*")&gt;0,COUNTIF(J2297,"*61*")&gt;0,COUNTIF(I2297,"62*")&gt;0,COUNTIF(J2297,"*62*")&gt;0,COUNTIF(I2297,"63*")&gt;0,COUNTIF(J2297,"*63*")&gt;0,COUNTIF(I2297,"85*")&gt;0,COUNTIF(J2297,"*85*")&gt;0,COUNTIF(I2297,"86*")&gt;0,COUNTIF(J2297,"*86*")&gt;0),"Да","Нет"))</f>
        <v/>
      </c>
      <c r="M2297" s="13">
        <f>IF(OR(G2297="",L2297&lt;&gt;"Да"),"",IF(G2297&lt;=100,"До 100",IF(G2297&lt;=200,"До 200",IF(G2297&lt;=500,"До 500","Отдельное КП"))))</f>
        <v/>
      </c>
      <c r="N2297" s="15">
        <f>IF(OR(G2297="",L2297&lt;&gt;"Да"),"",IF(G2297&lt;=100,33600,IF(G2297&lt;=200,62400,IF(G2297&lt;=500,144000,""))))</f>
        <v/>
      </c>
      <c r="O2297" s="16">
        <f>IF(G2297="","",IF(G2297&lt;=15,"1–15",IF(G2297&lt;=30,"16–30",IF(G2297&lt;=50,"31–50",IF(G2297&lt;=100,"51–100",IF(G2297&lt;=150,"101–150",IF(G2297&lt;=200,"151–200",IF(G2297&lt;=500,"201–500","500+"))))))))</f>
        <v/>
      </c>
      <c r="P2297" s="16" t="inlineStr">
        <is>
          <t>Нет совпадения в предоставленной выгрузке ССЧР</t>
        </is>
      </c>
      <c r="Q2297" s="16" t="n"/>
      <c r="R2297" s="16">
        <f>HYPERLINK("https://checko.ru/search?query=3801001629","Чекко: проверить")</f>
        <v/>
      </c>
      <c r="S2297" t="n">
        <v>0</v>
      </c>
    </row>
    <row r="2298" ht="15" customHeight="1" s="24">
      <c r="A2298" s="13" t="n">
        <v>5000094860</v>
      </c>
      <c r="B2298" s="13" t="inlineStr">
        <is>
          <t>МКОУ "СОШ им. А.Ю.Байсултанова" с.п.Яникой</t>
        </is>
      </c>
      <c r="C2298" s="13" t="n">
        <v>708004411</v>
      </c>
      <c r="D2298" s="13" t="n"/>
      <c r="E2298" s="13" t="inlineStr">
        <is>
          <t>Не определён</t>
        </is>
      </c>
      <c r="F2298" s="13" t="inlineStr">
        <is>
          <t>708004411</t>
        </is>
      </c>
      <c r="G2298" s="14" t="n"/>
      <c r="H2298" s="14" t="n"/>
      <c r="I2298" s="14" t="n"/>
      <c r="J2298" s="14" t="n"/>
      <c r="K2298" s="13">
        <f>IF(G2298="","",IF(G2298&gt;=22,"Да","Нет"))</f>
        <v/>
      </c>
      <c r="L2298" s="13">
        <f>IF(OR(I2298="",J2298=""),"Не определено",IF(OR(COUNTIF(I2298,"45*")&gt;0,COUNTIF(J2298,"*45*")&gt;0,COUNTIF(I2298,"46*")&gt;0,COUNTIF(J2298,"*46*")&gt;0,COUNTIF(I2298,"47*")&gt;0,COUNTIF(J2298,"*47*")&gt;0,COUNTIF(I2298,"10*")&gt;0,COUNTIF(J2298,"*10*")&gt;0,COUNTIF(I2298,"11*")&gt;0,COUNTIF(J2298,"*11*")&gt;0,COUNTIF(I2298,"12*")&gt;0,COUNTIF(J2298,"*12*")&gt;0,COUNTIF(I2298,"13*")&gt;0,COUNTIF(J2298,"*13*")&gt;0,COUNTIF(I2298,"14*")&gt;0,COUNTIF(J2298,"*14*")&gt;0,COUNTIF(I2298,"15*")&gt;0,COUNTIF(J2298,"*15*")&gt;0,COUNTIF(I2298,"16*")&gt;0,COUNTIF(J2298,"*16*")&gt;0,COUNTIF(I2298,"17*")&gt;0,COUNTIF(J2298,"*17*")&gt;0,COUNTIF(I2298,"18*")&gt;0,COUNTIF(J2298,"*18*")&gt;0,COUNTIF(I2298,"19*")&gt;0,COUNTIF(J2298,"*19*")&gt;0,COUNTIF(I2298,"20*")&gt;0,COUNTIF(J2298,"*20*")&gt;0,COUNTIF(I2298,"21*")&gt;0,COUNTIF(J2298,"*21*")&gt;0,COUNTIF(I2298,"22*")&gt;0,COUNTIF(J2298,"*22*")&gt;0,COUNTIF(I2298,"23*")&gt;0,COUNTIF(J2298,"*23*")&gt;0,COUNTIF(I2298,"24*")&gt;0,COUNTIF(J2298,"*24*")&gt;0,COUNTIF(I2298,"25*")&gt;0,COUNTIF(J2298,"*25*")&gt;0,COUNTIF(I2298,"26*")&gt;0,COUNTIF(J2298,"*26*")&gt;0,COUNTIF(I2298,"27*")&gt;0,COUNTIF(J2298,"*27*")&gt;0,COUNTIF(I2298,"28*")&gt;0,COUNTIF(J2298,"*28*")&gt;0,COUNTIF(I2298,"29*")&gt;0,COUNTIF(J2298,"*29*")&gt;0,COUNTIF(I2298,"30*")&gt;0,COUNTIF(J2298,"*30*")&gt;0,COUNTIF(I2298,"31*")&gt;0,COUNTIF(J2298,"*31*")&gt;0,COUNTIF(I2298,"32*")&gt;0,COUNTIF(J2298,"*32*")&gt;0,COUNTIF(I2298,"33*")&gt;0,COUNTIF(J2298,"*33*")&gt;0,COUNTIF(I2298,"41*")&gt;0,COUNTIF(J2298,"*41*")&gt;0,COUNTIF(I2298,"42*")&gt;0,COUNTIF(J2298,"*42*")&gt;0,COUNTIF(I2298,"43*")&gt;0,COUNTIF(J2298,"*43*")&gt;0,COUNTIF(I2298,"49*")&gt;0,COUNTIF(J2298,"*49*")&gt;0,COUNTIF(I2298,"52*")&gt;0,COUNTIF(J2298,"*52*")&gt;0,COUNTIF(I2298,"55*")&gt;0,COUNTIF(J2298,"*55*")&gt;0,COUNTIF(I2298,"56*")&gt;0,COUNTIF(J2298,"*56*")&gt;0,COUNTIF(I2298,"68*")&gt;0,COUNTIF(J2298,"*68*")&gt;0,COUNTIF(I2298,"78*")&gt;0,COUNTIF(J2298,"*78*")&gt;0,COUNTIF(I2298,"81*")&gt;0,COUNTIF(J2298,"*81*")&gt;0,COUNTIF(I2298,"82*")&gt;0,COUNTIF(J2298,"*82*")&gt;0,COUNTIF(I2298,"64*")&gt;0,COUNTIF(J2298,"*64*")&gt;0,COUNTIF(I2298,"65*")&gt;0,COUNTIF(J2298,"*65*")&gt;0,COUNTIF(I2298,"66*")&gt;0,COUNTIF(J2298,"*66*")&gt;0,COUNTIF(I2298,"61*")&gt;0,COUNTIF(J2298,"*61*")&gt;0,COUNTIF(I2298,"62*")&gt;0,COUNTIF(J2298,"*62*")&gt;0,COUNTIF(I2298,"63*")&gt;0,COUNTIF(J2298,"*63*")&gt;0,COUNTIF(I2298,"85*")&gt;0,COUNTIF(J2298,"*85*")&gt;0,COUNTIF(I2298,"86*")&gt;0,COUNTIF(J2298,"*86*")&gt;0),"Да","Нет"))</f>
        <v/>
      </c>
      <c r="M2298" s="13">
        <f>IF(OR(G2298="",L2298&lt;&gt;"Да"),"",IF(G2298&lt;=100,"До 100",IF(G2298&lt;=200,"До 200",IF(G2298&lt;=500,"До 500","Отдельное КП"))))</f>
        <v/>
      </c>
      <c r="N2298" s="15">
        <f>IF(OR(G2298="",L2298&lt;&gt;"Да"),"",IF(G2298&lt;=100,33600,IF(G2298&lt;=200,62400,IF(G2298&lt;=500,144000,""))))</f>
        <v/>
      </c>
      <c r="O2298" s="16">
        <f>IF(G2298="","",IF(G2298&lt;=15,"1–15",IF(G2298&lt;=30,"16–30",IF(G2298&lt;=50,"31–50",IF(G2298&lt;=100,"51–100",IF(G2298&lt;=150,"101–150",IF(G2298&lt;=200,"151–200",IF(G2298&lt;=500,"201–500","500+"))))))))</f>
        <v/>
      </c>
      <c r="P2298" s="16" t="inlineStr">
        <is>
          <t>Нет совпадения в предоставленной выгрузке ССЧР</t>
        </is>
      </c>
      <c r="Q2298" s="16" t="n"/>
      <c r="R2298" s="16">
        <f>HYPERLINK("https://checko.ru/search?query=3801001629","Чекко: проверить")</f>
        <v/>
      </c>
      <c r="S2298" t="n">
        <v>0</v>
      </c>
    </row>
    <row r="2299" ht="15" customHeight="1" s="24">
      <c r="A2299" s="13" t="n">
        <v>5000094862</v>
      </c>
      <c r="B2299" s="13" t="inlineStr">
        <is>
          <t>ГБОУ "ШИ № 5" Минпросвещения КБР</t>
        </is>
      </c>
      <c r="C2299" s="13" t="n">
        <v>708004524</v>
      </c>
      <c r="D2299" s="13" t="n"/>
      <c r="E2299" s="13" t="inlineStr">
        <is>
          <t>Не определён</t>
        </is>
      </c>
      <c r="F2299" s="13" t="inlineStr">
        <is>
          <t>708004524</t>
        </is>
      </c>
      <c r="G2299" s="14" t="n"/>
      <c r="H2299" s="14" t="n"/>
      <c r="I2299" s="14" t="n"/>
      <c r="J2299" s="14" t="n"/>
      <c r="K2299" s="13">
        <f>IF(G2299="","",IF(G2299&gt;=22,"Да","Нет"))</f>
        <v/>
      </c>
      <c r="L2299" s="13">
        <f>IF(OR(I2299="",J2299=""),"Не определено",IF(OR(COUNTIF(I2299,"45*")&gt;0,COUNTIF(J2299,"*45*")&gt;0,COUNTIF(I2299,"46*")&gt;0,COUNTIF(J2299,"*46*")&gt;0,COUNTIF(I2299,"47*")&gt;0,COUNTIF(J2299,"*47*")&gt;0,COUNTIF(I2299,"10*")&gt;0,COUNTIF(J2299,"*10*")&gt;0,COUNTIF(I2299,"11*")&gt;0,COUNTIF(J2299,"*11*")&gt;0,COUNTIF(I2299,"12*")&gt;0,COUNTIF(J2299,"*12*")&gt;0,COUNTIF(I2299,"13*")&gt;0,COUNTIF(J2299,"*13*")&gt;0,COUNTIF(I2299,"14*")&gt;0,COUNTIF(J2299,"*14*")&gt;0,COUNTIF(I2299,"15*")&gt;0,COUNTIF(J2299,"*15*")&gt;0,COUNTIF(I2299,"16*")&gt;0,COUNTIF(J2299,"*16*")&gt;0,COUNTIF(I2299,"17*")&gt;0,COUNTIF(J2299,"*17*")&gt;0,COUNTIF(I2299,"18*")&gt;0,COUNTIF(J2299,"*18*")&gt;0,COUNTIF(I2299,"19*")&gt;0,COUNTIF(J2299,"*19*")&gt;0,COUNTIF(I2299,"20*")&gt;0,COUNTIF(J2299,"*20*")&gt;0,COUNTIF(I2299,"21*")&gt;0,COUNTIF(J2299,"*21*")&gt;0,COUNTIF(I2299,"22*")&gt;0,COUNTIF(J2299,"*22*")&gt;0,COUNTIF(I2299,"23*")&gt;0,COUNTIF(J2299,"*23*")&gt;0,COUNTIF(I2299,"24*")&gt;0,COUNTIF(J2299,"*24*")&gt;0,COUNTIF(I2299,"25*")&gt;0,COUNTIF(J2299,"*25*")&gt;0,COUNTIF(I2299,"26*")&gt;0,COUNTIF(J2299,"*26*")&gt;0,COUNTIF(I2299,"27*")&gt;0,COUNTIF(J2299,"*27*")&gt;0,COUNTIF(I2299,"28*")&gt;0,COUNTIF(J2299,"*28*")&gt;0,COUNTIF(I2299,"29*")&gt;0,COUNTIF(J2299,"*29*")&gt;0,COUNTIF(I2299,"30*")&gt;0,COUNTIF(J2299,"*30*")&gt;0,COUNTIF(I2299,"31*")&gt;0,COUNTIF(J2299,"*31*")&gt;0,COUNTIF(I2299,"32*")&gt;0,COUNTIF(J2299,"*32*")&gt;0,COUNTIF(I2299,"33*")&gt;0,COUNTIF(J2299,"*33*")&gt;0,COUNTIF(I2299,"41*")&gt;0,COUNTIF(J2299,"*41*")&gt;0,COUNTIF(I2299,"42*")&gt;0,COUNTIF(J2299,"*42*")&gt;0,COUNTIF(I2299,"43*")&gt;0,COUNTIF(J2299,"*43*")&gt;0,COUNTIF(I2299,"49*")&gt;0,COUNTIF(J2299,"*49*")&gt;0,COUNTIF(I2299,"52*")&gt;0,COUNTIF(J2299,"*52*")&gt;0,COUNTIF(I2299,"55*")&gt;0,COUNTIF(J2299,"*55*")&gt;0,COUNTIF(I2299,"56*")&gt;0,COUNTIF(J2299,"*56*")&gt;0,COUNTIF(I2299,"68*")&gt;0,COUNTIF(J2299,"*68*")&gt;0,COUNTIF(I2299,"78*")&gt;0,COUNTIF(J2299,"*78*")&gt;0,COUNTIF(I2299,"81*")&gt;0,COUNTIF(J2299,"*81*")&gt;0,COUNTIF(I2299,"82*")&gt;0,COUNTIF(J2299,"*82*")&gt;0,COUNTIF(I2299,"64*")&gt;0,COUNTIF(J2299,"*64*")&gt;0,COUNTIF(I2299,"65*")&gt;0,COUNTIF(J2299,"*65*")&gt;0,COUNTIF(I2299,"66*")&gt;0,COUNTIF(J2299,"*66*")&gt;0,COUNTIF(I2299,"61*")&gt;0,COUNTIF(J2299,"*61*")&gt;0,COUNTIF(I2299,"62*")&gt;0,COUNTIF(J2299,"*62*")&gt;0,COUNTIF(I2299,"63*")&gt;0,COUNTIF(J2299,"*63*")&gt;0,COUNTIF(I2299,"85*")&gt;0,COUNTIF(J2299,"*85*")&gt;0,COUNTIF(I2299,"86*")&gt;0,COUNTIF(J2299,"*86*")&gt;0),"Да","Нет"))</f>
        <v/>
      </c>
      <c r="M2299" s="13">
        <f>IF(OR(G2299="",L2299&lt;&gt;"Да"),"",IF(G2299&lt;=100,"До 100",IF(G2299&lt;=200,"До 200",IF(G2299&lt;=500,"До 500","Отдельное КП"))))</f>
        <v/>
      </c>
      <c r="N2299" s="15">
        <f>IF(OR(G2299="",L2299&lt;&gt;"Да"),"",IF(G2299&lt;=100,33600,IF(G2299&lt;=200,62400,IF(G2299&lt;=500,144000,""))))</f>
        <v/>
      </c>
      <c r="O2299" s="16">
        <f>IF(G2299="","",IF(G2299&lt;=15,"1–15",IF(G2299&lt;=30,"16–30",IF(G2299&lt;=50,"31–50",IF(G2299&lt;=100,"51–100",IF(G2299&lt;=150,"101–150",IF(G2299&lt;=200,"151–200",IF(G2299&lt;=500,"201–500","500+"))))))))</f>
        <v/>
      </c>
      <c r="P2299" s="16" t="inlineStr">
        <is>
          <t>Нет совпадения в предоставленной выгрузке ССЧР</t>
        </is>
      </c>
      <c r="Q2299" s="16" t="n"/>
      <c r="R2299" s="16">
        <f>HYPERLINK("https://checko.ru/search?query=3801001629","Чекко: проверить")</f>
        <v/>
      </c>
      <c r="S2299" t="n">
        <v>0</v>
      </c>
    </row>
    <row r="2300" ht="15" customHeight="1" s="24">
      <c r="A2300" s="13" t="n">
        <v>5000094864</v>
      </c>
      <c r="B2300" s="13" t="inlineStr">
        <is>
          <t>Местная администрация г.п.Чегем</t>
        </is>
      </c>
      <c r="C2300" s="13" t="n">
        <v>708006144</v>
      </c>
      <c r="D2300" s="13" t="n"/>
      <c r="E2300" s="13" t="inlineStr">
        <is>
          <t>Не определён</t>
        </is>
      </c>
      <c r="F2300" s="13" t="inlineStr">
        <is>
          <t>708006144</t>
        </is>
      </c>
      <c r="G2300" s="14" t="n"/>
      <c r="H2300" s="14" t="n"/>
      <c r="I2300" s="14" t="n"/>
      <c r="J2300" s="14" t="n"/>
      <c r="K2300" s="13">
        <f>IF(G2300="","",IF(G2300&gt;=22,"Да","Нет"))</f>
        <v/>
      </c>
      <c r="L2300" s="13">
        <f>IF(OR(I2300="",J2300=""),"Не определено",IF(OR(COUNTIF(I2300,"45*")&gt;0,COUNTIF(J2300,"*45*")&gt;0,COUNTIF(I2300,"46*")&gt;0,COUNTIF(J2300,"*46*")&gt;0,COUNTIF(I2300,"47*")&gt;0,COUNTIF(J2300,"*47*")&gt;0,COUNTIF(I2300,"10*")&gt;0,COUNTIF(J2300,"*10*")&gt;0,COUNTIF(I2300,"11*")&gt;0,COUNTIF(J2300,"*11*")&gt;0,COUNTIF(I2300,"12*")&gt;0,COUNTIF(J2300,"*12*")&gt;0,COUNTIF(I2300,"13*")&gt;0,COUNTIF(J2300,"*13*")&gt;0,COUNTIF(I2300,"14*")&gt;0,COUNTIF(J2300,"*14*")&gt;0,COUNTIF(I2300,"15*")&gt;0,COUNTIF(J2300,"*15*")&gt;0,COUNTIF(I2300,"16*")&gt;0,COUNTIF(J2300,"*16*")&gt;0,COUNTIF(I2300,"17*")&gt;0,COUNTIF(J2300,"*17*")&gt;0,COUNTIF(I2300,"18*")&gt;0,COUNTIF(J2300,"*18*")&gt;0,COUNTIF(I2300,"19*")&gt;0,COUNTIF(J2300,"*19*")&gt;0,COUNTIF(I2300,"20*")&gt;0,COUNTIF(J2300,"*20*")&gt;0,COUNTIF(I2300,"21*")&gt;0,COUNTIF(J2300,"*21*")&gt;0,COUNTIF(I2300,"22*")&gt;0,COUNTIF(J2300,"*22*")&gt;0,COUNTIF(I2300,"23*")&gt;0,COUNTIF(J2300,"*23*")&gt;0,COUNTIF(I2300,"24*")&gt;0,COUNTIF(J2300,"*24*")&gt;0,COUNTIF(I2300,"25*")&gt;0,COUNTIF(J2300,"*25*")&gt;0,COUNTIF(I2300,"26*")&gt;0,COUNTIF(J2300,"*26*")&gt;0,COUNTIF(I2300,"27*")&gt;0,COUNTIF(J2300,"*27*")&gt;0,COUNTIF(I2300,"28*")&gt;0,COUNTIF(J2300,"*28*")&gt;0,COUNTIF(I2300,"29*")&gt;0,COUNTIF(J2300,"*29*")&gt;0,COUNTIF(I2300,"30*")&gt;0,COUNTIF(J2300,"*30*")&gt;0,COUNTIF(I2300,"31*")&gt;0,COUNTIF(J2300,"*31*")&gt;0,COUNTIF(I2300,"32*")&gt;0,COUNTIF(J2300,"*32*")&gt;0,COUNTIF(I2300,"33*")&gt;0,COUNTIF(J2300,"*33*")&gt;0,COUNTIF(I2300,"41*")&gt;0,COUNTIF(J2300,"*41*")&gt;0,COUNTIF(I2300,"42*")&gt;0,COUNTIF(J2300,"*42*")&gt;0,COUNTIF(I2300,"43*")&gt;0,COUNTIF(J2300,"*43*")&gt;0,COUNTIF(I2300,"49*")&gt;0,COUNTIF(J2300,"*49*")&gt;0,COUNTIF(I2300,"52*")&gt;0,COUNTIF(J2300,"*52*")&gt;0,COUNTIF(I2300,"55*")&gt;0,COUNTIF(J2300,"*55*")&gt;0,COUNTIF(I2300,"56*")&gt;0,COUNTIF(J2300,"*56*")&gt;0,COUNTIF(I2300,"68*")&gt;0,COUNTIF(J2300,"*68*")&gt;0,COUNTIF(I2300,"78*")&gt;0,COUNTIF(J2300,"*78*")&gt;0,COUNTIF(I2300,"81*")&gt;0,COUNTIF(J2300,"*81*")&gt;0,COUNTIF(I2300,"82*")&gt;0,COUNTIF(J2300,"*82*")&gt;0,COUNTIF(I2300,"64*")&gt;0,COUNTIF(J2300,"*64*")&gt;0,COUNTIF(I2300,"65*")&gt;0,COUNTIF(J2300,"*65*")&gt;0,COUNTIF(I2300,"66*")&gt;0,COUNTIF(J2300,"*66*")&gt;0,COUNTIF(I2300,"61*")&gt;0,COUNTIF(J2300,"*61*")&gt;0,COUNTIF(I2300,"62*")&gt;0,COUNTIF(J2300,"*62*")&gt;0,COUNTIF(I2300,"63*")&gt;0,COUNTIF(J2300,"*63*")&gt;0,COUNTIF(I2300,"85*")&gt;0,COUNTIF(J2300,"*85*")&gt;0,COUNTIF(I2300,"86*")&gt;0,COUNTIF(J2300,"*86*")&gt;0),"Да","Нет"))</f>
        <v/>
      </c>
      <c r="M2300" s="13">
        <f>IF(OR(G2300="",L2300&lt;&gt;"Да"),"",IF(G2300&lt;=100,"До 100",IF(G2300&lt;=200,"До 200",IF(G2300&lt;=500,"До 500","Отдельное КП"))))</f>
        <v/>
      </c>
      <c r="N2300" s="15">
        <f>IF(OR(G2300="",L2300&lt;&gt;"Да"),"",IF(G2300&lt;=100,33600,IF(G2300&lt;=200,62400,IF(G2300&lt;=500,144000,""))))</f>
        <v/>
      </c>
      <c r="O2300" s="16">
        <f>IF(G2300="","",IF(G2300&lt;=15,"1–15",IF(G2300&lt;=30,"16–30",IF(G2300&lt;=50,"31–50",IF(G2300&lt;=100,"51–100",IF(G2300&lt;=150,"101–150",IF(G2300&lt;=200,"151–200",IF(G2300&lt;=500,"201–500","500+"))))))))</f>
        <v/>
      </c>
      <c r="P2300" s="16" t="inlineStr">
        <is>
          <t>Нет совпадения в предоставленной выгрузке ССЧР</t>
        </is>
      </c>
      <c r="Q2300" s="16" t="n"/>
      <c r="R2300" s="16">
        <f>HYPERLINK("https://checko.ru/search?query=3801001629","Чекко: проверить")</f>
        <v/>
      </c>
      <c r="S2300" t="n">
        <v>0</v>
      </c>
    </row>
    <row r="2301" ht="15" customHeight="1" s="24">
      <c r="A2301" s="13" t="n">
        <v>5000094929</v>
      </c>
      <c r="B2301" s="13" t="inlineStr">
        <is>
          <t>МОУ "СОШ имени А.М.Ахматова" с.п.Былым</t>
        </is>
      </c>
      <c r="C2301" s="13" t="n">
        <v>710005532</v>
      </c>
      <c r="D2301" s="13" t="n"/>
      <c r="E2301" s="13" t="inlineStr">
        <is>
          <t>Не определён</t>
        </is>
      </c>
      <c r="F2301" s="13" t="inlineStr">
        <is>
          <t>710005532</t>
        </is>
      </c>
      <c r="G2301" s="14" t="n"/>
      <c r="H2301" s="14" t="n"/>
      <c r="I2301" s="14" t="n"/>
      <c r="J2301" s="14" t="n"/>
      <c r="K2301" s="13">
        <f>IF(G2301="","",IF(G2301&gt;=22,"Да","Нет"))</f>
        <v/>
      </c>
      <c r="L2301" s="13">
        <f>IF(OR(I2301="",J2301=""),"Не определено",IF(OR(COUNTIF(I2301,"45*")&gt;0,COUNTIF(J2301,"*45*")&gt;0,COUNTIF(I2301,"46*")&gt;0,COUNTIF(J2301,"*46*")&gt;0,COUNTIF(I2301,"47*")&gt;0,COUNTIF(J2301,"*47*")&gt;0,COUNTIF(I2301,"10*")&gt;0,COUNTIF(J2301,"*10*")&gt;0,COUNTIF(I2301,"11*")&gt;0,COUNTIF(J2301,"*11*")&gt;0,COUNTIF(I2301,"12*")&gt;0,COUNTIF(J2301,"*12*")&gt;0,COUNTIF(I2301,"13*")&gt;0,COUNTIF(J2301,"*13*")&gt;0,COUNTIF(I2301,"14*")&gt;0,COUNTIF(J2301,"*14*")&gt;0,COUNTIF(I2301,"15*")&gt;0,COUNTIF(J2301,"*15*")&gt;0,COUNTIF(I2301,"16*")&gt;0,COUNTIF(J2301,"*16*")&gt;0,COUNTIF(I2301,"17*")&gt;0,COUNTIF(J2301,"*17*")&gt;0,COUNTIF(I2301,"18*")&gt;0,COUNTIF(J2301,"*18*")&gt;0,COUNTIF(I2301,"19*")&gt;0,COUNTIF(J2301,"*19*")&gt;0,COUNTIF(I2301,"20*")&gt;0,COUNTIF(J2301,"*20*")&gt;0,COUNTIF(I2301,"21*")&gt;0,COUNTIF(J2301,"*21*")&gt;0,COUNTIF(I2301,"22*")&gt;0,COUNTIF(J2301,"*22*")&gt;0,COUNTIF(I2301,"23*")&gt;0,COUNTIF(J2301,"*23*")&gt;0,COUNTIF(I2301,"24*")&gt;0,COUNTIF(J2301,"*24*")&gt;0,COUNTIF(I2301,"25*")&gt;0,COUNTIF(J2301,"*25*")&gt;0,COUNTIF(I2301,"26*")&gt;0,COUNTIF(J2301,"*26*")&gt;0,COUNTIF(I2301,"27*")&gt;0,COUNTIF(J2301,"*27*")&gt;0,COUNTIF(I2301,"28*")&gt;0,COUNTIF(J2301,"*28*")&gt;0,COUNTIF(I2301,"29*")&gt;0,COUNTIF(J2301,"*29*")&gt;0,COUNTIF(I2301,"30*")&gt;0,COUNTIF(J2301,"*30*")&gt;0,COUNTIF(I2301,"31*")&gt;0,COUNTIF(J2301,"*31*")&gt;0,COUNTIF(I2301,"32*")&gt;0,COUNTIF(J2301,"*32*")&gt;0,COUNTIF(I2301,"33*")&gt;0,COUNTIF(J2301,"*33*")&gt;0,COUNTIF(I2301,"41*")&gt;0,COUNTIF(J2301,"*41*")&gt;0,COUNTIF(I2301,"42*")&gt;0,COUNTIF(J2301,"*42*")&gt;0,COUNTIF(I2301,"43*")&gt;0,COUNTIF(J2301,"*43*")&gt;0,COUNTIF(I2301,"49*")&gt;0,COUNTIF(J2301,"*49*")&gt;0,COUNTIF(I2301,"52*")&gt;0,COUNTIF(J2301,"*52*")&gt;0,COUNTIF(I2301,"55*")&gt;0,COUNTIF(J2301,"*55*")&gt;0,COUNTIF(I2301,"56*")&gt;0,COUNTIF(J2301,"*56*")&gt;0,COUNTIF(I2301,"68*")&gt;0,COUNTIF(J2301,"*68*")&gt;0,COUNTIF(I2301,"78*")&gt;0,COUNTIF(J2301,"*78*")&gt;0,COUNTIF(I2301,"81*")&gt;0,COUNTIF(J2301,"*81*")&gt;0,COUNTIF(I2301,"82*")&gt;0,COUNTIF(J2301,"*82*")&gt;0,COUNTIF(I2301,"64*")&gt;0,COUNTIF(J2301,"*64*")&gt;0,COUNTIF(I2301,"65*")&gt;0,COUNTIF(J2301,"*65*")&gt;0,COUNTIF(I2301,"66*")&gt;0,COUNTIF(J2301,"*66*")&gt;0,COUNTIF(I2301,"61*")&gt;0,COUNTIF(J2301,"*61*")&gt;0,COUNTIF(I2301,"62*")&gt;0,COUNTIF(J2301,"*62*")&gt;0,COUNTIF(I2301,"63*")&gt;0,COUNTIF(J2301,"*63*")&gt;0,COUNTIF(I2301,"85*")&gt;0,COUNTIF(J2301,"*85*")&gt;0,COUNTIF(I2301,"86*")&gt;0,COUNTIF(J2301,"*86*")&gt;0),"Да","Нет"))</f>
        <v/>
      </c>
      <c r="M2301" s="13">
        <f>IF(OR(G2301="",L2301&lt;&gt;"Да"),"",IF(G2301&lt;=100,"До 100",IF(G2301&lt;=200,"До 200",IF(G2301&lt;=500,"До 500","Отдельное КП"))))</f>
        <v/>
      </c>
      <c r="N2301" s="15">
        <f>IF(OR(G2301="",L2301&lt;&gt;"Да"),"",IF(G2301&lt;=100,33600,IF(G2301&lt;=200,62400,IF(G2301&lt;=500,144000,""))))</f>
        <v/>
      </c>
      <c r="O2301" s="16">
        <f>IF(G2301="","",IF(G2301&lt;=15,"1–15",IF(G2301&lt;=30,"16–30",IF(G2301&lt;=50,"31–50",IF(G2301&lt;=100,"51–100",IF(G2301&lt;=150,"101–150",IF(G2301&lt;=200,"151–200",IF(G2301&lt;=500,"201–500","500+"))))))))</f>
        <v/>
      </c>
      <c r="P2301" s="16" t="inlineStr">
        <is>
          <t>Нет совпадения в предоставленной выгрузке ССЧР</t>
        </is>
      </c>
      <c r="Q2301" s="16" t="n"/>
      <c r="R2301" s="16">
        <f>HYPERLINK("https://checko.ru/search?query=3801001629","Чекко: проверить")</f>
        <v/>
      </c>
      <c r="S2301" t="n">
        <v>0</v>
      </c>
    </row>
    <row r="2302" ht="15" customHeight="1" s="24">
      <c r="A2302" s="13" t="n">
        <v>5000094930</v>
      </c>
      <c r="B2302" s="13" t="inlineStr">
        <is>
          <t>МОУ "СОШ" С.БЕДЫК</t>
        </is>
      </c>
      <c r="C2302" s="13" t="n">
        <v>710005540</v>
      </c>
      <c r="D2302" s="13" t="n"/>
      <c r="E2302" s="13" t="inlineStr">
        <is>
          <t>Не определён</t>
        </is>
      </c>
      <c r="F2302" s="13" t="inlineStr">
        <is>
          <t>710005540</t>
        </is>
      </c>
      <c r="G2302" s="14" t="n"/>
      <c r="H2302" s="14" t="n"/>
      <c r="I2302" s="14" t="n"/>
      <c r="J2302" s="14" t="n"/>
      <c r="K2302" s="13">
        <f>IF(G2302="","",IF(G2302&gt;=22,"Да","Нет"))</f>
        <v/>
      </c>
      <c r="L2302" s="13">
        <f>IF(OR(I2302="",J2302=""),"Не определено",IF(OR(COUNTIF(I2302,"45*")&gt;0,COUNTIF(J2302,"*45*")&gt;0,COUNTIF(I2302,"46*")&gt;0,COUNTIF(J2302,"*46*")&gt;0,COUNTIF(I2302,"47*")&gt;0,COUNTIF(J2302,"*47*")&gt;0,COUNTIF(I2302,"10*")&gt;0,COUNTIF(J2302,"*10*")&gt;0,COUNTIF(I2302,"11*")&gt;0,COUNTIF(J2302,"*11*")&gt;0,COUNTIF(I2302,"12*")&gt;0,COUNTIF(J2302,"*12*")&gt;0,COUNTIF(I2302,"13*")&gt;0,COUNTIF(J2302,"*13*")&gt;0,COUNTIF(I2302,"14*")&gt;0,COUNTIF(J2302,"*14*")&gt;0,COUNTIF(I2302,"15*")&gt;0,COUNTIF(J2302,"*15*")&gt;0,COUNTIF(I2302,"16*")&gt;0,COUNTIF(J2302,"*16*")&gt;0,COUNTIF(I2302,"17*")&gt;0,COUNTIF(J2302,"*17*")&gt;0,COUNTIF(I2302,"18*")&gt;0,COUNTIF(J2302,"*18*")&gt;0,COUNTIF(I2302,"19*")&gt;0,COUNTIF(J2302,"*19*")&gt;0,COUNTIF(I2302,"20*")&gt;0,COUNTIF(J2302,"*20*")&gt;0,COUNTIF(I2302,"21*")&gt;0,COUNTIF(J2302,"*21*")&gt;0,COUNTIF(I2302,"22*")&gt;0,COUNTIF(J2302,"*22*")&gt;0,COUNTIF(I2302,"23*")&gt;0,COUNTIF(J2302,"*23*")&gt;0,COUNTIF(I2302,"24*")&gt;0,COUNTIF(J2302,"*24*")&gt;0,COUNTIF(I2302,"25*")&gt;0,COUNTIF(J2302,"*25*")&gt;0,COUNTIF(I2302,"26*")&gt;0,COUNTIF(J2302,"*26*")&gt;0,COUNTIF(I2302,"27*")&gt;0,COUNTIF(J2302,"*27*")&gt;0,COUNTIF(I2302,"28*")&gt;0,COUNTIF(J2302,"*28*")&gt;0,COUNTIF(I2302,"29*")&gt;0,COUNTIF(J2302,"*29*")&gt;0,COUNTIF(I2302,"30*")&gt;0,COUNTIF(J2302,"*30*")&gt;0,COUNTIF(I2302,"31*")&gt;0,COUNTIF(J2302,"*31*")&gt;0,COUNTIF(I2302,"32*")&gt;0,COUNTIF(J2302,"*32*")&gt;0,COUNTIF(I2302,"33*")&gt;0,COUNTIF(J2302,"*33*")&gt;0,COUNTIF(I2302,"41*")&gt;0,COUNTIF(J2302,"*41*")&gt;0,COUNTIF(I2302,"42*")&gt;0,COUNTIF(J2302,"*42*")&gt;0,COUNTIF(I2302,"43*")&gt;0,COUNTIF(J2302,"*43*")&gt;0,COUNTIF(I2302,"49*")&gt;0,COUNTIF(J2302,"*49*")&gt;0,COUNTIF(I2302,"52*")&gt;0,COUNTIF(J2302,"*52*")&gt;0,COUNTIF(I2302,"55*")&gt;0,COUNTIF(J2302,"*55*")&gt;0,COUNTIF(I2302,"56*")&gt;0,COUNTIF(J2302,"*56*")&gt;0,COUNTIF(I2302,"68*")&gt;0,COUNTIF(J2302,"*68*")&gt;0,COUNTIF(I2302,"78*")&gt;0,COUNTIF(J2302,"*78*")&gt;0,COUNTIF(I2302,"81*")&gt;0,COUNTIF(J2302,"*81*")&gt;0,COUNTIF(I2302,"82*")&gt;0,COUNTIF(J2302,"*82*")&gt;0,COUNTIF(I2302,"64*")&gt;0,COUNTIF(J2302,"*64*")&gt;0,COUNTIF(I2302,"65*")&gt;0,COUNTIF(J2302,"*65*")&gt;0,COUNTIF(I2302,"66*")&gt;0,COUNTIF(J2302,"*66*")&gt;0,COUNTIF(I2302,"61*")&gt;0,COUNTIF(J2302,"*61*")&gt;0,COUNTIF(I2302,"62*")&gt;0,COUNTIF(J2302,"*62*")&gt;0,COUNTIF(I2302,"63*")&gt;0,COUNTIF(J2302,"*63*")&gt;0,COUNTIF(I2302,"85*")&gt;0,COUNTIF(J2302,"*85*")&gt;0,COUNTIF(I2302,"86*")&gt;0,COUNTIF(J2302,"*86*")&gt;0),"Да","Нет"))</f>
        <v/>
      </c>
      <c r="M2302" s="13">
        <f>IF(OR(G2302="",L2302&lt;&gt;"Да"),"",IF(G2302&lt;=100,"До 100",IF(G2302&lt;=200,"До 200",IF(G2302&lt;=500,"До 500","Отдельное КП"))))</f>
        <v/>
      </c>
      <c r="N2302" s="15">
        <f>IF(OR(G2302="",L2302&lt;&gt;"Да"),"",IF(G2302&lt;=100,33600,IF(G2302&lt;=200,62400,IF(G2302&lt;=500,144000,""))))</f>
        <v/>
      </c>
      <c r="O2302" s="16">
        <f>IF(G2302="","",IF(G2302&lt;=15,"1–15",IF(G2302&lt;=30,"16–30",IF(G2302&lt;=50,"31–50",IF(G2302&lt;=100,"51–100",IF(G2302&lt;=150,"101–150",IF(G2302&lt;=200,"151–200",IF(G2302&lt;=500,"201–500","500+"))))))))</f>
        <v/>
      </c>
      <c r="P2302" s="16" t="inlineStr">
        <is>
          <t>Нет совпадения в предоставленной выгрузке ССЧР</t>
        </is>
      </c>
      <c r="Q2302" s="16" t="n"/>
      <c r="R2302" s="16">
        <f>HYPERLINK("https://checko.ru/search?query=3801001629","Чекко: проверить")</f>
        <v/>
      </c>
      <c r="S2302" t="n">
        <v>0</v>
      </c>
    </row>
    <row r="2303" ht="15" customHeight="1" s="24">
      <c r="A2303" s="13" t="n">
        <v>5000094931</v>
      </c>
      <c r="B2303" s="13" t="inlineStr">
        <is>
          <t>МКУ "СШОР ИМ. Ю. К. БАЙЗУЛАЕВА"</t>
        </is>
      </c>
      <c r="C2303" s="13" t="n">
        <v>710005557</v>
      </c>
      <c r="D2303" s="13" t="n"/>
      <c r="E2303" s="13" t="inlineStr">
        <is>
          <t>Не определён</t>
        </is>
      </c>
      <c r="F2303" s="13" t="inlineStr">
        <is>
          <t>710005557</t>
        </is>
      </c>
      <c r="G2303" s="14" t="n"/>
      <c r="H2303" s="14" t="n"/>
      <c r="I2303" s="14" t="n"/>
      <c r="J2303" s="14" t="n"/>
      <c r="K2303" s="13">
        <f>IF(G2303="","",IF(G2303&gt;=22,"Да","Нет"))</f>
        <v/>
      </c>
      <c r="L2303" s="13">
        <f>IF(OR(I2303="",J2303=""),"Не определено",IF(OR(COUNTIF(I2303,"45*")&gt;0,COUNTIF(J2303,"*45*")&gt;0,COUNTIF(I2303,"46*")&gt;0,COUNTIF(J2303,"*46*")&gt;0,COUNTIF(I2303,"47*")&gt;0,COUNTIF(J2303,"*47*")&gt;0,COUNTIF(I2303,"10*")&gt;0,COUNTIF(J2303,"*10*")&gt;0,COUNTIF(I2303,"11*")&gt;0,COUNTIF(J2303,"*11*")&gt;0,COUNTIF(I2303,"12*")&gt;0,COUNTIF(J2303,"*12*")&gt;0,COUNTIF(I2303,"13*")&gt;0,COUNTIF(J2303,"*13*")&gt;0,COUNTIF(I2303,"14*")&gt;0,COUNTIF(J2303,"*14*")&gt;0,COUNTIF(I2303,"15*")&gt;0,COUNTIF(J2303,"*15*")&gt;0,COUNTIF(I2303,"16*")&gt;0,COUNTIF(J2303,"*16*")&gt;0,COUNTIF(I2303,"17*")&gt;0,COUNTIF(J2303,"*17*")&gt;0,COUNTIF(I2303,"18*")&gt;0,COUNTIF(J2303,"*18*")&gt;0,COUNTIF(I2303,"19*")&gt;0,COUNTIF(J2303,"*19*")&gt;0,COUNTIF(I2303,"20*")&gt;0,COUNTIF(J2303,"*20*")&gt;0,COUNTIF(I2303,"21*")&gt;0,COUNTIF(J2303,"*21*")&gt;0,COUNTIF(I2303,"22*")&gt;0,COUNTIF(J2303,"*22*")&gt;0,COUNTIF(I2303,"23*")&gt;0,COUNTIF(J2303,"*23*")&gt;0,COUNTIF(I2303,"24*")&gt;0,COUNTIF(J2303,"*24*")&gt;0,COUNTIF(I2303,"25*")&gt;0,COUNTIF(J2303,"*25*")&gt;0,COUNTIF(I2303,"26*")&gt;0,COUNTIF(J2303,"*26*")&gt;0,COUNTIF(I2303,"27*")&gt;0,COUNTIF(J2303,"*27*")&gt;0,COUNTIF(I2303,"28*")&gt;0,COUNTIF(J2303,"*28*")&gt;0,COUNTIF(I2303,"29*")&gt;0,COUNTIF(J2303,"*29*")&gt;0,COUNTIF(I2303,"30*")&gt;0,COUNTIF(J2303,"*30*")&gt;0,COUNTIF(I2303,"31*")&gt;0,COUNTIF(J2303,"*31*")&gt;0,COUNTIF(I2303,"32*")&gt;0,COUNTIF(J2303,"*32*")&gt;0,COUNTIF(I2303,"33*")&gt;0,COUNTIF(J2303,"*33*")&gt;0,COUNTIF(I2303,"41*")&gt;0,COUNTIF(J2303,"*41*")&gt;0,COUNTIF(I2303,"42*")&gt;0,COUNTIF(J2303,"*42*")&gt;0,COUNTIF(I2303,"43*")&gt;0,COUNTIF(J2303,"*43*")&gt;0,COUNTIF(I2303,"49*")&gt;0,COUNTIF(J2303,"*49*")&gt;0,COUNTIF(I2303,"52*")&gt;0,COUNTIF(J2303,"*52*")&gt;0,COUNTIF(I2303,"55*")&gt;0,COUNTIF(J2303,"*55*")&gt;0,COUNTIF(I2303,"56*")&gt;0,COUNTIF(J2303,"*56*")&gt;0,COUNTIF(I2303,"68*")&gt;0,COUNTIF(J2303,"*68*")&gt;0,COUNTIF(I2303,"78*")&gt;0,COUNTIF(J2303,"*78*")&gt;0,COUNTIF(I2303,"81*")&gt;0,COUNTIF(J2303,"*81*")&gt;0,COUNTIF(I2303,"82*")&gt;0,COUNTIF(J2303,"*82*")&gt;0,COUNTIF(I2303,"64*")&gt;0,COUNTIF(J2303,"*64*")&gt;0,COUNTIF(I2303,"65*")&gt;0,COUNTIF(J2303,"*65*")&gt;0,COUNTIF(I2303,"66*")&gt;0,COUNTIF(J2303,"*66*")&gt;0,COUNTIF(I2303,"61*")&gt;0,COUNTIF(J2303,"*61*")&gt;0,COUNTIF(I2303,"62*")&gt;0,COUNTIF(J2303,"*62*")&gt;0,COUNTIF(I2303,"63*")&gt;0,COUNTIF(J2303,"*63*")&gt;0,COUNTIF(I2303,"85*")&gt;0,COUNTIF(J2303,"*85*")&gt;0,COUNTIF(I2303,"86*")&gt;0,COUNTIF(J2303,"*86*")&gt;0),"Да","Нет"))</f>
        <v/>
      </c>
      <c r="M2303" s="13">
        <f>IF(OR(G2303="",L2303&lt;&gt;"Да"),"",IF(G2303&lt;=100,"До 100",IF(G2303&lt;=200,"До 200",IF(G2303&lt;=500,"До 500","Отдельное КП"))))</f>
        <v/>
      </c>
      <c r="N2303" s="15">
        <f>IF(OR(G2303="",L2303&lt;&gt;"Да"),"",IF(G2303&lt;=100,33600,IF(G2303&lt;=200,62400,IF(G2303&lt;=500,144000,""))))</f>
        <v/>
      </c>
      <c r="O2303" s="16">
        <f>IF(G2303="","",IF(G2303&lt;=15,"1–15",IF(G2303&lt;=30,"16–30",IF(G2303&lt;=50,"31–50",IF(G2303&lt;=100,"51–100",IF(G2303&lt;=150,"101–150",IF(G2303&lt;=200,"151–200",IF(G2303&lt;=500,"201–500","500+"))))))))</f>
        <v/>
      </c>
      <c r="P2303" s="16" t="inlineStr">
        <is>
          <t>Нет совпадения в предоставленной выгрузке ССЧР</t>
        </is>
      </c>
      <c r="Q2303" s="16" t="n"/>
      <c r="R2303" s="16">
        <f>HYPERLINK("https://checko.ru/search?query=3801001629","Чекко: проверить")</f>
        <v/>
      </c>
      <c r="S2303" t="n">
        <v>0</v>
      </c>
    </row>
    <row r="2304" ht="15" customHeight="1" s="24">
      <c r="A2304" s="13" t="n">
        <v>5000094933</v>
      </c>
      <c r="B2304" s="13" t="inlineStr">
        <is>
          <t>МОУ "СОШ" с.Терскол</t>
        </is>
      </c>
      <c r="C2304" s="13" t="n">
        <v>710005910</v>
      </c>
      <c r="D2304" s="13" t="n"/>
      <c r="E2304" s="13" t="inlineStr">
        <is>
          <t>Не определён</t>
        </is>
      </c>
      <c r="F2304" s="13" t="inlineStr">
        <is>
          <t>710005910</t>
        </is>
      </c>
      <c r="G2304" s="14" t="n"/>
      <c r="H2304" s="14" t="n"/>
      <c r="I2304" s="14" t="n"/>
      <c r="J2304" s="14" t="n"/>
      <c r="K2304" s="13">
        <f>IF(G2304="","",IF(G2304&gt;=22,"Да","Нет"))</f>
        <v/>
      </c>
      <c r="L2304" s="13">
        <f>IF(OR(I2304="",J2304=""),"Не определено",IF(OR(COUNTIF(I2304,"45*")&gt;0,COUNTIF(J2304,"*45*")&gt;0,COUNTIF(I2304,"46*")&gt;0,COUNTIF(J2304,"*46*")&gt;0,COUNTIF(I2304,"47*")&gt;0,COUNTIF(J2304,"*47*")&gt;0,COUNTIF(I2304,"10*")&gt;0,COUNTIF(J2304,"*10*")&gt;0,COUNTIF(I2304,"11*")&gt;0,COUNTIF(J2304,"*11*")&gt;0,COUNTIF(I2304,"12*")&gt;0,COUNTIF(J2304,"*12*")&gt;0,COUNTIF(I2304,"13*")&gt;0,COUNTIF(J2304,"*13*")&gt;0,COUNTIF(I2304,"14*")&gt;0,COUNTIF(J2304,"*14*")&gt;0,COUNTIF(I2304,"15*")&gt;0,COUNTIF(J2304,"*15*")&gt;0,COUNTIF(I2304,"16*")&gt;0,COUNTIF(J2304,"*16*")&gt;0,COUNTIF(I2304,"17*")&gt;0,COUNTIF(J2304,"*17*")&gt;0,COUNTIF(I2304,"18*")&gt;0,COUNTIF(J2304,"*18*")&gt;0,COUNTIF(I2304,"19*")&gt;0,COUNTIF(J2304,"*19*")&gt;0,COUNTIF(I2304,"20*")&gt;0,COUNTIF(J2304,"*20*")&gt;0,COUNTIF(I2304,"21*")&gt;0,COUNTIF(J2304,"*21*")&gt;0,COUNTIF(I2304,"22*")&gt;0,COUNTIF(J2304,"*22*")&gt;0,COUNTIF(I2304,"23*")&gt;0,COUNTIF(J2304,"*23*")&gt;0,COUNTIF(I2304,"24*")&gt;0,COUNTIF(J2304,"*24*")&gt;0,COUNTIF(I2304,"25*")&gt;0,COUNTIF(J2304,"*25*")&gt;0,COUNTIF(I2304,"26*")&gt;0,COUNTIF(J2304,"*26*")&gt;0,COUNTIF(I2304,"27*")&gt;0,COUNTIF(J2304,"*27*")&gt;0,COUNTIF(I2304,"28*")&gt;0,COUNTIF(J2304,"*28*")&gt;0,COUNTIF(I2304,"29*")&gt;0,COUNTIF(J2304,"*29*")&gt;0,COUNTIF(I2304,"30*")&gt;0,COUNTIF(J2304,"*30*")&gt;0,COUNTIF(I2304,"31*")&gt;0,COUNTIF(J2304,"*31*")&gt;0,COUNTIF(I2304,"32*")&gt;0,COUNTIF(J2304,"*32*")&gt;0,COUNTIF(I2304,"33*")&gt;0,COUNTIF(J2304,"*33*")&gt;0,COUNTIF(I2304,"41*")&gt;0,COUNTIF(J2304,"*41*")&gt;0,COUNTIF(I2304,"42*")&gt;0,COUNTIF(J2304,"*42*")&gt;0,COUNTIF(I2304,"43*")&gt;0,COUNTIF(J2304,"*43*")&gt;0,COUNTIF(I2304,"49*")&gt;0,COUNTIF(J2304,"*49*")&gt;0,COUNTIF(I2304,"52*")&gt;0,COUNTIF(J2304,"*52*")&gt;0,COUNTIF(I2304,"55*")&gt;0,COUNTIF(J2304,"*55*")&gt;0,COUNTIF(I2304,"56*")&gt;0,COUNTIF(J2304,"*56*")&gt;0,COUNTIF(I2304,"68*")&gt;0,COUNTIF(J2304,"*68*")&gt;0,COUNTIF(I2304,"78*")&gt;0,COUNTIF(J2304,"*78*")&gt;0,COUNTIF(I2304,"81*")&gt;0,COUNTIF(J2304,"*81*")&gt;0,COUNTIF(I2304,"82*")&gt;0,COUNTIF(J2304,"*82*")&gt;0,COUNTIF(I2304,"64*")&gt;0,COUNTIF(J2304,"*64*")&gt;0,COUNTIF(I2304,"65*")&gt;0,COUNTIF(J2304,"*65*")&gt;0,COUNTIF(I2304,"66*")&gt;0,COUNTIF(J2304,"*66*")&gt;0,COUNTIF(I2304,"61*")&gt;0,COUNTIF(J2304,"*61*")&gt;0,COUNTIF(I2304,"62*")&gt;0,COUNTIF(J2304,"*62*")&gt;0,COUNTIF(I2304,"63*")&gt;0,COUNTIF(J2304,"*63*")&gt;0,COUNTIF(I2304,"85*")&gt;0,COUNTIF(J2304,"*85*")&gt;0,COUNTIF(I2304,"86*")&gt;0,COUNTIF(J2304,"*86*")&gt;0),"Да","Нет"))</f>
        <v/>
      </c>
      <c r="M2304" s="13">
        <f>IF(OR(G2304="",L2304&lt;&gt;"Да"),"",IF(G2304&lt;=100,"До 100",IF(G2304&lt;=200,"До 200",IF(G2304&lt;=500,"До 500","Отдельное КП"))))</f>
        <v/>
      </c>
      <c r="N2304" s="15">
        <f>IF(OR(G2304="",L2304&lt;&gt;"Да"),"",IF(G2304&lt;=100,33600,IF(G2304&lt;=200,62400,IF(G2304&lt;=500,144000,""))))</f>
        <v/>
      </c>
      <c r="O2304" s="16">
        <f>IF(G2304="","",IF(G2304&lt;=15,"1–15",IF(G2304&lt;=30,"16–30",IF(G2304&lt;=50,"31–50",IF(G2304&lt;=100,"51–100",IF(G2304&lt;=150,"101–150",IF(G2304&lt;=200,"151–200",IF(G2304&lt;=500,"201–500","500+"))))))))</f>
        <v/>
      </c>
      <c r="P2304" s="16" t="inlineStr">
        <is>
          <t>Нет совпадения в предоставленной выгрузке ССЧР</t>
        </is>
      </c>
      <c r="Q2304" s="16" t="n"/>
      <c r="R2304" s="16">
        <f>HYPERLINK("https://checko.ru/search?query=3801001629","Чекко: проверить")</f>
        <v/>
      </c>
      <c r="S2304" t="n">
        <v>0</v>
      </c>
    </row>
    <row r="2305" ht="27.75" customHeight="1" s="24">
      <c r="A2305" s="13" t="n">
        <v>5000094865</v>
      </c>
      <c r="B2305" s="13" t="inlineStr">
        <is>
          <t>Местная администрация Верхне-Чегемского сельского поселения</t>
        </is>
      </c>
      <c r="C2305" s="13" t="n">
        <v>708006465</v>
      </c>
      <c r="D2305" s="13" t="n"/>
      <c r="E2305" s="13" t="inlineStr">
        <is>
          <t>Не определён</t>
        </is>
      </c>
      <c r="F2305" s="13" t="inlineStr">
        <is>
          <t>708006465</t>
        </is>
      </c>
      <c r="G2305" s="14" t="n"/>
      <c r="H2305" s="14" t="n"/>
      <c r="I2305" s="14" t="n"/>
      <c r="J2305" s="14" t="n"/>
      <c r="K2305" s="13">
        <f>IF(G2305="","",IF(G2305&gt;=22,"Да","Нет"))</f>
        <v/>
      </c>
      <c r="L2305" s="13">
        <f>IF(OR(I2305="",J2305=""),"Не определено",IF(OR(COUNTIF(I2305,"45*")&gt;0,COUNTIF(J2305,"*45*")&gt;0,COUNTIF(I2305,"46*")&gt;0,COUNTIF(J2305,"*46*")&gt;0,COUNTIF(I2305,"47*")&gt;0,COUNTIF(J2305,"*47*")&gt;0,COUNTIF(I2305,"10*")&gt;0,COUNTIF(J2305,"*10*")&gt;0,COUNTIF(I2305,"11*")&gt;0,COUNTIF(J2305,"*11*")&gt;0,COUNTIF(I2305,"12*")&gt;0,COUNTIF(J2305,"*12*")&gt;0,COUNTIF(I2305,"13*")&gt;0,COUNTIF(J2305,"*13*")&gt;0,COUNTIF(I2305,"14*")&gt;0,COUNTIF(J2305,"*14*")&gt;0,COUNTIF(I2305,"15*")&gt;0,COUNTIF(J2305,"*15*")&gt;0,COUNTIF(I2305,"16*")&gt;0,COUNTIF(J2305,"*16*")&gt;0,COUNTIF(I2305,"17*")&gt;0,COUNTIF(J2305,"*17*")&gt;0,COUNTIF(I2305,"18*")&gt;0,COUNTIF(J2305,"*18*")&gt;0,COUNTIF(I2305,"19*")&gt;0,COUNTIF(J2305,"*19*")&gt;0,COUNTIF(I2305,"20*")&gt;0,COUNTIF(J2305,"*20*")&gt;0,COUNTIF(I2305,"21*")&gt;0,COUNTIF(J2305,"*21*")&gt;0,COUNTIF(I2305,"22*")&gt;0,COUNTIF(J2305,"*22*")&gt;0,COUNTIF(I2305,"23*")&gt;0,COUNTIF(J2305,"*23*")&gt;0,COUNTIF(I2305,"24*")&gt;0,COUNTIF(J2305,"*24*")&gt;0,COUNTIF(I2305,"25*")&gt;0,COUNTIF(J2305,"*25*")&gt;0,COUNTIF(I2305,"26*")&gt;0,COUNTIF(J2305,"*26*")&gt;0,COUNTIF(I2305,"27*")&gt;0,COUNTIF(J2305,"*27*")&gt;0,COUNTIF(I2305,"28*")&gt;0,COUNTIF(J2305,"*28*")&gt;0,COUNTIF(I2305,"29*")&gt;0,COUNTIF(J2305,"*29*")&gt;0,COUNTIF(I2305,"30*")&gt;0,COUNTIF(J2305,"*30*")&gt;0,COUNTIF(I2305,"31*")&gt;0,COUNTIF(J2305,"*31*")&gt;0,COUNTIF(I2305,"32*")&gt;0,COUNTIF(J2305,"*32*")&gt;0,COUNTIF(I2305,"33*")&gt;0,COUNTIF(J2305,"*33*")&gt;0,COUNTIF(I2305,"41*")&gt;0,COUNTIF(J2305,"*41*")&gt;0,COUNTIF(I2305,"42*")&gt;0,COUNTIF(J2305,"*42*")&gt;0,COUNTIF(I2305,"43*")&gt;0,COUNTIF(J2305,"*43*")&gt;0,COUNTIF(I2305,"49*")&gt;0,COUNTIF(J2305,"*49*")&gt;0,COUNTIF(I2305,"52*")&gt;0,COUNTIF(J2305,"*52*")&gt;0,COUNTIF(I2305,"55*")&gt;0,COUNTIF(J2305,"*55*")&gt;0,COUNTIF(I2305,"56*")&gt;0,COUNTIF(J2305,"*56*")&gt;0,COUNTIF(I2305,"68*")&gt;0,COUNTIF(J2305,"*68*")&gt;0,COUNTIF(I2305,"78*")&gt;0,COUNTIF(J2305,"*78*")&gt;0,COUNTIF(I2305,"81*")&gt;0,COUNTIF(J2305,"*81*")&gt;0,COUNTIF(I2305,"82*")&gt;0,COUNTIF(J2305,"*82*")&gt;0,COUNTIF(I2305,"64*")&gt;0,COUNTIF(J2305,"*64*")&gt;0,COUNTIF(I2305,"65*")&gt;0,COUNTIF(J2305,"*65*")&gt;0,COUNTIF(I2305,"66*")&gt;0,COUNTIF(J2305,"*66*")&gt;0,COUNTIF(I2305,"61*")&gt;0,COUNTIF(J2305,"*61*")&gt;0,COUNTIF(I2305,"62*")&gt;0,COUNTIF(J2305,"*62*")&gt;0,COUNTIF(I2305,"63*")&gt;0,COUNTIF(J2305,"*63*")&gt;0,COUNTIF(I2305,"85*")&gt;0,COUNTIF(J2305,"*85*")&gt;0,COUNTIF(I2305,"86*")&gt;0,COUNTIF(J2305,"*86*")&gt;0),"Да","Нет"))</f>
        <v/>
      </c>
      <c r="M2305" s="13">
        <f>IF(OR(G2305="",L2305&lt;&gt;"Да"),"",IF(G2305&lt;=100,"До 100",IF(G2305&lt;=200,"До 200",IF(G2305&lt;=500,"До 500","Отдельное КП"))))</f>
        <v/>
      </c>
      <c r="N2305" s="15">
        <f>IF(OR(G2305="",L2305&lt;&gt;"Да"),"",IF(G2305&lt;=100,33600,IF(G2305&lt;=200,62400,IF(G2305&lt;=500,144000,""))))</f>
        <v/>
      </c>
      <c r="O2305" s="16">
        <f>IF(G2305="","",IF(G2305&lt;=15,"1–15",IF(G2305&lt;=30,"16–30",IF(G2305&lt;=50,"31–50",IF(G2305&lt;=100,"51–100",IF(G2305&lt;=150,"101–150",IF(G2305&lt;=200,"151–200",IF(G2305&lt;=500,"201–500","500+"))))))))</f>
        <v/>
      </c>
      <c r="P2305" s="16" t="inlineStr">
        <is>
          <t>Нет совпадения в предоставленной выгрузке ССЧР</t>
        </is>
      </c>
      <c r="Q2305" s="16" t="n"/>
      <c r="R2305" s="16">
        <f>HYPERLINK("https://checko.ru/search?query=3801001629","Чекко: проверить")</f>
        <v/>
      </c>
      <c r="S2305" t="n">
        <v>0</v>
      </c>
    </row>
    <row r="2306" ht="27.75" customHeight="1" s="24">
      <c r="A2306" s="13" t="n">
        <v>5000094866</v>
      </c>
      <c r="B2306" s="13" t="inlineStr">
        <is>
          <t>Местная администрация с.п. Хушто-Сырт Чегемского муниципального района КБР</t>
        </is>
      </c>
      <c r="C2306" s="13" t="n">
        <v>708006472</v>
      </c>
      <c r="D2306" s="13" t="n"/>
      <c r="E2306" s="13" t="inlineStr">
        <is>
          <t>Не определён</t>
        </is>
      </c>
      <c r="F2306" s="13" t="inlineStr">
        <is>
          <t>708006472</t>
        </is>
      </c>
      <c r="G2306" s="14" t="n"/>
      <c r="H2306" s="14" t="n"/>
      <c r="I2306" s="14" t="n"/>
      <c r="J2306" s="14" t="n"/>
      <c r="K2306" s="13">
        <f>IF(G2306="","",IF(G2306&gt;=22,"Да","Нет"))</f>
        <v/>
      </c>
      <c r="L2306" s="13">
        <f>IF(OR(I2306="",J2306=""),"Не определено",IF(OR(COUNTIF(I2306,"45*")&gt;0,COUNTIF(J2306,"*45*")&gt;0,COUNTIF(I2306,"46*")&gt;0,COUNTIF(J2306,"*46*")&gt;0,COUNTIF(I2306,"47*")&gt;0,COUNTIF(J2306,"*47*")&gt;0,COUNTIF(I2306,"10*")&gt;0,COUNTIF(J2306,"*10*")&gt;0,COUNTIF(I2306,"11*")&gt;0,COUNTIF(J2306,"*11*")&gt;0,COUNTIF(I2306,"12*")&gt;0,COUNTIF(J2306,"*12*")&gt;0,COUNTIF(I2306,"13*")&gt;0,COUNTIF(J2306,"*13*")&gt;0,COUNTIF(I2306,"14*")&gt;0,COUNTIF(J2306,"*14*")&gt;0,COUNTIF(I2306,"15*")&gt;0,COUNTIF(J2306,"*15*")&gt;0,COUNTIF(I2306,"16*")&gt;0,COUNTIF(J2306,"*16*")&gt;0,COUNTIF(I2306,"17*")&gt;0,COUNTIF(J2306,"*17*")&gt;0,COUNTIF(I2306,"18*")&gt;0,COUNTIF(J2306,"*18*")&gt;0,COUNTIF(I2306,"19*")&gt;0,COUNTIF(J2306,"*19*")&gt;0,COUNTIF(I2306,"20*")&gt;0,COUNTIF(J2306,"*20*")&gt;0,COUNTIF(I2306,"21*")&gt;0,COUNTIF(J2306,"*21*")&gt;0,COUNTIF(I2306,"22*")&gt;0,COUNTIF(J2306,"*22*")&gt;0,COUNTIF(I2306,"23*")&gt;0,COUNTIF(J2306,"*23*")&gt;0,COUNTIF(I2306,"24*")&gt;0,COUNTIF(J2306,"*24*")&gt;0,COUNTIF(I2306,"25*")&gt;0,COUNTIF(J2306,"*25*")&gt;0,COUNTIF(I2306,"26*")&gt;0,COUNTIF(J2306,"*26*")&gt;0,COUNTIF(I2306,"27*")&gt;0,COUNTIF(J2306,"*27*")&gt;0,COUNTIF(I2306,"28*")&gt;0,COUNTIF(J2306,"*28*")&gt;0,COUNTIF(I2306,"29*")&gt;0,COUNTIF(J2306,"*29*")&gt;0,COUNTIF(I2306,"30*")&gt;0,COUNTIF(J2306,"*30*")&gt;0,COUNTIF(I2306,"31*")&gt;0,COUNTIF(J2306,"*31*")&gt;0,COUNTIF(I2306,"32*")&gt;0,COUNTIF(J2306,"*32*")&gt;0,COUNTIF(I2306,"33*")&gt;0,COUNTIF(J2306,"*33*")&gt;0,COUNTIF(I2306,"41*")&gt;0,COUNTIF(J2306,"*41*")&gt;0,COUNTIF(I2306,"42*")&gt;0,COUNTIF(J2306,"*42*")&gt;0,COUNTIF(I2306,"43*")&gt;0,COUNTIF(J2306,"*43*")&gt;0,COUNTIF(I2306,"49*")&gt;0,COUNTIF(J2306,"*49*")&gt;0,COUNTIF(I2306,"52*")&gt;0,COUNTIF(J2306,"*52*")&gt;0,COUNTIF(I2306,"55*")&gt;0,COUNTIF(J2306,"*55*")&gt;0,COUNTIF(I2306,"56*")&gt;0,COUNTIF(J2306,"*56*")&gt;0,COUNTIF(I2306,"68*")&gt;0,COUNTIF(J2306,"*68*")&gt;0,COUNTIF(I2306,"78*")&gt;0,COUNTIF(J2306,"*78*")&gt;0,COUNTIF(I2306,"81*")&gt;0,COUNTIF(J2306,"*81*")&gt;0,COUNTIF(I2306,"82*")&gt;0,COUNTIF(J2306,"*82*")&gt;0,COUNTIF(I2306,"64*")&gt;0,COUNTIF(J2306,"*64*")&gt;0,COUNTIF(I2306,"65*")&gt;0,COUNTIF(J2306,"*65*")&gt;0,COUNTIF(I2306,"66*")&gt;0,COUNTIF(J2306,"*66*")&gt;0,COUNTIF(I2306,"61*")&gt;0,COUNTIF(J2306,"*61*")&gt;0,COUNTIF(I2306,"62*")&gt;0,COUNTIF(J2306,"*62*")&gt;0,COUNTIF(I2306,"63*")&gt;0,COUNTIF(J2306,"*63*")&gt;0,COUNTIF(I2306,"85*")&gt;0,COUNTIF(J2306,"*85*")&gt;0,COUNTIF(I2306,"86*")&gt;0,COUNTIF(J2306,"*86*")&gt;0),"Да","Нет"))</f>
        <v/>
      </c>
      <c r="M2306" s="13">
        <f>IF(OR(G2306="",L2306&lt;&gt;"Да"),"",IF(G2306&lt;=100,"До 100",IF(G2306&lt;=200,"До 200",IF(G2306&lt;=500,"До 500","Отдельное КП"))))</f>
        <v/>
      </c>
      <c r="N2306" s="15">
        <f>IF(OR(G2306="",L2306&lt;&gt;"Да"),"",IF(G2306&lt;=100,33600,IF(G2306&lt;=200,62400,IF(G2306&lt;=500,144000,""))))</f>
        <v/>
      </c>
      <c r="O2306" s="16">
        <f>IF(G2306="","",IF(G2306&lt;=15,"1–15",IF(G2306&lt;=30,"16–30",IF(G2306&lt;=50,"31–50",IF(G2306&lt;=100,"51–100",IF(G2306&lt;=150,"101–150",IF(G2306&lt;=200,"151–200",IF(G2306&lt;=500,"201–500","500+"))))))))</f>
        <v/>
      </c>
      <c r="P2306" s="16" t="inlineStr">
        <is>
          <t>Нет совпадения в предоставленной выгрузке ССЧР</t>
        </is>
      </c>
      <c r="Q2306" s="16" t="n"/>
      <c r="R2306" s="16">
        <f>HYPERLINK("https://checko.ru/search?query=3801001629","Чекко: проверить")</f>
        <v/>
      </c>
      <c r="S2306" t="n">
        <v>0</v>
      </c>
    </row>
    <row r="2307" ht="15" customHeight="1" s="24">
      <c r="A2307" s="13" t="n">
        <v>5000094867</v>
      </c>
      <c r="B2307" s="13" t="inlineStr">
        <is>
          <t>МКОУ "СОШ №2 с.п. Шалушка"</t>
        </is>
      </c>
      <c r="C2307" s="13" t="n">
        <v>708006578</v>
      </c>
      <c r="D2307" s="13" t="n"/>
      <c r="E2307" s="13" t="inlineStr">
        <is>
          <t>Не определён</t>
        </is>
      </c>
      <c r="F2307" s="13" t="inlineStr">
        <is>
          <t>708006578</t>
        </is>
      </c>
      <c r="G2307" s="14" t="n"/>
      <c r="H2307" s="14" t="n"/>
      <c r="I2307" s="14" t="n"/>
      <c r="J2307" s="14" t="n"/>
      <c r="K2307" s="13">
        <f>IF(G2307="","",IF(G2307&gt;=22,"Да","Нет"))</f>
        <v/>
      </c>
      <c r="L2307" s="13">
        <f>IF(OR(I2307="",J2307=""),"Не определено",IF(OR(COUNTIF(I2307,"45*")&gt;0,COUNTIF(J2307,"*45*")&gt;0,COUNTIF(I2307,"46*")&gt;0,COUNTIF(J2307,"*46*")&gt;0,COUNTIF(I2307,"47*")&gt;0,COUNTIF(J2307,"*47*")&gt;0,COUNTIF(I2307,"10*")&gt;0,COUNTIF(J2307,"*10*")&gt;0,COUNTIF(I2307,"11*")&gt;0,COUNTIF(J2307,"*11*")&gt;0,COUNTIF(I2307,"12*")&gt;0,COUNTIF(J2307,"*12*")&gt;0,COUNTIF(I2307,"13*")&gt;0,COUNTIF(J2307,"*13*")&gt;0,COUNTIF(I2307,"14*")&gt;0,COUNTIF(J2307,"*14*")&gt;0,COUNTIF(I2307,"15*")&gt;0,COUNTIF(J2307,"*15*")&gt;0,COUNTIF(I2307,"16*")&gt;0,COUNTIF(J2307,"*16*")&gt;0,COUNTIF(I2307,"17*")&gt;0,COUNTIF(J2307,"*17*")&gt;0,COUNTIF(I2307,"18*")&gt;0,COUNTIF(J2307,"*18*")&gt;0,COUNTIF(I2307,"19*")&gt;0,COUNTIF(J2307,"*19*")&gt;0,COUNTIF(I2307,"20*")&gt;0,COUNTIF(J2307,"*20*")&gt;0,COUNTIF(I2307,"21*")&gt;0,COUNTIF(J2307,"*21*")&gt;0,COUNTIF(I2307,"22*")&gt;0,COUNTIF(J2307,"*22*")&gt;0,COUNTIF(I2307,"23*")&gt;0,COUNTIF(J2307,"*23*")&gt;0,COUNTIF(I2307,"24*")&gt;0,COUNTIF(J2307,"*24*")&gt;0,COUNTIF(I2307,"25*")&gt;0,COUNTIF(J2307,"*25*")&gt;0,COUNTIF(I2307,"26*")&gt;0,COUNTIF(J2307,"*26*")&gt;0,COUNTIF(I2307,"27*")&gt;0,COUNTIF(J2307,"*27*")&gt;0,COUNTIF(I2307,"28*")&gt;0,COUNTIF(J2307,"*28*")&gt;0,COUNTIF(I2307,"29*")&gt;0,COUNTIF(J2307,"*29*")&gt;0,COUNTIF(I2307,"30*")&gt;0,COUNTIF(J2307,"*30*")&gt;0,COUNTIF(I2307,"31*")&gt;0,COUNTIF(J2307,"*31*")&gt;0,COUNTIF(I2307,"32*")&gt;0,COUNTIF(J2307,"*32*")&gt;0,COUNTIF(I2307,"33*")&gt;0,COUNTIF(J2307,"*33*")&gt;0,COUNTIF(I2307,"41*")&gt;0,COUNTIF(J2307,"*41*")&gt;0,COUNTIF(I2307,"42*")&gt;0,COUNTIF(J2307,"*42*")&gt;0,COUNTIF(I2307,"43*")&gt;0,COUNTIF(J2307,"*43*")&gt;0,COUNTIF(I2307,"49*")&gt;0,COUNTIF(J2307,"*49*")&gt;0,COUNTIF(I2307,"52*")&gt;0,COUNTIF(J2307,"*52*")&gt;0,COUNTIF(I2307,"55*")&gt;0,COUNTIF(J2307,"*55*")&gt;0,COUNTIF(I2307,"56*")&gt;0,COUNTIF(J2307,"*56*")&gt;0,COUNTIF(I2307,"68*")&gt;0,COUNTIF(J2307,"*68*")&gt;0,COUNTIF(I2307,"78*")&gt;0,COUNTIF(J2307,"*78*")&gt;0,COUNTIF(I2307,"81*")&gt;0,COUNTIF(J2307,"*81*")&gt;0,COUNTIF(I2307,"82*")&gt;0,COUNTIF(J2307,"*82*")&gt;0,COUNTIF(I2307,"64*")&gt;0,COUNTIF(J2307,"*64*")&gt;0,COUNTIF(I2307,"65*")&gt;0,COUNTIF(J2307,"*65*")&gt;0,COUNTIF(I2307,"66*")&gt;0,COUNTIF(J2307,"*66*")&gt;0,COUNTIF(I2307,"61*")&gt;0,COUNTIF(J2307,"*61*")&gt;0,COUNTIF(I2307,"62*")&gt;0,COUNTIF(J2307,"*62*")&gt;0,COUNTIF(I2307,"63*")&gt;0,COUNTIF(J2307,"*63*")&gt;0,COUNTIF(I2307,"85*")&gt;0,COUNTIF(J2307,"*85*")&gt;0,COUNTIF(I2307,"86*")&gt;0,COUNTIF(J2307,"*86*")&gt;0),"Да","Нет"))</f>
        <v/>
      </c>
      <c r="M2307" s="13">
        <f>IF(OR(G2307="",L2307&lt;&gt;"Да"),"",IF(G2307&lt;=100,"До 100",IF(G2307&lt;=200,"До 200",IF(G2307&lt;=500,"До 500","Отдельное КП"))))</f>
        <v/>
      </c>
      <c r="N2307" s="15">
        <f>IF(OR(G2307="",L2307&lt;&gt;"Да"),"",IF(G2307&lt;=100,33600,IF(G2307&lt;=200,62400,IF(G2307&lt;=500,144000,""))))</f>
        <v/>
      </c>
      <c r="O2307" s="16">
        <f>IF(G2307="","",IF(G2307&lt;=15,"1–15",IF(G2307&lt;=30,"16–30",IF(G2307&lt;=50,"31–50",IF(G2307&lt;=100,"51–100",IF(G2307&lt;=150,"101–150",IF(G2307&lt;=200,"151–200",IF(G2307&lt;=500,"201–500","500+"))))))))</f>
        <v/>
      </c>
      <c r="P2307" s="16" t="inlineStr">
        <is>
          <t>Нет совпадения в предоставленной выгрузке ССЧР</t>
        </is>
      </c>
      <c r="Q2307" s="16" t="n"/>
      <c r="R2307" s="16">
        <f>HYPERLINK("https://checko.ru/search?query=3801001629","Чекко: проверить")</f>
        <v/>
      </c>
      <c r="S2307" t="n">
        <v>0</v>
      </c>
    </row>
    <row r="2308" ht="15" customHeight="1" s="24">
      <c r="A2308" s="13" t="n">
        <v>5000094868</v>
      </c>
      <c r="B2308" s="13" t="inlineStr">
        <is>
          <t>Администрация с.п. Н-Чегем</t>
        </is>
      </c>
      <c r="C2308" s="13" t="n">
        <v>708006602</v>
      </c>
      <c r="D2308" s="13" t="n"/>
      <c r="E2308" s="13" t="inlineStr">
        <is>
          <t>Не определён</t>
        </is>
      </c>
      <c r="F2308" s="13" t="inlineStr">
        <is>
          <t>708006602</t>
        </is>
      </c>
      <c r="G2308" s="14" t="n"/>
      <c r="H2308" s="14" t="n"/>
      <c r="I2308" s="14" t="n"/>
      <c r="J2308" s="14" t="n"/>
      <c r="K2308" s="13">
        <f>IF(G2308="","",IF(G2308&gt;=22,"Да","Нет"))</f>
        <v/>
      </c>
      <c r="L2308" s="13">
        <f>IF(OR(I2308="",J2308=""),"Не определено",IF(OR(COUNTIF(I2308,"45*")&gt;0,COUNTIF(J2308,"*45*")&gt;0,COUNTIF(I2308,"46*")&gt;0,COUNTIF(J2308,"*46*")&gt;0,COUNTIF(I2308,"47*")&gt;0,COUNTIF(J2308,"*47*")&gt;0,COUNTIF(I2308,"10*")&gt;0,COUNTIF(J2308,"*10*")&gt;0,COUNTIF(I2308,"11*")&gt;0,COUNTIF(J2308,"*11*")&gt;0,COUNTIF(I2308,"12*")&gt;0,COUNTIF(J2308,"*12*")&gt;0,COUNTIF(I2308,"13*")&gt;0,COUNTIF(J2308,"*13*")&gt;0,COUNTIF(I2308,"14*")&gt;0,COUNTIF(J2308,"*14*")&gt;0,COUNTIF(I2308,"15*")&gt;0,COUNTIF(J2308,"*15*")&gt;0,COUNTIF(I2308,"16*")&gt;0,COUNTIF(J2308,"*16*")&gt;0,COUNTIF(I2308,"17*")&gt;0,COUNTIF(J2308,"*17*")&gt;0,COUNTIF(I2308,"18*")&gt;0,COUNTIF(J2308,"*18*")&gt;0,COUNTIF(I2308,"19*")&gt;0,COUNTIF(J2308,"*19*")&gt;0,COUNTIF(I2308,"20*")&gt;0,COUNTIF(J2308,"*20*")&gt;0,COUNTIF(I2308,"21*")&gt;0,COUNTIF(J2308,"*21*")&gt;0,COUNTIF(I2308,"22*")&gt;0,COUNTIF(J2308,"*22*")&gt;0,COUNTIF(I2308,"23*")&gt;0,COUNTIF(J2308,"*23*")&gt;0,COUNTIF(I2308,"24*")&gt;0,COUNTIF(J2308,"*24*")&gt;0,COUNTIF(I2308,"25*")&gt;0,COUNTIF(J2308,"*25*")&gt;0,COUNTIF(I2308,"26*")&gt;0,COUNTIF(J2308,"*26*")&gt;0,COUNTIF(I2308,"27*")&gt;0,COUNTIF(J2308,"*27*")&gt;0,COUNTIF(I2308,"28*")&gt;0,COUNTIF(J2308,"*28*")&gt;0,COUNTIF(I2308,"29*")&gt;0,COUNTIF(J2308,"*29*")&gt;0,COUNTIF(I2308,"30*")&gt;0,COUNTIF(J2308,"*30*")&gt;0,COUNTIF(I2308,"31*")&gt;0,COUNTIF(J2308,"*31*")&gt;0,COUNTIF(I2308,"32*")&gt;0,COUNTIF(J2308,"*32*")&gt;0,COUNTIF(I2308,"33*")&gt;0,COUNTIF(J2308,"*33*")&gt;0,COUNTIF(I2308,"41*")&gt;0,COUNTIF(J2308,"*41*")&gt;0,COUNTIF(I2308,"42*")&gt;0,COUNTIF(J2308,"*42*")&gt;0,COUNTIF(I2308,"43*")&gt;0,COUNTIF(J2308,"*43*")&gt;0,COUNTIF(I2308,"49*")&gt;0,COUNTIF(J2308,"*49*")&gt;0,COUNTIF(I2308,"52*")&gt;0,COUNTIF(J2308,"*52*")&gt;0,COUNTIF(I2308,"55*")&gt;0,COUNTIF(J2308,"*55*")&gt;0,COUNTIF(I2308,"56*")&gt;0,COUNTIF(J2308,"*56*")&gt;0,COUNTIF(I2308,"68*")&gt;0,COUNTIF(J2308,"*68*")&gt;0,COUNTIF(I2308,"78*")&gt;0,COUNTIF(J2308,"*78*")&gt;0,COUNTIF(I2308,"81*")&gt;0,COUNTIF(J2308,"*81*")&gt;0,COUNTIF(I2308,"82*")&gt;0,COUNTIF(J2308,"*82*")&gt;0,COUNTIF(I2308,"64*")&gt;0,COUNTIF(J2308,"*64*")&gt;0,COUNTIF(I2308,"65*")&gt;0,COUNTIF(J2308,"*65*")&gt;0,COUNTIF(I2308,"66*")&gt;0,COUNTIF(J2308,"*66*")&gt;0,COUNTIF(I2308,"61*")&gt;0,COUNTIF(J2308,"*61*")&gt;0,COUNTIF(I2308,"62*")&gt;0,COUNTIF(J2308,"*62*")&gt;0,COUNTIF(I2308,"63*")&gt;0,COUNTIF(J2308,"*63*")&gt;0,COUNTIF(I2308,"85*")&gt;0,COUNTIF(J2308,"*85*")&gt;0,COUNTIF(I2308,"86*")&gt;0,COUNTIF(J2308,"*86*")&gt;0),"Да","Нет"))</f>
        <v/>
      </c>
      <c r="M2308" s="13">
        <f>IF(OR(G2308="",L2308&lt;&gt;"Да"),"",IF(G2308&lt;=100,"До 100",IF(G2308&lt;=200,"До 200",IF(G2308&lt;=500,"До 500","Отдельное КП"))))</f>
        <v/>
      </c>
      <c r="N2308" s="15">
        <f>IF(OR(G2308="",L2308&lt;&gt;"Да"),"",IF(G2308&lt;=100,33600,IF(G2308&lt;=200,62400,IF(G2308&lt;=500,144000,""))))</f>
        <v/>
      </c>
      <c r="O2308" s="16">
        <f>IF(G2308="","",IF(G2308&lt;=15,"1–15",IF(G2308&lt;=30,"16–30",IF(G2308&lt;=50,"31–50",IF(G2308&lt;=100,"51–100",IF(G2308&lt;=150,"101–150",IF(G2308&lt;=200,"151–200",IF(G2308&lt;=500,"201–500","500+"))))))))</f>
        <v/>
      </c>
      <c r="P2308" s="16" t="inlineStr">
        <is>
          <t>Нет совпадения в предоставленной выгрузке ССЧР</t>
        </is>
      </c>
      <c r="Q2308" s="16" t="n"/>
      <c r="R2308" s="16">
        <f>HYPERLINK("https://checko.ru/search?query=3801001629","Чекко: проверить")</f>
        <v/>
      </c>
      <c r="S2308" t="n">
        <v>0</v>
      </c>
    </row>
    <row r="2309" ht="15" customHeight="1" s="24">
      <c r="A2309" s="13" t="n">
        <v>5000094869</v>
      </c>
      <c r="B2309" s="13" t="inlineStr">
        <is>
          <t>МУ "УФ Чегемского МР"</t>
        </is>
      </c>
      <c r="C2309" s="13" t="n">
        <v>708006610</v>
      </c>
      <c r="D2309" s="13" t="n"/>
      <c r="E2309" s="13" t="inlineStr">
        <is>
          <t>Не определён</t>
        </is>
      </c>
      <c r="F2309" s="13" t="inlineStr">
        <is>
          <t>708006610</t>
        </is>
      </c>
      <c r="G2309" s="14" t="n"/>
      <c r="H2309" s="14" t="n"/>
      <c r="I2309" s="14" t="n"/>
      <c r="J2309" s="14" t="n"/>
      <c r="K2309" s="13">
        <f>IF(G2309="","",IF(G2309&gt;=22,"Да","Нет"))</f>
        <v/>
      </c>
      <c r="L2309" s="13">
        <f>IF(OR(I2309="",J2309=""),"Не определено",IF(OR(COUNTIF(I2309,"45*")&gt;0,COUNTIF(J2309,"*45*")&gt;0,COUNTIF(I2309,"46*")&gt;0,COUNTIF(J2309,"*46*")&gt;0,COUNTIF(I2309,"47*")&gt;0,COUNTIF(J2309,"*47*")&gt;0,COUNTIF(I2309,"10*")&gt;0,COUNTIF(J2309,"*10*")&gt;0,COUNTIF(I2309,"11*")&gt;0,COUNTIF(J2309,"*11*")&gt;0,COUNTIF(I2309,"12*")&gt;0,COUNTIF(J2309,"*12*")&gt;0,COUNTIF(I2309,"13*")&gt;0,COUNTIF(J2309,"*13*")&gt;0,COUNTIF(I2309,"14*")&gt;0,COUNTIF(J2309,"*14*")&gt;0,COUNTIF(I2309,"15*")&gt;0,COUNTIF(J2309,"*15*")&gt;0,COUNTIF(I2309,"16*")&gt;0,COUNTIF(J2309,"*16*")&gt;0,COUNTIF(I2309,"17*")&gt;0,COUNTIF(J2309,"*17*")&gt;0,COUNTIF(I2309,"18*")&gt;0,COUNTIF(J2309,"*18*")&gt;0,COUNTIF(I2309,"19*")&gt;0,COUNTIF(J2309,"*19*")&gt;0,COUNTIF(I2309,"20*")&gt;0,COUNTIF(J2309,"*20*")&gt;0,COUNTIF(I2309,"21*")&gt;0,COUNTIF(J2309,"*21*")&gt;0,COUNTIF(I2309,"22*")&gt;0,COUNTIF(J2309,"*22*")&gt;0,COUNTIF(I2309,"23*")&gt;0,COUNTIF(J2309,"*23*")&gt;0,COUNTIF(I2309,"24*")&gt;0,COUNTIF(J2309,"*24*")&gt;0,COUNTIF(I2309,"25*")&gt;0,COUNTIF(J2309,"*25*")&gt;0,COUNTIF(I2309,"26*")&gt;0,COUNTIF(J2309,"*26*")&gt;0,COUNTIF(I2309,"27*")&gt;0,COUNTIF(J2309,"*27*")&gt;0,COUNTIF(I2309,"28*")&gt;0,COUNTIF(J2309,"*28*")&gt;0,COUNTIF(I2309,"29*")&gt;0,COUNTIF(J2309,"*29*")&gt;0,COUNTIF(I2309,"30*")&gt;0,COUNTIF(J2309,"*30*")&gt;0,COUNTIF(I2309,"31*")&gt;0,COUNTIF(J2309,"*31*")&gt;0,COUNTIF(I2309,"32*")&gt;0,COUNTIF(J2309,"*32*")&gt;0,COUNTIF(I2309,"33*")&gt;0,COUNTIF(J2309,"*33*")&gt;0,COUNTIF(I2309,"41*")&gt;0,COUNTIF(J2309,"*41*")&gt;0,COUNTIF(I2309,"42*")&gt;0,COUNTIF(J2309,"*42*")&gt;0,COUNTIF(I2309,"43*")&gt;0,COUNTIF(J2309,"*43*")&gt;0,COUNTIF(I2309,"49*")&gt;0,COUNTIF(J2309,"*49*")&gt;0,COUNTIF(I2309,"52*")&gt;0,COUNTIF(J2309,"*52*")&gt;0,COUNTIF(I2309,"55*")&gt;0,COUNTIF(J2309,"*55*")&gt;0,COUNTIF(I2309,"56*")&gt;0,COUNTIF(J2309,"*56*")&gt;0,COUNTIF(I2309,"68*")&gt;0,COUNTIF(J2309,"*68*")&gt;0,COUNTIF(I2309,"78*")&gt;0,COUNTIF(J2309,"*78*")&gt;0,COUNTIF(I2309,"81*")&gt;0,COUNTIF(J2309,"*81*")&gt;0,COUNTIF(I2309,"82*")&gt;0,COUNTIF(J2309,"*82*")&gt;0,COUNTIF(I2309,"64*")&gt;0,COUNTIF(J2309,"*64*")&gt;0,COUNTIF(I2309,"65*")&gt;0,COUNTIF(J2309,"*65*")&gt;0,COUNTIF(I2309,"66*")&gt;0,COUNTIF(J2309,"*66*")&gt;0,COUNTIF(I2309,"61*")&gt;0,COUNTIF(J2309,"*61*")&gt;0,COUNTIF(I2309,"62*")&gt;0,COUNTIF(J2309,"*62*")&gt;0,COUNTIF(I2309,"63*")&gt;0,COUNTIF(J2309,"*63*")&gt;0,COUNTIF(I2309,"85*")&gt;0,COUNTIF(J2309,"*85*")&gt;0,COUNTIF(I2309,"86*")&gt;0,COUNTIF(J2309,"*86*")&gt;0),"Да","Нет"))</f>
        <v/>
      </c>
      <c r="M2309" s="13">
        <f>IF(OR(G2309="",L2309&lt;&gt;"Да"),"",IF(G2309&lt;=100,"До 100",IF(G2309&lt;=200,"До 200",IF(G2309&lt;=500,"До 500","Отдельное КП"))))</f>
        <v/>
      </c>
      <c r="N2309" s="15">
        <f>IF(OR(G2309="",L2309&lt;&gt;"Да"),"",IF(G2309&lt;=100,33600,IF(G2309&lt;=200,62400,IF(G2309&lt;=500,144000,""))))</f>
        <v/>
      </c>
      <c r="O2309" s="16">
        <f>IF(G2309="","",IF(G2309&lt;=15,"1–15",IF(G2309&lt;=30,"16–30",IF(G2309&lt;=50,"31–50",IF(G2309&lt;=100,"51–100",IF(G2309&lt;=150,"101–150",IF(G2309&lt;=200,"151–200",IF(G2309&lt;=500,"201–500","500+"))))))))</f>
        <v/>
      </c>
      <c r="P2309" s="16" t="inlineStr">
        <is>
          <t>Нет совпадения в предоставленной выгрузке ССЧР</t>
        </is>
      </c>
      <c r="Q2309" s="16" t="n"/>
      <c r="R2309" s="16">
        <f>HYPERLINK("https://checko.ru/search?query=3801001629","Чекко: проверить")</f>
        <v/>
      </c>
      <c r="S2309" t="n">
        <v>0</v>
      </c>
    </row>
    <row r="2310" ht="15" customHeight="1" s="24">
      <c r="A2310" s="13" t="n">
        <v>5000094870</v>
      </c>
      <c r="B2310" s="13" t="inlineStr">
        <is>
          <t>МКУ "УО Чегемского района"</t>
        </is>
      </c>
      <c r="C2310" s="13" t="n">
        <v>708006634</v>
      </c>
      <c r="D2310" s="13" t="n"/>
      <c r="E2310" s="13" t="inlineStr">
        <is>
          <t>Не определён</t>
        </is>
      </c>
      <c r="F2310" s="13" t="inlineStr">
        <is>
          <t>708006634</t>
        </is>
      </c>
      <c r="G2310" s="14" t="n"/>
      <c r="H2310" s="14" t="n"/>
      <c r="I2310" s="14" t="n"/>
      <c r="J2310" s="14" t="n"/>
      <c r="K2310" s="13">
        <f>IF(G2310="","",IF(G2310&gt;=22,"Да","Нет"))</f>
        <v/>
      </c>
      <c r="L2310" s="13">
        <f>IF(OR(I2310="",J2310=""),"Не определено",IF(OR(COUNTIF(I2310,"45*")&gt;0,COUNTIF(J2310,"*45*")&gt;0,COUNTIF(I2310,"46*")&gt;0,COUNTIF(J2310,"*46*")&gt;0,COUNTIF(I2310,"47*")&gt;0,COUNTIF(J2310,"*47*")&gt;0,COUNTIF(I2310,"10*")&gt;0,COUNTIF(J2310,"*10*")&gt;0,COUNTIF(I2310,"11*")&gt;0,COUNTIF(J2310,"*11*")&gt;0,COUNTIF(I2310,"12*")&gt;0,COUNTIF(J2310,"*12*")&gt;0,COUNTIF(I2310,"13*")&gt;0,COUNTIF(J2310,"*13*")&gt;0,COUNTIF(I2310,"14*")&gt;0,COUNTIF(J2310,"*14*")&gt;0,COUNTIF(I2310,"15*")&gt;0,COUNTIF(J2310,"*15*")&gt;0,COUNTIF(I2310,"16*")&gt;0,COUNTIF(J2310,"*16*")&gt;0,COUNTIF(I2310,"17*")&gt;0,COUNTIF(J2310,"*17*")&gt;0,COUNTIF(I2310,"18*")&gt;0,COUNTIF(J2310,"*18*")&gt;0,COUNTIF(I2310,"19*")&gt;0,COUNTIF(J2310,"*19*")&gt;0,COUNTIF(I2310,"20*")&gt;0,COUNTIF(J2310,"*20*")&gt;0,COUNTIF(I2310,"21*")&gt;0,COUNTIF(J2310,"*21*")&gt;0,COUNTIF(I2310,"22*")&gt;0,COUNTIF(J2310,"*22*")&gt;0,COUNTIF(I2310,"23*")&gt;0,COUNTIF(J2310,"*23*")&gt;0,COUNTIF(I2310,"24*")&gt;0,COUNTIF(J2310,"*24*")&gt;0,COUNTIF(I2310,"25*")&gt;0,COUNTIF(J2310,"*25*")&gt;0,COUNTIF(I2310,"26*")&gt;0,COUNTIF(J2310,"*26*")&gt;0,COUNTIF(I2310,"27*")&gt;0,COUNTIF(J2310,"*27*")&gt;0,COUNTIF(I2310,"28*")&gt;0,COUNTIF(J2310,"*28*")&gt;0,COUNTIF(I2310,"29*")&gt;0,COUNTIF(J2310,"*29*")&gt;0,COUNTIF(I2310,"30*")&gt;0,COUNTIF(J2310,"*30*")&gt;0,COUNTIF(I2310,"31*")&gt;0,COUNTIF(J2310,"*31*")&gt;0,COUNTIF(I2310,"32*")&gt;0,COUNTIF(J2310,"*32*")&gt;0,COUNTIF(I2310,"33*")&gt;0,COUNTIF(J2310,"*33*")&gt;0,COUNTIF(I2310,"41*")&gt;0,COUNTIF(J2310,"*41*")&gt;0,COUNTIF(I2310,"42*")&gt;0,COUNTIF(J2310,"*42*")&gt;0,COUNTIF(I2310,"43*")&gt;0,COUNTIF(J2310,"*43*")&gt;0,COUNTIF(I2310,"49*")&gt;0,COUNTIF(J2310,"*49*")&gt;0,COUNTIF(I2310,"52*")&gt;0,COUNTIF(J2310,"*52*")&gt;0,COUNTIF(I2310,"55*")&gt;0,COUNTIF(J2310,"*55*")&gt;0,COUNTIF(I2310,"56*")&gt;0,COUNTIF(J2310,"*56*")&gt;0,COUNTIF(I2310,"68*")&gt;0,COUNTIF(J2310,"*68*")&gt;0,COUNTIF(I2310,"78*")&gt;0,COUNTIF(J2310,"*78*")&gt;0,COUNTIF(I2310,"81*")&gt;0,COUNTIF(J2310,"*81*")&gt;0,COUNTIF(I2310,"82*")&gt;0,COUNTIF(J2310,"*82*")&gt;0,COUNTIF(I2310,"64*")&gt;0,COUNTIF(J2310,"*64*")&gt;0,COUNTIF(I2310,"65*")&gt;0,COUNTIF(J2310,"*65*")&gt;0,COUNTIF(I2310,"66*")&gt;0,COUNTIF(J2310,"*66*")&gt;0,COUNTIF(I2310,"61*")&gt;0,COUNTIF(J2310,"*61*")&gt;0,COUNTIF(I2310,"62*")&gt;0,COUNTIF(J2310,"*62*")&gt;0,COUNTIF(I2310,"63*")&gt;0,COUNTIF(J2310,"*63*")&gt;0,COUNTIF(I2310,"85*")&gt;0,COUNTIF(J2310,"*85*")&gt;0,COUNTIF(I2310,"86*")&gt;0,COUNTIF(J2310,"*86*")&gt;0),"Да","Нет"))</f>
        <v/>
      </c>
      <c r="M2310" s="13">
        <f>IF(OR(G2310="",L2310&lt;&gt;"Да"),"",IF(G2310&lt;=100,"До 100",IF(G2310&lt;=200,"До 200",IF(G2310&lt;=500,"До 500","Отдельное КП"))))</f>
        <v/>
      </c>
      <c r="N2310" s="15">
        <f>IF(OR(G2310="",L2310&lt;&gt;"Да"),"",IF(G2310&lt;=100,33600,IF(G2310&lt;=200,62400,IF(G2310&lt;=500,144000,""))))</f>
        <v/>
      </c>
      <c r="O2310" s="16">
        <f>IF(G2310="","",IF(G2310&lt;=15,"1–15",IF(G2310&lt;=30,"16–30",IF(G2310&lt;=50,"31–50",IF(G2310&lt;=100,"51–100",IF(G2310&lt;=150,"101–150",IF(G2310&lt;=200,"151–200",IF(G2310&lt;=500,"201–500","500+"))))))))</f>
        <v/>
      </c>
      <c r="P2310" s="16" t="inlineStr">
        <is>
          <t>Нет совпадения в предоставленной выгрузке ССЧР</t>
        </is>
      </c>
      <c r="Q2310" s="16" t="n"/>
      <c r="R2310" s="16">
        <f>HYPERLINK("https://checko.ru/search?query=3801001629","Чекко: проверить")</f>
        <v/>
      </c>
      <c r="S2310" t="n">
        <v>0</v>
      </c>
    </row>
    <row r="2311" ht="15" customHeight="1" s="24">
      <c r="A2311" s="13" t="n">
        <v>5000094871</v>
      </c>
      <c r="B2311" s="13" t="inlineStr">
        <is>
          <t>МКОУ "СОШ №2" с.п.Лечинкай</t>
        </is>
      </c>
      <c r="C2311" s="13" t="n">
        <v>708006641</v>
      </c>
      <c r="D2311" s="13" t="n"/>
      <c r="E2311" s="13" t="inlineStr">
        <is>
          <t>Не определён</t>
        </is>
      </c>
      <c r="F2311" s="13" t="inlineStr">
        <is>
          <t>708006641</t>
        </is>
      </c>
      <c r="G2311" s="14" t="n"/>
      <c r="H2311" s="14" t="n"/>
      <c r="I2311" s="14" t="n"/>
      <c r="J2311" s="14" t="n"/>
      <c r="K2311" s="13">
        <f>IF(G2311="","",IF(G2311&gt;=22,"Да","Нет"))</f>
        <v/>
      </c>
      <c r="L2311" s="13">
        <f>IF(OR(I2311="",J2311=""),"Не определено",IF(OR(COUNTIF(I2311,"45*")&gt;0,COUNTIF(J2311,"*45*")&gt;0,COUNTIF(I2311,"46*")&gt;0,COUNTIF(J2311,"*46*")&gt;0,COUNTIF(I2311,"47*")&gt;0,COUNTIF(J2311,"*47*")&gt;0,COUNTIF(I2311,"10*")&gt;0,COUNTIF(J2311,"*10*")&gt;0,COUNTIF(I2311,"11*")&gt;0,COUNTIF(J2311,"*11*")&gt;0,COUNTIF(I2311,"12*")&gt;0,COUNTIF(J2311,"*12*")&gt;0,COUNTIF(I2311,"13*")&gt;0,COUNTIF(J2311,"*13*")&gt;0,COUNTIF(I2311,"14*")&gt;0,COUNTIF(J2311,"*14*")&gt;0,COUNTIF(I2311,"15*")&gt;0,COUNTIF(J2311,"*15*")&gt;0,COUNTIF(I2311,"16*")&gt;0,COUNTIF(J2311,"*16*")&gt;0,COUNTIF(I2311,"17*")&gt;0,COUNTIF(J2311,"*17*")&gt;0,COUNTIF(I2311,"18*")&gt;0,COUNTIF(J2311,"*18*")&gt;0,COUNTIF(I2311,"19*")&gt;0,COUNTIF(J2311,"*19*")&gt;0,COUNTIF(I2311,"20*")&gt;0,COUNTIF(J2311,"*20*")&gt;0,COUNTIF(I2311,"21*")&gt;0,COUNTIF(J2311,"*21*")&gt;0,COUNTIF(I2311,"22*")&gt;0,COUNTIF(J2311,"*22*")&gt;0,COUNTIF(I2311,"23*")&gt;0,COUNTIF(J2311,"*23*")&gt;0,COUNTIF(I2311,"24*")&gt;0,COUNTIF(J2311,"*24*")&gt;0,COUNTIF(I2311,"25*")&gt;0,COUNTIF(J2311,"*25*")&gt;0,COUNTIF(I2311,"26*")&gt;0,COUNTIF(J2311,"*26*")&gt;0,COUNTIF(I2311,"27*")&gt;0,COUNTIF(J2311,"*27*")&gt;0,COUNTIF(I2311,"28*")&gt;0,COUNTIF(J2311,"*28*")&gt;0,COUNTIF(I2311,"29*")&gt;0,COUNTIF(J2311,"*29*")&gt;0,COUNTIF(I2311,"30*")&gt;0,COUNTIF(J2311,"*30*")&gt;0,COUNTIF(I2311,"31*")&gt;0,COUNTIF(J2311,"*31*")&gt;0,COUNTIF(I2311,"32*")&gt;0,COUNTIF(J2311,"*32*")&gt;0,COUNTIF(I2311,"33*")&gt;0,COUNTIF(J2311,"*33*")&gt;0,COUNTIF(I2311,"41*")&gt;0,COUNTIF(J2311,"*41*")&gt;0,COUNTIF(I2311,"42*")&gt;0,COUNTIF(J2311,"*42*")&gt;0,COUNTIF(I2311,"43*")&gt;0,COUNTIF(J2311,"*43*")&gt;0,COUNTIF(I2311,"49*")&gt;0,COUNTIF(J2311,"*49*")&gt;0,COUNTIF(I2311,"52*")&gt;0,COUNTIF(J2311,"*52*")&gt;0,COUNTIF(I2311,"55*")&gt;0,COUNTIF(J2311,"*55*")&gt;0,COUNTIF(I2311,"56*")&gt;0,COUNTIF(J2311,"*56*")&gt;0,COUNTIF(I2311,"68*")&gt;0,COUNTIF(J2311,"*68*")&gt;0,COUNTIF(I2311,"78*")&gt;0,COUNTIF(J2311,"*78*")&gt;0,COUNTIF(I2311,"81*")&gt;0,COUNTIF(J2311,"*81*")&gt;0,COUNTIF(I2311,"82*")&gt;0,COUNTIF(J2311,"*82*")&gt;0,COUNTIF(I2311,"64*")&gt;0,COUNTIF(J2311,"*64*")&gt;0,COUNTIF(I2311,"65*")&gt;0,COUNTIF(J2311,"*65*")&gt;0,COUNTIF(I2311,"66*")&gt;0,COUNTIF(J2311,"*66*")&gt;0,COUNTIF(I2311,"61*")&gt;0,COUNTIF(J2311,"*61*")&gt;0,COUNTIF(I2311,"62*")&gt;0,COUNTIF(J2311,"*62*")&gt;0,COUNTIF(I2311,"63*")&gt;0,COUNTIF(J2311,"*63*")&gt;0,COUNTIF(I2311,"85*")&gt;0,COUNTIF(J2311,"*85*")&gt;0,COUNTIF(I2311,"86*")&gt;0,COUNTIF(J2311,"*86*")&gt;0),"Да","Нет"))</f>
        <v/>
      </c>
      <c r="M2311" s="13">
        <f>IF(OR(G2311="",L2311&lt;&gt;"Да"),"",IF(G2311&lt;=100,"До 100",IF(G2311&lt;=200,"До 200",IF(G2311&lt;=500,"До 500","Отдельное КП"))))</f>
        <v/>
      </c>
      <c r="N2311" s="15">
        <f>IF(OR(G2311="",L2311&lt;&gt;"Да"),"",IF(G2311&lt;=100,33600,IF(G2311&lt;=200,62400,IF(G2311&lt;=500,144000,""))))</f>
        <v/>
      </c>
      <c r="O2311" s="16">
        <f>IF(G2311="","",IF(G2311&lt;=15,"1–15",IF(G2311&lt;=30,"16–30",IF(G2311&lt;=50,"31–50",IF(G2311&lt;=100,"51–100",IF(G2311&lt;=150,"101–150",IF(G2311&lt;=200,"151–200",IF(G2311&lt;=500,"201–500","500+"))))))))</f>
        <v/>
      </c>
      <c r="P2311" s="16" t="inlineStr">
        <is>
          <t>Нет совпадения в предоставленной выгрузке ССЧР</t>
        </is>
      </c>
      <c r="Q2311" s="16" t="n"/>
      <c r="R2311" s="16">
        <f>HYPERLINK("https://checko.ru/search?query=3801001629","Чекко: проверить")</f>
        <v/>
      </c>
      <c r="S2311" t="n">
        <v>0</v>
      </c>
    </row>
    <row r="2312" ht="15" customHeight="1" s="24">
      <c r="A2312" s="13" t="n">
        <v>5000094872</v>
      </c>
      <c r="B2312" s="13" t="inlineStr">
        <is>
          <t>МКОУ " СОШ с.Булунгу "</t>
        </is>
      </c>
      <c r="C2312" s="13" t="n">
        <v>708006673</v>
      </c>
      <c r="D2312" s="13" t="n"/>
      <c r="E2312" s="13" t="inlineStr">
        <is>
          <t>Не определён</t>
        </is>
      </c>
      <c r="F2312" s="13" t="inlineStr">
        <is>
          <t>708006673</t>
        </is>
      </c>
      <c r="G2312" s="14" t="n"/>
      <c r="H2312" s="14" t="n"/>
      <c r="I2312" s="14" t="n"/>
      <c r="J2312" s="14" t="n"/>
      <c r="K2312" s="13">
        <f>IF(G2312="","",IF(G2312&gt;=22,"Да","Нет"))</f>
        <v/>
      </c>
      <c r="L2312" s="13">
        <f>IF(OR(I2312="",J2312=""),"Не определено",IF(OR(COUNTIF(I2312,"45*")&gt;0,COUNTIF(J2312,"*45*")&gt;0,COUNTIF(I2312,"46*")&gt;0,COUNTIF(J2312,"*46*")&gt;0,COUNTIF(I2312,"47*")&gt;0,COUNTIF(J2312,"*47*")&gt;0,COUNTIF(I2312,"10*")&gt;0,COUNTIF(J2312,"*10*")&gt;0,COUNTIF(I2312,"11*")&gt;0,COUNTIF(J2312,"*11*")&gt;0,COUNTIF(I2312,"12*")&gt;0,COUNTIF(J2312,"*12*")&gt;0,COUNTIF(I2312,"13*")&gt;0,COUNTIF(J2312,"*13*")&gt;0,COUNTIF(I2312,"14*")&gt;0,COUNTIF(J2312,"*14*")&gt;0,COUNTIF(I2312,"15*")&gt;0,COUNTIF(J2312,"*15*")&gt;0,COUNTIF(I2312,"16*")&gt;0,COUNTIF(J2312,"*16*")&gt;0,COUNTIF(I2312,"17*")&gt;0,COUNTIF(J2312,"*17*")&gt;0,COUNTIF(I2312,"18*")&gt;0,COUNTIF(J2312,"*18*")&gt;0,COUNTIF(I2312,"19*")&gt;0,COUNTIF(J2312,"*19*")&gt;0,COUNTIF(I2312,"20*")&gt;0,COUNTIF(J2312,"*20*")&gt;0,COUNTIF(I2312,"21*")&gt;0,COUNTIF(J2312,"*21*")&gt;0,COUNTIF(I2312,"22*")&gt;0,COUNTIF(J2312,"*22*")&gt;0,COUNTIF(I2312,"23*")&gt;0,COUNTIF(J2312,"*23*")&gt;0,COUNTIF(I2312,"24*")&gt;0,COUNTIF(J2312,"*24*")&gt;0,COUNTIF(I2312,"25*")&gt;0,COUNTIF(J2312,"*25*")&gt;0,COUNTIF(I2312,"26*")&gt;0,COUNTIF(J2312,"*26*")&gt;0,COUNTIF(I2312,"27*")&gt;0,COUNTIF(J2312,"*27*")&gt;0,COUNTIF(I2312,"28*")&gt;0,COUNTIF(J2312,"*28*")&gt;0,COUNTIF(I2312,"29*")&gt;0,COUNTIF(J2312,"*29*")&gt;0,COUNTIF(I2312,"30*")&gt;0,COUNTIF(J2312,"*30*")&gt;0,COUNTIF(I2312,"31*")&gt;0,COUNTIF(J2312,"*31*")&gt;0,COUNTIF(I2312,"32*")&gt;0,COUNTIF(J2312,"*32*")&gt;0,COUNTIF(I2312,"33*")&gt;0,COUNTIF(J2312,"*33*")&gt;0,COUNTIF(I2312,"41*")&gt;0,COUNTIF(J2312,"*41*")&gt;0,COUNTIF(I2312,"42*")&gt;0,COUNTIF(J2312,"*42*")&gt;0,COUNTIF(I2312,"43*")&gt;0,COUNTIF(J2312,"*43*")&gt;0,COUNTIF(I2312,"49*")&gt;0,COUNTIF(J2312,"*49*")&gt;0,COUNTIF(I2312,"52*")&gt;0,COUNTIF(J2312,"*52*")&gt;0,COUNTIF(I2312,"55*")&gt;0,COUNTIF(J2312,"*55*")&gt;0,COUNTIF(I2312,"56*")&gt;0,COUNTIF(J2312,"*56*")&gt;0,COUNTIF(I2312,"68*")&gt;0,COUNTIF(J2312,"*68*")&gt;0,COUNTIF(I2312,"78*")&gt;0,COUNTIF(J2312,"*78*")&gt;0,COUNTIF(I2312,"81*")&gt;0,COUNTIF(J2312,"*81*")&gt;0,COUNTIF(I2312,"82*")&gt;0,COUNTIF(J2312,"*82*")&gt;0,COUNTIF(I2312,"64*")&gt;0,COUNTIF(J2312,"*64*")&gt;0,COUNTIF(I2312,"65*")&gt;0,COUNTIF(J2312,"*65*")&gt;0,COUNTIF(I2312,"66*")&gt;0,COUNTIF(J2312,"*66*")&gt;0,COUNTIF(I2312,"61*")&gt;0,COUNTIF(J2312,"*61*")&gt;0,COUNTIF(I2312,"62*")&gt;0,COUNTIF(J2312,"*62*")&gt;0,COUNTIF(I2312,"63*")&gt;0,COUNTIF(J2312,"*63*")&gt;0,COUNTIF(I2312,"85*")&gt;0,COUNTIF(J2312,"*85*")&gt;0,COUNTIF(I2312,"86*")&gt;0,COUNTIF(J2312,"*86*")&gt;0),"Да","Нет"))</f>
        <v/>
      </c>
      <c r="M2312" s="13">
        <f>IF(OR(G2312="",L2312&lt;&gt;"Да"),"",IF(G2312&lt;=100,"До 100",IF(G2312&lt;=200,"До 200",IF(G2312&lt;=500,"До 500","Отдельное КП"))))</f>
        <v/>
      </c>
      <c r="N2312" s="15">
        <f>IF(OR(G2312="",L2312&lt;&gt;"Да"),"",IF(G2312&lt;=100,33600,IF(G2312&lt;=200,62400,IF(G2312&lt;=500,144000,""))))</f>
        <v/>
      </c>
      <c r="O2312" s="16">
        <f>IF(G2312="","",IF(G2312&lt;=15,"1–15",IF(G2312&lt;=30,"16–30",IF(G2312&lt;=50,"31–50",IF(G2312&lt;=100,"51–100",IF(G2312&lt;=150,"101–150",IF(G2312&lt;=200,"151–200",IF(G2312&lt;=500,"201–500","500+"))))))))</f>
        <v/>
      </c>
      <c r="P2312" s="16" t="inlineStr">
        <is>
          <t>Нет совпадения в предоставленной выгрузке ССЧР</t>
        </is>
      </c>
      <c r="Q2312" s="16" t="n"/>
      <c r="R2312" s="16">
        <f>HYPERLINK("https://checko.ru/search?query=3801001629","Чекко: проверить")</f>
        <v/>
      </c>
      <c r="S2312" t="n">
        <v>0</v>
      </c>
    </row>
    <row r="2313" ht="15" customHeight="1" s="24">
      <c r="A2313" s="13" t="n">
        <v>5000094873</v>
      </c>
      <c r="B2313" s="13" t="inlineStr">
        <is>
          <t>Администрация с.п.Нартан</t>
        </is>
      </c>
      <c r="C2313" s="13" t="n">
        <v>708007067</v>
      </c>
      <c r="D2313" s="13" t="n"/>
      <c r="E2313" s="13" t="inlineStr">
        <is>
          <t>Не определён</t>
        </is>
      </c>
      <c r="F2313" s="13" t="inlineStr">
        <is>
          <t>708007067</t>
        </is>
      </c>
      <c r="G2313" s="14" t="n"/>
      <c r="H2313" s="14" t="n"/>
      <c r="I2313" s="14" t="n"/>
      <c r="J2313" s="14" t="n"/>
      <c r="K2313" s="13">
        <f>IF(G2313="","",IF(G2313&gt;=22,"Да","Нет"))</f>
        <v/>
      </c>
      <c r="L2313" s="13">
        <f>IF(OR(I2313="",J2313=""),"Не определено",IF(OR(COUNTIF(I2313,"45*")&gt;0,COUNTIF(J2313,"*45*")&gt;0,COUNTIF(I2313,"46*")&gt;0,COUNTIF(J2313,"*46*")&gt;0,COUNTIF(I2313,"47*")&gt;0,COUNTIF(J2313,"*47*")&gt;0,COUNTIF(I2313,"10*")&gt;0,COUNTIF(J2313,"*10*")&gt;0,COUNTIF(I2313,"11*")&gt;0,COUNTIF(J2313,"*11*")&gt;0,COUNTIF(I2313,"12*")&gt;0,COUNTIF(J2313,"*12*")&gt;0,COUNTIF(I2313,"13*")&gt;0,COUNTIF(J2313,"*13*")&gt;0,COUNTIF(I2313,"14*")&gt;0,COUNTIF(J2313,"*14*")&gt;0,COUNTIF(I2313,"15*")&gt;0,COUNTIF(J2313,"*15*")&gt;0,COUNTIF(I2313,"16*")&gt;0,COUNTIF(J2313,"*16*")&gt;0,COUNTIF(I2313,"17*")&gt;0,COUNTIF(J2313,"*17*")&gt;0,COUNTIF(I2313,"18*")&gt;0,COUNTIF(J2313,"*18*")&gt;0,COUNTIF(I2313,"19*")&gt;0,COUNTIF(J2313,"*19*")&gt;0,COUNTIF(I2313,"20*")&gt;0,COUNTIF(J2313,"*20*")&gt;0,COUNTIF(I2313,"21*")&gt;0,COUNTIF(J2313,"*21*")&gt;0,COUNTIF(I2313,"22*")&gt;0,COUNTIF(J2313,"*22*")&gt;0,COUNTIF(I2313,"23*")&gt;0,COUNTIF(J2313,"*23*")&gt;0,COUNTIF(I2313,"24*")&gt;0,COUNTIF(J2313,"*24*")&gt;0,COUNTIF(I2313,"25*")&gt;0,COUNTIF(J2313,"*25*")&gt;0,COUNTIF(I2313,"26*")&gt;0,COUNTIF(J2313,"*26*")&gt;0,COUNTIF(I2313,"27*")&gt;0,COUNTIF(J2313,"*27*")&gt;0,COUNTIF(I2313,"28*")&gt;0,COUNTIF(J2313,"*28*")&gt;0,COUNTIF(I2313,"29*")&gt;0,COUNTIF(J2313,"*29*")&gt;0,COUNTIF(I2313,"30*")&gt;0,COUNTIF(J2313,"*30*")&gt;0,COUNTIF(I2313,"31*")&gt;0,COUNTIF(J2313,"*31*")&gt;0,COUNTIF(I2313,"32*")&gt;0,COUNTIF(J2313,"*32*")&gt;0,COUNTIF(I2313,"33*")&gt;0,COUNTIF(J2313,"*33*")&gt;0,COUNTIF(I2313,"41*")&gt;0,COUNTIF(J2313,"*41*")&gt;0,COUNTIF(I2313,"42*")&gt;0,COUNTIF(J2313,"*42*")&gt;0,COUNTIF(I2313,"43*")&gt;0,COUNTIF(J2313,"*43*")&gt;0,COUNTIF(I2313,"49*")&gt;0,COUNTIF(J2313,"*49*")&gt;0,COUNTIF(I2313,"52*")&gt;0,COUNTIF(J2313,"*52*")&gt;0,COUNTIF(I2313,"55*")&gt;0,COUNTIF(J2313,"*55*")&gt;0,COUNTIF(I2313,"56*")&gt;0,COUNTIF(J2313,"*56*")&gt;0,COUNTIF(I2313,"68*")&gt;0,COUNTIF(J2313,"*68*")&gt;0,COUNTIF(I2313,"78*")&gt;0,COUNTIF(J2313,"*78*")&gt;0,COUNTIF(I2313,"81*")&gt;0,COUNTIF(J2313,"*81*")&gt;0,COUNTIF(I2313,"82*")&gt;0,COUNTIF(J2313,"*82*")&gt;0,COUNTIF(I2313,"64*")&gt;0,COUNTIF(J2313,"*64*")&gt;0,COUNTIF(I2313,"65*")&gt;0,COUNTIF(J2313,"*65*")&gt;0,COUNTIF(I2313,"66*")&gt;0,COUNTIF(J2313,"*66*")&gt;0,COUNTIF(I2313,"61*")&gt;0,COUNTIF(J2313,"*61*")&gt;0,COUNTIF(I2313,"62*")&gt;0,COUNTIF(J2313,"*62*")&gt;0,COUNTIF(I2313,"63*")&gt;0,COUNTIF(J2313,"*63*")&gt;0,COUNTIF(I2313,"85*")&gt;0,COUNTIF(J2313,"*85*")&gt;0,COUNTIF(I2313,"86*")&gt;0,COUNTIF(J2313,"*86*")&gt;0),"Да","Нет"))</f>
        <v/>
      </c>
      <c r="M2313" s="13">
        <f>IF(OR(G2313="",L2313&lt;&gt;"Да"),"",IF(G2313&lt;=100,"До 100",IF(G2313&lt;=200,"До 200",IF(G2313&lt;=500,"До 500","Отдельное КП"))))</f>
        <v/>
      </c>
      <c r="N2313" s="15">
        <f>IF(OR(G2313="",L2313&lt;&gt;"Да"),"",IF(G2313&lt;=100,33600,IF(G2313&lt;=200,62400,IF(G2313&lt;=500,144000,""))))</f>
        <v/>
      </c>
      <c r="O2313" s="16">
        <f>IF(G2313="","",IF(G2313&lt;=15,"1–15",IF(G2313&lt;=30,"16–30",IF(G2313&lt;=50,"31–50",IF(G2313&lt;=100,"51–100",IF(G2313&lt;=150,"101–150",IF(G2313&lt;=200,"151–200",IF(G2313&lt;=500,"201–500","500+"))))))))</f>
        <v/>
      </c>
      <c r="P2313" s="16" t="inlineStr">
        <is>
          <t>Нет совпадения в предоставленной выгрузке ССЧР</t>
        </is>
      </c>
      <c r="Q2313" s="16" t="n"/>
      <c r="R2313" s="16">
        <f>HYPERLINK("https://checko.ru/search?query=3801001629","Чекко: проверить")</f>
        <v/>
      </c>
      <c r="S2313" t="n">
        <v>0</v>
      </c>
    </row>
    <row r="2314" ht="15" customHeight="1" s="24">
      <c r="A2314" s="13" t="n">
        <v>5000094874</v>
      </c>
      <c r="B2314" s="13" t="inlineStr">
        <is>
          <t>МКОУ "СОШ №4" г.п.Чегем</t>
        </is>
      </c>
      <c r="C2314" s="13" t="n">
        <v>708007236</v>
      </c>
      <c r="D2314" s="13" t="n"/>
      <c r="E2314" s="13" t="inlineStr">
        <is>
          <t>Не определён</t>
        </is>
      </c>
      <c r="F2314" s="13" t="inlineStr">
        <is>
          <t>708007236</t>
        </is>
      </c>
      <c r="G2314" s="14" t="n"/>
      <c r="H2314" s="14" t="n"/>
      <c r="I2314" s="14" t="n"/>
      <c r="J2314" s="14" t="n"/>
      <c r="K2314" s="13">
        <f>IF(G2314="","",IF(G2314&gt;=22,"Да","Нет"))</f>
        <v/>
      </c>
      <c r="L2314" s="13">
        <f>IF(OR(I2314="",J2314=""),"Не определено",IF(OR(COUNTIF(I2314,"45*")&gt;0,COUNTIF(J2314,"*45*")&gt;0,COUNTIF(I2314,"46*")&gt;0,COUNTIF(J2314,"*46*")&gt;0,COUNTIF(I2314,"47*")&gt;0,COUNTIF(J2314,"*47*")&gt;0,COUNTIF(I2314,"10*")&gt;0,COUNTIF(J2314,"*10*")&gt;0,COUNTIF(I2314,"11*")&gt;0,COUNTIF(J2314,"*11*")&gt;0,COUNTIF(I2314,"12*")&gt;0,COUNTIF(J2314,"*12*")&gt;0,COUNTIF(I2314,"13*")&gt;0,COUNTIF(J2314,"*13*")&gt;0,COUNTIF(I2314,"14*")&gt;0,COUNTIF(J2314,"*14*")&gt;0,COUNTIF(I2314,"15*")&gt;0,COUNTIF(J2314,"*15*")&gt;0,COUNTIF(I2314,"16*")&gt;0,COUNTIF(J2314,"*16*")&gt;0,COUNTIF(I2314,"17*")&gt;0,COUNTIF(J2314,"*17*")&gt;0,COUNTIF(I2314,"18*")&gt;0,COUNTIF(J2314,"*18*")&gt;0,COUNTIF(I2314,"19*")&gt;0,COUNTIF(J2314,"*19*")&gt;0,COUNTIF(I2314,"20*")&gt;0,COUNTIF(J2314,"*20*")&gt;0,COUNTIF(I2314,"21*")&gt;0,COUNTIF(J2314,"*21*")&gt;0,COUNTIF(I2314,"22*")&gt;0,COUNTIF(J2314,"*22*")&gt;0,COUNTIF(I2314,"23*")&gt;0,COUNTIF(J2314,"*23*")&gt;0,COUNTIF(I2314,"24*")&gt;0,COUNTIF(J2314,"*24*")&gt;0,COUNTIF(I2314,"25*")&gt;0,COUNTIF(J2314,"*25*")&gt;0,COUNTIF(I2314,"26*")&gt;0,COUNTIF(J2314,"*26*")&gt;0,COUNTIF(I2314,"27*")&gt;0,COUNTIF(J2314,"*27*")&gt;0,COUNTIF(I2314,"28*")&gt;0,COUNTIF(J2314,"*28*")&gt;0,COUNTIF(I2314,"29*")&gt;0,COUNTIF(J2314,"*29*")&gt;0,COUNTIF(I2314,"30*")&gt;0,COUNTIF(J2314,"*30*")&gt;0,COUNTIF(I2314,"31*")&gt;0,COUNTIF(J2314,"*31*")&gt;0,COUNTIF(I2314,"32*")&gt;0,COUNTIF(J2314,"*32*")&gt;0,COUNTIF(I2314,"33*")&gt;0,COUNTIF(J2314,"*33*")&gt;0,COUNTIF(I2314,"41*")&gt;0,COUNTIF(J2314,"*41*")&gt;0,COUNTIF(I2314,"42*")&gt;0,COUNTIF(J2314,"*42*")&gt;0,COUNTIF(I2314,"43*")&gt;0,COUNTIF(J2314,"*43*")&gt;0,COUNTIF(I2314,"49*")&gt;0,COUNTIF(J2314,"*49*")&gt;0,COUNTIF(I2314,"52*")&gt;0,COUNTIF(J2314,"*52*")&gt;0,COUNTIF(I2314,"55*")&gt;0,COUNTIF(J2314,"*55*")&gt;0,COUNTIF(I2314,"56*")&gt;0,COUNTIF(J2314,"*56*")&gt;0,COUNTIF(I2314,"68*")&gt;0,COUNTIF(J2314,"*68*")&gt;0,COUNTIF(I2314,"78*")&gt;0,COUNTIF(J2314,"*78*")&gt;0,COUNTIF(I2314,"81*")&gt;0,COUNTIF(J2314,"*81*")&gt;0,COUNTIF(I2314,"82*")&gt;0,COUNTIF(J2314,"*82*")&gt;0,COUNTIF(I2314,"64*")&gt;0,COUNTIF(J2314,"*64*")&gt;0,COUNTIF(I2314,"65*")&gt;0,COUNTIF(J2314,"*65*")&gt;0,COUNTIF(I2314,"66*")&gt;0,COUNTIF(J2314,"*66*")&gt;0,COUNTIF(I2314,"61*")&gt;0,COUNTIF(J2314,"*61*")&gt;0,COUNTIF(I2314,"62*")&gt;0,COUNTIF(J2314,"*62*")&gt;0,COUNTIF(I2314,"63*")&gt;0,COUNTIF(J2314,"*63*")&gt;0,COUNTIF(I2314,"85*")&gt;0,COUNTIF(J2314,"*85*")&gt;0,COUNTIF(I2314,"86*")&gt;0,COUNTIF(J2314,"*86*")&gt;0),"Да","Нет"))</f>
        <v/>
      </c>
      <c r="M2314" s="13">
        <f>IF(OR(G2314="",L2314&lt;&gt;"Да"),"",IF(G2314&lt;=100,"До 100",IF(G2314&lt;=200,"До 200",IF(G2314&lt;=500,"До 500","Отдельное КП"))))</f>
        <v/>
      </c>
      <c r="N2314" s="15">
        <f>IF(OR(G2314="",L2314&lt;&gt;"Да"),"",IF(G2314&lt;=100,33600,IF(G2314&lt;=200,62400,IF(G2314&lt;=500,144000,""))))</f>
        <v/>
      </c>
      <c r="O2314" s="16">
        <f>IF(G2314="","",IF(G2314&lt;=15,"1–15",IF(G2314&lt;=30,"16–30",IF(G2314&lt;=50,"31–50",IF(G2314&lt;=100,"51–100",IF(G2314&lt;=150,"101–150",IF(G2314&lt;=200,"151–200",IF(G2314&lt;=500,"201–500","500+"))))))))</f>
        <v/>
      </c>
      <c r="P2314" s="16" t="inlineStr">
        <is>
          <t>Нет совпадения в предоставленной выгрузке ССЧР</t>
        </is>
      </c>
      <c r="Q2314" s="16" t="n"/>
      <c r="R2314" s="16">
        <f>HYPERLINK("https://checko.ru/search?query=3801001629","Чекко: проверить")</f>
        <v/>
      </c>
      <c r="S2314" t="n">
        <v>0</v>
      </c>
    </row>
    <row r="2315" ht="15" customHeight="1" s="24">
      <c r="A2315" s="13" t="n">
        <v>5000094875</v>
      </c>
      <c r="B2315" s="13" t="inlineStr">
        <is>
          <t>МКОУ ДОД "ДМШ" Чегемского района с.п.Яникой</t>
        </is>
      </c>
      <c r="C2315" s="13" t="n">
        <v>708007444</v>
      </c>
      <c r="D2315" s="13" t="n"/>
      <c r="E2315" s="13" t="inlineStr">
        <is>
          <t>Не определён</t>
        </is>
      </c>
      <c r="F2315" s="13" t="inlineStr">
        <is>
          <t>708007444</t>
        </is>
      </c>
      <c r="G2315" s="14" t="n"/>
      <c r="H2315" s="14" t="n"/>
      <c r="I2315" s="14" t="n"/>
      <c r="J2315" s="14" t="n"/>
      <c r="K2315" s="13">
        <f>IF(G2315="","",IF(G2315&gt;=22,"Да","Нет"))</f>
        <v/>
      </c>
      <c r="L2315" s="13">
        <f>IF(OR(I2315="",J2315=""),"Не определено",IF(OR(COUNTIF(I2315,"45*")&gt;0,COUNTIF(J2315,"*45*")&gt;0,COUNTIF(I2315,"46*")&gt;0,COUNTIF(J2315,"*46*")&gt;0,COUNTIF(I2315,"47*")&gt;0,COUNTIF(J2315,"*47*")&gt;0,COUNTIF(I2315,"10*")&gt;0,COUNTIF(J2315,"*10*")&gt;0,COUNTIF(I2315,"11*")&gt;0,COUNTIF(J2315,"*11*")&gt;0,COUNTIF(I2315,"12*")&gt;0,COUNTIF(J2315,"*12*")&gt;0,COUNTIF(I2315,"13*")&gt;0,COUNTIF(J2315,"*13*")&gt;0,COUNTIF(I2315,"14*")&gt;0,COUNTIF(J2315,"*14*")&gt;0,COUNTIF(I2315,"15*")&gt;0,COUNTIF(J2315,"*15*")&gt;0,COUNTIF(I2315,"16*")&gt;0,COUNTIF(J2315,"*16*")&gt;0,COUNTIF(I2315,"17*")&gt;0,COUNTIF(J2315,"*17*")&gt;0,COUNTIF(I2315,"18*")&gt;0,COUNTIF(J2315,"*18*")&gt;0,COUNTIF(I2315,"19*")&gt;0,COUNTIF(J2315,"*19*")&gt;0,COUNTIF(I2315,"20*")&gt;0,COUNTIF(J2315,"*20*")&gt;0,COUNTIF(I2315,"21*")&gt;0,COUNTIF(J2315,"*21*")&gt;0,COUNTIF(I2315,"22*")&gt;0,COUNTIF(J2315,"*22*")&gt;0,COUNTIF(I2315,"23*")&gt;0,COUNTIF(J2315,"*23*")&gt;0,COUNTIF(I2315,"24*")&gt;0,COUNTIF(J2315,"*24*")&gt;0,COUNTIF(I2315,"25*")&gt;0,COUNTIF(J2315,"*25*")&gt;0,COUNTIF(I2315,"26*")&gt;0,COUNTIF(J2315,"*26*")&gt;0,COUNTIF(I2315,"27*")&gt;0,COUNTIF(J2315,"*27*")&gt;0,COUNTIF(I2315,"28*")&gt;0,COUNTIF(J2315,"*28*")&gt;0,COUNTIF(I2315,"29*")&gt;0,COUNTIF(J2315,"*29*")&gt;0,COUNTIF(I2315,"30*")&gt;0,COUNTIF(J2315,"*30*")&gt;0,COUNTIF(I2315,"31*")&gt;0,COUNTIF(J2315,"*31*")&gt;0,COUNTIF(I2315,"32*")&gt;0,COUNTIF(J2315,"*32*")&gt;0,COUNTIF(I2315,"33*")&gt;0,COUNTIF(J2315,"*33*")&gt;0,COUNTIF(I2315,"41*")&gt;0,COUNTIF(J2315,"*41*")&gt;0,COUNTIF(I2315,"42*")&gt;0,COUNTIF(J2315,"*42*")&gt;0,COUNTIF(I2315,"43*")&gt;0,COUNTIF(J2315,"*43*")&gt;0,COUNTIF(I2315,"49*")&gt;0,COUNTIF(J2315,"*49*")&gt;0,COUNTIF(I2315,"52*")&gt;0,COUNTIF(J2315,"*52*")&gt;0,COUNTIF(I2315,"55*")&gt;0,COUNTIF(J2315,"*55*")&gt;0,COUNTIF(I2315,"56*")&gt;0,COUNTIF(J2315,"*56*")&gt;0,COUNTIF(I2315,"68*")&gt;0,COUNTIF(J2315,"*68*")&gt;0,COUNTIF(I2315,"78*")&gt;0,COUNTIF(J2315,"*78*")&gt;0,COUNTIF(I2315,"81*")&gt;0,COUNTIF(J2315,"*81*")&gt;0,COUNTIF(I2315,"82*")&gt;0,COUNTIF(J2315,"*82*")&gt;0,COUNTIF(I2315,"64*")&gt;0,COUNTIF(J2315,"*64*")&gt;0,COUNTIF(I2315,"65*")&gt;0,COUNTIF(J2315,"*65*")&gt;0,COUNTIF(I2315,"66*")&gt;0,COUNTIF(J2315,"*66*")&gt;0,COUNTIF(I2315,"61*")&gt;0,COUNTIF(J2315,"*61*")&gt;0,COUNTIF(I2315,"62*")&gt;0,COUNTIF(J2315,"*62*")&gt;0,COUNTIF(I2315,"63*")&gt;0,COUNTIF(J2315,"*63*")&gt;0,COUNTIF(I2315,"85*")&gt;0,COUNTIF(J2315,"*85*")&gt;0,COUNTIF(I2315,"86*")&gt;0,COUNTIF(J2315,"*86*")&gt;0),"Да","Нет"))</f>
        <v/>
      </c>
      <c r="M2315" s="13">
        <f>IF(OR(G2315="",L2315&lt;&gt;"Да"),"",IF(G2315&lt;=100,"До 100",IF(G2315&lt;=200,"До 200",IF(G2315&lt;=500,"До 500","Отдельное КП"))))</f>
        <v/>
      </c>
      <c r="N2315" s="15">
        <f>IF(OR(G2315="",L2315&lt;&gt;"Да"),"",IF(G2315&lt;=100,33600,IF(G2315&lt;=200,62400,IF(G2315&lt;=500,144000,""))))</f>
        <v/>
      </c>
      <c r="O2315" s="16">
        <f>IF(G2315="","",IF(G2315&lt;=15,"1–15",IF(G2315&lt;=30,"16–30",IF(G2315&lt;=50,"31–50",IF(G2315&lt;=100,"51–100",IF(G2315&lt;=150,"101–150",IF(G2315&lt;=200,"151–200",IF(G2315&lt;=500,"201–500","500+"))))))))</f>
        <v/>
      </c>
      <c r="P2315" s="16" t="inlineStr">
        <is>
          <t>Нет совпадения в предоставленной выгрузке ССЧР</t>
        </is>
      </c>
      <c r="Q2315" s="16" t="n"/>
      <c r="R2315" s="16">
        <f>HYPERLINK("https://checko.ru/search?query=3801001629","Чекко: проверить")</f>
        <v/>
      </c>
      <c r="S2315" t="n">
        <v>0</v>
      </c>
    </row>
    <row r="2316" ht="27.75" customHeight="1" s="24">
      <c r="A2316" s="13" t="n">
        <v>5000094877</v>
      </c>
      <c r="B2316" s="13" t="inlineStr">
        <is>
          <t>МКУ ДО "СШ ЧЕГЕМСКОГО МУНИЦИПАЛЬНОГО РАЙОНА"</t>
        </is>
      </c>
      <c r="C2316" s="13" t="n">
        <v>708008617</v>
      </c>
      <c r="D2316" s="13" t="n"/>
      <c r="E2316" s="13" t="inlineStr">
        <is>
          <t>Не определён</t>
        </is>
      </c>
      <c r="F2316" s="13" t="inlineStr">
        <is>
          <t>708008617</t>
        </is>
      </c>
      <c r="G2316" s="14" t="n"/>
      <c r="H2316" s="14" t="n"/>
      <c r="I2316" s="14" t="n"/>
      <c r="J2316" s="14" t="n"/>
      <c r="K2316" s="13">
        <f>IF(G2316="","",IF(G2316&gt;=22,"Да","Нет"))</f>
        <v/>
      </c>
      <c r="L2316" s="13">
        <f>IF(OR(I2316="",J2316=""),"Не определено",IF(OR(COUNTIF(I2316,"45*")&gt;0,COUNTIF(J2316,"*45*")&gt;0,COUNTIF(I2316,"46*")&gt;0,COUNTIF(J2316,"*46*")&gt;0,COUNTIF(I2316,"47*")&gt;0,COUNTIF(J2316,"*47*")&gt;0,COUNTIF(I2316,"10*")&gt;0,COUNTIF(J2316,"*10*")&gt;0,COUNTIF(I2316,"11*")&gt;0,COUNTIF(J2316,"*11*")&gt;0,COUNTIF(I2316,"12*")&gt;0,COUNTIF(J2316,"*12*")&gt;0,COUNTIF(I2316,"13*")&gt;0,COUNTIF(J2316,"*13*")&gt;0,COUNTIF(I2316,"14*")&gt;0,COUNTIF(J2316,"*14*")&gt;0,COUNTIF(I2316,"15*")&gt;0,COUNTIF(J2316,"*15*")&gt;0,COUNTIF(I2316,"16*")&gt;0,COUNTIF(J2316,"*16*")&gt;0,COUNTIF(I2316,"17*")&gt;0,COUNTIF(J2316,"*17*")&gt;0,COUNTIF(I2316,"18*")&gt;0,COUNTIF(J2316,"*18*")&gt;0,COUNTIF(I2316,"19*")&gt;0,COUNTIF(J2316,"*19*")&gt;0,COUNTIF(I2316,"20*")&gt;0,COUNTIF(J2316,"*20*")&gt;0,COUNTIF(I2316,"21*")&gt;0,COUNTIF(J2316,"*21*")&gt;0,COUNTIF(I2316,"22*")&gt;0,COUNTIF(J2316,"*22*")&gt;0,COUNTIF(I2316,"23*")&gt;0,COUNTIF(J2316,"*23*")&gt;0,COUNTIF(I2316,"24*")&gt;0,COUNTIF(J2316,"*24*")&gt;0,COUNTIF(I2316,"25*")&gt;0,COUNTIF(J2316,"*25*")&gt;0,COUNTIF(I2316,"26*")&gt;0,COUNTIF(J2316,"*26*")&gt;0,COUNTIF(I2316,"27*")&gt;0,COUNTIF(J2316,"*27*")&gt;0,COUNTIF(I2316,"28*")&gt;0,COUNTIF(J2316,"*28*")&gt;0,COUNTIF(I2316,"29*")&gt;0,COUNTIF(J2316,"*29*")&gt;0,COUNTIF(I2316,"30*")&gt;0,COUNTIF(J2316,"*30*")&gt;0,COUNTIF(I2316,"31*")&gt;0,COUNTIF(J2316,"*31*")&gt;0,COUNTIF(I2316,"32*")&gt;0,COUNTIF(J2316,"*32*")&gt;0,COUNTIF(I2316,"33*")&gt;0,COUNTIF(J2316,"*33*")&gt;0,COUNTIF(I2316,"41*")&gt;0,COUNTIF(J2316,"*41*")&gt;0,COUNTIF(I2316,"42*")&gt;0,COUNTIF(J2316,"*42*")&gt;0,COUNTIF(I2316,"43*")&gt;0,COUNTIF(J2316,"*43*")&gt;0,COUNTIF(I2316,"49*")&gt;0,COUNTIF(J2316,"*49*")&gt;0,COUNTIF(I2316,"52*")&gt;0,COUNTIF(J2316,"*52*")&gt;0,COUNTIF(I2316,"55*")&gt;0,COUNTIF(J2316,"*55*")&gt;0,COUNTIF(I2316,"56*")&gt;0,COUNTIF(J2316,"*56*")&gt;0,COUNTIF(I2316,"68*")&gt;0,COUNTIF(J2316,"*68*")&gt;0,COUNTIF(I2316,"78*")&gt;0,COUNTIF(J2316,"*78*")&gt;0,COUNTIF(I2316,"81*")&gt;0,COUNTIF(J2316,"*81*")&gt;0,COUNTIF(I2316,"82*")&gt;0,COUNTIF(J2316,"*82*")&gt;0,COUNTIF(I2316,"64*")&gt;0,COUNTIF(J2316,"*64*")&gt;0,COUNTIF(I2316,"65*")&gt;0,COUNTIF(J2316,"*65*")&gt;0,COUNTIF(I2316,"66*")&gt;0,COUNTIF(J2316,"*66*")&gt;0,COUNTIF(I2316,"61*")&gt;0,COUNTIF(J2316,"*61*")&gt;0,COUNTIF(I2316,"62*")&gt;0,COUNTIF(J2316,"*62*")&gt;0,COUNTIF(I2316,"63*")&gt;0,COUNTIF(J2316,"*63*")&gt;0,COUNTIF(I2316,"85*")&gt;0,COUNTIF(J2316,"*85*")&gt;0,COUNTIF(I2316,"86*")&gt;0,COUNTIF(J2316,"*86*")&gt;0),"Да","Нет"))</f>
        <v/>
      </c>
      <c r="M2316" s="13">
        <f>IF(OR(G2316="",L2316&lt;&gt;"Да"),"",IF(G2316&lt;=100,"До 100",IF(G2316&lt;=200,"До 200",IF(G2316&lt;=500,"До 500","Отдельное КП"))))</f>
        <v/>
      </c>
      <c r="N2316" s="15">
        <f>IF(OR(G2316="",L2316&lt;&gt;"Да"),"",IF(G2316&lt;=100,33600,IF(G2316&lt;=200,62400,IF(G2316&lt;=500,144000,""))))</f>
        <v/>
      </c>
      <c r="O2316" s="16">
        <f>IF(G2316="","",IF(G2316&lt;=15,"1–15",IF(G2316&lt;=30,"16–30",IF(G2316&lt;=50,"31–50",IF(G2316&lt;=100,"51–100",IF(G2316&lt;=150,"101–150",IF(G2316&lt;=200,"151–200",IF(G2316&lt;=500,"201–500","500+"))))))))</f>
        <v/>
      </c>
      <c r="P2316" s="16" t="inlineStr">
        <is>
          <t>Нет совпадения в предоставленной выгрузке ССЧР</t>
        </is>
      </c>
      <c r="Q2316" s="16" t="n"/>
      <c r="R2316" s="16">
        <f>HYPERLINK("https://checko.ru/search?query=3801001629","Чекко: проверить")</f>
        <v/>
      </c>
      <c r="S2316" t="n">
        <v>0</v>
      </c>
    </row>
    <row r="2317" ht="15" customHeight="1" s="24">
      <c r="A2317" s="13" t="n">
        <v>5000094878</v>
      </c>
      <c r="B2317" s="13" t="inlineStr">
        <is>
          <t>МКОУ СОШ №1 г.п.Чегем</t>
        </is>
      </c>
      <c r="C2317" s="13" t="n">
        <v>708008649</v>
      </c>
      <c r="D2317" s="13" t="n"/>
      <c r="E2317" s="13" t="inlineStr">
        <is>
          <t>Не определён</t>
        </is>
      </c>
      <c r="F2317" s="13" t="inlineStr">
        <is>
          <t>708008649</t>
        </is>
      </c>
      <c r="G2317" s="14" t="n"/>
      <c r="H2317" s="14" t="n"/>
      <c r="I2317" s="14" t="n"/>
      <c r="J2317" s="14" t="n"/>
      <c r="K2317" s="13">
        <f>IF(G2317="","",IF(G2317&gt;=22,"Да","Нет"))</f>
        <v/>
      </c>
      <c r="L2317" s="13">
        <f>IF(OR(I2317="",J2317=""),"Не определено",IF(OR(COUNTIF(I2317,"45*")&gt;0,COUNTIF(J2317,"*45*")&gt;0,COUNTIF(I2317,"46*")&gt;0,COUNTIF(J2317,"*46*")&gt;0,COUNTIF(I2317,"47*")&gt;0,COUNTIF(J2317,"*47*")&gt;0,COUNTIF(I2317,"10*")&gt;0,COUNTIF(J2317,"*10*")&gt;0,COUNTIF(I2317,"11*")&gt;0,COUNTIF(J2317,"*11*")&gt;0,COUNTIF(I2317,"12*")&gt;0,COUNTIF(J2317,"*12*")&gt;0,COUNTIF(I2317,"13*")&gt;0,COUNTIF(J2317,"*13*")&gt;0,COUNTIF(I2317,"14*")&gt;0,COUNTIF(J2317,"*14*")&gt;0,COUNTIF(I2317,"15*")&gt;0,COUNTIF(J2317,"*15*")&gt;0,COUNTIF(I2317,"16*")&gt;0,COUNTIF(J2317,"*16*")&gt;0,COUNTIF(I2317,"17*")&gt;0,COUNTIF(J2317,"*17*")&gt;0,COUNTIF(I2317,"18*")&gt;0,COUNTIF(J2317,"*18*")&gt;0,COUNTIF(I2317,"19*")&gt;0,COUNTIF(J2317,"*19*")&gt;0,COUNTIF(I2317,"20*")&gt;0,COUNTIF(J2317,"*20*")&gt;0,COUNTIF(I2317,"21*")&gt;0,COUNTIF(J2317,"*21*")&gt;0,COUNTIF(I2317,"22*")&gt;0,COUNTIF(J2317,"*22*")&gt;0,COUNTIF(I2317,"23*")&gt;0,COUNTIF(J2317,"*23*")&gt;0,COUNTIF(I2317,"24*")&gt;0,COUNTIF(J2317,"*24*")&gt;0,COUNTIF(I2317,"25*")&gt;0,COUNTIF(J2317,"*25*")&gt;0,COUNTIF(I2317,"26*")&gt;0,COUNTIF(J2317,"*26*")&gt;0,COUNTIF(I2317,"27*")&gt;0,COUNTIF(J2317,"*27*")&gt;0,COUNTIF(I2317,"28*")&gt;0,COUNTIF(J2317,"*28*")&gt;0,COUNTIF(I2317,"29*")&gt;0,COUNTIF(J2317,"*29*")&gt;0,COUNTIF(I2317,"30*")&gt;0,COUNTIF(J2317,"*30*")&gt;0,COUNTIF(I2317,"31*")&gt;0,COUNTIF(J2317,"*31*")&gt;0,COUNTIF(I2317,"32*")&gt;0,COUNTIF(J2317,"*32*")&gt;0,COUNTIF(I2317,"33*")&gt;0,COUNTIF(J2317,"*33*")&gt;0,COUNTIF(I2317,"41*")&gt;0,COUNTIF(J2317,"*41*")&gt;0,COUNTIF(I2317,"42*")&gt;0,COUNTIF(J2317,"*42*")&gt;0,COUNTIF(I2317,"43*")&gt;0,COUNTIF(J2317,"*43*")&gt;0,COUNTIF(I2317,"49*")&gt;0,COUNTIF(J2317,"*49*")&gt;0,COUNTIF(I2317,"52*")&gt;0,COUNTIF(J2317,"*52*")&gt;0,COUNTIF(I2317,"55*")&gt;0,COUNTIF(J2317,"*55*")&gt;0,COUNTIF(I2317,"56*")&gt;0,COUNTIF(J2317,"*56*")&gt;0,COUNTIF(I2317,"68*")&gt;0,COUNTIF(J2317,"*68*")&gt;0,COUNTIF(I2317,"78*")&gt;0,COUNTIF(J2317,"*78*")&gt;0,COUNTIF(I2317,"81*")&gt;0,COUNTIF(J2317,"*81*")&gt;0,COUNTIF(I2317,"82*")&gt;0,COUNTIF(J2317,"*82*")&gt;0,COUNTIF(I2317,"64*")&gt;0,COUNTIF(J2317,"*64*")&gt;0,COUNTIF(I2317,"65*")&gt;0,COUNTIF(J2317,"*65*")&gt;0,COUNTIF(I2317,"66*")&gt;0,COUNTIF(J2317,"*66*")&gt;0,COUNTIF(I2317,"61*")&gt;0,COUNTIF(J2317,"*61*")&gt;0,COUNTIF(I2317,"62*")&gt;0,COUNTIF(J2317,"*62*")&gt;0,COUNTIF(I2317,"63*")&gt;0,COUNTIF(J2317,"*63*")&gt;0,COUNTIF(I2317,"85*")&gt;0,COUNTIF(J2317,"*85*")&gt;0,COUNTIF(I2317,"86*")&gt;0,COUNTIF(J2317,"*86*")&gt;0),"Да","Нет"))</f>
        <v/>
      </c>
      <c r="M2317" s="13">
        <f>IF(OR(G2317="",L2317&lt;&gt;"Да"),"",IF(G2317&lt;=100,"До 100",IF(G2317&lt;=200,"До 200",IF(G2317&lt;=500,"До 500","Отдельное КП"))))</f>
        <v/>
      </c>
      <c r="N2317" s="15">
        <f>IF(OR(G2317="",L2317&lt;&gt;"Да"),"",IF(G2317&lt;=100,33600,IF(G2317&lt;=200,62400,IF(G2317&lt;=500,144000,""))))</f>
        <v/>
      </c>
      <c r="O2317" s="16">
        <f>IF(G2317="","",IF(G2317&lt;=15,"1–15",IF(G2317&lt;=30,"16–30",IF(G2317&lt;=50,"31–50",IF(G2317&lt;=100,"51–100",IF(G2317&lt;=150,"101–150",IF(G2317&lt;=200,"151–200",IF(G2317&lt;=500,"201–500","500+"))))))))</f>
        <v/>
      </c>
      <c r="P2317" s="16" t="inlineStr">
        <is>
          <t>Нет совпадения в предоставленной выгрузке ССЧР</t>
        </is>
      </c>
      <c r="Q2317" s="16" t="n"/>
      <c r="R2317" s="16">
        <f>HYPERLINK("https://checko.ru/search?query=3801001629","Чекко: проверить")</f>
        <v/>
      </c>
      <c r="S2317" t="n">
        <v>0</v>
      </c>
    </row>
    <row r="2318" ht="27.75" customHeight="1" s="24">
      <c r="A2318" s="13" t="n">
        <v>5000094879</v>
      </c>
      <c r="B2318" s="13" t="inlineStr">
        <is>
          <t>МКОУ ДОД "ДДТ" Чегемского муниципального района КБР</t>
        </is>
      </c>
      <c r="C2318" s="13" t="n">
        <v>708008776</v>
      </c>
      <c r="D2318" s="13" t="n"/>
      <c r="E2318" s="13" t="inlineStr">
        <is>
          <t>Не определён</t>
        </is>
      </c>
      <c r="F2318" s="13" t="inlineStr">
        <is>
          <t>708008776</t>
        </is>
      </c>
      <c r="G2318" s="14" t="n"/>
      <c r="H2318" s="14" t="n"/>
      <c r="I2318" s="14" t="n"/>
      <c r="J2318" s="14" t="n"/>
      <c r="K2318" s="13">
        <f>IF(G2318="","",IF(G2318&gt;=22,"Да","Нет"))</f>
        <v/>
      </c>
      <c r="L2318" s="13">
        <f>IF(OR(I2318="",J2318=""),"Не определено",IF(OR(COUNTIF(I2318,"45*")&gt;0,COUNTIF(J2318,"*45*")&gt;0,COUNTIF(I2318,"46*")&gt;0,COUNTIF(J2318,"*46*")&gt;0,COUNTIF(I2318,"47*")&gt;0,COUNTIF(J2318,"*47*")&gt;0,COUNTIF(I2318,"10*")&gt;0,COUNTIF(J2318,"*10*")&gt;0,COUNTIF(I2318,"11*")&gt;0,COUNTIF(J2318,"*11*")&gt;0,COUNTIF(I2318,"12*")&gt;0,COUNTIF(J2318,"*12*")&gt;0,COUNTIF(I2318,"13*")&gt;0,COUNTIF(J2318,"*13*")&gt;0,COUNTIF(I2318,"14*")&gt;0,COUNTIF(J2318,"*14*")&gt;0,COUNTIF(I2318,"15*")&gt;0,COUNTIF(J2318,"*15*")&gt;0,COUNTIF(I2318,"16*")&gt;0,COUNTIF(J2318,"*16*")&gt;0,COUNTIF(I2318,"17*")&gt;0,COUNTIF(J2318,"*17*")&gt;0,COUNTIF(I2318,"18*")&gt;0,COUNTIF(J2318,"*18*")&gt;0,COUNTIF(I2318,"19*")&gt;0,COUNTIF(J2318,"*19*")&gt;0,COUNTIF(I2318,"20*")&gt;0,COUNTIF(J2318,"*20*")&gt;0,COUNTIF(I2318,"21*")&gt;0,COUNTIF(J2318,"*21*")&gt;0,COUNTIF(I2318,"22*")&gt;0,COUNTIF(J2318,"*22*")&gt;0,COUNTIF(I2318,"23*")&gt;0,COUNTIF(J2318,"*23*")&gt;0,COUNTIF(I2318,"24*")&gt;0,COUNTIF(J2318,"*24*")&gt;0,COUNTIF(I2318,"25*")&gt;0,COUNTIF(J2318,"*25*")&gt;0,COUNTIF(I2318,"26*")&gt;0,COUNTIF(J2318,"*26*")&gt;0,COUNTIF(I2318,"27*")&gt;0,COUNTIF(J2318,"*27*")&gt;0,COUNTIF(I2318,"28*")&gt;0,COUNTIF(J2318,"*28*")&gt;0,COUNTIF(I2318,"29*")&gt;0,COUNTIF(J2318,"*29*")&gt;0,COUNTIF(I2318,"30*")&gt;0,COUNTIF(J2318,"*30*")&gt;0,COUNTIF(I2318,"31*")&gt;0,COUNTIF(J2318,"*31*")&gt;0,COUNTIF(I2318,"32*")&gt;0,COUNTIF(J2318,"*32*")&gt;0,COUNTIF(I2318,"33*")&gt;0,COUNTIF(J2318,"*33*")&gt;0,COUNTIF(I2318,"41*")&gt;0,COUNTIF(J2318,"*41*")&gt;0,COUNTIF(I2318,"42*")&gt;0,COUNTIF(J2318,"*42*")&gt;0,COUNTIF(I2318,"43*")&gt;0,COUNTIF(J2318,"*43*")&gt;0,COUNTIF(I2318,"49*")&gt;0,COUNTIF(J2318,"*49*")&gt;0,COUNTIF(I2318,"52*")&gt;0,COUNTIF(J2318,"*52*")&gt;0,COUNTIF(I2318,"55*")&gt;0,COUNTIF(J2318,"*55*")&gt;0,COUNTIF(I2318,"56*")&gt;0,COUNTIF(J2318,"*56*")&gt;0,COUNTIF(I2318,"68*")&gt;0,COUNTIF(J2318,"*68*")&gt;0,COUNTIF(I2318,"78*")&gt;0,COUNTIF(J2318,"*78*")&gt;0,COUNTIF(I2318,"81*")&gt;0,COUNTIF(J2318,"*81*")&gt;0,COUNTIF(I2318,"82*")&gt;0,COUNTIF(J2318,"*82*")&gt;0,COUNTIF(I2318,"64*")&gt;0,COUNTIF(J2318,"*64*")&gt;0,COUNTIF(I2318,"65*")&gt;0,COUNTIF(J2318,"*65*")&gt;0,COUNTIF(I2318,"66*")&gt;0,COUNTIF(J2318,"*66*")&gt;0,COUNTIF(I2318,"61*")&gt;0,COUNTIF(J2318,"*61*")&gt;0,COUNTIF(I2318,"62*")&gt;0,COUNTIF(J2318,"*62*")&gt;0,COUNTIF(I2318,"63*")&gt;0,COUNTIF(J2318,"*63*")&gt;0,COUNTIF(I2318,"85*")&gt;0,COUNTIF(J2318,"*85*")&gt;0,COUNTIF(I2318,"86*")&gt;0,COUNTIF(J2318,"*86*")&gt;0),"Да","Нет"))</f>
        <v/>
      </c>
      <c r="M2318" s="13">
        <f>IF(OR(G2318="",L2318&lt;&gt;"Да"),"",IF(G2318&lt;=100,"До 100",IF(G2318&lt;=200,"До 200",IF(G2318&lt;=500,"До 500","Отдельное КП"))))</f>
        <v/>
      </c>
      <c r="N2318" s="15">
        <f>IF(OR(G2318="",L2318&lt;&gt;"Да"),"",IF(G2318&lt;=100,33600,IF(G2318&lt;=200,62400,IF(G2318&lt;=500,144000,""))))</f>
        <v/>
      </c>
      <c r="O2318" s="16">
        <f>IF(G2318="","",IF(G2318&lt;=15,"1–15",IF(G2318&lt;=30,"16–30",IF(G2318&lt;=50,"31–50",IF(G2318&lt;=100,"51–100",IF(G2318&lt;=150,"101–150",IF(G2318&lt;=200,"151–200",IF(G2318&lt;=500,"201–500","500+"))))))))</f>
        <v/>
      </c>
      <c r="P2318" s="16" t="inlineStr">
        <is>
          <t>Нет совпадения в предоставленной выгрузке ССЧР</t>
        </is>
      </c>
      <c r="Q2318" s="16" t="n"/>
      <c r="R2318" s="16">
        <f>HYPERLINK("https://checko.ru/search?query=3801001629","Чекко: проверить")</f>
        <v/>
      </c>
      <c r="S2318" t="n">
        <v>0</v>
      </c>
    </row>
    <row r="2319" ht="15" customHeight="1" s="24">
      <c r="A2319" s="13" t="n">
        <v>5000094880</v>
      </c>
      <c r="B2319" s="13" t="inlineStr">
        <is>
          <t>МКОУ ДОД "РСЮТ"</t>
        </is>
      </c>
      <c r="C2319" s="13" t="n">
        <v>708008800</v>
      </c>
      <c r="D2319" s="13" t="n"/>
      <c r="E2319" s="13" t="inlineStr">
        <is>
          <t>Не определён</t>
        </is>
      </c>
      <c r="F2319" s="13" t="inlineStr">
        <is>
          <t>708008800</t>
        </is>
      </c>
      <c r="G2319" s="14" t="n"/>
      <c r="H2319" s="14" t="n"/>
      <c r="I2319" s="14" t="n"/>
      <c r="J2319" s="14" t="n"/>
      <c r="K2319" s="13">
        <f>IF(G2319="","",IF(G2319&gt;=22,"Да","Нет"))</f>
        <v/>
      </c>
      <c r="L2319" s="13">
        <f>IF(OR(I2319="",J2319=""),"Не определено",IF(OR(COUNTIF(I2319,"45*")&gt;0,COUNTIF(J2319,"*45*")&gt;0,COUNTIF(I2319,"46*")&gt;0,COUNTIF(J2319,"*46*")&gt;0,COUNTIF(I2319,"47*")&gt;0,COUNTIF(J2319,"*47*")&gt;0,COUNTIF(I2319,"10*")&gt;0,COUNTIF(J2319,"*10*")&gt;0,COUNTIF(I2319,"11*")&gt;0,COUNTIF(J2319,"*11*")&gt;0,COUNTIF(I2319,"12*")&gt;0,COUNTIF(J2319,"*12*")&gt;0,COUNTIF(I2319,"13*")&gt;0,COUNTIF(J2319,"*13*")&gt;0,COUNTIF(I2319,"14*")&gt;0,COUNTIF(J2319,"*14*")&gt;0,COUNTIF(I2319,"15*")&gt;0,COUNTIF(J2319,"*15*")&gt;0,COUNTIF(I2319,"16*")&gt;0,COUNTIF(J2319,"*16*")&gt;0,COUNTIF(I2319,"17*")&gt;0,COUNTIF(J2319,"*17*")&gt;0,COUNTIF(I2319,"18*")&gt;0,COUNTIF(J2319,"*18*")&gt;0,COUNTIF(I2319,"19*")&gt;0,COUNTIF(J2319,"*19*")&gt;0,COUNTIF(I2319,"20*")&gt;0,COUNTIF(J2319,"*20*")&gt;0,COUNTIF(I2319,"21*")&gt;0,COUNTIF(J2319,"*21*")&gt;0,COUNTIF(I2319,"22*")&gt;0,COUNTIF(J2319,"*22*")&gt;0,COUNTIF(I2319,"23*")&gt;0,COUNTIF(J2319,"*23*")&gt;0,COUNTIF(I2319,"24*")&gt;0,COUNTIF(J2319,"*24*")&gt;0,COUNTIF(I2319,"25*")&gt;0,COUNTIF(J2319,"*25*")&gt;0,COUNTIF(I2319,"26*")&gt;0,COUNTIF(J2319,"*26*")&gt;0,COUNTIF(I2319,"27*")&gt;0,COUNTIF(J2319,"*27*")&gt;0,COUNTIF(I2319,"28*")&gt;0,COUNTIF(J2319,"*28*")&gt;0,COUNTIF(I2319,"29*")&gt;0,COUNTIF(J2319,"*29*")&gt;0,COUNTIF(I2319,"30*")&gt;0,COUNTIF(J2319,"*30*")&gt;0,COUNTIF(I2319,"31*")&gt;0,COUNTIF(J2319,"*31*")&gt;0,COUNTIF(I2319,"32*")&gt;0,COUNTIF(J2319,"*32*")&gt;0,COUNTIF(I2319,"33*")&gt;0,COUNTIF(J2319,"*33*")&gt;0,COUNTIF(I2319,"41*")&gt;0,COUNTIF(J2319,"*41*")&gt;0,COUNTIF(I2319,"42*")&gt;0,COUNTIF(J2319,"*42*")&gt;0,COUNTIF(I2319,"43*")&gt;0,COUNTIF(J2319,"*43*")&gt;0,COUNTIF(I2319,"49*")&gt;0,COUNTIF(J2319,"*49*")&gt;0,COUNTIF(I2319,"52*")&gt;0,COUNTIF(J2319,"*52*")&gt;0,COUNTIF(I2319,"55*")&gt;0,COUNTIF(J2319,"*55*")&gt;0,COUNTIF(I2319,"56*")&gt;0,COUNTIF(J2319,"*56*")&gt;0,COUNTIF(I2319,"68*")&gt;0,COUNTIF(J2319,"*68*")&gt;0,COUNTIF(I2319,"78*")&gt;0,COUNTIF(J2319,"*78*")&gt;0,COUNTIF(I2319,"81*")&gt;0,COUNTIF(J2319,"*81*")&gt;0,COUNTIF(I2319,"82*")&gt;0,COUNTIF(J2319,"*82*")&gt;0,COUNTIF(I2319,"64*")&gt;0,COUNTIF(J2319,"*64*")&gt;0,COUNTIF(I2319,"65*")&gt;0,COUNTIF(J2319,"*65*")&gt;0,COUNTIF(I2319,"66*")&gt;0,COUNTIF(J2319,"*66*")&gt;0,COUNTIF(I2319,"61*")&gt;0,COUNTIF(J2319,"*61*")&gt;0,COUNTIF(I2319,"62*")&gt;0,COUNTIF(J2319,"*62*")&gt;0,COUNTIF(I2319,"63*")&gt;0,COUNTIF(J2319,"*63*")&gt;0,COUNTIF(I2319,"85*")&gt;0,COUNTIF(J2319,"*85*")&gt;0,COUNTIF(I2319,"86*")&gt;0,COUNTIF(J2319,"*86*")&gt;0),"Да","Нет"))</f>
        <v/>
      </c>
      <c r="M2319" s="13">
        <f>IF(OR(G2319="",L2319&lt;&gt;"Да"),"",IF(G2319&lt;=100,"До 100",IF(G2319&lt;=200,"До 200",IF(G2319&lt;=500,"До 500","Отдельное КП"))))</f>
        <v/>
      </c>
      <c r="N2319" s="15">
        <f>IF(OR(G2319="",L2319&lt;&gt;"Да"),"",IF(G2319&lt;=100,33600,IF(G2319&lt;=200,62400,IF(G2319&lt;=500,144000,""))))</f>
        <v/>
      </c>
      <c r="O2319" s="16">
        <f>IF(G2319="","",IF(G2319&lt;=15,"1–15",IF(G2319&lt;=30,"16–30",IF(G2319&lt;=50,"31–50",IF(G2319&lt;=100,"51–100",IF(G2319&lt;=150,"101–150",IF(G2319&lt;=200,"151–200",IF(G2319&lt;=500,"201–500","500+"))))))))</f>
        <v/>
      </c>
      <c r="P2319" s="16" t="inlineStr">
        <is>
          <t>Нет совпадения в предоставленной выгрузке ССЧР</t>
        </is>
      </c>
      <c r="Q2319" s="16" t="n"/>
      <c r="R2319" s="16">
        <f>HYPERLINK("https://checko.ru/search?query=3801001629","Чекко: проверить")</f>
        <v/>
      </c>
      <c r="S2319" t="n">
        <v>0</v>
      </c>
    </row>
    <row r="2320" ht="15" customHeight="1" s="24">
      <c r="A2320" s="13" t="n">
        <v>5000094881</v>
      </c>
      <c r="B2320" s="13" t="inlineStr">
        <is>
          <t>МКОУ ДОД "РСЮН" Чегемского района КБР</t>
        </is>
      </c>
      <c r="C2320" s="13" t="n">
        <v>708008818</v>
      </c>
      <c r="D2320" s="13" t="n"/>
      <c r="E2320" s="13" t="inlineStr">
        <is>
          <t>Не определён</t>
        </is>
      </c>
      <c r="F2320" s="13" t="inlineStr">
        <is>
          <t>708008818</t>
        </is>
      </c>
      <c r="G2320" s="14" t="n"/>
      <c r="H2320" s="14" t="n"/>
      <c r="I2320" s="14" t="n"/>
      <c r="J2320" s="14" t="n"/>
      <c r="K2320" s="13">
        <f>IF(G2320="","",IF(G2320&gt;=22,"Да","Нет"))</f>
        <v/>
      </c>
      <c r="L2320" s="13">
        <f>IF(OR(I2320="",J2320=""),"Не определено",IF(OR(COUNTIF(I2320,"45*")&gt;0,COUNTIF(J2320,"*45*")&gt;0,COUNTIF(I2320,"46*")&gt;0,COUNTIF(J2320,"*46*")&gt;0,COUNTIF(I2320,"47*")&gt;0,COUNTIF(J2320,"*47*")&gt;0,COUNTIF(I2320,"10*")&gt;0,COUNTIF(J2320,"*10*")&gt;0,COUNTIF(I2320,"11*")&gt;0,COUNTIF(J2320,"*11*")&gt;0,COUNTIF(I2320,"12*")&gt;0,COUNTIF(J2320,"*12*")&gt;0,COUNTIF(I2320,"13*")&gt;0,COUNTIF(J2320,"*13*")&gt;0,COUNTIF(I2320,"14*")&gt;0,COUNTIF(J2320,"*14*")&gt;0,COUNTIF(I2320,"15*")&gt;0,COUNTIF(J2320,"*15*")&gt;0,COUNTIF(I2320,"16*")&gt;0,COUNTIF(J2320,"*16*")&gt;0,COUNTIF(I2320,"17*")&gt;0,COUNTIF(J2320,"*17*")&gt;0,COUNTIF(I2320,"18*")&gt;0,COUNTIF(J2320,"*18*")&gt;0,COUNTIF(I2320,"19*")&gt;0,COUNTIF(J2320,"*19*")&gt;0,COUNTIF(I2320,"20*")&gt;0,COUNTIF(J2320,"*20*")&gt;0,COUNTIF(I2320,"21*")&gt;0,COUNTIF(J2320,"*21*")&gt;0,COUNTIF(I2320,"22*")&gt;0,COUNTIF(J2320,"*22*")&gt;0,COUNTIF(I2320,"23*")&gt;0,COUNTIF(J2320,"*23*")&gt;0,COUNTIF(I2320,"24*")&gt;0,COUNTIF(J2320,"*24*")&gt;0,COUNTIF(I2320,"25*")&gt;0,COUNTIF(J2320,"*25*")&gt;0,COUNTIF(I2320,"26*")&gt;0,COUNTIF(J2320,"*26*")&gt;0,COUNTIF(I2320,"27*")&gt;0,COUNTIF(J2320,"*27*")&gt;0,COUNTIF(I2320,"28*")&gt;0,COUNTIF(J2320,"*28*")&gt;0,COUNTIF(I2320,"29*")&gt;0,COUNTIF(J2320,"*29*")&gt;0,COUNTIF(I2320,"30*")&gt;0,COUNTIF(J2320,"*30*")&gt;0,COUNTIF(I2320,"31*")&gt;0,COUNTIF(J2320,"*31*")&gt;0,COUNTIF(I2320,"32*")&gt;0,COUNTIF(J2320,"*32*")&gt;0,COUNTIF(I2320,"33*")&gt;0,COUNTIF(J2320,"*33*")&gt;0,COUNTIF(I2320,"41*")&gt;0,COUNTIF(J2320,"*41*")&gt;0,COUNTIF(I2320,"42*")&gt;0,COUNTIF(J2320,"*42*")&gt;0,COUNTIF(I2320,"43*")&gt;0,COUNTIF(J2320,"*43*")&gt;0,COUNTIF(I2320,"49*")&gt;0,COUNTIF(J2320,"*49*")&gt;0,COUNTIF(I2320,"52*")&gt;0,COUNTIF(J2320,"*52*")&gt;0,COUNTIF(I2320,"55*")&gt;0,COUNTIF(J2320,"*55*")&gt;0,COUNTIF(I2320,"56*")&gt;0,COUNTIF(J2320,"*56*")&gt;0,COUNTIF(I2320,"68*")&gt;0,COUNTIF(J2320,"*68*")&gt;0,COUNTIF(I2320,"78*")&gt;0,COUNTIF(J2320,"*78*")&gt;0,COUNTIF(I2320,"81*")&gt;0,COUNTIF(J2320,"*81*")&gt;0,COUNTIF(I2320,"82*")&gt;0,COUNTIF(J2320,"*82*")&gt;0,COUNTIF(I2320,"64*")&gt;0,COUNTIF(J2320,"*64*")&gt;0,COUNTIF(I2320,"65*")&gt;0,COUNTIF(J2320,"*65*")&gt;0,COUNTIF(I2320,"66*")&gt;0,COUNTIF(J2320,"*66*")&gt;0,COUNTIF(I2320,"61*")&gt;0,COUNTIF(J2320,"*61*")&gt;0,COUNTIF(I2320,"62*")&gt;0,COUNTIF(J2320,"*62*")&gt;0,COUNTIF(I2320,"63*")&gt;0,COUNTIF(J2320,"*63*")&gt;0,COUNTIF(I2320,"85*")&gt;0,COUNTIF(J2320,"*85*")&gt;0,COUNTIF(I2320,"86*")&gt;0,COUNTIF(J2320,"*86*")&gt;0),"Да","Нет"))</f>
        <v/>
      </c>
      <c r="M2320" s="13">
        <f>IF(OR(G2320="",L2320&lt;&gt;"Да"),"",IF(G2320&lt;=100,"До 100",IF(G2320&lt;=200,"До 200",IF(G2320&lt;=500,"До 500","Отдельное КП"))))</f>
        <v/>
      </c>
      <c r="N2320" s="15">
        <f>IF(OR(G2320="",L2320&lt;&gt;"Да"),"",IF(G2320&lt;=100,33600,IF(G2320&lt;=200,62400,IF(G2320&lt;=500,144000,""))))</f>
        <v/>
      </c>
      <c r="O2320" s="16">
        <f>IF(G2320="","",IF(G2320&lt;=15,"1–15",IF(G2320&lt;=30,"16–30",IF(G2320&lt;=50,"31–50",IF(G2320&lt;=100,"51–100",IF(G2320&lt;=150,"101–150",IF(G2320&lt;=200,"151–200",IF(G2320&lt;=500,"201–500","500+"))))))))</f>
        <v/>
      </c>
      <c r="P2320" s="16" t="inlineStr">
        <is>
          <t>Нет совпадения в предоставленной выгрузке ССЧР</t>
        </is>
      </c>
      <c r="Q2320" s="16" t="n"/>
      <c r="R2320" s="16">
        <f>HYPERLINK("https://checko.ru/search?query=3801001629","Чекко: проверить")</f>
        <v/>
      </c>
      <c r="S2320" t="n">
        <v>0</v>
      </c>
    </row>
    <row r="2321" ht="15" customHeight="1" s="24">
      <c r="A2321" s="13" t="n">
        <v>5000094882</v>
      </c>
      <c r="B2321" s="13" t="inlineStr">
        <is>
          <t>МКОУ ВСОШ №1 с.п.Каменка</t>
        </is>
      </c>
      <c r="C2321" s="13" t="n">
        <v>708008889</v>
      </c>
      <c r="D2321" s="13" t="n"/>
      <c r="E2321" s="13" t="inlineStr">
        <is>
          <t>Не определён</t>
        </is>
      </c>
      <c r="F2321" s="13" t="inlineStr">
        <is>
          <t>708008889</t>
        </is>
      </c>
      <c r="G2321" s="14" t="n"/>
      <c r="H2321" s="14" t="n"/>
      <c r="I2321" s="14" t="n"/>
      <c r="J2321" s="14" t="n"/>
      <c r="K2321" s="13">
        <f>IF(G2321="","",IF(G2321&gt;=22,"Да","Нет"))</f>
        <v/>
      </c>
      <c r="L2321" s="13">
        <f>IF(OR(I2321="",J2321=""),"Не определено",IF(OR(COUNTIF(I2321,"45*")&gt;0,COUNTIF(J2321,"*45*")&gt;0,COUNTIF(I2321,"46*")&gt;0,COUNTIF(J2321,"*46*")&gt;0,COUNTIF(I2321,"47*")&gt;0,COUNTIF(J2321,"*47*")&gt;0,COUNTIF(I2321,"10*")&gt;0,COUNTIF(J2321,"*10*")&gt;0,COUNTIF(I2321,"11*")&gt;0,COUNTIF(J2321,"*11*")&gt;0,COUNTIF(I2321,"12*")&gt;0,COUNTIF(J2321,"*12*")&gt;0,COUNTIF(I2321,"13*")&gt;0,COUNTIF(J2321,"*13*")&gt;0,COUNTIF(I2321,"14*")&gt;0,COUNTIF(J2321,"*14*")&gt;0,COUNTIF(I2321,"15*")&gt;0,COUNTIF(J2321,"*15*")&gt;0,COUNTIF(I2321,"16*")&gt;0,COUNTIF(J2321,"*16*")&gt;0,COUNTIF(I2321,"17*")&gt;0,COUNTIF(J2321,"*17*")&gt;0,COUNTIF(I2321,"18*")&gt;0,COUNTIF(J2321,"*18*")&gt;0,COUNTIF(I2321,"19*")&gt;0,COUNTIF(J2321,"*19*")&gt;0,COUNTIF(I2321,"20*")&gt;0,COUNTIF(J2321,"*20*")&gt;0,COUNTIF(I2321,"21*")&gt;0,COUNTIF(J2321,"*21*")&gt;0,COUNTIF(I2321,"22*")&gt;0,COUNTIF(J2321,"*22*")&gt;0,COUNTIF(I2321,"23*")&gt;0,COUNTIF(J2321,"*23*")&gt;0,COUNTIF(I2321,"24*")&gt;0,COUNTIF(J2321,"*24*")&gt;0,COUNTIF(I2321,"25*")&gt;0,COUNTIF(J2321,"*25*")&gt;0,COUNTIF(I2321,"26*")&gt;0,COUNTIF(J2321,"*26*")&gt;0,COUNTIF(I2321,"27*")&gt;0,COUNTIF(J2321,"*27*")&gt;0,COUNTIF(I2321,"28*")&gt;0,COUNTIF(J2321,"*28*")&gt;0,COUNTIF(I2321,"29*")&gt;0,COUNTIF(J2321,"*29*")&gt;0,COUNTIF(I2321,"30*")&gt;0,COUNTIF(J2321,"*30*")&gt;0,COUNTIF(I2321,"31*")&gt;0,COUNTIF(J2321,"*31*")&gt;0,COUNTIF(I2321,"32*")&gt;0,COUNTIF(J2321,"*32*")&gt;0,COUNTIF(I2321,"33*")&gt;0,COUNTIF(J2321,"*33*")&gt;0,COUNTIF(I2321,"41*")&gt;0,COUNTIF(J2321,"*41*")&gt;0,COUNTIF(I2321,"42*")&gt;0,COUNTIF(J2321,"*42*")&gt;0,COUNTIF(I2321,"43*")&gt;0,COUNTIF(J2321,"*43*")&gt;0,COUNTIF(I2321,"49*")&gt;0,COUNTIF(J2321,"*49*")&gt;0,COUNTIF(I2321,"52*")&gt;0,COUNTIF(J2321,"*52*")&gt;0,COUNTIF(I2321,"55*")&gt;0,COUNTIF(J2321,"*55*")&gt;0,COUNTIF(I2321,"56*")&gt;0,COUNTIF(J2321,"*56*")&gt;0,COUNTIF(I2321,"68*")&gt;0,COUNTIF(J2321,"*68*")&gt;0,COUNTIF(I2321,"78*")&gt;0,COUNTIF(J2321,"*78*")&gt;0,COUNTIF(I2321,"81*")&gt;0,COUNTIF(J2321,"*81*")&gt;0,COUNTIF(I2321,"82*")&gt;0,COUNTIF(J2321,"*82*")&gt;0,COUNTIF(I2321,"64*")&gt;0,COUNTIF(J2321,"*64*")&gt;0,COUNTIF(I2321,"65*")&gt;0,COUNTIF(J2321,"*65*")&gt;0,COUNTIF(I2321,"66*")&gt;0,COUNTIF(J2321,"*66*")&gt;0,COUNTIF(I2321,"61*")&gt;0,COUNTIF(J2321,"*61*")&gt;0,COUNTIF(I2321,"62*")&gt;0,COUNTIF(J2321,"*62*")&gt;0,COUNTIF(I2321,"63*")&gt;0,COUNTIF(J2321,"*63*")&gt;0,COUNTIF(I2321,"85*")&gt;0,COUNTIF(J2321,"*85*")&gt;0,COUNTIF(I2321,"86*")&gt;0,COUNTIF(J2321,"*86*")&gt;0),"Да","Нет"))</f>
        <v/>
      </c>
      <c r="M2321" s="13">
        <f>IF(OR(G2321="",L2321&lt;&gt;"Да"),"",IF(G2321&lt;=100,"До 100",IF(G2321&lt;=200,"До 200",IF(G2321&lt;=500,"До 500","Отдельное КП"))))</f>
        <v/>
      </c>
      <c r="N2321" s="15">
        <f>IF(OR(G2321="",L2321&lt;&gt;"Да"),"",IF(G2321&lt;=100,33600,IF(G2321&lt;=200,62400,IF(G2321&lt;=500,144000,""))))</f>
        <v/>
      </c>
      <c r="O2321" s="16">
        <f>IF(G2321="","",IF(G2321&lt;=15,"1–15",IF(G2321&lt;=30,"16–30",IF(G2321&lt;=50,"31–50",IF(G2321&lt;=100,"51–100",IF(G2321&lt;=150,"101–150",IF(G2321&lt;=200,"151–200",IF(G2321&lt;=500,"201–500","500+"))))))))</f>
        <v/>
      </c>
      <c r="P2321" s="16" t="inlineStr">
        <is>
          <t>Нет совпадения в предоставленной выгрузке ССЧР</t>
        </is>
      </c>
      <c r="Q2321" s="16" t="n"/>
      <c r="R2321" s="16">
        <f>HYPERLINK("https://checko.ru/search?query=3801001629","Чекко: проверить")</f>
        <v/>
      </c>
      <c r="S2321" t="n">
        <v>0</v>
      </c>
    </row>
    <row r="2322" ht="15" customHeight="1" s="24">
      <c r="A2322" s="13" t="n">
        <v>5000094952</v>
      </c>
      <c r="B2322" s="13" t="inlineStr">
        <is>
          <t>МКУК"РКМ ИМ О.М,ОТАРОВА"</t>
        </is>
      </c>
      <c r="C2322" s="13" t="n">
        <v>710055727</v>
      </c>
      <c r="D2322" s="13" t="n"/>
      <c r="E2322" s="13" t="inlineStr">
        <is>
          <t>Не определён</t>
        </is>
      </c>
      <c r="F2322" s="13" t="inlineStr">
        <is>
          <t>710055727</t>
        </is>
      </c>
      <c r="G2322" s="14" t="n"/>
      <c r="H2322" s="14" t="n"/>
      <c r="I2322" s="14" t="n"/>
      <c r="J2322" s="14" t="n"/>
      <c r="K2322" s="13">
        <f>IF(G2322="","",IF(G2322&gt;=22,"Да","Нет"))</f>
        <v/>
      </c>
      <c r="L2322" s="13">
        <f>IF(OR(I2322="",J2322=""),"Не определено",IF(OR(COUNTIF(I2322,"45*")&gt;0,COUNTIF(J2322,"*45*")&gt;0,COUNTIF(I2322,"46*")&gt;0,COUNTIF(J2322,"*46*")&gt;0,COUNTIF(I2322,"47*")&gt;0,COUNTIF(J2322,"*47*")&gt;0,COUNTIF(I2322,"10*")&gt;0,COUNTIF(J2322,"*10*")&gt;0,COUNTIF(I2322,"11*")&gt;0,COUNTIF(J2322,"*11*")&gt;0,COUNTIF(I2322,"12*")&gt;0,COUNTIF(J2322,"*12*")&gt;0,COUNTIF(I2322,"13*")&gt;0,COUNTIF(J2322,"*13*")&gt;0,COUNTIF(I2322,"14*")&gt;0,COUNTIF(J2322,"*14*")&gt;0,COUNTIF(I2322,"15*")&gt;0,COUNTIF(J2322,"*15*")&gt;0,COUNTIF(I2322,"16*")&gt;0,COUNTIF(J2322,"*16*")&gt;0,COUNTIF(I2322,"17*")&gt;0,COUNTIF(J2322,"*17*")&gt;0,COUNTIF(I2322,"18*")&gt;0,COUNTIF(J2322,"*18*")&gt;0,COUNTIF(I2322,"19*")&gt;0,COUNTIF(J2322,"*19*")&gt;0,COUNTIF(I2322,"20*")&gt;0,COUNTIF(J2322,"*20*")&gt;0,COUNTIF(I2322,"21*")&gt;0,COUNTIF(J2322,"*21*")&gt;0,COUNTIF(I2322,"22*")&gt;0,COUNTIF(J2322,"*22*")&gt;0,COUNTIF(I2322,"23*")&gt;0,COUNTIF(J2322,"*23*")&gt;0,COUNTIF(I2322,"24*")&gt;0,COUNTIF(J2322,"*24*")&gt;0,COUNTIF(I2322,"25*")&gt;0,COUNTIF(J2322,"*25*")&gt;0,COUNTIF(I2322,"26*")&gt;0,COUNTIF(J2322,"*26*")&gt;0,COUNTIF(I2322,"27*")&gt;0,COUNTIF(J2322,"*27*")&gt;0,COUNTIF(I2322,"28*")&gt;0,COUNTIF(J2322,"*28*")&gt;0,COUNTIF(I2322,"29*")&gt;0,COUNTIF(J2322,"*29*")&gt;0,COUNTIF(I2322,"30*")&gt;0,COUNTIF(J2322,"*30*")&gt;0,COUNTIF(I2322,"31*")&gt;0,COUNTIF(J2322,"*31*")&gt;0,COUNTIF(I2322,"32*")&gt;0,COUNTIF(J2322,"*32*")&gt;0,COUNTIF(I2322,"33*")&gt;0,COUNTIF(J2322,"*33*")&gt;0,COUNTIF(I2322,"41*")&gt;0,COUNTIF(J2322,"*41*")&gt;0,COUNTIF(I2322,"42*")&gt;0,COUNTIF(J2322,"*42*")&gt;0,COUNTIF(I2322,"43*")&gt;0,COUNTIF(J2322,"*43*")&gt;0,COUNTIF(I2322,"49*")&gt;0,COUNTIF(J2322,"*49*")&gt;0,COUNTIF(I2322,"52*")&gt;0,COUNTIF(J2322,"*52*")&gt;0,COUNTIF(I2322,"55*")&gt;0,COUNTIF(J2322,"*55*")&gt;0,COUNTIF(I2322,"56*")&gt;0,COUNTIF(J2322,"*56*")&gt;0,COUNTIF(I2322,"68*")&gt;0,COUNTIF(J2322,"*68*")&gt;0,COUNTIF(I2322,"78*")&gt;0,COUNTIF(J2322,"*78*")&gt;0,COUNTIF(I2322,"81*")&gt;0,COUNTIF(J2322,"*81*")&gt;0,COUNTIF(I2322,"82*")&gt;0,COUNTIF(J2322,"*82*")&gt;0,COUNTIF(I2322,"64*")&gt;0,COUNTIF(J2322,"*64*")&gt;0,COUNTIF(I2322,"65*")&gt;0,COUNTIF(J2322,"*65*")&gt;0,COUNTIF(I2322,"66*")&gt;0,COUNTIF(J2322,"*66*")&gt;0,COUNTIF(I2322,"61*")&gt;0,COUNTIF(J2322,"*61*")&gt;0,COUNTIF(I2322,"62*")&gt;0,COUNTIF(J2322,"*62*")&gt;0,COUNTIF(I2322,"63*")&gt;0,COUNTIF(J2322,"*63*")&gt;0,COUNTIF(I2322,"85*")&gt;0,COUNTIF(J2322,"*85*")&gt;0,COUNTIF(I2322,"86*")&gt;0,COUNTIF(J2322,"*86*")&gt;0),"Да","Нет"))</f>
        <v/>
      </c>
      <c r="M2322" s="13">
        <f>IF(OR(G2322="",L2322&lt;&gt;"Да"),"",IF(G2322&lt;=100,"До 100",IF(G2322&lt;=200,"До 200",IF(G2322&lt;=500,"До 500","Отдельное КП"))))</f>
        <v/>
      </c>
      <c r="N2322" s="15">
        <f>IF(OR(G2322="",L2322&lt;&gt;"Да"),"",IF(G2322&lt;=100,33600,IF(G2322&lt;=200,62400,IF(G2322&lt;=500,144000,""))))</f>
        <v/>
      </c>
      <c r="O2322" s="16">
        <f>IF(G2322="","",IF(G2322&lt;=15,"1–15",IF(G2322&lt;=30,"16–30",IF(G2322&lt;=50,"31–50",IF(G2322&lt;=100,"51–100",IF(G2322&lt;=150,"101–150",IF(G2322&lt;=200,"151–200",IF(G2322&lt;=500,"201–500","500+"))))))))</f>
        <v/>
      </c>
      <c r="P2322" s="16" t="inlineStr">
        <is>
          <t>Нет совпадения в предоставленной выгрузке ССЧР</t>
        </is>
      </c>
      <c r="Q2322" s="16" t="n"/>
      <c r="R2322" s="16">
        <f>HYPERLINK("https://checko.ru/search?query=3801001629","Чекко: проверить")</f>
        <v/>
      </c>
      <c r="S2322" t="n">
        <v>0</v>
      </c>
    </row>
    <row r="2323" ht="15" customHeight="1" s="24">
      <c r="A2323" s="13" t="n">
        <v>5000094883</v>
      </c>
      <c r="B2323" s="13" t="inlineStr">
        <is>
          <t>МКОУ ВСОШ №2 с.п.Каменка</t>
        </is>
      </c>
      <c r="C2323" s="13" t="n">
        <v>708008896</v>
      </c>
      <c r="D2323" s="13" t="n"/>
      <c r="E2323" s="13" t="inlineStr">
        <is>
          <t>Не определён</t>
        </is>
      </c>
      <c r="F2323" s="13" t="inlineStr">
        <is>
          <t>708008896</t>
        </is>
      </c>
      <c r="G2323" s="14" t="n"/>
      <c r="H2323" s="14" t="n"/>
      <c r="I2323" s="14" t="n"/>
      <c r="J2323" s="14" t="n"/>
      <c r="K2323" s="13">
        <f>IF(G2323="","",IF(G2323&gt;=22,"Да","Нет"))</f>
        <v/>
      </c>
      <c r="L2323" s="13">
        <f>IF(OR(I2323="",J2323=""),"Не определено",IF(OR(COUNTIF(I2323,"45*")&gt;0,COUNTIF(J2323,"*45*")&gt;0,COUNTIF(I2323,"46*")&gt;0,COUNTIF(J2323,"*46*")&gt;0,COUNTIF(I2323,"47*")&gt;0,COUNTIF(J2323,"*47*")&gt;0,COUNTIF(I2323,"10*")&gt;0,COUNTIF(J2323,"*10*")&gt;0,COUNTIF(I2323,"11*")&gt;0,COUNTIF(J2323,"*11*")&gt;0,COUNTIF(I2323,"12*")&gt;0,COUNTIF(J2323,"*12*")&gt;0,COUNTIF(I2323,"13*")&gt;0,COUNTIF(J2323,"*13*")&gt;0,COUNTIF(I2323,"14*")&gt;0,COUNTIF(J2323,"*14*")&gt;0,COUNTIF(I2323,"15*")&gt;0,COUNTIF(J2323,"*15*")&gt;0,COUNTIF(I2323,"16*")&gt;0,COUNTIF(J2323,"*16*")&gt;0,COUNTIF(I2323,"17*")&gt;0,COUNTIF(J2323,"*17*")&gt;0,COUNTIF(I2323,"18*")&gt;0,COUNTIF(J2323,"*18*")&gt;0,COUNTIF(I2323,"19*")&gt;0,COUNTIF(J2323,"*19*")&gt;0,COUNTIF(I2323,"20*")&gt;0,COUNTIF(J2323,"*20*")&gt;0,COUNTIF(I2323,"21*")&gt;0,COUNTIF(J2323,"*21*")&gt;0,COUNTIF(I2323,"22*")&gt;0,COUNTIF(J2323,"*22*")&gt;0,COUNTIF(I2323,"23*")&gt;0,COUNTIF(J2323,"*23*")&gt;0,COUNTIF(I2323,"24*")&gt;0,COUNTIF(J2323,"*24*")&gt;0,COUNTIF(I2323,"25*")&gt;0,COUNTIF(J2323,"*25*")&gt;0,COUNTIF(I2323,"26*")&gt;0,COUNTIF(J2323,"*26*")&gt;0,COUNTIF(I2323,"27*")&gt;0,COUNTIF(J2323,"*27*")&gt;0,COUNTIF(I2323,"28*")&gt;0,COUNTIF(J2323,"*28*")&gt;0,COUNTIF(I2323,"29*")&gt;0,COUNTIF(J2323,"*29*")&gt;0,COUNTIF(I2323,"30*")&gt;0,COUNTIF(J2323,"*30*")&gt;0,COUNTIF(I2323,"31*")&gt;0,COUNTIF(J2323,"*31*")&gt;0,COUNTIF(I2323,"32*")&gt;0,COUNTIF(J2323,"*32*")&gt;0,COUNTIF(I2323,"33*")&gt;0,COUNTIF(J2323,"*33*")&gt;0,COUNTIF(I2323,"41*")&gt;0,COUNTIF(J2323,"*41*")&gt;0,COUNTIF(I2323,"42*")&gt;0,COUNTIF(J2323,"*42*")&gt;0,COUNTIF(I2323,"43*")&gt;0,COUNTIF(J2323,"*43*")&gt;0,COUNTIF(I2323,"49*")&gt;0,COUNTIF(J2323,"*49*")&gt;0,COUNTIF(I2323,"52*")&gt;0,COUNTIF(J2323,"*52*")&gt;0,COUNTIF(I2323,"55*")&gt;0,COUNTIF(J2323,"*55*")&gt;0,COUNTIF(I2323,"56*")&gt;0,COUNTIF(J2323,"*56*")&gt;0,COUNTIF(I2323,"68*")&gt;0,COUNTIF(J2323,"*68*")&gt;0,COUNTIF(I2323,"78*")&gt;0,COUNTIF(J2323,"*78*")&gt;0,COUNTIF(I2323,"81*")&gt;0,COUNTIF(J2323,"*81*")&gt;0,COUNTIF(I2323,"82*")&gt;0,COUNTIF(J2323,"*82*")&gt;0,COUNTIF(I2323,"64*")&gt;0,COUNTIF(J2323,"*64*")&gt;0,COUNTIF(I2323,"65*")&gt;0,COUNTIF(J2323,"*65*")&gt;0,COUNTIF(I2323,"66*")&gt;0,COUNTIF(J2323,"*66*")&gt;0,COUNTIF(I2323,"61*")&gt;0,COUNTIF(J2323,"*61*")&gt;0,COUNTIF(I2323,"62*")&gt;0,COUNTIF(J2323,"*62*")&gt;0,COUNTIF(I2323,"63*")&gt;0,COUNTIF(J2323,"*63*")&gt;0,COUNTIF(I2323,"85*")&gt;0,COUNTIF(J2323,"*85*")&gt;0,COUNTIF(I2323,"86*")&gt;0,COUNTIF(J2323,"*86*")&gt;0),"Да","Нет"))</f>
        <v/>
      </c>
      <c r="M2323" s="13">
        <f>IF(OR(G2323="",L2323&lt;&gt;"Да"),"",IF(G2323&lt;=100,"До 100",IF(G2323&lt;=200,"До 200",IF(G2323&lt;=500,"До 500","Отдельное КП"))))</f>
        <v/>
      </c>
      <c r="N2323" s="15">
        <f>IF(OR(G2323="",L2323&lt;&gt;"Да"),"",IF(G2323&lt;=100,33600,IF(G2323&lt;=200,62400,IF(G2323&lt;=500,144000,""))))</f>
        <v/>
      </c>
      <c r="O2323" s="16">
        <f>IF(G2323="","",IF(G2323&lt;=15,"1–15",IF(G2323&lt;=30,"16–30",IF(G2323&lt;=50,"31–50",IF(G2323&lt;=100,"51–100",IF(G2323&lt;=150,"101–150",IF(G2323&lt;=200,"151–200",IF(G2323&lt;=500,"201–500","500+"))))))))</f>
        <v/>
      </c>
      <c r="P2323" s="16" t="inlineStr">
        <is>
          <t>Нет совпадения в предоставленной выгрузке ССЧР</t>
        </is>
      </c>
      <c r="Q2323" s="16" t="n"/>
      <c r="R2323" s="16">
        <f>HYPERLINK("https://checko.ru/search?query=3801001629","Чекко: проверить")</f>
        <v/>
      </c>
      <c r="S2323" t="n">
        <v>0</v>
      </c>
    </row>
    <row r="2324" ht="15" customHeight="1" s="24">
      <c r="A2324" s="13" t="n">
        <v>5000094885</v>
      </c>
      <c r="B2324" s="13" t="inlineStr">
        <is>
          <t>МКДОУ "ЦРРДС "Звёздный"</t>
        </is>
      </c>
      <c r="C2324" s="13" t="n">
        <v>708009970</v>
      </c>
      <c r="D2324" s="13" t="n"/>
      <c r="E2324" s="13" t="inlineStr">
        <is>
          <t>Не определён</t>
        </is>
      </c>
      <c r="F2324" s="13" t="inlineStr">
        <is>
          <t>708009970</t>
        </is>
      </c>
      <c r="G2324" s="14" t="n"/>
      <c r="H2324" s="14" t="n"/>
      <c r="I2324" s="14" t="n"/>
      <c r="J2324" s="14" t="n"/>
      <c r="K2324" s="13">
        <f>IF(G2324="","",IF(G2324&gt;=22,"Да","Нет"))</f>
        <v/>
      </c>
      <c r="L2324" s="13">
        <f>IF(OR(I2324="",J2324=""),"Не определено",IF(OR(COUNTIF(I2324,"45*")&gt;0,COUNTIF(J2324,"*45*")&gt;0,COUNTIF(I2324,"46*")&gt;0,COUNTIF(J2324,"*46*")&gt;0,COUNTIF(I2324,"47*")&gt;0,COUNTIF(J2324,"*47*")&gt;0,COUNTIF(I2324,"10*")&gt;0,COUNTIF(J2324,"*10*")&gt;0,COUNTIF(I2324,"11*")&gt;0,COUNTIF(J2324,"*11*")&gt;0,COUNTIF(I2324,"12*")&gt;0,COUNTIF(J2324,"*12*")&gt;0,COUNTIF(I2324,"13*")&gt;0,COUNTIF(J2324,"*13*")&gt;0,COUNTIF(I2324,"14*")&gt;0,COUNTIF(J2324,"*14*")&gt;0,COUNTIF(I2324,"15*")&gt;0,COUNTIF(J2324,"*15*")&gt;0,COUNTIF(I2324,"16*")&gt;0,COUNTIF(J2324,"*16*")&gt;0,COUNTIF(I2324,"17*")&gt;0,COUNTIF(J2324,"*17*")&gt;0,COUNTIF(I2324,"18*")&gt;0,COUNTIF(J2324,"*18*")&gt;0,COUNTIF(I2324,"19*")&gt;0,COUNTIF(J2324,"*19*")&gt;0,COUNTIF(I2324,"20*")&gt;0,COUNTIF(J2324,"*20*")&gt;0,COUNTIF(I2324,"21*")&gt;0,COUNTIF(J2324,"*21*")&gt;0,COUNTIF(I2324,"22*")&gt;0,COUNTIF(J2324,"*22*")&gt;0,COUNTIF(I2324,"23*")&gt;0,COUNTIF(J2324,"*23*")&gt;0,COUNTIF(I2324,"24*")&gt;0,COUNTIF(J2324,"*24*")&gt;0,COUNTIF(I2324,"25*")&gt;0,COUNTIF(J2324,"*25*")&gt;0,COUNTIF(I2324,"26*")&gt;0,COUNTIF(J2324,"*26*")&gt;0,COUNTIF(I2324,"27*")&gt;0,COUNTIF(J2324,"*27*")&gt;0,COUNTIF(I2324,"28*")&gt;0,COUNTIF(J2324,"*28*")&gt;0,COUNTIF(I2324,"29*")&gt;0,COUNTIF(J2324,"*29*")&gt;0,COUNTIF(I2324,"30*")&gt;0,COUNTIF(J2324,"*30*")&gt;0,COUNTIF(I2324,"31*")&gt;0,COUNTIF(J2324,"*31*")&gt;0,COUNTIF(I2324,"32*")&gt;0,COUNTIF(J2324,"*32*")&gt;0,COUNTIF(I2324,"33*")&gt;0,COUNTIF(J2324,"*33*")&gt;0,COUNTIF(I2324,"41*")&gt;0,COUNTIF(J2324,"*41*")&gt;0,COUNTIF(I2324,"42*")&gt;0,COUNTIF(J2324,"*42*")&gt;0,COUNTIF(I2324,"43*")&gt;0,COUNTIF(J2324,"*43*")&gt;0,COUNTIF(I2324,"49*")&gt;0,COUNTIF(J2324,"*49*")&gt;0,COUNTIF(I2324,"52*")&gt;0,COUNTIF(J2324,"*52*")&gt;0,COUNTIF(I2324,"55*")&gt;0,COUNTIF(J2324,"*55*")&gt;0,COUNTIF(I2324,"56*")&gt;0,COUNTIF(J2324,"*56*")&gt;0,COUNTIF(I2324,"68*")&gt;0,COUNTIF(J2324,"*68*")&gt;0,COUNTIF(I2324,"78*")&gt;0,COUNTIF(J2324,"*78*")&gt;0,COUNTIF(I2324,"81*")&gt;0,COUNTIF(J2324,"*81*")&gt;0,COUNTIF(I2324,"82*")&gt;0,COUNTIF(J2324,"*82*")&gt;0,COUNTIF(I2324,"64*")&gt;0,COUNTIF(J2324,"*64*")&gt;0,COUNTIF(I2324,"65*")&gt;0,COUNTIF(J2324,"*65*")&gt;0,COUNTIF(I2324,"66*")&gt;0,COUNTIF(J2324,"*66*")&gt;0,COUNTIF(I2324,"61*")&gt;0,COUNTIF(J2324,"*61*")&gt;0,COUNTIF(I2324,"62*")&gt;0,COUNTIF(J2324,"*62*")&gt;0,COUNTIF(I2324,"63*")&gt;0,COUNTIF(J2324,"*63*")&gt;0,COUNTIF(I2324,"85*")&gt;0,COUNTIF(J2324,"*85*")&gt;0,COUNTIF(I2324,"86*")&gt;0,COUNTIF(J2324,"*86*")&gt;0),"Да","Нет"))</f>
        <v/>
      </c>
      <c r="M2324" s="13">
        <f>IF(OR(G2324="",L2324&lt;&gt;"Да"),"",IF(G2324&lt;=100,"До 100",IF(G2324&lt;=200,"До 200",IF(G2324&lt;=500,"До 500","Отдельное КП"))))</f>
        <v/>
      </c>
      <c r="N2324" s="15">
        <f>IF(OR(G2324="",L2324&lt;&gt;"Да"),"",IF(G2324&lt;=100,33600,IF(G2324&lt;=200,62400,IF(G2324&lt;=500,144000,""))))</f>
        <v/>
      </c>
      <c r="O2324" s="16">
        <f>IF(G2324="","",IF(G2324&lt;=15,"1–15",IF(G2324&lt;=30,"16–30",IF(G2324&lt;=50,"31–50",IF(G2324&lt;=100,"51–100",IF(G2324&lt;=150,"101–150",IF(G2324&lt;=200,"151–200",IF(G2324&lt;=500,"201–500","500+"))))))))</f>
        <v/>
      </c>
      <c r="P2324" s="16" t="inlineStr">
        <is>
          <t>Нет совпадения в предоставленной выгрузке ССЧР</t>
        </is>
      </c>
      <c r="Q2324" s="16" t="n"/>
      <c r="R2324" s="16">
        <f>HYPERLINK("https://checko.ru/search?query=3801001629","Чекко: проверить")</f>
        <v/>
      </c>
      <c r="S2324" t="n">
        <v>0</v>
      </c>
    </row>
    <row r="2325" ht="15" customHeight="1" s="24">
      <c r="A2325" s="13" t="n">
        <v>5000094886</v>
      </c>
      <c r="B2325" s="13" t="inlineStr">
        <is>
          <t>МКОУ ДОД "ДМШ" г.п. Чегем</t>
        </is>
      </c>
      <c r="C2325" s="13" t="n">
        <v>708010775</v>
      </c>
      <c r="D2325" s="13" t="n"/>
      <c r="E2325" s="13" t="inlineStr">
        <is>
          <t>Не определён</t>
        </is>
      </c>
      <c r="F2325" s="13" t="inlineStr">
        <is>
          <t>708010775</t>
        </is>
      </c>
      <c r="G2325" s="14" t="n"/>
      <c r="H2325" s="14" t="n"/>
      <c r="I2325" s="14" t="n"/>
      <c r="J2325" s="14" t="n"/>
      <c r="K2325" s="13">
        <f>IF(G2325="","",IF(G2325&gt;=22,"Да","Нет"))</f>
        <v/>
      </c>
      <c r="L2325" s="13">
        <f>IF(OR(I2325="",J2325=""),"Не определено",IF(OR(COUNTIF(I2325,"45*")&gt;0,COUNTIF(J2325,"*45*")&gt;0,COUNTIF(I2325,"46*")&gt;0,COUNTIF(J2325,"*46*")&gt;0,COUNTIF(I2325,"47*")&gt;0,COUNTIF(J2325,"*47*")&gt;0,COUNTIF(I2325,"10*")&gt;0,COUNTIF(J2325,"*10*")&gt;0,COUNTIF(I2325,"11*")&gt;0,COUNTIF(J2325,"*11*")&gt;0,COUNTIF(I2325,"12*")&gt;0,COUNTIF(J2325,"*12*")&gt;0,COUNTIF(I2325,"13*")&gt;0,COUNTIF(J2325,"*13*")&gt;0,COUNTIF(I2325,"14*")&gt;0,COUNTIF(J2325,"*14*")&gt;0,COUNTIF(I2325,"15*")&gt;0,COUNTIF(J2325,"*15*")&gt;0,COUNTIF(I2325,"16*")&gt;0,COUNTIF(J2325,"*16*")&gt;0,COUNTIF(I2325,"17*")&gt;0,COUNTIF(J2325,"*17*")&gt;0,COUNTIF(I2325,"18*")&gt;0,COUNTIF(J2325,"*18*")&gt;0,COUNTIF(I2325,"19*")&gt;0,COUNTIF(J2325,"*19*")&gt;0,COUNTIF(I2325,"20*")&gt;0,COUNTIF(J2325,"*20*")&gt;0,COUNTIF(I2325,"21*")&gt;0,COUNTIF(J2325,"*21*")&gt;0,COUNTIF(I2325,"22*")&gt;0,COUNTIF(J2325,"*22*")&gt;0,COUNTIF(I2325,"23*")&gt;0,COUNTIF(J2325,"*23*")&gt;0,COUNTIF(I2325,"24*")&gt;0,COUNTIF(J2325,"*24*")&gt;0,COUNTIF(I2325,"25*")&gt;0,COUNTIF(J2325,"*25*")&gt;0,COUNTIF(I2325,"26*")&gt;0,COUNTIF(J2325,"*26*")&gt;0,COUNTIF(I2325,"27*")&gt;0,COUNTIF(J2325,"*27*")&gt;0,COUNTIF(I2325,"28*")&gt;0,COUNTIF(J2325,"*28*")&gt;0,COUNTIF(I2325,"29*")&gt;0,COUNTIF(J2325,"*29*")&gt;0,COUNTIF(I2325,"30*")&gt;0,COUNTIF(J2325,"*30*")&gt;0,COUNTIF(I2325,"31*")&gt;0,COUNTIF(J2325,"*31*")&gt;0,COUNTIF(I2325,"32*")&gt;0,COUNTIF(J2325,"*32*")&gt;0,COUNTIF(I2325,"33*")&gt;0,COUNTIF(J2325,"*33*")&gt;0,COUNTIF(I2325,"41*")&gt;0,COUNTIF(J2325,"*41*")&gt;0,COUNTIF(I2325,"42*")&gt;0,COUNTIF(J2325,"*42*")&gt;0,COUNTIF(I2325,"43*")&gt;0,COUNTIF(J2325,"*43*")&gt;0,COUNTIF(I2325,"49*")&gt;0,COUNTIF(J2325,"*49*")&gt;0,COUNTIF(I2325,"52*")&gt;0,COUNTIF(J2325,"*52*")&gt;0,COUNTIF(I2325,"55*")&gt;0,COUNTIF(J2325,"*55*")&gt;0,COUNTIF(I2325,"56*")&gt;0,COUNTIF(J2325,"*56*")&gt;0,COUNTIF(I2325,"68*")&gt;0,COUNTIF(J2325,"*68*")&gt;0,COUNTIF(I2325,"78*")&gt;0,COUNTIF(J2325,"*78*")&gt;0,COUNTIF(I2325,"81*")&gt;0,COUNTIF(J2325,"*81*")&gt;0,COUNTIF(I2325,"82*")&gt;0,COUNTIF(J2325,"*82*")&gt;0,COUNTIF(I2325,"64*")&gt;0,COUNTIF(J2325,"*64*")&gt;0,COUNTIF(I2325,"65*")&gt;0,COUNTIF(J2325,"*65*")&gt;0,COUNTIF(I2325,"66*")&gt;0,COUNTIF(J2325,"*66*")&gt;0,COUNTIF(I2325,"61*")&gt;0,COUNTIF(J2325,"*61*")&gt;0,COUNTIF(I2325,"62*")&gt;0,COUNTIF(J2325,"*62*")&gt;0,COUNTIF(I2325,"63*")&gt;0,COUNTIF(J2325,"*63*")&gt;0,COUNTIF(I2325,"85*")&gt;0,COUNTIF(J2325,"*85*")&gt;0,COUNTIF(I2325,"86*")&gt;0,COUNTIF(J2325,"*86*")&gt;0),"Да","Нет"))</f>
        <v/>
      </c>
      <c r="M2325" s="13">
        <f>IF(OR(G2325="",L2325&lt;&gt;"Да"),"",IF(G2325&lt;=100,"До 100",IF(G2325&lt;=200,"До 200",IF(G2325&lt;=500,"До 500","Отдельное КП"))))</f>
        <v/>
      </c>
      <c r="N2325" s="15">
        <f>IF(OR(G2325="",L2325&lt;&gt;"Да"),"",IF(G2325&lt;=100,33600,IF(G2325&lt;=200,62400,IF(G2325&lt;=500,144000,""))))</f>
        <v/>
      </c>
      <c r="O2325" s="16">
        <f>IF(G2325="","",IF(G2325&lt;=15,"1–15",IF(G2325&lt;=30,"16–30",IF(G2325&lt;=50,"31–50",IF(G2325&lt;=100,"51–100",IF(G2325&lt;=150,"101–150",IF(G2325&lt;=200,"151–200",IF(G2325&lt;=500,"201–500","500+"))))))))</f>
        <v/>
      </c>
      <c r="P2325" s="16" t="inlineStr">
        <is>
          <t>Нет совпадения в предоставленной выгрузке ССЧР</t>
        </is>
      </c>
      <c r="Q2325" s="16" t="n"/>
      <c r="R2325" s="16">
        <f>HYPERLINK("https://checko.ru/search?query=3801001629","Чекко: проверить")</f>
        <v/>
      </c>
      <c r="S2325" t="n">
        <v>0</v>
      </c>
    </row>
    <row r="2326" ht="27.75" customHeight="1" s="24">
      <c r="A2326" s="13" t="n">
        <v>5000094887</v>
      </c>
      <c r="B2326" s="13" t="inlineStr">
        <is>
          <t>МКУК "Чегемская централизованная библиотечная система"</t>
        </is>
      </c>
      <c r="C2326" s="13" t="n">
        <v>708010800</v>
      </c>
      <c r="D2326" s="13" t="n"/>
      <c r="E2326" s="13" t="inlineStr">
        <is>
          <t>Не определён</t>
        </is>
      </c>
      <c r="F2326" s="13" t="inlineStr">
        <is>
          <t>708010800</t>
        </is>
      </c>
      <c r="G2326" s="14" t="n"/>
      <c r="H2326" s="14" t="n"/>
      <c r="I2326" s="14" t="n"/>
      <c r="J2326" s="14" t="n"/>
      <c r="K2326" s="13">
        <f>IF(G2326="","",IF(G2326&gt;=22,"Да","Нет"))</f>
        <v/>
      </c>
      <c r="L2326" s="13">
        <f>IF(OR(I2326="",J2326=""),"Не определено",IF(OR(COUNTIF(I2326,"45*")&gt;0,COUNTIF(J2326,"*45*")&gt;0,COUNTIF(I2326,"46*")&gt;0,COUNTIF(J2326,"*46*")&gt;0,COUNTIF(I2326,"47*")&gt;0,COUNTIF(J2326,"*47*")&gt;0,COUNTIF(I2326,"10*")&gt;0,COUNTIF(J2326,"*10*")&gt;0,COUNTIF(I2326,"11*")&gt;0,COUNTIF(J2326,"*11*")&gt;0,COUNTIF(I2326,"12*")&gt;0,COUNTIF(J2326,"*12*")&gt;0,COUNTIF(I2326,"13*")&gt;0,COUNTIF(J2326,"*13*")&gt;0,COUNTIF(I2326,"14*")&gt;0,COUNTIF(J2326,"*14*")&gt;0,COUNTIF(I2326,"15*")&gt;0,COUNTIF(J2326,"*15*")&gt;0,COUNTIF(I2326,"16*")&gt;0,COUNTIF(J2326,"*16*")&gt;0,COUNTIF(I2326,"17*")&gt;0,COUNTIF(J2326,"*17*")&gt;0,COUNTIF(I2326,"18*")&gt;0,COUNTIF(J2326,"*18*")&gt;0,COUNTIF(I2326,"19*")&gt;0,COUNTIF(J2326,"*19*")&gt;0,COUNTIF(I2326,"20*")&gt;0,COUNTIF(J2326,"*20*")&gt;0,COUNTIF(I2326,"21*")&gt;0,COUNTIF(J2326,"*21*")&gt;0,COUNTIF(I2326,"22*")&gt;0,COUNTIF(J2326,"*22*")&gt;0,COUNTIF(I2326,"23*")&gt;0,COUNTIF(J2326,"*23*")&gt;0,COUNTIF(I2326,"24*")&gt;0,COUNTIF(J2326,"*24*")&gt;0,COUNTIF(I2326,"25*")&gt;0,COUNTIF(J2326,"*25*")&gt;0,COUNTIF(I2326,"26*")&gt;0,COUNTIF(J2326,"*26*")&gt;0,COUNTIF(I2326,"27*")&gt;0,COUNTIF(J2326,"*27*")&gt;0,COUNTIF(I2326,"28*")&gt;0,COUNTIF(J2326,"*28*")&gt;0,COUNTIF(I2326,"29*")&gt;0,COUNTIF(J2326,"*29*")&gt;0,COUNTIF(I2326,"30*")&gt;0,COUNTIF(J2326,"*30*")&gt;0,COUNTIF(I2326,"31*")&gt;0,COUNTIF(J2326,"*31*")&gt;0,COUNTIF(I2326,"32*")&gt;0,COUNTIF(J2326,"*32*")&gt;0,COUNTIF(I2326,"33*")&gt;0,COUNTIF(J2326,"*33*")&gt;0,COUNTIF(I2326,"41*")&gt;0,COUNTIF(J2326,"*41*")&gt;0,COUNTIF(I2326,"42*")&gt;0,COUNTIF(J2326,"*42*")&gt;0,COUNTIF(I2326,"43*")&gt;0,COUNTIF(J2326,"*43*")&gt;0,COUNTIF(I2326,"49*")&gt;0,COUNTIF(J2326,"*49*")&gt;0,COUNTIF(I2326,"52*")&gt;0,COUNTIF(J2326,"*52*")&gt;0,COUNTIF(I2326,"55*")&gt;0,COUNTIF(J2326,"*55*")&gt;0,COUNTIF(I2326,"56*")&gt;0,COUNTIF(J2326,"*56*")&gt;0,COUNTIF(I2326,"68*")&gt;0,COUNTIF(J2326,"*68*")&gt;0,COUNTIF(I2326,"78*")&gt;0,COUNTIF(J2326,"*78*")&gt;0,COUNTIF(I2326,"81*")&gt;0,COUNTIF(J2326,"*81*")&gt;0,COUNTIF(I2326,"82*")&gt;0,COUNTIF(J2326,"*82*")&gt;0,COUNTIF(I2326,"64*")&gt;0,COUNTIF(J2326,"*64*")&gt;0,COUNTIF(I2326,"65*")&gt;0,COUNTIF(J2326,"*65*")&gt;0,COUNTIF(I2326,"66*")&gt;0,COUNTIF(J2326,"*66*")&gt;0,COUNTIF(I2326,"61*")&gt;0,COUNTIF(J2326,"*61*")&gt;0,COUNTIF(I2326,"62*")&gt;0,COUNTIF(J2326,"*62*")&gt;0,COUNTIF(I2326,"63*")&gt;0,COUNTIF(J2326,"*63*")&gt;0,COUNTIF(I2326,"85*")&gt;0,COUNTIF(J2326,"*85*")&gt;0,COUNTIF(I2326,"86*")&gt;0,COUNTIF(J2326,"*86*")&gt;0),"Да","Нет"))</f>
        <v/>
      </c>
      <c r="M2326" s="13">
        <f>IF(OR(G2326="",L2326&lt;&gt;"Да"),"",IF(G2326&lt;=100,"До 100",IF(G2326&lt;=200,"До 200",IF(G2326&lt;=500,"До 500","Отдельное КП"))))</f>
        <v/>
      </c>
      <c r="N2326" s="15">
        <f>IF(OR(G2326="",L2326&lt;&gt;"Да"),"",IF(G2326&lt;=100,33600,IF(G2326&lt;=200,62400,IF(G2326&lt;=500,144000,""))))</f>
        <v/>
      </c>
      <c r="O2326" s="16">
        <f>IF(G2326="","",IF(G2326&lt;=15,"1–15",IF(G2326&lt;=30,"16–30",IF(G2326&lt;=50,"31–50",IF(G2326&lt;=100,"51–100",IF(G2326&lt;=150,"101–150",IF(G2326&lt;=200,"151–200",IF(G2326&lt;=500,"201–500","500+"))))))))</f>
        <v/>
      </c>
      <c r="P2326" s="16" t="inlineStr">
        <is>
          <t>Нет совпадения в предоставленной выгрузке ССЧР</t>
        </is>
      </c>
      <c r="Q2326" s="16" t="n"/>
      <c r="R2326" s="16">
        <f>HYPERLINK("https://checko.ru/search?query=3801001629","Чекко: проверить")</f>
        <v/>
      </c>
      <c r="S2326" t="n">
        <v>0</v>
      </c>
    </row>
    <row r="2327" ht="15" customHeight="1" s="24">
      <c r="A2327" s="13" t="n">
        <v>5000094889</v>
      </c>
      <c r="B2327" s="13" t="inlineStr">
        <is>
          <t>МКУ ДО "СШ С.П. ЛЕЧИНКАЙ"</t>
        </is>
      </c>
      <c r="C2327" s="13" t="n">
        <v>708011105</v>
      </c>
      <c r="D2327" s="13" t="n"/>
      <c r="E2327" s="13" t="inlineStr">
        <is>
          <t>Не определён</t>
        </is>
      </c>
      <c r="F2327" s="13" t="inlineStr">
        <is>
          <t>708011105</t>
        </is>
      </c>
      <c r="G2327" s="14" t="n"/>
      <c r="H2327" s="14" t="n"/>
      <c r="I2327" s="14" t="n"/>
      <c r="J2327" s="14" t="n"/>
      <c r="K2327" s="13">
        <f>IF(G2327="","",IF(G2327&gt;=22,"Да","Нет"))</f>
        <v/>
      </c>
      <c r="L2327" s="13">
        <f>IF(OR(I2327="",J2327=""),"Не определено",IF(OR(COUNTIF(I2327,"45*")&gt;0,COUNTIF(J2327,"*45*")&gt;0,COUNTIF(I2327,"46*")&gt;0,COUNTIF(J2327,"*46*")&gt;0,COUNTIF(I2327,"47*")&gt;0,COUNTIF(J2327,"*47*")&gt;0,COUNTIF(I2327,"10*")&gt;0,COUNTIF(J2327,"*10*")&gt;0,COUNTIF(I2327,"11*")&gt;0,COUNTIF(J2327,"*11*")&gt;0,COUNTIF(I2327,"12*")&gt;0,COUNTIF(J2327,"*12*")&gt;0,COUNTIF(I2327,"13*")&gt;0,COUNTIF(J2327,"*13*")&gt;0,COUNTIF(I2327,"14*")&gt;0,COUNTIF(J2327,"*14*")&gt;0,COUNTIF(I2327,"15*")&gt;0,COUNTIF(J2327,"*15*")&gt;0,COUNTIF(I2327,"16*")&gt;0,COUNTIF(J2327,"*16*")&gt;0,COUNTIF(I2327,"17*")&gt;0,COUNTIF(J2327,"*17*")&gt;0,COUNTIF(I2327,"18*")&gt;0,COUNTIF(J2327,"*18*")&gt;0,COUNTIF(I2327,"19*")&gt;0,COUNTIF(J2327,"*19*")&gt;0,COUNTIF(I2327,"20*")&gt;0,COUNTIF(J2327,"*20*")&gt;0,COUNTIF(I2327,"21*")&gt;0,COUNTIF(J2327,"*21*")&gt;0,COUNTIF(I2327,"22*")&gt;0,COUNTIF(J2327,"*22*")&gt;0,COUNTIF(I2327,"23*")&gt;0,COUNTIF(J2327,"*23*")&gt;0,COUNTIF(I2327,"24*")&gt;0,COUNTIF(J2327,"*24*")&gt;0,COUNTIF(I2327,"25*")&gt;0,COUNTIF(J2327,"*25*")&gt;0,COUNTIF(I2327,"26*")&gt;0,COUNTIF(J2327,"*26*")&gt;0,COUNTIF(I2327,"27*")&gt;0,COUNTIF(J2327,"*27*")&gt;0,COUNTIF(I2327,"28*")&gt;0,COUNTIF(J2327,"*28*")&gt;0,COUNTIF(I2327,"29*")&gt;0,COUNTIF(J2327,"*29*")&gt;0,COUNTIF(I2327,"30*")&gt;0,COUNTIF(J2327,"*30*")&gt;0,COUNTIF(I2327,"31*")&gt;0,COUNTIF(J2327,"*31*")&gt;0,COUNTIF(I2327,"32*")&gt;0,COUNTIF(J2327,"*32*")&gt;0,COUNTIF(I2327,"33*")&gt;0,COUNTIF(J2327,"*33*")&gt;0,COUNTIF(I2327,"41*")&gt;0,COUNTIF(J2327,"*41*")&gt;0,COUNTIF(I2327,"42*")&gt;0,COUNTIF(J2327,"*42*")&gt;0,COUNTIF(I2327,"43*")&gt;0,COUNTIF(J2327,"*43*")&gt;0,COUNTIF(I2327,"49*")&gt;0,COUNTIF(J2327,"*49*")&gt;0,COUNTIF(I2327,"52*")&gt;0,COUNTIF(J2327,"*52*")&gt;0,COUNTIF(I2327,"55*")&gt;0,COUNTIF(J2327,"*55*")&gt;0,COUNTIF(I2327,"56*")&gt;0,COUNTIF(J2327,"*56*")&gt;0,COUNTIF(I2327,"68*")&gt;0,COUNTIF(J2327,"*68*")&gt;0,COUNTIF(I2327,"78*")&gt;0,COUNTIF(J2327,"*78*")&gt;0,COUNTIF(I2327,"81*")&gt;0,COUNTIF(J2327,"*81*")&gt;0,COUNTIF(I2327,"82*")&gt;0,COUNTIF(J2327,"*82*")&gt;0,COUNTIF(I2327,"64*")&gt;0,COUNTIF(J2327,"*64*")&gt;0,COUNTIF(I2327,"65*")&gt;0,COUNTIF(J2327,"*65*")&gt;0,COUNTIF(I2327,"66*")&gt;0,COUNTIF(J2327,"*66*")&gt;0,COUNTIF(I2327,"61*")&gt;0,COUNTIF(J2327,"*61*")&gt;0,COUNTIF(I2327,"62*")&gt;0,COUNTIF(J2327,"*62*")&gt;0,COUNTIF(I2327,"63*")&gt;0,COUNTIF(J2327,"*63*")&gt;0,COUNTIF(I2327,"85*")&gt;0,COUNTIF(J2327,"*85*")&gt;0,COUNTIF(I2327,"86*")&gt;0,COUNTIF(J2327,"*86*")&gt;0),"Да","Нет"))</f>
        <v/>
      </c>
      <c r="M2327" s="13">
        <f>IF(OR(G2327="",L2327&lt;&gt;"Да"),"",IF(G2327&lt;=100,"До 100",IF(G2327&lt;=200,"До 200",IF(G2327&lt;=500,"До 500","Отдельное КП"))))</f>
        <v/>
      </c>
      <c r="N2327" s="15">
        <f>IF(OR(G2327="",L2327&lt;&gt;"Да"),"",IF(G2327&lt;=100,33600,IF(G2327&lt;=200,62400,IF(G2327&lt;=500,144000,""))))</f>
        <v/>
      </c>
      <c r="O2327" s="16">
        <f>IF(G2327="","",IF(G2327&lt;=15,"1–15",IF(G2327&lt;=30,"16–30",IF(G2327&lt;=50,"31–50",IF(G2327&lt;=100,"51–100",IF(G2327&lt;=150,"101–150",IF(G2327&lt;=200,"151–200",IF(G2327&lt;=500,"201–500","500+"))))))))</f>
        <v/>
      </c>
      <c r="P2327" s="16" t="inlineStr">
        <is>
          <t>Нет совпадения в предоставленной выгрузке ССЧР</t>
        </is>
      </c>
      <c r="Q2327" s="16" t="n"/>
      <c r="R2327" s="16">
        <f>HYPERLINK("https://checko.ru/search?query=3801001629","Чекко: проверить")</f>
        <v/>
      </c>
      <c r="S2327" t="n">
        <v>0</v>
      </c>
    </row>
    <row r="2328" ht="15" customHeight="1" s="24">
      <c r="A2328" s="13" t="n">
        <v>5000094891</v>
      </c>
      <c r="B2328" s="13" t="inlineStr">
        <is>
          <t>МКУК "Дворец культуры имени Дышековой К.Х."</t>
        </is>
      </c>
      <c r="C2328" s="13" t="n">
        <v>708011747</v>
      </c>
      <c r="D2328" s="13" t="n"/>
      <c r="E2328" s="13" t="inlineStr">
        <is>
          <t>Не определён</t>
        </is>
      </c>
      <c r="F2328" s="13" t="inlineStr">
        <is>
          <t>708011747</t>
        </is>
      </c>
      <c r="G2328" s="14" t="n"/>
      <c r="H2328" s="14" t="n"/>
      <c r="I2328" s="14" t="n"/>
      <c r="J2328" s="14" t="n"/>
      <c r="K2328" s="13">
        <f>IF(G2328="","",IF(G2328&gt;=22,"Да","Нет"))</f>
        <v/>
      </c>
      <c r="L2328" s="13">
        <f>IF(OR(I2328="",J2328=""),"Не определено",IF(OR(COUNTIF(I2328,"45*")&gt;0,COUNTIF(J2328,"*45*")&gt;0,COUNTIF(I2328,"46*")&gt;0,COUNTIF(J2328,"*46*")&gt;0,COUNTIF(I2328,"47*")&gt;0,COUNTIF(J2328,"*47*")&gt;0,COUNTIF(I2328,"10*")&gt;0,COUNTIF(J2328,"*10*")&gt;0,COUNTIF(I2328,"11*")&gt;0,COUNTIF(J2328,"*11*")&gt;0,COUNTIF(I2328,"12*")&gt;0,COUNTIF(J2328,"*12*")&gt;0,COUNTIF(I2328,"13*")&gt;0,COUNTIF(J2328,"*13*")&gt;0,COUNTIF(I2328,"14*")&gt;0,COUNTIF(J2328,"*14*")&gt;0,COUNTIF(I2328,"15*")&gt;0,COUNTIF(J2328,"*15*")&gt;0,COUNTIF(I2328,"16*")&gt;0,COUNTIF(J2328,"*16*")&gt;0,COUNTIF(I2328,"17*")&gt;0,COUNTIF(J2328,"*17*")&gt;0,COUNTIF(I2328,"18*")&gt;0,COUNTIF(J2328,"*18*")&gt;0,COUNTIF(I2328,"19*")&gt;0,COUNTIF(J2328,"*19*")&gt;0,COUNTIF(I2328,"20*")&gt;0,COUNTIF(J2328,"*20*")&gt;0,COUNTIF(I2328,"21*")&gt;0,COUNTIF(J2328,"*21*")&gt;0,COUNTIF(I2328,"22*")&gt;0,COUNTIF(J2328,"*22*")&gt;0,COUNTIF(I2328,"23*")&gt;0,COUNTIF(J2328,"*23*")&gt;0,COUNTIF(I2328,"24*")&gt;0,COUNTIF(J2328,"*24*")&gt;0,COUNTIF(I2328,"25*")&gt;0,COUNTIF(J2328,"*25*")&gt;0,COUNTIF(I2328,"26*")&gt;0,COUNTIF(J2328,"*26*")&gt;0,COUNTIF(I2328,"27*")&gt;0,COUNTIF(J2328,"*27*")&gt;0,COUNTIF(I2328,"28*")&gt;0,COUNTIF(J2328,"*28*")&gt;0,COUNTIF(I2328,"29*")&gt;0,COUNTIF(J2328,"*29*")&gt;0,COUNTIF(I2328,"30*")&gt;0,COUNTIF(J2328,"*30*")&gt;0,COUNTIF(I2328,"31*")&gt;0,COUNTIF(J2328,"*31*")&gt;0,COUNTIF(I2328,"32*")&gt;0,COUNTIF(J2328,"*32*")&gt;0,COUNTIF(I2328,"33*")&gt;0,COUNTIF(J2328,"*33*")&gt;0,COUNTIF(I2328,"41*")&gt;0,COUNTIF(J2328,"*41*")&gt;0,COUNTIF(I2328,"42*")&gt;0,COUNTIF(J2328,"*42*")&gt;0,COUNTIF(I2328,"43*")&gt;0,COUNTIF(J2328,"*43*")&gt;0,COUNTIF(I2328,"49*")&gt;0,COUNTIF(J2328,"*49*")&gt;0,COUNTIF(I2328,"52*")&gt;0,COUNTIF(J2328,"*52*")&gt;0,COUNTIF(I2328,"55*")&gt;0,COUNTIF(J2328,"*55*")&gt;0,COUNTIF(I2328,"56*")&gt;0,COUNTIF(J2328,"*56*")&gt;0,COUNTIF(I2328,"68*")&gt;0,COUNTIF(J2328,"*68*")&gt;0,COUNTIF(I2328,"78*")&gt;0,COUNTIF(J2328,"*78*")&gt;0,COUNTIF(I2328,"81*")&gt;0,COUNTIF(J2328,"*81*")&gt;0,COUNTIF(I2328,"82*")&gt;0,COUNTIF(J2328,"*82*")&gt;0,COUNTIF(I2328,"64*")&gt;0,COUNTIF(J2328,"*64*")&gt;0,COUNTIF(I2328,"65*")&gt;0,COUNTIF(J2328,"*65*")&gt;0,COUNTIF(I2328,"66*")&gt;0,COUNTIF(J2328,"*66*")&gt;0,COUNTIF(I2328,"61*")&gt;0,COUNTIF(J2328,"*61*")&gt;0,COUNTIF(I2328,"62*")&gt;0,COUNTIF(J2328,"*62*")&gt;0,COUNTIF(I2328,"63*")&gt;0,COUNTIF(J2328,"*63*")&gt;0,COUNTIF(I2328,"85*")&gt;0,COUNTIF(J2328,"*85*")&gt;0,COUNTIF(I2328,"86*")&gt;0,COUNTIF(J2328,"*86*")&gt;0),"Да","Нет"))</f>
        <v/>
      </c>
      <c r="M2328" s="13">
        <f>IF(OR(G2328="",L2328&lt;&gt;"Да"),"",IF(G2328&lt;=100,"До 100",IF(G2328&lt;=200,"До 200",IF(G2328&lt;=500,"До 500","Отдельное КП"))))</f>
        <v/>
      </c>
      <c r="N2328" s="15">
        <f>IF(OR(G2328="",L2328&lt;&gt;"Да"),"",IF(G2328&lt;=100,33600,IF(G2328&lt;=200,62400,IF(G2328&lt;=500,144000,""))))</f>
        <v/>
      </c>
      <c r="O2328" s="16">
        <f>IF(G2328="","",IF(G2328&lt;=15,"1–15",IF(G2328&lt;=30,"16–30",IF(G2328&lt;=50,"31–50",IF(G2328&lt;=100,"51–100",IF(G2328&lt;=150,"101–150",IF(G2328&lt;=200,"151–200",IF(G2328&lt;=500,"201–500","500+"))))))))</f>
        <v/>
      </c>
      <c r="P2328" s="16" t="inlineStr">
        <is>
          <t>Нет совпадения в предоставленной выгрузке ССЧР</t>
        </is>
      </c>
      <c r="Q2328" s="16" t="n"/>
      <c r="R2328" s="16">
        <f>HYPERLINK("https://checko.ru/search?query=3801001629","Чекко: проверить")</f>
        <v/>
      </c>
      <c r="S2328" t="n">
        <v>0</v>
      </c>
    </row>
    <row r="2329" ht="15" customHeight="1" s="24">
      <c r="A2329" s="13" t="n">
        <v>5000094893</v>
      </c>
      <c r="B2329" s="13" t="inlineStr">
        <is>
          <t>МКОУ СОШ №3 с. п. Чегем Второй.</t>
        </is>
      </c>
      <c r="C2329" s="13" t="n">
        <v>708012451</v>
      </c>
      <c r="D2329" s="13" t="n"/>
      <c r="E2329" s="13" t="inlineStr">
        <is>
          <t>Не определён</t>
        </is>
      </c>
      <c r="F2329" s="13" t="inlineStr">
        <is>
          <t>708012451</t>
        </is>
      </c>
      <c r="G2329" s="14" t="n"/>
      <c r="H2329" s="14" t="n"/>
      <c r="I2329" s="14" t="n"/>
      <c r="J2329" s="14" t="n"/>
      <c r="K2329" s="13">
        <f>IF(G2329="","",IF(G2329&gt;=22,"Да","Нет"))</f>
        <v/>
      </c>
      <c r="L2329" s="13">
        <f>IF(OR(I2329="",J2329=""),"Не определено",IF(OR(COUNTIF(I2329,"45*")&gt;0,COUNTIF(J2329,"*45*")&gt;0,COUNTIF(I2329,"46*")&gt;0,COUNTIF(J2329,"*46*")&gt;0,COUNTIF(I2329,"47*")&gt;0,COUNTIF(J2329,"*47*")&gt;0,COUNTIF(I2329,"10*")&gt;0,COUNTIF(J2329,"*10*")&gt;0,COUNTIF(I2329,"11*")&gt;0,COUNTIF(J2329,"*11*")&gt;0,COUNTIF(I2329,"12*")&gt;0,COUNTIF(J2329,"*12*")&gt;0,COUNTIF(I2329,"13*")&gt;0,COUNTIF(J2329,"*13*")&gt;0,COUNTIF(I2329,"14*")&gt;0,COUNTIF(J2329,"*14*")&gt;0,COUNTIF(I2329,"15*")&gt;0,COUNTIF(J2329,"*15*")&gt;0,COUNTIF(I2329,"16*")&gt;0,COUNTIF(J2329,"*16*")&gt;0,COUNTIF(I2329,"17*")&gt;0,COUNTIF(J2329,"*17*")&gt;0,COUNTIF(I2329,"18*")&gt;0,COUNTIF(J2329,"*18*")&gt;0,COUNTIF(I2329,"19*")&gt;0,COUNTIF(J2329,"*19*")&gt;0,COUNTIF(I2329,"20*")&gt;0,COUNTIF(J2329,"*20*")&gt;0,COUNTIF(I2329,"21*")&gt;0,COUNTIF(J2329,"*21*")&gt;0,COUNTIF(I2329,"22*")&gt;0,COUNTIF(J2329,"*22*")&gt;0,COUNTIF(I2329,"23*")&gt;0,COUNTIF(J2329,"*23*")&gt;0,COUNTIF(I2329,"24*")&gt;0,COUNTIF(J2329,"*24*")&gt;0,COUNTIF(I2329,"25*")&gt;0,COUNTIF(J2329,"*25*")&gt;0,COUNTIF(I2329,"26*")&gt;0,COUNTIF(J2329,"*26*")&gt;0,COUNTIF(I2329,"27*")&gt;0,COUNTIF(J2329,"*27*")&gt;0,COUNTIF(I2329,"28*")&gt;0,COUNTIF(J2329,"*28*")&gt;0,COUNTIF(I2329,"29*")&gt;0,COUNTIF(J2329,"*29*")&gt;0,COUNTIF(I2329,"30*")&gt;0,COUNTIF(J2329,"*30*")&gt;0,COUNTIF(I2329,"31*")&gt;0,COUNTIF(J2329,"*31*")&gt;0,COUNTIF(I2329,"32*")&gt;0,COUNTIF(J2329,"*32*")&gt;0,COUNTIF(I2329,"33*")&gt;0,COUNTIF(J2329,"*33*")&gt;0,COUNTIF(I2329,"41*")&gt;0,COUNTIF(J2329,"*41*")&gt;0,COUNTIF(I2329,"42*")&gt;0,COUNTIF(J2329,"*42*")&gt;0,COUNTIF(I2329,"43*")&gt;0,COUNTIF(J2329,"*43*")&gt;0,COUNTIF(I2329,"49*")&gt;0,COUNTIF(J2329,"*49*")&gt;0,COUNTIF(I2329,"52*")&gt;0,COUNTIF(J2329,"*52*")&gt;0,COUNTIF(I2329,"55*")&gt;0,COUNTIF(J2329,"*55*")&gt;0,COUNTIF(I2329,"56*")&gt;0,COUNTIF(J2329,"*56*")&gt;0,COUNTIF(I2329,"68*")&gt;0,COUNTIF(J2329,"*68*")&gt;0,COUNTIF(I2329,"78*")&gt;0,COUNTIF(J2329,"*78*")&gt;0,COUNTIF(I2329,"81*")&gt;0,COUNTIF(J2329,"*81*")&gt;0,COUNTIF(I2329,"82*")&gt;0,COUNTIF(J2329,"*82*")&gt;0,COUNTIF(I2329,"64*")&gt;0,COUNTIF(J2329,"*64*")&gt;0,COUNTIF(I2329,"65*")&gt;0,COUNTIF(J2329,"*65*")&gt;0,COUNTIF(I2329,"66*")&gt;0,COUNTIF(J2329,"*66*")&gt;0,COUNTIF(I2329,"61*")&gt;0,COUNTIF(J2329,"*61*")&gt;0,COUNTIF(I2329,"62*")&gt;0,COUNTIF(J2329,"*62*")&gt;0,COUNTIF(I2329,"63*")&gt;0,COUNTIF(J2329,"*63*")&gt;0,COUNTIF(I2329,"85*")&gt;0,COUNTIF(J2329,"*85*")&gt;0,COUNTIF(I2329,"86*")&gt;0,COUNTIF(J2329,"*86*")&gt;0),"Да","Нет"))</f>
        <v/>
      </c>
      <c r="M2329" s="13">
        <f>IF(OR(G2329="",L2329&lt;&gt;"Да"),"",IF(G2329&lt;=100,"До 100",IF(G2329&lt;=200,"До 200",IF(G2329&lt;=500,"До 500","Отдельное КП"))))</f>
        <v/>
      </c>
      <c r="N2329" s="15">
        <f>IF(OR(G2329="",L2329&lt;&gt;"Да"),"",IF(G2329&lt;=100,33600,IF(G2329&lt;=200,62400,IF(G2329&lt;=500,144000,""))))</f>
        <v/>
      </c>
      <c r="O2329" s="16">
        <f>IF(G2329="","",IF(G2329&lt;=15,"1–15",IF(G2329&lt;=30,"16–30",IF(G2329&lt;=50,"31–50",IF(G2329&lt;=100,"51–100",IF(G2329&lt;=150,"101–150",IF(G2329&lt;=200,"151–200",IF(G2329&lt;=500,"201–500","500+"))))))))</f>
        <v/>
      </c>
      <c r="P2329" s="16" t="inlineStr">
        <is>
          <t>Нет совпадения в предоставленной выгрузке ССЧР</t>
        </is>
      </c>
      <c r="Q2329" s="16" t="n"/>
      <c r="R2329" s="16">
        <f>HYPERLINK("https://checko.ru/search?query=3801001629","Чекко: проверить")</f>
        <v/>
      </c>
      <c r="S2329" t="n">
        <v>0</v>
      </c>
    </row>
    <row r="2330" ht="15" customHeight="1" s="24">
      <c r="A2330" s="13" t="n">
        <v>5000094894</v>
      </c>
      <c r="B2330" s="13" t="inlineStr">
        <is>
          <t>МКУК "СДК с.п. Лечинкай"</t>
        </is>
      </c>
      <c r="C2330" s="13" t="n">
        <v>708012476</v>
      </c>
      <c r="D2330" s="13" t="n"/>
      <c r="E2330" s="13" t="inlineStr">
        <is>
          <t>Не определён</t>
        </is>
      </c>
      <c r="F2330" s="13" t="inlineStr">
        <is>
          <t>708012476</t>
        </is>
      </c>
      <c r="G2330" s="14" t="n"/>
      <c r="H2330" s="14" t="n"/>
      <c r="I2330" s="14" t="n"/>
      <c r="J2330" s="14" t="n"/>
      <c r="K2330" s="13">
        <f>IF(G2330="","",IF(G2330&gt;=22,"Да","Нет"))</f>
        <v/>
      </c>
      <c r="L2330" s="13">
        <f>IF(OR(I2330="",J2330=""),"Не определено",IF(OR(COUNTIF(I2330,"45*")&gt;0,COUNTIF(J2330,"*45*")&gt;0,COUNTIF(I2330,"46*")&gt;0,COUNTIF(J2330,"*46*")&gt;0,COUNTIF(I2330,"47*")&gt;0,COUNTIF(J2330,"*47*")&gt;0,COUNTIF(I2330,"10*")&gt;0,COUNTIF(J2330,"*10*")&gt;0,COUNTIF(I2330,"11*")&gt;0,COUNTIF(J2330,"*11*")&gt;0,COUNTIF(I2330,"12*")&gt;0,COUNTIF(J2330,"*12*")&gt;0,COUNTIF(I2330,"13*")&gt;0,COUNTIF(J2330,"*13*")&gt;0,COUNTIF(I2330,"14*")&gt;0,COUNTIF(J2330,"*14*")&gt;0,COUNTIF(I2330,"15*")&gt;0,COUNTIF(J2330,"*15*")&gt;0,COUNTIF(I2330,"16*")&gt;0,COUNTIF(J2330,"*16*")&gt;0,COUNTIF(I2330,"17*")&gt;0,COUNTIF(J2330,"*17*")&gt;0,COUNTIF(I2330,"18*")&gt;0,COUNTIF(J2330,"*18*")&gt;0,COUNTIF(I2330,"19*")&gt;0,COUNTIF(J2330,"*19*")&gt;0,COUNTIF(I2330,"20*")&gt;0,COUNTIF(J2330,"*20*")&gt;0,COUNTIF(I2330,"21*")&gt;0,COUNTIF(J2330,"*21*")&gt;0,COUNTIF(I2330,"22*")&gt;0,COUNTIF(J2330,"*22*")&gt;0,COUNTIF(I2330,"23*")&gt;0,COUNTIF(J2330,"*23*")&gt;0,COUNTIF(I2330,"24*")&gt;0,COUNTIF(J2330,"*24*")&gt;0,COUNTIF(I2330,"25*")&gt;0,COUNTIF(J2330,"*25*")&gt;0,COUNTIF(I2330,"26*")&gt;0,COUNTIF(J2330,"*26*")&gt;0,COUNTIF(I2330,"27*")&gt;0,COUNTIF(J2330,"*27*")&gt;0,COUNTIF(I2330,"28*")&gt;0,COUNTIF(J2330,"*28*")&gt;0,COUNTIF(I2330,"29*")&gt;0,COUNTIF(J2330,"*29*")&gt;0,COUNTIF(I2330,"30*")&gt;0,COUNTIF(J2330,"*30*")&gt;0,COUNTIF(I2330,"31*")&gt;0,COUNTIF(J2330,"*31*")&gt;0,COUNTIF(I2330,"32*")&gt;0,COUNTIF(J2330,"*32*")&gt;0,COUNTIF(I2330,"33*")&gt;0,COUNTIF(J2330,"*33*")&gt;0,COUNTIF(I2330,"41*")&gt;0,COUNTIF(J2330,"*41*")&gt;0,COUNTIF(I2330,"42*")&gt;0,COUNTIF(J2330,"*42*")&gt;0,COUNTIF(I2330,"43*")&gt;0,COUNTIF(J2330,"*43*")&gt;0,COUNTIF(I2330,"49*")&gt;0,COUNTIF(J2330,"*49*")&gt;0,COUNTIF(I2330,"52*")&gt;0,COUNTIF(J2330,"*52*")&gt;0,COUNTIF(I2330,"55*")&gt;0,COUNTIF(J2330,"*55*")&gt;0,COUNTIF(I2330,"56*")&gt;0,COUNTIF(J2330,"*56*")&gt;0,COUNTIF(I2330,"68*")&gt;0,COUNTIF(J2330,"*68*")&gt;0,COUNTIF(I2330,"78*")&gt;0,COUNTIF(J2330,"*78*")&gt;0,COUNTIF(I2330,"81*")&gt;0,COUNTIF(J2330,"*81*")&gt;0,COUNTIF(I2330,"82*")&gt;0,COUNTIF(J2330,"*82*")&gt;0,COUNTIF(I2330,"64*")&gt;0,COUNTIF(J2330,"*64*")&gt;0,COUNTIF(I2330,"65*")&gt;0,COUNTIF(J2330,"*65*")&gt;0,COUNTIF(I2330,"66*")&gt;0,COUNTIF(J2330,"*66*")&gt;0,COUNTIF(I2330,"61*")&gt;0,COUNTIF(J2330,"*61*")&gt;0,COUNTIF(I2330,"62*")&gt;0,COUNTIF(J2330,"*62*")&gt;0,COUNTIF(I2330,"63*")&gt;0,COUNTIF(J2330,"*63*")&gt;0,COUNTIF(I2330,"85*")&gt;0,COUNTIF(J2330,"*85*")&gt;0,COUNTIF(I2330,"86*")&gt;0,COUNTIF(J2330,"*86*")&gt;0),"Да","Нет"))</f>
        <v/>
      </c>
      <c r="M2330" s="13">
        <f>IF(OR(G2330="",L2330&lt;&gt;"Да"),"",IF(G2330&lt;=100,"До 100",IF(G2330&lt;=200,"До 200",IF(G2330&lt;=500,"До 500","Отдельное КП"))))</f>
        <v/>
      </c>
      <c r="N2330" s="15">
        <f>IF(OR(G2330="",L2330&lt;&gt;"Да"),"",IF(G2330&lt;=100,33600,IF(G2330&lt;=200,62400,IF(G2330&lt;=500,144000,""))))</f>
        <v/>
      </c>
      <c r="O2330" s="16">
        <f>IF(G2330="","",IF(G2330&lt;=15,"1–15",IF(G2330&lt;=30,"16–30",IF(G2330&lt;=50,"31–50",IF(G2330&lt;=100,"51–100",IF(G2330&lt;=150,"101–150",IF(G2330&lt;=200,"151–200",IF(G2330&lt;=500,"201–500","500+"))))))))</f>
        <v/>
      </c>
      <c r="P2330" s="16" t="inlineStr">
        <is>
          <t>Нет совпадения в предоставленной выгрузке ССЧР</t>
        </is>
      </c>
      <c r="Q2330" s="16" t="n"/>
      <c r="R2330" s="16">
        <f>HYPERLINK("https://checko.ru/search?query=3801001629","Чекко: проверить")</f>
        <v/>
      </c>
      <c r="S2330" t="n">
        <v>0</v>
      </c>
    </row>
    <row r="2331" ht="15" customHeight="1" s="24">
      <c r="A2331" s="13" t="n">
        <v>5000094895</v>
      </c>
      <c r="B2331" s="13" t="inlineStr">
        <is>
          <t>МКУК "СДК с.п. Шалушка"</t>
        </is>
      </c>
      <c r="C2331" s="13" t="n">
        <v>708013550</v>
      </c>
      <c r="D2331" s="13" t="n"/>
      <c r="E2331" s="13" t="inlineStr">
        <is>
          <t>Не определён</t>
        </is>
      </c>
      <c r="F2331" s="13" t="inlineStr">
        <is>
          <t>708013550</t>
        </is>
      </c>
      <c r="G2331" s="14" t="n"/>
      <c r="H2331" s="14" t="n"/>
      <c r="I2331" s="14" t="n"/>
      <c r="J2331" s="14" t="n"/>
      <c r="K2331" s="13">
        <f>IF(G2331="","",IF(G2331&gt;=22,"Да","Нет"))</f>
        <v/>
      </c>
      <c r="L2331" s="13">
        <f>IF(OR(I2331="",J2331=""),"Не определено",IF(OR(COUNTIF(I2331,"45*")&gt;0,COUNTIF(J2331,"*45*")&gt;0,COUNTIF(I2331,"46*")&gt;0,COUNTIF(J2331,"*46*")&gt;0,COUNTIF(I2331,"47*")&gt;0,COUNTIF(J2331,"*47*")&gt;0,COUNTIF(I2331,"10*")&gt;0,COUNTIF(J2331,"*10*")&gt;0,COUNTIF(I2331,"11*")&gt;0,COUNTIF(J2331,"*11*")&gt;0,COUNTIF(I2331,"12*")&gt;0,COUNTIF(J2331,"*12*")&gt;0,COUNTIF(I2331,"13*")&gt;0,COUNTIF(J2331,"*13*")&gt;0,COUNTIF(I2331,"14*")&gt;0,COUNTIF(J2331,"*14*")&gt;0,COUNTIF(I2331,"15*")&gt;0,COUNTIF(J2331,"*15*")&gt;0,COUNTIF(I2331,"16*")&gt;0,COUNTIF(J2331,"*16*")&gt;0,COUNTIF(I2331,"17*")&gt;0,COUNTIF(J2331,"*17*")&gt;0,COUNTIF(I2331,"18*")&gt;0,COUNTIF(J2331,"*18*")&gt;0,COUNTIF(I2331,"19*")&gt;0,COUNTIF(J2331,"*19*")&gt;0,COUNTIF(I2331,"20*")&gt;0,COUNTIF(J2331,"*20*")&gt;0,COUNTIF(I2331,"21*")&gt;0,COUNTIF(J2331,"*21*")&gt;0,COUNTIF(I2331,"22*")&gt;0,COUNTIF(J2331,"*22*")&gt;0,COUNTIF(I2331,"23*")&gt;0,COUNTIF(J2331,"*23*")&gt;0,COUNTIF(I2331,"24*")&gt;0,COUNTIF(J2331,"*24*")&gt;0,COUNTIF(I2331,"25*")&gt;0,COUNTIF(J2331,"*25*")&gt;0,COUNTIF(I2331,"26*")&gt;0,COUNTIF(J2331,"*26*")&gt;0,COUNTIF(I2331,"27*")&gt;0,COUNTIF(J2331,"*27*")&gt;0,COUNTIF(I2331,"28*")&gt;0,COUNTIF(J2331,"*28*")&gt;0,COUNTIF(I2331,"29*")&gt;0,COUNTIF(J2331,"*29*")&gt;0,COUNTIF(I2331,"30*")&gt;0,COUNTIF(J2331,"*30*")&gt;0,COUNTIF(I2331,"31*")&gt;0,COUNTIF(J2331,"*31*")&gt;0,COUNTIF(I2331,"32*")&gt;0,COUNTIF(J2331,"*32*")&gt;0,COUNTIF(I2331,"33*")&gt;0,COUNTIF(J2331,"*33*")&gt;0,COUNTIF(I2331,"41*")&gt;0,COUNTIF(J2331,"*41*")&gt;0,COUNTIF(I2331,"42*")&gt;0,COUNTIF(J2331,"*42*")&gt;0,COUNTIF(I2331,"43*")&gt;0,COUNTIF(J2331,"*43*")&gt;0,COUNTIF(I2331,"49*")&gt;0,COUNTIF(J2331,"*49*")&gt;0,COUNTIF(I2331,"52*")&gt;0,COUNTIF(J2331,"*52*")&gt;0,COUNTIF(I2331,"55*")&gt;0,COUNTIF(J2331,"*55*")&gt;0,COUNTIF(I2331,"56*")&gt;0,COUNTIF(J2331,"*56*")&gt;0,COUNTIF(I2331,"68*")&gt;0,COUNTIF(J2331,"*68*")&gt;0,COUNTIF(I2331,"78*")&gt;0,COUNTIF(J2331,"*78*")&gt;0,COUNTIF(I2331,"81*")&gt;0,COUNTIF(J2331,"*81*")&gt;0,COUNTIF(I2331,"82*")&gt;0,COUNTIF(J2331,"*82*")&gt;0,COUNTIF(I2331,"64*")&gt;0,COUNTIF(J2331,"*64*")&gt;0,COUNTIF(I2331,"65*")&gt;0,COUNTIF(J2331,"*65*")&gt;0,COUNTIF(I2331,"66*")&gt;0,COUNTIF(J2331,"*66*")&gt;0,COUNTIF(I2331,"61*")&gt;0,COUNTIF(J2331,"*61*")&gt;0,COUNTIF(I2331,"62*")&gt;0,COUNTIF(J2331,"*62*")&gt;0,COUNTIF(I2331,"63*")&gt;0,COUNTIF(J2331,"*63*")&gt;0,COUNTIF(I2331,"85*")&gt;0,COUNTIF(J2331,"*85*")&gt;0,COUNTIF(I2331,"86*")&gt;0,COUNTIF(J2331,"*86*")&gt;0),"Да","Нет"))</f>
        <v/>
      </c>
      <c r="M2331" s="13">
        <f>IF(OR(G2331="",L2331&lt;&gt;"Да"),"",IF(G2331&lt;=100,"До 100",IF(G2331&lt;=200,"До 200",IF(G2331&lt;=500,"До 500","Отдельное КП"))))</f>
        <v/>
      </c>
      <c r="N2331" s="15">
        <f>IF(OR(G2331="",L2331&lt;&gt;"Да"),"",IF(G2331&lt;=100,33600,IF(G2331&lt;=200,62400,IF(G2331&lt;=500,144000,""))))</f>
        <v/>
      </c>
      <c r="O2331" s="16">
        <f>IF(G2331="","",IF(G2331&lt;=15,"1–15",IF(G2331&lt;=30,"16–30",IF(G2331&lt;=50,"31–50",IF(G2331&lt;=100,"51–100",IF(G2331&lt;=150,"101–150",IF(G2331&lt;=200,"151–200",IF(G2331&lt;=500,"201–500","500+"))))))))</f>
        <v/>
      </c>
      <c r="P2331" s="16" t="inlineStr">
        <is>
          <t>Нет совпадения в предоставленной выгрузке ССЧР</t>
        </is>
      </c>
      <c r="Q2331" s="16" t="n"/>
      <c r="R2331" s="16">
        <f>HYPERLINK("https://checko.ru/search?query=3801001629","Чекко: проверить")</f>
        <v/>
      </c>
      <c r="S2331" t="n">
        <v>0</v>
      </c>
    </row>
    <row r="2332" ht="15" customHeight="1" s="24">
      <c r="A2332" s="13" t="n">
        <v>5000094777</v>
      </c>
      <c r="B2332" s="13" t="inlineStr">
        <is>
          <t>МКУ ДО ДДТ</t>
        </is>
      </c>
      <c r="C2332" s="13" t="n">
        <v>707007709</v>
      </c>
      <c r="D2332" s="13" t="n"/>
      <c r="E2332" s="13" t="inlineStr">
        <is>
          <t>Не определён</t>
        </is>
      </c>
      <c r="F2332" s="13" t="inlineStr">
        <is>
          <t>707007709</t>
        </is>
      </c>
      <c r="G2332" s="14" t="n"/>
      <c r="H2332" s="14" t="n"/>
      <c r="I2332" s="14" t="n"/>
      <c r="J2332" s="14" t="n"/>
      <c r="K2332" s="13">
        <f>IF(G2332="","",IF(G2332&gt;=22,"Да","Нет"))</f>
        <v/>
      </c>
      <c r="L2332" s="13">
        <f>IF(OR(I2332="",J2332=""),"Не определено",IF(OR(COUNTIF(I2332,"45*")&gt;0,COUNTIF(J2332,"*45*")&gt;0,COUNTIF(I2332,"46*")&gt;0,COUNTIF(J2332,"*46*")&gt;0,COUNTIF(I2332,"47*")&gt;0,COUNTIF(J2332,"*47*")&gt;0,COUNTIF(I2332,"10*")&gt;0,COUNTIF(J2332,"*10*")&gt;0,COUNTIF(I2332,"11*")&gt;0,COUNTIF(J2332,"*11*")&gt;0,COUNTIF(I2332,"12*")&gt;0,COUNTIF(J2332,"*12*")&gt;0,COUNTIF(I2332,"13*")&gt;0,COUNTIF(J2332,"*13*")&gt;0,COUNTIF(I2332,"14*")&gt;0,COUNTIF(J2332,"*14*")&gt;0,COUNTIF(I2332,"15*")&gt;0,COUNTIF(J2332,"*15*")&gt;0,COUNTIF(I2332,"16*")&gt;0,COUNTIF(J2332,"*16*")&gt;0,COUNTIF(I2332,"17*")&gt;0,COUNTIF(J2332,"*17*")&gt;0,COUNTIF(I2332,"18*")&gt;0,COUNTIF(J2332,"*18*")&gt;0,COUNTIF(I2332,"19*")&gt;0,COUNTIF(J2332,"*19*")&gt;0,COUNTIF(I2332,"20*")&gt;0,COUNTIF(J2332,"*20*")&gt;0,COUNTIF(I2332,"21*")&gt;0,COUNTIF(J2332,"*21*")&gt;0,COUNTIF(I2332,"22*")&gt;0,COUNTIF(J2332,"*22*")&gt;0,COUNTIF(I2332,"23*")&gt;0,COUNTIF(J2332,"*23*")&gt;0,COUNTIF(I2332,"24*")&gt;0,COUNTIF(J2332,"*24*")&gt;0,COUNTIF(I2332,"25*")&gt;0,COUNTIF(J2332,"*25*")&gt;0,COUNTIF(I2332,"26*")&gt;0,COUNTIF(J2332,"*26*")&gt;0,COUNTIF(I2332,"27*")&gt;0,COUNTIF(J2332,"*27*")&gt;0,COUNTIF(I2332,"28*")&gt;0,COUNTIF(J2332,"*28*")&gt;0,COUNTIF(I2332,"29*")&gt;0,COUNTIF(J2332,"*29*")&gt;0,COUNTIF(I2332,"30*")&gt;0,COUNTIF(J2332,"*30*")&gt;0,COUNTIF(I2332,"31*")&gt;0,COUNTIF(J2332,"*31*")&gt;0,COUNTIF(I2332,"32*")&gt;0,COUNTIF(J2332,"*32*")&gt;0,COUNTIF(I2332,"33*")&gt;0,COUNTIF(J2332,"*33*")&gt;0,COUNTIF(I2332,"41*")&gt;0,COUNTIF(J2332,"*41*")&gt;0,COUNTIF(I2332,"42*")&gt;0,COUNTIF(J2332,"*42*")&gt;0,COUNTIF(I2332,"43*")&gt;0,COUNTIF(J2332,"*43*")&gt;0,COUNTIF(I2332,"49*")&gt;0,COUNTIF(J2332,"*49*")&gt;0,COUNTIF(I2332,"52*")&gt;0,COUNTIF(J2332,"*52*")&gt;0,COUNTIF(I2332,"55*")&gt;0,COUNTIF(J2332,"*55*")&gt;0,COUNTIF(I2332,"56*")&gt;0,COUNTIF(J2332,"*56*")&gt;0,COUNTIF(I2332,"68*")&gt;0,COUNTIF(J2332,"*68*")&gt;0,COUNTIF(I2332,"78*")&gt;0,COUNTIF(J2332,"*78*")&gt;0,COUNTIF(I2332,"81*")&gt;0,COUNTIF(J2332,"*81*")&gt;0,COUNTIF(I2332,"82*")&gt;0,COUNTIF(J2332,"*82*")&gt;0,COUNTIF(I2332,"64*")&gt;0,COUNTIF(J2332,"*64*")&gt;0,COUNTIF(I2332,"65*")&gt;0,COUNTIF(J2332,"*65*")&gt;0,COUNTIF(I2332,"66*")&gt;0,COUNTIF(J2332,"*66*")&gt;0,COUNTIF(I2332,"61*")&gt;0,COUNTIF(J2332,"*61*")&gt;0,COUNTIF(I2332,"62*")&gt;0,COUNTIF(J2332,"*62*")&gt;0,COUNTIF(I2332,"63*")&gt;0,COUNTIF(J2332,"*63*")&gt;0,COUNTIF(I2332,"85*")&gt;0,COUNTIF(J2332,"*85*")&gt;0,COUNTIF(I2332,"86*")&gt;0,COUNTIF(J2332,"*86*")&gt;0),"Да","Нет"))</f>
        <v/>
      </c>
      <c r="M2332" s="13">
        <f>IF(OR(G2332="",L2332&lt;&gt;"Да"),"",IF(G2332&lt;=100,"До 100",IF(G2332&lt;=200,"До 200",IF(G2332&lt;=500,"До 500","Отдельное КП"))))</f>
        <v/>
      </c>
      <c r="N2332" s="15">
        <f>IF(OR(G2332="",L2332&lt;&gt;"Да"),"",IF(G2332&lt;=100,33600,IF(G2332&lt;=200,62400,IF(G2332&lt;=500,144000,""))))</f>
        <v/>
      </c>
      <c r="O2332" s="16">
        <f>IF(G2332="","",IF(G2332&lt;=15,"1–15",IF(G2332&lt;=30,"16–30",IF(G2332&lt;=50,"31–50",IF(G2332&lt;=100,"51–100",IF(G2332&lt;=150,"101–150",IF(G2332&lt;=200,"151–200",IF(G2332&lt;=500,"201–500","500+"))))))))</f>
        <v/>
      </c>
      <c r="P2332" s="16" t="inlineStr">
        <is>
          <t>Нет совпадения в предоставленной выгрузке ССЧР</t>
        </is>
      </c>
      <c r="Q2332" s="16" t="n"/>
      <c r="R2332" s="16">
        <f>HYPERLINK("https://checko.ru/search?query=3801001629","Чекко: проверить")</f>
        <v/>
      </c>
      <c r="S2332" t="n">
        <v>0</v>
      </c>
    </row>
    <row r="2333" ht="15" customHeight="1" s="24">
      <c r="A2333" s="13" t="n">
        <v>5000094778</v>
      </c>
      <c r="B2333" s="13" t="inlineStr">
        <is>
          <t>СМС Лескенского муниципального района КБР</t>
        </is>
      </c>
      <c r="C2333" s="13" t="n">
        <v>707007949</v>
      </c>
      <c r="D2333" s="13" t="n"/>
      <c r="E2333" s="13" t="inlineStr">
        <is>
          <t>Не определён</t>
        </is>
      </c>
      <c r="F2333" s="13" t="inlineStr">
        <is>
          <t>707007949</t>
        </is>
      </c>
      <c r="G2333" s="14" t="n"/>
      <c r="H2333" s="14" t="n"/>
      <c r="I2333" s="14" t="n"/>
      <c r="J2333" s="14" t="n"/>
      <c r="K2333" s="13">
        <f>IF(G2333="","",IF(G2333&gt;=22,"Да","Нет"))</f>
        <v/>
      </c>
      <c r="L2333" s="13">
        <f>IF(OR(I2333="",J2333=""),"Не определено",IF(OR(COUNTIF(I2333,"45*")&gt;0,COUNTIF(J2333,"*45*")&gt;0,COUNTIF(I2333,"46*")&gt;0,COUNTIF(J2333,"*46*")&gt;0,COUNTIF(I2333,"47*")&gt;0,COUNTIF(J2333,"*47*")&gt;0,COUNTIF(I2333,"10*")&gt;0,COUNTIF(J2333,"*10*")&gt;0,COUNTIF(I2333,"11*")&gt;0,COUNTIF(J2333,"*11*")&gt;0,COUNTIF(I2333,"12*")&gt;0,COUNTIF(J2333,"*12*")&gt;0,COUNTIF(I2333,"13*")&gt;0,COUNTIF(J2333,"*13*")&gt;0,COUNTIF(I2333,"14*")&gt;0,COUNTIF(J2333,"*14*")&gt;0,COUNTIF(I2333,"15*")&gt;0,COUNTIF(J2333,"*15*")&gt;0,COUNTIF(I2333,"16*")&gt;0,COUNTIF(J2333,"*16*")&gt;0,COUNTIF(I2333,"17*")&gt;0,COUNTIF(J2333,"*17*")&gt;0,COUNTIF(I2333,"18*")&gt;0,COUNTIF(J2333,"*18*")&gt;0,COUNTIF(I2333,"19*")&gt;0,COUNTIF(J2333,"*19*")&gt;0,COUNTIF(I2333,"20*")&gt;0,COUNTIF(J2333,"*20*")&gt;0,COUNTIF(I2333,"21*")&gt;0,COUNTIF(J2333,"*21*")&gt;0,COUNTIF(I2333,"22*")&gt;0,COUNTIF(J2333,"*22*")&gt;0,COUNTIF(I2333,"23*")&gt;0,COUNTIF(J2333,"*23*")&gt;0,COUNTIF(I2333,"24*")&gt;0,COUNTIF(J2333,"*24*")&gt;0,COUNTIF(I2333,"25*")&gt;0,COUNTIF(J2333,"*25*")&gt;0,COUNTIF(I2333,"26*")&gt;0,COUNTIF(J2333,"*26*")&gt;0,COUNTIF(I2333,"27*")&gt;0,COUNTIF(J2333,"*27*")&gt;0,COUNTIF(I2333,"28*")&gt;0,COUNTIF(J2333,"*28*")&gt;0,COUNTIF(I2333,"29*")&gt;0,COUNTIF(J2333,"*29*")&gt;0,COUNTIF(I2333,"30*")&gt;0,COUNTIF(J2333,"*30*")&gt;0,COUNTIF(I2333,"31*")&gt;0,COUNTIF(J2333,"*31*")&gt;0,COUNTIF(I2333,"32*")&gt;0,COUNTIF(J2333,"*32*")&gt;0,COUNTIF(I2333,"33*")&gt;0,COUNTIF(J2333,"*33*")&gt;0,COUNTIF(I2333,"41*")&gt;0,COUNTIF(J2333,"*41*")&gt;0,COUNTIF(I2333,"42*")&gt;0,COUNTIF(J2333,"*42*")&gt;0,COUNTIF(I2333,"43*")&gt;0,COUNTIF(J2333,"*43*")&gt;0,COUNTIF(I2333,"49*")&gt;0,COUNTIF(J2333,"*49*")&gt;0,COUNTIF(I2333,"52*")&gt;0,COUNTIF(J2333,"*52*")&gt;0,COUNTIF(I2333,"55*")&gt;0,COUNTIF(J2333,"*55*")&gt;0,COUNTIF(I2333,"56*")&gt;0,COUNTIF(J2333,"*56*")&gt;0,COUNTIF(I2333,"68*")&gt;0,COUNTIF(J2333,"*68*")&gt;0,COUNTIF(I2333,"78*")&gt;0,COUNTIF(J2333,"*78*")&gt;0,COUNTIF(I2333,"81*")&gt;0,COUNTIF(J2333,"*81*")&gt;0,COUNTIF(I2333,"82*")&gt;0,COUNTIF(J2333,"*82*")&gt;0,COUNTIF(I2333,"64*")&gt;0,COUNTIF(J2333,"*64*")&gt;0,COUNTIF(I2333,"65*")&gt;0,COUNTIF(J2333,"*65*")&gt;0,COUNTIF(I2333,"66*")&gt;0,COUNTIF(J2333,"*66*")&gt;0,COUNTIF(I2333,"61*")&gt;0,COUNTIF(J2333,"*61*")&gt;0,COUNTIF(I2333,"62*")&gt;0,COUNTIF(J2333,"*62*")&gt;0,COUNTIF(I2333,"63*")&gt;0,COUNTIF(J2333,"*63*")&gt;0,COUNTIF(I2333,"85*")&gt;0,COUNTIF(J2333,"*85*")&gt;0,COUNTIF(I2333,"86*")&gt;0,COUNTIF(J2333,"*86*")&gt;0),"Да","Нет"))</f>
        <v/>
      </c>
      <c r="M2333" s="13">
        <f>IF(OR(G2333="",L2333&lt;&gt;"Да"),"",IF(G2333&lt;=100,"До 100",IF(G2333&lt;=200,"До 200",IF(G2333&lt;=500,"До 500","Отдельное КП"))))</f>
        <v/>
      </c>
      <c r="N2333" s="15">
        <f>IF(OR(G2333="",L2333&lt;&gt;"Да"),"",IF(G2333&lt;=100,33600,IF(G2333&lt;=200,62400,IF(G2333&lt;=500,144000,""))))</f>
        <v/>
      </c>
      <c r="O2333" s="16">
        <f>IF(G2333="","",IF(G2333&lt;=15,"1–15",IF(G2333&lt;=30,"16–30",IF(G2333&lt;=50,"31–50",IF(G2333&lt;=100,"51–100",IF(G2333&lt;=150,"101–150",IF(G2333&lt;=200,"151–200",IF(G2333&lt;=500,"201–500","500+"))))))))</f>
        <v/>
      </c>
      <c r="P2333" s="16" t="inlineStr">
        <is>
          <t>Нет совпадения в предоставленной выгрузке ССЧР</t>
        </is>
      </c>
      <c r="Q2333" s="16" t="n"/>
      <c r="R2333" s="16">
        <f>HYPERLINK("https://checko.ru/search?query=3801001629","Чекко: проверить")</f>
        <v/>
      </c>
      <c r="S2333" t="n">
        <v>0</v>
      </c>
    </row>
    <row r="2334" ht="15" customHeight="1" s="24">
      <c r="A2334" s="13" t="n">
        <v>5000094779</v>
      </c>
      <c r="B2334" s="13" t="inlineStr">
        <is>
          <t>МКУ "ДК с.п. Ташлы-Тала"</t>
        </is>
      </c>
      <c r="C2334" s="13" t="n">
        <v>707008773</v>
      </c>
      <c r="D2334" s="13" t="n"/>
      <c r="E2334" s="13" t="inlineStr">
        <is>
          <t>Не определён</t>
        </is>
      </c>
      <c r="F2334" s="13" t="inlineStr">
        <is>
          <t>707008773</t>
        </is>
      </c>
      <c r="G2334" s="14" t="n"/>
      <c r="H2334" s="14" t="n"/>
      <c r="I2334" s="14" t="n"/>
      <c r="J2334" s="14" t="n"/>
      <c r="K2334" s="13">
        <f>IF(G2334="","",IF(G2334&gt;=22,"Да","Нет"))</f>
        <v/>
      </c>
      <c r="L2334" s="13">
        <f>IF(OR(I2334="",J2334=""),"Не определено",IF(OR(COUNTIF(I2334,"45*")&gt;0,COUNTIF(J2334,"*45*")&gt;0,COUNTIF(I2334,"46*")&gt;0,COUNTIF(J2334,"*46*")&gt;0,COUNTIF(I2334,"47*")&gt;0,COUNTIF(J2334,"*47*")&gt;0,COUNTIF(I2334,"10*")&gt;0,COUNTIF(J2334,"*10*")&gt;0,COUNTIF(I2334,"11*")&gt;0,COUNTIF(J2334,"*11*")&gt;0,COUNTIF(I2334,"12*")&gt;0,COUNTIF(J2334,"*12*")&gt;0,COUNTIF(I2334,"13*")&gt;0,COUNTIF(J2334,"*13*")&gt;0,COUNTIF(I2334,"14*")&gt;0,COUNTIF(J2334,"*14*")&gt;0,COUNTIF(I2334,"15*")&gt;0,COUNTIF(J2334,"*15*")&gt;0,COUNTIF(I2334,"16*")&gt;0,COUNTIF(J2334,"*16*")&gt;0,COUNTIF(I2334,"17*")&gt;0,COUNTIF(J2334,"*17*")&gt;0,COUNTIF(I2334,"18*")&gt;0,COUNTIF(J2334,"*18*")&gt;0,COUNTIF(I2334,"19*")&gt;0,COUNTIF(J2334,"*19*")&gt;0,COUNTIF(I2334,"20*")&gt;0,COUNTIF(J2334,"*20*")&gt;0,COUNTIF(I2334,"21*")&gt;0,COUNTIF(J2334,"*21*")&gt;0,COUNTIF(I2334,"22*")&gt;0,COUNTIF(J2334,"*22*")&gt;0,COUNTIF(I2334,"23*")&gt;0,COUNTIF(J2334,"*23*")&gt;0,COUNTIF(I2334,"24*")&gt;0,COUNTIF(J2334,"*24*")&gt;0,COUNTIF(I2334,"25*")&gt;0,COUNTIF(J2334,"*25*")&gt;0,COUNTIF(I2334,"26*")&gt;0,COUNTIF(J2334,"*26*")&gt;0,COUNTIF(I2334,"27*")&gt;0,COUNTIF(J2334,"*27*")&gt;0,COUNTIF(I2334,"28*")&gt;0,COUNTIF(J2334,"*28*")&gt;0,COUNTIF(I2334,"29*")&gt;0,COUNTIF(J2334,"*29*")&gt;0,COUNTIF(I2334,"30*")&gt;0,COUNTIF(J2334,"*30*")&gt;0,COUNTIF(I2334,"31*")&gt;0,COUNTIF(J2334,"*31*")&gt;0,COUNTIF(I2334,"32*")&gt;0,COUNTIF(J2334,"*32*")&gt;0,COUNTIF(I2334,"33*")&gt;0,COUNTIF(J2334,"*33*")&gt;0,COUNTIF(I2334,"41*")&gt;0,COUNTIF(J2334,"*41*")&gt;0,COUNTIF(I2334,"42*")&gt;0,COUNTIF(J2334,"*42*")&gt;0,COUNTIF(I2334,"43*")&gt;0,COUNTIF(J2334,"*43*")&gt;0,COUNTIF(I2334,"49*")&gt;0,COUNTIF(J2334,"*49*")&gt;0,COUNTIF(I2334,"52*")&gt;0,COUNTIF(J2334,"*52*")&gt;0,COUNTIF(I2334,"55*")&gt;0,COUNTIF(J2334,"*55*")&gt;0,COUNTIF(I2334,"56*")&gt;0,COUNTIF(J2334,"*56*")&gt;0,COUNTIF(I2334,"68*")&gt;0,COUNTIF(J2334,"*68*")&gt;0,COUNTIF(I2334,"78*")&gt;0,COUNTIF(J2334,"*78*")&gt;0,COUNTIF(I2334,"81*")&gt;0,COUNTIF(J2334,"*81*")&gt;0,COUNTIF(I2334,"82*")&gt;0,COUNTIF(J2334,"*82*")&gt;0,COUNTIF(I2334,"64*")&gt;0,COUNTIF(J2334,"*64*")&gt;0,COUNTIF(I2334,"65*")&gt;0,COUNTIF(J2334,"*65*")&gt;0,COUNTIF(I2334,"66*")&gt;0,COUNTIF(J2334,"*66*")&gt;0,COUNTIF(I2334,"61*")&gt;0,COUNTIF(J2334,"*61*")&gt;0,COUNTIF(I2334,"62*")&gt;0,COUNTIF(J2334,"*62*")&gt;0,COUNTIF(I2334,"63*")&gt;0,COUNTIF(J2334,"*63*")&gt;0,COUNTIF(I2334,"85*")&gt;0,COUNTIF(J2334,"*85*")&gt;0,COUNTIF(I2334,"86*")&gt;0,COUNTIF(J2334,"*86*")&gt;0),"Да","Нет"))</f>
        <v/>
      </c>
      <c r="M2334" s="13">
        <f>IF(OR(G2334="",L2334&lt;&gt;"Да"),"",IF(G2334&lt;=100,"До 100",IF(G2334&lt;=200,"До 200",IF(G2334&lt;=500,"До 500","Отдельное КП"))))</f>
        <v/>
      </c>
      <c r="N2334" s="15">
        <f>IF(OR(G2334="",L2334&lt;&gt;"Да"),"",IF(G2334&lt;=100,33600,IF(G2334&lt;=200,62400,IF(G2334&lt;=500,144000,""))))</f>
        <v/>
      </c>
      <c r="O2334" s="16">
        <f>IF(G2334="","",IF(G2334&lt;=15,"1–15",IF(G2334&lt;=30,"16–30",IF(G2334&lt;=50,"31–50",IF(G2334&lt;=100,"51–100",IF(G2334&lt;=150,"101–150",IF(G2334&lt;=200,"151–200",IF(G2334&lt;=500,"201–500","500+"))))))))</f>
        <v/>
      </c>
      <c r="P2334" s="16" t="inlineStr">
        <is>
          <t>Нет совпадения в предоставленной выгрузке ССЧР</t>
        </is>
      </c>
      <c r="Q2334" s="16" t="n"/>
      <c r="R2334" s="16">
        <f>HYPERLINK("https://checko.ru/search?query=3801001629","Чекко: проверить")</f>
        <v/>
      </c>
      <c r="S2334" t="n">
        <v>0</v>
      </c>
    </row>
    <row r="2335" ht="15" customHeight="1" s="24">
      <c r="A2335" s="13" t="n">
        <v>5000094780</v>
      </c>
      <c r="B2335" s="13" t="inlineStr">
        <is>
          <t>МКУ ЦРБ Лескенского района</t>
        </is>
      </c>
      <c r="C2335" s="13" t="n">
        <v>707010109</v>
      </c>
      <c r="D2335" s="13" t="n"/>
      <c r="E2335" s="13" t="inlineStr">
        <is>
          <t>Не определён</t>
        </is>
      </c>
      <c r="F2335" s="13" t="inlineStr">
        <is>
          <t>707010109</t>
        </is>
      </c>
      <c r="G2335" s="14" t="n"/>
      <c r="H2335" s="14" t="n"/>
      <c r="I2335" s="14" t="n"/>
      <c r="J2335" s="14" t="n"/>
      <c r="K2335" s="13">
        <f>IF(G2335="","",IF(G2335&gt;=22,"Да","Нет"))</f>
        <v/>
      </c>
      <c r="L2335" s="13">
        <f>IF(OR(I2335="",J2335=""),"Не определено",IF(OR(COUNTIF(I2335,"45*")&gt;0,COUNTIF(J2335,"*45*")&gt;0,COUNTIF(I2335,"46*")&gt;0,COUNTIF(J2335,"*46*")&gt;0,COUNTIF(I2335,"47*")&gt;0,COUNTIF(J2335,"*47*")&gt;0,COUNTIF(I2335,"10*")&gt;0,COUNTIF(J2335,"*10*")&gt;0,COUNTIF(I2335,"11*")&gt;0,COUNTIF(J2335,"*11*")&gt;0,COUNTIF(I2335,"12*")&gt;0,COUNTIF(J2335,"*12*")&gt;0,COUNTIF(I2335,"13*")&gt;0,COUNTIF(J2335,"*13*")&gt;0,COUNTIF(I2335,"14*")&gt;0,COUNTIF(J2335,"*14*")&gt;0,COUNTIF(I2335,"15*")&gt;0,COUNTIF(J2335,"*15*")&gt;0,COUNTIF(I2335,"16*")&gt;0,COUNTIF(J2335,"*16*")&gt;0,COUNTIF(I2335,"17*")&gt;0,COUNTIF(J2335,"*17*")&gt;0,COUNTIF(I2335,"18*")&gt;0,COUNTIF(J2335,"*18*")&gt;0,COUNTIF(I2335,"19*")&gt;0,COUNTIF(J2335,"*19*")&gt;0,COUNTIF(I2335,"20*")&gt;0,COUNTIF(J2335,"*20*")&gt;0,COUNTIF(I2335,"21*")&gt;0,COUNTIF(J2335,"*21*")&gt;0,COUNTIF(I2335,"22*")&gt;0,COUNTIF(J2335,"*22*")&gt;0,COUNTIF(I2335,"23*")&gt;0,COUNTIF(J2335,"*23*")&gt;0,COUNTIF(I2335,"24*")&gt;0,COUNTIF(J2335,"*24*")&gt;0,COUNTIF(I2335,"25*")&gt;0,COUNTIF(J2335,"*25*")&gt;0,COUNTIF(I2335,"26*")&gt;0,COUNTIF(J2335,"*26*")&gt;0,COUNTIF(I2335,"27*")&gt;0,COUNTIF(J2335,"*27*")&gt;0,COUNTIF(I2335,"28*")&gt;0,COUNTIF(J2335,"*28*")&gt;0,COUNTIF(I2335,"29*")&gt;0,COUNTIF(J2335,"*29*")&gt;0,COUNTIF(I2335,"30*")&gt;0,COUNTIF(J2335,"*30*")&gt;0,COUNTIF(I2335,"31*")&gt;0,COUNTIF(J2335,"*31*")&gt;0,COUNTIF(I2335,"32*")&gt;0,COUNTIF(J2335,"*32*")&gt;0,COUNTIF(I2335,"33*")&gt;0,COUNTIF(J2335,"*33*")&gt;0,COUNTIF(I2335,"41*")&gt;0,COUNTIF(J2335,"*41*")&gt;0,COUNTIF(I2335,"42*")&gt;0,COUNTIF(J2335,"*42*")&gt;0,COUNTIF(I2335,"43*")&gt;0,COUNTIF(J2335,"*43*")&gt;0,COUNTIF(I2335,"49*")&gt;0,COUNTIF(J2335,"*49*")&gt;0,COUNTIF(I2335,"52*")&gt;0,COUNTIF(J2335,"*52*")&gt;0,COUNTIF(I2335,"55*")&gt;0,COUNTIF(J2335,"*55*")&gt;0,COUNTIF(I2335,"56*")&gt;0,COUNTIF(J2335,"*56*")&gt;0,COUNTIF(I2335,"68*")&gt;0,COUNTIF(J2335,"*68*")&gt;0,COUNTIF(I2335,"78*")&gt;0,COUNTIF(J2335,"*78*")&gt;0,COUNTIF(I2335,"81*")&gt;0,COUNTIF(J2335,"*81*")&gt;0,COUNTIF(I2335,"82*")&gt;0,COUNTIF(J2335,"*82*")&gt;0,COUNTIF(I2335,"64*")&gt;0,COUNTIF(J2335,"*64*")&gt;0,COUNTIF(I2335,"65*")&gt;0,COUNTIF(J2335,"*65*")&gt;0,COUNTIF(I2335,"66*")&gt;0,COUNTIF(J2335,"*66*")&gt;0,COUNTIF(I2335,"61*")&gt;0,COUNTIF(J2335,"*61*")&gt;0,COUNTIF(I2335,"62*")&gt;0,COUNTIF(J2335,"*62*")&gt;0,COUNTIF(I2335,"63*")&gt;0,COUNTIF(J2335,"*63*")&gt;0,COUNTIF(I2335,"85*")&gt;0,COUNTIF(J2335,"*85*")&gt;0,COUNTIF(I2335,"86*")&gt;0,COUNTIF(J2335,"*86*")&gt;0),"Да","Нет"))</f>
        <v/>
      </c>
      <c r="M2335" s="13">
        <f>IF(OR(G2335="",L2335&lt;&gt;"Да"),"",IF(G2335&lt;=100,"До 100",IF(G2335&lt;=200,"До 200",IF(G2335&lt;=500,"До 500","Отдельное КП"))))</f>
        <v/>
      </c>
      <c r="N2335" s="15">
        <f>IF(OR(G2335="",L2335&lt;&gt;"Да"),"",IF(G2335&lt;=100,33600,IF(G2335&lt;=200,62400,IF(G2335&lt;=500,144000,""))))</f>
        <v/>
      </c>
      <c r="O2335" s="16">
        <f>IF(G2335="","",IF(G2335&lt;=15,"1–15",IF(G2335&lt;=30,"16–30",IF(G2335&lt;=50,"31–50",IF(G2335&lt;=100,"51–100",IF(G2335&lt;=150,"101–150",IF(G2335&lt;=200,"151–200",IF(G2335&lt;=500,"201–500","500+"))))))))</f>
        <v/>
      </c>
      <c r="P2335" s="16" t="inlineStr">
        <is>
          <t>Нет совпадения в предоставленной выгрузке ССЧР</t>
        </is>
      </c>
      <c r="Q2335" s="16" t="n"/>
      <c r="R2335" s="16">
        <f>HYPERLINK("https://checko.ru/search?query=3801001629","Чекко: проверить")</f>
        <v/>
      </c>
      <c r="S2335" t="n">
        <v>0</v>
      </c>
    </row>
    <row r="2336" ht="15" customHeight="1" s="24">
      <c r="A2336" s="13" t="n">
        <v>5000094781</v>
      </c>
      <c r="B2336" s="13" t="inlineStr">
        <is>
          <t>МКУ ДО "ДМШ" УМР КБР</t>
        </is>
      </c>
      <c r="C2336" s="13" t="n">
        <v>707010187</v>
      </c>
      <c r="D2336" s="13" t="n"/>
      <c r="E2336" s="13" t="inlineStr">
        <is>
          <t>Не определён</t>
        </is>
      </c>
      <c r="F2336" s="13" t="inlineStr">
        <is>
          <t>707010187</t>
        </is>
      </c>
      <c r="G2336" s="14" t="n"/>
      <c r="H2336" s="14" t="n"/>
      <c r="I2336" s="14" t="n"/>
      <c r="J2336" s="14" t="n"/>
      <c r="K2336" s="13">
        <f>IF(G2336="","",IF(G2336&gt;=22,"Да","Нет"))</f>
        <v/>
      </c>
      <c r="L2336" s="13">
        <f>IF(OR(I2336="",J2336=""),"Не определено",IF(OR(COUNTIF(I2336,"45*")&gt;0,COUNTIF(J2336,"*45*")&gt;0,COUNTIF(I2336,"46*")&gt;0,COUNTIF(J2336,"*46*")&gt;0,COUNTIF(I2336,"47*")&gt;0,COUNTIF(J2336,"*47*")&gt;0,COUNTIF(I2336,"10*")&gt;0,COUNTIF(J2336,"*10*")&gt;0,COUNTIF(I2336,"11*")&gt;0,COUNTIF(J2336,"*11*")&gt;0,COUNTIF(I2336,"12*")&gt;0,COUNTIF(J2336,"*12*")&gt;0,COUNTIF(I2336,"13*")&gt;0,COUNTIF(J2336,"*13*")&gt;0,COUNTIF(I2336,"14*")&gt;0,COUNTIF(J2336,"*14*")&gt;0,COUNTIF(I2336,"15*")&gt;0,COUNTIF(J2336,"*15*")&gt;0,COUNTIF(I2336,"16*")&gt;0,COUNTIF(J2336,"*16*")&gt;0,COUNTIF(I2336,"17*")&gt;0,COUNTIF(J2336,"*17*")&gt;0,COUNTIF(I2336,"18*")&gt;0,COUNTIF(J2336,"*18*")&gt;0,COUNTIF(I2336,"19*")&gt;0,COUNTIF(J2336,"*19*")&gt;0,COUNTIF(I2336,"20*")&gt;0,COUNTIF(J2336,"*20*")&gt;0,COUNTIF(I2336,"21*")&gt;0,COUNTIF(J2336,"*21*")&gt;0,COUNTIF(I2336,"22*")&gt;0,COUNTIF(J2336,"*22*")&gt;0,COUNTIF(I2336,"23*")&gt;0,COUNTIF(J2336,"*23*")&gt;0,COUNTIF(I2336,"24*")&gt;0,COUNTIF(J2336,"*24*")&gt;0,COUNTIF(I2336,"25*")&gt;0,COUNTIF(J2336,"*25*")&gt;0,COUNTIF(I2336,"26*")&gt;0,COUNTIF(J2336,"*26*")&gt;0,COUNTIF(I2336,"27*")&gt;0,COUNTIF(J2336,"*27*")&gt;0,COUNTIF(I2336,"28*")&gt;0,COUNTIF(J2336,"*28*")&gt;0,COUNTIF(I2336,"29*")&gt;0,COUNTIF(J2336,"*29*")&gt;0,COUNTIF(I2336,"30*")&gt;0,COUNTIF(J2336,"*30*")&gt;0,COUNTIF(I2336,"31*")&gt;0,COUNTIF(J2336,"*31*")&gt;0,COUNTIF(I2336,"32*")&gt;0,COUNTIF(J2336,"*32*")&gt;0,COUNTIF(I2336,"33*")&gt;0,COUNTIF(J2336,"*33*")&gt;0,COUNTIF(I2336,"41*")&gt;0,COUNTIF(J2336,"*41*")&gt;0,COUNTIF(I2336,"42*")&gt;0,COUNTIF(J2336,"*42*")&gt;0,COUNTIF(I2336,"43*")&gt;0,COUNTIF(J2336,"*43*")&gt;0,COUNTIF(I2336,"49*")&gt;0,COUNTIF(J2336,"*49*")&gt;0,COUNTIF(I2336,"52*")&gt;0,COUNTIF(J2336,"*52*")&gt;0,COUNTIF(I2336,"55*")&gt;0,COUNTIF(J2336,"*55*")&gt;0,COUNTIF(I2336,"56*")&gt;0,COUNTIF(J2336,"*56*")&gt;0,COUNTIF(I2336,"68*")&gt;0,COUNTIF(J2336,"*68*")&gt;0,COUNTIF(I2336,"78*")&gt;0,COUNTIF(J2336,"*78*")&gt;0,COUNTIF(I2336,"81*")&gt;0,COUNTIF(J2336,"*81*")&gt;0,COUNTIF(I2336,"82*")&gt;0,COUNTIF(J2336,"*82*")&gt;0,COUNTIF(I2336,"64*")&gt;0,COUNTIF(J2336,"*64*")&gt;0,COUNTIF(I2336,"65*")&gt;0,COUNTIF(J2336,"*65*")&gt;0,COUNTIF(I2336,"66*")&gt;0,COUNTIF(J2336,"*66*")&gt;0,COUNTIF(I2336,"61*")&gt;0,COUNTIF(J2336,"*61*")&gt;0,COUNTIF(I2336,"62*")&gt;0,COUNTIF(J2336,"*62*")&gt;0,COUNTIF(I2336,"63*")&gt;0,COUNTIF(J2336,"*63*")&gt;0,COUNTIF(I2336,"85*")&gt;0,COUNTIF(J2336,"*85*")&gt;0,COUNTIF(I2336,"86*")&gt;0,COUNTIF(J2336,"*86*")&gt;0),"Да","Нет"))</f>
        <v/>
      </c>
      <c r="M2336" s="13">
        <f>IF(OR(G2336="",L2336&lt;&gt;"Да"),"",IF(G2336&lt;=100,"До 100",IF(G2336&lt;=200,"До 200",IF(G2336&lt;=500,"До 500","Отдельное КП"))))</f>
        <v/>
      </c>
      <c r="N2336" s="15">
        <f>IF(OR(G2336="",L2336&lt;&gt;"Да"),"",IF(G2336&lt;=100,33600,IF(G2336&lt;=200,62400,IF(G2336&lt;=500,144000,""))))</f>
        <v/>
      </c>
      <c r="O2336" s="16">
        <f>IF(G2336="","",IF(G2336&lt;=15,"1–15",IF(G2336&lt;=30,"16–30",IF(G2336&lt;=50,"31–50",IF(G2336&lt;=100,"51–100",IF(G2336&lt;=150,"101–150",IF(G2336&lt;=200,"151–200",IF(G2336&lt;=500,"201–500","500+"))))))))</f>
        <v/>
      </c>
      <c r="P2336" s="16" t="inlineStr">
        <is>
          <t>Нет совпадения в предоставленной выгрузке ССЧР</t>
        </is>
      </c>
      <c r="Q2336" s="16" t="n"/>
      <c r="R2336" s="16">
        <f>HYPERLINK("https://checko.ru/search?query=3801001629","Чекко: проверить")</f>
        <v/>
      </c>
      <c r="S2336" t="n">
        <v>0</v>
      </c>
    </row>
    <row r="2337" ht="15" customHeight="1" s="24">
      <c r="A2337" s="13" t="n">
        <v>5000094782</v>
      </c>
      <c r="B2337" s="13" t="inlineStr">
        <is>
          <t>МКУ ДО "ДШИ" с.п. Старый Черек УМР КБР</t>
        </is>
      </c>
      <c r="C2337" s="13" t="n">
        <v>707010250</v>
      </c>
      <c r="D2337" s="13" t="n"/>
      <c r="E2337" s="13" t="inlineStr">
        <is>
          <t>Не определён</t>
        </is>
      </c>
      <c r="F2337" s="13" t="inlineStr">
        <is>
          <t>707010250</t>
        </is>
      </c>
      <c r="G2337" s="14" t="n"/>
      <c r="H2337" s="14" t="n"/>
      <c r="I2337" s="14" t="n"/>
      <c r="J2337" s="14" t="n"/>
      <c r="K2337" s="13">
        <f>IF(G2337="","",IF(G2337&gt;=22,"Да","Нет"))</f>
        <v/>
      </c>
      <c r="L2337" s="13">
        <f>IF(OR(I2337="",J2337=""),"Не определено",IF(OR(COUNTIF(I2337,"45*")&gt;0,COUNTIF(J2337,"*45*")&gt;0,COUNTIF(I2337,"46*")&gt;0,COUNTIF(J2337,"*46*")&gt;0,COUNTIF(I2337,"47*")&gt;0,COUNTIF(J2337,"*47*")&gt;0,COUNTIF(I2337,"10*")&gt;0,COUNTIF(J2337,"*10*")&gt;0,COUNTIF(I2337,"11*")&gt;0,COUNTIF(J2337,"*11*")&gt;0,COUNTIF(I2337,"12*")&gt;0,COUNTIF(J2337,"*12*")&gt;0,COUNTIF(I2337,"13*")&gt;0,COUNTIF(J2337,"*13*")&gt;0,COUNTIF(I2337,"14*")&gt;0,COUNTIF(J2337,"*14*")&gt;0,COUNTIF(I2337,"15*")&gt;0,COUNTIF(J2337,"*15*")&gt;0,COUNTIF(I2337,"16*")&gt;0,COUNTIF(J2337,"*16*")&gt;0,COUNTIF(I2337,"17*")&gt;0,COUNTIF(J2337,"*17*")&gt;0,COUNTIF(I2337,"18*")&gt;0,COUNTIF(J2337,"*18*")&gt;0,COUNTIF(I2337,"19*")&gt;0,COUNTIF(J2337,"*19*")&gt;0,COUNTIF(I2337,"20*")&gt;0,COUNTIF(J2337,"*20*")&gt;0,COUNTIF(I2337,"21*")&gt;0,COUNTIF(J2337,"*21*")&gt;0,COUNTIF(I2337,"22*")&gt;0,COUNTIF(J2337,"*22*")&gt;0,COUNTIF(I2337,"23*")&gt;0,COUNTIF(J2337,"*23*")&gt;0,COUNTIF(I2337,"24*")&gt;0,COUNTIF(J2337,"*24*")&gt;0,COUNTIF(I2337,"25*")&gt;0,COUNTIF(J2337,"*25*")&gt;0,COUNTIF(I2337,"26*")&gt;0,COUNTIF(J2337,"*26*")&gt;0,COUNTIF(I2337,"27*")&gt;0,COUNTIF(J2337,"*27*")&gt;0,COUNTIF(I2337,"28*")&gt;0,COUNTIF(J2337,"*28*")&gt;0,COUNTIF(I2337,"29*")&gt;0,COUNTIF(J2337,"*29*")&gt;0,COUNTIF(I2337,"30*")&gt;0,COUNTIF(J2337,"*30*")&gt;0,COUNTIF(I2337,"31*")&gt;0,COUNTIF(J2337,"*31*")&gt;0,COUNTIF(I2337,"32*")&gt;0,COUNTIF(J2337,"*32*")&gt;0,COUNTIF(I2337,"33*")&gt;0,COUNTIF(J2337,"*33*")&gt;0,COUNTIF(I2337,"41*")&gt;0,COUNTIF(J2337,"*41*")&gt;0,COUNTIF(I2337,"42*")&gt;0,COUNTIF(J2337,"*42*")&gt;0,COUNTIF(I2337,"43*")&gt;0,COUNTIF(J2337,"*43*")&gt;0,COUNTIF(I2337,"49*")&gt;0,COUNTIF(J2337,"*49*")&gt;0,COUNTIF(I2337,"52*")&gt;0,COUNTIF(J2337,"*52*")&gt;0,COUNTIF(I2337,"55*")&gt;0,COUNTIF(J2337,"*55*")&gt;0,COUNTIF(I2337,"56*")&gt;0,COUNTIF(J2337,"*56*")&gt;0,COUNTIF(I2337,"68*")&gt;0,COUNTIF(J2337,"*68*")&gt;0,COUNTIF(I2337,"78*")&gt;0,COUNTIF(J2337,"*78*")&gt;0,COUNTIF(I2337,"81*")&gt;0,COUNTIF(J2337,"*81*")&gt;0,COUNTIF(I2337,"82*")&gt;0,COUNTIF(J2337,"*82*")&gt;0,COUNTIF(I2337,"64*")&gt;0,COUNTIF(J2337,"*64*")&gt;0,COUNTIF(I2337,"65*")&gt;0,COUNTIF(J2337,"*65*")&gt;0,COUNTIF(I2337,"66*")&gt;0,COUNTIF(J2337,"*66*")&gt;0,COUNTIF(I2337,"61*")&gt;0,COUNTIF(J2337,"*61*")&gt;0,COUNTIF(I2337,"62*")&gt;0,COUNTIF(J2337,"*62*")&gt;0,COUNTIF(I2337,"63*")&gt;0,COUNTIF(J2337,"*63*")&gt;0,COUNTIF(I2337,"85*")&gt;0,COUNTIF(J2337,"*85*")&gt;0,COUNTIF(I2337,"86*")&gt;0,COUNTIF(J2337,"*86*")&gt;0),"Да","Нет"))</f>
        <v/>
      </c>
      <c r="M2337" s="13">
        <f>IF(OR(G2337="",L2337&lt;&gt;"Да"),"",IF(G2337&lt;=100,"До 100",IF(G2337&lt;=200,"До 200",IF(G2337&lt;=500,"До 500","Отдельное КП"))))</f>
        <v/>
      </c>
      <c r="N2337" s="15">
        <f>IF(OR(G2337="",L2337&lt;&gt;"Да"),"",IF(G2337&lt;=100,33600,IF(G2337&lt;=200,62400,IF(G2337&lt;=500,144000,""))))</f>
        <v/>
      </c>
      <c r="O2337" s="16">
        <f>IF(G2337="","",IF(G2337&lt;=15,"1–15",IF(G2337&lt;=30,"16–30",IF(G2337&lt;=50,"31–50",IF(G2337&lt;=100,"51–100",IF(G2337&lt;=150,"101–150",IF(G2337&lt;=200,"151–200",IF(G2337&lt;=500,"201–500","500+"))))))))</f>
        <v/>
      </c>
      <c r="P2337" s="16" t="inlineStr">
        <is>
          <t>Нет совпадения в предоставленной выгрузке ССЧР</t>
        </is>
      </c>
      <c r="Q2337" s="16" t="n"/>
      <c r="R2337" s="16">
        <f>HYPERLINK("https://checko.ru/search?query=3801001629","Чекко: проверить")</f>
        <v/>
      </c>
      <c r="S2337" t="n">
        <v>0</v>
      </c>
    </row>
    <row r="2338" ht="15" customHeight="1" s="24">
      <c r="A2338" s="13" t="n">
        <v>5000094783</v>
      </c>
      <c r="B2338" s="13" t="inlineStr">
        <is>
          <t>МКУ ДО " ДШИ "РАДУГА" УМР КБР</t>
        </is>
      </c>
      <c r="C2338" s="13" t="n">
        <v>707010275</v>
      </c>
      <c r="D2338" s="13" t="n"/>
      <c r="E2338" s="13" t="inlineStr">
        <is>
          <t>Не определён</t>
        </is>
      </c>
      <c r="F2338" s="13" t="inlineStr">
        <is>
          <t>707010275</t>
        </is>
      </c>
      <c r="G2338" s="14" t="n"/>
      <c r="H2338" s="14" t="n"/>
      <c r="I2338" s="14" t="n"/>
      <c r="J2338" s="14" t="n"/>
      <c r="K2338" s="13">
        <f>IF(G2338="","",IF(G2338&gt;=22,"Да","Нет"))</f>
        <v/>
      </c>
      <c r="L2338" s="13">
        <f>IF(OR(I2338="",J2338=""),"Не определено",IF(OR(COUNTIF(I2338,"45*")&gt;0,COUNTIF(J2338,"*45*")&gt;0,COUNTIF(I2338,"46*")&gt;0,COUNTIF(J2338,"*46*")&gt;0,COUNTIF(I2338,"47*")&gt;0,COUNTIF(J2338,"*47*")&gt;0,COUNTIF(I2338,"10*")&gt;0,COUNTIF(J2338,"*10*")&gt;0,COUNTIF(I2338,"11*")&gt;0,COUNTIF(J2338,"*11*")&gt;0,COUNTIF(I2338,"12*")&gt;0,COUNTIF(J2338,"*12*")&gt;0,COUNTIF(I2338,"13*")&gt;0,COUNTIF(J2338,"*13*")&gt;0,COUNTIF(I2338,"14*")&gt;0,COUNTIF(J2338,"*14*")&gt;0,COUNTIF(I2338,"15*")&gt;0,COUNTIF(J2338,"*15*")&gt;0,COUNTIF(I2338,"16*")&gt;0,COUNTIF(J2338,"*16*")&gt;0,COUNTIF(I2338,"17*")&gt;0,COUNTIF(J2338,"*17*")&gt;0,COUNTIF(I2338,"18*")&gt;0,COUNTIF(J2338,"*18*")&gt;0,COUNTIF(I2338,"19*")&gt;0,COUNTIF(J2338,"*19*")&gt;0,COUNTIF(I2338,"20*")&gt;0,COUNTIF(J2338,"*20*")&gt;0,COUNTIF(I2338,"21*")&gt;0,COUNTIF(J2338,"*21*")&gt;0,COUNTIF(I2338,"22*")&gt;0,COUNTIF(J2338,"*22*")&gt;0,COUNTIF(I2338,"23*")&gt;0,COUNTIF(J2338,"*23*")&gt;0,COUNTIF(I2338,"24*")&gt;0,COUNTIF(J2338,"*24*")&gt;0,COUNTIF(I2338,"25*")&gt;0,COUNTIF(J2338,"*25*")&gt;0,COUNTIF(I2338,"26*")&gt;0,COUNTIF(J2338,"*26*")&gt;0,COUNTIF(I2338,"27*")&gt;0,COUNTIF(J2338,"*27*")&gt;0,COUNTIF(I2338,"28*")&gt;0,COUNTIF(J2338,"*28*")&gt;0,COUNTIF(I2338,"29*")&gt;0,COUNTIF(J2338,"*29*")&gt;0,COUNTIF(I2338,"30*")&gt;0,COUNTIF(J2338,"*30*")&gt;0,COUNTIF(I2338,"31*")&gt;0,COUNTIF(J2338,"*31*")&gt;0,COUNTIF(I2338,"32*")&gt;0,COUNTIF(J2338,"*32*")&gt;0,COUNTIF(I2338,"33*")&gt;0,COUNTIF(J2338,"*33*")&gt;0,COUNTIF(I2338,"41*")&gt;0,COUNTIF(J2338,"*41*")&gt;0,COUNTIF(I2338,"42*")&gt;0,COUNTIF(J2338,"*42*")&gt;0,COUNTIF(I2338,"43*")&gt;0,COUNTIF(J2338,"*43*")&gt;0,COUNTIF(I2338,"49*")&gt;0,COUNTIF(J2338,"*49*")&gt;0,COUNTIF(I2338,"52*")&gt;0,COUNTIF(J2338,"*52*")&gt;0,COUNTIF(I2338,"55*")&gt;0,COUNTIF(J2338,"*55*")&gt;0,COUNTIF(I2338,"56*")&gt;0,COUNTIF(J2338,"*56*")&gt;0,COUNTIF(I2338,"68*")&gt;0,COUNTIF(J2338,"*68*")&gt;0,COUNTIF(I2338,"78*")&gt;0,COUNTIF(J2338,"*78*")&gt;0,COUNTIF(I2338,"81*")&gt;0,COUNTIF(J2338,"*81*")&gt;0,COUNTIF(I2338,"82*")&gt;0,COUNTIF(J2338,"*82*")&gt;0,COUNTIF(I2338,"64*")&gt;0,COUNTIF(J2338,"*64*")&gt;0,COUNTIF(I2338,"65*")&gt;0,COUNTIF(J2338,"*65*")&gt;0,COUNTIF(I2338,"66*")&gt;0,COUNTIF(J2338,"*66*")&gt;0,COUNTIF(I2338,"61*")&gt;0,COUNTIF(J2338,"*61*")&gt;0,COUNTIF(I2338,"62*")&gt;0,COUNTIF(J2338,"*62*")&gt;0,COUNTIF(I2338,"63*")&gt;0,COUNTIF(J2338,"*63*")&gt;0,COUNTIF(I2338,"85*")&gt;0,COUNTIF(J2338,"*85*")&gt;0,COUNTIF(I2338,"86*")&gt;0,COUNTIF(J2338,"*86*")&gt;0),"Да","Нет"))</f>
        <v/>
      </c>
      <c r="M2338" s="13">
        <f>IF(OR(G2338="",L2338&lt;&gt;"Да"),"",IF(G2338&lt;=100,"До 100",IF(G2338&lt;=200,"До 200",IF(G2338&lt;=500,"До 500","Отдельное КП"))))</f>
        <v/>
      </c>
      <c r="N2338" s="15">
        <f>IF(OR(G2338="",L2338&lt;&gt;"Да"),"",IF(G2338&lt;=100,33600,IF(G2338&lt;=200,62400,IF(G2338&lt;=500,144000,""))))</f>
        <v/>
      </c>
      <c r="O2338" s="16">
        <f>IF(G2338="","",IF(G2338&lt;=15,"1–15",IF(G2338&lt;=30,"16–30",IF(G2338&lt;=50,"31–50",IF(G2338&lt;=100,"51–100",IF(G2338&lt;=150,"101–150",IF(G2338&lt;=200,"151–200",IF(G2338&lt;=500,"201–500","500+"))))))))</f>
        <v/>
      </c>
      <c r="P2338" s="16" t="inlineStr">
        <is>
          <t>Нет совпадения в предоставленной выгрузке ССЧР</t>
        </is>
      </c>
      <c r="Q2338" s="16" t="n"/>
      <c r="R2338" s="16">
        <f>HYPERLINK("https://checko.ru/search?query=3801001629","Чекко: проверить")</f>
        <v/>
      </c>
      <c r="S2338" t="n">
        <v>0</v>
      </c>
    </row>
    <row r="2339" ht="15" customHeight="1" s="24">
      <c r="A2339" s="13" t="n">
        <v>5000094971</v>
      </c>
      <c r="B2339" s="13" t="inlineStr">
        <is>
          <t>ГКУК "ГНБ КБР им.Т.К.Мальбахова"</t>
        </is>
      </c>
      <c r="C2339" s="13" t="n">
        <v>711029254</v>
      </c>
      <c r="D2339" s="13" t="n"/>
      <c r="E2339" s="13" t="inlineStr">
        <is>
          <t>Не определён</t>
        </is>
      </c>
      <c r="F2339" s="13" t="inlineStr">
        <is>
          <t>711029254</t>
        </is>
      </c>
      <c r="G2339" s="14" t="n"/>
      <c r="H2339" s="14" t="n"/>
      <c r="I2339" s="14" t="n"/>
      <c r="J2339" s="14" t="n"/>
      <c r="K2339" s="13">
        <f>IF(G2339="","",IF(G2339&gt;=22,"Да","Нет"))</f>
        <v/>
      </c>
      <c r="L2339" s="13">
        <f>IF(OR(I2339="",J2339=""),"Не определено",IF(OR(COUNTIF(I2339,"45*")&gt;0,COUNTIF(J2339,"*45*")&gt;0,COUNTIF(I2339,"46*")&gt;0,COUNTIF(J2339,"*46*")&gt;0,COUNTIF(I2339,"47*")&gt;0,COUNTIF(J2339,"*47*")&gt;0,COUNTIF(I2339,"10*")&gt;0,COUNTIF(J2339,"*10*")&gt;0,COUNTIF(I2339,"11*")&gt;0,COUNTIF(J2339,"*11*")&gt;0,COUNTIF(I2339,"12*")&gt;0,COUNTIF(J2339,"*12*")&gt;0,COUNTIF(I2339,"13*")&gt;0,COUNTIF(J2339,"*13*")&gt;0,COUNTIF(I2339,"14*")&gt;0,COUNTIF(J2339,"*14*")&gt;0,COUNTIF(I2339,"15*")&gt;0,COUNTIF(J2339,"*15*")&gt;0,COUNTIF(I2339,"16*")&gt;0,COUNTIF(J2339,"*16*")&gt;0,COUNTIF(I2339,"17*")&gt;0,COUNTIF(J2339,"*17*")&gt;0,COUNTIF(I2339,"18*")&gt;0,COUNTIF(J2339,"*18*")&gt;0,COUNTIF(I2339,"19*")&gt;0,COUNTIF(J2339,"*19*")&gt;0,COUNTIF(I2339,"20*")&gt;0,COUNTIF(J2339,"*20*")&gt;0,COUNTIF(I2339,"21*")&gt;0,COUNTIF(J2339,"*21*")&gt;0,COUNTIF(I2339,"22*")&gt;0,COUNTIF(J2339,"*22*")&gt;0,COUNTIF(I2339,"23*")&gt;0,COUNTIF(J2339,"*23*")&gt;0,COUNTIF(I2339,"24*")&gt;0,COUNTIF(J2339,"*24*")&gt;0,COUNTIF(I2339,"25*")&gt;0,COUNTIF(J2339,"*25*")&gt;0,COUNTIF(I2339,"26*")&gt;0,COUNTIF(J2339,"*26*")&gt;0,COUNTIF(I2339,"27*")&gt;0,COUNTIF(J2339,"*27*")&gt;0,COUNTIF(I2339,"28*")&gt;0,COUNTIF(J2339,"*28*")&gt;0,COUNTIF(I2339,"29*")&gt;0,COUNTIF(J2339,"*29*")&gt;0,COUNTIF(I2339,"30*")&gt;0,COUNTIF(J2339,"*30*")&gt;0,COUNTIF(I2339,"31*")&gt;0,COUNTIF(J2339,"*31*")&gt;0,COUNTIF(I2339,"32*")&gt;0,COUNTIF(J2339,"*32*")&gt;0,COUNTIF(I2339,"33*")&gt;0,COUNTIF(J2339,"*33*")&gt;0,COUNTIF(I2339,"41*")&gt;0,COUNTIF(J2339,"*41*")&gt;0,COUNTIF(I2339,"42*")&gt;0,COUNTIF(J2339,"*42*")&gt;0,COUNTIF(I2339,"43*")&gt;0,COUNTIF(J2339,"*43*")&gt;0,COUNTIF(I2339,"49*")&gt;0,COUNTIF(J2339,"*49*")&gt;0,COUNTIF(I2339,"52*")&gt;0,COUNTIF(J2339,"*52*")&gt;0,COUNTIF(I2339,"55*")&gt;0,COUNTIF(J2339,"*55*")&gt;0,COUNTIF(I2339,"56*")&gt;0,COUNTIF(J2339,"*56*")&gt;0,COUNTIF(I2339,"68*")&gt;0,COUNTIF(J2339,"*68*")&gt;0,COUNTIF(I2339,"78*")&gt;0,COUNTIF(J2339,"*78*")&gt;0,COUNTIF(I2339,"81*")&gt;0,COUNTIF(J2339,"*81*")&gt;0,COUNTIF(I2339,"82*")&gt;0,COUNTIF(J2339,"*82*")&gt;0,COUNTIF(I2339,"64*")&gt;0,COUNTIF(J2339,"*64*")&gt;0,COUNTIF(I2339,"65*")&gt;0,COUNTIF(J2339,"*65*")&gt;0,COUNTIF(I2339,"66*")&gt;0,COUNTIF(J2339,"*66*")&gt;0,COUNTIF(I2339,"61*")&gt;0,COUNTIF(J2339,"*61*")&gt;0,COUNTIF(I2339,"62*")&gt;0,COUNTIF(J2339,"*62*")&gt;0,COUNTIF(I2339,"63*")&gt;0,COUNTIF(J2339,"*63*")&gt;0,COUNTIF(I2339,"85*")&gt;0,COUNTIF(J2339,"*85*")&gt;0,COUNTIF(I2339,"86*")&gt;0,COUNTIF(J2339,"*86*")&gt;0),"Да","Нет"))</f>
        <v/>
      </c>
      <c r="M2339" s="13">
        <f>IF(OR(G2339="",L2339&lt;&gt;"Да"),"",IF(G2339&lt;=100,"До 100",IF(G2339&lt;=200,"До 200",IF(G2339&lt;=500,"До 500","Отдельное КП"))))</f>
        <v/>
      </c>
      <c r="N2339" s="15">
        <f>IF(OR(G2339="",L2339&lt;&gt;"Да"),"",IF(G2339&lt;=100,33600,IF(G2339&lt;=200,62400,IF(G2339&lt;=500,144000,""))))</f>
        <v/>
      </c>
      <c r="O2339" s="16">
        <f>IF(G2339="","",IF(G2339&lt;=15,"1–15",IF(G2339&lt;=30,"16–30",IF(G2339&lt;=50,"31–50",IF(G2339&lt;=100,"51–100",IF(G2339&lt;=150,"101–150",IF(G2339&lt;=200,"151–200",IF(G2339&lt;=500,"201–500","500+"))))))))</f>
        <v/>
      </c>
      <c r="P2339" s="16" t="inlineStr">
        <is>
          <t>Нет совпадения в предоставленной выгрузке ССЧР</t>
        </is>
      </c>
      <c r="Q2339" s="16" t="n"/>
      <c r="R2339" s="16">
        <f>HYPERLINK("https://checko.ru/search?query=3801001629","Чекко: проверить")</f>
        <v/>
      </c>
      <c r="S2339" t="n">
        <v>0</v>
      </c>
    </row>
    <row r="2340" ht="15" customHeight="1" s="24">
      <c r="A2340" s="13" t="n">
        <v>5000094784</v>
      </c>
      <c r="B2340" s="13" t="inlineStr">
        <is>
          <t>МКУ ДО "ДШИ" с.п. Урвань УМР КБР</t>
        </is>
      </c>
      <c r="C2340" s="13" t="n">
        <v>707010839</v>
      </c>
      <c r="D2340" s="13" t="n"/>
      <c r="E2340" s="13" t="inlineStr">
        <is>
          <t>Не определён</t>
        </is>
      </c>
      <c r="F2340" s="13" t="inlineStr">
        <is>
          <t>707010839</t>
        </is>
      </c>
      <c r="G2340" s="14" t="n"/>
      <c r="H2340" s="14" t="n"/>
      <c r="I2340" s="14" t="n"/>
      <c r="J2340" s="14" t="n"/>
      <c r="K2340" s="13">
        <f>IF(G2340="","",IF(G2340&gt;=22,"Да","Нет"))</f>
        <v/>
      </c>
      <c r="L2340" s="13">
        <f>IF(OR(I2340="",J2340=""),"Не определено",IF(OR(COUNTIF(I2340,"45*")&gt;0,COUNTIF(J2340,"*45*")&gt;0,COUNTIF(I2340,"46*")&gt;0,COUNTIF(J2340,"*46*")&gt;0,COUNTIF(I2340,"47*")&gt;0,COUNTIF(J2340,"*47*")&gt;0,COUNTIF(I2340,"10*")&gt;0,COUNTIF(J2340,"*10*")&gt;0,COUNTIF(I2340,"11*")&gt;0,COUNTIF(J2340,"*11*")&gt;0,COUNTIF(I2340,"12*")&gt;0,COUNTIF(J2340,"*12*")&gt;0,COUNTIF(I2340,"13*")&gt;0,COUNTIF(J2340,"*13*")&gt;0,COUNTIF(I2340,"14*")&gt;0,COUNTIF(J2340,"*14*")&gt;0,COUNTIF(I2340,"15*")&gt;0,COUNTIF(J2340,"*15*")&gt;0,COUNTIF(I2340,"16*")&gt;0,COUNTIF(J2340,"*16*")&gt;0,COUNTIF(I2340,"17*")&gt;0,COUNTIF(J2340,"*17*")&gt;0,COUNTIF(I2340,"18*")&gt;0,COUNTIF(J2340,"*18*")&gt;0,COUNTIF(I2340,"19*")&gt;0,COUNTIF(J2340,"*19*")&gt;0,COUNTIF(I2340,"20*")&gt;0,COUNTIF(J2340,"*20*")&gt;0,COUNTIF(I2340,"21*")&gt;0,COUNTIF(J2340,"*21*")&gt;0,COUNTIF(I2340,"22*")&gt;0,COUNTIF(J2340,"*22*")&gt;0,COUNTIF(I2340,"23*")&gt;0,COUNTIF(J2340,"*23*")&gt;0,COUNTIF(I2340,"24*")&gt;0,COUNTIF(J2340,"*24*")&gt;0,COUNTIF(I2340,"25*")&gt;0,COUNTIF(J2340,"*25*")&gt;0,COUNTIF(I2340,"26*")&gt;0,COUNTIF(J2340,"*26*")&gt;0,COUNTIF(I2340,"27*")&gt;0,COUNTIF(J2340,"*27*")&gt;0,COUNTIF(I2340,"28*")&gt;0,COUNTIF(J2340,"*28*")&gt;0,COUNTIF(I2340,"29*")&gt;0,COUNTIF(J2340,"*29*")&gt;0,COUNTIF(I2340,"30*")&gt;0,COUNTIF(J2340,"*30*")&gt;0,COUNTIF(I2340,"31*")&gt;0,COUNTIF(J2340,"*31*")&gt;0,COUNTIF(I2340,"32*")&gt;0,COUNTIF(J2340,"*32*")&gt;0,COUNTIF(I2340,"33*")&gt;0,COUNTIF(J2340,"*33*")&gt;0,COUNTIF(I2340,"41*")&gt;0,COUNTIF(J2340,"*41*")&gt;0,COUNTIF(I2340,"42*")&gt;0,COUNTIF(J2340,"*42*")&gt;0,COUNTIF(I2340,"43*")&gt;0,COUNTIF(J2340,"*43*")&gt;0,COUNTIF(I2340,"49*")&gt;0,COUNTIF(J2340,"*49*")&gt;0,COUNTIF(I2340,"52*")&gt;0,COUNTIF(J2340,"*52*")&gt;0,COUNTIF(I2340,"55*")&gt;0,COUNTIF(J2340,"*55*")&gt;0,COUNTIF(I2340,"56*")&gt;0,COUNTIF(J2340,"*56*")&gt;0,COUNTIF(I2340,"68*")&gt;0,COUNTIF(J2340,"*68*")&gt;0,COUNTIF(I2340,"78*")&gt;0,COUNTIF(J2340,"*78*")&gt;0,COUNTIF(I2340,"81*")&gt;0,COUNTIF(J2340,"*81*")&gt;0,COUNTIF(I2340,"82*")&gt;0,COUNTIF(J2340,"*82*")&gt;0,COUNTIF(I2340,"64*")&gt;0,COUNTIF(J2340,"*64*")&gt;0,COUNTIF(I2340,"65*")&gt;0,COUNTIF(J2340,"*65*")&gt;0,COUNTIF(I2340,"66*")&gt;0,COUNTIF(J2340,"*66*")&gt;0,COUNTIF(I2340,"61*")&gt;0,COUNTIF(J2340,"*61*")&gt;0,COUNTIF(I2340,"62*")&gt;0,COUNTIF(J2340,"*62*")&gt;0,COUNTIF(I2340,"63*")&gt;0,COUNTIF(J2340,"*63*")&gt;0,COUNTIF(I2340,"85*")&gt;0,COUNTIF(J2340,"*85*")&gt;0,COUNTIF(I2340,"86*")&gt;0,COUNTIF(J2340,"*86*")&gt;0),"Да","Нет"))</f>
        <v/>
      </c>
      <c r="M2340" s="13">
        <f>IF(OR(G2340="",L2340&lt;&gt;"Да"),"",IF(G2340&lt;=100,"До 100",IF(G2340&lt;=200,"До 200",IF(G2340&lt;=500,"До 500","Отдельное КП"))))</f>
        <v/>
      </c>
      <c r="N2340" s="15">
        <f>IF(OR(G2340="",L2340&lt;&gt;"Да"),"",IF(G2340&lt;=100,33600,IF(G2340&lt;=200,62400,IF(G2340&lt;=500,144000,""))))</f>
        <v/>
      </c>
      <c r="O2340" s="16">
        <f>IF(G2340="","",IF(G2340&lt;=15,"1–15",IF(G2340&lt;=30,"16–30",IF(G2340&lt;=50,"31–50",IF(G2340&lt;=100,"51–100",IF(G2340&lt;=150,"101–150",IF(G2340&lt;=200,"151–200",IF(G2340&lt;=500,"201–500","500+"))))))))</f>
        <v/>
      </c>
      <c r="P2340" s="16" t="inlineStr">
        <is>
          <t>Нет совпадения в предоставленной выгрузке ССЧР</t>
        </is>
      </c>
      <c r="Q2340" s="16" t="n"/>
      <c r="R2340" s="16">
        <f>HYPERLINK("https://checko.ru/search?query=3801001629","Чекко: проверить")</f>
        <v/>
      </c>
      <c r="S2340" t="n">
        <v>0</v>
      </c>
    </row>
    <row r="2341" ht="27.75" customHeight="1" s="24">
      <c r="A2341" s="13" t="n">
        <v>5000094789</v>
      </c>
      <c r="B2341" s="13" t="inlineStr">
        <is>
          <t>МКУ "Спортивная школа №2" Урванского муниципального района</t>
        </is>
      </c>
      <c r="C2341" s="13" t="n">
        <v>707010973</v>
      </c>
      <c r="D2341" s="13" t="n"/>
      <c r="E2341" s="13" t="inlineStr">
        <is>
          <t>Не определён</t>
        </is>
      </c>
      <c r="F2341" s="13" t="inlineStr">
        <is>
          <t>707010973</t>
        </is>
      </c>
      <c r="G2341" s="14" t="n"/>
      <c r="H2341" s="14" t="n"/>
      <c r="I2341" s="14" t="n"/>
      <c r="J2341" s="14" t="n"/>
      <c r="K2341" s="13">
        <f>IF(G2341="","",IF(G2341&gt;=22,"Да","Нет"))</f>
        <v/>
      </c>
      <c r="L2341" s="13">
        <f>IF(OR(I2341="",J2341=""),"Не определено",IF(OR(COUNTIF(I2341,"45*")&gt;0,COUNTIF(J2341,"*45*")&gt;0,COUNTIF(I2341,"46*")&gt;0,COUNTIF(J2341,"*46*")&gt;0,COUNTIF(I2341,"47*")&gt;0,COUNTIF(J2341,"*47*")&gt;0,COUNTIF(I2341,"10*")&gt;0,COUNTIF(J2341,"*10*")&gt;0,COUNTIF(I2341,"11*")&gt;0,COUNTIF(J2341,"*11*")&gt;0,COUNTIF(I2341,"12*")&gt;0,COUNTIF(J2341,"*12*")&gt;0,COUNTIF(I2341,"13*")&gt;0,COUNTIF(J2341,"*13*")&gt;0,COUNTIF(I2341,"14*")&gt;0,COUNTIF(J2341,"*14*")&gt;0,COUNTIF(I2341,"15*")&gt;0,COUNTIF(J2341,"*15*")&gt;0,COUNTIF(I2341,"16*")&gt;0,COUNTIF(J2341,"*16*")&gt;0,COUNTIF(I2341,"17*")&gt;0,COUNTIF(J2341,"*17*")&gt;0,COUNTIF(I2341,"18*")&gt;0,COUNTIF(J2341,"*18*")&gt;0,COUNTIF(I2341,"19*")&gt;0,COUNTIF(J2341,"*19*")&gt;0,COUNTIF(I2341,"20*")&gt;0,COUNTIF(J2341,"*20*")&gt;0,COUNTIF(I2341,"21*")&gt;0,COUNTIF(J2341,"*21*")&gt;0,COUNTIF(I2341,"22*")&gt;0,COUNTIF(J2341,"*22*")&gt;0,COUNTIF(I2341,"23*")&gt;0,COUNTIF(J2341,"*23*")&gt;0,COUNTIF(I2341,"24*")&gt;0,COUNTIF(J2341,"*24*")&gt;0,COUNTIF(I2341,"25*")&gt;0,COUNTIF(J2341,"*25*")&gt;0,COUNTIF(I2341,"26*")&gt;0,COUNTIF(J2341,"*26*")&gt;0,COUNTIF(I2341,"27*")&gt;0,COUNTIF(J2341,"*27*")&gt;0,COUNTIF(I2341,"28*")&gt;0,COUNTIF(J2341,"*28*")&gt;0,COUNTIF(I2341,"29*")&gt;0,COUNTIF(J2341,"*29*")&gt;0,COUNTIF(I2341,"30*")&gt;0,COUNTIF(J2341,"*30*")&gt;0,COUNTIF(I2341,"31*")&gt;0,COUNTIF(J2341,"*31*")&gt;0,COUNTIF(I2341,"32*")&gt;0,COUNTIF(J2341,"*32*")&gt;0,COUNTIF(I2341,"33*")&gt;0,COUNTIF(J2341,"*33*")&gt;0,COUNTIF(I2341,"41*")&gt;0,COUNTIF(J2341,"*41*")&gt;0,COUNTIF(I2341,"42*")&gt;0,COUNTIF(J2341,"*42*")&gt;0,COUNTIF(I2341,"43*")&gt;0,COUNTIF(J2341,"*43*")&gt;0,COUNTIF(I2341,"49*")&gt;0,COUNTIF(J2341,"*49*")&gt;0,COUNTIF(I2341,"52*")&gt;0,COUNTIF(J2341,"*52*")&gt;0,COUNTIF(I2341,"55*")&gt;0,COUNTIF(J2341,"*55*")&gt;0,COUNTIF(I2341,"56*")&gt;0,COUNTIF(J2341,"*56*")&gt;0,COUNTIF(I2341,"68*")&gt;0,COUNTIF(J2341,"*68*")&gt;0,COUNTIF(I2341,"78*")&gt;0,COUNTIF(J2341,"*78*")&gt;0,COUNTIF(I2341,"81*")&gt;0,COUNTIF(J2341,"*81*")&gt;0,COUNTIF(I2341,"82*")&gt;0,COUNTIF(J2341,"*82*")&gt;0,COUNTIF(I2341,"64*")&gt;0,COUNTIF(J2341,"*64*")&gt;0,COUNTIF(I2341,"65*")&gt;0,COUNTIF(J2341,"*65*")&gt;0,COUNTIF(I2341,"66*")&gt;0,COUNTIF(J2341,"*66*")&gt;0,COUNTIF(I2341,"61*")&gt;0,COUNTIF(J2341,"*61*")&gt;0,COUNTIF(I2341,"62*")&gt;0,COUNTIF(J2341,"*62*")&gt;0,COUNTIF(I2341,"63*")&gt;0,COUNTIF(J2341,"*63*")&gt;0,COUNTIF(I2341,"85*")&gt;0,COUNTIF(J2341,"*85*")&gt;0,COUNTIF(I2341,"86*")&gt;0,COUNTIF(J2341,"*86*")&gt;0),"Да","Нет"))</f>
        <v/>
      </c>
      <c r="M2341" s="13">
        <f>IF(OR(G2341="",L2341&lt;&gt;"Да"),"",IF(G2341&lt;=100,"До 100",IF(G2341&lt;=200,"До 200",IF(G2341&lt;=500,"До 500","Отдельное КП"))))</f>
        <v/>
      </c>
      <c r="N2341" s="15">
        <f>IF(OR(G2341="",L2341&lt;&gt;"Да"),"",IF(G2341&lt;=100,33600,IF(G2341&lt;=200,62400,IF(G2341&lt;=500,144000,""))))</f>
        <v/>
      </c>
      <c r="O2341" s="16">
        <f>IF(G2341="","",IF(G2341&lt;=15,"1–15",IF(G2341&lt;=30,"16–30",IF(G2341&lt;=50,"31–50",IF(G2341&lt;=100,"51–100",IF(G2341&lt;=150,"101–150",IF(G2341&lt;=200,"151–200",IF(G2341&lt;=500,"201–500","500+"))))))))</f>
        <v/>
      </c>
      <c r="P2341" s="16" t="inlineStr">
        <is>
          <t>Нет совпадения в предоставленной выгрузке ССЧР</t>
        </is>
      </c>
      <c r="Q2341" s="16" t="n"/>
      <c r="R2341" s="16">
        <f>HYPERLINK("https://checko.ru/search?query=3801001629","Чекко: проверить")</f>
        <v/>
      </c>
      <c r="S2341" t="n">
        <v>0</v>
      </c>
    </row>
    <row r="2342" ht="15" customHeight="1" s="24">
      <c r="A2342" s="13" t="n">
        <v>5000094790</v>
      </c>
      <c r="B2342" s="13" t="inlineStr">
        <is>
          <t>МКУ ДО "ДШИ" с.п. Анзорей</t>
        </is>
      </c>
      <c r="C2342" s="13" t="n">
        <v>707011222</v>
      </c>
      <c r="D2342" s="13" t="n"/>
      <c r="E2342" s="13" t="inlineStr">
        <is>
          <t>Не определён</t>
        </is>
      </c>
      <c r="F2342" s="13" t="inlineStr">
        <is>
          <t>707011222</t>
        </is>
      </c>
      <c r="G2342" s="14" t="n"/>
      <c r="H2342" s="14" t="n"/>
      <c r="I2342" s="14" t="n"/>
      <c r="J2342" s="14" t="n"/>
      <c r="K2342" s="13">
        <f>IF(G2342="","",IF(G2342&gt;=22,"Да","Нет"))</f>
        <v/>
      </c>
      <c r="L2342" s="13">
        <f>IF(OR(I2342="",J2342=""),"Не определено",IF(OR(COUNTIF(I2342,"45*")&gt;0,COUNTIF(J2342,"*45*")&gt;0,COUNTIF(I2342,"46*")&gt;0,COUNTIF(J2342,"*46*")&gt;0,COUNTIF(I2342,"47*")&gt;0,COUNTIF(J2342,"*47*")&gt;0,COUNTIF(I2342,"10*")&gt;0,COUNTIF(J2342,"*10*")&gt;0,COUNTIF(I2342,"11*")&gt;0,COUNTIF(J2342,"*11*")&gt;0,COUNTIF(I2342,"12*")&gt;0,COUNTIF(J2342,"*12*")&gt;0,COUNTIF(I2342,"13*")&gt;0,COUNTIF(J2342,"*13*")&gt;0,COUNTIF(I2342,"14*")&gt;0,COUNTIF(J2342,"*14*")&gt;0,COUNTIF(I2342,"15*")&gt;0,COUNTIF(J2342,"*15*")&gt;0,COUNTIF(I2342,"16*")&gt;0,COUNTIF(J2342,"*16*")&gt;0,COUNTIF(I2342,"17*")&gt;0,COUNTIF(J2342,"*17*")&gt;0,COUNTIF(I2342,"18*")&gt;0,COUNTIF(J2342,"*18*")&gt;0,COUNTIF(I2342,"19*")&gt;0,COUNTIF(J2342,"*19*")&gt;0,COUNTIF(I2342,"20*")&gt;0,COUNTIF(J2342,"*20*")&gt;0,COUNTIF(I2342,"21*")&gt;0,COUNTIF(J2342,"*21*")&gt;0,COUNTIF(I2342,"22*")&gt;0,COUNTIF(J2342,"*22*")&gt;0,COUNTIF(I2342,"23*")&gt;0,COUNTIF(J2342,"*23*")&gt;0,COUNTIF(I2342,"24*")&gt;0,COUNTIF(J2342,"*24*")&gt;0,COUNTIF(I2342,"25*")&gt;0,COUNTIF(J2342,"*25*")&gt;0,COUNTIF(I2342,"26*")&gt;0,COUNTIF(J2342,"*26*")&gt;0,COUNTIF(I2342,"27*")&gt;0,COUNTIF(J2342,"*27*")&gt;0,COUNTIF(I2342,"28*")&gt;0,COUNTIF(J2342,"*28*")&gt;0,COUNTIF(I2342,"29*")&gt;0,COUNTIF(J2342,"*29*")&gt;0,COUNTIF(I2342,"30*")&gt;0,COUNTIF(J2342,"*30*")&gt;0,COUNTIF(I2342,"31*")&gt;0,COUNTIF(J2342,"*31*")&gt;0,COUNTIF(I2342,"32*")&gt;0,COUNTIF(J2342,"*32*")&gt;0,COUNTIF(I2342,"33*")&gt;0,COUNTIF(J2342,"*33*")&gt;0,COUNTIF(I2342,"41*")&gt;0,COUNTIF(J2342,"*41*")&gt;0,COUNTIF(I2342,"42*")&gt;0,COUNTIF(J2342,"*42*")&gt;0,COUNTIF(I2342,"43*")&gt;0,COUNTIF(J2342,"*43*")&gt;0,COUNTIF(I2342,"49*")&gt;0,COUNTIF(J2342,"*49*")&gt;0,COUNTIF(I2342,"52*")&gt;0,COUNTIF(J2342,"*52*")&gt;0,COUNTIF(I2342,"55*")&gt;0,COUNTIF(J2342,"*55*")&gt;0,COUNTIF(I2342,"56*")&gt;0,COUNTIF(J2342,"*56*")&gt;0,COUNTIF(I2342,"68*")&gt;0,COUNTIF(J2342,"*68*")&gt;0,COUNTIF(I2342,"78*")&gt;0,COUNTIF(J2342,"*78*")&gt;0,COUNTIF(I2342,"81*")&gt;0,COUNTIF(J2342,"*81*")&gt;0,COUNTIF(I2342,"82*")&gt;0,COUNTIF(J2342,"*82*")&gt;0,COUNTIF(I2342,"64*")&gt;0,COUNTIF(J2342,"*64*")&gt;0,COUNTIF(I2342,"65*")&gt;0,COUNTIF(J2342,"*65*")&gt;0,COUNTIF(I2342,"66*")&gt;0,COUNTIF(J2342,"*66*")&gt;0,COUNTIF(I2342,"61*")&gt;0,COUNTIF(J2342,"*61*")&gt;0,COUNTIF(I2342,"62*")&gt;0,COUNTIF(J2342,"*62*")&gt;0,COUNTIF(I2342,"63*")&gt;0,COUNTIF(J2342,"*63*")&gt;0,COUNTIF(I2342,"85*")&gt;0,COUNTIF(J2342,"*85*")&gt;0,COUNTIF(I2342,"86*")&gt;0,COUNTIF(J2342,"*86*")&gt;0),"Да","Нет"))</f>
        <v/>
      </c>
      <c r="M2342" s="13">
        <f>IF(OR(G2342="",L2342&lt;&gt;"Да"),"",IF(G2342&lt;=100,"До 100",IF(G2342&lt;=200,"До 200",IF(G2342&lt;=500,"До 500","Отдельное КП"))))</f>
        <v/>
      </c>
      <c r="N2342" s="15">
        <f>IF(OR(G2342="",L2342&lt;&gt;"Да"),"",IF(G2342&lt;=100,33600,IF(G2342&lt;=200,62400,IF(G2342&lt;=500,144000,""))))</f>
        <v/>
      </c>
      <c r="O2342" s="16">
        <f>IF(G2342="","",IF(G2342&lt;=15,"1–15",IF(G2342&lt;=30,"16–30",IF(G2342&lt;=50,"31–50",IF(G2342&lt;=100,"51–100",IF(G2342&lt;=150,"101–150",IF(G2342&lt;=200,"151–200",IF(G2342&lt;=500,"201–500","500+"))))))))</f>
        <v/>
      </c>
      <c r="P2342" s="16" t="inlineStr">
        <is>
          <t>Нет совпадения в предоставленной выгрузке ССЧР</t>
        </is>
      </c>
      <c r="Q2342" s="16" t="n"/>
      <c r="R2342" s="16">
        <f>HYPERLINK("https://checko.ru/search?query=3801001629","Чекко: проверить")</f>
        <v/>
      </c>
      <c r="S2342" t="n">
        <v>0</v>
      </c>
    </row>
    <row r="2343" ht="15" customHeight="1" s="24">
      <c r="A2343" s="13" t="n">
        <v>5000094896</v>
      </c>
      <c r="B2343" s="13" t="inlineStr">
        <is>
          <t>МКДОУ "Ручеек" г.п. Чегем</t>
        </is>
      </c>
      <c r="C2343" s="13" t="n">
        <v>708014434</v>
      </c>
      <c r="D2343" s="13" t="n"/>
      <c r="E2343" s="13" t="inlineStr">
        <is>
          <t>Не определён</t>
        </is>
      </c>
      <c r="F2343" s="13" t="inlineStr">
        <is>
          <t>708014434</t>
        </is>
      </c>
      <c r="G2343" s="14" t="n"/>
      <c r="H2343" s="14" t="n"/>
      <c r="I2343" s="14" t="n"/>
      <c r="J2343" s="14" t="n"/>
      <c r="K2343" s="13">
        <f>IF(G2343="","",IF(G2343&gt;=22,"Да","Нет"))</f>
        <v/>
      </c>
      <c r="L2343" s="13">
        <f>IF(OR(I2343="",J2343=""),"Не определено",IF(OR(COUNTIF(I2343,"45*")&gt;0,COUNTIF(J2343,"*45*")&gt;0,COUNTIF(I2343,"46*")&gt;0,COUNTIF(J2343,"*46*")&gt;0,COUNTIF(I2343,"47*")&gt;0,COUNTIF(J2343,"*47*")&gt;0,COUNTIF(I2343,"10*")&gt;0,COUNTIF(J2343,"*10*")&gt;0,COUNTIF(I2343,"11*")&gt;0,COUNTIF(J2343,"*11*")&gt;0,COUNTIF(I2343,"12*")&gt;0,COUNTIF(J2343,"*12*")&gt;0,COUNTIF(I2343,"13*")&gt;0,COUNTIF(J2343,"*13*")&gt;0,COUNTIF(I2343,"14*")&gt;0,COUNTIF(J2343,"*14*")&gt;0,COUNTIF(I2343,"15*")&gt;0,COUNTIF(J2343,"*15*")&gt;0,COUNTIF(I2343,"16*")&gt;0,COUNTIF(J2343,"*16*")&gt;0,COUNTIF(I2343,"17*")&gt;0,COUNTIF(J2343,"*17*")&gt;0,COUNTIF(I2343,"18*")&gt;0,COUNTIF(J2343,"*18*")&gt;0,COUNTIF(I2343,"19*")&gt;0,COUNTIF(J2343,"*19*")&gt;0,COUNTIF(I2343,"20*")&gt;0,COUNTIF(J2343,"*20*")&gt;0,COUNTIF(I2343,"21*")&gt;0,COUNTIF(J2343,"*21*")&gt;0,COUNTIF(I2343,"22*")&gt;0,COUNTIF(J2343,"*22*")&gt;0,COUNTIF(I2343,"23*")&gt;0,COUNTIF(J2343,"*23*")&gt;0,COUNTIF(I2343,"24*")&gt;0,COUNTIF(J2343,"*24*")&gt;0,COUNTIF(I2343,"25*")&gt;0,COUNTIF(J2343,"*25*")&gt;0,COUNTIF(I2343,"26*")&gt;0,COUNTIF(J2343,"*26*")&gt;0,COUNTIF(I2343,"27*")&gt;0,COUNTIF(J2343,"*27*")&gt;0,COUNTIF(I2343,"28*")&gt;0,COUNTIF(J2343,"*28*")&gt;0,COUNTIF(I2343,"29*")&gt;0,COUNTIF(J2343,"*29*")&gt;0,COUNTIF(I2343,"30*")&gt;0,COUNTIF(J2343,"*30*")&gt;0,COUNTIF(I2343,"31*")&gt;0,COUNTIF(J2343,"*31*")&gt;0,COUNTIF(I2343,"32*")&gt;0,COUNTIF(J2343,"*32*")&gt;0,COUNTIF(I2343,"33*")&gt;0,COUNTIF(J2343,"*33*")&gt;0,COUNTIF(I2343,"41*")&gt;0,COUNTIF(J2343,"*41*")&gt;0,COUNTIF(I2343,"42*")&gt;0,COUNTIF(J2343,"*42*")&gt;0,COUNTIF(I2343,"43*")&gt;0,COUNTIF(J2343,"*43*")&gt;0,COUNTIF(I2343,"49*")&gt;0,COUNTIF(J2343,"*49*")&gt;0,COUNTIF(I2343,"52*")&gt;0,COUNTIF(J2343,"*52*")&gt;0,COUNTIF(I2343,"55*")&gt;0,COUNTIF(J2343,"*55*")&gt;0,COUNTIF(I2343,"56*")&gt;0,COUNTIF(J2343,"*56*")&gt;0,COUNTIF(I2343,"68*")&gt;0,COUNTIF(J2343,"*68*")&gt;0,COUNTIF(I2343,"78*")&gt;0,COUNTIF(J2343,"*78*")&gt;0,COUNTIF(I2343,"81*")&gt;0,COUNTIF(J2343,"*81*")&gt;0,COUNTIF(I2343,"82*")&gt;0,COUNTIF(J2343,"*82*")&gt;0,COUNTIF(I2343,"64*")&gt;0,COUNTIF(J2343,"*64*")&gt;0,COUNTIF(I2343,"65*")&gt;0,COUNTIF(J2343,"*65*")&gt;0,COUNTIF(I2343,"66*")&gt;0,COUNTIF(J2343,"*66*")&gt;0,COUNTIF(I2343,"61*")&gt;0,COUNTIF(J2343,"*61*")&gt;0,COUNTIF(I2343,"62*")&gt;0,COUNTIF(J2343,"*62*")&gt;0,COUNTIF(I2343,"63*")&gt;0,COUNTIF(J2343,"*63*")&gt;0,COUNTIF(I2343,"85*")&gt;0,COUNTIF(J2343,"*85*")&gt;0,COUNTIF(I2343,"86*")&gt;0,COUNTIF(J2343,"*86*")&gt;0),"Да","Нет"))</f>
        <v/>
      </c>
      <c r="M2343" s="13">
        <f>IF(OR(G2343="",L2343&lt;&gt;"Да"),"",IF(G2343&lt;=100,"До 100",IF(G2343&lt;=200,"До 200",IF(G2343&lt;=500,"До 500","Отдельное КП"))))</f>
        <v/>
      </c>
      <c r="N2343" s="15">
        <f>IF(OR(G2343="",L2343&lt;&gt;"Да"),"",IF(G2343&lt;=100,33600,IF(G2343&lt;=200,62400,IF(G2343&lt;=500,144000,""))))</f>
        <v/>
      </c>
      <c r="O2343" s="16">
        <f>IF(G2343="","",IF(G2343&lt;=15,"1–15",IF(G2343&lt;=30,"16–30",IF(G2343&lt;=50,"31–50",IF(G2343&lt;=100,"51–100",IF(G2343&lt;=150,"101–150",IF(G2343&lt;=200,"151–200",IF(G2343&lt;=500,"201–500","500+"))))))))</f>
        <v/>
      </c>
      <c r="P2343" s="16" t="inlineStr">
        <is>
          <t>Нет совпадения в предоставленной выгрузке ССЧР</t>
        </is>
      </c>
      <c r="Q2343" s="16" t="n"/>
      <c r="R2343" s="16">
        <f>HYPERLINK("https://checko.ru/search?query=3801001629","Чекко: проверить")</f>
        <v/>
      </c>
      <c r="S2343" t="n">
        <v>0</v>
      </c>
    </row>
    <row r="2344" ht="15" customHeight="1" s="24">
      <c r="A2344" s="13" t="n">
        <v>5000094897</v>
      </c>
      <c r="B2344" s="13" t="inlineStr">
        <is>
          <t>МКУК "СДК с.п. Яникой"</t>
        </is>
      </c>
      <c r="C2344" s="13" t="n">
        <v>708015011</v>
      </c>
      <c r="D2344" s="13" t="n"/>
      <c r="E2344" s="13" t="inlineStr">
        <is>
          <t>Не определён</t>
        </is>
      </c>
      <c r="F2344" s="13" t="inlineStr">
        <is>
          <t>708015011</t>
        </is>
      </c>
      <c r="G2344" s="14" t="n"/>
      <c r="H2344" s="14" t="n"/>
      <c r="I2344" s="14" t="n"/>
      <c r="J2344" s="14" t="n"/>
      <c r="K2344" s="13">
        <f>IF(G2344="","",IF(G2344&gt;=22,"Да","Нет"))</f>
        <v/>
      </c>
      <c r="L2344" s="13">
        <f>IF(OR(I2344="",J2344=""),"Не определено",IF(OR(COUNTIF(I2344,"45*")&gt;0,COUNTIF(J2344,"*45*")&gt;0,COUNTIF(I2344,"46*")&gt;0,COUNTIF(J2344,"*46*")&gt;0,COUNTIF(I2344,"47*")&gt;0,COUNTIF(J2344,"*47*")&gt;0,COUNTIF(I2344,"10*")&gt;0,COUNTIF(J2344,"*10*")&gt;0,COUNTIF(I2344,"11*")&gt;0,COUNTIF(J2344,"*11*")&gt;0,COUNTIF(I2344,"12*")&gt;0,COUNTIF(J2344,"*12*")&gt;0,COUNTIF(I2344,"13*")&gt;0,COUNTIF(J2344,"*13*")&gt;0,COUNTIF(I2344,"14*")&gt;0,COUNTIF(J2344,"*14*")&gt;0,COUNTIF(I2344,"15*")&gt;0,COUNTIF(J2344,"*15*")&gt;0,COUNTIF(I2344,"16*")&gt;0,COUNTIF(J2344,"*16*")&gt;0,COUNTIF(I2344,"17*")&gt;0,COUNTIF(J2344,"*17*")&gt;0,COUNTIF(I2344,"18*")&gt;0,COUNTIF(J2344,"*18*")&gt;0,COUNTIF(I2344,"19*")&gt;0,COUNTIF(J2344,"*19*")&gt;0,COUNTIF(I2344,"20*")&gt;0,COUNTIF(J2344,"*20*")&gt;0,COUNTIF(I2344,"21*")&gt;0,COUNTIF(J2344,"*21*")&gt;0,COUNTIF(I2344,"22*")&gt;0,COUNTIF(J2344,"*22*")&gt;0,COUNTIF(I2344,"23*")&gt;0,COUNTIF(J2344,"*23*")&gt;0,COUNTIF(I2344,"24*")&gt;0,COUNTIF(J2344,"*24*")&gt;0,COUNTIF(I2344,"25*")&gt;0,COUNTIF(J2344,"*25*")&gt;0,COUNTIF(I2344,"26*")&gt;0,COUNTIF(J2344,"*26*")&gt;0,COUNTIF(I2344,"27*")&gt;0,COUNTIF(J2344,"*27*")&gt;0,COUNTIF(I2344,"28*")&gt;0,COUNTIF(J2344,"*28*")&gt;0,COUNTIF(I2344,"29*")&gt;0,COUNTIF(J2344,"*29*")&gt;0,COUNTIF(I2344,"30*")&gt;0,COUNTIF(J2344,"*30*")&gt;0,COUNTIF(I2344,"31*")&gt;0,COUNTIF(J2344,"*31*")&gt;0,COUNTIF(I2344,"32*")&gt;0,COUNTIF(J2344,"*32*")&gt;0,COUNTIF(I2344,"33*")&gt;0,COUNTIF(J2344,"*33*")&gt;0,COUNTIF(I2344,"41*")&gt;0,COUNTIF(J2344,"*41*")&gt;0,COUNTIF(I2344,"42*")&gt;0,COUNTIF(J2344,"*42*")&gt;0,COUNTIF(I2344,"43*")&gt;0,COUNTIF(J2344,"*43*")&gt;0,COUNTIF(I2344,"49*")&gt;0,COUNTIF(J2344,"*49*")&gt;0,COUNTIF(I2344,"52*")&gt;0,COUNTIF(J2344,"*52*")&gt;0,COUNTIF(I2344,"55*")&gt;0,COUNTIF(J2344,"*55*")&gt;0,COUNTIF(I2344,"56*")&gt;0,COUNTIF(J2344,"*56*")&gt;0,COUNTIF(I2344,"68*")&gt;0,COUNTIF(J2344,"*68*")&gt;0,COUNTIF(I2344,"78*")&gt;0,COUNTIF(J2344,"*78*")&gt;0,COUNTIF(I2344,"81*")&gt;0,COUNTIF(J2344,"*81*")&gt;0,COUNTIF(I2344,"82*")&gt;0,COUNTIF(J2344,"*82*")&gt;0,COUNTIF(I2344,"64*")&gt;0,COUNTIF(J2344,"*64*")&gt;0,COUNTIF(I2344,"65*")&gt;0,COUNTIF(J2344,"*65*")&gt;0,COUNTIF(I2344,"66*")&gt;0,COUNTIF(J2344,"*66*")&gt;0,COUNTIF(I2344,"61*")&gt;0,COUNTIF(J2344,"*61*")&gt;0,COUNTIF(I2344,"62*")&gt;0,COUNTIF(J2344,"*62*")&gt;0,COUNTIF(I2344,"63*")&gt;0,COUNTIF(J2344,"*63*")&gt;0,COUNTIF(I2344,"85*")&gt;0,COUNTIF(J2344,"*85*")&gt;0,COUNTIF(I2344,"86*")&gt;0,COUNTIF(J2344,"*86*")&gt;0),"Да","Нет"))</f>
        <v/>
      </c>
      <c r="M2344" s="13">
        <f>IF(OR(G2344="",L2344&lt;&gt;"Да"),"",IF(G2344&lt;=100,"До 100",IF(G2344&lt;=200,"До 200",IF(G2344&lt;=500,"До 500","Отдельное КП"))))</f>
        <v/>
      </c>
      <c r="N2344" s="15">
        <f>IF(OR(G2344="",L2344&lt;&gt;"Да"),"",IF(G2344&lt;=100,33600,IF(G2344&lt;=200,62400,IF(G2344&lt;=500,144000,""))))</f>
        <v/>
      </c>
      <c r="O2344" s="16">
        <f>IF(G2344="","",IF(G2344&lt;=15,"1–15",IF(G2344&lt;=30,"16–30",IF(G2344&lt;=50,"31–50",IF(G2344&lt;=100,"51–100",IF(G2344&lt;=150,"101–150",IF(G2344&lt;=200,"151–200",IF(G2344&lt;=500,"201–500","500+"))))))))</f>
        <v/>
      </c>
      <c r="P2344" s="16" t="inlineStr">
        <is>
          <t>Нет совпадения в предоставленной выгрузке ССЧР</t>
        </is>
      </c>
      <c r="Q2344" s="16" t="n"/>
      <c r="R2344" s="16">
        <f>HYPERLINK("https://checko.ru/search?query=3801001629","Чекко: проверить")</f>
        <v/>
      </c>
      <c r="S2344" t="n">
        <v>0</v>
      </c>
    </row>
    <row r="2345" ht="15" customHeight="1" s="24">
      <c r="A2345" s="13" t="n">
        <v>5000094834</v>
      </c>
      <c r="B2345" s="13" t="inlineStr">
        <is>
          <t>МКУК "УРБ"</t>
        </is>
      </c>
      <c r="C2345" s="13" t="n">
        <v>707015160</v>
      </c>
      <c r="D2345" s="13" t="n"/>
      <c r="E2345" s="13" t="inlineStr">
        <is>
          <t>Не определён</t>
        </is>
      </c>
      <c r="F2345" s="13" t="inlineStr">
        <is>
          <t>707015160</t>
        </is>
      </c>
      <c r="G2345" s="14" t="n"/>
      <c r="H2345" s="14" t="n"/>
      <c r="I2345" s="14" t="n"/>
      <c r="J2345" s="14" t="n"/>
      <c r="K2345" s="13">
        <f>IF(G2345="","",IF(G2345&gt;=22,"Да","Нет"))</f>
        <v/>
      </c>
      <c r="L2345" s="13">
        <f>IF(OR(I2345="",J2345=""),"Не определено",IF(OR(COUNTIF(I2345,"45*")&gt;0,COUNTIF(J2345,"*45*")&gt;0,COUNTIF(I2345,"46*")&gt;0,COUNTIF(J2345,"*46*")&gt;0,COUNTIF(I2345,"47*")&gt;0,COUNTIF(J2345,"*47*")&gt;0,COUNTIF(I2345,"10*")&gt;0,COUNTIF(J2345,"*10*")&gt;0,COUNTIF(I2345,"11*")&gt;0,COUNTIF(J2345,"*11*")&gt;0,COUNTIF(I2345,"12*")&gt;0,COUNTIF(J2345,"*12*")&gt;0,COUNTIF(I2345,"13*")&gt;0,COUNTIF(J2345,"*13*")&gt;0,COUNTIF(I2345,"14*")&gt;0,COUNTIF(J2345,"*14*")&gt;0,COUNTIF(I2345,"15*")&gt;0,COUNTIF(J2345,"*15*")&gt;0,COUNTIF(I2345,"16*")&gt;0,COUNTIF(J2345,"*16*")&gt;0,COUNTIF(I2345,"17*")&gt;0,COUNTIF(J2345,"*17*")&gt;0,COUNTIF(I2345,"18*")&gt;0,COUNTIF(J2345,"*18*")&gt;0,COUNTIF(I2345,"19*")&gt;0,COUNTIF(J2345,"*19*")&gt;0,COUNTIF(I2345,"20*")&gt;0,COUNTIF(J2345,"*20*")&gt;0,COUNTIF(I2345,"21*")&gt;0,COUNTIF(J2345,"*21*")&gt;0,COUNTIF(I2345,"22*")&gt;0,COUNTIF(J2345,"*22*")&gt;0,COUNTIF(I2345,"23*")&gt;0,COUNTIF(J2345,"*23*")&gt;0,COUNTIF(I2345,"24*")&gt;0,COUNTIF(J2345,"*24*")&gt;0,COUNTIF(I2345,"25*")&gt;0,COUNTIF(J2345,"*25*")&gt;0,COUNTIF(I2345,"26*")&gt;0,COUNTIF(J2345,"*26*")&gt;0,COUNTIF(I2345,"27*")&gt;0,COUNTIF(J2345,"*27*")&gt;0,COUNTIF(I2345,"28*")&gt;0,COUNTIF(J2345,"*28*")&gt;0,COUNTIF(I2345,"29*")&gt;0,COUNTIF(J2345,"*29*")&gt;0,COUNTIF(I2345,"30*")&gt;0,COUNTIF(J2345,"*30*")&gt;0,COUNTIF(I2345,"31*")&gt;0,COUNTIF(J2345,"*31*")&gt;0,COUNTIF(I2345,"32*")&gt;0,COUNTIF(J2345,"*32*")&gt;0,COUNTIF(I2345,"33*")&gt;0,COUNTIF(J2345,"*33*")&gt;0,COUNTIF(I2345,"41*")&gt;0,COUNTIF(J2345,"*41*")&gt;0,COUNTIF(I2345,"42*")&gt;0,COUNTIF(J2345,"*42*")&gt;0,COUNTIF(I2345,"43*")&gt;0,COUNTIF(J2345,"*43*")&gt;0,COUNTIF(I2345,"49*")&gt;0,COUNTIF(J2345,"*49*")&gt;0,COUNTIF(I2345,"52*")&gt;0,COUNTIF(J2345,"*52*")&gt;0,COUNTIF(I2345,"55*")&gt;0,COUNTIF(J2345,"*55*")&gt;0,COUNTIF(I2345,"56*")&gt;0,COUNTIF(J2345,"*56*")&gt;0,COUNTIF(I2345,"68*")&gt;0,COUNTIF(J2345,"*68*")&gt;0,COUNTIF(I2345,"78*")&gt;0,COUNTIF(J2345,"*78*")&gt;0,COUNTIF(I2345,"81*")&gt;0,COUNTIF(J2345,"*81*")&gt;0,COUNTIF(I2345,"82*")&gt;0,COUNTIF(J2345,"*82*")&gt;0,COUNTIF(I2345,"64*")&gt;0,COUNTIF(J2345,"*64*")&gt;0,COUNTIF(I2345,"65*")&gt;0,COUNTIF(J2345,"*65*")&gt;0,COUNTIF(I2345,"66*")&gt;0,COUNTIF(J2345,"*66*")&gt;0,COUNTIF(I2345,"61*")&gt;0,COUNTIF(J2345,"*61*")&gt;0,COUNTIF(I2345,"62*")&gt;0,COUNTIF(J2345,"*62*")&gt;0,COUNTIF(I2345,"63*")&gt;0,COUNTIF(J2345,"*63*")&gt;0,COUNTIF(I2345,"85*")&gt;0,COUNTIF(J2345,"*85*")&gt;0,COUNTIF(I2345,"86*")&gt;0,COUNTIF(J2345,"*86*")&gt;0),"Да","Нет"))</f>
        <v/>
      </c>
      <c r="M2345" s="13">
        <f>IF(OR(G2345="",L2345&lt;&gt;"Да"),"",IF(G2345&lt;=100,"До 100",IF(G2345&lt;=200,"До 200",IF(G2345&lt;=500,"До 500","Отдельное КП"))))</f>
        <v/>
      </c>
      <c r="N2345" s="15">
        <f>IF(OR(G2345="",L2345&lt;&gt;"Да"),"",IF(G2345&lt;=100,33600,IF(G2345&lt;=200,62400,IF(G2345&lt;=500,144000,""))))</f>
        <v/>
      </c>
      <c r="O2345" s="16">
        <f>IF(G2345="","",IF(G2345&lt;=15,"1–15",IF(G2345&lt;=30,"16–30",IF(G2345&lt;=50,"31–50",IF(G2345&lt;=100,"51–100",IF(G2345&lt;=150,"101–150",IF(G2345&lt;=200,"151–200",IF(G2345&lt;=500,"201–500","500+"))))))))</f>
        <v/>
      </c>
      <c r="P2345" s="16" t="inlineStr">
        <is>
          <t>Нет совпадения в предоставленной выгрузке ССЧР</t>
        </is>
      </c>
      <c r="Q2345" s="16" t="n"/>
      <c r="R2345" s="16">
        <f>HYPERLINK("https://checko.ru/search?query=3801001629","Чекко: проверить")</f>
        <v/>
      </c>
      <c r="S2345" t="n">
        <v>0</v>
      </c>
    </row>
    <row r="2346" ht="15" customHeight="1" s="24">
      <c r="A2346" s="13" t="n">
        <v>5000094835</v>
      </c>
      <c r="B2346" s="13" t="inlineStr">
        <is>
          <t>МКУК "НГДБ"</t>
        </is>
      </c>
      <c r="C2346" s="13" t="n">
        <v>707015227</v>
      </c>
      <c r="D2346" s="13" t="n"/>
      <c r="E2346" s="13" t="inlineStr">
        <is>
          <t>Не определён</t>
        </is>
      </c>
      <c r="F2346" s="13" t="inlineStr">
        <is>
          <t>707015227</t>
        </is>
      </c>
      <c r="G2346" s="14" t="n"/>
      <c r="H2346" s="14" t="n"/>
      <c r="I2346" s="14" t="n"/>
      <c r="J2346" s="14" t="n"/>
      <c r="K2346" s="13">
        <f>IF(G2346="","",IF(G2346&gt;=22,"Да","Нет"))</f>
        <v/>
      </c>
      <c r="L2346" s="13">
        <f>IF(OR(I2346="",J2346=""),"Не определено",IF(OR(COUNTIF(I2346,"45*")&gt;0,COUNTIF(J2346,"*45*")&gt;0,COUNTIF(I2346,"46*")&gt;0,COUNTIF(J2346,"*46*")&gt;0,COUNTIF(I2346,"47*")&gt;0,COUNTIF(J2346,"*47*")&gt;0,COUNTIF(I2346,"10*")&gt;0,COUNTIF(J2346,"*10*")&gt;0,COUNTIF(I2346,"11*")&gt;0,COUNTIF(J2346,"*11*")&gt;0,COUNTIF(I2346,"12*")&gt;0,COUNTIF(J2346,"*12*")&gt;0,COUNTIF(I2346,"13*")&gt;0,COUNTIF(J2346,"*13*")&gt;0,COUNTIF(I2346,"14*")&gt;0,COUNTIF(J2346,"*14*")&gt;0,COUNTIF(I2346,"15*")&gt;0,COUNTIF(J2346,"*15*")&gt;0,COUNTIF(I2346,"16*")&gt;0,COUNTIF(J2346,"*16*")&gt;0,COUNTIF(I2346,"17*")&gt;0,COUNTIF(J2346,"*17*")&gt;0,COUNTIF(I2346,"18*")&gt;0,COUNTIF(J2346,"*18*")&gt;0,COUNTIF(I2346,"19*")&gt;0,COUNTIF(J2346,"*19*")&gt;0,COUNTIF(I2346,"20*")&gt;0,COUNTIF(J2346,"*20*")&gt;0,COUNTIF(I2346,"21*")&gt;0,COUNTIF(J2346,"*21*")&gt;0,COUNTIF(I2346,"22*")&gt;0,COUNTIF(J2346,"*22*")&gt;0,COUNTIF(I2346,"23*")&gt;0,COUNTIF(J2346,"*23*")&gt;0,COUNTIF(I2346,"24*")&gt;0,COUNTIF(J2346,"*24*")&gt;0,COUNTIF(I2346,"25*")&gt;0,COUNTIF(J2346,"*25*")&gt;0,COUNTIF(I2346,"26*")&gt;0,COUNTIF(J2346,"*26*")&gt;0,COUNTIF(I2346,"27*")&gt;0,COUNTIF(J2346,"*27*")&gt;0,COUNTIF(I2346,"28*")&gt;0,COUNTIF(J2346,"*28*")&gt;0,COUNTIF(I2346,"29*")&gt;0,COUNTIF(J2346,"*29*")&gt;0,COUNTIF(I2346,"30*")&gt;0,COUNTIF(J2346,"*30*")&gt;0,COUNTIF(I2346,"31*")&gt;0,COUNTIF(J2346,"*31*")&gt;0,COUNTIF(I2346,"32*")&gt;0,COUNTIF(J2346,"*32*")&gt;0,COUNTIF(I2346,"33*")&gt;0,COUNTIF(J2346,"*33*")&gt;0,COUNTIF(I2346,"41*")&gt;0,COUNTIF(J2346,"*41*")&gt;0,COUNTIF(I2346,"42*")&gt;0,COUNTIF(J2346,"*42*")&gt;0,COUNTIF(I2346,"43*")&gt;0,COUNTIF(J2346,"*43*")&gt;0,COUNTIF(I2346,"49*")&gt;0,COUNTIF(J2346,"*49*")&gt;0,COUNTIF(I2346,"52*")&gt;0,COUNTIF(J2346,"*52*")&gt;0,COUNTIF(I2346,"55*")&gt;0,COUNTIF(J2346,"*55*")&gt;0,COUNTIF(I2346,"56*")&gt;0,COUNTIF(J2346,"*56*")&gt;0,COUNTIF(I2346,"68*")&gt;0,COUNTIF(J2346,"*68*")&gt;0,COUNTIF(I2346,"78*")&gt;0,COUNTIF(J2346,"*78*")&gt;0,COUNTIF(I2346,"81*")&gt;0,COUNTIF(J2346,"*81*")&gt;0,COUNTIF(I2346,"82*")&gt;0,COUNTIF(J2346,"*82*")&gt;0,COUNTIF(I2346,"64*")&gt;0,COUNTIF(J2346,"*64*")&gt;0,COUNTIF(I2346,"65*")&gt;0,COUNTIF(J2346,"*65*")&gt;0,COUNTIF(I2346,"66*")&gt;0,COUNTIF(J2346,"*66*")&gt;0,COUNTIF(I2346,"61*")&gt;0,COUNTIF(J2346,"*61*")&gt;0,COUNTIF(I2346,"62*")&gt;0,COUNTIF(J2346,"*62*")&gt;0,COUNTIF(I2346,"63*")&gt;0,COUNTIF(J2346,"*63*")&gt;0,COUNTIF(I2346,"85*")&gt;0,COUNTIF(J2346,"*85*")&gt;0,COUNTIF(I2346,"86*")&gt;0,COUNTIF(J2346,"*86*")&gt;0),"Да","Нет"))</f>
        <v/>
      </c>
      <c r="M2346" s="13">
        <f>IF(OR(G2346="",L2346&lt;&gt;"Да"),"",IF(G2346&lt;=100,"До 100",IF(G2346&lt;=200,"До 200",IF(G2346&lt;=500,"До 500","Отдельное КП"))))</f>
        <v/>
      </c>
      <c r="N2346" s="15">
        <f>IF(OR(G2346="",L2346&lt;&gt;"Да"),"",IF(G2346&lt;=100,33600,IF(G2346&lt;=200,62400,IF(G2346&lt;=500,144000,""))))</f>
        <v/>
      </c>
      <c r="O2346" s="16">
        <f>IF(G2346="","",IF(G2346&lt;=15,"1–15",IF(G2346&lt;=30,"16–30",IF(G2346&lt;=50,"31–50",IF(G2346&lt;=100,"51–100",IF(G2346&lt;=150,"101–150",IF(G2346&lt;=200,"151–200",IF(G2346&lt;=500,"201–500","500+"))))))))</f>
        <v/>
      </c>
      <c r="P2346" s="16" t="inlineStr">
        <is>
          <t>Нет совпадения в предоставленной выгрузке ССЧР</t>
        </is>
      </c>
      <c r="Q2346" s="16" t="n"/>
      <c r="R2346" s="16">
        <f>HYPERLINK("https://checko.ru/search?query=3801001629","Чекко: проверить")</f>
        <v/>
      </c>
      <c r="S2346" t="n">
        <v>0</v>
      </c>
    </row>
    <row r="2347" ht="15" customHeight="1" s="24">
      <c r="A2347" s="13" t="n">
        <v>5000094836</v>
      </c>
      <c r="B2347" s="13" t="inlineStr">
        <is>
          <t>МКУК "ГБСЧ" г. Нарткала</t>
        </is>
      </c>
      <c r="C2347" s="13" t="n">
        <v>707015234</v>
      </c>
      <c r="D2347" s="13" t="n"/>
      <c r="E2347" s="13" t="inlineStr">
        <is>
          <t>Не определён</t>
        </is>
      </c>
      <c r="F2347" s="13" t="inlineStr">
        <is>
          <t>707015234</t>
        </is>
      </c>
      <c r="G2347" s="14" t="n"/>
      <c r="H2347" s="14" t="n"/>
      <c r="I2347" s="14" t="n"/>
      <c r="J2347" s="14" t="n"/>
      <c r="K2347" s="13">
        <f>IF(G2347="","",IF(G2347&gt;=22,"Да","Нет"))</f>
        <v/>
      </c>
      <c r="L2347" s="13">
        <f>IF(OR(I2347="",J2347=""),"Не определено",IF(OR(COUNTIF(I2347,"45*")&gt;0,COUNTIF(J2347,"*45*")&gt;0,COUNTIF(I2347,"46*")&gt;0,COUNTIF(J2347,"*46*")&gt;0,COUNTIF(I2347,"47*")&gt;0,COUNTIF(J2347,"*47*")&gt;0,COUNTIF(I2347,"10*")&gt;0,COUNTIF(J2347,"*10*")&gt;0,COUNTIF(I2347,"11*")&gt;0,COUNTIF(J2347,"*11*")&gt;0,COUNTIF(I2347,"12*")&gt;0,COUNTIF(J2347,"*12*")&gt;0,COUNTIF(I2347,"13*")&gt;0,COUNTIF(J2347,"*13*")&gt;0,COUNTIF(I2347,"14*")&gt;0,COUNTIF(J2347,"*14*")&gt;0,COUNTIF(I2347,"15*")&gt;0,COUNTIF(J2347,"*15*")&gt;0,COUNTIF(I2347,"16*")&gt;0,COUNTIF(J2347,"*16*")&gt;0,COUNTIF(I2347,"17*")&gt;0,COUNTIF(J2347,"*17*")&gt;0,COUNTIF(I2347,"18*")&gt;0,COUNTIF(J2347,"*18*")&gt;0,COUNTIF(I2347,"19*")&gt;0,COUNTIF(J2347,"*19*")&gt;0,COUNTIF(I2347,"20*")&gt;0,COUNTIF(J2347,"*20*")&gt;0,COUNTIF(I2347,"21*")&gt;0,COUNTIF(J2347,"*21*")&gt;0,COUNTIF(I2347,"22*")&gt;0,COUNTIF(J2347,"*22*")&gt;0,COUNTIF(I2347,"23*")&gt;0,COUNTIF(J2347,"*23*")&gt;0,COUNTIF(I2347,"24*")&gt;0,COUNTIF(J2347,"*24*")&gt;0,COUNTIF(I2347,"25*")&gt;0,COUNTIF(J2347,"*25*")&gt;0,COUNTIF(I2347,"26*")&gt;0,COUNTIF(J2347,"*26*")&gt;0,COUNTIF(I2347,"27*")&gt;0,COUNTIF(J2347,"*27*")&gt;0,COUNTIF(I2347,"28*")&gt;0,COUNTIF(J2347,"*28*")&gt;0,COUNTIF(I2347,"29*")&gt;0,COUNTIF(J2347,"*29*")&gt;0,COUNTIF(I2347,"30*")&gt;0,COUNTIF(J2347,"*30*")&gt;0,COUNTIF(I2347,"31*")&gt;0,COUNTIF(J2347,"*31*")&gt;0,COUNTIF(I2347,"32*")&gt;0,COUNTIF(J2347,"*32*")&gt;0,COUNTIF(I2347,"33*")&gt;0,COUNTIF(J2347,"*33*")&gt;0,COUNTIF(I2347,"41*")&gt;0,COUNTIF(J2347,"*41*")&gt;0,COUNTIF(I2347,"42*")&gt;0,COUNTIF(J2347,"*42*")&gt;0,COUNTIF(I2347,"43*")&gt;0,COUNTIF(J2347,"*43*")&gt;0,COUNTIF(I2347,"49*")&gt;0,COUNTIF(J2347,"*49*")&gt;0,COUNTIF(I2347,"52*")&gt;0,COUNTIF(J2347,"*52*")&gt;0,COUNTIF(I2347,"55*")&gt;0,COUNTIF(J2347,"*55*")&gt;0,COUNTIF(I2347,"56*")&gt;0,COUNTIF(J2347,"*56*")&gt;0,COUNTIF(I2347,"68*")&gt;0,COUNTIF(J2347,"*68*")&gt;0,COUNTIF(I2347,"78*")&gt;0,COUNTIF(J2347,"*78*")&gt;0,COUNTIF(I2347,"81*")&gt;0,COUNTIF(J2347,"*81*")&gt;0,COUNTIF(I2347,"82*")&gt;0,COUNTIF(J2347,"*82*")&gt;0,COUNTIF(I2347,"64*")&gt;0,COUNTIF(J2347,"*64*")&gt;0,COUNTIF(I2347,"65*")&gt;0,COUNTIF(J2347,"*65*")&gt;0,COUNTIF(I2347,"66*")&gt;0,COUNTIF(J2347,"*66*")&gt;0,COUNTIF(I2347,"61*")&gt;0,COUNTIF(J2347,"*61*")&gt;0,COUNTIF(I2347,"62*")&gt;0,COUNTIF(J2347,"*62*")&gt;0,COUNTIF(I2347,"63*")&gt;0,COUNTIF(J2347,"*63*")&gt;0,COUNTIF(I2347,"85*")&gt;0,COUNTIF(J2347,"*85*")&gt;0,COUNTIF(I2347,"86*")&gt;0,COUNTIF(J2347,"*86*")&gt;0),"Да","Нет"))</f>
        <v/>
      </c>
      <c r="M2347" s="13">
        <f>IF(OR(G2347="",L2347&lt;&gt;"Да"),"",IF(G2347&lt;=100,"До 100",IF(G2347&lt;=200,"До 200",IF(G2347&lt;=500,"До 500","Отдельное КП"))))</f>
        <v/>
      </c>
      <c r="N2347" s="15">
        <f>IF(OR(G2347="",L2347&lt;&gt;"Да"),"",IF(G2347&lt;=100,33600,IF(G2347&lt;=200,62400,IF(G2347&lt;=500,144000,""))))</f>
        <v/>
      </c>
      <c r="O2347" s="16">
        <f>IF(G2347="","",IF(G2347&lt;=15,"1–15",IF(G2347&lt;=30,"16–30",IF(G2347&lt;=50,"31–50",IF(G2347&lt;=100,"51–100",IF(G2347&lt;=150,"101–150",IF(G2347&lt;=200,"151–200",IF(G2347&lt;=500,"201–500","500+"))))))))</f>
        <v/>
      </c>
      <c r="P2347" s="16" t="inlineStr">
        <is>
          <t>Нет совпадения в предоставленной выгрузке ССЧР</t>
        </is>
      </c>
      <c r="Q2347" s="16" t="n"/>
      <c r="R2347" s="16">
        <f>HYPERLINK("https://checko.ru/search?query=3801001629","Чекко: проверить")</f>
        <v/>
      </c>
      <c r="S2347" t="n">
        <v>0</v>
      </c>
    </row>
    <row r="2348" ht="15" customHeight="1" s="24">
      <c r="A2348" s="13" t="n">
        <v>5000094837</v>
      </c>
      <c r="B2348" s="13" t="inlineStr">
        <is>
          <t>МКУ "УИЗОСХП Урванского района КБР"</t>
        </is>
      </c>
      <c r="C2348" s="13" t="n">
        <v>707015700</v>
      </c>
      <c r="D2348" s="13" t="n"/>
      <c r="E2348" s="13" t="inlineStr">
        <is>
          <t>Не определён</t>
        </is>
      </c>
      <c r="F2348" s="13" t="inlineStr">
        <is>
          <t>707015700</t>
        </is>
      </c>
      <c r="G2348" s="14" t="n"/>
      <c r="H2348" s="14" t="n"/>
      <c r="I2348" s="14" t="n"/>
      <c r="J2348" s="14" t="n"/>
      <c r="K2348" s="13">
        <f>IF(G2348="","",IF(G2348&gt;=22,"Да","Нет"))</f>
        <v/>
      </c>
      <c r="L2348" s="13">
        <f>IF(OR(I2348="",J2348=""),"Не определено",IF(OR(COUNTIF(I2348,"45*")&gt;0,COUNTIF(J2348,"*45*")&gt;0,COUNTIF(I2348,"46*")&gt;0,COUNTIF(J2348,"*46*")&gt;0,COUNTIF(I2348,"47*")&gt;0,COUNTIF(J2348,"*47*")&gt;0,COUNTIF(I2348,"10*")&gt;0,COUNTIF(J2348,"*10*")&gt;0,COUNTIF(I2348,"11*")&gt;0,COUNTIF(J2348,"*11*")&gt;0,COUNTIF(I2348,"12*")&gt;0,COUNTIF(J2348,"*12*")&gt;0,COUNTIF(I2348,"13*")&gt;0,COUNTIF(J2348,"*13*")&gt;0,COUNTIF(I2348,"14*")&gt;0,COUNTIF(J2348,"*14*")&gt;0,COUNTIF(I2348,"15*")&gt;0,COUNTIF(J2348,"*15*")&gt;0,COUNTIF(I2348,"16*")&gt;0,COUNTIF(J2348,"*16*")&gt;0,COUNTIF(I2348,"17*")&gt;0,COUNTIF(J2348,"*17*")&gt;0,COUNTIF(I2348,"18*")&gt;0,COUNTIF(J2348,"*18*")&gt;0,COUNTIF(I2348,"19*")&gt;0,COUNTIF(J2348,"*19*")&gt;0,COUNTIF(I2348,"20*")&gt;0,COUNTIF(J2348,"*20*")&gt;0,COUNTIF(I2348,"21*")&gt;0,COUNTIF(J2348,"*21*")&gt;0,COUNTIF(I2348,"22*")&gt;0,COUNTIF(J2348,"*22*")&gt;0,COUNTIF(I2348,"23*")&gt;0,COUNTIF(J2348,"*23*")&gt;0,COUNTIF(I2348,"24*")&gt;0,COUNTIF(J2348,"*24*")&gt;0,COUNTIF(I2348,"25*")&gt;0,COUNTIF(J2348,"*25*")&gt;0,COUNTIF(I2348,"26*")&gt;0,COUNTIF(J2348,"*26*")&gt;0,COUNTIF(I2348,"27*")&gt;0,COUNTIF(J2348,"*27*")&gt;0,COUNTIF(I2348,"28*")&gt;0,COUNTIF(J2348,"*28*")&gt;0,COUNTIF(I2348,"29*")&gt;0,COUNTIF(J2348,"*29*")&gt;0,COUNTIF(I2348,"30*")&gt;0,COUNTIF(J2348,"*30*")&gt;0,COUNTIF(I2348,"31*")&gt;0,COUNTIF(J2348,"*31*")&gt;0,COUNTIF(I2348,"32*")&gt;0,COUNTIF(J2348,"*32*")&gt;0,COUNTIF(I2348,"33*")&gt;0,COUNTIF(J2348,"*33*")&gt;0,COUNTIF(I2348,"41*")&gt;0,COUNTIF(J2348,"*41*")&gt;0,COUNTIF(I2348,"42*")&gt;0,COUNTIF(J2348,"*42*")&gt;0,COUNTIF(I2348,"43*")&gt;0,COUNTIF(J2348,"*43*")&gt;0,COUNTIF(I2348,"49*")&gt;0,COUNTIF(J2348,"*49*")&gt;0,COUNTIF(I2348,"52*")&gt;0,COUNTIF(J2348,"*52*")&gt;0,COUNTIF(I2348,"55*")&gt;0,COUNTIF(J2348,"*55*")&gt;0,COUNTIF(I2348,"56*")&gt;0,COUNTIF(J2348,"*56*")&gt;0,COUNTIF(I2348,"68*")&gt;0,COUNTIF(J2348,"*68*")&gt;0,COUNTIF(I2348,"78*")&gt;0,COUNTIF(J2348,"*78*")&gt;0,COUNTIF(I2348,"81*")&gt;0,COUNTIF(J2348,"*81*")&gt;0,COUNTIF(I2348,"82*")&gt;0,COUNTIF(J2348,"*82*")&gt;0,COUNTIF(I2348,"64*")&gt;0,COUNTIF(J2348,"*64*")&gt;0,COUNTIF(I2348,"65*")&gt;0,COUNTIF(J2348,"*65*")&gt;0,COUNTIF(I2348,"66*")&gt;0,COUNTIF(J2348,"*66*")&gt;0,COUNTIF(I2348,"61*")&gt;0,COUNTIF(J2348,"*61*")&gt;0,COUNTIF(I2348,"62*")&gt;0,COUNTIF(J2348,"*62*")&gt;0,COUNTIF(I2348,"63*")&gt;0,COUNTIF(J2348,"*63*")&gt;0,COUNTIF(I2348,"85*")&gt;0,COUNTIF(J2348,"*85*")&gt;0,COUNTIF(I2348,"86*")&gt;0,COUNTIF(J2348,"*86*")&gt;0),"Да","Нет"))</f>
        <v/>
      </c>
      <c r="M2348" s="13">
        <f>IF(OR(G2348="",L2348&lt;&gt;"Да"),"",IF(G2348&lt;=100,"До 100",IF(G2348&lt;=200,"До 200",IF(G2348&lt;=500,"До 500","Отдельное КП"))))</f>
        <v/>
      </c>
      <c r="N2348" s="15">
        <f>IF(OR(G2348="",L2348&lt;&gt;"Да"),"",IF(G2348&lt;=100,33600,IF(G2348&lt;=200,62400,IF(G2348&lt;=500,144000,""))))</f>
        <v/>
      </c>
      <c r="O2348" s="16">
        <f>IF(G2348="","",IF(G2348&lt;=15,"1–15",IF(G2348&lt;=30,"16–30",IF(G2348&lt;=50,"31–50",IF(G2348&lt;=100,"51–100",IF(G2348&lt;=150,"101–150",IF(G2348&lt;=200,"151–200",IF(G2348&lt;=500,"201–500","500+"))))))))</f>
        <v/>
      </c>
      <c r="P2348" s="16" t="inlineStr">
        <is>
          <t>Нет совпадения в предоставленной выгрузке ССЧР</t>
        </is>
      </c>
      <c r="Q2348" s="16" t="n"/>
      <c r="R2348" s="16">
        <f>HYPERLINK("https://checko.ru/search?query=3801001629","Чекко: проверить")</f>
        <v/>
      </c>
      <c r="S2348" t="n">
        <v>0</v>
      </c>
    </row>
    <row r="2349" ht="15" customHeight="1" s="24">
      <c r="A2349" s="13" t="n">
        <v>5000094838</v>
      </c>
      <c r="B2349" s="13" t="inlineStr">
        <is>
          <t>МКУ "ДК с.п. Урух"</t>
        </is>
      </c>
      <c r="C2349" s="13" t="n">
        <v>707015876</v>
      </c>
      <c r="D2349" s="13" t="n"/>
      <c r="E2349" s="13" t="inlineStr">
        <is>
          <t>Не определён</t>
        </is>
      </c>
      <c r="F2349" s="13" t="inlineStr">
        <is>
          <t>707015876</t>
        </is>
      </c>
      <c r="G2349" s="14" t="n"/>
      <c r="H2349" s="14" t="n"/>
      <c r="I2349" s="14" t="n"/>
      <c r="J2349" s="14" t="n"/>
      <c r="K2349" s="13">
        <f>IF(G2349="","",IF(G2349&gt;=22,"Да","Нет"))</f>
        <v/>
      </c>
      <c r="L2349" s="13">
        <f>IF(OR(I2349="",J2349=""),"Не определено",IF(OR(COUNTIF(I2349,"45*")&gt;0,COUNTIF(J2349,"*45*")&gt;0,COUNTIF(I2349,"46*")&gt;0,COUNTIF(J2349,"*46*")&gt;0,COUNTIF(I2349,"47*")&gt;0,COUNTIF(J2349,"*47*")&gt;0,COUNTIF(I2349,"10*")&gt;0,COUNTIF(J2349,"*10*")&gt;0,COUNTIF(I2349,"11*")&gt;0,COUNTIF(J2349,"*11*")&gt;0,COUNTIF(I2349,"12*")&gt;0,COUNTIF(J2349,"*12*")&gt;0,COUNTIF(I2349,"13*")&gt;0,COUNTIF(J2349,"*13*")&gt;0,COUNTIF(I2349,"14*")&gt;0,COUNTIF(J2349,"*14*")&gt;0,COUNTIF(I2349,"15*")&gt;0,COUNTIF(J2349,"*15*")&gt;0,COUNTIF(I2349,"16*")&gt;0,COUNTIF(J2349,"*16*")&gt;0,COUNTIF(I2349,"17*")&gt;0,COUNTIF(J2349,"*17*")&gt;0,COUNTIF(I2349,"18*")&gt;0,COUNTIF(J2349,"*18*")&gt;0,COUNTIF(I2349,"19*")&gt;0,COUNTIF(J2349,"*19*")&gt;0,COUNTIF(I2349,"20*")&gt;0,COUNTIF(J2349,"*20*")&gt;0,COUNTIF(I2349,"21*")&gt;0,COUNTIF(J2349,"*21*")&gt;0,COUNTIF(I2349,"22*")&gt;0,COUNTIF(J2349,"*22*")&gt;0,COUNTIF(I2349,"23*")&gt;0,COUNTIF(J2349,"*23*")&gt;0,COUNTIF(I2349,"24*")&gt;0,COUNTIF(J2349,"*24*")&gt;0,COUNTIF(I2349,"25*")&gt;0,COUNTIF(J2349,"*25*")&gt;0,COUNTIF(I2349,"26*")&gt;0,COUNTIF(J2349,"*26*")&gt;0,COUNTIF(I2349,"27*")&gt;0,COUNTIF(J2349,"*27*")&gt;0,COUNTIF(I2349,"28*")&gt;0,COUNTIF(J2349,"*28*")&gt;0,COUNTIF(I2349,"29*")&gt;0,COUNTIF(J2349,"*29*")&gt;0,COUNTIF(I2349,"30*")&gt;0,COUNTIF(J2349,"*30*")&gt;0,COUNTIF(I2349,"31*")&gt;0,COUNTIF(J2349,"*31*")&gt;0,COUNTIF(I2349,"32*")&gt;0,COUNTIF(J2349,"*32*")&gt;0,COUNTIF(I2349,"33*")&gt;0,COUNTIF(J2349,"*33*")&gt;0,COUNTIF(I2349,"41*")&gt;0,COUNTIF(J2349,"*41*")&gt;0,COUNTIF(I2349,"42*")&gt;0,COUNTIF(J2349,"*42*")&gt;0,COUNTIF(I2349,"43*")&gt;0,COUNTIF(J2349,"*43*")&gt;0,COUNTIF(I2349,"49*")&gt;0,COUNTIF(J2349,"*49*")&gt;0,COUNTIF(I2349,"52*")&gt;0,COUNTIF(J2349,"*52*")&gt;0,COUNTIF(I2349,"55*")&gt;0,COUNTIF(J2349,"*55*")&gt;0,COUNTIF(I2349,"56*")&gt;0,COUNTIF(J2349,"*56*")&gt;0,COUNTIF(I2349,"68*")&gt;0,COUNTIF(J2349,"*68*")&gt;0,COUNTIF(I2349,"78*")&gt;0,COUNTIF(J2349,"*78*")&gt;0,COUNTIF(I2349,"81*")&gt;0,COUNTIF(J2349,"*81*")&gt;0,COUNTIF(I2349,"82*")&gt;0,COUNTIF(J2349,"*82*")&gt;0,COUNTIF(I2349,"64*")&gt;0,COUNTIF(J2349,"*64*")&gt;0,COUNTIF(I2349,"65*")&gt;0,COUNTIF(J2349,"*65*")&gt;0,COUNTIF(I2349,"66*")&gt;0,COUNTIF(J2349,"*66*")&gt;0,COUNTIF(I2349,"61*")&gt;0,COUNTIF(J2349,"*61*")&gt;0,COUNTIF(I2349,"62*")&gt;0,COUNTIF(J2349,"*62*")&gt;0,COUNTIF(I2349,"63*")&gt;0,COUNTIF(J2349,"*63*")&gt;0,COUNTIF(I2349,"85*")&gt;0,COUNTIF(J2349,"*85*")&gt;0,COUNTIF(I2349,"86*")&gt;0,COUNTIF(J2349,"*86*")&gt;0),"Да","Нет"))</f>
        <v/>
      </c>
      <c r="M2349" s="13">
        <f>IF(OR(G2349="",L2349&lt;&gt;"Да"),"",IF(G2349&lt;=100,"До 100",IF(G2349&lt;=200,"До 200",IF(G2349&lt;=500,"До 500","Отдельное КП"))))</f>
        <v/>
      </c>
      <c r="N2349" s="15">
        <f>IF(OR(G2349="",L2349&lt;&gt;"Да"),"",IF(G2349&lt;=100,33600,IF(G2349&lt;=200,62400,IF(G2349&lt;=500,144000,""))))</f>
        <v/>
      </c>
      <c r="O2349" s="16">
        <f>IF(G2349="","",IF(G2349&lt;=15,"1–15",IF(G2349&lt;=30,"16–30",IF(G2349&lt;=50,"31–50",IF(G2349&lt;=100,"51–100",IF(G2349&lt;=150,"101–150",IF(G2349&lt;=200,"151–200",IF(G2349&lt;=500,"201–500","500+"))))))))</f>
        <v/>
      </c>
      <c r="P2349" s="16" t="inlineStr">
        <is>
          <t>Нет совпадения в предоставленной выгрузке ССЧР</t>
        </is>
      </c>
      <c r="Q2349" s="16" t="n"/>
      <c r="R2349" s="16">
        <f>HYPERLINK("https://checko.ru/search?query=3801001629","Чекко: проверить")</f>
        <v/>
      </c>
      <c r="S2349" t="n">
        <v>0</v>
      </c>
    </row>
    <row r="2350" ht="15" customHeight="1" s="24">
      <c r="A2350" s="13" t="n">
        <v>5000094839</v>
      </c>
      <c r="B2350" s="13" t="inlineStr">
        <is>
          <t>ГКУ "Лескенское лесничество"</t>
        </is>
      </c>
      <c r="C2350" s="13" t="n">
        <v>707016260</v>
      </c>
      <c r="D2350" s="13" t="n"/>
      <c r="E2350" s="13" t="inlineStr">
        <is>
          <t>Не определён</t>
        </is>
      </c>
      <c r="F2350" s="13" t="inlineStr">
        <is>
          <t>707016260</t>
        </is>
      </c>
      <c r="G2350" s="14" t="n"/>
      <c r="H2350" s="14" t="n"/>
      <c r="I2350" s="14" t="n"/>
      <c r="J2350" s="14" t="n"/>
      <c r="K2350" s="13">
        <f>IF(G2350="","",IF(G2350&gt;=22,"Да","Нет"))</f>
        <v/>
      </c>
      <c r="L2350" s="13">
        <f>IF(OR(I2350="",J2350=""),"Не определено",IF(OR(COUNTIF(I2350,"45*")&gt;0,COUNTIF(J2350,"*45*")&gt;0,COUNTIF(I2350,"46*")&gt;0,COUNTIF(J2350,"*46*")&gt;0,COUNTIF(I2350,"47*")&gt;0,COUNTIF(J2350,"*47*")&gt;0,COUNTIF(I2350,"10*")&gt;0,COUNTIF(J2350,"*10*")&gt;0,COUNTIF(I2350,"11*")&gt;0,COUNTIF(J2350,"*11*")&gt;0,COUNTIF(I2350,"12*")&gt;0,COUNTIF(J2350,"*12*")&gt;0,COUNTIF(I2350,"13*")&gt;0,COUNTIF(J2350,"*13*")&gt;0,COUNTIF(I2350,"14*")&gt;0,COUNTIF(J2350,"*14*")&gt;0,COUNTIF(I2350,"15*")&gt;0,COUNTIF(J2350,"*15*")&gt;0,COUNTIF(I2350,"16*")&gt;0,COUNTIF(J2350,"*16*")&gt;0,COUNTIF(I2350,"17*")&gt;0,COUNTIF(J2350,"*17*")&gt;0,COUNTIF(I2350,"18*")&gt;0,COUNTIF(J2350,"*18*")&gt;0,COUNTIF(I2350,"19*")&gt;0,COUNTIF(J2350,"*19*")&gt;0,COUNTIF(I2350,"20*")&gt;0,COUNTIF(J2350,"*20*")&gt;0,COUNTIF(I2350,"21*")&gt;0,COUNTIF(J2350,"*21*")&gt;0,COUNTIF(I2350,"22*")&gt;0,COUNTIF(J2350,"*22*")&gt;0,COUNTIF(I2350,"23*")&gt;0,COUNTIF(J2350,"*23*")&gt;0,COUNTIF(I2350,"24*")&gt;0,COUNTIF(J2350,"*24*")&gt;0,COUNTIF(I2350,"25*")&gt;0,COUNTIF(J2350,"*25*")&gt;0,COUNTIF(I2350,"26*")&gt;0,COUNTIF(J2350,"*26*")&gt;0,COUNTIF(I2350,"27*")&gt;0,COUNTIF(J2350,"*27*")&gt;0,COUNTIF(I2350,"28*")&gt;0,COUNTIF(J2350,"*28*")&gt;0,COUNTIF(I2350,"29*")&gt;0,COUNTIF(J2350,"*29*")&gt;0,COUNTIF(I2350,"30*")&gt;0,COUNTIF(J2350,"*30*")&gt;0,COUNTIF(I2350,"31*")&gt;0,COUNTIF(J2350,"*31*")&gt;0,COUNTIF(I2350,"32*")&gt;0,COUNTIF(J2350,"*32*")&gt;0,COUNTIF(I2350,"33*")&gt;0,COUNTIF(J2350,"*33*")&gt;0,COUNTIF(I2350,"41*")&gt;0,COUNTIF(J2350,"*41*")&gt;0,COUNTIF(I2350,"42*")&gt;0,COUNTIF(J2350,"*42*")&gt;0,COUNTIF(I2350,"43*")&gt;0,COUNTIF(J2350,"*43*")&gt;0,COUNTIF(I2350,"49*")&gt;0,COUNTIF(J2350,"*49*")&gt;0,COUNTIF(I2350,"52*")&gt;0,COUNTIF(J2350,"*52*")&gt;0,COUNTIF(I2350,"55*")&gt;0,COUNTIF(J2350,"*55*")&gt;0,COUNTIF(I2350,"56*")&gt;0,COUNTIF(J2350,"*56*")&gt;0,COUNTIF(I2350,"68*")&gt;0,COUNTIF(J2350,"*68*")&gt;0,COUNTIF(I2350,"78*")&gt;0,COUNTIF(J2350,"*78*")&gt;0,COUNTIF(I2350,"81*")&gt;0,COUNTIF(J2350,"*81*")&gt;0,COUNTIF(I2350,"82*")&gt;0,COUNTIF(J2350,"*82*")&gt;0,COUNTIF(I2350,"64*")&gt;0,COUNTIF(J2350,"*64*")&gt;0,COUNTIF(I2350,"65*")&gt;0,COUNTIF(J2350,"*65*")&gt;0,COUNTIF(I2350,"66*")&gt;0,COUNTIF(J2350,"*66*")&gt;0,COUNTIF(I2350,"61*")&gt;0,COUNTIF(J2350,"*61*")&gt;0,COUNTIF(I2350,"62*")&gt;0,COUNTIF(J2350,"*62*")&gt;0,COUNTIF(I2350,"63*")&gt;0,COUNTIF(J2350,"*63*")&gt;0,COUNTIF(I2350,"85*")&gt;0,COUNTIF(J2350,"*85*")&gt;0,COUNTIF(I2350,"86*")&gt;0,COUNTIF(J2350,"*86*")&gt;0),"Да","Нет"))</f>
        <v/>
      </c>
      <c r="M2350" s="13">
        <f>IF(OR(G2350="",L2350&lt;&gt;"Да"),"",IF(G2350&lt;=100,"До 100",IF(G2350&lt;=200,"До 200",IF(G2350&lt;=500,"До 500","Отдельное КП"))))</f>
        <v/>
      </c>
      <c r="N2350" s="15">
        <f>IF(OR(G2350="",L2350&lt;&gt;"Да"),"",IF(G2350&lt;=100,33600,IF(G2350&lt;=200,62400,IF(G2350&lt;=500,144000,""))))</f>
        <v/>
      </c>
      <c r="O2350" s="16">
        <f>IF(G2350="","",IF(G2350&lt;=15,"1–15",IF(G2350&lt;=30,"16–30",IF(G2350&lt;=50,"31–50",IF(G2350&lt;=100,"51–100",IF(G2350&lt;=150,"101–150",IF(G2350&lt;=200,"151–200",IF(G2350&lt;=500,"201–500","500+"))))))))</f>
        <v/>
      </c>
      <c r="P2350" s="16" t="inlineStr">
        <is>
          <t>Нет совпадения в предоставленной выгрузке ССЧР</t>
        </is>
      </c>
      <c r="Q2350" s="16" t="n"/>
      <c r="R2350" s="16">
        <f>HYPERLINK("https://checko.ru/search?query=3801001629","Чекко: проверить")</f>
        <v/>
      </c>
      <c r="S2350" t="n">
        <v>0</v>
      </c>
    </row>
    <row r="2351" ht="15" customHeight="1" s="24">
      <c r="A2351" s="13" t="n">
        <v>5000094840</v>
      </c>
      <c r="B2351" s="13" t="inlineStr">
        <is>
          <t>ГБУЗ "Межрайонная многопрофильная больница"</t>
        </is>
      </c>
      <c r="C2351" s="13" t="n">
        <v>707018676</v>
      </c>
      <c r="D2351" s="13" t="n"/>
      <c r="E2351" s="13" t="inlineStr">
        <is>
          <t>Не определён</t>
        </is>
      </c>
      <c r="F2351" s="13" t="inlineStr">
        <is>
          <t>707018676</t>
        </is>
      </c>
      <c r="G2351" s="14" t="n"/>
      <c r="H2351" s="14" t="n"/>
      <c r="I2351" s="14" t="n"/>
      <c r="J2351" s="14" t="n"/>
      <c r="K2351" s="13">
        <f>IF(G2351="","",IF(G2351&gt;=22,"Да","Нет"))</f>
        <v/>
      </c>
      <c r="L2351" s="13">
        <f>IF(OR(I2351="",J2351=""),"Не определено",IF(OR(COUNTIF(I2351,"45*")&gt;0,COUNTIF(J2351,"*45*")&gt;0,COUNTIF(I2351,"46*")&gt;0,COUNTIF(J2351,"*46*")&gt;0,COUNTIF(I2351,"47*")&gt;0,COUNTIF(J2351,"*47*")&gt;0,COUNTIF(I2351,"10*")&gt;0,COUNTIF(J2351,"*10*")&gt;0,COUNTIF(I2351,"11*")&gt;0,COUNTIF(J2351,"*11*")&gt;0,COUNTIF(I2351,"12*")&gt;0,COUNTIF(J2351,"*12*")&gt;0,COUNTIF(I2351,"13*")&gt;0,COUNTIF(J2351,"*13*")&gt;0,COUNTIF(I2351,"14*")&gt;0,COUNTIF(J2351,"*14*")&gt;0,COUNTIF(I2351,"15*")&gt;0,COUNTIF(J2351,"*15*")&gt;0,COUNTIF(I2351,"16*")&gt;0,COUNTIF(J2351,"*16*")&gt;0,COUNTIF(I2351,"17*")&gt;0,COUNTIF(J2351,"*17*")&gt;0,COUNTIF(I2351,"18*")&gt;0,COUNTIF(J2351,"*18*")&gt;0,COUNTIF(I2351,"19*")&gt;0,COUNTIF(J2351,"*19*")&gt;0,COUNTIF(I2351,"20*")&gt;0,COUNTIF(J2351,"*20*")&gt;0,COUNTIF(I2351,"21*")&gt;0,COUNTIF(J2351,"*21*")&gt;0,COUNTIF(I2351,"22*")&gt;0,COUNTIF(J2351,"*22*")&gt;0,COUNTIF(I2351,"23*")&gt;0,COUNTIF(J2351,"*23*")&gt;0,COUNTIF(I2351,"24*")&gt;0,COUNTIF(J2351,"*24*")&gt;0,COUNTIF(I2351,"25*")&gt;0,COUNTIF(J2351,"*25*")&gt;0,COUNTIF(I2351,"26*")&gt;0,COUNTIF(J2351,"*26*")&gt;0,COUNTIF(I2351,"27*")&gt;0,COUNTIF(J2351,"*27*")&gt;0,COUNTIF(I2351,"28*")&gt;0,COUNTIF(J2351,"*28*")&gt;0,COUNTIF(I2351,"29*")&gt;0,COUNTIF(J2351,"*29*")&gt;0,COUNTIF(I2351,"30*")&gt;0,COUNTIF(J2351,"*30*")&gt;0,COUNTIF(I2351,"31*")&gt;0,COUNTIF(J2351,"*31*")&gt;0,COUNTIF(I2351,"32*")&gt;0,COUNTIF(J2351,"*32*")&gt;0,COUNTIF(I2351,"33*")&gt;0,COUNTIF(J2351,"*33*")&gt;0,COUNTIF(I2351,"41*")&gt;0,COUNTIF(J2351,"*41*")&gt;0,COUNTIF(I2351,"42*")&gt;0,COUNTIF(J2351,"*42*")&gt;0,COUNTIF(I2351,"43*")&gt;0,COUNTIF(J2351,"*43*")&gt;0,COUNTIF(I2351,"49*")&gt;0,COUNTIF(J2351,"*49*")&gt;0,COUNTIF(I2351,"52*")&gt;0,COUNTIF(J2351,"*52*")&gt;0,COUNTIF(I2351,"55*")&gt;0,COUNTIF(J2351,"*55*")&gt;0,COUNTIF(I2351,"56*")&gt;0,COUNTIF(J2351,"*56*")&gt;0,COUNTIF(I2351,"68*")&gt;0,COUNTIF(J2351,"*68*")&gt;0,COUNTIF(I2351,"78*")&gt;0,COUNTIF(J2351,"*78*")&gt;0,COUNTIF(I2351,"81*")&gt;0,COUNTIF(J2351,"*81*")&gt;0,COUNTIF(I2351,"82*")&gt;0,COUNTIF(J2351,"*82*")&gt;0,COUNTIF(I2351,"64*")&gt;0,COUNTIF(J2351,"*64*")&gt;0,COUNTIF(I2351,"65*")&gt;0,COUNTIF(J2351,"*65*")&gt;0,COUNTIF(I2351,"66*")&gt;0,COUNTIF(J2351,"*66*")&gt;0,COUNTIF(I2351,"61*")&gt;0,COUNTIF(J2351,"*61*")&gt;0,COUNTIF(I2351,"62*")&gt;0,COUNTIF(J2351,"*62*")&gt;0,COUNTIF(I2351,"63*")&gt;0,COUNTIF(J2351,"*63*")&gt;0,COUNTIF(I2351,"85*")&gt;0,COUNTIF(J2351,"*85*")&gt;0,COUNTIF(I2351,"86*")&gt;0,COUNTIF(J2351,"*86*")&gt;0),"Да","Нет"))</f>
        <v/>
      </c>
      <c r="M2351" s="13">
        <f>IF(OR(G2351="",L2351&lt;&gt;"Да"),"",IF(G2351&lt;=100,"До 100",IF(G2351&lt;=200,"До 200",IF(G2351&lt;=500,"До 500","Отдельное КП"))))</f>
        <v/>
      </c>
      <c r="N2351" s="15">
        <f>IF(OR(G2351="",L2351&lt;&gt;"Да"),"",IF(G2351&lt;=100,33600,IF(G2351&lt;=200,62400,IF(G2351&lt;=500,144000,""))))</f>
        <v/>
      </c>
      <c r="O2351" s="16">
        <f>IF(G2351="","",IF(G2351&lt;=15,"1–15",IF(G2351&lt;=30,"16–30",IF(G2351&lt;=50,"31–50",IF(G2351&lt;=100,"51–100",IF(G2351&lt;=150,"101–150",IF(G2351&lt;=200,"151–200",IF(G2351&lt;=500,"201–500","500+"))))))))</f>
        <v/>
      </c>
      <c r="P2351" s="16" t="inlineStr">
        <is>
          <t>Нет совпадения в предоставленной выгрузке ССЧР</t>
        </is>
      </c>
      <c r="Q2351" s="16" t="n"/>
      <c r="R2351" s="16">
        <f>HYPERLINK("https://checko.ru/search?query=3801001629","Чекко: проверить")</f>
        <v/>
      </c>
      <c r="S2351" t="n">
        <v>0</v>
      </c>
    </row>
    <row r="2352" ht="15" customHeight="1" s="24">
      <c r="A2352" s="13" t="n">
        <v>5000094841</v>
      </c>
      <c r="B2352" s="13" t="inlineStr">
        <is>
          <t>МКУ ДО "ЦД с ОВЗ" УМР КБР</t>
        </is>
      </c>
      <c r="C2352" s="13" t="n">
        <v>707019119</v>
      </c>
      <c r="D2352" s="13" t="n"/>
      <c r="E2352" s="13" t="inlineStr">
        <is>
          <t>Не определён</t>
        </is>
      </c>
      <c r="F2352" s="13" t="inlineStr">
        <is>
          <t>707019119</t>
        </is>
      </c>
      <c r="G2352" s="14" t="n"/>
      <c r="H2352" s="14" t="n"/>
      <c r="I2352" s="14" t="n"/>
      <c r="J2352" s="14" t="n"/>
      <c r="K2352" s="13">
        <f>IF(G2352="","",IF(G2352&gt;=22,"Да","Нет"))</f>
        <v/>
      </c>
      <c r="L2352" s="13">
        <f>IF(OR(I2352="",J2352=""),"Не определено",IF(OR(COUNTIF(I2352,"45*")&gt;0,COUNTIF(J2352,"*45*")&gt;0,COUNTIF(I2352,"46*")&gt;0,COUNTIF(J2352,"*46*")&gt;0,COUNTIF(I2352,"47*")&gt;0,COUNTIF(J2352,"*47*")&gt;0,COUNTIF(I2352,"10*")&gt;0,COUNTIF(J2352,"*10*")&gt;0,COUNTIF(I2352,"11*")&gt;0,COUNTIF(J2352,"*11*")&gt;0,COUNTIF(I2352,"12*")&gt;0,COUNTIF(J2352,"*12*")&gt;0,COUNTIF(I2352,"13*")&gt;0,COUNTIF(J2352,"*13*")&gt;0,COUNTIF(I2352,"14*")&gt;0,COUNTIF(J2352,"*14*")&gt;0,COUNTIF(I2352,"15*")&gt;0,COUNTIF(J2352,"*15*")&gt;0,COUNTIF(I2352,"16*")&gt;0,COUNTIF(J2352,"*16*")&gt;0,COUNTIF(I2352,"17*")&gt;0,COUNTIF(J2352,"*17*")&gt;0,COUNTIF(I2352,"18*")&gt;0,COUNTIF(J2352,"*18*")&gt;0,COUNTIF(I2352,"19*")&gt;0,COUNTIF(J2352,"*19*")&gt;0,COUNTIF(I2352,"20*")&gt;0,COUNTIF(J2352,"*20*")&gt;0,COUNTIF(I2352,"21*")&gt;0,COUNTIF(J2352,"*21*")&gt;0,COUNTIF(I2352,"22*")&gt;0,COUNTIF(J2352,"*22*")&gt;0,COUNTIF(I2352,"23*")&gt;0,COUNTIF(J2352,"*23*")&gt;0,COUNTIF(I2352,"24*")&gt;0,COUNTIF(J2352,"*24*")&gt;0,COUNTIF(I2352,"25*")&gt;0,COUNTIF(J2352,"*25*")&gt;0,COUNTIF(I2352,"26*")&gt;0,COUNTIF(J2352,"*26*")&gt;0,COUNTIF(I2352,"27*")&gt;0,COUNTIF(J2352,"*27*")&gt;0,COUNTIF(I2352,"28*")&gt;0,COUNTIF(J2352,"*28*")&gt;0,COUNTIF(I2352,"29*")&gt;0,COUNTIF(J2352,"*29*")&gt;0,COUNTIF(I2352,"30*")&gt;0,COUNTIF(J2352,"*30*")&gt;0,COUNTIF(I2352,"31*")&gt;0,COUNTIF(J2352,"*31*")&gt;0,COUNTIF(I2352,"32*")&gt;0,COUNTIF(J2352,"*32*")&gt;0,COUNTIF(I2352,"33*")&gt;0,COUNTIF(J2352,"*33*")&gt;0,COUNTIF(I2352,"41*")&gt;0,COUNTIF(J2352,"*41*")&gt;0,COUNTIF(I2352,"42*")&gt;0,COUNTIF(J2352,"*42*")&gt;0,COUNTIF(I2352,"43*")&gt;0,COUNTIF(J2352,"*43*")&gt;0,COUNTIF(I2352,"49*")&gt;0,COUNTIF(J2352,"*49*")&gt;0,COUNTIF(I2352,"52*")&gt;0,COUNTIF(J2352,"*52*")&gt;0,COUNTIF(I2352,"55*")&gt;0,COUNTIF(J2352,"*55*")&gt;0,COUNTIF(I2352,"56*")&gt;0,COUNTIF(J2352,"*56*")&gt;0,COUNTIF(I2352,"68*")&gt;0,COUNTIF(J2352,"*68*")&gt;0,COUNTIF(I2352,"78*")&gt;0,COUNTIF(J2352,"*78*")&gt;0,COUNTIF(I2352,"81*")&gt;0,COUNTIF(J2352,"*81*")&gt;0,COUNTIF(I2352,"82*")&gt;0,COUNTIF(J2352,"*82*")&gt;0,COUNTIF(I2352,"64*")&gt;0,COUNTIF(J2352,"*64*")&gt;0,COUNTIF(I2352,"65*")&gt;0,COUNTIF(J2352,"*65*")&gt;0,COUNTIF(I2352,"66*")&gt;0,COUNTIF(J2352,"*66*")&gt;0,COUNTIF(I2352,"61*")&gt;0,COUNTIF(J2352,"*61*")&gt;0,COUNTIF(I2352,"62*")&gt;0,COUNTIF(J2352,"*62*")&gt;0,COUNTIF(I2352,"63*")&gt;0,COUNTIF(J2352,"*63*")&gt;0,COUNTIF(I2352,"85*")&gt;0,COUNTIF(J2352,"*85*")&gt;0,COUNTIF(I2352,"86*")&gt;0,COUNTIF(J2352,"*86*")&gt;0),"Да","Нет"))</f>
        <v/>
      </c>
      <c r="M2352" s="13">
        <f>IF(OR(G2352="",L2352&lt;&gt;"Да"),"",IF(G2352&lt;=100,"До 100",IF(G2352&lt;=200,"До 200",IF(G2352&lt;=500,"До 500","Отдельное КП"))))</f>
        <v/>
      </c>
      <c r="N2352" s="15">
        <f>IF(OR(G2352="",L2352&lt;&gt;"Да"),"",IF(G2352&lt;=100,33600,IF(G2352&lt;=200,62400,IF(G2352&lt;=500,144000,""))))</f>
        <v/>
      </c>
      <c r="O2352" s="16">
        <f>IF(G2352="","",IF(G2352&lt;=15,"1–15",IF(G2352&lt;=30,"16–30",IF(G2352&lt;=50,"31–50",IF(G2352&lt;=100,"51–100",IF(G2352&lt;=150,"101–150",IF(G2352&lt;=200,"151–200",IF(G2352&lt;=500,"201–500","500+"))))))))</f>
        <v/>
      </c>
      <c r="P2352" s="16" t="inlineStr">
        <is>
          <t>Нет совпадения в предоставленной выгрузке ССЧР</t>
        </is>
      </c>
      <c r="Q2352" s="16" t="n"/>
      <c r="R2352" s="16">
        <f>HYPERLINK("https://checko.ru/search?query=3801001629","Чекко: проверить")</f>
        <v/>
      </c>
      <c r="S2352" t="n">
        <v>0</v>
      </c>
    </row>
    <row r="2353" ht="15" customHeight="1" s="24">
      <c r="A2353" s="13" t="n">
        <v>5000094842</v>
      </c>
      <c r="B2353" s="13" t="inlineStr">
        <is>
          <t>МКУ "ЦБМУ" УМР КБР</t>
        </is>
      </c>
      <c r="C2353" s="13" t="n">
        <v>707019550</v>
      </c>
      <c r="D2353" s="13" t="n"/>
      <c r="E2353" s="13" t="inlineStr">
        <is>
          <t>Не определён</t>
        </is>
      </c>
      <c r="F2353" s="13" t="inlineStr">
        <is>
          <t>707019550</t>
        </is>
      </c>
      <c r="G2353" s="14" t="n"/>
      <c r="H2353" s="14" t="n"/>
      <c r="I2353" s="14" t="n"/>
      <c r="J2353" s="14" t="n"/>
      <c r="K2353" s="13">
        <f>IF(G2353="","",IF(G2353&gt;=22,"Да","Нет"))</f>
        <v/>
      </c>
      <c r="L2353" s="13">
        <f>IF(OR(I2353="",J2353=""),"Не определено",IF(OR(COUNTIF(I2353,"45*")&gt;0,COUNTIF(J2353,"*45*")&gt;0,COUNTIF(I2353,"46*")&gt;0,COUNTIF(J2353,"*46*")&gt;0,COUNTIF(I2353,"47*")&gt;0,COUNTIF(J2353,"*47*")&gt;0,COUNTIF(I2353,"10*")&gt;0,COUNTIF(J2353,"*10*")&gt;0,COUNTIF(I2353,"11*")&gt;0,COUNTIF(J2353,"*11*")&gt;0,COUNTIF(I2353,"12*")&gt;0,COUNTIF(J2353,"*12*")&gt;0,COUNTIF(I2353,"13*")&gt;0,COUNTIF(J2353,"*13*")&gt;0,COUNTIF(I2353,"14*")&gt;0,COUNTIF(J2353,"*14*")&gt;0,COUNTIF(I2353,"15*")&gt;0,COUNTIF(J2353,"*15*")&gt;0,COUNTIF(I2353,"16*")&gt;0,COUNTIF(J2353,"*16*")&gt;0,COUNTIF(I2353,"17*")&gt;0,COUNTIF(J2353,"*17*")&gt;0,COUNTIF(I2353,"18*")&gt;0,COUNTIF(J2353,"*18*")&gt;0,COUNTIF(I2353,"19*")&gt;0,COUNTIF(J2353,"*19*")&gt;0,COUNTIF(I2353,"20*")&gt;0,COUNTIF(J2353,"*20*")&gt;0,COUNTIF(I2353,"21*")&gt;0,COUNTIF(J2353,"*21*")&gt;0,COUNTIF(I2353,"22*")&gt;0,COUNTIF(J2353,"*22*")&gt;0,COUNTIF(I2353,"23*")&gt;0,COUNTIF(J2353,"*23*")&gt;0,COUNTIF(I2353,"24*")&gt;0,COUNTIF(J2353,"*24*")&gt;0,COUNTIF(I2353,"25*")&gt;0,COUNTIF(J2353,"*25*")&gt;0,COUNTIF(I2353,"26*")&gt;0,COUNTIF(J2353,"*26*")&gt;0,COUNTIF(I2353,"27*")&gt;0,COUNTIF(J2353,"*27*")&gt;0,COUNTIF(I2353,"28*")&gt;0,COUNTIF(J2353,"*28*")&gt;0,COUNTIF(I2353,"29*")&gt;0,COUNTIF(J2353,"*29*")&gt;0,COUNTIF(I2353,"30*")&gt;0,COUNTIF(J2353,"*30*")&gt;0,COUNTIF(I2353,"31*")&gt;0,COUNTIF(J2353,"*31*")&gt;0,COUNTIF(I2353,"32*")&gt;0,COUNTIF(J2353,"*32*")&gt;0,COUNTIF(I2353,"33*")&gt;0,COUNTIF(J2353,"*33*")&gt;0,COUNTIF(I2353,"41*")&gt;0,COUNTIF(J2353,"*41*")&gt;0,COUNTIF(I2353,"42*")&gt;0,COUNTIF(J2353,"*42*")&gt;0,COUNTIF(I2353,"43*")&gt;0,COUNTIF(J2353,"*43*")&gt;0,COUNTIF(I2353,"49*")&gt;0,COUNTIF(J2353,"*49*")&gt;0,COUNTIF(I2353,"52*")&gt;0,COUNTIF(J2353,"*52*")&gt;0,COUNTIF(I2353,"55*")&gt;0,COUNTIF(J2353,"*55*")&gt;0,COUNTIF(I2353,"56*")&gt;0,COUNTIF(J2353,"*56*")&gt;0,COUNTIF(I2353,"68*")&gt;0,COUNTIF(J2353,"*68*")&gt;0,COUNTIF(I2353,"78*")&gt;0,COUNTIF(J2353,"*78*")&gt;0,COUNTIF(I2353,"81*")&gt;0,COUNTIF(J2353,"*81*")&gt;0,COUNTIF(I2353,"82*")&gt;0,COUNTIF(J2353,"*82*")&gt;0,COUNTIF(I2353,"64*")&gt;0,COUNTIF(J2353,"*64*")&gt;0,COUNTIF(I2353,"65*")&gt;0,COUNTIF(J2353,"*65*")&gt;0,COUNTIF(I2353,"66*")&gt;0,COUNTIF(J2353,"*66*")&gt;0,COUNTIF(I2353,"61*")&gt;0,COUNTIF(J2353,"*61*")&gt;0,COUNTIF(I2353,"62*")&gt;0,COUNTIF(J2353,"*62*")&gt;0,COUNTIF(I2353,"63*")&gt;0,COUNTIF(J2353,"*63*")&gt;0,COUNTIF(I2353,"85*")&gt;0,COUNTIF(J2353,"*85*")&gt;0,COUNTIF(I2353,"86*")&gt;0,COUNTIF(J2353,"*86*")&gt;0),"Да","Нет"))</f>
        <v/>
      </c>
      <c r="M2353" s="13">
        <f>IF(OR(G2353="",L2353&lt;&gt;"Да"),"",IF(G2353&lt;=100,"До 100",IF(G2353&lt;=200,"До 200",IF(G2353&lt;=500,"До 500","Отдельное КП"))))</f>
        <v/>
      </c>
      <c r="N2353" s="15">
        <f>IF(OR(G2353="",L2353&lt;&gt;"Да"),"",IF(G2353&lt;=100,33600,IF(G2353&lt;=200,62400,IF(G2353&lt;=500,144000,""))))</f>
        <v/>
      </c>
      <c r="O2353" s="16">
        <f>IF(G2353="","",IF(G2353&lt;=15,"1–15",IF(G2353&lt;=30,"16–30",IF(G2353&lt;=50,"31–50",IF(G2353&lt;=100,"51–100",IF(G2353&lt;=150,"101–150",IF(G2353&lt;=200,"151–200",IF(G2353&lt;=500,"201–500","500+"))))))))</f>
        <v/>
      </c>
      <c r="P2353" s="16" t="inlineStr">
        <is>
          <t>Нет совпадения в предоставленной выгрузке ССЧР</t>
        </is>
      </c>
      <c r="Q2353" s="16" t="n"/>
      <c r="R2353" s="16">
        <f>HYPERLINK("https://checko.ru/search?query=3801001629","Чекко: проверить")</f>
        <v/>
      </c>
      <c r="S2353" t="n">
        <v>0</v>
      </c>
    </row>
    <row r="2354" ht="15" customHeight="1" s="24">
      <c r="A2354" s="13" t="n">
        <v>5000094843</v>
      </c>
      <c r="B2354" s="13" t="inlineStr">
        <is>
          <t>МКУ "ФОК им.Т.Х.Эркенова"</t>
        </is>
      </c>
      <c r="C2354" s="13" t="n">
        <v>707019616</v>
      </c>
      <c r="D2354" s="13" t="n"/>
      <c r="E2354" s="13" t="inlineStr">
        <is>
          <t>Не определён</t>
        </is>
      </c>
      <c r="F2354" s="13" t="inlineStr">
        <is>
          <t>707019616</t>
        </is>
      </c>
      <c r="G2354" s="14" t="n"/>
      <c r="H2354" s="14" t="n"/>
      <c r="I2354" s="14" t="n"/>
      <c r="J2354" s="14" t="n"/>
      <c r="K2354" s="13">
        <f>IF(G2354="","",IF(G2354&gt;=22,"Да","Нет"))</f>
        <v/>
      </c>
      <c r="L2354" s="13">
        <f>IF(OR(I2354="",J2354=""),"Не определено",IF(OR(COUNTIF(I2354,"45*")&gt;0,COUNTIF(J2354,"*45*")&gt;0,COUNTIF(I2354,"46*")&gt;0,COUNTIF(J2354,"*46*")&gt;0,COUNTIF(I2354,"47*")&gt;0,COUNTIF(J2354,"*47*")&gt;0,COUNTIF(I2354,"10*")&gt;0,COUNTIF(J2354,"*10*")&gt;0,COUNTIF(I2354,"11*")&gt;0,COUNTIF(J2354,"*11*")&gt;0,COUNTIF(I2354,"12*")&gt;0,COUNTIF(J2354,"*12*")&gt;0,COUNTIF(I2354,"13*")&gt;0,COUNTIF(J2354,"*13*")&gt;0,COUNTIF(I2354,"14*")&gt;0,COUNTIF(J2354,"*14*")&gt;0,COUNTIF(I2354,"15*")&gt;0,COUNTIF(J2354,"*15*")&gt;0,COUNTIF(I2354,"16*")&gt;0,COUNTIF(J2354,"*16*")&gt;0,COUNTIF(I2354,"17*")&gt;0,COUNTIF(J2354,"*17*")&gt;0,COUNTIF(I2354,"18*")&gt;0,COUNTIF(J2354,"*18*")&gt;0,COUNTIF(I2354,"19*")&gt;0,COUNTIF(J2354,"*19*")&gt;0,COUNTIF(I2354,"20*")&gt;0,COUNTIF(J2354,"*20*")&gt;0,COUNTIF(I2354,"21*")&gt;0,COUNTIF(J2354,"*21*")&gt;0,COUNTIF(I2354,"22*")&gt;0,COUNTIF(J2354,"*22*")&gt;0,COUNTIF(I2354,"23*")&gt;0,COUNTIF(J2354,"*23*")&gt;0,COUNTIF(I2354,"24*")&gt;0,COUNTIF(J2354,"*24*")&gt;0,COUNTIF(I2354,"25*")&gt;0,COUNTIF(J2354,"*25*")&gt;0,COUNTIF(I2354,"26*")&gt;0,COUNTIF(J2354,"*26*")&gt;0,COUNTIF(I2354,"27*")&gt;0,COUNTIF(J2354,"*27*")&gt;0,COUNTIF(I2354,"28*")&gt;0,COUNTIF(J2354,"*28*")&gt;0,COUNTIF(I2354,"29*")&gt;0,COUNTIF(J2354,"*29*")&gt;0,COUNTIF(I2354,"30*")&gt;0,COUNTIF(J2354,"*30*")&gt;0,COUNTIF(I2354,"31*")&gt;0,COUNTIF(J2354,"*31*")&gt;0,COUNTIF(I2354,"32*")&gt;0,COUNTIF(J2354,"*32*")&gt;0,COUNTIF(I2354,"33*")&gt;0,COUNTIF(J2354,"*33*")&gt;0,COUNTIF(I2354,"41*")&gt;0,COUNTIF(J2354,"*41*")&gt;0,COUNTIF(I2354,"42*")&gt;0,COUNTIF(J2354,"*42*")&gt;0,COUNTIF(I2354,"43*")&gt;0,COUNTIF(J2354,"*43*")&gt;0,COUNTIF(I2354,"49*")&gt;0,COUNTIF(J2354,"*49*")&gt;0,COUNTIF(I2354,"52*")&gt;0,COUNTIF(J2354,"*52*")&gt;0,COUNTIF(I2354,"55*")&gt;0,COUNTIF(J2354,"*55*")&gt;0,COUNTIF(I2354,"56*")&gt;0,COUNTIF(J2354,"*56*")&gt;0,COUNTIF(I2354,"68*")&gt;0,COUNTIF(J2354,"*68*")&gt;0,COUNTIF(I2354,"78*")&gt;0,COUNTIF(J2354,"*78*")&gt;0,COUNTIF(I2354,"81*")&gt;0,COUNTIF(J2354,"*81*")&gt;0,COUNTIF(I2354,"82*")&gt;0,COUNTIF(J2354,"*82*")&gt;0,COUNTIF(I2354,"64*")&gt;0,COUNTIF(J2354,"*64*")&gt;0,COUNTIF(I2354,"65*")&gt;0,COUNTIF(J2354,"*65*")&gt;0,COUNTIF(I2354,"66*")&gt;0,COUNTIF(J2354,"*66*")&gt;0,COUNTIF(I2354,"61*")&gt;0,COUNTIF(J2354,"*61*")&gt;0,COUNTIF(I2354,"62*")&gt;0,COUNTIF(J2354,"*62*")&gt;0,COUNTIF(I2354,"63*")&gt;0,COUNTIF(J2354,"*63*")&gt;0,COUNTIF(I2354,"85*")&gt;0,COUNTIF(J2354,"*85*")&gt;0,COUNTIF(I2354,"86*")&gt;0,COUNTIF(J2354,"*86*")&gt;0),"Да","Нет"))</f>
        <v/>
      </c>
      <c r="M2354" s="13">
        <f>IF(OR(G2354="",L2354&lt;&gt;"Да"),"",IF(G2354&lt;=100,"До 100",IF(G2354&lt;=200,"До 200",IF(G2354&lt;=500,"До 500","Отдельное КП"))))</f>
        <v/>
      </c>
      <c r="N2354" s="15">
        <f>IF(OR(G2354="",L2354&lt;&gt;"Да"),"",IF(G2354&lt;=100,33600,IF(G2354&lt;=200,62400,IF(G2354&lt;=500,144000,""))))</f>
        <v/>
      </c>
      <c r="O2354" s="16">
        <f>IF(G2354="","",IF(G2354&lt;=15,"1–15",IF(G2354&lt;=30,"16–30",IF(G2354&lt;=50,"31–50",IF(G2354&lt;=100,"51–100",IF(G2354&lt;=150,"101–150",IF(G2354&lt;=200,"151–200",IF(G2354&lt;=500,"201–500","500+"))))))))</f>
        <v/>
      </c>
      <c r="P2354" s="16" t="inlineStr">
        <is>
          <t>Нет совпадения в предоставленной выгрузке ССЧР</t>
        </is>
      </c>
      <c r="Q2354" s="16" t="n"/>
      <c r="R2354" s="16">
        <f>HYPERLINK("https://checko.ru/search?query=3801001629","Чекко: проверить")</f>
        <v/>
      </c>
      <c r="S2354" t="n">
        <v>0</v>
      </c>
    </row>
    <row r="2355" ht="15" customHeight="1" s="24">
      <c r="A2355" s="13" t="n">
        <v>5000094792</v>
      </c>
      <c r="B2355" s="13" t="inlineStr">
        <is>
          <t>МКУ ДО "СЮТ им. З.А. Налоева"</t>
        </is>
      </c>
      <c r="C2355" s="13" t="n">
        <v>707011409</v>
      </c>
      <c r="D2355" s="13" t="n"/>
      <c r="E2355" s="13" t="inlineStr">
        <is>
          <t>Не определён</t>
        </is>
      </c>
      <c r="F2355" s="13" t="inlineStr">
        <is>
          <t>707011409</t>
        </is>
      </c>
      <c r="G2355" s="14" t="n"/>
      <c r="H2355" s="14" t="n"/>
      <c r="I2355" s="14" t="n"/>
      <c r="J2355" s="14" t="n"/>
      <c r="K2355" s="13">
        <f>IF(G2355="","",IF(G2355&gt;=22,"Да","Нет"))</f>
        <v/>
      </c>
      <c r="L2355" s="13">
        <f>IF(OR(I2355="",J2355=""),"Не определено",IF(OR(COUNTIF(I2355,"45*")&gt;0,COUNTIF(J2355,"*45*")&gt;0,COUNTIF(I2355,"46*")&gt;0,COUNTIF(J2355,"*46*")&gt;0,COUNTIF(I2355,"47*")&gt;0,COUNTIF(J2355,"*47*")&gt;0,COUNTIF(I2355,"10*")&gt;0,COUNTIF(J2355,"*10*")&gt;0,COUNTIF(I2355,"11*")&gt;0,COUNTIF(J2355,"*11*")&gt;0,COUNTIF(I2355,"12*")&gt;0,COUNTIF(J2355,"*12*")&gt;0,COUNTIF(I2355,"13*")&gt;0,COUNTIF(J2355,"*13*")&gt;0,COUNTIF(I2355,"14*")&gt;0,COUNTIF(J2355,"*14*")&gt;0,COUNTIF(I2355,"15*")&gt;0,COUNTIF(J2355,"*15*")&gt;0,COUNTIF(I2355,"16*")&gt;0,COUNTIF(J2355,"*16*")&gt;0,COUNTIF(I2355,"17*")&gt;0,COUNTIF(J2355,"*17*")&gt;0,COUNTIF(I2355,"18*")&gt;0,COUNTIF(J2355,"*18*")&gt;0,COUNTIF(I2355,"19*")&gt;0,COUNTIF(J2355,"*19*")&gt;0,COUNTIF(I2355,"20*")&gt;0,COUNTIF(J2355,"*20*")&gt;0,COUNTIF(I2355,"21*")&gt;0,COUNTIF(J2355,"*21*")&gt;0,COUNTIF(I2355,"22*")&gt;0,COUNTIF(J2355,"*22*")&gt;0,COUNTIF(I2355,"23*")&gt;0,COUNTIF(J2355,"*23*")&gt;0,COUNTIF(I2355,"24*")&gt;0,COUNTIF(J2355,"*24*")&gt;0,COUNTIF(I2355,"25*")&gt;0,COUNTIF(J2355,"*25*")&gt;0,COUNTIF(I2355,"26*")&gt;0,COUNTIF(J2355,"*26*")&gt;0,COUNTIF(I2355,"27*")&gt;0,COUNTIF(J2355,"*27*")&gt;0,COUNTIF(I2355,"28*")&gt;0,COUNTIF(J2355,"*28*")&gt;0,COUNTIF(I2355,"29*")&gt;0,COUNTIF(J2355,"*29*")&gt;0,COUNTIF(I2355,"30*")&gt;0,COUNTIF(J2355,"*30*")&gt;0,COUNTIF(I2355,"31*")&gt;0,COUNTIF(J2355,"*31*")&gt;0,COUNTIF(I2355,"32*")&gt;0,COUNTIF(J2355,"*32*")&gt;0,COUNTIF(I2355,"33*")&gt;0,COUNTIF(J2355,"*33*")&gt;0,COUNTIF(I2355,"41*")&gt;0,COUNTIF(J2355,"*41*")&gt;0,COUNTIF(I2355,"42*")&gt;0,COUNTIF(J2355,"*42*")&gt;0,COUNTIF(I2355,"43*")&gt;0,COUNTIF(J2355,"*43*")&gt;0,COUNTIF(I2355,"49*")&gt;0,COUNTIF(J2355,"*49*")&gt;0,COUNTIF(I2355,"52*")&gt;0,COUNTIF(J2355,"*52*")&gt;0,COUNTIF(I2355,"55*")&gt;0,COUNTIF(J2355,"*55*")&gt;0,COUNTIF(I2355,"56*")&gt;0,COUNTIF(J2355,"*56*")&gt;0,COUNTIF(I2355,"68*")&gt;0,COUNTIF(J2355,"*68*")&gt;0,COUNTIF(I2355,"78*")&gt;0,COUNTIF(J2355,"*78*")&gt;0,COUNTIF(I2355,"81*")&gt;0,COUNTIF(J2355,"*81*")&gt;0,COUNTIF(I2355,"82*")&gt;0,COUNTIF(J2355,"*82*")&gt;0,COUNTIF(I2355,"64*")&gt;0,COUNTIF(J2355,"*64*")&gt;0,COUNTIF(I2355,"65*")&gt;0,COUNTIF(J2355,"*65*")&gt;0,COUNTIF(I2355,"66*")&gt;0,COUNTIF(J2355,"*66*")&gt;0,COUNTIF(I2355,"61*")&gt;0,COUNTIF(J2355,"*61*")&gt;0,COUNTIF(I2355,"62*")&gt;0,COUNTIF(J2355,"*62*")&gt;0,COUNTIF(I2355,"63*")&gt;0,COUNTIF(J2355,"*63*")&gt;0,COUNTIF(I2355,"85*")&gt;0,COUNTIF(J2355,"*85*")&gt;0,COUNTIF(I2355,"86*")&gt;0,COUNTIF(J2355,"*86*")&gt;0),"Да","Нет"))</f>
        <v/>
      </c>
      <c r="M2355" s="13">
        <f>IF(OR(G2355="",L2355&lt;&gt;"Да"),"",IF(G2355&lt;=100,"До 100",IF(G2355&lt;=200,"До 200",IF(G2355&lt;=500,"До 500","Отдельное КП"))))</f>
        <v/>
      </c>
      <c r="N2355" s="15">
        <f>IF(OR(G2355="",L2355&lt;&gt;"Да"),"",IF(G2355&lt;=100,33600,IF(G2355&lt;=200,62400,IF(G2355&lt;=500,144000,""))))</f>
        <v/>
      </c>
      <c r="O2355" s="16">
        <f>IF(G2355="","",IF(G2355&lt;=15,"1–15",IF(G2355&lt;=30,"16–30",IF(G2355&lt;=50,"31–50",IF(G2355&lt;=100,"51–100",IF(G2355&lt;=150,"101–150",IF(G2355&lt;=200,"151–200",IF(G2355&lt;=500,"201–500","500+"))))))))</f>
        <v/>
      </c>
      <c r="P2355" s="16" t="inlineStr">
        <is>
          <t>Нет совпадения в предоставленной выгрузке ССЧР</t>
        </is>
      </c>
      <c r="Q2355" s="16" t="n"/>
      <c r="R2355" s="16">
        <f>HYPERLINK("https://checko.ru/search?query=3801001629","Чекко: проверить")</f>
        <v/>
      </c>
      <c r="S2355" t="n">
        <v>0</v>
      </c>
    </row>
    <row r="2356" ht="15" customHeight="1" s="24">
      <c r="A2356" s="13" t="n">
        <v>5000094797</v>
      </c>
      <c r="B2356" s="13" t="inlineStr">
        <is>
          <t>МКУ " "Спортивная школа №3"" УМР КБР</t>
        </is>
      </c>
      <c r="C2356" s="13" t="n">
        <v>707011504</v>
      </c>
      <c r="D2356" s="13" t="n"/>
      <c r="E2356" s="13" t="inlineStr">
        <is>
          <t>Не определён</t>
        </is>
      </c>
      <c r="F2356" s="13" t="inlineStr">
        <is>
          <t>707011504</t>
        </is>
      </c>
      <c r="G2356" s="14" t="n"/>
      <c r="H2356" s="14" t="n"/>
      <c r="I2356" s="14" t="n"/>
      <c r="J2356" s="14" t="n"/>
      <c r="K2356" s="13">
        <f>IF(G2356="","",IF(G2356&gt;=22,"Да","Нет"))</f>
        <v/>
      </c>
      <c r="L2356" s="13">
        <f>IF(OR(I2356="",J2356=""),"Не определено",IF(OR(COUNTIF(I2356,"45*")&gt;0,COUNTIF(J2356,"*45*")&gt;0,COUNTIF(I2356,"46*")&gt;0,COUNTIF(J2356,"*46*")&gt;0,COUNTIF(I2356,"47*")&gt;0,COUNTIF(J2356,"*47*")&gt;0,COUNTIF(I2356,"10*")&gt;0,COUNTIF(J2356,"*10*")&gt;0,COUNTIF(I2356,"11*")&gt;0,COUNTIF(J2356,"*11*")&gt;0,COUNTIF(I2356,"12*")&gt;0,COUNTIF(J2356,"*12*")&gt;0,COUNTIF(I2356,"13*")&gt;0,COUNTIF(J2356,"*13*")&gt;0,COUNTIF(I2356,"14*")&gt;0,COUNTIF(J2356,"*14*")&gt;0,COUNTIF(I2356,"15*")&gt;0,COUNTIF(J2356,"*15*")&gt;0,COUNTIF(I2356,"16*")&gt;0,COUNTIF(J2356,"*16*")&gt;0,COUNTIF(I2356,"17*")&gt;0,COUNTIF(J2356,"*17*")&gt;0,COUNTIF(I2356,"18*")&gt;0,COUNTIF(J2356,"*18*")&gt;0,COUNTIF(I2356,"19*")&gt;0,COUNTIF(J2356,"*19*")&gt;0,COUNTIF(I2356,"20*")&gt;0,COUNTIF(J2356,"*20*")&gt;0,COUNTIF(I2356,"21*")&gt;0,COUNTIF(J2356,"*21*")&gt;0,COUNTIF(I2356,"22*")&gt;0,COUNTIF(J2356,"*22*")&gt;0,COUNTIF(I2356,"23*")&gt;0,COUNTIF(J2356,"*23*")&gt;0,COUNTIF(I2356,"24*")&gt;0,COUNTIF(J2356,"*24*")&gt;0,COUNTIF(I2356,"25*")&gt;0,COUNTIF(J2356,"*25*")&gt;0,COUNTIF(I2356,"26*")&gt;0,COUNTIF(J2356,"*26*")&gt;0,COUNTIF(I2356,"27*")&gt;0,COUNTIF(J2356,"*27*")&gt;0,COUNTIF(I2356,"28*")&gt;0,COUNTIF(J2356,"*28*")&gt;0,COUNTIF(I2356,"29*")&gt;0,COUNTIF(J2356,"*29*")&gt;0,COUNTIF(I2356,"30*")&gt;0,COUNTIF(J2356,"*30*")&gt;0,COUNTIF(I2356,"31*")&gt;0,COUNTIF(J2356,"*31*")&gt;0,COUNTIF(I2356,"32*")&gt;0,COUNTIF(J2356,"*32*")&gt;0,COUNTIF(I2356,"33*")&gt;0,COUNTIF(J2356,"*33*")&gt;0,COUNTIF(I2356,"41*")&gt;0,COUNTIF(J2356,"*41*")&gt;0,COUNTIF(I2356,"42*")&gt;0,COUNTIF(J2356,"*42*")&gt;0,COUNTIF(I2356,"43*")&gt;0,COUNTIF(J2356,"*43*")&gt;0,COUNTIF(I2356,"49*")&gt;0,COUNTIF(J2356,"*49*")&gt;0,COUNTIF(I2356,"52*")&gt;0,COUNTIF(J2356,"*52*")&gt;0,COUNTIF(I2356,"55*")&gt;0,COUNTIF(J2356,"*55*")&gt;0,COUNTIF(I2356,"56*")&gt;0,COUNTIF(J2356,"*56*")&gt;0,COUNTIF(I2356,"68*")&gt;0,COUNTIF(J2356,"*68*")&gt;0,COUNTIF(I2356,"78*")&gt;0,COUNTIF(J2356,"*78*")&gt;0,COUNTIF(I2356,"81*")&gt;0,COUNTIF(J2356,"*81*")&gt;0,COUNTIF(I2356,"82*")&gt;0,COUNTIF(J2356,"*82*")&gt;0,COUNTIF(I2356,"64*")&gt;0,COUNTIF(J2356,"*64*")&gt;0,COUNTIF(I2356,"65*")&gt;0,COUNTIF(J2356,"*65*")&gt;0,COUNTIF(I2356,"66*")&gt;0,COUNTIF(J2356,"*66*")&gt;0,COUNTIF(I2356,"61*")&gt;0,COUNTIF(J2356,"*61*")&gt;0,COUNTIF(I2356,"62*")&gt;0,COUNTIF(J2356,"*62*")&gt;0,COUNTIF(I2356,"63*")&gt;0,COUNTIF(J2356,"*63*")&gt;0,COUNTIF(I2356,"85*")&gt;0,COUNTIF(J2356,"*85*")&gt;0,COUNTIF(I2356,"86*")&gt;0,COUNTIF(J2356,"*86*")&gt;0),"Да","Нет"))</f>
        <v/>
      </c>
      <c r="M2356" s="13">
        <f>IF(OR(G2356="",L2356&lt;&gt;"Да"),"",IF(G2356&lt;=100,"До 100",IF(G2356&lt;=200,"До 200",IF(G2356&lt;=500,"До 500","Отдельное КП"))))</f>
        <v/>
      </c>
      <c r="N2356" s="15">
        <f>IF(OR(G2356="",L2356&lt;&gt;"Да"),"",IF(G2356&lt;=100,33600,IF(G2356&lt;=200,62400,IF(G2356&lt;=500,144000,""))))</f>
        <v/>
      </c>
      <c r="O2356" s="16">
        <f>IF(G2356="","",IF(G2356&lt;=15,"1–15",IF(G2356&lt;=30,"16–30",IF(G2356&lt;=50,"31–50",IF(G2356&lt;=100,"51–100",IF(G2356&lt;=150,"101–150",IF(G2356&lt;=200,"151–200",IF(G2356&lt;=500,"201–500","500+"))))))))</f>
        <v/>
      </c>
      <c r="P2356" s="16" t="inlineStr">
        <is>
          <t>Нет совпадения в предоставленной выгрузке ССЧР</t>
        </is>
      </c>
      <c r="Q2356" s="16" t="n"/>
      <c r="R2356" s="16">
        <f>HYPERLINK("https://checko.ru/search?query=3801001629","Чекко: проверить")</f>
        <v/>
      </c>
      <c r="S2356" t="n">
        <v>0</v>
      </c>
    </row>
    <row r="2357" ht="15" customHeight="1" s="24">
      <c r="A2357" s="13" t="n">
        <v>5000094803</v>
      </c>
      <c r="B2357" s="13" t="inlineStr">
        <is>
          <t>МКОУ "СОШ №3" с.п. Аргудан</t>
        </is>
      </c>
      <c r="C2357" s="13" t="n">
        <v>707011590</v>
      </c>
      <c r="D2357" s="13" t="n"/>
      <c r="E2357" s="13" t="inlineStr">
        <is>
          <t>Не определён</t>
        </is>
      </c>
      <c r="F2357" s="13" t="inlineStr">
        <is>
          <t>707011590</t>
        </is>
      </c>
      <c r="G2357" s="14" t="n"/>
      <c r="H2357" s="14" t="n"/>
      <c r="I2357" s="14" t="n"/>
      <c r="J2357" s="14" t="n"/>
      <c r="K2357" s="13">
        <f>IF(G2357="","",IF(G2357&gt;=22,"Да","Нет"))</f>
        <v/>
      </c>
      <c r="L2357" s="13">
        <f>IF(OR(I2357="",J2357=""),"Не определено",IF(OR(COUNTIF(I2357,"45*")&gt;0,COUNTIF(J2357,"*45*")&gt;0,COUNTIF(I2357,"46*")&gt;0,COUNTIF(J2357,"*46*")&gt;0,COUNTIF(I2357,"47*")&gt;0,COUNTIF(J2357,"*47*")&gt;0,COUNTIF(I2357,"10*")&gt;0,COUNTIF(J2357,"*10*")&gt;0,COUNTIF(I2357,"11*")&gt;0,COUNTIF(J2357,"*11*")&gt;0,COUNTIF(I2357,"12*")&gt;0,COUNTIF(J2357,"*12*")&gt;0,COUNTIF(I2357,"13*")&gt;0,COUNTIF(J2357,"*13*")&gt;0,COUNTIF(I2357,"14*")&gt;0,COUNTIF(J2357,"*14*")&gt;0,COUNTIF(I2357,"15*")&gt;0,COUNTIF(J2357,"*15*")&gt;0,COUNTIF(I2357,"16*")&gt;0,COUNTIF(J2357,"*16*")&gt;0,COUNTIF(I2357,"17*")&gt;0,COUNTIF(J2357,"*17*")&gt;0,COUNTIF(I2357,"18*")&gt;0,COUNTIF(J2357,"*18*")&gt;0,COUNTIF(I2357,"19*")&gt;0,COUNTIF(J2357,"*19*")&gt;0,COUNTIF(I2357,"20*")&gt;0,COUNTIF(J2357,"*20*")&gt;0,COUNTIF(I2357,"21*")&gt;0,COUNTIF(J2357,"*21*")&gt;0,COUNTIF(I2357,"22*")&gt;0,COUNTIF(J2357,"*22*")&gt;0,COUNTIF(I2357,"23*")&gt;0,COUNTIF(J2357,"*23*")&gt;0,COUNTIF(I2357,"24*")&gt;0,COUNTIF(J2357,"*24*")&gt;0,COUNTIF(I2357,"25*")&gt;0,COUNTIF(J2357,"*25*")&gt;0,COUNTIF(I2357,"26*")&gt;0,COUNTIF(J2357,"*26*")&gt;0,COUNTIF(I2357,"27*")&gt;0,COUNTIF(J2357,"*27*")&gt;0,COUNTIF(I2357,"28*")&gt;0,COUNTIF(J2357,"*28*")&gt;0,COUNTIF(I2357,"29*")&gt;0,COUNTIF(J2357,"*29*")&gt;0,COUNTIF(I2357,"30*")&gt;0,COUNTIF(J2357,"*30*")&gt;0,COUNTIF(I2357,"31*")&gt;0,COUNTIF(J2357,"*31*")&gt;0,COUNTIF(I2357,"32*")&gt;0,COUNTIF(J2357,"*32*")&gt;0,COUNTIF(I2357,"33*")&gt;0,COUNTIF(J2357,"*33*")&gt;0,COUNTIF(I2357,"41*")&gt;0,COUNTIF(J2357,"*41*")&gt;0,COUNTIF(I2357,"42*")&gt;0,COUNTIF(J2357,"*42*")&gt;0,COUNTIF(I2357,"43*")&gt;0,COUNTIF(J2357,"*43*")&gt;0,COUNTIF(I2357,"49*")&gt;0,COUNTIF(J2357,"*49*")&gt;0,COUNTIF(I2357,"52*")&gt;0,COUNTIF(J2357,"*52*")&gt;0,COUNTIF(I2357,"55*")&gt;0,COUNTIF(J2357,"*55*")&gt;0,COUNTIF(I2357,"56*")&gt;0,COUNTIF(J2357,"*56*")&gt;0,COUNTIF(I2357,"68*")&gt;0,COUNTIF(J2357,"*68*")&gt;0,COUNTIF(I2357,"78*")&gt;0,COUNTIF(J2357,"*78*")&gt;0,COUNTIF(I2357,"81*")&gt;0,COUNTIF(J2357,"*81*")&gt;0,COUNTIF(I2357,"82*")&gt;0,COUNTIF(J2357,"*82*")&gt;0,COUNTIF(I2357,"64*")&gt;0,COUNTIF(J2357,"*64*")&gt;0,COUNTIF(I2357,"65*")&gt;0,COUNTIF(J2357,"*65*")&gt;0,COUNTIF(I2357,"66*")&gt;0,COUNTIF(J2357,"*66*")&gt;0,COUNTIF(I2357,"61*")&gt;0,COUNTIF(J2357,"*61*")&gt;0,COUNTIF(I2357,"62*")&gt;0,COUNTIF(J2357,"*62*")&gt;0,COUNTIF(I2357,"63*")&gt;0,COUNTIF(J2357,"*63*")&gt;0,COUNTIF(I2357,"85*")&gt;0,COUNTIF(J2357,"*85*")&gt;0,COUNTIF(I2357,"86*")&gt;0,COUNTIF(J2357,"*86*")&gt;0),"Да","Нет"))</f>
        <v/>
      </c>
      <c r="M2357" s="13">
        <f>IF(OR(G2357="",L2357&lt;&gt;"Да"),"",IF(G2357&lt;=100,"До 100",IF(G2357&lt;=200,"До 200",IF(G2357&lt;=500,"До 500","Отдельное КП"))))</f>
        <v/>
      </c>
      <c r="N2357" s="15">
        <f>IF(OR(G2357="",L2357&lt;&gt;"Да"),"",IF(G2357&lt;=100,33600,IF(G2357&lt;=200,62400,IF(G2357&lt;=500,144000,""))))</f>
        <v/>
      </c>
      <c r="O2357" s="16">
        <f>IF(G2357="","",IF(G2357&lt;=15,"1–15",IF(G2357&lt;=30,"16–30",IF(G2357&lt;=50,"31–50",IF(G2357&lt;=100,"51–100",IF(G2357&lt;=150,"101–150",IF(G2357&lt;=200,"151–200",IF(G2357&lt;=500,"201–500","500+"))))))))</f>
        <v/>
      </c>
      <c r="P2357" s="16" t="inlineStr">
        <is>
          <t>Нет совпадения в предоставленной выгрузке ССЧР</t>
        </is>
      </c>
      <c r="Q2357" s="16" t="n"/>
      <c r="R2357" s="16">
        <f>HYPERLINK("https://checko.ru/search?query=3801001629","Чекко: проверить")</f>
        <v/>
      </c>
      <c r="S2357" t="n">
        <v>0</v>
      </c>
    </row>
    <row r="2358" ht="15" customHeight="1" s="24">
      <c r="A2358" s="13" t="n">
        <v>5000094804</v>
      </c>
      <c r="B2358" s="13" t="inlineStr">
        <is>
          <t>МКОУ "СОШ им. Х.Х. Долова с.п. Хатуей"</t>
        </is>
      </c>
      <c r="C2358" s="13" t="n">
        <v>707011600</v>
      </c>
      <c r="D2358" s="13" t="n"/>
      <c r="E2358" s="13" t="inlineStr">
        <is>
          <t>Не определён</t>
        </is>
      </c>
      <c r="F2358" s="13" t="inlineStr">
        <is>
          <t>707011600</t>
        </is>
      </c>
      <c r="G2358" s="14" t="n"/>
      <c r="H2358" s="14" t="n"/>
      <c r="I2358" s="14" t="n"/>
      <c r="J2358" s="14" t="n"/>
      <c r="K2358" s="13">
        <f>IF(G2358="","",IF(G2358&gt;=22,"Да","Нет"))</f>
        <v/>
      </c>
      <c r="L2358" s="13">
        <f>IF(OR(I2358="",J2358=""),"Не определено",IF(OR(COUNTIF(I2358,"45*")&gt;0,COUNTIF(J2358,"*45*")&gt;0,COUNTIF(I2358,"46*")&gt;0,COUNTIF(J2358,"*46*")&gt;0,COUNTIF(I2358,"47*")&gt;0,COUNTIF(J2358,"*47*")&gt;0,COUNTIF(I2358,"10*")&gt;0,COUNTIF(J2358,"*10*")&gt;0,COUNTIF(I2358,"11*")&gt;0,COUNTIF(J2358,"*11*")&gt;0,COUNTIF(I2358,"12*")&gt;0,COUNTIF(J2358,"*12*")&gt;0,COUNTIF(I2358,"13*")&gt;0,COUNTIF(J2358,"*13*")&gt;0,COUNTIF(I2358,"14*")&gt;0,COUNTIF(J2358,"*14*")&gt;0,COUNTIF(I2358,"15*")&gt;0,COUNTIF(J2358,"*15*")&gt;0,COUNTIF(I2358,"16*")&gt;0,COUNTIF(J2358,"*16*")&gt;0,COUNTIF(I2358,"17*")&gt;0,COUNTIF(J2358,"*17*")&gt;0,COUNTIF(I2358,"18*")&gt;0,COUNTIF(J2358,"*18*")&gt;0,COUNTIF(I2358,"19*")&gt;0,COUNTIF(J2358,"*19*")&gt;0,COUNTIF(I2358,"20*")&gt;0,COUNTIF(J2358,"*20*")&gt;0,COUNTIF(I2358,"21*")&gt;0,COUNTIF(J2358,"*21*")&gt;0,COUNTIF(I2358,"22*")&gt;0,COUNTIF(J2358,"*22*")&gt;0,COUNTIF(I2358,"23*")&gt;0,COUNTIF(J2358,"*23*")&gt;0,COUNTIF(I2358,"24*")&gt;0,COUNTIF(J2358,"*24*")&gt;0,COUNTIF(I2358,"25*")&gt;0,COUNTIF(J2358,"*25*")&gt;0,COUNTIF(I2358,"26*")&gt;0,COUNTIF(J2358,"*26*")&gt;0,COUNTIF(I2358,"27*")&gt;0,COUNTIF(J2358,"*27*")&gt;0,COUNTIF(I2358,"28*")&gt;0,COUNTIF(J2358,"*28*")&gt;0,COUNTIF(I2358,"29*")&gt;0,COUNTIF(J2358,"*29*")&gt;0,COUNTIF(I2358,"30*")&gt;0,COUNTIF(J2358,"*30*")&gt;0,COUNTIF(I2358,"31*")&gt;0,COUNTIF(J2358,"*31*")&gt;0,COUNTIF(I2358,"32*")&gt;0,COUNTIF(J2358,"*32*")&gt;0,COUNTIF(I2358,"33*")&gt;0,COUNTIF(J2358,"*33*")&gt;0,COUNTIF(I2358,"41*")&gt;0,COUNTIF(J2358,"*41*")&gt;0,COUNTIF(I2358,"42*")&gt;0,COUNTIF(J2358,"*42*")&gt;0,COUNTIF(I2358,"43*")&gt;0,COUNTIF(J2358,"*43*")&gt;0,COUNTIF(I2358,"49*")&gt;0,COUNTIF(J2358,"*49*")&gt;0,COUNTIF(I2358,"52*")&gt;0,COUNTIF(J2358,"*52*")&gt;0,COUNTIF(I2358,"55*")&gt;0,COUNTIF(J2358,"*55*")&gt;0,COUNTIF(I2358,"56*")&gt;0,COUNTIF(J2358,"*56*")&gt;0,COUNTIF(I2358,"68*")&gt;0,COUNTIF(J2358,"*68*")&gt;0,COUNTIF(I2358,"78*")&gt;0,COUNTIF(J2358,"*78*")&gt;0,COUNTIF(I2358,"81*")&gt;0,COUNTIF(J2358,"*81*")&gt;0,COUNTIF(I2358,"82*")&gt;0,COUNTIF(J2358,"*82*")&gt;0,COUNTIF(I2358,"64*")&gt;0,COUNTIF(J2358,"*64*")&gt;0,COUNTIF(I2358,"65*")&gt;0,COUNTIF(J2358,"*65*")&gt;0,COUNTIF(I2358,"66*")&gt;0,COUNTIF(J2358,"*66*")&gt;0,COUNTIF(I2358,"61*")&gt;0,COUNTIF(J2358,"*61*")&gt;0,COUNTIF(I2358,"62*")&gt;0,COUNTIF(J2358,"*62*")&gt;0,COUNTIF(I2358,"63*")&gt;0,COUNTIF(J2358,"*63*")&gt;0,COUNTIF(I2358,"85*")&gt;0,COUNTIF(J2358,"*85*")&gt;0,COUNTIF(I2358,"86*")&gt;0,COUNTIF(J2358,"*86*")&gt;0),"Да","Нет"))</f>
        <v/>
      </c>
      <c r="M2358" s="13">
        <f>IF(OR(G2358="",L2358&lt;&gt;"Да"),"",IF(G2358&lt;=100,"До 100",IF(G2358&lt;=200,"До 200",IF(G2358&lt;=500,"До 500","Отдельное КП"))))</f>
        <v/>
      </c>
      <c r="N2358" s="15">
        <f>IF(OR(G2358="",L2358&lt;&gt;"Да"),"",IF(G2358&lt;=100,33600,IF(G2358&lt;=200,62400,IF(G2358&lt;=500,144000,""))))</f>
        <v/>
      </c>
      <c r="O2358" s="16">
        <f>IF(G2358="","",IF(G2358&lt;=15,"1–15",IF(G2358&lt;=30,"16–30",IF(G2358&lt;=50,"31–50",IF(G2358&lt;=100,"51–100",IF(G2358&lt;=150,"101–150",IF(G2358&lt;=200,"151–200",IF(G2358&lt;=500,"201–500","500+"))))))))</f>
        <v/>
      </c>
      <c r="P2358" s="16" t="inlineStr">
        <is>
          <t>Нет совпадения в предоставленной выгрузке ССЧР</t>
        </is>
      </c>
      <c r="Q2358" s="16" t="n"/>
      <c r="R2358" s="16">
        <f>HYPERLINK("https://checko.ru/search?query=3801001629","Чекко: проверить")</f>
        <v/>
      </c>
      <c r="S2358" t="n">
        <v>0</v>
      </c>
    </row>
    <row r="2359" ht="15" customHeight="1" s="24">
      <c r="A2359" s="13" t="n">
        <v>5000094805</v>
      </c>
      <c r="B2359" s="13" t="inlineStr">
        <is>
          <t>МКОУ "СОШ № 2 с.п.Урух"</t>
        </is>
      </c>
      <c r="C2359" s="13" t="n">
        <v>707011617</v>
      </c>
      <c r="D2359" s="13" t="n"/>
      <c r="E2359" s="13" t="inlineStr">
        <is>
          <t>Не определён</t>
        </is>
      </c>
      <c r="F2359" s="13" t="inlineStr">
        <is>
          <t>707011617</t>
        </is>
      </c>
      <c r="G2359" s="14" t="n"/>
      <c r="H2359" s="14" t="n"/>
      <c r="I2359" s="14" t="n"/>
      <c r="J2359" s="14" t="n"/>
      <c r="K2359" s="13">
        <f>IF(G2359="","",IF(G2359&gt;=22,"Да","Нет"))</f>
        <v/>
      </c>
      <c r="L2359" s="13">
        <f>IF(OR(I2359="",J2359=""),"Не определено",IF(OR(COUNTIF(I2359,"45*")&gt;0,COUNTIF(J2359,"*45*")&gt;0,COUNTIF(I2359,"46*")&gt;0,COUNTIF(J2359,"*46*")&gt;0,COUNTIF(I2359,"47*")&gt;0,COUNTIF(J2359,"*47*")&gt;0,COUNTIF(I2359,"10*")&gt;0,COUNTIF(J2359,"*10*")&gt;0,COUNTIF(I2359,"11*")&gt;0,COUNTIF(J2359,"*11*")&gt;0,COUNTIF(I2359,"12*")&gt;0,COUNTIF(J2359,"*12*")&gt;0,COUNTIF(I2359,"13*")&gt;0,COUNTIF(J2359,"*13*")&gt;0,COUNTIF(I2359,"14*")&gt;0,COUNTIF(J2359,"*14*")&gt;0,COUNTIF(I2359,"15*")&gt;0,COUNTIF(J2359,"*15*")&gt;0,COUNTIF(I2359,"16*")&gt;0,COUNTIF(J2359,"*16*")&gt;0,COUNTIF(I2359,"17*")&gt;0,COUNTIF(J2359,"*17*")&gt;0,COUNTIF(I2359,"18*")&gt;0,COUNTIF(J2359,"*18*")&gt;0,COUNTIF(I2359,"19*")&gt;0,COUNTIF(J2359,"*19*")&gt;0,COUNTIF(I2359,"20*")&gt;0,COUNTIF(J2359,"*20*")&gt;0,COUNTIF(I2359,"21*")&gt;0,COUNTIF(J2359,"*21*")&gt;0,COUNTIF(I2359,"22*")&gt;0,COUNTIF(J2359,"*22*")&gt;0,COUNTIF(I2359,"23*")&gt;0,COUNTIF(J2359,"*23*")&gt;0,COUNTIF(I2359,"24*")&gt;0,COUNTIF(J2359,"*24*")&gt;0,COUNTIF(I2359,"25*")&gt;0,COUNTIF(J2359,"*25*")&gt;0,COUNTIF(I2359,"26*")&gt;0,COUNTIF(J2359,"*26*")&gt;0,COUNTIF(I2359,"27*")&gt;0,COUNTIF(J2359,"*27*")&gt;0,COUNTIF(I2359,"28*")&gt;0,COUNTIF(J2359,"*28*")&gt;0,COUNTIF(I2359,"29*")&gt;0,COUNTIF(J2359,"*29*")&gt;0,COUNTIF(I2359,"30*")&gt;0,COUNTIF(J2359,"*30*")&gt;0,COUNTIF(I2359,"31*")&gt;0,COUNTIF(J2359,"*31*")&gt;0,COUNTIF(I2359,"32*")&gt;0,COUNTIF(J2359,"*32*")&gt;0,COUNTIF(I2359,"33*")&gt;0,COUNTIF(J2359,"*33*")&gt;0,COUNTIF(I2359,"41*")&gt;0,COUNTIF(J2359,"*41*")&gt;0,COUNTIF(I2359,"42*")&gt;0,COUNTIF(J2359,"*42*")&gt;0,COUNTIF(I2359,"43*")&gt;0,COUNTIF(J2359,"*43*")&gt;0,COUNTIF(I2359,"49*")&gt;0,COUNTIF(J2359,"*49*")&gt;0,COUNTIF(I2359,"52*")&gt;0,COUNTIF(J2359,"*52*")&gt;0,COUNTIF(I2359,"55*")&gt;0,COUNTIF(J2359,"*55*")&gt;0,COUNTIF(I2359,"56*")&gt;0,COUNTIF(J2359,"*56*")&gt;0,COUNTIF(I2359,"68*")&gt;0,COUNTIF(J2359,"*68*")&gt;0,COUNTIF(I2359,"78*")&gt;0,COUNTIF(J2359,"*78*")&gt;0,COUNTIF(I2359,"81*")&gt;0,COUNTIF(J2359,"*81*")&gt;0,COUNTIF(I2359,"82*")&gt;0,COUNTIF(J2359,"*82*")&gt;0,COUNTIF(I2359,"64*")&gt;0,COUNTIF(J2359,"*64*")&gt;0,COUNTIF(I2359,"65*")&gt;0,COUNTIF(J2359,"*65*")&gt;0,COUNTIF(I2359,"66*")&gt;0,COUNTIF(J2359,"*66*")&gt;0,COUNTIF(I2359,"61*")&gt;0,COUNTIF(J2359,"*61*")&gt;0,COUNTIF(I2359,"62*")&gt;0,COUNTIF(J2359,"*62*")&gt;0,COUNTIF(I2359,"63*")&gt;0,COUNTIF(J2359,"*63*")&gt;0,COUNTIF(I2359,"85*")&gt;0,COUNTIF(J2359,"*85*")&gt;0,COUNTIF(I2359,"86*")&gt;0,COUNTIF(J2359,"*86*")&gt;0),"Да","Нет"))</f>
        <v/>
      </c>
      <c r="M2359" s="13">
        <f>IF(OR(G2359="",L2359&lt;&gt;"Да"),"",IF(G2359&lt;=100,"До 100",IF(G2359&lt;=200,"До 200",IF(G2359&lt;=500,"До 500","Отдельное КП"))))</f>
        <v/>
      </c>
      <c r="N2359" s="15">
        <f>IF(OR(G2359="",L2359&lt;&gt;"Да"),"",IF(G2359&lt;=100,33600,IF(G2359&lt;=200,62400,IF(G2359&lt;=500,144000,""))))</f>
        <v/>
      </c>
      <c r="O2359" s="16">
        <f>IF(G2359="","",IF(G2359&lt;=15,"1–15",IF(G2359&lt;=30,"16–30",IF(G2359&lt;=50,"31–50",IF(G2359&lt;=100,"51–100",IF(G2359&lt;=150,"101–150",IF(G2359&lt;=200,"151–200",IF(G2359&lt;=500,"201–500","500+"))))))))</f>
        <v/>
      </c>
      <c r="P2359" s="16" t="inlineStr">
        <is>
          <t>Нет совпадения в предоставленной выгрузке ССЧР</t>
        </is>
      </c>
      <c r="Q2359" s="16" t="n"/>
      <c r="R2359" s="16">
        <f>HYPERLINK("https://checko.ru/search?query=3801001629","Чекко: проверить")</f>
        <v/>
      </c>
      <c r="S2359" t="n">
        <v>0</v>
      </c>
    </row>
    <row r="2360" ht="15" customHeight="1" s="24">
      <c r="A2360" s="13" t="n">
        <v>5000094806</v>
      </c>
      <c r="B2360" s="13" t="inlineStr">
        <is>
          <t>МКОУ "СОШ №1 с.п. Урух"</t>
        </is>
      </c>
      <c r="C2360" s="13" t="n">
        <v>707011624</v>
      </c>
      <c r="D2360" s="13" t="n"/>
      <c r="E2360" s="13" t="inlineStr">
        <is>
          <t>Не определён</t>
        </is>
      </c>
      <c r="F2360" s="13" t="inlineStr">
        <is>
          <t>707011624</t>
        </is>
      </c>
      <c r="G2360" s="14" t="n"/>
      <c r="H2360" s="14" t="n"/>
      <c r="I2360" s="14" t="n"/>
      <c r="J2360" s="14" t="n"/>
      <c r="K2360" s="13">
        <f>IF(G2360="","",IF(G2360&gt;=22,"Да","Нет"))</f>
        <v/>
      </c>
      <c r="L2360" s="13">
        <f>IF(OR(I2360="",J2360=""),"Не определено",IF(OR(COUNTIF(I2360,"45*")&gt;0,COUNTIF(J2360,"*45*")&gt;0,COUNTIF(I2360,"46*")&gt;0,COUNTIF(J2360,"*46*")&gt;0,COUNTIF(I2360,"47*")&gt;0,COUNTIF(J2360,"*47*")&gt;0,COUNTIF(I2360,"10*")&gt;0,COUNTIF(J2360,"*10*")&gt;0,COUNTIF(I2360,"11*")&gt;0,COUNTIF(J2360,"*11*")&gt;0,COUNTIF(I2360,"12*")&gt;0,COUNTIF(J2360,"*12*")&gt;0,COUNTIF(I2360,"13*")&gt;0,COUNTIF(J2360,"*13*")&gt;0,COUNTIF(I2360,"14*")&gt;0,COUNTIF(J2360,"*14*")&gt;0,COUNTIF(I2360,"15*")&gt;0,COUNTIF(J2360,"*15*")&gt;0,COUNTIF(I2360,"16*")&gt;0,COUNTIF(J2360,"*16*")&gt;0,COUNTIF(I2360,"17*")&gt;0,COUNTIF(J2360,"*17*")&gt;0,COUNTIF(I2360,"18*")&gt;0,COUNTIF(J2360,"*18*")&gt;0,COUNTIF(I2360,"19*")&gt;0,COUNTIF(J2360,"*19*")&gt;0,COUNTIF(I2360,"20*")&gt;0,COUNTIF(J2360,"*20*")&gt;0,COUNTIF(I2360,"21*")&gt;0,COUNTIF(J2360,"*21*")&gt;0,COUNTIF(I2360,"22*")&gt;0,COUNTIF(J2360,"*22*")&gt;0,COUNTIF(I2360,"23*")&gt;0,COUNTIF(J2360,"*23*")&gt;0,COUNTIF(I2360,"24*")&gt;0,COUNTIF(J2360,"*24*")&gt;0,COUNTIF(I2360,"25*")&gt;0,COUNTIF(J2360,"*25*")&gt;0,COUNTIF(I2360,"26*")&gt;0,COUNTIF(J2360,"*26*")&gt;0,COUNTIF(I2360,"27*")&gt;0,COUNTIF(J2360,"*27*")&gt;0,COUNTIF(I2360,"28*")&gt;0,COUNTIF(J2360,"*28*")&gt;0,COUNTIF(I2360,"29*")&gt;0,COUNTIF(J2360,"*29*")&gt;0,COUNTIF(I2360,"30*")&gt;0,COUNTIF(J2360,"*30*")&gt;0,COUNTIF(I2360,"31*")&gt;0,COUNTIF(J2360,"*31*")&gt;0,COUNTIF(I2360,"32*")&gt;0,COUNTIF(J2360,"*32*")&gt;0,COUNTIF(I2360,"33*")&gt;0,COUNTIF(J2360,"*33*")&gt;0,COUNTIF(I2360,"41*")&gt;0,COUNTIF(J2360,"*41*")&gt;0,COUNTIF(I2360,"42*")&gt;0,COUNTIF(J2360,"*42*")&gt;0,COUNTIF(I2360,"43*")&gt;0,COUNTIF(J2360,"*43*")&gt;0,COUNTIF(I2360,"49*")&gt;0,COUNTIF(J2360,"*49*")&gt;0,COUNTIF(I2360,"52*")&gt;0,COUNTIF(J2360,"*52*")&gt;0,COUNTIF(I2360,"55*")&gt;0,COUNTIF(J2360,"*55*")&gt;0,COUNTIF(I2360,"56*")&gt;0,COUNTIF(J2360,"*56*")&gt;0,COUNTIF(I2360,"68*")&gt;0,COUNTIF(J2360,"*68*")&gt;0,COUNTIF(I2360,"78*")&gt;0,COUNTIF(J2360,"*78*")&gt;0,COUNTIF(I2360,"81*")&gt;0,COUNTIF(J2360,"*81*")&gt;0,COUNTIF(I2360,"82*")&gt;0,COUNTIF(J2360,"*82*")&gt;0,COUNTIF(I2360,"64*")&gt;0,COUNTIF(J2360,"*64*")&gt;0,COUNTIF(I2360,"65*")&gt;0,COUNTIF(J2360,"*65*")&gt;0,COUNTIF(I2360,"66*")&gt;0,COUNTIF(J2360,"*66*")&gt;0,COUNTIF(I2360,"61*")&gt;0,COUNTIF(J2360,"*61*")&gt;0,COUNTIF(I2360,"62*")&gt;0,COUNTIF(J2360,"*62*")&gt;0,COUNTIF(I2360,"63*")&gt;0,COUNTIF(J2360,"*63*")&gt;0,COUNTIF(I2360,"85*")&gt;0,COUNTIF(J2360,"*85*")&gt;0,COUNTIF(I2360,"86*")&gt;0,COUNTIF(J2360,"*86*")&gt;0),"Да","Нет"))</f>
        <v/>
      </c>
      <c r="M2360" s="13">
        <f>IF(OR(G2360="",L2360&lt;&gt;"Да"),"",IF(G2360&lt;=100,"До 100",IF(G2360&lt;=200,"До 200",IF(G2360&lt;=500,"До 500","Отдельное КП"))))</f>
        <v/>
      </c>
      <c r="N2360" s="15">
        <f>IF(OR(G2360="",L2360&lt;&gt;"Да"),"",IF(G2360&lt;=100,33600,IF(G2360&lt;=200,62400,IF(G2360&lt;=500,144000,""))))</f>
        <v/>
      </c>
      <c r="O2360" s="16">
        <f>IF(G2360="","",IF(G2360&lt;=15,"1–15",IF(G2360&lt;=30,"16–30",IF(G2360&lt;=50,"31–50",IF(G2360&lt;=100,"51–100",IF(G2360&lt;=150,"101–150",IF(G2360&lt;=200,"151–200",IF(G2360&lt;=500,"201–500","500+"))))))))</f>
        <v/>
      </c>
      <c r="P2360" s="16" t="inlineStr">
        <is>
          <t>Нет совпадения в предоставленной выгрузке ССЧР</t>
        </is>
      </c>
      <c r="Q2360" s="16" t="n"/>
      <c r="R2360" s="16">
        <f>HYPERLINK("https://checko.ru/search?query=3801001629","Чекко: проверить")</f>
        <v/>
      </c>
      <c r="S2360" t="n">
        <v>0</v>
      </c>
    </row>
    <row r="2361" ht="27.75" customHeight="1" s="24">
      <c r="A2361" s="13" t="n">
        <v>5000094807</v>
      </c>
      <c r="B2361" s="13" t="inlineStr">
        <is>
          <t>МКОУ "СОШ №1" с.п. Аргудан Лескенского муниципального района</t>
        </is>
      </c>
      <c r="C2361" s="13" t="n">
        <v>707011631</v>
      </c>
      <c r="D2361" s="13" t="n"/>
      <c r="E2361" s="13" t="inlineStr">
        <is>
          <t>Не определён</t>
        </is>
      </c>
      <c r="F2361" s="13" t="inlineStr">
        <is>
          <t>707011631</t>
        </is>
      </c>
      <c r="G2361" s="14" t="n"/>
      <c r="H2361" s="14" t="n"/>
      <c r="I2361" s="14" t="n"/>
      <c r="J2361" s="14" t="n"/>
      <c r="K2361" s="13">
        <f>IF(G2361="","",IF(G2361&gt;=22,"Да","Нет"))</f>
        <v/>
      </c>
      <c r="L2361" s="13">
        <f>IF(OR(I2361="",J2361=""),"Не определено",IF(OR(COUNTIF(I2361,"45*")&gt;0,COUNTIF(J2361,"*45*")&gt;0,COUNTIF(I2361,"46*")&gt;0,COUNTIF(J2361,"*46*")&gt;0,COUNTIF(I2361,"47*")&gt;0,COUNTIF(J2361,"*47*")&gt;0,COUNTIF(I2361,"10*")&gt;0,COUNTIF(J2361,"*10*")&gt;0,COUNTIF(I2361,"11*")&gt;0,COUNTIF(J2361,"*11*")&gt;0,COUNTIF(I2361,"12*")&gt;0,COUNTIF(J2361,"*12*")&gt;0,COUNTIF(I2361,"13*")&gt;0,COUNTIF(J2361,"*13*")&gt;0,COUNTIF(I2361,"14*")&gt;0,COUNTIF(J2361,"*14*")&gt;0,COUNTIF(I2361,"15*")&gt;0,COUNTIF(J2361,"*15*")&gt;0,COUNTIF(I2361,"16*")&gt;0,COUNTIF(J2361,"*16*")&gt;0,COUNTIF(I2361,"17*")&gt;0,COUNTIF(J2361,"*17*")&gt;0,COUNTIF(I2361,"18*")&gt;0,COUNTIF(J2361,"*18*")&gt;0,COUNTIF(I2361,"19*")&gt;0,COUNTIF(J2361,"*19*")&gt;0,COUNTIF(I2361,"20*")&gt;0,COUNTIF(J2361,"*20*")&gt;0,COUNTIF(I2361,"21*")&gt;0,COUNTIF(J2361,"*21*")&gt;0,COUNTIF(I2361,"22*")&gt;0,COUNTIF(J2361,"*22*")&gt;0,COUNTIF(I2361,"23*")&gt;0,COUNTIF(J2361,"*23*")&gt;0,COUNTIF(I2361,"24*")&gt;0,COUNTIF(J2361,"*24*")&gt;0,COUNTIF(I2361,"25*")&gt;0,COUNTIF(J2361,"*25*")&gt;0,COUNTIF(I2361,"26*")&gt;0,COUNTIF(J2361,"*26*")&gt;0,COUNTIF(I2361,"27*")&gt;0,COUNTIF(J2361,"*27*")&gt;0,COUNTIF(I2361,"28*")&gt;0,COUNTIF(J2361,"*28*")&gt;0,COUNTIF(I2361,"29*")&gt;0,COUNTIF(J2361,"*29*")&gt;0,COUNTIF(I2361,"30*")&gt;0,COUNTIF(J2361,"*30*")&gt;0,COUNTIF(I2361,"31*")&gt;0,COUNTIF(J2361,"*31*")&gt;0,COUNTIF(I2361,"32*")&gt;0,COUNTIF(J2361,"*32*")&gt;0,COUNTIF(I2361,"33*")&gt;0,COUNTIF(J2361,"*33*")&gt;0,COUNTIF(I2361,"41*")&gt;0,COUNTIF(J2361,"*41*")&gt;0,COUNTIF(I2361,"42*")&gt;0,COUNTIF(J2361,"*42*")&gt;0,COUNTIF(I2361,"43*")&gt;0,COUNTIF(J2361,"*43*")&gt;0,COUNTIF(I2361,"49*")&gt;0,COUNTIF(J2361,"*49*")&gt;0,COUNTIF(I2361,"52*")&gt;0,COUNTIF(J2361,"*52*")&gt;0,COUNTIF(I2361,"55*")&gt;0,COUNTIF(J2361,"*55*")&gt;0,COUNTIF(I2361,"56*")&gt;0,COUNTIF(J2361,"*56*")&gt;0,COUNTIF(I2361,"68*")&gt;0,COUNTIF(J2361,"*68*")&gt;0,COUNTIF(I2361,"78*")&gt;0,COUNTIF(J2361,"*78*")&gt;0,COUNTIF(I2361,"81*")&gt;0,COUNTIF(J2361,"*81*")&gt;0,COUNTIF(I2361,"82*")&gt;0,COUNTIF(J2361,"*82*")&gt;0,COUNTIF(I2361,"64*")&gt;0,COUNTIF(J2361,"*64*")&gt;0,COUNTIF(I2361,"65*")&gt;0,COUNTIF(J2361,"*65*")&gt;0,COUNTIF(I2361,"66*")&gt;0,COUNTIF(J2361,"*66*")&gt;0,COUNTIF(I2361,"61*")&gt;0,COUNTIF(J2361,"*61*")&gt;0,COUNTIF(I2361,"62*")&gt;0,COUNTIF(J2361,"*62*")&gt;0,COUNTIF(I2361,"63*")&gt;0,COUNTIF(J2361,"*63*")&gt;0,COUNTIF(I2361,"85*")&gt;0,COUNTIF(J2361,"*85*")&gt;0,COUNTIF(I2361,"86*")&gt;0,COUNTIF(J2361,"*86*")&gt;0),"Да","Нет"))</f>
        <v/>
      </c>
      <c r="M2361" s="13">
        <f>IF(OR(G2361="",L2361&lt;&gt;"Да"),"",IF(G2361&lt;=100,"До 100",IF(G2361&lt;=200,"До 200",IF(G2361&lt;=500,"До 500","Отдельное КП"))))</f>
        <v/>
      </c>
      <c r="N2361" s="15">
        <f>IF(OR(G2361="",L2361&lt;&gt;"Да"),"",IF(G2361&lt;=100,33600,IF(G2361&lt;=200,62400,IF(G2361&lt;=500,144000,""))))</f>
        <v/>
      </c>
      <c r="O2361" s="16">
        <f>IF(G2361="","",IF(G2361&lt;=15,"1–15",IF(G2361&lt;=30,"16–30",IF(G2361&lt;=50,"31–50",IF(G2361&lt;=100,"51–100",IF(G2361&lt;=150,"101–150",IF(G2361&lt;=200,"151–200",IF(G2361&lt;=500,"201–500","500+"))))))))</f>
        <v/>
      </c>
      <c r="P2361" s="16" t="inlineStr">
        <is>
          <t>Нет совпадения в предоставленной выгрузке ССЧР</t>
        </is>
      </c>
      <c r="Q2361" s="16" t="n"/>
      <c r="R2361" s="16">
        <f>HYPERLINK("https://checko.ru/search?query=3801001629","Чекко: проверить")</f>
        <v/>
      </c>
      <c r="S2361" t="n">
        <v>0</v>
      </c>
    </row>
    <row r="2362" ht="27.75" customHeight="1" s="24">
      <c r="A2362" s="13" t="n">
        <v>5000094898</v>
      </c>
      <c r="B2362" s="13" t="inlineStr">
        <is>
          <t>КОНТРОЛЬНО-СЧЕТНАЯ ПАЛАТА ЧЕГЕМСКОГО МУНИЦИПАЛЬНОГО РАЙОНА</t>
        </is>
      </c>
      <c r="C2362" s="13" t="n">
        <v>708015068</v>
      </c>
      <c r="D2362" s="13" t="n"/>
      <c r="E2362" s="13" t="inlineStr">
        <is>
          <t>Не определён</t>
        </is>
      </c>
      <c r="F2362" s="13" t="inlineStr">
        <is>
          <t>708015068</t>
        </is>
      </c>
      <c r="G2362" s="14" t="n"/>
      <c r="H2362" s="14" t="n"/>
      <c r="I2362" s="14" t="n"/>
      <c r="J2362" s="14" t="n"/>
      <c r="K2362" s="13">
        <f>IF(G2362="","",IF(G2362&gt;=22,"Да","Нет"))</f>
        <v/>
      </c>
      <c r="L2362" s="13">
        <f>IF(OR(I2362="",J2362=""),"Не определено",IF(OR(COUNTIF(I2362,"45*")&gt;0,COUNTIF(J2362,"*45*")&gt;0,COUNTIF(I2362,"46*")&gt;0,COUNTIF(J2362,"*46*")&gt;0,COUNTIF(I2362,"47*")&gt;0,COUNTIF(J2362,"*47*")&gt;0,COUNTIF(I2362,"10*")&gt;0,COUNTIF(J2362,"*10*")&gt;0,COUNTIF(I2362,"11*")&gt;0,COUNTIF(J2362,"*11*")&gt;0,COUNTIF(I2362,"12*")&gt;0,COUNTIF(J2362,"*12*")&gt;0,COUNTIF(I2362,"13*")&gt;0,COUNTIF(J2362,"*13*")&gt;0,COUNTIF(I2362,"14*")&gt;0,COUNTIF(J2362,"*14*")&gt;0,COUNTIF(I2362,"15*")&gt;0,COUNTIF(J2362,"*15*")&gt;0,COUNTIF(I2362,"16*")&gt;0,COUNTIF(J2362,"*16*")&gt;0,COUNTIF(I2362,"17*")&gt;0,COUNTIF(J2362,"*17*")&gt;0,COUNTIF(I2362,"18*")&gt;0,COUNTIF(J2362,"*18*")&gt;0,COUNTIF(I2362,"19*")&gt;0,COUNTIF(J2362,"*19*")&gt;0,COUNTIF(I2362,"20*")&gt;0,COUNTIF(J2362,"*20*")&gt;0,COUNTIF(I2362,"21*")&gt;0,COUNTIF(J2362,"*21*")&gt;0,COUNTIF(I2362,"22*")&gt;0,COUNTIF(J2362,"*22*")&gt;0,COUNTIF(I2362,"23*")&gt;0,COUNTIF(J2362,"*23*")&gt;0,COUNTIF(I2362,"24*")&gt;0,COUNTIF(J2362,"*24*")&gt;0,COUNTIF(I2362,"25*")&gt;0,COUNTIF(J2362,"*25*")&gt;0,COUNTIF(I2362,"26*")&gt;0,COUNTIF(J2362,"*26*")&gt;0,COUNTIF(I2362,"27*")&gt;0,COUNTIF(J2362,"*27*")&gt;0,COUNTIF(I2362,"28*")&gt;0,COUNTIF(J2362,"*28*")&gt;0,COUNTIF(I2362,"29*")&gt;0,COUNTIF(J2362,"*29*")&gt;0,COUNTIF(I2362,"30*")&gt;0,COUNTIF(J2362,"*30*")&gt;0,COUNTIF(I2362,"31*")&gt;0,COUNTIF(J2362,"*31*")&gt;0,COUNTIF(I2362,"32*")&gt;0,COUNTIF(J2362,"*32*")&gt;0,COUNTIF(I2362,"33*")&gt;0,COUNTIF(J2362,"*33*")&gt;0,COUNTIF(I2362,"41*")&gt;0,COUNTIF(J2362,"*41*")&gt;0,COUNTIF(I2362,"42*")&gt;0,COUNTIF(J2362,"*42*")&gt;0,COUNTIF(I2362,"43*")&gt;0,COUNTIF(J2362,"*43*")&gt;0,COUNTIF(I2362,"49*")&gt;0,COUNTIF(J2362,"*49*")&gt;0,COUNTIF(I2362,"52*")&gt;0,COUNTIF(J2362,"*52*")&gt;0,COUNTIF(I2362,"55*")&gt;0,COUNTIF(J2362,"*55*")&gt;0,COUNTIF(I2362,"56*")&gt;0,COUNTIF(J2362,"*56*")&gt;0,COUNTIF(I2362,"68*")&gt;0,COUNTIF(J2362,"*68*")&gt;0,COUNTIF(I2362,"78*")&gt;0,COUNTIF(J2362,"*78*")&gt;0,COUNTIF(I2362,"81*")&gt;0,COUNTIF(J2362,"*81*")&gt;0,COUNTIF(I2362,"82*")&gt;0,COUNTIF(J2362,"*82*")&gt;0,COUNTIF(I2362,"64*")&gt;0,COUNTIF(J2362,"*64*")&gt;0,COUNTIF(I2362,"65*")&gt;0,COUNTIF(J2362,"*65*")&gt;0,COUNTIF(I2362,"66*")&gt;0,COUNTIF(J2362,"*66*")&gt;0,COUNTIF(I2362,"61*")&gt;0,COUNTIF(J2362,"*61*")&gt;0,COUNTIF(I2362,"62*")&gt;0,COUNTIF(J2362,"*62*")&gt;0,COUNTIF(I2362,"63*")&gt;0,COUNTIF(J2362,"*63*")&gt;0,COUNTIF(I2362,"85*")&gt;0,COUNTIF(J2362,"*85*")&gt;0,COUNTIF(I2362,"86*")&gt;0,COUNTIF(J2362,"*86*")&gt;0),"Да","Нет"))</f>
        <v/>
      </c>
      <c r="M2362" s="13">
        <f>IF(OR(G2362="",L2362&lt;&gt;"Да"),"",IF(G2362&lt;=100,"До 100",IF(G2362&lt;=200,"До 200",IF(G2362&lt;=500,"До 500","Отдельное КП"))))</f>
        <v/>
      </c>
      <c r="N2362" s="15">
        <f>IF(OR(G2362="",L2362&lt;&gt;"Да"),"",IF(G2362&lt;=100,33600,IF(G2362&lt;=200,62400,IF(G2362&lt;=500,144000,""))))</f>
        <v/>
      </c>
      <c r="O2362" s="16">
        <f>IF(G2362="","",IF(G2362&lt;=15,"1–15",IF(G2362&lt;=30,"16–30",IF(G2362&lt;=50,"31–50",IF(G2362&lt;=100,"51–100",IF(G2362&lt;=150,"101–150",IF(G2362&lt;=200,"151–200",IF(G2362&lt;=500,"201–500","500+"))))))))</f>
        <v/>
      </c>
      <c r="P2362" s="16" t="inlineStr">
        <is>
          <t>Нет совпадения в предоставленной выгрузке ССЧР</t>
        </is>
      </c>
      <c r="Q2362" s="16" t="n"/>
      <c r="R2362" s="16">
        <f>HYPERLINK("https://checko.ru/search?query=3801001629","Чекко: проверить")</f>
        <v/>
      </c>
      <c r="S2362" t="n">
        <v>0</v>
      </c>
    </row>
    <row r="2363" ht="15" customHeight="1" s="24">
      <c r="A2363" s="13" t="n">
        <v>5000094899</v>
      </c>
      <c r="B2363" s="13" t="inlineStr">
        <is>
          <t>СОВЕТ МСУ ЧЕГЕМСКОГО РАЙОНА</t>
        </is>
      </c>
      <c r="C2363" s="13" t="n">
        <v>708016449</v>
      </c>
      <c r="D2363" s="13" t="n"/>
      <c r="E2363" s="13" t="inlineStr">
        <is>
          <t>Не определён</t>
        </is>
      </c>
      <c r="F2363" s="13" t="inlineStr">
        <is>
          <t>708016449</t>
        </is>
      </c>
      <c r="G2363" s="14" t="n"/>
      <c r="H2363" s="14" t="n"/>
      <c r="I2363" s="14" t="n"/>
      <c r="J2363" s="14" t="n"/>
      <c r="K2363" s="13">
        <f>IF(G2363="","",IF(G2363&gt;=22,"Да","Нет"))</f>
        <v/>
      </c>
      <c r="L2363" s="13">
        <f>IF(OR(I2363="",J2363=""),"Не определено",IF(OR(COUNTIF(I2363,"45*")&gt;0,COUNTIF(J2363,"*45*")&gt;0,COUNTIF(I2363,"46*")&gt;0,COUNTIF(J2363,"*46*")&gt;0,COUNTIF(I2363,"47*")&gt;0,COUNTIF(J2363,"*47*")&gt;0,COUNTIF(I2363,"10*")&gt;0,COUNTIF(J2363,"*10*")&gt;0,COUNTIF(I2363,"11*")&gt;0,COUNTIF(J2363,"*11*")&gt;0,COUNTIF(I2363,"12*")&gt;0,COUNTIF(J2363,"*12*")&gt;0,COUNTIF(I2363,"13*")&gt;0,COUNTIF(J2363,"*13*")&gt;0,COUNTIF(I2363,"14*")&gt;0,COUNTIF(J2363,"*14*")&gt;0,COUNTIF(I2363,"15*")&gt;0,COUNTIF(J2363,"*15*")&gt;0,COUNTIF(I2363,"16*")&gt;0,COUNTIF(J2363,"*16*")&gt;0,COUNTIF(I2363,"17*")&gt;0,COUNTIF(J2363,"*17*")&gt;0,COUNTIF(I2363,"18*")&gt;0,COUNTIF(J2363,"*18*")&gt;0,COUNTIF(I2363,"19*")&gt;0,COUNTIF(J2363,"*19*")&gt;0,COUNTIF(I2363,"20*")&gt;0,COUNTIF(J2363,"*20*")&gt;0,COUNTIF(I2363,"21*")&gt;0,COUNTIF(J2363,"*21*")&gt;0,COUNTIF(I2363,"22*")&gt;0,COUNTIF(J2363,"*22*")&gt;0,COUNTIF(I2363,"23*")&gt;0,COUNTIF(J2363,"*23*")&gt;0,COUNTIF(I2363,"24*")&gt;0,COUNTIF(J2363,"*24*")&gt;0,COUNTIF(I2363,"25*")&gt;0,COUNTIF(J2363,"*25*")&gt;0,COUNTIF(I2363,"26*")&gt;0,COUNTIF(J2363,"*26*")&gt;0,COUNTIF(I2363,"27*")&gt;0,COUNTIF(J2363,"*27*")&gt;0,COUNTIF(I2363,"28*")&gt;0,COUNTIF(J2363,"*28*")&gt;0,COUNTIF(I2363,"29*")&gt;0,COUNTIF(J2363,"*29*")&gt;0,COUNTIF(I2363,"30*")&gt;0,COUNTIF(J2363,"*30*")&gt;0,COUNTIF(I2363,"31*")&gt;0,COUNTIF(J2363,"*31*")&gt;0,COUNTIF(I2363,"32*")&gt;0,COUNTIF(J2363,"*32*")&gt;0,COUNTIF(I2363,"33*")&gt;0,COUNTIF(J2363,"*33*")&gt;0,COUNTIF(I2363,"41*")&gt;0,COUNTIF(J2363,"*41*")&gt;0,COUNTIF(I2363,"42*")&gt;0,COUNTIF(J2363,"*42*")&gt;0,COUNTIF(I2363,"43*")&gt;0,COUNTIF(J2363,"*43*")&gt;0,COUNTIF(I2363,"49*")&gt;0,COUNTIF(J2363,"*49*")&gt;0,COUNTIF(I2363,"52*")&gt;0,COUNTIF(J2363,"*52*")&gt;0,COUNTIF(I2363,"55*")&gt;0,COUNTIF(J2363,"*55*")&gt;0,COUNTIF(I2363,"56*")&gt;0,COUNTIF(J2363,"*56*")&gt;0,COUNTIF(I2363,"68*")&gt;0,COUNTIF(J2363,"*68*")&gt;0,COUNTIF(I2363,"78*")&gt;0,COUNTIF(J2363,"*78*")&gt;0,COUNTIF(I2363,"81*")&gt;0,COUNTIF(J2363,"*81*")&gt;0,COUNTIF(I2363,"82*")&gt;0,COUNTIF(J2363,"*82*")&gt;0,COUNTIF(I2363,"64*")&gt;0,COUNTIF(J2363,"*64*")&gt;0,COUNTIF(I2363,"65*")&gt;0,COUNTIF(J2363,"*65*")&gt;0,COUNTIF(I2363,"66*")&gt;0,COUNTIF(J2363,"*66*")&gt;0,COUNTIF(I2363,"61*")&gt;0,COUNTIF(J2363,"*61*")&gt;0,COUNTIF(I2363,"62*")&gt;0,COUNTIF(J2363,"*62*")&gt;0,COUNTIF(I2363,"63*")&gt;0,COUNTIF(J2363,"*63*")&gt;0,COUNTIF(I2363,"85*")&gt;0,COUNTIF(J2363,"*85*")&gt;0,COUNTIF(I2363,"86*")&gt;0,COUNTIF(J2363,"*86*")&gt;0),"Да","Нет"))</f>
        <v/>
      </c>
      <c r="M2363" s="13">
        <f>IF(OR(G2363="",L2363&lt;&gt;"Да"),"",IF(G2363&lt;=100,"До 100",IF(G2363&lt;=200,"До 200",IF(G2363&lt;=500,"До 500","Отдельное КП"))))</f>
        <v/>
      </c>
      <c r="N2363" s="15">
        <f>IF(OR(G2363="",L2363&lt;&gt;"Да"),"",IF(G2363&lt;=100,33600,IF(G2363&lt;=200,62400,IF(G2363&lt;=500,144000,""))))</f>
        <v/>
      </c>
      <c r="O2363" s="16">
        <f>IF(G2363="","",IF(G2363&lt;=15,"1–15",IF(G2363&lt;=30,"16–30",IF(G2363&lt;=50,"31–50",IF(G2363&lt;=100,"51–100",IF(G2363&lt;=150,"101–150",IF(G2363&lt;=200,"151–200",IF(G2363&lt;=500,"201–500","500+"))))))))</f>
        <v/>
      </c>
      <c r="P2363" s="16" t="inlineStr">
        <is>
          <t>Нет совпадения в предоставленной выгрузке ССЧР</t>
        </is>
      </c>
      <c r="Q2363" s="16" t="n"/>
      <c r="R2363" s="16">
        <f>HYPERLINK("https://checko.ru/search?query=3801001629","Чекко: проверить")</f>
        <v/>
      </c>
      <c r="S2363" t="n">
        <v>0</v>
      </c>
    </row>
    <row r="2364" ht="27.75" customHeight="1" s="24">
      <c r="A2364" s="13" t="n">
        <v>5000094900</v>
      </c>
      <c r="B2364" s="13" t="inlineStr">
        <is>
          <t>МКУ "СПОРТКОМИТЕТ ЧЕГЕМСКОГО МУНИЦИПАЛЬНОГО РАЙОНА"</t>
        </is>
      </c>
      <c r="C2364" s="13" t="n">
        <v>708016512</v>
      </c>
      <c r="D2364" s="13" t="n"/>
      <c r="E2364" s="13" t="inlineStr">
        <is>
          <t>Не определён</t>
        </is>
      </c>
      <c r="F2364" s="13" t="inlineStr">
        <is>
          <t>708016512</t>
        </is>
      </c>
      <c r="G2364" s="14" t="n"/>
      <c r="H2364" s="14" t="n"/>
      <c r="I2364" s="14" t="n"/>
      <c r="J2364" s="14" t="n"/>
      <c r="K2364" s="13">
        <f>IF(G2364="","",IF(G2364&gt;=22,"Да","Нет"))</f>
        <v/>
      </c>
      <c r="L2364" s="13">
        <f>IF(OR(I2364="",J2364=""),"Не определено",IF(OR(COUNTIF(I2364,"45*")&gt;0,COUNTIF(J2364,"*45*")&gt;0,COUNTIF(I2364,"46*")&gt;0,COUNTIF(J2364,"*46*")&gt;0,COUNTIF(I2364,"47*")&gt;0,COUNTIF(J2364,"*47*")&gt;0,COUNTIF(I2364,"10*")&gt;0,COUNTIF(J2364,"*10*")&gt;0,COUNTIF(I2364,"11*")&gt;0,COUNTIF(J2364,"*11*")&gt;0,COUNTIF(I2364,"12*")&gt;0,COUNTIF(J2364,"*12*")&gt;0,COUNTIF(I2364,"13*")&gt;0,COUNTIF(J2364,"*13*")&gt;0,COUNTIF(I2364,"14*")&gt;0,COUNTIF(J2364,"*14*")&gt;0,COUNTIF(I2364,"15*")&gt;0,COUNTIF(J2364,"*15*")&gt;0,COUNTIF(I2364,"16*")&gt;0,COUNTIF(J2364,"*16*")&gt;0,COUNTIF(I2364,"17*")&gt;0,COUNTIF(J2364,"*17*")&gt;0,COUNTIF(I2364,"18*")&gt;0,COUNTIF(J2364,"*18*")&gt;0,COUNTIF(I2364,"19*")&gt;0,COUNTIF(J2364,"*19*")&gt;0,COUNTIF(I2364,"20*")&gt;0,COUNTIF(J2364,"*20*")&gt;0,COUNTIF(I2364,"21*")&gt;0,COUNTIF(J2364,"*21*")&gt;0,COUNTIF(I2364,"22*")&gt;0,COUNTIF(J2364,"*22*")&gt;0,COUNTIF(I2364,"23*")&gt;0,COUNTIF(J2364,"*23*")&gt;0,COUNTIF(I2364,"24*")&gt;0,COUNTIF(J2364,"*24*")&gt;0,COUNTIF(I2364,"25*")&gt;0,COUNTIF(J2364,"*25*")&gt;0,COUNTIF(I2364,"26*")&gt;0,COUNTIF(J2364,"*26*")&gt;0,COUNTIF(I2364,"27*")&gt;0,COUNTIF(J2364,"*27*")&gt;0,COUNTIF(I2364,"28*")&gt;0,COUNTIF(J2364,"*28*")&gt;0,COUNTIF(I2364,"29*")&gt;0,COUNTIF(J2364,"*29*")&gt;0,COUNTIF(I2364,"30*")&gt;0,COUNTIF(J2364,"*30*")&gt;0,COUNTIF(I2364,"31*")&gt;0,COUNTIF(J2364,"*31*")&gt;0,COUNTIF(I2364,"32*")&gt;0,COUNTIF(J2364,"*32*")&gt;0,COUNTIF(I2364,"33*")&gt;0,COUNTIF(J2364,"*33*")&gt;0,COUNTIF(I2364,"41*")&gt;0,COUNTIF(J2364,"*41*")&gt;0,COUNTIF(I2364,"42*")&gt;0,COUNTIF(J2364,"*42*")&gt;0,COUNTIF(I2364,"43*")&gt;0,COUNTIF(J2364,"*43*")&gt;0,COUNTIF(I2364,"49*")&gt;0,COUNTIF(J2364,"*49*")&gt;0,COUNTIF(I2364,"52*")&gt;0,COUNTIF(J2364,"*52*")&gt;0,COUNTIF(I2364,"55*")&gt;0,COUNTIF(J2364,"*55*")&gt;0,COUNTIF(I2364,"56*")&gt;0,COUNTIF(J2364,"*56*")&gt;0,COUNTIF(I2364,"68*")&gt;0,COUNTIF(J2364,"*68*")&gt;0,COUNTIF(I2364,"78*")&gt;0,COUNTIF(J2364,"*78*")&gt;0,COUNTIF(I2364,"81*")&gt;0,COUNTIF(J2364,"*81*")&gt;0,COUNTIF(I2364,"82*")&gt;0,COUNTIF(J2364,"*82*")&gt;0,COUNTIF(I2364,"64*")&gt;0,COUNTIF(J2364,"*64*")&gt;0,COUNTIF(I2364,"65*")&gt;0,COUNTIF(J2364,"*65*")&gt;0,COUNTIF(I2364,"66*")&gt;0,COUNTIF(J2364,"*66*")&gt;0,COUNTIF(I2364,"61*")&gt;0,COUNTIF(J2364,"*61*")&gt;0,COUNTIF(I2364,"62*")&gt;0,COUNTIF(J2364,"*62*")&gt;0,COUNTIF(I2364,"63*")&gt;0,COUNTIF(J2364,"*63*")&gt;0,COUNTIF(I2364,"85*")&gt;0,COUNTIF(J2364,"*85*")&gt;0,COUNTIF(I2364,"86*")&gt;0,COUNTIF(J2364,"*86*")&gt;0),"Да","Нет"))</f>
        <v/>
      </c>
      <c r="M2364" s="13">
        <f>IF(OR(G2364="",L2364&lt;&gt;"Да"),"",IF(G2364&lt;=100,"До 100",IF(G2364&lt;=200,"До 200",IF(G2364&lt;=500,"До 500","Отдельное КП"))))</f>
        <v/>
      </c>
      <c r="N2364" s="15">
        <f>IF(OR(G2364="",L2364&lt;&gt;"Да"),"",IF(G2364&lt;=100,33600,IF(G2364&lt;=200,62400,IF(G2364&lt;=500,144000,""))))</f>
        <v/>
      </c>
      <c r="O2364" s="16">
        <f>IF(G2364="","",IF(G2364&lt;=15,"1–15",IF(G2364&lt;=30,"16–30",IF(G2364&lt;=50,"31–50",IF(G2364&lt;=100,"51–100",IF(G2364&lt;=150,"101–150",IF(G2364&lt;=200,"151–200",IF(G2364&lt;=500,"201–500","500+"))))))))</f>
        <v/>
      </c>
      <c r="P2364" s="16" t="inlineStr">
        <is>
          <t>Нет совпадения в предоставленной выгрузке ССЧР</t>
        </is>
      </c>
      <c r="Q2364" s="16" t="n"/>
      <c r="R2364" s="16">
        <f>HYPERLINK("https://checko.ru/search?query=3801001629","Чекко: проверить")</f>
        <v/>
      </c>
      <c r="S2364" t="n">
        <v>0</v>
      </c>
    </row>
    <row r="2365" ht="41.25" customHeight="1" s="24">
      <c r="A2365" s="13" t="n">
        <v>5000094901</v>
      </c>
      <c r="B2365" s="13" t="inlineStr">
        <is>
          <t>МКУ ДО "СШГРБ Г.П. ЧЕГЕМ" ИМЕНИ ОЛИМПИЙСКОГО ЧЕМПИОНА МУРАТА НАУСБИЕВИЧА КАРДАНОВА</t>
        </is>
      </c>
      <c r="C2365" s="13" t="n">
        <v>708016671</v>
      </c>
      <c r="D2365" s="13" t="n"/>
      <c r="E2365" s="13" t="inlineStr">
        <is>
          <t>Не определён</t>
        </is>
      </c>
      <c r="F2365" s="13" t="inlineStr">
        <is>
          <t>708016671</t>
        </is>
      </c>
      <c r="G2365" s="14" t="n"/>
      <c r="H2365" s="14" t="n"/>
      <c r="I2365" s="14" t="n"/>
      <c r="J2365" s="14" t="n"/>
      <c r="K2365" s="13">
        <f>IF(G2365="","",IF(G2365&gt;=22,"Да","Нет"))</f>
        <v/>
      </c>
      <c r="L2365" s="13">
        <f>IF(OR(I2365="",J2365=""),"Не определено",IF(OR(COUNTIF(I2365,"45*")&gt;0,COUNTIF(J2365,"*45*")&gt;0,COUNTIF(I2365,"46*")&gt;0,COUNTIF(J2365,"*46*")&gt;0,COUNTIF(I2365,"47*")&gt;0,COUNTIF(J2365,"*47*")&gt;0,COUNTIF(I2365,"10*")&gt;0,COUNTIF(J2365,"*10*")&gt;0,COUNTIF(I2365,"11*")&gt;0,COUNTIF(J2365,"*11*")&gt;0,COUNTIF(I2365,"12*")&gt;0,COUNTIF(J2365,"*12*")&gt;0,COUNTIF(I2365,"13*")&gt;0,COUNTIF(J2365,"*13*")&gt;0,COUNTIF(I2365,"14*")&gt;0,COUNTIF(J2365,"*14*")&gt;0,COUNTIF(I2365,"15*")&gt;0,COUNTIF(J2365,"*15*")&gt;0,COUNTIF(I2365,"16*")&gt;0,COUNTIF(J2365,"*16*")&gt;0,COUNTIF(I2365,"17*")&gt;0,COUNTIF(J2365,"*17*")&gt;0,COUNTIF(I2365,"18*")&gt;0,COUNTIF(J2365,"*18*")&gt;0,COUNTIF(I2365,"19*")&gt;0,COUNTIF(J2365,"*19*")&gt;0,COUNTIF(I2365,"20*")&gt;0,COUNTIF(J2365,"*20*")&gt;0,COUNTIF(I2365,"21*")&gt;0,COUNTIF(J2365,"*21*")&gt;0,COUNTIF(I2365,"22*")&gt;0,COUNTIF(J2365,"*22*")&gt;0,COUNTIF(I2365,"23*")&gt;0,COUNTIF(J2365,"*23*")&gt;0,COUNTIF(I2365,"24*")&gt;0,COUNTIF(J2365,"*24*")&gt;0,COUNTIF(I2365,"25*")&gt;0,COUNTIF(J2365,"*25*")&gt;0,COUNTIF(I2365,"26*")&gt;0,COUNTIF(J2365,"*26*")&gt;0,COUNTIF(I2365,"27*")&gt;0,COUNTIF(J2365,"*27*")&gt;0,COUNTIF(I2365,"28*")&gt;0,COUNTIF(J2365,"*28*")&gt;0,COUNTIF(I2365,"29*")&gt;0,COUNTIF(J2365,"*29*")&gt;0,COUNTIF(I2365,"30*")&gt;0,COUNTIF(J2365,"*30*")&gt;0,COUNTIF(I2365,"31*")&gt;0,COUNTIF(J2365,"*31*")&gt;0,COUNTIF(I2365,"32*")&gt;0,COUNTIF(J2365,"*32*")&gt;0,COUNTIF(I2365,"33*")&gt;0,COUNTIF(J2365,"*33*")&gt;0,COUNTIF(I2365,"41*")&gt;0,COUNTIF(J2365,"*41*")&gt;0,COUNTIF(I2365,"42*")&gt;0,COUNTIF(J2365,"*42*")&gt;0,COUNTIF(I2365,"43*")&gt;0,COUNTIF(J2365,"*43*")&gt;0,COUNTIF(I2365,"49*")&gt;0,COUNTIF(J2365,"*49*")&gt;0,COUNTIF(I2365,"52*")&gt;0,COUNTIF(J2365,"*52*")&gt;0,COUNTIF(I2365,"55*")&gt;0,COUNTIF(J2365,"*55*")&gt;0,COUNTIF(I2365,"56*")&gt;0,COUNTIF(J2365,"*56*")&gt;0,COUNTIF(I2365,"68*")&gt;0,COUNTIF(J2365,"*68*")&gt;0,COUNTIF(I2365,"78*")&gt;0,COUNTIF(J2365,"*78*")&gt;0,COUNTIF(I2365,"81*")&gt;0,COUNTIF(J2365,"*81*")&gt;0,COUNTIF(I2365,"82*")&gt;0,COUNTIF(J2365,"*82*")&gt;0,COUNTIF(I2365,"64*")&gt;0,COUNTIF(J2365,"*64*")&gt;0,COUNTIF(I2365,"65*")&gt;0,COUNTIF(J2365,"*65*")&gt;0,COUNTIF(I2365,"66*")&gt;0,COUNTIF(J2365,"*66*")&gt;0,COUNTIF(I2365,"61*")&gt;0,COUNTIF(J2365,"*61*")&gt;0,COUNTIF(I2365,"62*")&gt;0,COUNTIF(J2365,"*62*")&gt;0,COUNTIF(I2365,"63*")&gt;0,COUNTIF(J2365,"*63*")&gt;0,COUNTIF(I2365,"85*")&gt;0,COUNTIF(J2365,"*85*")&gt;0,COUNTIF(I2365,"86*")&gt;0,COUNTIF(J2365,"*86*")&gt;0),"Да","Нет"))</f>
        <v/>
      </c>
      <c r="M2365" s="13">
        <f>IF(OR(G2365="",L2365&lt;&gt;"Да"),"",IF(G2365&lt;=100,"До 100",IF(G2365&lt;=200,"До 200",IF(G2365&lt;=500,"До 500","Отдельное КП"))))</f>
        <v/>
      </c>
      <c r="N2365" s="15">
        <f>IF(OR(G2365="",L2365&lt;&gt;"Да"),"",IF(G2365&lt;=100,33600,IF(G2365&lt;=200,62400,IF(G2365&lt;=500,144000,""))))</f>
        <v/>
      </c>
      <c r="O2365" s="16">
        <f>IF(G2365="","",IF(G2365&lt;=15,"1–15",IF(G2365&lt;=30,"16–30",IF(G2365&lt;=50,"31–50",IF(G2365&lt;=100,"51–100",IF(G2365&lt;=150,"101–150",IF(G2365&lt;=200,"151–200",IF(G2365&lt;=500,"201–500","500+"))))))))</f>
        <v/>
      </c>
      <c r="P2365" s="16" t="inlineStr">
        <is>
          <t>Нет совпадения в предоставленной выгрузке ССЧР</t>
        </is>
      </c>
      <c r="Q2365" s="16" t="n"/>
      <c r="R2365" s="16">
        <f>HYPERLINK("https://checko.ru/search?query=3801001629","Чекко: проверить")</f>
        <v/>
      </c>
      <c r="S2365" t="n">
        <v>0</v>
      </c>
    </row>
    <row r="2366" ht="15" customHeight="1" s="24">
      <c r="A2366" s="13" t="n">
        <v>5000094902</v>
      </c>
      <c r="B2366" s="13" t="inlineStr">
        <is>
          <t>МКУК "СДК С.П. НАРТАН"</t>
        </is>
      </c>
      <c r="C2366" s="13" t="n">
        <v>708017234</v>
      </c>
      <c r="D2366" s="13" t="n"/>
      <c r="E2366" s="13" t="inlineStr">
        <is>
          <t>Не определён</t>
        </is>
      </c>
      <c r="F2366" s="13" t="inlineStr">
        <is>
          <t>708017234</t>
        </is>
      </c>
      <c r="G2366" s="14" t="n"/>
      <c r="H2366" s="14" t="n"/>
      <c r="I2366" s="14" t="n"/>
      <c r="J2366" s="14" t="n"/>
      <c r="K2366" s="13">
        <f>IF(G2366="","",IF(G2366&gt;=22,"Да","Нет"))</f>
        <v/>
      </c>
      <c r="L2366" s="13">
        <f>IF(OR(I2366="",J2366=""),"Не определено",IF(OR(COUNTIF(I2366,"45*")&gt;0,COUNTIF(J2366,"*45*")&gt;0,COUNTIF(I2366,"46*")&gt;0,COUNTIF(J2366,"*46*")&gt;0,COUNTIF(I2366,"47*")&gt;0,COUNTIF(J2366,"*47*")&gt;0,COUNTIF(I2366,"10*")&gt;0,COUNTIF(J2366,"*10*")&gt;0,COUNTIF(I2366,"11*")&gt;0,COUNTIF(J2366,"*11*")&gt;0,COUNTIF(I2366,"12*")&gt;0,COUNTIF(J2366,"*12*")&gt;0,COUNTIF(I2366,"13*")&gt;0,COUNTIF(J2366,"*13*")&gt;0,COUNTIF(I2366,"14*")&gt;0,COUNTIF(J2366,"*14*")&gt;0,COUNTIF(I2366,"15*")&gt;0,COUNTIF(J2366,"*15*")&gt;0,COUNTIF(I2366,"16*")&gt;0,COUNTIF(J2366,"*16*")&gt;0,COUNTIF(I2366,"17*")&gt;0,COUNTIF(J2366,"*17*")&gt;0,COUNTIF(I2366,"18*")&gt;0,COUNTIF(J2366,"*18*")&gt;0,COUNTIF(I2366,"19*")&gt;0,COUNTIF(J2366,"*19*")&gt;0,COUNTIF(I2366,"20*")&gt;0,COUNTIF(J2366,"*20*")&gt;0,COUNTIF(I2366,"21*")&gt;0,COUNTIF(J2366,"*21*")&gt;0,COUNTIF(I2366,"22*")&gt;0,COUNTIF(J2366,"*22*")&gt;0,COUNTIF(I2366,"23*")&gt;0,COUNTIF(J2366,"*23*")&gt;0,COUNTIF(I2366,"24*")&gt;0,COUNTIF(J2366,"*24*")&gt;0,COUNTIF(I2366,"25*")&gt;0,COUNTIF(J2366,"*25*")&gt;0,COUNTIF(I2366,"26*")&gt;0,COUNTIF(J2366,"*26*")&gt;0,COUNTIF(I2366,"27*")&gt;0,COUNTIF(J2366,"*27*")&gt;0,COUNTIF(I2366,"28*")&gt;0,COUNTIF(J2366,"*28*")&gt;0,COUNTIF(I2366,"29*")&gt;0,COUNTIF(J2366,"*29*")&gt;0,COUNTIF(I2366,"30*")&gt;0,COUNTIF(J2366,"*30*")&gt;0,COUNTIF(I2366,"31*")&gt;0,COUNTIF(J2366,"*31*")&gt;0,COUNTIF(I2366,"32*")&gt;0,COUNTIF(J2366,"*32*")&gt;0,COUNTIF(I2366,"33*")&gt;0,COUNTIF(J2366,"*33*")&gt;0,COUNTIF(I2366,"41*")&gt;0,COUNTIF(J2366,"*41*")&gt;0,COUNTIF(I2366,"42*")&gt;0,COUNTIF(J2366,"*42*")&gt;0,COUNTIF(I2366,"43*")&gt;0,COUNTIF(J2366,"*43*")&gt;0,COUNTIF(I2366,"49*")&gt;0,COUNTIF(J2366,"*49*")&gt;0,COUNTIF(I2366,"52*")&gt;0,COUNTIF(J2366,"*52*")&gt;0,COUNTIF(I2366,"55*")&gt;0,COUNTIF(J2366,"*55*")&gt;0,COUNTIF(I2366,"56*")&gt;0,COUNTIF(J2366,"*56*")&gt;0,COUNTIF(I2366,"68*")&gt;0,COUNTIF(J2366,"*68*")&gt;0,COUNTIF(I2366,"78*")&gt;0,COUNTIF(J2366,"*78*")&gt;0,COUNTIF(I2366,"81*")&gt;0,COUNTIF(J2366,"*81*")&gt;0,COUNTIF(I2366,"82*")&gt;0,COUNTIF(J2366,"*82*")&gt;0,COUNTIF(I2366,"64*")&gt;0,COUNTIF(J2366,"*64*")&gt;0,COUNTIF(I2366,"65*")&gt;0,COUNTIF(J2366,"*65*")&gt;0,COUNTIF(I2366,"66*")&gt;0,COUNTIF(J2366,"*66*")&gt;0,COUNTIF(I2366,"61*")&gt;0,COUNTIF(J2366,"*61*")&gt;0,COUNTIF(I2366,"62*")&gt;0,COUNTIF(J2366,"*62*")&gt;0,COUNTIF(I2366,"63*")&gt;0,COUNTIF(J2366,"*63*")&gt;0,COUNTIF(I2366,"85*")&gt;0,COUNTIF(J2366,"*85*")&gt;0,COUNTIF(I2366,"86*")&gt;0,COUNTIF(J2366,"*86*")&gt;0),"Да","Нет"))</f>
        <v/>
      </c>
      <c r="M2366" s="13">
        <f>IF(OR(G2366="",L2366&lt;&gt;"Да"),"",IF(G2366&lt;=100,"До 100",IF(G2366&lt;=200,"До 200",IF(G2366&lt;=500,"До 500","Отдельное КП"))))</f>
        <v/>
      </c>
      <c r="N2366" s="15">
        <f>IF(OR(G2366="",L2366&lt;&gt;"Да"),"",IF(G2366&lt;=100,33600,IF(G2366&lt;=200,62400,IF(G2366&lt;=500,144000,""))))</f>
        <v/>
      </c>
      <c r="O2366" s="16">
        <f>IF(G2366="","",IF(G2366&lt;=15,"1–15",IF(G2366&lt;=30,"16–30",IF(G2366&lt;=50,"31–50",IF(G2366&lt;=100,"51–100",IF(G2366&lt;=150,"101–150",IF(G2366&lt;=200,"151–200",IF(G2366&lt;=500,"201–500","500+"))))))))</f>
        <v/>
      </c>
      <c r="P2366" s="16" t="inlineStr">
        <is>
          <t>Нет совпадения в предоставленной выгрузке ССЧР</t>
        </is>
      </c>
      <c r="Q2366" s="16" t="n"/>
      <c r="R2366" s="16">
        <f>HYPERLINK("https://checko.ru/search?query=3801001629","Чекко: проверить")</f>
        <v/>
      </c>
      <c r="S2366" t="n">
        <v>0</v>
      </c>
    </row>
    <row r="2367" ht="27.75" customHeight="1" s="24">
      <c r="A2367" s="13" t="n">
        <v>5000094903</v>
      </c>
      <c r="B2367" s="13" t="inlineStr">
        <is>
          <t>МКОУ "СОШ №5Г.П. ЧЕГЕМ ЧЕГЕМСКОГО МУНИЦИПАЛЬНОГО РАЙОНА КБР</t>
        </is>
      </c>
      <c r="C2367" s="13" t="n">
        <v>708017322</v>
      </c>
      <c r="D2367" s="13" t="n"/>
      <c r="E2367" s="13" t="inlineStr">
        <is>
          <t>Не определён</t>
        </is>
      </c>
      <c r="F2367" s="13" t="inlineStr">
        <is>
          <t>708017322</t>
        </is>
      </c>
      <c r="G2367" s="14" t="n"/>
      <c r="H2367" s="14" t="n"/>
      <c r="I2367" s="14" t="n"/>
      <c r="J2367" s="14" t="n"/>
      <c r="K2367" s="13">
        <f>IF(G2367="","",IF(G2367&gt;=22,"Да","Нет"))</f>
        <v/>
      </c>
      <c r="L2367" s="13">
        <f>IF(OR(I2367="",J2367=""),"Не определено",IF(OR(COUNTIF(I2367,"45*")&gt;0,COUNTIF(J2367,"*45*")&gt;0,COUNTIF(I2367,"46*")&gt;0,COUNTIF(J2367,"*46*")&gt;0,COUNTIF(I2367,"47*")&gt;0,COUNTIF(J2367,"*47*")&gt;0,COUNTIF(I2367,"10*")&gt;0,COUNTIF(J2367,"*10*")&gt;0,COUNTIF(I2367,"11*")&gt;0,COUNTIF(J2367,"*11*")&gt;0,COUNTIF(I2367,"12*")&gt;0,COUNTIF(J2367,"*12*")&gt;0,COUNTIF(I2367,"13*")&gt;0,COUNTIF(J2367,"*13*")&gt;0,COUNTIF(I2367,"14*")&gt;0,COUNTIF(J2367,"*14*")&gt;0,COUNTIF(I2367,"15*")&gt;0,COUNTIF(J2367,"*15*")&gt;0,COUNTIF(I2367,"16*")&gt;0,COUNTIF(J2367,"*16*")&gt;0,COUNTIF(I2367,"17*")&gt;0,COUNTIF(J2367,"*17*")&gt;0,COUNTIF(I2367,"18*")&gt;0,COUNTIF(J2367,"*18*")&gt;0,COUNTIF(I2367,"19*")&gt;0,COUNTIF(J2367,"*19*")&gt;0,COUNTIF(I2367,"20*")&gt;0,COUNTIF(J2367,"*20*")&gt;0,COUNTIF(I2367,"21*")&gt;0,COUNTIF(J2367,"*21*")&gt;0,COUNTIF(I2367,"22*")&gt;0,COUNTIF(J2367,"*22*")&gt;0,COUNTIF(I2367,"23*")&gt;0,COUNTIF(J2367,"*23*")&gt;0,COUNTIF(I2367,"24*")&gt;0,COUNTIF(J2367,"*24*")&gt;0,COUNTIF(I2367,"25*")&gt;0,COUNTIF(J2367,"*25*")&gt;0,COUNTIF(I2367,"26*")&gt;0,COUNTIF(J2367,"*26*")&gt;0,COUNTIF(I2367,"27*")&gt;0,COUNTIF(J2367,"*27*")&gt;0,COUNTIF(I2367,"28*")&gt;0,COUNTIF(J2367,"*28*")&gt;0,COUNTIF(I2367,"29*")&gt;0,COUNTIF(J2367,"*29*")&gt;0,COUNTIF(I2367,"30*")&gt;0,COUNTIF(J2367,"*30*")&gt;0,COUNTIF(I2367,"31*")&gt;0,COUNTIF(J2367,"*31*")&gt;0,COUNTIF(I2367,"32*")&gt;0,COUNTIF(J2367,"*32*")&gt;0,COUNTIF(I2367,"33*")&gt;0,COUNTIF(J2367,"*33*")&gt;0,COUNTIF(I2367,"41*")&gt;0,COUNTIF(J2367,"*41*")&gt;0,COUNTIF(I2367,"42*")&gt;0,COUNTIF(J2367,"*42*")&gt;0,COUNTIF(I2367,"43*")&gt;0,COUNTIF(J2367,"*43*")&gt;0,COUNTIF(I2367,"49*")&gt;0,COUNTIF(J2367,"*49*")&gt;0,COUNTIF(I2367,"52*")&gt;0,COUNTIF(J2367,"*52*")&gt;0,COUNTIF(I2367,"55*")&gt;0,COUNTIF(J2367,"*55*")&gt;0,COUNTIF(I2367,"56*")&gt;0,COUNTIF(J2367,"*56*")&gt;0,COUNTIF(I2367,"68*")&gt;0,COUNTIF(J2367,"*68*")&gt;0,COUNTIF(I2367,"78*")&gt;0,COUNTIF(J2367,"*78*")&gt;0,COUNTIF(I2367,"81*")&gt;0,COUNTIF(J2367,"*81*")&gt;0,COUNTIF(I2367,"82*")&gt;0,COUNTIF(J2367,"*82*")&gt;0,COUNTIF(I2367,"64*")&gt;0,COUNTIF(J2367,"*64*")&gt;0,COUNTIF(I2367,"65*")&gt;0,COUNTIF(J2367,"*65*")&gt;0,COUNTIF(I2367,"66*")&gt;0,COUNTIF(J2367,"*66*")&gt;0,COUNTIF(I2367,"61*")&gt;0,COUNTIF(J2367,"*61*")&gt;0,COUNTIF(I2367,"62*")&gt;0,COUNTIF(J2367,"*62*")&gt;0,COUNTIF(I2367,"63*")&gt;0,COUNTIF(J2367,"*63*")&gt;0,COUNTIF(I2367,"85*")&gt;0,COUNTIF(J2367,"*85*")&gt;0,COUNTIF(I2367,"86*")&gt;0,COUNTIF(J2367,"*86*")&gt;0),"Да","Нет"))</f>
        <v/>
      </c>
      <c r="M2367" s="13">
        <f>IF(OR(G2367="",L2367&lt;&gt;"Да"),"",IF(G2367&lt;=100,"До 100",IF(G2367&lt;=200,"До 200",IF(G2367&lt;=500,"До 500","Отдельное КП"))))</f>
        <v/>
      </c>
      <c r="N2367" s="15">
        <f>IF(OR(G2367="",L2367&lt;&gt;"Да"),"",IF(G2367&lt;=100,33600,IF(G2367&lt;=200,62400,IF(G2367&lt;=500,144000,""))))</f>
        <v/>
      </c>
      <c r="O2367" s="16">
        <f>IF(G2367="","",IF(G2367&lt;=15,"1–15",IF(G2367&lt;=30,"16–30",IF(G2367&lt;=50,"31–50",IF(G2367&lt;=100,"51–100",IF(G2367&lt;=150,"101–150",IF(G2367&lt;=200,"151–200",IF(G2367&lt;=500,"201–500","500+"))))))))</f>
        <v/>
      </c>
      <c r="P2367" s="16" t="inlineStr">
        <is>
          <t>Нет совпадения в предоставленной выгрузке ССЧР</t>
        </is>
      </c>
      <c r="Q2367" s="16" t="n"/>
      <c r="R2367" s="16">
        <f>HYPERLINK("https://checko.ru/search?query=3801001629","Чекко: проверить")</f>
        <v/>
      </c>
      <c r="S2367" t="n">
        <v>0</v>
      </c>
    </row>
    <row r="2368" ht="15" customHeight="1" s="24">
      <c r="A2368" s="13" t="n">
        <v>5000094904</v>
      </c>
      <c r="B2368" s="13" t="inlineStr">
        <is>
          <t>МКДОУ "ЛУЧИК" С.П.Шалушка</t>
        </is>
      </c>
      <c r="C2368" s="13" t="n">
        <v>708017330</v>
      </c>
      <c r="D2368" s="13" t="n"/>
      <c r="E2368" s="13" t="inlineStr">
        <is>
          <t>Не определён</t>
        </is>
      </c>
      <c r="F2368" s="13" t="inlineStr">
        <is>
          <t>708017330</t>
        </is>
      </c>
      <c r="G2368" s="14" t="n"/>
      <c r="H2368" s="14" t="n"/>
      <c r="I2368" s="14" t="n"/>
      <c r="J2368" s="14" t="n"/>
      <c r="K2368" s="13">
        <f>IF(G2368="","",IF(G2368&gt;=22,"Да","Нет"))</f>
        <v/>
      </c>
      <c r="L2368" s="13">
        <f>IF(OR(I2368="",J2368=""),"Не определено",IF(OR(COUNTIF(I2368,"45*")&gt;0,COUNTIF(J2368,"*45*")&gt;0,COUNTIF(I2368,"46*")&gt;0,COUNTIF(J2368,"*46*")&gt;0,COUNTIF(I2368,"47*")&gt;0,COUNTIF(J2368,"*47*")&gt;0,COUNTIF(I2368,"10*")&gt;0,COUNTIF(J2368,"*10*")&gt;0,COUNTIF(I2368,"11*")&gt;0,COUNTIF(J2368,"*11*")&gt;0,COUNTIF(I2368,"12*")&gt;0,COUNTIF(J2368,"*12*")&gt;0,COUNTIF(I2368,"13*")&gt;0,COUNTIF(J2368,"*13*")&gt;0,COUNTIF(I2368,"14*")&gt;0,COUNTIF(J2368,"*14*")&gt;0,COUNTIF(I2368,"15*")&gt;0,COUNTIF(J2368,"*15*")&gt;0,COUNTIF(I2368,"16*")&gt;0,COUNTIF(J2368,"*16*")&gt;0,COUNTIF(I2368,"17*")&gt;0,COUNTIF(J2368,"*17*")&gt;0,COUNTIF(I2368,"18*")&gt;0,COUNTIF(J2368,"*18*")&gt;0,COUNTIF(I2368,"19*")&gt;0,COUNTIF(J2368,"*19*")&gt;0,COUNTIF(I2368,"20*")&gt;0,COUNTIF(J2368,"*20*")&gt;0,COUNTIF(I2368,"21*")&gt;0,COUNTIF(J2368,"*21*")&gt;0,COUNTIF(I2368,"22*")&gt;0,COUNTIF(J2368,"*22*")&gt;0,COUNTIF(I2368,"23*")&gt;0,COUNTIF(J2368,"*23*")&gt;0,COUNTIF(I2368,"24*")&gt;0,COUNTIF(J2368,"*24*")&gt;0,COUNTIF(I2368,"25*")&gt;0,COUNTIF(J2368,"*25*")&gt;0,COUNTIF(I2368,"26*")&gt;0,COUNTIF(J2368,"*26*")&gt;0,COUNTIF(I2368,"27*")&gt;0,COUNTIF(J2368,"*27*")&gt;0,COUNTIF(I2368,"28*")&gt;0,COUNTIF(J2368,"*28*")&gt;0,COUNTIF(I2368,"29*")&gt;0,COUNTIF(J2368,"*29*")&gt;0,COUNTIF(I2368,"30*")&gt;0,COUNTIF(J2368,"*30*")&gt;0,COUNTIF(I2368,"31*")&gt;0,COUNTIF(J2368,"*31*")&gt;0,COUNTIF(I2368,"32*")&gt;0,COUNTIF(J2368,"*32*")&gt;0,COUNTIF(I2368,"33*")&gt;0,COUNTIF(J2368,"*33*")&gt;0,COUNTIF(I2368,"41*")&gt;0,COUNTIF(J2368,"*41*")&gt;0,COUNTIF(I2368,"42*")&gt;0,COUNTIF(J2368,"*42*")&gt;0,COUNTIF(I2368,"43*")&gt;0,COUNTIF(J2368,"*43*")&gt;0,COUNTIF(I2368,"49*")&gt;0,COUNTIF(J2368,"*49*")&gt;0,COUNTIF(I2368,"52*")&gt;0,COUNTIF(J2368,"*52*")&gt;0,COUNTIF(I2368,"55*")&gt;0,COUNTIF(J2368,"*55*")&gt;0,COUNTIF(I2368,"56*")&gt;0,COUNTIF(J2368,"*56*")&gt;0,COUNTIF(I2368,"68*")&gt;0,COUNTIF(J2368,"*68*")&gt;0,COUNTIF(I2368,"78*")&gt;0,COUNTIF(J2368,"*78*")&gt;0,COUNTIF(I2368,"81*")&gt;0,COUNTIF(J2368,"*81*")&gt;0,COUNTIF(I2368,"82*")&gt;0,COUNTIF(J2368,"*82*")&gt;0,COUNTIF(I2368,"64*")&gt;0,COUNTIF(J2368,"*64*")&gt;0,COUNTIF(I2368,"65*")&gt;0,COUNTIF(J2368,"*65*")&gt;0,COUNTIF(I2368,"66*")&gt;0,COUNTIF(J2368,"*66*")&gt;0,COUNTIF(I2368,"61*")&gt;0,COUNTIF(J2368,"*61*")&gt;0,COUNTIF(I2368,"62*")&gt;0,COUNTIF(J2368,"*62*")&gt;0,COUNTIF(I2368,"63*")&gt;0,COUNTIF(J2368,"*63*")&gt;0,COUNTIF(I2368,"85*")&gt;0,COUNTIF(J2368,"*85*")&gt;0,COUNTIF(I2368,"86*")&gt;0,COUNTIF(J2368,"*86*")&gt;0),"Да","Нет"))</f>
        <v/>
      </c>
      <c r="M2368" s="13">
        <f>IF(OR(G2368="",L2368&lt;&gt;"Да"),"",IF(G2368&lt;=100,"До 100",IF(G2368&lt;=200,"До 200",IF(G2368&lt;=500,"До 500","Отдельное КП"))))</f>
        <v/>
      </c>
      <c r="N2368" s="15">
        <f>IF(OR(G2368="",L2368&lt;&gt;"Да"),"",IF(G2368&lt;=100,33600,IF(G2368&lt;=200,62400,IF(G2368&lt;=500,144000,""))))</f>
        <v/>
      </c>
      <c r="O2368" s="16">
        <f>IF(G2368="","",IF(G2368&lt;=15,"1–15",IF(G2368&lt;=30,"16–30",IF(G2368&lt;=50,"31–50",IF(G2368&lt;=100,"51–100",IF(G2368&lt;=150,"101–150",IF(G2368&lt;=200,"151–200",IF(G2368&lt;=500,"201–500","500+"))))))))</f>
        <v/>
      </c>
      <c r="P2368" s="16" t="inlineStr">
        <is>
          <t>Нет совпадения в предоставленной выгрузке ССЧР</t>
        </is>
      </c>
      <c r="Q2368" s="16" t="n"/>
      <c r="R2368" s="16">
        <f>HYPERLINK("https://checko.ru/search?query=3801001629","Чекко: проверить")</f>
        <v/>
      </c>
      <c r="S2368" t="n">
        <v>0</v>
      </c>
    </row>
    <row r="2369" ht="15" customHeight="1" s="24">
      <c r="A2369" s="13" t="n">
        <v>5000094905</v>
      </c>
      <c r="B2369" s="13" t="inlineStr">
        <is>
          <t>ГБПОУ "ПМК"</t>
        </is>
      </c>
      <c r="C2369" s="13" t="n">
        <v>709003918</v>
      </c>
      <c r="D2369" s="13" t="n"/>
      <c r="E2369" s="13" t="inlineStr">
        <is>
          <t>Не определён</t>
        </is>
      </c>
      <c r="F2369" s="13" t="inlineStr">
        <is>
          <t>709003918</t>
        </is>
      </c>
      <c r="G2369" s="14" t="n"/>
      <c r="H2369" s="14" t="n"/>
      <c r="I2369" s="14" t="n"/>
      <c r="J2369" s="14" t="n"/>
      <c r="K2369" s="13">
        <f>IF(G2369="","",IF(G2369&gt;=22,"Да","Нет"))</f>
        <v/>
      </c>
      <c r="L2369" s="13">
        <f>IF(OR(I2369="",J2369=""),"Не определено",IF(OR(COUNTIF(I2369,"45*")&gt;0,COUNTIF(J2369,"*45*")&gt;0,COUNTIF(I2369,"46*")&gt;0,COUNTIF(J2369,"*46*")&gt;0,COUNTIF(I2369,"47*")&gt;0,COUNTIF(J2369,"*47*")&gt;0,COUNTIF(I2369,"10*")&gt;0,COUNTIF(J2369,"*10*")&gt;0,COUNTIF(I2369,"11*")&gt;0,COUNTIF(J2369,"*11*")&gt;0,COUNTIF(I2369,"12*")&gt;0,COUNTIF(J2369,"*12*")&gt;0,COUNTIF(I2369,"13*")&gt;0,COUNTIF(J2369,"*13*")&gt;0,COUNTIF(I2369,"14*")&gt;0,COUNTIF(J2369,"*14*")&gt;0,COUNTIF(I2369,"15*")&gt;0,COUNTIF(J2369,"*15*")&gt;0,COUNTIF(I2369,"16*")&gt;0,COUNTIF(J2369,"*16*")&gt;0,COUNTIF(I2369,"17*")&gt;0,COUNTIF(J2369,"*17*")&gt;0,COUNTIF(I2369,"18*")&gt;0,COUNTIF(J2369,"*18*")&gt;0,COUNTIF(I2369,"19*")&gt;0,COUNTIF(J2369,"*19*")&gt;0,COUNTIF(I2369,"20*")&gt;0,COUNTIF(J2369,"*20*")&gt;0,COUNTIF(I2369,"21*")&gt;0,COUNTIF(J2369,"*21*")&gt;0,COUNTIF(I2369,"22*")&gt;0,COUNTIF(J2369,"*22*")&gt;0,COUNTIF(I2369,"23*")&gt;0,COUNTIF(J2369,"*23*")&gt;0,COUNTIF(I2369,"24*")&gt;0,COUNTIF(J2369,"*24*")&gt;0,COUNTIF(I2369,"25*")&gt;0,COUNTIF(J2369,"*25*")&gt;0,COUNTIF(I2369,"26*")&gt;0,COUNTIF(J2369,"*26*")&gt;0,COUNTIF(I2369,"27*")&gt;0,COUNTIF(J2369,"*27*")&gt;0,COUNTIF(I2369,"28*")&gt;0,COUNTIF(J2369,"*28*")&gt;0,COUNTIF(I2369,"29*")&gt;0,COUNTIF(J2369,"*29*")&gt;0,COUNTIF(I2369,"30*")&gt;0,COUNTIF(J2369,"*30*")&gt;0,COUNTIF(I2369,"31*")&gt;0,COUNTIF(J2369,"*31*")&gt;0,COUNTIF(I2369,"32*")&gt;0,COUNTIF(J2369,"*32*")&gt;0,COUNTIF(I2369,"33*")&gt;0,COUNTIF(J2369,"*33*")&gt;0,COUNTIF(I2369,"41*")&gt;0,COUNTIF(J2369,"*41*")&gt;0,COUNTIF(I2369,"42*")&gt;0,COUNTIF(J2369,"*42*")&gt;0,COUNTIF(I2369,"43*")&gt;0,COUNTIF(J2369,"*43*")&gt;0,COUNTIF(I2369,"49*")&gt;0,COUNTIF(J2369,"*49*")&gt;0,COUNTIF(I2369,"52*")&gt;0,COUNTIF(J2369,"*52*")&gt;0,COUNTIF(I2369,"55*")&gt;0,COUNTIF(J2369,"*55*")&gt;0,COUNTIF(I2369,"56*")&gt;0,COUNTIF(J2369,"*56*")&gt;0,COUNTIF(I2369,"68*")&gt;0,COUNTIF(J2369,"*68*")&gt;0,COUNTIF(I2369,"78*")&gt;0,COUNTIF(J2369,"*78*")&gt;0,COUNTIF(I2369,"81*")&gt;0,COUNTIF(J2369,"*81*")&gt;0,COUNTIF(I2369,"82*")&gt;0,COUNTIF(J2369,"*82*")&gt;0,COUNTIF(I2369,"64*")&gt;0,COUNTIF(J2369,"*64*")&gt;0,COUNTIF(I2369,"65*")&gt;0,COUNTIF(J2369,"*65*")&gt;0,COUNTIF(I2369,"66*")&gt;0,COUNTIF(J2369,"*66*")&gt;0,COUNTIF(I2369,"61*")&gt;0,COUNTIF(J2369,"*61*")&gt;0,COUNTIF(I2369,"62*")&gt;0,COUNTIF(J2369,"*62*")&gt;0,COUNTIF(I2369,"63*")&gt;0,COUNTIF(J2369,"*63*")&gt;0,COUNTIF(I2369,"85*")&gt;0,COUNTIF(J2369,"*85*")&gt;0,COUNTIF(I2369,"86*")&gt;0,COUNTIF(J2369,"*86*")&gt;0),"Да","Нет"))</f>
        <v/>
      </c>
      <c r="M2369" s="13">
        <f>IF(OR(G2369="",L2369&lt;&gt;"Да"),"",IF(G2369&lt;=100,"До 100",IF(G2369&lt;=200,"До 200",IF(G2369&lt;=500,"До 500","Отдельное КП"))))</f>
        <v/>
      </c>
      <c r="N2369" s="15">
        <f>IF(OR(G2369="",L2369&lt;&gt;"Да"),"",IF(G2369&lt;=100,33600,IF(G2369&lt;=200,62400,IF(G2369&lt;=500,144000,""))))</f>
        <v/>
      </c>
      <c r="O2369" s="16">
        <f>IF(G2369="","",IF(G2369&lt;=15,"1–15",IF(G2369&lt;=30,"16–30",IF(G2369&lt;=50,"31–50",IF(G2369&lt;=100,"51–100",IF(G2369&lt;=150,"101–150",IF(G2369&lt;=200,"151–200",IF(G2369&lt;=500,"201–500","500+"))))))))</f>
        <v/>
      </c>
      <c r="P2369" s="16" t="inlineStr">
        <is>
          <t>Нет совпадения в предоставленной выгрузке ССЧР</t>
        </is>
      </c>
      <c r="Q2369" s="16" t="n"/>
      <c r="R2369" s="16">
        <f>HYPERLINK("https://checko.ru/search?query=3801001629","Чекко: проверить")</f>
        <v/>
      </c>
      <c r="S2369" t="n">
        <v>0</v>
      </c>
    </row>
    <row r="2370" ht="15" customHeight="1" s="24">
      <c r="A2370" s="13" t="n">
        <v>5000094906</v>
      </c>
      <c r="B2370" s="13" t="inlineStr">
        <is>
          <t>ФУ ГО Прохладный</t>
        </is>
      </c>
      <c r="C2370" s="13" t="n">
        <v>709004598</v>
      </c>
      <c r="D2370" s="13" t="n"/>
      <c r="E2370" s="13" t="inlineStr">
        <is>
          <t>Не определён</t>
        </is>
      </c>
      <c r="F2370" s="13" t="inlineStr">
        <is>
          <t>709004598</t>
        </is>
      </c>
      <c r="G2370" s="14" t="n"/>
      <c r="H2370" s="14" t="n"/>
      <c r="I2370" s="14" t="n"/>
      <c r="J2370" s="14" t="n"/>
      <c r="K2370" s="13">
        <f>IF(G2370="","",IF(G2370&gt;=22,"Да","Нет"))</f>
        <v/>
      </c>
      <c r="L2370" s="13">
        <f>IF(OR(I2370="",J2370=""),"Не определено",IF(OR(COUNTIF(I2370,"45*")&gt;0,COUNTIF(J2370,"*45*")&gt;0,COUNTIF(I2370,"46*")&gt;0,COUNTIF(J2370,"*46*")&gt;0,COUNTIF(I2370,"47*")&gt;0,COUNTIF(J2370,"*47*")&gt;0,COUNTIF(I2370,"10*")&gt;0,COUNTIF(J2370,"*10*")&gt;0,COUNTIF(I2370,"11*")&gt;0,COUNTIF(J2370,"*11*")&gt;0,COUNTIF(I2370,"12*")&gt;0,COUNTIF(J2370,"*12*")&gt;0,COUNTIF(I2370,"13*")&gt;0,COUNTIF(J2370,"*13*")&gt;0,COUNTIF(I2370,"14*")&gt;0,COUNTIF(J2370,"*14*")&gt;0,COUNTIF(I2370,"15*")&gt;0,COUNTIF(J2370,"*15*")&gt;0,COUNTIF(I2370,"16*")&gt;0,COUNTIF(J2370,"*16*")&gt;0,COUNTIF(I2370,"17*")&gt;0,COUNTIF(J2370,"*17*")&gt;0,COUNTIF(I2370,"18*")&gt;0,COUNTIF(J2370,"*18*")&gt;0,COUNTIF(I2370,"19*")&gt;0,COUNTIF(J2370,"*19*")&gt;0,COUNTIF(I2370,"20*")&gt;0,COUNTIF(J2370,"*20*")&gt;0,COUNTIF(I2370,"21*")&gt;0,COUNTIF(J2370,"*21*")&gt;0,COUNTIF(I2370,"22*")&gt;0,COUNTIF(J2370,"*22*")&gt;0,COUNTIF(I2370,"23*")&gt;0,COUNTIF(J2370,"*23*")&gt;0,COUNTIF(I2370,"24*")&gt;0,COUNTIF(J2370,"*24*")&gt;0,COUNTIF(I2370,"25*")&gt;0,COUNTIF(J2370,"*25*")&gt;0,COUNTIF(I2370,"26*")&gt;0,COUNTIF(J2370,"*26*")&gt;0,COUNTIF(I2370,"27*")&gt;0,COUNTIF(J2370,"*27*")&gt;0,COUNTIF(I2370,"28*")&gt;0,COUNTIF(J2370,"*28*")&gt;0,COUNTIF(I2370,"29*")&gt;0,COUNTIF(J2370,"*29*")&gt;0,COUNTIF(I2370,"30*")&gt;0,COUNTIF(J2370,"*30*")&gt;0,COUNTIF(I2370,"31*")&gt;0,COUNTIF(J2370,"*31*")&gt;0,COUNTIF(I2370,"32*")&gt;0,COUNTIF(J2370,"*32*")&gt;0,COUNTIF(I2370,"33*")&gt;0,COUNTIF(J2370,"*33*")&gt;0,COUNTIF(I2370,"41*")&gt;0,COUNTIF(J2370,"*41*")&gt;0,COUNTIF(I2370,"42*")&gt;0,COUNTIF(J2370,"*42*")&gt;0,COUNTIF(I2370,"43*")&gt;0,COUNTIF(J2370,"*43*")&gt;0,COUNTIF(I2370,"49*")&gt;0,COUNTIF(J2370,"*49*")&gt;0,COUNTIF(I2370,"52*")&gt;0,COUNTIF(J2370,"*52*")&gt;0,COUNTIF(I2370,"55*")&gt;0,COUNTIF(J2370,"*55*")&gt;0,COUNTIF(I2370,"56*")&gt;0,COUNTIF(J2370,"*56*")&gt;0,COUNTIF(I2370,"68*")&gt;0,COUNTIF(J2370,"*68*")&gt;0,COUNTIF(I2370,"78*")&gt;0,COUNTIF(J2370,"*78*")&gt;0,COUNTIF(I2370,"81*")&gt;0,COUNTIF(J2370,"*81*")&gt;0,COUNTIF(I2370,"82*")&gt;0,COUNTIF(J2370,"*82*")&gt;0,COUNTIF(I2370,"64*")&gt;0,COUNTIF(J2370,"*64*")&gt;0,COUNTIF(I2370,"65*")&gt;0,COUNTIF(J2370,"*65*")&gt;0,COUNTIF(I2370,"66*")&gt;0,COUNTIF(J2370,"*66*")&gt;0,COUNTIF(I2370,"61*")&gt;0,COUNTIF(J2370,"*61*")&gt;0,COUNTIF(I2370,"62*")&gt;0,COUNTIF(J2370,"*62*")&gt;0,COUNTIF(I2370,"63*")&gt;0,COUNTIF(J2370,"*63*")&gt;0,COUNTIF(I2370,"85*")&gt;0,COUNTIF(J2370,"*85*")&gt;0,COUNTIF(I2370,"86*")&gt;0,COUNTIF(J2370,"*86*")&gt;0),"Да","Нет"))</f>
        <v/>
      </c>
      <c r="M2370" s="13">
        <f>IF(OR(G2370="",L2370&lt;&gt;"Да"),"",IF(G2370&lt;=100,"До 100",IF(G2370&lt;=200,"До 200",IF(G2370&lt;=500,"До 500","Отдельное КП"))))</f>
        <v/>
      </c>
      <c r="N2370" s="15">
        <f>IF(OR(G2370="",L2370&lt;&gt;"Да"),"",IF(G2370&lt;=100,33600,IF(G2370&lt;=200,62400,IF(G2370&lt;=500,144000,""))))</f>
        <v/>
      </c>
      <c r="O2370" s="16">
        <f>IF(G2370="","",IF(G2370&lt;=15,"1–15",IF(G2370&lt;=30,"16–30",IF(G2370&lt;=50,"31–50",IF(G2370&lt;=100,"51–100",IF(G2370&lt;=150,"101–150",IF(G2370&lt;=200,"151–200",IF(G2370&lt;=500,"201–500","500+"))))))))</f>
        <v/>
      </c>
      <c r="P2370" s="16" t="inlineStr">
        <is>
          <t>Нет совпадения в предоставленной выгрузке ССЧР</t>
        </is>
      </c>
      <c r="Q2370" s="16" t="n"/>
      <c r="R2370" s="16">
        <f>HYPERLINK("https://checko.ru/search?query=3801001629","Чекко: проверить")</f>
        <v/>
      </c>
      <c r="S2370" t="n">
        <v>0</v>
      </c>
    </row>
    <row r="2371" ht="27.75" customHeight="1" s="24">
      <c r="A2371" s="13" t="n">
        <v>5000094907</v>
      </c>
      <c r="B2371" s="13" t="inlineStr">
        <is>
          <t>Местная администрация городского округа Прохладный КБР</t>
        </is>
      </c>
      <c r="C2371" s="13" t="n">
        <v>709004615</v>
      </c>
      <c r="D2371" s="13" t="n"/>
      <c r="E2371" s="13" t="inlineStr">
        <is>
          <t>Не определён</t>
        </is>
      </c>
      <c r="F2371" s="13" t="inlineStr">
        <is>
          <t>709004615</t>
        </is>
      </c>
      <c r="G2371" s="14" t="n"/>
      <c r="H2371" s="14" t="n"/>
      <c r="I2371" s="14" t="n"/>
      <c r="J2371" s="14" t="n"/>
      <c r="K2371" s="13">
        <f>IF(G2371="","",IF(G2371&gt;=22,"Да","Нет"))</f>
        <v/>
      </c>
      <c r="L2371" s="13">
        <f>IF(OR(I2371="",J2371=""),"Не определено",IF(OR(COUNTIF(I2371,"45*")&gt;0,COUNTIF(J2371,"*45*")&gt;0,COUNTIF(I2371,"46*")&gt;0,COUNTIF(J2371,"*46*")&gt;0,COUNTIF(I2371,"47*")&gt;0,COUNTIF(J2371,"*47*")&gt;0,COUNTIF(I2371,"10*")&gt;0,COUNTIF(J2371,"*10*")&gt;0,COUNTIF(I2371,"11*")&gt;0,COUNTIF(J2371,"*11*")&gt;0,COUNTIF(I2371,"12*")&gt;0,COUNTIF(J2371,"*12*")&gt;0,COUNTIF(I2371,"13*")&gt;0,COUNTIF(J2371,"*13*")&gt;0,COUNTIF(I2371,"14*")&gt;0,COUNTIF(J2371,"*14*")&gt;0,COUNTIF(I2371,"15*")&gt;0,COUNTIF(J2371,"*15*")&gt;0,COUNTIF(I2371,"16*")&gt;0,COUNTIF(J2371,"*16*")&gt;0,COUNTIF(I2371,"17*")&gt;0,COUNTIF(J2371,"*17*")&gt;0,COUNTIF(I2371,"18*")&gt;0,COUNTIF(J2371,"*18*")&gt;0,COUNTIF(I2371,"19*")&gt;0,COUNTIF(J2371,"*19*")&gt;0,COUNTIF(I2371,"20*")&gt;0,COUNTIF(J2371,"*20*")&gt;0,COUNTIF(I2371,"21*")&gt;0,COUNTIF(J2371,"*21*")&gt;0,COUNTIF(I2371,"22*")&gt;0,COUNTIF(J2371,"*22*")&gt;0,COUNTIF(I2371,"23*")&gt;0,COUNTIF(J2371,"*23*")&gt;0,COUNTIF(I2371,"24*")&gt;0,COUNTIF(J2371,"*24*")&gt;0,COUNTIF(I2371,"25*")&gt;0,COUNTIF(J2371,"*25*")&gt;0,COUNTIF(I2371,"26*")&gt;0,COUNTIF(J2371,"*26*")&gt;0,COUNTIF(I2371,"27*")&gt;0,COUNTIF(J2371,"*27*")&gt;0,COUNTIF(I2371,"28*")&gt;0,COUNTIF(J2371,"*28*")&gt;0,COUNTIF(I2371,"29*")&gt;0,COUNTIF(J2371,"*29*")&gt;0,COUNTIF(I2371,"30*")&gt;0,COUNTIF(J2371,"*30*")&gt;0,COUNTIF(I2371,"31*")&gt;0,COUNTIF(J2371,"*31*")&gt;0,COUNTIF(I2371,"32*")&gt;0,COUNTIF(J2371,"*32*")&gt;0,COUNTIF(I2371,"33*")&gt;0,COUNTIF(J2371,"*33*")&gt;0,COUNTIF(I2371,"41*")&gt;0,COUNTIF(J2371,"*41*")&gt;0,COUNTIF(I2371,"42*")&gt;0,COUNTIF(J2371,"*42*")&gt;0,COUNTIF(I2371,"43*")&gt;0,COUNTIF(J2371,"*43*")&gt;0,COUNTIF(I2371,"49*")&gt;0,COUNTIF(J2371,"*49*")&gt;0,COUNTIF(I2371,"52*")&gt;0,COUNTIF(J2371,"*52*")&gt;0,COUNTIF(I2371,"55*")&gt;0,COUNTIF(J2371,"*55*")&gt;0,COUNTIF(I2371,"56*")&gt;0,COUNTIF(J2371,"*56*")&gt;0,COUNTIF(I2371,"68*")&gt;0,COUNTIF(J2371,"*68*")&gt;0,COUNTIF(I2371,"78*")&gt;0,COUNTIF(J2371,"*78*")&gt;0,COUNTIF(I2371,"81*")&gt;0,COUNTIF(J2371,"*81*")&gt;0,COUNTIF(I2371,"82*")&gt;0,COUNTIF(J2371,"*82*")&gt;0,COUNTIF(I2371,"64*")&gt;0,COUNTIF(J2371,"*64*")&gt;0,COUNTIF(I2371,"65*")&gt;0,COUNTIF(J2371,"*65*")&gt;0,COUNTIF(I2371,"66*")&gt;0,COUNTIF(J2371,"*66*")&gt;0,COUNTIF(I2371,"61*")&gt;0,COUNTIF(J2371,"*61*")&gt;0,COUNTIF(I2371,"62*")&gt;0,COUNTIF(J2371,"*62*")&gt;0,COUNTIF(I2371,"63*")&gt;0,COUNTIF(J2371,"*63*")&gt;0,COUNTIF(I2371,"85*")&gt;0,COUNTIF(J2371,"*85*")&gt;0,COUNTIF(I2371,"86*")&gt;0,COUNTIF(J2371,"*86*")&gt;0),"Да","Нет"))</f>
        <v/>
      </c>
      <c r="M2371" s="13">
        <f>IF(OR(G2371="",L2371&lt;&gt;"Да"),"",IF(G2371&lt;=100,"До 100",IF(G2371&lt;=200,"До 200",IF(G2371&lt;=500,"До 500","Отдельное КП"))))</f>
        <v/>
      </c>
      <c r="N2371" s="15">
        <f>IF(OR(G2371="",L2371&lt;&gt;"Да"),"",IF(G2371&lt;=100,33600,IF(G2371&lt;=200,62400,IF(G2371&lt;=500,144000,""))))</f>
        <v/>
      </c>
      <c r="O2371" s="16">
        <f>IF(G2371="","",IF(G2371&lt;=15,"1–15",IF(G2371&lt;=30,"16–30",IF(G2371&lt;=50,"31–50",IF(G2371&lt;=100,"51–100",IF(G2371&lt;=150,"101–150",IF(G2371&lt;=200,"151–200",IF(G2371&lt;=500,"201–500","500+"))))))))</f>
        <v/>
      </c>
      <c r="P2371" s="16" t="inlineStr">
        <is>
          <t>Нет совпадения в предоставленной выгрузке ССЧР</t>
        </is>
      </c>
      <c r="Q2371" s="16" t="n"/>
      <c r="R2371" s="16">
        <f>HYPERLINK("https://checko.ru/search?query=3801001629","Чекко: проверить")</f>
        <v/>
      </c>
      <c r="S2371" t="n">
        <v>0</v>
      </c>
    </row>
    <row r="2372" ht="27.75" customHeight="1" s="24">
      <c r="A2372" s="13" t="n">
        <v>5000094909</v>
      </c>
      <c r="B2372" s="13" t="inlineStr">
        <is>
          <t>ГАУЗ "Прохладненская стоматологическая поликлиника"</t>
        </is>
      </c>
      <c r="C2372" s="13" t="n">
        <v>709005658</v>
      </c>
      <c r="D2372" s="13" t="n"/>
      <c r="E2372" s="13" t="inlineStr">
        <is>
          <t>Не определён</t>
        </is>
      </c>
      <c r="F2372" s="13" t="inlineStr">
        <is>
          <t>709005658</t>
        </is>
      </c>
      <c r="G2372" s="14" t="n"/>
      <c r="H2372" s="14" t="n"/>
      <c r="I2372" s="14" t="n"/>
      <c r="J2372" s="14" t="n"/>
      <c r="K2372" s="13">
        <f>IF(G2372="","",IF(G2372&gt;=22,"Да","Нет"))</f>
        <v/>
      </c>
      <c r="L2372" s="13">
        <f>IF(OR(I2372="",J2372=""),"Не определено",IF(OR(COUNTIF(I2372,"45*")&gt;0,COUNTIF(J2372,"*45*")&gt;0,COUNTIF(I2372,"46*")&gt;0,COUNTIF(J2372,"*46*")&gt;0,COUNTIF(I2372,"47*")&gt;0,COUNTIF(J2372,"*47*")&gt;0,COUNTIF(I2372,"10*")&gt;0,COUNTIF(J2372,"*10*")&gt;0,COUNTIF(I2372,"11*")&gt;0,COUNTIF(J2372,"*11*")&gt;0,COUNTIF(I2372,"12*")&gt;0,COUNTIF(J2372,"*12*")&gt;0,COUNTIF(I2372,"13*")&gt;0,COUNTIF(J2372,"*13*")&gt;0,COUNTIF(I2372,"14*")&gt;0,COUNTIF(J2372,"*14*")&gt;0,COUNTIF(I2372,"15*")&gt;0,COUNTIF(J2372,"*15*")&gt;0,COUNTIF(I2372,"16*")&gt;0,COUNTIF(J2372,"*16*")&gt;0,COUNTIF(I2372,"17*")&gt;0,COUNTIF(J2372,"*17*")&gt;0,COUNTIF(I2372,"18*")&gt;0,COUNTIF(J2372,"*18*")&gt;0,COUNTIF(I2372,"19*")&gt;0,COUNTIF(J2372,"*19*")&gt;0,COUNTIF(I2372,"20*")&gt;0,COUNTIF(J2372,"*20*")&gt;0,COUNTIF(I2372,"21*")&gt;0,COUNTIF(J2372,"*21*")&gt;0,COUNTIF(I2372,"22*")&gt;0,COUNTIF(J2372,"*22*")&gt;0,COUNTIF(I2372,"23*")&gt;0,COUNTIF(J2372,"*23*")&gt;0,COUNTIF(I2372,"24*")&gt;0,COUNTIF(J2372,"*24*")&gt;0,COUNTIF(I2372,"25*")&gt;0,COUNTIF(J2372,"*25*")&gt;0,COUNTIF(I2372,"26*")&gt;0,COUNTIF(J2372,"*26*")&gt;0,COUNTIF(I2372,"27*")&gt;0,COUNTIF(J2372,"*27*")&gt;0,COUNTIF(I2372,"28*")&gt;0,COUNTIF(J2372,"*28*")&gt;0,COUNTIF(I2372,"29*")&gt;0,COUNTIF(J2372,"*29*")&gt;0,COUNTIF(I2372,"30*")&gt;0,COUNTIF(J2372,"*30*")&gt;0,COUNTIF(I2372,"31*")&gt;0,COUNTIF(J2372,"*31*")&gt;0,COUNTIF(I2372,"32*")&gt;0,COUNTIF(J2372,"*32*")&gt;0,COUNTIF(I2372,"33*")&gt;0,COUNTIF(J2372,"*33*")&gt;0,COUNTIF(I2372,"41*")&gt;0,COUNTIF(J2372,"*41*")&gt;0,COUNTIF(I2372,"42*")&gt;0,COUNTIF(J2372,"*42*")&gt;0,COUNTIF(I2372,"43*")&gt;0,COUNTIF(J2372,"*43*")&gt;0,COUNTIF(I2372,"49*")&gt;0,COUNTIF(J2372,"*49*")&gt;0,COUNTIF(I2372,"52*")&gt;0,COUNTIF(J2372,"*52*")&gt;0,COUNTIF(I2372,"55*")&gt;0,COUNTIF(J2372,"*55*")&gt;0,COUNTIF(I2372,"56*")&gt;0,COUNTIF(J2372,"*56*")&gt;0,COUNTIF(I2372,"68*")&gt;0,COUNTIF(J2372,"*68*")&gt;0,COUNTIF(I2372,"78*")&gt;0,COUNTIF(J2372,"*78*")&gt;0,COUNTIF(I2372,"81*")&gt;0,COUNTIF(J2372,"*81*")&gt;0,COUNTIF(I2372,"82*")&gt;0,COUNTIF(J2372,"*82*")&gt;0,COUNTIF(I2372,"64*")&gt;0,COUNTIF(J2372,"*64*")&gt;0,COUNTIF(I2372,"65*")&gt;0,COUNTIF(J2372,"*65*")&gt;0,COUNTIF(I2372,"66*")&gt;0,COUNTIF(J2372,"*66*")&gt;0,COUNTIF(I2372,"61*")&gt;0,COUNTIF(J2372,"*61*")&gt;0,COUNTIF(I2372,"62*")&gt;0,COUNTIF(J2372,"*62*")&gt;0,COUNTIF(I2372,"63*")&gt;0,COUNTIF(J2372,"*63*")&gt;0,COUNTIF(I2372,"85*")&gt;0,COUNTIF(J2372,"*85*")&gt;0,COUNTIF(I2372,"86*")&gt;0,COUNTIF(J2372,"*86*")&gt;0),"Да","Нет"))</f>
        <v/>
      </c>
      <c r="M2372" s="13">
        <f>IF(OR(G2372="",L2372&lt;&gt;"Да"),"",IF(G2372&lt;=100,"До 100",IF(G2372&lt;=200,"До 200",IF(G2372&lt;=500,"До 500","Отдельное КП"))))</f>
        <v/>
      </c>
      <c r="N2372" s="15">
        <f>IF(OR(G2372="",L2372&lt;&gt;"Да"),"",IF(G2372&lt;=100,33600,IF(G2372&lt;=200,62400,IF(G2372&lt;=500,144000,""))))</f>
        <v/>
      </c>
      <c r="O2372" s="16">
        <f>IF(G2372="","",IF(G2372&lt;=15,"1–15",IF(G2372&lt;=30,"16–30",IF(G2372&lt;=50,"31–50",IF(G2372&lt;=100,"51–100",IF(G2372&lt;=150,"101–150",IF(G2372&lt;=200,"151–200",IF(G2372&lt;=500,"201–500","500+"))))))))</f>
        <v/>
      </c>
      <c r="P2372" s="16" t="inlineStr">
        <is>
          <t>Нет совпадения в предоставленной выгрузке ССЧР</t>
        </is>
      </c>
      <c r="Q2372" s="16" t="n"/>
      <c r="R2372" s="16">
        <f>HYPERLINK("https://checko.ru/search?query=3801001629","Чекко: проверить")</f>
        <v/>
      </c>
      <c r="S2372" t="n">
        <v>0</v>
      </c>
    </row>
    <row r="2373" ht="15" customHeight="1" s="24">
      <c r="A2373" s="13" t="n">
        <v>5000094844</v>
      </c>
      <c r="B2373" s="13" t="inlineStr">
        <is>
          <t>МКОУ СОШ с.п.п. Звездный</t>
        </is>
      </c>
      <c r="C2373" s="13" t="n">
        <v>708003087</v>
      </c>
      <c r="D2373" s="13" t="n"/>
      <c r="E2373" s="13" t="inlineStr">
        <is>
          <t>Не определён</t>
        </is>
      </c>
      <c r="F2373" s="13" t="inlineStr">
        <is>
          <t>708003087</t>
        </is>
      </c>
      <c r="G2373" s="14" t="n"/>
      <c r="H2373" s="14" t="n"/>
      <c r="I2373" s="14" t="n"/>
      <c r="J2373" s="14" t="n"/>
      <c r="K2373" s="13">
        <f>IF(G2373="","",IF(G2373&gt;=22,"Да","Нет"))</f>
        <v/>
      </c>
      <c r="L2373" s="13">
        <f>IF(OR(I2373="",J2373=""),"Не определено",IF(OR(COUNTIF(I2373,"45*")&gt;0,COUNTIF(J2373,"*45*")&gt;0,COUNTIF(I2373,"46*")&gt;0,COUNTIF(J2373,"*46*")&gt;0,COUNTIF(I2373,"47*")&gt;0,COUNTIF(J2373,"*47*")&gt;0,COUNTIF(I2373,"10*")&gt;0,COUNTIF(J2373,"*10*")&gt;0,COUNTIF(I2373,"11*")&gt;0,COUNTIF(J2373,"*11*")&gt;0,COUNTIF(I2373,"12*")&gt;0,COUNTIF(J2373,"*12*")&gt;0,COUNTIF(I2373,"13*")&gt;0,COUNTIF(J2373,"*13*")&gt;0,COUNTIF(I2373,"14*")&gt;0,COUNTIF(J2373,"*14*")&gt;0,COUNTIF(I2373,"15*")&gt;0,COUNTIF(J2373,"*15*")&gt;0,COUNTIF(I2373,"16*")&gt;0,COUNTIF(J2373,"*16*")&gt;0,COUNTIF(I2373,"17*")&gt;0,COUNTIF(J2373,"*17*")&gt;0,COUNTIF(I2373,"18*")&gt;0,COUNTIF(J2373,"*18*")&gt;0,COUNTIF(I2373,"19*")&gt;0,COUNTIF(J2373,"*19*")&gt;0,COUNTIF(I2373,"20*")&gt;0,COUNTIF(J2373,"*20*")&gt;0,COUNTIF(I2373,"21*")&gt;0,COUNTIF(J2373,"*21*")&gt;0,COUNTIF(I2373,"22*")&gt;0,COUNTIF(J2373,"*22*")&gt;0,COUNTIF(I2373,"23*")&gt;0,COUNTIF(J2373,"*23*")&gt;0,COUNTIF(I2373,"24*")&gt;0,COUNTIF(J2373,"*24*")&gt;0,COUNTIF(I2373,"25*")&gt;0,COUNTIF(J2373,"*25*")&gt;0,COUNTIF(I2373,"26*")&gt;0,COUNTIF(J2373,"*26*")&gt;0,COUNTIF(I2373,"27*")&gt;0,COUNTIF(J2373,"*27*")&gt;0,COUNTIF(I2373,"28*")&gt;0,COUNTIF(J2373,"*28*")&gt;0,COUNTIF(I2373,"29*")&gt;0,COUNTIF(J2373,"*29*")&gt;0,COUNTIF(I2373,"30*")&gt;0,COUNTIF(J2373,"*30*")&gt;0,COUNTIF(I2373,"31*")&gt;0,COUNTIF(J2373,"*31*")&gt;0,COUNTIF(I2373,"32*")&gt;0,COUNTIF(J2373,"*32*")&gt;0,COUNTIF(I2373,"33*")&gt;0,COUNTIF(J2373,"*33*")&gt;0,COUNTIF(I2373,"41*")&gt;0,COUNTIF(J2373,"*41*")&gt;0,COUNTIF(I2373,"42*")&gt;0,COUNTIF(J2373,"*42*")&gt;0,COUNTIF(I2373,"43*")&gt;0,COUNTIF(J2373,"*43*")&gt;0,COUNTIF(I2373,"49*")&gt;0,COUNTIF(J2373,"*49*")&gt;0,COUNTIF(I2373,"52*")&gt;0,COUNTIF(J2373,"*52*")&gt;0,COUNTIF(I2373,"55*")&gt;0,COUNTIF(J2373,"*55*")&gt;0,COUNTIF(I2373,"56*")&gt;0,COUNTIF(J2373,"*56*")&gt;0,COUNTIF(I2373,"68*")&gt;0,COUNTIF(J2373,"*68*")&gt;0,COUNTIF(I2373,"78*")&gt;0,COUNTIF(J2373,"*78*")&gt;0,COUNTIF(I2373,"81*")&gt;0,COUNTIF(J2373,"*81*")&gt;0,COUNTIF(I2373,"82*")&gt;0,COUNTIF(J2373,"*82*")&gt;0,COUNTIF(I2373,"64*")&gt;0,COUNTIF(J2373,"*64*")&gt;0,COUNTIF(I2373,"65*")&gt;0,COUNTIF(J2373,"*65*")&gt;0,COUNTIF(I2373,"66*")&gt;0,COUNTIF(J2373,"*66*")&gt;0,COUNTIF(I2373,"61*")&gt;0,COUNTIF(J2373,"*61*")&gt;0,COUNTIF(I2373,"62*")&gt;0,COUNTIF(J2373,"*62*")&gt;0,COUNTIF(I2373,"63*")&gt;0,COUNTIF(J2373,"*63*")&gt;0,COUNTIF(I2373,"85*")&gt;0,COUNTIF(J2373,"*85*")&gt;0,COUNTIF(I2373,"86*")&gt;0,COUNTIF(J2373,"*86*")&gt;0),"Да","Нет"))</f>
        <v/>
      </c>
      <c r="M2373" s="13">
        <f>IF(OR(G2373="",L2373&lt;&gt;"Да"),"",IF(G2373&lt;=100,"До 100",IF(G2373&lt;=200,"До 200",IF(G2373&lt;=500,"До 500","Отдельное КП"))))</f>
        <v/>
      </c>
      <c r="N2373" s="15">
        <f>IF(OR(G2373="",L2373&lt;&gt;"Да"),"",IF(G2373&lt;=100,33600,IF(G2373&lt;=200,62400,IF(G2373&lt;=500,144000,""))))</f>
        <v/>
      </c>
      <c r="O2373" s="16">
        <f>IF(G2373="","",IF(G2373&lt;=15,"1–15",IF(G2373&lt;=30,"16–30",IF(G2373&lt;=50,"31–50",IF(G2373&lt;=100,"51–100",IF(G2373&lt;=150,"101–150",IF(G2373&lt;=200,"151–200",IF(G2373&lt;=500,"201–500","500+"))))))))</f>
        <v/>
      </c>
      <c r="P2373" s="16" t="inlineStr">
        <is>
          <t>Нет совпадения в предоставленной выгрузке ССЧР</t>
        </is>
      </c>
      <c r="Q2373" s="16" t="n"/>
      <c r="R2373" s="16">
        <f>HYPERLINK("https://checko.ru/search?query=3801001629","Чекко: проверить")</f>
        <v/>
      </c>
      <c r="S2373" t="n">
        <v>0</v>
      </c>
    </row>
    <row r="2374" ht="15" customHeight="1" s="24">
      <c r="A2374" s="13" t="n">
        <v>5000094845</v>
      </c>
      <c r="B2374" s="13" t="inlineStr">
        <is>
          <t>ГБУЗ "ЦРБ им. Хацукова А.А."</t>
        </is>
      </c>
      <c r="C2374" s="13" t="n">
        <v>708003619</v>
      </c>
      <c r="D2374" s="13" t="n"/>
      <c r="E2374" s="13" t="inlineStr">
        <is>
          <t>Не определён</t>
        </is>
      </c>
      <c r="F2374" s="13" t="inlineStr">
        <is>
          <t>708003619</t>
        </is>
      </c>
      <c r="G2374" s="14" t="n"/>
      <c r="H2374" s="14" t="n"/>
      <c r="I2374" s="14" t="n"/>
      <c r="J2374" s="14" t="n"/>
      <c r="K2374" s="13">
        <f>IF(G2374="","",IF(G2374&gt;=22,"Да","Нет"))</f>
        <v/>
      </c>
      <c r="L2374" s="13">
        <f>IF(OR(I2374="",J2374=""),"Не определено",IF(OR(COUNTIF(I2374,"45*")&gt;0,COUNTIF(J2374,"*45*")&gt;0,COUNTIF(I2374,"46*")&gt;0,COUNTIF(J2374,"*46*")&gt;0,COUNTIF(I2374,"47*")&gt;0,COUNTIF(J2374,"*47*")&gt;0,COUNTIF(I2374,"10*")&gt;0,COUNTIF(J2374,"*10*")&gt;0,COUNTIF(I2374,"11*")&gt;0,COUNTIF(J2374,"*11*")&gt;0,COUNTIF(I2374,"12*")&gt;0,COUNTIF(J2374,"*12*")&gt;0,COUNTIF(I2374,"13*")&gt;0,COUNTIF(J2374,"*13*")&gt;0,COUNTIF(I2374,"14*")&gt;0,COUNTIF(J2374,"*14*")&gt;0,COUNTIF(I2374,"15*")&gt;0,COUNTIF(J2374,"*15*")&gt;0,COUNTIF(I2374,"16*")&gt;0,COUNTIF(J2374,"*16*")&gt;0,COUNTIF(I2374,"17*")&gt;0,COUNTIF(J2374,"*17*")&gt;0,COUNTIF(I2374,"18*")&gt;0,COUNTIF(J2374,"*18*")&gt;0,COUNTIF(I2374,"19*")&gt;0,COUNTIF(J2374,"*19*")&gt;0,COUNTIF(I2374,"20*")&gt;0,COUNTIF(J2374,"*20*")&gt;0,COUNTIF(I2374,"21*")&gt;0,COUNTIF(J2374,"*21*")&gt;0,COUNTIF(I2374,"22*")&gt;0,COUNTIF(J2374,"*22*")&gt;0,COUNTIF(I2374,"23*")&gt;0,COUNTIF(J2374,"*23*")&gt;0,COUNTIF(I2374,"24*")&gt;0,COUNTIF(J2374,"*24*")&gt;0,COUNTIF(I2374,"25*")&gt;0,COUNTIF(J2374,"*25*")&gt;0,COUNTIF(I2374,"26*")&gt;0,COUNTIF(J2374,"*26*")&gt;0,COUNTIF(I2374,"27*")&gt;0,COUNTIF(J2374,"*27*")&gt;0,COUNTIF(I2374,"28*")&gt;0,COUNTIF(J2374,"*28*")&gt;0,COUNTIF(I2374,"29*")&gt;0,COUNTIF(J2374,"*29*")&gt;0,COUNTIF(I2374,"30*")&gt;0,COUNTIF(J2374,"*30*")&gt;0,COUNTIF(I2374,"31*")&gt;0,COUNTIF(J2374,"*31*")&gt;0,COUNTIF(I2374,"32*")&gt;0,COUNTIF(J2374,"*32*")&gt;0,COUNTIF(I2374,"33*")&gt;0,COUNTIF(J2374,"*33*")&gt;0,COUNTIF(I2374,"41*")&gt;0,COUNTIF(J2374,"*41*")&gt;0,COUNTIF(I2374,"42*")&gt;0,COUNTIF(J2374,"*42*")&gt;0,COUNTIF(I2374,"43*")&gt;0,COUNTIF(J2374,"*43*")&gt;0,COUNTIF(I2374,"49*")&gt;0,COUNTIF(J2374,"*49*")&gt;0,COUNTIF(I2374,"52*")&gt;0,COUNTIF(J2374,"*52*")&gt;0,COUNTIF(I2374,"55*")&gt;0,COUNTIF(J2374,"*55*")&gt;0,COUNTIF(I2374,"56*")&gt;0,COUNTIF(J2374,"*56*")&gt;0,COUNTIF(I2374,"68*")&gt;0,COUNTIF(J2374,"*68*")&gt;0,COUNTIF(I2374,"78*")&gt;0,COUNTIF(J2374,"*78*")&gt;0,COUNTIF(I2374,"81*")&gt;0,COUNTIF(J2374,"*81*")&gt;0,COUNTIF(I2374,"82*")&gt;0,COUNTIF(J2374,"*82*")&gt;0,COUNTIF(I2374,"64*")&gt;0,COUNTIF(J2374,"*64*")&gt;0,COUNTIF(I2374,"65*")&gt;0,COUNTIF(J2374,"*65*")&gt;0,COUNTIF(I2374,"66*")&gt;0,COUNTIF(J2374,"*66*")&gt;0,COUNTIF(I2374,"61*")&gt;0,COUNTIF(J2374,"*61*")&gt;0,COUNTIF(I2374,"62*")&gt;0,COUNTIF(J2374,"*62*")&gt;0,COUNTIF(I2374,"63*")&gt;0,COUNTIF(J2374,"*63*")&gt;0,COUNTIF(I2374,"85*")&gt;0,COUNTIF(J2374,"*85*")&gt;0,COUNTIF(I2374,"86*")&gt;0,COUNTIF(J2374,"*86*")&gt;0),"Да","Нет"))</f>
        <v/>
      </c>
      <c r="M2374" s="13">
        <f>IF(OR(G2374="",L2374&lt;&gt;"Да"),"",IF(G2374&lt;=100,"До 100",IF(G2374&lt;=200,"До 200",IF(G2374&lt;=500,"До 500","Отдельное КП"))))</f>
        <v/>
      </c>
      <c r="N2374" s="15">
        <f>IF(OR(G2374="",L2374&lt;&gt;"Да"),"",IF(G2374&lt;=100,33600,IF(G2374&lt;=200,62400,IF(G2374&lt;=500,144000,""))))</f>
        <v/>
      </c>
      <c r="O2374" s="16">
        <f>IF(G2374="","",IF(G2374&lt;=15,"1–15",IF(G2374&lt;=30,"16–30",IF(G2374&lt;=50,"31–50",IF(G2374&lt;=100,"51–100",IF(G2374&lt;=150,"101–150",IF(G2374&lt;=200,"151–200",IF(G2374&lt;=500,"201–500","500+"))))))))</f>
        <v/>
      </c>
      <c r="P2374" s="16" t="inlineStr">
        <is>
          <t>Нет совпадения в предоставленной выгрузке ССЧР</t>
        </is>
      </c>
      <c r="Q2374" s="16" t="n"/>
      <c r="R2374" s="16">
        <f>HYPERLINK("https://checko.ru/search?query=3801001629","Чекко: проверить")</f>
        <v/>
      </c>
      <c r="S2374" t="n">
        <v>0</v>
      </c>
    </row>
    <row r="2375" ht="27.75" customHeight="1" s="24">
      <c r="A2375" s="13" t="n">
        <v>5000094846</v>
      </c>
      <c r="B2375" s="13" t="inlineStr">
        <is>
          <t>Местная администрация Чегемского муниципального района</t>
        </is>
      </c>
      <c r="C2375" s="13" t="n">
        <v>708003626</v>
      </c>
      <c r="D2375" s="13" t="n"/>
      <c r="E2375" s="13" t="inlineStr">
        <is>
          <t>Не определён</t>
        </is>
      </c>
      <c r="F2375" s="13" t="inlineStr">
        <is>
          <t>708003626</t>
        </is>
      </c>
      <c r="G2375" s="14" t="n"/>
      <c r="H2375" s="14" t="n"/>
      <c r="I2375" s="14" t="n"/>
      <c r="J2375" s="14" t="n"/>
      <c r="K2375" s="13">
        <f>IF(G2375="","",IF(G2375&gt;=22,"Да","Нет"))</f>
        <v/>
      </c>
      <c r="L2375" s="13">
        <f>IF(OR(I2375="",J2375=""),"Не определено",IF(OR(COUNTIF(I2375,"45*")&gt;0,COUNTIF(J2375,"*45*")&gt;0,COUNTIF(I2375,"46*")&gt;0,COUNTIF(J2375,"*46*")&gt;0,COUNTIF(I2375,"47*")&gt;0,COUNTIF(J2375,"*47*")&gt;0,COUNTIF(I2375,"10*")&gt;0,COUNTIF(J2375,"*10*")&gt;0,COUNTIF(I2375,"11*")&gt;0,COUNTIF(J2375,"*11*")&gt;0,COUNTIF(I2375,"12*")&gt;0,COUNTIF(J2375,"*12*")&gt;0,COUNTIF(I2375,"13*")&gt;0,COUNTIF(J2375,"*13*")&gt;0,COUNTIF(I2375,"14*")&gt;0,COUNTIF(J2375,"*14*")&gt;0,COUNTIF(I2375,"15*")&gt;0,COUNTIF(J2375,"*15*")&gt;0,COUNTIF(I2375,"16*")&gt;0,COUNTIF(J2375,"*16*")&gt;0,COUNTIF(I2375,"17*")&gt;0,COUNTIF(J2375,"*17*")&gt;0,COUNTIF(I2375,"18*")&gt;0,COUNTIF(J2375,"*18*")&gt;0,COUNTIF(I2375,"19*")&gt;0,COUNTIF(J2375,"*19*")&gt;0,COUNTIF(I2375,"20*")&gt;0,COUNTIF(J2375,"*20*")&gt;0,COUNTIF(I2375,"21*")&gt;0,COUNTIF(J2375,"*21*")&gt;0,COUNTIF(I2375,"22*")&gt;0,COUNTIF(J2375,"*22*")&gt;0,COUNTIF(I2375,"23*")&gt;0,COUNTIF(J2375,"*23*")&gt;0,COUNTIF(I2375,"24*")&gt;0,COUNTIF(J2375,"*24*")&gt;0,COUNTIF(I2375,"25*")&gt;0,COUNTIF(J2375,"*25*")&gt;0,COUNTIF(I2375,"26*")&gt;0,COUNTIF(J2375,"*26*")&gt;0,COUNTIF(I2375,"27*")&gt;0,COUNTIF(J2375,"*27*")&gt;0,COUNTIF(I2375,"28*")&gt;0,COUNTIF(J2375,"*28*")&gt;0,COUNTIF(I2375,"29*")&gt;0,COUNTIF(J2375,"*29*")&gt;0,COUNTIF(I2375,"30*")&gt;0,COUNTIF(J2375,"*30*")&gt;0,COUNTIF(I2375,"31*")&gt;0,COUNTIF(J2375,"*31*")&gt;0,COUNTIF(I2375,"32*")&gt;0,COUNTIF(J2375,"*32*")&gt;0,COUNTIF(I2375,"33*")&gt;0,COUNTIF(J2375,"*33*")&gt;0,COUNTIF(I2375,"41*")&gt;0,COUNTIF(J2375,"*41*")&gt;0,COUNTIF(I2375,"42*")&gt;0,COUNTIF(J2375,"*42*")&gt;0,COUNTIF(I2375,"43*")&gt;0,COUNTIF(J2375,"*43*")&gt;0,COUNTIF(I2375,"49*")&gt;0,COUNTIF(J2375,"*49*")&gt;0,COUNTIF(I2375,"52*")&gt;0,COUNTIF(J2375,"*52*")&gt;0,COUNTIF(I2375,"55*")&gt;0,COUNTIF(J2375,"*55*")&gt;0,COUNTIF(I2375,"56*")&gt;0,COUNTIF(J2375,"*56*")&gt;0,COUNTIF(I2375,"68*")&gt;0,COUNTIF(J2375,"*68*")&gt;0,COUNTIF(I2375,"78*")&gt;0,COUNTIF(J2375,"*78*")&gt;0,COUNTIF(I2375,"81*")&gt;0,COUNTIF(J2375,"*81*")&gt;0,COUNTIF(I2375,"82*")&gt;0,COUNTIF(J2375,"*82*")&gt;0,COUNTIF(I2375,"64*")&gt;0,COUNTIF(J2375,"*64*")&gt;0,COUNTIF(I2375,"65*")&gt;0,COUNTIF(J2375,"*65*")&gt;0,COUNTIF(I2375,"66*")&gt;0,COUNTIF(J2375,"*66*")&gt;0,COUNTIF(I2375,"61*")&gt;0,COUNTIF(J2375,"*61*")&gt;0,COUNTIF(I2375,"62*")&gt;0,COUNTIF(J2375,"*62*")&gt;0,COUNTIF(I2375,"63*")&gt;0,COUNTIF(J2375,"*63*")&gt;0,COUNTIF(I2375,"85*")&gt;0,COUNTIF(J2375,"*85*")&gt;0,COUNTIF(I2375,"86*")&gt;0,COUNTIF(J2375,"*86*")&gt;0),"Да","Нет"))</f>
        <v/>
      </c>
      <c r="M2375" s="13">
        <f>IF(OR(G2375="",L2375&lt;&gt;"Да"),"",IF(G2375&lt;=100,"До 100",IF(G2375&lt;=200,"До 200",IF(G2375&lt;=500,"До 500","Отдельное КП"))))</f>
        <v/>
      </c>
      <c r="N2375" s="15">
        <f>IF(OR(G2375="",L2375&lt;&gt;"Да"),"",IF(G2375&lt;=100,33600,IF(G2375&lt;=200,62400,IF(G2375&lt;=500,144000,""))))</f>
        <v/>
      </c>
      <c r="O2375" s="16">
        <f>IF(G2375="","",IF(G2375&lt;=15,"1–15",IF(G2375&lt;=30,"16–30",IF(G2375&lt;=50,"31–50",IF(G2375&lt;=100,"51–100",IF(G2375&lt;=150,"101–150",IF(G2375&lt;=200,"151–200",IF(G2375&lt;=500,"201–500","500+"))))))))</f>
        <v/>
      </c>
      <c r="P2375" s="16" t="inlineStr">
        <is>
          <t>Нет совпадения в предоставленной выгрузке ССЧР</t>
        </is>
      </c>
      <c r="Q2375" s="16" t="n"/>
      <c r="R2375" s="16">
        <f>HYPERLINK("https://checko.ru/search?query=3801001629","Чекко: проверить")</f>
        <v/>
      </c>
      <c r="S2375" t="n">
        <v>0</v>
      </c>
    </row>
    <row r="2376" ht="27.75" customHeight="1" s="24">
      <c r="A2376" s="13" t="n">
        <v>5000094847</v>
      </c>
      <c r="B2376" s="13" t="inlineStr">
        <is>
          <t>Местная администрация сельского поселения Лечинкай</t>
        </is>
      </c>
      <c r="C2376" s="13" t="n">
        <v>708003672</v>
      </c>
      <c r="D2376" s="13" t="n"/>
      <c r="E2376" s="13" t="inlineStr">
        <is>
          <t>Не определён</t>
        </is>
      </c>
      <c r="F2376" s="13" t="inlineStr">
        <is>
          <t>708003672</t>
        </is>
      </c>
      <c r="G2376" s="14" t="n"/>
      <c r="H2376" s="14" t="n"/>
      <c r="I2376" s="14" t="n"/>
      <c r="J2376" s="14" t="n"/>
      <c r="K2376" s="13">
        <f>IF(G2376="","",IF(G2376&gt;=22,"Да","Нет"))</f>
        <v/>
      </c>
      <c r="L2376" s="13">
        <f>IF(OR(I2376="",J2376=""),"Не определено",IF(OR(COUNTIF(I2376,"45*")&gt;0,COUNTIF(J2376,"*45*")&gt;0,COUNTIF(I2376,"46*")&gt;0,COUNTIF(J2376,"*46*")&gt;0,COUNTIF(I2376,"47*")&gt;0,COUNTIF(J2376,"*47*")&gt;0,COUNTIF(I2376,"10*")&gt;0,COUNTIF(J2376,"*10*")&gt;0,COUNTIF(I2376,"11*")&gt;0,COUNTIF(J2376,"*11*")&gt;0,COUNTIF(I2376,"12*")&gt;0,COUNTIF(J2376,"*12*")&gt;0,COUNTIF(I2376,"13*")&gt;0,COUNTIF(J2376,"*13*")&gt;0,COUNTIF(I2376,"14*")&gt;0,COUNTIF(J2376,"*14*")&gt;0,COUNTIF(I2376,"15*")&gt;0,COUNTIF(J2376,"*15*")&gt;0,COUNTIF(I2376,"16*")&gt;0,COUNTIF(J2376,"*16*")&gt;0,COUNTIF(I2376,"17*")&gt;0,COUNTIF(J2376,"*17*")&gt;0,COUNTIF(I2376,"18*")&gt;0,COUNTIF(J2376,"*18*")&gt;0,COUNTIF(I2376,"19*")&gt;0,COUNTIF(J2376,"*19*")&gt;0,COUNTIF(I2376,"20*")&gt;0,COUNTIF(J2376,"*20*")&gt;0,COUNTIF(I2376,"21*")&gt;0,COUNTIF(J2376,"*21*")&gt;0,COUNTIF(I2376,"22*")&gt;0,COUNTIF(J2376,"*22*")&gt;0,COUNTIF(I2376,"23*")&gt;0,COUNTIF(J2376,"*23*")&gt;0,COUNTIF(I2376,"24*")&gt;0,COUNTIF(J2376,"*24*")&gt;0,COUNTIF(I2376,"25*")&gt;0,COUNTIF(J2376,"*25*")&gt;0,COUNTIF(I2376,"26*")&gt;0,COUNTIF(J2376,"*26*")&gt;0,COUNTIF(I2376,"27*")&gt;0,COUNTIF(J2376,"*27*")&gt;0,COUNTIF(I2376,"28*")&gt;0,COUNTIF(J2376,"*28*")&gt;0,COUNTIF(I2376,"29*")&gt;0,COUNTIF(J2376,"*29*")&gt;0,COUNTIF(I2376,"30*")&gt;0,COUNTIF(J2376,"*30*")&gt;0,COUNTIF(I2376,"31*")&gt;0,COUNTIF(J2376,"*31*")&gt;0,COUNTIF(I2376,"32*")&gt;0,COUNTIF(J2376,"*32*")&gt;0,COUNTIF(I2376,"33*")&gt;0,COUNTIF(J2376,"*33*")&gt;0,COUNTIF(I2376,"41*")&gt;0,COUNTIF(J2376,"*41*")&gt;0,COUNTIF(I2376,"42*")&gt;0,COUNTIF(J2376,"*42*")&gt;0,COUNTIF(I2376,"43*")&gt;0,COUNTIF(J2376,"*43*")&gt;0,COUNTIF(I2376,"49*")&gt;0,COUNTIF(J2376,"*49*")&gt;0,COUNTIF(I2376,"52*")&gt;0,COUNTIF(J2376,"*52*")&gt;0,COUNTIF(I2376,"55*")&gt;0,COUNTIF(J2376,"*55*")&gt;0,COUNTIF(I2376,"56*")&gt;0,COUNTIF(J2376,"*56*")&gt;0,COUNTIF(I2376,"68*")&gt;0,COUNTIF(J2376,"*68*")&gt;0,COUNTIF(I2376,"78*")&gt;0,COUNTIF(J2376,"*78*")&gt;0,COUNTIF(I2376,"81*")&gt;0,COUNTIF(J2376,"*81*")&gt;0,COUNTIF(I2376,"82*")&gt;0,COUNTIF(J2376,"*82*")&gt;0,COUNTIF(I2376,"64*")&gt;0,COUNTIF(J2376,"*64*")&gt;0,COUNTIF(I2376,"65*")&gt;0,COUNTIF(J2376,"*65*")&gt;0,COUNTIF(I2376,"66*")&gt;0,COUNTIF(J2376,"*66*")&gt;0,COUNTIF(I2376,"61*")&gt;0,COUNTIF(J2376,"*61*")&gt;0,COUNTIF(I2376,"62*")&gt;0,COUNTIF(J2376,"*62*")&gt;0,COUNTIF(I2376,"63*")&gt;0,COUNTIF(J2376,"*63*")&gt;0,COUNTIF(I2376,"85*")&gt;0,COUNTIF(J2376,"*85*")&gt;0,COUNTIF(I2376,"86*")&gt;0,COUNTIF(J2376,"*86*")&gt;0),"Да","Нет"))</f>
        <v/>
      </c>
      <c r="M2376" s="13">
        <f>IF(OR(G2376="",L2376&lt;&gt;"Да"),"",IF(G2376&lt;=100,"До 100",IF(G2376&lt;=200,"До 200",IF(G2376&lt;=500,"До 500","Отдельное КП"))))</f>
        <v/>
      </c>
      <c r="N2376" s="15">
        <f>IF(OR(G2376="",L2376&lt;&gt;"Да"),"",IF(G2376&lt;=100,33600,IF(G2376&lt;=200,62400,IF(G2376&lt;=500,144000,""))))</f>
        <v/>
      </c>
      <c r="O2376" s="16">
        <f>IF(G2376="","",IF(G2376&lt;=15,"1–15",IF(G2376&lt;=30,"16–30",IF(G2376&lt;=50,"31–50",IF(G2376&lt;=100,"51–100",IF(G2376&lt;=150,"101–150",IF(G2376&lt;=200,"151–200",IF(G2376&lt;=500,"201–500","500+"))))))))</f>
        <v/>
      </c>
      <c r="P2376" s="16" t="inlineStr">
        <is>
          <t>Нет совпадения в предоставленной выгрузке ССЧР</t>
        </is>
      </c>
      <c r="Q2376" s="16" t="n"/>
      <c r="R2376" s="16">
        <f>HYPERLINK("https://checko.ru/search?query=3801001629","Чекко: проверить")</f>
        <v/>
      </c>
      <c r="S2376" t="n">
        <v>0</v>
      </c>
    </row>
    <row r="2377" ht="15" customHeight="1" s="24">
      <c r="A2377" s="13" t="n">
        <v>5000094916</v>
      </c>
      <c r="B2377" s="13" t="inlineStr">
        <is>
          <t>МУ "УФ ЭМР"</t>
        </is>
      </c>
      <c r="C2377" s="13" t="n">
        <v>710003180</v>
      </c>
      <c r="D2377" s="13" t="n"/>
      <c r="E2377" s="13" t="inlineStr">
        <is>
          <t>Не определён</t>
        </is>
      </c>
      <c r="F2377" s="13" t="inlineStr">
        <is>
          <t>710003180</t>
        </is>
      </c>
      <c r="G2377" s="14" t="n"/>
      <c r="H2377" s="14" t="n"/>
      <c r="I2377" s="14" t="n"/>
      <c r="J2377" s="14" t="n"/>
      <c r="K2377" s="13">
        <f>IF(G2377="","",IF(G2377&gt;=22,"Да","Нет"))</f>
        <v/>
      </c>
      <c r="L2377" s="13">
        <f>IF(OR(I2377="",J2377=""),"Не определено",IF(OR(COUNTIF(I2377,"45*")&gt;0,COUNTIF(J2377,"*45*")&gt;0,COUNTIF(I2377,"46*")&gt;0,COUNTIF(J2377,"*46*")&gt;0,COUNTIF(I2377,"47*")&gt;0,COUNTIF(J2377,"*47*")&gt;0,COUNTIF(I2377,"10*")&gt;0,COUNTIF(J2377,"*10*")&gt;0,COUNTIF(I2377,"11*")&gt;0,COUNTIF(J2377,"*11*")&gt;0,COUNTIF(I2377,"12*")&gt;0,COUNTIF(J2377,"*12*")&gt;0,COUNTIF(I2377,"13*")&gt;0,COUNTIF(J2377,"*13*")&gt;0,COUNTIF(I2377,"14*")&gt;0,COUNTIF(J2377,"*14*")&gt;0,COUNTIF(I2377,"15*")&gt;0,COUNTIF(J2377,"*15*")&gt;0,COUNTIF(I2377,"16*")&gt;0,COUNTIF(J2377,"*16*")&gt;0,COUNTIF(I2377,"17*")&gt;0,COUNTIF(J2377,"*17*")&gt;0,COUNTIF(I2377,"18*")&gt;0,COUNTIF(J2377,"*18*")&gt;0,COUNTIF(I2377,"19*")&gt;0,COUNTIF(J2377,"*19*")&gt;0,COUNTIF(I2377,"20*")&gt;0,COUNTIF(J2377,"*20*")&gt;0,COUNTIF(I2377,"21*")&gt;0,COUNTIF(J2377,"*21*")&gt;0,COUNTIF(I2377,"22*")&gt;0,COUNTIF(J2377,"*22*")&gt;0,COUNTIF(I2377,"23*")&gt;0,COUNTIF(J2377,"*23*")&gt;0,COUNTIF(I2377,"24*")&gt;0,COUNTIF(J2377,"*24*")&gt;0,COUNTIF(I2377,"25*")&gt;0,COUNTIF(J2377,"*25*")&gt;0,COUNTIF(I2377,"26*")&gt;0,COUNTIF(J2377,"*26*")&gt;0,COUNTIF(I2377,"27*")&gt;0,COUNTIF(J2377,"*27*")&gt;0,COUNTIF(I2377,"28*")&gt;0,COUNTIF(J2377,"*28*")&gt;0,COUNTIF(I2377,"29*")&gt;0,COUNTIF(J2377,"*29*")&gt;0,COUNTIF(I2377,"30*")&gt;0,COUNTIF(J2377,"*30*")&gt;0,COUNTIF(I2377,"31*")&gt;0,COUNTIF(J2377,"*31*")&gt;0,COUNTIF(I2377,"32*")&gt;0,COUNTIF(J2377,"*32*")&gt;0,COUNTIF(I2377,"33*")&gt;0,COUNTIF(J2377,"*33*")&gt;0,COUNTIF(I2377,"41*")&gt;0,COUNTIF(J2377,"*41*")&gt;0,COUNTIF(I2377,"42*")&gt;0,COUNTIF(J2377,"*42*")&gt;0,COUNTIF(I2377,"43*")&gt;0,COUNTIF(J2377,"*43*")&gt;0,COUNTIF(I2377,"49*")&gt;0,COUNTIF(J2377,"*49*")&gt;0,COUNTIF(I2377,"52*")&gt;0,COUNTIF(J2377,"*52*")&gt;0,COUNTIF(I2377,"55*")&gt;0,COUNTIF(J2377,"*55*")&gt;0,COUNTIF(I2377,"56*")&gt;0,COUNTIF(J2377,"*56*")&gt;0,COUNTIF(I2377,"68*")&gt;0,COUNTIF(J2377,"*68*")&gt;0,COUNTIF(I2377,"78*")&gt;0,COUNTIF(J2377,"*78*")&gt;0,COUNTIF(I2377,"81*")&gt;0,COUNTIF(J2377,"*81*")&gt;0,COUNTIF(I2377,"82*")&gt;0,COUNTIF(J2377,"*82*")&gt;0,COUNTIF(I2377,"64*")&gt;0,COUNTIF(J2377,"*64*")&gt;0,COUNTIF(I2377,"65*")&gt;0,COUNTIF(J2377,"*65*")&gt;0,COUNTIF(I2377,"66*")&gt;0,COUNTIF(J2377,"*66*")&gt;0,COUNTIF(I2377,"61*")&gt;0,COUNTIF(J2377,"*61*")&gt;0,COUNTIF(I2377,"62*")&gt;0,COUNTIF(J2377,"*62*")&gt;0,COUNTIF(I2377,"63*")&gt;0,COUNTIF(J2377,"*63*")&gt;0,COUNTIF(I2377,"85*")&gt;0,COUNTIF(J2377,"*85*")&gt;0,COUNTIF(I2377,"86*")&gt;0,COUNTIF(J2377,"*86*")&gt;0),"Да","Нет"))</f>
        <v/>
      </c>
      <c r="M2377" s="13">
        <f>IF(OR(G2377="",L2377&lt;&gt;"Да"),"",IF(G2377&lt;=100,"До 100",IF(G2377&lt;=200,"До 200",IF(G2377&lt;=500,"До 500","Отдельное КП"))))</f>
        <v/>
      </c>
      <c r="N2377" s="15">
        <f>IF(OR(G2377="",L2377&lt;&gt;"Да"),"",IF(G2377&lt;=100,33600,IF(G2377&lt;=200,62400,IF(G2377&lt;=500,144000,""))))</f>
        <v/>
      </c>
      <c r="O2377" s="16">
        <f>IF(G2377="","",IF(G2377&lt;=15,"1–15",IF(G2377&lt;=30,"16–30",IF(G2377&lt;=50,"31–50",IF(G2377&lt;=100,"51–100",IF(G2377&lt;=150,"101–150",IF(G2377&lt;=200,"151–200",IF(G2377&lt;=500,"201–500","500+"))))))))</f>
        <v/>
      </c>
      <c r="P2377" s="16" t="inlineStr">
        <is>
          <t>Нет совпадения в предоставленной выгрузке ССЧР</t>
        </is>
      </c>
      <c r="Q2377" s="16" t="n"/>
      <c r="R2377" s="16">
        <f>HYPERLINK("https://checko.ru/search?query=3801001629","Чекко: проверить")</f>
        <v/>
      </c>
      <c r="S2377" t="n">
        <v>0</v>
      </c>
    </row>
    <row r="2378" ht="15" customHeight="1" s="24">
      <c r="A2378" s="13" t="n">
        <v>5000094918</v>
      </c>
      <c r="B2378" s="13" t="inlineStr">
        <is>
          <t>Местная администрация с.п. Верхний Баксан</t>
        </is>
      </c>
      <c r="C2378" s="13" t="n">
        <v>710003207</v>
      </c>
      <c r="D2378" s="13" t="n"/>
      <c r="E2378" s="13" t="inlineStr">
        <is>
          <t>Не определён</t>
        </is>
      </c>
      <c r="F2378" s="13" t="inlineStr">
        <is>
          <t>710003207</t>
        </is>
      </c>
      <c r="G2378" s="14" t="n"/>
      <c r="H2378" s="14" t="n"/>
      <c r="I2378" s="14" t="n"/>
      <c r="J2378" s="14" t="n"/>
      <c r="K2378" s="13">
        <f>IF(G2378="","",IF(G2378&gt;=22,"Да","Нет"))</f>
        <v/>
      </c>
      <c r="L2378" s="13">
        <f>IF(OR(I2378="",J2378=""),"Не определено",IF(OR(COUNTIF(I2378,"45*")&gt;0,COUNTIF(J2378,"*45*")&gt;0,COUNTIF(I2378,"46*")&gt;0,COUNTIF(J2378,"*46*")&gt;0,COUNTIF(I2378,"47*")&gt;0,COUNTIF(J2378,"*47*")&gt;0,COUNTIF(I2378,"10*")&gt;0,COUNTIF(J2378,"*10*")&gt;0,COUNTIF(I2378,"11*")&gt;0,COUNTIF(J2378,"*11*")&gt;0,COUNTIF(I2378,"12*")&gt;0,COUNTIF(J2378,"*12*")&gt;0,COUNTIF(I2378,"13*")&gt;0,COUNTIF(J2378,"*13*")&gt;0,COUNTIF(I2378,"14*")&gt;0,COUNTIF(J2378,"*14*")&gt;0,COUNTIF(I2378,"15*")&gt;0,COUNTIF(J2378,"*15*")&gt;0,COUNTIF(I2378,"16*")&gt;0,COUNTIF(J2378,"*16*")&gt;0,COUNTIF(I2378,"17*")&gt;0,COUNTIF(J2378,"*17*")&gt;0,COUNTIF(I2378,"18*")&gt;0,COUNTIF(J2378,"*18*")&gt;0,COUNTIF(I2378,"19*")&gt;0,COUNTIF(J2378,"*19*")&gt;0,COUNTIF(I2378,"20*")&gt;0,COUNTIF(J2378,"*20*")&gt;0,COUNTIF(I2378,"21*")&gt;0,COUNTIF(J2378,"*21*")&gt;0,COUNTIF(I2378,"22*")&gt;0,COUNTIF(J2378,"*22*")&gt;0,COUNTIF(I2378,"23*")&gt;0,COUNTIF(J2378,"*23*")&gt;0,COUNTIF(I2378,"24*")&gt;0,COUNTIF(J2378,"*24*")&gt;0,COUNTIF(I2378,"25*")&gt;0,COUNTIF(J2378,"*25*")&gt;0,COUNTIF(I2378,"26*")&gt;0,COUNTIF(J2378,"*26*")&gt;0,COUNTIF(I2378,"27*")&gt;0,COUNTIF(J2378,"*27*")&gt;0,COUNTIF(I2378,"28*")&gt;0,COUNTIF(J2378,"*28*")&gt;0,COUNTIF(I2378,"29*")&gt;0,COUNTIF(J2378,"*29*")&gt;0,COUNTIF(I2378,"30*")&gt;0,COUNTIF(J2378,"*30*")&gt;0,COUNTIF(I2378,"31*")&gt;0,COUNTIF(J2378,"*31*")&gt;0,COUNTIF(I2378,"32*")&gt;0,COUNTIF(J2378,"*32*")&gt;0,COUNTIF(I2378,"33*")&gt;0,COUNTIF(J2378,"*33*")&gt;0,COUNTIF(I2378,"41*")&gt;0,COUNTIF(J2378,"*41*")&gt;0,COUNTIF(I2378,"42*")&gt;0,COUNTIF(J2378,"*42*")&gt;0,COUNTIF(I2378,"43*")&gt;0,COUNTIF(J2378,"*43*")&gt;0,COUNTIF(I2378,"49*")&gt;0,COUNTIF(J2378,"*49*")&gt;0,COUNTIF(I2378,"52*")&gt;0,COUNTIF(J2378,"*52*")&gt;0,COUNTIF(I2378,"55*")&gt;0,COUNTIF(J2378,"*55*")&gt;0,COUNTIF(I2378,"56*")&gt;0,COUNTIF(J2378,"*56*")&gt;0,COUNTIF(I2378,"68*")&gt;0,COUNTIF(J2378,"*68*")&gt;0,COUNTIF(I2378,"78*")&gt;0,COUNTIF(J2378,"*78*")&gt;0,COUNTIF(I2378,"81*")&gt;0,COUNTIF(J2378,"*81*")&gt;0,COUNTIF(I2378,"82*")&gt;0,COUNTIF(J2378,"*82*")&gt;0,COUNTIF(I2378,"64*")&gt;0,COUNTIF(J2378,"*64*")&gt;0,COUNTIF(I2378,"65*")&gt;0,COUNTIF(J2378,"*65*")&gt;0,COUNTIF(I2378,"66*")&gt;0,COUNTIF(J2378,"*66*")&gt;0,COUNTIF(I2378,"61*")&gt;0,COUNTIF(J2378,"*61*")&gt;0,COUNTIF(I2378,"62*")&gt;0,COUNTIF(J2378,"*62*")&gt;0,COUNTIF(I2378,"63*")&gt;0,COUNTIF(J2378,"*63*")&gt;0,COUNTIF(I2378,"85*")&gt;0,COUNTIF(J2378,"*85*")&gt;0,COUNTIF(I2378,"86*")&gt;0,COUNTIF(J2378,"*86*")&gt;0),"Да","Нет"))</f>
        <v/>
      </c>
      <c r="M2378" s="13">
        <f>IF(OR(G2378="",L2378&lt;&gt;"Да"),"",IF(G2378&lt;=100,"До 100",IF(G2378&lt;=200,"До 200",IF(G2378&lt;=500,"До 500","Отдельное КП"))))</f>
        <v/>
      </c>
      <c r="N2378" s="15">
        <f>IF(OR(G2378="",L2378&lt;&gt;"Да"),"",IF(G2378&lt;=100,33600,IF(G2378&lt;=200,62400,IF(G2378&lt;=500,144000,""))))</f>
        <v/>
      </c>
      <c r="O2378" s="16">
        <f>IF(G2378="","",IF(G2378&lt;=15,"1–15",IF(G2378&lt;=30,"16–30",IF(G2378&lt;=50,"31–50",IF(G2378&lt;=100,"51–100",IF(G2378&lt;=150,"101–150",IF(G2378&lt;=200,"151–200",IF(G2378&lt;=500,"201–500","500+"))))))))</f>
        <v/>
      </c>
      <c r="P2378" s="16" t="inlineStr">
        <is>
          <t>Нет совпадения в предоставленной выгрузке ССЧР</t>
        </is>
      </c>
      <c r="Q2378" s="16" t="n"/>
      <c r="R2378" s="16">
        <f>HYPERLINK("https://checko.ru/search?query=3801001629","Чекко: проверить")</f>
        <v/>
      </c>
      <c r="S2378" t="n">
        <v>0</v>
      </c>
    </row>
    <row r="2379" ht="27.75" customHeight="1" s="24">
      <c r="A2379" s="13" t="n">
        <v>5000094919</v>
      </c>
      <c r="B2379" s="13" t="inlineStr">
        <is>
          <t>МУ "Местная администрация сельского поселения Былым"</t>
        </is>
      </c>
      <c r="C2379" s="13" t="n">
        <v>710003214</v>
      </c>
      <c r="D2379" s="13" t="n"/>
      <c r="E2379" s="13" t="inlineStr">
        <is>
          <t>Не определён</t>
        </is>
      </c>
      <c r="F2379" s="13" t="inlineStr">
        <is>
          <t>710003214</t>
        </is>
      </c>
      <c r="G2379" s="14" t="n"/>
      <c r="H2379" s="14" t="n"/>
      <c r="I2379" s="14" t="n"/>
      <c r="J2379" s="14" t="n"/>
      <c r="K2379" s="13">
        <f>IF(G2379="","",IF(G2379&gt;=22,"Да","Нет"))</f>
        <v/>
      </c>
      <c r="L2379" s="13">
        <f>IF(OR(I2379="",J2379=""),"Не определено",IF(OR(COUNTIF(I2379,"45*")&gt;0,COUNTIF(J2379,"*45*")&gt;0,COUNTIF(I2379,"46*")&gt;0,COUNTIF(J2379,"*46*")&gt;0,COUNTIF(I2379,"47*")&gt;0,COUNTIF(J2379,"*47*")&gt;0,COUNTIF(I2379,"10*")&gt;0,COUNTIF(J2379,"*10*")&gt;0,COUNTIF(I2379,"11*")&gt;0,COUNTIF(J2379,"*11*")&gt;0,COUNTIF(I2379,"12*")&gt;0,COUNTIF(J2379,"*12*")&gt;0,COUNTIF(I2379,"13*")&gt;0,COUNTIF(J2379,"*13*")&gt;0,COUNTIF(I2379,"14*")&gt;0,COUNTIF(J2379,"*14*")&gt;0,COUNTIF(I2379,"15*")&gt;0,COUNTIF(J2379,"*15*")&gt;0,COUNTIF(I2379,"16*")&gt;0,COUNTIF(J2379,"*16*")&gt;0,COUNTIF(I2379,"17*")&gt;0,COUNTIF(J2379,"*17*")&gt;0,COUNTIF(I2379,"18*")&gt;0,COUNTIF(J2379,"*18*")&gt;0,COUNTIF(I2379,"19*")&gt;0,COUNTIF(J2379,"*19*")&gt;0,COUNTIF(I2379,"20*")&gt;0,COUNTIF(J2379,"*20*")&gt;0,COUNTIF(I2379,"21*")&gt;0,COUNTIF(J2379,"*21*")&gt;0,COUNTIF(I2379,"22*")&gt;0,COUNTIF(J2379,"*22*")&gt;0,COUNTIF(I2379,"23*")&gt;0,COUNTIF(J2379,"*23*")&gt;0,COUNTIF(I2379,"24*")&gt;0,COUNTIF(J2379,"*24*")&gt;0,COUNTIF(I2379,"25*")&gt;0,COUNTIF(J2379,"*25*")&gt;0,COUNTIF(I2379,"26*")&gt;0,COUNTIF(J2379,"*26*")&gt;0,COUNTIF(I2379,"27*")&gt;0,COUNTIF(J2379,"*27*")&gt;0,COUNTIF(I2379,"28*")&gt;0,COUNTIF(J2379,"*28*")&gt;0,COUNTIF(I2379,"29*")&gt;0,COUNTIF(J2379,"*29*")&gt;0,COUNTIF(I2379,"30*")&gt;0,COUNTIF(J2379,"*30*")&gt;0,COUNTIF(I2379,"31*")&gt;0,COUNTIF(J2379,"*31*")&gt;0,COUNTIF(I2379,"32*")&gt;0,COUNTIF(J2379,"*32*")&gt;0,COUNTIF(I2379,"33*")&gt;0,COUNTIF(J2379,"*33*")&gt;0,COUNTIF(I2379,"41*")&gt;0,COUNTIF(J2379,"*41*")&gt;0,COUNTIF(I2379,"42*")&gt;0,COUNTIF(J2379,"*42*")&gt;0,COUNTIF(I2379,"43*")&gt;0,COUNTIF(J2379,"*43*")&gt;0,COUNTIF(I2379,"49*")&gt;0,COUNTIF(J2379,"*49*")&gt;0,COUNTIF(I2379,"52*")&gt;0,COUNTIF(J2379,"*52*")&gt;0,COUNTIF(I2379,"55*")&gt;0,COUNTIF(J2379,"*55*")&gt;0,COUNTIF(I2379,"56*")&gt;0,COUNTIF(J2379,"*56*")&gt;0,COUNTIF(I2379,"68*")&gt;0,COUNTIF(J2379,"*68*")&gt;0,COUNTIF(I2379,"78*")&gt;0,COUNTIF(J2379,"*78*")&gt;0,COUNTIF(I2379,"81*")&gt;0,COUNTIF(J2379,"*81*")&gt;0,COUNTIF(I2379,"82*")&gt;0,COUNTIF(J2379,"*82*")&gt;0,COUNTIF(I2379,"64*")&gt;0,COUNTIF(J2379,"*64*")&gt;0,COUNTIF(I2379,"65*")&gt;0,COUNTIF(J2379,"*65*")&gt;0,COUNTIF(I2379,"66*")&gt;0,COUNTIF(J2379,"*66*")&gt;0,COUNTIF(I2379,"61*")&gt;0,COUNTIF(J2379,"*61*")&gt;0,COUNTIF(I2379,"62*")&gt;0,COUNTIF(J2379,"*62*")&gt;0,COUNTIF(I2379,"63*")&gt;0,COUNTIF(J2379,"*63*")&gt;0,COUNTIF(I2379,"85*")&gt;0,COUNTIF(J2379,"*85*")&gt;0,COUNTIF(I2379,"86*")&gt;0,COUNTIF(J2379,"*86*")&gt;0),"Да","Нет"))</f>
        <v/>
      </c>
      <c r="M2379" s="13">
        <f>IF(OR(G2379="",L2379&lt;&gt;"Да"),"",IF(G2379&lt;=100,"До 100",IF(G2379&lt;=200,"До 200",IF(G2379&lt;=500,"До 500","Отдельное КП"))))</f>
        <v/>
      </c>
      <c r="N2379" s="15">
        <f>IF(OR(G2379="",L2379&lt;&gt;"Да"),"",IF(G2379&lt;=100,33600,IF(G2379&lt;=200,62400,IF(G2379&lt;=500,144000,""))))</f>
        <v/>
      </c>
      <c r="O2379" s="16">
        <f>IF(G2379="","",IF(G2379&lt;=15,"1–15",IF(G2379&lt;=30,"16–30",IF(G2379&lt;=50,"31–50",IF(G2379&lt;=100,"51–100",IF(G2379&lt;=150,"101–150",IF(G2379&lt;=200,"151–200",IF(G2379&lt;=500,"201–500","500+"))))))))</f>
        <v/>
      </c>
      <c r="P2379" s="16" t="inlineStr">
        <is>
          <t>Нет совпадения в предоставленной выгрузке ССЧР</t>
        </is>
      </c>
      <c r="Q2379" s="16" t="n"/>
      <c r="R2379" s="16">
        <f>HYPERLINK("https://checko.ru/search?query=3801001629","Чекко: проверить")</f>
        <v/>
      </c>
      <c r="S2379" t="n">
        <v>0</v>
      </c>
    </row>
    <row r="2380" ht="27.75" customHeight="1" s="24">
      <c r="A2380" s="13" t="n">
        <v>5000094921</v>
      </c>
      <c r="B2380" s="13" t="inlineStr">
        <is>
          <t>МУ "Управление культуры администрации Эльбрусского района"</t>
        </is>
      </c>
      <c r="C2380" s="13" t="n">
        <v>710003535</v>
      </c>
      <c r="D2380" s="13" t="n"/>
      <c r="E2380" s="13" t="inlineStr">
        <is>
          <t>Не определён</t>
        </is>
      </c>
      <c r="F2380" s="13" t="inlineStr">
        <is>
          <t>710003535</t>
        </is>
      </c>
      <c r="G2380" s="14" t="n"/>
      <c r="H2380" s="14" t="n"/>
      <c r="I2380" s="14" t="n"/>
      <c r="J2380" s="14" t="n"/>
      <c r="K2380" s="13">
        <f>IF(G2380="","",IF(G2380&gt;=22,"Да","Нет"))</f>
        <v/>
      </c>
      <c r="L2380" s="13">
        <f>IF(OR(I2380="",J2380=""),"Не определено",IF(OR(COUNTIF(I2380,"45*")&gt;0,COUNTIF(J2380,"*45*")&gt;0,COUNTIF(I2380,"46*")&gt;0,COUNTIF(J2380,"*46*")&gt;0,COUNTIF(I2380,"47*")&gt;0,COUNTIF(J2380,"*47*")&gt;0,COUNTIF(I2380,"10*")&gt;0,COUNTIF(J2380,"*10*")&gt;0,COUNTIF(I2380,"11*")&gt;0,COUNTIF(J2380,"*11*")&gt;0,COUNTIF(I2380,"12*")&gt;0,COUNTIF(J2380,"*12*")&gt;0,COUNTIF(I2380,"13*")&gt;0,COUNTIF(J2380,"*13*")&gt;0,COUNTIF(I2380,"14*")&gt;0,COUNTIF(J2380,"*14*")&gt;0,COUNTIF(I2380,"15*")&gt;0,COUNTIF(J2380,"*15*")&gt;0,COUNTIF(I2380,"16*")&gt;0,COUNTIF(J2380,"*16*")&gt;0,COUNTIF(I2380,"17*")&gt;0,COUNTIF(J2380,"*17*")&gt;0,COUNTIF(I2380,"18*")&gt;0,COUNTIF(J2380,"*18*")&gt;0,COUNTIF(I2380,"19*")&gt;0,COUNTIF(J2380,"*19*")&gt;0,COUNTIF(I2380,"20*")&gt;0,COUNTIF(J2380,"*20*")&gt;0,COUNTIF(I2380,"21*")&gt;0,COUNTIF(J2380,"*21*")&gt;0,COUNTIF(I2380,"22*")&gt;0,COUNTIF(J2380,"*22*")&gt;0,COUNTIF(I2380,"23*")&gt;0,COUNTIF(J2380,"*23*")&gt;0,COUNTIF(I2380,"24*")&gt;0,COUNTIF(J2380,"*24*")&gt;0,COUNTIF(I2380,"25*")&gt;0,COUNTIF(J2380,"*25*")&gt;0,COUNTIF(I2380,"26*")&gt;0,COUNTIF(J2380,"*26*")&gt;0,COUNTIF(I2380,"27*")&gt;0,COUNTIF(J2380,"*27*")&gt;0,COUNTIF(I2380,"28*")&gt;0,COUNTIF(J2380,"*28*")&gt;0,COUNTIF(I2380,"29*")&gt;0,COUNTIF(J2380,"*29*")&gt;0,COUNTIF(I2380,"30*")&gt;0,COUNTIF(J2380,"*30*")&gt;0,COUNTIF(I2380,"31*")&gt;0,COUNTIF(J2380,"*31*")&gt;0,COUNTIF(I2380,"32*")&gt;0,COUNTIF(J2380,"*32*")&gt;0,COUNTIF(I2380,"33*")&gt;0,COUNTIF(J2380,"*33*")&gt;0,COUNTIF(I2380,"41*")&gt;0,COUNTIF(J2380,"*41*")&gt;0,COUNTIF(I2380,"42*")&gt;0,COUNTIF(J2380,"*42*")&gt;0,COUNTIF(I2380,"43*")&gt;0,COUNTIF(J2380,"*43*")&gt;0,COUNTIF(I2380,"49*")&gt;0,COUNTIF(J2380,"*49*")&gt;0,COUNTIF(I2380,"52*")&gt;0,COUNTIF(J2380,"*52*")&gt;0,COUNTIF(I2380,"55*")&gt;0,COUNTIF(J2380,"*55*")&gt;0,COUNTIF(I2380,"56*")&gt;0,COUNTIF(J2380,"*56*")&gt;0,COUNTIF(I2380,"68*")&gt;0,COUNTIF(J2380,"*68*")&gt;0,COUNTIF(I2380,"78*")&gt;0,COUNTIF(J2380,"*78*")&gt;0,COUNTIF(I2380,"81*")&gt;0,COUNTIF(J2380,"*81*")&gt;0,COUNTIF(I2380,"82*")&gt;0,COUNTIF(J2380,"*82*")&gt;0,COUNTIF(I2380,"64*")&gt;0,COUNTIF(J2380,"*64*")&gt;0,COUNTIF(I2380,"65*")&gt;0,COUNTIF(J2380,"*65*")&gt;0,COUNTIF(I2380,"66*")&gt;0,COUNTIF(J2380,"*66*")&gt;0,COUNTIF(I2380,"61*")&gt;0,COUNTIF(J2380,"*61*")&gt;0,COUNTIF(I2380,"62*")&gt;0,COUNTIF(J2380,"*62*")&gt;0,COUNTIF(I2380,"63*")&gt;0,COUNTIF(J2380,"*63*")&gt;0,COUNTIF(I2380,"85*")&gt;0,COUNTIF(J2380,"*85*")&gt;0,COUNTIF(I2380,"86*")&gt;0,COUNTIF(J2380,"*86*")&gt;0),"Да","Нет"))</f>
        <v/>
      </c>
      <c r="M2380" s="13">
        <f>IF(OR(G2380="",L2380&lt;&gt;"Да"),"",IF(G2380&lt;=100,"До 100",IF(G2380&lt;=200,"До 200",IF(G2380&lt;=500,"До 500","Отдельное КП"))))</f>
        <v/>
      </c>
      <c r="N2380" s="15">
        <f>IF(OR(G2380="",L2380&lt;&gt;"Да"),"",IF(G2380&lt;=100,33600,IF(G2380&lt;=200,62400,IF(G2380&lt;=500,144000,""))))</f>
        <v/>
      </c>
      <c r="O2380" s="16">
        <f>IF(G2380="","",IF(G2380&lt;=15,"1–15",IF(G2380&lt;=30,"16–30",IF(G2380&lt;=50,"31–50",IF(G2380&lt;=100,"51–100",IF(G2380&lt;=150,"101–150",IF(G2380&lt;=200,"151–200",IF(G2380&lt;=500,"201–500","500+"))))))))</f>
        <v/>
      </c>
      <c r="P2380" s="16" t="inlineStr">
        <is>
          <t>Нет совпадения в предоставленной выгрузке ССЧР</t>
        </is>
      </c>
      <c r="Q2380" s="16" t="n"/>
      <c r="R2380" s="16">
        <f>HYPERLINK("https://checko.ru/search?query=3801001629","Чекко: проверить")</f>
        <v/>
      </c>
      <c r="S2380" t="n">
        <v>0</v>
      </c>
    </row>
    <row r="2381" ht="41.25" customHeight="1" s="24">
      <c r="A2381" s="13" t="n">
        <v>5000094923</v>
      </c>
      <c r="B2381" s="13" t="inlineStr">
        <is>
          <t>МУ "Управление образования" местной администрации Эльбрусского муниципального района</t>
        </is>
      </c>
      <c r="C2381" s="13" t="n">
        <v>710003623</v>
      </c>
      <c r="D2381" s="13" t="n"/>
      <c r="E2381" s="13" t="inlineStr">
        <is>
          <t>Не определён</t>
        </is>
      </c>
      <c r="F2381" s="13" t="inlineStr">
        <is>
          <t>710003623</t>
        </is>
      </c>
      <c r="G2381" s="14" t="n"/>
      <c r="H2381" s="14" t="n"/>
      <c r="I2381" s="14" t="n"/>
      <c r="J2381" s="14" t="n"/>
      <c r="K2381" s="13">
        <f>IF(G2381="","",IF(G2381&gt;=22,"Да","Нет"))</f>
        <v/>
      </c>
      <c r="L2381" s="13">
        <f>IF(OR(I2381="",J2381=""),"Не определено",IF(OR(COUNTIF(I2381,"45*")&gt;0,COUNTIF(J2381,"*45*")&gt;0,COUNTIF(I2381,"46*")&gt;0,COUNTIF(J2381,"*46*")&gt;0,COUNTIF(I2381,"47*")&gt;0,COUNTIF(J2381,"*47*")&gt;0,COUNTIF(I2381,"10*")&gt;0,COUNTIF(J2381,"*10*")&gt;0,COUNTIF(I2381,"11*")&gt;0,COUNTIF(J2381,"*11*")&gt;0,COUNTIF(I2381,"12*")&gt;0,COUNTIF(J2381,"*12*")&gt;0,COUNTIF(I2381,"13*")&gt;0,COUNTIF(J2381,"*13*")&gt;0,COUNTIF(I2381,"14*")&gt;0,COUNTIF(J2381,"*14*")&gt;0,COUNTIF(I2381,"15*")&gt;0,COUNTIF(J2381,"*15*")&gt;0,COUNTIF(I2381,"16*")&gt;0,COUNTIF(J2381,"*16*")&gt;0,COUNTIF(I2381,"17*")&gt;0,COUNTIF(J2381,"*17*")&gt;0,COUNTIF(I2381,"18*")&gt;0,COUNTIF(J2381,"*18*")&gt;0,COUNTIF(I2381,"19*")&gt;0,COUNTIF(J2381,"*19*")&gt;0,COUNTIF(I2381,"20*")&gt;0,COUNTIF(J2381,"*20*")&gt;0,COUNTIF(I2381,"21*")&gt;0,COUNTIF(J2381,"*21*")&gt;0,COUNTIF(I2381,"22*")&gt;0,COUNTIF(J2381,"*22*")&gt;0,COUNTIF(I2381,"23*")&gt;0,COUNTIF(J2381,"*23*")&gt;0,COUNTIF(I2381,"24*")&gt;0,COUNTIF(J2381,"*24*")&gt;0,COUNTIF(I2381,"25*")&gt;0,COUNTIF(J2381,"*25*")&gt;0,COUNTIF(I2381,"26*")&gt;0,COUNTIF(J2381,"*26*")&gt;0,COUNTIF(I2381,"27*")&gt;0,COUNTIF(J2381,"*27*")&gt;0,COUNTIF(I2381,"28*")&gt;0,COUNTIF(J2381,"*28*")&gt;0,COUNTIF(I2381,"29*")&gt;0,COUNTIF(J2381,"*29*")&gt;0,COUNTIF(I2381,"30*")&gt;0,COUNTIF(J2381,"*30*")&gt;0,COUNTIF(I2381,"31*")&gt;0,COUNTIF(J2381,"*31*")&gt;0,COUNTIF(I2381,"32*")&gt;0,COUNTIF(J2381,"*32*")&gt;0,COUNTIF(I2381,"33*")&gt;0,COUNTIF(J2381,"*33*")&gt;0,COUNTIF(I2381,"41*")&gt;0,COUNTIF(J2381,"*41*")&gt;0,COUNTIF(I2381,"42*")&gt;0,COUNTIF(J2381,"*42*")&gt;0,COUNTIF(I2381,"43*")&gt;0,COUNTIF(J2381,"*43*")&gt;0,COUNTIF(I2381,"49*")&gt;0,COUNTIF(J2381,"*49*")&gt;0,COUNTIF(I2381,"52*")&gt;0,COUNTIF(J2381,"*52*")&gt;0,COUNTIF(I2381,"55*")&gt;0,COUNTIF(J2381,"*55*")&gt;0,COUNTIF(I2381,"56*")&gt;0,COUNTIF(J2381,"*56*")&gt;0,COUNTIF(I2381,"68*")&gt;0,COUNTIF(J2381,"*68*")&gt;0,COUNTIF(I2381,"78*")&gt;0,COUNTIF(J2381,"*78*")&gt;0,COUNTIF(I2381,"81*")&gt;0,COUNTIF(J2381,"*81*")&gt;0,COUNTIF(I2381,"82*")&gt;0,COUNTIF(J2381,"*82*")&gt;0,COUNTIF(I2381,"64*")&gt;0,COUNTIF(J2381,"*64*")&gt;0,COUNTIF(I2381,"65*")&gt;0,COUNTIF(J2381,"*65*")&gt;0,COUNTIF(I2381,"66*")&gt;0,COUNTIF(J2381,"*66*")&gt;0,COUNTIF(I2381,"61*")&gt;0,COUNTIF(J2381,"*61*")&gt;0,COUNTIF(I2381,"62*")&gt;0,COUNTIF(J2381,"*62*")&gt;0,COUNTIF(I2381,"63*")&gt;0,COUNTIF(J2381,"*63*")&gt;0,COUNTIF(I2381,"85*")&gt;0,COUNTIF(J2381,"*85*")&gt;0,COUNTIF(I2381,"86*")&gt;0,COUNTIF(J2381,"*86*")&gt;0),"Да","Нет"))</f>
        <v/>
      </c>
      <c r="M2381" s="13">
        <f>IF(OR(G2381="",L2381&lt;&gt;"Да"),"",IF(G2381&lt;=100,"До 100",IF(G2381&lt;=200,"До 200",IF(G2381&lt;=500,"До 500","Отдельное КП"))))</f>
        <v/>
      </c>
      <c r="N2381" s="15">
        <f>IF(OR(G2381="",L2381&lt;&gt;"Да"),"",IF(G2381&lt;=100,33600,IF(G2381&lt;=200,62400,IF(G2381&lt;=500,144000,""))))</f>
        <v/>
      </c>
      <c r="O2381" s="16">
        <f>IF(G2381="","",IF(G2381&lt;=15,"1–15",IF(G2381&lt;=30,"16–30",IF(G2381&lt;=50,"31–50",IF(G2381&lt;=100,"51–100",IF(G2381&lt;=150,"101–150",IF(G2381&lt;=200,"151–200",IF(G2381&lt;=500,"201–500","500+"))))))))</f>
        <v/>
      </c>
      <c r="P2381" s="16" t="inlineStr">
        <is>
          <t>Нет совпадения в предоставленной выгрузке ССЧР</t>
        </is>
      </c>
      <c r="Q2381" s="16" t="n"/>
      <c r="R2381" s="16">
        <f>HYPERLINK("https://checko.ru/search?query=3801001629","Чекко: проверить")</f>
        <v/>
      </c>
      <c r="S2381" t="n">
        <v>0</v>
      </c>
    </row>
    <row r="2382" ht="27.75" customHeight="1" s="24">
      <c r="A2382" s="13" t="n">
        <v>5000094924</v>
      </c>
      <c r="B2382" s="13" t="inlineStr">
        <is>
          <t>Местная администрация сельского поселения Бедык</t>
        </is>
      </c>
      <c r="C2382" s="13" t="n">
        <v>710003648</v>
      </c>
      <c r="D2382" s="13" t="n"/>
      <c r="E2382" s="13" t="inlineStr">
        <is>
          <t>Не определён</t>
        </is>
      </c>
      <c r="F2382" s="13" t="inlineStr">
        <is>
          <t>710003648</t>
        </is>
      </c>
      <c r="G2382" s="14" t="n"/>
      <c r="H2382" s="14" t="n"/>
      <c r="I2382" s="14" t="n"/>
      <c r="J2382" s="14" t="n"/>
      <c r="K2382" s="13">
        <f>IF(G2382="","",IF(G2382&gt;=22,"Да","Нет"))</f>
        <v/>
      </c>
      <c r="L2382" s="13">
        <f>IF(OR(I2382="",J2382=""),"Не определено",IF(OR(COUNTIF(I2382,"45*")&gt;0,COUNTIF(J2382,"*45*")&gt;0,COUNTIF(I2382,"46*")&gt;0,COUNTIF(J2382,"*46*")&gt;0,COUNTIF(I2382,"47*")&gt;0,COUNTIF(J2382,"*47*")&gt;0,COUNTIF(I2382,"10*")&gt;0,COUNTIF(J2382,"*10*")&gt;0,COUNTIF(I2382,"11*")&gt;0,COUNTIF(J2382,"*11*")&gt;0,COUNTIF(I2382,"12*")&gt;0,COUNTIF(J2382,"*12*")&gt;0,COUNTIF(I2382,"13*")&gt;0,COUNTIF(J2382,"*13*")&gt;0,COUNTIF(I2382,"14*")&gt;0,COUNTIF(J2382,"*14*")&gt;0,COUNTIF(I2382,"15*")&gt;0,COUNTIF(J2382,"*15*")&gt;0,COUNTIF(I2382,"16*")&gt;0,COUNTIF(J2382,"*16*")&gt;0,COUNTIF(I2382,"17*")&gt;0,COUNTIF(J2382,"*17*")&gt;0,COUNTIF(I2382,"18*")&gt;0,COUNTIF(J2382,"*18*")&gt;0,COUNTIF(I2382,"19*")&gt;0,COUNTIF(J2382,"*19*")&gt;0,COUNTIF(I2382,"20*")&gt;0,COUNTIF(J2382,"*20*")&gt;0,COUNTIF(I2382,"21*")&gt;0,COUNTIF(J2382,"*21*")&gt;0,COUNTIF(I2382,"22*")&gt;0,COUNTIF(J2382,"*22*")&gt;0,COUNTIF(I2382,"23*")&gt;0,COUNTIF(J2382,"*23*")&gt;0,COUNTIF(I2382,"24*")&gt;0,COUNTIF(J2382,"*24*")&gt;0,COUNTIF(I2382,"25*")&gt;0,COUNTIF(J2382,"*25*")&gt;0,COUNTIF(I2382,"26*")&gt;0,COUNTIF(J2382,"*26*")&gt;0,COUNTIF(I2382,"27*")&gt;0,COUNTIF(J2382,"*27*")&gt;0,COUNTIF(I2382,"28*")&gt;0,COUNTIF(J2382,"*28*")&gt;0,COUNTIF(I2382,"29*")&gt;0,COUNTIF(J2382,"*29*")&gt;0,COUNTIF(I2382,"30*")&gt;0,COUNTIF(J2382,"*30*")&gt;0,COUNTIF(I2382,"31*")&gt;0,COUNTIF(J2382,"*31*")&gt;0,COUNTIF(I2382,"32*")&gt;0,COUNTIF(J2382,"*32*")&gt;0,COUNTIF(I2382,"33*")&gt;0,COUNTIF(J2382,"*33*")&gt;0,COUNTIF(I2382,"41*")&gt;0,COUNTIF(J2382,"*41*")&gt;0,COUNTIF(I2382,"42*")&gt;0,COUNTIF(J2382,"*42*")&gt;0,COUNTIF(I2382,"43*")&gt;0,COUNTIF(J2382,"*43*")&gt;0,COUNTIF(I2382,"49*")&gt;0,COUNTIF(J2382,"*49*")&gt;0,COUNTIF(I2382,"52*")&gt;0,COUNTIF(J2382,"*52*")&gt;0,COUNTIF(I2382,"55*")&gt;0,COUNTIF(J2382,"*55*")&gt;0,COUNTIF(I2382,"56*")&gt;0,COUNTIF(J2382,"*56*")&gt;0,COUNTIF(I2382,"68*")&gt;0,COUNTIF(J2382,"*68*")&gt;0,COUNTIF(I2382,"78*")&gt;0,COUNTIF(J2382,"*78*")&gt;0,COUNTIF(I2382,"81*")&gt;0,COUNTIF(J2382,"*81*")&gt;0,COUNTIF(I2382,"82*")&gt;0,COUNTIF(J2382,"*82*")&gt;0,COUNTIF(I2382,"64*")&gt;0,COUNTIF(J2382,"*64*")&gt;0,COUNTIF(I2382,"65*")&gt;0,COUNTIF(J2382,"*65*")&gt;0,COUNTIF(I2382,"66*")&gt;0,COUNTIF(J2382,"*66*")&gt;0,COUNTIF(I2382,"61*")&gt;0,COUNTIF(J2382,"*61*")&gt;0,COUNTIF(I2382,"62*")&gt;0,COUNTIF(J2382,"*62*")&gt;0,COUNTIF(I2382,"63*")&gt;0,COUNTIF(J2382,"*63*")&gt;0,COUNTIF(I2382,"85*")&gt;0,COUNTIF(J2382,"*85*")&gt;0,COUNTIF(I2382,"86*")&gt;0,COUNTIF(J2382,"*86*")&gt;0),"Да","Нет"))</f>
        <v/>
      </c>
      <c r="M2382" s="13">
        <f>IF(OR(G2382="",L2382&lt;&gt;"Да"),"",IF(G2382&lt;=100,"До 100",IF(G2382&lt;=200,"До 200",IF(G2382&lt;=500,"До 500","Отдельное КП"))))</f>
        <v/>
      </c>
      <c r="N2382" s="15">
        <f>IF(OR(G2382="",L2382&lt;&gt;"Да"),"",IF(G2382&lt;=100,33600,IF(G2382&lt;=200,62400,IF(G2382&lt;=500,144000,""))))</f>
        <v/>
      </c>
      <c r="O2382" s="16">
        <f>IF(G2382="","",IF(G2382&lt;=15,"1–15",IF(G2382&lt;=30,"16–30",IF(G2382&lt;=50,"31–50",IF(G2382&lt;=100,"51–100",IF(G2382&lt;=150,"101–150",IF(G2382&lt;=200,"151–200",IF(G2382&lt;=500,"201–500","500+"))))))))</f>
        <v/>
      </c>
      <c r="P2382" s="16" t="inlineStr">
        <is>
          <t>Нет совпадения в предоставленной выгрузке ССЧР</t>
        </is>
      </c>
      <c r="Q2382" s="16" t="n"/>
      <c r="R2382" s="16">
        <f>HYPERLINK("https://checko.ru/search?query=3801001629","Чекко: проверить")</f>
        <v/>
      </c>
      <c r="S2382" t="n">
        <v>0</v>
      </c>
    </row>
    <row r="2383" ht="27.75" customHeight="1" s="24">
      <c r="A2383" s="13" t="n">
        <v>5000094925</v>
      </c>
      <c r="B2383" s="13" t="inlineStr">
        <is>
          <t>МЕСТНАЯ АДМИНИСТРАЦИЯ СЕЛЬСКОГО ПОСЕЛЕНИЯ ЛАШКУТА</t>
        </is>
      </c>
      <c r="C2383" s="13" t="n">
        <v>710003736</v>
      </c>
      <c r="D2383" s="13" t="n"/>
      <c r="E2383" s="13" t="inlineStr">
        <is>
          <t>Не определён</t>
        </is>
      </c>
      <c r="F2383" s="13" t="inlineStr">
        <is>
          <t>710003736</t>
        </is>
      </c>
      <c r="G2383" s="14" t="n"/>
      <c r="H2383" s="14" t="n"/>
      <c r="I2383" s="14" t="n"/>
      <c r="J2383" s="14" t="n"/>
      <c r="K2383" s="13">
        <f>IF(G2383="","",IF(G2383&gt;=22,"Да","Нет"))</f>
        <v/>
      </c>
      <c r="L2383" s="13">
        <f>IF(OR(I2383="",J2383=""),"Не определено",IF(OR(COUNTIF(I2383,"45*")&gt;0,COUNTIF(J2383,"*45*")&gt;0,COUNTIF(I2383,"46*")&gt;0,COUNTIF(J2383,"*46*")&gt;0,COUNTIF(I2383,"47*")&gt;0,COUNTIF(J2383,"*47*")&gt;0,COUNTIF(I2383,"10*")&gt;0,COUNTIF(J2383,"*10*")&gt;0,COUNTIF(I2383,"11*")&gt;0,COUNTIF(J2383,"*11*")&gt;0,COUNTIF(I2383,"12*")&gt;0,COUNTIF(J2383,"*12*")&gt;0,COUNTIF(I2383,"13*")&gt;0,COUNTIF(J2383,"*13*")&gt;0,COUNTIF(I2383,"14*")&gt;0,COUNTIF(J2383,"*14*")&gt;0,COUNTIF(I2383,"15*")&gt;0,COUNTIF(J2383,"*15*")&gt;0,COUNTIF(I2383,"16*")&gt;0,COUNTIF(J2383,"*16*")&gt;0,COUNTIF(I2383,"17*")&gt;0,COUNTIF(J2383,"*17*")&gt;0,COUNTIF(I2383,"18*")&gt;0,COUNTIF(J2383,"*18*")&gt;0,COUNTIF(I2383,"19*")&gt;0,COUNTIF(J2383,"*19*")&gt;0,COUNTIF(I2383,"20*")&gt;0,COUNTIF(J2383,"*20*")&gt;0,COUNTIF(I2383,"21*")&gt;0,COUNTIF(J2383,"*21*")&gt;0,COUNTIF(I2383,"22*")&gt;0,COUNTIF(J2383,"*22*")&gt;0,COUNTIF(I2383,"23*")&gt;0,COUNTIF(J2383,"*23*")&gt;0,COUNTIF(I2383,"24*")&gt;0,COUNTIF(J2383,"*24*")&gt;0,COUNTIF(I2383,"25*")&gt;0,COUNTIF(J2383,"*25*")&gt;0,COUNTIF(I2383,"26*")&gt;0,COUNTIF(J2383,"*26*")&gt;0,COUNTIF(I2383,"27*")&gt;0,COUNTIF(J2383,"*27*")&gt;0,COUNTIF(I2383,"28*")&gt;0,COUNTIF(J2383,"*28*")&gt;0,COUNTIF(I2383,"29*")&gt;0,COUNTIF(J2383,"*29*")&gt;0,COUNTIF(I2383,"30*")&gt;0,COUNTIF(J2383,"*30*")&gt;0,COUNTIF(I2383,"31*")&gt;0,COUNTIF(J2383,"*31*")&gt;0,COUNTIF(I2383,"32*")&gt;0,COUNTIF(J2383,"*32*")&gt;0,COUNTIF(I2383,"33*")&gt;0,COUNTIF(J2383,"*33*")&gt;0,COUNTIF(I2383,"41*")&gt;0,COUNTIF(J2383,"*41*")&gt;0,COUNTIF(I2383,"42*")&gt;0,COUNTIF(J2383,"*42*")&gt;0,COUNTIF(I2383,"43*")&gt;0,COUNTIF(J2383,"*43*")&gt;0,COUNTIF(I2383,"49*")&gt;0,COUNTIF(J2383,"*49*")&gt;0,COUNTIF(I2383,"52*")&gt;0,COUNTIF(J2383,"*52*")&gt;0,COUNTIF(I2383,"55*")&gt;0,COUNTIF(J2383,"*55*")&gt;0,COUNTIF(I2383,"56*")&gt;0,COUNTIF(J2383,"*56*")&gt;0,COUNTIF(I2383,"68*")&gt;0,COUNTIF(J2383,"*68*")&gt;0,COUNTIF(I2383,"78*")&gt;0,COUNTIF(J2383,"*78*")&gt;0,COUNTIF(I2383,"81*")&gt;0,COUNTIF(J2383,"*81*")&gt;0,COUNTIF(I2383,"82*")&gt;0,COUNTIF(J2383,"*82*")&gt;0,COUNTIF(I2383,"64*")&gt;0,COUNTIF(J2383,"*64*")&gt;0,COUNTIF(I2383,"65*")&gt;0,COUNTIF(J2383,"*65*")&gt;0,COUNTIF(I2383,"66*")&gt;0,COUNTIF(J2383,"*66*")&gt;0,COUNTIF(I2383,"61*")&gt;0,COUNTIF(J2383,"*61*")&gt;0,COUNTIF(I2383,"62*")&gt;0,COUNTIF(J2383,"*62*")&gt;0,COUNTIF(I2383,"63*")&gt;0,COUNTIF(J2383,"*63*")&gt;0,COUNTIF(I2383,"85*")&gt;0,COUNTIF(J2383,"*85*")&gt;0,COUNTIF(I2383,"86*")&gt;0,COUNTIF(J2383,"*86*")&gt;0),"Да","Нет"))</f>
        <v/>
      </c>
      <c r="M2383" s="13">
        <f>IF(OR(G2383="",L2383&lt;&gt;"Да"),"",IF(G2383&lt;=100,"До 100",IF(G2383&lt;=200,"До 200",IF(G2383&lt;=500,"До 500","Отдельное КП"))))</f>
        <v/>
      </c>
      <c r="N2383" s="15">
        <f>IF(OR(G2383="",L2383&lt;&gt;"Да"),"",IF(G2383&lt;=100,33600,IF(G2383&lt;=200,62400,IF(G2383&lt;=500,144000,""))))</f>
        <v/>
      </c>
      <c r="O2383" s="16">
        <f>IF(G2383="","",IF(G2383&lt;=15,"1–15",IF(G2383&lt;=30,"16–30",IF(G2383&lt;=50,"31–50",IF(G2383&lt;=100,"51–100",IF(G2383&lt;=150,"101–150",IF(G2383&lt;=200,"151–200",IF(G2383&lt;=500,"201–500","500+"))))))))</f>
        <v/>
      </c>
      <c r="P2383" s="16" t="inlineStr">
        <is>
          <t>Нет совпадения в предоставленной выгрузке ССЧР</t>
        </is>
      </c>
      <c r="Q2383" s="16" t="n"/>
      <c r="R2383" s="16">
        <f>HYPERLINK("https://checko.ru/search?query=3801001629","Чекко: проверить")</f>
        <v/>
      </c>
      <c r="S2383" t="n">
        <v>0</v>
      </c>
    </row>
    <row r="2384" ht="15" customHeight="1" s="24">
      <c r="A2384" s="13" t="n">
        <v>5000094926</v>
      </c>
      <c r="B2384" s="13" t="inlineStr">
        <is>
          <t>"Местная администрация с.п.Кенделен"</t>
        </is>
      </c>
      <c r="C2384" s="13" t="n">
        <v>710003905</v>
      </c>
      <c r="D2384" s="13" t="n"/>
      <c r="E2384" s="13" t="inlineStr">
        <is>
          <t>Не определён</t>
        </is>
      </c>
      <c r="F2384" s="13" t="inlineStr">
        <is>
          <t>710003905</t>
        </is>
      </c>
      <c r="G2384" s="14" t="n"/>
      <c r="H2384" s="14" t="n"/>
      <c r="I2384" s="14" t="n"/>
      <c r="J2384" s="14" t="n"/>
      <c r="K2384" s="13">
        <f>IF(G2384="","",IF(G2384&gt;=22,"Да","Нет"))</f>
        <v/>
      </c>
      <c r="L2384" s="13">
        <f>IF(OR(I2384="",J2384=""),"Не определено",IF(OR(COUNTIF(I2384,"45*")&gt;0,COUNTIF(J2384,"*45*")&gt;0,COUNTIF(I2384,"46*")&gt;0,COUNTIF(J2384,"*46*")&gt;0,COUNTIF(I2384,"47*")&gt;0,COUNTIF(J2384,"*47*")&gt;0,COUNTIF(I2384,"10*")&gt;0,COUNTIF(J2384,"*10*")&gt;0,COUNTIF(I2384,"11*")&gt;0,COUNTIF(J2384,"*11*")&gt;0,COUNTIF(I2384,"12*")&gt;0,COUNTIF(J2384,"*12*")&gt;0,COUNTIF(I2384,"13*")&gt;0,COUNTIF(J2384,"*13*")&gt;0,COUNTIF(I2384,"14*")&gt;0,COUNTIF(J2384,"*14*")&gt;0,COUNTIF(I2384,"15*")&gt;0,COUNTIF(J2384,"*15*")&gt;0,COUNTIF(I2384,"16*")&gt;0,COUNTIF(J2384,"*16*")&gt;0,COUNTIF(I2384,"17*")&gt;0,COUNTIF(J2384,"*17*")&gt;0,COUNTIF(I2384,"18*")&gt;0,COUNTIF(J2384,"*18*")&gt;0,COUNTIF(I2384,"19*")&gt;0,COUNTIF(J2384,"*19*")&gt;0,COUNTIF(I2384,"20*")&gt;0,COUNTIF(J2384,"*20*")&gt;0,COUNTIF(I2384,"21*")&gt;0,COUNTIF(J2384,"*21*")&gt;0,COUNTIF(I2384,"22*")&gt;0,COUNTIF(J2384,"*22*")&gt;0,COUNTIF(I2384,"23*")&gt;0,COUNTIF(J2384,"*23*")&gt;0,COUNTIF(I2384,"24*")&gt;0,COUNTIF(J2384,"*24*")&gt;0,COUNTIF(I2384,"25*")&gt;0,COUNTIF(J2384,"*25*")&gt;0,COUNTIF(I2384,"26*")&gt;0,COUNTIF(J2384,"*26*")&gt;0,COUNTIF(I2384,"27*")&gt;0,COUNTIF(J2384,"*27*")&gt;0,COUNTIF(I2384,"28*")&gt;0,COUNTIF(J2384,"*28*")&gt;0,COUNTIF(I2384,"29*")&gt;0,COUNTIF(J2384,"*29*")&gt;0,COUNTIF(I2384,"30*")&gt;0,COUNTIF(J2384,"*30*")&gt;0,COUNTIF(I2384,"31*")&gt;0,COUNTIF(J2384,"*31*")&gt;0,COUNTIF(I2384,"32*")&gt;0,COUNTIF(J2384,"*32*")&gt;0,COUNTIF(I2384,"33*")&gt;0,COUNTIF(J2384,"*33*")&gt;0,COUNTIF(I2384,"41*")&gt;0,COUNTIF(J2384,"*41*")&gt;0,COUNTIF(I2384,"42*")&gt;0,COUNTIF(J2384,"*42*")&gt;0,COUNTIF(I2384,"43*")&gt;0,COUNTIF(J2384,"*43*")&gt;0,COUNTIF(I2384,"49*")&gt;0,COUNTIF(J2384,"*49*")&gt;0,COUNTIF(I2384,"52*")&gt;0,COUNTIF(J2384,"*52*")&gt;0,COUNTIF(I2384,"55*")&gt;0,COUNTIF(J2384,"*55*")&gt;0,COUNTIF(I2384,"56*")&gt;0,COUNTIF(J2384,"*56*")&gt;0,COUNTIF(I2384,"68*")&gt;0,COUNTIF(J2384,"*68*")&gt;0,COUNTIF(I2384,"78*")&gt;0,COUNTIF(J2384,"*78*")&gt;0,COUNTIF(I2384,"81*")&gt;0,COUNTIF(J2384,"*81*")&gt;0,COUNTIF(I2384,"82*")&gt;0,COUNTIF(J2384,"*82*")&gt;0,COUNTIF(I2384,"64*")&gt;0,COUNTIF(J2384,"*64*")&gt;0,COUNTIF(I2384,"65*")&gt;0,COUNTIF(J2384,"*65*")&gt;0,COUNTIF(I2384,"66*")&gt;0,COUNTIF(J2384,"*66*")&gt;0,COUNTIF(I2384,"61*")&gt;0,COUNTIF(J2384,"*61*")&gt;0,COUNTIF(I2384,"62*")&gt;0,COUNTIF(J2384,"*62*")&gt;0,COUNTIF(I2384,"63*")&gt;0,COUNTIF(J2384,"*63*")&gt;0,COUNTIF(I2384,"85*")&gt;0,COUNTIF(J2384,"*85*")&gt;0,COUNTIF(I2384,"86*")&gt;0,COUNTIF(J2384,"*86*")&gt;0),"Да","Нет"))</f>
        <v/>
      </c>
      <c r="M2384" s="13">
        <f>IF(OR(G2384="",L2384&lt;&gt;"Да"),"",IF(G2384&lt;=100,"До 100",IF(G2384&lt;=200,"До 200",IF(G2384&lt;=500,"До 500","Отдельное КП"))))</f>
        <v/>
      </c>
      <c r="N2384" s="15">
        <f>IF(OR(G2384="",L2384&lt;&gt;"Да"),"",IF(G2384&lt;=100,33600,IF(G2384&lt;=200,62400,IF(G2384&lt;=500,144000,""))))</f>
        <v/>
      </c>
      <c r="O2384" s="16">
        <f>IF(G2384="","",IF(G2384&lt;=15,"1–15",IF(G2384&lt;=30,"16–30",IF(G2384&lt;=50,"31–50",IF(G2384&lt;=100,"51–100",IF(G2384&lt;=150,"101–150",IF(G2384&lt;=200,"151–200",IF(G2384&lt;=500,"201–500","500+"))))))))</f>
        <v/>
      </c>
      <c r="P2384" s="16" t="inlineStr">
        <is>
          <t>Нет совпадения в предоставленной выгрузке ССЧР</t>
        </is>
      </c>
      <c r="Q2384" s="16" t="n"/>
      <c r="R2384" s="16">
        <f>HYPERLINK("https://checko.ru/search?query=3801001629","Чекко: проверить")</f>
        <v/>
      </c>
      <c r="S2384" t="n">
        <v>0</v>
      </c>
    </row>
    <row r="2385" ht="15" customHeight="1" s="24">
      <c r="A2385" s="13" t="n">
        <v>5000094927</v>
      </c>
      <c r="B2385" s="13" t="inlineStr">
        <is>
          <t>МОУ "Лицей №1 им. К.С. Отарова"</t>
        </is>
      </c>
      <c r="C2385" s="13" t="n">
        <v>710005370</v>
      </c>
      <c r="D2385" s="13" t="n"/>
      <c r="E2385" s="13" t="inlineStr">
        <is>
          <t>Не определён</t>
        </is>
      </c>
      <c r="F2385" s="13" t="inlineStr">
        <is>
          <t>710005370</t>
        </is>
      </c>
      <c r="G2385" s="14" t="n"/>
      <c r="H2385" s="14" t="n"/>
      <c r="I2385" s="14" t="n"/>
      <c r="J2385" s="14" t="n"/>
      <c r="K2385" s="13">
        <f>IF(G2385="","",IF(G2385&gt;=22,"Да","Нет"))</f>
        <v/>
      </c>
      <c r="L2385" s="13">
        <f>IF(OR(I2385="",J2385=""),"Не определено",IF(OR(COUNTIF(I2385,"45*")&gt;0,COUNTIF(J2385,"*45*")&gt;0,COUNTIF(I2385,"46*")&gt;0,COUNTIF(J2385,"*46*")&gt;0,COUNTIF(I2385,"47*")&gt;0,COUNTIF(J2385,"*47*")&gt;0,COUNTIF(I2385,"10*")&gt;0,COUNTIF(J2385,"*10*")&gt;0,COUNTIF(I2385,"11*")&gt;0,COUNTIF(J2385,"*11*")&gt;0,COUNTIF(I2385,"12*")&gt;0,COUNTIF(J2385,"*12*")&gt;0,COUNTIF(I2385,"13*")&gt;0,COUNTIF(J2385,"*13*")&gt;0,COUNTIF(I2385,"14*")&gt;0,COUNTIF(J2385,"*14*")&gt;0,COUNTIF(I2385,"15*")&gt;0,COUNTIF(J2385,"*15*")&gt;0,COUNTIF(I2385,"16*")&gt;0,COUNTIF(J2385,"*16*")&gt;0,COUNTIF(I2385,"17*")&gt;0,COUNTIF(J2385,"*17*")&gt;0,COUNTIF(I2385,"18*")&gt;0,COUNTIF(J2385,"*18*")&gt;0,COUNTIF(I2385,"19*")&gt;0,COUNTIF(J2385,"*19*")&gt;0,COUNTIF(I2385,"20*")&gt;0,COUNTIF(J2385,"*20*")&gt;0,COUNTIF(I2385,"21*")&gt;0,COUNTIF(J2385,"*21*")&gt;0,COUNTIF(I2385,"22*")&gt;0,COUNTIF(J2385,"*22*")&gt;0,COUNTIF(I2385,"23*")&gt;0,COUNTIF(J2385,"*23*")&gt;0,COUNTIF(I2385,"24*")&gt;0,COUNTIF(J2385,"*24*")&gt;0,COUNTIF(I2385,"25*")&gt;0,COUNTIF(J2385,"*25*")&gt;0,COUNTIF(I2385,"26*")&gt;0,COUNTIF(J2385,"*26*")&gt;0,COUNTIF(I2385,"27*")&gt;0,COUNTIF(J2385,"*27*")&gt;0,COUNTIF(I2385,"28*")&gt;0,COUNTIF(J2385,"*28*")&gt;0,COUNTIF(I2385,"29*")&gt;0,COUNTIF(J2385,"*29*")&gt;0,COUNTIF(I2385,"30*")&gt;0,COUNTIF(J2385,"*30*")&gt;0,COUNTIF(I2385,"31*")&gt;0,COUNTIF(J2385,"*31*")&gt;0,COUNTIF(I2385,"32*")&gt;0,COUNTIF(J2385,"*32*")&gt;0,COUNTIF(I2385,"33*")&gt;0,COUNTIF(J2385,"*33*")&gt;0,COUNTIF(I2385,"41*")&gt;0,COUNTIF(J2385,"*41*")&gt;0,COUNTIF(I2385,"42*")&gt;0,COUNTIF(J2385,"*42*")&gt;0,COUNTIF(I2385,"43*")&gt;0,COUNTIF(J2385,"*43*")&gt;0,COUNTIF(I2385,"49*")&gt;0,COUNTIF(J2385,"*49*")&gt;0,COUNTIF(I2385,"52*")&gt;0,COUNTIF(J2385,"*52*")&gt;0,COUNTIF(I2385,"55*")&gt;0,COUNTIF(J2385,"*55*")&gt;0,COUNTIF(I2385,"56*")&gt;0,COUNTIF(J2385,"*56*")&gt;0,COUNTIF(I2385,"68*")&gt;0,COUNTIF(J2385,"*68*")&gt;0,COUNTIF(I2385,"78*")&gt;0,COUNTIF(J2385,"*78*")&gt;0,COUNTIF(I2385,"81*")&gt;0,COUNTIF(J2385,"*81*")&gt;0,COUNTIF(I2385,"82*")&gt;0,COUNTIF(J2385,"*82*")&gt;0,COUNTIF(I2385,"64*")&gt;0,COUNTIF(J2385,"*64*")&gt;0,COUNTIF(I2385,"65*")&gt;0,COUNTIF(J2385,"*65*")&gt;0,COUNTIF(I2385,"66*")&gt;0,COUNTIF(J2385,"*66*")&gt;0,COUNTIF(I2385,"61*")&gt;0,COUNTIF(J2385,"*61*")&gt;0,COUNTIF(I2385,"62*")&gt;0,COUNTIF(J2385,"*62*")&gt;0,COUNTIF(I2385,"63*")&gt;0,COUNTIF(J2385,"*63*")&gt;0,COUNTIF(I2385,"85*")&gt;0,COUNTIF(J2385,"*85*")&gt;0,COUNTIF(I2385,"86*")&gt;0,COUNTIF(J2385,"*86*")&gt;0),"Да","Нет"))</f>
        <v/>
      </c>
      <c r="M2385" s="13">
        <f>IF(OR(G2385="",L2385&lt;&gt;"Да"),"",IF(G2385&lt;=100,"До 100",IF(G2385&lt;=200,"До 200",IF(G2385&lt;=500,"До 500","Отдельное КП"))))</f>
        <v/>
      </c>
      <c r="N2385" s="15">
        <f>IF(OR(G2385="",L2385&lt;&gt;"Да"),"",IF(G2385&lt;=100,33600,IF(G2385&lt;=200,62400,IF(G2385&lt;=500,144000,""))))</f>
        <v/>
      </c>
      <c r="O2385" s="16">
        <f>IF(G2385="","",IF(G2385&lt;=15,"1–15",IF(G2385&lt;=30,"16–30",IF(G2385&lt;=50,"31–50",IF(G2385&lt;=100,"51–100",IF(G2385&lt;=150,"101–150",IF(G2385&lt;=200,"151–200",IF(G2385&lt;=500,"201–500","500+"))))))))</f>
        <v/>
      </c>
      <c r="P2385" s="16" t="inlineStr">
        <is>
          <t>Нет совпадения в предоставленной выгрузке ССЧР</t>
        </is>
      </c>
      <c r="Q2385" s="16" t="n"/>
      <c r="R2385" s="16">
        <f>HYPERLINK("https://checko.ru/search?query=3801001629","Чекко: проверить")</f>
        <v/>
      </c>
      <c r="S2385" t="n">
        <v>0</v>
      </c>
    </row>
    <row r="2386" ht="27.75" customHeight="1" s="24">
      <c r="A2386" s="13" t="n">
        <v>5000094928</v>
      </c>
      <c r="B2386" s="13" t="inlineStr">
        <is>
          <t>МОУ "СОШ №6 ИМ.ГЕРОЯ СОВЕТСТКОГО СОЮЗА В.Г.КУЗНЕЦОВА"</t>
        </is>
      </c>
      <c r="C2386" s="13" t="n">
        <v>710005451</v>
      </c>
      <c r="D2386" s="13" t="n"/>
      <c r="E2386" s="13" t="inlineStr">
        <is>
          <t>Не определён</t>
        </is>
      </c>
      <c r="F2386" s="13" t="inlineStr">
        <is>
          <t>710005451</t>
        </is>
      </c>
      <c r="G2386" s="14" t="n"/>
      <c r="H2386" s="14" t="n"/>
      <c r="I2386" s="14" t="n"/>
      <c r="J2386" s="14" t="n"/>
      <c r="K2386" s="13">
        <f>IF(G2386="","",IF(G2386&gt;=22,"Да","Нет"))</f>
        <v/>
      </c>
      <c r="L2386" s="13">
        <f>IF(OR(I2386="",J2386=""),"Не определено",IF(OR(COUNTIF(I2386,"45*")&gt;0,COUNTIF(J2386,"*45*")&gt;0,COUNTIF(I2386,"46*")&gt;0,COUNTIF(J2386,"*46*")&gt;0,COUNTIF(I2386,"47*")&gt;0,COUNTIF(J2386,"*47*")&gt;0,COUNTIF(I2386,"10*")&gt;0,COUNTIF(J2386,"*10*")&gt;0,COUNTIF(I2386,"11*")&gt;0,COUNTIF(J2386,"*11*")&gt;0,COUNTIF(I2386,"12*")&gt;0,COUNTIF(J2386,"*12*")&gt;0,COUNTIF(I2386,"13*")&gt;0,COUNTIF(J2386,"*13*")&gt;0,COUNTIF(I2386,"14*")&gt;0,COUNTIF(J2386,"*14*")&gt;0,COUNTIF(I2386,"15*")&gt;0,COUNTIF(J2386,"*15*")&gt;0,COUNTIF(I2386,"16*")&gt;0,COUNTIF(J2386,"*16*")&gt;0,COUNTIF(I2386,"17*")&gt;0,COUNTIF(J2386,"*17*")&gt;0,COUNTIF(I2386,"18*")&gt;0,COUNTIF(J2386,"*18*")&gt;0,COUNTIF(I2386,"19*")&gt;0,COUNTIF(J2386,"*19*")&gt;0,COUNTIF(I2386,"20*")&gt;0,COUNTIF(J2386,"*20*")&gt;0,COUNTIF(I2386,"21*")&gt;0,COUNTIF(J2386,"*21*")&gt;0,COUNTIF(I2386,"22*")&gt;0,COUNTIF(J2386,"*22*")&gt;0,COUNTIF(I2386,"23*")&gt;0,COUNTIF(J2386,"*23*")&gt;0,COUNTIF(I2386,"24*")&gt;0,COUNTIF(J2386,"*24*")&gt;0,COUNTIF(I2386,"25*")&gt;0,COUNTIF(J2386,"*25*")&gt;0,COUNTIF(I2386,"26*")&gt;0,COUNTIF(J2386,"*26*")&gt;0,COUNTIF(I2386,"27*")&gt;0,COUNTIF(J2386,"*27*")&gt;0,COUNTIF(I2386,"28*")&gt;0,COUNTIF(J2386,"*28*")&gt;0,COUNTIF(I2386,"29*")&gt;0,COUNTIF(J2386,"*29*")&gt;0,COUNTIF(I2386,"30*")&gt;0,COUNTIF(J2386,"*30*")&gt;0,COUNTIF(I2386,"31*")&gt;0,COUNTIF(J2386,"*31*")&gt;0,COUNTIF(I2386,"32*")&gt;0,COUNTIF(J2386,"*32*")&gt;0,COUNTIF(I2386,"33*")&gt;0,COUNTIF(J2386,"*33*")&gt;0,COUNTIF(I2386,"41*")&gt;0,COUNTIF(J2386,"*41*")&gt;0,COUNTIF(I2386,"42*")&gt;0,COUNTIF(J2386,"*42*")&gt;0,COUNTIF(I2386,"43*")&gt;0,COUNTIF(J2386,"*43*")&gt;0,COUNTIF(I2386,"49*")&gt;0,COUNTIF(J2386,"*49*")&gt;0,COUNTIF(I2386,"52*")&gt;0,COUNTIF(J2386,"*52*")&gt;0,COUNTIF(I2386,"55*")&gt;0,COUNTIF(J2386,"*55*")&gt;0,COUNTIF(I2386,"56*")&gt;0,COUNTIF(J2386,"*56*")&gt;0,COUNTIF(I2386,"68*")&gt;0,COUNTIF(J2386,"*68*")&gt;0,COUNTIF(I2386,"78*")&gt;0,COUNTIF(J2386,"*78*")&gt;0,COUNTIF(I2386,"81*")&gt;0,COUNTIF(J2386,"*81*")&gt;0,COUNTIF(I2386,"82*")&gt;0,COUNTIF(J2386,"*82*")&gt;0,COUNTIF(I2386,"64*")&gt;0,COUNTIF(J2386,"*64*")&gt;0,COUNTIF(I2386,"65*")&gt;0,COUNTIF(J2386,"*65*")&gt;0,COUNTIF(I2386,"66*")&gt;0,COUNTIF(J2386,"*66*")&gt;0,COUNTIF(I2386,"61*")&gt;0,COUNTIF(J2386,"*61*")&gt;0,COUNTIF(I2386,"62*")&gt;0,COUNTIF(J2386,"*62*")&gt;0,COUNTIF(I2386,"63*")&gt;0,COUNTIF(J2386,"*63*")&gt;0,COUNTIF(I2386,"85*")&gt;0,COUNTIF(J2386,"*85*")&gt;0,COUNTIF(I2386,"86*")&gt;0,COUNTIF(J2386,"*86*")&gt;0),"Да","Нет"))</f>
        <v/>
      </c>
      <c r="M2386" s="13">
        <f>IF(OR(G2386="",L2386&lt;&gt;"Да"),"",IF(G2386&lt;=100,"До 100",IF(G2386&lt;=200,"До 200",IF(G2386&lt;=500,"До 500","Отдельное КП"))))</f>
        <v/>
      </c>
      <c r="N2386" s="15">
        <f>IF(OR(G2386="",L2386&lt;&gt;"Да"),"",IF(G2386&lt;=100,33600,IF(G2386&lt;=200,62400,IF(G2386&lt;=500,144000,""))))</f>
        <v/>
      </c>
      <c r="O2386" s="16">
        <f>IF(G2386="","",IF(G2386&lt;=15,"1–15",IF(G2386&lt;=30,"16–30",IF(G2386&lt;=50,"31–50",IF(G2386&lt;=100,"51–100",IF(G2386&lt;=150,"101–150",IF(G2386&lt;=200,"151–200",IF(G2386&lt;=500,"201–500","500+"))))))))</f>
        <v/>
      </c>
      <c r="P2386" s="16" t="inlineStr">
        <is>
          <t>Нет совпадения в предоставленной выгрузке ССЧР</t>
        </is>
      </c>
      <c r="Q2386" s="16" t="n"/>
      <c r="R2386" s="16">
        <f>HYPERLINK("https://checko.ru/search?query=3801001629","Чекко: проверить")</f>
        <v/>
      </c>
      <c r="S2386" t="n">
        <v>0</v>
      </c>
    </row>
    <row r="2387" ht="15" customHeight="1" s="24">
      <c r="A2387" s="13" t="n">
        <v>5000094934</v>
      </c>
      <c r="B2387" s="13" t="inlineStr">
        <is>
          <t>МКУК "ДОМ КУЛЬТУРЫ С.П.БЫЛЫМ"</t>
        </is>
      </c>
      <c r="C2387" s="13" t="n">
        <v>710006536</v>
      </c>
      <c r="D2387" s="13" t="n"/>
      <c r="E2387" s="13" t="inlineStr">
        <is>
          <t>Не определён</t>
        </is>
      </c>
      <c r="F2387" s="13" t="inlineStr">
        <is>
          <t>710006536</t>
        </is>
      </c>
      <c r="G2387" s="14" t="n"/>
      <c r="H2387" s="14" t="n"/>
      <c r="I2387" s="14" t="n"/>
      <c r="J2387" s="14" t="n"/>
      <c r="K2387" s="13">
        <f>IF(G2387="","",IF(G2387&gt;=22,"Да","Нет"))</f>
        <v/>
      </c>
      <c r="L2387" s="13">
        <f>IF(OR(I2387="",J2387=""),"Не определено",IF(OR(COUNTIF(I2387,"45*")&gt;0,COUNTIF(J2387,"*45*")&gt;0,COUNTIF(I2387,"46*")&gt;0,COUNTIF(J2387,"*46*")&gt;0,COUNTIF(I2387,"47*")&gt;0,COUNTIF(J2387,"*47*")&gt;0,COUNTIF(I2387,"10*")&gt;0,COUNTIF(J2387,"*10*")&gt;0,COUNTIF(I2387,"11*")&gt;0,COUNTIF(J2387,"*11*")&gt;0,COUNTIF(I2387,"12*")&gt;0,COUNTIF(J2387,"*12*")&gt;0,COUNTIF(I2387,"13*")&gt;0,COUNTIF(J2387,"*13*")&gt;0,COUNTIF(I2387,"14*")&gt;0,COUNTIF(J2387,"*14*")&gt;0,COUNTIF(I2387,"15*")&gt;0,COUNTIF(J2387,"*15*")&gt;0,COUNTIF(I2387,"16*")&gt;0,COUNTIF(J2387,"*16*")&gt;0,COUNTIF(I2387,"17*")&gt;0,COUNTIF(J2387,"*17*")&gt;0,COUNTIF(I2387,"18*")&gt;0,COUNTIF(J2387,"*18*")&gt;0,COUNTIF(I2387,"19*")&gt;0,COUNTIF(J2387,"*19*")&gt;0,COUNTIF(I2387,"20*")&gt;0,COUNTIF(J2387,"*20*")&gt;0,COUNTIF(I2387,"21*")&gt;0,COUNTIF(J2387,"*21*")&gt;0,COUNTIF(I2387,"22*")&gt;0,COUNTIF(J2387,"*22*")&gt;0,COUNTIF(I2387,"23*")&gt;0,COUNTIF(J2387,"*23*")&gt;0,COUNTIF(I2387,"24*")&gt;0,COUNTIF(J2387,"*24*")&gt;0,COUNTIF(I2387,"25*")&gt;0,COUNTIF(J2387,"*25*")&gt;0,COUNTIF(I2387,"26*")&gt;0,COUNTIF(J2387,"*26*")&gt;0,COUNTIF(I2387,"27*")&gt;0,COUNTIF(J2387,"*27*")&gt;0,COUNTIF(I2387,"28*")&gt;0,COUNTIF(J2387,"*28*")&gt;0,COUNTIF(I2387,"29*")&gt;0,COUNTIF(J2387,"*29*")&gt;0,COUNTIF(I2387,"30*")&gt;0,COUNTIF(J2387,"*30*")&gt;0,COUNTIF(I2387,"31*")&gt;0,COUNTIF(J2387,"*31*")&gt;0,COUNTIF(I2387,"32*")&gt;0,COUNTIF(J2387,"*32*")&gt;0,COUNTIF(I2387,"33*")&gt;0,COUNTIF(J2387,"*33*")&gt;0,COUNTIF(I2387,"41*")&gt;0,COUNTIF(J2387,"*41*")&gt;0,COUNTIF(I2387,"42*")&gt;0,COUNTIF(J2387,"*42*")&gt;0,COUNTIF(I2387,"43*")&gt;0,COUNTIF(J2387,"*43*")&gt;0,COUNTIF(I2387,"49*")&gt;0,COUNTIF(J2387,"*49*")&gt;0,COUNTIF(I2387,"52*")&gt;0,COUNTIF(J2387,"*52*")&gt;0,COUNTIF(I2387,"55*")&gt;0,COUNTIF(J2387,"*55*")&gt;0,COUNTIF(I2387,"56*")&gt;0,COUNTIF(J2387,"*56*")&gt;0,COUNTIF(I2387,"68*")&gt;0,COUNTIF(J2387,"*68*")&gt;0,COUNTIF(I2387,"78*")&gt;0,COUNTIF(J2387,"*78*")&gt;0,COUNTIF(I2387,"81*")&gt;0,COUNTIF(J2387,"*81*")&gt;0,COUNTIF(I2387,"82*")&gt;0,COUNTIF(J2387,"*82*")&gt;0,COUNTIF(I2387,"64*")&gt;0,COUNTIF(J2387,"*64*")&gt;0,COUNTIF(I2387,"65*")&gt;0,COUNTIF(J2387,"*65*")&gt;0,COUNTIF(I2387,"66*")&gt;0,COUNTIF(J2387,"*66*")&gt;0,COUNTIF(I2387,"61*")&gt;0,COUNTIF(J2387,"*61*")&gt;0,COUNTIF(I2387,"62*")&gt;0,COUNTIF(J2387,"*62*")&gt;0,COUNTIF(I2387,"63*")&gt;0,COUNTIF(J2387,"*63*")&gt;0,COUNTIF(I2387,"85*")&gt;0,COUNTIF(J2387,"*85*")&gt;0,COUNTIF(I2387,"86*")&gt;0,COUNTIF(J2387,"*86*")&gt;0),"Да","Нет"))</f>
        <v/>
      </c>
      <c r="M2387" s="13">
        <f>IF(OR(G2387="",L2387&lt;&gt;"Да"),"",IF(G2387&lt;=100,"До 100",IF(G2387&lt;=200,"До 200",IF(G2387&lt;=500,"До 500","Отдельное КП"))))</f>
        <v/>
      </c>
      <c r="N2387" s="15">
        <f>IF(OR(G2387="",L2387&lt;&gt;"Да"),"",IF(G2387&lt;=100,33600,IF(G2387&lt;=200,62400,IF(G2387&lt;=500,144000,""))))</f>
        <v/>
      </c>
      <c r="O2387" s="16">
        <f>IF(G2387="","",IF(G2387&lt;=15,"1–15",IF(G2387&lt;=30,"16–30",IF(G2387&lt;=50,"31–50",IF(G2387&lt;=100,"51–100",IF(G2387&lt;=150,"101–150",IF(G2387&lt;=200,"151–200",IF(G2387&lt;=500,"201–500","500+"))))))))</f>
        <v/>
      </c>
      <c r="P2387" s="16" t="inlineStr">
        <is>
          <t>Нет совпадения в предоставленной выгрузке ССЧР</t>
        </is>
      </c>
      <c r="Q2387" s="16" t="n"/>
      <c r="R2387" s="16">
        <f>HYPERLINK("https://checko.ru/search?query=3801001629","Чекко: проверить")</f>
        <v/>
      </c>
      <c r="S2387" t="n">
        <v>0</v>
      </c>
    </row>
    <row r="2388" ht="15" customHeight="1" s="24">
      <c r="A2388" s="13" t="n">
        <v>5000095087</v>
      </c>
      <c r="B2388" s="13" t="inlineStr">
        <is>
          <t>ГБУЗ "КБЦМК и СМП"</t>
        </is>
      </c>
      <c r="C2388" s="13" t="n">
        <v>714007393</v>
      </c>
      <c r="D2388" s="13" t="n"/>
      <c r="E2388" s="13" t="inlineStr">
        <is>
          <t>Не определён</t>
        </is>
      </c>
      <c r="F2388" s="13" t="inlineStr">
        <is>
          <t>714007393</t>
        </is>
      </c>
      <c r="G2388" s="14" t="n"/>
      <c r="H2388" s="14" t="n"/>
      <c r="I2388" s="14" t="n"/>
      <c r="J2388" s="14" t="n"/>
      <c r="K2388" s="13">
        <f>IF(G2388="","",IF(G2388&gt;=22,"Да","Нет"))</f>
        <v/>
      </c>
      <c r="L2388" s="13">
        <f>IF(OR(I2388="",J2388=""),"Не определено",IF(OR(COUNTIF(I2388,"45*")&gt;0,COUNTIF(J2388,"*45*")&gt;0,COUNTIF(I2388,"46*")&gt;0,COUNTIF(J2388,"*46*")&gt;0,COUNTIF(I2388,"47*")&gt;0,COUNTIF(J2388,"*47*")&gt;0,COUNTIF(I2388,"10*")&gt;0,COUNTIF(J2388,"*10*")&gt;0,COUNTIF(I2388,"11*")&gt;0,COUNTIF(J2388,"*11*")&gt;0,COUNTIF(I2388,"12*")&gt;0,COUNTIF(J2388,"*12*")&gt;0,COUNTIF(I2388,"13*")&gt;0,COUNTIF(J2388,"*13*")&gt;0,COUNTIF(I2388,"14*")&gt;0,COUNTIF(J2388,"*14*")&gt;0,COUNTIF(I2388,"15*")&gt;0,COUNTIF(J2388,"*15*")&gt;0,COUNTIF(I2388,"16*")&gt;0,COUNTIF(J2388,"*16*")&gt;0,COUNTIF(I2388,"17*")&gt;0,COUNTIF(J2388,"*17*")&gt;0,COUNTIF(I2388,"18*")&gt;0,COUNTIF(J2388,"*18*")&gt;0,COUNTIF(I2388,"19*")&gt;0,COUNTIF(J2388,"*19*")&gt;0,COUNTIF(I2388,"20*")&gt;0,COUNTIF(J2388,"*20*")&gt;0,COUNTIF(I2388,"21*")&gt;0,COUNTIF(J2388,"*21*")&gt;0,COUNTIF(I2388,"22*")&gt;0,COUNTIF(J2388,"*22*")&gt;0,COUNTIF(I2388,"23*")&gt;0,COUNTIF(J2388,"*23*")&gt;0,COUNTIF(I2388,"24*")&gt;0,COUNTIF(J2388,"*24*")&gt;0,COUNTIF(I2388,"25*")&gt;0,COUNTIF(J2388,"*25*")&gt;0,COUNTIF(I2388,"26*")&gt;0,COUNTIF(J2388,"*26*")&gt;0,COUNTIF(I2388,"27*")&gt;0,COUNTIF(J2388,"*27*")&gt;0,COUNTIF(I2388,"28*")&gt;0,COUNTIF(J2388,"*28*")&gt;0,COUNTIF(I2388,"29*")&gt;0,COUNTIF(J2388,"*29*")&gt;0,COUNTIF(I2388,"30*")&gt;0,COUNTIF(J2388,"*30*")&gt;0,COUNTIF(I2388,"31*")&gt;0,COUNTIF(J2388,"*31*")&gt;0,COUNTIF(I2388,"32*")&gt;0,COUNTIF(J2388,"*32*")&gt;0,COUNTIF(I2388,"33*")&gt;0,COUNTIF(J2388,"*33*")&gt;0,COUNTIF(I2388,"41*")&gt;0,COUNTIF(J2388,"*41*")&gt;0,COUNTIF(I2388,"42*")&gt;0,COUNTIF(J2388,"*42*")&gt;0,COUNTIF(I2388,"43*")&gt;0,COUNTIF(J2388,"*43*")&gt;0,COUNTIF(I2388,"49*")&gt;0,COUNTIF(J2388,"*49*")&gt;0,COUNTIF(I2388,"52*")&gt;0,COUNTIF(J2388,"*52*")&gt;0,COUNTIF(I2388,"55*")&gt;0,COUNTIF(J2388,"*55*")&gt;0,COUNTIF(I2388,"56*")&gt;0,COUNTIF(J2388,"*56*")&gt;0,COUNTIF(I2388,"68*")&gt;0,COUNTIF(J2388,"*68*")&gt;0,COUNTIF(I2388,"78*")&gt;0,COUNTIF(J2388,"*78*")&gt;0,COUNTIF(I2388,"81*")&gt;0,COUNTIF(J2388,"*81*")&gt;0,COUNTIF(I2388,"82*")&gt;0,COUNTIF(J2388,"*82*")&gt;0,COUNTIF(I2388,"64*")&gt;0,COUNTIF(J2388,"*64*")&gt;0,COUNTIF(I2388,"65*")&gt;0,COUNTIF(J2388,"*65*")&gt;0,COUNTIF(I2388,"66*")&gt;0,COUNTIF(J2388,"*66*")&gt;0,COUNTIF(I2388,"61*")&gt;0,COUNTIF(J2388,"*61*")&gt;0,COUNTIF(I2388,"62*")&gt;0,COUNTIF(J2388,"*62*")&gt;0,COUNTIF(I2388,"63*")&gt;0,COUNTIF(J2388,"*63*")&gt;0,COUNTIF(I2388,"85*")&gt;0,COUNTIF(J2388,"*85*")&gt;0,COUNTIF(I2388,"86*")&gt;0,COUNTIF(J2388,"*86*")&gt;0),"Да","Нет"))</f>
        <v/>
      </c>
      <c r="M2388" s="13">
        <f>IF(OR(G2388="",L2388&lt;&gt;"Да"),"",IF(G2388&lt;=100,"До 100",IF(G2388&lt;=200,"До 200",IF(G2388&lt;=500,"До 500","Отдельное КП"))))</f>
        <v/>
      </c>
      <c r="N2388" s="15">
        <f>IF(OR(G2388="",L2388&lt;&gt;"Да"),"",IF(G2388&lt;=100,33600,IF(G2388&lt;=200,62400,IF(G2388&lt;=500,144000,""))))</f>
        <v/>
      </c>
      <c r="O2388" s="16">
        <f>IF(G2388="","",IF(G2388&lt;=15,"1–15",IF(G2388&lt;=30,"16–30",IF(G2388&lt;=50,"31–50",IF(G2388&lt;=100,"51–100",IF(G2388&lt;=150,"101–150",IF(G2388&lt;=200,"151–200",IF(G2388&lt;=500,"201–500","500+"))))))))</f>
        <v/>
      </c>
      <c r="P2388" s="16" t="inlineStr">
        <is>
          <t>Нет совпадения в предоставленной выгрузке ССЧР</t>
        </is>
      </c>
      <c r="Q2388" s="16" t="n"/>
      <c r="R2388" s="16">
        <f>HYPERLINK("https://checko.ru/search?query=3801001629","Чекко: проверить")</f>
        <v/>
      </c>
      <c r="S2388" t="n">
        <v>0</v>
      </c>
    </row>
    <row r="2389" ht="15" customHeight="1" s="24">
      <c r="A2389" s="13" t="n">
        <v>5000095088</v>
      </c>
      <c r="B2389" s="13" t="inlineStr">
        <is>
          <t>МБУ ДО "ГЦДиЮТ"</t>
        </is>
      </c>
      <c r="C2389" s="13" t="n">
        <v>714007467</v>
      </c>
      <c r="D2389" s="13" t="n"/>
      <c r="E2389" s="13" t="inlineStr">
        <is>
          <t>Не определён</t>
        </is>
      </c>
      <c r="F2389" s="13" t="inlineStr">
        <is>
          <t>714007467</t>
        </is>
      </c>
      <c r="G2389" s="14" t="n"/>
      <c r="H2389" s="14" t="n"/>
      <c r="I2389" s="14" t="n"/>
      <c r="J2389" s="14" t="n"/>
      <c r="K2389" s="13">
        <f>IF(G2389="","",IF(G2389&gt;=22,"Да","Нет"))</f>
        <v/>
      </c>
      <c r="L2389" s="13">
        <f>IF(OR(I2389="",J2389=""),"Не определено",IF(OR(COUNTIF(I2389,"45*")&gt;0,COUNTIF(J2389,"*45*")&gt;0,COUNTIF(I2389,"46*")&gt;0,COUNTIF(J2389,"*46*")&gt;0,COUNTIF(I2389,"47*")&gt;0,COUNTIF(J2389,"*47*")&gt;0,COUNTIF(I2389,"10*")&gt;0,COUNTIF(J2389,"*10*")&gt;0,COUNTIF(I2389,"11*")&gt;0,COUNTIF(J2389,"*11*")&gt;0,COUNTIF(I2389,"12*")&gt;0,COUNTIF(J2389,"*12*")&gt;0,COUNTIF(I2389,"13*")&gt;0,COUNTIF(J2389,"*13*")&gt;0,COUNTIF(I2389,"14*")&gt;0,COUNTIF(J2389,"*14*")&gt;0,COUNTIF(I2389,"15*")&gt;0,COUNTIF(J2389,"*15*")&gt;0,COUNTIF(I2389,"16*")&gt;0,COUNTIF(J2389,"*16*")&gt;0,COUNTIF(I2389,"17*")&gt;0,COUNTIF(J2389,"*17*")&gt;0,COUNTIF(I2389,"18*")&gt;0,COUNTIF(J2389,"*18*")&gt;0,COUNTIF(I2389,"19*")&gt;0,COUNTIF(J2389,"*19*")&gt;0,COUNTIF(I2389,"20*")&gt;0,COUNTIF(J2389,"*20*")&gt;0,COUNTIF(I2389,"21*")&gt;0,COUNTIF(J2389,"*21*")&gt;0,COUNTIF(I2389,"22*")&gt;0,COUNTIF(J2389,"*22*")&gt;0,COUNTIF(I2389,"23*")&gt;0,COUNTIF(J2389,"*23*")&gt;0,COUNTIF(I2389,"24*")&gt;0,COUNTIF(J2389,"*24*")&gt;0,COUNTIF(I2389,"25*")&gt;0,COUNTIF(J2389,"*25*")&gt;0,COUNTIF(I2389,"26*")&gt;0,COUNTIF(J2389,"*26*")&gt;0,COUNTIF(I2389,"27*")&gt;0,COUNTIF(J2389,"*27*")&gt;0,COUNTIF(I2389,"28*")&gt;0,COUNTIF(J2389,"*28*")&gt;0,COUNTIF(I2389,"29*")&gt;0,COUNTIF(J2389,"*29*")&gt;0,COUNTIF(I2389,"30*")&gt;0,COUNTIF(J2389,"*30*")&gt;0,COUNTIF(I2389,"31*")&gt;0,COUNTIF(J2389,"*31*")&gt;0,COUNTIF(I2389,"32*")&gt;0,COUNTIF(J2389,"*32*")&gt;0,COUNTIF(I2389,"33*")&gt;0,COUNTIF(J2389,"*33*")&gt;0,COUNTIF(I2389,"41*")&gt;0,COUNTIF(J2389,"*41*")&gt;0,COUNTIF(I2389,"42*")&gt;0,COUNTIF(J2389,"*42*")&gt;0,COUNTIF(I2389,"43*")&gt;0,COUNTIF(J2389,"*43*")&gt;0,COUNTIF(I2389,"49*")&gt;0,COUNTIF(J2389,"*49*")&gt;0,COUNTIF(I2389,"52*")&gt;0,COUNTIF(J2389,"*52*")&gt;0,COUNTIF(I2389,"55*")&gt;0,COUNTIF(J2389,"*55*")&gt;0,COUNTIF(I2389,"56*")&gt;0,COUNTIF(J2389,"*56*")&gt;0,COUNTIF(I2389,"68*")&gt;0,COUNTIF(J2389,"*68*")&gt;0,COUNTIF(I2389,"78*")&gt;0,COUNTIF(J2389,"*78*")&gt;0,COUNTIF(I2389,"81*")&gt;0,COUNTIF(J2389,"*81*")&gt;0,COUNTIF(I2389,"82*")&gt;0,COUNTIF(J2389,"*82*")&gt;0,COUNTIF(I2389,"64*")&gt;0,COUNTIF(J2389,"*64*")&gt;0,COUNTIF(I2389,"65*")&gt;0,COUNTIF(J2389,"*65*")&gt;0,COUNTIF(I2389,"66*")&gt;0,COUNTIF(J2389,"*66*")&gt;0,COUNTIF(I2389,"61*")&gt;0,COUNTIF(J2389,"*61*")&gt;0,COUNTIF(I2389,"62*")&gt;0,COUNTIF(J2389,"*62*")&gt;0,COUNTIF(I2389,"63*")&gt;0,COUNTIF(J2389,"*63*")&gt;0,COUNTIF(I2389,"85*")&gt;0,COUNTIF(J2389,"*85*")&gt;0,COUNTIF(I2389,"86*")&gt;0,COUNTIF(J2389,"*86*")&gt;0),"Да","Нет"))</f>
        <v/>
      </c>
      <c r="M2389" s="13">
        <f>IF(OR(G2389="",L2389&lt;&gt;"Да"),"",IF(G2389&lt;=100,"До 100",IF(G2389&lt;=200,"До 200",IF(G2389&lt;=500,"До 500","Отдельное КП"))))</f>
        <v/>
      </c>
      <c r="N2389" s="15">
        <f>IF(OR(G2389="",L2389&lt;&gt;"Да"),"",IF(G2389&lt;=100,33600,IF(G2389&lt;=200,62400,IF(G2389&lt;=500,144000,""))))</f>
        <v/>
      </c>
      <c r="O2389" s="16">
        <f>IF(G2389="","",IF(G2389&lt;=15,"1–15",IF(G2389&lt;=30,"16–30",IF(G2389&lt;=50,"31–50",IF(G2389&lt;=100,"51–100",IF(G2389&lt;=150,"101–150",IF(G2389&lt;=200,"151–200",IF(G2389&lt;=500,"201–500","500+"))))))))</f>
        <v/>
      </c>
      <c r="P2389" s="16" t="inlineStr">
        <is>
          <t>Нет совпадения в предоставленной выгрузке ССЧР</t>
        </is>
      </c>
      <c r="Q2389" s="16" t="n"/>
      <c r="R2389" s="16">
        <f>HYPERLINK("https://checko.ru/search?query=3801001629","Чекко: проверить")</f>
        <v/>
      </c>
      <c r="S2389" t="n">
        <v>0</v>
      </c>
    </row>
    <row r="2390" ht="27.75" customHeight="1" s="24">
      <c r="A2390" s="13" t="n">
        <v>5000095091</v>
      </c>
      <c r="B2390" s="13" t="inlineStr">
        <is>
          <t>Местная администрация сельского поселения Янтарное</t>
        </is>
      </c>
      <c r="C2390" s="13" t="n">
        <v>716000562</v>
      </c>
      <c r="D2390" s="13" t="n"/>
      <c r="E2390" s="13" t="inlineStr">
        <is>
          <t>Не определён</t>
        </is>
      </c>
      <c r="F2390" s="13" t="inlineStr">
        <is>
          <t>716000562</t>
        </is>
      </c>
      <c r="G2390" s="14" t="n"/>
      <c r="H2390" s="14" t="n"/>
      <c r="I2390" s="14" t="n"/>
      <c r="J2390" s="14" t="n"/>
      <c r="K2390" s="13">
        <f>IF(G2390="","",IF(G2390&gt;=22,"Да","Нет"))</f>
        <v/>
      </c>
      <c r="L2390" s="13">
        <f>IF(OR(I2390="",J2390=""),"Не определено",IF(OR(COUNTIF(I2390,"45*")&gt;0,COUNTIF(J2390,"*45*")&gt;0,COUNTIF(I2390,"46*")&gt;0,COUNTIF(J2390,"*46*")&gt;0,COUNTIF(I2390,"47*")&gt;0,COUNTIF(J2390,"*47*")&gt;0,COUNTIF(I2390,"10*")&gt;0,COUNTIF(J2390,"*10*")&gt;0,COUNTIF(I2390,"11*")&gt;0,COUNTIF(J2390,"*11*")&gt;0,COUNTIF(I2390,"12*")&gt;0,COUNTIF(J2390,"*12*")&gt;0,COUNTIF(I2390,"13*")&gt;0,COUNTIF(J2390,"*13*")&gt;0,COUNTIF(I2390,"14*")&gt;0,COUNTIF(J2390,"*14*")&gt;0,COUNTIF(I2390,"15*")&gt;0,COUNTIF(J2390,"*15*")&gt;0,COUNTIF(I2390,"16*")&gt;0,COUNTIF(J2390,"*16*")&gt;0,COUNTIF(I2390,"17*")&gt;0,COUNTIF(J2390,"*17*")&gt;0,COUNTIF(I2390,"18*")&gt;0,COUNTIF(J2390,"*18*")&gt;0,COUNTIF(I2390,"19*")&gt;0,COUNTIF(J2390,"*19*")&gt;0,COUNTIF(I2390,"20*")&gt;0,COUNTIF(J2390,"*20*")&gt;0,COUNTIF(I2390,"21*")&gt;0,COUNTIF(J2390,"*21*")&gt;0,COUNTIF(I2390,"22*")&gt;0,COUNTIF(J2390,"*22*")&gt;0,COUNTIF(I2390,"23*")&gt;0,COUNTIF(J2390,"*23*")&gt;0,COUNTIF(I2390,"24*")&gt;0,COUNTIF(J2390,"*24*")&gt;0,COUNTIF(I2390,"25*")&gt;0,COUNTIF(J2390,"*25*")&gt;0,COUNTIF(I2390,"26*")&gt;0,COUNTIF(J2390,"*26*")&gt;0,COUNTIF(I2390,"27*")&gt;0,COUNTIF(J2390,"*27*")&gt;0,COUNTIF(I2390,"28*")&gt;0,COUNTIF(J2390,"*28*")&gt;0,COUNTIF(I2390,"29*")&gt;0,COUNTIF(J2390,"*29*")&gt;0,COUNTIF(I2390,"30*")&gt;0,COUNTIF(J2390,"*30*")&gt;0,COUNTIF(I2390,"31*")&gt;0,COUNTIF(J2390,"*31*")&gt;0,COUNTIF(I2390,"32*")&gt;0,COUNTIF(J2390,"*32*")&gt;0,COUNTIF(I2390,"33*")&gt;0,COUNTIF(J2390,"*33*")&gt;0,COUNTIF(I2390,"41*")&gt;0,COUNTIF(J2390,"*41*")&gt;0,COUNTIF(I2390,"42*")&gt;0,COUNTIF(J2390,"*42*")&gt;0,COUNTIF(I2390,"43*")&gt;0,COUNTIF(J2390,"*43*")&gt;0,COUNTIF(I2390,"49*")&gt;0,COUNTIF(J2390,"*49*")&gt;0,COUNTIF(I2390,"52*")&gt;0,COUNTIF(J2390,"*52*")&gt;0,COUNTIF(I2390,"55*")&gt;0,COUNTIF(J2390,"*55*")&gt;0,COUNTIF(I2390,"56*")&gt;0,COUNTIF(J2390,"*56*")&gt;0,COUNTIF(I2390,"68*")&gt;0,COUNTIF(J2390,"*68*")&gt;0,COUNTIF(I2390,"78*")&gt;0,COUNTIF(J2390,"*78*")&gt;0,COUNTIF(I2390,"81*")&gt;0,COUNTIF(J2390,"*81*")&gt;0,COUNTIF(I2390,"82*")&gt;0,COUNTIF(J2390,"*82*")&gt;0,COUNTIF(I2390,"64*")&gt;0,COUNTIF(J2390,"*64*")&gt;0,COUNTIF(I2390,"65*")&gt;0,COUNTIF(J2390,"*65*")&gt;0,COUNTIF(I2390,"66*")&gt;0,COUNTIF(J2390,"*66*")&gt;0,COUNTIF(I2390,"61*")&gt;0,COUNTIF(J2390,"*61*")&gt;0,COUNTIF(I2390,"62*")&gt;0,COUNTIF(J2390,"*62*")&gt;0,COUNTIF(I2390,"63*")&gt;0,COUNTIF(J2390,"*63*")&gt;0,COUNTIF(I2390,"85*")&gt;0,COUNTIF(J2390,"*85*")&gt;0,COUNTIF(I2390,"86*")&gt;0,COUNTIF(J2390,"*86*")&gt;0),"Да","Нет"))</f>
        <v/>
      </c>
      <c r="M2390" s="13">
        <f>IF(OR(G2390="",L2390&lt;&gt;"Да"),"",IF(G2390&lt;=100,"До 100",IF(G2390&lt;=200,"До 200",IF(G2390&lt;=500,"До 500","Отдельное КП"))))</f>
        <v/>
      </c>
      <c r="N2390" s="15">
        <f>IF(OR(G2390="",L2390&lt;&gt;"Да"),"",IF(G2390&lt;=100,33600,IF(G2390&lt;=200,62400,IF(G2390&lt;=500,144000,""))))</f>
        <v/>
      </c>
      <c r="O2390" s="16">
        <f>IF(G2390="","",IF(G2390&lt;=15,"1–15",IF(G2390&lt;=30,"16–30",IF(G2390&lt;=50,"31–50",IF(G2390&lt;=100,"51–100",IF(G2390&lt;=150,"101–150",IF(G2390&lt;=200,"151–200",IF(G2390&lt;=500,"201–500","500+"))))))))</f>
        <v/>
      </c>
      <c r="P2390" s="16" t="inlineStr">
        <is>
          <t>Нет совпадения в предоставленной выгрузке ССЧР</t>
        </is>
      </c>
      <c r="Q2390" s="16" t="n"/>
      <c r="R2390" s="16">
        <f>HYPERLINK("https://checko.ru/search?query=3801001629","Чекко: проверить")</f>
        <v/>
      </c>
      <c r="S2390" t="n">
        <v>0</v>
      </c>
    </row>
    <row r="2391" ht="15" customHeight="1" s="24">
      <c r="A2391" s="13" t="n">
        <v>5000094935</v>
      </c>
      <c r="B2391" s="13" t="inlineStr">
        <is>
          <t>МКУК "ДОМ КУЛЬТУРЫ С.П. БЕДЫК"</t>
        </is>
      </c>
      <c r="C2391" s="13" t="n">
        <v>710006543</v>
      </c>
      <c r="D2391" s="13" t="n"/>
      <c r="E2391" s="13" t="inlineStr">
        <is>
          <t>Не определён</t>
        </is>
      </c>
      <c r="F2391" s="13" t="inlineStr">
        <is>
          <t>710006543</t>
        </is>
      </c>
      <c r="G2391" s="14" t="n"/>
      <c r="H2391" s="14" t="n"/>
      <c r="I2391" s="14" t="n"/>
      <c r="J2391" s="14" t="n"/>
      <c r="K2391" s="13">
        <f>IF(G2391="","",IF(G2391&gt;=22,"Да","Нет"))</f>
        <v/>
      </c>
      <c r="L2391" s="13">
        <f>IF(OR(I2391="",J2391=""),"Не определено",IF(OR(COUNTIF(I2391,"45*")&gt;0,COUNTIF(J2391,"*45*")&gt;0,COUNTIF(I2391,"46*")&gt;0,COUNTIF(J2391,"*46*")&gt;0,COUNTIF(I2391,"47*")&gt;0,COUNTIF(J2391,"*47*")&gt;0,COUNTIF(I2391,"10*")&gt;0,COUNTIF(J2391,"*10*")&gt;0,COUNTIF(I2391,"11*")&gt;0,COUNTIF(J2391,"*11*")&gt;0,COUNTIF(I2391,"12*")&gt;0,COUNTIF(J2391,"*12*")&gt;0,COUNTIF(I2391,"13*")&gt;0,COUNTIF(J2391,"*13*")&gt;0,COUNTIF(I2391,"14*")&gt;0,COUNTIF(J2391,"*14*")&gt;0,COUNTIF(I2391,"15*")&gt;0,COUNTIF(J2391,"*15*")&gt;0,COUNTIF(I2391,"16*")&gt;0,COUNTIF(J2391,"*16*")&gt;0,COUNTIF(I2391,"17*")&gt;0,COUNTIF(J2391,"*17*")&gt;0,COUNTIF(I2391,"18*")&gt;0,COUNTIF(J2391,"*18*")&gt;0,COUNTIF(I2391,"19*")&gt;0,COUNTIF(J2391,"*19*")&gt;0,COUNTIF(I2391,"20*")&gt;0,COUNTIF(J2391,"*20*")&gt;0,COUNTIF(I2391,"21*")&gt;0,COUNTIF(J2391,"*21*")&gt;0,COUNTIF(I2391,"22*")&gt;0,COUNTIF(J2391,"*22*")&gt;0,COUNTIF(I2391,"23*")&gt;0,COUNTIF(J2391,"*23*")&gt;0,COUNTIF(I2391,"24*")&gt;0,COUNTIF(J2391,"*24*")&gt;0,COUNTIF(I2391,"25*")&gt;0,COUNTIF(J2391,"*25*")&gt;0,COUNTIF(I2391,"26*")&gt;0,COUNTIF(J2391,"*26*")&gt;0,COUNTIF(I2391,"27*")&gt;0,COUNTIF(J2391,"*27*")&gt;0,COUNTIF(I2391,"28*")&gt;0,COUNTIF(J2391,"*28*")&gt;0,COUNTIF(I2391,"29*")&gt;0,COUNTIF(J2391,"*29*")&gt;0,COUNTIF(I2391,"30*")&gt;0,COUNTIF(J2391,"*30*")&gt;0,COUNTIF(I2391,"31*")&gt;0,COUNTIF(J2391,"*31*")&gt;0,COUNTIF(I2391,"32*")&gt;0,COUNTIF(J2391,"*32*")&gt;0,COUNTIF(I2391,"33*")&gt;0,COUNTIF(J2391,"*33*")&gt;0,COUNTIF(I2391,"41*")&gt;0,COUNTIF(J2391,"*41*")&gt;0,COUNTIF(I2391,"42*")&gt;0,COUNTIF(J2391,"*42*")&gt;0,COUNTIF(I2391,"43*")&gt;0,COUNTIF(J2391,"*43*")&gt;0,COUNTIF(I2391,"49*")&gt;0,COUNTIF(J2391,"*49*")&gt;0,COUNTIF(I2391,"52*")&gt;0,COUNTIF(J2391,"*52*")&gt;0,COUNTIF(I2391,"55*")&gt;0,COUNTIF(J2391,"*55*")&gt;0,COUNTIF(I2391,"56*")&gt;0,COUNTIF(J2391,"*56*")&gt;0,COUNTIF(I2391,"68*")&gt;0,COUNTIF(J2391,"*68*")&gt;0,COUNTIF(I2391,"78*")&gt;0,COUNTIF(J2391,"*78*")&gt;0,COUNTIF(I2391,"81*")&gt;0,COUNTIF(J2391,"*81*")&gt;0,COUNTIF(I2391,"82*")&gt;0,COUNTIF(J2391,"*82*")&gt;0,COUNTIF(I2391,"64*")&gt;0,COUNTIF(J2391,"*64*")&gt;0,COUNTIF(I2391,"65*")&gt;0,COUNTIF(J2391,"*65*")&gt;0,COUNTIF(I2391,"66*")&gt;0,COUNTIF(J2391,"*66*")&gt;0,COUNTIF(I2391,"61*")&gt;0,COUNTIF(J2391,"*61*")&gt;0,COUNTIF(I2391,"62*")&gt;0,COUNTIF(J2391,"*62*")&gt;0,COUNTIF(I2391,"63*")&gt;0,COUNTIF(J2391,"*63*")&gt;0,COUNTIF(I2391,"85*")&gt;0,COUNTIF(J2391,"*85*")&gt;0,COUNTIF(I2391,"86*")&gt;0,COUNTIF(J2391,"*86*")&gt;0),"Да","Нет"))</f>
        <v/>
      </c>
      <c r="M2391" s="13">
        <f>IF(OR(G2391="",L2391&lt;&gt;"Да"),"",IF(G2391&lt;=100,"До 100",IF(G2391&lt;=200,"До 200",IF(G2391&lt;=500,"До 500","Отдельное КП"))))</f>
        <v/>
      </c>
      <c r="N2391" s="15">
        <f>IF(OR(G2391="",L2391&lt;&gt;"Да"),"",IF(G2391&lt;=100,33600,IF(G2391&lt;=200,62400,IF(G2391&lt;=500,144000,""))))</f>
        <v/>
      </c>
      <c r="O2391" s="16">
        <f>IF(G2391="","",IF(G2391&lt;=15,"1–15",IF(G2391&lt;=30,"16–30",IF(G2391&lt;=50,"31–50",IF(G2391&lt;=100,"51–100",IF(G2391&lt;=150,"101–150",IF(G2391&lt;=200,"151–200",IF(G2391&lt;=500,"201–500","500+"))))))))</f>
        <v/>
      </c>
      <c r="P2391" s="16" t="inlineStr">
        <is>
          <t>Нет совпадения в предоставленной выгрузке ССЧР</t>
        </is>
      </c>
      <c r="Q2391" s="16" t="n"/>
      <c r="R2391" s="16">
        <f>HYPERLINK("https://checko.ru/search?query=3801001629","Чекко: проверить")</f>
        <v/>
      </c>
      <c r="S2391" t="n">
        <v>0</v>
      </c>
    </row>
    <row r="2392" ht="15" customHeight="1" s="24">
      <c r="A2392" s="13" t="n">
        <v>5000094936</v>
      </c>
      <c r="B2392" s="13" t="inlineStr">
        <is>
          <t>МКУК "Дом культуры" с.п.Верхний Баксан</t>
        </is>
      </c>
      <c r="C2392" s="13" t="n">
        <v>710006575</v>
      </c>
      <c r="D2392" s="13" t="n"/>
      <c r="E2392" s="13" t="inlineStr">
        <is>
          <t>Не определён</t>
        </is>
      </c>
      <c r="F2392" s="13" t="inlineStr">
        <is>
          <t>710006575</t>
        </is>
      </c>
      <c r="G2392" s="14" t="n"/>
      <c r="H2392" s="14" t="n"/>
      <c r="I2392" s="14" t="n"/>
      <c r="J2392" s="14" t="n"/>
      <c r="K2392" s="13">
        <f>IF(G2392="","",IF(G2392&gt;=22,"Да","Нет"))</f>
        <v/>
      </c>
      <c r="L2392" s="13">
        <f>IF(OR(I2392="",J2392=""),"Не определено",IF(OR(COUNTIF(I2392,"45*")&gt;0,COUNTIF(J2392,"*45*")&gt;0,COUNTIF(I2392,"46*")&gt;0,COUNTIF(J2392,"*46*")&gt;0,COUNTIF(I2392,"47*")&gt;0,COUNTIF(J2392,"*47*")&gt;0,COUNTIF(I2392,"10*")&gt;0,COUNTIF(J2392,"*10*")&gt;0,COUNTIF(I2392,"11*")&gt;0,COUNTIF(J2392,"*11*")&gt;0,COUNTIF(I2392,"12*")&gt;0,COUNTIF(J2392,"*12*")&gt;0,COUNTIF(I2392,"13*")&gt;0,COUNTIF(J2392,"*13*")&gt;0,COUNTIF(I2392,"14*")&gt;0,COUNTIF(J2392,"*14*")&gt;0,COUNTIF(I2392,"15*")&gt;0,COUNTIF(J2392,"*15*")&gt;0,COUNTIF(I2392,"16*")&gt;0,COUNTIF(J2392,"*16*")&gt;0,COUNTIF(I2392,"17*")&gt;0,COUNTIF(J2392,"*17*")&gt;0,COUNTIF(I2392,"18*")&gt;0,COUNTIF(J2392,"*18*")&gt;0,COUNTIF(I2392,"19*")&gt;0,COUNTIF(J2392,"*19*")&gt;0,COUNTIF(I2392,"20*")&gt;0,COUNTIF(J2392,"*20*")&gt;0,COUNTIF(I2392,"21*")&gt;0,COUNTIF(J2392,"*21*")&gt;0,COUNTIF(I2392,"22*")&gt;0,COUNTIF(J2392,"*22*")&gt;0,COUNTIF(I2392,"23*")&gt;0,COUNTIF(J2392,"*23*")&gt;0,COUNTIF(I2392,"24*")&gt;0,COUNTIF(J2392,"*24*")&gt;0,COUNTIF(I2392,"25*")&gt;0,COUNTIF(J2392,"*25*")&gt;0,COUNTIF(I2392,"26*")&gt;0,COUNTIF(J2392,"*26*")&gt;0,COUNTIF(I2392,"27*")&gt;0,COUNTIF(J2392,"*27*")&gt;0,COUNTIF(I2392,"28*")&gt;0,COUNTIF(J2392,"*28*")&gt;0,COUNTIF(I2392,"29*")&gt;0,COUNTIF(J2392,"*29*")&gt;0,COUNTIF(I2392,"30*")&gt;0,COUNTIF(J2392,"*30*")&gt;0,COUNTIF(I2392,"31*")&gt;0,COUNTIF(J2392,"*31*")&gt;0,COUNTIF(I2392,"32*")&gt;0,COUNTIF(J2392,"*32*")&gt;0,COUNTIF(I2392,"33*")&gt;0,COUNTIF(J2392,"*33*")&gt;0,COUNTIF(I2392,"41*")&gt;0,COUNTIF(J2392,"*41*")&gt;0,COUNTIF(I2392,"42*")&gt;0,COUNTIF(J2392,"*42*")&gt;0,COUNTIF(I2392,"43*")&gt;0,COUNTIF(J2392,"*43*")&gt;0,COUNTIF(I2392,"49*")&gt;0,COUNTIF(J2392,"*49*")&gt;0,COUNTIF(I2392,"52*")&gt;0,COUNTIF(J2392,"*52*")&gt;0,COUNTIF(I2392,"55*")&gt;0,COUNTIF(J2392,"*55*")&gt;0,COUNTIF(I2392,"56*")&gt;0,COUNTIF(J2392,"*56*")&gt;0,COUNTIF(I2392,"68*")&gt;0,COUNTIF(J2392,"*68*")&gt;0,COUNTIF(I2392,"78*")&gt;0,COUNTIF(J2392,"*78*")&gt;0,COUNTIF(I2392,"81*")&gt;0,COUNTIF(J2392,"*81*")&gt;0,COUNTIF(I2392,"82*")&gt;0,COUNTIF(J2392,"*82*")&gt;0,COUNTIF(I2392,"64*")&gt;0,COUNTIF(J2392,"*64*")&gt;0,COUNTIF(I2392,"65*")&gt;0,COUNTIF(J2392,"*65*")&gt;0,COUNTIF(I2392,"66*")&gt;0,COUNTIF(J2392,"*66*")&gt;0,COUNTIF(I2392,"61*")&gt;0,COUNTIF(J2392,"*61*")&gt;0,COUNTIF(I2392,"62*")&gt;0,COUNTIF(J2392,"*62*")&gt;0,COUNTIF(I2392,"63*")&gt;0,COUNTIF(J2392,"*63*")&gt;0,COUNTIF(I2392,"85*")&gt;0,COUNTIF(J2392,"*85*")&gt;0,COUNTIF(I2392,"86*")&gt;0,COUNTIF(J2392,"*86*")&gt;0),"Да","Нет"))</f>
        <v/>
      </c>
      <c r="M2392" s="13">
        <f>IF(OR(G2392="",L2392&lt;&gt;"Да"),"",IF(G2392&lt;=100,"До 100",IF(G2392&lt;=200,"До 200",IF(G2392&lt;=500,"До 500","Отдельное КП"))))</f>
        <v/>
      </c>
      <c r="N2392" s="15">
        <f>IF(OR(G2392="",L2392&lt;&gt;"Да"),"",IF(G2392&lt;=100,33600,IF(G2392&lt;=200,62400,IF(G2392&lt;=500,144000,""))))</f>
        <v/>
      </c>
      <c r="O2392" s="16">
        <f>IF(G2392="","",IF(G2392&lt;=15,"1–15",IF(G2392&lt;=30,"16–30",IF(G2392&lt;=50,"31–50",IF(G2392&lt;=100,"51–100",IF(G2392&lt;=150,"101–150",IF(G2392&lt;=200,"151–200",IF(G2392&lt;=500,"201–500","500+"))))))))</f>
        <v/>
      </c>
      <c r="P2392" s="16" t="inlineStr">
        <is>
          <t>Нет совпадения в предоставленной выгрузке ССЧР</t>
        </is>
      </c>
      <c r="Q2392" s="16" t="n"/>
      <c r="R2392" s="16">
        <f>HYPERLINK("https://checko.ru/search?query=3801001629","Чекко: проверить")</f>
        <v/>
      </c>
      <c r="S2392" t="n">
        <v>0</v>
      </c>
    </row>
    <row r="2393" ht="15" customHeight="1" s="24">
      <c r="A2393" s="13" t="n">
        <v>5000094937</v>
      </c>
      <c r="B2393" s="13" t="inlineStr">
        <is>
          <t>МКУК "ДОМ КУЛЬТУРЫ С.П.ЛАШКУТА"</t>
        </is>
      </c>
      <c r="C2393" s="13" t="n">
        <v>710006600</v>
      </c>
      <c r="D2393" s="13" t="n"/>
      <c r="E2393" s="13" t="inlineStr">
        <is>
          <t>Не определён</t>
        </is>
      </c>
      <c r="F2393" s="13" t="inlineStr">
        <is>
          <t>710006600</t>
        </is>
      </c>
      <c r="G2393" s="14" t="n"/>
      <c r="H2393" s="14" t="n"/>
      <c r="I2393" s="14" t="n"/>
      <c r="J2393" s="14" t="n"/>
      <c r="K2393" s="13">
        <f>IF(G2393="","",IF(G2393&gt;=22,"Да","Нет"))</f>
        <v/>
      </c>
      <c r="L2393" s="13">
        <f>IF(OR(I2393="",J2393=""),"Не определено",IF(OR(COUNTIF(I2393,"45*")&gt;0,COUNTIF(J2393,"*45*")&gt;0,COUNTIF(I2393,"46*")&gt;0,COUNTIF(J2393,"*46*")&gt;0,COUNTIF(I2393,"47*")&gt;0,COUNTIF(J2393,"*47*")&gt;0,COUNTIF(I2393,"10*")&gt;0,COUNTIF(J2393,"*10*")&gt;0,COUNTIF(I2393,"11*")&gt;0,COUNTIF(J2393,"*11*")&gt;0,COUNTIF(I2393,"12*")&gt;0,COUNTIF(J2393,"*12*")&gt;0,COUNTIF(I2393,"13*")&gt;0,COUNTIF(J2393,"*13*")&gt;0,COUNTIF(I2393,"14*")&gt;0,COUNTIF(J2393,"*14*")&gt;0,COUNTIF(I2393,"15*")&gt;0,COUNTIF(J2393,"*15*")&gt;0,COUNTIF(I2393,"16*")&gt;0,COUNTIF(J2393,"*16*")&gt;0,COUNTIF(I2393,"17*")&gt;0,COUNTIF(J2393,"*17*")&gt;0,COUNTIF(I2393,"18*")&gt;0,COUNTIF(J2393,"*18*")&gt;0,COUNTIF(I2393,"19*")&gt;0,COUNTIF(J2393,"*19*")&gt;0,COUNTIF(I2393,"20*")&gt;0,COUNTIF(J2393,"*20*")&gt;0,COUNTIF(I2393,"21*")&gt;0,COUNTIF(J2393,"*21*")&gt;0,COUNTIF(I2393,"22*")&gt;0,COUNTIF(J2393,"*22*")&gt;0,COUNTIF(I2393,"23*")&gt;0,COUNTIF(J2393,"*23*")&gt;0,COUNTIF(I2393,"24*")&gt;0,COUNTIF(J2393,"*24*")&gt;0,COUNTIF(I2393,"25*")&gt;0,COUNTIF(J2393,"*25*")&gt;0,COUNTIF(I2393,"26*")&gt;0,COUNTIF(J2393,"*26*")&gt;0,COUNTIF(I2393,"27*")&gt;0,COUNTIF(J2393,"*27*")&gt;0,COUNTIF(I2393,"28*")&gt;0,COUNTIF(J2393,"*28*")&gt;0,COUNTIF(I2393,"29*")&gt;0,COUNTIF(J2393,"*29*")&gt;0,COUNTIF(I2393,"30*")&gt;0,COUNTIF(J2393,"*30*")&gt;0,COUNTIF(I2393,"31*")&gt;0,COUNTIF(J2393,"*31*")&gt;0,COUNTIF(I2393,"32*")&gt;0,COUNTIF(J2393,"*32*")&gt;0,COUNTIF(I2393,"33*")&gt;0,COUNTIF(J2393,"*33*")&gt;0,COUNTIF(I2393,"41*")&gt;0,COUNTIF(J2393,"*41*")&gt;0,COUNTIF(I2393,"42*")&gt;0,COUNTIF(J2393,"*42*")&gt;0,COUNTIF(I2393,"43*")&gt;0,COUNTIF(J2393,"*43*")&gt;0,COUNTIF(I2393,"49*")&gt;0,COUNTIF(J2393,"*49*")&gt;0,COUNTIF(I2393,"52*")&gt;0,COUNTIF(J2393,"*52*")&gt;0,COUNTIF(I2393,"55*")&gt;0,COUNTIF(J2393,"*55*")&gt;0,COUNTIF(I2393,"56*")&gt;0,COUNTIF(J2393,"*56*")&gt;0,COUNTIF(I2393,"68*")&gt;0,COUNTIF(J2393,"*68*")&gt;0,COUNTIF(I2393,"78*")&gt;0,COUNTIF(J2393,"*78*")&gt;0,COUNTIF(I2393,"81*")&gt;0,COUNTIF(J2393,"*81*")&gt;0,COUNTIF(I2393,"82*")&gt;0,COUNTIF(J2393,"*82*")&gt;0,COUNTIF(I2393,"64*")&gt;0,COUNTIF(J2393,"*64*")&gt;0,COUNTIF(I2393,"65*")&gt;0,COUNTIF(J2393,"*65*")&gt;0,COUNTIF(I2393,"66*")&gt;0,COUNTIF(J2393,"*66*")&gt;0,COUNTIF(I2393,"61*")&gt;0,COUNTIF(J2393,"*61*")&gt;0,COUNTIF(I2393,"62*")&gt;0,COUNTIF(J2393,"*62*")&gt;0,COUNTIF(I2393,"63*")&gt;0,COUNTIF(J2393,"*63*")&gt;0,COUNTIF(I2393,"85*")&gt;0,COUNTIF(J2393,"*85*")&gt;0,COUNTIF(I2393,"86*")&gt;0,COUNTIF(J2393,"*86*")&gt;0),"Да","Нет"))</f>
        <v/>
      </c>
      <c r="M2393" s="13">
        <f>IF(OR(G2393="",L2393&lt;&gt;"Да"),"",IF(G2393&lt;=100,"До 100",IF(G2393&lt;=200,"До 200",IF(G2393&lt;=500,"До 500","Отдельное КП"))))</f>
        <v/>
      </c>
      <c r="N2393" s="15">
        <f>IF(OR(G2393="",L2393&lt;&gt;"Да"),"",IF(G2393&lt;=100,33600,IF(G2393&lt;=200,62400,IF(G2393&lt;=500,144000,""))))</f>
        <v/>
      </c>
      <c r="O2393" s="16">
        <f>IF(G2393="","",IF(G2393&lt;=15,"1–15",IF(G2393&lt;=30,"16–30",IF(G2393&lt;=50,"31–50",IF(G2393&lt;=100,"51–100",IF(G2393&lt;=150,"101–150",IF(G2393&lt;=200,"151–200",IF(G2393&lt;=500,"201–500","500+"))))))))</f>
        <v/>
      </c>
      <c r="P2393" s="16" t="inlineStr">
        <is>
          <t>Нет совпадения в предоставленной выгрузке ССЧР</t>
        </is>
      </c>
      <c r="Q2393" s="16" t="n"/>
      <c r="R2393" s="16">
        <f>HYPERLINK("https://checko.ru/search?query=3801001629","Чекко: проверить")</f>
        <v/>
      </c>
      <c r="S2393" t="n">
        <v>0</v>
      </c>
    </row>
    <row r="2394" ht="15" customHeight="1" s="24">
      <c r="A2394" s="13" t="n">
        <v>5000094938</v>
      </c>
      <c r="B2394" s="13" t="inlineStr">
        <is>
          <t>МКУ "ЕДДС" ЭМР</t>
        </is>
      </c>
      <c r="C2394" s="13" t="n">
        <v>710006617</v>
      </c>
      <c r="D2394" s="13" t="n"/>
      <c r="E2394" s="13" t="inlineStr">
        <is>
          <t>Не определён</t>
        </is>
      </c>
      <c r="F2394" s="13" t="inlineStr">
        <is>
          <t>710006617</t>
        </is>
      </c>
      <c r="G2394" s="14" t="n"/>
      <c r="H2394" s="14" t="n"/>
      <c r="I2394" s="14" t="n"/>
      <c r="J2394" s="14" t="n"/>
      <c r="K2394" s="13">
        <f>IF(G2394="","",IF(G2394&gt;=22,"Да","Нет"))</f>
        <v/>
      </c>
      <c r="L2394" s="13">
        <f>IF(OR(I2394="",J2394=""),"Не определено",IF(OR(COUNTIF(I2394,"45*")&gt;0,COUNTIF(J2394,"*45*")&gt;0,COUNTIF(I2394,"46*")&gt;0,COUNTIF(J2394,"*46*")&gt;0,COUNTIF(I2394,"47*")&gt;0,COUNTIF(J2394,"*47*")&gt;0,COUNTIF(I2394,"10*")&gt;0,COUNTIF(J2394,"*10*")&gt;0,COUNTIF(I2394,"11*")&gt;0,COUNTIF(J2394,"*11*")&gt;0,COUNTIF(I2394,"12*")&gt;0,COUNTIF(J2394,"*12*")&gt;0,COUNTIF(I2394,"13*")&gt;0,COUNTIF(J2394,"*13*")&gt;0,COUNTIF(I2394,"14*")&gt;0,COUNTIF(J2394,"*14*")&gt;0,COUNTIF(I2394,"15*")&gt;0,COUNTIF(J2394,"*15*")&gt;0,COUNTIF(I2394,"16*")&gt;0,COUNTIF(J2394,"*16*")&gt;0,COUNTIF(I2394,"17*")&gt;0,COUNTIF(J2394,"*17*")&gt;0,COUNTIF(I2394,"18*")&gt;0,COUNTIF(J2394,"*18*")&gt;0,COUNTIF(I2394,"19*")&gt;0,COUNTIF(J2394,"*19*")&gt;0,COUNTIF(I2394,"20*")&gt;0,COUNTIF(J2394,"*20*")&gt;0,COUNTIF(I2394,"21*")&gt;0,COUNTIF(J2394,"*21*")&gt;0,COUNTIF(I2394,"22*")&gt;0,COUNTIF(J2394,"*22*")&gt;0,COUNTIF(I2394,"23*")&gt;0,COUNTIF(J2394,"*23*")&gt;0,COUNTIF(I2394,"24*")&gt;0,COUNTIF(J2394,"*24*")&gt;0,COUNTIF(I2394,"25*")&gt;0,COUNTIF(J2394,"*25*")&gt;0,COUNTIF(I2394,"26*")&gt;0,COUNTIF(J2394,"*26*")&gt;0,COUNTIF(I2394,"27*")&gt;0,COUNTIF(J2394,"*27*")&gt;0,COUNTIF(I2394,"28*")&gt;0,COUNTIF(J2394,"*28*")&gt;0,COUNTIF(I2394,"29*")&gt;0,COUNTIF(J2394,"*29*")&gt;0,COUNTIF(I2394,"30*")&gt;0,COUNTIF(J2394,"*30*")&gt;0,COUNTIF(I2394,"31*")&gt;0,COUNTIF(J2394,"*31*")&gt;0,COUNTIF(I2394,"32*")&gt;0,COUNTIF(J2394,"*32*")&gt;0,COUNTIF(I2394,"33*")&gt;0,COUNTIF(J2394,"*33*")&gt;0,COUNTIF(I2394,"41*")&gt;0,COUNTIF(J2394,"*41*")&gt;0,COUNTIF(I2394,"42*")&gt;0,COUNTIF(J2394,"*42*")&gt;0,COUNTIF(I2394,"43*")&gt;0,COUNTIF(J2394,"*43*")&gt;0,COUNTIF(I2394,"49*")&gt;0,COUNTIF(J2394,"*49*")&gt;0,COUNTIF(I2394,"52*")&gt;0,COUNTIF(J2394,"*52*")&gt;0,COUNTIF(I2394,"55*")&gt;0,COUNTIF(J2394,"*55*")&gt;0,COUNTIF(I2394,"56*")&gt;0,COUNTIF(J2394,"*56*")&gt;0,COUNTIF(I2394,"68*")&gt;0,COUNTIF(J2394,"*68*")&gt;0,COUNTIF(I2394,"78*")&gt;0,COUNTIF(J2394,"*78*")&gt;0,COUNTIF(I2394,"81*")&gt;0,COUNTIF(J2394,"*81*")&gt;0,COUNTIF(I2394,"82*")&gt;0,COUNTIF(J2394,"*82*")&gt;0,COUNTIF(I2394,"64*")&gt;0,COUNTIF(J2394,"*64*")&gt;0,COUNTIF(I2394,"65*")&gt;0,COUNTIF(J2394,"*65*")&gt;0,COUNTIF(I2394,"66*")&gt;0,COUNTIF(J2394,"*66*")&gt;0,COUNTIF(I2394,"61*")&gt;0,COUNTIF(J2394,"*61*")&gt;0,COUNTIF(I2394,"62*")&gt;0,COUNTIF(J2394,"*62*")&gt;0,COUNTIF(I2394,"63*")&gt;0,COUNTIF(J2394,"*63*")&gt;0,COUNTIF(I2394,"85*")&gt;0,COUNTIF(J2394,"*85*")&gt;0,COUNTIF(I2394,"86*")&gt;0,COUNTIF(J2394,"*86*")&gt;0),"Да","Нет"))</f>
        <v/>
      </c>
      <c r="M2394" s="13">
        <f>IF(OR(G2394="",L2394&lt;&gt;"Да"),"",IF(G2394&lt;=100,"До 100",IF(G2394&lt;=200,"До 200",IF(G2394&lt;=500,"До 500","Отдельное КП"))))</f>
        <v/>
      </c>
      <c r="N2394" s="15">
        <f>IF(OR(G2394="",L2394&lt;&gt;"Да"),"",IF(G2394&lt;=100,33600,IF(G2394&lt;=200,62400,IF(G2394&lt;=500,144000,""))))</f>
        <v/>
      </c>
      <c r="O2394" s="16">
        <f>IF(G2394="","",IF(G2394&lt;=15,"1–15",IF(G2394&lt;=30,"16–30",IF(G2394&lt;=50,"31–50",IF(G2394&lt;=100,"51–100",IF(G2394&lt;=150,"101–150",IF(G2394&lt;=200,"151–200",IF(G2394&lt;=500,"201–500","500+"))))))))</f>
        <v/>
      </c>
      <c r="P2394" s="16" t="inlineStr">
        <is>
          <t>Нет совпадения в предоставленной выгрузке ССЧР</t>
        </is>
      </c>
      <c r="Q2394" s="16" t="n"/>
      <c r="R2394" s="16">
        <f>HYPERLINK("https://checko.ru/search?query=3801001629","Чекко: проверить")</f>
        <v/>
      </c>
      <c r="S2394" t="n">
        <v>0</v>
      </c>
    </row>
    <row r="2395" ht="15" customHeight="1" s="24">
      <c r="A2395" s="13" t="n">
        <v>5000094939</v>
      </c>
      <c r="B2395" s="13" t="inlineStr">
        <is>
          <t>ГКУ КБР "СШ по горным лыжам и альпинизму"</t>
        </is>
      </c>
      <c r="C2395" s="13" t="n">
        <v>710006624</v>
      </c>
      <c r="D2395" s="13" t="n"/>
      <c r="E2395" s="13" t="inlineStr">
        <is>
          <t>Не определён</t>
        </is>
      </c>
      <c r="F2395" s="13" t="inlineStr">
        <is>
          <t>710006624</t>
        </is>
      </c>
      <c r="G2395" s="14" t="n"/>
      <c r="H2395" s="14" t="n"/>
      <c r="I2395" s="14" t="n"/>
      <c r="J2395" s="14" t="n"/>
      <c r="K2395" s="13">
        <f>IF(G2395="","",IF(G2395&gt;=22,"Да","Нет"))</f>
        <v/>
      </c>
      <c r="L2395" s="13">
        <f>IF(OR(I2395="",J2395=""),"Не определено",IF(OR(COUNTIF(I2395,"45*")&gt;0,COUNTIF(J2395,"*45*")&gt;0,COUNTIF(I2395,"46*")&gt;0,COUNTIF(J2395,"*46*")&gt;0,COUNTIF(I2395,"47*")&gt;0,COUNTIF(J2395,"*47*")&gt;0,COUNTIF(I2395,"10*")&gt;0,COUNTIF(J2395,"*10*")&gt;0,COUNTIF(I2395,"11*")&gt;0,COUNTIF(J2395,"*11*")&gt;0,COUNTIF(I2395,"12*")&gt;0,COUNTIF(J2395,"*12*")&gt;0,COUNTIF(I2395,"13*")&gt;0,COUNTIF(J2395,"*13*")&gt;0,COUNTIF(I2395,"14*")&gt;0,COUNTIF(J2395,"*14*")&gt;0,COUNTIF(I2395,"15*")&gt;0,COUNTIF(J2395,"*15*")&gt;0,COUNTIF(I2395,"16*")&gt;0,COUNTIF(J2395,"*16*")&gt;0,COUNTIF(I2395,"17*")&gt;0,COUNTIF(J2395,"*17*")&gt;0,COUNTIF(I2395,"18*")&gt;0,COUNTIF(J2395,"*18*")&gt;0,COUNTIF(I2395,"19*")&gt;0,COUNTIF(J2395,"*19*")&gt;0,COUNTIF(I2395,"20*")&gt;0,COUNTIF(J2395,"*20*")&gt;0,COUNTIF(I2395,"21*")&gt;0,COUNTIF(J2395,"*21*")&gt;0,COUNTIF(I2395,"22*")&gt;0,COUNTIF(J2395,"*22*")&gt;0,COUNTIF(I2395,"23*")&gt;0,COUNTIF(J2395,"*23*")&gt;0,COUNTIF(I2395,"24*")&gt;0,COUNTIF(J2395,"*24*")&gt;0,COUNTIF(I2395,"25*")&gt;0,COUNTIF(J2395,"*25*")&gt;0,COUNTIF(I2395,"26*")&gt;0,COUNTIF(J2395,"*26*")&gt;0,COUNTIF(I2395,"27*")&gt;0,COUNTIF(J2395,"*27*")&gt;0,COUNTIF(I2395,"28*")&gt;0,COUNTIF(J2395,"*28*")&gt;0,COUNTIF(I2395,"29*")&gt;0,COUNTIF(J2395,"*29*")&gt;0,COUNTIF(I2395,"30*")&gt;0,COUNTIF(J2395,"*30*")&gt;0,COUNTIF(I2395,"31*")&gt;0,COUNTIF(J2395,"*31*")&gt;0,COUNTIF(I2395,"32*")&gt;0,COUNTIF(J2395,"*32*")&gt;0,COUNTIF(I2395,"33*")&gt;0,COUNTIF(J2395,"*33*")&gt;0,COUNTIF(I2395,"41*")&gt;0,COUNTIF(J2395,"*41*")&gt;0,COUNTIF(I2395,"42*")&gt;0,COUNTIF(J2395,"*42*")&gt;0,COUNTIF(I2395,"43*")&gt;0,COUNTIF(J2395,"*43*")&gt;0,COUNTIF(I2395,"49*")&gt;0,COUNTIF(J2395,"*49*")&gt;0,COUNTIF(I2395,"52*")&gt;0,COUNTIF(J2395,"*52*")&gt;0,COUNTIF(I2395,"55*")&gt;0,COUNTIF(J2395,"*55*")&gt;0,COUNTIF(I2395,"56*")&gt;0,COUNTIF(J2395,"*56*")&gt;0,COUNTIF(I2395,"68*")&gt;0,COUNTIF(J2395,"*68*")&gt;0,COUNTIF(I2395,"78*")&gt;0,COUNTIF(J2395,"*78*")&gt;0,COUNTIF(I2395,"81*")&gt;0,COUNTIF(J2395,"*81*")&gt;0,COUNTIF(I2395,"82*")&gt;0,COUNTIF(J2395,"*82*")&gt;0,COUNTIF(I2395,"64*")&gt;0,COUNTIF(J2395,"*64*")&gt;0,COUNTIF(I2395,"65*")&gt;0,COUNTIF(J2395,"*65*")&gt;0,COUNTIF(I2395,"66*")&gt;0,COUNTIF(J2395,"*66*")&gt;0,COUNTIF(I2395,"61*")&gt;0,COUNTIF(J2395,"*61*")&gt;0,COUNTIF(I2395,"62*")&gt;0,COUNTIF(J2395,"*62*")&gt;0,COUNTIF(I2395,"63*")&gt;0,COUNTIF(J2395,"*63*")&gt;0,COUNTIF(I2395,"85*")&gt;0,COUNTIF(J2395,"*85*")&gt;0,COUNTIF(I2395,"86*")&gt;0,COUNTIF(J2395,"*86*")&gt;0),"Да","Нет"))</f>
        <v/>
      </c>
      <c r="M2395" s="13">
        <f>IF(OR(G2395="",L2395&lt;&gt;"Да"),"",IF(G2395&lt;=100,"До 100",IF(G2395&lt;=200,"До 200",IF(G2395&lt;=500,"До 500","Отдельное КП"))))</f>
        <v/>
      </c>
      <c r="N2395" s="15">
        <f>IF(OR(G2395="",L2395&lt;&gt;"Да"),"",IF(G2395&lt;=100,33600,IF(G2395&lt;=200,62400,IF(G2395&lt;=500,144000,""))))</f>
        <v/>
      </c>
      <c r="O2395" s="16">
        <f>IF(G2395="","",IF(G2395&lt;=15,"1–15",IF(G2395&lt;=30,"16–30",IF(G2395&lt;=50,"31–50",IF(G2395&lt;=100,"51–100",IF(G2395&lt;=150,"101–150",IF(G2395&lt;=200,"151–200",IF(G2395&lt;=500,"201–500","500+"))))))))</f>
        <v/>
      </c>
      <c r="P2395" s="16" t="inlineStr">
        <is>
          <t>Нет совпадения в предоставленной выгрузке ССЧР</t>
        </is>
      </c>
      <c r="Q2395" s="16" t="n"/>
      <c r="R2395" s="16">
        <f>HYPERLINK("https://checko.ru/search?query=3801001629","Чекко: проверить")</f>
        <v/>
      </c>
      <c r="S2395" t="n">
        <v>0</v>
      </c>
    </row>
    <row r="2396" ht="15" customHeight="1" s="24">
      <c r="A2396" s="13" t="n">
        <v>5000094940</v>
      </c>
      <c r="B2396" s="13" t="inlineStr">
        <is>
          <t>МКУК "ДОМ КУЛЬТУРЫ С.П. ЭЛЬБРУС"</t>
        </is>
      </c>
      <c r="C2396" s="13" t="n">
        <v>710006656</v>
      </c>
      <c r="D2396" s="13" t="n"/>
      <c r="E2396" s="13" t="inlineStr">
        <is>
          <t>Не определён</t>
        </is>
      </c>
      <c r="F2396" s="13" t="inlineStr">
        <is>
          <t>710006656</t>
        </is>
      </c>
      <c r="G2396" s="14" t="n"/>
      <c r="H2396" s="14" t="n"/>
      <c r="I2396" s="14" t="n"/>
      <c r="J2396" s="14" t="n"/>
      <c r="K2396" s="13">
        <f>IF(G2396="","",IF(G2396&gt;=22,"Да","Нет"))</f>
        <v/>
      </c>
      <c r="L2396" s="13">
        <f>IF(OR(I2396="",J2396=""),"Не определено",IF(OR(COUNTIF(I2396,"45*")&gt;0,COUNTIF(J2396,"*45*")&gt;0,COUNTIF(I2396,"46*")&gt;0,COUNTIF(J2396,"*46*")&gt;0,COUNTIF(I2396,"47*")&gt;0,COUNTIF(J2396,"*47*")&gt;0,COUNTIF(I2396,"10*")&gt;0,COUNTIF(J2396,"*10*")&gt;0,COUNTIF(I2396,"11*")&gt;0,COUNTIF(J2396,"*11*")&gt;0,COUNTIF(I2396,"12*")&gt;0,COUNTIF(J2396,"*12*")&gt;0,COUNTIF(I2396,"13*")&gt;0,COUNTIF(J2396,"*13*")&gt;0,COUNTIF(I2396,"14*")&gt;0,COUNTIF(J2396,"*14*")&gt;0,COUNTIF(I2396,"15*")&gt;0,COUNTIF(J2396,"*15*")&gt;0,COUNTIF(I2396,"16*")&gt;0,COUNTIF(J2396,"*16*")&gt;0,COUNTIF(I2396,"17*")&gt;0,COUNTIF(J2396,"*17*")&gt;0,COUNTIF(I2396,"18*")&gt;0,COUNTIF(J2396,"*18*")&gt;0,COUNTIF(I2396,"19*")&gt;0,COUNTIF(J2396,"*19*")&gt;0,COUNTIF(I2396,"20*")&gt;0,COUNTIF(J2396,"*20*")&gt;0,COUNTIF(I2396,"21*")&gt;0,COUNTIF(J2396,"*21*")&gt;0,COUNTIF(I2396,"22*")&gt;0,COUNTIF(J2396,"*22*")&gt;0,COUNTIF(I2396,"23*")&gt;0,COUNTIF(J2396,"*23*")&gt;0,COUNTIF(I2396,"24*")&gt;0,COUNTIF(J2396,"*24*")&gt;0,COUNTIF(I2396,"25*")&gt;0,COUNTIF(J2396,"*25*")&gt;0,COUNTIF(I2396,"26*")&gt;0,COUNTIF(J2396,"*26*")&gt;0,COUNTIF(I2396,"27*")&gt;0,COUNTIF(J2396,"*27*")&gt;0,COUNTIF(I2396,"28*")&gt;0,COUNTIF(J2396,"*28*")&gt;0,COUNTIF(I2396,"29*")&gt;0,COUNTIF(J2396,"*29*")&gt;0,COUNTIF(I2396,"30*")&gt;0,COUNTIF(J2396,"*30*")&gt;0,COUNTIF(I2396,"31*")&gt;0,COUNTIF(J2396,"*31*")&gt;0,COUNTIF(I2396,"32*")&gt;0,COUNTIF(J2396,"*32*")&gt;0,COUNTIF(I2396,"33*")&gt;0,COUNTIF(J2396,"*33*")&gt;0,COUNTIF(I2396,"41*")&gt;0,COUNTIF(J2396,"*41*")&gt;0,COUNTIF(I2396,"42*")&gt;0,COUNTIF(J2396,"*42*")&gt;0,COUNTIF(I2396,"43*")&gt;0,COUNTIF(J2396,"*43*")&gt;0,COUNTIF(I2396,"49*")&gt;0,COUNTIF(J2396,"*49*")&gt;0,COUNTIF(I2396,"52*")&gt;0,COUNTIF(J2396,"*52*")&gt;0,COUNTIF(I2396,"55*")&gt;0,COUNTIF(J2396,"*55*")&gt;0,COUNTIF(I2396,"56*")&gt;0,COUNTIF(J2396,"*56*")&gt;0,COUNTIF(I2396,"68*")&gt;0,COUNTIF(J2396,"*68*")&gt;0,COUNTIF(I2396,"78*")&gt;0,COUNTIF(J2396,"*78*")&gt;0,COUNTIF(I2396,"81*")&gt;0,COUNTIF(J2396,"*81*")&gt;0,COUNTIF(I2396,"82*")&gt;0,COUNTIF(J2396,"*82*")&gt;0,COUNTIF(I2396,"64*")&gt;0,COUNTIF(J2396,"*64*")&gt;0,COUNTIF(I2396,"65*")&gt;0,COUNTIF(J2396,"*65*")&gt;0,COUNTIF(I2396,"66*")&gt;0,COUNTIF(J2396,"*66*")&gt;0,COUNTIF(I2396,"61*")&gt;0,COUNTIF(J2396,"*61*")&gt;0,COUNTIF(I2396,"62*")&gt;0,COUNTIF(J2396,"*62*")&gt;0,COUNTIF(I2396,"63*")&gt;0,COUNTIF(J2396,"*63*")&gt;0,COUNTIF(I2396,"85*")&gt;0,COUNTIF(J2396,"*85*")&gt;0,COUNTIF(I2396,"86*")&gt;0,COUNTIF(J2396,"*86*")&gt;0),"Да","Нет"))</f>
        <v/>
      </c>
      <c r="M2396" s="13">
        <f>IF(OR(G2396="",L2396&lt;&gt;"Да"),"",IF(G2396&lt;=100,"До 100",IF(G2396&lt;=200,"До 200",IF(G2396&lt;=500,"До 500","Отдельное КП"))))</f>
        <v/>
      </c>
      <c r="N2396" s="15">
        <f>IF(OR(G2396="",L2396&lt;&gt;"Да"),"",IF(G2396&lt;=100,33600,IF(G2396&lt;=200,62400,IF(G2396&lt;=500,144000,""))))</f>
        <v/>
      </c>
      <c r="O2396" s="16">
        <f>IF(G2396="","",IF(G2396&lt;=15,"1–15",IF(G2396&lt;=30,"16–30",IF(G2396&lt;=50,"31–50",IF(G2396&lt;=100,"51–100",IF(G2396&lt;=150,"101–150",IF(G2396&lt;=200,"151–200",IF(G2396&lt;=500,"201–500","500+"))))))))</f>
        <v/>
      </c>
      <c r="P2396" s="16" t="inlineStr">
        <is>
          <t>Нет совпадения в предоставленной выгрузке ССЧР</t>
        </is>
      </c>
      <c r="Q2396" s="16" t="n"/>
      <c r="R2396" s="16">
        <f>HYPERLINK("https://checko.ru/search?query=3801001629","Чекко: проверить")</f>
        <v/>
      </c>
      <c r="S2396" t="n">
        <v>0</v>
      </c>
    </row>
    <row r="2397" ht="15" customHeight="1" s="24">
      <c r="A2397" s="13" t="n">
        <v>5000094941</v>
      </c>
      <c r="B2397" s="13" t="inlineStr">
        <is>
          <t>МКУ "СШОР"</t>
        </is>
      </c>
      <c r="C2397" s="13" t="n">
        <v>710006783</v>
      </c>
      <c r="D2397" s="13" t="n"/>
      <c r="E2397" s="13" t="inlineStr">
        <is>
          <t>Не определён</t>
        </is>
      </c>
      <c r="F2397" s="13" t="inlineStr">
        <is>
          <t>710006783</t>
        </is>
      </c>
      <c r="G2397" s="14" t="n"/>
      <c r="H2397" s="14" t="n"/>
      <c r="I2397" s="14" t="n"/>
      <c r="J2397" s="14" t="n"/>
      <c r="K2397" s="13">
        <f>IF(G2397="","",IF(G2397&gt;=22,"Да","Нет"))</f>
        <v/>
      </c>
      <c r="L2397" s="13">
        <f>IF(OR(I2397="",J2397=""),"Не определено",IF(OR(COUNTIF(I2397,"45*")&gt;0,COUNTIF(J2397,"*45*")&gt;0,COUNTIF(I2397,"46*")&gt;0,COUNTIF(J2397,"*46*")&gt;0,COUNTIF(I2397,"47*")&gt;0,COUNTIF(J2397,"*47*")&gt;0,COUNTIF(I2397,"10*")&gt;0,COUNTIF(J2397,"*10*")&gt;0,COUNTIF(I2397,"11*")&gt;0,COUNTIF(J2397,"*11*")&gt;0,COUNTIF(I2397,"12*")&gt;0,COUNTIF(J2397,"*12*")&gt;0,COUNTIF(I2397,"13*")&gt;0,COUNTIF(J2397,"*13*")&gt;0,COUNTIF(I2397,"14*")&gt;0,COUNTIF(J2397,"*14*")&gt;0,COUNTIF(I2397,"15*")&gt;0,COUNTIF(J2397,"*15*")&gt;0,COUNTIF(I2397,"16*")&gt;0,COUNTIF(J2397,"*16*")&gt;0,COUNTIF(I2397,"17*")&gt;0,COUNTIF(J2397,"*17*")&gt;0,COUNTIF(I2397,"18*")&gt;0,COUNTIF(J2397,"*18*")&gt;0,COUNTIF(I2397,"19*")&gt;0,COUNTIF(J2397,"*19*")&gt;0,COUNTIF(I2397,"20*")&gt;0,COUNTIF(J2397,"*20*")&gt;0,COUNTIF(I2397,"21*")&gt;0,COUNTIF(J2397,"*21*")&gt;0,COUNTIF(I2397,"22*")&gt;0,COUNTIF(J2397,"*22*")&gt;0,COUNTIF(I2397,"23*")&gt;0,COUNTIF(J2397,"*23*")&gt;0,COUNTIF(I2397,"24*")&gt;0,COUNTIF(J2397,"*24*")&gt;0,COUNTIF(I2397,"25*")&gt;0,COUNTIF(J2397,"*25*")&gt;0,COUNTIF(I2397,"26*")&gt;0,COUNTIF(J2397,"*26*")&gt;0,COUNTIF(I2397,"27*")&gt;0,COUNTIF(J2397,"*27*")&gt;0,COUNTIF(I2397,"28*")&gt;0,COUNTIF(J2397,"*28*")&gt;0,COUNTIF(I2397,"29*")&gt;0,COUNTIF(J2397,"*29*")&gt;0,COUNTIF(I2397,"30*")&gt;0,COUNTIF(J2397,"*30*")&gt;0,COUNTIF(I2397,"31*")&gt;0,COUNTIF(J2397,"*31*")&gt;0,COUNTIF(I2397,"32*")&gt;0,COUNTIF(J2397,"*32*")&gt;0,COUNTIF(I2397,"33*")&gt;0,COUNTIF(J2397,"*33*")&gt;0,COUNTIF(I2397,"41*")&gt;0,COUNTIF(J2397,"*41*")&gt;0,COUNTIF(I2397,"42*")&gt;0,COUNTIF(J2397,"*42*")&gt;0,COUNTIF(I2397,"43*")&gt;0,COUNTIF(J2397,"*43*")&gt;0,COUNTIF(I2397,"49*")&gt;0,COUNTIF(J2397,"*49*")&gt;0,COUNTIF(I2397,"52*")&gt;0,COUNTIF(J2397,"*52*")&gt;0,COUNTIF(I2397,"55*")&gt;0,COUNTIF(J2397,"*55*")&gt;0,COUNTIF(I2397,"56*")&gt;0,COUNTIF(J2397,"*56*")&gt;0,COUNTIF(I2397,"68*")&gt;0,COUNTIF(J2397,"*68*")&gt;0,COUNTIF(I2397,"78*")&gt;0,COUNTIF(J2397,"*78*")&gt;0,COUNTIF(I2397,"81*")&gt;0,COUNTIF(J2397,"*81*")&gt;0,COUNTIF(I2397,"82*")&gt;0,COUNTIF(J2397,"*82*")&gt;0,COUNTIF(I2397,"64*")&gt;0,COUNTIF(J2397,"*64*")&gt;0,COUNTIF(I2397,"65*")&gt;0,COUNTIF(J2397,"*65*")&gt;0,COUNTIF(I2397,"66*")&gt;0,COUNTIF(J2397,"*66*")&gt;0,COUNTIF(I2397,"61*")&gt;0,COUNTIF(J2397,"*61*")&gt;0,COUNTIF(I2397,"62*")&gt;0,COUNTIF(J2397,"*62*")&gt;0,COUNTIF(I2397,"63*")&gt;0,COUNTIF(J2397,"*63*")&gt;0,COUNTIF(I2397,"85*")&gt;0,COUNTIF(J2397,"*85*")&gt;0,COUNTIF(I2397,"86*")&gt;0,COUNTIF(J2397,"*86*")&gt;0),"Да","Нет"))</f>
        <v/>
      </c>
      <c r="M2397" s="13">
        <f>IF(OR(G2397="",L2397&lt;&gt;"Да"),"",IF(G2397&lt;=100,"До 100",IF(G2397&lt;=200,"До 200",IF(G2397&lt;=500,"До 500","Отдельное КП"))))</f>
        <v/>
      </c>
      <c r="N2397" s="15">
        <f>IF(OR(G2397="",L2397&lt;&gt;"Да"),"",IF(G2397&lt;=100,33600,IF(G2397&lt;=200,62400,IF(G2397&lt;=500,144000,""))))</f>
        <v/>
      </c>
      <c r="O2397" s="16">
        <f>IF(G2397="","",IF(G2397&lt;=15,"1–15",IF(G2397&lt;=30,"16–30",IF(G2397&lt;=50,"31–50",IF(G2397&lt;=100,"51–100",IF(G2397&lt;=150,"101–150",IF(G2397&lt;=200,"151–200",IF(G2397&lt;=500,"201–500","500+"))))))))</f>
        <v/>
      </c>
      <c r="P2397" s="16" t="inlineStr">
        <is>
          <t>Нет совпадения в предоставленной выгрузке ССЧР</t>
        </is>
      </c>
      <c r="Q2397" s="16" t="n"/>
      <c r="R2397" s="16">
        <f>HYPERLINK("https://checko.ru/search?query=3801001629","Чекко: проверить")</f>
        <v/>
      </c>
      <c r="S2397" t="n">
        <v>0</v>
      </c>
    </row>
    <row r="2398" ht="15" customHeight="1" s="24">
      <c r="A2398" s="13" t="n">
        <v>5000094942</v>
      </c>
      <c r="B2398" s="13" t="inlineStr">
        <is>
          <t>МОУ СОШ №1 им. А.Ж.Доттуева с.п.Кёнделен</t>
        </is>
      </c>
      <c r="C2398" s="13" t="n">
        <v>710054723</v>
      </c>
      <c r="D2398" s="13" t="n"/>
      <c r="E2398" s="13" t="inlineStr">
        <is>
          <t>Не определён</t>
        </is>
      </c>
      <c r="F2398" s="13" t="inlineStr">
        <is>
          <t>710054723</t>
        </is>
      </c>
      <c r="G2398" s="14" t="n"/>
      <c r="H2398" s="14" t="n"/>
      <c r="I2398" s="14" t="n"/>
      <c r="J2398" s="14" t="n"/>
      <c r="K2398" s="13">
        <f>IF(G2398="","",IF(G2398&gt;=22,"Да","Нет"))</f>
        <v/>
      </c>
      <c r="L2398" s="13">
        <f>IF(OR(I2398="",J2398=""),"Не определено",IF(OR(COUNTIF(I2398,"45*")&gt;0,COUNTIF(J2398,"*45*")&gt;0,COUNTIF(I2398,"46*")&gt;0,COUNTIF(J2398,"*46*")&gt;0,COUNTIF(I2398,"47*")&gt;0,COUNTIF(J2398,"*47*")&gt;0,COUNTIF(I2398,"10*")&gt;0,COUNTIF(J2398,"*10*")&gt;0,COUNTIF(I2398,"11*")&gt;0,COUNTIF(J2398,"*11*")&gt;0,COUNTIF(I2398,"12*")&gt;0,COUNTIF(J2398,"*12*")&gt;0,COUNTIF(I2398,"13*")&gt;0,COUNTIF(J2398,"*13*")&gt;0,COUNTIF(I2398,"14*")&gt;0,COUNTIF(J2398,"*14*")&gt;0,COUNTIF(I2398,"15*")&gt;0,COUNTIF(J2398,"*15*")&gt;0,COUNTIF(I2398,"16*")&gt;0,COUNTIF(J2398,"*16*")&gt;0,COUNTIF(I2398,"17*")&gt;0,COUNTIF(J2398,"*17*")&gt;0,COUNTIF(I2398,"18*")&gt;0,COUNTIF(J2398,"*18*")&gt;0,COUNTIF(I2398,"19*")&gt;0,COUNTIF(J2398,"*19*")&gt;0,COUNTIF(I2398,"20*")&gt;0,COUNTIF(J2398,"*20*")&gt;0,COUNTIF(I2398,"21*")&gt;0,COUNTIF(J2398,"*21*")&gt;0,COUNTIF(I2398,"22*")&gt;0,COUNTIF(J2398,"*22*")&gt;0,COUNTIF(I2398,"23*")&gt;0,COUNTIF(J2398,"*23*")&gt;0,COUNTIF(I2398,"24*")&gt;0,COUNTIF(J2398,"*24*")&gt;0,COUNTIF(I2398,"25*")&gt;0,COUNTIF(J2398,"*25*")&gt;0,COUNTIF(I2398,"26*")&gt;0,COUNTIF(J2398,"*26*")&gt;0,COUNTIF(I2398,"27*")&gt;0,COUNTIF(J2398,"*27*")&gt;0,COUNTIF(I2398,"28*")&gt;0,COUNTIF(J2398,"*28*")&gt;0,COUNTIF(I2398,"29*")&gt;0,COUNTIF(J2398,"*29*")&gt;0,COUNTIF(I2398,"30*")&gt;0,COUNTIF(J2398,"*30*")&gt;0,COUNTIF(I2398,"31*")&gt;0,COUNTIF(J2398,"*31*")&gt;0,COUNTIF(I2398,"32*")&gt;0,COUNTIF(J2398,"*32*")&gt;0,COUNTIF(I2398,"33*")&gt;0,COUNTIF(J2398,"*33*")&gt;0,COUNTIF(I2398,"41*")&gt;0,COUNTIF(J2398,"*41*")&gt;0,COUNTIF(I2398,"42*")&gt;0,COUNTIF(J2398,"*42*")&gt;0,COUNTIF(I2398,"43*")&gt;0,COUNTIF(J2398,"*43*")&gt;0,COUNTIF(I2398,"49*")&gt;0,COUNTIF(J2398,"*49*")&gt;0,COUNTIF(I2398,"52*")&gt;0,COUNTIF(J2398,"*52*")&gt;0,COUNTIF(I2398,"55*")&gt;0,COUNTIF(J2398,"*55*")&gt;0,COUNTIF(I2398,"56*")&gt;0,COUNTIF(J2398,"*56*")&gt;0,COUNTIF(I2398,"68*")&gt;0,COUNTIF(J2398,"*68*")&gt;0,COUNTIF(I2398,"78*")&gt;0,COUNTIF(J2398,"*78*")&gt;0,COUNTIF(I2398,"81*")&gt;0,COUNTIF(J2398,"*81*")&gt;0,COUNTIF(I2398,"82*")&gt;0,COUNTIF(J2398,"*82*")&gt;0,COUNTIF(I2398,"64*")&gt;0,COUNTIF(J2398,"*64*")&gt;0,COUNTIF(I2398,"65*")&gt;0,COUNTIF(J2398,"*65*")&gt;0,COUNTIF(I2398,"66*")&gt;0,COUNTIF(J2398,"*66*")&gt;0,COUNTIF(I2398,"61*")&gt;0,COUNTIF(J2398,"*61*")&gt;0,COUNTIF(I2398,"62*")&gt;0,COUNTIF(J2398,"*62*")&gt;0,COUNTIF(I2398,"63*")&gt;0,COUNTIF(J2398,"*63*")&gt;0,COUNTIF(I2398,"85*")&gt;0,COUNTIF(J2398,"*85*")&gt;0,COUNTIF(I2398,"86*")&gt;0,COUNTIF(J2398,"*86*")&gt;0),"Да","Нет"))</f>
        <v/>
      </c>
      <c r="M2398" s="13">
        <f>IF(OR(G2398="",L2398&lt;&gt;"Да"),"",IF(G2398&lt;=100,"До 100",IF(G2398&lt;=200,"До 200",IF(G2398&lt;=500,"До 500","Отдельное КП"))))</f>
        <v/>
      </c>
      <c r="N2398" s="15">
        <f>IF(OR(G2398="",L2398&lt;&gt;"Да"),"",IF(G2398&lt;=100,33600,IF(G2398&lt;=200,62400,IF(G2398&lt;=500,144000,""))))</f>
        <v/>
      </c>
      <c r="O2398" s="16">
        <f>IF(G2398="","",IF(G2398&lt;=15,"1–15",IF(G2398&lt;=30,"16–30",IF(G2398&lt;=50,"31–50",IF(G2398&lt;=100,"51–100",IF(G2398&lt;=150,"101–150",IF(G2398&lt;=200,"151–200",IF(G2398&lt;=500,"201–500","500+"))))))))</f>
        <v/>
      </c>
      <c r="P2398" s="16" t="inlineStr">
        <is>
          <t>Нет совпадения в предоставленной выгрузке ССЧР</t>
        </is>
      </c>
      <c r="Q2398" s="16" t="n"/>
      <c r="R2398" s="16">
        <f>HYPERLINK("https://checko.ru/search?query=3801001629","Чекко: проверить")</f>
        <v/>
      </c>
      <c r="S2398" t="n">
        <v>0</v>
      </c>
    </row>
    <row r="2399" ht="15" customHeight="1" s="24">
      <c r="A2399" s="13" t="n">
        <v>5000094943</v>
      </c>
      <c r="B2399" s="13" t="inlineStr">
        <is>
          <t>МОУ "Гимназия №5"</t>
        </is>
      </c>
      <c r="C2399" s="13" t="n">
        <v>710054787</v>
      </c>
      <c r="D2399" s="13" t="n"/>
      <c r="E2399" s="13" t="inlineStr">
        <is>
          <t>Не определён</t>
        </is>
      </c>
      <c r="F2399" s="13" t="inlineStr">
        <is>
          <t>710054787</t>
        </is>
      </c>
      <c r="G2399" s="14" t="n"/>
      <c r="H2399" s="14" t="n"/>
      <c r="I2399" s="14" t="n"/>
      <c r="J2399" s="14" t="n"/>
      <c r="K2399" s="13">
        <f>IF(G2399="","",IF(G2399&gt;=22,"Да","Нет"))</f>
        <v/>
      </c>
      <c r="L2399" s="13">
        <f>IF(OR(I2399="",J2399=""),"Не определено",IF(OR(COUNTIF(I2399,"45*")&gt;0,COUNTIF(J2399,"*45*")&gt;0,COUNTIF(I2399,"46*")&gt;0,COUNTIF(J2399,"*46*")&gt;0,COUNTIF(I2399,"47*")&gt;0,COUNTIF(J2399,"*47*")&gt;0,COUNTIF(I2399,"10*")&gt;0,COUNTIF(J2399,"*10*")&gt;0,COUNTIF(I2399,"11*")&gt;0,COUNTIF(J2399,"*11*")&gt;0,COUNTIF(I2399,"12*")&gt;0,COUNTIF(J2399,"*12*")&gt;0,COUNTIF(I2399,"13*")&gt;0,COUNTIF(J2399,"*13*")&gt;0,COUNTIF(I2399,"14*")&gt;0,COUNTIF(J2399,"*14*")&gt;0,COUNTIF(I2399,"15*")&gt;0,COUNTIF(J2399,"*15*")&gt;0,COUNTIF(I2399,"16*")&gt;0,COUNTIF(J2399,"*16*")&gt;0,COUNTIF(I2399,"17*")&gt;0,COUNTIF(J2399,"*17*")&gt;0,COUNTIF(I2399,"18*")&gt;0,COUNTIF(J2399,"*18*")&gt;0,COUNTIF(I2399,"19*")&gt;0,COUNTIF(J2399,"*19*")&gt;0,COUNTIF(I2399,"20*")&gt;0,COUNTIF(J2399,"*20*")&gt;0,COUNTIF(I2399,"21*")&gt;0,COUNTIF(J2399,"*21*")&gt;0,COUNTIF(I2399,"22*")&gt;0,COUNTIF(J2399,"*22*")&gt;0,COUNTIF(I2399,"23*")&gt;0,COUNTIF(J2399,"*23*")&gt;0,COUNTIF(I2399,"24*")&gt;0,COUNTIF(J2399,"*24*")&gt;0,COUNTIF(I2399,"25*")&gt;0,COUNTIF(J2399,"*25*")&gt;0,COUNTIF(I2399,"26*")&gt;0,COUNTIF(J2399,"*26*")&gt;0,COUNTIF(I2399,"27*")&gt;0,COUNTIF(J2399,"*27*")&gt;0,COUNTIF(I2399,"28*")&gt;0,COUNTIF(J2399,"*28*")&gt;0,COUNTIF(I2399,"29*")&gt;0,COUNTIF(J2399,"*29*")&gt;0,COUNTIF(I2399,"30*")&gt;0,COUNTIF(J2399,"*30*")&gt;0,COUNTIF(I2399,"31*")&gt;0,COUNTIF(J2399,"*31*")&gt;0,COUNTIF(I2399,"32*")&gt;0,COUNTIF(J2399,"*32*")&gt;0,COUNTIF(I2399,"33*")&gt;0,COUNTIF(J2399,"*33*")&gt;0,COUNTIF(I2399,"41*")&gt;0,COUNTIF(J2399,"*41*")&gt;0,COUNTIF(I2399,"42*")&gt;0,COUNTIF(J2399,"*42*")&gt;0,COUNTIF(I2399,"43*")&gt;0,COUNTIF(J2399,"*43*")&gt;0,COUNTIF(I2399,"49*")&gt;0,COUNTIF(J2399,"*49*")&gt;0,COUNTIF(I2399,"52*")&gt;0,COUNTIF(J2399,"*52*")&gt;0,COUNTIF(I2399,"55*")&gt;0,COUNTIF(J2399,"*55*")&gt;0,COUNTIF(I2399,"56*")&gt;0,COUNTIF(J2399,"*56*")&gt;0,COUNTIF(I2399,"68*")&gt;0,COUNTIF(J2399,"*68*")&gt;0,COUNTIF(I2399,"78*")&gt;0,COUNTIF(J2399,"*78*")&gt;0,COUNTIF(I2399,"81*")&gt;0,COUNTIF(J2399,"*81*")&gt;0,COUNTIF(I2399,"82*")&gt;0,COUNTIF(J2399,"*82*")&gt;0,COUNTIF(I2399,"64*")&gt;0,COUNTIF(J2399,"*64*")&gt;0,COUNTIF(I2399,"65*")&gt;0,COUNTIF(J2399,"*65*")&gt;0,COUNTIF(I2399,"66*")&gt;0,COUNTIF(J2399,"*66*")&gt;0,COUNTIF(I2399,"61*")&gt;0,COUNTIF(J2399,"*61*")&gt;0,COUNTIF(I2399,"62*")&gt;0,COUNTIF(J2399,"*62*")&gt;0,COUNTIF(I2399,"63*")&gt;0,COUNTIF(J2399,"*63*")&gt;0,COUNTIF(I2399,"85*")&gt;0,COUNTIF(J2399,"*85*")&gt;0,COUNTIF(I2399,"86*")&gt;0,COUNTIF(J2399,"*86*")&gt;0),"Да","Нет"))</f>
        <v/>
      </c>
      <c r="M2399" s="13">
        <f>IF(OR(G2399="",L2399&lt;&gt;"Да"),"",IF(G2399&lt;=100,"До 100",IF(G2399&lt;=200,"До 200",IF(G2399&lt;=500,"До 500","Отдельное КП"))))</f>
        <v/>
      </c>
      <c r="N2399" s="15">
        <f>IF(OR(G2399="",L2399&lt;&gt;"Да"),"",IF(G2399&lt;=100,33600,IF(G2399&lt;=200,62400,IF(G2399&lt;=500,144000,""))))</f>
        <v/>
      </c>
      <c r="O2399" s="16">
        <f>IF(G2399="","",IF(G2399&lt;=15,"1–15",IF(G2399&lt;=30,"16–30",IF(G2399&lt;=50,"31–50",IF(G2399&lt;=100,"51–100",IF(G2399&lt;=150,"101–150",IF(G2399&lt;=200,"151–200",IF(G2399&lt;=500,"201–500","500+"))))))))</f>
        <v/>
      </c>
      <c r="P2399" s="16" t="inlineStr">
        <is>
          <t>Нет совпадения в предоставленной выгрузке ССЧР</t>
        </is>
      </c>
      <c r="Q2399" s="16" t="n"/>
      <c r="R2399" s="16">
        <f>HYPERLINK("https://checko.ru/search?query=3801001629","Чекко: проверить")</f>
        <v/>
      </c>
      <c r="S2399" t="n">
        <v>0</v>
      </c>
    </row>
    <row r="2400" ht="15" customHeight="1" s="24">
      <c r="A2400" s="13" t="n">
        <v>5000094944</v>
      </c>
      <c r="B2400" s="13" t="inlineStr">
        <is>
          <t>МБУ ДО "ЦРТД И Ю" ИМ. М.Х. МОКАЕВА"</t>
        </is>
      </c>
      <c r="C2400" s="13" t="n">
        <v>710054794</v>
      </c>
      <c r="D2400" s="13" t="n"/>
      <c r="E2400" s="13" t="inlineStr">
        <is>
          <t>Не определён</t>
        </is>
      </c>
      <c r="F2400" s="13" t="inlineStr">
        <is>
          <t>710054794</t>
        </is>
      </c>
      <c r="G2400" s="14" t="n"/>
      <c r="H2400" s="14" t="n"/>
      <c r="I2400" s="14" t="n"/>
      <c r="J2400" s="14" t="n"/>
      <c r="K2400" s="13">
        <f>IF(G2400="","",IF(G2400&gt;=22,"Да","Нет"))</f>
        <v/>
      </c>
      <c r="L2400" s="13">
        <f>IF(OR(I2400="",J2400=""),"Не определено",IF(OR(COUNTIF(I2400,"45*")&gt;0,COUNTIF(J2400,"*45*")&gt;0,COUNTIF(I2400,"46*")&gt;0,COUNTIF(J2400,"*46*")&gt;0,COUNTIF(I2400,"47*")&gt;0,COUNTIF(J2400,"*47*")&gt;0,COUNTIF(I2400,"10*")&gt;0,COUNTIF(J2400,"*10*")&gt;0,COUNTIF(I2400,"11*")&gt;0,COUNTIF(J2400,"*11*")&gt;0,COUNTIF(I2400,"12*")&gt;0,COUNTIF(J2400,"*12*")&gt;0,COUNTIF(I2400,"13*")&gt;0,COUNTIF(J2400,"*13*")&gt;0,COUNTIF(I2400,"14*")&gt;0,COUNTIF(J2400,"*14*")&gt;0,COUNTIF(I2400,"15*")&gt;0,COUNTIF(J2400,"*15*")&gt;0,COUNTIF(I2400,"16*")&gt;0,COUNTIF(J2400,"*16*")&gt;0,COUNTIF(I2400,"17*")&gt;0,COUNTIF(J2400,"*17*")&gt;0,COUNTIF(I2400,"18*")&gt;0,COUNTIF(J2400,"*18*")&gt;0,COUNTIF(I2400,"19*")&gt;0,COUNTIF(J2400,"*19*")&gt;0,COUNTIF(I2400,"20*")&gt;0,COUNTIF(J2400,"*20*")&gt;0,COUNTIF(I2400,"21*")&gt;0,COUNTIF(J2400,"*21*")&gt;0,COUNTIF(I2400,"22*")&gt;0,COUNTIF(J2400,"*22*")&gt;0,COUNTIF(I2400,"23*")&gt;0,COUNTIF(J2400,"*23*")&gt;0,COUNTIF(I2400,"24*")&gt;0,COUNTIF(J2400,"*24*")&gt;0,COUNTIF(I2400,"25*")&gt;0,COUNTIF(J2400,"*25*")&gt;0,COUNTIF(I2400,"26*")&gt;0,COUNTIF(J2400,"*26*")&gt;0,COUNTIF(I2400,"27*")&gt;0,COUNTIF(J2400,"*27*")&gt;0,COUNTIF(I2400,"28*")&gt;0,COUNTIF(J2400,"*28*")&gt;0,COUNTIF(I2400,"29*")&gt;0,COUNTIF(J2400,"*29*")&gt;0,COUNTIF(I2400,"30*")&gt;0,COUNTIF(J2400,"*30*")&gt;0,COUNTIF(I2400,"31*")&gt;0,COUNTIF(J2400,"*31*")&gt;0,COUNTIF(I2400,"32*")&gt;0,COUNTIF(J2400,"*32*")&gt;0,COUNTIF(I2400,"33*")&gt;0,COUNTIF(J2400,"*33*")&gt;0,COUNTIF(I2400,"41*")&gt;0,COUNTIF(J2400,"*41*")&gt;0,COUNTIF(I2400,"42*")&gt;0,COUNTIF(J2400,"*42*")&gt;0,COUNTIF(I2400,"43*")&gt;0,COUNTIF(J2400,"*43*")&gt;0,COUNTIF(I2400,"49*")&gt;0,COUNTIF(J2400,"*49*")&gt;0,COUNTIF(I2400,"52*")&gt;0,COUNTIF(J2400,"*52*")&gt;0,COUNTIF(I2400,"55*")&gt;0,COUNTIF(J2400,"*55*")&gt;0,COUNTIF(I2400,"56*")&gt;0,COUNTIF(J2400,"*56*")&gt;0,COUNTIF(I2400,"68*")&gt;0,COUNTIF(J2400,"*68*")&gt;0,COUNTIF(I2400,"78*")&gt;0,COUNTIF(J2400,"*78*")&gt;0,COUNTIF(I2400,"81*")&gt;0,COUNTIF(J2400,"*81*")&gt;0,COUNTIF(I2400,"82*")&gt;0,COUNTIF(J2400,"*82*")&gt;0,COUNTIF(I2400,"64*")&gt;0,COUNTIF(J2400,"*64*")&gt;0,COUNTIF(I2400,"65*")&gt;0,COUNTIF(J2400,"*65*")&gt;0,COUNTIF(I2400,"66*")&gt;0,COUNTIF(J2400,"*66*")&gt;0,COUNTIF(I2400,"61*")&gt;0,COUNTIF(J2400,"*61*")&gt;0,COUNTIF(I2400,"62*")&gt;0,COUNTIF(J2400,"*62*")&gt;0,COUNTIF(I2400,"63*")&gt;0,COUNTIF(J2400,"*63*")&gt;0,COUNTIF(I2400,"85*")&gt;0,COUNTIF(J2400,"*85*")&gt;0,COUNTIF(I2400,"86*")&gt;0,COUNTIF(J2400,"*86*")&gt;0),"Да","Нет"))</f>
        <v/>
      </c>
      <c r="M2400" s="13">
        <f>IF(OR(G2400="",L2400&lt;&gt;"Да"),"",IF(G2400&lt;=100,"До 100",IF(G2400&lt;=200,"До 200",IF(G2400&lt;=500,"До 500","Отдельное КП"))))</f>
        <v/>
      </c>
      <c r="N2400" s="15">
        <f>IF(OR(G2400="",L2400&lt;&gt;"Да"),"",IF(G2400&lt;=100,33600,IF(G2400&lt;=200,62400,IF(G2400&lt;=500,144000,""))))</f>
        <v/>
      </c>
      <c r="O2400" s="16">
        <f>IF(G2400="","",IF(G2400&lt;=15,"1–15",IF(G2400&lt;=30,"16–30",IF(G2400&lt;=50,"31–50",IF(G2400&lt;=100,"51–100",IF(G2400&lt;=150,"101–150",IF(G2400&lt;=200,"151–200",IF(G2400&lt;=500,"201–500","500+"))))))))</f>
        <v/>
      </c>
      <c r="P2400" s="16" t="inlineStr">
        <is>
          <t>Нет совпадения в предоставленной выгрузке ССЧР</t>
        </is>
      </c>
      <c r="Q2400" s="16" t="n"/>
      <c r="R2400" s="16">
        <f>HYPERLINK("https://checko.ru/search?query=3801001629","Чекко: проверить")</f>
        <v/>
      </c>
      <c r="S2400" t="n">
        <v>0</v>
      </c>
    </row>
    <row r="2401" ht="15" customHeight="1" s="24">
      <c r="A2401" s="13" t="n">
        <v>5000094945</v>
      </c>
      <c r="B2401" s="13" t="inlineStr">
        <is>
          <t>МОУ " СОШ" П.НЕЙТРИНО</t>
        </is>
      </c>
      <c r="C2401" s="13" t="n">
        <v>710054804</v>
      </c>
      <c r="D2401" s="13" t="n"/>
      <c r="E2401" s="13" t="inlineStr">
        <is>
          <t>Не определён</t>
        </is>
      </c>
      <c r="F2401" s="13" t="inlineStr">
        <is>
          <t>710054804</t>
        </is>
      </c>
      <c r="G2401" s="14" t="n"/>
      <c r="H2401" s="14" t="n"/>
      <c r="I2401" s="14" t="n"/>
      <c r="J2401" s="14" t="n"/>
      <c r="K2401" s="13">
        <f>IF(G2401="","",IF(G2401&gt;=22,"Да","Нет"))</f>
        <v/>
      </c>
      <c r="L2401" s="13">
        <f>IF(OR(I2401="",J2401=""),"Не определено",IF(OR(COUNTIF(I2401,"45*")&gt;0,COUNTIF(J2401,"*45*")&gt;0,COUNTIF(I2401,"46*")&gt;0,COUNTIF(J2401,"*46*")&gt;0,COUNTIF(I2401,"47*")&gt;0,COUNTIF(J2401,"*47*")&gt;0,COUNTIF(I2401,"10*")&gt;0,COUNTIF(J2401,"*10*")&gt;0,COUNTIF(I2401,"11*")&gt;0,COUNTIF(J2401,"*11*")&gt;0,COUNTIF(I2401,"12*")&gt;0,COUNTIF(J2401,"*12*")&gt;0,COUNTIF(I2401,"13*")&gt;0,COUNTIF(J2401,"*13*")&gt;0,COUNTIF(I2401,"14*")&gt;0,COUNTIF(J2401,"*14*")&gt;0,COUNTIF(I2401,"15*")&gt;0,COUNTIF(J2401,"*15*")&gt;0,COUNTIF(I2401,"16*")&gt;0,COUNTIF(J2401,"*16*")&gt;0,COUNTIF(I2401,"17*")&gt;0,COUNTIF(J2401,"*17*")&gt;0,COUNTIF(I2401,"18*")&gt;0,COUNTIF(J2401,"*18*")&gt;0,COUNTIF(I2401,"19*")&gt;0,COUNTIF(J2401,"*19*")&gt;0,COUNTIF(I2401,"20*")&gt;0,COUNTIF(J2401,"*20*")&gt;0,COUNTIF(I2401,"21*")&gt;0,COUNTIF(J2401,"*21*")&gt;0,COUNTIF(I2401,"22*")&gt;0,COUNTIF(J2401,"*22*")&gt;0,COUNTIF(I2401,"23*")&gt;0,COUNTIF(J2401,"*23*")&gt;0,COUNTIF(I2401,"24*")&gt;0,COUNTIF(J2401,"*24*")&gt;0,COUNTIF(I2401,"25*")&gt;0,COUNTIF(J2401,"*25*")&gt;0,COUNTIF(I2401,"26*")&gt;0,COUNTIF(J2401,"*26*")&gt;0,COUNTIF(I2401,"27*")&gt;0,COUNTIF(J2401,"*27*")&gt;0,COUNTIF(I2401,"28*")&gt;0,COUNTIF(J2401,"*28*")&gt;0,COUNTIF(I2401,"29*")&gt;0,COUNTIF(J2401,"*29*")&gt;0,COUNTIF(I2401,"30*")&gt;0,COUNTIF(J2401,"*30*")&gt;0,COUNTIF(I2401,"31*")&gt;0,COUNTIF(J2401,"*31*")&gt;0,COUNTIF(I2401,"32*")&gt;0,COUNTIF(J2401,"*32*")&gt;0,COUNTIF(I2401,"33*")&gt;0,COUNTIF(J2401,"*33*")&gt;0,COUNTIF(I2401,"41*")&gt;0,COUNTIF(J2401,"*41*")&gt;0,COUNTIF(I2401,"42*")&gt;0,COUNTIF(J2401,"*42*")&gt;0,COUNTIF(I2401,"43*")&gt;0,COUNTIF(J2401,"*43*")&gt;0,COUNTIF(I2401,"49*")&gt;0,COUNTIF(J2401,"*49*")&gt;0,COUNTIF(I2401,"52*")&gt;0,COUNTIF(J2401,"*52*")&gt;0,COUNTIF(I2401,"55*")&gt;0,COUNTIF(J2401,"*55*")&gt;0,COUNTIF(I2401,"56*")&gt;0,COUNTIF(J2401,"*56*")&gt;0,COUNTIF(I2401,"68*")&gt;0,COUNTIF(J2401,"*68*")&gt;0,COUNTIF(I2401,"78*")&gt;0,COUNTIF(J2401,"*78*")&gt;0,COUNTIF(I2401,"81*")&gt;0,COUNTIF(J2401,"*81*")&gt;0,COUNTIF(I2401,"82*")&gt;0,COUNTIF(J2401,"*82*")&gt;0,COUNTIF(I2401,"64*")&gt;0,COUNTIF(J2401,"*64*")&gt;0,COUNTIF(I2401,"65*")&gt;0,COUNTIF(J2401,"*65*")&gt;0,COUNTIF(I2401,"66*")&gt;0,COUNTIF(J2401,"*66*")&gt;0,COUNTIF(I2401,"61*")&gt;0,COUNTIF(J2401,"*61*")&gt;0,COUNTIF(I2401,"62*")&gt;0,COUNTIF(J2401,"*62*")&gt;0,COUNTIF(I2401,"63*")&gt;0,COUNTIF(J2401,"*63*")&gt;0,COUNTIF(I2401,"85*")&gt;0,COUNTIF(J2401,"*85*")&gt;0,COUNTIF(I2401,"86*")&gt;0,COUNTIF(J2401,"*86*")&gt;0),"Да","Нет"))</f>
        <v/>
      </c>
      <c r="M2401" s="13">
        <f>IF(OR(G2401="",L2401&lt;&gt;"Да"),"",IF(G2401&lt;=100,"До 100",IF(G2401&lt;=200,"До 200",IF(G2401&lt;=500,"До 500","Отдельное КП"))))</f>
        <v/>
      </c>
      <c r="N2401" s="15">
        <f>IF(OR(G2401="",L2401&lt;&gt;"Да"),"",IF(G2401&lt;=100,33600,IF(G2401&lt;=200,62400,IF(G2401&lt;=500,144000,""))))</f>
        <v/>
      </c>
      <c r="O2401" s="16">
        <f>IF(G2401="","",IF(G2401&lt;=15,"1–15",IF(G2401&lt;=30,"16–30",IF(G2401&lt;=50,"31–50",IF(G2401&lt;=100,"51–100",IF(G2401&lt;=150,"101–150",IF(G2401&lt;=200,"151–200",IF(G2401&lt;=500,"201–500","500+"))))))))</f>
        <v/>
      </c>
      <c r="P2401" s="16" t="inlineStr">
        <is>
          <t>Нет совпадения в предоставленной выгрузке ССЧР</t>
        </is>
      </c>
      <c r="Q2401" s="16" t="n"/>
      <c r="R2401" s="16">
        <f>HYPERLINK("https://checko.ru/search?query=3801001629","Чекко: проверить")</f>
        <v/>
      </c>
      <c r="S2401" t="n">
        <v>0</v>
      </c>
    </row>
    <row r="2402" ht="27.75" customHeight="1" s="24">
      <c r="A2402" s="13" t="n">
        <v>5000094946</v>
      </c>
      <c r="B2402" s="13" t="inlineStr">
        <is>
          <t>МОУ "СОШ ИМ. М.Д. ТЕММОЕВА" С.П.ВЕРХНИЙ БАКСАН</t>
        </is>
      </c>
      <c r="C2402" s="13" t="n">
        <v>710054811</v>
      </c>
      <c r="D2402" s="13" t="n"/>
      <c r="E2402" s="13" t="inlineStr">
        <is>
          <t>Не определён</t>
        </is>
      </c>
      <c r="F2402" s="13" t="inlineStr">
        <is>
          <t>710054811</t>
        </is>
      </c>
      <c r="G2402" s="14" t="n"/>
      <c r="H2402" s="14" t="n"/>
      <c r="I2402" s="14" t="n"/>
      <c r="J2402" s="14" t="n"/>
      <c r="K2402" s="13">
        <f>IF(G2402="","",IF(G2402&gt;=22,"Да","Нет"))</f>
        <v/>
      </c>
      <c r="L2402" s="13">
        <f>IF(OR(I2402="",J2402=""),"Не определено",IF(OR(COUNTIF(I2402,"45*")&gt;0,COUNTIF(J2402,"*45*")&gt;0,COUNTIF(I2402,"46*")&gt;0,COUNTIF(J2402,"*46*")&gt;0,COUNTIF(I2402,"47*")&gt;0,COUNTIF(J2402,"*47*")&gt;0,COUNTIF(I2402,"10*")&gt;0,COUNTIF(J2402,"*10*")&gt;0,COUNTIF(I2402,"11*")&gt;0,COUNTIF(J2402,"*11*")&gt;0,COUNTIF(I2402,"12*")&gt;0,COUNTIF(J2402,"*12*")&gt;0,COUNTIF(I2402,"13*")&gt;0,COUNTIF(J2402,"*13*")&gt;0,COUNTIF(I2402,"14*")&gt;0,COUNTIF(J2402,"*14*")&gt;0,COUNTIF(I2402,"15*")&gt;0,COUNTIF(J2402,"*15*")&gt;0,COUNTIF(I2402,"16*")&gt;0,COUNTIF(J2402,"*16*")&gt;0,COUNTIF(I2402,"17*")&gt;0,COUNTIF(J2402,"*17*")&gt;0,COUNTIF(I2402,"18*")&gt;0,COUNTIF(J2402,"*18*")&gt;0,COUNTIF(I2402,"19*")&gt;0,COUNTIF(J2402,"*19*")&gt;0,COUNTIF(I2402,"20*")&gt;0,COUNTIF(J2402,"*20*")&gt;0,COUNTIF(I2402,"21*")&gt;0,COUNTIF(J2402,"*21*")&gt;0,COUNTIF(I2402,"22*")&gt;0,COUNTIF(J2402,"*22*")&gt;0,COUNTIF(I2402,"23*")&gt;0,COUNTIF(J2402,"*23*")&gt;0,COUNTIF(I2402,"24*")&gt;0,COUNTIF(J2402,"*24*")&gt;0,COUNTIF(I2402,"25*")&gt;0,COUNTIF(J2402,"*25*")&gt;0,COUNTIF(I2402,"26*")&gt;0,COUNTIF(J2402,"*26*")&gt;0,COUNTIF(I2402,"27*")&gt;0,COUNTIF(J2402,"*27*")&gt;0,COUNTIF(I2402,"28*")&gt;0,COUNTIF(J2402,"*28*")&gt;0,COUNTIF(I2402,"29*")&gt;0,COUNTIF(J2402,"*29*")&gt;0,COUNTIF(I2402,"30*")&gt;0,COUNTIF(J2402,"*30*")&gt;0,COUNTIF(I2402,"31*")&gt;0,COUNTIF(J2402,"*31*")&gt;0,COUNTIF(I2402,"32*")&gt;0,COUNTIF(J2402,"*32*")&gt;0,COUNTIF(I2402,"33*")&gt;0,COUNTIF(J2402,"*33*")&gt;0,COUNTIF(I2402,"41*")&gt;0,COUNTIF(J2402,"*41*")&gt;0,COUNTIF(I2402,"42*")&gt;0,COUNTIF(J2402,"*42*")&gt;0,COUNTIF(I2402,"43*")&gt;0,COUNTIF(J2402,"*43*")&gt;0,COUNTIF(I2402,"49*")&gt;0,COUNTIF(J2402,"*49*")&gt;0,COUNTIF(I2402,"52*")&gt;0,COUNTIF(J2402,"*52*")&gt;0,COUNTIF(I2402,"55*")&gt;0,COUNTIF(J2402,"*55*")&gt;0,COUNTIF(I2402,"56*")&gt;0,COUNTIF(J2402,"*56*")&gt;0,COUNTIF(I2402,"68*")&gt;0,COUNTIF(J2402,"*68*")&gt;0,COUNTIF(I2402,"78*")&gt;0,COUNTIF(J2402,"*78*")&gt;0,COUNTIF(I2402,"81*")&gt;0,COUNTIF(J2402,"*81*")&gt;0,COUNTIF(I2402,"82*")&gt;0,COUNTIF(J2402,"*82*")&gt;0,COUNTIF(I2402,"64*")&gt;0,COUNTIF(J2402,"*64*")&gt;0,COUNTIF(I2402,"65*")&gt;0,COUNTIF(J2402,"*65*")&gt;0,COUNTIF(I2402,"66*")&gt;0,COUNTIF(J2402,"*66*")&gt;0,COUNTIF(I2402,"61*")&gt;0,COUNTIF(J2402,"*61*")&gt;0,COUNTIF(I2402,"62*")&gt;0,COUNTIF(J2402,"*62*")&gt;0,COUNTIF(I2402,"63*")&gt;0,COUNTIF(J2402,"*63*")&gt;0,COUNTIF(I2402,"85*")&gt;0,COUNTIF(J2402,"*85*")&gt;0,COUNTIF(I2402,"86*")&gt;0,COUNTIF(J2402,"*86*")&gt;0),"Да","Нет"))</f>
        <v/>
      </c>
      <c r="M2402" s="13">
        <f>IF(OR(G2402="",L2402&lt;&gt;"Да"),"",IF(G2402&lt;=100,"До 100",IF(G2402&lt;=200,"До 200",IF(G2402&lt;=500,"До 500","Отдельное КП"))))</f>
        <v/>
      </c>
      <c r="N2402" s="15">
        <f>IF(OR(G2402="",L2402&lt;&gt;"Да"),"",IF(G2402&lt;=100,33600,IF(G2402&lt;=200,62400,IF(G2402&lt;=500,144000,""))))</f>
        <v/>
      </c>
      <c r="O2402" s="16">
        <f>IF(G2402="","",IF(G2402&lt;=15,"1–15",IF(G2402&lt;=30,"16–30",IF(G2402&lt;=50,"31–50",IF(G2402&lt;=100,"51–100",IF(G2402&lt;=150,"101–150",IF(G2402&lt;=200,"151–200",IF(G2402&lt;=500,"201–500","500+"))))))))</f>
        <v/>
      </c>
      <c r="P2402" s="16" t="inlineStr">
        <is>
          <t>Нет совпадения в предоставленной выгрузке ССЧР</t>
        </is>
      </c>
      <c r="Q2402" s="16" t="n"/>
      <c r="R2402" s="16">
        <f>HYPERLINK("https://checko.ru/search?query=3801001629","Чекко: проверить")</f>
        <v/>
      </c>
      <c r="S2402" t="n">
        <v>0</v>
      </c>
    </row>
    <row r="2403" ht="15" customHeight="1" s="24">
      <c r="A2403" s="13" t="n">
        <v>5000094947</v>
      </c>
      <c r="B2403" s="13" t="inlineStr">
        <is>
          <t>МОУ "СОШ" с.Лашкута</t>
        </is>
      </c>
      <c r="C2403" s="13" t="n">
        <v>710054836</v>
      </c>
      <c r="D2403" s="13" t="n"/>
      <c r="E2403" s="13" t="inlineStr">
        <is>
          <t>Не определён</t>
        </is>
      </c>
      <c r="F2403" s="13" t="inlineStr">
        <is>
          <t>710054836</t>
        </is>
      </c>
      <c r="G2403" s="14" t="n"/>
      <c r="H2403" s="14" t="n"/>
      <c r="I2403" s="14" t="n"/>
      <c r="J2403" s="14" t="n"/>
      <c r="K2403" s="13">
        <f>IF(G2403="","",IF(G2403&gt;=22,"Да","Нет"))</f>
        <v/>
      </c>
      <c r="L2403" s="13">
        <f>IF(OR(I2403="",J2403=""),"Не определено",IF(OR(COUNTIF(I2403,"45*")&gt;0,COUNTIF(J2403,"*45*")&gt;0,COUNTIF(I2403,"46*")&gt;0,COUNTIF(J2403,"*46*")&gt;0,COUNTIF(I2403,"47*")&gt;0,COUNTIF(J2403,"*47*")&gt;0,COUNTIF(I2403,"10*")&gt;0,COUNTIF(J2403,"*10*")&gt;0,COUNTIF(I2403,"11*")&gt;0,COUNTIF(J2403,"*11*")&gt;0,COUNTIF(I2403,"12*")&gt;0,COUNTIF(J2403,"*12*")&gt;0,COUNTIF(I2403,"13*")&gt;0,COUNTIF(J2403,"*13*")&gt;0,COUNTIF(I2403,"14*")&gt;0,COUNTIF(J2403,"*14*")&gt;0,COUNTIF(I2403,"15*")&gt;0,COUNTIF(J2403,"*15*")&gt;0,COUNTIF(I2403,"16*")&gt;0,COUNTIF(J2403,"*16*")&gt;0,COUNTIF(I2403,"17*")&gt;0,COUNTIF(J2403,"*17*")&gt;0,COUNTIF(I2403,"18*")&gt;0,COUNTIF(J2403,"*18*")&gt;0,COUNTIF(I2403,"19*")&gt;0,COUNTIF(J2403,"*19*")&gt;0,COUNTIF(I2403,"20*")&gt;0,COUNTIF(J2403,"*20*")&gt;0,COUNTIF(I2403,"21*")&gt;0,COUNTIF(J2403,"*21*")&gt;0,COUNTIF(I2403,"22*")&gt;0,COUNTIF(J2403,"*22*")&gt;0,COUNTIF(I2403,"23*")&gt;0,COUNTIF(J2403,"*23*")&gt;0,COUNTIF(I2403,"24*")&gt;0,COUNTIF(J2403,"*24*")&gt;0,COUNTIF(I2403,"25*")&gt;0,COUNTIF(J2403,"*25*")&gt;0,COUNTIF(I2403,"26*")&gt;0,COUNTIF(J2403,"*26*")&gt;0,COUNTIF(I2403,"27*")&gt;0,COUNTIF(J2403,"*27*")&gt;0,COUNTIF(I2403,"28*")&gt;0,COUNTIF(J2403,"*28*")&gt;0,COUNTIF(I2403,"29*")&gt;0,COUNTIF(J2403,"*29*")&gt;0,COUNTIF(I2403,"30*")&gt;0,COUNTIF(J2403,"*30*")&gt;0,COUNTIF(I2403,"31*")&gt;0,COUNTIF(J2403,"*31*")&gt;0,COUNTIF(I2403,"32*")&gt;0,COUNTIF(J2403,"*32*")&gt;0,COUNTIF(I2403,"33*")&gt;0,COUNTIF(J2403,"*33*")&gt;0,COUNTIF(I2403,"41*")&gt;0,COUNTIF(J2403,"*41*")&gt;0,COUNTIF(I2403,"42*")&gt;0,COUNTIF(J2403,"*42*")&gt;0,COUNTIF(I2403,"43*")&gt;0,COUNTIF(J2403,"*43*")&gt;0,COUNTIF(I2403,"49*")&gt;0,COUNTIF(J2403,"*49*")&gt;0,COUNTIF(I2403,"52*")&gt;0,COUNTIF(J2403,"*52*")&gt;0,COUNTIF(I2403,"55*")&gt;0,COUNTIF(J2403,"*55*")&gt;0,COUNTIF(I2403,"56*")&gt;0,COUNTIF(J2403,"*56*")&gt;0,COUNTIF(I2403,"68*")&gt;0,COUNTIF(J2403,"*68*")&gt;0,COUNTIF(I2403,"78*")&gt;0,COUNTIF(J2403,"*78*")&gt;0,COUNTIF(I2403,"81*")&gt;0,COUNTIF(J2403,"*81*")&gt;0,COUNTIF(I2403,"82*")&gt;0,COUNTIF(J2403,"*82*")&gt;0,COUNTIF(I2403,"64*")&gt;0,COUNTIF(J2403,"*64*")&gt;0,COUNTIF(I2403,"65*")&gt;0,COUNTIF(J2403,"*65*")&gt;0,COUNTIF(I2403,"66*")&gt;0,COUNTIF(J2403,"*66*")&gt;0,COUNTIF(I2403,"61*")&gt;0,COUNTIF(J2403,"*61*")&gt;0,COUNTIF(I2403,"62*")&gt;0,COUNTIF(J2403,"*62*")&gt;0,COUNTIF(I2403,"63*")&gt;0,COUNTIF(J2403,"*63*")&gt;0,COUNTIF(I2403,"85*")&gt;0,COUNTIF(J2403,"*85*")&gt;0,COUNTIF(I2403,"86*")&gt;0,COUNTIF(J2403,"*86*")&gt;0),"Да","Нет"))</f>
        <v/>
      </c>
      <c r="M2403" s="13">
        <f>IF(OR(G2403="",L2403&lt;&gt;"Да"),"",IF(G2403&lt;=100,"До 100",IF(G2403&lt;=200,"До 200",IF(G2403&lt;=500,"До 500","Отдельное КП"))))</f>
        <v/>
      </c>
      <c r="N2403" s="15">
        <f>IF(OR(G2403="",L2403&lt;&gt;"Да"),"",IF(G2403&lt;=100,33600,IF(G2403&lt;=200,62400,IF(G2403&lt;=500,144000,""))))</f>
        <v/>
      </c>
      <c r="O2403" s="16">
        <f>IF(G2403="","",IF(G2403&lt;=15,"1–15",IF(G2403&lt;=30,"16–30",IF(G2403&lt;=50,"31–50",IF(G2403&lt;=100,"51–100",IF(G2403&lt;=150,"101–150",IF(G2403&lt;=200,"151–200",IF(G2403&lt;=500,"201–500","500+"))))))))</f>
        <v/>
      </c>
      <c r="P2403" s="16" t="inlineStr">
        <is>
          <t>Нет совпадения в предоставленной выгрузке ССЧР</t>
        </is>
      </c>
      <c r="Q2403" s="16" t="n"/>
      <c r="R2403" s="16">
        <f>HYPERLINK("https://checko.ru/search?query=3801001629","Чекко: проверить")</f>
        <v/>
      </c>
      <c r="S2403" t="n">
        <v>0</v>
      </c>
    </row>
    <row r="2404" ht="15" customHeight="1" s="24">
      <c r="A2404" s="13" t="n">
        <v>5000094948</v>
      </c>
      <c r="B2404" s="13" t="inlineStr">
        <is>
          <t>МОУ "СОШ" С.ЭЛЬБРУС</t>
        </is>
      </c>
      <c r="C2404" s="13" t="n">
        <v>710054890</v>
      </c>
      <c r="D2404" s="13" t="n"/>
      <c r="E2404" s="13" t="inlineStr">
        <is>
          <t>Не определён</t>
        </is>
      </c>
      <c r="F2404" s="13" t="inlineStr">
        <is>
          <t>710054890</t>
        </is>
      </c>
      <c r="G2404" s="14" t="n"/>
      <c r="H2404" s="14" t="n"/>
      <c r="I2404" s="14" t="n"/>
      <c r="J2404" s="14" t="n"/>
      <c r="K2404" s="13">
        <f>IF(G2404="","",IF(G2404&gt;=22,"Да","Нет"))</f>
        <v/>
      </c>
      <c r="L2404" s="13">
        <f>IF(OR(I2404="",J2404=""),"Не определено",IF(OR(COUNTIF(I2404,"45*")&gt;0,COUNTIF(J2404,"*45*")&gt;0,COUNTIF(I2404,"46*")&gt;0,COUNTIF(J2404,"*46*")&gt;0,COUNTIF(I2404,"47*")&gt;0,COUNTIF(J2404,"*47*")&gt;0,COUNTIF(I2404,"10*")&gt;0,COUNTIF(J2404,"*10*")&gt;0,COUNTIF(I2404,"11*")&gt;0,COUNTIF(J2404,"*11*")&gt;0,COUNTIF(I2404,"12*")&gt;0,COUNTIF(J2404,"*12*")&gt;0,COUNTIF(I2404,"13*")&gt;0,COUNTIF(J2404,"*13*")&gt;0,COUNTIF(I2404,"14*")&gt;0,COUNTIF(J2404,"*14*")&gt;0,COUNTIF(I2404,"15*")&gt;0,COUNTIF(J2404,"*15*")&gt;0,COUNTIF(I2404,"16*")&gt;0,COUNTIF(J2404,"*16*")&gt;0,COUNTIF(I2404,"17*")&gt;0,COUNTIF(J2404,"*17*")&gt;0,COUNTIF(I2404,"18*")&gt;0,COUNTIF(J2404,"*18*")&gt;0,COUNTIF(I2404,"19*")&gt;0,COUNTIF(J2404,"*19*")&gt;0,COUNTIF(I2404,"20*")&gt;0,COUNTIF(J2404,"*20*")&gt;0,COUNTIF(I2404,"21*")&gt;0,COUNTIF(J2404,"*21*")&gt;0,COUNTIF(I2404,"22*")&gt;0,COUNTIF(J2404,"*22*")&gt;0,COUNTIF(I2404,"23*")&gt;0,COUNTIF(J2404,"*23*")&gt;0,COUNTIF(I2404,"24*")&gt;0,COUNTIF(J2404,"*24*")&gt;0,COUNTIF(I2404,"25*")&gt;0,COUNTIF(J2404,"*25*")&gt;0,COUNTIF(I2404,"26*")&gt;0,COUNTIF(J2404,"*26*")&gt;0,COUNTIF(I2404,"27*")&gt;0,COUNTIF(J2404,"*27*")&gt;0,COUNTIF(I2404,"28*")&gt;0,COUNTIF(J2404,"*28*")&gt;0,COUNTIF(I2404,"29*")&gt;0,COUNTIF(J2404,"*29*")&gt;0,COUNTIF(I2404,"30*")&gt;0,COUNTIF(J2404,"*30*")&gt;0,COUNTIF(I2404,"31*")&gt;0,COUNTIF(J2404,"*31*")&gt;0,COUNTIF(I2404,"32*")&gt;0,COUNTIF(J2404,"*32*")&gt;0,COUNTIF(I2404,"33*")&gt;0,COUNTIF(J2404,"*33*")&gt;0,COUNTIF(I2404,"41*")&gt;0,COUNTIF(J2404,"*41*")&gt;0,COUNTIF(I2404,"42*")&gt;0,COUNTIF(J2404,"*42*")&gt;0,COUNTIF(I2404,"43*")&gt;0,COUNTIF(J2404,"*43*")&gt;0,COUNTIF(I2404,"49*")&gt;0,COUNTIF(J2404,"*49*")&gt;0,COUNTIF(I2404,"52*")&gt;0,COUNTIF(J2404,"*52*")&gt;0,COUNTIF(I2404,"55*")&gt;0,COUNTIF(J2404,"*55*")&gt;0,COUNTIF(I2404,"56*")&gt;0,COUNTIF(J2404,"*56*")&gt;0,COUNTIF(I2404,"68*")&gt;0,COUNTIF(J2404,"*68*")&gt;0,COUNTIF(I2404,"78*")&gt;0,COUNTIF(J2404,"*78*")&gt;0,COUNTIF(I2404,"81*")&gt;0,COUNTIF(J2404,"*81*")&gt;0,COUNTIF(I2404,"82*")&gt;0,COUNTIF(J2404,"*82*")&gt;0,COUNTIF(I2404,"64*")&gt;0,COUNTIF(J2404,"*64*")&gt;0,COUNTIF(I2404,"65*")&gt;0,COUNTIF(J2404,"*65*")&gt;0,COUNTIF(I2404,"66*")&gt;0,COUNTIF(J2404,"*66*")&gt;0,COUNTIF(I2404,"61*")&gt;0,COUNTIF(J2404,"*61*")&gt;0,COUNTIF(I2404,"62*")&gt;0,COUNTIF(J2404,"*62*")&gt;0,COUNTIF(I2404,"63*")&gt;0,COUNTIF(J2404,"*63*")&gt;0,COUNTIF(I2404,"85*")&gt;0,COUNTIF(J2404,"*85*")&gt;0,COUNTIF(I2404,"86*")&gt;0,COUNTIF(J2404,"*86*")&gt;0),"Да","Нет"))</f>
        <v/>
      </c>
      <c r="M2404" s="13">
        <f>IF(OR(G2404="",L2404&lt;&gt;"Да"),"",IF(G2404&lt;=100,"До 100",IF(G2404&lt;=200,"До 200",IF(G2404&lt;=500,"До 500","Отдельное КП"))))</f>
        <v/>
      </c>
      <c r="N2404" s="15">
        <f>IF(OR(G2404="",L2404&lt;&gt;"Да"),"",IF(G2404&lt;=100,33600,IF(G2404&lt;=200,62400,IF(G2404&lt;=500,144000,""))))</f>
        <v/>
      </c>
      <c r="O2404" s="16">
        <f>IF(G2404="","",IF(G2404&lt;=15,"1–15",IF(G2404&lt;=30,"16–30",IF(G2404&lt;=50,"31–50",IF(G2404&lt;=100,"51–100",IF(G2404&lt;=150,"101–150",IF(G2404&lt;=200,"151–200",IF(G2404&lt;=500,"201–500","500+"))))))))</f>
        <v/>
      </c>
      <c r="P2404" s="16" t="inlineStr">
        <is>
          <t>Нет совпадения в предоставленной выгрузке ССЧР</t>
        </is>
      </c>
      <c r="Q2404" s="16" t="n"/>
      <c r="R2404" s="16">
        <f>HYPERLINK("https://checko.ru/search?query=3801001629","Чекко: проверить")</f>
        <v/>
      </c>
      <c r="S2404" t="n">
        <v>0</v>
      </c>
    </row>
    <row r="2405" ht="15" customHeight="1" s="24">
      <c r="A2405" s="13" t="n">
        <v>5000094950</v>
      </c>
      <c r="B2405" s="13" t="inlineStr">
        <is>
          <t>МКУК "ДК ИМ. К.КУЛИЕВА"</t>
        </is>
      </c>
      <c r="C2405" s="13" t="n">
        <v>710055685</v>
      </c>
      <c r="D2405" s="13" t="n"/>
      <c r="E2405" s="13" t="inlineStr">
        <is>
          <t>Не определён</t>
        </is>
      </c>
      <c r="F2405" s="13" t="inlineStr">
        <is>
          <t>710055685</t>
        </is>
      </c>
      <c r="G2405" s="14" t="n"/>
      <c r="H2405" s="14" t="n"/>
      <c r="I2405" s="14" t="n"/>
      <c r="J2405" s="14" t="n"/>
      <c r="K2405" s="13">
        <f>IF(G2405="","",IF(G2405&gt;=22,"Да","Нет"))</f>
        <v/>
      </c>
      <c r="L2405" s="13">
        <f>IF(OR(I2405="",J2405=""),"Не определено",IF(OR(COUNTIF(I2405,"45*")&gt;0,COUNTIF(J2405,"*45*")&gt;0,COUNTIF(I2405,"46*")&gt;0,COUNTIF(J2405,"*46*")&gt;0,COUNTIF(I2405,"47*")&gt;0,COUNTIF(J2405,"*47*")&gt;0,COUNTIF(I2405,"10*")&gt;0,COUNTIF(J2405,"*10*")&gt;0,COUNTIF(I2405,"11*")&gt;0,COUNTIF(J2405,"*11*")&gt;0,COUNTIF(I2405,"12*")&gt;0,COUNTIF(J2405,"*12*")&gt;0,COUNTIF(I2405,"13*")&gt;0,COUNTIF(J2405,"*13*")&gt;0,COUNTIF(I2405,"14*")&gt;0,COUNTIF(J2405,"*14*")&gt;0,COUNTIF(I2405,"15*")&gt;0,COUNTIF(J2405,"*15*")&gt;0,COUNTIF(I2405,"16*")&gt;0,COUNTIF(J2405,"*16*")&gt;0,COUNTIF(I2405,"17*")&gt;0,COUNTIF(J2405,"*17*")&gt;0,COUNTIF(I2405,"18*")&gt;0,COUNTIF(J2405,"*18*")&gt;0,COUNTIF(I2405,"19*")&gt;0,COUNTIF(J2405,"*19*")&gt;0,COUNTIF(I2405,"20*")&gt;0,COUNTIF(J2405,"*20*")&gt;0,COUNTIF(I2405,"21*")&gt;0,COUNTIF(J2405,"*21*")&gt;0,COUNTIF(I2405,"22*")&gt;0,COUNTIF(J2405,"*22*")&gt;0,COUNTIF(I2405,"23*")&gt;0,COUNTIF(J2405,"*23*")&gt;0,COUNTIF(I2405,"24*")&gt;0,COUNTIF(J2405,"*24*")&gt;0,COUNTIF(I2405,"25*")&gt;0,COUNTIF(J2405,"*25*")&gt;0,COUNTIF(I2405,"26*")&gt;0,COUNTIF(J2405,"*26*")&gt;0,COUNTIF(I2405,"27*")&gt;0,COUNTIF(J2405,"*27*")&gt;0,COUNTIF(I2405,"28*")&gt;0,COUNTIF(J2405,"*28*")&gt;0,COUNTIF(I2405,"29*")&gt;0,COUNTIF(J2405,"*29*")&gt;0,COUNTIF(I2405,"30*")&gt;0,COUNTIF(J2405,"*30*")&gt;0,COUNTIF(I2405,"31*")&gt;0,COUNTIF(J2405,"*31*")&gt;0,COUNTIF(I2405,"32*")&gt;0,COUNTIF(J2405,"*32*")&gt;0,COUNTIF(I2405,"33*")&gt;0,COUNTIF(J2405,"*33*")&gt;0,COUNTIF(I2405,"41*")&gt;0,COUNTIF(J2405,"*41*")&gt;0,COUNTIF(I2405,"42*")&gt;0,COUNTIF(J2405,"*42*")&gt;0,COUNTIF(I2405,"43*")&gt;0,COUNTIF(J2405,"*43*")&gt;0,COUNTIF(I2405,"49*")&gt;0,COUNTIF(J2405,"*49*")&gt;0,COUNTIF(I2405,"52*")&gt;0,COUNTIF(J2405,"*52*")&gt;0,COUNTIF(I2405,"55*")&gt;0,COUNTIF(J2405,"*55*")&gt;0,COUNTIF(I2405,"56*")&gt;0,COUNTIF(J2405,"*56*")&gt;0,COUNTIF(I2405,"68*")&gt;0,COUNTIF(J2405,"*68*")&gt;0,COUNTIF(I2405,"78*")&gt;0,COUNTIF(J2405,"*78*")&gt;0,COUNTIF(I2405,"81*")&gt;0,COUNTIF(J2405,"*81*")&gt;0,COUNTIF(I2405,"82*")&gt;0,COUNTIF(J2405,"*82*")&gt;0,COUNTIF(I2405,"64*")&gt;0,COUNTIF(J2405,"*64*")&gt;0,COUNTIF(I2405,"65*")&gt;0,COUNTIF(J2405,"*65*")&gt;0,COUNTIF(I2405,"66*")&gt;0,COUNTIF(J2405,"*66*")&gt;0,COUNTIF(I2405,"61*")&gt;0,COUNTIF(J2405,"*61*")&gt;0,COUNTIF(I2405,"62*")&gt;0,COUNTIF(J2405,"*62*")&gt;0,COUNTIF(I2405,"63*")&gt;0,COUNTIF(J2405,"*63*")&gt;0,COUNTIF(I2405,"85*")&gt;0,COUNTIF(J2405,"*85*")&gt;0,COUNTIF(I2405,"86*")&gt;0,COUNTIF(J2405,"*86*")&gt;0),"Да","Нет"))</f>
        <v/>
      </c>
      <c r="M2405" s="13">
        <f>IF(OR(G2405="",L2405&lt;&gt;"Да"),"",IF(G2405&lt;=100,"До 100",IF(G2405&lt;=200,"До 200",IF(G2405&lt;=500,"До 500","Отдельное КП"))))</f>
        <v/>
      </c>
      <c r="N2405" s="15">
        <f>IF(OR(G2405="",L2405&lt;&gt;"Да"),"",IF(G2405&lt;=100,33600,IF(G2405&lt;=200,62400,IF(G2405&lt;=500,144000,""))))</f>
        <v/>
      </c>
      <c r="O2405" s="16">
        <f>IF(G2405="","",IF(G2405&lt;=15,"1–15",IF(G2405&lt;=30,"16–30",IF(G2405&lt;=50,"31–50",IF(G2405&lt;=100,"51–100",IF(G2405&lt;=150,"101–150",IF(G2405&lt;=200,"151–200",IF(G2405&lt;=500,"201–500","500+"))))))))</f>
        <v/>
      </c>
      <c r="P2405" s="16" t="inlineStr">
        <is>
          <t>Нет совпадения в предоставленной выгрузке ССЧР</t>
        </is>
      </c>
      <c r="Q2405" s="16" t="n"/>
      <c r="R2405" s="16">
        <f>HYPERLINK("https://checko.ru/search?query=3801001629","Чекко: проверить")</f>
        <v/>
      </c>
      <c r="S2405" t="n">
        <v>0</v>
      </c>
    </row>
    <row r="2406" ht="15" customHeight="1" s="24">
      <c r="A2406" s="13" t="n">
        <v>5000094951</v>
      </c>
      <c r="B2406" s="13" t="inlineStr">
        <is>
          <t>МКУ ДО "ДШИ ИМ. С-Б.АБАЕВА"</t>
        </is>
      </c>
      <c r="C2406" s="13" t="n">
        <v>710055702</v>
      </c>
      <c r="D2406" s="13" t="n"/>
      <c r="E2406" s="13" t="inlineStr">
        <is>
          <t>Не определён</t>
        </is>
      </c>
      <c r="F2406" s="13" t="inlineStr">
        <is>
          <t>710055702</t>
        </is>
      </c>
      <c r="G2406" s="14" t="n"/>
      <c r="H2406" s="14" t="n"/>
      <c r="I2406" s="14" t="n"/>
      <c r="J2406" s="14" t="n"/>
      <c r="K2406" s="13">
        <f>IF(G2406="","",IF(G2406&gt;=22,"Да","Нет"))</f>
        <v/>
      </c>
      <c r="L2406" s="13">
        <f>IF(OR(I2406="",J2406=""),"Не определено",IF(OR(COUNTIF(I2406,"45*")&gt;0,COUNTIF(J2406,"*45*")&gt;0,COUNTIF(I2406,"46*")&gt;0,COUNTIF(J2406,"*46*")&gt;0,COUNTIF(I2406,"47*")&gt;0,COUNTIF(J2406,"*47*")&gt;0,COUNTIF(I2406,"10*")&gt;0,COUNTIF(J2406,"*10*")&gt;0,COUNTIF(I2406,"11*")&gt;0,COUNTIF(J2406,"*11*")&gt;0,COUNTIF(I2406,"12*")&gt;0,COUNTIF(J2406,"*12*")&gt;0,COUNTIF(I2406,"13*")&gt;0,COUNTIF(J2406,"*13*")&gt;0,COUNTIF(I2406,"14*")&gt;0,COUNTIF(J2406,"*14*")&gt;0,COUNTIF(I2406,"15*")&gt;0,COUNTIF(J2406,"*15*")&gt;0,COUNTIF(I2406,"16*")&gt;0,COUNTIF(J2406,"*16*")&gt;0,COUNTIF(I2406,"17*")&gt;0,COUNTIF(J2406,"*17*")&gt;0,COUNTIF(I2406,"18*")&gt;0,COUNTIF(J2406,"*18*")&gt;0,COUNTIF(I2406,"19*")&gt;0,COUNTIF(J2406,"*19*")&gt;0,COUNTIF(I2406,"20*")&gt;0,COUNTIF(J2406,"*20*")&gt;0,COUNTIF(I2406,"21*")&gt;0,COUNTIF(J2406,"*21*")&gt;0,COUNTIF(I2406,"22*")&gt;0,COUNTIF(J2406,"*22*")&gt;0,COUNTIF(I2406,"23*")&gt;0,COUNTIF(J2406,"*23*")&gt;0,COUNTIF(I2406,"24*")&gt;0,COUNTIF(J2406,"*24*")&gt;0,COUNTIF(I2406,"25*")&gt;0,COUNTIF(J2406,"*25*")&gt;0,COUNTIF(I2406,"26*")&gt;0,COUNTIF(J2406,"*26*")&gt;0,COUNTIF(I2406,"27*")&gt;0,COUNTIF(J2406,"*27*")&gt;0,COUNTIF(I2406,"28*")&gt;0,COUNTIF(J2406,"*28*")&gt;0,COUNTIF(I2406,"29*")&gt;0,COUNTIF(J2406,"*29*")&gt;0,COUNTIF(I2406,"30*")&gt;0,COUNTIF(J2406,"*30*")&gt;0,COUNTIF(I2406,"31*")&gt;0,COUNTIF(J2406,"*31*")&gt;0,COUNTIF(I2406,"32*")&gt;0,COUNTIF(J2406,"*32*")&gt;0,COUNTIF(I2406,"33*")&gt;0,COUNTIF(J2406,"*33*")&gt;0,COUNTIF(I2406,"41*")&gt;0,COUNTIF(J2406,"*41*")&gt;0,COUNTIF(I2406,"42*")&gt;0,COUNTIF(J2406,"*42*")&gt;0,COUNTIF(I2406,"43*")&gt;0,COUNTIF(J2406,"*43*")&gt;0,COUNTIF(I2406,"49*")&gt;0,COUNTIF(J2406,"*49*")&gt;0,COUNTIF(I2406,"52*")&gt;0,COUNTIF(J2406,"*52*")&gt;0,COUNTIF(I2406,"55*")&gt;0,COUNTIF(J2406,"*55*")&gt;0,COUNTIF(I2406,"56*")&gt;0,COUNTIF(J2406,"*56*")&gt;0,COUNTIF(I2406,"68*")&gt;0,COUNTIF(J2406,"*68*")&gt;0,COUNTIF(I2406,"78*")&gt;0,COUNTIF(J2406,"*78*")&gt;0,COUNTIF(I2406,"81*")&gt;0,COUNTIF(J2406,"*81*")&gt;0,COUNTIF(I2406,"82*")&gt;0,COUNTIF(J2406,"*82*")&gt;0,COUNTIF(I2406,"64*")&gt;0,COUNTIF(J2406,"*64*")&gt;0,COUNTIF(I2406,"65*")&gt;0,COUNTIF(J2406,"*65*")&gt;0,COUNTIF(I2406,"66*")&gt;0,COUNTIF(J2406,"*66*")&gt;0,COUNTIF(I2406,"61*")&gt;0,COUNTIF(J2406,"*61*")&gt;0,COUNTIF(I2406,"62*")&gt;0,COUNTIF(J2406,"*62*")&gt;0,COUNTIF(I2406,"63*")&gt;0,COUNTIF(J2406,"*63*")&gt;0,COUNTIF(I2406,"85*")&gt;0,COUNTIF(J2406,"*85*")&gt;0,COUNTIF(I2406,"86*")&gt;0,COUNTIF(J2406,"*86*")&gt;0),"Да","Нет"))</f>
        <v/>
      </c>
      <c r="M2406" s="13">
        <f>IF(OR(G2406="",L2406&lt;&gt;"Да"),"",IF(G2406&lt;=100,"До 100",IF(G2406&lt;=200,"До 200",IF(G2406&lt;=500,"До 500","Отдельное КП"))))</f>
        <v/>
      </c>
      <c r="N2406" s="15">
        <f>IF(OR(G2406="",L2406&lt;&gt;"Да"),"",IF(G2406&lt;=100,33600,IF(G2406&lt;=200,62400,IF(G2406&lt;=500,144000,""))))</f>
        <v/>
      </c>
      <c r="O2406" s="16">
        <f>IF(G2406="","",IF(G2406&lt;=15,"1–15",IF(G2406&lt;=30,"16–30",IF(G2406&lt;=50,"31–50",IF(G2406&lt;=100,"51–100",IF(G2406&lt;=150,"101–150",IF(G2406&lt;=200,"151–200",IF(G2406&lt;=500,"201–500","500+"))))))))</f>
        <v/>
      </c>
      <c r="P2406" s="16" t="inlineStr">
        <is>
          <t>Нет совпадения в предоставленной выгрузке ССЧР</t>
        </is>
      </c>
      <c r="Q2406" s="16" t="n"/>
      <c r="R2406" s="16">
        <f>HYPERLINK("https://checko.ru/search?query=3801001629","Чекко: проверить")</f>
        <v/>
      </c>
      <c r="S2406" t="n">
        <v>0</v>
      </c>
    </row>
    <row r="2407" ht="15" customHeight="1" s="24">
      <c r="A2407" s="13" t="n">
        <v>5000094953</v>
      </c>
      <c r="B2407" s="13" t="inlineStr">
        <is>
          <t>МУ "ЦБС"</t>
        </is>
      </c>
      <c r="C2407" s="13" t="n">
        <v>710055734</v>
      </c>
      <c r="D2407" s="13" t="n"/>
      <c r="E2407" s="13" t="inlineStr">
        <is>
          <t>Не определён</t>
        </is>
      </c>
      <c r="F2407" s="13" t="inlineStr">
        <is>
          <t>710055734</t>
        </is>
      </c>
      <c r="G2407" s="14" t="n"/>
      <c r="H2407" s="14" t="n"/>
      <c r="I2407" s="14" t="n"/>
      <c r="J2407" s="14" t="n"/>
      <c r="K2407" s="13">
        <f>IF(G2407="","",IF(G2407&gt;=22,"Да","Нет"))</f>
        <v/>
      </c>
      <c r="L2407" s="13">
        <f>IF(OR(I2407="",J2407=""),"Не определено",IF(OR(COUNTIF(I2407,"45*")&gt;0,COUNTIF(J2407,"*45*")&gt;0,COUNTIF(I2407,"46*")&gt;0,COUNTIF(J2407,"*46*")&gt;0,COUNTIF(I2407,"47*")&gt;0,COUNTIF(J2407,"*47*")&gt;0,COUNTIF(I2407,"10*")&gt;0,COUNTIF(J2407,"*10*")&gt;0,COUNTIF(I2407,"11*")&gt;0,COUNTIF(J2407,"*11*")&gt;0,COUNTIF(I2407,"12*")&gt;0,COUNTIF(J2407,"*12*")&gt;0,COUNTIF(I2407,"13*")&gt;0,COUNTIF(J2407,"*13*")&gt;0,COUNTIF(I2407,"14*")&gt;0,COUNTIF(J2407,"*14*")&gt;0,COUNTIF(I2407,"15*")&gt;0,COUNTIF(J2407,"*15*")&gt;0,COUNTIF(I2407,"16*")&gt;0,COUNTIF(J2407,"*16*")&gt;0,COUNTIF(I2407,"17*")&gt;0,COUNTIF(J2407,"*17*")&gt;0,COUNTIF(I2407,"18*")&gt;0,COUNTIF(J2407,"*18*")&gt;0,COUNTIF(I2407,"19*")&gt;0,COUNTIF(J2407,"*19*")&gt;0,COUNTIF(I2407,"20*")&gt;0,COUNTIF(J2407,"*20*")&gt;0,COUNTIF(I2407,"21*")&gt;0,COUNTIF(J2407,"*21*")&gt;0,COUNTIF(I2407,"22*")&gt;0,COUNTIF(J2407,"*22*")&gt;0,COUNTIF(I2407,"23*")&gt;0,COUNTIF(J2407,"*23*")&gt;0,COUNTIF(I2407,"24*")&gt;0,COUNTIF(J2407,"*24*")&gt;0,COUNTIF(I2407,"25*")&gt;0,COUNTIF(J2407,"*25*")&gt;0,COUNTIF(I2407,"26*")&gt;0,COUNTIF(J2407,"*26*")&gt;0,COUNTIF(I2407,"27*")&gt;0,COUNTIF(J2407,"*27*")&gt;0,COUNTIF(I2407,"28*")&gt;0,COUNTIF(J2407,"*28*")&gt;0,COUNTIF(I2407,"29*")&gt;0,COUNTIF(J2407,"*29*")&gt;0,COUNTIF(I2407,"30*")&gt;0,COUNTIF(J2407,"*30*")&gt;0,COUNTIF(I2407,"31*")&gt;0,COUNTIF(J2407,"*31*")&gt;0,COUNTIF(I2407,"32*")&gt;0,COUNTIF(J2407,"*32*")&gt;0,COUNTIF(I2407,"33*")&gt;0,COUNTIF(J2407,"*33*")&gt;0,COUNTIF(I2407,"41*")&gt;0,COUNTIF(J2407,"*41*")&gt;0,COUNTIF(I2407,"42*")&gt;0,COUNTIF(J2407,"*42*")&gt;0,COUNTIF(I2407,"43*")&gt;0,COUNTIF(J2407,"*43*")&gt;0,COUNTIF(I2407,"49*")&gt;0,COUNTIF(J2407,"*49*")&gt;0,COUNTIF(I2407,"52*")&gt;0,COUNTIF(J2407,"*52*")&gt;0,COUNTIF(I2407,"55*")&gt;0,COUNTIF(J2407,"*55*")&gt;0,COUNTIF(I2407,"56*")&gt;0,COUNTIF(J2407,"*56*")&gt;0,COUNTIF(I2407,"68*")&gt;0,COUNTIF(J2407,"*68*")&gt;0,COUNTIF(I2407,"78*")&gt;0,COUNTIF(J2407,"*78*")&gt;0,COUNTIF(I2407,"81*")&gt;0,COUNTIF(J2407,"*81*")&gt;0,COUNTIF(I2407,"82*")&gt;0,COUNTIF(J2407,"*82*")&gt;0,COUNTIF(I2407,"64*")&gt;0,COUNTIF(J2407,"*64*")&gt;0,COUNTIF(I2407,"65*")&gt;0,COUNTIF(J2407,"*65*")&gt;0,COUNTIF(I2407,"66*")&gt;0,COUNTIF(J2407,"*66*")&gt;0,COUNTIF(I2407,"61*")&gt;0,COUNTIF(J2407,"*61*")&gt;0,COUNTIF(I2407,"62*")&gt;0,COUNTIF(J2407,"*62*")&gt;0,COUNTIF(I2407,"63*")&gt;0,COUNTIF(J2407,"*63*")&gt;0,COUNTIF(I2407,"85*")&gt;0,COUNTIF(J2407,"*85*")&gt;0,COUNTIF(I2407,"86*")&gt;0,COUNTIF(J2407,"*86*")&gt;0),"Да","Нет"))</f>
        <v/>
      </c>
      <c r="M2407" s="13">
        <f>IF(OR(G2407="",L2407&lt;&gt;"Да"),"",IF(G2407&lt;=100,"До 100",IF(G2407&lt;=200,"До 200",IF(G2407&lt;=500,"До 500","Отдельное КП"))))</f>
        <v/>
      </c>
      <c r="N2407" s="15">
        <f>IF(OR(G2407="",L2407&lt;&gt;"Да"),"",IF(G2407&lt;=100,33600,IF(G2407&lt;=200,62400,IF(G2407&lt;=500,144000,""))))</f>
        <v/>
      </c>
      <c r="O2407" s="16">
        <f>IF(G2407="","",IF(G2407&lt;=15,"1–15",IF(G2407&lt;=30,"16–30",IF(G2407&lt;=50,"31–50",IF(G2407&lt;=100,"51–100",IF(G2407&lt;=150,"101–150",IF(G2407&lt;=200,"151–200",IF(G2407&lt;=500,"201–500","500+"))))))))</f>
        <v/>
      </c>
      <c r="P2407" s="16" t="inlineStr">
        <is>
          <t>Нет совпадения в предоставленной выгрузке ССЧР</t>
        </is>
      </c>
      <c r="Q2407" s="16" t="n"/>
      <c r="R2407" s="16">
        <f>HYPERLINK("https://checko.ru/search?query=3801001629","Чекко: проверить")</f>
        <v/>
      </c>
      <c r="S2407" t="n">
        <v>0</v>
      </c>
    </row>
    <row r="2408" ht="15" customHeight="1" s="24">
      <c r="A2408" s="13" t="n">
        <v>5000094954</v>
      </c>
      <c r="B2408" s="13" t="inlineStr">
        <is>
          <t>МУ ПКО "Солнышко"</t>
        </is>
      </c>
      <c r="C2408" s="13" t="n">
        <v>710055741</v>
      </c>
      <c r="D2408" s="13" t="n"/>
      <c r="E2408" s="13" t="inlineStr">
        <is>
          <t>Не определён</t>
        </is>
      </c>
      <c r="F2408" s="13" t="inlineStr">
        <is>
          <t>710055741</t>
        </is>
      </c>
      <c r="G2408" s="14" t="n"/>
      <c r="H2408" s="14" t="n"/>
      <c r="I2408" s="14" t="n"/>
      <c r="J2408" s="14" t="n"/>
      <c r="K2408" s="13">
        <f>IF(G2408="","",IF(G2408&gt;=22,"Да","Нет"))</f>
        <v/>
      </c>
      <c r="L2408" s="13">
        <f>IF(OR(I2408="",J2408=""),"Не определено",IF(OR(COUNTIF(I2408,"45*")&gt;0,COUNTIF(J2408,"*45*")&gt;0,COUNTIF(I2408,"46*")&gt;0,COUNTIF(J2408,"*46*")&gt;0,COUNTIF(I2408,"47*")&gt;0,COUNTIF(J2408,"*47*")&gt;0,COUNTIF(I2408,"10*")&gt;0,COUNTIF(J2408,"*10*")&gt;0,COUNTIF(I2408,"11*")&gt;0,COUNTIF(J2408,"*11*")&gt;0,COUNTIF(I2408,"12*")&gt;0,COUNTIF(J2408,"*12*")&gt;0,COUNTIF(I2408,"13*")&gt;0,COUNTIF(J2408,"*13*")&gt;0,COUNTIF(I2408,"14*")&gt;0,COUNTIF(J2408,"*14*")&gt;0,COUNTIF(I2408,"15*")&gt;0,COUNTIF(J2408,"*15*")&gt;0,COUNTIF(I2408,"16*")&gt;0,COUNTIF(J2408,"*16*")&gt;0,COUNTIF(I2408,"17*")&gt;0,COUNTIF(J2408,"*17*")&gt;0,COUNTIF(I2408,"18*")&gt;0,COUNTIF(J2408,"*18*")&gt;0,COUNTIF(I2408,"19*")&gt;0,COUNTIF(J2408,"*19*")&gt;0,COUNTIF(I2408,"20*")&gt;0,COUNTIF(J2408,"*20*")&gt;0,COUNTIF(I2408,"21*")&gt;0,COUNTIF(J2408,"*21*")&gt;0,COUNTIF(I2408,"22*")&gt;0,COUNTIF(J2408,"*22*")&gt;0,COUNTIF(I2408,"23*")&gt;0,COUNTIF(J2408,"*23*")&gt;0,COUNTIF(I2408,"24*")&gt;0,COUNTIF(J2408,"*24*")&gt;0,COUNTIF(I2408,"25*")&gt;0,COUNTIF(J2408,"*25*")&gt;0,COUNTIF(I2408,"26*")&gt;0,COUNTIF(J2408,"*26*")&gt;0,COUNTIF(I2408,"27*")&gt;0,COUNTIF(J2408,"*27*")&gt;0,COUNTIF(I2408,"28*")&gt;0,COUNTIF(J2408,"*28*")&gt;0,COUNTIF(I2408,"29*")&gt;0,COUNTIF(J2408,"*29*")&gt;0,COUNTIF(I2408,"30*")&gt;0,COUNTIF(J2408,"*30*")&gt;0,COUNTIF(I2408,"31*")&gt;0,COUNTIF(J2408,"*31*")&gt;0,COUNTIF(I2408,"32*")&gt;0,COUNTIF(J2408,"*32*")&gt;0,COUNTIF(I2408,"33*")&gt;0,COUNTIF(J2408,"*33*")&gt;0,COUNTIF(I2408,"41*")&gt;0,COUNTIF(J2408,"*41*")&gt;0,COUNTIF(I2408,"42*")&gt;0,COUNTIF(J2408,"*42*")&gt;0,COUNTIF(I2408,"43*")&gt;0,COUNTIF(J2408,"*43*")&gt;0,COUNTIF(I2408,"49*")&gt;0,COUNTIF(J2408,"*49*")&gt;0,COUNTIF(I2408,"52*")&gt;0,COUNTIF(J2408,"*52*")&gt;0,COUNTIF(I2408,"55*")&gt;0,COUNTIF(J2408,"*55*")&gt;0,COUNTIF(I2408,"56*")&gt;0,COUNTIF(J2408,"*56*")&gt;0,COUNTIF(I2408,"68*")&gt;0,COUNTIF(J2408,"*68*")&gt;0,COUNTIF(I2408,"78*")&gt;0,COUNTIF(J2408,"*78*")&gt;0,COUNTIF(I2408,"81*")&gt;0,COUNTIF(J2408,"*81*")&gt;0,COUNTIF(I2408,"82*")&gt;0,COUNTIF(J2408,"*82*")&gt;0,COUNTIF(I2408,"64*")&gt;0,COUNTIF(J2408,"*64*")&gt;0,COUNTIF(I2408,"65*")&gt;0,COUNTIF(J2408,"*65*")&gt;0,COUNTIF(I2408,"66*")&gt;0,COUNTIF(J2408,"*66*")&gt;0,COUNTIF(I2408,"61*")&gt;0,COUNTIF(J2408,"*61*")&gt;0,COUNTIF(I2408,"62*")&gt;0,COUNTIF(J2408,"*62*")&gt;0,COUNTIF(I2408,"63*")&gt;0,COUNTIF(J2408,"*63*")&gt;0,COUNTIF(I2408,"85*")&gt;0,COUNTIF(J2408,"*85*")&gt;0,COUNTIF(I2408,"86*")&gt;0,COUNTIF(J2408,"*86*")&gt;0),"Да","Нет"))</f>
        <v/>
      </c>
      <c r="M2408" s="13">
        <f>IF(OR(G2408="",L2408&lt;&gt;"Да"),"",IF(G2408&lt;=100,"До 100",IF(G2408&lt;=200,"До 200",IF(G2408&lt;=500,"До 500","Отдельное КП"))))</f>
        <v/>
      </c>
      <c r="N2408" s="15">
        <f>IF(OR(G2408="",L2408&lt;&gt;"Да"),"",IF(G2408&lt;=100,33600,IF(G2408&lt;=200,62400,IF(G2408&lt;=500,144000,""))))</f>
        <v/>
      </c>
      <c r="O2408" s="16">
        <f>IF(G2408="","",IF(G2408&lt;=15,"1–15",IF(G2408&lt;=30,"16–30",IF(G2408&lt;=50,"31–50",IF(G2408&lt;=100,"51–100",IF(G2408&lt;=150,"101–150",IF(G2408&lt;=200,"151–200",IF(G2408&lt;=500,"201–500","500+"))))))))</f>
        <v/>
      </c>
      <c r="P2408" s="16" t="inlineStr">
        <is>
          <t>Нет совпадения в предоставленной выгрузке ССЧР</t>
        </is>
      </c>
      <c r="Q2408" s="16" t="n"/>
      <c r="R2408" s="16">
        <f>HYPERLINK("https://checko.ru/search?query=3801001629","Чекко: проверить")</f>
        <v/>
      </c>
      <c r="S2408" t="n">
        <v>0</v>
      </c>
    </row>
    <row r="2409" ht="15" customHeight="1" s="24">
      <c r="A2409" s="13" t="n">
        <v>5000094955</v>
      </c>
      <c r="B2409" s="13" t="inlineStr">
        <is>
          <t>МКУК "ДОМ КУЛЬТУРЫ С.П.КЕНДЕЛЕН"</t>
        </is>
      </c>
      <c r="C2409" s="13" t="n">
        <v>710055766</v>
      </c>
      <c r="D2409" s="13" t="n"/>
      <c r="E2409" s="13" t="inlineStr">
        <is>
          <t>Не определён</t>
        </is>
      </c>
      <c r="F2409" s="13" t="inlineStr">
        <is>
          <t>710055766</t>
        </is>
      </c>
      <c r="G2409" s="14" t="n"/>
      <c r="H2409" s="14" t="n"/>
      <c r="I2409" s="14" t="n"/>
      <c r="J2409" s="14" t="n"/>
      <c r="K2409" s="13">
        <f>IF(G2409="","",IF(G2409&gt;=22,"Да","Нет"))</f>
        <v/>
      </c>
      <c r="L2409" s="13">
        <f>IF(OR(I2409="",J2409=""),"Не определено",IF(OR(COUNTIF(I2409,"45*")&gt;0,COUNTIF(J2409,"*45*")&gt;0,COUNTIF(I2409,"46*")&gt;0,COUNTIF(J2409,"*46*")&gt;0,COUNTIF(I2409,"47*")&gt;0,COUNTIF(J2409,"*47*")&gt;0,COUNTIF(I2409,"10*")&gt;0,COUNTIF(J2409,"*10*")&gt;0,COUNTIF(I2409,"11*")&gt;0,COUNTIF(J2409,"*11*")&gt;0,COUNTIF(I2409,"12*")&gt;0,COUNTIF(J2409,"*12*")&gt;0,COUNTIF(I2409,"13*")&gt;0,COUNTIF(J2409,"*13*")&gt;0,COUNTIF(I2409,"14*")&gt;0,COUNTIF(J2409,"*14*")&gt;0,COUNTIF(I2409,"15*")&gt;0,COUNTIF(J2409,"*15*")&gt;0,COUNTIF(I2409,"16*")&gt;0,COUNTIF(J2409,"*16*")&gt;0,COUNTIF(I2409,"17*")&gt;0,COUNTIF(J2409,"*17*")&gt;0,COUNTIF(I2409,"18*")&gt;0,COUNTIF(J2409,"*18*")&gt;0,COUNTIF(I2409,"19*")&gt;0,COUNTIF(J2409,"*19*")&gt;0,COUNTIF(I2409,"20*")&gt;0,COUNTIF(J2409,"*20*")&gt;0,COUNTIF(I2409,"21*")&gt;0,COUNTIF(J2409,"*21*")&gt;0,COUNTIF(I2409,"22*")&gt;0,COUNTIF(J2409,"*22*")&gt;0,COUNTIF(I2409,"23*")&gt;0,COUNTIF(J2409,"*23*")&gt;0,COUNTIF(I2409,"24*")&gt;0,COUNTIF(J2409,"*24*")&gt;0,COUNTIF(I2409,"25*")&gt;0,COUNTIF(J2409,"*25*")&gt;0,COUNTIF(I2409,"26*")&gt;0,COUNTIF(J2409,"*26*")&gt;0,COUNTIF(I2409,"27*")&gt;0,COUNTIF(J2409,"*27*")&gt;0,COUNTIF(I2409,"28*")&gt;0,COUNTIF(J2409,"*28*")&gt;0,COUNTIF(I2409,"29*")&gt;0,COUNTIF(J2409,"*29*")&gt;0,COUNTIF(I2409,"30*")&gt;0,COUNTIF(J2409,"*30*")&gt;0,COUNTIF(I2409,"31*")&gt;0,COUNTIF(J2409,"*31*")&gt;0,COUNTIF(I2409,"32*")&gt;0,COUNTIF(J2409,"*32*")&gt;0,COUNTIF(I2409,"33*")&gt;0,COUNTIF(J2409,"*33*")&gt;0,COUNTIF(I2409,"41*")&gt;0,COUNTIF(J2409,"*41*")&gt;0,COUNTIF(I2409,"42*")&gt;0,COUNTIF(J2409,"*42*")&gt;0,COUNTIF(I2409,"43*")&gt;0,COUNTIF(J2409,"*43*")&gt;0,COUNTIF(I2409,"49*")&gt;0,COUNTIF(J2409,"*49*")&gt;0,COUNTIF(I2409,"52*")&gt;0,COUNTIF(J2409,"*52*")&gt;0,COUNTIF(I2409,"55*")&gt;0,COUNTIF(J2409,"*55*")&gt;0,COUNTIF(I2409,"56*")&gt;0,COUNTIF(J2409,"*56*")&gt;0,COUNTIF(I2409,"68*")&gt;0,COUNTIF(J2409,"*68*")&gt;0,COUNTIF(I2409,"78*")&gt;0,COUNTIF(J2409,"*78*")&gt;0,COUNTIF(I2409,"81*")&gt;0,COUNTIF(J2409,"*81*")&gt;0,COUNTIF(I2409,"82*")&gt;0,COUNTIF(J2409,"*82*")&gt;0,COUNTIF(I2409,"64*")&gt;0,COUNTIF(J2409,"*64*")&gt;0,COUNTIF(I2409,"65*")&gt;0,COUNTIF(J2409,"*65*")&gt;0,COUNTIF(I2409,"66*")&gt;0,COUNTIF(J2409,"*66*")&gt;0,COUNTIF(I2409,"61*")&gt;0,COUNTIF(J2409,"*61*")&gt;0,COUNTIF(I2409,"62*")&gt;0,COUNTIF(J2409,"*62*")&gt;0,COUNTIF(I2409,"63*")&gt;0,COUNTIF(J2409,"*63*")&gt;0,COUNTIF(I2409,"85*")&gt;0,COUNTIF(J2409,"*85*")&gt;0,COUNTIF(I2409,"86*")&gt;0,COUNTIF(J2409,"*86*")&gt;0),"Да","Нет"))</f>
        <v/>
      </c>
      <c r="M2409" s="13">
        <f>IF(OR(G2409="",L2409&lt;&gt;"Да"),"",IF(G2409&lt;=100,"До 100",IF(G2409&lt;=200,"До 200",IF(G2409&lt;=500,"До 500","Отдельное КП"))))</f>
        <v/>
      </c>
      <c r="N2409" s="15">
        <f>IF(OR(G2409="",L2409&lt;&gt;"Да"),"",IF(G2409&lt;=100,33600,IF(G2409&lt;=200,62400,IF(G2409&lt;=500,144000,""))))</f>
        <v/>
      </c>
      <c r="O2409" s="16">
        <f>IF(G2409="","",IF(G2409&lt;=15,"1–15",IF(G2409&lt;=30,"16–30",IF(G2409&lt;=50,"31–50",IF(G2409&lt;=100,"51–100",IF(G2409&lt;=150,"101–150",IF(G2409&lt;=200,"151–200",IF(G2409&lt;=500,"201–500","500+"))))))))</f>
        <v/>
      </c>
      <c r="P2409" s="16" t="inlineStr">
        <is>
          <t>Нет совпадения в предоставленной выгрузке ССЧР</t>
        </is>
      </c>
      <c r="Q2409" s="16" t="n"/>
      <c r="R2409" s="16">
        <f>HYPERLINK("https://checko.ru/search?query=3801001629","Чекко: проверить")</f>
        <v/>
      </c>
      <c r="S2409" t="n">
        <v>0</v>
      </c>
    </row>
    <row r="2410" ht="27.75" customHeight="1" s="24">
      <c r="A2410" s="13" t="n">
        <v>5000094956</v>
      </c>
      <c r="B2410" s="13" t="inlineStr">
        <is>
          <t>МУ "Совет местного самоуправления Эльбрусского муниципального района" КБР</t>
        </is>
      </c>
      <c r="C2410" s="13" t="n">
        <v>710056167</v>
      </c>
      <c r="D2410" s="13" t="n"/>
      <c r="E2410" s="13" t="inlineStr">
        <is>
          <t>Не определён</t>
        </is>
      </c>
      <c r="F2410" s="13" t="inlineStr">
        <is>
          <t>710056167</t>
        </is>
      </c>
      <c r="G2410" s="14" t="n"/>
      <c r="H2410" s="14" t="n"/>
      <c r="I2410" s="14" t="n"/>
      <c r="J2410" s="14" t="n"/>
      <c r="K2410" s="13">
        <f>IF(G2410="","",IF(G2410&gt;=22,"Да","Нет"))</f>
        <v/>
      </c>
      <c r="L2410" s="13">
        <f>IF(OR(I2410="",J2410=""),"Не определено",IF(OR(COUNTIF(I2410,"45*")&gt;0,COUNTIF(J2410,"*45*")&gt;0,COUNTIF(I2410,"46*")&gt;0,COUNTIF(J2410,"*46*")&gt;0,COUNTIF(I2410,"47*")&gt;0,COUNTIF(J2410,"*47*")&gt;0,COUNTIF(I2410,"10*")&gt;0,COUNTIF(J2410,"*10*")&gt;0,COUNTIF(I2410,"11*")&gt;0,COUNTIF(J2410,"*11*")&gt;0,COUNTIF(I2410,"12*")&gt;0,COUNTIF(J2410,"*12*")&gt;0,COUNTIF(I2410,"13*")&gt;0,COUNTIF(J2410,"*13*")&gt;0,COUNTIF(I2410,"14*")&gt;0,COUNTIF(J2410,"*14*")&gt;0,COUNTIF(I2410,"15*")&gt;0,COUNTIF(J2410,"*15*")&gt;0,COUNTIF(I2410,"16*")&gt;0,COUNTIF(J2410,"*16*")&gt;0,COUNTIF(I2410,"17*")&gt;0,COUNTIF(J2410,"*17*")&gt;0,COUNTIF(I2410,"18*")&gt;0,COUNTIF(J2410,"*18*")&gt;0,COUNTIF(I2410,"19*")&gt;0,COUNTIF(J2410,"*19*")&gt;0,COUNTIF(I2410,"20*")&gt;0,COUNTIF(J2410,"*20*")&gt;0,COUNTIF(I2410,"21*")&gt;0,COUNTIF(J2410,"*21*")&gt;0,COUNTIF(I2410,"22*")&gt;0,COUNTIF(J2410,"*22*")&gt;0,COUNTIF(I2410,"23*")&gt;0,COUNTIF(J2410,"*23*")&gt;0,COUNTIF(I2410,"24*")&gt;0,COUNTIF(J2410,"*24*")&gt;0,COUNTIF(I2410,"25*")&gt;0,COUNTIF(J2410,"*25*")&gt;0,COUNTIF(I2410,"26*")&gt;0,COUNTIF(J2410,"*26*")&gt;0,COUNTIF(I2410,"27*")&gt;0,COUNTIF(J2410,"*27*")&gt;0,COUNTIF(I2410,"28*")&gt;0,COUNTIF(J2410,"*28*")&gt;0,COUNTIF(I2410,"29*")&gt;0,COUNTIF(J2410,"*29*")&gt;0,COUNTIF(I2410,"30*")&gt;0,COUNTIF(J2410,"*30*")&gt;0,COUNTIF(I2410,"31*")&gt;0,COUNTIF(J2410,"*31*")&gt;0,COUNTIF(I2410,"32*")&gt;0,COUNTIF(J2410,"*32*")&gt;0,COUNTIF(I2410,"33*")&gt;0,COUNTIF(J2410,"*33*")&gt;0,COUNTIF(I2410,"41*")&gt;0,COUNTIF(J2410,"*41*")&gt;0,COUNTIF(I2410,"42*")&gt;0,COUNTIF(J2410,"*42*")&gt;0,COUNTIF(I2410,"43*")&gt;0,COUNTIF(J2410,"*43*")&gt;0,COUNTIF(I2410,"49*")&gt;0,COUNTIF(J2410,"*49*")&gt;0,COUNTIF(I2410,"52*")&gt;0,COUNTIF(J2410,"*52*")&gt;0,COUNTIF(I2410,"55*")&gt;0,COUNTIF(J2410,"*55*")&gt;0,COUNTIF(I2410,"56*")&gt;0,COUNTIF(J2410,"*56*")&gt;0,COUNTIF(I2410,"68*")&gt;0,COUNTIF(J2410,"*68*")&gt;0,COUNTIF(I2410,"78*")&gt;0,COUNTIF(J2410,"*78*")&gt;0,COUNTIF(I2410,"81*")&gt;0,COUNTIF(J2410,"*81*")&gt;0,COUNTIF(I2410,"82*")&gt;0,COUNTIF(J2410,"*82*")&gt;0,COUNTIF(I2410,"64*")&gt;0,COUNTIF(J2410,"*64*")&gt;0,COUNTIF(I2410,"65*")&gt;0,COUNTIF(J2410,"*65*")&gt;0,COUNTIF(I2410,"66*")&gt;0,COUNTIF(J2410,"*66*")&gt;0,COUNTIF(I2410,"61*")&gt;0,COUNTIF(J2410,"*61*")&gt;0,COUNTIF(I2410,"62*")&gt;0,COUNTIF(J2410,"*62*")&gt;0,COUNTIF(I2410,"63*")&gt;0,COUNTIF(J2410,"*63*")&gt;0,COUNTIF(I2410,"85*")&gt;0,COUNTIF(J2410,"*85*")&gt;0,COUNTIF(I2410,"86*")&gt;0,COUNTIF(J2410,"*86*")&gt;0),"Да","Нет"))</f>
        <v/>
      </c>
      <c r="M2410" s="13">
        <f>IF(OR(G2410="",L2410&lt;&gt;"Да"),"",IF(G2410&lt;=100,"До 100",IF(G2410&lt;=200,"До 200",IF(G2410&lt;=500,"До 500","Отдельное КП"))))</f>
        <v/>
      </c>
      <c r="N2410" s="15">
        <f>IF(OR(G2410="",L2410&lt;&gt;"Да"),"",IF(G2410&lt;=100,33600,IF(G2410&lt;=200,62400,IF(G2410&lt;=500,144000,""))))</f>
        <v/>
      </c>
      <c r="O2410" s="16">
        <f>IF(G2410="","",IF(G2410&lt;=15,"1–15",IF(G2410&lt;=30,"16–30",IF(G2410&lt;=50,"31–50",IF(G2410&lt;=100,"51–100",IF(G2410&lt;=150,"101–150",IF(G2410&lt;=200,"151–200",IF(G2410&lt;=500,"201–500","500+"))))))))</f>
        <v/>
      </c>
      <c r="P2410" s="16" t="inlineStr">
        <is>
          <t>Нет совпадения в предоставленной выгрузке ССЧР</t>
        </is>
      </c>
      <c r="Q2410" s="16" t="n"/>
      <c r="R2410" s="16">
        <f>HYPERLINK("https://checko.ru/search?query=3801001629","Чекко: проверить")</f>
        <v/>
      </c>
      <c r="S2410" t="n">
        <v>0</v>
      </c>
    </row>
    <row r="2411" ht="15" customHeight="1" s="24">
      <c r="A2411" s="13" t="n">
        <v>5000094957</v>
      </c>
      <c r="B2411" s="13" t="inlineStr">
        <is>
          <t>МАУ СШ "ЭЛЬБРУС"</t>
        </is>
      </c>
      <c r="C2411" s="13" t="n">
        <v>710056431</v>
      </c>
      <c r="D2411" s="13" t="n"/>
      <c r="E2411" s="13" t="inlineStr">
        <is>
          <t>Не определён</t>
        </is>
      </c>
      <c r="F2411" s="13" t="inlineStr">
        <is>
          <t>710056431</t>
        </is>
      </c>
      <c r="G2411" s="14" t="n"/>
      <c r="H2411" s="14" t="n"/>
      <c r="I2411" s="14" t="n"/>
      <c r="J2411" s="14" t="n"/>
      <c r="K2411" s="13">
        <f>IF(G2411="","",IF(G2411&gt;=22,"Да","Нет"))</f>
        <v/>
      </c>
      <c r="L2411" s="13">
        <f>IF(OR(I2411="",J2411=""),"Не определено",IF(OR(COUNTIF(I2411,"45*")&gt;0,COUNTIF(J2411,"*45*")&gt;0,COUNTIF(I2411,"46*")&gt;0,COUNTIF(J2411,"*46*")&gt;0,COUNTIF(I2411,"47*")&gt;0,COUNTIF(J2411,"*47*")&gt;0,COUNTIF(I2411,"10*")&gt;0,COUNTIF(J2411,"*10*")&gt;0,COUNTIF(I2411,"11*")&gt;0,COUNTIF(J2411,"*11*")&gt;0,COUNTIF(I2411,"12*")&gt;0,COUNTIF(J2411,"*12*")&gt;0,COUNTIF(I2411,"13*")&gt;0,COUNTIF(J2411,"*13*")&gt;0,COUNTIF(I2411,"14*")&gt;0,COUNTIF(J2411,"*14*")&gt;0,COUNTIF(I2411,"15*")&gt;0,COUNTIF(J2411,"*15*")&gt;0,COUNTIF(I2411,"16*")&gt;0,COUNTIF(J2411,"*16*")&gt;0,COUNTIF(I2411,"17*")&gt;0,COUNTIF(J2411,"*17*")&gt;0,COUNTIF(I2411,"18*")&gt;0,COUNTIF(J2411,"*18*")&gt;0,COUNTIF(I2411,"19*")&gt;0,COUNTIF(J2411,"*19*")&gt;0,COUNTIF(I2411,"20*")&gt;0,COUNTIF(J2411,"*20*")&gt;0,COUNTIF(I2411,"21*")&gt;0,COUNTIF(J2411,"*21*")&gt;0,COUNTIF(I2411,"22*")&gt;0,COUNTIF(J2411,"*22*")&gt;0,COUNTIF(I2411,"23*")&gt;0,COUNTIF(J2411,"*23*")&gt;0,COUNTIF(I2411,"24*")&gt;0,COUNTIF(J2411,"*24*")&gt;0,COUNTIF(I2411,"25*")&gt;0,COUNTIF(J2411,"*25*")&gt;0,COUNTIF(I2411,"26*")&gt;0,COUNTIF(J2411,"*26*")&gt;0,COUNTIF(I2411,"27*")&gt;0,COUNTIF(J2411,"*27*")&gt;0,COUNTIF(I2411,"28*")&gt;0,COUNTIF(J2411,"*28*")&gt;0,COUNTIF(I2411,"29*")&gt;0,COUNTIF(J2411,"*29*")&gt;0,COUNTIF(I2411,"30*")&gt;0,COUNTIF(J2411,"*30*")&gt;0,COUNTIF(I2411,"31*")&gt;0,COUNTIF(J2411,"*31*")&gt;0,COUNTIF(I2411,"32*")&gt;0,COUNTIF(J2411,"*32*")&gt;0,COUNTIF(I2411,"33*")&gt;0,COUNTIF(J2411,"*33*")&gt;0,COUNTIF(I2411,"41*")&gt;0,COUNTIF(J2411,"*41*")&gt;0,COUNTIF(I2411,"42*")&gt;0,COUNTIF(J2411,"*42*")&gt;0,COUNTIF(I2411,"43*")&gt;0,COUNTIF(J2411,"*43*")&gt;0,COUNTIF(I2411,"49*")&gt;0,COUNTIF(J2411,"*49*")&gt;0,COUNTIF(I2411,"52*")&gt;0,COUNTIF(J2411,"*52*")&gt;0,COUNTIF(I2411,"55*")&gt;0,COUNTIF(J2411,"*55*")&gt;0,COUNTIF(I2411,"56*")&gt;0,COUNTIF(J2411,"*56*")&gt;0,COUNTIF(I2411,"68*")&gt;0,COUNTIF(J2411,"*68*")&gt;0,COUNTIF(I2411,"78*")&gt;0,COUNTIF(J2411,"*78*")&gt;0,COUNTIF(I2411,"81*")&gt;0,COUNTIF(J2411,"*81*")&gt;0,COUNTIF(I2411,"82*")&gt;0,COUNTIF(J2411,"*82*")&gt;0,COUNTIF(I2411,"64*")&gt;0,COUNTIF(J2411,"*64*")&gt;0,COUNTIF(I2411,"65*")&gt;0,COUNTIF(J2411,"*65*")&gt;0,COUNTIF(I2411,"66*")&gt;0,COUNTIF(J2411,"*66*")&gt;0,COUNTIF(I2411,"61*")&gt;0,COUNTIF(J2411,"*61*")&gt;0,COUNTIF(I2411,"62*")&gt;0,COUNTIF(J2411,"*62*")&gt;0,COUNTIF(I2411,"63*")&gt;0,COUNTIF(J2411,"*63*")&gt;0,COUNTIF(I2411,"85*")&gt;0,COUNTIF(J2411,"*85*")&gt;0,COUNTIF(I2411,"86*")&gt;0,COUNTIF(J2411,"*86*")&gt;0),"Да","Нет"))</f>
        <v/>
      </c>
      <c r="M2411" s="13">
        <f>IF(OR(G2411="",L2411&lt;&gt;"Да"),"",IF(G2411&lt;=100,"До 100",IF(G2411&lt;=200,"До 200",IF(G2411&lt;=500,"До 500","Отдельное КП"))))</f>
        <v/>
      </c>
      <c r="N2411" s="15">
        <f>IF(OR(G2411="",L2411&lt;&gt;"Да"),"",IF(G2411&lt;=100,33600,IF(G2411&lt;=200,62400,IF(G2411&lt;=500,144000,""))))</f>
        <v/>
      </c>
      <c r="O2411" s="16">
        <f>IF(G2411="","",IF(G2411&lt;=15,"1–15",IF(G2411&lt;=30,"16–30",IF(G2411&lt;=50,"31–50",IF(G2411&lt;=100,"51–100",IF(G2411&lt;=150,"101–150",IF(G2411&lt;=200,"151–200",IF(G2411&lt;=500,"201–500","500+"))))))))</f>
        <v/>
      </c>
      <c r="P2411" s="16" t="inlineStr">
        <is>
          <t>Нет совпадения в предоставленной выгрузке ССЧР</t>
        </is>
      </c>
      <c r="Q2411" s="16" t="n"/>
      <c r="R2411" s="16">
        <f>HYPERLINK("https://checko.ru/search?query=3801001629","Чекко: проверить")</f>
        <v/>
      </c>
      <c r="S2411" t="n">
        <v>0</v>
      </c>
    </row>
    <row r="2412" ht="27.75" customHeight="1" s="24">
      <c r="A2412" s="13" t="n">
        <v>5000094958</v>
      </c>
      <c r="B2412" s="13" t="inlineStr">
        <is>
          <t>МУ "Совет местного самоуправления сельского поселения Эльбрус"</t>
        </is>
      </c>
      <c r="C2412" s="13" t="n">
        <v>710056512</v>
      </c>
      <c r="D2412" s="13" t="n"/>
      <c r="E2412" s="13" t="inlineStr">
        <is>
          <t>Не определён</t>
        </is>
      </c>
      <c r="F2412" s="13" t="inlineStr">
        <is>
          <t>710056512</t>
        </is>
      </c>
      <c r="G2412" s="14" t="n"/>
      <c r="H2412" s="14" t="n"/>
      <c r="I2412" s="14" t="n"/>
      <c r="J2412" s="14" t="n"/>
      <c r="K2412" s="13">
        <f>IF(G2412="","",IF(G2412&gt;=22,"Да","Нет"))</f>
        <v/>
      </c>
      <c r="L2412" s="13">
        <f>IF(OR(I2412="",J2412=""),"Не определено",IF(OR(COUNTIF(I2412,"45*")&gt;0,COUNTIF(J2412,"*45*")&gt;0,COUNTIF(I2412,"46*")&gt;0,COUNTIF(J2412,"*46*")&gt;0,COUNTIF(I2412,"47*")&gt;0,COUNTIF(J2412,"*47*")&gt;0,COUNTIF(I2412,"10*")&gt;0,COUNTIF(J2412,"*10*")&gt;0,COUNTIF(I2412,"11*")&gt;0,COUNTIF(J2412,"*11*")&gt;0,COUNTIF(I2412,"12*")&gt;0,COUNTIF(J2412,"*12*")&gt;0,COUNTIF(I2412,"13*")&gt;0,COUNTIF(J2412,"*13*")&gt;0,COUNTIF(I2412,"14*")&gt;0,COUNTIF(J2412,"*14*")&gt;0,COUNTIF(I2412,"15*")&gt;0,COUNTIF(J2412,"*15*")&gt;0,COUNTIF(I2412,"16*")&gt;0,COUNTIF(J2412,"*16*")&gt;0,COUNTIF(I2412,"17*")&gt;0,COUNTIF(J2412,"*17*")&gt;0,COUNTIF(I2412,"18*")&gt;0,COUNTIF(J2412,"*18*")&gt;0,COUNTIF(I2412,"19*")&gt;0,COUNTIF(J2412,"*19*")&gt;0,COUNTIF(I2412,"20*")&gt;0,COUNTIF(J2412,"*20*")&gt;0,COUNTIF(I2412,"21*")&gt;0,COUNTIF(J2412,"*21*")&gt;0,COUNTIF(I2412,"22*")&gt;0,COUNTIF(J2412,"*22*")&gt;0,COUNTIF(I2412,"23*")&gt;0,COUNTIF(J2412,"*23*")&gt;0,COUNTIF(I2412,"24*")&gt;0,COUNTIF(J2412,"*24*")&gt;0,COUNTIF(I2412,"25*")&gt;0,COUNTIF(J2412,"*25*")&gt;0,COUNTIF(I2412,"26*")&gt;0,COUNTIF(J2412,"*26*")&gt;0,COUNTIF(I2412,"27*")&gt;0,COUNTIF(J2412,"*27*")&gt;0,COUNTIF(I2412,"28*")&gt;0,COUNTIF(J2412,"*28*")&gt;0,COUNTIF(I2412,"29*")&gt;0,COUNTIF(J2412,"*29*")&gt;0,COUNTIF(I2412,"30*")&gt;0,COUNTIF(J2412,"*30*")&gt;0,COUNTIF(I2412,"31*")&gt;0,COUNTIF(J2412,"*31*")&gt;0,COUNTIF(I2412,"32*")&gt;0,COUNTIF(J2412,"*32*")&gt;0,COUNTIF(I2412,"33*")&gt;0,COUNTIF(J2412,"*33*")&gt;0,COUNTIF(I2412,"41*")&gt;0,COUNTIF(J2412,"*41*")&gt;0,COUNTIF(I2412,"42*")&gt;0,COUNTIF(J2412,"*42*")&gt;0,COUNTIF(I2412,"43*")&gt;0,COUNTIF(J2412,"*43*")&gt;0,COUNTIF(I2412,"49*")&gt;0,COUNTIF(J2412,"*49*")&gt;0,COUNTIF(I2412,"52*")&gt;0,COUNTIF(J2412,"*52*")&gt;0,COUNTIF(I2412,"55*")&gt;0,COUNTIF(J2412,"*55*")&gt;0,COUNTIF(I2412,"56*")&gt;0,COUNTIF(J2412,"*56*")&gt;0,COUNTIF(I2412,"68*")&gt;0,COUNTIF(J2412,"*68*")&gt;0,COUNTIF(I2412,"78*")&gt;0,COUNTIF(J2412,"*78*")&gt;0,COUNTIF(I2412,"81*")&gt;0,COUNTIF(J2412,"*81*")&gt;0,COUNTIF(I2412,"82*")&gt;0,COUNTIF(J2412,"*82*")&gt;0,COUNTIF(I2412,"64*")&gt;0,COUNTIF(J2412,"*64*")&gt;0,COUNTIF(I2412,"65*")&gt;0,COUNTIF(J2412,"*65*")&gt;0,COUNTIF(I2412,"66*")&gt;0,COUNTIF(J2412,"*66*")&gt;0,COUNTIF(I2412,"61*")&gt;0,COUNTIF(J2412,"*61*")&gt;0,COUNTIF(I2412,"62*")&gt;0,COUNTIF(J2412,"*62*")&gt;0,COUNTIF(I2412,"63*")&gt;0,COUNTIF(J2412,"*63*")&gt;0,COUNTIF(I2412,"85*")&gt;0,COUNTIF(J2412,"*85*")&gt;0,COUNTIF(I2412,"86*")&gt;0,COUNTIF(J2412,"*86*")&gt;0),"Да","Нет"))</f>
        <v/>
      </c>
      <c r="M2412" s="13">
        <f>IF(OR(G2412="",L2412&lt;&gt;"Да"),"",IF(G2412&lt;=100,"До 100",IF(G2412&lt;=200,"До 200",IF(G2412&lt;=500,"До 500","Отдельное КП"))))</f>
        <v/>
      </c>
      <c r="N2412" s="15">
        <f>IF(OR(G2412="",L2412&lt;&gt;"Да"),"",IF(G2412&lt;=100,33600,IF(G2412&lt;=200,62400,IF(G2412&lt;=500,144000,""))))</f>
        <v/>
      </c>
      <c r="O2412" s="16">
        <f>IF(G2412="","",IF(G2412&lt;=15,"1–15",IF(G2412&lt;=30,"16–30",IF(G2412&lt;=50,"31–50",IF(G2412&lt;=100,"51–100",IF(G2412&lt;=150,"101–150",IF(G2412&lt;=200,"151–200",IF(G2412&lt;=500,"201–500","500+"))))))))</f>
        <v/>
      </c>
      <c r="P2412" s="16" t="inlineStr">
        <is>
          <t>Нет совпадения в предоставленной выгрузке ССЧР</t>
        </is>
      </c>
      <c r="Q2412" s="16" t="n"/>
      <c r="R2412" s="16">
        <f>HYPERLINK("https://checko.ru/search?query=3801001629","Чекко: проверить")</f>
        <v/>
      </c>
      <c r="S2412" t="n">
        <v>0</v>
      </c>
    </row>
    <row r="2413" ht="15" customHeight="1" s="24">
      <c r="A2413" s="13" t="n">
        <v>5000094959</v>
      </c>
      <c r="B2413" s="13" t="inlineStr">
        <is>
          <t>МОУ"СОШ №4 им. Т.М.Энеева " с.п.Кенделен</t>
        </is>
      </c>
      <c r="C2413" s="13" t="n">
        <v>710056600</v>
      </c>
      <c r="D2413" s="13" t="n"/>
      <c r="E2413" s="13" t="inlineStr">
        <is>
          <t>Не определён</t>
        </is>
      </c>
      <c r="F2413" s="13" t="inlineStr">
        <is>
          <t>710056600</t>
        </is>
      </c>
      <c r="G2413" s="14" t="n"/>
      <c r="H2413" s="14" t="n"/>
      <c r="I2413" s="14" t="n"/>
      <c r="J2413" s="14" t="n"/>
      <c r="K2413" s="13">
        <f>IF(G2413="","",IF(G2413&gt;=22,"Да","Нет"))</f>
        <v/>
      </c>
      <c r="L2413" s="13">
        <f>IF(OR(I2413="",J2413=""),"Не определено",IF(OR(COUNTIF(I2413,"45*")&gt;0,COUNTIF(J2413,"*45*")&gt;0,COUNTIF(I2413,"46*")&gt;0,COUNTIF(J2413,"*46*")&gt;0,COUNTIF(I2413,"47*")&gt;0,COUNTIF(J2413,"*47*")&gt;0,COUNTIF(I2413,"10*")&gt;0,COUNTIF(J2413,"*10*")&gt;0,COUNTIF(I2413,"11*")&gt;0,COUNTIF(J2413,"*11*")&gt;0,COUNTIF(I2413,"12*")&gt;0,COUNTIF(J2413,"*12*")&gt;0,COUNTIF(I2413,"13*")&gt;0,COUNTIF(J2413,"*13*")&gt;0,COUNTIF(I2413,"14*")&gt;0,COUNTIF(J2413,"*14*")&gt;0,COUNTIF(I2413,"15*")&gt;0,COUNTIF(J2413,"*15*")&gt;0,COUNTIF(I2413,"16*")&gt;0,COUNTIF(J2413,"*16*")&gt;0,COUNTIF(I2413,"17*")&gt;0,COUNTIF(J2413,"*17*")&gt;0,COUNTIF(I2413,"18*")&gt;0,COUNTIF(J2413,"*18*")&gt;0,COUNTIF(I2413,"19*")&gt;0,COUNTIF(J2413,"*19*")&gt;0,COUNTIF(I2413,"20*")&gt;0,COUNTIF(J2413,"*20*")&gt;0,COUNTIF(I2413,"21*")&gt;0,COUNTIF(J2413,"*21*")&gt;0,COUNTIF(I2413,"22*")&gt;0,COUNTIF(J2413,"*22*")&gt;0,COUNTIF(I2413,"23*")&gt;0,COUNTIF(J2413,"*23*")&gt;0,COUNTIF(I2413,"24*")&gt;0,COUNTIF(J2413,"*24*")&gt;0,COUNTIF(I2413,"25*")&gt;0,COUNTIF(J2413,"*25*")&gt;0,COUNTIF(I2413,"26*")&gt;0,COUNTIF(J2413,"*26*")&gt;0,COUNTIF(I2413,"27*")&gt;0,COUNTIF(J2413,"*27*")&gt;0,COUNTIF(I2413,"28*")&gt;0,COUNTIF(J2413,"*28*")&gt;0,COUNTIF(I2413,"29*")&gt;0,COUNTIF(J2413,"*29*")&gt;0,COUNTIF(I2413,"30*")&gt;0,COUNTIF(J2413,"*30*")&gt;0,COUNTIF(I2413,"31*")&gt;0,COUNTIF(J2413,"*31*")&gt;0,COUNTIF(I2413,"32*")&gt;0,COUNTIF(J2413,"*32*")&gt;0,COUNTIF(I2413,"33*")&gt;0,COUNTIF(J2413,"*33*")&gt;0,COUNTIF(I2413,"41*")&gt;0,COUNTIF(J2413,"*41*")&gt;0,COUNTIF(I2413,"42*")&gt;0,COUNTIF(J2413,"*42*")&gt;0,COUNTIF(I2413,"43*")&gt;0,COUNTIF(J2413,"*43*")&gt;0,COUNTIF(I2413,"49*")&gt;0,COUNTIF(J2413,"*49*")&gt;0,COUNTIF(I2413,"52*")&gt;0,COUNTIF(J2413,"*52*")&gt;0,COUNTIF(I2413,"55*")&gt;0,COUNTIF(J2413,"*55*")&gt;0,COUNTIF(I2413,"56*")&gt;0,COUNTIF(J2413,"*56*")&gt;0,COUNTIF(I2413,"68*")&gt;0,COUNTIF(J2413,"*68*")&gt;0,COUNTIF(I2413,"78*")&gt;0,COUNTIF(J2413,"*78*")&gt;0,COUNTIF(I2413,"81*")&gt;0,COUNTIF(J2413,"*81*")&gt;0,COUNTIF(I2413,"82*")&gt;0,COUNTIF(J2413,"*82*")&gt;0,COUNTIF(I2413,"64*")&gt;0,COUNTIF(J2413,"*64*")&gt;0,COUNTIF(I2413,"65*")&gt;0,COUNTIF(J2413,"*65*")&gt;0,COUNTIF(I2413,"66*")&gt;0,COUNTIF(J2413,"*66*")&gt;0,COUNTIF(I2413,"61*")&gt;0,COUNTIF(J2413,"*61*")&gt;0,COUNTIF(I2413,"62*")&gt;0,COUNTIF(J2413,"*62*")&gt;0,COUNTIF(I2413,"63*")&gt;0,COUNTIF(J2413,"*63*")&gt;0,COUNTIF(I2413,"85*")&gt;0,COUNTIF(J2413,"*85*")&gt;0,COUNTIF(I2413,"86*")&gt;0,COUNTIF(J2413,"*86*")&gt;0),"Да","Нет"))</f>
        <v/>
      </c>
      <c r="M2413" s="13">
        <f>IF(OR(G2413="",L2413&lt;&gt;"Да"),"",IF(G2413&lt;=100,"До 100",IF(G2413&lt;=200,"До 200",IF(G2413&lt;=500,"До 500","Отдельное КП"))))</f>
        <v/>
      </c>
      <c r="N2413" s="15">
        <f>IF(OR(G2413="",L2413&lt;&gt;"Да"),"",IF(G2413&lt;=100,33600,IF(G2413&lt;=200,62400,IF(G2413&lt;=500,144000,""))))</f>
        <v/>
      </c>
      <c r="O2413" s="16">
        <f>IF(G2413="","",IF(G2413&lt;=15,"1–15",IF(G2413&lt;=30,"16–30",IF(G2413&lt;=50,"31–50",IF(G2413&lt;=100,"51–100",IF(G2413&lt;=150,"101–150",IF(G2413&lt;=200,"151–200",IF(G2413&lt;=500,"201–500","500+"))))))))</f>
        <v/>
      </c>
      <c r="P2413" s="16" t="inlineStr">
        <is>
          <t>Нет совпадения в предоставленной выгрузке ССЧР</t>
        </is>
      </c>
      <c r="Q2413" s="16" t="n"/>
      <c r="R2413" s="16">
        <f>HYPERLINK("https://checko.ru/search?query=3801001629","Чекко: проверить")</f>
        <v/>
      </c>
      <c r="S2413" t="n">
        <v>0</v>
      </c>
    </row>
    <row r="2414" ht="15" customHeight="1" s="24">
      <c r="A2414" s="13" t="n">
        <v>5000094960</v>
      </c>
      <c r="B2414" s="13" t="inlineStr">
        <is>
          <t>ГКУ "Эльбрусское лесничество"</t>
        </is>
      </c>
      <c r="C2414" s="13" t="n">
        <v>710056738</v>
      </c>
      <c r="D2414" s="13" t="n"/>
      <c r="E2414" s="13" t="inlineStr">
        <is>
          <t>Не определён</t>
        </is>
      </c>
      <c r="F2414" s="13" t="inlineStr">
        <is>
          <t>710056738</t>
        </is>
      </c>
      <c r="G2414" s="14" t="n"/>
      <c r="H2414" s="14" t="n"/>
      <c r="I2414" s="14" t="n"/>
      <c r="J2414" s="14" t="n"/>
      <c r="K2414" s="13">
        <f>IF(G2414="","",IF(G2414&gt;=22,"Да","Нет"))</f>
        <v/>
      </c>
      <c r="L2414" s="13">
        <f>IF(OR(I2414="",J2414=""),"Не определено",IF(OR(COUNTIF(I2414,"45*")&gt;0,COUNTIF(J2414,"*45*")&gt;0,COUNTIF(I2414,"46*")&gt;0,COUNTIF(J2414,"*46*")&gt;0,COUNTIF(I2414,"47*")&gt;0,COUNTIF(J2414,"*47*")&gt;0,COUNTIF(I2414,"10*")&gt;0,COUNTIF(J2414,"*10*")&gt;0,COUNTIF(I2414,"11*")&gt;0,COUNTIF(J2414,"*11*")&gt;0,COUNTIF(I2414,"12*")&gt;0,COUNTIF(J2414,"*12*")&gt;0,COUNTIF(I2414,"13*")&gt;0,COUNTIF(J2414,"*13*")&gt;0,COUNTIF(I2414,"14*")&gt;0,COUNTIF(J2414,"*14*")&gt;0,COUNTIF(I2414,"15*")&gt;0,COUNTIF(J2414,"*15*")&gt;0,COUNTIF(I2414,"16*")&gt;0,COUNTIF(J2414,"*16*")&gt;0,COUNTIF(I2414,"17*")&gt;0,COUNTIF(J2414,"*17*")&gt;0,COUNTIF(I2414,"18*")&gt;0,COUNTIF(J2414,"*18*")&gt;0,COUNTIF(I2414,"19*")&gt;0,COUNTIF(J2414,"*19*")&gt;0,COUNTIF(I2414,"20*")&gt;0,COUNTIF(J2414,"*20*")&gt;0,COUNTIF(I2414,"21*")&gt;0,COUNTIF(J2414,"*21*")&gt;0,COUNTIF(I2414,"22*")&gt;0,COUNTIF(J2414,"*22*")&gt;0,COUNTIF(I2414,"23*")&gt;0,COUNTIF(J2414,"*23*")&gt;0,COUNTIF(I2414,"24*")&gt;0,COUNTIF(J2414,"*24*")&gt;0,COUNTIF(I2414,"25*")&gt;0,COUNTIF(J2414,"*25*")&gt;0,COUNTIF(I2414,"26*")&gt;0,COUNTIF(J2414,"*26*")&gt;0,COUNTIF(I2414,"27*")&gt;0,COUNTIF(J2414,"*27*")&gt;0,COUNTIF(I2414,"28*")&gt;0,COUNTIF(J2414,"*28*")&gt;0,COUNTIF(I2414,"29*")&gt;0,COUNTIF(J2414,"*29*")&gt;0,COUNTIF(I2414,"30*")&gt;0,COUNTIF(J2414,"*30*")&gt;0,COUNTIF(I2414,"31*")&gt;0,COUNTIF(J2414,"*31*")&gt;0,COUNTIF(I2414,"32*")&gt;0,COUNTIF(J2414,"*32*")&gt;0,COUNTIF(I2414,"33*")&gt;0,COUNTIF(J2414,"*33*")&gt;0,COUNTIF(I2414,"41*")&gt;0,COUNTIF(J2414,"*41*")&gt;0,COUNTIF(I2414,"42*")&gt;0,COUNTIF(J2414,"*42*")&gt;0,COUNTIF(I2414,"43*")&gt;0,COUNTIF(J2414,"*43*")&gt;0,COUNTIF(I2414,"49*")&gt;0,COUNTIF(J2414,"*49*")&gt;0,COUNTIF(I2414,"52*")&gt;0,COUNTIF(J2414,"*52*")&gt;0,COUNTIF(I2414,"55*")&gt;0,COUNTIF(J2414,"*55*")&gt;0,COUNTIF(I2414,"56*")&gt;0,COUNTIF(J2414,"*56*")&gt;0,COUNTIF(I2414,"68*")&gt;0,COUNTIF(J2414,"*68*")&gt;0,COUNTIF(I2414,"78*")&gt;0,COUNTIF(J2414,"*78*")&gt;0,COUNTIF(I2414,"81*")&gt;0,COUNTIF(J2414,"*81*")&gt;0,COUNTIF(I2414,"82*")&gt;0,COUNTIF(J2414,"*82*")&gt;0,COUNTIF(I2414,"64*")&gt;0,COUNTIF(J2414,"*64*")&gt;0,COUNTIF(I2414,"65*")&gt;0,COUNTIF(J2414,"*65*")&gt;0,COUNTIF(I2414,"66*")&gt;0,COUNTIF(J2414,"*66*")&gt;0,COUNTIF(I2414,"61*")&gt;0,COUNTIF(J2414,"*61*")&gt;0,COUNTIF(I2414,"62*")&gt;0,COUNTIF(J2414,"*62*")&gt;0,COUNTIF(I2414,"63*")&gt;0,COUNTIF(J2414,"*63*")&gt;0,COUNTIF(I2414,"85*")&gt;0,COUNTIF(J2414,"*85*")&gt;0,COUNTIF(I2414,"86*")&gt;0,COUNTIF(J2414,"*86*")&gt;0),"Да","Нет"))</f>
        <v/>
      </c>
      <c r="M2414" s="13">
        <f>IF(OR(G2414="",L2414&lt;&gt;"Да"),"",IF(G2414&lt;=100,"До 100",IF(G2414&lt;=200,"До 200",IF(G2414&lt;=500,"До 500","Отдельное КП"))))</f>
        <v/>
      </c>
      <c r="N2414" s="15">
        <f>IF(OR(G2414="",L2414&lt;&gt;"Да"),"",IF(G2414&lt;=100,33600,IF(G2414&lt;=200,62400,IF(G2414&lt;=500,144000,""))))</f>
        <v/>
      </c>
      <c r="O2414" s="16">
        <f>IF(G2414="","",IF(G2414&lt;=15,"1–15",IF(G2414&lt;=30,"16–30",IF(G2414&lt;=50,"31–50",IF(G2414&lt;=100,"51–100",IF(G2414&lt;=150,"101–150",IF(G2414&lt;=200,"151–200",IF(G2414&lt;=500,"201–500","500+"))))))))</f>
        <v/>
      </c>
      <c r="P2414" s="16" t="inlineStr">
        <is>
          <t>Нет совпадения в предоставленной выгрузке ССЧР</t>
        </is>
      </c>
      <c r="Q2414" s="16" t="n"/>
      <c r="R2414" s="16">
        <f>HYPERLINK("https://checko.ru/search?query=3801001629","Чекко: проверить")</f>
        <v/>
      </c>
      <c r="S2414" t="n">
        <v>0</v>
      </c>
    </row>
    <row r="2415" ht="15" customHeight="1" s="24">
      <c r="A2415" s="13" t="n">
        <v>5000094961</v>
      </c>
      <c r="B2415" s="13" t="inlineStr">
        <is>
          <t>МКУ "УАИГ С.П.ЭЛЬБРУС"</t>
        </is>
      </c>
      <c r="C2415" s="13" t="n">
        <v>710056833</v>
      </c>
      <c r="D2415" s="13" t="n"/>
      <c r="E2415" s="13" t="inlineStr">
        <is>
          <t>Не определён</t>
        </is>
      </c>
      <c r="F2415" s="13" t="inlineStr">
        <is>
          <t>710056833</t>
        </is>
      </c>
      <c r="G2415" s="14" t="n"/>
      <c r="H2415" s="14" t="n"/>
      <c r="I2415" s="14" t="n"/>
      <c r="J2415" s="14" t="n"/>
      <c r="K2415" s="13">
        <f>IF(G2415="","",IF(G2415&gt;=22,"Да","Нет"))</f>
        <v/>
      </c>
      <c r="L2415" s="13">
        <f>IF(OR(I2415="",J2415=""),"Не определено",IF(OR(COUNTIF(I2415,"45*")&gt;0,COUNTIF(J2415,"*45*")&gt;0,COUNTIF(I2415,"46*")&gt;0,COUNTIF(J2415,"*46*")&gt;0,COUNTIF(I2415,"47*")&gt;0,COUNTIF(J2415,"*47*")&gt;0,COUNTIF(I2415,"10*")&gt;0,COUNTIF(J2415,"*10*")&gt;0,COUNTIF(I2415,"11*")&gt;0,COUNTIF(J2415,"*11*")&gt;0,COUNTIF(I2415,"12*")&gt;0,COUNTIF(J2415,"*12*")&gt;0,COUNTIF(I2415,"13*")&gt;0,COUNTIF(J2415,"*13*")&gt;0,COUNTIF(I2415,"14*")&gt;0,COUNTIF(J2415,"*14*")&gt;0,COUNTIF(I2415,"15*")&gt;0,COUNTIF(J2415,"*15*")&gt;0,COUNTIF(I2415,"16*")&gt;0,COUNTIF(J2415,"*16*")&gt;0,COUNTIF(I2415,"17*")&gt;0,COUNTIF(J2415,"*17*")&gt;0,COUNTIF(I2415,"18*")&gt;0,COUNTIF(J2415,"*18*")&gt;0,COUNTIF(I2415,"19*")&gt;0,COUNTIF(J2415,"*19*")&gt;0,COUNTIF(I2415,"20*")&gt;0,COUNTIF(J2415,"*20*")&gt;0,COUNTIF(I2415,"21*")&gt;0,COUNTIF(J2415,"*21*")&gt;0,COUNTIF(I2415,"22*")&gt;0,COUNTIF(J2415,"*22*")&gt;0,COUNTIF(I2415,"23*")&gt;0,COUNTIF(J2415,"*23*")&gt;0,COUNTIF(I2415,"24*")&gt;0,COUNTIF(J2415,"*24*")&gt;0,COUNTIF(I2415,"25*")&gt;0,COUNTIF(J2415,"*25*")&gt;0,COUNTIF(I2415,"26*")&gt;0,COUNTIF(J2415,"*26*")&gt;0,COUNTIF(I2415,"27*")&gt;0,COUNTIF(J2415,"*27*")&gt;0,COUNTIF(I2415,"28*")&gt;0,COUNTIF(J2415,"*28*")&gt;0,COUNTIF(I2415,"29*")&gt;0,COUNTIF(J2415,"*29*")&gt;0,COUNTIF(I2415,"30*")&gt;0,COUNTIF(J2415,"*30*")&gt;0,COUNTIF(I2415,"31*")&gt;0,COUNTIF(J2415,"*31*")&gt;0,COUNTIF(I2415,"32*")&gt;0,COUNTIF(J2415,"*32*")&gt;0,COUNTIF(I2415,"33*")&gt;0,COUNTIF(J2415,"*33*")&gt;0,COUNTIF(I2415,"41*")&gt;0,COUNTIF(J2415,"*41*")&gt;0,COUNTIF(I2415,"42*")&gt;0,COUNTIF(J2415,"*42*")&gt;0,COUNTIF(I2415,"43*")&gt;0,COUNTIF(J2415,"*43*")&gt;0,COUNTIF(I2415,"49*")&gt;0,COUNTIF(J2415,"*49*")&gt;0,COUNTIF(I2415,"52*")&gt;0,COUNTIF(J2415,"*52*")&gt;0,COUNTIF(I2415,"55*")&gt;0,COUNTIF(J2415,"*55*")&gt;0,COUNTIF(I2415,"56*")&gt;0,COUNTIF(J2415,"*56*")&gt;0,COUNTIF(I2415,"68*")&gt;0,COUNTIF(J2415,"*68*")&gt;0,COUNTIF(I2415,"78*")&gt;0,COUNTIF(J2415,"*78*")&gt;0,COUNTIF(I2415,"81*")&gt;0,COUNTIF(J2415,"*81*")&gt;0,COUNTIF(I2415,"82*")&gt;0,COUNTIF(J2415,"*82*")&gt;0,COUNTIF(I2415,"64*")&gt;0,COUNTIF(J2415,"*64*")&gt;0,COUNTIF(I2415,"65*")&gt;0,COUNTIF(J2415,"*65*")&gt;0,COUNTIF(I2415,"66*")&gt;0,COUNTIF(J2415,"*66*")&gt;0,COUNTIF(I2415,"61*")&gt;0,COUNTIF(J2415,"*61*")&gt;0,COUNTIF(I2415,"62*")&gt;0,COUNTIF(J2415,"*62*")&gt;0,COUNTIF(I2415,"63*")&gt;0,COUNTIF(J2415,"*63*")&gt;0,COUNTIF(I2415,"85*")&gt;0,COUNTIF(J2415,"*85*")&gt;0,COUNTIF(I2415,"86*")&gt;0,COUNTIF(J2415,"*86*")&gt;0),"Да","Нет"))</f>
        <v/>
      </c>
      <c r="M2415" s="13">
        <f>IF(OR(G2415="",L2415&lt;&gt;"Да"),"",IF(G2415&lt;=100,"До 100",IF(G2415&lt;=200,"До 200",IF(G2415&lt;=500,"До 500","Отдельное КП"))))</f>
        <v/>
      </c>
      <c r="N2415" s="15">
        <f>IF(OR(G2415="",L2415&lt;&gt;"Да"),"",IF(G2415&lt;=100,33600,IF(G2415&lt;=200,62400,IF(G2415&lt;=500,144000,""))))</f>
        <v/>
      </c>
      <c r="O2415" s="16">
        <f>IF(G2415="","",IF(G2415&lt;=15,"1–15",IF(G2415&lt;=30,"16–30",IF(G2415&lt;=50,"31–50",IF(G2415&lt;=100,"51–100",IF(G2415&lt;=150,"101–150",IF(G2415&lt;=200,"151–200",IF(G2415&lt;=500,"201–500","500+"))))))))</f>
        <v/>
      </c>
      <c r="P2415" s="16" t="inlineStr">
        <is>
          <t>Нет совпадения в предоставленной выгрузке ССЧР</t>
        </is>
      </c>
      <c r="Q2415" s="16" t="n"/>
      <c r="R2415" s="16">
        <f>HYPERLINK("https://checko.ru/search?query=3801001629","Чекко: проверить")</f>
        <v/>
      </c>
      <c r="S2415" t="n">
        <v>0</v>
      </c>
    </row>
    <row r="2416" ht="15" customHeight="1" s="24">
      <c r="A2416" s="13" t="n">
        <v>5000094962</v>
      </c>
      <c r="B2416" s="13" t="inlineStr">
        <is>
          <t>МКУ "Туристическая компания "Эльбрус Сервис"</t>
        </is>
      </c>
      <c r="C2416" s="13" t="n">
        <v>710057139</v>
      </c>
      <c r="D2416" s="13" t="n"/>
      <c r="E2416" s="13" t="inlineStr">
        <is>
          <t>Не определён</t>
        </is>
      </c>
      <c r="F2416" s="13" t="inlineStr">
        <is>
          <t>710057139</t>
        </is>
      </c>
      <c r="G2416" s="14" t="n"/>
      <c r="H2416" s="14" t="n"/>
      <c r="I2416" s="14" t="n"/>
      <c r="J2416" s="14" t="n"/>
      <c r="K2416" s="13">
        <f>IF(G2416="","",IF(G2416&gt;=22,"Да","Нет"))</f>
        <v/>
      </c>
      <c r="L2416" s="13">
        <f>IF(OR(I2416="",J2416=""),"Не определено",IF(OR(COUNTIF(I2416,"45*")&gt;0,COUNTIF(J2416,"*45*")&gt;0,COUNTIF(I2416,"46*")&gt;0,COUNTIF(J2416,"*46*")&gt;0,COUNTIF(I2416,"47*")&gt;0,COUNTIF(J2416,"*47*")&gt;0,COUNTIF(I2416,"10*")&gt;0,COUNTIF(J2416,"*10*")&gt;0,COUNTIF(I2416,"11*")&gt;0,COUNTIF(J2416,"*11*")&gt;0,COUNTIF(I2416,"12*")&gt;0,COUNTIF(J2416,"*12*")&gt;0,COUNTIF(I2416,"13*")&gt;0,COUNTIF(J2416,"*13*")&gt;0,COUNTIF(I2416,"14*")&gt;0,COUNTIF(J2416,"*14*")&gt;0,COUNTIF(I2416,"15*")&gt;0,COUNTIF(J2416,"*15*")&gt;0,COUNTIF(I2416,"16*")&gt;0,COUNTIF(J2416,"*16*")&gt;0,COUNTIF(I2416,"17*")&gt;0,COUNTIF(J2416,"*17*")&gt;0,COUNTIF(I2416,"18*")&gt;0,COUNTIF(J2416,"*18*")&gt;0,COUNTIF(I2416,"19*")&gt;0,COUNTIF(J2416,"*19*")&gt;0,COUNTIF(I2416,"20*")&gt;0,COUNTIF(J2416,"*20*")&gt;0,COUNTIF(I2416,"21*")&gt;0,COUNTIF(J2416,"*21*")&gt;0,COUNTIF(I2416,"22*")&gt;0,COUNTIF(J2416,"*22*")&gt;0,COUNTIF(I2416,"23*")&gt;0,COUNTIF(J2416,"*23*")&gt;0,COUNTIF(I2416,"24*")&gt;0,COUNTIF(J2416,"*24*")&gt;0,COUNTIF(I2416,"25*")&gt;0,COUNTIF(J2416,"*25*")&gt;0,COUNTIF(I2416,"26*")&gt;0,COUNTIF(J2416,"*26*")&gt;0,COUNTIF(I2416,"27*")&gt;0,COUNTIF(J2416,"*27*")&gt;0,COUNTIF(I2416,"28*")&gt;0,COUNTIF(J2416,"*28*")&gt;0,COUNTIF(I2416,"29*")&gt;0,COUNTIF(J2416,"*29*")&gt;0,COUNTIF(I2416,"30*")&gt;0,COUNTIF(J2416,"*30*")&gt;0,COUNTIF(I2416,"31*")&gt;0,COUNTIF(J2416,"*31*")&gt;0,COUNTIF(I2416,"32*")&gt;0,COUNTIF(J2416,"*32*")&gt;0,COUNTIF(I2416,"33*")&gt;0,COUNTIF(J2416,"*33*")&gt;0,COUNTIF(I2416,"41*")&gt;0,COUNTIF(J2416,"*41*")&gt;0,COUNTIF(I2416,"42*")&gt;0,COUNTIF(J2416,"*42*")&gt;0,COUNTIF(I2416,"43*")&gt;0,COUNTIF(J2416,"*43*")&gt;0,COUNTIF(I2416,"49*")&gt;0,COUNTIF(J2416,"*49*")&gt;0,COUNTIF(I2416,"52*")&gt;0,COUNTIF(J2416,"*52*")&gt;0,COUNTIF(I2416,"55*")&gt;0,COUNTIF(J2416,"*55*")&gt;0,COUNTIF(I2416,"56*")&gt;0,COUNTIF(J2416,"*56*")&gt;0,COUNTIF(I2416,"68*")&gt;0,COUNTIF(J2416,"*68*")&gt;0,COUNTIF(I2416,"78*")&gt;0,COUNTIF(J2416,"*78*")&gt;0,COUNTIF(I2416,"81*")&gt;0,COUNTIF(J2416,"*81*")&gt;0,COUNTIF(I2416,"82*")&gt;0,COUNTIF(J2416,"*82*")&gt;0,COUNTIF(I2416,"64*")&gt;0,COUNTIF(J2416,"*64*")&gt;0,COUNTIF(I2416,"65*")&gt;0,COUNTIF(J2416,"*65*")&gt;0,COUNTIF(I2416,"66*")&gt;0,COUNTIF(J2416,"*66*")&gt;0,COUNTIF(I2416,"61*")&gt;0,COUNTIF(J2416,"*61*")&gt;0,COUNTIF(I2416,"62*")&gt;0,COUNTIF(J2416,"*62*")&gt;0,COUNTIF(I2416,"63*")&gt;0,COUNTIF(J2416,"*63*")&gt;0,COUNTIF(I2416,"85*")&gt;0,COUNTIF(J2416,"*85*")&gt;0,COUNTIF(I2416,"86*")&gt;0,COUNTIF(J2416,"*86*")&gt;0),"Да","Нет"))</f>
        <v/>
      </c>
      <c r="M2416" s="13">
        <f>IF(OR(G2416="",L2416&lt;&gt;"Да"),"",IF(G2416&lt;=100,"До 100",IF(G2416&lt;=200,"До 200",IF(G2416&lt;=500,"До 500","Отдельное КП"))))</f>
        <v/>
      </c>
      <c r="N2416" s="15">
        <f>IF(OR(G2416="",L2416&lt;&gt;"Да"),"",IF(G2416&lt;=100,33600,IF(G2416&lt;=200,62400,IF(G2416&lt;=500,144000,""))))</f>
        <v/>
      </c>
      <c r="O2416" s="16">
        <f>IF(G2416="","",IF(G2416&lt;=15,"1–15",IF(G2416&lt;=30,"16–30",IF(G2416&lt;=50,"31–50",IF(G2416&lt;=100,"51–100",IF(G2416&lt;=150,"101–150",IF(G2416&lt;=200,"151–200",IF(G2416&lt;=500,"201–500","500+"))))))))</f>
        <v/>
      </c>
      <c r="P2416" s="16" t="inlineStr">
        <is>
          <t>Нет совпадения в предоставленной выгрузке ССЧР</t>
        </is>
      </c>
      <c r="Q2416" s="16" t="n"/>
      <c r="R2416" s="16">
        <f>HYPERLINK("https://checko.ru/search?query=3801001629","Чекко: проверить")</f>
        <v/>
      </c>
      <c r="S2416" t="n">
        <v>0</v>
      </c>
    </row>
    <row r="2417" ht="15" customHeight="1" s="24">
      <c r="A2417" s="13" t="n">
        <v>5000094963</v>
      </c>
      <c r="B2417" s="13" t="inlineStr">
        <is>
          <t>ГКУ КБР "Пансионат "Приэльбрусье"</t>
        </is>
      </c>
      <c r="C2417" s="13" t="n">
        <v>710057812</v>
      </c>
      <c r="D2417" s="13" t="n"/>
      <c r="E2417" s="13" t="inlineStr">
        <is>
          <t>Не определён</t>
        </is>
      </c>
      <c r="F2417" s="13" t="inlineStr">
        <is>
          <t>710057812</t>
        </is>
      </c>
      <c r="G2417" s="14" t="n"/>
      <c r="H2417" s="14" t="n"/>
      <c r="I2417" s="14" t="n"/>
      <c r="J2417" s="14" t="n"/>
      <c r="K2417" s="13">
        <f>IF(G2417="","",IF(G2417&gt;=22,"Да","Нет"))</f>
        <v/>
      </c>
      <c r="L2417" s="13">
        <f>IF(OR(I2417="",J2417=""),"Не определено",IF(OR(COUNTIF(I2417,"45*")&gt;0,COUNTIF(J2417,"*45*")&gt;0,COUNTIF(I2417,"46*")&gt;0,COUNTIF(J2417,"*46*")&gt;0,COUNTIF(I2417,"47*")&gt;0,COUNTIF(J2417,"*47*")&gt;0,COUNTIF(I2417,"10*")&gt;0,COUNTIF(J2417,"*10*")&gt;0,COUNTIF(I2417,"11*")&gt;0,COUNTIF(J2417,"*11*")&gt;0,COUNTIF(I2417,"12*")&gt;0,COUNTIF(J2417,"*12*")&gt;0,COUNTIF(I2417,"13*")&gt;0,COUNTIF(J2417,"*13*")&gt;0,COUNTIF(I2417,"14*")&gt;0,COUNTIF(J2417,"*14*")&gt;0,COUNTIF(I2417,"15*")&gt;0,COUNTIF(J2417,"*15*")&gt;0,COUNTIF(I2417,"16*")&gt;0,COUNTIF(J2417,"*16*")&gt;0,COUNTIF(I2417,"17*")&gt;0,COUNTIF(J2417,"*17*")&gt;0,COUNTIF(I2417,"18*")&gt;0,COUNTIF(J2417,"*18*")&gt;0,COUNTIF(I2417,"19*")&gt;0,COUNTIF(J2417,"*19*")&gt;0,COUNTIF(I2417,"20*")&gt;0,COUNTIF(J2417,"*20*")&gt;0,COUNTIF(I2417,"21*")&gt;0,COUNTIF(J2417,"*21*")&gt;0,COUNTIF(I2417,"22*")&gt;0,COUNTIF(J2417,"*22*")&gt;0,COUNTIF(I2417,"23*")&gt;0,COUNTIF(J2417,"*23*")&gt;0,COUNTIF(I2417,"24*")&gt;0,COUNTIF(J2417,"*24*")&gt;0,COUNTIF(I2417,"25*")&gt;0,COUNTIF(J2417,"*25*")&gt;0,COUNTIF(I2417,"26*")&gt;0,COUNTIF(J2417,"*26*")&gt;0,COUNTIF(I2417,"27*")&gt;0,COUNTIF(J2417,"*27*")&gt;0,COUNTIF(I2417,"28*")&gt;0,COUNTIF(J2417,"*28*")&gt;0,COUNTIF(I2417,"29*")&gt;0,COUNTIF(J2417,"*29*")&gt;0,COUNTIF(I2417,"30*")&gt;0,COUNTIF(J2417,"*30*")&gt;0,COUNTIF(I2417,"31*")&gt;0,COUNTIF(J2417,"*31*")&gt;0,COUNTIF(I2417,"32*")&gt;0,COUNTIF(J2417,"*32*")&gt;0,COUNTIF(I2417,"33*")&gt;0,COUNTIF(J2417,"*33*")&gt;0,COUNTIF(I2417,"41*")&gt;0,COUNTIF(J2417,"*41*")&gt;0,COUNTIF(I2417,"42*")&gt;0,COUNTIF(J2417,"*42*")&gt;0,COUNTIF(I2417,"43*")&gt;0,COUNTIF(J2417,"*43*")&gt;0,COUNTIF(I2417,"49*")&gt;0,COUNTIF(J2417,"*49*")&gt;0,COUNTIF(I2417,"52*")&gt;0,COUNTIF(J2417,"*52*")&gt;0,COUNTIF(I2417,"55*")&gt;0,COUNTIF(J2417,"*55*")&gt;0,COUNTIF(I2417,"56*")&gt;0,COUNTIF(J2417,"*56*")&gt;0,COUNTIF(I2417,"68*")&gt;0,COUNTIF(J2417,"*68*")&gt;0,COUNTIF(I2417,"78*")&gt;0,COUNTIF(J2417,"*78*")&gt;0,COUNTIF(I2417,"81*")&gt;0,COUNTIF(J2417,"*81*")&gt;0,COUNTIF(I2417,"82*")&gt;0,COUNTIF(J2417,"*82*")&gt;0,COUNTIF(I2417,"64*")&gt;0,COUNTIF(J2417,"*64*")&gt;0,COUNTIF(I2417,"65*")&gt;0,COUNTIF(J2417,"*65*")&gt;0,COUNTIF(I2417,"66*")&gt;0,COUNTIF(J2417,"*66*")&gt;0,COUNTIF(I2417,"61*")&gt;0,COUNTIF(J2417,"*61*")&gt;0,COUNTIF(I2417,"62*")&gt;0,COUNTIF(J2417,"*62*")&gt;0,COUNTIF(I2417,"63*")&gt;0,COUNTIF(J2417,"*63*")&gt;0,COUNTIF(I2417,"85*")&gt;0,COUNTIF(J2417,"*85*")&gt;0,COUNTIF(I2417,"86*")&gt;0,COUNTIF(J2417,"*86*")&gt;0),"Да","Нет"))</f>
        <v/>
      </c>
      <c r="M2417" s="13">
        <f>IF(OR(G2417="",L2417&lt;&gt;"Да"),"",IF(G2417&lt;=100,"До 100",IF(G2417&lt;=200,"До 200",IF(G2417&lt;=500,"До 500","Отдельное КП"))))</f>
        <v/>
      </c>
      <c r="N2417" s="15">
        <f>IF(OR(G2417="",L2417&lt;&gt;"Да"),"",IF(G2417&lt;=100,33600,IF(G2417&lt;=200,62400,IF(G2417&lt;=500,144000,""))))</f>
        <v/>
      </c>
      <c r="O2417" s="16">
        <f>IF(G2417="","",IF(G2417&lt;=15,"1–15",IF(G2417&lt;=30,"16–30",IF(G2417&lt;=50,"31–50",IF(G2417&lt;=100,"51–100",IF(G2417&lt;=150,"101–150",IF(G2417&lt;=200,"151–200",IF(G2417&lt;=500,"201–500","500+"))))))))</f>
        <v/>
      </c>
      <c r="P2417" s="16" t="inlineStr">
        <is>
          <t>Нет совпадения в предоставленной выгрузке ССЧР</t>
        </is>
      </c>
      <c r="Q2417" s="16" t="n"/>
      <c r="R2417" s="16">
        <f>HYPERLINK("https://checko.ru/search?query=3801001629","Чекко: проверить")</f>
        <v/>
      </c>
      <c r="S2417" t="n">
        <v>0</v>
      </c>
    </row>
    <row r="2418" ht="15" customHeight="1" s="24">
      <c r="A2418" s="13" t="n">
        <v>5000094964</v>
      </c>
      <c r="B2418" s="13" t="inlineStr">
        <is>
          <t>ГБУЗ "ЦРБ" Эльбрусского района</t>
        </is>
      </c>
      <c r="C2418" s="13" t="n">
        <v>710057876</v>
      </c>
      <c r="D2418" s="13" t="n"/>
      <c r="E2418" s="13" t="inlineStr">
        <is>
          <t>Не определён</t>
        </is>
      </c>
      <c r="F2418" s="13" t="inlineStr">
        <is>
          <t>710057876</t>
        </is>
      </c>
      <c r="G2418" s="14" t="n"/>
      <c r="H2418" s="14" t="n"/>
      <c r="I2418" s="14" t="n"/>
      <c r="J2418" s="14" t="n"/>
      <c r="K2418" s="13">
        <f>IF(G2418="","",IF(G2418&gt;=22,"Да","Нет"))</f>
        <v/>
      </c>
      <c r="L2418" s="13">
        <f>IF(OR(I2418="",J2418=""),"Не определено",IF(OR(COUNTIF(I2418,"45*")&gt;0,COUNTIF(J2418,"*45*")&gt;0,COUNTIF(I2418,"46*")&gt;0,COUNTIF(J2418,"*46*")&gt;0,COUNTIF(I2418,"47*")&gt;0,COUNTIF(J2418,"*47*")&gt;0,COUNTIF(I2418,"10*")&gt;0,COUNTIF(J2418,"*10*")&gt;0,COUNTIF(I2418,"11*")&gt;0,COUNTIF(J2418,"*11*")&gt;0,COUNTIF(I2418,"12*")&gt;0,COUNTIF(J2418,"*12*")&gt;0,COUNTIF(I2418,"13*")&gt;0,COUNTIF(J2418,"*13*")&gt;0,COUNTIF(I2418,"14*")&gt;0,COUNTIF(J2418,"*14*")&gt;0,COUNTIF(I2418,"15*")&gt;0,COUNTIF(J2418,"*15*")&gt;0,COUNTIF(I2418,"16*")&gt;0,COUNTIF(J2418,"*16*")&gt;0,COUNTIF(I2418,"17*")&gt;0,COUNTIF(J2418,"*17*")&gt;0,COUNTIF(I2418,"18*")&gt;0,COUNTIF(J2418,"*18*")&gt;0,COUNTIF(I2418,"19*")&gt;0,COUNTIF(J2418,"*19*")&gt;0,COUNTIF(I2418,"20*")&gt;0,COUNTIF(J2418,"*20*")&gt;0,COUNTIF(I2418,"21*")&gt;0,COUNTIF(J2418,"*21*")&gt;0,COUNTIF(I2418,"22*")&gt;0,COUNTIF(J2418,"*22*")&gt;0,COUNTIF(I2418,"23*")&gt;0,COUNTIF(J2418,"*23*")&gt;0,COUNTIF(I2418,"24*")&gt;0,COUNTIF(J2418,"*24*")&gt;0,COUNTIF(I2418,"25*")&gt;0,COUNTIF(J2418,"*25*")&gt;0,COUNTIF(I2418,"26*")&gt;0,COUNTIF(J2418,"*26*")&gt;0,COUNTIF(I2418,"27*")&gt;0,COUNTIF(J2418,"*27*")&gt;0,COUNTIF(I2418,"28*")&gt;0,COUNTIF(J2418,"*28*")&gt;0,COUNTIF(I2418,"29*")&gt;0,COUNTIF(J2418,"*29*")&gt;0,COUNTIF(I2418,"30*")&gt;0,COUNTIF(J2418,"*30*")&gt;0,COUNTIF(I2418,"31*")&gt;0,COUNTIF(J2418,"*31*")&gt;0,COUNTIF(I2418,"32*")&gt;0,COUNTIF(J2418,"*32*")&gt;0,COUNTIF(I2418,"33*")&gt;0,COUNTIF(J2418,"*33*")&gt;0,COUNTIF(I2418,"41*")&gt;0,COUNTIF(J2418,"*41*")&gt;0,COUNTIF(I2418,"42*")&gt;0,COUNTIF(J2418,"*42*")&gt;0,COUNTIF(I2418,"43*")&gt;0,COUNTIF(J2418,"*43*")&gt;0,COUNTIF(I2418,"49*")&gt;0,COUNTIF(J2418,"*49*")&gt;0,COUNTIF(I2418,"52*")&gt;0,COUNTIF(J2418,"*52*")&gt;0,COUNTIF(I2418,"55*")&gt;0,COUNTIF(J2418,"*55*")&gt;0,COUNTIF(I2418,"56*")&gt;0,COUNTIF(J2418,"*56*")&gt;0,COUNTIF(I2418,"68*")&gt;0,COUNTIF(J2418,"*68*")&gt;0,COUNTIF(I2418,"78*")&gt;0,COUNTIF(J2418,"*78*")&gt;0,COUNTIF(I2418,"81*")&gt;0,COUNTIF(J2418,"*81*")&gt;0,COUNTIF(I2418,"82*")&gt;0,COUNTIF(J2418,"*82*")&gt;0,COUNTIF(I2418,"64*")&gt;0,COUNTIF(J2418,"*64*")&gt;0,COUNTIF(I2418,"65*")&gt;0,COUNTIF(J2418,"*65*")&gt;0,COUNTIF(I2418,"66*")&gt;0,COUNTIF(J2418,"*66*")&gt;0,COUNTIF(I2418,"61*")&gt;0,COUNTIF(J2418,"*61*")&gt;0,COUNTIF(I2418,"62*")&gt;0,COUNTIF(J2418,"*62*")&gt;0,COUNTIF(I2418,"63*")&gt;0,COUNTIF(J2418,"*63*")&gt;0,COUNTIF(I2418,"85*")&gt;0,COUNTIF(J2418,"*85*")&gt;0,COUNTIF(I2418,"86*")&gt;0,COUNTIF(J2418,"*86*")&gt;0),"Да","Нет"))</f>
        <v/>
      </c>
      <c r="M2418" s="13">
        <f>IF(OR(G2418="",L2418&lt;&gt;"Да"),"",IF(G2418&lt;=100,"До 100",IF(G2418&lt;=200,"До 200",IF(G2418&lt;=500,"До 500","Отдельное КП"))))</f>
        <v/>
      </c>
      <c r="N2418" s="15">
        <f>IF(OR(G2418="",L2418&lt;&gt;"Да"),"",IF(G2418&lt;=100,33600,IF(G2418&lt;=200,62400,IF(G2418&lt;=500,144000,""))))</f>
        <v/>
      </c>
      <c r="O2418" s="16">
        <f>IF(G2418="","",IF(G2418&lt;=15,"1–15",IF(G2418&lt;=30,"16–30",IF(G2418&lt;=50,"31–50",IF(G2418&lt;=100,"51–100",IF(G2418&lt;=150,"101–150",IF(G2418&lt;=200,"151–200",IF(G2418&lt;=500,"201–500","500+"))))))))</f>
        <v/>
      </c>
      <c r="P2418" s="16" t="inlineStr">
        <is>
          <t>Нет совпадения в предоставленной выгрузке ССЧР</t>
        </is>
      </c>
      <c r="Q2418" s="16" t="n"/>
      <c r="R2418" s="16">
        <f>HYPERLINK("https://checko.ru/search?query=3801001629","Чекко: проверить")</f>
        <v/>
      </c>
      <c r="S2418" t="n">
        <v>0</v>
      </c>
    </row>
    <row r="2419" ht="15" customHeight="1" s="24">
      <c r="A2419" s="13" t="n">
        <v>5000094965</v>
      </c>
      <c r="B2419" s="13" t="inlineStr">
        <is>
          <t>КСП Эльбрусского района КБР</t>
        </is>
      </c>
      <c r="C2419" s="13" t="n">
        <v>710057918</v>
      </c>
      <c r="D2419" s="13" t="n"/>
      <c r="E2419" s="13" t="inlineStr">
        <is>
          <t>Не определён</t>
        </is>
      </c>
      <c r="F2419" s="13" t="inlineStr">
        <is>
          <t>710057918</t>
        </is>
      </c>
      <c r="G2419" s="14" t="n"/>
      <c r="H2419" s="14" t="n"/>
      <c r="I2419" s="14" t="n"/>
      <c r="J2419" s="14" t="n"/>
      <c r="K2419" s="13">
        <f>IF(G2419="","",IF(G2419&gt;=22,"Да","Нет"))</f>
        <v/>
      </c>
      <c r="L2419" s="13">
        <f>IF(OR(I2419="",J2419=""),"Не определено",IF(OR(COUNTIF(I2419,"45*")&gt;0,COUNTIF(J2419,"*45*")&gt;0,COUNTIF(I2419,"46*")&gt;0,COUNTIF(J2419,"*46*")&gt;0,COUNTIF(I2419,"47*")&gt;0,COUNTIF(J2419,"*47*")&gt;0,COUNTIF(I2419,"10*")&gt;0,COUNTIF(J2419,"*10*")&gt;0,COUNTIF(I2419,"11*")&gt;0,COUNTIF(J2419,"*11*")&gt;0,COUNTIF(I2419,"12*")&gt;0,COUNTIF(J2419,"*12*")&gt;0,COUNTIF(I2419,"13*")&gt;0,COUNTIF(J2419,"*13*")&gt;0,COUNTIF(I2419,"14*")&gt;0,COUNTIF(J2419,"*14*")&gt;0,COUNTIF(I2419,"15*")&gt;0,COUNTIF(J2419,"*15*")&gt;0,COUNTIF(I2419,"16*")&gt;0,COUNTIF(J2419,"*16*")&gt;0,COUNTIF(I2419,"17*")&gt;0,COUNTIF(J2419,"*17*")&gt;0,COUNTIF(I2419,"18*")&gt;0,COUNTIF(J2419,"*18*")&gt;0,COUNTIF(I2419,"19*")&gt;0,COUNTIF(J2419,"*19*")&gt;0,COUNTIF(I2419,"20*")&gt;0,COUNTIF(J2419,"*20*")&gt;0,COUNTIF(I2419,"21*")&gt;0,COUNTIF(J2419,"*21*")&gt;0,COUNTIF(I2419,"22*")&gt;0,COUNTIF(J2419,"*22*")&gt;0,COUNTIF(I2419,"23*")&gt;0,COUNTIF(J2419,"*23*")&gt;0,COUNTIF(I2419,"24*")&gt;0,COUNTIF(J2419,"*24*")&gt;0,COUNTIF(I2419,"25*")&gt;0,COUNTIF(J2419,"*25*")&gt;0,COUNTIF(I2419,"26*")&gt;0,COUNTIF(J2419,"*26*")&gt;0,COUNTIF(I2419,"27*")&gt;0,COUNTIF(J2419,"*27*")&gt;0,COUNTIF(I2419,"28*")&gt;0,COUNTIF(J2419,"*28*")&gt;0,COUNTIF(I2419,"29*")&gt;0,COUNTIF(J2419,"*29*")&gt;0,COUNTIF(I2419,"30*")&gt;0,COUNTIF(J2419,"*30*")&gt;0,COUNTIF(I2419,"31*")&gt;0,COUNTIF(J2419,"*31*")&gt;0,COUNTIF(I2419,"32*")&gt;0,COUNTIF(J2419,"*32*")&gt;0,COUNTIF(I2419,"33*")&gt;0,COUNTIF(J2419,"*33*")&gt;0,COUNTIF(I2419,"41*")&gt;0,COUNTIF(J2419,"*41*")&gt;0,COUNTIF(I2419,"42*")&gt;0,COUNTIF(J2419,"*42*")&gt;0,COUNTIF(I2419,"43*")&gt;0,COUNTIF(J2419,"*43*")&gt;0,COUNTIF(I2419,"49*")&gt;0,COUNTIF(J2419,"*49*")&gt;0,COUNTIF(I2419,"52*")&gt;0,COUNTIF(J2419,"*52*")&gt;0,COUNTIF(I2419,"55*")&gt;0,COUNTIF(J2419,"*55*")&gt;0,COUNTIF(I2419,"56*")&gt;0,COUNTIF(J2419,"*56*")&gt;0,COUNTIF(I2419,"68*")&gt;0,COUNTIF(J2419,"*68*")&gt;0,COUNTIF(I2419,"78*")&gt;0,COUNTIF(J2419,"*78*")&gt;0,COUNTIF(I2419,"81*")&gt;0,COUNTIF(J2419,"*81*")&gt;0,COUNTIF(I2419,"82*")&gt;0,COUNTIF(J2419,"*82*")&gt;0,COUNTIF(I2419,"64*")&gt;0,COUNTIF(J2419,"*64*")&gt;0,COUNTIF(I2419,"65*")&gt;0,COUNTIF(J2419,"*65*")&gt;0,COUNTIF(I2419,"66*")&gt;0,COUNTIF(J2419,"*66*")&gt;0,COUNTIF(I2419,"61*")&gt;0,COUNTIF(J2419,"*61*")&gt;0,COUNTIF(I2419,"62*")&gt;0,COUNTIF(J2419,"*62*")&gt;0,COUNTIF(I2419,"63*")&gt;0,COUNTIF(J2419,"*63*")&gt;0,COUNTIF(I2419,"85*")&gt;0,COUNTIF(J2419,"*85*")&gt;0,COUNTIF(I2419,"86*")&gt;0,COUNTIF(J2419,"*86*")&gt;0),"Да","Нет"))</f>
        <v/>
      </c>
      <c r="M2419" s="13">
        <f>IF(OR(G2419="",L2419&lt;&gt;"Да"),"",IF(G2419&lt;=100,"До 100",IF(G2419&lt;=200,"До 200",IF(G2419&lt;=500,"До 500","Отдельное КП"))))</f>
        <v/>
      </c>
      <c r="N2419" s="15">
        <f>IF(OR(G2419="",L2419&lt;&gt;"Да"),"",IF(G2419&lt;=100,33600,IF(G2419&lt;=200,62400,IF(G2419&lt;=500,144000,""))))</f>
        <v/>
      </c>
      <c r="O2419" s="16">
        <f>IF(G2419="","",IF(G2419&lt;=15,"1–15",IF(G2419&lt;=30,"16–30",IF(G2419&lt;=50,"31–50",IF(G2419&lt;=100,"51–100",IF(G2419&lt;=150,"101–150",IF(G2419&lt;=200,"151–200",IF(G2419&lt;=500,"201–500","500+"))))))))</f>
        <v/>
      </c>
      <c r="P2419" s="16" t="inlineStr">
        <is>
          <t>Нет совпадения в предоставленной выгрузке ССЧР</t>
        </is>
      </c>
      <c r="Q2419" s="16" t="n"/>
      <c r="R2419" s="16">
        <f>HYPERLINK("https://checko.ru/search?query=3801001629","Чекко: проверить")</f>
        <v/>
      </c>
      <c r="S2419" t="n">
        <v>0</v>
      </c>
    </row>
    <row r="2420" ht="15" customHeight="1" s="24">
      <c r="A2420" s="13" t="n">
        <v>5000094966</v>
      </c>
      <c r="B2420" s="13" t="inlineStr">
        <is>
          <t>ГАУ КБР "Профилакторий "Сокол"</t>
        </is>
      </c>
      <c r="C2420" s="13" t="n">
        <v>710058020</v>
      </c>
      <c r="D2420" s="13" t="n"/>
      <c r="E2420" s="13" t="inlineStr">
        <is>
          <t>Не определён</t>
        </is>
      </c>
      <c r="F2420" s="13" t="inlineStr">
        <is>
          <t>710058020</t>
        </is>
      </c>
      <c r="G2420" s="14" t="n"/>
      <c r="H2420" s="14" t="n"/>
      <c r="I2420" s="14" t="n"/>
      <c r="J2420" s="14" t="n"/>
      <c r="K2420" s="13">
        <f>IF(G2420="","",IF(G2420&gt;=22,"Да","Нет"))</f>
        <v/>
      </c>
      <c r="L2420" s="13">
        <f>IF(OR(I2420="",J2420=""),"Не определено",IF(OR(COUNTIF(I2420,"45*")&gt;0,COUNTIF(J2420,"*45*")&gt;0,COUNTIF(I2420,"46*")&gt;0,COUNTIF(J2420,"*46*")&gt;0,COUNTIF(I2420,"47*")&gt;0,COUNTIF(J2420,"*47*")&gt;0,COUNTIF(I2420,"10*")&gt;0,COUNTIF(J2420,"*10*")&gt;0,COUNTIF(I2420,"11*")&gt;0,COUNTIF(J2420,"*11*")&gt;0,COUNTIF(I2420,"12*")&gt;0,COUNTIF(J2420,"*12*")&gt;0,COUNTIF(I2420,"13*")&gt;0,COUNTIF(J2420,"*13*")&gt;0,COUNTIF(I2420,"14*")&gt;0,COUNTIF(J2420,"*14*")&gt;0,COUNTIF(I2420,"15*")&gt;0,COUNTIF(J2420,"*15*")&gt;0,COUNTIF(I2420,"16*")&gt;0,COUNTIF(J2420,"*16*")&gt;0,COUNTIF(I2420,"17*")&gt;0,COUNTIF(J2420,"*17*")&gt;0,COUNTIF(I2420,"18*")&gt;0,COUNTIF(J2420,"*18*")&gt;0,COUNTIF(I2420,"19*")&gt;0,COUNTIF(J2420,"*19*")&gt;0,COUNTIF(I2420,"20*")&gt;0,COUNTIF(J2420,"*20*")&gt;0,COUNTIF(I2420,"21*")&gt;0,COUNTIF(J2420,"*21*")&gt;0,COUNTIF(I2420,"22*")&gt;0,COUNTIF(J2420,"*22*")&gt;0,COUNTIF(I2420,"23*")&gt;0,COUNTIF(J2420,"*23*")&gt;0,COUNTIF(I2420,"24*")&gt;0,COUNTIF(J2420,"*24*")&gt;0,COUNTIF(I2420,"25*")&gt;0,COUNTIF(J2420,"*25*")&gt;0,COUNTIF(I2420,"26*")&gt;0,COUNTIF(J2420,"*26*")&gt;0,COUNTIF(I2420,"27*")&gt;0,COUNTIF(J2420,"*27*")&gt;0,COUNTIF(I2420,"28*")&gt;0,COUNTIF(J2420,"*28*")&gt;0,COUNTIF(I2420,"29*")&gt;0,COUNTIF(J2420,"*29*")&gt;0,COUNTIF(I2420,"30*")&gt;0,COUNTIF(J2420,"*30*")&gt;0,COUNTIF(I2420,"31*")&gt;0,COUNTIF(J2420,"*31*")&gt;0,COUNTIF(I2420,"32*")&gt;0,COUNTIF(J2420,"*32*")&gt;0,COUNTIF(I2420,"33*")&gt;0,COUNTIF(J2420,"*33*")&gt;0,COUNTIF(I2420,"41*")&gt;0,COUNTIF(J2420,"*41*")&gt;0,COUNTIF(I2420,"42*")&gt;0,COUNTIF(J2420,"*42*")&gt;0,COUNTIF(I2420,"43*")&gt;0,COUNTIF(J2420,"*43*")&gt;0,COUNTIF(I2420,"49*")&gt;0,COUNTIF(J2420,"*49*")&gt;0,COUNTIF(I2420,"52*")&gt;0,COUNTIF(J2420,"*52*")&gt;0,COUNTIF(I2420,"55*")&gt;0,COUNTIF(J2420,"*55*")&gt;0,COUNTIF(I2420,"56*")&gt;0,COUNTIF(J2420,"*56*")&gt;0,COUNTIF(I2420,"68*")&gt;0,COUNTIF(J2420,"*68*")&gt;0,COUNTIF(I2420,"78*")&gt;0,COUNTIF(J2420,"*78*")&gt;0,COUNTIF(I2420,"81*")&gt;0,COUNTIF(J2420,"*81*")&gt;0,COUNTIF(I2420,"82*")&gt;0,COUNTIF(J2420,"*82*")&gt;0,COUNTIF(I2420,"64*")&gt;0,COUNTIF(J2420,"*64*")&gt;0,COUNTIF(I2420,"65*")&gt;0,COUNTIF(J2420,"*65*")&gt;0,COUNTIF(I2420,"66*")&gt;0,COUNTIF(J2420,"*66*")&gt;0,COUNTIF(I2420,"61*")&gt;0,COUNTIF(J2420,"*61*")&gt;0,COUNTIF(I2420,"62*")&gt;0,COUNTIF(J2420,"*62*")&gt;0,COUNTIF(I2420,"63*")&gt;0,COUNTIF(J2420,"*63*")&gt;0,COUNTIF(I2420,"85*")&gt;0,COUNTIF(J2420,"*85*")&gt;0,COUNTIF(I2420,"86*")&gt;0,COUNTIF(J2420,"*86*")&gt;0),"Да","Нет"))</f>
        <v/>
      </c>
      <c r="M2420" s="13">
        <f>IF(OR(G2420="",L2420&lt;&gt;"Да"),"",IF(G2420&lt;=100,"До 100",IF(G2420&lt;=200,"До 200",IF(G2420&lt;=500,"До 500","Отдельное КП"))))</f>
        <v/>
      </c>
      <c r="N2420" s="15">
        <f>IF(OR(G2420="",L2420&lt;&gt;"Да"),"",IF(G2420&lt;=100,33600,IF(G2420&lt;=200,62400,IF(G2420&lt;=500,144000,""))))</f>
        <v/>
      </c>
      <c r="O2420" s="16">
        <f>IF(G2420="","",IF(G2420&lt;=15,"1–15",IF(G2420&lt;=30,"16–30",IF(G2420&lt;=50,"31–50",IF(G2420&lt;=100,"51–100",IF(G2420&lt;=150,"101–150",IF(G2420&lt;=200,"151–200",IF(G2420&lt;=500,"201–500","500+"))))))))</f>
        <v/>
      </c>
      <c r="P2420" s="16" t="inlineStr">
        <is>
          <t>Нет совпадения в предоставленной выгрузке ССЧР</t>
        </is>
      </c>
      <c r="Q2420" s="16" t="n"/>
      <c r="R2420" s="16">
        <f>HYPERLINK("https://checko.ru/search?query=3801001629","Чекко: проверить")</f>
        <v/>
      </c>
      <c r="S2420" t="n">
        <v>0</v>
      </c>
    </row>
    <row r="2421" ht="27.75" customHeight="1" s="24">
      <c r="A2421" s="13" t="n">
        <v>5000094968</v>
      </c>
      <c r="B2421" s="13" t="inlineStr">
        <is>
          <t>МКУ "ДДХиБ" Местной администрации городского округа Нальчик</t>
        </is>
      </c>
      <c r="C2421" s="13" t="n">
        <v>711007324</v>
      </c>
      <c r="D2421" s="13" t="n"/>
      <c r="E2421" s="13" t="inlineStr">
        <is>
          <t>Не определён</t>
        </is>
      </c>
      <c r="F2421" s="13" t="inlineStr">
        <is>
          <t>711007324</t>
        </is>
      </c>
      <c r="G2421" s="14" t="n"/>
      <c r="H2421" s="14" t="n"/>
      <c r="I2421" s="14" t="n"/>
      <c r="J2421" s="14" t="n"/>
      <c r="K2421" s="13">
        <f>IF(G2421="","",IF(G2421&gt;=22,"Да","Нет"))</f>
        <v/>
      </c>
      <c r="L2421" s="13">
        <f>IF(OR(I2421="",J2421=""),"Не определено",IF(OR(COUNTIF(I2421,"45*")&gt;0,COUNTIF(J2421,"*45*")&gt;0,COUNTIF(I2421,"46*")&gt;0,COUNTIF(J2421,"*46*")&gt;0,COUNTIF(I2421,"47*")&gt;0,COUNTIF(J2421,"*47*")&gt;0,COUNTIF(I2421,"10*")&gt;0,COUNTIF(J2421,"*10*")&gt;0,COUNTIF(I2421,"11*")&gt;0,COUNTIF(J2421,"*11*")&gt;0,COUNTIF(I2421,"12*")&gt;0,COUNTIF(J2421,"*12*")&gt;0,COUNTIF(I2421,"13*")&gt;0,COUNTIF(J2421,"*13*")&gt;0,COUNTIF(I2421,"14*")&gt;0,COUNTIF(J2421,"*14*")&gt;0,COUNTIF(I2421,"15*")&gt;0,COUNTIF(J2421,"*15*")&gt;0,COUNTIF(I2421,"16*")&gt;0,COUNTIF(J2421,"*16*")&gt;0,COUNTIF(I2421,"17*")&gt;0,COUNTIF(J2421,"*17*")&gt;0,COUNTIF(I2421,"18*")&gt;0,COUNTIF(J2421,"*18*")&gt;0,COUNTIF(I2421,"19*")&gt;0,COUNTIF(J2421,"*19*")&gt;0,COUNTIF(I2421,"20*")&gt;0,COUNTIF(J2421,"*20*")&gt;0,COUNTIF(I2421,"21*")&gt;0,COUNTIF(J2421,"*21*")&gt;0,COUNTIF(I2421,"22*")&gt;0,COUNTIF(J2421,"*22*")&gt;0,COUNTIF(I2421,"23*")&gt;0,COUNTIF(J2421,"*23*")&gt;0,COUNTIF(I2421,"24*")&gt;0,COUNTIF(J2421,"*24*")&gt;0,COUNTIF(I2421,"25*")&gt;0,COUNTIF(J2421,"*25*")&gt;0,COUNTIF(I2421,"26*")&gt;0,COUNTIF(J2421,"*26*")&gt;0,COUNTIF(I2421,"27*")&gt;0,COUNTIF(J2421,"*27*")&gt;0,COUNTIF(I2421,"28*")&gt;0,COUNTIF(J2421,"*28*")&gt;0,COUNTIF(I2421,"29*")&gt;0,COUNTIF(J2421,"*29*")&gt;0,COUNTIF(I2421,"30*")&gt;0,COUNTIF(J2421,"*30*")&gt;0,COUNTIF(I2421,"31*")&gt;0,COUNTIF(J2421,"*31*")&gt;0,COUNTIF(I2421,"32*")&gt;0,COUNTIF(J2421,"*32*")&gt;0,COUNTIF(I2421,"33*")&gt;0,COUNTIF(J2421,"*33*")&gt;0,COUNTIF(I2421,"41*")&gt;0,COUNTIF(J2421,"*41*")&gt;0,COUNTIF(I2421,"42*")&gt;0,COUNTIF(J2421,"*42*")&gt;0,COUNTIF(I2421,"43*")&gt;0,COUNTIF(J2421,"*43*")&gt;0,COUNTIF(I2421,"49*")&gt;0,COUNTIF(J2421,"*49*")&gt;0,COUNTIF(I2421,"52*")&gt;0,COUNTIF(J2421,"*52*")&gt;0,COUNTIF(I2421,"55*")&gt;0,COUNTIF(J2421,"*55*")&gt;0,COUNTIF(I2421,"56*")&gt;0,COUNTIF(J2421,"*56*")&gt;0,COUNTIF(I2421,"68*")&gt;0,COUNTIF(J2421,"*68*")&gt;0,COUNTIF(I2421,"78*")&gt;0,COUNTIF(J2421,"*78*")&gt;0,COUNTIF(I2421,"81*")&gt;0,COUNTIF(J2421,"*81*")&gt;0,COUNTIF(I2421,"82*")&gt;0,COUNTIF(J2421,"*82*")&gt;0,COUNTIF(I2421,"64*")&gt;0,COUNTIF(J2421,"*64*")&gt;0,COUNTIF(I2421,"65*")&gt;0,COUNTIF(J2421,"*65*")&gt;0,COUNTIF(I2421,"66*")&gt;0,COUNTIF(J2421,"*66*")&gt;0,COUNTIF(I2421,"61*")&gt;0,COUNTIF(J2421,"*61*")&gt;0,COUNTIF(I2421,"62*")&gt;0,COUNTIF(J2421,"*62*")&gt;0,COUNTIF(I2421,"63*")&gt;0,COUNTIF(J2421,"*63*")&gt;0,COUNTIF(I2421,"85*")&gt;0,COUNTIF(J2421,"*85*")&gt;0,COUNTIF(I2421,"86*")&gt;0,COUNTIF(J2421,"*86*")&gt;0),"Да","Нет"))</f>
        <v/>
      </c>
      <c r="M2421" s="13">
        <f>IF(OR(G2421="",L2421&lt;&gt;"Да"),"",IF(G2421&lt;=100,"До 100",IF(G2421&lt;=200,"До 200",IF(G2421&lt;=500,"До 500","Отдельное КП"))))</f>
        <v/>
      </c>
      <c r="N2421" s="15">
        <f>IF(OR(G2421="",L2421&lt;&gt;"Да"),"",IF(G2421&lt;=100,33600,IF(G2421&lt;=200,62400,IF(G2421&lt;=500,144000,""))))</f>
        <v/>
      </c>
      <c r="O2421" s="16">
        <f>IF(G2421="","",IF(G2421&lt;=15,"1–15",IF(G2421&lt;=30,"16–30",IF(G2421&lt;=50,"31–50",IF(G2421&lt;=100,"51–100",IF(G2421&lt;=150,"101–150",IF(G2421&lt;=200,"151–200",IF(G2421&lt;=500,"201–500","500+"))))))))</f>
        <v/>
      </c>
      <c r="P2421" s="16" t="inlineStr">
        <is>
          <t>Нет совпадения в предоставленной выгрузке ССЧР</t>
        </is>
      </c>
      <c r="Q2421" s="16" t="n"/>
      <c r="R2421" s="16">
        <f>HYPERLINK("https://checko.ru/search?query=3801001629","Чекко: проверить")</f>
        <v/>
      </c>
      <c r="S2421" t="n">
        <v>0</v>
      </c>
    </row>
    <row r="2422" ht="15" customHeight="1" s="24">
      <c r="A2422" s="13" t="n">
        <v>5000094970</v>
      </c>
      <c r="B2422" s="13" t="inlineStr">
        <is>
          <t>ГКУК "КБР театр кукол"</t>
        </is>
      </c>
      <c r="C2422" s="13" t="n">
        <v>711025073</v>
      </c>
      <c r="D2422" s="13" t="n"/>
      <c r="E2422" s="13" t="inlineStr">
        <is>
          <t>Не определён</t>
        </is>
      </c>
      <c r="F2422" s="13" t="inlineStr">
        <is>
          <t>711025073</t>
        </is>
      </c>
      <c r="G2422" s="14" t="n"/>
      <c r="H2422" s="14" t="n"/>
      <c r="I2422" s="14" t="n"/>
      <c r="J2422" s="14" t="n"/>
      <c r="K2422" s="13">
        <f>IF(G2422="","",IF(G2422&gt;=22,"Да","Нет"))</f>
        <v/>
      </c>
      <c r="L2422" s="13">
        <f>IF(OR(I2422="",J2422=""),"Не определено",IF(OR(COUNTIF(I2422,"45*")&gt;0,COUNTIF(J2422,"*45*")&gt;0,COUNTIF(I2422,"46*")&gt;0,COUNTIF(J2422,"*46*")&gt;0,COUNTIF(I2422,"47*")&gt;0,COUNTIF(J2422,"*47*")&gt;0,COUNTIF(I2422,"10*")&gt;0,COUNTIF(J2422,"*10*")&gt;0,COUNTIF(I2422,"11*")&gt;0,COUNTIF(J2422,"*11*")&gt;0,COUNTIF(I2422,"12*")&gt;0,COUNTIF(J2422,"*12*")&gt;0,COUNTIF(I2422,"13*")&gt;0,COUNTIF(J2422,"*13*")&gt;0,COUNTIF(I2422,"14*")&gt;0,COUNTIF(J2422,"*14*")&gt;0,COUNTIF(I2422,"15*")&gt;0,COUNTIF(J2422,"*15*")&gt;0,COUNTIF(I2422,"16*")&gt;0,COUNTIF(J2422,"*16*")&gt;0,COUNTIF(I2422,"17*")&gt;0,COUNTIF(J2422,"*17*")&gt;0,COUNTIF(I2422,"18*")&gt;0,COUNTIF(J2422,"*18*")&gt;0,COUNTIF(I2422,"19*")&gt;0,COUNTIF(J2422,"*19*")&gt;0,COUNTIF(I2422,"20*")&gt;0,COUNTIF(J2422,"*20*")&gt;0,COUNTIF(I2422,"21*")&gt;0,COUNTIF(J2422,"*21*")&gt;0,COUNTIF(I2422,"22*")&gt;0,COUNTIF(J2422,"*22*")&gt;0,COUNTIF(I2422,"23*")&gt;0,COUNTIF(J2422,"*23*")&gt;0,COUNTIF(I2422,"24*")&gt;0,COUNTIF(J2422,"*24*")&gt;0,COUNTIF(I2422,"25*")&gt;0,COUNTIF(J2422,"*25*")&gt;0,COUNTIF(I2422,"26*")&gt;0,COUNTIF(J2422,"*26*")&gt;0,COUNTIF(I2422,"27*")&gt;0,COUNTIF(J2422,"*27*")&gt;0,COUNTIF(I2422,"28*")&gt;0,COUNTIF(J2422,"*28*")&gt;0,COUNTIF(I2422,"29*")&gt;0,COUNTIF(J2422,"*29*")&gt;0,COUNTIF(I2422,"30*")&gt;0,COUNTIF(J2422,"*30*")&gt;0,COUNTIF(I2422,"31*")&gt;0,COUNTIF(J2422,"*31*")&gt;0,COUNTIF(I2422,"32*")&gt;0,COUNTIF(J2422,"*32*")&gt;0,COUNTIF(I2422,"33*")&gt;0,COUNTIF(J2422,"*33*")&gt;0,COUNTIF(I2422,"41*")&gt;0,COUNTIF(J2422,"*41*")&gt;0,COUNTIF(I2422,"42*")&gt;0,COUNTIF(J2422,"*42*")&gt;0,COUNTIF(I2422,"43*")&gt;0,COUNTIF(J2422,"*43*")&gt;0,COUNTIF(I2422,"49*")&gt;0,COUNTIF(J2422,"*49*")&gt;0,COUNTIF(I2422,"52*")&gt;0,COUNTIF(J2422,"*52*")&gt;0,COUNTIF(I2422,"55*")&gt;0,COUNTIF(J2422,"*55*")&gt;0,COUNTIF(I2422,"56*")&gt;0,COUNTIF(J2422,"*56*")&gt;0,COUNTIF(I2422,"68*")&gt;0,COUNTIF(J2422,"*68*")&gt;0,COUNTIF(I2422,"78*")&gt;0,COUNTIF(J2422,"*78*")&gt;0,COUNTIF(I2422,"81*")&gt;0,COUNTIF(J2422,"*81*")&gt;0,COUNTIF(I2422,"82*")&gt;0,COUNTIF(J2422,"*82*")&gt;0,COUNTIF(I2422,"64*")&gt;0,COUNTIF(J2422,"*64*")&gt;0,COUNTIF(I2422,"65*")&gt;0,COUNTIF(J2422,"*65*")&gt;0,COUNTIF(I2422,"66*")&gt;0,COUNTIF(J2422,"*66*")&gt;0,COUNTIF(I2422,"61*")&gt;0,COUNTIF(J2422,"*61*")&gt;0,COUNTIF(I2422,"62*")&gt;0,COUNTIF(J2422,"*62*")&gt;0,COUNTIF(I2422,"63*")&gt;0,COUNTIF(J2422,"*63*")&gt;0,COUNTIF(I2422,"85*")&gt;0,COUNTIF(J2422,"*85*")&gt;0,COUNTIF(I2422,"86*")&gt;0,COUNTIF(J2422,"*86*")&gt;0),"Да","Нет"))</f>
        <v/>
      </c>
      <c r="M2422" s="13">
        <f>IF(OR(G2422="",L2422&lt;&gt;"Да"),"",IF(G2422&lt;=100,"До 100",IF(G2422&lt;=200,"До 200",IF(G2422&lt;=500,"До 500","Отдельное КП"))))</f>
        <v/>
      </c>
      <c r="N2422" s="15">
        <f>IF(OR(G2422="",L2422&lt;&gt;"Да"),"",IF(G2422&lt;=100,33600,IF(G2422&lt;=200,62400,IF(G2422&lt;=500,144000,""))))</f>
        <v/>
      </c>
      <c r="O2422" s="16">
        <f>IF(G2422="","",IF(G2422&lt;=15,"1–15",IF(G2422&lt;=30,"16–30",IF(G2422&lt;=50,"31–50",IF(G2422&lt;=100,"51–100",IF(G2422&lt;=150,"101–150",IF(G2422&lt;=200,"151–200",IF(G2422&lt;=500,"201–500","500+"))))))))</f>
        <v/>
      </c>
      <c r="P2422" s="16" t="inlineStr">
        <is>
          <t>Нет совпадения в предоставленной выгрузке ССЧР</t>
        </is>
      </c>
      <c r="Q2422" s="16" t="n"/>
      <c r="R2422" s="16">
        <f>HYPERLINK("https://checko.ru/search?query=3801001629","Чекко: проверить")</f>
        <v/>
      </c>
      <c r="S2422" t="n">
        <v>0</v>
      </c>
    </row>
    <row r="2423" ht="15" customHeight="1" s="24">
      <c r="A2423" s="13" t="n">
        <v>5000094973</v>
      </c>
      <c r="B2423" s="13" t="inlineStr">
        <is>
          <t>ГКУК "Кабардинский театр"</t>
        </is>
      </c>
      <c r="C2423" s="13" t="n">
        <v>711031528</v>
      </c>
      <c r="D2423" s="13" t="n"/>
      <c r="E2423" s="13" t="inlineStr">
        <is>
          <t>Не определён</t>
        </is>
      </c>
      <c r="F2423" s="13" t="inlineStr">
        <is>
          <t>711031528</t>
        </is>
      </c>
      <c r="G2423" s="14" t="n"/>
      <c r="H2423" s="14" t="n"/>
      <c r="I2423" s="14" t="n"/>
      <c r="J2423" s="14" t="n"/>
      <c r="K2423" s="13">
        <f>IF(G2423="","",IF(G2423&gt;=22,"Да","Нет"))</f>
        <v/>
      </c>
      <c r="L2423" s="13">
        <f>IF(OR(I2423="",J2423=""),"Не определено",IF(OR(COUNTIF(I2423,"45*")&gt;0,COUNTIF(J2423,"*45*")&gt;0,COUNTIF(I2423,"46*")&gt;0,COUNTIF(J2423,"*46*")&gt;0,COUNTIF(I2423,"47*")&gt;0,COUNTIF(J2423,"*47*")&gt;0,COUNTIF(I2423,"10*")&gt;0,COUNTIF(J2423,"*10*")&gt;0,COUNTIF(I2423,"11*")&gt;0,COUNTIF(J2423,"*11*")&gt;0,COUNTIF(I2423,"12*")&gt;0,COUNTIF(J2423,"*12*")&gt;0,COUNTIF(I2423,"13*")&gt;0,COUNTIF(J2423,"*13*")&gt;0,COUNTIF(I2423,"14*")&gt;0,COUNTIF(J2423,"*14*")&gt;0,COUNTIF(I2423,"15*")&gt;0,COUNTIF(J2423,"*15*")&gt;0,COUNTIF(I2423,"16*")&gt;0,COUNTIF(J2423,"*16*")&gt;0,COUNTIF(I2423,"17*")&gt;0,COUNTIF(J2423,"*17*")&gt;0,COUNTIF(I2423,"18*")&gt;0,COUNTIF(J2423,"*18*")&gt;0,COUNTIF(I2423,"19*")&gt;0,COUNTIF(J2423,"*19*")&gt;0,COUNTIF(I2423,"20*")&gt;0,COUNTIF(J2423,"*20*")&gt;0,COUNTIF(I2423,"21*")&gt;0,COUNTIF(J2423,"*21*")&gt;0,COUNTIF(I2423,"22*")&gt;0,COUNTIF(J2423,"*22*")&gt;0,COUNTIF(I2423,"23*")&gt;0,COUNTIF(J2423,"*23*")&gt;0,COUNTIF(I2423,"24*")&gt;0,COUNTIF(J2423,"*24*")&gt;0,COUNTIF(I2423,"25*")&gt;0,COUNTIF(J2423,"*25*")&gt;0,COUNTIF(I2423,"26*")&gt;0,COUNTIF(J2423,"*26*")&gt;0,COUNTIF(I2423,"27*")&gt;0,COUNTIF(J2423,"*27*")&gt;0,COUNTIF(I2423,"28*")&gt;0,COUNTIF(J2423,"*28*")&gt;0,COUNTIF(I2423,"29*")&gt;0,COUNTIF(J2423,"*29*")&gt;0,COUNTIF(I2423,"30*")&gt;0,COUNTIF(J2423,"*30*")&gt;0,COUNTIF(I2423,"31*")&gt;0,COUNTIF(J2423,"*31*")&gt;0,COUNTIF(I2423,"32*")&gt;0,COUNTIF(J2423,"*32*")&gt;0,COUNTIF(I2423,"33*")&gt;0,COUNTIF(J2423,"*33*")&gt;0,COUNTIF(I2423,"41*")&gt;0,COUNTIF(J2423,"*41*")&gt;0,COUNTIF(I2423,"42*")&gt;0,COUNTIF(J2423,"*42*")&gt;0,COUNTIF(I2423,"43*")&gt;0,COUNTIF(J2423,"*43*")&gt;0,COUNTIF(I2423,"49*")&gt;0,COUNTIF(J2423,"*49*")&gt;0,COUNTIF(I2423,"52*")&gt;0,COUNTIF(J2423,"*52*")&gt;0,COUNTIF(I2423,"55*")&gt;0,COUNTIF(J2423,"*55*")&gt;0,COUNTIF(I2423,"56*")&gt;0,COUNTIF(J2423,"*56*")&gt;0,COUNTIF(I2423,"68*")&gt;0,COUNTIF(J2423,"*68*")&gt;0,COUNTIF(I2423,"78*")&gt;0,COUNTIF(J2423,"*78*")&gt;0,COUNTIF(I2423,"81*")&gt;0,COUNTIF(J2423,"*81*")&gt;0,COUNTIF(I2423,"82*")&gt;0,COUNTIF(J2423,"*82*")&gt;0,COUNTIF(I2423,"64*")&gt;0,COUNTIF(J2423,"*64*")&gt;0,COUNTIF(I2423,"65*")&gt;0,COUNTIF(J2423,"*65*")&gt;0,COUNTIF(I2423,"66*")&gt;0,COUNTIF(J2423,"*66*")&gt;0,COUNTIF(I2423,"61*")&gt;0,COUNTIF(J2423,"*61*")&gt;0,COUNTIF(I2423,"62*")&gt;0,COUNTIF(J2423,"*62*")&gt;0,COUNTIF(I2423,"63*")&gt;0,COUNTIF(J2423,"*63*")&gt;0,COUNTIF(I2423,"85*")&gt;0,COUNTIF(J2423,"*85*")&gt;0,COUNTIF(I2423,"86*")&gt;0,COUNTIF(J2423,"*86*")&gt;0),"Да","Нет"))</f>
        <v/>
      </c>
      <c r="M2423" s="13">
        <f>IF(OR(G2423="",L2423&lt;&gt;"Да"),"",IF(G2423&lt;=100,"До 100",IF(G2423&lt;=200,"До 200",IF(G2423&lt;=500,"До 500","Отдельное КП"))))</f>
        <v/>
      </c>
      <c r="N2423" s="15">
        <f>IF(OR(G2423="",L2423&lt;&gt;"Да"),"",IF(G2423&lt;=100,33600,IF(G2423&lt;=200,62400,IF(G2423&lt;=500,144000,""))))</f>
        <v/>
      </c>
      <c r="O2423" s="16">
        <f>IF(G2423="","",IF(G2423&lt;=15,"1–15",IF(G2423&lt;=30,"16–30",IF(G2423&lt;=50,"31–50",IF(G2423&lt;=100,"51–100",IF(G2423&lt;=150,"101–150",IF(G2423&lt;=200,"151–200",IF(G2423&lt;=500,"201–500","500+"))))))))</f>
        <v/>
      </c>
      <c r="P2423" s="16" t="inlineStr">
        <is>
          <t>Нет совпадения в предоставленной выгрузке ССЧР</t>
        </is>
      </c>
      <c r="Q2423" s="16" t="n"/>
      <c r="R2423" s="16">
        <f>HYPERLINK("https://checko.ru/search?query=3801001629","Чекко: проверить")</f>
        <v/>
      </c>
      <c r="S2423" t="n">
        <v>0</v>
      </c>
    </row>
    <row r="2424" ht="15" customHeight="1" s="24">
      <c r="A2424" s="13" t="n">
        <v>5000094974</v>
      </c>
      <c r="B2424" s="13" t="inlineStr">
        <is>
          <t>Парламент КБР</t>
        </is>
      </c>
      <c r="C2424" s="13" t="n">
        <v>711031630</v>
      </c>
      <c r="D2424" s="13" t="n"/>
      <c r="E2424" s="13" t="inlineStr">
        <is>
          <t>Не определён</t>
        </is>
      </c>
      <c r="F2424" s="13" t="inlineStr">
        <is>
          <t>711031630</t>
        </is>
      </c>
      <c r="G2424" s="14" t="n"/>
      <c r="H2424" s="14" t="n"/>
      <c r="I2424" s="14" t="n"/>
      <c r="J2424" s="14" t="n"/>
      <c r="K2424" s="13">
        <f>IF(G2424="","",IF(G2424&gt;=22,"Да","Нет"))</f>
        <v/>
      </c>
      <c r="L2424" s="13">
        <f>IF(OR(I2424="",J2424=""),"Не определено",IF(OR(COUNTIF(I2424,"45*")&gt;0,COUNTIF(J2424,"*45*")&gt;0,COUNTIF(I2424,"46*")&gt;0,COUNTIF(J2424,"*46*")&gt;0,COUNTIF(I2424,"47*")&gt;0,COUNTIF(J2424,"*47*")&gt;0,COUNTIF(I2424,"10*")&gt;0,COUNTIF(J2424,"*10*")&gt;0,COUNTIF(I2424,"11*")&gt;0,COUNTIF(J2424,"*11*")&gt;0,COUNTIF(I2424,"12*")&gt;0,COUNTIF(J2424,"*12*")&gt;0,COUNTIF(I2424,"13*")&gt;0,COUNTIF(J2424,"*13*")&gt;0,COUNTIF(I2424,"14*")&gt;0,COUNTIF(J2424,"*14*")&gt;0,COUNTIF(I2424,"15*")&gt;0,COUNTIF(J2424,"*15*")&gt;0,COUNTIF(I2424,"16*")&gt;0,COUNTIF(J2424,"*16*")&gt;0,COUNTIF(I2424,"17*")&gt;0,COUNTIF(J2424,"*17*")&gt;0,COUNTIF(I2424,"18*")&gt;0,COUNTIF(J2424,"*18*")&gt;0,COUNTIF(I2424,"19*")&gt;0,COUNTIF(J2424,"*19*")&gt;0,COUNTIF(I2424,"20*")&gt;0,COUNTIF(J2424,"*20*")&gt;0,COUNTIF(I2424,"21*")&gt;0,COUNTIF(J2424,"*21*")&gt;0,COUNTIF(I2424,"22*")&gt;0,COUNTIF(J2424,"*22*")&gt;0,COUNTIF(I2424,"23*")&gt;0,COUNTIF(J2424,"*23*")&gt;0,COUNTIF(I2424,"24*")&gt;0,COUNTIF(J2424,"*24*")&gt;0,COUNTIF(I2424,"25*")&gt;0,COUNTIF(J2424,"*25*")&gt;0,COUNTIF(I2424,"26*")&gt;0,COUNTIF(J2424,"*26*")&gt;0,COUNTIF(I2424,"27*")&gt;0,COUNTIF(J2424,"*27*")&gt;0,COUNTIF(I2424,"28*")&gt;0,COUNTIF(J2424,"*28*")&gt;0,COUNTIF(I2424,"29*")&gt;0,COUNTIF(J2424,"*29*")&gt;0,COUNTIF(I2424,"30*")&gt;0,COUNTIF(J2424,"*30*")&gt;0,COUNTIF(I2424,"31*")&gt;0,COUNTIF(J2424,"*31*")&gt;0,COUNTIF(I2424,"32*")&gt;0,COUNTIF(J2424,"*32*")&gt;0,COUNTIF(I2424,"33*")&gt;0,COUNTIF(J2424,"*33*")&gt;0,COUNTIF(I2424,"41*")&gt;0,COUNTIF(J2424,"*41*")&gt;0,COUNTIF(I2424,"42*")&gt;0,COUNTIF(J2424,"*42*")&gt;0,COUNTIF(I2424,"43*")&gt;0,COUNTIF(J2424,"*43*")&gt;0,COUNTIF(I2424,"49*")&gt;0,COUNTIF(J2424,"*49*")&gt;0,COUNTIF(I2424,"52*")&gt;0,COUNTIF(J2424,"*52*")&gt;0,COUNTIF(I2424,"55*")&gt;0,COUNTIF(J2424,"*55*")&gt;0,COUNTIF(I2424,"56*")&gt;0,COUNTIF(J2424,"*56*")&gt;0,COUNTIF(I2424,"68*")&gt;0,COUNTIF(J2424,"*68*")&gt;0,COUNTIF(I2424,"78*")&gt;0,COUNTIF(J2424,"*78*")&gt;0,COUNTIF(I2424,"81*")&gt;0,COUNTIF(J2424,"*81*")&gt;0,COUNTIF(I2424,"82*")&gt;0,COUNTIF(J2424,"*82*")&gt;0,COUNTIF(I2424,"64*")&gt;0,COUNTIF(J2424,"*64*")&gt;0,COUNTIF(I2424,"65*")&gt;0,COUNTIF(J2424,"*65*")&gt;0,COUNTIF(I2424,"66*")&gt;0,COUNTIF(J2424,"*66*")&gt;0,COUNTIF(I2424,"61*")&gt;0,COUNTIF(J2424,"*61*")&gt;0,COUNTIF(I2424,"62*")&gt;0,COUNTIF(J2424,"*62*")&gt;0,COUNTIF(I2424,"63*")&gt;0,COUNTIF(J2424,"*63*")&gt;0,COUNTIF(I2424,"85*")&gt;0,COUNTIF(J2424,"*85*")&gt;0,COUNTIF(I2424,"86*")&gt;0,COUNTIF(J2424,"*86*")&gt;0),"Да","Нет"))</f>
        <v/>
      </c>
      <c r="M2424" s="13">
        <f>IF(OR(G2424="",L2424&lt;&gt;"Да"),"",IF(G2424&lt;=100,"До 100",IF(G2424&lt;=200,"До 200",IF(G2424&lt;=500,"До 500","Отдельное КП"))))</f>
        <v/>
      </c>
      <c r="N2424" s="15">
        <f>IF(OR(G2424="",L2424&lt;&gt;"Да"),"",IF(G2424&lt;=100,33600,IF(G2424&lt;=200,62400,IF(G2424&lt;=500,144000,""))))</f>
        <v/>
      </c>
      <c r="O2424" s="16">
        <f>IF(G2424="","",IF(G2424&lt;=15,"1–15",IF(G2424&lt;=30,"16–30",IF(G2424&lt;=50,"31–50",IF(G2424&lt;=100,"51–100",IF(G2424&lt;=150,"101–150",IF(G2424&lt;=200,"151–200",IF(G2424&lt;=500,"201–500","500+"))))))))</f>
        <v/>
      </c>
      <c r="P2424" s="16" t="inlineStr">
        <is>
          <t>Нет совпадения в предоставленной выгрузке ССЧР</t>
        </is>
      </c>
      <c r="Q2424" s="16" t="n"/>
      <c r="R2424" s="16">
        <f>HYPERLINK("https://checko.ru/search?query=3801001629","Чекко: проверить")</f>
        <v/>
      </c>
      <c r="S2424" t="n">
        <v>0</v>
      </c>
    </row>
    <row r="2425" ht="15" customHeight="1" s="24">
      <c r="A2425" s="13" t="n">
        <v>5000094978</v>
      </c>
      <c r="B2425" s="13" t="inlineStr">
        <is>
          <t>Минпросвещения КБР</t>
        </is>
      </c>
      <c r="C2425" s="13" t="n">
        <v>711033902</v>
      </c>
      <c r="D2425" s="13" t="n"/>
      <c r="E2425" s="13" t="inlineStr">
        <is>
          <t>Не определён</t>
        </is>
      </c>
      <c r="F2425" s="13" t="inlineStr">
        <is>
          <t>711033902</t>
        </is>
      </c>
      <c r="G2425" s="14" t="n"/>
      <c r="H2425" s="14" t="n"/>
      <c r="I2425" s="14" t="n"/>
      <c r="J2425" s="14" t="n"/>
      <c r="K2425" s="13">
        <f>IF(G2425="","",IF(G2425&gt;=22,"Да","Нет"))</f>
        <v/>
      </c>
      <c r="L2425" s="13">
        <f>IF(OR(I2425="",J2425=""),"Не определено",IF(OR(COUNTIF(I2425,"45*")&gt;0,COUNTIF(J2425,"*45*")&gt;0,COUNTIF(I2425,"46*")&gt;0,COUNTIF(J2425,"*46*")&gt;0,COUNTIF(I2425,"47*")&gt;0,COUNTIF(J2425,"*47*")&gt;0,COUNTIF(I2425,"10*")&gt;0,COUNTIF(J2425,"*10*")&gt;0,COUNTIF(I2425,"11*")&gt;0,COUNTIF(J2425,"*11*")&gt;0,COUNTIF(I2425,"12*")&gt;0,COUNTIF(J2425,"*12*")&gt;0,COUNTIF(I2425,"13*")&gt;0,COUNTIF(J2425,"*13*")&gt;0,COUNTIF(I2425,"14*")&gt;0,COUNTIF(J2425,"*14*")&gt;0,COUNTIF(I2425,"15*")&gt;0,COUNTIF(J2425,"*15*")&gt;0,COUNTIF(I2425,"16*")&gt;0,COUNTIF(J2425,"*16*")&gt;0,COUNTIF(I2425,"17*")&gt;0,COUNTIF(J2425,"*17*")&gt;0,COUNTIF(I2425,"18*")&gt;0,COUNTIF(J2425,"*18*")&gt;0,COUNTIF(I2425,"19*")&gt;0,COUNTIF(J2425,"*19*")&gt;0,COUNTIF(I2425,"20*")&gt;0,COUNTIF(J2425,"*20*")&gt;0,COUNTIF(I2425,"21*")&gt;0,COUNTIF(J2425,"*21*")&gt;0,COUNTIF(I2425,"22*")&gt;0,COUNTIF(J2425,"*22*")&gt;0,COUNTIF(I2425,"23*")&gt;0,COUNTIF(J2425,"*23*")&gt;0,COUNTIF(I2425,"24*")&gt;0,COUNTIF(J2425,"*24*")&gt;0,COUNTIF(I2425,"25*")&gt;0,COUNTIF(J2425,"*25*")&gt;0,COUNTIF(I2425,"26*")&gt;0,COUNTIF(J2425,"*26*")&gt;0,COUNTIF(I2425,"27*")&gt;0,COUNTIF(J2425,"*27*")&gt;0,COUNTIF(I2425,"28*")&gt;0,COUNTIF(J2425,"*28*")&gt;0,COUNTIF(I2425,"29*")&gt;0,COUNTIF(J2425,"*29*")&gt;0,COUNTIF(I2425,"30*")&gt;0,COUNTIF(J2425,"*30*")&gt;0,COUNTIF(I2425,"31*")&gt;0,COUNTIF(J2425,"*31*")&gt;0,COUNTIF(I2425,"32*")&gt;0,COUNTIF(J2425,"*32*")&gt;0,COUNTIF(I2425,"33*")&gt;0,COUNTIF(J2425,"*33*")&gt;0,COUNTIF(I2425,"41*")&gt;0,COUNTIF(J2425,"*41*")&gt;0,COUNTIF(I2425,"42*")&gt;0,COUNTIF(J2425,"*42*")&gt;0,COUNTIF(I2425,"43*")&gt;0,COUNTIF(J2425,"*43*")&gt;0,COUNTIF(I2425,"49*")&gt;0,COUNTIF(J2425,"*49*")&gt;0,COUNTIF(I2425,"52*")&gt;0,COUNTIF(J2425,"*52*")&gt;0,COUNTIF(I2425,"55*")&gt;0,COUNTIF(J2425,"*55*")&gt;0,COUNTIF(I2425,"56*")&gt;0,COUNTIF(J2425,"*56*")&gt;0,COUNTIF(I2425,"68*")&gt;0,COUNTIF(J2425,"*68*")&gt;0,COUNTIF(I2425,"78*")&gt;0,COUNTIF(J2425,"*78*")&gt;0,COUNTIF(I2425,"81*")&gt;0,COUNTIF(J2425,"*81*")&gt;0,COUNTIF(I2425,"82*")&gt;0,COUNTIF(J2425,"*82*")&gt;0,COUNTIF(I2425,"64*")&gt;0,COUNTIF(J2425,"*64*")&gt;0,COUNTIF(I2425,"65*")&gt;0,COUNTIF(J2425,"*65*")&gt;0,COUNTIF(I2425,"66*")&gt;0,COUNTIF(J2425,"*66*")&gt;0,COUNTIF(I2425,"61*")&gt;0,COUNTIF(J2425,"*61*")&gt;0,COUNTIF(I2425,"62*")&gt;0,COUNTIF(J2425,"*62*")&gt;0,COUNTIF(I2425,"63*")&gt;0,COUNTIF(J2425,"*63*")&gt;0,COUNTIF(I2425,"85*")&gt;0,COUNTIF(J2425,"*85*")&gt;0,COUNTIF(I2425,"86*")&gt;0,COUNTIF(J2425,"*86*")&gt;0),"Да","Нет"))</f>
        <v/>
      </c>
      <c r="M2425" s="13">
        <f>IF(OR(G2425="",L2425&lt;&gt;"Да"),"",IF(G2425&lt;=100,"До 100",IF(G2425&lt;=200,"До 200",IF(G2425&lt;=500,"До 500","Отдельное КП"))))</f>
        <v/>
      </c>
      <c r="N2425" s="15">
        <f>IF(OR(G2425="",L2425&lt;&gt;"Да"),"",IF(G2425&lt;=100,33600,IF(G2425&lt;=200,62400,IF(G2425&lt;=500,144000,""))))</f>
        <v/>
      </c>
      <c r="O2425" s="16">
        <f>IF(G2425="","",IF(G2425&lt;=15,"1–15",IF(G2425&lt;=30,"16–30",IF(G2425&lt;=50,"31–50",IF(G2425&lt;=100,"51–100",IF(G2425&lt;=150,"101–150",IF(G2425&lt;=200,"151–200",IF(G2425&lt;=500,"201–500","500+"))))))))</f>
        <v/>
      </c>
      <c r="P2425" s="16" t="inlineStr">
        <is>
          <t>Нет совпадения в предоставленной выгрузке ССЧР</t>
        </is>
      </c>
      <c r="Q2425" s="16" t="n"/>
      <c r="R2425" s="16">
        <f>HYPERLINK("https://checko.ru/search?query=3801001629","Чекко: проверить")</f>
        <v/>
      </c>
      <c r="S2425" t="n">
        <v>0</v>
      </c>
    </row>
    <row r="2426" ht="15" customHeight="1" s="24">
      <c r="A2426" s="13" t="n">
        <v>5000094980</v>
      </c>
      <c r="B2426" s="13" t="inlineStr">
        <is>
          <t>ГБУЗ "БСМЭ" Минздрава КБР</t>
        </is>
      </c>
      <c r="C2426" s="13" t="n">
        <v>711034141</v>
      </c>
      <c r="D2426" s="13" t="n"/>
      <c r="E2426" s="13" t="inlineStr">
        <is>
          <t>Не определён</t>
        </is>
      </c>
      <c r="F2426" s="13" t="inlineStr">
        <is>
          <t>711034141</t>
        </is>
      </c>
      <c r="G2426" s="14" t="n"/>
      <c r="H2426" s="14" t="n"/>
      <c r="I2426" s="14" t="n"/>
      <c r="J2426" s="14" t="n"/>
      <c r="K2426" s="13">
        <f>IF(G2426="","",IF(G2426&gt;=22,"Да","Нет"))</f>
        <v/>
      </c>
      <c r="L2426" s="13">
        <f>IF(OR(I2426="",J2426=""),"Не определено",IF(OR(COUNTIF(I2426,"45*")&gt;0,COUNTIF(J2426,"*45*")&gt;0,COUNTIF(I2426,"46*")&gt;0,COUNTIF(J2426,"*46*")&gt;0,COUNTIF(I2426,"47*")&gt;0,COUNTIF(J2426,"*47*")&gt;0,COUNTIF(I2426,"10*")&gt;0,COUNTIF(J2426,"*10*")&gt;0,COUNTIF(I2426,"11*")&gt;0,COUNTIF(J2426,"*11*")&gt;0,COUNTIF(I2426,"12*")&gt;0,COUNTIF(J2426,"*12*")&gt;0,COUNTIF(I2426,"13*")&gt;0,COUNTIF(J2426,"*13*")&gt;0,COUNTIF(I2426,"14*")&gt;0,COUNTIF(J2426,"*14*")&gt;0,COUNTIF(I2426,"15*")&gt;0,COUNTIF(J2426,"*15*")&gt;0,COUNTIF(I2426,"16*")&gt;0,COUNTIF(J2426,"*16*")&gt;0,COUNTIF(I2426,"17*")&gt;0,COUNTIF(J2426,"*17*")&gt;0,COUNTIF(I2426,"18*")&gt;0,COUNTIF(J2426,"*18*")&gt;0,COUNTIF(I2426,"19*")&gt;0,COUNTIF(J2426,"*19*")&gt;0,COUNTIF(I2426,"20*")&gt;0,COUNTIF(J2426,"*20*")&gt;0,COUNTIF(I2426,"21*")&gt;0,COUNTIF(J2426,"*21*")&gt;0,COUNTIF(I2426,"22*")&gt;0,COUNTIF(J2426,"*22*")&gt;0,COUNTIF(I2426,"23*")&gt;0,COUNTIF(J2426,"*23*")&gt;0,COUNTIF(I2426,"24*")&gt;0,COUNTIF(J2426,"*24*")&gt;0,COUNTIF(I2426,"25*")&gt;0,COUNTIF(J2426,"*25*")&gt;0,COUNTIF(I2426,"26*")&gt;0,COUNTIF(J2426,"*26*")&gt;0,COUNTIF(I2426,"27*")&gt;0,COUNTIF(J2426,"*27*")&gt;0,COUNTIF(I2426,"28*")&gt;0,COUNTIF(J2426,"*28*")&gt;0,COUNTIF(I2426,"29*")&gt;0,COUNTIF(J2426,"*29*")&gt;0,COUNTIF(I2426,"30*")&gt;0,COUNTIF(J2426,"*30*")&gt;0,COUNTIF(I2426,"31*")&gt;0,COUNTIF(J2426,"*31*")&gt;0,COUNTIF(I2426,"32*")&gt;0,COUNTIF(J2426,"*32*")&gt;0,COUNTIF(I2426,"33*")&gt;0,COUNTIF(J2426,"*33*")&gt;0,COUNTIF(I2426,"41*")&gt;0,COUNTIF(J2426,"*41*")&gt;0,COUNTIF(I2426,"42*")&gt;0,COUNTIF(J2426,"*42*")&gt;0,COUNTIF(I2426,"43*")&gt;0,COUNTIF(J2426,"*43*")&gt;0,COUNTIF(I2426,"49*")&gt;0,COUNTIF(J2426,"*49*")&gt;0,COUNTIF(I2426,"52*")&gt;0,COUNTIF(J2426,"*52*")&gt;0,COUNTIF(I2426,"55*")&gt;0,COUNTIF(J2426,"*55*")&gt;0,COUNTIF(I2426,"56*")&gt;0,COUNTIF(J2426,"*56*")&gt;0,COUNTIF(I2426,"68*")&gt;0,COUNTIF(J2426,"*68*")&gt;0,COUNTIF(I2426,"78*")&gt;0,COUNTIF(J2426,"*78*")&gt;0,COUNTIF(I2426,"81*")&gt;0,COUNTIF(J2426,"*81*")&gt;0,COUNTIF(I2426,"82*")&gt;0,COUNTIF(J2426,"*82*")&gt;0,COUNTIF(I2426,"64*")&gt;0,COUNTIF(J2426,"*64*")&gt;0,COUNTIF(I2426,"65*")&gt;0,COUNTIF(J2426,"*65*")&gt;0,COUNTIF(I2426,"66*")&gt;0,COUNTIF(J2426,"*66*")&gt;0,COUNTIF(I2426,"61*")&gt;0,COUNTIF(J2426,"*61*")&gt;0,COUNTIF(I2426,"62*")&gt;0,COUNTIF(J2426,"*62*")&gt;0,COUNTIF(I2426,"63*")&gt;0,COUNTIF(J2426,"*63*")&gt;0,COUNTIF(I2426,"85*")&gt;0,COUNTIF(J2426,"*85*")&gt;0,COUNTIF(I2426,"86*")&gt;0,COUNTIF(J2426,"*86*")&gt;0),"Да","Нет"))</f>
        <v/>
      </c>
      <c r="M2426" s="13">
        <f>IF(OR(G2426="",L2426&lt;&gt;"Да"),"",IF(G2426&lt;=100,"До 100",IF(G2426&lt;=200,"До 200",IF(G2426&lt;=500,"До 500","Отдельное КП"))))</f>
        <v/>
      </c>
      <c r="N2426" s="15">
        <f>IF(OR(G2426="",L2426&lt;&gt;"Да"),"",IF(G2426&lt;=100,33600,IF(G2426&lt;=200,62400,IF(G2426&lt;=500,144000,""))))</f>
        <v/>
      </c>
      <c r="O2426" s="16">
        <f>IF(G2426="","",IF(G2426&lt;=15,"1–15",IF(G2426&lt;=30,"16–30",IF(G2426&lt;=50,"31–50",IF(G2426&lt;=100,"51–100",IF(G2426&lt;=150,"101–150",IF(G2426&lt;=200,"151–200",IF(G2426&lt;=500,"201–500","500+"))))))))</f>
        <v/>
      </c>
      <c r="P2426" s="16" t="inlineStr">
        <is>
          <t>Нет совпадения в предоставленной выгрузке ССЧР</t>
        </is>
      </c>
      <c r="Q2426" s="16" t="n"/>
      <c r="R2426" s="16">
        <f>HYPERLINK("https://checko.ru/search?query=3801001629","Чекко: проверить")</f>
        <v/>
      </c>
      <c r="S2426" t="n">
        <v>0</v>
      </c>
    </row>
    <row r="2427" ht="27.75" customHeight="1" s="24">
      <c r="A2427" s="13" t="n">
        <v>5000094981</v>
      </c>
      <c r="B2427" s="13" t="inlineStr">
        <is>
          <t>ГКУЗ "Станция переливания крови" Минздрава КБР</t>
        </is>
      </c>
      <c r="C2427" s="13" t="n">
        <v>711034617</v>
      </c>
      <c r="D2427" s="13" t="n"/>
      <c r="E2427" s="13" t="inlineStr">
        <is>
          <t>Не определён</t>
        </is>
      </c>
      <c r="F2427" s="13" t="inlineStr">
        <is>
          <t>711034617</t>
        </is>
      </c>
      <c r="G2427" s="14" t="n"/>
      <c r="H2427" s="14" t="n"/>
      <c r="I2427" s="14" t="n"/>
      <c r="J2427" s="14" t="n"/>
      <c r="K2427" s="13">
        <f>IF(G2427="","",IF(G2427&gt;=22,"Да","Нет"))</f>
        <v/>
      </c>
      <c r="L2427" s="13">
        <f>IF(OR(I2427="",J2427=""),"Не определено",IF(OR(COUNTIF(I2427,"45*")&gt;0,COUNTIF(J2427,"*45*")&gt;0,COUNTIF(I2427,"46*")&gt;0,COUNTIF(J2427,"*46*")&gt;0,COUNTIF(I2427,"47*")&gt;0,COUNTIF(J2427,"*47*")&gt;0,COUNTIF(I2427,"10*")&gt;0,COUNTIF(J2427,"*10*")&gt;0,COUNTIF(I2427,"11*")&gt;0,COUNTIF(J2427,"*11*")&gt;0,COUNTIF(I2427,"12*")&gt;0,COUNTIF(J2427,"*12*")&gt;0,COUNTIF(I2427,"13*")&gt;0,COUNTIF(J2427,"*13*")&gt;0,COUNTIF(I2427,"14*")&gt;0,COUNTIF(J2427,"*14*")&gt;0,COUNTIF(I2427,"15*")&gt;0,COUNTIF(J2427,"*15*")&gt;0,COUNTIF(I2427,"16*")&gt;0,COUNTIF(J2427,"*16*")&gt;0,COUNTIF(I2427,"17*")&gt;0,COUNTIF(J2427,"*17*")&gt;0,COUNTIF(I2427,"18*")&gt;0,COUNTIF(J2427,"*18*")&gt;0,COUNTIF(I2427,"19*")&gt;0,COUNTIF(J2427,"*19*")&gt;0,COUNTIF(I2427,"20*")&gt;0,COUNTIF(J2427,"*20*")&gt;0,COUNTIF(I2427,"21*")&gt;0,COUNTIF(J2427,"*21*")&gt;0,COUNTIF(I2427,"22*")&gt;0,COUNTIF(J2427,"*22*")&gt;0,COUNTIF(I2427,"23*")&gt;0,COUNTIF(J2427,"*23*")&gt;0,COUNTIF(I2427,"24*")&gt;0,COUNTIF(J2427,"*24*")&gt;0,COUNTIF(I2427,"25*")&gt;0,COUNTIF(J2427,"*25*")&gt;0,COUNTIF(I2427,"26*")&gt;0,COUNTIF(J2427,"*26*")&gt;0,COUNTIF(I2427,"27*")&gt;0,COUNTIF(J2427,"*27*")&gt;0,COUNTIF(I2427,"28*")&gt;0,COUNTIF(J2427,"*28*")&gt;0,COUNTIF(I2427,"29*")&gt;0,COUNTIF(J2427,"*29*")&gt;0,COUNTIF(I2427,"30*")&gt;0,COUNTIF(J2427,"*30*")&gt;0,COUNTIF(I2427,"31*")&gt;0,COUNTIF(J2427,"*31*")&gt;0,COUNTIF(I2427,"32*")&gt;0,COUNTIF(J2427,"*32*")&gt;0,COUNTIF(I2427,"33*")&gt;0,COUNTIF(J2427,"*33*")&gt;0,COUNTIF(I2427,"41*")&gt;0,COUNTIF(J2427,"*41*")&gt;0,COUNTIF(I2427,"42*")&gt;0,COUNTIF(J2427,"*42*")&gt;0,COUNTIF(I2427,"43*")&gt;0,COUNTIF(J2427,"*43*")&gt;0,COUNTIF(I2427,"49*")&gt;0,COUNTIF(J2427,"*49*")&gt;0,COUNTIF(I2427,"52*")&gt;0,COUNTIF(J2427,"*52*")&gt;0,COUNTIF(I2427,"55*")&gt;0,COUNTIF(J2427,"*55*")&gt;0,COUNTIF(I2427,"56*")&gt;0,COUNTIF(J2427,"*56*")&gt;0,COUNTIF(I2427,"68*")&gt;0,COUNTIF(J2427,"*68*")&gt;0,COUNTIF(I2427,"78*")&gt;0,COUNTIF(J2427,"*78*")&gt;0,COUNTIF(I2427,"81*")&gt;0,COUNTIF(J2427,"*81*")&gt;0,COUNTIF(I2427,"82*")&gt;0,COUNTIF(J2427,"*82*")&gt;0,COUNTIF(I2427,"64*")&gt;0,COUNTIF(J2427,"*64*")&gt;0,COUNTIF(I2427,"65*")&gt;0,COUNTIF(J2427,"*65*")&gt;0,COUNTIF(I2427,"66*")&gt;0,COUNTIF(J2427,"*66*")&gt;0,COUNTIF(I2427,"61*")&gt;0,COUNTIF(J2427,"*61*")&gt;0,COUNTIF(I2427,"62*")&gt;0,COUNTIF(J2427,"*62*")&gt;0,COUNTIF(I2427,"63*")&gt;0,COUNTIF(J2427,"*63*")&gt;0,COUNTIF(I2427,"85*")&gt;0,COUNTIF(J2427,"*85*")&gt;0,COUNTIF(I2427,"86*")&gt;0,COUNTIF(J2427,"*86*")&gt;0),"Да","Нет"))</f>
        <v/>
      </c>
      <c r="M2427" s="13">
        <f>IF(OR(G2427="",L2427&lt;&gt;"Да"),"",IF(G2427&lt;=100,"До 100",IF(G2427&lt;=200,"До 200",IF(G2427&lt;=500,"До 500","Отдельное КП"))))</f>
        <v/>
      </c>
      <c r="N2427" s="15">
        <f>IF(OR(G2427="",L2427&lt;&gt;"Да"),"",IF(G2427&lt;=100,33600,IF(G2427&lt;=200,62400,IF(G2427&lt;=500,144000,""))))</f>
        <v/>
      </c>
      <c r="O2427" s="16">
        <f>IF(G2427="","",IF(G2427&lt;=15,"1–15",IF(G2427&lt;=30,"16–30",IF(G2427&lt;=50,"31–50",IF(G2427&lt;=100,"51–100",IF(G2427&lt;=150,"101–150",IF(G2427&lt;=200,"151–200",IF(G2427&lt;=500,"201–500","500+"))))))))</f>
        <v/>
      </c>
      <c r="P2427" s="16" t="inlineStr">
        <is>
          <t>Нет совпадения в предоставленной выгрузке ССЧР</t>
        </is>
      </c>
      <c r="Q2427" s="16" t="n"/>
      <c r="R2427" s="16">
        <f>HYPERLINK("https://checko.ru/search?query=3801001629","Чекко: проверить")</f>
        <v/>
      </c>
      <c r="S2427" t="n">
        <v>0</v>
      </c>
    </row>
    <row r="2428" ht="15" customHeight="1" s="24">
      <c r="A2428" s="13" t="n">
        <v>5000094984</v>
      </c>
      <c r="B2428" s="13" t="inlineStr">
        <is>
          <t>ГБУЗ "Диагностический центр" Минздрава КБР</t>
        </is>
      </c>
      <c r="C2428" s="13" t="n">
        <v>711034840</v>
      </c>
      <c r="D2428" s="13" t="n"/>
      <c r="E2428" s="13" t="inlineStr">
        <is>
          <t>Не определён</t>
        </is>
      </c>
      <c r="F2428" s="13" t="inlineStr">
        <is>
          <t>711034840</t>
        </is>
      </c>
      <c r="G2428" s="14" t="n"/>
      <c r="H2428" s="14" t="n"/>
      <c r="I2428" s="14" t="n"/>
      <c r="J2428" s="14" t="n"/>
      <c r="K2428" s="13">
        <f>IF(G2428="","",IF(G2428&gt;=22,"Да","Нет"))</f>
        <v/>
      </c>
      <c r="L2428" s="13">
        <f>IF(OR(I2428="",J2428=""),"Не определено",IF(OR(COUNTIF(I2428,"45*")&gt;0,COUNTIF(J2428,"*45*")&gt;0,COUNTIF(I2428,"46*")&gt;0,COUNTIF(J2428,"*46*")&gt;0,COUNTIF(I2428,"47*")&gt;0,COUNTIF(J2428,"*47*")&gt;0,COUNTIF(I2428,"10*")&gt;0,COUNTIF(J2428,"*10*")&gt;0,COUNTIF(I2428,"11*")&gt;0,COUNTIF(J2428,"*11*")&gt;0,COUNTIF(I2428,"12*")&gt;0,COUNTIF(J2428,"*12*")&gt;0,COUNTIF(I2428,"13*")&gt;0,COUNTIF(J2428,"*13*")&gt;0,COUNTIF(I2428,"14*")&gt;0,COUNTIF(J2428,"*14*")&gt;0,COUNTIF(I2428,"15*")&gt;0,COUNTIF(J2428,"*15*")&gt;0,COUNTIF(I2428,"16*")&gt;0,COUNTIF(J2428,"*16*")&gt;0,COUNTIF(I2428,"17*")&gt;0,COUNTIF(J2428,"*17*")&gt;0,COUNTIF(I2428,"18*")&gt;0,COUNTIF(J2428,"*18*")&gt;0,COUNTIF(I2428,"19*")&gt;0,COUNTIF(J2428,"*19*")&gt;0,COUNTIF(I2428,"20*")&gt;0,COUNTIF(J2428,"*20*")&gt;0,COUNTIF(I2428,"21*")&gt;0,COUNTIF(J2428,"*21*")&gt;0,COUNTIF(I2428,"22*")&gt;0,COUNTIF(J2428,"*22*")&gt;0,COUNTIF(I2428,"23*")&gt;0,COUNTIF(J2428,"*23*")&gt;0,COUNTIF(I2428,"24*")&gt;0,COUNTIF(J2428,"*24*")&gt;0,COUNTIF(I2428,"25*")&gt;0,COUNTIF(J2428,"*25*")&gt;0,COUNTIF(I2428,"26*")&gt;0,COUNTIF(J2428,"*26*")&gt;0,COUNTIF(I2428,"27*")&gt;0,COUNTIF(J2428,"*27*")&gt;0,COUNTIF(I2428,"28*")&gt;0,COUNTIF(J2428,"*28*")&gt;0,COUNTIF(I2428,"29*")&gt;0,COUNTIF(J2428,"*29*")&gt;0,COUNTIF(I2428,"30*")&gt;0,COUNTIF(J2428,"*30*")&gt;0,COUNTIF(I2428,"31*")&gt;0,COUNTIF(J2428,"*31*")&gt;0,COUNTIF(I2428,"32*")&gt;0,COUNTIF(J2428,"*32*")&gt;0,COUNTIF(I2428,"33*")&gt;0,COUNTIF(J2428,"*33*")&gt;0,COUNTIF(I2428,"41*")&gt;0,COUNTIF(J2428,"*41*")&gt;0,COUNTIF(I2428,"42*")&gt;0,COUNTIF(J2428,"*42*")&gt;0,COUNTIF(I2428,"43*")&gt;0,COUNTIF(J2428,"*43*")&gt;0,COUNTIF(I2428,"49*")&gt;0,COUNTIF(J2428,"*49*")&gt;0,COUNTIF(I2428,"52*")&gt;0,COUNTIF(J2428,"*52*")&gt;0,COUNTIF(I2428,"55*")&gt;0,COUNTIF(J2428,"*55*")&gt;0,COUNTIF(I2428,"56*")&gt;0,COUNTIF(J2428,"*56*")&gt;0,COUNTIF(I2428,"68*")&gt;0,COUNTIF(J2428,"*68*")&gt;0,COUNTIF(I2428,"78*")&gt;0,COUNTIF(J2428,"*78*")&gt;0,COUNTIF(I2428,"81*")&gt;0,COUNTIF(J2428,"*81*")&gt;0,COUNTIF(I2428,"82*")&gt;0,COUNTIF(J2428,"*82*")&gt;0,COUNTIF(I2428,"64*")&gt;0,COUNTIF(J2428,"*64*")&gt;0,COUNTIF(I2428,"65*")&gt;0,COUNTIF(J2428,"*65*")&gt;0,COUNTIF(I2428,"66*")&gt;0,COUNTIF(J2428,"*66*")&gt;0,COUNTIF(I2428,"61*")&gt;0,COUNTIF(J2428,"*61*")&gt;0,COUNTIF(I2428,"62*")&gt;0,COUNTIF(J2428,"*62*")&gt;0,COUNTIF(I2428,"63*")&gt;0,COUNTIF(J2428,"*63*")&gt;0,COUNTIF(I2428,"85*")&gt;0,COUNTIF(J2428,"*85*")&gt;0,COUNTIF(I2428,"86*")&gt;0,COUNTIF(J2428,"*86*")&gt;0),"Да","Нет"))</f>
        <v/>
      </c>
      <c r="M2428" s="13">
        <f>IF(OR(G2428="",L2428&lt;&gt;"Да"),"",IF(G2428&lt;=100,"До 100",IF(G2428&lt;=200,"До 200",IF(G2428&lt;=500,"До 500","Отдельное КП"))))</f>
        <v/>
      </c>
      <c r="N2428" s="15">
        <f>IF(OR(G2428="",L2428&lt;&gt;"Да"),"",IF(G2428&lt;=100,33600,IF(G2428&lt;=200,62400,IF(G2428&lt;=500,144000,""))))</f>
        <v/>
      </c>
      <c r="O2428" s="16">
        <f>IF(G2428="","",IF(G2428&lt;=15,"1–15",IF(G2428&lt;=30,"16–30",IF(G2428&lt;=50,"31–50",IF(G2428&lt;=100,"51–100",IF(G2428&lt;=150,"101–150",IF(G2428&lt;=200,"151–200",IF(G2428&lt;=500,"201–500","500+"))))))))</f>
        <v/>
      </c>
      <c r="P2428" s="16" t="inlineStr">
        <is>
          <t>Нет совпадения в предоставленной выгрузке ССЧР</t>
        </is>
      </c>
      <c r="Q2428" s="16" t="n"/>
      <c r="R2428" s="16">
        <f>HYPERLINK("https://checko.ru/search?query=3801001629","Чекко: проверить")</f>
        <v/>
      </c>
      <c r="S2428" t="n">
        <v>0</v>
      </c>
    </row>
    <row r="2429" ht="15" customHeight="1" s="24">
      <c r="A2429" s="13" t="n">
        <v>5000094985</v>
      </c>
      <c r="B2429" s="13" t="inlineStr">
        <is>
          <t>ГБУЗ "РСЦ им. Т.Х. Тхазаплижева" Минздрава КБР</t>
        </is>
      </c>
      <c r="C2429" s="13" t="n">
        <v>711034952</v>
      </c>
      <c r="D2429" s="13" t="n"/>
      <c r="E2429" s="13" t="inlineStr">
        <is>
          <t>Не определён</t>
        </is>
      </c>
      <c r="F2429" s="13" t="inlineStr">
        <is>
          <t>711034952</t>
        </is>
      </c>
      <c r="G2429" s="14" t="n"/>
      <c r="H2429" s="14" t="n"/>
      <c r="I2429" s="14" t="n"/>
      <c r="J2429" s="14" t="n"/>
      <c r="K2429" s="13">
        <f>IF(G2429="","",IF(G2429&gt;=22,"Да","Нет"))</f>
        <v/>
      </c>
      <c r="L2429" s="13">
        <f>IF(OR(I2429="",J2429=""),"Не определено",IF(OR(COUNTIF(I2429,"45*")&gt;0,COUNTIF(J2429,"*45*")&gt;0,COUNTIF(I2429,"46*")&gt;0,COUNTIF(J2429,"*46*")&gt;0,COUNTIF(I2429,"47*")&gt;0,COUNTIF(J2429,"*47*")&gt;0,COUNTIF(I2429,"10*")&gt;0,COUNTIF(J2429,"*10*")&gt;0,COUNTIF(I2429,"11*")&gt;0,COUNTIF(J2429,"*11*")&gt;0,COUNTIF(I2429,"12*")&gt;0,COUNTIF(J2429,"*12*")&gt;0,COUNTIF(I2429,"13*")&gt;0,COUNTIF(J2429,"*13*")&gt;0,COUNTIF(I2429,"14*")&gt;0,COUNTIF(J2429,"*14*")&gt;0,COUNTIF(I2429,"15*")&gt;0,COUNTIF(J2429,"*15*")&gt;0,COUNTIF(I2429,"16*")&gt;0,COUNTIF(J2429,"*16*")&gt;0,COUNTIF(I2429,"17*")&gt;0,COUNTIF(J2429,"*17*")&gt;0,COUNTIF(I2429,"18*")&gt;0,COUNTIF(J2429,"*18*")&gt;0,COUNTIF(I2429,"19*")&gt;0,COUNTIF(J2429,"*19*")&gt;0,COUNTIF(I2429,"20*")&gt;0,COUNTIF(J2429,"*20*")&gt;0,COUNTIF(I2429,"21*")&gt;0,COUNTIF(J2429,"*21*")&gt;0,COUNTIF(I2429,"22*")&gt;0,COUNTIF(J2429,"*22*")&gt;0,COUNTIF(I2429,"23*")&gt;0,COUNTIF(J2429,"*23*")&gt;0,COUNTIF(I2429,"24*")&gt;0,COUNTIF(J2429,"*24*")&gt;0,COUNTIF(I2429,"25*")&gt;0,COUNTIF(J2429,"*25*")&gt;0,COUNTIF(I2429,"26*")&gt;0,COUNTIF(J2429,"*26*")&gt;0,COUNTIF(I2429,"27*")&gt;0,COUNTIF(J2429,"*27*")&gt;0,COUNTIF(I2429,"28*")&gt;0,COUNTIF(J2429,"*28*")&gt;0,COUNTIF(I2429,"29*")&gt;0,COUNTIF(J2429,"*29*")&gt;0,COUNTIF(I2429,"30*")&gt;0,COUNTIF(J2429,"*30*")&gt;0,COUNTIF(I2429,"31*")&gt;0,COUNTIF(J2429,"*31*")&gt;0,COUNTIF(I2429,"32*")&gt;0,COUNTIF(J2429,"*32*")&gt;0,COUNTIF(I2429,"33*")&gt;0,COUNTIF(J2429,"*33*")&gt;0,COUNTIF(I2429,"41*")&gt;0,COUNTIF(J2429,"*41*")&gt;0,COUNTIF(I2429,"42*")&gt;0,COUNTIF(J2429,"*42*")&gt;0,COUNTIF(I2429,"43*")&gt;0,COUNTIF(J2429,"*43*")&gt;0,COUNTIF(I2429,"49*")&gt;0,COUNTIF(J2429,"*49*")&gt;0,COUNTIF(I2429,"52*")&gt;0,COUNTIF(J2429,"*52*")&gt;0,COUNTIF(I2429,"55*")&gt;0,COUNTIF(J2429,"*55*")&gt;0,COUNTIF(I2429,"56*")&gt;0,COUNTIF(J2429,"*56*")&gt;0,COUNTIF(I2429,"68*")&gt;0,COUNTIF(J2429,"*68*")&gt;0,COUNTIF(I2429,"78*")&gt;0,COUNTIF(J2429,"*78*")&gt;0,COUNTIF(I2429,"81*")&gt;0,COUNTIF(J2429,"*81*")&gt;0,COUNTIF(I2429,"82*")&gt;0,COUNTIF(J2429,"*82*")&gt;0,COUNTIF(I2429,"64*")&gt;0,COUNTIF(J2429,"*64*")&gt;0,COUNTIF(I2429,"65*")&gt;0,COUNTIF(J2429,"*65*")&gt;0,COUNTIF(I2429,"66*")&gt;0,COUNTIF(J2429,"*66*")&gt;0,COUNTIF(I2429,"61*")&gt;0,COUNTIF(J2429,"*61*")&gt;0,COUNTIF(I2429,"62*")&gt;0,COUNTIF(J2429,"*62*")&gt;0,COUNTIF(I2429,"63*")&gt;0,COUNTIF(J2429,"*63*")&gt;0,COUNTIF(I2429,"85*")&gt;0,COUNTIF(J2429,"*85*")&gt;0,COUNTIF(I2429,"86*")&gt;0,COUNTIF(J2429,"*86*")&gt;0),"Да","Нет"))</f>
        <v/>
      </c>
      <c r="M2429" s="13">
        <f>IF(OR(G2429="",L2429&lt;&gt;"Да"),"",IF(G2429&lt;=100,"До 100",IF(G2429&lt;=200,"До 200",IF(G2429&lt;=500,"До 500","Отдельное КП"))))</f>
        <v/>
      </c>
      <c r="N2429" s="15">
        <f>IF(OR(G2429="",L2429&lt;&gt;"Да"),"",IF(G2429&lt;=100,33600,IF(G2429&lt;=200,62400,IF(G2429&lt;=500,144000,""))))</f>
        <v/>
      </c>
      <c r="O2429" s="16">
        <f>IF(G2429="","",IF(G2429&lt;=15,"1–15",IF(G2429&lt;=30,"16–30",IF(G2429&lt;=50,"31–50",IF(G2429&lt;=100,"51–100",IF(G2429&lt;=150,"101–150",IF(G2429&lt;=200,"151–200",IF(G2429&lt;=500,"201–500","500+"))))))))</f>
        <v/>
      </c>
      <c r="P2429" s="16" t="inlineStr">
        <is>
          <t>Нет совпадения в предоставленной выгрузке ССЧР</t>
        </is>
      </c>
      <c r="Q2429" s="16" t="n"/>
      <c r="R2429" s="16">
        <f>HYPERLINK("https://checko.ru/search?query=3801001629","Чекко: проверить")</f>
        <v/>
      </c>
      <c r="S2429" t="n">
        <v>0</v>
      </c>
    </row>
    <row r="2430" ht="15" customHeight="1" s="24">
      <c r="A2430" s="13" t="n">
        <v>5000094986</v>
      </c>
      <c r="B2430" s="13" t="inlineStr">
        <is>
          <t>ГКУ РЦТЗСЗН</t>
        </is>
      </c>
      <c r="C2430" s="13" t="n">
        <v>711035018</v>
      </c>
      <c r="D2430" s="13" t="n"/>
      <c r="E2430" s="13" t="inlineStr">
        <is>
          <t>Не определён</t>
        </is>
      </c>
      <c r="F2430" s="13" t="inlineStr">
        <is>
          <t>711035018</t>
        </is>
      </c>
      <c r="G2430" s="14" t="n"/>
      <c r="H2430" s="14" t="n"/>
      <c r="I2430" s="14" t="n"/>
      <c r="J2430" s="14" t="n"/>
      <c r="K2430" s="13">
        <f>IF(G2430="","",IF(G2430&gt;=22,"Да","Нет"))</f>
        <v/>
      </c>
      <c r="L2430" s="13">
        <f>IF(OR(I2430="",J2430=""),"Не определено",IF(OR(COUNTIF(I2430,"45*")&gt;0,COUNTIF(J2430,"*45*")&gt;0,COUNTIF(I2430,"46*")&gt;0,COUNTIF(J2430,"*46*")&gt;0,COUNTIF(I2430,"47*")&gt;0,COUNTIF(J2430,"*47*")&gt;0,COUNTIF(I2430,"10*")&gt;0,COUNTIF(J2430,"*10*")&gt;0,COUNTIF(I2430,"11*")&gt;0,COUNTIF(J2430,"*11*")&gt;0,COUNTIF(I2430,"12*")&gt;0,COUNTIF(J2430,"*12*")&gt;0,COUNTIF(I2430,"13*")&gt;0,COUNTIF(J2430,"*13*")&gt;0,COUNTIF(I2430,"14*")&gt;0,COUNTIF(J2430,"*14*")&gt;0,COUNTIF(I2430,"15*")&gt;0,COUNTIF(J2430,"*15*")&gt;0,COUNTIF(I2430,"16*")&gt;0,COUNTIF(J2430,"*16*")&gt;0,COUNTIF(I2430,"17*")&gt;0,COUNTIF(J2430,"*17*")&gt;0,COUNTIF(I2430,"18*")&gt;0,COUNTIF(J2430,"*18*")&gt;0,COUNTIF(I2430,"19*")&gt;0,COUNTIF(J2430,"*19*")&gt;0,COUNTIF(I2430,"20*")&gt;0,COUNTIF(J2430,"*20*")&gt;0,COUNTIF(I2430,"21*")&gt;0,COUNTIF(J2430,"*21*")&gt;0,COUNTIF(I2430,"22*")&gt;0,COUNTIF(J2430,"*22*")&gt;0,COUNTIF(I2430,"23*")&gt;0,COUNTIF(J2430,"*23*")&gt;0,COUNTIF(I2430,"24*")&gt;0,COUNTIF(J2430,"*24*")&gt;0,COUNTIF(I2430,"25*")&gt;0,COUNTIF(J2430,"*25*")&gt;0,COUNTIF(I2430,"26*")&gt;0,COUNTIF(J2430,"*26*")&gt;0,COUNTIF(I2430,"27*")&gt;0,COUNTIF(J2430,"*27*")&gt;0,COUNTIF(I2430,"28*")&gt;0,COUNTIF(J2430,"*28*")&gt;0,COUNTIF(I2430,"29*")&gt;0,COUNTIF(J2430,"*29*")&gt;0,COUNTIF(I2430,"30*")&gt;0,COUNTIF(J2430,"*30*")&gt;0,COUNTIF(I2430,"31*")&gt;0,COUNTIF(J2430,"*31*")&gt;0,COUNTIF(I2430,"32*")&gt;0,COUNTIF(J2430,"*32*")&gt;0,COUNTIF(I2430,"33*")&gt;0,COUNTIF(J2430,"*33*")&gt;0,COUNTIF(I2430,"41*")&gt;0,COUNTIF(J2430,"*41*")&gt;0,COUNTIF(I2430,"42*")&gt;0,COUNTIF(J2430,"*42*")&gt;0,COUNTIF(I2430,"43*")&gt;0,COUNTIF(J2430,"*43*")&gt;0,COUNTIF(I2430,"49*")&gt;0,COUNTIF(J2430,"*49*")&gt;0,COUNTIF(I2430,"52*")&gt;0,COUNTIF(J2430,"*52*")&gt;0,COUNTIF(I2430,"55*")&gt;0,COUNTIF(J2430,"*55*")&gt;0,COUNTIF(I2430,"56*")&gt;0,COUNTIF(J2430,"*56*")&gt;0,COUNTIF(I2430,"68*")&gt;0,COUNTIF(J2430,"*68*")&gt;0,COUNTIF(I2430,"78*")&gt;0,COUNTIF(J2430,"*78*")&gt;0,COUNTIF(I2430,"81*")&gt;0,COUNTIF(J2430,"*81*")&gt;0,COUNTIF(I2430,"82*")&gt;0,COUNTIF(J2430,"*82*")&gt;0,COUNTIF(I2430,"64*")&gt;0,COUNTIF(J2430,"*64*")&gt;0,COUNTIF(I2430,"65*")&gt;0,COUNTIF(J2430,"*65*")&gt;0,COUNTIF(I2430,"66*")&gt;0,COUNTIF(J2430,"*66*")&gt;0,COUNTIF(I2430,"61*")&gt;0,COUNTIF(J2430,"*61*")&gt;0,COUNTIF(I2430,"62*")&gt;0,COUNTIF(J2430,"*62*")&gt;0,COUNTIF(I2430,"63*")&gt;0,COUNTIF(J2430,"*63*")&gt;0,COUNTIF(I2430,"85*")&gt;0,COUNTIF(J2430,"*85*")&gt;0,COUNTIF(I2430,"86*")&gt;0,COUNTIF(J2430,"*86*")&gt;0),"Да","Нет"))</f>
        <v/>
      </c>
      <c r="M2430" s="13">
        <f>IF(OR(G2430="",L2430&lt;&gt;"Да"),"",IF(G2430&lt;=100,"До 100",IF(G2430&lt;=200,"До 200",IF(G2430&lt;=500,"До 500","Отдельное КП"))))</f>
        <v/>
      </c>
      <c r="N2430" s="15">
        <f>IF(OR(G2430="",L2430&lt;&gt;"Да"),"",IF(G2430&lt;=100,33600,IF(G2430&lt;=200,62400,IF(G2430&lt;=500,144000,""))))</f>
        <v/>
      </c>
      <c r="O2430" s="16">
        <f>IF(G2430="","",IF(G2430&lt;=15,"1–15",IF(G2430&lt;=30,"16–30",IF(G2430&lt;=50,"31–50",IF(G2430&lt;=100,"51–100",IF(G2430&lt;=150,"101–150",IF(G2430&lt;=200,"151–200",IF(G2430&lt;=500,"201–500","500+"))))))))</f>
        <v/>
      </c>
      <c r="P2430" s="16" t="inlineStr">
        <is>
          <t>Нет совпадения в предоставленной выгрузке ССЧР</t>
        </is>
      </c>
      <c r="Q2430" s="16" t="n"/>
      <c r="R2430" s="16">
        <f>HYPERLINK("https://checko.ru/search?query=3801001629","Чекко: проверить")</f>
        <v/>
      </c>
      <c r="S2430" t="n">
        <v>0</v>
      </c>
    </row>
    <row r="2431" ht="15" customHeight="1" s="24">
      <c r="A2431" s="13" t="n">
        <v>5000094987</v>
      </c>
      <c r="B2431" s="13" t="inlineStr">
        <is>
          <t>ГКУ РПНИ МТиСЗ КБР</t>
        </is>
      </c>
      <c r="C2431" s="13" t="n">
        <v>711035106</v>
      </c>
      <c r="D2431" s="13" t="n"/>
      <c r="E2431" s="13" t="inlineStr">
        <is>
          <t>Не определён</t>
        </is>
      </c>
      <c r="F2431" s="13" t="inlineStr">
        <is>
          <t>711035106</t>
        </is>
      </c>
      <c r="G2431" s="14" t="n"/>
      <c r="H2431" s="14" t="n"/>
      <c r="I2431" s="14" t="n"/>
      <c r="J2431" s="14" t="n"/>
      <c r="K2431" s="13">
        <f>IF(G2431="","",IF(G2431&gt;=22,"Да","Нет"))</f>
        <v/>
      </c>
      <c r="L2431" s="13">
        <f>IF(OR(I2431="",J2431=""),"Не определено",IF(OR(COUNTIF(I2431,"45*")&gt;0,COUNTIF(J2431,"*45*")&gt;0,COUNTIF(I2431,"46*")&gt;0,COUNTIF(J2431,"*46*")&gt;0,COUNTIF(I2431,"47*")&gt;0,COUNTIF(J2431,"*47*")&gt;0,COUNTIF(I2431,"10*")&gt;0,COUNTIF(J2431,"*10*")&gt;0,COUNTIF(I2431,"11*")&gt;0,COUNTIF(J2431,"*11*")&gt;0,COUNTIF(I2431,"12*")&gt;0,COUNTIF(J2431,"*12*")&gt;0,COUNTIF(I2431,"13*")&gt;0,COUNTIF(J2431,"*13*")&gt;0,COUNTIF(I2431,"14*")&gt;0,COUNTIF(J2431,"*14*")&gt;0,COUNTIF(I2431,"15*")&gt;0,COUNTIF(J2431,"*15*")&gt;0,COUNTIF(I2431,"16*")&gt;0,COUNTIF(J2431,"*16*")&gt;0,COUNTIF(I2431,"17*")&gt;0,COUNTIF(J2431,"*17*")&gt;0,COUNTIF(I2431,"18*")&gt;0,COUNTIF(J2431,"*18*")&gt;0,COUNTIF(I2431,"19*")&gt;0,COUNTIF(J2431,"*19*")&gt;0,COUNTIF(I2431,"20*")&gt;0,COUNTIF(J2431,"*20*")&gt;0,COUNTIF(I2431,"21*")&gt;0,COUNTIF(J2431,"*21*")&gt;0,COUNTIF(I2431,"22*")&gt;0,COUNTIF(J2431,"*22*")&gt;0,COUNTIF(I2431,"23*")&gt;0,COUNTIF(J2431,"*23*")&gt;0,COUNTIF(I2431,"24*")&gt;0,COUNTIF(J2431,"*24*")&gt;0,COUNTIF(I2431,"25*")&gt;0,COUNTIF(J2431,"*25*")&gt;0,COUNTIF(I2431,"26*")&gt;0,COUNTIF(J2431,"*26*")&gt;0,COUNTIF(I2431,"27*")&gt;0,COUNTIF(J2431,"*27*")&gt;0,COUNTIF(I2431,"28*")&gt;0,COUNTIF(J2431,"*28*")&gt;0,COUNTIF(I2431,"29*")&gt;0,COUNTIF(J2431,"*29*")&gt;0,COUNTIF(I2431,"30*")&gt;0,COUNTIF(J2431,"*30*")&gt;0,COUNTIF(I2431,"31*")&gt;0,COUNTIF(J2431,"*31*")&gt;0,COUNTIF(I2431,"32*")&gt;0,COUNTIF(J2431,"*32*")&gt;0,COUNTIF(I2431,"33*")&gt;0,COUNTIF(J2431,"*33*")&gt;0,COUNTIF(I2431,"41*")&gt;0,COUNTIF(J2431,"*41*")&gt;0,COUNTIF(I2431,"42*")&gt;0,COUNTIF(J2431,"*42*")&gt;0,COUNTIF(I2431,"43*")&gt;0,COUNTIF(J2431,"*43*")&gt;0,COUNTIF(I2431,"49*")&gt;0,COUNTIF(J2431,"*49*")&gt;0,COUNTIF(I2431,"52*")&gt;0,COUNTIF(J2431,"*52*")&gt;0,COUNTIF(I2431,"55*")&gt;0,COUNTIF(J2431,"*55*")&gt;0,COUNTIF(I2431,"56*")&gt;0,COUNTIF(J2431,"*56*")&gt;0,COUNTIF(I2431,"68*")&gt;0,COUNTIF(J2431,"*68*")&gt;0,COUNTIF(I2431,"78*")&gt;0,COUNTIF(J2431,"*78*")&gt;0,COUNTIF(I2431,"81*")&gt;0,COUNTIF(J2431,"*81*")&gt;0,COUNTIF(I2431,"82*")&gt;0,COUNTIF(J2431,"*82*")&gt;0,COUNTIF(I2431,"64*")&gt;0,COUNTIF(J2431,"*64*")&gt;0,COUNTIF(I2431,"65*")&gt;0,COUNTIF(J2431,"*65*")&gt;0,COUNTIF(I2431,"66*")&gt;0,COUNTIF(J2431,"*66*")&gt;0,COUNTIF(I2431,"61*")&gt;0,COUNTIF(J2431,"*61*")&gt;0,COUNTIF(I2431,"62*")&gt;0,COUNTIF(J2431,"*62*")&gt;0,COUNTIF(I2431,"63*")&gt;0,COUNTIF(J2431,"*63*")&gt;0,COUNTIF(I2431,"85*")&gt;0,COUNTIF(J2431,"*85*")&gt;0,COUNTIF(I2431,"86*")&gt;0,COUNTIF(J2431,"*86*")&gt;0),"Да","Нет"))</f>
        <v/>
      </c>
      <c r="M2431" s="13">
        <f>IF(OR(G2431="",L2431&lt;&gt;"Да"),"",IF(G2431&lt;=100,"До 100",IF(G2431&lt;=200,"До 200",IF(G2431&lt;=500,"До 500","Отдельное КП"))))</f>
        <v/>
      </c>
      <c r="N2431" s="15">
        <f>IF(OR(G2431="",L2431&lt;&gt;"Да"),"",IF(G2431&lt;=100,33600,IF(G2431&lt;=200,62400,IF(G2431&lt;=500,144000,""))))</f>
        <v/>
      </c>
      <c r="O2431" s="16">
        <f>IF(G2431="","",IF(G2431&lt;=15,"1–15",IF(G2431&lt;=30,"16–30",IF(G2431&lt;=50,"31–50",IF(G2431&lt;=100,"51–100",IF(G2431&lt;=150,"101–150",IF(G2431&lt;=200,"151–200",IF(G2431&lt;=500,"201–500","500+"))))))))</f>
        <v/>
      </c>
      <c r="P2431" s="16" t="inlineStr">
        <is>
          <t>Нет совпадения в предоставленной выгрузке ССЧР</t>
        </is>
      </c>
      <c r="Q2431" s="16" t="n"/>
      <c r="R2431" s="16">
        <f>HYPERLINK("https://checko.ru/search?query=3801001629","Чекко: проверить")</f>
        <v/>
      </c>
      <c r="S2431" t="n">
        <v>0</v>
      </c>
    </row>
    <row r="2432" ht="27.75" customHeight="1" s="24">
      <c r="A2432" s="13" t="n">
        <v>5000094991</v>
      </c>
      <c r="B2432" s="13" t="inlineStr">
        <is>
          <t>ГБУЗ "Противотуберкулезный диспансер" Минздрава КБР</t>
        </is>
      </c>
      <c r="C2432" s="13" t="n">
        <v>711035339</v>
      </c>
      <c r="D2432" s="13" t="n"/>
      <c r="E2432" s="13" t="inlineStr">
        <is>
          <t>Не определён</t>
        </is>
      </c>
      <c r="F2432" s="13" t="inlineStr">
        <is>
          <t>711035339</t>
        </is>
      </c>
      <c r="G2432" s="14" t="n"/>
      <c r="H2432" s="14" t="n"/>
      <c r="I2432" s="14" t="n"/>
      <c r="J2432" s="14" t="n"/>
      <c r="K2432" s="13">
        <f>IF(G2432="","",IF(G2432&gt;=22,"Да","Нет"))</f>
        <v/>
      </c>
      <c r="L2432" s="13">
        <f>IF(OR(I2432="",J2432=""),"Не определено",IF(OR(COUNTIF(I2432,"45*")&gt;0,COUNTIF(J2432,"*45*")&gt;0,COUNTIF(I2432,"46*")&gt;0,COUNTIF(J2432,"*46*")&gt;0,COUNTIF(I2432,"47*")&gt;0,COUNTIF(J2432,"*47*")&gt;0,COUNTIF(I2432,"10*")&gt;0,COUNTIF(J2432,"*10*")&gt;0,COUNTIF(I2432,"11*")&gt;0,COUNTIF(J2432,"*11*")&gt;0,COUNTIF(I2432,"12*")&gt;0,COUNTIF(J2432,"*12*")&gt;0,COUNTIF(I2432,"13*")&gt;0,COUNTIF(J2432,"*13*")&gt;0,COUNTIF(I2432,"14*")&gt;0,COUNTIF(J2432,"*14*")&gt;0,COUNTIF(I2432,"15*")&gt;0,COUNTIF(J2432,"*15*")&gt;0,COUNTIF(I2432,"16*")&gt;0,COUNTIF(J2432,"*16*")&gt;0,COUNTIF(I2432,"17*")&gt;0,COUNTIF(J2432,"*17*")&gt;0,COUNTIF(I2432,"18*")&gt;0,COUNTIF(J2432,"*18*")&gt;0,COUNTIF(I2432,"19*")&gt;0,COUNTIF(J2432,"*19*")&gt;0,COUNTIF(I2432,"20*")&gt;0,COUNTIF(J2432,"*20*")&gt;0,COUNTIF(I2432,"21*")&gt;0,COUNTIF(J2432,"*21*")&gt;0,COUNTIF(I2432,"22*")&gt;0,COUNTIF(J2432,"*22*")&gt;0,COUNTIF(I2432,"23*")&gt;0,COUNTIF(J2432,"*23*")&gt;0,COUNTIF(I2432,"24*")&gt;0,COUNTIF(J2432,"*24*")&gt;0,COUNTIF(I2432,"25*")&gt;0,COUNTIF(J2432,"*25*")&gt;0,COUNTIF(I2432,"26*")&gt;0,COUNTIF(J2432,"*26*")&gt;0,COUNTIF(I2432,"27*")&gt;0,COUNTIF(J2432,"*27*")&gt;0,COUNTIF(I2432,"28*")&gt;0,COUNTIF(J2432,"*28*")&gt;0,COUNTIF(I2432,"29*")&gt;0,COUNTIF(J2432,"*29*")&gt;0,COUNTIF(I2432,"30*")&gt;0,COUNTIF(J2432,"*30*")&gt;0,COUNTIF(I2432,"31*")&gt;0,COUNTIF(J2432,"*31*")&gt;0,COUNTIF(I2432,"32*")&gt;0,COUNTIF(J2432,"*32*")&gt;0,COUNTIF(I2432,"33*")&gt;0,COUNTIF(J2432,"*33*")&gt;0,COUNTIF(I2432,"41*")&gt;0,COUNTIF(J2432,"*41*")&gt;0,COUNTIF(I2432,"42*")&gt;0,COUNTIF(J2432,"*42*")&gt;0,COUNTIF(I2432,"43*")&gt;0,COUNTIF(J2432,"*43*")&gt;0,COUNTIF(I2432,"49*")&gt;0,COUNTIF(J2432,"*49*")&gt;0,COUNTIF(I2432,"52*")&gt;0,COUNTIF(J2432,"*52*")&gt;0,COUNTIF(I2432,"55*")&gt;0,COUNTIF(J2432,"*55*")&gt;0,COUNTIF(I2432,"56*")&gt;0,COUNTIF(J2432,"*56*")&gt;0,COUNTIF(I2432,"68*")&gt;0,COUNTIF(J2432,"*68*")&gt;0,COUNTIF(I2432,"78*")&gt;0,COUNTIF(J2432,"*78*")&gt;0,COUNTIF(I2432,"81*")&gt;0,COUNTIF(J2432,"*81*")&gt;0,COUNTIF(I2432,"82*")&gt;0,COUNTIF(J2432,"*82*")&gt;0,COUNTIF(I2432,"64*")&gt;0,COUNTIF(J2432,"*64*")&gt;0,COUNTIF(I2432,"65*")&gt;0,COUNTIF(J2432,"*65*")&gt;0,COUNTIF(I2432,"66*")&gt;0,COUNTIF(J2432,"*66*")&gt;0,COUNTIF(I2432,"61*")&gt;0,COUNTIF(J2432,"*61*")&gt;0,COUNTIF(I2432,"62*")&gt;0,COUNTIF(J2432,"*62*")&gt;0,COUNTIF(I2432,"63*")&gt;0,COUNTIF(J2432,"*63*")&gt;0,COUNTIF(I2432,"85*")&gt;0,COUNTIF(J2432,"*85*")&gt;0,COUNTIF(I2432,"86*")&gt;0,COUNTIF(J2432,"*86*")&gt;0),"Да","Нет"))</f>
        <v/>
      </c>
      <c r="M2432" s="13">
        <f>IF(OR(G2432="",L2432&lt;&gt;"Да"),"",IF(G2432&lt;=100,"До 100",IF(G2432&lt;=200,"До 200",IF(G2432&lt;=500,"До 500","Отдельное КП"))))</f>
        <v/>
      </c>
      <c r="N2432" s="15">
        <f>IF(OR(G2432="",L2432&lt;&gt;"Да"),"",IF(G2432&lt;=100,33600,IF(G2432&lt;=200,62400,IF(G2432&lt;=500,144000,""))))</f>
        <v/>
      </c>
      <c r="O2432" s="16">
        <f>IF(G2432="","",IF(G2432&lt;=15,"1–15",IF(G2432&lt;=30,"16–30",IF(G2432&lt;=50,"31–50",IF(G2432&lt;=100,"51–100",IF(G2432&lt;=150,"101–150",IF(G2432&lt;=200,"151–200",IF(G2432&lt;=500,"201–500","500+"))))))))</f>
        <v/>
      </c>
      <c r="P2432" s="16" t="inlineStr">
        <is>
          <t>Нет совпадения в предоставленной выгрузке ССЧР</t>
        </is>
      </c>
      <c r="Q2432" s="16" t="n"/>
      <c r="R2432" s="16">
        <f>HYPERLINK("https://checko.ru/search?query=3801001629","Чекко: проверить")</f>
        <v/>
      </c>
      <c r="S2432" t="n">
        <v>0</v>
      </c>
    </row>
    <row r="2433" ht="15" customHeight="1" s="24">
      <c r="A2433" s="13" t="n">
        <v>5000095141</v>
      </c>
      <c r="B2433" s="13" t="inlineStr">
        <is>
          <t>МКУДО ДХШ г.о. Нальчик</t>
        </is>
      </c>
      <c r="C2433" s="13" t="n">
        <v>721002371</v>
      </c>
      <c r="D2433" s="13" t="n"/>
      <c r="E2433" s="13" t="inlineStr">
        <is>
          <t>Не определён</t>
        </is>
      </c>
      <c r="F2433" s="13" t="inlineStr">
        <is>
          <t>721002371</t>
        </is>
      </c>
      <c r="G2433" s="14" t="n"/>
      <c r="H2433" s="14" t="n"/>
      <c r="I2433" s="14" t="n"/>
      <c r="J2433" s="14" t="n"/>
      <c r="K2433" s="13">
        <f>IF(G2433="","",IF(G2433&gt;=22,"Да","Нет"))</f>
        <v/>
      </c>
      <c r="L2433" s="13">
        <f>IF(OR(I2433="",J2433=""),"Не определено",IF(OR(COUNTIF(I2433,"45*")&gt;0,COUNTIF(J2433,"*45*")&gt;0,COUNTIF(I2433,"46*")&gt;0,COUNTIF(J2433,"*46*")&gt;0,COUNTIF(I2433,"47*")&gt;0,COUNTIF(J2433,"*47*")&gt;0,COUNTIF(I2433,"10*")&gt;0,COUNTIF(J2433,"*10*")&gt;0,COUNTIF(I2433,"11*")&gt;0,COUNTIF(J2433,"*11*")&gt;0,COUNTIF(I2433,"12*")&gt;0,COUNTIF(J2433,"*12*")&gt;0,COUNTIF(I2433,"13*")&gt;0,COUNTIF(J2433,"*13*")&gt;0,COUNTIF(I2433,"14*")&gt;0,COUNTIF(J2433,"*14*")&gt;0,COUNTIF(I2433,"15*")&gt;0,COUNTIF(J2433,"*15*")&gt;0,COUNTIF(I2433,"16*")&gt;0,COUNTIF(J2433,"*16*")&gt;0,COUNTIF(I2433,"17*")&gt;0,COUNTIF(J2433,"*17*")&gt;0,COUNTIF(I2433,"18*")&gt;0,COUNTIF(J2433,"*18*")&gt;0,COUNTIF(I2433,"19*")&gt;0,COUNTIF(J2433,"*19*")&gt;0,COUNTIF(I2433,"20*")&gt;0,COUNTIF(J2433,"*20*")&gt;0,COUNTIF(I2433,"21*")&gt;0,COUNTIF(J2433,"*21*")&gt;0,COUNTIF(I2433,"22*")&gt;0,COUNTIF(J2433,"*22*")&gt;0,COUNTIF(I2433,"23*")&gt;0,COUNTIF(J2433,"*23*")&gt;0,COUNTIF(I2433,"24*")&gt;0,COUNTIF(J2433,"*24*")&gt;0,COUNTIF(I2433,"25*")&gt;0,COUNTIF(J2433,"*25*")&gt;0,COUNTIF(I2433,"26*")&gt;0,COUNTIF(J2433,"*26*")&gt;0,COUNTIF(I2433,"27*")&gt;0,COUNTIF(J2433,"*27*")&gt;0,COUNTIF(I2433,"28*")&gt;0,COUNTIF(J2433,"*28*")&gt;0,COUNTIF(I2433,"29*")&gt;0,COUNTIF(J2433,"*29*")&gt;0,COUNTIF(I2433,"30*")&gt;0,COUNTIF(J2433,"*30*")&gt;0,COUNTIF(I2433,"31*")&gt;0,COUNTIF(J2433,"*31*")&gt;0,COUNTIF(I2433,"32*")&gt;0,COUNTIF(J2433,"*32*")&gt;0,COUNTIF(I2433,"33*")&gt;0,COUNTIF(J2433,"*33*")&gt;0,COUNTIF(I2433,"41*")&gt;0,COUNTIF(J2433,"*41*")&gt;0,COUNTIF(I2433,"42*")&gt;0,COUNTIF(J2433,"*42*")&gt;0,COUNTIF(I2433,"43*")&gt;0,COUNTIF(J2433,"*43*")&gt;0,COUNTIF(I2433,"49*")&gt;0,COUNTIF(J2433,"*49*")&gt;0,COUNTIF(I2433,"52*")&gt;0,COUNTIF(J2433,"*52*")&gt;0,COUNTIF(I2433,"55*")&gt;0,COUNTIF(J2433,"*55*")&gt;0,COUNTIF(I2433,"56*")&gt;0,COUNTIF(J2433,"*56*")&gt;0,COUNTIF(I2433,"68*")&gt;0,COUNTIF(J2433,"*68*")&gt;0,COUNTIF(I2433,"78*")&gt;0,COUNTIF(J2433,"*78*")&gt;0,COUNTIF(I2433,"81*")&gt;0,COUNTIF(J2433,"*81*")&gt;0,COUNTIF(I2433,"82*")&gt;0,COUNTIF(J2433,"*82*")&gt;0,COUNTIF(I2433,"64*")&gt;0,COUNTIF(J2433,"*64*")&gt;0,COUNTIF(I2433,"65*")&gt;0,COUNTIF(J2433,"*65*")&gt;0,COUNTIF(I2433,"66*")&gt;0,COUNTIF(J2433,"*66*")&gt;0,COUNTIF(I2433,"61*")&gt;0,COUNTIF(J2433,"*61*")&gt;0,COUNTIF(I2433,"62*")&gt;0,COUNTIF(J2433,"*62*")&gt;0,COUNTIF(I2433,"63*")&gt;0,COUNTIF(J2433,"*63*")&gt;0,COUNTIF(I2433,"85*")&gt;0,COUNTIF(J2433,"*85*")&gt;0,COUNTIF(I2433,"86*")&gt;0,COUNTIF(J2433,"*86*")&gt;0),"Да","Нет"))</f>
        <v/>
      </c>
      <c r="M2433" s="13">
        <f>IF(OR(G2433="",L2433&lt;&gt;"Да"),"",IF(G2433&lt;=100,"До 100",IF(G2433&lt;=200,"До 200",IF(G2433&lt;=500,"До 500","Отдельное КП"))))</f>
        <v/>
      </c>
      <c r="N2433" s="15">
        <f>IF(OR(G2433="",L2433&lt;&gt;"Да"),"",IF(G2433&lt;=100,33600,IF(G2433&lt;=200,62400,IF(G2433&lt;=500,144000,""))))</f>
        <v/>
      </c>
      <c r="O2433" s="16">
        <f>IF(G2433="","",IF(G2433&lt;=15,"1–15",IF(G2433&lt;=30,"16–30",IF(G2433&lt;=50,"31–50",IF(G2433&lt;=100,"51–100",IF(G2433&lt;=150,"101–150",IF(G2433&lt;=200,"151–200",IF(G2433&lt;=500,"201–500","500+"))))))))</f>
        <v/>
      </c>
      <c r="P2433" s="16" t="inlineStr">
        <is>
          <t>Нет совпадения в предоставленной выгрузке ССЧР</t>
        </is>
      </c>
      <c r="Q2433" s="16" t="n"/>
      <c r="R2433" s="16">
        <f>HYPERLINK("https://checko.ru/search?query=3801001629","Чекко: проверить")</f>
        <v/>
      </c>
      <c r="S2433" t="n">
        <v>0</v>
      </c>
    </row>
    <row r="2434" ht="15" customHeight="1" s="24">
      <c r="A2434" s="13" t="n">
        <v>5000095142</v>
      </c>
      <c r="B2434" s="13" t="inlineStr">
        <is>
          <t>МКУ ДО "ДМШ №1" г.о. Нальчик</t>
        </is>
      </c>
      <c r="C2434" s="13" t="n">
        <v>721002389</v>
      </c>
      <c r="D2434" s="13" t="n"/>
      <c r="E2434" s="13" t="inlineStr">
        <is>
          <t>Не определён</t>
        </is>
      </c>
      <c r="F2434" s="13" t="inlineStr">
        <is>
          <t>721002389</t>
        </is>
      </c>
      <c r="G2434" s="14" t="n"/>
      <c r="H2434" s="14" t="n"/>
      <c r="I2434" s="14" t="n"/>
      <c r="J2434" s="14" t="n"/>
      <c r="K2434" s="13">
        <f>IF(G2434="","",IF(G2434&gt;=22,"Да","Нет"))</f>
        <v/>
      </c>
      <c r="L2434" s="13">
        <f>IF(OR(I2434="",J2434=""),"Не определено",IF(OR(COUNTIF(I2434,"45*")&gt;0,COUNTIF(J2434,"*45*")&gt;0,COUNTIF(I2434,"46*")&gt;0,COUNTIF(J2434,"*46*")&gt;0,COUNTIF(I2434,"47*")&gt;0,COUNTIF(J2434,"*47*")&gt;0,COUNTIF(I2434,"10*")&gt;0,COUNTIF(J2434,"*10*")&gt;0,COUNTIF(I2434,"11*")&gt;0,COUNTIF(J2434,"*11*")&gt;0,COUNTIF(I2434,"12*")&gt;0,COUNTIF(J2434,"*12*")&gt;0,COUNTIF(I2434,"13*")&gt;0,COUNTIF(J2434,"*13*")&gt;0,COUNTIF(I2434,"14*")&gt;0,COUNTIF(J2434,"*14*")&gt;0,COUNTIF(I2434,"15*")&gt;0,COUNTIF(J2434,"*15*")&gt;0,COUNTIF(I2434,"16*")&gt;0,COUNTIF(J2434,"*16*")&gt;0,COUNTIF(I2434,"17*")&gt;0,COUNTIF(J2434,"*17*")&gt;0,COUNTIF(I2434,"18*")&gt;0,COUNTIF(J2434,"*18*")&gt;0,COUNTIF(I2434,"19*")&gt;0,COUNTIF(J2434,"*19*")&gt;0,COUNTIF(I2434,"20*")&gt;0,COUNTIF(J2434,"*20*")&gt;0,COUNTIF(I2434,"21*")&gt;0,COUNTIF(J2434,"*21*")&gt;0,COUNTIF(I2434,"22*")&gt;0,COUNTIF(J2434,"*22*")&gt;0,COUNTIF(I2434,"23*")&gt;0,COUNTIF(J2434,"*23*")&gt;0,COUNTIF(I2434,"24*")&gt;0,COUNTIF(J2434,"*24*")&gt;0,COUNTIF(I2434,"25*")&gt;0,COUNTIF(J2434,"*25*")&gt;0,COUNTIF(I2434,"26*")&gt;0,COUNTIF(J2434,"*26*")&gt;0,COUNTIF(I2434,"27*")&gt;0,COUNTIF(J2434,"*27*")&gt;0,COUNTIF(I2434,"28*")&gt;0,COUNTIF(J2434,"*28*")&gt;0,COUNTIF(I2434,"29*")&gt;0,COUNTIF(J2434,"*29*")&gt;0,COUNTIF(I2434,"30*")&gt;0,COUNTIF(J2434,"*30*")&gt;0,COUNTIF(I2434,"31*")&gt;0,COUNTIF(J2434,"*31*")&gt;0,COUNTIF(I2434,"32*")&gt;0,COUNTIF(J2434,"*32*")&gt;0,COUNTIF(I2434,"33*")&gt;0,COUNTIF(J2434,"*33*")&gt;0,COUNTIF(I2434,"41*")&gt;0,COUNTIF(J2434,"*41*")&gt;0,COUNTIF(I2434,"42*")&gt;0,COUNTIF(J2434,"*42*")&gt;0,COUNTIF(I2434,"43*")&gt;0,COUNTIF(J2434,"*43*")&gt;0,COUNTIF(I2434,"49*")&gt;0,COUNTIF(J2434,"*49*")&gt;0,COUNTIF(I2434,"52*")&gt;0,COUNTIF(J2434,"*52*")&gt;0,COUNTIF(I2434,"55*")&gt;0,COUNTIF(J2434,"*55*")&gt;0,COUNTIF(I2434,"56*")&gt;0,COUNTIF(J2434,"*56*")&gt;0,COUNTIF(I2434,"68*")&gt;0,COUNTIF(J2434,"*68*")&gt;0,COUNTIF(I2434,"78*")&gt;0,COUNTIF(J2434,"*78*")&gt;0,COUNTIF(I2434,"81*")&gt;0,COUNTIF(J2434,"*81*")&gt;0,COUNTIF(I2434,"82*")&gt;0,COUNTIF(J2434,"*82*")&gt;0,COUNTIF(I2434,"64*")&gt;0,COUNTIF(J2434,"*64*")&gt;0,COUNTIF(I2434,"65*")&gt;0,COUNTIF(J2434,"*65*")&gt;0,COUNTIF(I2434,"66*")&gt;0,COUNTIF(J2434,"*66*")&gt;0,COUNTIF(I2434,"61*")&gt;0,COUNTIF(J2434,"*61*")&gt;0,COUNTIF(I2434,"62*")&gt;0,COUNTIF(J2434,"*62*")&gt;0,COUNTIF(I2434,"63*")&gt;0,COUNTIF(J2434,"*63*")&gt;0,COUNTIF(I2434,"85*")&gt;0,COUNTIF(J2434,"*85*")&gt;0,COUNTIF(I2434,"86*")&gt;0,COUNTIF(J2434,"*86*")&gt;0),"Да","Нет"))</f>
        <v/>
      </c>
      <c r="M2434" s="13">
        <f>IF(OR(G2434="",L2434&lt;&gt;"Да"),"",IF(G2434&lt;=100,"До 100",IF(G2434&lt;=200,"До 200",IF(G2434&lt;=500,"До 500","Отдельное КП"))))</f>
        <v/>
      </c>
      <c r="N2434" s="15">
        <f>IF(OR(G2434="",L2434&lt;&gt;"Да"),"",IF(G2434&lt;=100,33600,IF(G2434&lt;=200,62400,IF(G2434&lt;=500,144000,""))))</f>
        <v/>
      </c>
      <c r="O2434" s="16">
        <f>IF(G2434="","",IF(G2434&lt;=15,"1–15",IF(G2434&lt;=30,"16–30",IF(G2434&lt;=50,"31–50",IF(G2434&lt;=100,"51–100",IF(G2434&lt;=150,"101–150",IF(G2434&lt;=200,"151–200",IF(G2434&lt;=500,"201–500","500+"))))))))</f>
        <v/>
      </c>
      <c r="P2434" s="16" t="inlineStr">
        <is>
          <t>Нет совпадения в предоставленной выгрузке ССЧР</t>
        </is>
      </c>
      <c r="Q2434" s="16" t="n"/>
      <c r="R2434" s="16">
        <f>HYPERLINK("https://checko.ru/search?query=3801001629","Чекко: проверить")</f>
        <v/>
      </c>
      <c r="S2434" t="n">
        <v>0</v>
      </c>
    </row>
    <row r="2435" ht="15" customHeight="1" s="24">
      <c r="A2435" s="13" t="n">
        <v>5000095143</v>
      </c>
      <c r="B2435" s="13" t="inlineStr">
        <is>
          <t>МКУ ДО "ДМШ №2" г.о. Нальчик</t>
        </is>
      </c>
      <c r="C2435" s="13" t="n">
        <v>721002396</v>
      </c>
      <c r="D2435" s="13" t="n"/>
      <c r="E2435" s="13" t="inlineStr">
        <is>
          <t>Не определён</t>
        </is>
      </c>
      <c r="F2435" s="13" t="inlineStr">
        <is>
          <t>721002396</t>
        </is>
      </c>
      <c r="G2435" s="14" t="n"/>
      <c r="H2435" s="14" t="n"/>
      <c r="I2435" s="14" t="n"/>
      <c r="J2435" s="14" t="n"/>
      <c r="K2435" s="13">
        <f>IF(G2435="","",IF(G2435&gt;=22,"Да","Нет"))</f>
        <v/>
      </c>
      <c r="L2435" s="13">
        <f>IF(OR(I2435="",J2435=""),"Не определено",IF(OR(COUNTIF(I2435,"45*")&gt;0,COUNTIF(J2435,"*45*")&gt;0,COUNTIF(I2435,"46*")&gt;0,COUNTIF(J2435,"*46*")&gt;0,COUNTIF(I2435,"47*")&gt;0,COUNTIF(J2435,"*47*")&gt;0,COUNTIF(I2435,"10*")&gt;0,COUNTIF(J2435,"*10*")&gt;0,COUNTIF(I2435,"11*")&gt;0,COUNTIF(J2435,"*11*")&gt;0,COUNTIF(I2435,"12*")&gt;0,COUNTIF(J2435,"*12*")&gt;0,COUNTIF(I2435,"13*")&gt;0,COUNTIF(J2435,"*13*")&gt;0,COUNTIF(I2435,"14*")&gt;0,COUNTIF(J2435,"*14*")&gt;0,COUNTIF(I2435,"15*")&gt;0,COUNTIF(J2435,"*15*")&gt;0,COUNTIF(I2435,"16*")&gt;0,COUNTIF(J2435,"*16*")&gt;0,COUNTIF(I2435,"17*")&gt;0,COUNTIF(J2435,"*17*")&gt;0,COUNTIF(I2435,"18*")&gt;0,COUNTIF(J2435,"*18*")&gt;0,COUNTIF(I2435,"19*")&gt;0,COUNTIF(J2435,"*19*")&gt;0,COUNTIF(I2435,"20*")&gt;0,COUNTIF(J2435,"*20*")&gt;0,COUNTIF(I2435,"21*")&gt;0,COUNTIF(J2435,"*21*")&gt;0,COUNTIF(I2435,"22*")&gt;0,COUNTIF(J2435,"*22*")&gt;0,COUNTIF(I2435,"23*")&gt;0,COUNTIF(J2435,"*23*")&gt;0,COUNTIF(I2435,"24*")&gt;0,COUNTIF(J2435,"*24*")&gt;0,COUNTIF(I2435,"25*")&gt;0,COUNTIF(J2435,"*25*")&gt;0,COUNTIF(I2435,"26*")&gt;0,COUNTIF(J2435,"*26*")&gt;0,COUNTIF(I2435,"27*")&gt;0,COUNTIF(J2435,"*27*")&gt;0,COUNTIF(I2435,"28*")&gt;0,COUNTIF(J2435,"*28*")&gt;0,COUNTIF(I2435,"29*")&gt;0,COUNTIF(J2435,"*29*")&gt;0,COUNTIF(I2435,"30*")&gt;0,COUNTIF(J2435,"*30*")&gt;0,COUNTIF(I2435,"31*")&gt;0,COUNTIF(J2435,"*31*")&gt;0,COUNTIF(I2435,"32*")&gt;0,COUNTIF(J2435,"*32*")&gt;0,COUNTIF(I2435,"33*")&gt;0,COUNTIF(J2435,"*33*")&gt;0,COUNTIF(I2435,"41*")&gt;0,COUNTIF(J2435,"*41*")&gt;0,COUNTIF(I2435,"42*")&gt;0,COUNTIF(J2435,"*42*")&gt;0,COUNTIF(I2435,"43*")&gt;0,COUNTIF(J2435,"*43*")&gt;0,COUNTIF(I2435,"49*")&gt;0,COUNTIF(J2435,"*49*")&gt;0,COUNTIF(I2435,"52*")&gt;0,COUNTIF(J2435,"*52*")&gt;0,COUNTIF(I2435,"55*")&gt;0,COUNTIF(J2435,"*55*")&gt;0,COUNTIF(I2435,"56*")&gt;0,COUNTIF(J2435,"*56*")&gt;0,COUNTIF(I2435,"68*")&gt;0,COUNTIF(J2435,"*68*")&gt;0,COUNTIF(I2435,"78*")&gt;0,COUNTIF(J2435,"*78*")&gt;0,COUNTIF(I2435,"81*")&gt;0,COUNTIF(J2435,"*81*")&gt;0,COUNTIF(I2435,"82*")&gt;0,COUNTIF(J2435,"*82*")&gt;0,COUNTIF(I2435,"64*")&gt;0,COUNTIF(J2435,"*64*")&gt;0,COUNTIF(I2435,"65*")&gt;0,COUNTIF(J2435,"*65*")&gt;0,COUNTIF(I2435,"66*")&gt;0,COUNTIF(J2435,"*66*")&gt;0,COUNTIF(I2435,"61*")&gt;0,COUNTIF(J2435,"*61*")&gt;0,COUNTIF(I2435,"62*")&gt;0,COUNTIF(J2435,"*62*")&gt;0,COUNTIF(I2435,"63*")&gt;0,COUNTIF(J2435,"*63*")&gt;0,COUNTIF(I2435,"85*")&gt;0,COUNTIF(J2435,"*85*")&gt;0,COUNTIF(I2435,"86*")&gt;0,COUNTIF(J2435,"*86*")&gt;0),"Да","Нет"))</f>
        <v/>
      </c>
      <c r="M2435" s="13">
        <f>IF(OR(G2435="",L2435&lt;&gt;"Да"),"",IF(G2435&lt;=100,"До 100",IF(G2435&lt;=200,"До 200",IF(G2435&lt;=500,"До 500","Отдельное КП"))))</f>
        <v/>
      </c>
      <c r="N2435" s="15">
        <f>IF(OR(G2435="",L2435&lt;&gt;"Да"),"",IF(G2435&lt;=100,33600,IF(G2435&lt;=200,62400,IF(G2435&lt;=500,144000,""))))</f>
        <v/>
      </c>
      <c r="O2435" s="16">
        <f>IF(G2435="","",IF(G2435&lt;=15,"1–15",IF(G2435&lt;=30,"16–30",IF(G2435&lt;=50,"31–50",IF(G2435&lt;=100,"51–100",IF(G2435&lt;=150,"101–150",IF(G2435&lt;=200,"151–200",IF(G2435&lt;=500,"201–500","500+"))))))))</f>
        <v/>
      </c>
      <c r="P2435" s="16" t="inlineStr">
        <is>
          <t>Нет совпадения в предоставленной выгрузке ССЧР</t>
        </is>
      </c>
      <c r="Q2435" s="16" t="n"/>
      <c r="R2435" s="16">
        <f>HYPERLINK("https://checko.ru/search?query=3801001629","Чекко: проверить")</f>
        <v/>
      </c>
      <c r="S2435" t="n">
        <v>0</v>
      </c>
    </row>
    <row r="2436" ht="15" customHeight="1" s="24">
      <c r="A2436" s="13" t="n">
        <v>5000095144</v>
      </c>
      <c r="B2436" s="13" t="inlineStr">
        <is>
          <t>МКУ ДО "ДМШ №3" г.о. Нальчик</t>
        </is>
      </c>
      <c r="C2436" s="13" t="n">
        <v>721002406</v>
      </c>
      <c r="D2436" s="13" t="n"/>
      <c r="E2436" s="13" t="inlineStr">
        <is>
          <t>Не определён</t>
        </is>
      </c>
      <c r="F2436" s="13" t="inlineStr">
        <is>
          <t>721002406</t>
        </is>
      </c>
      <c r="G2436" s="14" t="n"/>
      <c r="H2436" s="14" t="n"/>
      <c r="I2436" s="14" t="n"/>
      <c r="J2436" s="14" t="n"/>
      <c r="K2436" s="13">
        <f>IF(G2436="","",IF(G2436&gt;=22,"Да","Нет"))</f>
        <v/>
      </c>
      <c r="L2436" s="13">
        <f>IF(OR(I2436="",J2436=""),"Не определено",IF(OR(COUNTIF(I2436,"45*")&gt;0,COUNTIF(J2436,"*45*")&gt;0,COUNTIF(I2436,"46*")&gt;0,COUNTIF(J2436,"*46*")&gt;0,COUNTIF(I2436,"47*")&gt;0,COUNTIF(J2436,"*47*")&gt;0,COUNTIF(I2436,"10*")&gt;0,COUNTIF(J2436,"*10*")&gt;0,COUNTIF(I2436,"11*")&gt;0,COUNTIF(J2436,"*11*")&gt;0,COUNTIF(I2436,"12*")&gt;0,COUNTIF(J2436,"*12*")&gt;0,COUNTIF(I2436,"13*")&gt;0,COUNTIF(J2436,"*13*")&gt;0,COUNTIF(I2436,"14*")&gt;0,COUNTIF(J2436,"*14*")&gt;0,COUNTIF(I2436,"15*")&gt;0,COUNTIF(J2436,"*15*")&gt;0,COUNTIF(I2436,"16*")&gt;0,COUNTIF(J2436,"*16*")&gt;0,COUNTIF(I2436,"17*")&gt;0,COUNTIF(J2436,"*17*")&gt;0,COUNTIF(I2436,"18*")&gt;0,COUNTIF(J2436,"*18*")&gt;0,COUNTIF(I2436,"19*")&gt;0,COUNTIF(J2436,"*19*")&gt;0,COUNTIF(I2436,"20*")&gt;0,COUNTIF(J2436,"*20*")&gt;0,COUNTIF(I2436,"21*")&gt;0,COUNTIF(J2436,"*21*")&gt;0,COUNTIF(I2436,"22*")&gt;0,COUNTIF(J2436,"*22*")&gt;0,COUNTIF(I2436,"23*")&gt;0,COUNTIF(J2436,"*23*")&gt;0,COUNTIF(I2436,"24*")&gt;0,COUNTIF(J2436,"*24*")&gt;0,COUNTIF(I2436,"25*")&gt;0,COUNTIF(J2436,"*25*")&gt;0,COUNTIF(I2436,"26*")&gt;0,COUNTIF(J2436,"*26*")&gt;0,COUNTIF(I2436,"27*")&gt;0,COUNTIF(J2436,"*27*")&gt;0,COUNTIF(I2436,"28*")&gt;0,COUNTIF(J2436,"*28*")&gt;0,COUNTIF(I2436,"29*")&gt;0,COUNTIF(J2436,"*29*")&gt;0,COUNTIF(I2436,"30*")&gt;0,COUNTIF(J2436,"*30*")&gt;0,COUNTIF(I2436,"31*")&gt;0,COUNTIF(J2436,"*31*")&gt;0,COUNTIF(I2436,"32*")&gt;0,COUNTIF(J2436,"*32*")&gt;0,COUNTIF(I2436,"33*")&gt;0,COUNTIF(J2436,"*33*")&gt;0,COUNTIF(I2436,"41*")&gt;0,COUNTIF(J2436,"*41*")&gt;0,COUNTIF(I2436,"42*")&gt;0,COUNTIF(J2436,"*42*")&gt;0,COUNTIF(I2436,"43*")&gt;0,COUNTIF(J2436,"*43*")&gt;0,COUNTIF(I2436,"49*")&gt;0,COUNTIF(J2436,"*49*")&gt;0,COUNTIF(I2436,"52*")&gt;0,COUNTIF(J2436,"*52*")&gt;0,COUNTIF(I2436,"55*")&gt;0,COUNTIF(J2436,"*55*")&gt;0,COUNTIF(I2436,"56*")&gt;0,COUNTIF(J2436,"*56*")&gt;0,COUNTIF(I2436,"68*")&gt;0,COUNTIF(J2436,"*68*")&gt;0,COUNTIF(I2436,"78*")&gt;0,COUNTIF(J2436,"*78*")&gt;0,COUNTIF(I2436,"81*")&gt;0,COUNTIF(J2436,"*81*")&gt;0,COUNTIF(I2436,"82*")&gt;0,COUNTIF(J2436,"*82*")&gt;0,COUNTIF(I2436,"64*")&gt;0,COUNTIF(J2436,"*64*")&gt;0,COUNTIF(I2436,"65*")&gt;0,COUNTIF(J2436,"*65*")&gt;0,COUNTIF(I2436,"66*")&gt;0,COUNTIF(J2436,"*66*")&gt;0,COUNTIF(I2436,"61*")&gt;0,COUNTIF(J2436,"*61*")&gt;0,COUNTIF(I2436,"62*")&gt;0,COUNTIF(J2436,"*62*")&gt;0,COUNTIF(I2436,"63*")&gt;0,COUNTIF(J2436,"*63*")&gt;0,COUNTIF(I2436,"85*")&gt;0,COUNTIF(J2436,"*85*")&gt;0,COUNTIF(I2436,"86*")&gt;0,COUNTIF(J2436,"*86*")&gt;0),"Да","Нет"))</f>
        <v/>
      </c>
      <c r="M2436" s="13">
        <f>IF(OR(G2436="",L2436&lt;&gt;"Да"),"",IF(G2436&lt;=100,"До 100",IF(G2436&lt;=200,"До 200",IF(G2436&lt;=500,"До 500","Отдельное КП"))))</f>
        <v/>
      </c>
      <c r="N2436" s="15">
        <f>IF(OR(G2436="",L2436&lt;&gt;"Да"),"",IF(G2436&lt;=100,33600,IF(G2436&lt;=200,62400,IF(G2436&lt;=500,144000,""))))</f>
        <v/>
      </c>
      <c r="O2436" s="16">
        <f>IF(G2436="","",IF(G2436&lt;=15,"1–15",IF(G2436&lt;=30,"16–30",IF(G2436&lt;=50,"31–50",IF(G2436&lt;=100,"51–100",IF(G2436&lt;=150,"101–150",IF(G2436&lt;=200,"151–200",IF(G2436&lt;=500,"201–500","500+"))))))))</f>
        <v/>
      </c>
      <c r="P2436" s="16" t="inlineStr">
        <is>
          <t>Нет совпадения в предоставленной выгрузке ССЧР</t>
        </is>
      </c>
      <c r="Q2436" s="16" t="n"/>
      <c r="R2436" s="16">
        <f>HYPERLINK("https://checko.ru/search?query=3801001629","Чекко: проверить")</f>
        <v/>
      </c>
      <c r="S2436" t="n">
        <v>0</v>
      </c>
    </row>
    <row r="2437" ht="15" customHeight="1" s="24">
      <c r="A2437" s="13" t="n">
        <v>5000095146</v>
      </c>
      <c r="B2437" s="13" t="inlineStr">
        <is>
          <t>ГБУК "ГКЗ"</t>
        </is>
      </c>
      <c r="C2437" s="13" t="n">
        <v>721004403</v>
      </c>
      <c r="D2437" s="13" t="n"/>
      <c r="E2437" s="13" t="inlineStr">
        <is>
          <t>Не определён</t>
        </is>
      </c>
      <c r="F2437" s="13" t="inlineStr">
        <is>
          <t>721004403</t>
        </is>
      </c>
      <c r="G2437" s="14" t="n"/>
      <c r="H2437" s="14" t="n"/>
      <c r="I2437" s="14" t="n"/>
      <c r="J2437" s="14" t="n"/>
      <c r="K2437" s="13">
        <f>IF(G2437="","",IF(G2437&gt;=22,"Да","Нет"))</f>
        <v/>
      </c>
      <c r="L2437" s="13">
        <f>IF(OR(I2437="",J2437=""),"Не определено",IF(OR(COUNTIF(I2437,"45*")&gt;0,COUNTIF(J2437,"*45*")&gt;0,COUNTIF(I2437,"46*")&gt;0,COUNTIF(J2437,"*46*")&gt;0,COUNTIF(I2437,"47*")&gt;0,COUNTIF(J2437,"*47*")&gt;0,COUNTIF(I2437,"10*")&gt;0,COUNTIF(J2437,"*10*")&gt;0,COUNTIF(I2437,"11*")&gt;0,COUNTIF(J2437,"*11*")&gt;0,COUNTIF(I2437,"12*")&gt;0,COUNTIF(J2437,"*12*")&gt;0,COUNTIF(I2437,"13*")&gt;0,COUNTIF(J2437,"*13*")&gt;0,COUNTIF(I2437,"14*")&gt;0,COUNTIF(J2437,"*14*")&gt;0,COUNTIF(I2437,"15*")&gt;0,COUNTIF(J2437,"*15*")&gt;0,COUNTIF(I2437,"16*")&gt;0,COUNTIF(J2437,"*16*")&gt;0,COUNTIF(I2437,"17*")&gt;0,COUNTIF(J2437,"*17*")&gt;0,COUNTIF(I2437,"18*")&gt;0,COUNTIF(J2437,"*18*")&gt;0,COUNTIF(I2437,"19*")&gt;0,COUNTIF(J2437,"*19*")&gt;0,COUNTIF(I2437,"20*")&gt;0,COUNTIF(J2437,"*20*")&gt;0,COUNTIF(I2437,"21*")&gt;0,COUNTIF(J2437,"*21*")&gt;0,COUNTIF(I2437,"22*")&gt;0,COUNTIF(J2437,"*22*")&gt;0,COUNTIF(I2437,"23*")&gt;0,COUNTIF(J2437,"*23*")&gt;0,COUNTIF(I2437,"24*")&gt;0,COUNTIF(J2437,"*24*")&gt;0,COUNTIF(I2437,"25*")&gt;0,COUNTIF(J2437,"*25*")&gt;0,COUNTIF(I2437,"26*")&gt;0,COUNTIF(J2437,"*26*")&gt;0,COUNTIF(I2437,"27*")&gt;0,COUNTIF(J2437,"*27*")&gt;0,COUNTIF(I2437,"28*")&gt;0,COUNTIF(J2437,"*28*")&gt;0,COUNTIF(I2437,"29*")&gt;0,COUNTIF(J2437,"*29*")&gt;0,COUNTIF(I2437,"30*")&gt;0,COUNTIF(J2437,"*30*")&gt;0,COUNTIF(I2437,"31*")&gt;0,COUNTIF(J2437,"*31*")&gt;0,COUNTIF(I2437,"32*")&gt;0,COUNTIF(J2437,"*32*")&gt;0,COUNTIF(I2437,"33*")&gt;0,COUNTIF(J2437,"*33*")&gt;0,COUNTIF(I2437,"41*")&gt;0,COUNTIF(J2437,"*41*")&gt;0,COUNTIF(I2437,"42*")&gt;0,COUNTIF(J2437,"*42*")&gt;0,COUNTIF(I2437,"43*")&gt;0,COUNTIF(J2437,"*43*")&gt;0,COUNTIF(I2437,"49*")&gt;0,COUNTIF(J2437,"*49*")&gt;0,COUNTIF(I2437,"52*")&gt;0,COUNTIF(J2437,"*52*")&gt;0,COUNTIF(I2437,"55*")&gt;0,COUNTIF(J2437,"*55*")&gt;0,COUNTIF(I2437,"56*")&gt;0,COUNTIF(J2437,"*56*")&gt;0,COUNTIF(I2437,"68*")&gt;0,COUNTIF(J2437,"*68*")&gt;0,COUNTIF(I2437,"78*")&gt;0,COUNTIF(J2437,"*78*")&gt;0,COUNTIF(I2437,"81*")&gt;0,COUNTIF(J2437,"*81*")&gt;0,COUNTIF(I2437,"82*")&gt;0,COUNTIF(J2437,"*82*")&gt;0,COUNTIF(I2437,"64*")&gt;0,COUNTIF(J2437,"*64*")&gt;0,COUNTIF(I2437,"65*")&gt;0,COUNTIF(J2437,"*65*")&gt;0,COUNTIF(I2437,"66*")&gt;0,COUNTIF(J2437,"*66*")&gt;0,COUNTIF(I2437,"61*")&gt;0,COUNTIF(J2437,"*61*")&gt;0,COUNTIF(I2437,"62*")&gt;0,COUNTIF(J2437,"*62*")&gt;0,COUNTIF(I2437,"63*")&gt;0,COUNTIF(J2437,"*63*")&gt;0,COUNTIF(I2437,"85*")&gt;0,COUNTIF(J2437,"*85*")&gt;0,COUNTIF(I2437,"86*")&gt;0,COUNTIF(J2437,"*86*")&gt;0),"Да","Нет"))</f>
        <v/>
      </c>
      <c r="M2437" s="13">
        <f>IF(OR(G2437="",L2437&lt;&gt;"Да"),"",IF(G2437&lt;=100,"До 100",IF(G2437&lt;=200,"До 200",IF(G2437&lt;=500,"До 500","Отдельное КП"))))</f>
        <v/>
      </c>
      <c r="N2437" s="15">
        <f>IF(OR(G2437="",L2437&lt;&gt;"Да"),"",IF(G2437&lt;=100,33600,IF(G2437&lt;=200,62400,IF(G2437&lt;=500,144000,""))))</f>
        <v/>
      </c>
      <c r="O2437" s="16">
        <f>IF(G2437="","",IF(G2437&lt;=15,"1–15",IF(G2437&lt;=30,"16–30",IF(G2437&lt;=50,"31–50",IF(G2437&lt;=100,"51–100",IF(G2437&lt;=150,"101–150",IF(G2437&lt;=200,"151–200",IF(G2437&lt;=500,"201–500","500+"))))))))</f>
        <v/>
      </c>
      <c r="P2437" s="16" t="inlineStr">
        <is>
          <t>Нет совпадения в предоставленной выгрузке ССЧР</t>
        </is>
      </c>
      <c r="Q2437" s="16" t="n"/>
      <c r="R2437" s="16">
        <f>HYPERLINK("https://checko.ru/search?query=3801001629","Чекко: проверить")</f>
        <v/>
      </c>
      <c r="S2437" t="n">
        <v>0</v>
      </c>
    </row>
    <row r="2438" ht="15" customHeight="1" s="24">
      <c r="A2438" s="13" t="n">
        <v>5000095147</v>
      </c>
      <c r="B2438" s="13" t="inlineStr">
        <is>
          <t>Контрольно-счетная палата</t>
        </is>
      </c>
      <c r="C2438" s="13" t="n">
        <v>721007588</v>
      </c>
      <c r="D2438" s="13" t="n"/>
      <c r="E2438" s="13" t="inlineStr">
        <is>
          <t>Не определён</t>
        </is>
      </c>
      <c r="F2438" s="13" t="inlineStr">
        <is>
          <t>721007588</t>
        </is>
      </c>
      <c r="G2438" s="14" t="n"/>
      <c r="H2438" s="14" t="n"/>
      <c r="I2438" s="14" t="n"/>
      <c r="J2438" s="14" t="n"/>
      <c r="K2438" s="13">
        <f>IF(G2438="","",IF(G2438&gt;=22,"Да","Нет"))</f>
        <v/>
      </c>
      <c r="L2438" s="13">
        <f>IF(OR(I2438="",J2438=""),"Не определено",IF(OR(COUNTIF(I2438,"45*")&gt;0,COUNTIF(J2438,"*45*")&gt;0,COUNTIF(I2438,"46*")&gt;0,COUNTIF(J2438,"*46*")&gt;0,COUNTIF(I2438,"47*")&gt;0,COUNTIF(J2438,"*47*")&gt;0,COUNTIF(I2438,"10*")&gt;0,COUNTIF(J2438,"*10*")&gt;0,COUNTIF(I2438,"11*")&gt;0,COUNTIF(J2438,"*11*")&gt;0,COUNTIF(I2438,"12*")&gt;0,COUNTIF(J2438,"*12*")&gt;0,COUNTIF(I2438,"13*")&gt;0,COUNTIF(J2438,"*13*")&gt;0,COUNTIF(I2438,"14*")&gt;0,COUNTIF(J2438,"*14*")&gt;0,COUNTIF(I2438,"15*")&gt;0,COUNTIF(J2438,"*15*")&gt;0,COUNTIF(I2438,"16*")&gt;0,COUNTIF(J2438,"*16*")&gt;0,COUNTIF(I2438,"17*")&gt;0,COUNTIF(J2438,"*17*")&gt;0,COUNTIF(I2438,"18*")&gt;0,COUNTIF(J2438,"*18*")&gt;0,COUNTIF(I2438,"19*")&gt;0,COUNTIF(J2438,"*19*")&gt;0,COUNTIF(I2438,"20*")&gt;0,COUNTIF(J2438,"*20*")&gt;0,COUNTIF(I2438,"21*")&gt;0,COUNTIF(J2438,"*21*")&gt;0,COUNTIF(I2438,"22*")&gt;0,COUNTIF(J2438,"*22*")&gt;0,COUNTIF(I2438,"23*")&gt;0,COUNTIF(J2438,"*23*")&gt;0,COUNTIF(I2438,"24*")&gt;0,COUNTIF(J2438,"*24*")&gt;0,COUNTIF(I2438,"25*")&gt;0,COUNTIF(J2438,"*25*")&gt;0,COUNTIF(I2438,"26*")&gt;0,COUNTIF(J2438,"*26*")&gt;0,COUNTIF(I2438,"27*")&gt;0,COUNTIF(J2438,"*27*")&gt;0,COUNTIF(I2438,"28*")&gt;0,COUNTIF(J2438,"*28*")&gt;0,COUNTIF(I2438,"29*")&gt;0,COUNTIF(J2438,"*29*")&gt;0,COUNTIF(I2438,"30*")&gt;0,COUNTIF(J2438,"*30*")&gt;0,COUNTIF(I2438,"31*")&gt;0,COUNTIF(J2438,"*31*")&gt;0,COUNTIF(I2438,"32*")&gt;0,COUNTIF(J2438,"*32*")&gt;0,COUNTIF(I2438,"33*")&gt;0,COUNTIF(J2438,"*33*")&gt;0,COUNTIF(I2438,"41*")&gt;0,COUNTIF(J2438,"*41*")&gt;0,COUNTIF(I2438,"42*")&gt;0,COUNTIF(J2438,"*42*")&gt;0,COUNTIF(I2438,"43*")&gt;0,COUNTIF(J2438,"*43*")&gt;0,COUNTIF(I2438,"49*")&gt;0,COUNTIF(J2438,"*49*")&gt;0,COUNTIF(I2438,"52*")&gt;0,COUNTIF(J2438,"*52*")&gt;0,COUNTIF(I2438,"55*")&gt;0,COUNTIF(J2438,"*55*")&gt;0,COUNTIF(I2438,"56*")&gt;0,COUNTIF(J2438,"*56*")&gt;0,COUNTIF(I2438,"68*")&gt;0,COUNTIF(J2438,"*68*")&gt;0,COUNTIF(I2438,"78*")&gt;0,COUNTIF(J2438,"*78*")&gt;0,COUNTIF(I2438,"81*")&gt;0,COUNTIF(J2438,"*81*")&gt;0,COUNTIF(I2438,"82*")&gt;0,COUNTIF(J2438,"*82*")&gt;0,COUNTIF(I2438,"64*")&gt;0,COUNTIF(J2438,"*64*")&gt;0,COUNTIF(I2438,"65*")&gt;0,COUNTIF(J2438,"*65*")&gt;0,COUNTIF(I2438,"66*")&gt;0,COUNTIF(J2438,"*66*")&gt;0,COUNTIF(I2438,"61*")&gt;0,COUNTIF(J2438,"*61*")&gt;0,COUNTIF(I2438,"62*")&gt;0,COUNTIF(J2438,"*62*")&gt;0,COUNTIF(I2438,"63*")&gt;0,COUNTIF(J2438,"*63*")&gt;0,COUNTIF(I2438,"85*")&gt;0,COUNTIF(J2438,"*85*")&gt;0,COUNTIF(I2438,"86*")&gt;0,COUNTIF(J2438,"*86*")&gt;0),"Да","Нет"))</f>
        <v/>
      </c>
      <c r="M2438" s="13">
        <f>IF(OR(G2438="",L2438&lt;&gt;"Да"),"",IF(G2438&lt;=100,"До 100",IF(G2438&lt;=200,"До 200",IF(G2438&lt;=500,"До 500","Отдельное КП"))))</f>
        <v/>
      </c>
      <c r="N2438" s="15">
        <f>IF(OR(G2438="",L2438&lt;&gt;"Да"),"",IF(G2438&lt;=100,33600,IF(G2438&lt;=200,62400,IF(G2438&lt;=500,144000,""))))</f>
        <v/>
      </c>
      <c r="O2438" s="16">
        <f>IF(G2438="","",IF(G2438&lt;=15,"1–15",IF(G2438&lt;=30,"16–30",IF(G2438&lt;=50,"31–50",IF(G2438&lt;=100,"51–100",IF(G2438&lt;=150,"101–150",IF(G2438&lt;=200,"151–200",IF(G2438&lt;=500,"201–500","500+"))))))))</f>
        <v/>
      </c>
      <c r="P2438" s="16" t="inlineStr">
        <is>
          <t>Нет совпадения в предоставленной выгрузке ССЧР</t>
        </is>
      </c>
      <c r="Q2438" s="16" t="n"/>
      <c r="R2438" s="16">
        <f>HYPERLINK("https://checko.ru/search?query=3801001629","Чекко: проверить")</f>
        <v/>
      </c>
      <c r="S2438" t="n">
        <v>0</v>
      </c>
    </row>
    <row r="2439" ht="15" customHeight="1" s="24">
      <c r="A2439" s="13" t="n">
        <v>5000095148</v>
      </c>
      <c r="B2439" s="13" t="inlineStr">
        <is>
          <t>ГБУ ДПО "ЦНППМ" Минпросвещения КБР</t>
        </is>
      </c>
      <c r="C2439" s="13" t="n">
        <v>721008670</v>
      </c>
      <c r="D2439" s="13" t="n"/>
      <c r="E2439" s="13" t="inlineStr">
        <is>
          <t>Не определён</t>
        </is>
      </c>
      <c r="F2439" s="13" t="inlineStr">
        <is>
          <t>721008670</t>
        </is>
      </c>
      <c r="G2439" s="14" t="n"/>
      <c r="H2439" s="14" t="n"/>
      <c r="I2439" s="14" t="n"/>
      <c r="J2439" s="14" t="n"/>
      <c r="K2439" s="13">
        <f>IF(G2439="","",IF(G2439&gt;=22,"Да","Нет"))</f>
        <v/>
      </c>
      <c r="L2439" s="13">
        <f>IF(OR(I2439="",J2439=""),"Не определено",IF(OR(COUNTIF(I2439,"45*")&gt;0,COUNTIF(J2439,"*45*")&gt;0,COUNTIF(I2439,"46*")&gt;0,COUNTIF(J2439,"*46*")&gt;0,COUNTIF(I2439,"47*")&gt;0,COUNTIF(J2439,"*47*")&gt;0,COUNTIF(I2439,"10*")&gt;0,COUNTIF(J2439,"*10*")&gt;0,COUNTIF(I2439,"11*")&gt;0,COUNTIF(J2439,"*11*")&gt;0,COUNTIF(I2439,"12*")&gt;0,COUNTIF(J2439,"*12*")&gt;0,COUNTIF(I2439,"13*")&gt;0,COUNTIF(J2439,"*13*")&gt;0,COUNTIF(I2439,"14*")&gt;0,COUNTIF(J2439,"*14*")&gt;0,COUNTIF(I2439,"15*")&gt;0,COUNTIF(J2439,"*15*")&gt;0,COUNTIF(I2439,"16*")&gt;0,COUNTIF(J2439,"*16*")&gt;0,COUNTIF(I2439,"17*")&gt;0,COUNTIF(J2439,"*17*")&gt;0,COUNTIF(I2439,"18*")&gt;0,COUNTIF(J2439,"*18*")&gt;0,COUNTIF(I2439,"19*")&gt;0,COUNTIF(J2439,"*19*")&gt;0,COUNTIF(I2439,"20*")&gt;0,COUNTIF(J2439,"*20*")&gt;0,COUNTIF(I2439,"21*")&gt;0,COUNTIF(J2439,"*21*")&gt;0,COUNTIF(I2439,"22*")&gt;0,COUNTIF(J2439,"*22*")&gt;0,COUNTIF(I2439,"23*")&gt;0,COUNTIF(J2439,"*23*")&gt;0,COUNTIF(I2439,"24*")&gt;0,COUNTIF(J2439,"*24*")&gt;0,COUNTIF(I2439,"25*")&gt;0,COUNTIF(J2439,"*25*")&gt;0,COUNTIF(I2439,"26*")&gt;0,COUNTIF(J2439,"*26*")&gt;0,COUNTIF(I2439,"27*")&gt;0,COUNTIF(J2439,"*27*")&gt;0,COUNTIF(I2439,"28*")&gt;0,COUNTIF(J2439,"*28*")&gt;0,COUNTIF(I2439,"29*")&gt;0,COUNTIF(J2439,"*29*")&gt;0,COUNTIF(I2439,"30*")&gt;0,COUNTIF(J2439,"*30*")&gt;0,COUNTIF(I2439,"31*")&gt;0,COUNTIF(J2439,"*31*")&gt;0,COUNTIF(I2439,"32*")&gt;0,COUNTIF(J2439,"*32*")&gt;0,COUNTIF(I2439,"33*")&gt;0,COUNTIF(J2439,"*33*")&gt;0,COUNTIF(I2439,"41*")&gt;0,COUNTIF(J2439,"*41*")&gt;0,COUNTIF(I2439,"42*")&gt;0,COUNTIF(J2439,"*42*")&gt;0,COUNTIF(I2439,"43*")&gt;0,COUNTIF(J2439,"*43*")&gt;0,COUNTIF(I2439,"49*")&gt;0,COUNTIF(J2439,"*49*")&gt;0,COUNTIF(I2439,"52*")&gt;0,COUNTIF(J2439,"*52*")&gt;0,COUNTIF(I2439,"55*")&gt;0,COUNTIF(J2439,"*55*")&gt;0,COUNTIF(I2439,"56*")&gt;0,COUNTIF(J2439,"*56*")&gt;0,COUNTIF(I2439,"68*")&gt;0,COUNTIF(J2439,"*68*")&gt;0,COUNTIF(I2439,"78*")&gt;0,COUNTIF(J2439,"*78*")&gt;0,COUNTIF(I2439,"81*")&gt;0,COUNTIF(J2439,"*81*")&gt;0,COUNTIF(I2439,"82*")&gt;0,COUNTIF(J2439,"*82*")&gt;0,COUNTIF(I2439,"64*")&gt;0,COUNTIF(J2439,"*64*")&gt;0,COUNTIF(I2439,"65*")&gt;0,COUNTIF(J2439,"*65*")&gt;0,COUNTIF(I2439,"66*")&gt;0,COUNTIF(J2439,"*66*")&gt;0,COUNTIF(I2439,"61*")&gt;0,COUNTIF(J2439,"*61*")&gt;0,COUNTIF(I2439,"62*")&gt;0,COUNTIF(J2439,"*62*")&gt;0,COUNTIF(I2439,"63*")&gt;0,COUNTIF(J2439,"*63*")&gt;0,COUNTIF(I2439,"85*")&gt;0,COUNTIF(J2439,"*85*")&gt;0,COUNTIF(I2439,"86*")&gt;0,COUNTIF(J2439,"*86*")&gt;0),"Да","Нет"))</f>
        <v/>
      </c>
      <c r="M2439" s="13">
        <f>IF(OR(G2439="",L2439&lt;&gt;"Да"),"",IF(G2439&lt;=100,"До 100",IF(G2439&lt;=200,"До 200",IF(G2439&lt;=500,"До 500","Отдельное КП"))))</f>
        <v/>
      </c>
      <c r="N2439" s="15">
        <f>IF(OR(G2439="",L2439&lt;&gt;"Да"),"",IF(G2439&lt;=100,33600,IF(G2439&lt;=200,62400,IF(G2439&lt;=500,144000,""))))</f>
        <v/>
      </c>
      <c r="O2439" s="16">
        <f>IF(G2439="","",IF(G2439&lt;=15,"1–15",IF(G2439&lt;=30,"16–30",IF(G2439&lt;=50,"31–50",IF(G2439&lt;=100,"51–100",IF(G2439&lt;=150,"101–150",IF(G2439&lt;=200,"151–200",IF(G2439&lt;=500,"201–500","500+"))))))))</f>
        <v/>
      </c>
      <c r="P2439" s="16" t="inlineStr">
        <is>
          <t>Нет совпадения в предоставленной выгрузке ССЧР</t>
        </is>
      </c>
      <c r="Q2439" s="16" t="n"/>
      <c r="R2439" s="16">
        <f>HYPERLINK("https://checko.ru/search?query=3801001629","Чекко: проверить")</f>
        <v/>
      </c>
      <c r="S2439" t="n">
        <v>0</v>
      </c>
    </row>
    <row r="2440" ht="15" customHeight="1" s="24">
      <c r="A2440" s="13" t="n">
        <v>5000095149</v>
      </c>
      <c r="B2440" s="13" t="inlineStr">
        <is>
          <t>ГКУ КБР "Водоканал-анализ"</t>
        </is>
      </c>
      <c r="C2440" s="13" t="n">
        <v>721009779</v>
      </c>
      <c r="D2440" s="13" t="n"/>
      <c r="E2440" s="13" t="inlineStr">
        <is>
          <t>Не определён</t>
        </is>
      </c>
      <c r="F2440" s="13" t="inlineStr">
        <is>
          <t>721009779</t>
        </is>
      </c>
      <c r="G2440" s="14" t="n"/>
      <c r="H2440" s="14" t="n"/>
      <c r="I2440" s="14" t="n"/>
      <c r="J2440" s="14" t="n"/>
      <c r="K2440" s="13">
        <f>IF(G2440="","",IF(G2440&gt;=22,"Да","Нет"))</f>
        <v/>
      </c>
      <c r="L2440" s="13">
        <f>IF(OR(I2440="",J2440=""),"Не определено",IF(OR(COUNTIF(I2440,"45*")&gt;0,COUNTIF(J2440,"*45*")&gt;0,COUNTIF(I2440,"46*")&gt;0,COUNTIF(J2440,"*46*")&gt;0,COUNTIF(I2440,"47*")&gt;0,COUNTIF(J2440,"*47*")&gt;0,COUNTIF(I2440,"10*")&gt;0,COUNTIF(J2440,"*10*")&gt;0,COUNTIF(I2440,"11*")&gt;0,COUNTIF(J2440,"*11*")&gt;0,COUNTIF(I2440,"12*")&gt;0,COUNTIF(J2440,"*12*")&gt;0,COUNTIF(I2440,"13*")&gt;0,COUNTIF(J2440,"*13*")&gt;0,COUNTIF(I2440,"14*")&gt;0,COUNTIF(J2440,"*14*")&gt;0,COUNTIF(I2440,"15*")&gt;0,COUNTIF(J2440,"*15*")&gt;0,COUNTIF(I2440,"16*")&gt;0,COUNTIF(J2440,"*16*")&gt;0,COUNTIF(I2440,"17*")&gt;0,COUNTIF(J2440,"*17*")&gt;0,COUNTIF(I2440,"18*")&gt;0,COUNTIF(J2440,"*18*")&gt;0,COUNTIF(I2440,"19*")&gt;0,COUNTIF(J2440,"*19*")&gt;0,COUNTIF(I2440,"20*")&gt;0,COUNTIF(J2440,"*20*")&gt;0,COUNTIF(I2440,"21*")&gt;0,COUNTIF(J2440,"*21*")&gt;0,COUNTIF(I2440,"22*")&gt;0,COUNTIF(J2440,"*22*")&gt;0,COUNTIF(I2440,"23*")&gt;0,COUNTIF(J2440,"*23*")&gt;0,COUNTIF(I2440,"24*")&gt;0,COUNTIF(J2440,"*24*")&gt;0,COUNTIF(I2440,"25*")&gt;0,COUNTIF(J2440,"*25*")&gt;0,COUNTIF(I2440,"26*")&gt;0,COUNTIF(J2440,"*26*")&gt;0,COUNTIF(I2440,"27*")&gt;0,COUNTIF(J2440,"*27*")&gt;0,COUNTIF(I2440,"28*")&gt;0,COUNTIF(J2440,"*28*")&gt;0,COUNTIF(I2440,"29*")&gt;0,COUNTIF(J2440,"*29*")&gt;0,COUNTIF(I2440,"30*")&gt;0,COUNTIF(J2440,"*30*")&gt;0,COUNTIF(I2440,"31*")&gt;0,COUNTIF(J2440,"*31*")&gt;0,COUNTIF(I2440,"32*")&gt;0,COUNTIF(J2440,"*32*")&gt;0,COUNTIF(I2440,"33*")&gt;0,COUNTIF(J2440,"*33*")&gt;0,COUNTIF(I2440,"41*")&gt;0,COUNTIF(J2440,"*41*")&gt;0,COUNTIF(I2440,"42*")&gt;0,COUNTIF(J2440,"*42*")&gt;0,COUNTIF(I2440,"43*")&gt;0,COUNTIF(J2440,"*43*")&gt;0,COUNTIF(I2440,"49*")&gt;0,COUNTIF(J2440,"*49*")&gt;0,COUNTIF(I2440,"52*")&gt;0,COUNTIF(J2440,"*52*")&gt;0,COUNTIF(I2440,"55*")&gt;0,COUNTIF(J2440,"*55*")&gt;0,COUNTIF(I2440,"56*")&gt;0,COUNTIF(J2440,"*56*")&gt;0,COUNTIF(I2440,"68*")&gt;0,COUNTIF(J2440,"*68*")&gt;0,COUNTIF(I2440,"78*")&gt;0,COUNTIF(J2440,"*78*")&gt;0,COUNTIF(I2440,"81*")&gt;0,COUNTIF(J2440,"*81*")&gt;0,COUNTIF(I2440,"82*")&gt;0,COUNTIF(J2440,"*82*")&gt;0,COUNTIF(I2440,"64*")&gt;0,COUNTIF(J2440,"*64*")&gt;0,COUNTIF(I2440,"65*")&gt;0,COUNTIF(J2440,"*65*")&gt;0,COUNTIF(I2440,"66*")&gt;0,COUNTIF(J2440,"*66*")&gt;0,COUNTIF(I2440,"61*")&gt;0,COUNTIF(J2440,"*61*")&gt;0,COUNTIF(I2440,"62*")&gt;0,COUNTIF(J2440,"*62*")&gt;0,COUNTIF(I2440,"63*")&gt;0,COUNTIF(J2440,"*63*")&gt;0,COUNTIF(I2440,"85*")&gt;0,COUNTIF(J2440,"*85*")&gt;0,COUNTIF(I2440,"86*")&gt;0,COUNTIF(J2440,"*86*")&gt;0),"Да","Нет"))</f>
        <v/>
      </c>
      <c r="M2440" s="13">
        <f>IF(OR(G2440="",L2440&lt;&gt;"Да"),"",IF(G2440&lt;=100,"До 100",IF(G2440&lt;=200,"До 200",IF(G2440&lt;=500,"До 500","Отдельное КП"))))</f>
        <v/>
      </c>
      <c r="N2440" s="15">
        <f>IF(OR(G2440="",L2440&lt;&gt;"Да"),"",IF(G2440&lt;=100,33600,IF(G2440&lt;=200,62400,IF(G2440&lt;=500,144000,""))))</f>
        <v/>
      </c>
      <c r="O2440" s="16">
        <f>IF(G2440="","",IF(G2440&lt;=15,"1–15",IF(G2440&lt;=30,"16–30",IF(G2440&lt;=50,"31–50",IF(G2440&lt;=100,"51–100",IF(G2440&lt;=150,"101–150",IF(G2440&lt;=200,"151–200",IF(G2440&lt;=500,"201–500","500+"))))))))</f>
        <v/>
      </c>
      <c r="P2440" s="16" t="inlineStr">
        <is>
          <t>Нет совпадения в предоставленной выгрузке ССЧР</t>
        </is>
      </c>
      <c r="Q2440" s="16" t="n"/>
      <c r="R2440" s="16">
        <f>HYPERLINK("https://checko.ru/search?query=3801001629","Чекко: проверить")</f>
        <v/>
      </c>
      <c r="S2440" t="n">
        <v>0</v>
      </c>
    </row>
    <row r="2441" ht="15" customHeight="1" s="24">
      <c r="A2441" s="13" t="n">
        <v>5000095150</v>
      </c>
      <c r="B2441" s="13" t="inlineStr">
        <is>
          <t>ГБУ "ЦОКОПМК" Минпросвещения КБР</t>
        </is>
      </c>
      <c r="C2441" s="13" t="n">
        <v>721010238</v>
      </c>
      <c r="D2441" s="13" t="n"/>
      <c r="E2441" s="13" t="inlineStr">
        <is>
          <t>Не определён</t>
        </is>
      </c>
      <c r="F2441" s="13" t="inlineStr">
        <is>
          <t>721010238</t>
        </is>
      </c>
      <c r="G2441" s="14" t="n"/>
      <c r="H2441" s="14" t="n"/>
      <c r="I2441" s="14" t="n"/>
      <c r="J2441" s="14" t="n"/>
      <c r="K2441" s="13">
        <f>IF(G2441="","",IF(G2441&gt;=22,"Да","Нет"))</f>
        <v/>
      </c>
      <c r="L2441" s="13">
        <f>IF(OR(I2441="",J2441=""),"Не определено",IF(OR(COUNTIF(I2441,"45*")&gt;0,COUNTIF(J2441,"*45*")&gt;0,COUNTIF(I2441,"46*")&gt;0,COUNTIF(J2441,"*46*")&gt;0,COUNTIF(I2441,"47*")&gt;0,COUNTIF(J2441,"*47*")&gt;0,COUNTIF(I2441,"10*")&gt;0,COUNTIF(J2441,"*10*")&gt;0,COUNTIF(I2441,"11*")&gt;0,COUNTIF(J2441,"*11*")&gt;0,COUNTIF(I2441,"12*")&gt;0,COUNTIF(J2441,"*12*")&gt;0,COUNTIF(I2441,"13*")&gt;0,COUNTIF(J2441,"*13*")&gt;0,COUNTIF(I2441,"14*")&gt;0,COUNTIF(J2441,"*14*")&gt;0,COUNTIF(I2441,"15*")&gt;0,COUNTIF(J2441,"*15*")&gt;0,COUNTIF(I2441,"16*")&gt;0,COUNTIF(J2441,"*16*")&gt;0,COUNTIF(I2441,"17*")&gt;0,COUNTIF(J2441,"*17*")&gt;0,COUNTIF(I2441,"18*")&gt;0,COUNTIF(J2441,"*18*")&gt;0,COUNTIF(I2441,"19*")&gt;0,COUNTIF(J2441,"*19*")&gt;0,COUNTIF(I2441,"20*")&gt;0,COUNTIF(J2441,"*20*")&gt;0,COUNTIF(I2441,"21*")&gt;0,COUNTIF(J2441,"*21*")&gt;0,COUNTIF(I2441,"22*")&gt;0,COUNTIF(J2441,"*22*")&gt;0,COUNTIF(I2441,"23*")&gt;0,COUNTIF(J2441,"*23*")&gt;0,COUNTIF(I2441,"24*")&gt;0,COUNTIF(J2441,"*24*")&gt;0,COUNTIF(I2441,"25*")&gt;0,COUNTIF(J2441,"*25*")&gt;0,COUNTIF(I2441,"26*")&gt;0,COUNTIF(J2441,"*26*")&gt;0,COUNTIF(I2441,"27*")&gt;0,COUNTIF(J2441,"*27*")&gt;0,COUNTIF(I2441,"28*")&gt;0,COUNTIF(J2441,"*28*")&gt;0,COUNTIF(I2441,"29*")&gt;0,COUNTIF(J2441,"*29*")&gt;0,COUNTIF(I2441,"30*")&gt;0,COUNTIF(J2441,"*30*")&gt;0,COUNTIF(I2441,"31*")&gt;0,COUNTIF(J2441,"*31*")&gt;0,COUNTIF(I2441,"32*")&gt;0,COUNTIF(J2441,"*32*")&gt;0,COUNTIF(I2441,"33*")&gt;0,COUNTIF(J2441,"*33*")&gt;0,COUNTIF(I2441,"41*")&gt;0,COUNTIF(J2441,"*41*")&gt;0,COUNTIF(I2441,"42*")&gt;0,COUNTIF(J2441,"*42*")&gt;0,COUNTIF(I2441,"43*")&gt;0,COUNTIF(J2441,"*43*")&gt;0,COUNTIF(I2441,"49*")&gt;0,COUNTIF(J2441,"*49*")&gt;0,COUNTIF(I2441,"52*")&gt;0,COUNTIF(J2441,"*52*")&gt;0,COUNTIF(I2441,"55*")&gt;0,COUNTIF(J2441,"*55*")&gt;0,COUNTIF(I2441,"56*")&gt;0,COUNTIF(J2441,"*56*")&gt;0,COUNTIF(I2441,"68*")&gt;0,COUNTIF(J2441,"*68*")&gt;0,COUNTIF(I2441,"78*")&gt;0,COUNTIF(J2441,"*78*")&gt;0,COUNTIF(I2441,"81*")&gt;0,COUNTIF(J2441,"*81*")&gt;0,COUNTIF(I2441,"82*")&gt;0,COUNTIF(J2441,"*82*")&gt;0,COUNTIF(I2441,"64*")&gt;0,COUNTIF(J2441,"*64*")&gt;0,COUNTIF(I2441,"65*")&gt;0,COUNTIF(J2441,"*65*")&gt;0,COUNTIF(I2441,"66*")&gt;0,COUNTIF(J2441,"*66*")&gt;0,COUNTIF(I2441,"61*")&gt;0,COUNTIF(J2441,"*61*")&gt;0,COUNTIF(I2441,"62*")&gt;0,COUNTIF(J2441,"*62*")&gt;0,COUNTIF(I2441,"63*")&gt;0,COUNTIF(J2441,"*63*")&gt;0,COUNTIF(I2441,"85*")&gt;0,COUNTIF(J2441,"*85*")&gt;0,COUNTIF(I2441,"86*")&gt;0,COUNTIF(J2441,"*86*")&gt;0),"Да","Нет"))</f>
        <v/>
      </c>
      <c r="M2441" s="13">
        <f>IF(OR(G2441="",L2441&lt;&gt;"Да"),"",IF(G2441&lt;=100,"До 100",IF(G2441&lt;=200,"До 200",IF(G2441&lt;=500,"До 500","Отдельное КП"))))</f>
        <v/>
      </c>
      <c r="N2441" s="15">
        <f>IF(OR(G2441="",L2441&lt;&gt;"Да"),"",IF(G2441&lt;=100,33600,IF(G2441&lt;=200,62400,IF(G2441&lt;=500,144000,""))))</f>
        <v/>
      </c>
      <c r="O2441" s="16">
        <f>IF(G2441="","",IF(G2441&lt;=15,"1–15",IF(G2441&lt;=30,"16–30",IF(G2441&lt;=50,"31–50",IF(G2441&lt;=100,"51–100",IF(G2441&lt;=150,"101–150",IF(G2441&lt;=200,"151–200",IF(G2441&lt;=500,"201–500","500+"))))))))</f>
        <v/>
      </c>
      <c r="P2441" s="16" t="inlineStr">
        <is>
          <t>Нет совпадения в предоставленной выгрузке ССЧР</t>
        </is>
      </c>
      <c r="Q2441" s="16" t="n"/>
      <c r="R2441" s="16">
        <f>HYPERLINK("https://checko.ru/search?query=3801001629","Чекко: проверить")</f>
        <v/>
      </c>
      <c r="S2441" t="n">
        <v>0</v>
      </c>
    </row>
    <row r="2442" ht="15" customHeight="1" s="24">
      <c r="A2442" s="13" t="n">
        <v>5000095151</v>
      </c>
      <c r="B2442" s="13" t="inlineStr">
        <is>
          <t>МКОУ "СОШ № 6" г.о. Нальчик КБР</t>
        </is>
      </c>
      <c r="C2442" s="13" t="n">
        <v>721012154</v>
      </c>
      <c r="D2442" s="13" t="n"/>
      <c r="E2442" s="13" t="inlineStr">
        <is>
          <t>Не определён</t>
        </is>
      </c>
      <c r="F2442" s="13" t="inlineStr">
        <is>
          <t>721012154</t>
        </is>
      </c>
      <c r="G2442" s="14" t="n"/>
      <c r="H2442" s="14" t="n"/>
      <c r="I2442" s="14" t="n"/>
      <c r="J2442" s="14" t="n"/>
      <c r="K2442" s="13">
        <f>IF(G2442="","",IF(G2442&gt;=22,"Да","Нет"))</f>
        <v/>
      </c>
      <c r="L2442" s="13">
        <f>IF(OR(I2442="",J2442=""),"Не определено",IF(OR(COUNTIF(I2442,"45*")&gt;0,COUNTIF(J2442,"*45*")&gt;0,COUNTIF(I2442,"46*")&gt;0,COUNTIF(J2442,"*46*")&gt;0,COUNTIF(I2442,"47*")&gt;0,COUNTIF(J2442,"*47*")&gt;0,COUNTIF(I2442,"10*")&gt;0,COUNTIF(J2442,"*10*")&gt;0,COUNTIF(I2442,"11*")&gt;0,COUNTIF(J2442,"*11*")&gt;0,COUNTIF(I2442,"12*")&gt;0,COUNTIF(J2442,"*12*")&gt;0,COUNTIF(I2442,"13*")&gt;0,COUNTIF(J2442,"*13*")&gt;0,COUNTIF(I2442,"14*")&gt;0,COUNTIF(J2442,"*14*")&gt;0,COUNTIF(I2442,"15*")&gt;0,COUNTIF(J2442,"*15*")&gt;0,COUNTIF(I2442,"16*")&gt;0,COUNTIF(J2442,"*16*")&gt;0,COUNTIF(I2442,"17*")&gt;0,COUNTIF(J2442,"*17*")&gt;0,COUNTIF(I2442,"18*")&gt;0,COUNTIF(J2442,"*18*")&gt;0,COUNTIF(I2442,"19*")&gt;0,COUNTIF(J2442,"*19*")&gt;0,COUNTIF(I2442,"20*")&gt;0,COUNTIF(J2442,"*20*")&gt;0,COUNTIF(I2442,"21*")&gt;0,COUNTIF(J2442,"*21*")&gt;0,COUNTIF(I2442,"22*")&gt;0,COUNTIF(J2442,"*22*")&gt;0,COUNTIF(I2442,"23*")&gt;0,COUNTIF(J2442,"*23*")&gt;0,COUNTIF(I2442,"24*")&gt;0,COUNTIF(J2442,"*24*")&gt;0,COUNTIF(I2442,"25*")&gt;0,COUNTIF(J2442,"*25*")&gt;0,COUNTIF(I2442,"26*")&gt;0,COUNTIF(J2442,"*26*")&gt;0,COUNTIF(I2442,"27*")&gt;0,COUNTIF(J2442,"*27*")&gt;0,COUNTIF(I2442,"28*")&gt;0,COUNTIF(J2442,"*28*")&gt;0,COUNTIF(I2442,"29*")&gt;0,COUNTIF(J2442,"*29*")&gt;0,COUNTIF(I2442,"30*")&gt;0,COUNTIF(J2442,"*30*")&gt;0,COUNTIF(I2442,"31*")&gt;0,COUNTIF(J2442,"*31*")&gt;0,COUNTIF(I2442,"32*")&gt;0,COUNTIF(J2442,"*32*")&gt;0,COUNTIF(I2442,"33*")&gt;0,COUNTIF(J2442,"*33*")&gt;0,COUNTIF(I2442,"41*")&gt;0,COUNTIF(J2442,"*41*")&gt;0,COUNTIF(I2442,"42*")&gt;0,COUNTIF(J2442,"*42*")&gt;0,COUNTIF(I2442,"43*")&gt;0,COUNTIF(J2442,"*43*")&gt;0,COUNTIF(I2442,"49*")&gt;0,COUNTIF(J2442,"*49*")&gt;0,COUNTIF(I2442,"52*")&gt;0,COUNTIF(J2442,"*52*")&gt;0,COUNTIF(I2442,"55*")&gt;0,COUNTIF(J2442,"*55*")&gt;0,COUNTIF(I2442,"56*")&gt;0,COUNTIF(J2442,"*56*")&gt;0,COUNTIF(I2442,"68*")&gt;0,COUNTIF(J2442,"*68*")&gt;0,COUNTIF(I2442,"78*")&gt;0,COUNTIF(J2442,"*78*")&gt;0,COUNTIF(I2442,"81*")&gt;0,COUNTIF(J2442,"*81*")&gt;0,COUNTIF(I2442,"82*")&gt;0,COUNTIF(J2442,"*82*")&gt;0,COUNTIF(I2442,"64*")&gt;0,COUNTIF(J2442,"*64*")&gt;0,COUNTIF(I2442,"65*")&gt;0,COUNTIF(J2442,"*65*")&gt;0,COUNTIF(I2442,"66*")&gt;0,COUNTIF(J2442,"*66*")&gt;0,COUNTIF(I2442,"61*")&gt;0,COUNTIF(J2442,"*61*")&gt;0,COUNTIF(I2442,"62*")&gt;0,COUNTIF(J2442,"*62*")&gt;0,COUNTIF(I2442,"63*")&gt;0,COUNTIF(J2442,"*63*")&gt;0,COUNTIF(I2442,"85*")&gt;0,COUNTIF(J2442,"*85*")&gt;0,COUNTIF(I2442,"86*")&gt;0,COUNTIF(J2442,"*86*")&gt;0),"Да","Нет"))</f>
        <v/>
      </c>
      <c r="M2442" s="13">
        <f>IF(OR(G2442="",L2442&lt;&gt;"Да"),"",IF(G2442&lt;=100,"До 100",IF(G2442&lt;=200,"До 200",IF(G2442&lt;=500,"До 500","Отдельное КП"))))</f>
        <v/>
      </c>
      <c r="N2442" s="15">
        <f>IF(OR(G2442="",L2442&lt;&gt;"Да"),"",IF(G2442&lt;=100,33600,IF(G2442&lt;=200,62400,IF(G2442&lt;=500,144000,""))))</f>
        <v/>
      </c>
      <c r="O2442" s="16">
        <f>IF(G2442="","",IF(G2442&lt;=15,"1–15",IF(G2442&lt;=30,"16–30",IF(G2442&lt;=50,"31–50",IF(G2442&lt;=100,"51–100",IF(G2442&lt;=150,"101–150",IF(G2442&lt;=200,"151–200",IF(G2442&lt;=500,"201–500","500+"))))))))</f>
        <v/>
      </c>
      <c r="P2442" s="16" t="inlineStr">
        <is>
          <t>Нет совпадения в предоставленной выгрузке ССЧР</t>
        </is>
      </c>
      <c r="Q2442" s="16" t="n"/>
      <c r="R2442" s="16">
        <f>HYPERLINK("https://checko.ru/search?query=3801001629","Чекко: проверить")</f>
        <v/>
      </c>
      <c r="S2442" t="n">
        <v>0</v>
      </c>
    </row>
    <row r="2443" ht="15" customHeight="1" s="24">
      <c r="A2443" s="13" t="n">
        <v>5000094993</v>
      </c>
      <c r="B2443" s="13" t="inlineStr">
        <is>
          <t>ГКУК "БГДТ им.К.Кулиева"</t>
        </is>
      </c>
      <c r="C2443" s="13" t="n">
        <v>711035434</v>
      </c>
      <c r="D2443" s="13" t="n"/>
      <c r="E2443" s="13" t="inlineStr">
        <is>
          <t>Не определён</t>
        </is>
      </c>
      <c r="F2443" s="13" t="inlineStr">
        <is>
          <t>711035434</t>
        </is>
      </c>
      <c r="G2443" s="14" t="n"/>
      <c r="H2443" s="14" t="n"/>
      <c r="I2443" s="14" t="n"/>
      <c r="J2443" s="14" t="n"/>
      <c r="K2443" s="13">
        <f>IF(G2443="","",IF(G2443&gt;=22,"Да","Нет"))</f>
        <v/>
      </c>
      <c r="L2443" s="13">
        <f>IF(OR(I2443="",J2443=""),"Не определено",IF(OR(COUNTIF(I2443,"45*")&gt;0,COUNTIF(J2443,"*45*")&gt;0,COUNTIF(I2443,"46*")&gt;0,COUNTIF(J2443,"*46*")&gt;0,COUNTIF(I2443,"47*")&gt;0,COUNTIF(J2443,"*47*")&gt;0,COUNTIF(I2443,"10*")&gt;0,COUNTIF(J2443,"*10*")&gt;0,COUNTIF(I2443,"11*")&gt;0,COUNTIF(J2443,"*11*")&gt;0,COUNTIF(I2443,"12*")&gt;0,COUNTIF(J2443,"*12*")&gt;0,COUNTIF(I2443,"13*")&gt;0,COUNTIF(J2443,"*13*")&gt;0,COUNTIF(I2443,"14*")&gt;0,COUNTIF(J2443,"*14*")&gt;0,COUNTIF(I2443,"15*")&gt;0,COUNTIF(J2443,"*15*")&gt;0,COUNTIF(I2443,"16*")&gt;0,COUNTIF(J2443,"*16*")&gt;0,COUNTIF(I2443,"17*")&gt;0,COUNTIF(J2443,"*17*")&gt;0,COUNTIF(I2443,"18*")&gt;0,COUNTIF(J2443,"*18*")&gt;0,COUNTIF(I2443,"19*")&gt;0,COUNTIF(J2443,"*19*")&gt;0,COUNTIF(I2443,"20*")&gt;0,COUNTIF(J2443,"*20*")&gt;0,COUNTIF(I2443,"21*")&gt;0,COUNTIF(J2443,"*21*")&gt;0,COUNTIF(I2443,"22*")&gt;0,COUNTIF(J2443,"*22*")&gt;0,COUNTIF(I2443,"23*")&gt;0,COUNTIF(J2443,"*23*")&gt;0,COUNTIF(I2443,"24*")&gt;0,COUNTIF(J2443,"*24*")&gt;0,COUNTIF(I2443,"25*")&gt;0,COUNTIF(J2443,"*25*")&gt;0,COUNTIF(I2443,"26*")&gt;0,COUNTIF(J2443,"*26*")&gt;0,COUNTIF(I2443,"27*")&gt;0,COUNTIF(J2443,"*27*")&gt;0,COUNTIF(I2443,"28*")&gt;0,COUNTIF(J2443,"*28*")&gt;0,COUNTIF(I2443,"29*")&gt;0,COUNTIF(J2443,"*29*")&gt;0,COUNTIF(I2443,"30*")&gt;0,COUNTIF(J2443,"*30*")&gt;0,COUNTIF(I2443,"31*")&gt;0,COUNTIF(J2443,"*31*")&gt;0,COUNTIF(I2443,"32*")&gt;0,COUNTIF(J2443,"*32*")&gt;0,COUNTIF(I2443,"33*")&gt;0,COUNTIF(J2443,"*33*")&gt;0,COUNTIF(I2443,"41*")&gt;0,COUNTIF(J2443,"*41*")&gt;0,COUNTIF(I2443,"42*")&gt;0,COUNTIF(J2443,"*42*")&gt;0,COUNTIF(I2443,"43*")&gt;0,COUNTIF(J2443,"*43*")&gt;0,COUNTIF(I2443,"49*")&gt;0,COUNTIF(J2443,"*49*")&gt;0,COUNTIF(I2443,"52*")&gt;0,COUNTIF(J2443,"*52*")&gt;0,COUNTIF(I2443,"55*")&gt;0,COUNTIF(J2443,"*55*")&gt;0,COUNTIF(I2443,"56*")&gt;0,COUNTIF(J2443,"*56*")&gt;0,COUNTIF(I2443,"68*")&gt;0,COUNTIF(J2443,"*68*")&gt;0,COUNTIF(I2443,"78*")&gt;0,COUNTIF(J2443,"*78*")&gt;0,COUNTIF(I2443,"81*")&gt;0,COUNTIF(J2443,"*81*")&gt;0,COUNTIF(I2443,"82*")&gt;0,COUNTIF(J2443,"*82*")&gt;0,COUNTIF(I2443,"64*")&gt;0,COUNTIF(J2443,"*64*")&gt;0,COUNTIF(I2443,"65*")&gt;0,COUNTIF(J2443,"*65*")&gt;0,COUNTIF(I2443,"66*")&gt;0,COUNTIF(J2443,"*66*")&gt;0,COUNTIF(I2443,"61*")&gt;0,COUNTIF(J2443,"*61*")&gt;0,COUNTIF(I2443,"62*")&gt;0,COUNTIF(J2443,"*62*")&gt;0,COUNTIF(I2443,"63*")&gt;0,COUNTIF(J2443,"*63*")&gt;0,COUNTIF(I2443,"85*")&gt;0,COUNTIF(J2443,"*85*")&gt;0,COUNTIF(I2443,"86*")&gt;0,COUNTIF(J2443,"*86*")&gt;0),"Да","Нет"))</f>
        <v/>
      </c>
      <c r="M2443" s="13">
        <f>IF(OR(G2443="",L2443&lt;&gt;"Да"),"",IF(G2443&lt;=100,"До 100",IF(G2443&lt;=200,"До 200",IF(G2443&lt;=500,"До 500","Отдельное КП"))))</f>
        <v/>
      </c>
      <c r="N2443" s="15">
        <f>IF(OR(G2443="",L2443&lt;&gt;"Да"),"",IF(G2443&lt;=100,33600,IF(G2443&lt;=200,62400,IF(G2443&lt;=500,144000,""))))</f>
        <v/>
      </c>
      <c r="O2443" s="16">
        <f>IF(G2443="","",IF(G2443&lt;=15,"1–15",IF(G2443&lt;=30,"16–30",IF(G2443&lt;=50,"31–50",IF(G2443&lt;=100,"51–100",IF(G2443&lt;=150,"101–150",IF(G2443&lt;=200,"151–200",IF(G2443&lt;=500,"201–500","500+"))))))))</f>
        <v/>
      </c>
      <c r="P2443" s="16" t="inlineStr">
        <is>
          <t>Нет совпадения в предоставленной выгрузке ССЧР</t>
        </is>
      </c>
      <c r="Q2443" s="16" t="n"/>
      <c r="R2443" s="16">
        <f>HYPERLINK("https://checko.ru/search?query=3801001629","Чекко: проверить")</f>
        <v/>
      </c>
      <c r="S2443" t="n">
        <v>0</v>
      </c>
    </row>
    <row r="2444" ht="15" customHeight="1" s="24">
      <c r="A2444" s="13" t="n">
        <v>5000094995</v>
      </c>
      <c r="B2444" s="13" t="inlineStr">
        <is>
          <t>ГКУ "НПНИ" МТиСЗ КБР</t>
        </is>
      </c>
      <c r="C2444" s="13" t="n">
        <v>711035593</v>
      </c>
      <c r="D2444" s="13" t="n"/>
      <c r="E2444" s="13" t="inlineStr">
        <is>
          <t>Не определён</t>
        </is>
      </c>
      <c r="F2444" s="13" t="inlineStr">
        <is>
          <t>711035593</t>
        </is>
      </c>
      <c r="G2444" s="14" t="n"/>
      <c r="H2444" s="14" t="n"/>
      <c r="I2444" s="14" t="n"/>
      <c r="J2444" s="14" t="n"/>
      <c r="K2444" s="13">
        <f>IF(G2444="","",IF(G2444&gt;=22,"Да","Нет"))</f>
        <v/>
      </c>
      <c r="L2444" s="13">
        <f>IF(OR(I2444="",J2444=""),"Не определено",IF(OR(COUNTIF(I2444,"45*")&gt;0,COUNTIF(J2444,"*45*")&gt;0,COUNTIF(I2444,"46*")&gt;0,COUNTIF(J2444,"*46*")&gt;0,COUNTIF(I2444,"47*")&gt;0,COUNTIF(J2444,"*47*")&gt;0,COUNTIF(I2444,"10*")&gt;0,COUNTIF(J2444,"*10*")&gt;0,COUNTIF(I2444,"11*")&gt;0,COUNTIF(J2444,"*11*")&gt;0,COUNTIF(I2444,"12*")&gt;0,COUNTIF(J2444,"*12*")&gt;0,COUNTIF(I2444,"13*")&gt;0,COUNTIF(J2444,"*13*")&gt;0,COUNTIF(I2444,"14*")&gt;0,COUNTIF(J2444,"*14*")&gt;0,COUNTIF(I2444,"15*")&gt;0,COUNTIF(J2444,"*15*")&gt;0,COUNTIF(I2444,"16*")&gt;0,COUNTIF(J2444,"*16*")&gt;0,COUNTIF(I2444,"17*")&gt;0,COUNTIF(J2444,"*17*")&gt;0,COUNTIF(I2444,"18*")&gt;0,COUNTIF(J2444,"*18*")&gt;0,COUNTIF(I2444,"19*")&gt;0,COUNTIF(J2444,"*19*")&gt;0,COUNTIF(I2444,"20*")&gt;0,COUNTIF(J2444,"*20*")&gt;0,COUNTIF(I2444,"21*")&gt;0,COUNTIF(J2444,"*21*")&gt;0,COUNTIF(I2444,"22*")&gt;0,COUNTIF(J2444,"*22*")&gt;0,COUNTIF(I2444,"23*")&gt;0,COUNTIF(J2444,"*23*")&gt;0,COUNTIF(I2444,"24*")&gt;0,COUNTIF(J2444,"*24*")&gt;0,COUNTIF(I2444,"25*")&gt;0,COUNTIF(J2444,"*25*")&gt;0,COUNTIF(I2444,"26*")&gt;0,COUNTIF(J2444,"*26*")&gt;0,COUNTIF(I2444,"27*")&gt;0,COUNTIF(J2444,"*27*")&gt;0,COUNTIF(I2444,"28*")&gt;0,COUNTIF(J2444,"*28*")&gt;0,COUNTIF(I2444,"29*")&gt;0,COUNTIF(J2444,"*29*")&gt;0,COUNTIF(I2444,"30*")&gt;0,COUNTIF(J2444,"*30*")&gt;0,COUNTIF(I2444,"31*")&gt;0,COUNTIF(J2444,"*31*")&gt;0,COUNTIF(I2444,"32*")&gt;0,COUNTIF(J2444,"*32*")&gt;0,COUNTIF(I2444,"33*")&gt;0,COUNTIF(J2444,"*33*")&gt;0,COUNTIF(I2444,"41*")&gt;0,COUNTIF(J2444,"*41*")&gt;0,COUNTIF(I2444,"42*")&gt;0,COUNTIF(J2444,"*42*")&gt;0,COUNTIF(I2444,"43*")&gt;0,COUNTIF(J2444,"*43*")&gt;0,COUNTIF(I2444,"49*")&gt;0,COUNTIF(J2444,"*49*")&gt;0,COUNTIF(I2444,"52*")&gt;0,COUNTIF(J2444,"*52*")&gt;0,COUNTIF(I2444,"55*")&gt;0,COUNTIF(J2444,"*55*")&gt;0,COUNTIF(I2444,"56*")&gt;0,COUNTIF(J2444,"*56*")&gt;0,COUNTIF(I2444,"68*")&gt;0,COUNTIF(J2444,"*68*")&gt;0,COUNTIF(I2444,"78*")&gt;0,COUNTIF(J2444,"*78*")&gt;0,COUNTIF(I2444,"81*")&gt;0,COUNTIF(J2444,"*81*")&gt;0,COUNTIF(I2444,"82*")&gt;0,COUNTIF(J2444,"*82*")&gt;0,COUNTIF(I2444,"64*")&gt;0,COUNTIF(J2444,"*64*")&gt;0,COUNTIF(I2444,"65*")&gt;0,COUNTIF(J2444,"*65*")&gt;0,COUNTIF(I2444,"66*")&gt;0,COUNTIF(J2444,"*66*")&gt;0,COUNTIF(I2444,"61*")&gt;0,COUNTIF(J2444,"*61*")&gt;0,COUNTIF(I2444,"62*")&gt;0,COUNTIF(J2444,"*62*")&gt;0,COUNTIF(I2444,"63*")&gt;0,COUNTIF(J2444,"*63*")&gt;0,COUNTIF(I2444,"85*")&gt;0,COUNTIF(J2444,"*85*")&gt;0,COUNTIF(I2444,"86*")&gt;0,COUNTIF(J2444,"*86*")&gt;0),"Да","Нет"))</f>
        <v/>
      </c>
      <c r="M2444" s="13">
        <f>IF(OR(G2444="",L2444&lt;&gt;"Да"),"",IF(G2444&lt;=100,"До 100",IF(G2444&lt;=200,"До 200",IF(G2444&lt;=500,"До 500","Отдельное КП"))))</f>
        <v/>
      </c>
      <c r="N2444" s="15">
        <f>IF(OR(G2444="",L2444&lt;&gt;"Да"),"",IF(G2444&lt;=100,33600,IF(G2444&lt;=200,62400,IF(G2444&lt;=500,144000,""))))</f>
        <v/>
      </c>
      <c r="O2444" s="16">
        <f>IF(G2444="","",IF(G2444&lt;=15,"1–15",IF(G2444&lt;=30,"16–30",IF(G2444&lt;=50,"31–50",IF(G2444&lt;=100,"51–100",IF(G2444&lt;=150,"101–150",IF(G2444&lt;=200,"151–200",IF(G2444&lt;=500,"201–500","500+"))))))))</f>
        <v/>
      </c>
      <c r="P2444" s="16" t="inlineStr">
        <is>
          <t>Нет совпадения в предоставленной выгрузке ССЧР</t>
        </is>
      </c>
      <c r="Q2444" s="16" t="n"/>
      <c r="R2444" s="16">
        <f>HYPERLINK("https://checko.ru/search?query=3801001629","Чекко: проверить")</f>
        <v/>
      </c>
      <c r="S2444" t="n">
        <v>0</v>
      </c>
    </row>
    <row r="2445" ht="15" customHeight="1" s="24">
      <c r="A2445" s="13" t="n">
        <v>5000094996</v>
      </c>
      <c r="B2445" s="13" t="inlineStr">
        <is>
          <t>ГКУЗ "ПНД" Минздрава КБР</t>
        </is>
      </c>
      <c r="C2445" s="13" t="n">
        <v>711035603</v>
      </c>
      <c r="D2445" s="13" t="n"/>
      <c r="E2445" s="13" t="inlineStr">
        <is>
          <t>Не определён</t>
        </is>
      </c>
      <c r="F2445" s="13" t="inlineStr">
        <is>
          <t>711035603</t>
        </is>
      </c>
      <c r="G2445" s="14" t="n"/>
      <c r="H2445" s="14" t="n"/>
      <c r="I2445" s="14" t="n"/>
      <c r="J2445" s="14" t="n"/>
      <c r="K2445" s="13">
        <f>IF(G2445="","",IF(G2445&gt;=22,"Да","Нет"))</f>
        <v/>
      </c>
      <c r="L2445" s="13">
        <f>IF(OR(I2445="",J2445=""),"Не определено",IF(OR(COUNTIF(I2445,"45*")&gt;0,COUNTIF(J2445,"*45*")&gt;0,COUNTIF(I2445,"46*")&gt;0,COUNTIF(J2445,"*46*")&gt;0,COUNTIF(I2445,"47*")&gt;0,COUNTIF(J2445,"*47*")&gt;0,COUNTIF(I2445,"10*")&gt;0,COUNTIF(J2445,"*10*")&gt;0,COUNTIF(I2445,"11*")&gt;0,COUNTIF(J2445,"*11*")&gt;0,COUNTIF(I2445,"12*")&gt;0,COUNTIF(J2445,"*12*")&gt;0,COUNTIF(I2445,"13*")&gt;0,COUNTIF(J2445,"*13*")&gt;0,COUNTIF(I2445,"14*")&gt;0,COUNTIF(J2445,"*14*")&gt;0,COUNTIF(I2445,"15*")&gt;0,COUNTIF(J2445,"*15*")&gt;0,COUNTIF(I2445,"16*")&gt;0,COUNTIF(J2445,"*16*")&gt;0,COUNTIF(I2445,"17*")&gt;0,COUNTIF(J2445,"*17*")&gt;0,COUNTIF(I2445,"18*")&gt;0,COUNTIF(J2445,"*18*")&gt;0,COUNTIF(I2445,"19*")&gt;0,COUNTIF(J2445,"*19*")&gt;0,COUNTIF(I2445,"20*")&gt;0,COUNTIF(J2445,"*20*")&gt;0,COUNTIF(I2445,"21*")&gt;0,COUNTIF(J2445,"*21*")&gt;0,COUNTIF(I2445,"22*")&gt;0,COUNTIF(J2445,"*22*")&gt;0,COUNTIF(I2445,"23*")&gt;0,COUNTIF(J2445,"*23*")&gt;0,COUNTIF(I2445,"24*")&gt;0,COUNTIF(J2445,"*24*")&gt;0,COUNTIF(I2445,"25*")&gt;0,COUNTIF(J2445,"*25*")&gt;0,COUNTIF(I2445,"26*")&gt;0,COUNTIF(J2445,"*26*")&gt;0,COUNTIF(I2445,"27*")&gt;0,COUNTIF(J2445,"*27*")&gt;0,COUNTIF(I2445,"28*")&gt;0,COUNTIF(J2445,"*28*")&gt;0,COUNTIF(I2445,"29*")&gt;0,COUNTIF(J2445,"*29*")&gt;0,COUNTIF(I2445,"30*")&gt;0,COUNTIF(J2445,"*30*")&gt;0,COUNTIF(I2445,"31*")&gt;0,COUNTIF(J2445,"*31*")&gt;0,COUNTIF(I2445,"32*")&gt;0,COUNTIF(J2445,"*32*")&gt;0,COUNTIF(I2445,"33*")&gt;0,COUNTIF(J2445,"*33*")&gt;0,COUNTIF(I2445,"41*")&gt;0,COUNTIF(J2445,"*41*")&gt;0,COUNTIF(I2445,"42*")&gt;0,COUNTIF(J2445,"*42*")&gt;0,COUNTIF(I2445,"43*")&gt;0,COUNTIF(J2445,"*43*")&gt;0,COUNTIF(I2445,"49*")&gt;0,COUNTIF(J2445,"*49*")&gt;0,COUNTIF(I2445,"52*")&gt;0,COUNTIF(J2445,"*52*")&gt;0,COUNTIF(I2445,"55*")&gt;0,COUNTIF(J2445,"*55*")&gt;0,COUNTIF(I2445,"56*")&gt;0,COUNTIF(J2445,"*56*")&gt;0,COUNTIF(I2445,"68*")&gt;0,COUNTIF(J2445,"*68*")&gt;0,COUNTIF(I2445,"78*")&gt;0,COUNTIF(J2445,"*78*")&gt;0,COUNTIF(I2445,"81*")&gt;0,COUNTIF(J2445,"*81*")&gt;0,COUNTIF(I2445,"82*")&gt;0,COUNTIF(J2445,"*82*")&gt;0,COUNTIF(I2445,"64*")&gt;0,COUNTIF(J2445,"*64*")&gt;0,COUNTIF(I2445,"65*")&gt;0,COUNTIF(J2445,"*65*")&gt;0,COUNTIF(I2445,"66*")&gt;0,COUNTIF(J2445,"*66*")&gt;0,COUNTIF(I2445,"61*")&gt;0,COUNTIF(J2445,"*61*")&gt;0,COUNTIF(I2445,"62*")&gt;0,COUNTIF(J2445,"*62*")&gt;0,COUNTIF(I2445,"63*")&gt;0,COUNTIF(J2445,"*63*")&gt;0,COUNTIF(I2445,"85*")&gt;0,COUNTIF(J2445,"*85*")&gt;0,COUNTIF(I2445,"86*")&gt;0,COUNTIF(J2445,"*86*")&gt;0),"Да","Нет"))</f>
        <v/>
      </c>
      <c r="M2445" s="13">
        <f>IF(OR(G2445="",L2445&lt;&gt;"Да"),"",IF(G2445&lt;=100,"До 100",IF(G2445&lt;=200,"До 200",IF(G2445&lt;=500,"До 500","Отдельное КП"))))</f>
        <v/>
      </c>
      <c r="N2445" s="15">
        <f>IF(OR(G2445="",L2445&lt;&gt;"Да"),"",IF(G2445&lt;=100,33600,IF(G2445&lt;=200,62400,IF(G2445&lt;=500,144000,""))))</f>
        <v/>
      </c>
      <c r="O2445" s="16">
        <f>IF(G2445="","",IF(G2445&lt;=15,"1–15",IF(G2445&lt;=30,"16–30",IF(G2445&lt;=50,"31–50",IF(G2445&lt;=100,"51–100",IF(G2445&lt;=150,"101–150",IF(G2445&lt;=200,"151–200",IF(G2445&lt;=500,"201–500","500+"))))))))</f>
        <v/>
      </c>
      <c r="P2445" s="16" t="inlineStr">
        <is>
          <t>Нет совпадения в предоставленной выгрузке ССЧР</t>
        </is>
      </c>
      <c r="Q2445" s="16" t="n"/>
      <c r="R2445" s="16">
        <f>HYPERLINK("https://checko.ru/search?query=3801001629","Чекко: проверить")</f>
        <v/>
      </c>
      <c r="S2445" t="n">
        <v>0</v>
      </c>
    </row>
    <row r="2446" ht="15" customHeight="1" s="24">
      <c r="A2446" s="13" t="n">
        <v>5000094997</v>
      </c>
      <c r="B2446" s="13" t="inlineStr">
        <is>
          <t>ГБУЗ "ГКБ № 1"</t>
        </is>
      </c>
      <c r="C2446" s="13" t="n">
        <v>711035699</v>
      </c>
      <c r="D2446" s="13" t="n"/>
      <c r="E2446" s="13" t="inlineStr">
        <is>
          <t>Не определён</t>
        </is>
      </c>
      <c r="F2446" s="13" t="inlineStr">
        <is>
          <t>711035699</t>
        </is>
      </c>
      <c r="G2446" s="14" t="n"/>
      <c r="H2446" s="14" t="n"/>
      <c r="I2446" s="14" t="n"/>
      <c r="J2446" s="14" t="n"/>
      <c r="K2446" s="13">
        <f>IF(G2446="","",IF(G2446&gt;=22,"Да","Нет"))</f>
        <v/>
      </c>
      <c r="L2446" s="13">
        <f>IF(OR(I2446="",J2446=""),"Не определено",IF(OR(COUNTIF(I2446,"45*")&gt;0,COUNTIF(J2446,"*45*")&gt;0,COUNTIF(I2446,"46*")&gt;0,COUNTIF(J2446,"*46*")&gt;0,COUNTIF(I2446,"47*")&gt;0,COUNTIF(J2446,"*47*")&gt;0,COUNTIF(I2446,"10*")&gt;0,COUNTIF(J2446,"*10*")&gt;0,COUNTIF(I2446,"11*")&gt;0,COUNTIF(J2446,"*11*")&gt;0,COUNTIF(I2446,"12*")&gt;0,COUNTIF(J2446,"*12*")&gt;0,COUNTIF(I2446,"13*")&gt;0,COUNTIF(J2446,"*13*")&gt;0,COUNTIF(I2446,"14*")&gt;0,COUNTIF(J2446,"*14*")&gt;0,COUNTIF(I2446,"15*")&gt;0,COUNTIF(J2446,"*15*")&gt;0,COUNTIF(I2446,"16*")&gt;0,COUNTIF(J2446,"*16*")&gt;0,COUNTIF(I2446,"17*")&gt;0,COUNTIF(J2446,"*17*")&gt;0,COUNTIF(I2446,"18*")&gt;0,COUNTIF(J2446,"*18*")&gt;0,COUNTIF(I2446,"19*")&gt;0,COUNTIF(J2446,"*19*")&gt;0,COUNTIF(I2446,"20*")&gt;0,COUNTIF(J2446,"*20*")&gt;0,COUNTIF(I2446,"21*")&gt;0,COUNTIF(J2446,"*21*")&gt;0,COUNTIF(I2446,"22*")&gt;0,COUNTIF(J2446,"*22*")&gt;0,COUNTIF(I2446,"23*")&gt;0,COUNTIF(J2446,"*23*")&gt;0,COUNTIF(I2446,"24*")&gt;0,COUNTIF(J2446,"*24*")&gt;0,COUNTIF(I2446,"25*")&gt;0,COUNTIF(J2446,"*25*")&gt;0,COUNTIF(I2446,"26*")&gt;0,COUNTIF(J2446,"*26*")&gt;0,COUNTIF(I2446,"27*")&gt;0,COUNTIF(J2446,"*27*")&gt;0,COUNTIF(I2446,"28*")&gt;0,COUNTIF(J2446,"*28*")&gt;0,COUNTIF(I2446,"29*")&gt;0,COUNTIF(J2446,"*29*")&gt;0,COUNTIF(I2446,"30*")&gt;0,COUNTIF(J2446,"*30*")&gt;0,COUNTIF(I2446,"31*")&gt;0,COUNTIF(J2446,"*31*")&gt;0,COUNTIF(I2446,"32*")&gt;0,COUNTIF(J2446,"*32*")&gt;0,COUNTIF(I2446,"33*")&gt;0,COUNTIF(J2446,"*33*")&gt;0,COUNTIF(I2446,"41*")&gt;0,COUNTIF(J2446,"*41*")&gt;0,COUNTIF(I2446,"42*")&gt;0,COUNTIF(J2446,"*42*")&gt;0,COUNTIF(I2446,"43*")&gt;0,COUNTIF(J2446,"*43*")&gt;0,COUNTIF(I2446,"49*")&gt;0,COUNTIF(J2446,"*49*")&gt;0,COUNTIF(I2446,"52*")&gt;0,COUNTIF(J2446,"*52*")&gt;0,COUNTIF(I2446,"55*")&gt;0,COUNTIF(J2446,"*55*")&gt;0,COUNTIF(I2446,"56*")&gt;0,COUNTIF(J2446,"*56*")&gt;0,COUNTIF(I2446,"68*")&gt;0,COUNTIF(J2446,"*68*")&gt;0,COUNTIF(I2446,"78*")&gt;0,COUNTIF(J2446,"*78*")&gt;0,COUNTIF(I2446,"81*")&gt;0,COUNTIF(J2446,"*81*")&gt;0,COUNTIF(I2446,"82*")&gt;0,COUNTIF(J2446,"*82*")&gt;0,COUNTIF(I2446,"64*")&gt;0,COUNTIF(J2446,"*64*")&gt;0,COUNTIF(I2446,"65*")&gt;0,COUNTIF(J2446,"*65*")&gt;0,COUNTIF(I2446,"66*")&gt;0,COUNTIF(J2446,"*66*")&gt;0,COUNTIF(I2446,"61*")&gt;0,COUNTIF(J2446,"*61*")&gt;0,COUNTIF(I2446,"62*")&gt;0,COUNTIF(J2446,"*62*")&gt;0,COUNTIF(I2446,"63*")&gt;0,COUNTIF(J2446,"*63*")&gt;0,COUNTIF(I2446,"85*")&gt;0,COUNTIF(J2446,"*85*")&gt;0,COUNTIF(I2446,"86*")&gt;0,COUNTIF(J2446,"*86*")&gt;0),"Да","Нет"))</f>
        <v/>
      </c>
      <c r="M2446" s="13">
        <f>IF(OR(G2446="",L2446&lt;&gt;"Да"),"",IF(G2446&lt;=100,"До 100",IF(G2446&lt;=200,"До 200",IF(G2446&lt;=500,"До 500","Отдельное КП"))))</f>
        <v/>
      </c>
      <c r="N2446" s="15">
        <f>IF(OR(G2446="",L2446&lt;&gt;"Да"),"",IF(G2446&lt;=100,33600,IF(G2446&lt;=200,62400,IF(G2446&lt;=500,144000,""))))</f>
        <v/>
      </c>
      <c r="O2446" s="16">
        <f>IF(G2446="","",IF(G2446&lt;=15,"1–15",IF(G2446&lt;=30,"16–30",IF(G2446&lt;=50,"31–50",IF(G2446&lt;=100,"51–100",IF(G2446&lt;=150,"101–150",IF(G2446&lt;=200,"151–200",IF(G2446&lt;=500,"201–500","500+"))))))))</f>
        <v/>
      </c>
      <c r="P2446" s="16" t="inlineStr">
        <is>
          <t>Нет совпадения в предоставленной выгрузке ССЧР</t>
        </is>
      </c>
      <c r="Q2446" s="16" t="n"/>
      <c r="R2446" s="16">
        <f>HYPERLINK("https://checko.ru/search?query=3801001629","Чекко: проверить")</f>
        <v/>
      </c>
      <c r="S2446" t="n">
        <v>0</v>
      </c>
    </row>
    <row r="2447" ht="15" customHeight="1" s="24">
      <c r="A2447" s="13" t="n">
        <v>5000094999</v>
      </c>
      <c r="B2447" s="13" t="inlineStr">
        <is>
          <t>АС КБР</t>
        </is>
      </c>
      <c r="C2447" s="13" t="n">
        <v>711035868</v>
      </c>
      <c r="D2447" s="13" t="n"/>
      <c r="E2447" s="13" t="inlineStr">
        <is>
          <t>Не определён</t>
        </is>
      </c>
      <c r="F2447" s="13" t="inlineStr">
        <is>
          <t>711035868</t>
        </is>
      </c>
      <c r="G2447" s="14" t="n"/>
      <c r="H2447" s="14" t="n"/>
      <c r="I2447" s="14" t="n"/>
      <c r="J2447" s="14" t="n"/>
      <c r="K2447" s="13">
        <f>IF(G2447="","",IF(G2447&gt;=22,"Да","Нет"))</f>
        <v/>
      </c>
      <c r="L2447" s="13">
        <f>IF(OR(I2447="",J2447=""),"Не определено",IF(OR(COUNTIF(I2447,"45*")&gt;0,COUNTIF(J2447,"*45*")&gt;0,COUNTIF(I2447,"46*")&gt;0,COUNTIF(J2447,"*46*")&gt;0,COUNTIF(I2447,"47*")&gt;0,COUNTIF(J2447,"*47*")&gt;0,COUNTIF(I2447,"10*")&gt;0,COUNTIF(J2447,"*10*")&gt;0,COUNTIF(I2447,"11*")&gt;0,COUNTIF(J2447,"*11*")&gt;0,COUNTIF(I2447,"12*")&gt;0,COUNTIF(J2447,"*12*")&gt;0,COUNTIF(I2447,"13*")&gt;0,COUNTIF(J2447,"*13*")&gt;0,COUNTIF(I2447,"14*")&gt;0,COUNTIF(J2447,"*14*")&gt;0,COUNTIF(I2447,"15*")&gt;0,COUNTIF(J2447,"*15*")&gt;0,COUNTIF(I2447,"16*")&gt;0,COUNTIF(J2447,"*16*")&gt;0,COUNTIF(I2447,"17*")&gt;0,COUNTIF(J2447,"*17*")&gt;0,COUNTIF(I2447,"18*")&gt;0,COUNTIF(J2447,"*18*")&gt;0,COUNTIF(I2447,"19*")&gt;0,COUNTIF(J2447,"*19*")&gt;0,COUNTIF(I2447,"20*")&gt;0,COUNTIF(J2447,"*20*")&gt;0,COUNTIF(I2447,"21*")&gt;0,COUNTIF(J2447,"*21*")&gt;0,COUNTIF(I2447,"22*")&gt;0,COUNTIF(J2447,"*22*")&gt;0,COUNTIF(I2447,"23*")&gt;0,COUNTIF(J2447,"*23*")&gt;0,COUNTIF(I2447,"24*")&gt;0,COUNTIF(J2447,"*24*")&gt;0,COUNTIF(I2447,"25*")&gt;0,COUNTIF(J2447,"*25*")&gt;0,COUNTIF(I2447,"26*")&gt;0,COUNTIF(J2447,"*26*")&gt;0,COUNTIF(I2447,"27*")&gt;0,COUNTIF(J2447,"*27*")&gt;0,COUNTIF(I2447,"28*")&gt;0,COUNTIF(J2447,"*28*")&gt;0,COUNTIF(I2447,"29*")&gt;0,COUNTIF(J2447,"*29*")&gt;0,COUNTIF(I2447,"30*")&gt;0,COUNTIF(J2447,"*30*")&gt;0,COUNTIF(I2447,"31*")&gt;0,COUNTIF(J2447,"*31*")&gt;0,COUNTIF(I2447,"32*")&gt;0,COUNTIF(J2447,"*32*")&gt;0,COUNTIF(I2447,"33*")&gt;0,COUNTIF(J2447,"*33*")&gt;0,COUNTIF(I2447,"41*")&gt;0,COUNTIF(J2447,"*41*")&gt;0,COUNTIF(I2447,"42*")&gt;0,COUNTIF(J2447,"*42*")&gt;0,COUNTIF(I2447,"43*")&gt;0,COUNTIF(J2447,"*43*")&gt;0,COUNTIF(I2447,"49*")&gt;0,COUNTIF(J2447,"*49*")&gt;0,COUNTIF(I2447,"52*")&gt;0,COUNTIF(J2447,"*52*")&gt;0,COUNTIF(I2447,"55*")&gt;0,COUNTIF(J2447,"*55*")&gt;0,COUNTIF(I2447,"56*")&gt;0,COUNTIF(J2447,"*56*")&gt;0,COUNTIF(I2447,"68*")&gt;0,COUNTIF(J2447,"*68*")&gt;0,COUNTIF(I2447,"78*")&gt;0,COUNTIF(J2447,"*78*")&gt;0,COUNTIF(I2447,"81*")&gt;0,COUNTIF(J2447,"*81*")&gt;0,COUNTIF(I2447,"82*")&gt;0,COUNTIF(J2447,"*82*")&gt;0,COUNTIF(I2447,"64*")&gt;0,COUNTIF(J2447,"*64*")&gt;0,COUNTIF(I2447,"65*")&gt;0,COUNTIF(J2447,"*65*")&gt;0,COUNTIF(I2447,"66*")&gt;0,COUNTIF(J2447,"*66*")&gt;0,COUNTIF(I2447,"61*")&gt;0,COUNTIF(J2447,"*61*")&gt;0,COUNTIF(I2447,"62*")&gt;0,COUNTIF(J2447,"*62*")&gt;0,COUNTIF(I2447,"63*")&gt;0,COUNTIF(J2447,"*63*")&gt;0,COUNTIF(I2447,"85*")&gt;0,COUNTIF(J2447,"*85*")&gt;0,COUNTIF(I2447,"86*")&gt;0,COUNTIF(J2447,"*86*")&gt;0),"Да","Нет"))</f>
        <v/>
      </c>
      <c r="M2447" s="13">
        <f>IF(OR(G2447="",L2447&lt;&gt;"Да"),"",IF(G2447&lt;=100,"До 100",IF(G2447&lt;=200,"До 200",IF(G2447&lt;=500,"До 500","Отдельное КП"))))</f>
        <v/>
      </c>
      <c r="N2447" s="15">
        <f>IF(OR(G2447="",L2447&lt;&gt;"Да"),"",IF(G2447&lt;=100,33600,IF(G2447&lt;=200,62400,IF(G2447&lt;=500,144000,""))))</f>
        <v/>
      </c>
      <c r="O2447" s="16">
        <f>IF(G2447="","",IF(G2447&lt;=15,"1–15",IF(G2447&lt;=30,"16–30",IF(G2447&lt;=50,"31–50",IF(G2447&lt;=100,"51–100",IF(G2447&lt;=150,"101–150",IF(G2447&lt;=200,"151–200",IF(G2447&lt;=500,"201–500","500+"))))))))</f>
        <v/>
      </c>
      <c r="P2447" s="16" t="inlineStr">
        <is>
          <t>Нет совпадения в предоставленной выгрузке ССЧР</t>
        </is>
      </c>
      <c r="Q2447" s="16" t="n"/>
      <c r="R2447" s="16">
        <f>HYPERLINK("https://checko.ru/search?query=3801001629","Чекко: проверить")</f>
        <v/>
      </c>
      <c r="S2447" t="n">
        <v>0</v>
      </c>
    </row>
    <row r="2448" ht="15" customHeight="1" s="24">
      <c r="A2448" s="13" t="n">
        <v>5000095002</v>
      </c>
      <c r="B2448" s="13" t="inlineStr">
        <is>
          <t>МКУ  "СШ по дзюдо" г.о. Нальчик</t>
        </is>
      </c>
      <c r="C2448" s="13" t="n">
        <v>711036188</v>
      </c>
      <c r="D2448" s="13" t="n"/>
      <c r="E2448" s="13" t="inlineStr">
        <is>
          <t>Не определён</t>
        </is>
      </c>
      <c r="F2448" s="13" t="inlineStr">
        <is>
          <t>711036188</t>
        </is>
      </c>
      <c r="G2448" s="14" t="n"/>
      <c r="H2448" s="14" t="n"/>
      <c r="I2448" s="14" t="n"/>
      <c r="J2448" s="14" t="n"/>
      <c r="K2448" s="13">
        <f>IF(G2448="","",IF(G2448&gt;=22,"Да","Нет"))</f>
        <v/>
      </c>
      <c r="L2448" s="13">
        <f>IF(OR(I2448="",J2448=""),"Не определено",IF(OR(COUNTIF(I2448,"45*")&gt;0,COUNTIF(J2448,"*45*")&gt;0,COUNTIF(I2448,"46*")&gt;0,COUNTIF(J2448,"*46*")&gt;0,COUNTIF(I2448,"47*")&gt;0,COUNTIF(J2448,"*47*")&gt;0,COUNTIF(I2448,"10*")&gt;0,COUNTIF(J2448,"*10*")&gt;0,COUNTIF(I2448,"11*")&gt;0,COUNTIF(J2448,"*11*")&gt;0,COUNTIF(I2448,"12*")&gt;0,COUNTIF(J2448,"*12*")&gt;0,COUNTIF(I2448,"13*")&gt;0,COUNTIF(J2448,"*13*")&gt;0,COUNTIF(I2448,"14*")&gt;0,COUNTIF(J2448,"*14*")&gt;0,COUNTIF(I2448,"15*")&gt;0,COUNTIF(J2448,"*15*")&gt;0,COUNTIF(I2448,"16*")&gt;0,COUNTIF(J2448,"*16*")&gt;0,COUNTIF(I2448,"17*")&gt;0,COUNTIF(J2448,"*17*")&gt;0,COUNTIF(I2448,"18*")&gt;0,COUNTIF(J2448,"*18*")&gt;0,COUNTIF(I2448,"19*")&gt;0,COUNTIF(J2448,"*19*")&gt;0,COUNTIF(I2448,"20*")&gt;0,COUNTIF(J2448,"*20*")&gt;0,COUNTIF(I2448,"21*")&gt;0,COUNTIF(J2448,"*21*")&gt;0,COUNTIF(I2448,"22*")&gt;0,COUNTIF(J2448,"*22*")&gt;0,COUNTIF(I2448,"23*")&gt;0,COUNTIF(J2448,"*23*")&gt;0,COUNTIF(I2448,"24*")&gt;0,COUNTIF(J2448,"*24*")&gt;0,COUNTIF(I2448,"25*")&gt;0,COUNTIF(J2448,"*25*")&gt;0,COUNTIF(I2448,"26*")&gt;0,COUNTIF(J2448,"*26*")&gt;0,COUNTIF(I2448,"27*")&gt;0,COUNTIF(J2448,"*27*")&gt;0,COUNTIF(I2448,"28*")&gt;0,COUNTIF(J2448,"*28*")&gt;0,COUNTIF(I2448,"29*")&gt;0,COUNTIF(J2448,"*29*")&gt;0,COUNTIF(I2448,"30*")&gt;0,COUNTIF(J2448,"*30*")&gt;0,COUNTIF(I2448,"31*")&gt;0,COUNTIF(J2448,"*31*")&gt;0,COUNTIF(I2448,"32*")&gt;0,COUNTIF(J2448,"*32*")&gt;0,COUNTIF(I2448,"33*")&gt;0,COUNTIF(J2448,"*33*")&gt;0,COUNTIF(I2448,"41*")&gt;0,COUNTIF(J2448,"*41*")&gt;0,COUNTIF(I2448,"42*")&gt;0,COUNTIF(J2448,"*42*")&gt;0,COUNTIF(I2448,"43*")&gt;0,COUNTIF(J2448,"*43*")&gt;0,COUNTIF(I2448,"49*")&gt;0,COUNTIF(J2448,"*49*")&gt;0,COUNTIF(I2448,"52*")&gt;0,COUNTIF(J2448,"*52*")&gt;0,COUNTIF(I2448,"55*")&gt;0,COUNTIF(J2448,"*55*")&gt;0,COUNTIF(I2448,"56*")&gt;0,COUNTIF(J2448,"*56*")&gt;0,COUNTIF(I2448,"68*")&gt;0,COUNTIF(J2448,"*68*")&gt;0,COUNTIF(I2448,"78*")&gt;0,COUNTIF(J2448,"*78*")&gt;0,COUNTIF(I2448,"81*")&gt;0,COUNTIF(J2448,"*81*")&gt;0,COUNTIF(I2448,"82*")&gt;0,COUNTIF(J2448,"*82*")&gt;0,COUNTIF(I2448,"64*")&gt;0,COUNTIF(J2448,"*64*")&gt;0,COUNTIF(I2448,"65*")&gt;0,COUNTIF(J2448,"*65*")&gt;0,COUNTIF(I2448,"66*")&gt;0,COUNTIF(J2448,"*66*")&gt;0,COUNTIF(I2448,"61*")&gt;0,COUNTIF(J2448,"*61*")&gt;0,COUNTIF(I2448,"62*")&gt;0,COUNTIF(J2448,"*62*")&gt;0,COUNTIF(I2448,"63*")&gt;0,COUNTIF(J2448,"*63*")&gt;0,COUNTIF(I2448,"85*")&gt;0,COUNTIF(J2448,"*85*")&gt;0,COUNTIF(I2448,"86*")&gt;0,COUNTIF(J2448,"*86*")&gt;0),"Да","Нет"))</f>
        <v/>
      </c>
      <c r="M2448" s="13">
        <f>IF(OR(G2448="",L2448&lt;&gt;"Да"),"",IF(G2448&lt;=100,"До 100",IF(G2448&lt;=200,"До 200",IF(G2448&lt;=500,"До 500","Отдельное КП"))))</f>
        <v/>
      </c>
      <c r="N2448" s="15">
        <f>IF(OR(G2448="",L2448&lt;&gt;"Да"),"",IF(G2448&lt;=100,33600,IF(G2448&lt;=200,62400,IF(G2448&lt;=500,144000,""))))</f>
        <v/>
      </c>
      <c r="O2448" s="16">
        <f>IF(G2448="","",IF(G2448&lt;=15,"1–15",IF(G2448&lt;=30,"16–30",IF(G2448&lt;=50,"31–50",IF(G2448&lt;=100,"51–100",IF(G2448&lt;=150,"101–150",IF(G2448&lt;=200,"151–200",IF(G2448&lt;=500,"201–500","500+"))))))))</f>
        <v/>
      </c>
      <c r="P2448" s="16" t="inlineStr">
        <is>
          <t>Нет совпадения в предоставленной выгрузке ССЧР</t>
        </is>
      </c>
      <c r="Q2448" s="16" t="n"/>
      <c r="R2448" s="16">
        <f>HYPERLINK("https://checko.ru/search?query=3801001629","Чекко: проверить")</f>
        <v/>
      </c>
      <c r="S2448" t="n">
        <v>0</v>
      </c>
    </row>
    <row r="2449" ht="15" customHeight="1" s="24">
      <c r="A2449" s="13" t="n">
        <v>5000095003</v>
      </c>
      <c r="B2449" s="13" t="inlineStr">
        <is>
          <t>ГКУК "Государственный музыкальный театр"</t>
        </is>
      </c>
      <c r="C2449" s="13" t="n">
        <v>711036290</v>
      </c>
      <c r="D2449" s="13" t="n"/>
      <c r="E2449" s="13" t="inlineStr">
        <is>
          <t>Не определён</t>
        </is>
      </c>
      <c r="F2449" s="13" t="inlineStr">
        <is>
          <t>711036290</t>
        </is>
      </c>
      <c r="G2449" s="14" t="n"/>
      <c r="H2449" s="14" t="n"/>
      <c r="I2449" s="14" t="n"/>
      <c r="J2449" s="14" t="n"/>
      <c r="K2449" s="13">
        <f>IF(G2449="","",IF(G2449&gt;=22,"Да","Нет"))</f>
        <v/>
      </c>
      <c r="L2449" s="13">
        <f>IF(OR(I2449="",J2449=""),"Не определено",IF(OR(COUNTIF(I2449,"45*")&gt;0,COUNTIF(J2449,"*45*")&gt;0,COUNTIF(I2449,"46*")&gt;0,COUNTIF(J2449,"*46*")&gt;0,COUNTIF(I2449,"47*")&gt;0,COUNTIF(J2449,"*47*")&gt;0,COUNTIF(I2449,"10*")&gt;0,COUNTIF(J2449,"*10*")&gt;0,COUNTIF(I2449,"11*")&gt;0,COUNTIF(J2449,"*11*")&gt;0,COUNTIF(I2449,"12*")&gt;0,COUNTIF(J2449,"*12*")&gt;0,COUNTIF(I2449,"13*")&gt;0,COUNTIF(J2449,"*13*")&gt;0,COUNTIF(I2449,"14*")&gt;0,COUNTIF(J2449,"*14*")&gt;0,COUNTIF(I2449,"15*")&gt;0,COUNTIF(J2449,"*15*")&gt;0,COUNTIF(I2449,"16*")&gt;0,COUNTIF(J2449,"*16*")&gt;0,COUNTIF(I2449,"17*")&gt;0,COUNTIF(J2449,"*17*")&gt;0,COUNTIF(I2449,"18*")&gt;0,COUNTIF(J2449,"*18*")&gt;0,COUNTIF(I2449,"19*")&gt;0,COUNTIF(J2449,"*19*")&gt;0,COUNTIF(I2449,"20*")&gt;0,COUNTIF(J2449,"*20*")&gt;0,COUNTIF(I2449,"21*")&gt;0,COUNTIF(J2449,"*21*")&gt;0,COUNTIF(I2449,"22*")&gt;0,COUNTIF(J2449,"*22*")&gt;0,COUNTIF(I2449,"23*")&gt;0,COUNTIF(J2449,"*23*")&gt;0,COUNTIF(I2449,"24*")&gt;0,COUNTIF(J2449,"*24*")&gt;0,COUNTIF(I2449,"25*")&gt;0,COUNTIF(J2449,"*25*")&gt;0,COUNTIF(I2449,"26*")&gt;0,COUNTIF(J2449,"*26*")&gt;0,COUNTIF(I2449,"27*")&gt;0,COUNTIF(J2449,"*27*")&gt;0,COUNTIF(I2449,"28*")&gt;0,COUNTIF(J2449,"*28*")&gt;0,COUNTIF(I2449,"29*")&gt;0,COUNTIF(J2449,"*29*")&gt;0,COUNTIF(I2449,"30*")&gt;0,COUNTIF(J2449,"*30*")&gt;0,COUNTIF(I2449,"31*")&gt;0,COUNTIF(J2449,"*31*")&gt;0,COUNTIF(I2449,"32*")&gt;0,COUNTIF(J2449,"*32*")&gt;0,COUNTIF(I2449,"33*")&gt;0,COUNTIF(J2449,"*33*")&gt;0,COUNTIF(I2449,"41*")&gt;0,COUNTIF(J2449,"*41*")&gt;0,COUNTIF(I2449,"42*")&gt;0,COUNTIF(J2449,"*42*")&gt;0,COUNTIF(I2449,"43*")&gt;0,COUNTIF(J2449,"*43*")&gt;0,COUNTIF(I2449,"49*")&gt;0,COUNTIF(J2449,"*49*")&gt;0,COUNTIF(I2449,"52*")&gt;0,COUNTIF(J2449,"*52*")&gt;0,COUNTIF(I2449,"55*")&gt;0,COUNTIF(J2449,"*55*")&gt;0,COUNTIF(I2449,"56*")&gt;0,COUNTIF(J2449,"*56*")&gt;0,COUNTIF(I2449,"68*")&gt;0,COUNTIF(J2449,"*68*")&gt;0,COUNTIF(I2449,"78*")&gt;0,COUNTIF(J2449,"*78*")&gt;0,COUNTIF(I2449,"81*")&gt;0,COUNTIF(J2449,"*81*")&gt;0,COUNTIF(I2449,"82*")&gt;0,COUNTIF(J2449,"*82*")&gt;0,COUNTIF(I2449,"64*")&gt;0,COUNTIF(J2449,"*64*")&gt;0,COUNTIF(I2449,"65*")&gt;0,COUNTIF(J2449,"*65*")&gt;0,COUNTIF(I2449,"66*")&gt;0,COUNTIF(J2449,"*66*")&gt;0,COUNTIF(I2449,"61*")&gt;0,COUNTIF(J2449,"*61*")&gt;0,COUNTIF(I2449,"62*")&gt;0,COUNTIF(J2449,"*62*")&gt;0,COUNTIF(I2449,"63*")&gt;0,COUNTIF(J2449,"*63*")&gt;0,COUNTIF(I2449,"85*")&gt;0,COUNTIF(J2449,"*85*")&gt;0,COUNTIF(I2449,"86*")&gt;0,COUNTIF(J2449,"*86*")&gt;0),"Да","Нет"))</f>
        <v/>
      </c>
      <c r="M2449" s="13">
        <f>IF(OR(G2449="",L2449&lt;&gt;"Да"),"",IF(G2449&lt;=100,"До 100",IF(G2449&lt;=200,"До 200",IF(G2449&lt;=500,"До 500","Отдельное КП"))))</f>
        <v/>
      </c>
      <c r="N2449" s="15">
        <f>IF(OR(G2449="",L2449&lt;&gt;"Да"),"",IF(G2449&lt;=100,33600,IF(G2449&lt;=200,62400,IF(G2449&lt;=500,144000,""))))</f>
        <v/>
      </c>
      <c r="O2449" s="16">
        <f>IF(G2449="","",IF(G2449&lt;=15,"1–15",IF(G2449&lt;=30,"16–30",IF(G2449&lt;=50,"31–50",IF(G2449&lt;=100,"51–100",IF(G2449&lt;=150,"101–150",IF(G2449&lt;=200,"151–200",IF(G2449&lt;=500,"201–500","500+"))))))))</f>
        <v/>
      </c>
      <c r="P2449" s="16" t="inlineStr">
        <is>
          <t>Нет совпадения в предоставленной выгрузке ССЧР</t>
        </is>
      </c>
      <c r="Q2449" s="16" t="n"/>
      <c r="R2449" s="16">
        <f>HYPERLINK("https://checko.ru/search?query=3801001629","Чекко: проверить")</f>
        <v/>
      </c>
      <c r="S2449" t="n">
        <v>0</v>
      </c>
    </row>
    <row r="2450" ht="15" customHeight="1" s="24">
      <c r="A2450" s="13" t="n">
        <v>5000095011</v>
      </c>
      <c r="B2450" s="13" t="inlineStr">
        <is>
          <t>ГКУК "ГФЭАТ "Балкария"</t>
        </is>
      </c>
      <c r="C2450" s="13" t="n">
        <v>711037760</v>
      </c>
      <c r="D2450" s="13" t="n"/>
      <c r="E2450" s="13" t="inlineStr">
        <is>
          <t>Не определён</t>
        </is>
      </c>
      <c r="F2450" s="13" t="inlineStr">
        <is>
          <t>711037760</t>
        </is>
      </c>
      <c r="G2450" s="14" t="n"/>
      <c r="H2450" s="14" t="n"/>
      <c r="I2450" s="14" t="n"/>
      <c r="J2450" s="14" t="n"/>
      <c r="K2450" s="13">
        <f>IF(G2450="","",IF(G2450&gt;=22,"Да","Нет"))</f>
        <v/>
      </c>
      <c r="L2450" s="13">
        <f>IF(OR(I2450="",J2450=""),"Не определено",IF(OR(COUNTIF(I2450,"45*")&gt;0,COUNTIF(J2450,"*45*")&gt;0,COUNTIF(I2450,"46*")&gt;0,COUNTIF(J2450,"*46*")&gt;0,COUNTIF(I2450,"47*")&gt;0,COUNTIF(J2450,"*47*")&gt;0,COUNTIF(I2450,"10*")&gt;0,COUNTIF(J2450,"*10*")&gt;0,COUNTIF(I2450,"11*")&gt;0,COUNTIF(J2450,"*11*")&gt;0,COUNTIF(I2450,"12*")&gt;0,COUNTIF(J2450,"*12*")&gt;0,COUNTIF(I2450,"13*")&gt;0,COUNTIF(J2450,"*13*")&gt;0,COUNTIF(I2450,"14*")&gt;0,COUNTIF(J2450,"*14*")&gt;0,COUNTIF(I2450,"15*")&gt;0,COUNTIF(J2450,"*15*")&gt;0,COUNTIF(I2450,"16*")&gt;0,COUNTIF(J2450,"*16*")&gt;0,COUNTIF(I2450,"17*")&gt;0,COUNTIF(J2450,"*17*")&gt;0,COUNTIF(I2450,"18*")&gt;0,COUNTIF(J2450,"*18*")&gt;0,COUNTIF(I2450,"19*")&gt;0,COUNTIF(J2450,"*19*")&gt;0,COUNTIF(I2450,"20*")&gt;0,COUNTIF(J2450,"*20*")&gt;0,COUNTIF(I2450,"21*")&gt;0,COUNTIF(J2450,"*21*")&gt;0,COUNTIF(I2450,"22*")&gt;0,COUNTIF(J2450,"*22*")&gt;0,COUNTIF(I2450,"23*")&gt;0,COUNTIF(J2450,"*23*")&gt;0,COUNTIF(I2450,"24*")&gt;0,COUNTIF(J2450,"*24*")&gt;0,COUNTIF(I2450,"25*")&gt;0,COUNTIF(J2450,"*25*")&gt;0,COUNTIF(I2450,"26*")&gt;0,COUNTIF(J2450,"*26*")&gt;0,COUNTIF(I2450,"27*")&gt;0,COUNTIF(J2450,"*27*")&gt;0,COUNTIF(I2450,"28*")&gt;0,COUNTIF(J2450,"*28*")&gt;0,COUNTIF(I2450,"29*")&gt;0,COUNTIF(J2450,"*29*")&gt;0,COUNTIF(I2450,"30*")&gt;0,COUNTIF(J2450,"*30*")&gt;0,COUNTIF(I2450,"31*")&gt;0,COUNTIF(J2450,"*31*")&gt;0,COUNTIF(I2450,"32*")&gt;0,COUNTIF(J2450,"*32*")&gt;0,COUNTIF(I2450,"33*")&gt;0,COUNTIF(J2450,"*33*")&gt;0,COUNTIF(I2450,"41*")&gt;0,COUNTIF(J2450,"*41*")&gt;0,COUNTIF(I2450,"42*")&gt;0,COUNTIF(J2450,"*42*")&gt;0,COUNTIF(I2450,"43*")&gt;0,COUNTIF(J2450,"*43*")&gt;0,COUNTIF(I2450,"49*")&gt;0,COUNTIF(J2450,"*49*")&gt;0,COUNTIF(I2450,"52*")&gt;0,COUNTIF(J2450,"*52*")&gt;0,COUNTIF(I2450,"55*")&gt;0,COUNTIF(J2450,"*55*")&gt;0,COUNTIF(I2450,"56*")&gt;0,COUNTIF(J2450,"*56*")&gt;0,COUNTIF(I2450,"68*")&gt;0,COUNTIF(J2450,"*68*")&gt;0,COUNTIF(I2450,"78*")&gt;0,COUNTIF(J2450,"*78*")&gt;0,COUNTIF(I2450,"81*")&gt;0,COUNTIF(J2450,"*81*")&gt;0,COUNTIF(I2450,"82*")&gt;0,COUNTIF(J2450,"*82*")&gt;0,COUNTIF(I2450,"64*")&gt;0,COUNTIF(J2450,"*64*")&gt;0,COUNTIF(I2450,"65*")&gt;0,COUNTIF(J2450,"*65*")&gt;0,COUNTIF(I2450,"66*")&gt;0,COUNTIF(J2450,"*66*")&gt;0,COUNTIF(I2450,"61*")&gt;0,COUNTIF(J2450,"*61*")&gt;0,COUNTIF(I2450,"62*")&gt;0,COUNTIF(J2450,"*62*")&gt;0,COUNTIF(I2450,"63*")&gt;0,COUNTIF(J2450,"*63*")&gt;0,COUNTIF(I2450,"85*")&gt;0,COUNTIF(J2450,"*85*")&gt;0,COUNTIF(I2450,"86*")&gt;0,COUNTIF(J2450,"*86*")&gt;0),"Да","Нет"))</f>
        <v/>
      </c>
      <c r="M2450" s="13">
        <f>IF(OR(G2450="",L2450&lt;&gt;"Да"),"",IF(G2450&lt;=100,"До 100",IF(G2450&lt;=200,"До 200",IF(G2450&lt;=500,"До 500","Отдельное КП"))))</f>
        <v/>
      </c>
      <c r="N2450" s="15">
        <f>IF(OR(G2450="",L2450&lt;&gt;"Да"),"",IF(G2450&lt;=100,33600,IF(G2450&lt;=200,62400,IF(G2450&lt;=500,144000,""))))</f>
        <v/>
      </c>
      <c r="O2450" s="16">
        <f>IF(G2450="","",IF(G2450&lt;=15,"1–15",IF(G2450&lt;=30,"16–30",IF(G2450&lt;=50,"31–50",IF(G2450&lt;=100,"51–100",IF(G2450&lt;=150,"101–150",IF(G2450&lt;=200,"151–200",IF(G2450&lt;=500,"201–500","500+"))))))))</f>
        <v/>
      </c>
      <c r="P2450" s="16" t="inlineStr">
        <is>
          <t>Нет совпадения в предоставленной выгрузке ССЧР</t>
        </is>
      </c>
      <c r="Q2450" s="16" t="n"/>
      <c r="R2450" s="16">
        <f>HYPERLINK("https://checko.ru/search?query=3801001629","Чекко: проверить")</f>
        <v/>
      </c>
      <c r="S2450" t="n">
        <v>0</v>
      </c>
    </row>
    <row r="2451" ht="15" customHeight="1" s="24">
      <c r="A2451" s="13" t="n">
        <v>5000095166</v>
      </c>
      <c r="B2451" s="13" t="inlineStr">
        <is>
          <t>ГКУК КБР "МЦХО"</t>
        </is>
      </c>
      <c r="C2451" s="13" t="n">
        <v>721020250</v>
      </c>
      <c r="D2451" s="13" t="n"/>
      <c r="E2451" s="13" t="inlineStr">
        <is>
          <t>Не определён</t>
        </is>
      </c>
      <c r="F2451" s="13" t="inlineStr">
        <is>
          <t>721020250</t>
        </is>
      </c>
      <c r="G2451" s="14" t="n"/>
      <c r="H2451" s="14" t="n"/>
      <c r="I2451" s="14" t="n"/>
      <c r="J2451" s="14" t="n"/>
      <c r="K2451" s="13">
        <f>IF(G2451="","",IF(G2451&gt;=22,"Да","Нет"))</f>
        <v/>
      </c>
      <c r="L2451" s="13">
        <f>IF(OR(I2451="",J2451=""),"Не определено",IF(OR(COUNTIF(I2451,"45*")&gt;0,COUNTIF(J2451,"*45*")&gt;0,COUNTIF(I2451,"46*")&gt;0,COUNTIF(J2451,"*46*")&gt;0,COUNTIF(I2451,"47*")&gt;0,COUNTIF(J2451,"*47*")&gt;0,COUNTIF(I2451,"10*")&gt;0,COUNTIF(J2451,"*10*")&gt;0,COUNTIF(I2451,"11*")&gt;0,COUNTIF(J2451,"*11*")&gt;0,COUNTIF(I2451,"12*")&gt;0,COUNTIF(J2451,"*12*")&gt;0,COUNTIF(I2451,"13*")&gt;0,COUNTIF(J2451,"*13*")&gt;0,COUNTIF(I2451,"14*")&gt;0,COUNTIF(J2451,"*14*")&gt;0,COUNTIF(I2451,"15*")&gt;0,COUNTIF(J2451,"*15*")&gt;0,COUNTIF(I2451,"16*")&gt;0,COUNTIF(J2451,"*16*")&gt;0,COUNTIF(I2451,"17*")&gt;0,COUNTIF(J2451,"*17*")&gt;0,COUNTIF(I2451,"18*")&gt;0,COUNTIF(J2451,"*18*")&gt;0,COUNTIF(I2451,"19*")&gt;0,COUNTIF(J2451,"*19*")&gt;0,COUNTIF(I2451,"20*")&gt;0,COUNTIF(J2451,"*20*")&gt;0,COUNTIF(I2451,"21*")&gt;0,COUNTIF(J2451,"*21*")&gt;0,COUNTIF(I2451,"22*")&gt;0,COUNTIF(J2451,"*22*")&gt;0,COUNTIF(I2451,"23*")&gt;0,COUNTIF(J2451,"*23*")&gt;0,COUNTIF(I2451,"24*")&gt;0,COUNTIF(J2451,"*24*")&gt;0,COUNTIF(I2451,"25*")&gt;0,COUNTIF(J2451,"*25*")&gt;0,COUNTIF(I2451,"26*")&gt;0,COUNTIF(J2451,"*26*")&gt;0,COUNTIF(I2451,"27*")&gt;0,COUNTIF(J2451,"*27*")&gt;0,COUNTIF(I2451,"28*")&gt;0,COUNTIF(J2451,"*28*")&gt;0,COUNTIF(I2451,"29*")&gt;0,COUNTIF(J2451,"*29*")&gt;0,COUNTIF(I2451,"30*")&gt;0,COUNTIF(J2451,"*30*")&gt;0,COUNTIF(I2451,"31*")&gt;0,COUNTIF(J2451,"*31*")&gt;0,COUNTIF(I2451,"32*")&gt;0,COUNTIF(J2451,"*32*")&gt;0,COUNTIF(I2451,"33*")&gt;0,COUNTIF(J2451,"*33*")&gt;0,COUNTIF(I2451,"41*")&gt;0,COUNTIF(J2451,"*41*")&gt;0,COUNTIF(I2451,"42*")&gt;0,COUNTIF(J2451,"*42*")&gt;0,COUNTIF(I2451,"43*")&gt;0,COUNTIF(J2451,"*43*")&gt;0,COUNTIF(I2451,"49*")&gt;0,COUNTIF(J2451,"*49*")&gt;0,COUNTIF(I2451,"52*")&gt;0,COUNTIF(J2451,"*52*")&gt;0,COUNTIF(I2451,"55*")&gt;0,COUNTIF(J2451,"*55*")&gt;0,COUNTIF(I2451,"56*")&gt;0,COUNTIF(J2451,"*56*")&gt;0,COUNTIF(I2451,"68*")&gt;0,COUNTIF(J2451,"*68*")&gt;0,COUNTIF(I2451,"78*")&gt;0,COUNTIF(J2451,"*78*")&gt;0,COUNTIF(I2451,"81*")&gt;0,COUNTIF(J2451,"*81*")&gt;0,COUNTIF(I2451,"82*")&gt;0,COUNTIF(J2451,"*82*")&gt;0,COUNTIF(I2451,"64*")&gt;0,COUNTIF(J2451,"*64*")&gt;0,COUNTIF(I2451,"65*")&gt;0,COUNTIF(J2451,"*65*")&gt;0,COUNTIF(I2451,"66*")&gt;0,COUNTIF(J2451,"*66*")&gt;0,COUNTIF(I2451,"61*")&gt;0,COUNTIF(J2451,"*61*")&gt;0,COUNTIF(I2451,"62*")&gt;0,COUNTIF(J2451,"*62*")&gt;0,COUNTIF(I2451,"63*")&gt;0,COUNTIF(J2451,"*63*")&gt;0,COUNTIF(I2451,"85*")&gt;0,COUNTIF(J2451,"*85*")&gt;0,COUNTIF(I2451,"86*")&gt;0,COUNTIF(J2451,"*86*")&gt;0),"Да","Нет"))</f>
        <v/>
      </c>
      <c r="M2451" s="13">
        <f>IF(OR(G2451="",L2451&lt;&gt;"Да"),"",IF(G2451&lt;=100,"До 100",IF(G2451&lt;=200,"До 200",IF(G2451&lt;=500,"До 500","Отдельное КП"))))</f>
        <v/>
      </c>
      <c r="N2451" s="15">
        <f>IF(OR(G2451="",L2451&lt;&gt;"Да"),"",IF(G2451&lt;=100,33600,IF(G2451&lt;=200,62400,IF(G2451&lt;=500,144000,""))))</f>
        <v/>
      </c>
      <c r="O2451" s="16">
        <f>IF(G2451="","",IF(G2451&lt;=15,"1–15",IF(G2451&lt;=30,"16–30",IF(G2451&lt;=50,"31–50",IF(G2451&lt;=100,"51–100",IF(G2451&lt;=150,"101–150",IF(G2451&lt;=200,"151–200",IF(G2451&lt;=500,"201–500","500+"))))))))</f>
        <v/>
      </c>
      <c r="P2451" s="16" t="inlineStr">
        <is>
          <t>Нет совпадения в предоставленной выгрузке ССЧР</t>
        </is>
      </c>
      <c r="Q2451" s="16" t="n"/>
      <c r="R2451" s="16">
        <f>HYPERLINK("https://checko.ru/search?query=3801001629","Чекко: проверить")</f>
        <v/>
      </c>
      <c r="S2451" t="n">
        <v>0</v>
      </c>
    </row>
    <row r="2452" ht="15" customHeight="1" s="24">
      <c r="A2452" s="13" t="n">
        <v>5000095167</v>
      </c>
      <c r="B2452" s="13" t="inlineStr">
        <is>
          <t>ГКУК "РБС"</t>
        </is>
      </c>
      <c r="C2452" s="13" t="n">
        <v>721020564</v>
      </c>
      <c r="D2452" s="13" t="n"/>
      <c r="E2452" s="13" t="inlineStr">
        <is>
          <t>Не определён</t>
        </is>
      </c>
      <c r="F2452" s="13" t="inlineStr">
        <is>
          <t>721020564</t>
        </is>
      </c>
      <c r="G2452" s="14" t="n"/>
      <c r="H2452" s="14" t="n"/>
      <c r="I2452" s="14" t="n"/>
      <c r="J2452" s="14" t="n"/>
      <c r="K2452" s="13">
        <f>IF(G2452="","",IF(G2452&gt;=22,"Да","Нет"))</f>
        <v/>
      </c>
      <c r="L2452" s="13">
        <f>IF(OR(I2452="",J2452=""),"Не определено",IF(OR(COUNTIF(I2452,"45*")&gt;0,COUNTIF(J2452,"*45*")&gt;0,COUNTIF(I2452,"46*")&gt;0,COUNTIF(J2452,"*46*")&gt;0,COUNTIF(I2452,"47*")&gt;0,COUNTIF(J2452,"*47*")&gt;0,COUNTIF(I2452,"10*")&gt;0,COUNTIF(J2452,"*10*")&gt;0,COUNTIF(I2452,"11*")&gt;0,COUNTIF(J2452,"*11*")&gt;0,COUNTIF(I2452,"12*")&gt;0,COUNTIF(J2452,"*12*")&gt;0,COUNTIF(I2452,"13*")&gt;0,COUNTIF(J2452,"*13*")&gt;0,COUNTIF(I2452,"14*")&gt;0,COUNTIF(J2452,"*14*")&gt;0,COUNTIF(I2452,"15*")&gt;0,COUNTIF(J2452,"*15*")&gt;0,COUNTIF(I2452,"16*")&gt;0,COUNTIF(J2452,"*16*")&gt;0,COUNTIF(I2452,"17*")&gt;0,COUNTIF(J2452,"*17*")&gt;0,COUNTIF(I2452,"18*")&gt;0,COUNTIF(J2452,"*18*")&gt;0,COUNTIF(I2452,"19*")&gt;0,COUNTIF(J2452,"*19*")&gt;0,COUNTIF(I2452,"20*")&gt;0,COUNTIF(J2452,"*20*")&gt;0,COUNTIF(I2452,"21*")&gt;0,COUNTIF(J2452,"*21*")&gt;0,COUNTIF(I2452,"22*")&gt;0,COUNTIF(J2452,"*22*")&gt;0,COUNTIF(I2452,"23*")&gt;0,COUNTIF(J2452,"*23*")&gt;0,COUNTIF(I2452,"24*")&gt;0,COUNTIF(J2452,"*24*")&gt;0,COUNTIF(I2452,"25*")&gt;0,COUNTIF(J2452,"*25*")&gt;0,COUNTIF(I2452,"26*")&gt;0,COUNTIF(J2452,"*26*")&gt;0,COUNTIF(I2452,"27*")&gt;0,COUNTIF(J2452,"*27*")&gt;0,COUNTIF(I2452,"28*")&gt;0,COUNTIF(J2452,"*28*")&gt;0,COUNTIF(I2452,"29*")&gt;0,COUNTIF(J2452,"*29*")&gt;0,COUNTIF(I2452,"30*")&gt;0,COUNTIF(J2452,"*30*")&gt;0,COUNTIF(I2452,"31*")&gt;0,COUNTIF(J2452,"*31*")&gt;0,COUNTIF(I2452,"32*")&gt;0,COUNTIF(J2452,"*32*")&gt;0,COUNTIF(I2452,"33*")&gt;0,COUNTIF(J2452,"*33*")&gt;0,COUNTIF(I2452,"41*")&gt;0,COUNTIF(J2452,"*41*")&gt;0,COUNTIF(I2452,"42*")&gt;0,COUNTIF(J2452,"*42*")&gt;0,COUNTIF(I2452,"43*")&gt;0,COUNTIF(J2452,"*43*")&gt;0,COUNTIF(I2452,"49*")&gt;0,COUNTIF(J2452,"*49*")&gt;0,COUNTIF(I2452,"52*")&gt;0,COUNTIF(J2452,"*52*")&gt;0,COUNTIF(I2452,"55*")&gt;0,COUNTIF(J2452,"*55*")&gt;0,COUNTIF(I2452,"56*")&gt;0,COUNTIF(J2452,"*56*")&gt;0,COUNTIF(I2452,"68*")&gt;0,COUNTIF(J2452,"*68*")&gt;0,COUNTIF(I2452,"78*")&gt;0,COUNTIF(J2452,"*78*")&gt;0,COUNTIF(I2452,"81*")&gt;0,COUNTIF(J2452,"*81*")&gt;0,COUNTIF(I2452,"82*")&gt;0,COUNTIF(J2452,"*82*")&gt;0,COUNTIF(I2452,"64*")&gt;0,COUNTIF(J2452,"*64*")&gt;0,COUNTIF(I2452,"65*")&gt;0,COUNTIF(J2452,"*65*")&gt;0,COUNTIF(I2452,"66*")&gt;0,COUNTIF(J2452,"*66*")&gt;0,COUNTIF(I2452,"61*")&gt;0,COUNTIF(J2452,"*61*")&gt;0,COUNTIF(I2452,"62*")&gt;0,COUNTIF(J2452,"*62*")&gt;0,COUNTIF(I2452,"63*")&gt;0,COUNTIF(J2452,"*63*")&gt;0,COUNTIF(I2452,"85*")&gt;0,COUNTIF(J2452,"*85*")&gt;0,COUNTIF(I2452,"86*")&gt;0,COUNTIF(J2452,"*86*")&gt;0),"Да","Нет"))</f>
        <v/>
      </c>
      <c r="M2452" s="13">
        <f>IF(OR(G2452="",L2452&lt;&gt;"Да"),"",IF(G2452&lt;=100,"До 100",IF(G2452&lt;=200,"До 200",IF(G2452&lt;=500,"До 500","Отдельное КП"))))</f>
        <v/>
      </c>
      <c r="N2452" s="15">
        <f>IF(OR(G2452="",L2452&lt;&gt;"Да"),"",IF(G2452&lt;=100,33600,IF(G2452&lt;=200,62400,IF(G2452&lt;=500,144000,""))))</f>
        <v/>
      </c>
      <c r="O2452" s="16">
        <f>IF(G2452="","",IF(G2452&lt;=15,"1–15",IF(G2452&lt;=30,"16–30",IF(G2452&lt;=50,"31–50",IF(G2452&lt;=100,"51–100",IF(G2452&lt;=150,"101–150",IF(G2452&lt;=200,"151–200",IF(G2452&lt;=500,"201–500","500+"))))))))</f>
        <v/>
      </c>
      <c r="P2452" s="16" t="inlineStr">
        <is>
          <t>Нет совпадения в предоставленной выгрузке ССЧР</t>
        </is>
      </c>
      <c r="Q2452" s="16" t="n"/>
      <c r="R2452" s="16">
        <f>HYPERLINK("https://checko.ru/search?query=3801001629","Чекко: проверить")</f>
        <v/>
      </c>
      <c r="S2452" t="n">
        <v>0</v>
      </c>
    </row>
    <row r="2453" ht="27.75" customHeight="1" s="24">
      <c r="A2453" s="13" t="n">
        <v>5000095168</v>
      </c>
      <c r="B2453" s="13" t="inlineStr">
        <is>
          <t>Управление делами Главы и Правительства Кабардино-Балкарской Республики</t>
        </is>
      </c>
      <c r="C2453" s="13" t="n">
        <v>721021159</v>
      </c>
      <c r="D2453" s="13" t="n"/>
      <c r="E2453" s="13" t="inlineStr">
        <is>
          <t>Не определён</t>
        </is>
      </c>
      <c r="F2453" s="13" t="inlineStr">
        <is>
          <t>721021159</t>
        </is>
      </c>
      <c r="G2453" s="14" t="n"/>
      <c r="H2453" s="14" t="n"/>
      <c r="I2453" s="14" t="n"/>
      <c r="J2453" s="14" t="n"/>
      <c r="K2453" s="13">
        <f>IF(G2453="","",IF(G2453&gt;=22,"Да","Нет"))</f>
        <v/>
      </c>
      <c r="L2453" s="13">
        <f>IF(OR(I2453="",J2453=""),"Не определено",IF(OR(COUNTIF(I2453,"45*")&gt;0,COUNTIF(J2453,"*45*")&gt;0,COUNTIF(I2453,"46*")&gt;0,COUNTIF(J2453,"*46*")&gt;0,COUNTIF(I2453,"47*")&gt;0,COUNTIF(J2453,"*47*")&gt;0,COUNTIF(I2453,"10*")&gt;0,COUNTIF(J2453,"*10*")&gt;0,COUNTIF(I2453,"11*")&gt;0,COUNTIF(J2453,"*11*")&gt;0,COUNTIF(I2453,"12*")&gt;0,COUNTIF(J2453,"*12*")&gt;0,COUNTIF(I2453,"13*")&gt;0,COUNTIF(J2453,"*13*")&gt;0,COUNTIF(I2453,"14*")&gt;0,COUNTIF(J2453,"*14*")&gt;0,COUNTIF(I2453,"15*")&gt;0,COUNTIF(J2453,"*15*")&gt;0,COUNTIF(I2453,"16*")&gt;0,COUNTIF(J2453,"*16*")&gt;0,COUNTIF(I2453,"17*")&gt;0,COUNTIF(J2453,"*17*")&gt;0,COUNTIF(I2453,"18*")&gt;0,COUNTIF(J2453,"*18*")&gt;0,COUNTIF(I2453,"19*")&gt;0,COUNTIF(J2453,"*19*")&gt;0,COUNTIF(I2453,"20*")&gt;0,COUNTIF(J2453,"*20*")&gt;0,COUNTIF(I2453,"21*")&gt;0,COUNTIF(J2453,"*21*")&gt;0,COUNTIF(I2453,"22*")&gt;0,COUNTIF(J2453,"*22*")&gt;0,COUNTIF(I2453,"23*")&gt;0,COUNTIF(J2453,"*23*")&gt;0,COUNTIF(I2453,"24*")&gt;0,COUNTIF(J2453,"*24*")&gt;0,COUNTIF(I2453,"25*")&gt;0,COUNTIF(J2453,"*25*")&gt;0,COUNTIF(I2453,"26*")&gt;0,COUNTIF(J2453,"*26*")&gt;0,COUNTIF(I2453,"27*")&gt;0,COUNTIF(J2453,"*27*")&gt;0,COUNTIF(I2453,"28*")&gt;0,COUNTIF(J2453,"*28*")&gt;0,COUNTIF(I2453,"29*")&gt;0,COUNTIF(J2453,"*29*")&gt;0,COUNTIF(I2453,"30*")&gt;0,COUNTIF(J2453,"*30*")&gt;0,COUNTIF(I2453,"31*")&gt;0,COUNTIF(J2453,"*31*")&gt;0,COUNTIF(I2453,"32*")&gt;0,COUNTIF(J2453,"*32*")&gt;0,COUNTIF(I2453,"33*")&gt;0,COUNTIF(J2453,"*33*")&gt;0,COUNTIF(I2453,"41*")&gt;0,COUNTIF(J2453,"*41*")&gt;0,COUNTIF(I2453,"42*")&gt;0,COUNTIF(J2453,"*42*")&gt;0,COUNTIF(I2453,"43*")&gt;0,COUNTIF(J2453,"*43*")&gt;0,COUNTIF(I2453,"49*")&gt;0,COUNTIF(J2453,"*49*")&gt;0,COUNTIF(I2453,"52*")&gt;0,COUNTIF(J2453,"*52*")&gt;0,COUNTIF(I2453,"55*")&gt;0,COUNTIF(J2453,"*55*")&gt;0,COUNTIF(I2453,"56*")&gt;0,COUNTIF(J2453,"*56*")&gt;0,COUNTIF(I2453,"68*")&gt;0,COUNTIF(J2453,"*68*")&gt;0,COUNTIF(I2453,"78*")&gt;0,COUNTIF(J2453,"*78*")&gt;0,COUNTIF(I2453,"81*")&gt;0,COUNTIF(J2453,"*81*")&gt;0,COUNTIF(I2453,"82*")&gt;0,COUNTIF(J2453,"*82*")&gt;0,COUNTIF(I2453,"64*")&gt;0,COUNTIF(J2453,"*64*")&gt;0,COUNTIF(I2453,"65*")&gt;0,COUNTIF(J2453,"*65*")&gt;0,COUNTIF(I2453,"66*")&gt;0,COUNTIF(J2453,"*66*")&gt;0,COUNTIF(I2453,"61*")&gt;0,COUNTIF(J2453,"*61*")&gt;0,COUNTIF(I2453,"62*")&gt;0,COUNTIF(J2453,"*62*")&gt;0,COUNTIF(I2453,"63*")&gt;0,COUNTIF(J2453,"*63*")&gt;0,COUNTIF(I2453,"85*")&gt;0,COUNTIF(J2453,"*85*")&gt;0,COUNTIF(I2453,"86*")&gt;0,COUNTIF(J2453,"*86*")&gt;0),"Да","Нет"))</f>
        <v/>
      </c>
      <c r="M2453" s="13">
        <f>IF(OR(G2453="",L2453&lt;&gt;"Да"),"",IF(G2453&lt;=100,"До 100",IF(G2453&lt;=200,"До 200",IF(G2453&lt;=500,"До 500","Отдельное КП"))))</f>
        <v/>
      </c>
      <c r="N2453" s="15">
        <f>IF(OR(G2453="",L2453&lt;&gt;"Да"),"",IF(G2453&lt;=100,33600,IF(G2453&lt;=200,62400,IF(G2453&lt;=500,144000,""))))</f>
        <v/>
      </c>
      <c r="O2453" s="16">
        <f>IF(G2453="","",IF(G2453&lt;=15,"1–15",IF(G2453&lt;=30,"16–30",IF(G2453&lt;=50,"31–50",IF(G2453&lt;=100,"51–100",IF(G2453&lt;=150,"101–150",IF(G2453&lt;=200,"151–200",IF(G2453&lt;=500,"201–500","500+"))))))))</f>
        <v/>
      </c>
      <c r="P2453" s="16" t="inlineStr">
        <is>
          <t>Нет совпадения в предоставленной выгрузке ССЧР</t>
        </is>
      </c>
      <c r="Q2453" s="16" t="n"/>
      <c r="R2453" s="16">
        <f>HYPERLINK("https://checko.ru/search?query=3801001629","Чекко: проверить")</f>
        <v/>
      </c>
      <c r="S2453" t="n">
        <v>0</v>
      </c>
    </row>
    <row r="2454" ht="15" customHeight="1" s="24">
      <c r="A2454" s="13" t="n">
        <v>5000095169</v>
      </c>
      <c r="B2454" s="13" t="inlineStr">
        <is>
          <t>Служба по ОДМС КБР</t>
        </is>
      </c>
      <c r="C2454" s="13" t="n">
        <v>721021617</v>
      </c>
      <c r="D2454" s="13" t="n"/>
      <c r="E2454" s="13" t="inlineStr">
        <is>
          <t>Не определён</t>
        </is>
      </c>
      <c r="F2454" s="13" t="inlineStr">
        <is>
          <t>721021617</t>
        </is>
      </c>
      <c r="G2454" s="14" t="n"/>
      <c r="H2454" s="14" t="n"/>
      <c r="I2454" s="14" t="n"/>
      <c r="J2454" s="14" t="n"/>
      <c r="K2454" s="13">
        <f>IF(G2454="","",IF(G2454&gt;=22,"Да","Нет"))</f>
        <v/>
      </c>
      <c r="L2454" s="13">
        <f>IF(OR(I2454="",J2454=""),"Не определено",IF(OR(COUNTIF(I2454,"45*")&gt;0,COUNTIF(J2454,"*45*")&gt;0,COUNTIF(I2454,"46*")&gt;0,COUNTIF(J2454,"*46*")&gt;0,COUNTIF(I2454,"47*")&gt;0,COUNTIF(J2454,"*47*")&gt;0,COUNTIF(I2454,"10*")&gt;0,COUNTIF(J2454,"*10*")&gt;0,COUNTIF(I2454,"11*")&gt;0,COUNTIF(J2454,"*11*")&gt;0,COUNTIF(I2454,"12*")&gt;0,COUNTIF(J2454,"*12*")&gt;0,COUNTIF(I2454,"13*")&gt;0,COUNTIF(J2454,"*13*")&gt;0,COUNTIF(I2454,"14*")&gt;0,COUNTIF(J2454,"*14*")&gt;0,COUNTIF(I2454,"15*")&gt;0,COUNTIF(J2454,"*15*")&gt;0,COUNTIF(I2454,"16*")&gt;0,COUNTIF(J2454,"*16*")&gt;0,COUNTIF(I2454,"17*")&gt;0,COUNTIF(J2454,"*17*")&gt;0,COUNTIF(I2454,"18*")&gt;0,COUNTIF(J2454,"*18*")&gt;0,COUNTIF(I2454,"19*")&gt;0,COUNTIF(J2454,"*19*")&gt;0,COUNTIF(I2454,"20*")&gt;0,COUNTIF(J2454,"*20*")&gt;0,COUNTIF(I2454,"21*")&gt;0,COUNTIF(J2454,"*21*")&gt;0,COUNTIF(I2454,"22*")&gt;0,COUNTIF(J2454,"*22*")&gt;0,COUNTIF(I2454,"23*")&gt;0,COUNTIF(J2454,"*23*")&gt;0,COUNTIF(I2454,"24*")&gt;0,COUNTIF(J2454,"*24*")&gt;0,COUNTIF(I2454,"25*")&gt;0,COUNTIF(J2454,"*25*")&gt;0,COUNTIF(I2454,"26*")&gt;0,COUNTIF(J2454,"*26*")&gt;0,COUNTIF(I2454,"27*")&gt;0,COUNTIF(J2454,"*27*")&gt;0,COUNTIF(I2454,"28*")&gt;0,COUNTIF(J2454,"*28*")&gt;0,COUNTIF(I2454,"29*")&gt;0,COUNTIF(J2454,"*29*")&gt;0,COUNTIF(I2454,"30*")&gt;0,COUNTIF(J2454,"*30*")&gt;0,COUNTIF(I2454,"31*")&gt;0,COUNTIF(J2454,"*31*")&gt;0,COUNTIF(I2454,"32*")&gt;0,COUNTIF(J2454,"*32*")&gt;0,COUNTIF(I2454,"33*")&gt;0,COUNTIF(J2454,"*33*")&gt;0,COUNTIF(I2454,"41*")&gt;0,COUNTIF(J2454,"*41*")&gt;0,COUNTIF(I2454,"42*")&gt;0,COUNTIF(J2454,"*42*")&gt;0,COUNTIF(I2454,"43*")&gt;0,COUNTIF(J2454,"*43*")&gt;0,COUNTIF(I2454,"49*")&gt;0,COUNTIF(J2454,"*49*")&gt;0,COUNTIF(I2454,"52*")&gt;0,COUNTIF(J2454,"*52*")&gt;0,COUNTIF(I2454,"55*")&gt;0,COUNTIF(J2454,"*55*")&gt;0,COUNTIF(I2454,"56*")&gt;0,COUNTIF(J2454,"*56*")&gt;0,COUNTIF(I2454,"68*")&gt;0,COUNTIF(J2454,"*68*")&gt;0,COUNTIF(I2454,"78*")&gt;0,COUNTIF(J2454,"*78*")&gt;0,COUNTIF(I2454,"81*")&gt;0,COUNTIF(J2454,"*81*")&gt;0,COUNTIF(I2454,"82*")&gt;0,COUNTIF(J2454,"*82*")&gt;0,COUNTIF(I2454,"64*")&gt;0,COUNTIF(J2454,"*64*")&gt;0,COUNTIF(I2454,"65*")&gt;0,COUNTIF(J2454,"*65*")&gt;0,COUNTIF(I2454,"66*")&gt;0,COUNTIF(J2454,"*66*")&gt;0,COUNTIF(I2454,"61*")&gt;0,COUNTIF(J2454,"*61*")&gt;0,COUNTIF(I2454,"62*")&gt;0,COUNTIF(J2454,"*62*")&gt;0,COUNTIF(I2454,"63*")&gt;0,COUNTIF(J2454,"*63*")&gt;0,COUNTIF(I2454,"85*")&gt;0,COUNTIF(J2454,"*85*")&gt;0,COUNTIF(I2454,"86*")&gt;0,COUNTIF(J2454,"*86*")&gt;0),"Да","Нет"))</f>
        <v/>
      </c>
      <c r="M2454" s="13">
        <f>IF(OR(G2454="",L2454&lt;&gt;"Да"),"",IF(G2454&lt;=100,"До 100",IF(G2454&lt;=200,"До 200",IF(G2454&lt;=500,"До 500","Отдельное КП"))))</f>
        <v/>
      </c>
      <c r="N2454" s="15">
        <f>IF(OR(G2454="",L2454&lt;&gt;"Да"),"",IF(G2454&lt;=100,33600,IF(G2454&lt;=200,62400,IF(G2454&lt;=500,144000,""))))</f>
        <v/>
      </c>
      <c r="O2454" s="16">
        <f>IF(G2454="","",IF(G2454&lt;=15,"1–15",IF(G2454&lt;=30,"16–30",IF(G2454&lt;=50,"31–50",IF(G2454&lt;=100,"51–100",IF(G2454&lt;=150,"101–150",IF(G2454&lt;=200,"151–200",IF(G2454&lt;=500,"201–500","500+"))))))))</f>
        <v/>
      </c>
      <c r="P2454" s="16" t="inlineStr">
        <is>
          <t>Нет совпадения в предоставленной выгрузке ССЧР</t>
        </is>
      </c>
      <c r="Q2454" s="16" t="n"/>
      <c r="R2454" s="16">
        <f>HYPERLINK("https://checko.ru/search?query=3801001629","Чекко: проверить")</f>
        <v/>
      </c>
      <c r="S2454" t="n">
        <v>0</v>
      </c>
    </row>
    <row r="2455" ht="15" customHeight="1" s="24">
      <c r="A2455" s="13" t="n">
        <v>5000095170</v>
      </c>
      <c r="B2455" s="13" t="inlineStr">
        <is>
          <t>ОГВ АУПЧ В КБР</t>
        </is>
      </c>
      <c r="C2455" s="13" t="n">
        <v>721025280</v>
      </c>
      <c r="D2455" s="13" t="n"/>
      <c r="E2455" s="13" t="inlineStr">
        <is>
          <t>Не определён</t>
        </is>
      </c>
      <c r="F2455" s="13" t="inlineStr">
        <is>
          <t>721025280</t>
        </is>
      </c>
      <c r="G2455" s="14" t="n"/>
      <c r="H2455" s="14" t="n"/>
      <c r="I2455" s="14" t="n"/>
      <c r="J2455" s="14" t="n"/>
      <c r="K2455" s="13">
        <f>IF(G2455="","",IF(G2455&gt;=22,"Да","Нет"))</f>
        <v/>
      </c>
      <c r="L2455" s="13">
        <f>IF(OR(I2455="",J2455=""),"Не определено",IF(OR(COUNTIF(I2455,"45*")&gt;0,COUNTIF(J2455,"*45*")&gt;0,COUNTIF(I2455,"46*")&gt;0,COUNTIF(J2455,"*46*")&gt;0,COUNTIF(I2455,"47*")&gt;0,COUNTIF(J2455,"*47*")&gt;0,COUNTIF(I2455,"10*")&gt;0,COUNTIF(J2455,"*10*")&gt;0,COUNTIF(I2455,"11*")&gt;0,COUNTIF(J2455,"*11*")&gt;0,COUNTIF(I2455,"12*")&gt;0,COUNTIF(J2455,"*12*")&gt;0,COUNTIF(I2455,"13*")&gt;0,COUNTIF(J2455,"*13*")&gt;0,COUNTIF(I2455,"14*")&gt;0,COUNTIF(J2455,"*14*")&gt;0,COUNTIF(I2455,"15*")&gt;0,COUNTIF(J2455,"*15*")&gt;0,COUNTIF(I2455,"16*")&gt;0,COUNTIF(J2455,"*16*")&gt;0,COUNTIF(I2455,"17*")&gt;0,COUNTIF(J2455,"*17*")&gt;0,COUNTIF(I2455,"18*")&gt;0,COUNTIF(J2455,"*18*")&gt;0,COUNTIF(I2455,"19*")&gt;0,COUNTIF(J2455,"*19*")&gt;0,COUNTIF(I2455,"20*")&gt;0,COUNTIF(J2455,"*20*")&gt;0,COUNTIF(I2455,"21*")&gt;0,COUNTIF(J2455,"*21*")&gt;0,COUNTIF(I2455,"22*")&gt;0,COUNTIF(J2455,"*22*")&gt;0,COUNTIF(I2455,"23*")&gt;0,COUNTIF(J2455,"*23*")&gt;0,COUNTIF(I2455,"24*")&gt;0,COUNTIF(J2455,"*24*")&gt;0,COUNTIF(I2455,"25*")&gt;0,COUNTIF(J2455,"*25*")&gt;0,COUNTIF(I2455,"26*")&gt;0,COUNTIF(J2455,"*26*")&gt;0,COUNTIF(I2455,"27*")&gt;0,COUNTIF(J2455,"*27*")&gt;0,COUNTIF(I2455,"28*")&gt;0,COUNTIF(J2455,"*28*")&gt;0,COUNTIF(I2455,"29*")&gt;0,COUNTIF(J2455,"*29*")&gt;0,COUNTIF(I2455,"30*")&gt;0,COUNTIF(J2455,"*30*")&gt;0,COUNTIF(I2455,"31*")&gt;0,COUNTIF(J2455,"*31*")&gt;0,COUNTIF(I2455,"32*")&gt;0,COUNTIF(J2455,"*32*")&gt;0,COUNTIF(I2455,"33*")&gt;0,COUNTIF(J2455,"*33*")&gt;0,COUNTIF(I2455,"41*")&gt;0,COUNTIF(J2455,"*41*")&gt;0,COUNTIF(I2455,"42*")&gt;0,COUNTIF(J2455,"*42*")&gt;0,COUNTIF(I2455,"43*")&gt;0,COUNTIF(J2455,"*43*")&gt;0,COUNTIF(I2455,"49*")&gt;0,COUNTIF(J2455,"*49*")&gt;0,COUNTIF(I2455,"52*")&gt;0,COUNTIF(J2455,"*52*")&gt;0,COUNTIF(I2455,"55*")&gt;0,COUNTIF(J2455,"*55*")&gt;0,COUNTIF(I2455,"56*")&gt;0,COUNTIF(J2455,"*56*")&gt;0,COUNTIF(I2455,"68*")&gt;0,COUNTIF(J2455,"*68*")&gt;0,COUNTIF(I2455,"78*")&gt;0,COUNTIF(J2455,"*78*")&gt;0,COUNTIF(I2455,"81*")&gt;0,COUNTIF(J2455,"*81*")&gt;0,COUNTIF(I2455,"82*")&gt;0,COUNTIF(J2455,"*82*")&gt;0,COUNTIF(I2455,"64*")&gt;0,COUNTIF(J2455,"*64*")&gt;0,COUNTIF(I2455,"65*")&gt;0,COUNTIF(J2455,"*65*")&gt;0,COUNTIF(I2455,"66*")&gt;0,COUNTIF(J2455,"*66*")&gt;0,COUNTIF(I2455,"61*")&gt;0,COUNTIF(J2455,"*61*")&gt;0,COUNTIF(I2455,"62*")&gt;0,COUNTIF(J2455,"*62*")&gt;0,COUNTIF(I2455,"63*")&gt;0,COUNTIF(J2455,"*63*")&gt;0,COUNTIF(I2455,"85*")&gt;0,COUNTIF(J2455,"*85*")&gt;0,COUNTIF(I2455,"86*")&gt;0,COUNTIF(J2455,"*86*")&gt;0),"Да","Нет"))</f>
        <v/>
      </c>
      <c r="M2455" s="13">
        <f>IF(OR(G2455="",L2455&lt;&gt;"Да"),"",IF(G2455&lt;=100,"До 100",IF(G2455&lt;=200,"До 200",IF(G2455&lt;=500,"До 500","Отдельное КП"))))</f>
        <v/>
      </c>
      <c r="N2455" s="15">
        <f>IF(OR(G2455="",L2455&lt;&gt;"Да"),"",IF(G2455&lt;=100,33600,IF(G2455&lt;=200,62400,IF(G2455&lt;=500,144000,""))))</f>
        <v/>
      </c>
      <c r="O2455" s="16">
        <f>IF(G2455="","",IF(G2455&lt;=15,"1–15",IF(G2455&lt;=30,"16–30",IF(G2455&lt;=50,"31–50",IF(G2455&lt;=100,"51–100",IF(G2455&lt;=150,"101–150",IF(G2455&lt;=200,"151–200",IF(G2455&lt;=500,"201–500","500+"))))))))</f>
        <v/>
      </c>
      <c r="P2455" s="16" t="inlineStr">
        <is>
          <t>Нет совпадения в предоставленной выгрузке ССЧР</t>
        </is>
      </c>
      <c r="Q2455" s="16" t="n"/>
      <c r="R2455" s="16">
        <f>HYPERLINK("https://checko.ru/search?query=3801001629","Чекко: проверить")</f>
        <v/>
      </c>
      <c r="S2455" t="n">
        <v>0</v>
      </c>
    </row>
    <row r="2456" ht="15" customHeight="1" s="24">
      <c r="A2456" s="13" t="n">
        <v>5000095175</v>
      </c>
      <c r="B2456" s="13" t="inlineStr">
        <is>
          <t>ГКУ "Бизнес-инкубатор"</t>
        </is>
      </c>
      <c r="C2456" s="13" t="n">
        <v>721057003</v>
      </c>
      <c r="D2456" s="13" t="n"/>
      <c r="E2456" s="13" t="inlineStr">
        <is>
          <t>Не определён</t>
        </is>
      </c>
      <c r="F2456" s="13" t="inlineStr">
        <is>
          <t>721057003</t>
        </is>
      </c>
      <c r="G2456" s="14" t="n"/>
      <c r="H2456" s="14" t="n"/>
      <c r="I2456" s="14" t="n"/>
      <c r="J2456" s="14" t="n"/>
      <c r="K2456" s="13">
        <f>IF(G2456="","",IF(G2456&gt;=22,"Да","Нет"))</f>
        <v/>
      </c>
      <c r="L2456" s="13">
        <f>IF(OR(I2456="",J2456=""),"Не определено",IF(OR(COUNTIF(I2456,"45*")&gt;0,COUNTIF(J2456,"*45*")&gt;0,COUNTIF(I2456,"46*")&gt;0,COUNTIF(J2456,"*46*")&gt;0,COUNTIF(I2456,"47*")&gt;0,COUNTIF(J2456,"*47*")&gt;0,COUNTIF(I2456,"10*")&gt;0,COUNTIF(J2456,"*10*")&gt;0,COUNTIF(I2456,"11*")&gt;0,COUNTIF(J2456,"*11*")&gt;0,COUNTIF(I2456,"12*")&gt;0,COUNTIF(J2456,"*12*")&gt;0,COUNTIF(I2456,"13*")&gt;0,COUNTIF(J2456,"*13*")&gt;0,COUNTIF(I2456,"14*")&gt;0,COUNTIF(J2456,"*14*")&gt;0,COUNTIF(I2456,"15*")&gt;0,COUNTIF(J2456,"*15*")&gt;0,COUNTIF(I2456,"16*")&gt;0,COUNTIF(J2456,"*16*")&gt;0,COUNTIF(I2456,"17*")&gt;0,COUNTIF(J2456,"*17*")&gt;0,COUNTIF(I2456,"18*")&gt;0,COUNTIF(J2456,"*18*")&gt;0,COUNTIF(I2456,"19*")&gt;0,COUNTIF(J2456,"*19*")&gt;0,COUNTIF(I2456,"20*")&gt;0,COUNTIF(J2456,"*20*")&gt;0,COUNTIF(I2456,"21*")&gt;0,COUNTIF(J2456,"*21*")&gt;0,COUNTIF(I2456,"22*")&gt;0,COUNTIF(J2456,"*22*")&gt;0,COUNTIF(I2456,"23*")&gt;0,COUNTIF(J2456,"*23*")&gt;0,COUNTIF(I2456,"24*")&gt;0,COUNTIF(J2456,"*24*")&gt;0,COUNTIF(I2456,"25*")&gt;0,COUNTIF(J2456,"*25*")&gt;0,COUNTIF(I2456,"26*")&gt;0,COUNTIF(J2456,"*26*")&gt;0,COUNTIF(I2456,"27*")&gt;0,COUNTIF(J2456,"*27*")&gt;0,COUNTIF(I2456,"28*")&gt;0,COUNTIF(J2456,"*28*")&gt;0,COUNTIF(I2456,"29*")&gt;0,COUNTIF(J2456,"*29*")&gt;0,COUNTIF(I2456,"30*")&gt;0,COUNTIF(J2456,"*30*")&gt;0,COUNTIF(I2456,"31*")&gt;0,COUNTIF(J2456,"*31*")&gt;0,COUNTIF(I2456,"32*")&gt;0,COUNTIF(J2456,"*32*")&gt;0,COUNTIF(I2456,"33*")&gt;0,COUNTIF(J2456,"*33*")&gt;0,COUNTIF(I2456,"41*")&gt;0,COUNTIF(J2456,"*41*")&gt;0,COUNTIF(I2456,"42*")&gt;0,COUNTIF(J2456,"*42*")&gt;0,COUNTIF(I2456,"43*")&gt;0,COUNTIF(J2456,"*43*")&gt;0,COUNTIF(I2456,"49*")&gt;0,COUNTIF(J2456,"*49*")&gt;0,COUNTIF(I2456,"52*")&gt;0,COUNTIF(J2456,"*52*")&gt;0,COUNTIF(I2456,"55*")&gt;0,COUNTIF(J2456,"*55*")&gt;0,COUNTIF(I2456,"56*")&gt;0,COUNTIF(J2456,"*56*")&gt;0,COUNTIF(I2456,"68*")&gt;0,COUNTIF(J2456,"*68*")&gt;0,COUNTIF(I2456,"78*")&gt;0,COUNTIF(J2456,"*78*")&gt;0,COUNTIF(I2456,"81*")&gt;0,COUNTIF(J2456,"*81*")&gt;0,COUNTIF(I2456,"82*")&gt;0,COUNTIF(J2456,"*82*")&gt;0,COUNTIF(I2456,"64*")&gt;0,COUNTIF(J2456,"*64*")&gt;0,COUNTIF(I2456,"65*")&gt;0,COUNTIF(J2456,"*65*")&gt;0,COUNTIF(I2456,"66*")&gt;0,COUNTIF(J2456,"*66*")&gt;0,COUNTIF(I2456,"61*")&gt;0,COUNTIF(J2456,"*61*")&gt;0,COUNTIF(I2456,"62*")&gt;0,COUNTIF(J2456,"*62*")&gt;0,COUNTIF(I2456,"63*")&gt;0,COUNTIF(J2456,"*63*")&gt;0,COUNTIF(I2456,"85*")&gt;0,COUNTIF(J2456,"*85*")&gt;0,COUNTIF(I2456,"86*")&gt;0,COUNTIF(J2456,"*86*")&gt;0),"Да","Нет"))</f>
        <v/>
      </c>
      <c r="M2456" s="13">
        <f>IF(OR(G2456="",L2456&lt;&gt;"Да"),"",IF(G2456&lt;=100,"До 100",IF(G2456&lt;=200,"До 200",IF(G2456&lt;=500,"До 500","Отдельное КП"))))</f>
        <v/>
      </c>
      <c r="N2456" s="15">
        <f>IF(OR(G2456="",L2456&lt;&gt;"Да"),"",IF(G2456&lt;=100,33600,IF(G2456&lt;=200,62400,IF(G2456&lt;=500,144000,""))))</f>
        <v/>
      </c>
      <c r="O2456" s="16">
        <f>IF(G2456="","",IF(G2456&lt;=15,"1–15",IF(G2456&lt;=30,"16–30",IF(G2456&lt;=50,"31–50",IF(G2456&lt;=100,"51–100",IF(G2456&lt;=150,"101–150",IF(G2456&lt;=200,"151–200",IF(G2456&lt;=500,"201–500","500+"))))))))</f>
        <v/>
      </c>
      <c r="P2456" s="16" t="inlineStr">
        <is>
          <t>Нет совпадения в предоставленной выгрузке ССЧР</t>
        </is>
      </c>
      <c r="Q2456" s="16" t="n"/>
      <c r="R2456" s="16">
        <f>HYPERLINK("https://checko.ru/search?query=3801001629","Чекко: проверить")</f>
        <v/>
      </c>
      <c r="S2456" t="n">
        <v>0</v>
      </c>
    </row>
    <row r="2457" ht="15" customHeight="1" s="24">
      <c r="A2457" s="13" t="n">
        <v>5000095176</v>
      </c>
      <c r="B2457" s="13" t="inlineStr">
        <is>
          <t>ГБУ КБР СК "Нальчик"</t>
        </is>
      </c>
      <c r="C2457" s="13" t="n">
        <v>721058624</v>
      </c>
      <c r="D2457" s="13" t="n"/>
      <c r="E2457" s="13" t="inlineStr">
        <is>
          <t>Не определён</t>
        </is>
      </c>
      <c r="F2457" s="13" t="inlineStr">
        <is>
          <t>721058624</t>
        </is>
      </c>
      <c r="G2457" s="14" t="n"/>
      <c r="H2457" s="14" t="n"/>
      <c r="I2457" s="14" t="n"/>
      <c r="J2457" s="14" t="n"/>
      <c r="K2457" s="13">
        <f>IF(G2457="","",IF(G2457&gt;=22,"Да","Нет"))</f>
        <v/>
      </c>
      <c r="L2457" s="13">
        <f>IF(OR(I2457="",J2457=""),"Не определено",IF(OR(COUNTIF(I2457,"45*")&gt;0,COUNTIF(J2457,"*45*")&gt;0,COUNTIF(I2457,"46*")&gt;0,COUNTIF(J2457,"*46*")&gt;0,COUNTIF(I2457,"47*")&gt;0,COUNTIF(J2457,"*47*")&gt;0,COUNTIF(I2457,"10*")&gt;0,COUNTIF(J2457,"*10*")&gt;0,COUNTIF(I2457,"11*")&gt;0,COUNTIF(J2457,"*11*")&gt;0,COUNTIF(I2457,"12*")&gt;0,COUNTIF(J2457,"*12*")&gt;0,COUNTIF(I2457,"13*")&gt;0,COUNTIF(J2457,"*13*")&gt;0,COUNTIF(I2457,"14*")&gt;0,COUNTIF(J2457,"*14*")&gt;0,COUNTIF(I2457,"15*")&gt;0,COUNTIF(J2457,"*15*")&gt;0,COUNTIF(I2457,"16*")&gt;0,COUNTIF(J2457,"*16*")&gt;0,COUNTIF(I2457,"17*")&gt;0,COUNTIF(J2457,"*17*")&gt;0,COUNTIF(I2457,"18*")&gt;0,COUNTIF(J2457,"*18*")&gt;0,COUNTIF(I2457,"19*")&gt;0,COUNTIF(J2457,"*19*")&gt;0,COUNTIF(I2457,"20*")&gt;0,COUNTIF(J2457,"*20*")&gt;0,COUNTIF(I2457,"21*")&gt;0,COUNTIF(J2457,"*21*")&gt;0,COUNTIF(I2457,"22*")&gt;0,COUNTIF(J2457,"*22*")&gt;0,COUNTIF(I2457,"23*")&gt;0,COUNTIF(J2457,"*23*")&gt;0,COUNTIF(I2457,"24*")&gt;0,COUNTIF(J2457,"*24*")&gt;0,COUNTIF(I2457,"25*")&gt;0,COUNTIF(J2457,"*25*")&gt;0,COUNTIF(I2457,"26*")&gt;0,COUNTIF(J2457,"*26*")&gt;0,COUNTIF(I2457,"27*")&gt;0,COUNTIF(J2457,"*27*")&gt;0,COUNTIF(I2457,"28*")&gt;0,COUNTIF(J2457,"*28*")&gt;0,COUNTIF(I2457,"29*")&gt;0,COUNTIF(J2457,"*29*")&gt;0,COUNTIF(I2457,"30*")&gt;0,COUNTIF(J2457,"*30*")&gt;0,COUNTIF(I2457,"31*")&gt;0,COUNTIF(J2457,"*31*")&gt;0,COUNTIF(I2457,"32*")&gt;0,COUNTIF(J2457,"*32*")&gt;0,COUNTIF(I2457,"33*")&gt;0,COUNTIF(J2457,"*33*")&gt;0,COUNTIF(I2457,"41*")&gt;0,COUNTIF(J2457,"*41*")&gt;0,COUNTIF(I2457,"42*")&gt;0,COUNTIF(J2457,"*42*")&gt;0,COUNTIF(I2457,"43*")&gt;0,COUNTIF(J2457,"*43*")&gt;0,COUNTIF(I2457,"49*")&gt;0,COUNTIF(J2457,"*49*")&gt;0,COUNTIF(I2457,"52*")&gt;0,COUNTIF(J2457,"*52*")&gt;0,COUNTIF(I2457,"55*")&gt;0,COUNTIF(J2457,"*55*")&gt;0,COUNTIF(I2457,"56*")&gt;0,COUNTIF(J2457,"*56*")&gt;0,COUNTIF(I2457,"68*")&gt;0,COUNTIF(J2457,"*68*")&gt;0,COUNTIF(I2457,"78*")&gt;0,COUNTIF(J2457,"*78*")&gt;0,COUNTIF(I2457,"81*")&gt;0,COUNTIF(J2457,"*81*")&gt;0,COUNTIF(I2457,"82*")&gt;0,COUNTIF(J2457,"*82*")&gt;0,COUNTIF(I2457,"64*")&gt;0,COUNTIF(J2457,"*64*")&gt;0,COUNTIF(I2457,"65*")&gt;0,COUNTIF(J2457,"*65*")&gt;0,COUNTIF(I2457,"66*")&gt;0,COUNTIF(J2457,"*66*")&gt;0,COUNTIF(I2457,"61*")&gt;0,COUNTIF(J2457,"*61*")&gt;0,COUNTIF(I2457,"62*")&gt;0,COUNTIF(J2457,"*62*")&gt;0,COUNTIF(I2457,"63*")&gt;0,COUNTIF(J2457,"*63*")&gt;0,COUNTIF(I2457,"85*")&gt;0,COUNTIF(J2457,"*85*")&gt;0,COUNTIF(I2457,"86*")&gt;0,COUNTIF(J2457,"*86*")&gt;0),"Да","Нет"))</f>
        <v/>
      </c>
      <c r="M2457" s="13">
        <f>IF(OR(G2457="",L2457&lt;&gt;"Да"),"",IF(G2457&lt;=100,"До 100",IF(G2457&lt;=200,"До 200",IF(G2457&lt;=500,"До 500","Отдельное КП"))))</f>
        <v/>
      </c>
      <c r="N2457" s="15">
        <f>IF(OR(G2457="",L2457&lt;&gt;"Да"),"",IF(G2457&lt;=100,33600,IF(G2457&lt;=200,62400,IF(G2457&lt;=500,144000,""))))</f>
        <v/>
      </c>
      <c r="O2457" s="16">
        <f>IF(G2457="","",IF(G2457&lt;=15,"1–15",IF(G2457&lt;=30,"16–30",IF(G2457&lt;=50,"31–50",IF(G2457&lt;=100,"51–100",IF(G2457&lt;=150,"101–150",IF(G2457&lt;=200,"151–200",IF(G2457&lt;=500,"201–500","500+"))))))))</f>
        <v/>
      </c>
      <c r="P2457" s="16" t="inlineStr">
        <is>
          <t>Нет совпадения в предоставленной выгрузке ССЧР</t>
        </is>
      </c>
      <c r="Q2457" s="16" t="n"/>
      <c r="R2457" s="16">
        <f>HYPERLINK("https://checko.ru/search?query=3801001629","Чекко: проверить")</f>
        <v/>
      </c>
      <c r="S2457" t="n">
        <v>0</v>
      </c>
    </row>
    <row r="2458" ht="15" customHeight="1" s="24">
      <c r="A2458" s="13" t="n">
        <v>5000095177</v>
      </c>
      <c r="B2458" s="13" t="inlineStr">
        <is>
          <t>ГАУ "Аптечный склад" Минздрава КБР</t>
        </is>
      </c>
      <c r="C2458" s="13" t="n">
        <v>721060278</v>
      </c>
      <c r="D2458" s="13" t="n"/>
      <c r="E2458" s="13" t="inlineStr">
        <is>
          <t>Не определён</t>
        </is>
      </c>
      <c r="F2458" s="13" t="inlineStr">
        <is>
          <t>721060278</t>
        </is>
      </c>
      <c r="G2458" s="14" t="n"/>
      <c r="H2458" s="14" t="n"/>
      <c r="I2458" s="14" t="n"/>
      <c r="J2458" s="14" t="n"/>
      <c r="K2458" s="13">
        <f>IF(G2458="","",IF(G2458&gt;=22,"Да","Нет"))</f>
        <v/>
      </c>
      <c r="L2458" s="13">
        <f>IF(OR(I2458="",J2458=""),"Не определено",IF(OR(COUNTIF(I2458,"45*")&gt;0,COUNTIF(J2458,"*45*")&gt;0,COUNTIF(I2458,"46*")&gt;0,COUNTIF(J2458,"*46*")&gt;0,COUNTIF(I2458,"47*")&gt;0,COUNTIF(J2458,"*47*")&gt;0,COUNTIF(I2458,"10*")&gt;0,COUNTIF(J2458,"*10*")&gt;0,COUNTIF(I2458,"11*")&gt;0,COUNTIF(J2458,"*11*")&gt;0,COUNTIF(I2458,"12*")&gt;0,COUNTIF(J2458,"*12*")&gt;0,COUNTIF(I2458,"13*")&gt;0,COUNTIF(J2458,"*13*")&gt;0,COUNTIF(I2458,"14*")&gt;0,COUNTIF(J2458,"*14*")&gt;0,COUNTIF(I2458,"15*")&gt;0,COUNTIF(J2458,"*15*")&gt;0,COUNTIF(I2458,"16*")&gt;0,COUNTIF(J2458,"*16*")&gt;0,COUNTIF(I2458,"17*")&gt;0,COUNTIF(J2458,"*17*")&gt;0,COUNTIF(I2458,"18*")&gt;0,COUNTIF(J2458,"*18*")&gt;0,COUNTIF(I2458,"19*")&gt;0,COUNTIF(J2458,"*19*")&gt;0,COUNTIF(I2458,"20*")&gt;0,COUNTIF(J2458,"*20*")&gt;0,COUNTIF(I2458,"21*")&gt;0,COUNTIF(J2458,"*21*")&gt;0,COUNTIF(I2458,"22*")&gt;0,COUNTIF(J2458,"*22*")&gt;0,COUNTIF(I2458,"23*")&gt;0,COUNTIF(J2458,"*23*")&gt;0,COUNTIF(I2458,"24*")&gt;0,COUNTIF(J2458,"*24*")&gt;0,COUNTIF(I2458,"25*")&gt;0,COUNTIF(J2458,"*25*")&gt;0,COUNTIF(I2458,"26*")&gt;0,COUNTIF(J2458,"*26*")&gt;0,COUNTIF(I2458,"27*")&gt;0,COUNTIF(J2458,"*27*")&gt;0,COUNTIF(I2458,"28*")&gt;0,COUNTIF(J2458,"*28*")&gt;0,COUNTIF(I2458,"29*")&gt;0,COUNTIF(J2458,"*29*")&gt;0,COUNTIF(I2458,"30*")&gt;0,COUNTIF(J2458,"*30*")&gt;0,COUNTIF(I2458,"31*")&gt;0,COUNTIF(J2458,"*31*")&gt;0,COUNTIF(I2458,"32*")&gt;0,COUNTIF(J2458,"*32*")&gt;0,COUNTIF(I2458,"33*")&gt;0,COUNTIF(J2458,"*33*")&gt;0,COUNTIF(I2458,"41*")&gt;0,COUNTIF(J2458,"*41*")&gt;0,COUNTIF(I2458,"42*")&gt;0,COUNTIF(J2458,"*42*")&gt;0,COUNTIF(I2458,"43*")&gt;0,COUNTIF(J2458,"*43*")&gt;0,COUNTIF(I2458,"49*")&gt;0,COUNTIF(J2458,"*49*")&gt;0,COUNTIF(I2458,"52*")&gt;0,COUNTIF(J2458,"*52*")&gt;0,COUNTIF(I2458,"55*")&gt;0,COUNTIF(J2458,"*55*")&gt;0,COUNTIF(I2458,"56*")&gt;0,COUNTIF(J2458,"*56*")&gt;0,COUNTIF(I2458,"68*")&gt;0,COUNTIF(J2458,"*68*")&gt;0,COUNTIF(I2458,"78*")&gt;0,COUNTIF(J2458,"*78*")&gt;0,COUNTIF(I2458,"81*")&gt;0,COUNTIF(J2458,"*81*")&gt;0,COUNTIF(I2458,"82*")&gt;0,COUNTIF(J2458,"*82*")&gt;0,COUNTIF(I2458,"64*")&gt;0,COUNTIF(J2458,"*64*")&gt;0,COUNTIF(I2458,"65*")&gt;0,COUNTIF(J2458,"*65*")&gt;0,COUNTIF(I2458,"66*")&gt;0,COUNTIF(J2458,"*66*")&gt;0,COUNTIF(I2458,"61*")&gt;0,COUNTIF(J2458,"*61*")&gt;0,COUNTIF(I2458,"62*")&gt;0,COUNTIF(J2458,"*62*")&gt;0,COUNTIF(I2458,"63*")&gt;0,COUNTIF(J2458,"*63*")&gt;0,COUNTIF(I2458,"85*")&gt;0,COUNTIF(J2458,"*85*")&gt;0,COUNTIF(I2458,"86*")&gt;0,COUNTIF(J2458,"*86*")&gt;0),"Да","Нет"))</f>
        <v/>
      </c>
      <c r="M2458" s="13">
        <f>IF(OR(G2458="",L2458&lt;&gt;"Да"),"",IF(G2458&lt;=100,"До 100",IF(G2458&lt;=200,"До 200",IF(G2458&lt;=500,"До 500","Отдельное КП"))))</f>
        <v/>
      </c>
      <c r="N2458" s="15">
        <f>IF(OR(G2458="",L2458&lt;&gt;"Да"),"",IF(G2458&lt;=100,33600,IF(G2458&lt;=200,62400,IF(G2458&lt;=500,144000,""))))</f>
        <v/>
      </c>
      <c r="O2458" s="16">
        <f>IF(G2458="","",IF(G2458&lt;=15,"1–15",IF(G2458&lt;=30,"16–30",IF(G2458&lt;=50,"31–50",IF(G2458&lt;=100,"51–100",IF(G2458&lt;=150,"101–150",IF(G2458&lt;=200,"151–200",IF(G2458&lt;=500,"201–500","500+"))))))))</f>
        <v/>
      </c>
      <c r="P2458" s="16" t="inlineStr">
        <is>
          <t>Нет совпадения в предоставленной выгрузке ССЧР</t>
        </is>
      </c>
      <c r="Q2458" s="16" t="n"/>
      <c r="R2458" s="16">
        <f>HYPERLINK("https://checko.ru/search?query=3801001629","Чекко: проверить")</f>
        <v/>
      </c>
      <c r="S2458" t="n">
        <v>0</v>
      </c>
    </row>
    <row r="2459" ht="15" customHeight="1" s="24">
      <c r="A2459" s="13" t="n">
        <v>5000095178</v>
      </c>
      <c r="B2459" s="13" t="inlineStr">
        <is>
          <t>ГБУ КБР "Стадион "Спартак"</t>
        </is>
      </c>
      <c r="C2459" s="13" t="n">
        <v>721062765</v>
      </c>
      <c r="D2459" s="13" t="n"/>
      <c r="E2459" s="13" t="inlineStr">
        <is>
          <t>Не определён</t>
        </is>
      </c>
      <c r="F2459" s="13" t="inlineStr">
        <is>
          <t>721062765</t>
        </is>
      </c>
      <c r="G2459" s="14" t="n"/>
      <c r="H2459" s="14" t="n"/>
      <c r="I2459" s="14" t="n"/>
      <c r="J2459" s="14" t="n"/>
      <c r="K2459" s="13">
        <f>IF(G2459="","",IF(G2459&gt;=22,"Да","Нет"))</f>
        <v/>
      </c>
      <c r="L2459" s="13">
        <f>IF(OR(I2459="",J2459=""),"Не определено",IF(OR(COUNTIF(I2459,"45*")&gt;0,COUNTIF(J2459,"*45*")&gt;0,COUNTIF(I2459,"46*")&gt;0,COUNTIF(J2459,"*46*")&gt;0,COUNTIF(I2459,"47*")&gt;0,COUNTIF(J2459,"*47*")&gt;0,COUNTIF(I2459,"10*")&gt;0,COUNTIF(J2459,"*10*")&gt;0,COUNTIF(I2459,"11*")&gt;0,COUNTIF(J2459,"*11*")&gt;0,COUNTIF(I2459,"12*")&gt;0,COUNTIF(J2459,"*12*")&gt;0,COUNTIF(I2459,"13*")&gt;0,COUNTIF(J2459,"*13*")&gt;0,COUNTIF(I2459,"14*")&gt;0,COUNTIF(J2459,"*14*")&gt;0,COUNTIF(I2459,"15*")&gt;0,COUNTIF(J2459,"*15*")&gt;0,COUNTIF(I2459,"16*")&gt;0,COUNTIF(J2459,"*16*")&gt;0,COUNTIF(I2459,"17*")&gt;0,COUNTIF(J2459,"*17*")&gt;0,COUNTIF(I2459,"18*")&gt;0,COUNTIF(J2459,"*18*")&gt;0,COUNTIF(I2459,"19*")&gt;0,COUNTIF(J2459,"*19*")&gt;0,COUNTIF(I2459,"20*")&gt;0,COUNTIF(J2459,"*20*")&gt;0,COUNTIF(I2459,"21*")&gt;0,COUNTIF(J2459,"*21*")&gt;0,COUNTIF(I2459,"22*")&gt;0,COUNTIF(J2459,"*22*")&gt;0,COUNTIF(I2459,"23*")&gt;0,COUNTIF(J2459,"*23*")&gt;0,COUNTIF(I2459,"24*")&gt;0,COUNTIF(J2459,"*24*")&gt;0,COUNTIF(I2459,"25*")&gt;0,COUNTIF(J2459,"*25*")&gt;0,COUNTIF(I2459,"26*")&gt;0,COUNTIF(J2459,"*26*")&gt;0,COUNTIF(I2459,"27*")&gt;0,COUNTIF(J2459,"*27*")&gt;0,COUNTIF(I2459,"28*")&gt;0,COUNTIF(J2459,"*28*")&gt;0,COUNTIF(I2459,"29*")&gt;0,COUNTIF(J2459,"*29*")&gt;0,COUNTIF(I2459,"30*")&gt;0,COUNTIF(J2459,"*30*")&gt;0,COUNTIF(I2459,"31*")&gt;0,COUNTIF(J2459,"*31*")&gt;0,COUNTIF(I2459,"32*")&gt;0,COUNTIF(J2459,"*32*")&gt;0,COUNTIF(I2459,"33*")&gt;0,COUNTIF(J2459,"*33*")&gt;0,COUNTIF(I2459,"41*")&gt;0,COUNTIF(J2459,"*41*")&gt;0,COUNTIF(I2459,"42*")&gt;0,COUNTIF(J2459,"*42*")&gt;0,COUNTIF(I2459,"43*")&gt;0,COUNTIF(J2459,"*43*")&gt;0,COUNTIF(I2459,"49*")&gt;0,COUNTIF(J2459,"*49*")&gt;0,COUNTIF(I2459,"52*")&gt;0,COUNTIF(J2459,"*52*")&gt;0,COUNTIF(I2459,"55*")&gt;0,COUNTIF(J2459,"*55*")&gt;0,COUNTIF(I2459,"56*")&gt;0,COUNTIF(J2459,"*56*")&gt;0,COUNTIF(I2459,"68*")&gt;0,COUNTIF(J2459,"*68*")&gt;0,COUNTIF(I2459,"78*")&gt;0,COUNTIF(J2459,"*78*")&gt;0,COUNTIF(I2459,"81*")&gt;0,COUNTIF(J2459,"*81*")&gt;0,COUNTIF(I2459,"82*")&gt;0,COUNTIF(J2459,"*82*")&gt;0,COUNTIF(I2459,"64*")&gt;0,COUNTIF(J2459,"*64*")&gt;0,COUNTIF(I2459,"65*")&gt;0,COUNTIF(J2459,"*65*")&gt;0,COUNTIF(I2459,"66*")&gt;0,COUNTIF(J2459,"*66*")&gt;0,COUNTIF(I2459,"61*")&gt;0,COUNTIF(J2459,"*61*")&gt;0,COUNTIF(I2459,"62*")&gt;0,COUNTIF(J2459,"*62*")&gt;0,COUNTIF(I2459,"63*")&gt;0,COUNTIF(J2459,"*63*")&gt;0,COUNTIF(I2459,"85*")&gt;0,COUNTIF(J2459,"*85*")&gt;0,COUNTIF(I2459,"86*")&gt;0,COUNTIF(J2459,"*86*")&gt;0),"Да","Нет"))</f>
        <v/>
      </c>
      <c r="M2459" s="13">
        <f>IF(OR(G2459="",L2459&lt;&gt;"Да"),"",IF(G2459&lt;=100,"До 100",IF(G2459&lt;=200,"До 200",IF(G2459&lt;=500,"До 500","Отдельное КП"))))</f>
        <v/>
      </c>
      <c r="N2459" s="15">
        <f>IF(OR(G2459="",L2459&lt;&gt;"Да"),"",IF(G2459&lt;=100,33600,IF(G2459&lt;=200,62400,IF(G2459&lt;=500,144000,""))))</f>
        <v/>
      </c>
      <c r="O2459" s="16">
        <f>IF(G2459="","",IF(G2459&lt;=15,"1–15",IF(G2459&lt;=30,"16–30",IF(G2459&lt;=50,"31–50",IF(G2459&lt;=100,"51–100",IF(G2459&lt;=150,"101–150",IF(G2459&lt;=200,"151–200",IF(G2459&lt;=500,"201–500","500+"))))))))</f>
        <v/>
      </c>
      <c r="P2459" s="16" t="inlineStr">
        <is>
          <t>Нет совпадения в предоставленной выгрузке ССЧР</t>
        </is>
      </c>
      <c r="Q2459" s="16" t="n"/>
      <c r="R2459" s="16">
        <f>HYPERLINK("https://checko.ru/search?query=3801001629","Чекко: проверить")</f>
        <v/>
      </c>
      <c r="S2459" t="n">
        <v>0</v>
      </c>
    </row>
    <row r="2460" ht="27.75" customHeight="1" s="24">
      <c r="A2460" s="13" t="n">
        <v>5000095180</v>
      </c>
      <c r="B2460" s="13" t="inlineStr">
        <is>
          <t>Совет местного самоуправления Баксанского муниципального района</t>
        </is>
      </c>
      <c r="C2460" s="13" t="n">
        <v>722001194</v>
      </c>
      <c r="D2460" s="13" t="n"/>
      <c r="E2460" s="13" t="inlineStr">
        <is>
          <t>Не определён</t>
        </is>
      </c>
      <c r="F2460" s="13" t="inlineStr">
        <is>
          <t>722001194</t>
        </is>
      </c>
      <c r="G2460" s="14" t="n"/>
      <c r="H2460" s="14" t="n"/>
      <c r="I2460" s="14" t="n"/>
      <c r="J2460" s="14" t="n"/>
      <c r="K2460" s="13">
        <f>IF(G2460="","",IF(G2460&gt;=22,"Да","Нет"))</f>
        <v/>
      </c>
      <c r="L2460" s="13">
        <f>IF(OR(I2460="",J2460=""),"Не определено",IF(OR(COUNTIF(I2460,"45*")&gt;0,COUNTIF(J2460,"*45*")&gt;0,COUNTIF(I2460,"46*")&gt;0,COUNTIF(J2460,"*46*")&gt;0,COUNTIF(I2460,"47*")&gt;0,COUNTIF(J2460,"*47*")&gt;0,COUNTIF(I2460,"10*")&gt;0,COUNTIF(J2460,"*10*")&gt;0,COUNTIF(I2460,"11*")&gt;0,COUNTIF(J2460,"*11*")&gt;0,COUNTIF(I2460,"12*")&gt;0,COUNTIF(J2460,"*12*")&gt;0,COUNTIF(I2460,"13*")&gt;0,COUNTIF(J2460,"*13*")&gt;0,COUNTIF(I2460,"14*")&gt;0,COUNTIF(J2460,"*14*")&gt;0,COUNTIF(I2460,"15*")&gt;0,COUNTIF(J2460,"*15*")&gt;0,COUNTIF(I2460,"16*")&gt;0,COUNTIF(J2460,"*16*")&gt;0,COUNTIF(I2460,"17*")&gt;0,COUNTIF(J2460,"*17*")&gt;0,COUNTIF(I2460,"18*")&gt;0,COUNTIF(J2460,"*18*")&gt;0,COUNTIF(I2460,"19*")&gt;0,COUNTIF(J2460,"*19*")&gt;0,COUNTIF(I2460,"20*")&gt;0,COUNTIF(J2460,"*20*")&gt;0,COUNTIF(I2460,"21*")&gt;0,COUNTIF(J2460,"*21*")&gt;0,COUNTIF(I2460,"22*")&gt;0,COUNTIF(J2460,"*22*")&gt;0,COUNTIF(I2460,"23*")&gt;0,COUNTIF(J2460,"*23*")&gt;0,COUNTIF(I2460,"24*")&gt;0,COUNTIF(J2460,"*24*")&gt;0,COUNTIF(I2460,"25*")&gt;0,COUNTIF(J2460,"*25*")&gt;0,COUNTIF(I2460,"26*")&gt;0,COUNTIF(J2460,"*26*")&gt;0,COUNTIF(I2460,"27*")&gt;0,COUNTIF(J2460,"*27*")&gt;0,COUNTIF(I2460,"28*")&gt;0,COUNTIF(J2460,"*28*")&gt;0,COUNTIF(I2460,"29*")&gt;0,COUNTIF(J2460,"*29*")&gt;0,COUNTIF(I2460,"30*")&gt;0,COUNTIF(J2460,"*30*")&gt;0,COUNTIF(I2460,"31*")&gt;0,COUNTIF(J2460,"*31*")&gt;0,COUNTIF(I2460,"32*")&gt;0,COUNTIF(J2460,"*32*")&gt;0,COUNTIF(I2460,"33*")&gt;0,COUNTIF(J2460,"*33*")&gt;0,COUNTIF(I2460,"41*")&gt;0,COUNTIF(J2460,"*41*")&gt;0,COUNTIF(I2460,"42*")&gt;0,COUNTIF(J2460,"*42*")&gt;0,COUNTIF(I2460,"43*")&gt;0,COUNTIF(J2460,"*43*")&gt;0,COUNTIF(I2460,"49*")&gt;0,COUNTIF(J2460,"*49*")&gt;0,COUNTIF(I2460,"52*")&gt;0,COUNTIF(J2460,"*52*")&gt;0,COUNTIF(I2460,"55*")&gt;0,COUNTIF(J2460,"*55*")&gt;0,COUNTIF(I2460,"56*")&gt;0,COUNTIF(J2460,"*56*")&gt;0,COUNTIF(I2460,"68*")&gt;0,COUNTIF(J2460,"*68*")&gt;0,COUNTIF(I2460,"78*")&gt;0,COUNTIF(J2460,"*78*")&gt;0,COUNTIF(I2460,"81*")&gt;0,COUNTIF(J2460,"*81*")&gt;0,COUNTIF(I2460,"82*")&gt;0,COUNTIF(J2460,"*82*")&gt;0,COUNTIF(I2460,"64*")&gt;0,COUNTIF(J2460,"*64*")&gt;0,COUNTIF(I2460,"65*")&gt;0,COUNTIF(J2460,"*65*")&gt;0,COUNTIF(I2460,"66*")&gt;0,COUNTIF(J2460,"*66*")&gt;0,COUNTIF(I2460,"61*")&gt;0,COUNTIF(J2460,"*61*")&gt;0,COUNTIF(I2460,"62*")&gt;0,COUNTIF(J2460,"*62*")&gt;0,COUNTIF(I2460,"63*")&gt;0,COUNTIF(J2460,"*63*")&gt;0,COUNTIF(I2460,"85*")&gt;0,COUNTIF(J2460,"*85*")&gt;0,COUNTIF(I2460,"86*")&gt;0,COUNTIF(J2460,"*86*")&gt;0),"Да","Нет"))</f>
        <v/>
      </c>
      <c r="M2460" s="13">
        <f>IF(OR(G2460="",L2460&lt;&gt;"Да"),"",IF(G2460&lt;=100,"До 100",IF(G2460&lt;=200,"До 200",IF(G2460&lt;=500,"До 500","Отдельное КП"))))</f>
        <v/>
      </c>
      <c r="N2460" s="15">
        <f>IF(OR(G2460="",L2460&lt;&gt;"Да"),"",IF(G2460&lt;=100,33600,IF(G2460&lt;=200,62400,IF(G2460&lt;=500,144000,""))))</f>
        <v/>
      </c>
      <c r="O2460" s="16">
        <f>IF(G2460="","",IF(G2460&lt;=15,"1–15",IF(G2460&lt;=30,"16–30",IF(G2460&lt;=50,"31–50",IF(G2460&lt;=100,"51–100",IF(G2460&lt;=150,"101–150",IF(G2460&lt;=200,"151–200",IF(G2460&lt;=500,"201–500","500+"))))))))</f>
        <v/>
      </c>
      <c r="P2460" s="16" t="inlineStr">
        <is>
          <t>Нет совпадения в предоставленной выгрузке ССЧР</t>
        </is>
      </c>
      <c r="Q2460" s="16" t="n"/>
      <c r="R2460" s="16">
        <f>HYPERLINK("https://checko.ru/search?query=3801001629","Чекко: проверить")</f>
        <v/>
      </c>
      <c r="S2460" t="n">
        <v>0</v>
      </c>
    </row>
    <row r="2461" ht="27.75" customHeight="1" s="24">
      <c r="A2461" s="13" t="n">
        <v>5000095013</v>
      </c>
      <c r="B2461" s="13" t="inlineStr">
        <is>
          <t>ГКУ "Кабардино-Балкарский центр ветеринарной медицины"</t>
        </is>
      </c>
      <c r="C2461" s="13" t="n">
        <v>711037921</v>
      </c>
      <c r="D2461" s="13" t="n"/>
      <c r="E2461" s="13" t="inlineStr">
        <is>
          <t>Не определён</t>
        </is>
      </c>
      <c r="F2461" s="13" t="inlineStr">
        <is>
          <t>711037921</t>
        </is>
      </c>
      <c r="G2461" s="14" t="n"/>
      <c r="H2461" s="14" t="n"/>
      <c r="I2461" s="14" t="n"/>
      <c r="J2461" s="14" t="n"/>
      <c r="K2461" s="13">
        <f>IF(G2461="","",IF(G2461&gt;=22,"Да","Нет"))</f>
        <v/>
      </c>
      <c r="L2461" s="13">
        <f>IF(OR(I2461="",J2461=""),"Не определено",IF(OR(COUNTIF(I2461,"45*")&gt;0,COUNTIF(J2461,"*45*")&gt;0,COUNTIF(I2461,"46*")&gt;0,COUNTIF(J2461,"*46*")&gt;0,COUNTIF(I2461,"47*")&gt;0,COUNTIF(J2461,"*47*")&gt;0,COUNTIF(I2461,"10*")&gt;0,COUNTIF(J2461,"*10*")&gt;0,COUNTIF(I2461,"11*")&gt;0,COUNTIF(J2461,"*11*")&gt;0,COUNTIF(I2461,"12*")&gt;0,COUNTIF(J2461,"*12*")&gt;0,COUNTIF(I2461,"13*")&gt;0,COUNTIF(J2461,"*13*")&gt;0,COUNTIF(I2461,"14*")&gt;0,COUNTIF(J2461,"*14*")&gt;0,COUNTIF(I2461,"15*")&gt;0,COUNTIF(J2461,"*15*")&gt;0,COUNTIF(I2461,"16*")&gt;0,COUNTIF(J2461,"*16*")&gt;0,COUNTIF(I2461,"17*")&gt;0,COUNTIF(J2461,"*17*")&gt;0,COUNTIF(I2461,"18*")&gt;0,COUNTIF(J2461,"*18*")&gt;0,COUNTIF(I2461,"19*")&gt;0,COUNTIF(J2461,"*19*")&gt;0,COUNTIF(I2461,"20*")&gt;0,COUNTIF(J2461,"*20*")&gt;0,COUNTIF(I2461,"21*")&gt;0,COUNTIF(J2461,"*21*")&gt;0,COUNTIF(I2461,"22*")&gt;0,COUNTIF(J2461,"*22*")&gt;0,COUNTIF(I2461,"23*")&gt;0,COUNTIF(J2461,"*23*")&gt;0,COUNTIF(I2461,"24*")&gt;0,COUNTIF(J2461,"*24*")&gt;0,COUNTIF(I2461,"25*")&gt;0,COUNTIF(J2461,"*25*")&gt;0,COUNTIF(I2461,"26*")&gt;0,COUNTIF(J2461,"*26*")&gt;0,COUNTIF(I2461,"27*")&gt;0,COUNTIF(J2461,"*27*")&gt;0,COUNTIF(I2461,"28*")&gt;0,COUNTIF(J2461,"*28*")&gt;0,COUNTIF(I2461,"29*")&gt;0,COUNTIF(J2461,"*29*")&gt;0,COUNTIF(I2461,"30*")&gt;0,COUNTIF(J2461,"*30*")&gt;0,COUNTIF(I2461,"31*")&gt;0,COUNTIF(J2461,"*31*")&gt;0,COUNTIF(I2461,"32*")&gt;0,COUNTIF(J2461,"*32*")&gt;0,COUNTIF(I2461,"33*")&gt;0,COUNTIF(J2461,"*33*")&gt;0,COUNTIF(I2461,"41*")&gt;0,COUNTIF(J2461,"*41*")&gt;0,COUNTIF(I2461,"42*")&gt;0,COUNTIF(J2461,"*42*")&gt;0,COUNTIF(I2461,"43*")&gt;0,COUNTIF(J2461,"*43*")&gt;0,COUNTIF(I2461,"49*")&gt;0,COUNTIF(J2461,"*49*")&gt;0,COUNTIF(I2461,"52*")&gt;0,COUNTIF(J2461,"*52*")&gt;0,COUNTIF(I2461,"55*")&gt;0,COUNTIF(J2461,"*55*")&gt;0,COUNTIF(I2461,"56*")&gt;0,COUNTIF(J2461,"*56*")&gt;0,COUNTIF(I2461,"68*")&gt;0,COUNTIF(J2461,"*68*")&gt;0,COUNTIF(I2461,"78*")&gt;0,COUNTIF(J2461,"*78*")&gt;0,COUNTIF(I2461,"81*")&gt;0,COUNTIF(J2461,"*81*")&gt;0,COUNTIF(I2461,"82*")&gt;0,COUNTIF(J2461,"*82*")&gt;0,COUNTIF(I2461,"64*")&gt;0,COUNTIF(J2461,"*64*")&gt;0,COUNTIF(I2461,"65*")&gt;0,COUNTIF(J2461,"*65*")&gt;0,COUNTIF(I2461,"66*")&gt;0,COUNTIF(J2461,"*66*")&gt;0,COUNTIF(I2461,"61*")&gt;0,COUNTIF(J2461,"*61*")&gt;0,COUNTIF(I2461,"62*")&gt;0,COUNTIF(J2461,"*62*")&gt;0,COUNTIF(I2461,"63*")&gt;0,COUNTIF(J2461,"*63*")&gt;0,COUNTIF(I2461,"85*")&gt;0,COUNTIF(J2461,"*85*")&gt;0,COUNTIF(I2461,"86*")&gt;0,COUNTIF(J2461,"*86*")&gt;0),"Да","Нет"))</f>
        <v/>
      </c>
      <c r="M2461" s="13">
        <f>IF(OR(G2461="",L2461&lt;&gt;"Да"),"",IF(G2461&lt;=100,"До 100",IF(G2461&lt;=200,"До 200",IF(G2461&lt;=500,"До 500","Отдельное КП"))))</f>
        <v/>
      </c>
      <c r="N2461" s="15">
        <f>IF(OR(G2461="",L2461&lt;&gt;"Да"),"",IF(G2461&lt;=100,33600,IF(G2461&lt;=200,62400,IF(G2461&lt;=500,144000,""))))</f>
        <v/>
      </c>
      <c r="O2461" s="16">
        <f>IF(G2461="","",IF(G2461&lt;=15,"1–15",IF(G2461&lt;=30,"16–30",IF(G2461&lt;=50,"31–50",IF(G2461&lt;=100,"51–100",IF(G2461&lt;=150,"101–150",IF(G2461&lt;=200,"151–200",IF(G2461&lt;=500,"201–500","500+"))))))))</f>
        <v/>
      </c>
      <c r="P2461" s="16" t="inlineStr">
        <is>
          <t>Нет совпадения в предоставленной выгрузке ССЧР</t>
        </is>
      </c>
      <c r="Q2461" s="16" t="n"/>
      <c r="R2461" s="16">
        <f>HYPERLINK("https://checko.ru/search?query=3801001629","Чекко: проверить")</f>
        <v/>
      </c>
      <c r="S2461" t="n">
        <v>0</v>
      </c>
    </row>
    <row r="2462" ht="15" customHeight="1" s="24">
      <c r="A2462" s="13" t="n">
        <v>5000095021</v>
      </c>
      <c r="B2462" s="13" t="inlineStr">
        <is>
          <t>ГБОУ "СЛШ" Минпросвещения КБР</t>
        </is>
      </c>
      <c r="C2462" s="13" t="n">
        <v>711038523</v>
      </c>
      <c r="D2462" s="13" t="n"/>
      <c r="E2462" s="13" t="inlineStr">
        <is>
          <t>Не определён</t>
        </is>
      </c>
      <c r="F2462" s="13" t="inlineStr">
        <is>
          <t>711038523</t>
        </is>
      </c>
      <c r="G2462" s="14" t="n"/>
      <c r="H2462" s="14" t="n"/>
      <c r="I2462" s="14" t="n"/>
      <c r="J2462" s="14" t="n"/>
      <c r="K2462" s="13">
        <f>IF(G2462="","",IF(G2462&gt;=22,"Да","Нет"))</f>
        <v/>
      </c>
      <c r="L2462" s="13">
        <f>IF(OR(I2462="",J2462=""),"Не определено",IF(OR(COUNTIF(I2462,"45*")&gt;0,COUNTIF(J2462,"*45*")&gt;0,COUNTIF(I2462,"46*")&gt;0,COUNTIF(J2462,"*46*")&gt;0,COUNTIF(I2462,"47*")&gt;0,COUNTIF(J2462,"*47*")&gt;0,COUNTIF(I2462,"10*")&gt;0,COUNTIF(J2462,"*10*")&gt;0,COUNTIF(I2462,"11*")&gt;0,COUNTIF(J2462,"*11*")&gt;0,COUNTIF(I2462,"12*")&gt;0,COUNTIF(J2462,"*12*")&gt;0,COUNTIF(I2462,"13*")&gt;0,COUNTIF(J2462,"*13*")&gt;0,COUNTIF(I2462,"14*")&gt;0,COUNTIF(J2462,"*14*")&gt;0,COUNTIF(I2462,"15*")&gt;0,COUNTIF(J2462,"*15*")&gt;0,COUNTIF(I2462,"16*")&gt;0,COUNTIF(J2462,"*16*")&gt;0,COUNTIF(I2462,"17*")&gt;0,COUNTIF(J2462,"*17*")&gt;0,COUNTIF(I2462,"18*")&gt;0,COUNTIF(J2462,"*18*")&gt;0,COUNTIF(I2462,"19*")&gt;0,COUNTIF(J2462,"*19*")&gt;0,COUNTIF(I2462,"20*")&gt;0,COUNTIF(J2462,"*20*")&gt;0,COUNTIF(I2462,"21*")&gt;0,COUNTIF(J2462,"*21*")&gt;0,COUNTIF(I2462,"22*")&gt;0,COUNTIF(J2462,"*22*")&gt;0,COUNTIF(I2462,"23*")&gt;0,COUNTIF(J2462,"*23*")&gt;0,COUNTIF(I2462,"24*")&gt;0,COUNTIF(J2462,"*24*")&gt;0,COUNTIF(I2462,"25*")&gt;0,COUNTIF(J2462,"*25*")&gt;0,COUNTIF(I2462,"26*")&gt;0,COUNTIF(J2462,"*26*")&gt;0,COUNTIF(I2462,"27*")&gt;0,COUNTIF(J2462,"*27*")&gt;0,COUNTIF(I2462,"28*")&gt;0,COUNTIF(J2462,"*28*")&gt;0,COUNTIF(I2462,"29*")&gt;0,COUNTIF(J2462,"*29*")&gt;0,COUNTIF(I2462,"30*")&gt;0,COUNTIF(J2462,"*30*")&gt;0,COUNTIF(I2462,"31*")&gt;0,COUNTIF(J2462,"*31*")&gt;0,COUNTIF(I2462,"32*")&gt;0,COUNTIF(J2462,"*32*")&gt;0,COUNTIF(I2462,"33*")&gt;0,COUNTIF(J2462,"*33*")&gt;0,COUNTIF(I2462,"41*")&gt;0,COUNTIF(J2462,"*41*")&gt;0,COUNTIF(I2462,"42*")&gt;0,COUNTIF(J2462,"*42*")&gt;0,COUNTIF(I2462,"43*")&gt;0,COUNTIF(J2462,"*43*")&gt;0,COUNTIF(I2462,"49*")&gt;0,COUNTIF(J2462,"*49*")&gt;0,COUNTIF(I2462,"52*")&gt;0,COUNTIF(J2462,"*52*")&gt;0,COUNTIF(I2462,"55*")&gt;0,COUNTIF(J2462,"*55*")&gt;0,COUNTIF(I2462,"56*")&gt;0,COUNTIF(J2462,"*56*")&gt;0,COUNTIF(I2462,"68*")&gt;0,COUNTIF(J2462,"*68*")&gt;0,COUNTIF(I2462,"78*")&gt;0,COUNTIF(J2462,"*78*")&gt;0,COUNTIF(I2462,"81*")&gt;0,COUNTIF(J2462,"*81*")&gt;0,COUNTIF(I2462,"82*")&gt;0,COUNTIF(J2462,"*82*")&gt;0,COUNTIF(I2462,"64*")&gt;0,COUNTIF(J2462,"*64*")&gt;0,COUNTIF(I2462,"65*")&gt;0,COUNTIF(J2462,"*65*")&gt;0,COUNTIF(I2462,"66*")&gt;0,COUNTIF(J2462,"*66*")&gt;0,COUNTIF(I2462,"61*")&gt;0,COUNTIF(J2462,"*61*")&gt;0,COUNTIF(I2462,"62*")&gt;0,COUNTIF(J2462,"*62*")&gt;0,COUNTIF(I2462,"63*")&gt;0,COUNTIF(J2462,"*63*")&gt;0,COUNTIF(I2462,"85*")&gt;0,COUNTIF(J2462,"*85*")&gt;0,COUNTIF(I2462,"86*")&gt;0,COUNTIF(J2462,"*86*")&gt;0),"Да","Нет"))</f>
        <v/>
      </c>
      <c r="M2462" s="13">
        <f>IF(OR(G2462="",L2462&lt;&gt;"Да"),"",IF(G2462&lt;=100,"До 100",IF(G2462&lt;=200,"До 200",IF(G2462&lt;=500,"До 500","Отдельное КП"))))</f>
        <v/>
      </c>
      <c r="N2462" s="15">
        <f>IF(OR(G2462="",L2462&lt;&gt;"Да"),"",IF(G2462&lt;=100,33600,IF(G2462&lt;=200,62400,IF(G2462&lt;=500,144000,""))))</f>
        <v/>
      </c>
      <c r="O2462" s="16">
        <f>IF(G2462="","",IF(G2462&lt;=15,"1–15",IF(G2462&lt;=30,"16–30",IF(G2462&lt;=50,"31–50",IF(G2462&lt;=100,"51–100",IF(G2462&lt;=150,"101–150",IF(G2462&lt;=200,"151–200",IF(G2462&lt;=500,"201–500","500+"))))))))</f>
        <v/>
      </c>
      <c r="P2462" s="16" t="inlineStr">
        <is>
          <t>Нет совпадения в предоставленной выгрузке ССЧР</t>
        </is>
      </c>
      <c r="Q2462" s="16" t="n"/>
      <c r="R2462" s="16">
        <f>HYPERLINK("https://checko.ru/search?query=3801001629","Чекко: проверить")</f>
        <v/>
      </c>
      <c r="S2462" t="n">
        <v>0</v>
      </c>
    </row>
    <row r="2463" ht="15" customHeight="1" s="24">
      <c r="A2463" s="13" t="n">
        <v>5000095022</v>
      </c>
      <c r="B2463" s="13" t="inlineStr">
        <is>
          <t>ГБОУ "ШИ № 1" Минпросвещения КБР</t>
        </is>
      </c>
      <c r="C2463" s="13" t="n">
        <v>711038587</v>
      </c>
      <c r="D2463" s="13" t="n"/>
      <c r="E2463" s="13" t="inlineStr">
        <is>
          <t>Не определён</t>
        </is>
      </c>
      <c r="F2463" s="13" t="inlineStr">
        <is>
          <t>711038587</t>
        </is>
      </c>
      <c r="G2463" s="14" t="n"/>
      <c r="H2463" s="14" t="n"/>
      <c r="I2463" s="14" t="n"/>
      <c r="J2463" s="14" t="n"/>
      <c r="K2463" s="13">
        <f>IF(G2463="","",IF(G2463&gt;=22,"Да","Нет"))</f>
        <v/>
      </c>
      <c r="L2463" s="13">
        <f>IF(OR(I2463="",J2463=""),"Не определено",IF(OR(COUNTIF(I2463,"45*")&gt;0,COUNTIF(J2463,"*45*")&gt;0,COUNTIF(I2463,"46*")&gt;0,COUNTIF(J2463,"*46*")&gt;0,COUNTIF(I2463,"47*")&gt;0,COUNTIF(J2463,"*47*")&gt;0,COUNTIF(I2463,"10*")&gt;0,COUNTIF(J2463,"*10*")&gt;0,COUNTIF(I2463,"11*")&gt;0,COUNTIF(J2463,"*11*")&gt;0,COUNTIF(I2463,"12*")&gt;0,COUNTIF(J2463,"*12*")&gt;0,COUNTIF(I2463,"13*")&gt;0,COUNTIF(J2463,"*13*")&gt;0,COUNTIF(I2463,"14*")&gt;0,COUNTIF(J2463,"*14*")&gt;0,COUNTIF(I2463,"15*")&gt;0,COUNTIF(J2463,"*15*")&gt;0,COUNTIF(I2463,"16*")&gt;0,COUNTIF(J2463,"*16*")&gt;0,COUNTIF(I2463,"17*")&gt;0,COUNTIF(J2463,"*17*")&gt;0,COUNTIF(I2463,"18*")&gt;0,COUNTIF(J2463,"*18*")&gt;0,COUNTIF(I2463,"19*")&gt;0,COUNTIF(J2463,"*19*")&gt;0,COUNTIF(I2463,"20*")&gt;0,COUNTIF(J2463,"*20*")&gt;0,COUNTIF(I2463,"21*")&gt;0,COUNTIF(J2463,"*21*")&gt;0,COUNTIF(I2463,"22*")&gt;0,COUNTIF(J2463,"*22*")&gt;0,COUNTIF(I2463,"23*")&gt;0,COUNTIF(J2463,"*23*")&gt;0,COUNTIF(I2463,"24*")&gt;0,COUNTIF(J2463,"*24*")&gt;0,COUNTIF(I2463,"25*")&gt;0,COUNTIF(J2463,"*25*")&gt;0,COUNTIF(I2463,"26*")&gt;0,COUNTIF(J2463,"*26*")&gt;0,COUNTIF(I2463,"27*")&gt;0,COUNTIF(J2463,"*27*")&gt;0,COUNTIF(I2463,"28*")&gt;0,COUNTIF(J2463,"*28*")&gt;0,COUNTIF(I2463,"29*")&gt;0,COUNTIF(J2463,"*29*")&gt;0,COUNTIF(I2463,"30*")&gt;0,COUNTIF(J2463,"*30*")&gt;0,COUNTIF(I2463,"31*")&gt;0,COUNTIF(J2463,"*31*")&gt;0,COUNTIF(I2463,"32*")&gt;0,COUNTIF(J2463,"*32*")&gt;0,COUNTIF(I2463,"33*")&gt;0,COUNTIF(J2463,"*33*")&gt;0,COUNTIF(I2463,"41*")&gt;0,COUNTIF(J2463,"*41*")&gt;0,COUNTIF(I2463,"42*")&gt;0,COUNTIF(J2463,"*42*")&gt;0,COUNTIF(I2463,"43*")&gt;0,COUNTIF(J2463,"*43*")&gt;0,COUNTIF(I2463,"49*")&gt;0,COUNTIF(J2463,"*49*")&gt;0,COUNTIF(I2463,"52*")&gt;0,COUNTIF(J2463,"*52*")&gt;0,COUNTIF(I2463,"55*")&gt;0,COUNTIF(J2463,"*55*")&gt;0,COUNTIF(I2463,"56*")&gt;0,COUNTIF(J2463,"*56*")&gt;0,COUNTIF(I2463,"68*")&gt;0,COUNTIF(J2463,"*68*")&gt;0,COUNTIF(I2463,"78*")&gt;0,COUNTIF(J2463,"*78*")&gt;0,COUNTIF(I2463,"81*")&gt;0,COUNTIF(J2463,"*81*")&gt;0,COUNTIF(I2463,"82*")&gt;0,COUNTIF(J2463,"*82*")&gt;0,COUNTIF(I2463,"64*")&gt;0,COUNTIF(J2463,"*64*")&gt;0,COUNTIF(I2463,"65*")&gt;0,COUNTIF(J2463,"*65*")&gt;0,COUNTIF(I2463,"66*")&gt;0,COUNTIF(J2463,"*66*")&gt;0,COUNTIF(I2463,"61*")&gt;0,COUNTIF(J2463,"*61*")&gt;0,COUNTIF(I2463,"62*")&gt;0,COUNTIF(J2463,"*62*")&gt;0,COUNTIF(I2463,"63*")&gt;0,COUNTIF(J2463,"*63*")&gt;0,COUNTIF(I2463,"85*")&gt;0,COUNTIF(J2463,"*85*")&gt;0,COUNTIF(I2463,"86*")&gt;0,COUNTIF(J2463,"*86*")&gt;0),"Да","Нет"))</f>
        <v/>
      </c>
      <c r="M2463" s="13">
        <f>IF(OR(G2463="",L2463&lt;&gt;"Да"),"",IF(G2463&lt;=100,"До 100",IF(G2463&lt;=200,"До 200",IF(G2463&lt;=500,"До 500","Отдельное КП"))))</f>
        <v/>
      </c>
      <c r="N2463" s="15">
        <f>IF(OR(G2463="",L2463&lt;&gt;"Да"),"",IF(G2463&lt;=100,33600,IF(G2463&lt;=200,62400,IF(G2463&lt;=500,144000,""))))</f>
        <v/>
      </c>
      <c r="O2463" s="16">
        <f>IF(G2463="","",IF(G2463&lt;=15,"1–15",IF(G2463&lt;=30,"16–30",IF(G2463&lt;=50,"31–50",IF(G2463&lt;=100,"51–100",IF(G2463&lt;=150,"101–150",IF(G2463&lt;=200,"151–200",IF(G2463&lt;=500,"201–500","500+"))))))))</f>
        <v/>
      </c>
      <c r="P2463" s="16" t="inlineStr">
        <is>
          <t>Нет совпадения в предоставленной выгрузке ССЧР</t>
        </is>
      </c>
      <c r="Q2463" s="16" t="n"/>
      <c r="R2463" s="16">
        <f>HYPERLINK("https://checko.ru/search?query=3801001629","Чекко: проверить")</f>
        <v/>
      </c>
      <c r="S2463" t="n">
        <v>0</v>
      </c>
    </row>
    <row r="2464" ht="15" customHeight="1" s="24">
      <c r="A2464" s="13" t="n">
        <v>5000095024</v>
      </c>
      <c r="B2464" s="13" t="inlineStr">
        <is>
          <t>ГКУЗ "ЦСМС" Минздрава КБР</t>
        </is>
      </c>
      <c r="C2464" s="13" t="n">
        <v>711038844</v>
      </c>
      <c r="D2464" s="13" t="n"/>
      <c r="E2464" s="13" t="inlineStr">
        <is>
          <t>Не определён</t>
        </is>
      </c>
      <c r="F2464" s="13" t="inlineStr">
        <is>
          <t>711038844</t>
        </is>
      </c>
      <c r="G2464" s="14" t="n"/>
      <c r="H2464" s="14" t="n"/>
      <c r="I2464" s="14" t="n"/>
      <c r="J2464" s="14" t="n"/>
      <c r="K2464" s="13">
        <f>IF(G2464="","",IF(G2464&gt;=22,"Да","Нет"))</f>
        <v/>
      </c>
      <c r="L2464" s="13">
        <f>IF(OR(I2464="",J2464=""),"Не определено",IF(OR(COUNTIF(I2464,"45*")&gt;0,COUNTIF(J2464,"*45*")&gt;0,COUNTIF(I2464,"46*")&gt;0,COUNTIF(J2464,"*46*")&gt;0,COUNTIF(I2464,"47*")&gt;0,COUNTIF(J2464,"*47*")&gt;0,COUNTIF(I2464,"10*")&gt;0,COUNTIF(J2464,"*10*")&gt;0,COUNTIF(I2464,"11*")&gt;0,COUNTIF(J2464,"*11*")&gt;0,COUNTIF(I2464,"12*")&gt;0,COUNTIF(J2464,"*12*")&gt;0,COUNTIF(I2464,"13*")&gt;0,COUNTIF(J2464,"*13*")&gt;0,COUNTIF(I2464,"14*")&gt;0,COUNTIF(J2464,"*14*")&gt;0,COUNTIF(I2464,"15*")&gt;0,COUNTIF(J2464,"*15*")&gt;0,COUNTIF(I2464,"16*")&gt;0,COUNTIF(J2464,"*16*")&gt;0,COUNTIF(I2464,"17*")&gt;0,COUNTIF(J2464,"*17*")&gt;0,COUNTIF(I2464,"18*")&gt;0,COUNTIF(J2464,"*18*")&gt;0,COUNTIF(I2464,"19*")&gt;0,COUNTIF(J2464,"*19*")&gt;0,COUNTIF(I2464,"20*")&gt;0,COUNTIF(J2464,"*20*")&gt;0,COUNTIF(I2464,"21*")&gt;0,COUNTIF(J2464,"*21*")&gt;0,COUNTIF(I2464,"22*")&gt;0,COUNTIF(J2464,"*22*")&gt;0,COUNTIF(I2464,"23*")&gt;0,COUNTIF(J2464,"*23*")&gt;0,COUNTIF(I2464,"24*")&gt;0,COUNTIF(J2464,"*24*")&gt;0,COUNTIF(I2464,"25*")&gt;0,COUNTIF(J2464,"*25*")&gt;0,COUNTIF(I2464,"26*")&gt;0,COUNTIF(J2464,"*26*")&gt;0,COUNTIF(I2464,"27*")&gt;0,COUNTIF(J2464,"*27*")&gt;0,COUNTIF(I2464,"28*")&gt;0,COUNTIF(J2464,"*28*")&gt;0,COUNTIF(I2464,"29*")&gt;0,COUNTIF(J2464,"*29*")&gt;0,COUNTIF(I2464,"30*")&gt;0,COUNTIF(J2464,"*30*")&gt;0,COUNTIF(I2464,"31*")&gt;0,COUNTIF(J2464,"*31*")&gt;0,COUNTIF(I2464,"32*")&gt;0,COUNTIF(J2464,"*32*")&gt;0,COUNTIF(I2464,"33*")&gt;0,COUNTIF(J2464,"*33*")&gt;0,COUNTIF(I2464,"41*")&gt;0,COUNTIF(J2464,"*41*")&gt;0,COUNTIF(I2464,"42*")&gt;0,COUNTIF(J2464,"*42*")&gt;0,COUNTIF(I2464,"43*")&gt;0,COUNTIF(J2464,"*43*")&gt;0,COUNTIF(I2464,"49*")&gt;0,COUNTIF(J2464,"*49*")&gt;0,COUNTIF(I2464,"52*")&gt;0,COUNTIF(J2464,"*52*")&gt;0,COUNTIF(I2464,"55*")&gt;0,COUNTIF(J2464,"*55*")&gt;0,COUNTIF(I2464,"56*")&gt;0,COUNTIF(J2464,"*56*")&gt;0,COUNTIF(I2464,"68*")&gt;0,COUNTIF(J2464,"*68*")&gt;0,COUNTIF(I2464,"78*")&gt;0,COUNTIF(J2464,"*78*")&gt;0,COUNTIF(I2464,"81*")&gt;0,COUNTIF(J2464,"*81*")&gt;0,COUNTIF(I2464,"82*")&gt;0,COUNTIF(J2464,"*82*")&gt;0,COUNTIF(I2464,"64*")&gt;0,COUNTIF(J2464,"*64*")&gt;0,COUNTIF(I2464,"65*")&gt;0,COUNTIF(J2464,"*65*")&gt;0,COUNTIF(I2464,"66*")&gt;0,COUNTIF(J2464,"*66*")&gt;0,COUNTIF(I2464,"61*")&gt;0,COUNTIF(J2464,"*61*")&gt;0,COUNTIF(I2464,"62*")&gt;0,COUNTIF(J2464,"*62*")&gt;0,COUNTIF(I2464,"63*")&gt;0,COUNTIF(J2464,"*63*")&gt;0,COUNTIF(I2464,"85*")&gt;0,COUNTIF(J2464,"*85*")&gt;0,COUNTIF(I2464,"86*")&gt;0,COUNTIF(J2464,"*86*")&gt;0),"Да","Нет"))</f>
        <v/>
      </c>
      <c r="M2464" s="13">
        <f>IF(OR(G2464="",L2464&lt;&gt;"Да"),"",IF(G2464&lt;=100,"До 100",IF(G2464&lt;=200,"До 200",IF(G2464&lt;=500,"До 500","Отдельное КП"))))</f>
        <v/>
      </c>
      <c r="N2464" s="15">
        <f>IF(OR(G2464="",L2464&lt;&gt;"Да"),"",IF(G2464&lt;=100,33600,IF(G2464&lt;=200,62400,IF(G2464&lt;=500,144000,""))))</f>
        <v/>
      </c>
      <c r="O2464" s="16">
        <f>IF(G2464="","",IF(G2464&lt;=15,"1–15",IF(G2464&lt;=30,"16–30",IF(G2464&lt;=50,"31–50",IF(G2464&lt;=100,"51–100",IF(G2464&lt;=150,"101–150",IF(G2464&lt;=200,"151–200",IF(G2464&lt;=500,"201–500","500+"))))))))</f>
        <v/>
      </c>
      <c r="P2464" s="16" t="inlineStr">
        <is>
          <t>Нет совпадения в предоставленной выгрузке ССЧР</t>
        </is>
      </c>
      <c r="Q2464" s="16" t="n"/>
      <c r="R2464" s="16">
        <f>HYPERLINK("https://checko.ru/search?query=3801001629","Чекко: проверить")</f>
        <v/>
      </c>
      <c r="S2464" t="n">
        <v>0</v>
      </c>
    </row>
    <row r="2465" ht="15" customHeight="1" s="24">
      <c r="A2465" s="13" t="n">
        <v>5000095025</v>
      </c>
      <c r="B2465" s="13" t="inlineStr">
        <is>
          <t>ГБУЗ "ЦПБ СПИДом и ИЗ" Минздрава КБР</t>
        </is>
      </c>
      <c r="C2465" s="13" t="n">
        <v>711038971</v>
      </c>
      <c r="D2465" s="13" t="n"/>
      <c r="E2465" s="13" t="inlineStr">
        <is>
          <t>Не определён</t>
        </is>
      </c>
      <c r="F2465" s="13" t="inlineStr">
        <is>
          <t>711038971</t>
        </is>
      </c>
      <c r="G2465" s="14" t="n"/>
      <c r="H2465" s="14" t="n"/>
      <c r="I2465" s="14" t="n"/>
      <c r="J2465" s="14" t="n"/>
      <c r="K2465" s="13">
        <f>IF(G2465="","",IF(G2465&gt;=22,"Да","Нет"))</f>
        <v/>
      </c>
      <c r="L2465" s="13">
        <f>IF(OR(I2465="",J2465=""),"Не определено",IF(OR(COUNTIF(I2465,"45*")&gt;0,COUNTIF(J2465,"*45*")&gt;0,COUNTIF(I2465,"46*")&gt;0,COUNTIF(J2465,"*46*")&gt;0,COUNTIF(I2465,"47*")&gt;0,COUNTIF(J2465,"*47*")&gt;0,COUNTIF(I2465,"10*")&gt;0,COUNTIF(J2465,"*10*")&gt;0,COUNTIF(I2465,"11*")&gt;0,COUNTIF(J2465,"*11*")&gt;0,COUNTIF(I2465,"12*")&gt;0,COUNTIF(J2465,"*12*")&gt;0,COUNTIF(I2465,"13*")&gt;0,COUNTIF(J2465,"*13*")&gt;0,COUNTIF(I2465,"14*")&gt;0,COUNTIF(J2465,"*14*")&gt;0,COUNTIF(I2465,"15*")&gt;0,COUNTIF(J2465,"*15*")&gt;0,COUNTIF(I2465,"16*")&gt;0,COUNTIF(J2465,"*16*")&gt;0,COUNTIF(I2465,"17*")&gt;0,COUNTIF(J2465,"*17*")&gt;0,COUNTIF(I2465,"18*")&gt;0,COUNTIF(J2465,"*18*")&gt;0,COUNTIF(I2465,"19*")&gt;0,COUNTIF(J2465,"*19*")&gt;0,COUNTIF(I2465,"20*")&gt;0,COUNTIF(J2465,"*20*")&gt;0,COUNTIF(I2465,"21*")&gt;0,COUNTIF(J2465,"*21*")&gt;0,COUNTIF(I2465,"22*")&gt;0,COUNTIF(J2465,"*22*")&gt;0,COUNTIF(I2465,"23*")&gt;0,COUNTIF(J2465,"*23*")&gt;0,COUNTIF(I2465,"24*")&gt;0,COUNTIF(J2465,"*24*")&gt;0,COUNTIF(I2465,"25*")&gt;0,COUNTIF(J2465,"*25*")&gt;0,COUNTIF(I2465,"26*")&gt;0,COUNTIF(J2465,"*26*")&gt;0,COUNTIF(I2465,"27*")&gt;0,COUNTIF(J2465,"*27*")&gt;0,COUNTIF(I2465,"28*")&gt;0,COUNTIF(J2465,"*28*")&gt;0,COUNTIF(I2465,"29*")&gt;0,COUNTIF(J2465,"*29*")&gt;0,COUNTIF(I2465,"30*")&gt;0,COUNTIF(J2465,"*30*")&gt;0,COUNTIF(I2465,"31*")&gt;0,COUNTIF(J2465,"*31*")&gt;0,COUNTIF(I2465,"32*")&gt;0,COUNTIF(J2465,"*32*")&gt;0,COUNTIF(I2465,"33*")&gt;0,COUNTIF(J2465,"*33*")&gt;0,COUNTIF(I2465,"41*")&gt;0,COUNTIF(J2465,"*41*")&gt;0,COUNTIF(I2465,"42*")&gt;0,COUNTIF(J2465,"*42*")&gt;0,COUNTIF(I2465,"43*")&gt;0,COUNTIF(J2465,"*43*")&gt;0,COUNTIF(I2465,"49*")&gt;0,COUNTIF(J2465,"*49*")&gt;0,COUNTIF(I2465,"52*")&gt;0,COUNTIF(J2465,"*52*")&gt;0,COUNTIF(I2465,"55*")&gt;0,COUNTIF(J2465,"*55*")&gt;0,COUNTIF(I2465,"56*")&gt;0,COUNTIF(J2465,"*56*")&gt;0,COUNTIF(I2465,"68*")&gt;0,COUNTIF(J2465,"*68*")&gt;0,COUNTIF(I2465,"78*")&gt;0,COUNTIF(J2465,"*78*")&gt;0,COUNTIF(I2465,"81*")&gt;0,COUNTIF(J2465,"*81*")&gt;0,COUNTIF(I2465,"82*")&gt;0,COUNTIF(J2465,"*82*")&gt;0,COUNTIF(I2465,"64*")&gt;0,COUNTIF(J2465,"*64*")&gt;0,COUNTIF(I2465,"65*")&gt;0,COUNTIF(J2465,"*65*")&gt;0,COUNTIF(I2465,"66*")&gt;0,COUNTIF(J2465,"*66*")&gt;0,COUNTIF(I2465,"61*")&gt;0,COUNTIF(J2465,"*61*")&gt;0,COUNTIF(I2465,"62*")&gt;0,COUNTIF(J2465,"*62*")&gt;0,COUNTIF(I2465,"63*")&gt;0,COUNTIF(J2465,"*63*")&gt;0,COUNTIF(I2465,"85*")&gt;0,COUNTIF(J2465,"*85*")&gt;0,COUNTIF(I2465,"86*")&gt;0,COUNTIF(J2465,"*86*")&gt;0),"Да","Нет"))</f>
        <v/>
      </c>
      <c r="M2465" s="13">
        <f>IF(OR(G2465="",L2465&lt;&gt;"Да"),"",IF(G2465&lt;=100,"До 100",IF(G2465&lt;=200,"До 200",IF(G2465&lt;=500,"До 500","Отдельное КП"))))</f>
        <v/>
      </c>
      <c r="N2465" s="15">
        <f>IF(OR(G2465="",L2465&lt;&gt;"Да"),"",IF(G2465&lt;=100,33600,IF(G2465&lt;=200,62400,IF(G2465&lt;=500,144000,""))))</f>
        <v/>
      </c>
      <c r="O2465" s="16">
        <f>IF(G2465="","",IF(G2465&lt;=15,"1–15",IF(G2465&lt;=30,"16–30",IF(G2465&lt;=50,"31–50",IF(G2465&lt;=100,"51–100",IF(G2465&lt;=150,"101–150",IF(G2465&lt;=200,"151–200",IF(G2465&lt;=500,"201–500","500+"))))))))</f>
        <v/>
      </c>
      <c r="P2465" s="16" t="inlineStr">
        <is>
          <t>Нет совпадения в предоставленной выгрузке ССЧР</t>
        </is>
      </c>
      <c r="Q2465" s="16" t="n"/>
      <c r="R2465" s="16">
        <f>HYPERLINK("https://checko.ru/search?query=3801001629","Чекко: проверить")</f>
        <v/>
      </c>
      <c r="S2465" t="n">
        <v>0</v>
      </c>
    </row>
    <row r="2466" ht="15" customHeight="1" s="24">
      <c r="A2466" s="13" t="n">
        <v>5000095026</v>
      </c>
      <c r="B2466" s="13" t="inlineStr">
        <is>
          <t>ГКУ "ГААТ "Кабардинка"</t>
        </is>
      </c>
      <c r="C2466" s="13" t="n">
        <v>711039260</v>
      </c>
      <c r="D2466" s="13" t="n"/>
      <c r="E2466" s="13" t="inlineStr">
        <is>
          <t>Не определён</t>
        </is>
      </c>
      <c r="F2466" s="13" t="inlineStr">
        <is>
          <t>711039260</t>
        </is>
      </c>
      <c r="G2466" s="14" t="n"/>
      <c r="H2466" s="14" t="n"/>
      <c r="I2466" s="14" t="n"/>
      <c r="J2466" s="14" t="n"/>
      <c r="K2466" s="13">
        <f>IF(G2466="","",IF(G2466&gt;=22,"Да","Нет"))</f>
        <v/>
      </c>
      <c r="L2466" s="13">
        <f>IF(OR(I2466="",J2466=""),"Не определено",IF(OR(COUNTIF(I2466,"45*")&gt;0,COUNTIF(J2466,"*45*")&gt;0,COUNTIF(I2466,"46*")&gt;0,COUNTIF(J2466,"*46*")&gt;0,COUNTIF(I2466,"47*")&gt;0,COUNTIF(J2466,"*47*")&gt;0,COUNTIF(I2466,"10*")&gt;0,COUNTIF(J2466,"*10*")&gt;0,COUNTIF(I2466,"11*")&gt;0,COUNTIF(J2466,"*11*")&gt;0,COUNTIF(I2466,"12*")&gt;0,COUNTIF(J2466,"*12*")&gt;0,COUNTIF(I2466,"13*")&gt;0,COUNTIF(J2466,"*13*")&gt;0,COUNTIF(I2466,"14*")&gt;0,COUNTIF(J2466,"*14*")&gt;0,COUNTIF(I2466,"15*")&gt;0,COUNTIF(J2466,"*15*")&gt;0,COUNTIF(I2466,"16*")&gt;0,COUNTIF(J2466,"*16*")&gt;0,COUNTIF(I2466,"17*")&gt;0,COUNTIF(J2466,"*17*")&gt;0,COUNTIF(I2466,"18*")&gt;0,COUNTIF(J2466,"*18*")&gt;0,COUNTIF(I2466,"19*")&gt;0,COUNTIF(J2466,"*19*")&gt;0,COUNTIF(I2466,"20*")&gt;0,COUNTIF(J2466,"*20*")&gt;0,COUNTIF(I2466,"21*")&gt;0,COUNTIF(J2466,"*21*")&gt;0,COUNTIF(I2466,"22*")&gt;0,COUNTIF(J2466,"*22*")&gt;0,COUNTIF(I2466,"23*")&gt;0,COUNTIF(J2466,"*23*")&gt;0,COUNTIF(I2466,"24*")&gt;0,COUNTIF(J2466,"*24*")&gt;0,COUNTIF(I2466,"25*")&gt;0,COUNTIF(J2466,"*25*")&gt;0,COUNTIF(I2466,"26*")&gt;0,COUNTIF(J2466,"*26*")&gt;0,COUNTIF(I2466,"27*")&gt;0,COUNTIF(J2466,"*27*")&gt;0,COUNTIF(I2466,"28*")&gt;0,COUNTIF(J2466,"*28*")&gt;0,COUNTIF(I2466,"29*")&gt;0,COUNTIF(J2466,"*29*")&gt;0,COUNTIF(I2466,"30*")&gt;0,COUNTIF(J2466,"*30*")&gt;0,COUNTIF(I2466,"31*")&gt;0,COUNTIF(J2466,"*31*")&gt;0,COUNTIF(I2466,"32*")&gt;0,COUNTIF(J2466,"*32*")&gt;0,COUNTIF(I2466,"33*")&gt;0,COUNTIF(J2466,"*33*")&gt;0,COUNTIF(I2466,"41*")&gt;0,COUNTIF(J2466,"*41*")&gt;0,COUNTIF(I2466,"42*")&gt;0,COUNTIF(J2466,"*42*")&gt;0,COUNTIF(I2466,"43*")&gt;0,COUNTIF(J2466,"*43*")&gt;0,COUNTIF(I2466,"49*")&gt;0,COUNTIF(J2466,"*49*")&gt;0,COUNTIF(I2466,"52*")&gt;0,COUNTIF(J2466,"*52*")&gt;0,COUNTIF(I2466,"55*")&gt;0,COUNTIF(J2466,"*55*")&gt;0,COUNTIF(I2466,"56*")&gt;0,COUNTIF(J2466,"*56*")&gt;0,COUNTIF(I2466,"68*")&gt;0,COUNTIF(J2466,"*68*")&gt;0,COUNTIF(I2466,"78*")&gt;0,COUNTIF(J2466,"*78*")&gt;0,COUNTIF(I2466,"81*")&gt;0,COUNTIF(J2466,"*81*")&gt;0,COUNTIF(I2466,"82*")&gt;0,COUNTIF(J2466,"*82*")&gt;0,COUNTIF(I2466,"64*")&gt;0,COUNTIF(J2466,"*64*")&gt;0,COUNTIF(I2466,"65*")&gt;0,COUNTIF(J2466,"*65*")&gt;0,COUNTIF(I2466,"66*")&gt;0,COUNTIF(J2466,"*66*")&gt;0,COUNTIF(I2466,"61*")&gt;0,COUNTIF(J2466,"*61*")&gt;0,COUNTIF(I2466,"62*")&gt;0,COUNTIF(J2466,"*62*")&gt;0,COUNTIF(I2466,"63*")&gt;0,COUNTIF(J2466,"*63*")&gt;0,COUNTIF(I2466,"85*")&gt;0,COUNTIF(J2466,"*85*")&gt;0,COUNTIF(I2466,"86*")&gt;0,COUNTIF(J2466,"*86*")&gt;0),"Да","Нет"))</f>
        <v/>
      </c>
      <c r="M2466" s="13">
        <f>IF(OR(G2466="",L2466&lt;&gt;"Да"),"",IF(G2466&lt;=100,"До 100",IF(G2466&lt;=200,"До 200",IF(G2466&lt;=500,"До 500","Отдельное КП"))))</f>
        <v/>
      </c>
      <c r="N2466" s="15">
        <f>IF(OR(G2466="",L2466&lt;&gt;"Да"),"",IF(G2466&lt;=100,33600,IF(G2466&lt;=200,62400,IF(G2466&lt;=500,144000,""))))</f>
        <v/>
      </c>
      <c r="O2466" s="16">
        <f>IF(G2466="","",IF(G2466&lt;=15,"1–15",IF(G2466&lt;=30,"16–30",IF(G2466&lt;=50,"31–50",IF(G2466&lt;=100,"51–100",IF(G2466&lt;=150,"101–150",IF(G2466&lt;=200,"151–200",IF(G2466&lt;=500,"201–500","500+"))))))))</f>
        <v/>
      </c>
      <c r="P2466" s="16" t="inlineStr">
        <is>
          <t>Нет совпадения в предоставленной выгрузке ССЧР</t>
        </is>
      </c>
      <c r="Q2466" s="16" t="n"/>
      <c r="R2466" s="16">
        <f>HYPERLINK("https://checko.ru/search?query=3801001629","Чекко: проверить")</f>
        <v/>
      </c>
      <c r="S2466" t="n">
        <v>0</v>
      </c>
    </row>
    <row r="2467" ht="15" customHeight="1" s="24">
      <c r="A2467" s="13" t="n">
        <v>5000095028</v>
      </c>
      <c r="B2467" s="13" t="inlineStr">
        <is>
          <t>ГБПОУ КБГТК</t>
        </is>
      </c>
      <c r="C2467" s="13" t="n">
        <v>711039510</v>
      </c>
      <c r="D2467" s="13" t="n"/>
      <c r="E2467" s="13" t="inlineStr">
        <is>
          <t>Не определён</t>
        </is>
      </c>
      <c r="F2467" s="13" t="inlineStr">
        <is>
          <t>711039510</t>
        </is>
      </c>
      <c r="G2467" s="14" t="n"/>
      <c r="H2467" s="14" t="n"/>
      <c r="I2467" s="14" t="n"/>
      <c r="J2467" s="14" t="n"/>
      <c r="K2467" s="13">
        <f>IF(G2467="","",IF(G2467&gt;=22,"Да","Нет"))</f>
        <v/>
      </c>
      <c r="L2467" s="13">
        <f>IF(OR(I2467="",J2467=""),"Не определено",IF(OR(COUNTIF(I2467,"45*")&gt;0,COUNTIF(J2467,"*45*")&gt;0,COUNTIF(I2467,"46*")&gt;0,COUNTIF(J2467,"*46*")&gt;0,COUNTIF(I2467,"47*")&gt;0,COUNTIF(J2467,"*47*")&gt;0,COUNTIF(I2467,"10*")&gt;0,COUNTIF(J2467,"*10*")&gt;0,COUNTIF(I2467,"11*")&gt;0,COUNTIF(J2467,"*11*")&gt;0,COUNTIF(I2467,"12*")&gt;0,COUNTIF(J2467,"*12*")&gt;0,COUNTIF(I2467,"13*")&gt;0,COUNTIF(J2467,"*13*")&gt;0,COUNTIF(I2467,"14*")&gt;0,COUNTIF(J2467,"*14*")&gt;0,COUNTIF(I2467,"15*")&gt;0,COUNTIF(J2467,"*15*")&gt;0,COUNTIF(I2467,"16*")&gt;0,COUNTIF(J2467,"*16*")&gt;0,COUNTIF(I2467,"17*")&gt;0,COUNTIF(J2467,"*17*")&gt;0,COUNTIF(I2467,"18*")&gt;0,COUNTIF(J2467,"*18*")&gt;0,COUNTIF(I2467,"19*")&gt;0,COUNTIF(J2467,"*19*")&gt;0,COUNTIF(I2467,"20*")&gt;0,COUNTIF(J2467,"*20*")&gt;0,COUNTIF(I2467,"21*")&gt;0,COUNTIF(J2467,"*21*")&gt;0,COUNTIF(I2467,"22*")&gt;0,COUNTIF(J2467,"*22*")&gt;0,COUNTIF(I2467,"23*")&gt;0,COUNTIF(J2467,"*23*")&gt;0,COUNTIF(I2467,"24*")&gt;0,COUNTIF(J2467,"*24*")&gt;0,COUNTIF(I2467,"25*")&gt;0,COUNTIF(J2467,"*25*")&gt;0,COUNTIF(I2467,"26*")&gt;0,COUNTIF(J2467,"*26*")&gt;0,COUNTIF(I2467,"27*")&gt;0,COUNTIF(J2467,"*27*")&gt;0,COUNTIF(I2467,"28*")&gt;0,COUNTIF(J2467,"*28*")&gt;0,COUNTIF(I2467,"29*")&gt;0,COUNTIF(J2467,"*29*")&gt;0,COUNTIF(I2467,"30*")&gt;0,COUNTIF(J2467,"*30*")&gt;0,COUNTIF(I2467,"31*")&gt;0,COUNTIF(J2467,"*31*")&gt;0,COUNTIF(I2467,"32*")&gt;0,COUNTIF(J2467,"*32*")&gt;0,COUNTIF(I2467,"33*")&gt;0,COUNTIF(J2467,"*33*")&gt;0,COUNTIF(I2467,"41*")&gt;0,COUNTIF(J2467,"*41*")&gt;0,COUNTIF(I2467,"42*")&gt;0,COUNTIF(J2467,"*42*")&gt;0,COUNTIF(I2467,"43*")&gt;0,COUNTIF(J2467,"*43*")&gt;0,COUNTIF(I2467,"49*")&gt;0,COUNTIF(J2467,"*49*")&gt;0,COUNTIF(I2467,"52*")&gt;0,COUNTIF(J2467,"*52*")&gt;0,COUNTIF(I2467,"55*")&gt;0,COUNTIF(J2467,"*55*")&gt;0,COUNTIF(I2467,"56*")&gt;0,COUNTIF(J2467,"*56*")&gt;0,COUNTIF(I2467,"68*")&gt;0,COUNTIF(J2467,"*68*")&gt;0,COUNTIF(I2467,"78*")&gt;0,COUNTIF(J2467,"*78*")&gt;0,COUNTIF(I2467,"81*")&gt;0,COUNTIF(J2467,"*81*")&gt;0,COUNTIF(I2467,"82*")&gt;0,COUNTIF(J2467,"*82*")&gt;0,COUNTIF(I2467,"64*")&gt;0,COUNTIF(J2467,"*64*")&gt;0,COUNTIF(I2467,"65*")&gt;0,COUNTIF(J2467,"*65*")&gt;0,COUNTIF(I2467,"66*")&gt;0,COUNTIF(J2467,"*66*")&gt;0,COUNTIF(I2467,"61*")&gt;0,COUNTIF(J2467,"*61*")&gt;0,COUNTIF(I2467,"62*")&gt;0,COUNTIF(J2467,"*62*")&gt;0,COUNTIF(I2467,"63*")&gt;0,COUNTIF(J2467,"*63*")&gt;0,COUNTIF(I2467,"85*")&gt;0,COUNTIF(J2467,"*85*")&gt;0,COUNTIF(I2467,"86*")&gt;0,COUNTIF(J2467,"*86*")&gt;0),"Да","Нет"))</f>
        <v/>
      </c>
      <c r="M2467" s="13">
        <f>IF(OR(G2467="",L2467&lt;&gt;"Да"),"",IF(G2467&lt;=100,"До 100",IF(G2467&lt;=200,"До 200",IF(G2467&lt;=500,"До 500","Отдельное КП"))))</f>
        <v/>
      </c>
      <c r="N2467" s="15">
        <f>IF(OR(G2467="",L2467&lt;&gt;"Да"),"",IF(G2467&lt;=100,33600,IF(G2467&lt;=200,62400,IF(G2467&lt;=500,144000,""))))</f>
        <v/>
      </c>
      <c r="O2467" s="16">
        <f>IF(G2467="","",IF(G2467&lt;=15,"1–15",IF(G2467&lt;=30,"16–30",IF(G2467&lt;=50,"31–50",IF(G2467&lt;=100,"51–100",IF(G2467&lt;=150,"101–150",IF(G2467&lt;=200,"151–200",IF(G2467&lt;=500,"201–500","500+"))))))))</f>
        <v/>
      </c>
      <c r="P2467" s="16" t="inlineStr">
        <is>
          <t>Нет совпадения в предоставленной выгрузке ССЧР</t>
        </is>
      </c>
      <c r="Q2467" s="16" t="n"/>
      <c r="R2467" s="16">
        <f>HYPERLINK("https://checko.ru/search?query=3801001629","Чекко: проверить")</f>
        <v/>
      </c>
      <c r="S2467" t="n">
        <v>0</v>
      </c>
    </row>
    <row r="2468" ht="15" customHeight="1" s="24">
      <c r="A2468" s="13" t="n">
        <v>5000095030</v>
      </c>
      <c r="B2468" s="13" t="inlineStr">
        <is>
          <t>ГБОУ "С(К)Ш-И №1" Минпросвещения КБР</t>
        </is>
      </c>
      <c r="C2468" s="13" t="n">
        <v>711039904</v>
      </c>
      <c r="D2468" s="13" t="n"/>
      <c r="E2468" s="13" t="inlineStr">
        <is>
          <t>Не определён</t>
        </is>
      </c>
      <c r="F2468" s="13" t="inlineStr">
        <is>
          <t>711039904</t>
        </is>
      </c>
      <c r="G2468" s="14" t="n"/>
      <c r="H2468" s="14" t="n"/>
      <c r="I2468" s="14" t="n"/>
      <c r="J2468" s="14" t="n"/>
      <c r="K2468" s="13">
        <f>IF(G2468="","",IF(G2468&gt;=22,"Да","Нет"))</f>
        <v/>
      </c>
      <c r="L2468" s="13">
        <f>IF(OR(I2468="",J2468=""),"Не определено",IF(OR(COUNTIF(I2468,"45*")&gt;0,COUNTIF(J2468,"*45*")&gt;0,COUNTIF(I2468,"46*")&gt;0,COUNTIF(J2468,"*46*")&gt;0,COUNTIF(I2468,"47*")&gt;0,COUNTIF(J2468,"*47*")&gt;0,COUNTIF(I2468,"10*")&gt;0,COUNTIF(J2468,"*10*")&gt;0,COUNTIF(I2468,"11*")&gt;0,COUNTIF(J2468,"*11*")&gt;0,COUNTIF(I2468,"12*")&gt;0,COUNTIF(J2468,"*12*")&gt;0,COUNTIF(I2468,"13*")&gt;0,COUNTIF(J2468,"*13*")&gt;0,COUNTIF(I2468,"14*")&gt;0,COUNTIF(J2468,"*14*")&gt;0,COUNTIF(I2468,"15*")&gt;0,COUNTIF(J2468,"*15*")&gt;0,COUNTIF(I2468,"16*")&gt;0,COUNTIF(J2468,"*16*")&gt;0,COUNTIF(I2468,"17*")&gt;0,COUNTIF(J2468,"*17*")&gt;0,COUNTIF(I2468,"18*")&gt;0,COUNTIF(J2468,"*18*")&gt;0,COUNTIF(I2468,"19*")&gt;0,COUNTIF(J2468,"*19*")&gt;0,COUNTIF(I2468,"20*")&gt;0,COUNTIF(J2468,"*20*")&gt;0,COUNTIF(I2468,"21*")&gt;0,COUNTIF(J2468,"*21*")&gt;0,COUNTIF(I2468,"22*")&gt;0,COUNTIF(J2468,"*22*")&gt;0,COUNTIF(I2468,"23*")&gt;0,COUNTIF(J2468,"*23*")&gt;0,COUNTIF(I2468,"24*")&gt;0,COUNTIF(J2468,"*24*")&gt;0,COUNTIF(I2468,"25*")&gt;0,COUNTIF(J2468,"*25*")&gt;0,COUNTIF(I2468,"26*")&gt;0,COUNTIF(J2468,"*26*")&gt;0,COUNTIF(I2468,"27*")&gt;0,COUNTIF(J2468,"*27*")&gt;0,COUNTIF(I2468,"28*")&gt;0,COUNTIF(J2468,"*28*")&gt;0,COUNTIF(I2468,"29*")&gt;0,COUNTIF(J2468,"*29*")&gt;0,COUNTIF(I2468,"30*")&gt;0,COUNTIF(J2468,"*30*")&gt;0,COUNTIF(I2468,"31*")&gt;0,COUNTIF(J2468,"*31*")&gt;0,COUNTIF(I2468,"32*")&gt;0,COUNTIF(J2468,"*32*")&gt;0,COUNTIF(I2468,"33*")&gt;0,COUNTIF(J2468,"*33*")&gt;0,COUNTIF(I2468,"41*")&gt;0,COUNTIF(J2468,"*41*")&gt;0,COUNTIF(I2468,"42*")&gt;0,COUNTIF(J2468,"*42*")&gt;0,COUNTIF(I2468,"43*")&gt;0,COUNTIF(J2468,"*43*")&gt;0,COUNTIF(I2468,"49*")&gt;0,COUNTIF(J2468,"*49*")&gt;0,COUNTIF(I2468,"52*")&gt;0,COUNTIF(J2468,"*52*")&gt;0,COUNTIF(I2468,"55*")&gt;0,COUNTIF(J2468,"*55*")&gt;0,COUNTIF(I2468,"56*")&gt;0,COUNTIF(J2468,"*56*")&gt;0,COUNTIF(I2468,"68*")&gt;0,COUNTIF(J2468,"*68*")&gt;0,COUNTIF(I2468,"78*")&gt;0,COUNTIF(J2468,"*78*")&gt;0,COUNTIF(I2468,"81*")&gt;0,COUNTIF(J2468,"*81*")&gt;0,COUNTIF(I2468,"82*")&gt;0,COUNTIF(J2468,"*82*")&gt;0,COUNTIF(I2468,"64*")&gt;0,COUNTIF(J2468,"*64*")&gt;0,COUNTIF(I2468,"65*")&gt;0,COUNTIF(J2468,"*65*")&gt;0,COUNTIF(I2468,"66*")&gt;0,COUNTIF(J2468,"*66*")&gt;0,COUNTIF(I2468,"61*")&gt;0,COUNTIF(J2468,"*61*")&gt;0,COUNTIF(I2468,"62*")&gt;0,COUNTIF(J2468,"*62*")&gt;0,COUNTIF(I2468,"63*")&gt;0,COUNTIF(J2468,"*63*")&gt;0,COUNTIF(I2468,"85*")&gt;0,COUNTIF(J2468,"*85*")&gt;0,COUNTIF(I2468,"86*")&gt;0,COUNTIF(J2468,"*86*")&gt;0),"Да","Нет"))</f>
        <v/>
      </c>
      <c r="M2468" s="13">
        <f>IF(OR(G2468="",L2468&lt;&gt;"Да"),"",IF(G2468&lt;=100,"До 100",IF(G2468&lt;=200,"До 200",IF(G2468&lt;=500,"До 500","Отдельное КП"))))</f>
        <v/>
      </c>
      <c r="N2468" s="15">
        <f>IF(OR(G2468="",L2468&lt;&gt;"Да"),"",IF(G2468&lt;=100,33600,IF(G2468&lt;=200,62400,IF(G2468&lt;=500,144000,""))))</f>
        <v/>
      </c>
      <c r="O2468" s="16">
        <f>IF(G2468="","",IF(G2468&lt;=15,"1–15",IF(G2468&lt;=30,"16–30",IF(G2468&lt;=50,"31–50",IF(G2468&lt;=100,"51–100",IF(G2468&lt;=150,"101–150",IF(G2468&lt;=200,"151–200",IF(G2468&lt;=500,"201–500","500+"))))))))</f>
        <v/>
      </c>
      <c r="P2468" s="16" t="inlineStr">
        <is>
          <t>Нет совпадения в предоставленной выгрузке ССЧР</t>
        </is>
      </c>
      <c r="Q2468" s="16" t="n"/>
      <c r="R2468" s="16">
        <f>HYPERLINK("https://checko.ru/search?query=3801001629","Чекко: проверить")</f>
        <v/>
      </c>
      <c r="S2468" t="n">
        <v>0</v>
      </c>
    </row>
    <row r="2469" ht="15" customHeight="1" s="24">
      <c r="A2469" s="13" t="n">
        <v>5000095190</v>
      </c>
      <c r="B2469" s="13" t="inlineStr">
        <is>
          <t>МКУ "ДК с.п. Ерокко"</t>
        </is>
      </c>
      <c r="C2469" s="13" t="n">
        <v>723000387</v>
      </c>
      <c r="D2469" s="13" t="n"/>
      <c r="E2469" s="13" t="inlineStr">
        <is>
          <t>Не определён</t>
        </is>
      </c>
      <c r="F2469" s="13" t="inlineStr">
        <is>
          <t>723000387</t>
        </is>
      </c>
      <c r="G2469" s="14" t="n"/>
      <c r="H2469" s="14" t="n"/>
      <c r="I2469" s="14" t="n"/>
      <c r="J2469" s="14" t="n"/>
      <c r="K2469" s="13">
        <f>IF(G2469="","",IF(G2469&gt;=22,"Да","Нет"))</f>
        <v/>
      </c>
      <c r="L2469" s="13">
        <f>IF(OR(I2469="",J2469=""),"Не определено",IF(OR(COUNTIF(I2469,"45*")&gt;0,COUNTIF(J2469,"*45*")&gt;0,COUNTIF(I2469,"46*")&gt;0,COUNTIF(J2469,"*46*")&gt;0,COUNTIF(I2469,"47*")&gt;0,COUNTIF(J2469,"*47*")&gt;0,COUNTIF(I2469,"10*")&gt;0,COUNTIF(J2469,"*10*")&gt;0,COUNTIF(I2469,"11*")&gt;0,COUNTIF(J2469,"*11*")&gt;0,COUNTIF(I2469,"12*")&gt;0,COUNTIF(J2469,"*12*")&gt;0,COUNTIF(I2469,"13*")&gt;0,COUNTIF(J2469,"*13*")&gt;0,COUNTIF(I2469,"14*")&gt;0,COUNTIF(J2469,"*14*")&gt;0,COUNTIF(I2469,"15*")&gt;0,COUNTIF(J2469,"*15*")&gt;0,COUNTIF(I2469,"16*")&gt;0,COUNTIF(J2469,"*16*")&gt;0,COUNTIF(I2469,"17*")&gt;0,COUNTIF(J2469,"*17*")&gt;0,COUNTIF(I2469,"18*")&gt;0,COUNTIF(J2469,"*18*")&gt;0,COUNTIF(I2469,"19*")&gt;0,COUNTIF(J2469,"*19*")&gt;0,COUNTIF(I2469,"20*")&gt;0,COUNTIF(J2469,"*20*")&gt;0,COUNTIF(I2469,"21*")&gt;0,COUNTIF(J2469,"*21*")&gt;0,COUNTIF(I2469,"22*")&gt;0,COUNTIF(J2469,"*22*")&gt;0,COUNTIF(I2469,"23*")&gt;0,COUNTIF(J2469,"*23*")&gt;0,COUNTIF(I2469,"24*")&gt;0,COUNTIF(J2469,"*24*")&gt;0,COUNTIF(I2469,"25*")&gt;0,COUNTIF(J2469,"*25*")&gt;0,COUNTIF(I2469,"26*")&gt;0,COUNTIF(J2469,"*26*")&gt;0,COUNTIF(I2469,"27*")&gt;0,COUNTIF(J2469,"*27*")&gt;0,COUNTIF(I2469,"28*")&gt;0,COUNTIF(J2469,"*28*")&gt;0,COUNTIF(I2469,"29*")&gt;0,COUNTIF(J2469,"*29*")&gt;0,COUNTIF(I2469,"30*")&gt;0,COUNTIF(J2469,"*30*")&gt;0,COUNTIF(I2469,"31*")&gt;0,COUNTIF(J2469,"*31*")&gt;0,COUNTIF(I2469,"32*")&gt;0,COUNTIF(J2469,"*32*")&gt;0,COUNTIF(I2469,"33*")&gt;0,COUNTIF(J2469,"*33*")&gt;0,COUNTIF(I2469,"41*")&gt;0,COUNTIF(J2469,"*41*")&gt;0,COUNTIF(I2469,"42*")&gt;0,COUNTIF(J2469,"*42*")&gt;0,COUNTIF(I2469,"43*")&gt;0,COUNTIF(J2469,"*43*")&gt;0,COUNTIF(I2469,"49*")&gt;0,COUNTIF(J2469,"*49*")&gt;0,COUNTIF(I2469,"52*")&gt;0,COUNTIF(J2469,"*52*")&gt;0,COUNTIF(I2469,"55*")&gt;0,COUNTIF(J2469,"*55*")&gt;0,COUNTIF(I2469,"56*")&gt;0,COUNTIF(J2469,"*56*")&gt;0,COUNTIF(I2469,"68*")&gt;0,COUNTIF(J2469,"*68*")&gt;0,COUNTIF(I2469,"78*")&gt;0,COUNTIF(J2469,"*78*")&gt;0,COUNTIF(I2469,"81*")&gt;0,COUNTIF(J2469,"*81*")&gt;0,COUNTIF(I2469,"82*")&gt;0,COUNTIF(J2469,"*82*")&gt;0,COUNTIF(I2469,"64*")&gt;0,COUNTIF(J2469,"*64*")&gt;0,COUNTIF(I2469,"65*")&gt;0,COUNTIF(J2469,"*65*")&gt;0,COUNTIF(I2469,"66*")&gt;0,COUNTIF(J2469,"*66*")&gt;0,COUNTIF(I2469,"61*")&gt;0,COUNTIF(J2469,"*61*")&gt;0,COUNTIF(I2469,"62*")&gt;0,COUNTIF(J2469,"*62*")&gt;0,COUNTIF(I2469,"63*")&gt;0,COUNTIF(J2469,"*63*")&gt;0,COUNTIF(I2469,"85*")&gt;0,COUNTIF(J2469,"*85*")&gt;0,COUNTIF(I2469,"86*")&gt;0,COUNTIF(J2469,"*86*")&gt;0),"Да","Нет"))</f>
        <v/>
      </c>
      <c r="M2469" s="13">
        <f>IF(OR(G2469="",L2469&lt;&gt;"Да"),"",IF(G2469&lt;=100,"До 100",IF(G2469&lt;=200,"До 200",IF(G2469&lt;=500,"До 500","Отдельное КП"))))</f>
        <v/>
      </c>
      <c r="N2469" s="15">
        <f>IF(OR(G2469="",L2469&lt;&gt;"Да"),"",IF(G2469&lt;=100,33600,IF(G2469&lt;=200,62400,IF(G2469&lt;=500,144000,""))))</f>
        <v/>
      </c>
      <c r="O2469" s="16">
        <f>IF(G2469="","",IF(G2469&lt;=15,"1–15",IF(G2469&lt;=30,"16–30",IF(G2469&lt;=50,"31–50",IF(G2469&lt;=100,"51–100",IF(G2469&lt;=150,"101–150",IF(G2469&lt;=200,"151–200",IF(G2469&lt;=500,"201–500","500+"))))))))</f>
        <v/>
      </c>
      <c r="P2469" s="16" t="inlineStr">
        <is>
          <t>Нет совпадения в предоставленной выгрузке ССЧР</t>
        </is>
      </c>
      <c r="Q2469" s="16" t="n"/>
      <c r="R2469" s="16">
        <f>HYPERLINK("https://checko.ru/search?query=3801001629","Чекко: проверить")</f>
        <v/>
      </c>
      <c r="S2469" t="n">
        <v>0</v>
      </c>
    </row>
    <row r="2470" ht="15" customHeight="1" s="24">
      <c r="A2470" s="13" t="n">
        <v>5000095191</v>
      </c>
      <c r="B2470" s="13" t="inlineStr">
        <is>
          <t>МКДОУ "Детский сад №4" с.п.Аргудан</t>
        </is>
      </c>
      <c r="C2470" s="13" t="n">
        <v>723000757</v>
      </c>
      <c r="D2470" s="13" t="n"/>
      <c r="E2470" s="13" t="inlineStr">
        <is>
          <t>Не определён</t>
        </is>
      </c>
      <c r="F2470" s="13" t="inlineStr">
        <is>
          <t>723000757</t>
        </is>
      </c>
      <c r="G2470" s="14" t="n"/>
      <c r="H2470" s="14" t="n"/>
      <c r="I2470" s="14" t="n"/>
      <c r="J2470" s="14" t="n"/>
      <c r="K2470" s="13">
        <f>IF(G2470="","",IF(G2470&gt;=22,"Да","Нет"))</f>
        <v/>
      </c>
      <c r="L2470" s="13">
        <f>IF(OR(I2470="",J2470=""),"Не определено",IF(OR(COUNTIF(I2470,"45*")&gt;0,COUNTIF(J2470,"*45*")&gt;0,COUNTIF(I2470,"46*")&gt;0,COUNTIF(J2470,"*46*")&gt;0,COUNTIF(I2470,"47*")&gt;0,COUNTIF(J2470,"*47*")&gt;0,COUNTIF(I2470,"10*")&gt;0,COUNTIF(J2470,"*10*")&gt;0,COUNTIF(I2470,"11*")&gt;0,COUNTIF(J2470,"*11*")&gt;0,COUNTIF(I2470,"12*")&gt;0,COUNTIF(J2470,"*12*")&gt;0,COUNTIF(I2470,"13*")&gt;0,COUNTIF(J2470,"*13*")&gt;0,COUNTIF(I2470,"14*")&gt;0,COUNTIF(J2470,"*14*")&gt;0,COUNTIF(I2470,"15*")&gt;0,COUNTIF(J2470,"*15*")&gt;0,COUNTIF(I2470,"16*")&gt;0,COUNTIF(J2470,"*16*")&gt;0,COUNTIF(I2470,"17*")&gt;0,COUNTIF(J2470,"*17*")&gt;0,COUNTIF(I2470,"18*")&gt;0,COUNTIF(J2470,"*18*")&gt;0,COUNTIF(I2470,"19*")&gt;0,COUNTIF(J2470,"*19*")&gt;0,COUNTIF(I2470,"20*")&gt;0,COUNTIF(J2470,"*20*")&gt;0,COUNTIF(I2470,"21*")&gt;0,COUNTIF(J2470,"*21*")&gt;0,COUNTIF(I2470,"22*")&gt;0,COUNTIF(J2470,"*22*")&gt;0,COUNTIF(I2470,"23*")&gt;0,COUNTIF(J2470,"*23*")&gt;0,COUNTIF(I2470,"24*")&gt;0,COUNTIF(J2470,"*24*")&gt;0,COUNTIF(I2470,"25*")&gt;0,COUNTIF(J2470,"*25*")&gt;0,COUNTIF(I2470,"26*")&gt;0,COUNTIF(J2470,"*26*")&gt;0,COUNTIF(I2470,"27*")&gt;0,COUNTIF(J2470,"*27*")&gt;0,COUNTIF(I2470,"28*")&gt;0,COUNTIF(J2470,"*28*")&gt;0,COUNTIF(I2470,"29*")&gt;0,COUNTIF(J2470,"*29*")&gt;0,COUNTIF(I2470,"30*")&gt;0,COUNTIF(J2470,"*30*")&gt;0,COUNTIF(I2470,"31*")&gt;0,COUNTIF(J2470,"*31*")&gt;0,COUNTIF(I2470,"32*")&gt;0,COUNTIF(J2470,"*32*")&gt;0,COUNTIF(I2470,"33*")&gt;0,COUNTIF(J2470,"*33*")&gt;0,COUNTIF(I2470,"41*")&gt;0,COUNTIF(J2470,"*41*")&gt;0,COUNTIF(I2470,"42*")&gt;0,COUNTIF(J2470,"*42*")&gt;0,COUNTIF(I2470,"43*")&gt;0,COUNTIF(J2470,"*43*")&gt;0,COUNTIF(I2470,"49*")&gt;0,COUNTIF(J2470,"*49*")&gt;0,COUNTIF(I2470,"52*")&gt;0,COUNTIF(J2470,"*52*")&gt;0,COUNTIF(I2470,"55*")&gt;0,COUNTIF(J2470,"*55*")&gt;0,COUNTIF(I2470,"56*")&gt;0,COUNTIF(J2470,"*56*")&gt;0,COUNTIF(I2470,"68*")&gt;0,COUNTIF(J2470,"*68*")&gt;0,COUNTIF(I2470,"78*")&gt;0,COUNTIF(J2470,"*78*")&gt;0,COUNTIF(I2470,"81*")&gt;0,COUNTIF(J2470,"*81*")&gt;0,COUNTIF(I2470,"82*")&gt;0,COUNTIF(J2470,"*82*")&gt;0,COUNTIF(I2470,"64*")&gt;0,COUNTIF(J2470,"*64*")&gt;0,COUNTIF(I2470,"65*")&gt;0,COUNTIF(J2470,"*65*")&gt;0,COUNTIF(I2470,"66*")&gt;0,COUNTIF(J2470,"*66*")&gt;0,COUNTIF(I2470,"61*")&gt;0,COUNTIF(J2470,"*61*")&gt;0,COUNTIF(I2470,"62*")&gt;0,COUNTIF(J2470,"*62*")&gt;0,COUNTIF(I2470,"63*")&gt;0,COUNTIF(J2470,"*63*")&gt;0,COUNTIF(I2470,"85*")&gt;0,COUNTIF(J2470,"*85*")&gt;0,COUNTIF(I2470,"86*")&gt;0,COUNTIF(J2470,"*86*")&gt;0),"Да","Нет"))</f>
        <v/>
      </c>
      <c r="M2470" s="13">
        <f>IF(OR(G2470="",L2470&lt;&gt;"Да"),"",IF(G2470&lt;=100,"До 100",IF(G2470&lt;=200,"До 200",IF(G2470&lt;=500,"До 500","Отдельное КП"))))</f>
        <v/>
      </c>
      <c r="N2470" s="15">
        <f>IF(OR(G2470="",L2470&lt;&gt;"Да"),"",IF(G2470&lt;=100,33600,IF(G2470&lt;=200,62400,IF(G2470&lt;=500,144000,""))))</f>
        <v/>
      </c>
      <c r="O2470" s="16">
        <f>IF(G2470="","",IF(G2470&lt;=15,"1–15",IF(G2470&lt;=30,"16–30",IF(G2470&lt;=50,"31–50",IF(G2470&lt;=100,"51–100",IF(G2470&lt;=150,"101–150",IF(G2470&lt;=200,"151–200",IF(G2470&lt;=500,"201–500","500+"))))))))</f>
        <v/>
      </c>
      <c r="P2470" s="16" t="inlineStr">
        <is>
          <t>Нет совпадения в предоставленной выгрузке ССЧР</t>
        </is>
      </c>
      <c r="Q2470" s="16" t="n"/>
      <c r="R2470" s="16">
        <f>HYPERLINK("https://checko.ru/search?query=3801001629","Чекко: проверить")</f>
        <v/>
      </c>
      <c r="S2470" t="n">
        <v>0</v>
      </c>
    </row>
    <row r="2471" ht="15" customHeight="1" s="24">
      <c r="A2471" s="13" t="n">
        <v>5000095192</v>
      </c>
      <c r="B2471" s="13" t="inlineStr">
        <is>
          <t>МКУ "Отдел физической культуры и спорта"</t>
        </is>
      </c>
      <c r="C2471" s="13" t="n">
        <v>724000044</v>
      </c>
      <c r="D2471" s="13" t="n"/>
      <c r="E2471" s="13" t="inlineStr">
        <is>
          <t>Не определён</t>
        </is>
      </c>
      <c r="F2471" s="13" t="inlineStr">
        <is>
          <t>724000044</t>
        </is>
      </c>
      <c r="G2471" s="14" t="n"/>
      <c r="H2471" s="14" t="n"/>
      <c r="I2471" s="14" t="n"/>
      <c r="J2471" s="14" t="n"/>
      <c r="K2471" s="13">
        <f>IF(G2471="","",IF(G2471&gt;=22,"Да","Нет"))</f>
        <v/>
      </c>
      <c r="L2471" s="13">
        <f>IF(OR(I2471="",J2471=""),"Не определено",IF(OR(COUNTIF(I2471,"45*")&gt;0,COUNTIF(J2471,"*45*")&gt;0,COUNTIF(I2471,"46*")&gt;0,COUNTIF(J2471,"*46*")&gt;0,COUNTIF(I2471,"47*")&gt;0,COUNTIF(J2471,"*47*")&gt;0,COUNTIF(I2471,"10*")&gt;0,COUNTIF(J2471,"*10*")&gt;0,COUNTIF(I2471,"11*")&gt;0,COUNTIF(J2471,"*11*")&gt;0,COUNTIF(I2471,"12*")&gt;0,COUNTIF(J2471,"*12*")&gt;0,COUNTIF(I2471,"13*")&gt;0,COUNTIF(J2471,"*13*")&gt;0,COUNTIF(I2471,"14*")&gt;0,COUNTIF(J2471,"*14*")&gt;0,COUNTIF(I2471,"15*")&gt;0,COUNTIF(J2471,"*15*")&gt;0,COUNTIF(I2471,"16*")&gt;0,COUNTIF(J2471,"*16*")&gt;0,COUNTIF(I2471,"17*")&gt;0,COUNTIF(J2471,"*17*")&gt;0,COUNTIF(I2471,"18*")&gt;0,COUNTIF(J2471,"*18*")&gt;0,COUNTIF(I2471,"19*")&gt;0,COUNTIF(J2471,"*19*")&gt;0,COUNTIF(I2471,"20*")&gt;0,COUNTIF(J2471,"*20*")&gt;0,COUNTIF(I2471,"21*")&gt;0,COUNTIF(J2471,"*21*")&gt;0,COUNTIF(I2471,"22*")&gt;0,COUNTIF(J2471,"*22*")&gt;0,COUNTIF(I2471,"23*")&gt;0,COUNTIF(J2471,"*23*")&gt;0,COUNTIF(I2471,"24*")&gt;0,COUNTIF(J2471,"*24*")&gt;0,COUNTIF(I2471,"25*")&gt;0,COUNTIF(J2471,"*25*")&gt;0,COUNTIF(I2471,"26*")&gt;0,COUNTIF(J2471,"*26*")&gt;0,COUNTIF(I2471,"27*")&gt;0,COUNTIF(J2471,"*27*")&gt;0,COUNTIF(I2471,"28*")&gt;0,COUNTIF(J2471,"*28*")&gt;0,COUNTIF(I2471,"29*")&gt;0,COUNTIF(J2471,"*29*")&gt;0,COUNTIF(I2471,"30*")&gt;0,COUNTIF(J2471,"*30*")&gt;0,COUNTIF(I2471,"31*")&gt;0,COUNTIF(J2471,"*31*")&gt;0,COUNTIF(I2471,"32*")&gt;0,COUNTIF(J2471,"*32*")&gt;0,COUNTIF(I2471,"33*")&gt;0,COUNTIF(J2471,"*33*")&gt;0,COUNTIF(I2471,"41*")&gt;0,COUNTIF(J2471,"*41*")&gt;0,COUNTIF(I2471,"42*")&gt;0,COUNTIF(J2471,"*42*")&gt;0,COUNTIF(I2471,"43*")&gt;0,COUNTIF(J2471,"*43*")&gt;0,COUNTIF(I2471,"49*")&gt;0,COUNTIF(J2471,"*49*")&gt;0,COUNTIF(I2471,"52*")&gt;0,COUNTIF(J2471,"*52*")&gt;0,COUNTIF(I2471,"55*")&gt;0,COUNTIF(J2471,"*55*")&gt;0,COUNTIF(I2471,"56*")&gt;0,COUNTIF(J2471,"*56*")&gt;0,COUNTIF(I2471,"68*")&gt;0,COUNTIF(J2471,"*68*")&gt;0,COUNTIF(I2471,"78*")&gt;0,COUNTIF(J2471,"*78*")&gt;0,COUNTIF(I2471,"81*")&gt;0,COUNTIF(J2471,"*81*")&gt;0,COUNTIF(I2471,"82*")&gt;0,COUNTIF(J2471,"*82*")&gt;0,COUNTIF(I2471,"64*")&gt;0,COUNTIF(J2471,"*64*")&gt;0,COUNTIF(I2471,"65*")&gt;0,COUNTIF(J2471,"*65*")&gt;0,COUNTIF(I2471,"66*")&gt;0,COUNTIF(J2471,"*66*")&gt;0,COUNTIF(I2471,"61*")&gt;0,COUNTIF(J2471,"*61*")&gt;0,COUNTIF(I2471,"62*")&gt;0,COUNTIF(J2471,"*62*")&gt;0,COUNTIF(I2471,"63*")&gt;0,COUNTIF(J2471,"*63*")&gt;0,COUNTIF(I2471,"85*")&gt;0,COUNTIF(J2471,"*85*")&gt;0,COUNTIF(I2471,"86*")&gt;0,COUNTIF(J2471,"*86*")&gt;0),"Да","Нет"))</f>
        <v/>
      </c>
      <c r="M2471" s="13">
        <f>IF(OR(G2471="",L2471&lt;&gt;"Да"),"",IF(G2471&lt;=100,"До 100",IF(G2471&lt;=200,"До 200",IF(G2471&lt;=500,"До 500","Отдельное КП"))))</f>
        <v/>
      </c>
      <c r="N2471" s="15">
        <f>IF(OR(G2471="",L2471&lt;&gt;"Да"),"",IF(G2471&lt;=100,33600,IF(G2471&lt;=200,62400,IF(G2471&lt;=500,144000,""))))</f>
        <v/>
      </c>
      <c r="O2471" s="16">
        <f>IF(G2471="","",IF(G2471&lt;=15,"1–15",IF(G2471&lt;=30,"16–30",IF(G2471&lt;=50,"31–50",IF(G2471&lt;=100,"51–100",IF(G2471&lt;=150,"101–150",IF(G2471&lt;=200,"151–200",IF(G2471&lt;=500,"201–500","500+"))))))))</f>
        <v/>
      </c>
      <c r="P2471" s="16" t="inlineStr">
        <is>
          <t>Нет совпадения в предоставленной выгрузке ССЧР</t>
        </is>
      </c>
      <c r="Q2471" s="16" t="n"/>
      <c r="R2471" s="16">
        <f>HYPERLINK("https://checko.ru/search?query=3801001629","Чекко: проверить")</f>
        <v/>
      </c>
      <c r="S2471" t="n">
        <v>0</v>
      </c>
    </row>
    <row r="2472" ht="27.75" customHeight="1" s="24">
      <c r="A2472" s="13" t="n">
        <v>5000095193</v>
      </c>
      <c r="B2472" s="13" t="inlineStr">
        <is>
          <t>Совет местного самоуправления Урванского района</t>
        </is>
      </c>
      <c r="C2472" s="13" t="n">
        <v>724000485</v>
      </c>
      <c r="D2472" s="13" t="n"/>
      <c r="E2472" s="13" t="inlineStr">
        <is>
          <t>Не определён</t>
        </is>
      </c>
      <c r="F2472" s="13" t="inlineStr">
        <is>
          <t>724000485</t>
        </is>
      </c>
      <c r="G2472" s="14" t="n"/>
      <c r="H2472" s="14" t="n"/>
      <c r="I2472" s="14" t="n"/>
      <c r="J2472" s="14" t="n"/>
      <c r="K2472" s="13">
        <f>IF(G2472="","",IF(G2472&gt;=22,"Да","Нет"))</f>
        <v/>
      </c>
      <c r="L2472" s="13">
        <f>IF(OR(I2472="",J2472=""),"Не определено",IF(OR(COUNTIF(I2472,"45*")&gt;0,COUNTIF(J2472,"*45*")&gt;0,COUNTIF(I2472,"46*")&gt;0,COUNTIF(J2472,"*46*")&gt;0,COUNTIF(I2472,"47*")&gt;0,COUNTIF(J2472,"*47*")&gt;0,COUNTIF(I2472,"10*")&gt;0,COUNTIF(J2472,"*10*")&gt;0,COUNTIF(I2472,"11*")&gt;0,COUNTIF(J2472,"*11*")&gt;0,COUNTIF(I2472,"12*")&gt;0,COUNTIF(J2472,"*12*")&gt;0,COUNTIF(I2472,"13*")&gt;0,COUNTIF(J2472,"*13*")&gt;0,COUNTIF(I2472,"14*")&gt;0,COUNTIF(J2472,"*14*")&gt;0,COUNTIF(I2472,"15*")&gt;0,COUNTIF(J2472,"*15*")&gt;0,COUNTIF(I2472,"16*")&gt;0,COUNTIF(J2472,"*16*")&gt;0,COUNTIF(I2472,"17*")&gt;0,COUNTIF(J2472,"*17*")&gt;0,COUNTIF(I2472,"18*")&gt;0,COUNTIF(J2472,"*18*")&gt;0,COUNTIF(I2472,"19*")&gt;0,COUNTIF(J2472,"*19*")&gt;0,COUNTIF(I2472,"20*")&gt;0,COUNTIF(J2472,"*20*")&gt;0,COUNTIF(I2472,"21*")&gt;0,COUNTIF(J2472,"*21*")&gt;0,COUNTIF(I2472,"22*")&gt;0,COUNTIF(J2472,"*22*")&gt;0,COUNTIF(I2472,"23*")&gt;0,COUNTIF(J2472,"*23*")&gt;0,COUNTIF(I2472,"24*")&gt;0,COUNTIF(J2472,"*24*")&gt;0,COUNTIF(I2472,"25*")&gt;0,COUNTIF(J2472,"*25*")&gt;0,COUNTIF(I2472,"26*")&gt;0,COUNTIF(J2472,"*26*")&gt;0,COUNTIF(I2472,"27*")&gt;0,COUNTIF(J2472,"*27*")&gt;0,COUNTIF(I2472,"28*")&gt;0,COUNTIF(J2472,"*28*")&gt;0,COUNTIF(I2472,"29*")&gt;0,COUNTIF(J2472,"*29*")&gt;0,COUNTIF(I2472,"30*")&gt;0,COUNTIF(J2472,"*30*")&gt;0,COUNTIF(I2472,"31*")&gt;0,COUNTIF(J2472,"*31*")&gt;0,COUNTIF(I2472,"32*")&gt;0,COUNTIF(J2472,"*32*")&gt;0,COUNTIF(I2472,"33*")&gt;0,COUNTIF(J2472,"*33*")&gt;0,COUNTIF(I2472,"41*")&gt;0,COUNTIF(J2472,"*41*")&gt;0,COUNTIF(I2472,"42*")&gt;0,COUNTIF(J2472,"*42*")&gt;0,COUNTIF(I2472,"43*")&gt;0,COUNTIF(J2472,"*43*")&gt;0,COUNTIF(I2472,"49*")&gt;0,COUNTIF(J2472,"*49*")&gt;0,COUNTIF(I2472,"52*")&gt;0,COUNTIF(J2472,"*52*")&gt;0,COUNTIF(I2472,"55*")&gt;0,COUNTIF(J2472,"*55*")&gt;0,COUNTIF(I2472,"56*")&gt;0,COUNTIF(J2472,"*56*")&gt;0,COUNTIF(I2472,"68*")&gt;0,COUNTIF(J2472,"*68*")&gt;0,COUNTIF(I2472,"78*")&gt;0,COUNTIF(J2472,"*78*")&gt;0,COUNTIF(I2472,"81*")&gt;0,COUNTIF(J2472,"*81*")&gt;0,COUNTIF(I2472,"82*")&gt;0,COUNTIF(J2472,"*82*")&gt;0,COUNTIF(I2472,"64*")&gt;0,COUNTIF(J2472,"*64*")&gt;0,COUNTIF(I2472,"65*")&gt;0,COUNTIF(J2472,"*65*")&gt;0,COUNTIF(I2472,"66*")&gt;0,COUNTIF(J2472,"*66*")&gt;0,COUNTIF(I2472,"61*")&gt;0,COUNTIF(J2472,"*61*")&gt;0,COUNTIF(I2472,"62*")&gt;0,COUNTIF(J2472,"*62*")&gt;0,COUNTIF(I2472,"63*")&gt;0,COUNTIF(J2472,"*63*")&gt;0,COUNTIF(I2472,"85*")&gt;0,COUNTIF(J2472,"*85*")&gt;0,COUNTIF(I2472,"86*")&gt;0,COUNTIF(J2472,"*86*")&gt;0),"Да","Нет"))</f>
        <v/>
      </c>
      <c r="M2472" s="13">
        <f>IF(OR(G2472="",L2472&lt;&gt;"Да"),"",IF(G2472&lt;=100,"До 100",IF(G2472&lt;=200,"До 200",IF(G2472&lt;=500,"До 500","Отдельное КП"))))</f>
        <v/>
      </c>
      <c r="N2472" s="15">
        <f>IF(OR(G2472="",L2472&lt;&gt;"Да"),"",IF(G2472&lt;=100,33600,IF(G2472&lt;=200,62400,IF(G2472&lt;=500,144000,""))))</f>
        <v/>
      </c>
      <c r="O2472" s="16">
        <f>IF(G2472="","",IF(G2472&lt;=15,"1–15",IF(G2472&lt;=30,"16–30",IF(G2472&lt;=50,"31–50",IF(G2472&lt;=100,"51–100",IF(G2472&lt;=150,"101–150",IF(G2472&lt;=200,"151–200",IF(G2472&lt;=500,"201–500","500+"))))))))</f>
        <v/>
      </c>
      <c r="P2472" s="16" t="inlineStr">
        <is>
          <t>Нет совпадения в предоставленной выгрузке ССЧР</t>
        </is>
      </c>
      <c r="Q2472" s="16" t="n"/>
      <c r="R2472" s="16">
        <f>HYPERLINK("https://checko.ru/search?query=3801001629","Чекко: проверить")</f>
        <v/>
      </c>
      <c r="S2472" t="n">
        <v>0</v>
      </c>
    </row>
    <row r="2473" ht="15" customHeight="1" s="24">
      <c r="A2473" s="13" t="n">
        <v>5000095035</v>
      </c>
      <c r="B2473" s="13" t="inlineStr">
        <is>
          <t>ГКУК "КПК"</t>
        </is>
      </c>
      <c r="C2473" s="13" t="n">
        <v>711041759</v>
      </c>
      <c r="D2473" s="13" t="n"/>
      <c r="E2473" s="13" t="inlineStr">
        <is>
          <t>Не определён</t>
        </is>
      </c>
      <c r="F2473" s="13" t="inlineStr">
        <is>
          <t>711041759</t>
        </is>
      </c>
      <c r="G2473" s="14" t="n"/>
      <c r="H2473" s="14" t="n"/>
      <c r="I2473" s="14" t="n"/>
      <c r="J2473" s="14" t="n"/>
      <c r="K2473" s="13">
        <f>IF(G2473="","",IF(G2473&gt;=22,"Да","Нет"))</f>
        <v/>
      </c>
      <c r="L2473" s="13">
        <f>IF(OR(I2473="",J2473=""),"Не определено",IF(OR(COUNTIF(I2473,"45*")&gt;0,COUNTIF(J2473,"*45*")&gt;0,COUNTIF(I2473,"46*")&gt;0,COUNTIF(J2473,"*46*")&gt;0,COUNTIF(I2473,"47*")&gt;0,COUNTIF(J2473,"*47*")&gt;0,COUNTIF(I2473,"10*")&gt;0,COUNTIF(J2473,"*10*")&gt;0,COUNTIF(I2473,"11*")&gt;0,COUNTIF(J2473,"*11*")&gt;0,COUNTIF(I2473,"12*")&gt;0,COUNTIF(J2473,"*12*")&gt;0,COUNTIF(I2473,"13*")&gt;0,COUNTIF(J2473,"*13*")&gt;0,COUNTIF(I2473,"14*")&gt;0,COUNTIF(J2473,"*14*")&gt;0,COUNTIF(I2473,"15*")&gt;0,COUNTIF(J2473,"*15*")&gt;0,COUNTIF(I2473,"16*")&gt;0,COUNTIF(J2473,"*16*")&gt;0,COUNTIF(I2473,"17*")&gt;0,COUNTIF(J2473,"*17*")&gt;0,COUNTIF(I2473,"18*")&gt;0,COUNTIF(J2473,"*18*")&gt;0,COUNTIF(I2473,"19*")&gt;0,COUNTIF(J2473,"*19*")&gt;0,COUNTIF(I2473,"20*")&gt;0,COUNTIF(J2473,"*20*")&gt;0,COUNTIF(I2473,"21*")&gt;0,COUNTIF(J2473,"*21*")&gt;0,COUNTIF(I2473,"22*")&gt;0,COUNTIF(J2473,"*22*")&gt;0,COUNTIF(I2473,"23*")&gt;0,COUNTIF(J2473,"*23*")&gt;0,COUNTIF(I2473,"24*")&gt;0,COUNTIF(J2473,"*24*")&gt;0,COUNTIF(I2473,"25*")&gt;0,COUNTIF(J2473,"*25*")&gt;0,COUNTIF(I2473,"26*")&gt;0,COUNTIF(J2473,"*26*")&gt;0,COUNTIF(I2473,"27*")&gt;0,COUNTIF(J2473,"*27*")&gt;0,COUNTIF(I2473,"28*")&gt;0,COUNTIF(J2473,"*28*")&gt;0,COUNTIF(I2473,"29*")&gt;0,COUNTIF(J2473,"*29*")&gt;0,COUNTIF(I2473,"30*")&gt;0,COUNTIF(J2473,"*30*")&gt;0,COUNTIF(I2473,"31*")&gt;0,COUNTIF(J2473,"*31*")&gt;0,COUNTIF(I2473,"32*")&gt;0,COUNTIF(J2473,"*32*")&gt;0,COUNTIF(I2473,"33*")&gt;0,COUNTIF(J2473,"*33*")&gt;0,COUNTIF(I2473,"41*")&gt;0,COUNTIF(J2473,"*41*")&gt;0,COUNTIF(I2473,"42*")&gt;0,COUNTIF(J2473,"*42*")&gt;0,COUNTIF(I2473,"43*")&gt;0,COUNTIF(J2473,"*43*")&gt;0,COUNTIF(I2473,"49*")&gt;0,COUNTIF(J2473,"*49*")&gt;0,COUNTIF(I2473,"52*")&gt;0,COUNTIF(J2473,"*52*")&gt;0,COUNTIF(I2473,"55*")&gt;0,COUNTIF(J2473,"*55*")&gt;0,COUNTIF(I2473,"56*")&gt;0,COUNTIF(J2473,"*56*")&gt;0,COUNTIF(I2473,"68*")&gt;0,COUNTIF(J2473,"*68*")&gt;0,COUNTIF(I2473,"78*")&gt;0,COUNTIF(J2473,"*78*")&gt;0,COUNTIF(I2473,"81*")&gt;0,COUNTIF(J2473,"*81*")&gt;0,COUNTIF(I2473,"82*")&gt;0,COUNTIF(J2473,"*82*")&gt;0,COUNTIF(I2473,"64*")&gt;0,COUNTIF(J2473,"*64*")&gt;0,COUNTIF(I2473,"65*")&gt;0,COUNTIF(J2473,"*65*")&gt;0,COUNTIF(I2473,"66*")&gt;0,COUNTIF(J2473,"*66*")&gt;0,COUNTIF(I2473,"61*")&gt;0,COUNTIF(J2473,"*61*")&gt;0,COUNTIF(I2473,"62*")&gt;0,COUNTIF(J2473,"*62*")&gt;0,COUNTIF(I2473,"63*")&gt;0,COUNTIF(J2473,"*63*")&gt;0,COUNTIF(I2473,"85*")&gt;0,COUNTIF(J2473,"*85*")&gt;0,COUNTIF(I2473,"86*")&gt;0,COUNTIF(J2473,"*86*")&gt;0),"Да","Нет"))</f>
        <v/>
      </c>
      <c r="M2473" s="13">
        <f>IF(OR(G2473="",L2473&lt;&gt;"Да"),"",IF(G2473&lt;=100,"До 100",IF(G2473&lt;=200,"До 200",IF(G2473&lt;=500,"До 500","Отдельное КП"))))</f>
        <v/>
      </c>
      <c r="N2473" s="15">
        <f>IF(OR(G2473="",L2473&lt;&gt;"Да"),"",IF(G2473&lt;=100,33600,IF(G2473&lt;=200,62400,IF(G2473&lt;=500,144000,""))))</f>
        <v/>
      </c>
      <c r="O2473" s="16">
        <f>IF(G2473="","",IF(G2473&lt;=15,"1–15",IF(G2473&lt;=30,"16–30",IF(G2473&lt;=50,"31–50",IF(G2473&lt;=100,"51–100",IF(G2473&lt;=150,"101–150",IF(G2473&lt;=200,"151–200",IF(G2473&lt;=500,"201–500","500+"))))))))</f>
        <v/>
      </c>
      <c r="P2473" s="16" t="inlineStr">
        <is>
          <t>Нет совпадения в предоставленной выгрузке ССЧР</t>
        </is>
      </c>
      <c r="Q2473" s="16" t="n"/>
      <c r="R2473" s="16">
        <f>HYPERLINK("https://checko.ru/search?query=3801001629","Чекко: проверить")</f>
        <v/>
      </c>
      <c r="S2473" t="n">
        <v>0</v>
      </c>
    </row>
    <row r="2474" ht="27.75" customHeight="1" s="24">
      <c r="A2474" s="13" t="n">
        <v>5000095039</v>
      </c>
      <c r="B2474" s="13" t="inlineStr">
        <is>
          <t>МКОУ "Гимназия № 14 им. Э.К.Кудашева" г.о. Нальчик</t>
        </is>
      </c>
      <c r="C2474" s="13" t="n">
        <v>711042061</v>
      </c>
      <c r="D2474" s="13" t="n"/>
      <c r="E2474" s="13" t="inlineStr">
        <is>
          <t>Не определён</t>
        </is>
      </c>
      <c r="F2474" s="13" t="inlineStr">
        <is>
          <t>711042061</t>
        </is>
      </c>
      <c r="G2474" s="14" t="n"/>
      <c r="H2474" s="14" t="n"/>
      <c r="I2474" s="14" t="n"/>
      <c r="J2474" s="14" t="n"/>
      <c r="K2474" s="13">
        <f>IF(G2474="","",IF(G2474&gt;=22,"Да","Нет"))</f>
        <v/>
      </c>
      <c r="L2474" s="13">
        <f>IF(OR(I2474="",J2474=""),"Не определено",IF(OR(COUNTIF(I2474,"45*")&gt;0,COUNTIF(J2474,"*45*")&gt;0,COUNTIF(I2474,"46*")&gt;0,COUNTIF(J2474,"*46*")&gt;0,COUNTIF(I2474,"47*")&gt;0,COUNTIF(J2474,"*47*")&gt;0,COUNTIF(I2474,"10*")&gt;0,COUNTIF(J2474,"*10*")&gt;0,COUNTIF(I2474,"11*")&gt;0,COUNTIF(J2474,"*11*")&gt;0,COUNTIF(I2474,"12*")&gt;0,COUNTIF(J2474,"*12*")&gt;0,COUNTIF(I2474,"13*")&gt;0,COUNTIF(J2474,"*13*")&gt;0,COUNTIF(I2474,"14*")&gt;0,COUNTIF(J2474,"*14*")&gt;0,COUNTIF(I2474,"15*")&gt;0,COUNTIF(J2474,"*15*")&gt;0,COUNTIF(I2474,"16*")&gt;0,COUNTIF(J2474,"*16*")&gt;0,COUNTIF(I2474,"17*")&gt;0,COUNTIF(J2474,"*17*")&gt;0,COUNTIF(I2474,"18*")&gt;0,COUNTIF(J2474,"*18*")&gt;0,COUNTIF(I2474,"19*")&gt;0,COUNTIF(J2474,"*19*")&gt;0,COUNTIF(I2474,"20*")&gt;0,COUNTIF(J2474,"*20*")&gt;0,COUNTIF(I2474,"21*")&gt;0,COUNTIF(J2474,"*21*")&gt;0,COUNTIF(I2474,"22*")&gt;0,COUNTIF(J2474,"*22*")&gt;0,COUNTIF(I2474,"23*")&gt;0,COUNTIF(J2474,"*23*")&gt;0,COUNTIF(I2474,"24*")&gt;0,COUNTIF(J2474,"*24*")&gt;0,COUNTIF(I2474,"25*")&gt;0,COUNTIF(J2474,"*25*")&gt;0,COUNTIF(I2474,"26*")&gt;0,COUNTIF(J2474,"*26*")&gt;0,COUNTIF(I2474,"27*")&gt;0,COUNTIF(J2474,"*27*")&gt;0,COUNTIF(I2474,"28*")&gt;0,COUNTIF(J2474,"*28*")&gt;0,COUNTIF(I2474,"29*")&gt;0,COUNTIF(J2474,"*29*")&gt;0,COUNTIF(I2474,"30*")&gt;0,COUNTIF(J2474,"*30*")&gt;0,COUNTIF(I2474,"31*")&gt;0,COUNTIF(J2474,"*31*")&gt;0,COUNTIF(I2474,"32*")&gt;0,COUNTIF(J2474,"*32*")&gt;0,COUNTIF(I2474,"33*")&gt;0,COUNTIF(J2474,"*33*")&gt;0,COUNTIF(I2474,"41*")&gt;0,COUNTIF(J2474,"*41*")&gt;0,COUNTIF(I2474,"42*")&gt;0,COUNTIF(J2474,"*42*")&gt;0,COUNTIF(I2474,"43*")&gt;0,COUNTIF(J2474,"*43*")&gt;0,COUNTIF(I2474,"49*")&gt;0,COUNTIF(J2474,"*49*")&gt;0,COUNTIF(I2474,"52*")&gt;0,COUNTIF(J2474,"*52*")&gt;0,COUNTIF(I2474,"55*")&gt;0,COUNTIF(J2474,"*55*")&gt;0,COUNTIF(I2474,"56*")&gt;0,COUNTIF(J2474,"*56*")&gt;0,COUNTIF(I2474,"68*")&gt;0,COUNTIF(J2474,"*68*")&gt;0,COUNTIF(I2474,"78*")&gt;0,COUNTIF(J2474,"*78*")&gt;0,COUNTIF(I2474,"81*")&gt;0,COUNTIF(J2474,"*81*")&gt;0,COUNTIF(I2474,"82*")&gt;0,COUNTIF(J2474,"*82*")&gt;0,COUNTIF(I2474,"64*")&gt;0,COUNTIF(J2474,"*64*")&gt;0,COUNTIF(I2474,"65*")&gt;0,COUNTIF(J2474,"*65*")&gt;0,COUNTIF(I2474,"66*")&gt;0,COUNTIF(J2474,"*66*")&gt;0,COUNTIF(I2474,"61*")&gt;0,COUNTIF(J2474,"*61*")&gt;0,COUNTIF(I2474,"62*")&gt;0,COUNTIF(J2474,"*62*")&gt;0,COUNTIF(I2474,"63*")&gt;0,COUNTIF(J2474,"*63*")&gt;0,COUNTIF(I2474,"85*")&gt;0,COUNTIF(J2474,"*85*")&gt;0,COUNTIF(I2474,"86*")&gt;0,COUNTIF(J2474,"*86*")&gt;0),"Да","Нет"))</f>
        <v/>
      </c>
      <c r="M2474" s="13">
        <f>IF(OR(G2474="",L2474&lt;&gt;"Да"),"",IF(G2474&lt;=100,"До 100",IF(G2474&lt;=200,"До 200",IF(G2474&lt;=500,"До 500","Отдельное КП"))))</f>
        <v/>
      </c>
      <c r="N2474" s="15">
        <f>IF(OR(G2474="",L2474&lt;&gt;"Да"),"",IF(G2474&lt;=100,33600,IF(G2474&lt;=200,62400,IF(G2474&lt;=500,144000,""))))</f>
        <v/>
      </c>
      <c r="O2474" s="16">
        <f>IF(G2474="","",IF(G2474&lt;=15,"1–15",IF(G2474&lt;=30,"16–30",IF(G2474&lt;=50,"31–50",IF(G2474&lt;=100,"51–100",IF(G2474&lt;=150,"101–150",IF(G2474&lt;=200,"151–200",IF(G2474&lt;=500,"201–500","500+"))))))))</f>
        <v/>
      </c>
      <c r="P2474" s="16" t="inlineStr">
        <is>
          <t>Нет совпадения в предоставленной выгрузке ССЧР</t>
        </is>
      </c>
      <c r="Q2474" s="16" t="n"/>
      <c r="R2474" s="16">
        <f>HYPERLINK("https://checko.ru/search?query=3801001629","Чекко: проверить")</f>
        <v/>
      </c>
      <c r="S2474" t="n">
        <v>0</v>
      </c>
    </row>
    <row r="2475" ht="27.75" customHeight="1" s="24">
      <c r="A2475" s="13" t="n">
        <v>5000095045</v>
      </c>
      <c r="B2475" s="13" t="inlineStr">
        <is>
          <t>ГБУЗ "Кожно-венерологический диспансер" Минздрава КБР</t>
        </is>
      </c>
      <c r="C2475" s="13" t="n">
        <v>711042953</v>
      </c>
      <c r="D2475" s="13" t="n"/>
      <c r="E2475" s="13" t="inlineStr">
        <is>
          <t>Не определён</t>
        </is>
      </c>
      <c r="F2475" s="13" t="inlineStr">
        <is>
          <t>711042953</t>
        </is>
      </c>
      <c r="G2475" s="14" t="n"/>
      <c r="H2475" s="14" t="n"/>
      <c r="I2475" s="14" t="n"/>
      <c r="J2475" s="14" t="n"/>
      <c r="K2475" s="13">
        <f>IF(G2475="","",IF(G2475&gt;=22,"Да","Нет"))</f>
        <v/>
      </c>
      <c r="L2475" s="13">
        <f>IF(OR(I2475="",J2475=""),"Не определено",IF(OR(COUNTIF(I2475,"45*")&gt;0,COUNTIF(J2475,"*45*")&gt;0,COUNTIF(I2475,"46*")&gt;0,COUNTIF(J2475,"*46*")&gt;0,COUNTIF(I2475,"47*")&gt;0,COUNTIF(J2475,"*47*")&gt;0,COUNTIF(I2475,"10*")&gt;0,COUNTIF(J2475,"*10*")&gt;0,COUNTIF(I2475,"11*")&gt;0,COUNTIF(J2475,"*11*")&gt;0,COUNTIF(I2475,"12*")&gt;0,COUNTIF(J2475,"*12*")&gt;0,COUNTIF(I2475,"13*")&gt;0,COUNTIF(J2475,"*13*")&gt;0,COUNTIF(I2475,"14*")&gt;0,COUNTIF(J2475,"*14*")&gt;0,COUNTIF(I2475,"15*")&gt;0,COUNTIF(J2475,"*15*")&gt;0,COUNTIF(I2475,"16*")&gt;0,COUNTIF(J2475,"*16*")&gt;0,COUNTIF(I2475,"17*")&gt;0,COUNTIF(J2475,"*17*")&gt;0,COUNTIF(I2475,"18*")&gt;0,COUNTIF(J2475,"*18*")&gt;0,COUNTIF(I2475,"19*")&gt;0,COUNTIF(J2475,"*19*")&gt;0,COUNTIF(I2475,"20*")&gt;0,COUNTIF(J2475,"*20*")&gt;0,COUNTIF(I2475,"21*")&gt;0,COUNTIF(J2475,"*21*")&gt;0,COUNTIF(I2475,"22*")&gt;0,COUNTIF(J2475,"*22*")&gt;0,COUNTIF(I2475,"23*")&gt;0,COUNTIF(J2475,"*23*")&gt;0,COUNTIF(I2475,"24*")&gt;0,COUNTIF(J2475,"*24*")&gt;0,COUNTIF(I2475,"25*")&gt;0,COUNTIF(J2475,"*25*")&gt;0,COUNTIF(I2475,"26*")&gt;0,COUNTIF(J2475,"*26*")&gt;0,COUNTIF(I2475,"27*")&gt;0,COUNTIF(J2475,"*27*")&gt;0,COUNTIF(I2475,"28*")&gt;0,COUNTIF(J2475,"*28*")&gt;0,COUNTIF(I2475,"29*")&gt;0,COUNTIF(J2475,"*29*")&gt;0,COUNTIF(I2475,"30*")&gt;0,COUNTIF(J2475,"*30*")&gt;0,COUNTIF(I2475,"31*")&gt;0,COUNTIF(J2475,"*31*")&gt;0,COUNTIF(I2475,"32*")&gt;0,COUNTIF(J2475,"*32*")&gt;0,COUNTIF(I2475,"33*")&gt;0,COUNTIF(J2475,"*33*")&gt;0,COUNTIF(I2475,"41*")&gt;0,COUNTIF(J2475,"*41*")&gt;0,COUNTIF(I2475,"42*")&gt;0,COUNTIF(J2475,"*42*")&gt;0,COUNTIF(I2475,"43*")&gt;0,COUNTIF(J2475,"*43*")&gt;0,COUNTIF(I2475,"49*")&gt;0,COUNTIF(J2475,"*49*")&gt;0,COUNTIF(I2475,"52*")&gt;0,COUNTIF(J2475,"*52*")&gt;0,COUNTIF(I2475,"55*")&gt;0,COUNTIF(J2475,"*55*")&gt;0,COUNTIF(I2475,"56*")&gt;0,COUNTIF(J2475,"*56*")&gt;0,COUNTIF(I2475,"68*")&gt;0,COUNTIF(J2475,"*68*")&gt;0,COUNTIF(I2475,"78*")&gt;0,COUNTIF(J2475,"*78*")&gt;0,COUNTIF(I2475,"81*")&gt;0,COUNTIF(J2475,"*81*")&gt;0,COUNTIF(I2475,"82*")&gt;0,COUNTIF(J2475,"*82*")&gt;0,COUNTIF(I2475,"64*")&gt;0,COUNTIF(J2475,"*64*")&gt;0,COUNTIF(I2475,"65*")&gt;0,COUNTIF(J2475,"*65*")&gt;0,COUNTIF(I2475,"66*")&gt;0,COUNTIF(J2475,"*66*")&gt;0,COUNTIF(I2475,"61*")&gt;0,COUNTIF(J2475,"*61*")&gt;0,COUNTIF(I2475,"62*")&gt;0,COUNTIF(J2475,"*62*")&gt;0,COUNTIF(I2475,"63*")&gt;0,COUNTIF(J2475,"*63*")&gt;0,COUNTIF(I2475,"85*")&gt;0,COUNTIF(J2475,"*85*")&gt;0,COUNTIF(I2475,"86*")&gt;0,COUNTIF(J2475,"*86*")&gt;0),"Да","Нет"))</f>
        <v/>
      </c>
      <c r="M2475" s="13">
        <f>IF(OR(G2475="",L2475&lt;&gt;"Да"),"",IF(G2475&lt;=100,"До 100",IF(G2475&lt;=200,"До 200",IF(G2475&lt;=500,"До 500","Отдельное КП"))))</f>
        <v/>
      </c>
      <c r="N2475" s="15">
        <f>IF(OR(G2475="",L2475&lt;&gt;"Да"),"",IF(G2475&lt;=100,33600,IF(G2475&lt;=200,62400,IF(G2475&lt;=500,144000,""))))</f>
        <v/>
      </c>
      <c r="O2475" s="16">
        <f>IF(G2475="","",IF(G2475&lt;=15,"1–15",IF(G2475&lt;=30,"16–30",IF(G2475&lt;=50,"31–50",IF(G2475&lt;=100,"51–100",IF(G2475&lt;=150,"101–150",IF(G2475&lt;=200,"151–200",IF(G2475&lt;=500,"201–500","500+"))))))))</f>
        <v/>
      </c>
      <c r="P2475" s="16" t="inlineStr">
        <is>
          <t>Нет совпадения в предоставленной выгрузке ССЧР</t>
        </is>
      </c>
      <c r="Q2475" s="16" t="n"/>
      <c r="R2475" s="16">
        <f>HYPERLINK("https://checko.ru/search?query=3801001629","Чекко: проверить")</f>
        <v/>
      </c>
      <c r="S2475" t="n">
        <v>0</v>
      </c>
    </row>
    <row r="2476" ht="15" customHeight="1" s="24">
      <c r="A2476" s="13" t="n">
        <v>5000095046</v>
      </c>
      <c r="B2476" s="13" t="inlineStr">
        <is>
          <t>МКОУ "СОШ №28" г.о. Нальчик</t>
        </is>
      </c>
      <c r="C2476" s="13" t="n">
        <v>711042978</v>
      </c>
      <c r="D2476" s="13" t="n"/>
      <c r="E2476" s="13" t="inlineStr">
        <is>
          <t>Не определён</t>
        </is>
      </c>
      <c r="F2476" s="13" t="inlineStr">
        <is>
          <t>711042978</t>
        </is>
      </c>
      <c r="G2476" s="14" t="n"/>
      <c r="H2476" s="14" t="n"/>
      <c r="I2476" s="14" t="n"/>
      <c r="J2476" s="14" t="n"/>
      <c r="K2476" s="13">
        <f>IF(G2476="","",IF(G2476&gt;=22,"Да","Нет"))</f>
        <v/>
      </c>
      <c r="L2476" s="13">
        <f>IF(OR(I2476="",J2476=""),"Не определено",IF(OR(COUNTIF(I2476,"45*")&gt;0,COUNTIF(J2476,"*45*")&gt;0,COUNTIF(I2476,"46*")&gt;0,COUNTIF(J2476,"*46*")&gt;0,COUNTIF(I2476,"47*")&gt;0,COUNTIF(J2476,"*47*")&gt;0,COUNTIF(I2476,"10*")&gt;0,COUNTIF(J2476,"*10*")&gt;0,COUNTIF(I2476,"11*")&gt;0,COUNTIF(J2476,"*11*")&gt;0,COUNTIF(I2476,"12*")&gt;0,COUNTIF(J2476,"*12*")&gt;0,COUNTIF(I2476,"13*")&gt;0,COUNTIF(J2476,"*13*")&gt;0,COUNTIF(I2476,"14*")&gt;0,COUNTIF(J2476,"*14*")&gt;0,COUNTIF(I2476,"15*")&gt;0,COUNTIF(J2476,"*15*")&gt;0,COUNTIF(I2476,"16*")&gt;0,COUNTIF(J2476,"*16*")&gt;0,COUNTIF(I2476,"17*")&gt;0,COUNTIF(J2476,"*17*")&gt;0,COUNTIF(I2476,"18*")&gt;0,COUNTIF(J2476,"*18*")&gt;0,COUNTIF(I2476,"19*")&gt;0,COUNTIF(J2476,"*19*")&gt;0,COUNTIF(I2476,"20*")&gt;0,COUNTIF(J2476,"*20*")&gt;0,COUNTIF(I2476,"21*")&gt;0,COUNTIF(J2476,"*21*")&gt;0,COUNTIF(I2476,"22*")&gt;0,COUNTIF(J2476,"*22*")&gt;0,COUNTIF(I2476,"23*")&gt;0,COUNTIF(J2476,"*23*")&gt;0,COUNTIF(I2476,"24*")&gt;0,COUNTIF(J2476,"*24*")&gt;0,COUNTIF(I2476,"25*")&gt;0,COUNTIF(J2476,"*25*")&gt;0,COUNTIF(I2476,"26*")&gt;0,COUNTIF(J2476,"*26*")&gt;0,COUNTIF(I2476,"27*")&gt;0,COUNTIF(J2476,"*27*")&gt;0,COUNTIF(I2476,"28*")&gt;0,COUNTIF(J2476,"*28*")&gt;0,COUNTIF(I2476,"29*")&gt;0,COUNTIF(J2476,"*29*")&gt;0,COUNTIF(I2476,"30*")&gt;0,COUNTIF(J2476,"*30*")&gt;0,COUNTIF(I2476,"31*")&gt;0,COUNTIF(J2476,"*31*")&gt;0,COUNTIF(I2476,"32*")&gt;0,COUNTIF(J2476,"*32*")&gt;0,COUNTIF(I2476,"33*")&gt;0,COUNTIF(J2476,"*33*")&gt;0,COUNTIF(I2476,"41*")&gt;0,COUNTIF(J2476,"*41*")&gt;0,COUNTIF(I2476,"42*")&gt;0,COUNTIF(J2476,"*42*")&gt;0,COUNTIF(I2476,"43*")&gt;0,COUNTIF(J2476,"*43*")&gt;0,COUNTIF(I2476,"49*")&gt;0,COUNTIF(J2476,"*49*")&gt;0,COUNTIF(I2476,"52*")&gt;0,COUNTIF(J2476,"*52*")&gt;0,COUNTIF(I2476,"55*")&gt;0,COUNTIF(J2476,"*55*")&gt;0,COUNTIF(I2476,"56*")&gt;0,COUNTIF(J2476,"*56*")&gt;0,COUNTIF(I2476,"68*")&gt;0,COUNTIF(J2476,"*68*")&gt;0,COUNTIF(I2476,"78*")&gt;0,COUNTIF(J2476,"*78*")&gt;0,COUNTIF(I2476,"81*")&gt;0,COUNTIF(J2476,"*81*")&gt;0,COUNTIF(I2476,"82*")&gt;0,COUNTIF(J2476,"*82*")&gt;0,COUNTIF(I2476,"64*")&gt;0,COUNTIF(J2476,"*64*")&gt;0,COUNTIF(I2476,"65*")&gt;0,COUNTIF(J2476,"*65*")&gt;0,COUNTIF(I2476,"66*")&gt;0,COUNTIF(J2476,"*66*")&gt;0,COUNTIF(I2476,"61*")&gt;0,COUNTIF(J2476,"*61*")&gt;0,COUNTIF(I2476,"62*")&gt;0,COUNTIF(J2476,"*62*")&gt;0,COUNTIF(I2476,"63*")&gt;0,COUNTIF(J2476,"*63*")&gt;0,COUNTIF(I2476,"85*")&gt;0,COUNTIF(J2476,"*85*")&gt;0,COUNTIF(I2476,"86*")&gt;0,COUNTIF(J2476,"*86*")&gt;0),"Да","Нет"))</f>
        <v/>
      </c>
      <c r="M2476" s="13">
        <f>IF(OR(G2476="",L2476&lt;&gt;"Да"),"",IF(G2476&lt;=100,"До 100",IF(G2476&lt;=200,"До 200",IF(G2476&lt;=500,"До 500","Отдельное КП"))))</f>
        <v/>
      </c>
      <c r="N2476" s="15">
        <f>IF(OR(G2476="",L2476&lt;&gt;"Да"),"",IF(G2476&lt;=100,33600,IF(G2476&lt;=200,62400,IF(G2476&lt;=500,144000,""))))</f>
        <v/>
      </c>
      <c r="O2476" s="16">
        <f>IF(G2476="","",IF(G2476&lt;=15,"1–15",IF(G2476&lt;=30,"16–30",IF(G2476&lt;=50,"31–50",IF(G2476&lt;=100,"51–100",IF(G2476&lt;=150,"101–150",IF(G2476&lt;=200,"151–200",IF(G2476&lt;=500,"201–500","500+"))))))))</f>
        <v/>
      </c>
      <c r="P2476" s="16" t="inlineStr">
        <is>
          <t>Нет совпадения в предоставленной выгрузке ССЧР</t>
        </is>
      </c>
      <c r="Q2476" s="16" t="n"/>
      <c r="R2476" s="16">
        <f>HYPERLINK("https://checko.ru/search?query=3801001629","Чекко: проверить")</f>
        <v/>
      </c>
      <c r="S2476" t="n">
        <v>0</v>
      </c>
    </row>
    <row r="2477" ht="15" customHeight="1" s="24">
      <c r="A2477" s="13" t="n">
        <v>5000095051</v>
      </c>
      <c r="B2477" s="13" t="inlineStr">
        <is>
          <t>МКОУ "СОШ №24"</t>
        </is>
      </c>
      <c r="C2477" s="13" t="n">
        <v>711043756</v>
      </c>
      <c r="D2477" s="13" t="n"/>
      <c r="E2477" s="13" t="inlineStr">
        <is>
          <t>Не определён</t>
        </is>
      </c>
      <c r="F2477" s="13" t="inlineStr">
        <is>
          <t>711043756</t>
        </is>
      </c>
      <c r="G2477" s="14" t="n"/>
      <c r="H2477" s="14" t="n"/>
      <c r="I2477" s="14" t="n"/>
      <c r="J2477" s="14" t="n"/>
      <c r="K2477" s="13">
        <f>IF(G2477="","",IF(G2477&gt;=22,"Да","Нет"))</f>
        <v/>
      </c>
      <c r="L2477" s="13">
        <f>IF(OR(I2477="",J2477=""),"Не определено",IF(OR(COUNTIF(I2477,"45*")&gt;0,COUNTIF(J2477,"*45*")&gt;0,COUNTIF(I2477,"46*")&gt;0,COUNTIF(J2477,"*46*")&gt;0,COUNTIF(I2477,"47*")&gt;0,COUNTIF(J2477,"*47*")&gt;0,COUNTIF(I2477,"10*")&gt;0,COUNTIF(J2477,"*10*")&gt;0,COUNTIF(I2477,"11*")&gt;0,COUNTIF(J2477,"*11*")&gt;0,COUNTIF(I2477,"12*")&gt;0,COUNTIF(J2477,"*12*")&gt;0,COUNTIF(I2477,"13*")&gt;0,COUNTIF(J2477,"*13*")&gt;0,COUNTIF(I2477,"14*")&gt;0,COUNTIF(J2477,"*14*")&gt;0,COUNTIF(I2477,"15*")&gt;0,COUNTIF(J2477,"*15*")&gt;0,COUNTIF(I2477,"16*")&gt;0,COUNTIF(J2477,"*16*")&gt;0,COUNTIF(I2477,"17*")&gt;0,COUNTIF(J2477,"*17*")&gt;0,COUNTIF(I2477,"18*")&gt;0,COUNTIF(J2477,"*18*")&gt;0,COUNTIF(I2477,"19*")&gt;0,COUNTIF(J2477,"*19*")&gt;0,COUNTIF(I2477,"20*")&gt;0,COUNTIF(J2477,"*20*")&gt;0,COUNTIF(I2477,"21*")&gt;0,COUNTIF(J2477,"*21*")&gt;0,COUNTIF(I2477,"22*")&gt;0,COUNTIF(J2477,"*22*")&gt;0,COUNTIF(I2477,"23*")&gt;0,COUNTIF(J2477,"*23*")&gt;0,COUNTIF(I2477,"24*")&gt;0,COUNTIF(J2477,"*24*")&gt;0,COUNTIF(I2477,"25*")&gt;0,COUNTIF(J2477,"*25*")&gt;0,COUNTIF(I2477,"26*")&gt;0,COUNTIF(J2477,"*26*")&gt;0,COUNTIF(I2477,"27*")&gt;0,COUNTIF(J2477,"*27*")&gt;0,COUNTIF(I2477,"28*")&gt;0,COUNTIF(J2477,"*28*")&gt;0,COUNTIF(I2477,"29*")&gt;0,COUNTIF(J2477,"*29*")&gt;0,COUNTIF(I2477,"30*")&gt;0,COUNTIF(J2477,"*30*")&gt;0,COUNTIF(I2477,"31*")&gt;0,COUNTIF(J2477,"*31*")&gt;0,COUNTIF(I2477,"32*")&gt;0,COUNTIF(J2477,"*32*")&gt;0,COUNTIF(I2477,"33*")&gt;0,COUNTIF(J2477,"*33*")&gt;0,COUNTIF(I2477,"41*")&gt;0,COUNTIF(J2477,"*41*")&gt;0,COUNTIF(I2477,"42*")&gt;0,COUNTIF(J2477,"*42*")&gt;0,COUNTIF(I2477,"43*")&gt;0,COUNTIF(J2477,"*43*")&gt;0,COUNTIF(I2477,"49*")&gt;0,COUNTIF(J2477,"*49*")&gt;0,COUNTIF(I2477,"52*")&gt;0,COUNTIF(J2477,"*52*")&gt;0,COUNTIF(I2477,"55*")&gt;0,COUNTIF(J2477,"*55*")&gt;0,COUNTIF(I2477,"56*")&gt;0,COUNTIF(J2477,"*56*")&gt;0,COUNTIF(I2477,"68*")&gt;0,COUNTIF(J2477,"*68*")&gt;0,COUNTIF(I2477,"78*")&gt;0,COUNTIF(J2477,"*78*")&gt;0,COUNTIF(I2477,"81*")&gt;0,COUNTIF(J2477,"*81*")&gt;0,COUNTIF(I2477,"82*")&gt;0,COUNTIF(J2477,"*82*")&gt;0,COUNTIF(I2477,"64*")&gt;0,COUNTIF(J2477,"*64*")&gt;0,COUNTIF(I2477,"65*")&gt;0,COUNTIF(J2477,"*65*")&gt;0,COUNTIF(I2477,"66*")&gt;0,COUNTIF(J2477,"*66*")&gt;0,COUNTIF(I2477,"61*")&gt;0,COUNTIF(J2477,"*61*")&gt;0,COUNTIF(I2477,"62*")&gt;0,COUNTIF(J2477,"*62*")&gt;0,COUNTIF(I2477,"63*")&gt;0,COUNTIF(J2477,"*63*")&gt;0,COUNTIF(I2477,"85*")&gt;0,COUNTIF(J2477,"*85*")&gt;0,COUNTIF(I2477,"86*")&gt;0,COUNTIF(J2477,"*86*")&gt;0),"Да","Нет"))</f>
        <v/>
      </c>
      <c r="M2477" s="13">
        <f>IF(OR(G2477="",L2477&lt;&gt;"Да"),"",IF(G2477&lt;=100,"До 100",IF(G2477&lt;=200,"До 200",IF(G2477&lt;=500,"До 500","Отдельное КП"))))</f>
        <v/>
      </c>
      <c r="N2477" s="15">
        <f>IF(OR(G2477="",L2477&lt;&gt;"Да"),"",IF(G2477&lt;=100,33600,IF(G2477&lt;=200,62400,IF(G2477&lt;=500,144000,""))))</f>
        <v/>
      </c>
      <c r="O2477" s="16">
        <f>IF(G2477="","",IF(G2477&lt;=15,"1–15",IF(G2477&lt;=30,"16–30",IF(G2477&lt;=50,"31–50",IF(G2477&lt;=100,"51–100",IF(G2477&lt;=150,"101–150",IF(G2477&lt;=200,"151–200",IF(G2477&lt;=500,"201–500","500+"))))))))</f>
        <v/>
      </c>
      <c r="P2477" s="16" t="inlineStr">
        <is>
          <t>Нет совпадения в предоставленной выгрузке ССЧР</t>
        </is>
      </c>
      <c r="Q2477" s="16" t="n"/>
      <c r="R2477" s="16">
        <f>HYPERLINK("https://checko.ru/search?query=3801001629","Чекко: проверить")</f>
        <v/>
      </c>
      <c r="S2477" t="n">
        <v>0</v>
      </c>
    </row>
    <row r="2478" ht="15" customHeight="1" s="24">
      <c r="A2478" s="13" t="n">
        <v>5000095056</v>
      </c>
      <c r="B2478" s="13" t="inlineStr">
        <is>
          <t>МБУ ДО ЦДТ "Эрудит" г.о. Нальчик КБР</t>
        </is>
      </c>
      <c r="C2478" s="13" t="n">
        <v>711044598</v>
      </c>
      <c r="D2478" s="13" t="n"/>
      <c r="E2478" s="13" t="inlineStr">
        <is>
          <t>Не определён</t>
        </is>
      </c>
      <c r="F2478" s="13" t="inlineStr">
        <is>
          <t>711044598</t>
        </is>
      </c>
      <c r="G2478" s="14" t="n"/>
      <c r="H2478" s="14" t="n"/>
      <c r="I2478" s="14" t="n"/>
      <c r="J2478" s="14" t="n"/>
      <c r="K2478" s="13">
        <f>IF(G2478="","",IF(G2478&gt;=22,"Да","Нет"))</f>
        <v/>
      </c>
      <c r="L2478" s="13">
        <f>IF(OR(I2478="",J2478=""),"Не определено",IF(OR(COUNTIF(I2478,"45*")&gt;0,COUNTIF(J2478,"*45*")&gt;0,COUNTIF(I2478,"46*")&gt;0,COUNTIF(J2478,"*46*")&gt;0,COUNTIF(I2478,"47*")&gt;0,COUNTIF(J2478,"*47*")&gt;0,COUNTIF(I2478,"10*")&gt;0,COUNTIF(J2478,"*10*")&gt;0,COUNTIF(I2478,"11*")&gt;0,COUNTIF(J2478,"*11*")&gt;0,COUNTIF(I2478,"12*")&gt;0,COUNTIF(J2478,"*12*")&gt;0,COUNTIF(I2478,"13*")&gt;0,COUNTIF(J2478,"*13*")&gt;0,COUNTIF(I2478,"14*")&gt;0,COUNTIF(J2478,"*14*")&gt;0,COUNTIF(I2478,"15*")&gt;0,COUNTIF(J2478,"*15*")&gt;0,COUNTIF(I2478,"16*")&gt;0,COUNTIF(J2478,"*16*")&gt;0,COUNTIF(I2478,"17*")&gt;0,COUNTIF(J2478,"*17*")&gt;0,COUNTIF(I2478,"18*")&gt;0,COUNTIF(J2478,"*18*")&gt;0,COUNTIF(I2478,"19*")&gt;0,COUNTIF(J2478,"*19*")&gt;0,COUNTIF(I2478,"20*")&gt;0,COUNTIF(J2478,"*20*")&gt;0,COUNTIF(I2478,"21*")&gt;0,COUNTIF(J2478,"*21*")&gt;0,COUNTIF(I2478,"22*")&gt;0,COUNTIF(J2478,"*22*")&gt;0,COUNTIF(I2478,"23*")&gt;0,COUNTIF(J2478,"*23*")&gt;0,COUNTIF(I2478,"24*")&gt;0,COUNTIF(J2478,"*24*")&gt;0,COUNTIF(I2478,"25*")&gt;0,COUNTIF(J2478,"*25*")&gt;0,COUNTIF(I2478,"26*")&gt;0,COUNTIF(J2478,"*26*")&gt;0,COUNTIF(I2478,"27*")&gt;0,COUNTIF(J2478,"*27*")&gt;0,COUNTIF(I2478,"28*")&gt;0,COUNTIF(J2478,"*28*")&gt;0,COUNTIF(I2478,"29*")&gt;0,COUNTIF(J2478,"*29*")&gt;0,COUNTIF(I2478,"30*")&gt;0,COUNTIF(J2478,"*30*")&gt;0,COUNTIF(I2478,"31*")&gt;0,COUNTIF(J2478,"*31*")&gt;0,COUNTIF(I2478,"32*")&gt;0,COUNTIF(J2478,"*32*")&gt;0,COUNTIF(I2478,"33*")&gt;0,COUNTIF(J2478,"*33*")&gt;0,COUNTIF(I2478,"41*")&gt;0,COUNTIF(J2478,"*41*")&gt;0,COUNTIF(I2478,"42*")&gt;0,COUNTIF(J2478,"*42*")&gt;0,COUNTIF(I2478,"43*")&gt;0,COUNTIF(J2478,"*43*")&gt;0,COUNTIF(I2478,"49*")&gt;0,COUNTIF(J2478,"*49*")&gt;0,COUNTIF(I2478,"52*")&gt;0,COUNTIF(J2478,"*52*")&gt;0,COUNTIF(I2478,"55*")&gt;0,COUNTIF(J2478,"*55*")&gt;0,COUNTIF(I2478,"56*")&gt;0,COUNTIF(J2478,"*56*")&gt;0,COUNTIF(I2478,"68*")&gt;0,COUNTIF(J2478,"*68*")&gt;0,COUNTIF(I2478,"78*")&gt;0,COUNTIF(J2478,"*78*")&gt;0,COUNTIF(I2478,"81*")&gt;0,COUNTIF(J2478,"*81*")&gt;0,COUNTIF(I2478,"82*")&gt;0,COUNTIF(J2478,"*82*")&gt;0,COUNTIF(I2478,"64*")&gt;0,COUNTIF(J2478,"*64*")&gt;0,COUNTIF(I2478,"65*")&gt;0,COUNTIF(J2478,"*65*")&gt;0,COUNTIF(I2478,"66*")&gt;0,COUNTIF(J2478,"*66*")&gt;0,COUNTIF(I2478,"61*")&gt;0,COUNTIF(J2478,"*61*")&gt;0,COUNTIF(I2478,"62*")&gt;0,COUNTIF(J2478,"*62*")&gt;0,COUNTIF(I2478,"63*")&gt;0,COUNTIF(J2478,"*63*")&gt;0,COUNTIF(I2478,"85*")&gt;0,COUNTIF(J2478,"*85*")&gt;0,COUNTIF(I2478,"86*")&gt;0,COUNTIF(J2478,"*86*")&gt;0),"Да","Нет"))</f>
        <v/>
      </c>
      <c r="M2478" s="13">
        <f>IF(OR(G2478="",L2478&lt;&gt;"Да"),"",IF(G2478&lt;=100,"До 100",IF(G2478&lt;=200,"До 200",IF(G2478&lt;=500,"До 500","Отдельное КП"))))</f>
        <v/>
      </c>
      <c r="N2478" s="15">
        <f>IF(OR(G2478="",L2478&lt;&gt;"Да"),"",IF(G2478&lt;=100,33600,IF(G2478&lt;=200,62400,IF(G2478&lt;=500,144000,""))))</f>
        <v/>
      </c>
      <c r="O2478" s="16">
        <f>IF(G2478="","",IF(G2478&lt;=15,"1–15",IF(G2478&lt;=30,"16–30",IF(G2478&lt;=50,"31–50",IF(G2478&lt;=100,"51–100",IF(G2478&lt;=150,"101–150",IF(G2478&lt;=200,"151–200",IF(G2478&lt;=500,"201–500","500+"))))))))</f>
        <v/>
      </c>
      <c r="P2478" s="16" t="inlineStr">
        <is>
          <t>Нет совпадения в предоставленной выгрузке ССЧР</t>
        </is>
      </c>
      <c r="Q2478" s="16" t="n"/>
      <c r="R2478" s="16">
        <f>HYPERLINK("https://checko.ru/search?query=3801001629","Чекко: проверить")</f>
        <v/>
      </c>
      <c r="S2478" t="n">
        <v>0</v>
      </c>
    </row>
    <row r="2479" ht="15" customHeight="1" s="24">
      <c r="A2479" s="13" t="n">
        <v>5000095057</v>
      </c>
      <c r="B2479" s="13" t="inlineStr">
        <is>
          <t>ГБУЗ "Онкологический диспансер" Минздрава КБР</t>
        </is>
      </c>
      <c r="C2479" s="13" t="n">
        <v>711047158</v>
      </c>
      <c r="D2479" s="13" t="n"/>
      <c r="E2479" s="13" t="inlineStr">
        <is>
          <t>Не определён</t>
        </is>
      </c>
      <c r="F2479" s="13" t="inlineStr">
        <is>
          <t>711047158</t>
        </is>
      </c>
      <c r="G2479" s="14" t="n"/>
      <c r="H2479" s="14" t="n"/>
      <c r="I2479" s="14" t="n"/>
      <c r="J2479" s="14" t="n"/>
      <c r="K2479" s="13">
        <f>IF(G2479="","",IF(G2479&gt;=22,"Да","Нет"))</f>
        <v/>
      </c>
      <c r="L2479" s="13">
        <f>IF(OR(I2479="",J2479=""),"Не определено",IF(OR(COUNTIF(I2479,"45*")&gt;0,COUNTIF(J2479,"*45*")&gt;0,COUNTIF(I2479,"46*")&gt;0,COUNTIF(J2479,"*46*")&gt;0,COUNTIF(I2479,"47*")&gt;0,COUNTIF(J2479,"*47*")&gt;0,COUNTIF(I2479,"10*")&gt;0,COUNTIF(J2479,"*10*")&gt;0,COUNTIF(I2479,"11*")&gt;0,COUNTIF(J2479,"*11*")&gt;0,COUNTIF(I2479,"12*")&gt;0,COUNTIF(J2479,"*12*")&gt;0,COUNTIF(I2479,"13*")&gt;0,COUNTIF(J2479,"*13*")&gt;0,COUNTIF(I2479,"14*")&gt;0,COUNTIF(J2479,"*14*")&gt;0,COUNTIF(I2479,"15*")&gt;0,COUNTIF(J2479,"*15*")&gt;0,COUNTIF(I2479,"16*")&gt;0,COUNTIF(J2479,"*16*")&gt;0,COUNTIF(I2479,"17*")&gt;0,COUNTIF(J2479,"*17*")&gt;0,COUNTIF(I2479,"18*")&gt;0,COUNTIF(J2479,"*18*")&gt;0,COUNTIF(I2479,"19*")&gt;0,COUNTIF(J2479,"*19*")&gt;0,COUNTIF(I2479,"20*")&gt;0,COUNTIF(J2479,"*20*")&gt;0,COUNTIF(I2479,"21*")&gt;0,COUNTIF(J2479,"*21*")&gt;0,COUNTIF(I2479,"22*")&gt;0,COUNTIF(J2479,"*22*")&gt;0,COUNTIF(I2479,"23*")&gt;0,COUNTIF(J2479,"*23*")&gt;0,COUNTIF(I2479,"24*")&gt;0,COUNTIF(J2479,"*24*")&gt;0,COUNTIF(I2479,"25*")&gt;0,COUNTIF(J2479,"*25*")&gt;0,COUNTIF(I2479,"26*")&gt;0,COUNTIF(J2479,"*26*")&gt;0,COUNTIF(I2479,"27*")&gt;0,COUNTIF(J2479,"*27*")&gt;0,COUNTIF(I2479,"28*")&gt;0,COUNTIF(J2479,"*28*")&gt;0,COUNTIF(I2479,"29*")&gt;0,COUNTIF(J2479,"*29*")&gt;0,COUNTIF(I2479,"30*")&gt;0,COUNTIF(J2479,"*30*")&gt;0,COUNTIF(I2479,"31*")&gt;0,COUNTIF(J2479,"*31*")&gt;0,COUNTIF(I2479,"32*")&gt;0,COUNTIF(J2479,"*32*")&gt;0,COUNTIF(I2479,"33*")&gt;0,COUNTIF(J2479,"*33*")&gt;0,COUNTIF(I2479,"41*")&gt;0,COUNTIF(J2479,"*41*")&gt;0,COUNTIF(I2479,"42*")&gt;0,COUNTIF(J2479,"*42*")&gt;0,COUNTIF(I2479,"43*")&gt;0,COUNTIF(J2479,"*43*")&gt;0,COUNTIF(I2479,"49*")&gt;0,COUNTIF(J2479,"*49*")&gt;0,COUNTIF(I2479,"52*")&gt;0,COUNTIF(J2479,"*52*")&gt;0,COUNTIF(I2479,"55*")&gt;0,COUNTIF(J2479,"*55*")&gt;0,COUNTIF(I2479,"56*")&gt;0,COUNTIF(J2479,"*56*")&gt;0,COUNTIF(I2479,"68*")&gt;0,COUNTIF(J2479,"*68*")&gt;0,COUNTIF(I2479,"78*")&gt;0,COUNTIF(J2479,"*78*")&gt;0,COUNTIF(I2479,"81*")&gt;0,COUNTIF(J2479,"*81*")&gt;0,COUNTIF(I2479,"82*")&gt;0,COUNTIF(J2479,"*82*")&gt;0,COUNTIF(I2479,"64*")&gt;0,COUNTIF(J2479,"*64*")&gt;0,COUNTIF(I2479,"65*")&gt;0,COUNTIF(J2479,"*65*")&gt;0,COUNTIF(I2479,"66*")&gt;0,COUNTIF(J2479,"*66*")&gt;0,COUNTIF(I2479,"61*")&gt;0,COUNTIF(J2479,"*61*")&gt;0,COUNTIF(I2479,"62*")&gt;0,COUNTIF(J2479,"*62*")&gt;0,COUNTIF(I2479,"63*")&gt;0,COUNTIF(J2479,"*63*")&gt;0,COUNTIF(I2479,"85*")&gt;0,COUNTIF(J2479,"*85*")&gt;0,COUNTIF(I2479,"86*")&gt;0,COUNTIF(J2479,"*86*")&gt;0),"Да","Нет"))</f>
        <v/>
      </c>
      <c r="M2479" s="13">
        <f>IF(OR(G2479="",L2479&lt;&gt;"Да"),"",IF(G2479&lt;=100,"До 100",IF(G2479&lt;=200,"До 200",IF(G2479&lt;=500,"До 500","Отдельное КП"))))</f>
        <v/>
      </c>
      <c r="N2479" s="15">
        <f>IF(OR(G2479="",L2479&lt;&gt;"Да"),"",IF(G2479&lt;=100,33600,IF(G2479&lt;=200,62400,IF(G2479&lt;=500,144000,""))))</f>
        <v/>
      </c>
      <c r="O2479" s="16">
        <f>IF(G2479="","",IF(G2479&lt;=15,"1–15",IF(G2479&lt;=30,"16–30",IF(G2479&lt;=50,"31–50",IF(G2479&lt;=100,"51–100",IF(G2479&lt;=150,"101–150",IF(G2479&lt;=200,"151–200",IF(G2479&lt;=500,"201–500","500+"))))))))</f>
        <v/>
      </c>
      <c r="P2479" s="16" t="inlineStr">
        <is>
          <t>Нет совпадения в предоставленной выгрузке ССЧР</t>
        </is>
      </c>
      <c r="Q2479" s="16" t="n"/>
      <c r="R2479" s="16">
        <f>HYPERLINK("https://checko.ru/search?query=3801001629","Чекко: проверить")</f>
        <v/>
      </c>
      <c r="S2479" t="n">
        <v>0</v>
      </c>
    </row>
    <row r="2480" ht="27.75" customHeight="1" s="24">
      <c r="A2480" s="13" t="n">
        <v>5000095058</v>
      </c>
      <c r="B2480" s="13" t="inlineStr">
        <is>
          <t>Избирательная комиссия Кабардино-Балкарской Республики</t>
        </is>
      </c>
      <c r="C2480" s="13" t="n">
        <v>711049684</v>
      </c>
      <c r="D2480" s="13" t="n"/>
      <c r="E2480" s="13" t="inlineStr">
        <is>
          <t>Не определён</t>
        </is>
      </c>
      <c r="F2480" s="13" t="inlineStr">
        <is>
          <t>711049684</t>
        </is>
      </c>
      <c r="G2480" s="14" t="n"/>
      <c r="H2480" s="14" t="n"/>
      <c r="I2480" s="14" t="n"/>
      <c r="J2480" s="14" t="n"/>
      <c r="K2480" s="13">
        <f>IF(G2480="","",IF(G2480&gt;=22,"Да","Нет"))</f>
        <v/>
      </c>
      <c r="L2480" s="13">
        <f>IF(OR(I2480="",J2480=""),"Не определено",IF(OR(COUNTIF(I2480,"45*")&gt;0,COUNTIF(J2480,"*45*")&gt;0,COUNTIF(I2480,"46*")&gt;0,COUNTIF(J2480,"*46*")&gt;0,COUNTIF(I2480,"47*")&gt;0,COUNTIF(J2480,"*47*")&gt;0,COUNTIF(I2480,"10*")&gt;0,COUNTIF(J2480,"*10*")&gt;0,COUNTIF(I2480,"11*")&gt;0,COUNTIF(J2480,"*11*")&gt;0,COUNTIF(I2480,"12*")&gt;0,COUNTIF(J2480,"*12*")&gt;0,COUNTIF(I2480,"13*")&gt;0,COUNTIF(J2480,"*13*")&gt;0,COUNTIF(I2480,"14*")&gt;0,COUNTIF(J2480,"*14*")&gt;0,COUNTIF(I2480,"15*")&gt;0,COUNTIF(J2480,"*15*")&gt;0,COUNTIF(I2480,"16*")&gt;0,COUNTIF(J2480,"*16*")&gt;0,COUNTIF(I2480,"17*")&gt;0,COUNTIF(J2480,"*17*")&gt;0,COUNTIF(I2480,"18*")&gt;0,COUNTIF(J2480,"*18*")&gt;0,COUNTIF(I2480,"19*")&gt;0,COUNTIF(J2480,"*19*")&gt;0,COUNTIF(I2480,"20*")&gt;0,COUNTIF(J2480,"*20*")&gt;0,COUNTIF(I2480,"21*")&gt;0,COUNTIF(J2480,"*21*")&gt;0,COUNTIF(I2480,"22*")&gt;0,COUNTIF(J2480,"*22*")&gt;0,COUNTIF(I2480,"23*")&gt;0,COUNTIF(J2480,"*23*")&gt;0,COUNTIF(I2480,"24*")&gt;0,COUNTIF(J2480,"*24*")&gt;0,COUNTIF(I2480,"25*")&gt;0,COUNTIF(J2480,"*25*")&gt;0,COUNTIF(I2480,"26*")&gt;0,COUNTIF(J2480,"*26*")&gt;0,COUNTIF(I2480,"27*")&gt;0,COUNTIF(J2480,"*27*")&gt;0,COUNTIF(I2480,"28*")&gt;0,COUNTIF(J2480,"*28*")&gt;0,COUNTIF(I2480,"29*")&gt;0,COUNTIF(J2480,"*29*")&gt;0,COUNTIF(I2480,"30*")&gt;0,COUNTIF(J2480,"*30*")&gt;0,COUNTIF(I2480,"31*")&gt;0,COUNTIF(J2480,"*31*")&gt;0,COUNTIF(I2480,"32*")&gt;0,COUNTIF(J2480,"*32*")&gt;0,COUNTIF(I2480,"33*")&gt;0,COUNTIF(J2480,"*33*")&gt;0,COUNTIF(I2480,"41*")&gt;0,COUNTIF(J2480,"*41*")&gt;0,COUNTIF(I2480,"42*")&gt;0,COUNTIF(J2480,"*42*")&gt;0,COUNTIF(I2480,"43*")&gt;0,COUNTIF(J2480,"*43*")&gt;0,COUNTIF(I2480,"49*")&gt;0,COUNTIF(J2480,"*49*")&gt;0,COUNTIF(I2480,"52*")&gt;0,COUNTIF(J2480,"*52*")&gt;0,COUNTIF(I2480,"55*")&gt;0,COUNTIF(J2480,"*55*")&gt;0,COUNTIF(I2480,"56*")&gt;0,COUNTIF(J2480,"*56*")&gt;0,COUNTIF(I2480,"68*")&gt;0,COUNTIF(J2480,"*68*")&gt;0,COUNTIF(I2480,"78*")&gt;0,COUNTIF(J2480,"*78*")&gt;0,COUNTIF(I2480,"81*")&gt;0,COUNTIF(J2480,"*81*")&gt;0,COUNTIF(I2480,"82*")&gt;0,COUNTIF(J2480,"*82*")&gt;0,COUNTIF(I2480,"64*")&gt;0,COUNTIF(J2480,"*64*")&gt;0,COUNTIF(I2480,"65*")&gt;0,COUNTIF(J2480,"*65*")&gt;0,COUNTIF(I2480,"66*")&gt;0,COUNTIF(J2480,"*66*")&gt;0,COUNTIF(I2480,"61*")&gt;0,COUNTIF(J2480,"*61*")&gt;0,COUNTIF(I2480,"62*")&gt;0,COUNTIF(J2480,"*62*")&gt;0,COUNTIF(I2480,"63*")&gt;0,COUNTIF(J2480,"*63*")&gt;0,COUNTIF(I2480,"85*")&gt;0,COUNTIF(J2480,"*85*")&gt;0,COUNTIF(I2480,"86*")&gt;0,COUNTIF(J2480,"*86*")&gt;0),"Да","Нет"))</f>
        <v/>
      </c>
      <c r="M2480" s="13">
        <f>IF(OR(G2480="",L2480&lt;&gt;"Да"),"",IF(G2480&lt;=100,"До 100",IF(G2480&lt;=200,"До 200",IF(G2480&lt;=500,"До 500","Отдельное КП"))))</f>
        <v/>
      </c>
      <c r="N2480" s="15">
        <f>IF(OR(G2480="",L2480&lt;&gt;"Да"),"",IF(G2480&lt;=100,33600,IF(G2480&lt;=200,62400,IF(G2480&lt;=500,144000,""))))</f>
        <v/>
      </c>
      <c r="O2480" s="16">
        <f>IF(G2480="","",IF(G2480&lt;=15,"1–15",IF(G2480&lt;=30,"16–30",IF(G2480&lt;=50,"31–50",IF(G2480&lt;=100,"51–100",IF(G2480&lt;=150,"101–150",IF(G2480&lt;=200,"151–200",IF(G2480&lt;=500,"201–500","500+"))))))))</f>
        <v/>
      </c>
      <c r="P2480" s="16" t="inlineStr">
        <is>
          <t>Нет совпадения в предоставленной выгрузке ССЧР</t>
        </is>
      </c>
      <c r="Q2480" s="16" t="n"/>
      <c r="R2480" s="16">
        <f>HYPERLINK("https://checko.ru/search?query=3801001629","Чекко: проверить")</f>
        <v/>
      </c>
      <c r="S2480" t="n">
        <v>0</v>
      </c>
    </row>
    <row r="2481" ht="15" customHeight="1" s="24">
      <c r="A2481" s="13" t="n">
        <v>5000094913</v>
      </c>
      <c r="B2481" s="13" t="inlineStr">
        <is>
          <t>МКУ "КФКиС"</t>
        </is>
      </c>
      <c r="C2481" s="13" t="n">
        <v>710003084</v>
      </c>
      <c r="D2481" s="13" t="n"/>
      <c r="E2481" s="13" t="inlineStr">
        <is>
          <t>Не определён</t>
        </is>
      </c>
      <c r="F2481" s="13" t="inlineStr">
        <is>
          <t>710003084</t>
        </is>
      </c>
      <c r="G2481" s="14" t="n"/>
      <c r="H2481" s="14" t="n"/>
      <c r="I2481" s="14" t="n"/>
      <c r="J2481" s="14" t="n"/>
      <c r="K2481" s="13">
        <f>IF(G2481="","",IF(G2481&gt;=22,"Да","Нет"))</f>
        <v/>
      </c>
      <c r="L2481" s="13">
        <f>IF(OR(I2481="",J2481=""),"Не определено",IF(OR(COUNTIF(I2481,"45*")&gt;0,COUNTIF(J2481,"*45*")&gt;0,COUNTIF(I2481,"46*")&gt;0,COUNTIF(J2481,"*46*")&gt;0,COUNTIF(I2481,"47*")&gt;0,COUNTIF(J2481,"*47*")&gt;0,COUNTIF(I2481,"10*")&gt;0,COUNTIF(J2481,"*10*")&gt;0,COUNTIF(I2481,"11*")&gt;0,COUNTIF(J2481,"*11*")&gt;0,COUNTIF(I2481,"12*")&gt;0,COUNTIF(J2481,"*12*")&gt;0,COUNTIF(I2481,"13*")&gt;0,COUNTIF(J2481,"*13*")&gt;0,COUNTIF(I2481,"14*")&gt;0,COUNTIF(J2481,"*14*")&gt;0,COUNTIF(I2481,"15*")&gt;0,COUNTIF(J2481,"*15*")&gt;0,COUNTIF(I2481,"16*")&gt;0,COUNTIF(J2481,"*16*")&gt;0,COUNTIF(I2481,"17*")&gt;0,COUNTIF(J2481,"*17*")&gt;0,COUNTIF(I2481,"18*")&gt;0,COUNTIF(J2481,"*18*")&gt;0,COUNTIF(I2481,"19*")&gt;0,COUNTIF(J2481,"*19*")&gt;0,COUNTIF(I2481,"20*")&gt;0,COUNTIF(J2481,"*20*")&gt;0,COUNTIF(I2481,"21*")&gt;0,COUNTIF(J2481,"*21*")&gt;0,COUNTIF(I2481,"22*")&gt;0,COUNTIF(J2481,"*22*")&gt;0,COUNTIF(I2481,"23*")&gt;0,COUNTIF(J2481,"*23*")&gt;0,COUNTIF(I2481,"24*")&gt;0,COUNTIF(J2481,"*24*")&gt;0,COUNTIF(I2481,"25*")&gt;0,COUNTIF(J2481,"*25*")&gt;0,COUNTIF(I2481,"26*")&gt;0,COUNTIF(J2481,"*26*")&gt;0,COUNTIF(I2481,"27*")&gt;0,COUNTIF(J2481,"*27*")&gt;0,COUNTIF(I2481,"28*")&gt;0,COUNTIF(J2481,"*28*")&gt;0,COUNTIF(I2481,"29*")&gt;0,COUNTIF(J2481,"*29*")&gt;0,COUNTIF(I2481,"30*")&gt;0,COUNTIF(J2481,"*30*")&gt;0,COUNTIF(I2481,"31*")&gt;0,COUNTIF(J2481,"*31*")&gt;0,COUNTIF(I2481,"32*")&gt;0,COUNTIF(J2481,"*32*")&gt;0,COUNTIF(I2481,"33*")&gt;0,COUNTIF(J2481,"*33*")&gt;0,COUNTIF(I2481,"41*")&gt;0,COUNTIF(J2481,"*41*")&gt;0,COUNTIF(I2481,"42*")&gt;0,COUNTIF(J2481,"*42*")&gt;0,COUNTIF(I2481,"43*")&gt;0,COUNTIF(J2481,"*43*")&gt;0,COUNTIF(I2481,"49*")&gt;0,COUNTIF(J2481,"*49*")&gt;0,COUNTIF(I2481,"52*")&gt;0,COUNTIF(J2481,"*52*")&gt;0,COUNTIF(I2481,"55*")&gt;0,COUNTIF(J2481,"*55*")&gt;0,COUNTIF(I2481,"56*")&gt;0,COUNTIF(J2481,"*56*")&gt;0,COUNTIF(I2481,"68*")&gt;0,COUNTIF(J2481,"*68*")&gt;0,COUNTIF(I2481,"78*")&gt;0,COUNTIF(J2481,"*78*")&gt;0,COUNTIF(I2481,"81*")&gt;0,COUNTIF(J2481,"*81*")&gt;0,COUNTIF(I2481,"82*")&gt;0,COUNTIF(J2481,"*82*")&gt;0,COUNTIF(I2481,"64*")&gt;0,COUNTIF(J2481,"*64*")&gt;0,COUNTIF(I2481,"65*")&gt;0,COUNTIF(J2481,"*65*")&gt;0,COUNTIF(I2481,"66*")&gt;0,COUNTIF(J2481,"*66*")&gt;0,COUNTIF(I2481,"61*")&gt;0,COUNTIF(J2481,"*61*")&gt;0,COUNTIF(I2481,"62*")&gt;0,COUNTIF(J2481,"*62*")&gt;0,COUNTIF(I2481,"63*")&gt;0,COUNTIF(J2481,"*63*")&gt;0,COUNTIF(I2481,"85*")&gt;0,COUNTIF(J2481,"*85*")&gt;0,COUNTIF(I2481,"86*")&gt;0,COUNTIF(J2481,"*86*")&gt;0),"Да","Нет"))</f>
        <v/>
      </c>
      <c r="M2481" s="13">
        <f>IF(OR(G2481="",L2481&lt;&gt;"Да"),"",IF(G2481&lt;=100,"До 100",IF(G2481&lt;=200,"До 200",IF(G2481&lt;=500,"До 500","Отдельное КП"))))</f>
        <v/>
      </c>
      <c r="N2481" s="15">
        <f>IF(OR(G2481="",L2481&lt;&gt;"Да"),"",IF(G2481&lt;=100,33600,IF(G2481&lt;=200,62400,IF(G2481&lt;=500,144000,""))))</f>
        <v/>
      </c>
      <c r="O2481" s="16">
        <f>IF(G2481="","",IF(G2481&lt;=15,"1–15",IF(G2481&lt;=30,"16–30",IF(G2481&lt;=50,"31–50",IF(G2481&lt;=100,"51–100",IF(G2481&lt;=150,"101–150",IF(G2481&lt;=200,"151–200",IF(G2481&lt;=500,"201–500","500+"))))))))</f>
        <v/>
      </c>
      <c r="P2481" s="16" t="inlineStr">
        <is>
          <t>Нет совпадения в предоставленной выгрузке ССЧР</t>
        </is>
      </c>
      <c r="Q2481" s="16" t="n"/>
      <c r="R2481" s="16">
        <f>HYPERLINK("https://checko.ru/search?query=3801001629","Чекко: проверить")</f>
        <v/>
      </c>
      <c r="S2481" t="n">
        <v>0</v>
      </c>
    </row>
    <row r="2482" ht="15" customHeight="1" s="24">
      <c r="A2482" s="13" t="n">
        <v>5000094914</v>
      </c>
      <c r="B2482" s="13" t="inlineStr">
        <is>
          <t>МКУ "Управление по ИО ЗП и СХ"</t>
        </is>
      </c>
      <c r="C2482" s="13" t="n">
        <v>710003140</v>
      </c>
      <c r="D2482" s="13" t="n"/>
      <c r="E2482" s="13" t="inlineStr">
        <is>
          <t>Не определён</t>
        </is>
      </c>
      <c r="F2482" s="13" t="inlineStr">
        <is>
          <t>710003140</t>
        </is>
      </c>
      <c r="G2482" s="14" t="n"/>
      <c r="H2482" s="14" t="n"/>
      <c r="I2482" s="14" t="n"/>
      <c r="J2482" s="14" t="n"/>
      <c r="K2482" s="13">
        <f>IF(G2482="","",IF(G2482&gt;=22,"Да","Нет"))</f>
        <v/>
      </c>
      <c r="L2482" s="13">
        <f>IF(OR(I2482="",J2482=""),"Не определено",IF(OR(COUNTIF(I2482,"45*")&gt;0,COUNTIF(J2482,"*45*")&gt;0,COUNTIF(I2482,"46*")&gt;0,COUNTIF(J2482,"*46*")&gt;0,COUNTIF(I2482,"47*")&gt;0,COUNTIF(J2482,"*47*")&gt;0,COUNTIF(I2482,"10*")&gt;0,COUNTIF(J2482,"*10*")&gt;0,COUNTIF(I2482,"11*")&gt;0,COUNTIF(J2482,"*11*")&gt;0,COUNTIF(I2482,"12*")&gt;0,COUNTIF(J2482,"*12*")&gt;0,COUNTIF(I2482,"13*")&gt;0,COUNTIF(J2482,"*13*")&gt;0,COUNTIF(I2482,"14*")&gt;0,COUNTIF(J2482,"*14*")&gt;0,COUNTIF(I2482,"15*")&gt;0,COUNTIF(J2482,"*15*")&gt;0,COUNTIF(I2482,"16*")&gt;0,COUNTIF(J2482,"*16*")&gt;0,COUNTIF(I2482,"17*")&gt;0,COUNTIF(J2482,"*17*")&gt;0,COUNTIF(I2482,"18*")&gt;0,COUNTIF(J2482,"*18*")&gt;0,COUNTIF(I2482,"19*")&gt;0,COUNTIF(J2482,"*19*")&gt;0,COUNTIF(I2482,"20*")&gt;0,COUNTIF(J2482,"*20*")&gt;0,COUNTIF(I2482,"21*")&gt;0,COUNTIF(J2482,"*21*")&gt;0,COUNTIF(I2482,"22*")&gt;0,COUNTIF(J2482,"*22*")&gt;0,COUNTIF(I2482,"23*")&gt;0,COUNTIF(J2482,"*23*")&gt;0,COUNTIF(I2482,"24*")&gt;0,COUNTIF(J2482,"*24*")&gt;0,COUNTIF(I2482,"25*")&gt;0,COUNTIF(J2482,"*25*")&gt;0,COUNTIF(I2482,"26*")&gt;0,COUNTIF(J2482,"*26*")&gt;0,COUNTIF(I2482,"27*")&gt;0,COUNTIF(J2482,"*27*")&gt;0,COUNTIF(I2482,"28*")&gt;0,COUNTIF(J2482,"*28*")&gt;0,COUNTIF(I2482,"29*")&gt;0,COUNTIF(J2482,"*29*")&gt;0,COUNTIF(I2482,"30*")&gt;0,COUNTIF(J2482,"*30*")&gt;0,COUNTIF(I2482,"31*")&gt;0,COUNTIF(J2482,"*31*")&gt;0,COUNTIF(I2482,"32*")&gt;0,COUNTIF(J2482,"*32*")&gt;0,COUNTIF(I2482,"33*")&gt;0,COUNTIF(J2482,"*33*")&gt;0,COUNTIF(I2482,"41*")&gt;0,COUNTIF(J2482,"*41*")&gt;0,COUNTIF(I2482,"42*")&gt;0,COUNTIF(J2482,"*42*")&gt;0,COUNTIF(I2482,"43*")&gt;0,COUNTIF(J2482,"*43*")&gt;0,COUNTIF(I2482,"49*")&gt;0,COUNTIF(J2482,"*49*")&gt;0,COUNTIF(I2482,"52*")&gt;0,COUNTIF(J2482,"*52*")&gt;0,COUNTIF(I2482,"55*")&gt;0,COUNTIF(J2482,"*55*")&gt;0,COUNTIF(I2482,"56*")&gt;0,COUNTIF(J2482,"*56*")&gt;0,COUNTIF(I2482,"68*")&gt;0,COUNTIF(J2482,"*68*")&gt;0,COUNTIF(I2482,"78*")&gt;0,COUNTIF(J2482,"*78*")&gt;0,COUNTIF(I2482,"81*")&gt;0,COUNTIF(J2482,"*81*")&gt;0,COUNTIF(I2482,"82*")&gt;0,COUNTIF(J2482,"*82*")&gt;0,COUNTIF(I2482,"64*")&gt;0,COUNTIF(J2482,"*64*")&gt;0,COUNTIF(I2482,"65*")&gt;0,COUNTIF(J2482,"*65*")&gt;0,COUNTIF(I2482,"66*")&gt;0,COUNTIF(J2482,"*66*")&gt;0,COUNTIF(I2482,"61*")&gt;0,COUNTIF(J2482,"*61*")&gt;0,COUNTIF(I2482,"62*")&gt;0,COUNTIF(J2482,"*62*")&gt;0,COUNTIF(I2482,"63*")&gt;0,COUNTIF(J2482,"*63*")&gt;0,COUNTIF(I2482,"85*")&gt;0,COUNTIF(J2482,"*85*")&gt;0,COUNTIF(I2482,"86*")&gt;0,COUNTIF(J2482,"*86*")&gt;0),"Да","Нет"))</f>
        <v/>
      </c>
      <c r="M2482" s="13">
        <f>IF(OR(G2482="",L2482&lt;&gt;"Да"),"",IF(G2482&lt;=100,"До 100",IF(G2482&lt;=200,"До 200",IF(G2482&lt;=500,"До 500","Отдельное КП"))))</f>
        <v/>
      </c>
      <c r="N2482" s="15">
        <f>IF(OR(G2482="",L2482&lt;&gt;"Да"),"",IF(G2482&lt;=100,33600,IF(G2482&lt;=200,62400,IF(G2482&lt;=500,144000,""))))</f>
        <v/>
      </c>
      <c r="O2482" s="16">
        <f>IF(G2482="","",IF(G2482&lt;=15,"1–15",IF(G2482&lt;=30,"16–30",IF(G2482&lt;=50,"31–50",IF(G2482&lt;=100,"51–100",IF(G2482&lt;=150,"101–150",IF(G2482&lt;=200,"151–200",IF(G2482&lt;=500,"201–500","500+"))))))))</f>
        <v/>
      </c>
      <c r="P2482" s="16" t="inlineStr">
        <is>
          <t>Нет совпадения в предоставленной выгрузке ССЧР</t>
        </is>
      </c>
      <c r="Q2482" s="16" t="n"/>
      <c r="R2482" s="16">
        <f>HYPERLINK("https://checko.ru/search?query=3801001629","Чекко: проверить")</f>
        <v/>
      </c>
      <c r="S2482" t="n">
        <v>0</v>
      </c>
    </row>
    <row r="2483" ht="27.75" customHeight="1" s="24">
      <c r="A2483" s="13" t="n">
        <v>5000094915</v>
      </c>
      <c r="B2483" s="13" t="inlineStr">
        <is>
          <t>Местная администрация городского поселения Тырныауз</t>
        </is>
      </c>
      <c r="C2483" s="13" t="n">
        <v>710003165</v>
      </c>
      <c r="D2483" s="13" t="n"/>
      <c r="E2483" s="13" t="inlineStr">
        <is>
          <t>Не определён</t>
        </is>
      </c>
      <c r="F2483" s="13" t="inlineStr">
        <is>
          <t>710003165</t>
        </is>
      </c>
      <c r="G2483" s="14" t="n"/>
      <c r="H2483" s="14" t="n"/>
      <c r="I2483" s="14" t="n"/>
      <c r="J2483" s="14" t="n"/>
      <c r="K2483" s="13">
        <f>IF(G2483="","",IF(G2483&gt;=22,"Да","Нет"))</f>
        <v/>
      </c>
      <c r="L2483" s="13">
        <f>IF(OR(I2483="",J2483=""),"Не определено",IF(OR(COUNTIF(I2483,"45*")&gt;0,COUNTIF(J2483,"*45*")&gt;0,COUNTIF(I2483,"46*")&gt;0,COUNTIF(J2483,"*46*")&gt;0,COUNTIF(I2483,"47*")&gt;0,COUNTIF(J2483,"*47*")&gt;0,COUNTIF(I2483,"10*")&gt;0,COUNTIF(J2483,"*10*")&gt;0,COUNTIF(I2483,"11*")&gt;0,COUNTIF(J2483,"*11*")&gt;0,COUNTIF(I2483,"12*")&gt;0,COUNTIF(J2483,"*12*")&gt;0,COUNTIF(I2483,"13*")&gt;0,COUNTIF(J2483,"*13*")&gt;0,COUNTIF(I2483,"14*")&gt;0,COUNTIF(J2483,"*14*")&gt;0,COUNTIF(I2483,"15*")&gt;0,COUNTIF(J2483,"*15*")&gt;0,COUNTIF(I2483,"16*")&gt;0,COUNTIF(J2483,"*16*")&gt;0,COUNTIF(I2483,"17*")&gt;0,COUNTIF(J2483,"*17*")&gt;0,COUNTIF(I2483,"18*")&gt;0,COUNTIF(J2483,"*18*")&gt;0,COUNTIF(I2483,"19*")&gt;0,COUNTIF(J2483,"*19*")&gt;0,COUNTIF(I2483,"20*")&gt;0,COUNTIF(J2483,"*20*")&gt;0,COUNTIF(I2483,"21*")&gt;0,COUNTIF(J2483,"*21*")&gt;0,COUNTIF(I2483,"22*")&gt;0,COUNTIF(J2483,"*22*")&gt;0,COUNTIF(I2483,"23*")&gt;0,COUNTIF(J2483,"*23*")&gt;0,COUNTIF(I2483,"24*")&gt;0,COUNTIF(J2483,"*24*")&gt;0,COUNTIF(I2483,"25*")&gt;0,COUNTIF(J2483,"*25*")&gt;0,COUNTIF(I2483,"26*")&gt;0,COUNTIF(J2483,"*26*")&gt;0,COUNTIF(I2483,"27*")&gt;0,COUNTIF(J2483,"*27*")&gt;0,COUNTIF(I2483,"28*")&gt;0,COUNTIF(J2483,"*28*")&gt;0,COUNTIF(I2483,"29*")&gt;0,COUNTIF(J2483,"*29*")&gt;0,COUNTIF(I2483,"30*")&gt;0,COUNTIF(J2483,"*30*")&gt;0,COUNTIF(I2483,"31*")&gt;0,COUNTIF(J2483,"*31*")&gt;0,COUNTIF(I2483,"32*")&gt;0,COUNTIF(J2483,"*32*")&gt;0,COUNTIF(I2483,"33*")&gt;0,COUNTIF(J2483,"*33*")&gt;0,COUNTIF(I2483,"41*")&gt;0,COUNTIF(J2483,"*41*")&gt;0,COUNTIF(I2483,"42*")&gt;0,COUNTIF(J2483,"*42*")&gt;0,COUNTIF(I2483,"43*")&gt;0,COUNTIF(J2483,"*43*")&gt;0,COUNTIF(I2483,"49*")&gt;0,COUNTIF(J2483,"*49*")&gt;0,COUNTIF(I2483,"52*")&gt;0,COUNTIF(J2483,"*52*")&gt;0,COUNTIF(I2483,"55*")&gt;0,COUNTIF(J2483,"*55*")&gt;0,COUNTIF(I2483,"56*")&gt;0,COUNTIF(J2483,"*56*")&gt;0,COUNTIF(I2483,"68*")&gt;0,COUNTIF(J2483,"*68*")&gt;0,COUNTIF(I2483,"78*")&gt;0,COUNTIF(J2483,"*78*")&gt;0,COUNTIF(I2483,"81*")&gt;0,COUNTIF(J2483,"*81*")&gt;0,COUNTIF(I2483,"82*")&gt;0,COUNTIF(J2483,"*82*")&gt;0,COUNTIF(I2483,"64*")&gt;0,COUNTIF(J2483,"*64*")&gt;0,COUNTIF(I2483,"65*")&gt;0,COUNTIF(J2483,"*65*")&gt;0,COUNTIF(I2483,"66*")&gt;0,COUNTIF(J2483,"*66*")&gt;0,COUNTIF(I2483,"61*")&gt;0,COUNTIF(J2483,"*61*")&gt;0,COUNTIF(I2483,"62*")&gt;0,COUNTIF(J2483,"*62*")&gt;0,COUNTIF(I2483,"63*")&gt;0,COUNTIF(J2483,"*63*")&gt;0,COUNTIF(I2483,"85*")&gt;0,COUNTIF(J2483,"*85*")&gt;0,COUNTIF(I2483,"86*")&gt;0,COUNTIF(J2483,"*86*")&gt;0),"Да","Нет"))</f>
        <v/>
      </c>
      <c r="M2483" s="13">
        <f>IF(OR(G2483="",L2483&lt;&gt;"Да"),"",IF(G2483&lt;=100,"До 100",IF(G2483&lt;=200,"До 200",IF(G2483&lt;=500,"До 500","Отдельное КП"))))</f>
        <v/>
      </c>
      <c r="N2483" s="15">
        <f>IF(OR(G2483="",L2483&lt;&gt;"Да"),"",IF(G2483&lt;=100,33600,IF(G2483&lt;=200,62400,IF(G2483&lt;=500,144000,""))))</f>
        <v/>
      </c>
      <c r="O2483" s="16">
        <f>IF(G2483="","",IF(G2483&lt;=15,"1–15",IF(G2483&lt;=30,"16–30",IF(G2483&lt;=50,"31–50",IF(G2483&lt;=100,"51–100",IF(G2483&lt;=150,"101–150",IF(G2483&lt;=200,"151–200",IF(G2483&lt;=500,"201–500","500+"))))))))</f>
        <v/>
      </c>
      <c r="P2483" s="16" t="inlineStr">
        <is>
          <t>Нет совпадения в предоставленной выгрузке ССЧР</t>
        </is>
      </c>
      <c r="Q2483" s="16" t="n"/>
      <c r="R2483" s="16">
        <f>HYPERLINK("https://checko.ru/search?query=3801001629","Чекко: проверить")</f>
        <v/>
      </c>
      <c r="S2483" t="n">
        <v>0</v>
      </c>
    </row>
    <row r="2484" ht="15" customHeight="1" s="24">
      <c r="A2484" s="13" t="n">
        <v>5000095071</v>
      </c>
      <c r="B2484" s="13" t="inlineStr">
        <is>
          <t>ГККПОУ "РДБ им. Б. Пачева"</t>
        </is>
      </c>
      <c r="C2484" s="13" t="n">
        <v>713000170</v>
      </c>
      <c r="D2484" s="13" t="n"/>
      <c r="E2484" s="13" t="inlineStr">
        <is>
          <t>Не определён</t>
        </is>
      </c>
      <c r="F2484" s="13" t="inlineStr">
        <is>
          <t>713000170</t>
        </is>
      </c>
      <c r="G2484" s="14" t="n"/>
      <c r="H2484" s="14" t="n"/>
      <c r="I2484" s="14" t="n"/>
      <c r="J2484" s="14" t="n"/>
      <c r="K2484" s="13">
        <f>IF(G2484="","",IF(G2484&gt;=22,"Да","Нет"))</f>
        <v/>
      </c>
      <c r="L2484" s="13">
        <f>IF(OR(I2484="",J2484=""),"Не определено",IF(OR(COUNTIF(I2484,"45*")&gt;0,COUNTIF(J2484,"*45*")&gt;0,COUNTIF(I2484,"46*")&gt;0,COUNTIF(J2484,"*46*")&gt;0,COUNTIF(I2484,"47*")&gt;0,COUNTIF(J2484,"*47*")&gt;0,COUNTIF(I2484,"10*")&gt;0,COUNTIF(J2484,"*10*")&gt;0,COUNTIF(I2484,"11*")&gt;0,COUNTIF(J2484,"*11*")&gt;0,COUNTIF(I2484,"12*")&gt;0,COUNTIF(J2484,"*12*")&gt;0,COUNTIF(I2484,"13*")&gt;0,COUNTIF(J2484,"*13*")&gt;0,COUNTIF(I2484,"14*")&gt;0,COUNTIF(J2484,"*14*")&gt;0,COUNTIF(I2484,"15*")&gt;0,COUNTIF(J2484,"*15*")&gt;0,COUNTIF(I2484,"16*")&gt;0,COUNTIF(J2484,"*16*")&gt;0,COUNTIF(I2484,"17*")&gt;0,COUNTIF(J2484,"*17*")&gt;0,COUNTIF(I2484,"18*")&gt;0,COUNTIF(J2484,"*18*")&gt;0,COUNTIF(I2484,"19*")&gt;0,COUNTIF(J2484,"*19*")&gt;0,COUNTIF(I2484,"20*")&gt;0,COUNTIF(J2484,"*20*")&gt;0,COUNTIF(I2484,"21*")&gt;0,COUNTIF(J2484,"*21*")&gt;0,COUNTIF(I2484,"22*")&gt;0,COUNTIF(J2484,"*22*")&gt;0,COUNTIF(I2484,"23*")&gt;0,COUNTIF(J2484,"*23*")&gt;0,COUNTIF(I2484,"24*")&gt;0,COUNTIF(J2484,"*24*")&gt;0,COUNTIF(I2484,"25*")&gt;0,COUNTIF(J2484,"*25*")&gt;0,COUNTIF(I2484,"26*")&gt;0,COUNTIF(J2484,"*26*")&gt;0,COUNTIF(I2484,"27*")&gt;0,COUNTIF(J2484,"*27*")&gt;0,COUNTIF(I2484,"28*")&gt;0,COUNTIF(J2484,"*28*")&gt;0,COUNTIF(I2484,"29*")&gt;0,COUNTIF(J2484,"*29*")&gt;0,COUNTIF(I2484,"30*")&gt;0,COUNTIF(J2484,"*30*")&gt;0,COUNTIF(I2484,"31*")&gt;0,COUNTIF(J2484,"*31*")&gt;0,COUNTIF(I2484,"32*")&gt;0,COUNTIF(J2484,"*32*")&gt;0,COUNTIF(I2484,"33*")&gt;0,COUNTIF(J2484,"*33*")&gt;0,COUNTIF(I2484,"41*")&gt;0,COUNTIF(J2484,"*41*")&gt;0,COUNTIF(I2484,"42*")&gt;0,COUNTIF(J2484,"*42*")&gt;0,COUNTIF(I2484,"43*")&gt;0,COUNTIF(J2484,"*43*")&gt;0,COUNTIF(I2484,"49*")&gt;0,COUNTIF(J2484,"*49*")&gt;0,COUNTIF(I2484,"52*")&gt;0,COUNTIF(J2484,"*52*")&gt;0,COUNTIF(I2484,"55*")&gt;0,COUNTIF(J2484,"*55*")&gt;0,COUNTIF(I2484,"56*")&gt;0,COUNTIF(J2484,"*56*")&gt;0,COUNTIF(I2484,"68*")&gt;0,COUNTIF(J2484,"*68*")&gt;0,COUNTIF(I2484,"78*")&gt;0,COUNTIF(J2484,"*78*")&gt;0,COUNTIF(I2484,"81*")&gt;0,COUNTIF(J2484,"*81*")&gt;0,COUNTIF(I2484,"82*")&gt;0,COUNTIF(J2484,"*82*")&gt;0,COUNTIF(I2484,"64*")&gt;0,COUNTIF(J2484,"*64*")&gt;0,COUNTIF(I2484,"65*")&gt;0,COUNTIF(J2484,"*65*")&gt;0,COUNTIF(I2484,"66*")&gt;0,COUNTIF(J2484,"*66*")&gt;0,COUNTIF(I2484,"61*")&gt;0,COUNTIF(J2484,"*61*")&gt;0,COUNTIF(I2484,"62*")&gt;0,COUNTIF(J2484,"*62*")&gt;0,COUNTIF(I2484,"63*")&gt;0,COUNTIF(J2484,"*63*")&gt;0,COUNTIF(I2484,"85*")&gt;0,COUNTIF(J2484,"*85*")&gt;0,COUNTIF(I2484,"86*")&gt;0,COUNTIF(J2484,"*86*")&gt;0),"Да","Нет"))</f>
        <v/>
      </c>
      <c r="M2484" s="13">
        <f>IF(OR(G2484="",L2484&lt;&gt;"Да"),"",IF(G2484&lt;=100,"До 100",IF(G2484&lt;=200,"До 200",IF(G2484&lt;=500,"До 500","Отдельное КП"))))</f>
        <v/>
      </c>
      <c r="N2484" s="15">
        <f>IF(OR(G2484="",L2484&lt;&gt;"Да"),"",IF(G2484&lt;=100,33600,IF(G2484&lt;=200,62400,IF(G2484&lt;=500,144000,""))))</f>
        <v/>
      </c>
      <c r="O2484" s="16">
        <f>IF(G2484="","",IF(G2484&lt;=15,"1–15",IF(G2484&lt;=30,"16–30",IF(G2484&lt;=50,"31–50",IF(G2484&lt;=100,"51–100",IF(G2484&lt;=150,"101–150",IF(G2484&lt;=200,"151–200",IF(G2484&lt;=500,"201–500","500+"))))))))</f>
        <v/>
      </c>
      <c r="P2484" s="16" t="inlineStr">
        <is>
          <t>Нет совпадения в предоставленной выгрузке ССЧР</t>
        </is>
      </c>
      <c r="Q2484" s="16" t="n"/>
      <c r="R2484" s="16">
        <f>HYPERLINK("https://checko.ru/search?query=3801001629","Чекко: проверить")</f>
        <v/>
      </c>
      <c r="S2484" t="n">
        <v>0</v>
      </c>
    </row>
    <row r="2485" ht="15" customHeight="1" s="24">
      <c r="A2485" s="13" t="n">
        <v>5000095072</v>
      </c>
      <c r="B2485" s="13" t="inlineStr">
        <is>
          <t>МКУ "СШ Ладья"</t>
        </is>
      </c>
      <c r="C2485" s="13" t="n">
        <v>713001310</v>
      </c>
      <c r="D2485" s="13" t="n"/>
      <c r="E2485" s="13" t="inlineStr">
        <is>
          <t>Не определён</t>
        </is>
      </c>
      <c r="F2485" s="13" t="inlineStr">
        <is>
          <t>713001310</t>
        </is>
      </c>
      <c r="G2485" s="14" t="n"/>
      <c r="H2485" s="14" t="n"/>
      <c r="I2485" s="14" t="n"/>
      <c r="J2485" s="14" t="n"/>
      <c r="K2485" s="13">
        <f>IF(G2485="","",IF(G2485&gt;=22,"Да","Нет"))</f>
        <v/>
      </c>
      <c r="L2485" s="13">
        <f>IF(OR(I2485="",J2485=""),"Не определено",IF(OR(COUNTIF(I2485,"45*")&gt;0,COUNTIF(J2485,"*45*")&gt;0,COUNTIF(I2485,"46*")&gt;0,COUNTIF(J2485,"*46*")&gt;0,COUNTIF(I2485,"47*")&gt;0,COUNTIF(J2485,"*47*")&gt;0,COUNTIF(I2485,"10*")&gt;0,COUNTIF(J2485,"*10*")&gt;0,COUNTIF(I2485,"11*")&gt;0,COUNTIF(J2485,"*11*")&gt;0,COUNTIF(I2485,"12*")&gt;0,COUNTIF(J2485,"*12*")&gt;0,COUNTIF(I2485,"13*")&gt;0,COUNTIF(J2485,"*13*")&gt;0,COUNTIF(I2485,"14*")&gt;0,COUNTIF(J2485,"*14*")&gt;0,COUNTIF(I2485,"15*")&gt;0,COUNTIF(J2485,"*15*")&gt;0,COUNTIF(I2485,"16*")&gt;0,COUNTIF(J2485,"*16*")&gt;0,COUNTIF(I2485,"17*")&gt;0,COUNTIF(J2485,"*17*")&gt;0,COUNTIF(I2485,"18*")&gt;0,COUNTIF(J2485,"*18*")&gt;0,COUNTIF(I2485,"19*")&gt;0,COUNTIF(J2485,"*19*")&gt;0,COUNTIF(I2485,"20*")&gt;0,COUNTIF(J2485,"*20*")&gt;0,COUNTIF(I2485,"21*")&gt;0,COUNTIF(J2485,"*21*")&gt;0,COUNTIF(I2485,"22*")&gt;0,COUNTIF(J2485,"*22*")&gt;0,COUNTIF(I2485,"23*")&gt;0,COUNTIF(J2485,"*23*")&gt;0,COUNTIF(I2485,"24*")&gt;0,COUNTIF(J2485,"*24*")&gt;0,COUNTIF(I2485,"25*")&gt;0,COUNTIF(J2485,"*25*")&gt;0,COUNTIF(I2485,"26*")&gt;0,COUNTIF(J2485,"*26*")&gt;0,COUNTIF(I2485,"27*")&gt;0,COUNTIF(J2485,"*27*")&gt;0,COUNTIF(I2485,"28*")&gt;0,COUNTIF(J2485,"*28*")&gt;0,COUNTIF(I2485,"29*")&gt;0,COUNTIF(J2485,"*29*")&gt;0,COUNTIF(I2485,"30*")&gt;0,COUNTIF(J2485,"*30*")&gt;0,COUNTIF(I2485,"31*")&gt;0,COUNTIF(J2485,"*31*")&gt;0,COUNTIF(I2485,"32*")&gt;0,COUNTIF(J2485,"*32*")&gt;0,COUNTIF(I2485,"33*")&gt;0,COUNTIF(J2485,"*33*")&gt;0,COUNTIF(I2485,"41*")&gt;0,COUNTIF(J2485,"*41*")&gt;0,COUNTIF(I2485,"42*")&gt;0,COUNTIF(J2485,"*42*")&gt;0,COUNTIF(I2485,"43*")&gt;0,COUNTIF(J2485,"*43*")&gt;0,COUNTIF(I2485,"49*")&gt;0,COUNTIF(J2485,"*49*")&gt;0,COUNTIF(I2485,"52*")&gt;0,COUNTIF(J2485,"*52*")&gt;0,COUNTIF(I2485,"55*")&gt;0,COUNTIF(J2485,"*55*")&gt;0,COUNTIF(I2485,"56*")&gt;0,COUNTIF(J2485,"*56*")&gt;0,COUNTIF(I2485,"68*")&gt;0,COUNTIF(J2485,"*68*")&gt;0,COUNTIF(I2485,"78*")&gt;0,COUNTIF(J2485,"*78*")&gt;0,COUNTIF(I2485,"81*")&gt;0,COUNTIF(J2485,"*81*")&gt;0,COUNTIF(I2485,"82*")&gt;0,COUNTIF(J2485,"*82*")&gt;0,COUNTIF(I2485,"64*")&gt;0,COUNTIF(J2485,"*64*")&gt;0,COUNTIF(I2485,"65*")&gt;0,COUNTIF(J2485,"*65*")&gt;0,COUNTIF(I2485,"66*")&gt;0,COUNTIF(J2485,"*66*")&gt;0,COUNTIF(I2485,"61*")&gt;0,COUNTIF(J2485,"*61*")&gt;0,COUNTIF(I2485,"62*")&gt;0,COUNTIF(J2485,"*62*")&gt;0,COUNTIF(I2485,"63*")&gt;0,COUNTIF(J2485,"*63*")&gt;0,COUNTIF(I2485,"85*")&gt;0,COUNTIF(J2485,"*85*")&gt;0,COUNTIF(I2485,"86*")&gt;0,COUNTIF(J2485,"*86*")&gt;0),"Да","Нет"))</f>
        <v/>
      </c>
      <c r="M2485" s="13">
        <f>IF(OR(G2485="",L2485&lt;&gt;"Да"),"",IF(G2485&lt;=100,"До 100",IF(G2485&lt;=200,"До 200",IF(G2485&lt;=500,"До 500","Отдельное КП"))))</f>
        <v/>
      </c>
      <c r="N2485" s="15">
        <f>IF(OR(G2485="",L2485&lt;&gt;"Да"),"",IF(G2485&lt;=100,33600,IF(G2485&lt;=200,62400,IF(G2485&lt;=500,144000,""))))</f>
        <v/>
      </c>
      <c r="O2485" s="16">
        <f>IF(G2485="","",IF(G2485&lt;=15,"1–15",IF(G2485&lt;=30,"16–30",IF(G2485&lt;=50,"31–50",IF(G2485&lt;=100,"51–100",IF(G2485&lt;=150,"101–150",IF(G2485&lt;=200,"151–200",IF(G2485&lt;=500,"201–500","500+"))))))))</f>
        <v/>
      </c>
      <c r="P2485" s="16" t="inlineStr">
        <is>
          <t>Нет совпадения в предоставленной выгрузке ССЧР</t>
        </is>
      </c>
      <c r="Q2485" s="16" t="n"/>
      <c r="R2485" s="16">
        <f>HYPERLINK("https://checko.ru/search?query=3801001629","Чекко: проверить")</f>
        <v/>
      </c>
      <c r="S2485" t="n">
        <v>0</v>
      </c>
    </row>
    <row r="2486" ht="15" customHeight="1" s="24">
      <c r="A2486" s="13" t="n">
        <v>5000095074</v>
      </c>
      <c r="B2486" s="13" t="inlineStr">
        <is>
          <t>ГКУ "ЦСП СК КБР"</t>
        </is>
      </c>
      <c r="C2486" s="13" t="n">
        <v>713001550</v>
      </c>
      <c r="D2486" s="13" t="n"/>
      <c r="E2486" s="13" t="inlineStr">
        <is>
          <t>Не определён</t>
        </is>
      </c>
      <c r="F2486" s="13" t="inlineStr">
        <is>
          <t>713001550</t>
        </is>
      </c>
      <c r="G2486" s="14" t="n"/>
      <c r="H2486" s="14" t="n"/>
      <c r="I2486" s="14" t="n"/>
      <c r="J2486" s="14" t="n"/>
      <c r="K2486" s="13">
        <f>IF(G2486="","",IF(G2486&gt;=22,"Да","Нет"))</f>
        <v/>
      </c>
      <c r="L2486" s="13">
        <f>IF(OR(I2486="",J2486=""),"Не определено",IF(OR(COUNTIF(I2486,"45*")&gt;0,COUNTIF(J2486,"*45*")&gt;0,COUNTIF(I2486,"46*")&gt;0,COUNTIF(J2486,"*46*")&gt;0,COUNTIF(I2486,"47*")&gt;0,COUNTIF(J2486,"*47*")&gt;0,COUNTIF(I2486,"10*")&gt;0,COUNTIF(J2486,"*10*")&gt;0,COUNTIF(I2486,"11*")&gt;0,COUNTIF(J2486,"*11*")&gt;0,COUNTIF(I2486,"12*")&gt;0,COUNTIF(J2486,"*12*")&gt;0,COUNTIF(I2486,"13*")&gt;0,COUNTIF(J2486,"*13*")&gt;0,COUNTIF(I2486,"14*")&gt;0,COUNTIF(J2486,"*14*")&gt;0,COUNTIF(I2486,"15*")&gt;0,COUNTIF(J2486,"*15*")&gt;0,COUNTIF(I2486,"16*")&gt;0,COUNTIF(J2486,"*16*")&gt;0,COUNTIF(I2486,"17*")&gt;0,COUNTIF(J2486,"*17*")&gt;0,COUNTIF(I2486,"18*")&gt;0,COUNTIF(J2486,"*18*")&gt;0,COUNTIF(I2486,"19*")&gt;0,COUNTIF(J2486,"*19*")&gt;0,COUNTIF(I2486,"20*")&gt;0,COUNTIF(J2486,"*20*")&gt;0,COUNTIF(I2486,"21*")&gt;0,COUNTIF(J2486,"*21*")&gt;0,COUNTIF(I2486,"22*")&gt;0,COUNTIF(J2486,"*22*")&gt;0,COUNTIF(I2486,"23*")&gt;0,COUNTIF(J2486,"*23*")&gt;0,COUNTIF(I2486,"24*")&gt;0,COUNTIF(J2486,"*24*")&gt;0,COUNTIF(I2486,"25*")&gt;0,COUNTIF(J2486,"*25*")&gt;0,COUNTIF(I2486,"26*")&gt;0,COUNTIF(J2486,"*26*")&gt;0,COUNTIF(I2486,"27*")&gt;0,COUNTIF(J2486,"*27*")&gt;0,COUNTIF(I2486,"28*")&gt;0,COUNTIF(J2486,"*28*")&gt;0,COUNTIF(I2486,"29*")&gt;0,COUNTIF(J2486,"*29*")&gt;0,COUNTIF(I2486,"30*")&gt;0,COUNTIF(J2486,"*30*")&gt;0,COUNTIF(I2486,"31*")&gt;0,COUNTIF(J2486,"*31*")&gt;0,COUNTIF(I2486,"32*")&gt;0,COUNTIF(J2486,"*32*")&gt;0,COUNTIF(I2486,"33*")&gt;0,COUNTIF(J2486,"*33*")&gt;0,COUNTIF(I2486,"41*")&gt;0,COUNTIF(J2486,"*41*")&gt;0,COUNTIF(I2486,"42*")&gt;0,COUNTIF(J2486,"*42*")&gt;0,COUNTIF(I2486,"43*")&gt;0,COUNTIF(J2486,"*43*")&gt;0,COUNTIF(I2486,"49*")&gt;0,COUNTIF(J2486,"*49*")&gt;0,COUNTIF(I2486,"52*")&gt;0,COUNTIF(J2486,"*52*")&gt;0,COUNTIF(I2486,"55*")&gt;0,COUNTIF(J2486,"*55*")&gt;0,COUNTIF(I2486,"56*")&gt;0,COUNTIF(J2486,"*56*")&gt;0,COUNTIF(I2486,"68*")&gt;0,COUNTIF(J2486,"*68*")&gt;0,COUNTIF(I2486,"78*")&gt;0,COUNTIF(J2486,"*78*")&gt;0,COUNTIF(I2486,"81*")&gt;0,COUNTIF(J2486,"*81*")&gt;0,COUNTIF(I2486,"82*")&gt;0,COUNTIF(J2486,"*82*")&gt;0,COUNTIF(I2486,"64*")&gt;0,COUNTIF(J2486,"*64*")&gt;0,COUNTIF(I2486,"65*")&gt;0,COUNTIF(J2486,"*65*")&gt;0,COUNTIF(I2486,"66*")&gt;0,COUNTIF(J2486,"*66*")&gt;0,COUNTIF(I2486,"61*")&gt;0,COUNTIF(J2486,"*61*")&gt;0,COUNTIF(I2486,"62*")&gt;0,COUNTIF(J2486,"*62*")&gt;0,COUNTIF(I2486,"63*")&gt;0,COUNTIF(J2486,"*63*")&gt;0,COUNTIF(I2486,"85*")&gt;0,COUNTIF(J2486,"*85*")&gt;0,COUNTIF(I2486,"86*")&gt;0,COUNTIF(J2486,"*86*")&gt;0),"Да","Нет"))</f>
        <v/>
      </c>
      <c r="M2486" s="13">
        <f>IF(OR(G2486="",L2486&lt;&gt;"Да"),"",IF(G2486&lt;=100,"До 100",IF(G2486&lt;=200,"До 200",IF(G2486&lt;=500,"До 500","Отдельное КП"))))</f>
        <v/>
      </c>
      <c r="N2486" s="15">
        <f>IF(OR(G2486="",L2486&lt;&gt;"Да"),"",IF(G2486&lt;=100,33600,IF(G2486&lt;=200,62400,IF(G2486&lt;=500,144000,""))))</f>
        <v/>
      </c>
      <c r="O2486" s="16">
        <f>IF(G2486="","",IF(G2486&lt;=15,"1–15",IF(G2486&lt;=30,"16–30",IF(G2486&lt;=50,"31–50",IF(G2486&lt;=100,"51–100",IF(G2486&lt;=150,"101–150",IF(G2486&lt;=200,"151–200",IF(G2486&lt;=500,"201–500","500+"))))))))</f>
        <v/>
      </c>
      <c r="P2486" s="16" t="inlineStr">
        <is>
          <t>Нет совпадения в предоставленной выгрузке ССЧР</t>
        </is>
      </c>
      <c r="Q2486" s="16" t="n"/>
      <c r="R2486" s="16">
        <f>HYPERLINK("https://checko.ru/search?query=3801001629","Чекко: проверить")</f>
        <v/>
      </c>
      <c r="S2486" t="n">
        <v>0</v>
      </c>
    </row>
    <row r="2487" ht="15" customHeight="1" s="24">
      <c r="A2487" s="13" t="n">
        <v>5000095075</v>
      </c>
      <c r="B2487" s="13" t="inlineStr">
        <is>
          <t>ГКУ "РЦНХПиР"</t>
        </is>
      </c>
      <c r="C2487" s="13" t="n">
        <v>713002057</v>
      </c>
      <c r="D2487" s="13" t="n"/>
      <c r="E2487" s="13" t="inlineStr">
        <is>
          <t>Не определён</t>
        </is>
      </c>
      <c r="F2487" s="13" t="inlineStr">
        <is>
          <t>713002057</t>
        </is>
      </c>
      <c r="G2487" s="14" t="n"/>
      <c r="H2487" s="14" t="n"/>
      <c r="I2487" s="14" t="n"/>
      <c r="J2487" s="14" t="n"/>
      <c r="K2487" s="13">
        <f>IF(G2487="","",IF(G2487&gt;=22,"Да","Нет"))</f>
        <v/>
      </c>
      <c r="L2487" s="13">
        <f>IF(OR(I2487="",J2487=""),"Не определено",IF(OR(COUNTIF(I2487,"45*")&gt;0,COUNTIF(J2487,"*45*")&gt;0,COUNTIF(I2487,"46*")&gt;0,COUNTIF(J2487,"*46*")&gt;0,COUNTIF(I2487,"47*")&gt;0,COUNTIF(J2487,"*47*")&gt;0,COUNTIF(I2487,"10*")&gt;0,COUNTIF(J2487,"*10*")&gt;0,COUNTIF(I2487,"11*")&gt;0,COUNTIF(J2487,"*11*")&gt;0,COUNTIF(I2487,"12*")&gt;0,COUNTIF(J2487,"*12*")&gt;0,COUNTIF(I2487,"13*")&gt;0,COUNTIF(J2487,"*13*")&gt;0,COUNTIF(I2487,"14*")&gt;0,COUNTIF(J2487,"*14*")&gt;0,COUNTIF(I2487,"15*")&gt;0,COUNTIF(J2487,"*15*")&gt;0,COUNTIF(I2487,"16*")&gt;0,COUNTIF(J2487,"*16*")&gt;0,COUNTIF(I2487,"17*")&gt;0,COUNTIF(J2487,"*17*")&gt;0,COUNTIF(I2487,"18*")&gt;0,COUNTIF(J2487,"*18*")&gt;0,COUNTIF(I2487,"19*")&gt;0,COUNTIF(J2487,"*19*")&gt;0,COUNTIF(I2487,"20*")&gt;0,COUNTIF(J2487,"*20*")&gt;0,COUNTIF(I2487,"21*")&gt;0,COUNTIF(J2487,"*21*")&gt;0,COUNTIF(I2487,"22*")&gt;0,COUNTIF(J2487,"*22*")&gt;0,COUNTIF(I2487,"23*")&gt;0,COUNTIF(J2487,"*23*")&gt;0,COUNTIF(I2487,"24*")&gt;0,COUNTIF(J2487,"*24*")&gt;0,COUNTIF(I2487,"25*")&gt;0,COUNTIF(J2487,"*25*")&gt;0,COUNTIF(I2487,"26*")&gt;0,COUNTIF(J2487,"*26*")&gt;0,COUNTIF(I2487,"27*")&gt;0,COUNTIF(J2487,"*27*")&gt;0,COUNTIF(I2487,"28*")&gt;0,COUNTIF(J2487,"*28*")&gt;0,COUNTIF(I2487,"29*")&gt;0,COUNTIF(J2487,"*29*")&gt;0,COUNTIF(I2487,"30*")&gt;0,COUNTIF(J2487,"*30*")&gt;0,COUNTIF(I2487,"31*")&gt;0,COUNTIF(J2487,"*31*")&gt;0,COUNTIF(I2487,"32*")&gt;0,COUNTIF(J2487,"*32*")&gt;0,COUNTIF(I2487,"33*")&gt;0,COUNTIF(J2487,"*33*")&gt;0,COUNTIF(I2487,"41*")&gt;0,COUNTIF(J2487,"*41*")&gt;0,COUNTIF(I2487,"42*")&gt;0,COUNTIF(J2487,"*42*")&gt;0,COUNTIF(I2487,"43*")&gt;0,COUNTIF(J2487,"*43*")&gt;0,COUNTIF(I2487,"49*")&gt;0,COUNTIF(J2487,"*49*")&gt;0,COUNTIF(I2487,"52*")&gt;0,COUNTIF(J2487,"*52*")&gt;0,COUNTIF(I2487,"55*")&gt;0,COUNTIF(J2487,"*55*")&gt;0,COUNTIF(I2487,"56*")&gt;0,COUNTIF(J2487,"*56*")&gt;0,COUNTIF(I2487,"68*")&gt;0,COUNTIF(J2487,"*68*")&gt;0,COUNTIF(I2487,"78*")&gt;0,COUNTIF(J2487,"*78*")&gt;0,COUNTIF(I2487,"81*")&gt;0,COUNTIF(J2487,"*81*")&gt;0,COUNTIF(I2487,"82*")&gt;0,COUNTIF(J2487,"*82*")&gt;0,COUNTIF(I2487,"64*")&gt;0,COUNTIF(J2487,"*64*")&gt;0,COUNTIF(I2487,"65*")&gt;0,COUNTIF(J2487,"*65*")&gt;0,COUNTIF(I2487,"66*")&gt;0,COUNTIF(J2487,"*66*")&gt;0,COUNTIF(I2487,"61*")&gt;0,COUNTIF(J2487,"*61*")&gt;0,COUNTIF(I2487,"62*")&gt;0,COUNTIF(J2487,"*62*")&gt;0,COUNTIF(I2487,"63*")&gt;0,COUNTIF(J2487,"*63*")&gt;0,COUNTIF(I2487,"85*")&gt;0,COUNTIF(J2487,"*85*")&gt;0,COUNTIF(I2487,"86*")&gt;0,COUNTIF(J2487,"*86*")&gt;0),"Да","Нет"))</f>
        <v/>
      </c>
      <c r="M2487" s="13">
        <f>IF(OR(G2487="",L2487&lt;&gt;"Да"),"",IF(G2487&lt;=100,"До 100",IF(G2487&lt;=200,"До 200",IF(G2487&lt;=500,"До 500","Отдельное КП"))))</f>
        <v/>
      </c>
      <c r="N2487" s="15">
        <f>IF(OR(G2487="",L2487&lt;&gt;"Да"),"",IF(G2487&lt;=100,33600,IF(G2487&lt;=200,62400,IF(G2487&lt;=500,144000,""))))</f>
        <v/>
      </c>
      <c r="O2487" s="16">
        <f>IF(G2487="","",IF(G2487&lt;=15,"1–15",IF(G2487&lt;=30,"16–30",IF(G2487&lt;=50,"31–50",IF(G2487&lt;=100,"51–100",IF(G2487&lt;=150,"101–150",IF(G2487&lt;=200,"151–200",IF(G2487&lt;=500,"201–500","500+"))))))))</f>
        <v/>
      </c>
      <c r="P2487" s="16" t="inlineStr">
        <is>
          <t>Нет совпадения в предоставленной выгрузке ССЧР</t>
        </is>
      </c>
      <c r="Q2487" s="16" t="n"/>
      <c r="R2487" s="16">
        <f>HYPERLINK("https://checko.ru/search?query=3801001629","Чекко: проверить")</f>
        <v/>
      </c>
      <c r="S2487" t="n">
        <v>0</v>
      </c>
    </row>
    <row r="2488" ht="27.75" customHeight="1" s="24">
      <c r="A2488" s="13" t="n">
        <v>5000095077</v>
      </c>
      <c r="B2488" s="13" t="inlineStr">
        <is>
          <t>МКУ "Спортивная Школа №3 по вольной борьбе и боксу"</t>
        </is>
      </c>
      <c r="C2488" s="13" t="n">
        <v>713002480</v>
      </c>
      <c r="D2488" s="13" t="n"/>
      <c r="E2488" s="13" t="inlineStr">
        <is>
          <t>Не определён</t>
        </is>
      </c>
      <c r="F2488" s="13" t="inlineStr">
        <is>
          <t>713002480</t>
        </is>
      </c>
      <c r="G2488" s="14" t="n"/>
      <c r="H2488" s="14" t="n"/>
      <c r="I2488" s="14" t="n"/>
      <c r="J2488" s="14" t="n"/>
      <c r="K2488" s="13">
        <f>IF(G2488="","",IF(G2488&gt;=22,"Да","Нет"))</f>
        <v/>
      </c>
      <c r="L2488" s="13">
        <f>IF(OR(I2488="",J2488=""),"Не определено",IF(OR(COUNTIF(I2488,"45*")&gt;0,COUNTIF(J2488,"*45*")&gt;0,COUNTIF(I2488,"46*")&gt;0,COUNTIF(J2488,"*46*")&gt;0,COUNTIF(I2488,"47*")&gt;0,COUNTIF(J2488,"*47*")&gt;0,COUNTIF(I2488,"10*")&gt;0,COUNTIF(J2488,"*10*")&gt;0,COUNTIF(I2488,"11*")&gt;0,COUNTIF(J2488,"*11*")&gt;0,COUNTIF(I2488,"12*")&gt;0,COUNTIF(J2488,"*12*")&gt;0,COUNTIF(I2488,"13*")&gt;0,COUNTIF(J2488,"*13*")&gt;0,COUNTIF(I2488,"14*")&gt;0,COUNTIF(J2488,"*14*")&gt;0,COUNTIF(I2488,"15*")&gt;0,COUNTIF(J2488,"*15*")&gt;0,COUNTIF(I2488,"16*")&gt;0,COUNTIF(J2488,"*16*")&gt;0,COUNTIF(I2488,"17*")&gt;0,COUNTIF(J2488,"*17*")&gt;0,COUNTIF(I2488,"18*")&gt;0,COUNTIF(J2488,"*18*")&gt;0,COUNTIF(I2488,"19*")&gt;0,COUNTIF(J2488,"*19*")&gt;0,COUNTIF(I2488,"20*")&gt;0,COUNTIF(J2488,"*20*")&gt;0,COUNTIF(I2488,"21*")&gt;0,COUNTIF(J2488,"*21*")&gt;0,COUNTIF(I2488,"22*")&gt;0,COUNTIF(J2488,"*22*")&gt;0,COUNTIF(I2488,"23*")&gt;0,COUNTIF(J2488,"*23*")&gt;0,COUNTIF(I2488,"24*")&gt;0,COUNTIF(J2488,"*24*")&gt;0,COUNTIF(I2488,"25*")&gt;0,COUNTIF(J2488,"*25*")&gt;0,COUNTIF(I2488,"26*")&gt;0,COUNTIF(J2488,"*26*")&gt;0,COUNTIF(I2488,"27*")&gt;0,COUNTIF(J2488,"*27*")&gt;0,COUNTIF(I2488,"28*")&gt;0,COUNTIF(J2488,"*28*")&gt;0,COUNTIF(I2488,"29*")&gt;0,COUNTIF(J2488,"*29*")&gt;0,COUNTIF(I2488,"30*")&gt;0,COUNTIF(J2488,"*30*")&gt;0,COUNTIF(I2488,"31*")&gt;0,COUNTIF(J2488,"*31*")&gt;0,COUNTIF(I2488,"32*")&gt;0,COUNTIF(J2488,"*32*")&gt;0,COUNTIF(I2488,"33*")&gt;0,COUNTIF(J2488,"*33*")&gt;0,COUNTIF(I2488,"41*")&gt;0,COUNTIF(J2488,"*41*")&gt;0,COUNTIF(I2488,"42*")&gt;0,COUNTIF(J2488,"*42*")&gt;0,COUNTIF(I2488,"43*")&gt;0,COUNTIF(J2488,"*43*")&gt;0,COUNTIF(I2488,"49*")&gt;0,COUNTIF(J2488,"*49*")&gt;0,COUNTIF(I2488,"52*")&gt;0,COUNTIF(J2488,"*52*")&gt;0,COUNTIF(I2488,"55*")&gt;0,COUNTIF(J2488,"*55*")&gt;0,COUNTIF(I2488,"56*")&gt;0,COUNTIF(J2488,"*56*")&gt;0,COUNTIF(I2488,"68*")&gt;0,COUNTIF(J2488,"*68*")&gt;0,COUNTIF(I2488,"78*")&gt;0,COUNTIF(J2488,"*78*")&gt;0,COUNTIF(I2488,"81*")&gt;0,COUNTIF(J2488,"*81*")&gt;0,COUNTIF(I2488,"82*")&gt;0,COUNTIF(J2488,"*82*")&gt;0,COUNTIF(I2488,"64*")&gt;0,COUNTIF(J2488,"*64*")&gt;0,COUNTIF(I2488,"65*")&gt;0,COUNTIF(J2488,"*65*")&gt;0,COUNTIF(I2488,"66*")&gt;0,COUNTIF(J2488,"*66*")&gt;0,COUNTIF(I2488,"61*")&gt;0,COUNTIF(J2488,"*61*")&gt;0,COUNTIF(I2488,"62*")&gt;0,COUNTIF(J2488,"*62*")&gt;0,COUNTIF(I2488,"63*")&gt;0,COUNTIF(J2488,"*63*")&gt;0,COUNTIF(I2488,"85*")&gt;0,COUNTIF(J2488,"*85*")&gt;0,COUNTIF(I2488,"86*")&gt;0,COUNTIF(J2488,"*86*")&gt;0),"Да","Нет"))</f>
        <v/>
      </c>
      <c r="M2488" s="13">
        <f>IF(OR(G2488="",L2488&lt;&gt;"Да"),"",IF(G2488&lt;=100,"До 100",IF(G2488&lt;=200,"До 200",IF(G2488&lt;=500,"До 500","Отдельное КП"))))</f>
        <v/>
      </c>
      <c r="N2488" s="15">
        <f>IF(OR(G2488="",L2488&lt;&gt;"Да"),"",IF(G2488&lt;=100,33600,IF(G2488&lt;=200,62400,IF(G2488&lt;=500,144000,""))))</f>
        <v/>
      </c>
      <c r="O2488" s="16">
        <f>IF(G2488="","",IF(G2488&lt;=15,"1–15",IF(G2488&lt;=30,"16–30",IF(G2488&lt;=50,"31–50",IF(G2488&lt;=100,"51–100",IF(G2488&lt;=150,"101–150",IF(G2488&lt;=200,"151–200",IF(G2488&lt;=500,"201–500","500+"))))))))</f>
        <v/>
      </c>
      <c r="P2488" s="16" t="inlineStr">
        <is>
          <t>Нет совпадения в предоставленной выгрузке ССЧР</t>
        </is>
      </c>
      <c r="Q2488" s="16" t="n"/>
      <c r="R2488" s="16">
        <f>HYPERLINK("https://checko.ru/search?query=3801001629","Чекко: проверить")</f>
        <v/>
      </c>
      <c r="S2488" t="n">
        <v>0</v>
      </c>
    </row>
    <row r="2489" ht="15" customHeight="1" s="24">
      <c r="A2489" s="13" t="n">
        <v>5000095078</v>
      </c>
      <c r="B2489" s="13" t="inlineStr">
        <is>
          <t>ГКУ "НДИПИ" МТиСЗ КБР</t>
        </is>
      </c>
      <c r="C2489" s="13" t="n">
        <v>714000052</v>
      </c>
      <c r="D2489" s="13" t="n"/>
      <c r="E2489" s="13" t="inlineStr">
        <is>
          <t>Не определён</t>
        </is>
      </c>
      <c r="F2489" s="13" t="inlineStr">
        <is>
          <t>714000052</t>
        </is>
      </c>
      <c r="G2489" s="14" t="n"/>
      <c r="H2489" s="14" t="n"/>
      <c r="I2489" s="14" t="n"/>
      <c r="J2489" s="14" t="n"/>
      <c r="K2489" s="13">
        <f>IF(G2489="","",IF(G2489&gt;=22,"Да","Нет"))</f>
        <v/>
      </c>
      <c r="L2489" s="13">
        <f>IF(OR(I2489="",J2489=""),"Не определено",IF(OR(COUNTIF(I2489,"45*")&gt;0,COUNTIF(J2489,"*45*")&gt;0,COUNTIF(I2489,"46*")&gt;0,COUNTIF(J2489,"*46*")&gt;0,COUNTIF(I2489,"47*")&gt;0,COUNTIF(J2489,"*47*")&gt;0,COUNTIF(I2489,"10*")&gt;0,COUNTIF(J2489,"*10*")&gt;0,COUNTIF(I2489,"11*")&gt;0,COUNTIF(J2489,"*11*")&gt;0,COUNTIF(I2489,"12*")&gt;0,COUNTIF(J2489,"*12*")&gt;0,COUNTIF(I2489,"13*")&gt;0,COUNTIF(J2489,"*13*")&gt;0,COUNTIF(I2489,"14*")&gt;0,COUNTIF(J2489,"*14*")&gt;0,COUNTIF(I2489,"15*")&gt;0,COUNTIF(J2489,"*15*")&gt;0,COUNTIF(I2489,"16*")&gt;0,COUNTIF(J2489,"*16*")&gt;0,COUNTIF(I2489,"17*")&gt;0,COUNTIF(J2489,"*17*")&gt;0,COUNTIF(I2489,"18*")&gt;0,COUNTIF(J2489,"*18*")&gt;0,COUNTIF(I2489,"19*")&gt;0,COUNTIF(J2489,"*19*")&gt;0,COUNTIF(I2489,"20*")&gt;0,COUNTIF(J2489,"*20*")&gt;0,COUNTIF(I2489,"21*")&gt;0,COUNTIF(J2489,"*21*")&gt;0,COUNTIF(I2489,"22*")&gt;0,COUNTIF(J2489,"*22*")&gt;0,COUNTIF(I2489,"23*")&gt;0,COUNTIF(J2489,"*23*")&gt;0,COUNTIF(I2489,"24*")&gt;0,COUNTIF(J2489,"*24*")&gt;0,COUNTIF(I2489,"25*")&gt;0,COUNTIF(J2489,"*25*")&gt;0,COUNTIF(I2489,"26*")&gt;0,COUNTIF(J2489,"*26*")&gt;0,COUNTIF(I2489,"27*")&gt;0,COUNTIF(J2489,"*27*")&gt;0,COUNTIF(I2489,"28*")&gt;0,COUNTIF(J2489,"*28*")&gt;0,COUNTIF(I2489,"29*")&gt;0,COUNTIF(J2489,"*29*")&gt;0,COUNTIF(I2489,"30*")&gt;0,COUNTIF(J2489,"*30*")&gt;0,COUNTIF(I2489,"31*")&gt;0,COUNTIF(J2489,"*31*")&gt;0,COUNTIF(I2489,"32*")&gt;0,COUNTIF(J2489,"*32*")&gt;0,COUNTIF(I2489,"33*")&gt;0,COUNTIF(J2489,"*33*")&gt;0,COUNTIF(I2489,"41*")&gt;0,COUNTIF(J2489,"*41*")&gt;0,COUNTIF(I2489,"42*")&gt;0,COUNTIF(J2489,"*42*")&gt;0,COUNTIF(I2489,"43*")&gt;0,COUNTIF(J2489,"*43*")&gt;0,COUNTIF(I2489,"49*")&gt;0,COUNTIF(J2489,"*49*")&gt;0,COUNTIF(I2489,"52*")&gt;0,COUNTIF(J2489,"*52*")&gt;0,COUNTIF(I2489,"55*")&gt;0,COUNTIF(J2489,"*55*")&gt;0,COUNTIF(I2489,"56*")&gt;0,COUNTIF(J2489,"*56*")&gt;0,COUNTIF(I2489,"68*")&gt;0,COUNTIF(J2489,"*68*")&gt;0,COUNTIF(I2489,"78*")&gt;0,COUNTIF(J2489,"*78*")&gt;0,COUNTIF(I2489,"81*")&gt;0,COUNTIF(J2489,"*81*")&gt;0,COUNTIF(I2489,"82*")&gt;0,COUNTIF(J2489,"*82*")&gt;0,COUNTIF(I2489,"64*")&gt;0,COUNTIF(J2489,"*64*")&gt;0,COUNTIF(I2489,"65*")&gt;0,COUNTIF(J2489,"*65*")&gt;0,COUNTIF(I2489,"66*")&gt;0,COUNTIF(J2489,"*66*")&gt;0,COUNTIF(I2489,"61*")&gt;0,COUNTIF(J2489,"*61*")&gt;0,COUNTIF(I2489,"62*")&gt;0,COUNTIF(J2489,"*62*")&gt;0,COUNTIF(I2489,"63*")&gt;0,COUNTIF(J2489,"*63*")&gt;0,COUNTIF(I2489,"85*")&gt;0,COUNTIF(J2489,"*85*")&gt;0,COUNTIF(I2489,"86*")&gt;0,COUNTIF(J2489,"*86*")&gt;0),"Да","Нет"))</f>
        <v/>
      </c>
      <c r="M2489" s="13">
        <f>IF(OR(G2489="",L2489&lt;&gt;"Да"),"",IF(G2489&lt;=100,"До 100",IF(G2489&lt;=200,"До 200",IF(G2489&lt;=500,"До 500","Отдельное КП"))))</f>
        <v/>
      </c>
      <c r="N2489" s="15">
        <f>IF(OR(G2489="",L2489&lt;&gt;"Да"),"",IF(G2489&lt;=100,33600,IF(G2489&lt;=200,62400,IF(G2489&lt;=500,144000,""))))</f>
        <v/>
      </c>
      <c r="O2489" s="16">
        <f>IF(G2489="","",IF(G2489&lt;=15,"1–15",IF(G2489&lt;=30,"16–30",IF(G2489&lt;=50,"31–50",IF(G2489&lt;=100,"51–100",IF(G2489&lt;=150,"101–150",IF(G2489&lt;=200,"151–200",IF(G2489&lt;=500,"201–500","500+"))))))))</f>
        <v/>
      </c>
      <c r="P2489" s="16" t="inlineStr">
        <is>
          <t>Нет совпадения в предоставленной выгрузке ССЧР</t>
        </is>
      </c>
      <c r="Q2489" s="16" t="n"/>
      <c r="R2489" s="16">
        <f>HYPERLINK("https://checko.ru/search?query=3801001629","Чекко: проверить")</f>
        <v/>
      </c>
      <c r="S2489" t="n">
        <v>0</v>
      </c>
    </row>
    <row r="2490" ht="15" customHeight="1" s="24">
      <c r="A2490" s="13" t="n">
        <v>5000095079</v>
      </c>
      <c r="B2490" s="13" t="inlineStr">
        <is>
          <t>ГКУ РЮБ им.К.Мечиева</t>
        </is>
      </c>
      <c r="C2490" s="13" t="n">
        <v>714000687</v>
      </c>
      <c r="D2490" s="13" t="n"/>
      <c r="E2490" s="13" t="inlineStr">
        <is>
          <t>Не определён</t>
        </is>
      </c>
      <c r="F2490" s="13" t="inlineStr">
        <is>
          <t>714000687</t>
        </is>
      </c>
      <c r="G2490" s="14" t="n"/>
      <c r="H2490" s="14" t="n"/>
      <c r="I2490" s="14" t="n"/>
      <c r="J2490" s="14" t="n"/>
      <c r="K2490" s="13">
        <f>IF(G2490="","",IF(G2490&gt;=22,"Да","Нет"))</f>
        <v/>
      </c>
      <c r="L2490" s="13">
        <f>IF(OR(I2490="",J2490=""),"Не определено",IF(OR(COUNTIF(I2490,"45*")&gt;0,COUNTIF(J2490,"*45*")&gt;0,COUNTIF(I2490,"46*")&gt;0,COUNTIF(J2490,"*46*")&gt;0,COUNTIF(I2490,"47*")&gt;0,COUNTIF(J2490,"*47*")&gt;0,COUNTIF(I2490,"10*")&gt;0,COUNTIF(J2490,"*10*")&gt;0,COUNTIF(I2490,"11*")&gt;0,COUNTIF(J2490,"*11*")&gt;0,COUNTIF(I2490,"12*")&gt;0,COUNTIF(J2490,"*12*")&gt;0,COUNTIF(I2490,"13*")&gt;0,COUNTIF(J2490,"*13*")&gt;0,COUNTIF(I2490,"14*")&gt;0,COUNTIF(J2490,"*14*")&gt;0,COUNTIF(I2490,"15*")&gt;0,COUNTIF(J2490,"*15*")&gt;0,COUNTIF(I2490,"16*")&gt;0,COUNTIF(J2490,"*16*")&gt;0,COUNTIF(I2490,"17*")&gt;0,COUNTIF(J2490,"*17*")&gt;0,COUNTIF(I2490,"18*")&gt;0,COUNTIF(J2490,"*18*")&gt;0,COUNTIF(I2490,"19*")&gt;0,COUNTIF(J2490,"*19*")&gt;0,COUNTIF(I2490,"20*")&gt;0,COUNTIF(J2490,"*20*")&gt;0,COUNTIF(I2490,"21*")&gt;0,COUNTIF(J2490,"*21*")&gt;0,COUNTIF(I2490,"22*")&gt;0,COUNTIF(J2490,"*22*")&gt;0,COUNTIF(I2490,"23*")&gt;0,COUNTIF(J2490,"*23*")&gt;0,COUNTIF(I2490,"24*")&gt;0,COUNTIF(J2490,"*24*")&gt;0,COUNTIF(I2490,"25*")&gt;0,COUNTIF(J2490,"*25*")&gt;0,COUNTIF(I2490,"26*")&gt;0,COUNTIF(J2490,"*26*")&gt;0,COUNTIF(I2490,"27*")&gt;0,COUNTIF(J2490,"*27*")&gt;0,COUNTIF(I2490,"28*")&gt;0,COUNTIF(J2490,"*28*")&gt;0,COUNTIF(I2490,"29*")&gt;0,COUNTIF(J2490,"*29*")&gt;0,COUNTIF(I2490,"30*")&gt;0,COUNTIF(J2490,"*30*")&gt;0,COUNTIF(I2490,"31*")&gt;0,COUNTIF(J2490,"*31*")&gt;0,COUNTIF(I2490,"32*")&gt;0,COUNTIF(J2490,"*32*")&gt;0,COUNTIF(I2490,"33*")&gt;0,COUNTIF(J2490,"*33*")&gt;0,COUNTIF(I2490,"41*")&gt;0,COUNTIF(J2490,"*41*")&gt;0,COUNTIF(I2490,"42*")&gt;0,COUNTIF(J2490,"*42*")&gt;0,COUNTIF(I2490,"43*")&gt;0,COUNTIF(J2490,"*43*")&gt;0,COUNTIF(I2490,"49*")&gt;0,COUNTIF(J2490,"*49*")&gt;0,COUNTIF(I2490,"52*")&gt;0,COUNTIF(J2490,"*52*")&gt;0,COUNTIF(I2490,"55*")&gt;0,COUNTIF(J2490,"*55*")&gt;0,COUNTIF(I2490,"56*")&gt;0,COUNTIF(J2490,"*56*")&gt;0,COUNTIF(I2490,"68*")&gt;0,COUNTIF(J2490,"*68*")&gt;0,COUNTIF(I2490,"78*")&gt;0,COUNTIF(J2490,"*78*")&gt;0,COUNTIF(I2490,"81*")&gt;0,COUNTIF(J2490,"*81*")&gt;0,COUNTIF(I2490,"82*")&gt;0,COUNTIF(J2490,"*82*")&gt;0,COUNTIF(I2490,"64*")&gt;0,COUNTIF(J2490,"*64*")&gt;0,COUNTIF(I2490,"65*")&gt;0,COUNTIF(J2490,"*65*")&gt;0,COUNTIF(I2490,"66*")&gt;0,COUNTIF(J2490,"*66*")&gt;0,COUNTIF(I2490,"61*")&gt;0,COUNTIF(J2490,"*61*")&gt;0,COUNTIF(I2490,"62*")&gt;0,COUNTIF(J2490,"*62*")&gt;0,COUNTIF(I2490,"63*")&gt;0,COUNTIF(J2490,"*63*")&gt;0,COUNTIF(I2490,"85*")&gt;0,COUNTIF(J2490,"*85*")&gt;0,COUNTIF(I2490,"86*")&gt;0,COUNTIF(J2490,"*86*")&gt;0),"Да","Нет"))</f>
        <v/>
      </c>
      <c r="M2490" s="13">
        <f>IF(OR(G2490="",L2490&lt;&gt;"Да"),"",IF(G2490&lt;=100,"До 100",IF(G2490&lt;=200,"До 200",IF(G2490&lt;=500,"До 500","Отдельное КП"))))</f>
        <v/>
      </c>
      <c r="N2490" s="15">
        <f>IF(OR(G2490="",L2490&lt;&gt;"Да"),"",IF(G2490&lt;=100,33600,IF(G2490&lt;=200,62400,IF(G2490&lt;=500,144000,""))))</f>
        <v/>
      </c>
      <c r="O2490" s="16">
        <f>IF(G2490="","",IF(G2490&lt;=15,"1–15",IF(G2490&lt;=30,"16–30",IF(G2490&lt;=50,"31–50",IF(G2490&lt;=100,"51–100",IF(G2490&lt;=150,"101–150",IF(G2490&lt;=200,"151–200",IF(G2490&lt;=500,"201–500","500+"))))))))</f>
        <v/>
      </c>
      <c r="P2490" s="16" t="inlineStr">
        <is>
          <t>Нет совпадения в предоставленной выгрузке ССЧР</t>
        </is>
      </c>
      <c r="Q2490" s="16" t="n"/>
      <c r="R2490" s="16">
        <f>HYPERLINK("https://checko.ru/search?query=3801001629","Чекко: проверить")</f>
        <v/>
      </c>
      <c r="S2490" t="n">
        <v>0</v>
      </c>
    </row>
    <row r="2491" ht="15" customHeight="1" s="24">
      <c r="A2491" s="13" t="n">
        <v>5000095081</v>
      </c>
      <c r="B2491" s="13" t="inlineStr">
        <is>
          <t>МКОУ "Гимназия "Радуга" г.о. Нальчик КБР</t>
        </is>
      </c>
      <c r="C2491" s="13" t="n">
        <v>714006375</v>
      </c>
      <c r="D2491" s="13" t="n"/>
      <c r="E2491" s="13" t="inlineStr">
        <is>
          <t>Не определён</t>
        </is>
      </c>
      <c r="F2491" s="13" t="inlineStr">
        <is>
          <t>714006375</t>
        </is>
      </c>
      <c r="G2491" s="14" t="n"/>
      <c r="H2491" s="14" t="n"/>
      <c r="I2491" s="14" t="n"/>
      <c r="J2491" s="14" t="n"/>
      <c r="K2491" s="13">
        <f>IF(G2491="","",IF(G2491&gt;=22,"Да","Нет"))</f>
        <v/>
      </c>
      <c r="L2491" s="13">
        <f>IF(OR(I2491="",J2491=""),"Не определено",IF(OR(COUNTIF(I2491,"45*")&gt;0,COUNTIF(J2491,"*45*")&gt;0,COUNTIF(I2491,"46*")&gt;0,COUNTIF(J2491,"*46*")&gt;0,COUNTIF(I2491,"47*")&gt;0,COUNTIF(J2491,"*47*")&gt;0,COUNTIF(I2491,"10*")&gt;0,COUNTIF(J2491,"*10*")&gt;0,COUNTIF(I2491,"11*")&gt;0,COUNTIF(J2491,"*11*")&gt;0,COUNTIF(I2491,"12*")&gt;0,COUNTIF(J2491,"*12*")&gt;0,COUNTIF(I2491,"13*")&gt;0,COUNTIF(J2491,"*13*")&gt;0,COUNTIF(I2491,"14*")&gt;0,COUNTIF(J2491,"*14*")&gt;0,COUNTIF(I2491,"15*")&gt;0,COUNTIF(J2491,"*15*")&gt;0,COUNTIF(I2491,"16*")&gt;0,COUNTIF(J2491,"*16*")&gt;0,COUNTIF(I2491,"17*")&gt;0,COUNTIF(J2491,"*17*")&gt;0,COUNTIF(I2491,"18*")&gt;0,COUNTIF(J2491,"*18*")&gt;0,COUNTIF(I2491,"19*")&gt;0,COUNTIF(J2491,"*19*")&gt;0,COUNTIF(I2491,"20*")&gt;0,COUNTIF(J2491,"*20*")&gt;0,COUNTIF(I2491,"21*")&gt;0,COUNTIF(J2491,"*21*")&gt;0,COUNTIF(I2491,"22*")&gt;0,COUNTIF(J2491,"*22*")&gt;0,COUNTIF(I2491,"23*")&gt;0,COUNTIF(J2491,"*23*")&gt;0,COUNTIF(I2491,"24*")&gt;0,COUNTIF(J2491,"*24*")&gt;0,COUNTIF(I2491,"25*")&gt;0,COUNTIF(J2491,"*25*")&gt;0,COUNTIF(I2491,"26*")&gt;0,COUNTIF(J2491,"*26*")&gt;0,COUNTIF(I2491,"27*")&gt;0,COUNTIF(J2491,"*27*")&gt;0,COUNTIF(I2491,"28*")&gt;0,COUNTIF(J2491,"*28*")&gt;0,COUNTIF(I2491,"29*")&gt;0,COUNTIF(J2491,"*29*")&gt;0,COUNTIF(I2491,"30*")&gt;0,COUNTIF(J2491,"*30*")&gt;0,COUNTIF(I2491,"31*")&gt;0,COUNTIF(J2491,"*31*")&gt;0,COUNTIF(I2491,"32*")&gt;0,COUNTIF(J2491,"*32*")&gt;0,COUNTIF(I2491,"33*")&gt;0,COUNTIF(J2491,"*33*")&gt;0,COUNTIF(I2491,"41*")&gt;0,COUNTIF(J2491,"*41*")&gt;0,COUNTIF(I2491,"42*")&gt;0,COUNTIF(J2491,"*42*")&gt;0,COUNTIF(I2491,"43*")&gt;0,COUNTIF(J2491,"*43*")&gt;0,COUNTIF(I2491,"49*")&gt;0,COUNTIF(J2491,"*49*")&gt;0,COUNTIF(I2491,"52*")&gt;0,COUNTIF(J2491,"*52*")&gt;0,COUNTIF(I2491,"55*")&gt;0,COUNTIF(J2491,"*55*")&gt;0,COUNTIF(I2491,"56*")&gt;0,COUNTIF(J2491,"*56*")&gt;0,COUNTIF(I2491,"68*")&gt;0,COUNTIF(J2491,"*68*")&gt;0,COUNTIF(I2491,"78*")&gt;0,COUNTIF(J2491,"*78*")&gt;0,COUNTIF(I2491,"81*")&gt;0,COUNTIF(J2491,"*81*")&gt;0,COUNTIF(I2491,"82*")&gt;0,COUNTIF(J2491,"*82*")&gt;0,COUNTIF(I2491,"64*")&gt;0,COUNTIF(J2491,"*64*")&gt;0,COUNTIF(I2491,"65*")&gt;0,COUNTIF(J2491,"*65*")&gt;0,COUNTIF(I2491,"66*")&gt;0,COUNTIF(J2491,"*66*")&gt;0,COUNTIF(I2491,"61*")&gt;0,COUNTIF(J2491,"*61*")&gt;0,COUNTIF(I2491,"62*")&gt;0,COUNTIF(J2491,"*62*")&gt;0,COUNTIF(I2491,"63*")&gt;0,COUNTIF(J2491,"*63*")&gt;0,COUNTIF(I2491,"85*")&gt;0,COUNTIF(J2491,"*85*")&gt;0,COUNTIF(I2491,"86*")&gt;0,COUNTIF(J2491,"*86*")&gt;0),"Да","Нет"))</f>
        <v/>
      </c>
      <c r="M2491" s="13">
        <f>IF(OR(G2491="",L2491&lt;&gt;"Да"),"",IF(G2491&lt;=100,"До 100",IF(G2491&lt;=200,"До 200",IF(G2491&lt;=500,"До 500","Отдельное КП"))))</f>
        <v/>
      </c>
      <c r="N2491" s="15">
        <f>IF(OR(G2491="",L2491&lt;&gt;"Да"),"",IF(G2491&lt;=100,33600,IF(G2491&lt;=200,62400,IF(G2491&lt;=500,144000,""))))</f>
        <v/>
      </c>
      <c r="O2491" s="16">
        <f>IF(G2491="","",IF(G2491&lt;=15,"1–15",IF(G2491&lt;=30,"16–30",IF(G2491&lt;=50,"31–50",IF(G2491&lt;=100,"51–100",IF(G2491&lt;=150,"101–150",IF(G2491&lt;=200,"151–200",IF(G2491&lt;=500,"201–500","500+"))))))))</f>
        <v/>
      </c>
      <c r="P2491" s="16" t="inlineStr">
        <is>
          <t>Нет совпадения в предоставленной выгрузке ССЧР</t>
        </is>
      </c>
      <c r="Q2491" s="16" t="n"/>
      <c r="R2491" s="16">
        <f>HYPERLINK("https://checko.ru/search?query=3801001629","Чекко: проверить")</f>
        <v/>
      </c>
      <c r="S2491" t="n">
        <v>0</v>
      </c>
    </row>
    <row r="2492" ht="15" customHeight="1" s="24">
      <c r="A2492" s="13" t="n">
        <v>5000095085</v>
      </c>
      <c r="B2492" s="13" t="inlineStr">
        <is>
          <t>МКУ  "СШ №2 ПО БАСКЕТБОЛУ"</t>
        </is>
      </c>
      <c r="C2492" s="13" t="n">
        <v>714006784</v>
      </c>
      <c r="D2492" s="13" t="n"/>
      <c r="E2492" s="13" t="inlineStr">
        <is>
          <t>Не определён</t>
        </is>
      </c>
      <c r="F2492" s="13" t="inlineStr">
        <is>
          <t>714006784</t>
        </is>
      </c>
      <c r="G2492" s="14" t="n"/>
      <c r="H2492" s="14" t="n"/>
      <c r="I2492" s="14" t="n"/>
      <c r="J2492" s="14" t="n"/>
      <c r="K2492" s="13">
        <f>IF(G2492="","",IF(G2492&gt;=22,"Да","Нет"))</f>
        <v/>
      </c>
      <c r="L2492" s="13">
        <f>IF(OR(I2492="",J2492=""),"Не определено",IF(OR(COUNTIF(I2492,"45*")&gt;0,COUNTIF(J2492,"*45*")&gt;0,COUNTIF(I2492,"46*")&gt;0,COUNTIF(J2492,"*46*")&gt;0,COUNTIF(I2492,"47*")&gt;0,COUNTIF(J2492,"*47*")&gt;0,COUNTIF(I2492,"10*")&gt;0,COUNTIF(J2492,"*10*")&gt;0,COUNTIF(I2492,"11*")&gt;0,COUNTIF(J2492,"*11*")&gt;0,COUNTIF(I2492,"12*")&gt;0,COUNTIF(J2492,"*12*")&gt;0,COUNTIF(I2492,"13*")&gt;0,COUNTIF(J2492,"*13*")&gt;0,COUNTIF(I2492,"14*")&gt;0,COUNTIF(J2492,"*14*")&gt;0,COUNTIF(I2492,"15*")&gt;0,COUNTIF(J2492,"*15*")&gt;0,COUNTIF(I2492,"16*")&gt;0,COUNTIF(J2492,"*16*")&gt;0,COUNTIF(I2492,"17*")&gt;0,COUNTIF(J2492,"*17*")&gt;0,COUNTIF(I2492,"18*")&gt;0,COUNTIF(J2492,"*18*")&gt;0,COUNTIF(I2492,"19*")&gt;0,COUNTIF(J2492,"*19*")&gt;0,COUNTIF(I2492,"20*")&gt;0,COUNTIF(J2492,"*20*")&gt;0,COUNTIF(I2492,"21*")&gt;0,COUNTIF(J2492,"*21*")&gt;0,COUNTIF(I2492,"22*")&gt;0,COUNTIF(J2492,"*22*")&gt;0,COUNTIF(I2492,"23*")&gt;0,COUNTIF(J2492,"*23*")&gt;0,COUNTIF(I2492,"24*")&gt;0,COUNTIF(J2492,"*24*")&gt;0,COUNTIF(I2492,"25*")&gt;0,COUNTIF(J2492,"*25*")&gt;0,COUNTIF(I2492,"26*")&gt;0,COUNTIF(J2492,"*26*")&gt;0,COUNTIF(I2492,"27*")&gt;0,COUNTIF(J2492,"*27*")&gt;0,COUNTIF(I2492,"28*")&gt;0,COUNTIF(J2492,"*28*")&gt;0,COUNTIF(I2492,"29*")&gt;0,COUNTIF(J2492,"*29*")&gt;0,COUNTIF(I2492,"30*")&gt;0,COUNTIF(J2492,"*30*")&gt;0,COUNTIF(I2492,"31*")&gt;0,COUNTIF(J2492,"*31*")&gt;0,COUNTIF(I2492,"32*")&gt;0,COUNTIF(J2492,"*32*")&gt;0,COUNTIF(I2492,"33*")&gt;0,COUNTIF(J2492,"*33*")&gt;0,COUNTIF(I2492,"41*")&gt;0,COUNTIF(J2492,"*41*")&gt;0,COUNTIF(I2492,"42*")&gt;0,COUNTIF(J2492,"*42*")&gt;0,COUNTIF(I2492,"43*")&gt;0,COUNTIF(J2492,"*43*")&gt;0,COUNTIF(I2492,"49*")&gt;0,COUNTIF(J2492,"*49*")&gt;0,COUNTIF(I2492,"52*")&gt;0,COUNTIF(J2492,"*52*")&gt;0,COUNTIF(I2492,"55*")&gt;0,COUNTIF(J2492,"*55*")&gt;0,COUNTIF(I2492,"56*")&gt;0,COUNTIF(J2492,"*56*")&gt;0,COUNTIF(I2492,"68*")&gt;0,COUNTIF(J2492,"*68*")&gt;0,COUNTIF(I2492,"78*")&gt;0,COUNTIF(J2492,"*78*")&gt;0,COUNTIF(I2492,"81*")&gt;0,COUNTIF(J2492,"*81*")&gt;0,COUNTIF(I2492,"82*")&gt;0,COUNTIF(J2492,"*82*")&gt;0,COUNTIF(I2492,"64*")&gt;0,COUNTIF(J2492,"*64*")&gt;0,COUNTIF(I2492,"65*")&gt;0,COUNTIF(J2492,"*65*")&gt;0,COUNTIF(I2492,"66*")&gt;0,COUNTIF(J2492,"*66*")&gt;0,COUNTIF(I2492,"61*")&gt;0,COUNTIF(J2492,"*61*")&gt;0,COUNTIF(I2492,"62*")&gt;0,COUNTIF(J2492,"*62*")&gt;0,COUNTIF(I2492,"63*")&gt;0,COUNTIF(J2492,"*63*")&gt;0,COUNTIF(I2492,"85*")&gt;0,COUNTIF(J2492,"*85*")&gt;0,COUNTIF(I2492,"86*")&gt;0,COUNTIF(J2492,"*86*")&gt;0),"Да","Нет"))</f>
        <v/>
      </c>
      <c r="M2492" s="13">
        <f>IF(OR(G2492="",L2492&lt;&gt;"Да"),"",IF(G2492&lt;=100,"До 100",IF(G2492&lt;=200,"До 200",IF(G2492&lt;=500,"До 500","Отдельное КП"))))</f>
        <v/>
      </c>
      <c r="N2492" s="15">
        <f>IF(OR(G2492="",L2492&lt;&gt;"Да"),"",IF(G2492&lt;=100,33600,IF(G2492&lt;=200,62400,IF(G2492&lt;=500,144000,""))))</f>
        <v/>
      </c>
      <c r="O2492" s="16">
        <f>IF(G2492="","",IF(G2492&lt;=15,"1–15",IF(G2492&lt;=30,"16–30",IF(G2492&lt;=50,"31–50",IF(G2492&lt;=100,"51–100",IF(G2492&lt;=150,"101–150",IF(G2492&lt;=200,"151–200",IF(G2492&lt;=500,"201–500","500+"))))))))</f>
        <v/>
      </c>
      <c r="P2492" s="16" t="inlineStr">
        <is>
          <t>Нет совпадения в предоставленной выгрузке ССЧР</t>
        </is>
      </c>
      <c r="Q2492" s="16" t="n"/>
      <c r="R2492" s="16">
        <f>HYPERLINK("https://checko.ru/search?query=3801001629","Чекко: проверить")</f>
        <v/>
      </c>
      <c r="S2492" t="n">
        <v>0</v>
      </c>
    </row>
    <row r="2493" ht="27.75" customHeight="1" s="24">
      <c r="A2493" s="13" t="n">
        <v>5000095086</v>
      </c>
      <c r="B2493" s="13" t="inlineStr">
        <is>
          <t>МКУ "СШ №1 по волейболу и мини-футболу" г.о. Нальчик</t>
        </is>
      </c>
      <c r="C2493" s="13" t="n">
        <v>714006826</v>
      </c>
      <c r="D2493" s="13" t="n"/>
      <c r="E2493" s="13" t="inlineStr">
        <is>
          <t>Не определён</t>
        </is>
      </c>
      <c r="F2493" s="13" t="inlineStr">
        <is>
          <t>714006826</t>
        </is>
      </c>
      <c r="G2493" s="14" t="n"/>
      <c r="H2493" s="14" t="n"/>
      <c r="I2493" s="14" t="n"/>
      <c r="J2493" s="14" t="n"/>
      <c r="K2493" s="13">
        <f>IF(G2493="","",IF(G2493&gt;=22,"Да","Нет"))</f>
        <v/>
      </c>
      <c r="L2493" s="13">
        <f>IF(OR(I2493="",J2493=""),"Не определено",IF(OR(COUNTIF(I2493,"45*")&gt;0,COUNTIF(J2493,"*45*")&gt;0,COUNTIF(I2493,"46*")&gt;0,COUNTIF(J2493,"*46*")&gt;0,COUNTIF(I2493,"47*")&gt;0,COUNTIF(J2493,"*47*")&gt;0,COUNTIF(I2493,"10*")&gt;0,COUNTIF(J2493,"*10*")&gt;0,COUNTIF(I2493,"11*")&gt;0,COUNTIF(J2493,"*11*")&gt;0,COUNTIF(I2493,"12*")&gt;0,COUNTIF(J2493,"*12*")&gt;0,COUNTIF(I2493,"13*")&gt;0,COUNTIF(J2493,"*13*")&gt;0,COUNTIF(I2493,"14*")&gt;0,COUNTIF(J2493,"*14*")&gt;0,COUNTIF(I2493,"15*")&gt;0,COUNTIF(J2493,"*15*")&gt;0,COUNTIF(I2493,"16*")&gt;0,COUNTIF(J2493,"*16*")&gt;0,COUNTIF(I2493,"17*")&gt;0,COUNTIF(J2493,"*17*")&gt;0,COUNTIF(I2493,"18*")&gt;0,COUNTIF(J2493,"*18*")&gt;0,COUNTIF(I2493,"19*")&gt;0,COUNTIF(J2493,"*19*")&gt;0,COUNTIF(I2493,"20*")&gt;0,COUNTIF(J2493,"*20*")&gt;0,COUNTIF(I2493,"21*")&gt;0,COUNTIF(J2493,"*21*")&gt;0,COUNTIF(I2493,"22*")&gt;0,COUNTIF(J2493,"*22*")&gt;0,COUNTIF(I2493,"23*")&gt;0,COUNTIF(J2493,"*23*")&gt;0,COUNTIF(I2493,"24*")&gt;0,COUNTIF(J2493,"*24*")&gt;0,COUNTIF(I2493,"25*")&gt;0,COUNTIF(J2493,"*25*")&gt;0,COUNTIF(I2493,"26*")&gt;0,COUNTIF(J2493,"*26*")&gt;0,COUNTIF(I2493,"27*")&gt;0,COUNTIF(J2493,"*27*")&gt;0,COUNTIF(I2493,"28*")&gt;0,COUNTIF(J2493,"*28*")&gt;0,COUNTIF(I2493,"29*")&gt;0,COUNTIF(J2493,"*29*")&gt;0,COUNTIF(I2493,"30*")&gt;0,COUNTIF(J2493,"*30*")&gt;0,COUNTIF(I2493,"31*")&gt;0,COUNTIF(J2493,"*31*")&gt;0,COUNTIF(I2493,"32*")&gt;0,COUNTIF(J2493,"*32*")&gt;0,COUNTIF(I2493,"33*")&gt;0,COUNTIF(J2493,"*33*")&gt;0,COUNTIF(I2493,"41*")&gt;0,COUNTIF(J2493,"*41*")&gt;0,COUNTIF(I2493,"42*")&gt;0,COUNTIF(J2493,"*42*")&gt;0,COUNTIF(I2493,"43*")&gt;0,COUNTIF(J2493,"*43*")&gt;0,COUNTIF(I2493,"49*")&gt;0,COUNTIF(J2493,"*49*")&gt;0,COUNTIF(I2493,"52*")&gt;0,COUNTIF(J2493,"*52*")&gt;0,COUNTIF(I2493,"55*")&gt;0,COUNTIF(J2493,"*55*")&gt;0,COUNTIF(I2493,"56*")&gt;0,COUNTIF(J2493,"*56*")&gt;0,COUNTIF(I2493,"68*")&gt;0,COUNTIF(J2493,"*68*")&gt;0,COUNTIF(I2493,"78*")&gt;0,COUNTIF(J2493,"*78*")&gt;0,COUNTIF(I2493,"81*")&gt;0,COUNTIF(J2493,"*81*")&gt;0,COUNTIF(I2493,"82*")&gt;0,COUNTIF(J2493,"*82*")&gt;0,COUNTIF(I2493,"64*")&gt;0,COUNTIF(J2493,"*64*")&gt;0,COUNTIF(I2493,"65*")&gt;0,COUNTIF(J2493,"*65*")&gt;0,COUNTIF(I2493,"66*")&gt;0,COUNTIF(J2493,"*66*")&gt;0,COUNTIF(I2493,"61*")&gt;0,COUNTIF(J2493,"*61*")&gt;0,COUNTIF(I2493,"62*")&gt;0,COUNTIF(J2493,"*62*")&gt;0,COUNTIF(I2493,"63*")&gt;0,COUNTIF(J2493,"*63*")&gt;0,COUNTIF(I2493,"85*")&gt;0,COUNTIF(J2493,"*85*")&gt;0,COUNTIF(I2493,"86*")&gt;0,COUNTIF(J2493,"*86*")&gt;0),"Да","Нет"))</f>
        <v/>
      </c>
      <c r="M2493" s="13">
        <f>IF(OR(G2493="",L2493&lt;&gt;"Да"),"",IF(G2493&lt;=100,"До 100",IF(G2493&lt;=200,"До 200",IF(G2493&lt;=500,"До 500","Отдельное КП"))))</f>
        <v/>
      </c>
      <c r="N2493" s="15">
        <f>IF(OR(G2493="",L2493&lt;&gt;"Да"),"",IF(G2493&lt;=100,33600,IF(G2493&lt;=200,62400,IF(G2493&lt;=500,144000,""))))</f>
        <v/>
      </c>
      <c r="O2493" s="16">
        <f>IF(G2493="","",IF(G2493&lt;=15,"1–15",IF(G2493&lt;=30,"16–30",IF(G2493&lt;=50,"31–50",IF(G2493&lt;=100,"51–100",IF(G2493&lt;=150,"101–150",IF(G2493&lt;=200,"151–200",IF(G2493&lt;=500,"201–500","500+"))))))))</f>
        <v/>
      </c>
      <c r="P2493" s="16" t="inlineStr">
        <is>
          <t>Нет совпадения в предоставленной выгрузке ССЧР</t>
        </is>
      </c>
      <c r="Q2493" s="16" t="n"/>
      <c r="R2493" s="16">
        <f>HYPERLINK("https://checko.ru/search?query=3801001629","Чекко: проверить")</f>
        <v/>
      </c>
      <c r="S2493" t="n">
        <v>0</v>
      </c>
    </row>
    <row r="2494" ht="15" customHeight="1" s="24">
      <c r="A2494" s="13" t="n">
        <v>5000095094</v>
      </c>
      <c r="B2494" s="13" t="inlineStr">
        <is>
          <t>ГБОУ "КШИ № 3" Минпросвещения КБР</t>
        </is>
      </c>
      <c r="C2494" s="13" t="n">
        <v>716000940</v>
      </c>
      <c r="D2494" s="13" t="n"/>
      <c r="E2494" s="13" t="inlineStr">
        <is>
          <t>Не определён</t>
        </is>
      </c>
      <c r="F2494" s="13" t="inlineStr">
        <is>
          <t>716000940</t>
        </is>
      </c>
      <c r="G2494" s="14" t="n"/>
      <c r="H2494" s="14" t="n"/>
      <c r="I2494" s="14" t="n"/>
      <c r="J2494" s="14" t="n"/>
      <c r="K2494" s="13">
        <f>IF(G2494="","",IF(G2494&gt;=22,"Да","Нет"))</f>
        <v/>
      </c>
      <c r="L2494" s="13">
        <f>IF(OR(I2494="",J2494=""),"Не определено",IF(OR(COUNTIF(I2494,"45*")&gt;0,COUNTIF(J2494,"*45*")&gt;0,COUNTIF(I2494,"46*")&gt;0,COUNTIF(J2494,"*46*")&gt;0,COUNTIF(I2494,"47*")&gt;0,COUNTIF(J2494,"*47*")&gt;0,COUNTIF(I2494,"10*")&gt;0,COUNTIF(J2494,"*10*")&gt;0,COUNTIF(I2494,"11*")&gt;0,COUNTIF(J2494,"*11*")&gt;0,COUNTIF(I2494,"12*")&gt;0,COUNTIF(J2494,"*12*")&gt;0,COUNTIF(I2494,"13*")&gt;0,COUNTIF(J2494,"*13*")&gt;0,COUNTIF(I2494,"14*")&gt;0,COUNTIF(J2494,"*14*")&gt;0,COUNTIF(I2494,"15*")&gt;0,COUNTIF(J2494,"*15*")&gt;0,COUNTIF(I2494,"16*")&gt;0,COUNTIF(J2494,"*16*")&gt;0,COUNTIF(I2494,"17*")&gt;0,COUNTIF(J2494,"*17*")&gt;0,COUNTIF(I2494,"18*")&gt;0,COUNTIF(J2494,"*18*")&gt;0,COUNTIF(I2494,"19*")&gt;0,COUNTIF(J2494,"*19*")&gt;0,COUNTIF(I2494,"20*")&gt;0,COUNTIF(J2494,"*20*")&gt;0,COUNTIF(I2494,"21*")&gt;0,COUNTIF(J2494,"*21*")&gt;0,COUNTIF(I2494,"22*")&gt;0,COUNTIF(J2494,"*22*")&gt;0,COUNTIF(I2494,"23*")&gt;0,COUNTIF(J2494,"*23*")&gt;0,COUNTIF(I2494,"24*")&gt;0,COUNTIF(J2494,"*24*")&gt;0,COUNTIF(I2494,"25*")&gt;0,COUNTIF(J2494,"*25*")&gt;0,COUNTIF(I2494,"26*")&gt;0,COUNTIF(J2494,"*26*")&gt;0,COUNTIF(I2494,"27*")&gt;0,COUNTIF(J2494,"*27*")&gt;0,COUNTIF(I2494,"28*")&gt;0,COUNTIF(J2494,"*28*")&gt;0,COUNTIF(I2494,"29*")&gt;0,COUNTIF(J2494,"*29*")&gt;0,COUNTIF(I2494,"30*")&gt;0,COUNTIF(J2494,"*30*")&gt;0,COUNTIF(I2494,"31*")&gt;0,COUNTIF(J2494,"*31*")&gt;0,COUNTIF(I2494,"32*")&gt;0,COUNTIF(J2494,"*32*")&gt;0,COUNTIF(I2494,"33*")&gt;0,COUNTIF(J2494,"*33*")&gt;0,COUNTIF(I2494,"41*")&gt;0,COUNTIF(J2494,"*41*")&gt;0,COUNTIF(I2494,"42*")&gt;0,COUNTIF(J2494,"*42*")&gt;0,COUNTIF(I2494,"43*")&gt;0,COUNTIF(J2494,"*43*")&gt;0,COUNTIF(I2494,"49*")&gt;0,COUNTIF(J2494,"*49*")&gt;0,COUNTIF(I2494,"52*")&gt;0,COUNTIF(J2494,"*52*")&gt;0,COUNTIF(I2494,"55*")&gt;0,COUNTIF(J2494,"*55*")&gt;0,COUNTIF(I2494,"56*")&gt;0,COUNTIF(J2494,"*56*")&gt;0,COUNTIF(I2494,"68*")&gt;0,COUNTIF(J2494,"*68*")&gt;0,COUNTIF(I2494,"78*")&gt;0,COUNTIF(J2494,"*78*")&gt;0,COUNTIF(I2494,"81*")&gt;0,COUNTIF(J2494,"*81*")&gt;0,COUNTIF(I2494,"82*")&gt;0,COUNTIF(J2494,"*82*")&gt;0,COUNTIF(I2494,"64*")&gt;0,COUNTIF(J2494,"*64*")&gt;0,COUNTIF(I2494,"65*")&gt;0,COUNTIF(J2494,"*65*")&gt;0,COUNTIF(I2494,"66*")&gt;0,COUNTIF(J2494,"*66*")&gt;0,COUNTIF(I2494,"61*")&gt;0,COUNTIF(J2494,"*61*")&gt;0,COUNTIF(I2494,"62*")&gt;0,COUNTIF(J2494,"*62*")&gt;0,COUNTIF(I2494,"63*")&gt;0,COUNTIF(J2494,"*63*")&gt;0,COUNTIF(I2494,"85*")&gt;0,COUNTIF(J2494,"*85*")&gt;0,COUNTIF(I2494,"86*")&gt;0,COUNTIF(J2494,"*86*")&gt;0),"Да","Нет"))</f>
        <v/>
      </c>
      <c r="M2494" s="13">
        <f>IF(OR(G2494="",L2494&lt;&gt;"Да"),"",IF(G2494&lt;=100,"До 100",IF(G2494&lt;=200,"До 200",IF(G2494&lt;=500,"До 500","Отдельное КП"))))</f>
        <v/>
      </c>
      <c r="N2494" s="15">
        <f>IF(OR(G2494="",L2494&lt;&gt;"Да"),"",IF(G2494&lt;=100,33600,IF(G2494&lt;=200,62400,IF(G2494&lt;=500,144000,""))))</f>
        <v/>
      </c>
      <c r="O2494" s="16">
        <f>IF(G2494="","",IF(G2494&lt;=15,"1–15",IF(G2494&lt;=30,"16–30",IF(G2494&lt;=50,"31–50",IF(G2494&lt;=100,"51–100",IF(G2494&lt;=150,"101–150",IF(G2494&lt;=200,"151–200",IF(G2494&lt;=500,"201–500","500+"))))))))</f>
        <v/>
      </c>
      <c r="P2494" s="16" t="inlineStr">
        <is>
          <t>Нет совпадения в предоставленной выгрузке ССЧР</t>
        </is>
      </c>
      <c r="Q2494" s="16" t="n"/>
      <c r="R2494" s="16">
        <f>HYPERLINK("https://checko.ru/search?query=3801001629","Чекко: проверить")</f>
        <v/>
      </c>
      <c r="S2494" t="n">
        <v>0</v>
      </c>
    </row>
    <row r="2495" ht="15" customHeight="1" s="24">
      <c r="A2495" s="13" t="n">
        <v>5000095095</v>
      </c>
      <c r="B2495" s="13" t="inlineStr">
        <is>
          <t>МКОУ "СОШ с. Дальнего"</t>
        </is>
      </c>
      <c r="C2495" s="13" t="n">
        <v>716001051</v>
      </c>
      <c r="D2495" s="13" t="n"/>
      <c r="E2495" s="13" t="inlineStr">
        <is>
          <t>Не определён</t>
        </is>
      </c>
      <c r="F2495" s="13" t="inlineStr">
        <is>
          <t>716001051</t>
        </is>
      </c>
      <c r="G2495" s="14" t="n"/>
      <c r="H2495" s="14" t="n"/>
      <c r="I2495" s="14" t="n"/>
      <c r="J2495" s="14" t="n"/>
      <c r="K2495" s="13">
        <f>IF(G2495="","",IF(G2495&gt;=22,"Да","Нет"))</f>
        <v/>
      </c>
      <c r="L2495" s="13">
        <f>IF(OR(I2495="",J2495=""),"Не определено",IF(OR(COUNTIF(I2495,"45*")&gt;0,COUNTIF(J2495,"*45*")&gt;0,COUNTIF(I2495,"46*")&gt;0,COUNTIF(J2495,"*46*")&gt;0,COUNTIF(I2495,"47*")&gt;0,COUNTIF(J2495,"*47*")&gt;0,COUNTIF(I2495,"10*")&gt;0,COUNTIF(J2495,"*10*")&gt;0,COUNTIF(I2495,"11*")&gt;0,COUNTIF(J2495,"*11*")&gt;0,COUNTIF(I2495,"12*")&gt;0,COUNTIF(J2495,"*12*")&gt;0,COUNTIF(I2495,"13*")&gt;0,COUNTIF(J2495,"*13*")&gt;0,COUNTIF(I2495,"14*")&gt;0,COUNTIF(J2495,"*14*")&gt;0,COUNTIF(I2495,"15*")&gt;0,COUNTIF(J2495,"*15*")&gt;0,COUNTIF(I2495,"16*")&gt;0,COUNTIF(J2495,"*16*")&gt;0,COUNTIF(I2495,"17*")&gt;0,COUNTIF(J2495,"*17*")&gt;0,COUNTIF(I2495,"18*")&gt;0,COUNTIF(J2495,"*18*")&gt;0,COUNTIF(I2495,"19*")&gt;0,COUNTIF(J2495,"*19*")&gt;0,COUNTIF(I2495,"20*")&gt;0,COUNTIF(J2495,"*20*")&gt;0,COUNTIF(I2495,"21*")&gt;0,COUNTIF(J2495,"*21*")&gt;0,COUNTIF(I2495,"22*")&gt;0,COUNTIF(J2495,"*22*")&gt;0,COUNTIF(I2495,"23*")&gt;0,COUNTIF(J2495,"*23*")&gt;0,COUNTIF(I2495,"24*")&gt;0,COUNTIF(J2495,"*24*")&gt;0,COUNTIF(I2495,"25*")&gt;0,COUNTIF(J2495,"*25*")&gt;0,COUNTIF(I2495,"26*")&gt;0,COUNTIF(J2495,"*26*")&gt;0,COUNTIF(I2495,"27*")&gt;0,COUNTIF(J2495,"*27*")&gt;0,COUNTIF(I2495,"28*")&gt;0,COUNTIF(J2495,"*28*")&gt;0,COUNTIF(I2495,"29*")&gt;0,COUNTIF(J2495,"*29*")&gt;0,COUNTIF(I2495,"30*")&gt;0,COUNTIF(J2495,"*30*")&gt;0,COUNTIF(I2495,"31*")&gt;0,COUNTIF(J2495,"*31*")&gt;0,COUNTIF(I2495,"32*")&gt;0,COUNTIF(J2495,"*32*")&gt;0,COUNTIF(I2495,"33*")&gt;0,COUNTIF(J2495,"*33*")&gt;0,COUNTIF(I2495,"41*")&gt;0,COUNTIF(J2495,"*41*")&gt;0,COUNTIF(I2495,"42*")&gt;0,COUNTIF(J2495,"*42*")&gt;0,COUNTIF(I2495,"43*")&gt;0,COUNTIF(J2495,"*43*")&gt;0,COUNTIF(I2495,"49*")&gt;0,COUNTIF(J2495,"*49*")&gt;0,COUNTIF(I2495,"52*")&gt;0,COUNTIF(J2495,"*52*")&gt;0,COUNTIF(I2495,"55*")&gt;0,COUNTIF(J2495,"*55*")&gt;0,COUNTIF(I2495,"56*")&gt;0,COUNTIF(J2495,"*56*")&gt;0,COUNTIF(I2495,"68*")&gt;0,COUNTIF(J2495,"*68*")&gt;0,COUNTIF(I2495,"78*")&gt;0,COUNTIF(J2495,"*78*")&gt;0,COUNTIF(I2495,"81*")&gt;0,COUNTIF(J2495,"*81*")&gt;0,COUNTIF(I2495,"82*")&gt;0,COUNTIF(J2495,"*82*")&gt;0,COUNTIF(I2495,"64*")&gt;0,COUNTIF(J2495,"*64*")&gt;0,COUNTIF(I2495,"65*")&gt;0,COUNTIF(J2495,"*65*")&gt;0,COUNTIF(I2495,"66*")&gt;0,COUNTIF(J2495,"*66*")&gt;0,COUNTIF(I2495,"61*")&gt;0,COUNTIF(J2495,"*61*")&gt;0,COUNTIF(I2495,"62*")&gt;0,COUNTIF(J2495,"*62*")&gt;0,COUNTIF(I2495,"63*")&gt;0,COUNTIF(J2495,"*63*")&gt;0,COUNTIF(I2495,"85*")&gt;0,COUNTIF(J2495,"*85*")&gt;0,COUNTIF(I2495,"86*")&gt;0,COUNTIF(J2495,"*86*")&gt;0),"Да","Нет"))</f>
        <v/>
      </c>
      <c r="M2495" s="13">
        <f>IF(OR(G2495="",L2495&lt;&gt;"Да"),"",IF(G2495&lt;=100,"До 100",IF(G2495&lt;=200,"До 200",IF(G2495&lt;=500,"До 500","Отдельное КП"))))</f>
        <v/>
      </c>
      <c r="N2495" s="15">
        <f>IF(OR(G2495="",L2495&lt;&gt;"Да"),"",IF(G2495&lt;=100,33600,IF(G2495&lt;=200,62400,IF(G2495&lt;=500,144000,""))))</f>
        <v/>
      </c>
      <c r="O2495" s="16">
        <f>IF(G2495="","",IF(G2495&lt;=15,"1–15",IF(G2495&lt;=30,"16–30",IF(G2495&lt;=50,"31–50",IF(G2495&lt;=100,"51–100",IF(G2495&lt;=150,"101–150",IF(G2495&lt;=200,"151–200",IF(G2495&lt;=500,"201–500","500+"))))))))</f>
        <v/>
      </c>
      <c r="P2495" s="16" t="inlineStr">
        <is>
          <t>Нет совпадения в предоставленной выгрузке ССЧР</t>
        </is>
      </c>
      <c r="Q2495" s="16" t="n"/>
      <c r="R2495" s="16">
        <f>HYPERLINK("https://checko.ru/search?query=3801001629","Чекко: проверить")</f>
        <v/>
      </c>
      <c r="S2495" t="n">
        <v>0</v>
      </c>
    </row>
    <row r="2496" ht="15" customHeight="1" s="24">
      <c r="A2496" s="13" t="n">
        <v>5000095096</v>
      </c>
      <c r="B2496" s="13" t="inlineStr">
        <is>
          <t>МКОУ "СОШ с. Благовещенка"</t>
        </is>
      </c>
      <c r="C2496" s="13" t="n">
        <v>716001069</v>
      </c>
      <c r="D2496" s="13" t="n"/>
      <c r="E2496" s="13" t="inlineStr">
        <is>
          <t>Не определён</t>
        </is>
      </c>
      <c r="F2496" s="13" t="inlineStr">
        <is>
          <t>716001069</t>
        </is>
      </c>
      <c r="G2496" s="14" t="n"/>
      <c r="H2496" s="14" t="n"/>
      <c r="I2496" s="14" t="n"/>
      <c r="J2496" s="14" t="n"/>
      <c r="K2496" s="13">
        <f>IF(G2496="","",IF(G2496&gt;=22,"Да","Нет"))</f>
        <v/>
      </c>
      <c r="L2496" s="13">
        <f>IF(OR(I2496="",J2496=""),"Не определено",IF(OR(COUNTIF(I2496,"45*")&gt;0,COUNTIF(J2496,"*45*")&gt;0,COUNTIF(I2496,"46*")&gt;0,COUNTIF(J2496,"*46*")&gt;0,COUNTIF(I2496,"47*")&gt;0,COUNTIF(J2496,"*47*")&gt;0,COUNTIF(I2496,"10*")&gt;0,COUNTIF(J2496,"*10*")&gt;0,COUNTIF(I2496,"11*")&gt;0,COUNTIF(J2496,"*11*")&gt;0,COUNTIF(I2496,"12*")&gt;0,COUNTIF(J2496,"*12*")&gt;0,COUNTIF(I2496,"13*")&gt;0,COUNTIF(J2496,"*13*")&gt;0,COUNTIF(I2496,"14*")&gt;0,COUNTIF(J2496,"*14*")&gt;0,COUNTIF(I2496,"15*")&gt;0,COUNTIF(J2496,"*15*")&gt;0,COUNTIF(I2496,"16*")&gt;0,COUNTIF(J2496,"*16*")&gt;0,COUNTIF(I2496,"17*")&gt;0,COUNTIF(J2496,"*17*")&gt;0,COUNTIF(I2496,"18*")&gt;0,COUNTIF(J2496,"*18*")&gt;0,COUNTIF(I2496,"19*")&gt;0,COUNTIF(J2496,"*19*")&gt;0,COUNTIF(I2496,"20*")&gt;0,COUNTIF(J2496,"*20*")&gt;0,COUNTIF(I2496,"21*")&gt;0,COUNTIF(J2496,"*21*")&gt;0,COUNTIF(I2496,"22*")&gt;0,COUNTIF(J2496,"*22*")&gt;0,COUNTIF(I2496,"23*")&gt;0,COUNTIF(J2496,"*23*")&gt;0,COUNTIF(I2496,"24*")&gt;0,COUNTIF(J2496,"*24*")&gt;0,COUNTIF(I2496,"25*")&gt;0,COUNTIF(J2496,"*25*")&gt;0,COUNTIF(I2496,"26*")&gt;0,COUNTIF(J2496,"*26*")&gt;0,COUNTIF(I2496,"27*")&gt;0,COUNTIF(J2496,"*27*")&gt;0,COUNTIF(I2496,"28*")&gt;0,COUNTIF(J2496,"*28*")&gt;0,COUNTIF(I2496,"29*")&gt;0,COUNTIF(J2496,"*29*")&gt;0,COUNTIF(I2496,"30*")&gt;0,COUNTIF(J2496,"*30*")&gt;0,COUNTIF(I2496,"31*")&gt;0,COUNTIF(J2496,"*31*")&gt;0,COUNTIF(I2496,"32*")&gt;0,COUNTIF(J2496,"*32*")&gt;0,COUNTIF(I2496,"33*")&gt;0,COUNTIF(J2496,"*33*")&gt;0,COUNTIF(I2496,"41*")&gt;0,COUNTIF(J2496,"*41*")&gt;0,COUNTIF(I2496,"42*")&gt;0,COUNTIF(J2496,"*42*")&gt;0,COUNTIF(I2496,"43*")&gt;0,COUNTIF(J2496,"*43*")&gt;0,COUNTIF(I2496,"49*")&gt;0,COUNTIF(J2496,"*49*")&gt;0,COUNTIF(I2496,"52*")&gt;0,COUNTIF(J2496,"*52*")&gt;0,COUNTIF(I2496,"55*")&gt;0,COUNTIF(J2496,"*55*")&gt;0,COUNTIF(I2496,"56*")&gt;0,COUNTIF(J2496,"*56*")&gt;0,COUNTIF(I2496,"68*")&gt;0,COUNTIF(J2496,"*68*")&gt;0,COUNTIF(I2496,"78*")&gt;0,COUNTIF(J2496,"*78*")&gt;0,COUNTIF(I2496,"81*")&gt;0,COUNTIF(J2496,"*81*")&gt;0,COUNTIF(I2496,"82*")&gt;0,COUNTIF(J2496,"*82*")&gt;0,COUNTIF(I2496,"64*")&gt;0,COUNTIF(J2496,"*64*")&gt;0,COUNTIF(I2496,"65*")&gt;0,COUNTIF(J2496,"*65*")&gt;0,COUNTIF(I2496,"66*")&gt;0,COUNTIF(J2496,"*66*")&gt;0,COUNTIF(I2496,"61*")&gt;0,COUNTIF(J2496,"*61*")&gt;0,COUNTIF(I2496,"62*")&gt;0,COUNTIF(J2496,"*62*")&gt;0,COUNTIF(I2496,"63*")&gt;0,COUNTIF(J2496,"*63*")&gt;0,COUNTIF(I2496,"85*")&gt;0,COUNTIF(J2496,"*85*")&gt;0,COUNTIF(I2496,"86*")&gt;0,COUNTIF(J2496,"*86*")&gt;0),"Да","Нет"))</f>
        <v/>
      </c>
      <c r="M2496" s="13">
        <f>IF(OR(G2496="",L2496&lt;&gt;"Да"),"",IF(G2496&lt;=100,"До 100",IF(G2496&lt;=200,"До 200",IF(G2496&lt;=500,"До 500","Отдельное КП"))))</f>
        <v/>
      </c>
      <c r="N2496" s="15">
        <f>IF(OR(G2496="",L2496&lt;&gt;"Да"),"",IF(G2496&lt;=100,33600,IF(G2496&lt;=200,62400,IF(G2496&lt;=500,144000,""))))</f>
        <v/>
      </c>
      <c r="O2496" s="16">
        <f>IF(G2496="","",IF(G2496&lt;=15,"1–15",IF(G2496&lt;=30,"16–30",IF(G2496&lt;=50,"31–50",IF(G2496&lt;=100,"51–100",IF(G2496&lt;=150,"101–150",IF(G2496&lt;=200,"151–200",IF(G2496&lt;=500,"201–500","500+"))))))))</f>
        <v/>
      </c>
      <c r="P2496" s="16" t="inlineStr">
        <is>
          <t>Нет совпадения в предоставленной выгрузке ССЧР</t>
        </is>
      </c>
      <c r="Q2496" s="16" t="n"/>
      <c r="R2496" s="16">
        <f>HYPERLINK("https://checko.ru/search?query=3801001629","Чекко: проверить")</f>
        <v/>
      </c>
      <c r="S2496" t="n">
        <v>0</v>
      </c>
    </row>
    <row r="2497" ht="15" customHeight="1" s="24">
      <c r="A2497" s="13" t="n">
        <v>5000095097</v>
      </c>
      <c r="B2497" s="13" t="inlineStr">
        <is>
          <t>МКОУ "СОШ с. Янтарного"</t>
        </is>
      </c>
      <c r="C2497" s="13" t="n">
        <v>716001076</v>
      </c>
      <c r="D2497" s="13" t="n"/>
      <c r="E2497" s="13" t="inlineStr">
        <is>
          <t>Не определён</t>
        </is>
      </c>
      <c r="F2497" s="13" t="inlineStr">
        <is>
          <t>716001076</t>
        </is>
      </c>
      <c r="G2497" s="14" t="n"/>
      <c r="H2497" s="14" t="n"/>
      <c r="I2497" s="14" t="n"/>
      <c r="J2497" s="14" t="n"/>
      <c r="K2497" s="13">
        <f>IF(G2497="","",IF(G2497&gt;=22,"Да","Нет"))</f>
        <v/>
      </c>
      <c r="L2497" s="13">
        <f>IF(OR(I2497="",J2497=""),"Не определено",IF(OR(COUNTIF(I2497,"45*")&gt;0,COUNTIF(J2497,"*45*")&gt;0,COUNTIF(I2497,"46*")&gt;0,COUNTIF(J2497,"*46*")&gt;0,COUNTIF(I2497,"47*")&gt;0,COUNTIF(J2497,"*47*")&gt;0,COUNTIF(I2497,"10*")&gt;0,COUNTIF(J2497,"*10*")&gt;0,COUNTIF(I2497,"11*")&gt;0,COUNTIF(J2497,"*11*")&gt;0,COUNTIF(I2497,"12*")&gt;0,COUNTIF(J2497,"*12*")&gt;0,COUNTIF(I2497,"13*")&gt;0,COUNTIF(J2497,"*13*")&gt;0,COUNTIF(I2497,"14*")&gt;0,COUNTIF(J2497,"*14*")&gt;0,COUNTIF(I2497,"15*")&gt;0,COUNTIF(J2497,"*15*")&gt;0,COUNTIF(I2497,"16*")&gt;0,COUNTIF(J2497,"*16*")&gt;0,COUNTIF(I2497,"17*")&gt;0,COUNTIF(J2497,"*17*")&gt;0,COUNTIF(I2497,"18*")&gt;0,COUNTIF(J2497,"*18*")&gt;0,COUNTIF(I2497,"19*")&gt;0,COUNTIF(J2497,"*19*")&gt;0,COUNTIF(I2497,"20*")&gt;0,COUNTIF(J2497,"*20*")&gt;0,COUNTIF(I2497,"21*")&gt;0,COUNTIF(J2497,"*21*")&gt;0,COUNTIF(I2497,"22*")&gt;0,COUNTIF(J2497,"*22*")&gt;0,COUNTIF(I2497,"23*")&gt;0,COUNTIF(J2497,"*23*")&gt;0,COUNTIF(I2497,"24*")&gt;0,COUNTIF(J2497,"*24*")&gt;0,COUNTIF(I2497,"25*")&gt;0,COUNTIF(J2497,"*25*")&gt;0,COUNTIF(I2497,"26*")&gt;0,COUNTIF(J2497,"*26*")&gt;0,COUNTIF(I2497,"27*")&gt;0,COUNTIF(J2497,"*27*")&gt;0,COUNTIF(I2497,"28*")&gt;0,COUNTIF(J2497,"*28*")&gt;0,COUNTIF(I2497,"29*")&gt;0,COUNTIF(J2497,"*29*")&gt;0,COUNTIF(I2497,"30*")&gt;0,COUNTIF(J2497,"*30*")&gt;0,COUNTIF(I2497,"31*")&gt;0,COUNTIF(J2497,"*31*")&gt;0,COUNTIF(I2497,"32*")&gt;0,COUNTIF(J2497,"*32*")&gt;0,COUNTIF(I2497,"33*")&gt;0,COUNTIF(J2497,"*33*")&gt;0,COUNTIF(I2497,"41*")&gt;0,COUNTIF(J2497,"*41*")&gt;0,COUNTIF(I2497,"42*")&gt;0,COUNTIF(J2497,"*42*")&gt;0,COUNTIF(I2497,"43*")&gt;0,COUNTIF(J2497,"*43*")&gt;0,COUNTIF(I2497,"49*")&gt;0,COUNTIF(J2497,"*49*")&gt;0,COUNTIF(I2497,"52*")&gt;0,COUNTIF(J2497,"*52*")&gt;0,COUNTIF(I2497,"55*")&gt;0,COUNTIF(J2497,"*55*")&gt;0,COUNTIF(I2497,"56*")&gt;0,COUNTIF(J2497,"*56*")&gt;0,COUNTIF(I2497,"68*")&gt;0,COUNTIF(J2497,"*68*")&gt;0,COUNTIF(I2497,"78*")&gt;0,COUNTIF(J2497,"*78*")&gt;0,COUNTIF(I2497,"81*")&gt;0,COUNTIF(J2497,"*81*")&gt;0,COUNTIF(I2497,"82*")&gt;0,COUNTIF(J2497,"*82*")&gt;0,COUNTIF(I2497,"64*")&gt;0,COUNTIF(J2497,"*64*")&gt;0,COUNTIF(I2497,"65*")&gt;0,COUNTIF(J2497,"*65*")&gt;0,COUNTIF(I2497,"66*")&gt;0,COUNTIF(J2497,"*66*")&gt;0,COUNTIF(I2497,"61*")&gt;0,COUNTIF(J2497,"*61*")&gt;0,COUNTIF(I2497,"62*")&gt;0,COUNTIF(J2497,"*62*")&gt;0,COUNTIF(I2497,"63*")&gt;0,COUNTIF(J2497,"*63*")&gt;0,COUNTIF(I2497,"85*")&gt;0,COUNTIF(J2497,"*85*")&gt;0,COUNTIF(I2497,"86*")&gt;0,COUNTIF(J2497,"*86*")&gt;0),"Да","Нет"))</f>
        <v/>
      </c>
      <c r="M2497" s="13">
        <f>IF(OR(G2497="",L2497&lt;&gt;"Да"),"",IF(G2497&lt;=100,"До 100",IF(G2497&lt;=200,"До 200",IF(G2497&lt;=500,"До 500","Отдельное КП"))))</f>
        <v/>
      </c>
      <c r="N2497" s="15">
        <f>IF(OR(G2497="",L2497&lt;&gt;"Да"),"",IF(G2497&lt;=100,33600,IF(G2497&lt;=200,62400,IF(G2497&lt;=500,144000,""))))</f>
        <v/>
      </c>
      <c r="O2497" s="16">
        <f>IF(G2497="","",IF(G2497&lt;=15,"1–15",IF(G2497&lt;=30,"16–30",IF(G2497&lt;=50,"31–50",IF(G2497&lt;=100,"51–100",IF(G2497&lt;=150,"101–150",IF(G2497&lt;=200,"151–200",IF(G2497&lt;=500,"201–500","500+"))))))))</f>
        <v/>
      </c>
      <c r="P2497" s="16" t="inlineStr">
        <is>
          <t>Нет совпадения в предоставленной выгрузке ССЧР</t>
        </is>
      </c>
      <c r="Q2497" s="16" t="n"/>
      <c r="R2497" s="16">
        <f>HYPERLINK("https://checko.ru/search?query=3801001629","Чекко: проверить")</f>
        <v/>
      </c>
      <c r="S2497" t="n">
        <v>0</v>
      </c>
    </row>
    <row r="2498" ht="15" customHeight="1" s="24">
      <c r="A2498" s="13" t="n">
        <v>5000095098</v>
      </c>
      <c r="B2498" s="13" t="inlineStr">
        <is>
          <t>МКОУ "СОШ ст. Приближной"</t>
        </is>
      </c>
      <c r="C2498" s="13" t="n">
        <v>716001083</v>
      </c>
      <c r="D2498" s="13" t="n"/>
      <c r="E2498" s="13" t="inlineStr">
        <is>
          <t>Не определён</t>
        </is>
      </c>
      <c r="F2498" s="13" t="inlineStr">
        <is>
          <t>716001083</t>
        </is>
      </c>
      <c r="G2498" s="14" t="n"/>
      <c r="H2498" s="14" t="n"/>
      <c r="I2498" s="14" t="n"/>
      <c r="J2498" s="14" t="n"/>
      <c r="K2498" s="13">
        <f>IF(G2498="","",IF(G2498&gt;=22,"Да","Нет"))</f>
        <v/>
      </c>
      <c r="L2498" s="13">
        <f>IF(OR(I2498="",J2498=""),"Не определено",IF(OR(COUNTIF(I2498,"45*")&gt;0,COUNTIF(J2498,"*45*")&gt;0,COUNTIF(I2498,"46*")&gt;0,COUNTIF(J2498,"*46*")&gt;0,COUNTIF(I2498,"47*")&gt;0,COUNTIF(J2498,"*47*")&gt;0,COUNTIF(I2498,"10*")&gt;0,COUNTIF(J2498,"*10*")&gt;0,COUNTIF(I2498,"11*")&gt;0,COUNTIF(J2498,"*11*")&gt;0,COUNTIF(I2498,"12*")&gt;0,COUNTIF(J2498,"*12*")&gt;0,COUNTIF(I2498,"13*")&gt;0,COUNTIF(J2498,"*13*")&gt;0,COUNTIF(I2498,"14*")&gt;0,COUNTIF(J2498,"*14*")&gt;0,COUNTIF(I2498,"15*")&gt;0,COUNTIF(J2498,"*15*")&gt;0,COUNTIF(I2498,"16*")&gt;0,COUNTIF(J2498,"*16*")&gt;0,COUNTIF(I2498,"17*")&gt;0,COUNTIF(J2498,"*17*")&gt;0,COUNTIF(I2498,"18*")&gt;0,COUNTIF(J2498,"*18*")&gt;0,COUNTIF(I2498,"19*")&gt;0,COUNTIF(J2498,"*19*")&gt;0,COUNTIF(I2498,"20*")&gt;0,COUNTIF(J2498,"*20*")&gt;0,COUNTIF(I2498,"21*")&gt;0,COUNTIF(J2498,"*21*")&gt;0,COUNTIF(I2498,"22*")&gt;0,COUNTIF(J2498,"*22*")&gt;0,COUNTIF(I2498,"23*")&gt;0,COUNTIF(J2498,"*23*")&gt;0,COUNTIF(I2498,"24*")&gt;0,COUNTIF(J2498,"*24*")&gt;0,COUNTIF(I2498,"25*")&gt;0,COUNTIF(J2498,"*25*")&gt;0,COUNTIF(I2498,"26*")&gt;0,COUNTIF(J2498,"*26*")&gt;0,COUNTIF(I2498,"27*")&gt;0,COUNTIF(J2498,"*27*")&gt;0,COUNTIF(I2498,"28*")&gt;0,COUNTIF(J2498,"*28*")&gt;0,COUNTIF(I2498,"29*")&gt;0,COUNTIF(J2498,"*29*")&gt;0,COUNTIF(I2498,"30*")&gt;0,COUNTIF(J2498,"*30*")&gt;0,COUNTIF(I2498,"31*")&gt;0,COUNTIF(J2498,"*31*")&gt;0,COUNTIF(I2498,"32*")&gt;0,COUNTIF(J2498,"*32*")&gt;0,COUNTIF(I2498,"33*")&gt;0,COUNTIF(J2498,"*33*")&gt;0,COUNTIF(I2498,"41*")&gt;0,COUNTIF(J2498,"*41*")&gt;0,COUNTIF(I2498,"42*")&gt;0,COUNTIF(J2498,"*42*")&gt;0,COUNTIF(I2498,"43*")&gt;0,COUNTIF(J2498,"*43*")&gt;0,COUNTIF(I2498,"49*")&gt;0,COUNTIF(J2498,"*49*")&gt;0,COUNTIF(I2498,"52*")&gt;0,COUNTIF(J2498,"*52*")&gt;0,COUNTIF(I2498,"55*")&gt;0,COUNTIF(J2498,"*55*")&gt;0,COUNTIF(I2498,"56*")&gt;0,COUNTIF(J2498,"*56*")&gt;0,COUNTIF(I2498,"68*")&gt;0,COUNTIF(J2498,"*68*")&gt;0,COUNTIF(I2498,"78*")&gt;0,COUNTIF(J2498,"*78*")&gt;0,COUNTIF(I2498,"81*")&gt;0,COUNTIF(J2498,"*81*")&gt;0,COUNTIF(I2498,"82*")&gt;0,COUNTIF(J2498,"*82*")&gt;0,COUNTIF(I2498,"64*")&gt;0,COUNTIF(J2498,"*64*")&gt;0,COUNTIF(I2498,"65*")&gt;0,COUNTIF(J2498,"*65*")&gt;0,COUNTIF(I2498,"66*")&gt;0,COUNTIF(J2498,"*66*")&gt;0,COUNTIF(I2498,"61*")&gt;0,COUNTIF(J2498,"*61*")&gt;0,COUNTIF(I2498,"62*")&gt;0,COUNTIF(J2498,"*62*")&gt;0,COUNTIF(I2498,"63*")&gt;0,COUNTIF(J2498,"*63*")&gt;0,COUNTIF(I2498,"85*")&gt;0,COUNTIF(J2498,"*85*")&gt;0,COUNTIF(I2498,"86*")&gt;0,COUNTIF(J2498,"*86*")&gt;0),"Да","Нет"))</f>
        <v/>
      </c>
      <c r="M2498" s="13">
        <f>IF(OR(G2498="",L2498&lt;&gt;"Да"),"",IF(G2498&lt;=100,"До 100",IF(G2498&lt;=200,"До 200",IF(G2498&lt;=500,"До 500","Отдельное КП"))))</f>
        <v/>
      </c>
      <c r="N2498" s="15">
        <f>IF(OR(G2498="",L2498&lt;&gt;"Да"),"",IF(G2498&lt;=100,33600,IF(G2498&lt;=200,62400,IF(G2498&lt;=500,144000,""))))</f>
        <v/>
      </c>
      <c r="O2498" s="16">
        <f>IF(G2498="","",IF(G2498&lt;=15,"1–15",IF(G2498&lt;=30,"16–30",IF(G2498&lt;=50,"31–50",IF(G2498&lt;=100,"51–100",IF(G2498&lt;=150,"101–150",IF(G2498&lt;=200,"151–200",IF(G2498&lt;=500,"201–500","500+"))))))))</f>
        <v/>
      </c>
      <c r="P2498" s="16" t="inlineStr">
        <is>
          <t>Нет совпадения в предоставленной выгрузке ССЧР</t>
        </is>
      </c>
      <c r="Q2498" s="16" t="n"/>
      <c r="R2498" s="16">
        <f>HYPERLINK("https://checko.ru/search?query=3801001629","Чекко: проверить")</f>
        <v/>
      </c>
      <c r="S2498" t="n">
        <v>0</v>
      </c>
    </row>
    <row r="2499" ht="15" customHeight="1" s="24">
      <c r="A2499" s="13" t="n">
        <v>5000095099</v>
      </c>
      <c r="B2499" s="13" t="inlineStr">
        <is>
          <t>МКОУ "СОШ с. Учебного"</t>
        </is>
      </c>
      <c r="C2499" s="13" t="n">
        <v>716001118</v>
      </c>
      <c r="D2499" s="13" t="n"/>
      <c r="E2499" s="13" t="inlineStr">
        <is>
          <t>Не определён</t>
        </is>
      </c>
      <c r="F2499" s="13" t="inlineStr">
        <is>
          <t>716001118</t>
        </is>
      </c>
      <c r="G2499" s="14" t="n"/>
      <c r="H2499" s="14" t="n"/>
      <c r="I2499" s="14" t="n"/>
      <c r="J2499" s="14" t="n"/>
      <c r="K2499" s="13">
        <f>IF(G2499="","",IF(G2499&gt;=22,"Да","Нет"))</f>
        <v/>
      </c>
      <c r="L2499" s="13">
        <f>IF(OR(I2499="",J2499=""),"Не определено",IF(OR(COUNTIF(I2499,"45*")&gt;0,COUNTIF(J2499,"*45*")&gt;0,COUNTIF(I2499,"46*")&gt;0,COUNTIF(J2499,"*46*")&gt;0,COUNTIF(I2499,"47*")&gt;0,COUNTIF(J2499,"*47*")&gt;0,COUNTIF(I2499,"10*")&gt;0,COUNTIF(J2499,"*10*")&gt;0,COUNTIF(I2499,"11*")&gt;0,COUNTIF(J2499,"*11*")&gt;0,COUNTIF(I2499,"12*")&gt;0,COUNTIF(J2499,"*12*")&gt;0,COUNTIF(I2499,"13*")&gt;0,COUNTIF(J2499,"*13*")&gt;0,COUNTIF(I2499,"14*")&gt;0,COUNTIF(J2499,"*14*")&gt;0,COUNTIF(I2499,"15*")&gt;0,COUNTIF(J2499,"*15*")&gt;0,COUNTIF(I2499,"16*")&gt;0,COUNTIF(J2499,"*16*")&gt;0,COUNTIF(I2499,"17*")&gt;0,COUNTIF(J2499,"*17*")&gt;0,COUNTIF(I2499,"18*")&gt;0,COUNTIF(J2499,"*18*")&gt;0,COUNTIF(I2499,"19*")&gt;0,COUNTIF(J2499,"*19*")&gt;0,COUNTIF(I2499,"20*")&gt;0,COUNTIF(J2499,"*20*")&gt;0,COUNTIF(I2499,"21*")&gt;0,COUNTIF(J2499,"*21*")&gt;0,COUNTIF(I2499,"22*")&gt;0,COUNTIF(J2499,"*22*")&gt;0,COUNTIF(I2499,"23*")&gt;0,COUNTIF(J2499,"*23*")&gt;0,COUNTIF(I2499,"24*")&gt;0,COUNTIF(J2499,"*24*")&gt;0,COUNTIF(I2499,"25*")&gt;0,COUNTIF(J2499,"*25*")&gt;0,COUNTIF(I2499,"26*")&gt;0,COUNTIF(J2499,"*26*")&gt;0,COUNTIF(I2499,"27*")&gt;0,COUNTIF(J2499,"*27*")&gt;0,COUNTIF(I2499,"28*")&gt;0,COUNTIF(J2499,"*28*")&gt;0,COUNTIF(I2499,"29*")&gt;0,COUNTIF(J2499,"*29*")&gt;0,COUNTIF(I2499,"30*")&gt;0,COUNTIF(J2499,"*30*")&gt;0,COUNTIF(I2499,"31*")&gt;0,COUNTIF(J2499,"*31*")&gt;0,COUNTIF(I2499,"32*")&gt;0,COUNTIF(J2499,"*32*")&gt;0,COUNTIF(I2499,"33*")&gt;0,COUNTIF(J2499,"*33*")&gt;0,COUNTIF(I2499,"41*")&gt;0,COUNTIF(J2499,"*41*")&gt;0,COUNTIF(I2499,"42*")&gt;0,COUNTIF(J2499,"*42*")&gt;0,COUNTIF(I2499,"43*")&gt;0,COUNTIF(J2499,"*43*")&gt;0,COUNTIF(I2499,"49*")&gt;0,COUNTIF(J2499,"*49*")&gt;0,COUNTIF(I2499,"52*")&gt;0,COUNTIF(J2499,"*52*")&gt;0,COUNTIF(I2499,"55*")&gt;0,COUNTIF(J2499,"*55*")&gt;0,COUNTIF(I2499,"56*")&gt;0,COUNTIF(J2499,"*56*")&gt;0,COUNTIF(I2499,"68*")&gt;0,COUNTIF(J2499,"*68*")&gt;0,COUNTIF(I2499,"78*")&gt;0,COUNTIF(J2499,"*78*")&gt;0,COUNTIF(I2499,"81*")&gt;0,COUNTIF(J2499,"*81*")&gt;0,COUNTIF(I2499,"82*")&gt;0,COUNTIF(J2499,"*82*")&gt;0,COUNTIF(I2499,"64*")&gt;0,COUNTIF(J2499,"*64*")&gt;0,COUNTIF(I2499,"65*")&gt;0,COUNTIF(J2499,"*65*")&gt;0,COUNTIF(I2499,"66*")&gt;0,COUNTIF(J2499,"*66*")&gt;0,COUNTIF(I2499,"61*")&gt;0,COUNTIF(J2499,"*61*")&gt;0,COUNTIF(I2499,"62*")&gt;0,COUNTIF(J2499,"*62*")&gt;0,COUNTIF(I2499,"63*")&gt;0,COUNTIF(J2499,"*63*")&gt;0,COUNTIF(I2499,"85*")&gt;0,COUNTIF(J2499,"*85*")&gt;0,COUNTIF(I2499,"86*")&gt;0,COUNTIF(J2499,"*86*")&gt;0),"Да","Нет"))</f>
        <v/>
      </c>
      <c r="M2499" s="13">
        <f>IF(OR(G2499="",L2499&lt;&gt;"Да"),"",IF(G2499&lt;=100,"До 100",IF(G2499&lt;=200,"До 200",IF(G2499&lt;=500,"До 500","Отдельное КП"))))</f>
        <v/>
      </c>
      <c r="N2499" s="15">
        <f>IF(OR(G2499="",L2499&lt;&gt;"Да"),"",IF(G2499&lt;=100,33600,IF(G2499&lt;=200,62400,IF(G2499&lt;=500,144000,""))))</f>
        <v/>
      </c>
      <c r="O2499" s="16">
        <f>IF(G2499="","",IF(G2499&lt;=15,"1–15",IF(G2499&lt;=30,"16–30",IF(G2499&lt;=50,"31–50",IF(G2499&lt;=100,"51–100",IF(G2499&lt;=150,"101–150",IF(G2499&lt;=200,"151–200",IF(G2499&lt;=500,"201–500","500+"))))))))</f>
        <v/>
      </c>
      <c r="P2499" s="16" t="inlineStr">
        <is>
          <t>Нет совпадения в предоставленной выгрузке ССЧР</t>
        </is>
      </c>
      <c r="Q2499" s="16" t="n"/>
      <c r="R2499" s="16">
        <f>HYPERLINK("https://checko.ru/search?query=3801001629","Чекко: проверить")</f>
        <v/>
      </c>
      <c r="S2499" t="n">
        <v>0</v>
      </c>
    </row>
    <row r="2500" ht="15" customHeight="1" s="24">
      <c r="A2500" s="13" t="n">
        <v>5000095101</v>
      </c>
      <c r="B2500" s="13" t="inlineStr">
        <is>
          <t>МКОУ "СОШ с. Лесного"</t>
        </is>
      </c>
      <c r="C2500" s="13" t="n">
        <v>716001132</v>
      </c>
      <c r="D2500" s="13" t="n"/>
      <c r="E2500" s="13" t="inlineStr">
        <is>
          <t>Не определён</t>
        </is>
      </c>
      <c r="F2500" s="13" t="inlineStr">
        <is>
          <t>716001132</t>
        </is>
      </c>
      <c r="G2500" s="14" t="n"/>
      <c r="H2500" s="14" t="n"/>
      <c r="I2500" s="14" t="n"/>
      <c r="J2500" s="14" t="n"/>
      <c r="K2500" s="13">
        <f>IF(G2500="","",IF(G2500&gt;=22,"Да","Нет"))</f>
        <v/>
      </c>
      <c r="L2500" s="13">
        <f>IF(OR(I2500="",J2500=""),"Не определено",IF(OR(COUNTIF(I2500,"45*")&gt;0,COUNTIF(J2500,"*45*")&gt;0,COUNTIF(I2500,"46*")&gt;0,COUNTIF(J2500,"*46*")&gt;0,COUNTIF(I2500,"47*")&gt;0,COUNTIF(J2500,"*47*")&gt;0,COUNTIF(I2500,"10*")&gt;0,COUNTIF(J2500,"*10*")&gt;0,COUNTIF(I2500,"11*")&gt;0,COUNTIF(J2500,"*11*")&gt;0,COUNTIF(I2500,"12*")&gt;0,COUNTIF(J2500,"*12*")&gt;0,COUNTIF(I2500,"13*")&gt;0,COUNTIF(J2500,"*13*")&gt;0,COUNTIF(I2500,"14*")&gt;0,COUNTIF(J2500,"*14*")&gt;0,COUNTIF(I2500,"15*")&gt;0,COUNTIF(J2500,"*15*")&gt;0,COUNTIF(I2500,"16*")&gt;0,COUNTIF(J2500,"*16*")&gt;0,COUNTIF(I2500,"17*")&gt;0,COUNTIF(J2500,"*17*")&gt;0,COUNTIF(I2500,"18*")&gt;0,COUNTIF(J2500,"*18*")&gt;0,COUNTIF(I2500,"19*")&gt;0,COUNTIF(J2500,"*19*")&gt;0,COUNTIF(I2500,"20*")&gt;0,COUNTIF(J2500,"*20*")&gt;0,COUNTIF(I2500,"21*")&gt;0,COUNTIF(J2500,"*21*")&gt;0,COUNTIF(I2500,"22*")&gt;0,COUNTIF(J2500,"*22*")&gt;0,COUNTIF(I2500,"23*")&gt;0,COUNTIF(J2500,"*23*")&gt;0,COUNTIF(I2500,"24*")&gt;0,COUNTIF(J2500,"*24*")&gt;0,COUNTIF(I2500,"25*")&gt;0,COUNTIF(J2500,"*25*")&gt;0,COUNTIF(I2500,"26*")&gt;0,COUNTIF(J2500,"*26*")&gt;0,COUNTIF(I2500,"27*")&gt;0,COUNTIF(J2500,"*27*")&gt;0,COUNTIF(I2500,"28*")&gt;0,COUNTIF(J2500,"*28*")&gt;0,COUNTIF(I2500,"29*")&gt;0,COUNTIF(J2500,"*29*")&gt;0,COUNTIF(I2500,"30*")&gt;0,COUNTIF(J2500,"*30*")&gt;0,COUNTIF(I2500,"31*")&gt;0,COUNTIF(J2500,"*31*")&gt;0,COUNTIF(I2500,"32*")&gt;0,COUNTIF(J2500,"*32*")&gt;0,COUNTIF(I2500,"33*")&gt;0,COUNTIF(J2500,"*33*")&gt;0,COUNTIF(I2500,"41*")&gt;0,COUNTIF(J2500,"*41*")&gt;0,COUNTIF(I2500,"42*")&gt;0,COUNTIF(J2500,"*42*")&gt;0,COUNTIF(I2500,"43*")&gt;0,COUNTIF(J2500,"*43*")&gt;0,COUNTIF(I2500,"49*")&gt;0,COUNTIF(J2500,"*49*")&gt;0,COUNTIF(I2500,"52*")&gt;0,COUNTIF(J2500,"*52*")&gt;0,COUNTIF(I2500,"55*")&gt;0,COUNTIF(J2500,"*55*")&gt;0,COUNTIF(I2500,"56*")&gt;0,COUNTIF(J2500,"*56*")&gt;0,COUNTIF(I2500,"68*")&gt;0,COUNTIF(J2500,"*68*")&gt;0,COUNTIF(I2500,"78*")&gt;0,COUNTIF(J2500,"*78*")&gt;0,COUNTIF(I2500,"81*")&gt;0,COUNTIF(J2500,"*81*")&gt;0,COUNTIF(I2500,"82*")&gt;0,COUNTIF(J2500,"*82*")&gt;0,COUNTIF(I2500,"64*")&gt;0,COUNTIF(J2500,"*64*")&gt;0,COUNTIF(I2500,"65*")&gt;0,COUNTIF(J2500,"*65*")&gt;0,COUNTIF(I2500,"66*")&gt;0,COUNTIF(J2500,"*66*")&gt;0,COUNTIF(I2500,"61*")&gt;0,COUNTIF(J2500,"*61*")&gt;0,COUNTIF(I2500,"62*")&gt;0,COUNTIF(J2500,"*62*")&gt;0,COUNTIF(I2500,"63*")&gt;0,COUNTIF(J2500,"*63*")&gt;0,COUNTIF(I2500,"85*")&gt;0,COUNTIF(J2500,"*85*")&gt;0,COUNTIF(I2500,"86*")&gt;0,COUNTIF(J2500,"*86*")&gt;0),"Да","Нет"))</f>
        <v/>
      </c>
      <c r="M2500" s="13">
        <f>IF(OR(G2500="",L2500&lt;&gt;"Да"),"",IF(G2500&lt;=100,"До 100",IF(G2500&lt;=200,"До 200",IF(G2500&lt;=500,"До 500","Отдельное КП"))))</f>
        <v/>
      </c>
      <c r="N2500" s="15">
        <f>IF(OR(G2500="",L2500&lt;&gt;"Да"),"",IF(G2500&lt;=100,33600,IF(G2500&lt;=200,62400,IF(G2500&lt;=500,144000,""))))</f>
        <v/>
      </c>
      <c r="O2500" s="16">
        <f>IF(G2500="","",IF(G2500&lt;=15,"1–15",IF(G2500&lt;=30,"16–30",IF(G2500&lt;=50,"31–50",IF(G2500&lt;=100,"51–100",IF(G2500&lt;=150,"101–150",IF(G2500&lt;=200,"151–200",IF(G2500&lt;=500,"201–500","500+"))))))))</f>
        <v/>
      </c>
      <c r="P2500" s="16" t="inlineStr">
        <is>
          <t>Нет совпадения в предоставленной выгрузке ССЧР</t>
        </is>
      </c>
      <c r="Q2500" s="16" t="n"/>
      <c r="R2500" s="16">
        <f>HYPERLINK("https://checko.ru/search?query=3801001629","Чекко: проверить")</f>
        <v/>
      </c>
      <c r="S2500" t="n">
        <v>0</v>
      </c>
    </row>
    <row r="2501" ht="15" customHeight="1" s="24">
      <c r="A2501" s="13" t="n">
        <v>5000095103</v>
      </c>
      <c r="B2501" s="13" t="inlineStr">
        <is>
          <t>МКОУ "СОШ им. С.П. Восканова с. Пролетарского"</t>
        </is>
      </c>
      <c r="C2501" s="13" t="n">
        <v>716001157</v>
      </c>
      <c r="D2501" s="13" t="n"/>
      <c r="E2501" s="13" t="inlineStr">
        <is>
          <t>Не определён</t>
        </is>
      </c>
      <c r="F2501" s="13" t="inlineStr">
        <is>
          <t>716001157</t>
        </is>
      </c>
      <c r="G2501" s="14" t="n"/>
      <c r="H2501" s="14" t="n"/>
      <c r="I2501" s="14" t="n"/>
      <c r="J2501" s="14" t="n"/>
      <c r="K2501" s="13">
        <f>IF(G2501="","",IF(G2501&gt;=22,"Да","Нет"))</f>
        <v/>
      </c>
      <c r="L2501" s="13">
        <f>IF(OR(I2501="",J2501=""),"Не определено",IF(OR(COUNTIF(I2501,"45*")&gt;0,COUNTIF(J2501,"*45*")&gt;0,COUNTIF(I2501,"46*")&gt;0,COUNTIF(J2501,"*46*")&gt;0,COUNTIF(I2501,"47*")&gt;0,COUNTIF(J2501,"*47*")&gt;0,COUNTIF(I2501,"10*")&gt;0,COUNTIF(J2501,"*10*")&gt;0,COUNTIF(I2501,"11*")&gt;0,COUNTIF(J2501,"*11*")&gt;0,COUNTIF(I2501,"12*")&gt;0,COUNTIF(J2501,"*12*")&gt;0,COUNTIF(I2501,"13*")&gt;0,COUNTIF(J2501,"*13*")&gt;0,COUNTIF(I2501,"14*")&gt;0,COUNTIF(J2501,"*14*")&gt;0,COUNTIF(I2501,"15*")&gt;0,COUNTIF(J2501,"*15*")&gt;0,COUNTIF(I2501,"16*")&gt;0,COUNTIF(J2501,"*16*")&gt;0,COUNTIF(I2501,"17*")&gt;0,COUNTIF(J2501,"*17*")&gt;0,COUNTIF(I2501,"18*")&gt;0,COUNTIF(J2501,"*18*")&gt;0,COUNTIF(I2501,"19*")&gt;0,COUNTIF(J2501,"*19*")&gt;0,COUNTIF(I2501,"20*")&gt;0,COUNTIF(J2501,"*20*")&gt;0,COUNTIF(I2501,"21*")&gt;0,COUNTIF(J2501,"*21*")&gt;0,COUNTIF(I2501,"22*")&gt;0,COUNTIF(J2501,"*22*")&gt;0,COUNTIF(I2501,"23*")&gt;0,COUNTIF(J2501,"*23*")&gt;0,COUNTIF(I2501,"24*")&gt;0,COUNTIF(J2501,"*24*")&gt;0,COUNTIF(I2501,"25*")&gt;0,COUNTIF(J2501,"*25*")&gt;0,COUNTIF(I2501,"26*")&gt;0,COUNTIF(J2501,"*26*")&gt;0,COUNTIF(I2501,"27*")&gt;0,COUNTIF(J2501,"*27*")&gt;0,COUNTIF(I2501,"28*")&gt;0,COUNTIF(J2501,"*28*")&gt;0,COUNTIF(I2501,"29*")&gt;0,COUNTIF(J2501,"*29*")&gt;0,COUNTIF(I2501,"30*")&gt;0,COUNTIF(J2501,"*30*")&gt;0,COUNTIF(I2501,"31*")&gt;0,COUNTIF(J2501,"*31*")&gt;0,COUNTIF(I2501,"32*")&gt;0,COUNTIF(J2501,"*32*")&gt;0,COUNTIF(I2501,"33*")&gt;0,COUNTIF(J2501,"*33*")&gt;0,COUNTIF(I2501,"41*")&gt;0,COUNTIF(J2501,"*41*")&gt;0,COUNTIF(I2501,"42*")&gt;0,COUNTIF(J2501,"*42*")&gt;0,COUNTIF(I2501,"43*")&gt;0,COUNTIF(J2501,"*43*")&gt;0,COUNTIF(I2501,"49*")&gt;0,COUNTIF(J2501,"*49*")&gt;0,COUNTIF(I2501,"52*")&gt;0,COUNTIF(J2501,"*52*")&gt;0,COUNTIF(I2501,"55*")&gt;0,COUNTIF(J2501,"*55*")&gt;0,COUNTIF(I2501,"56*")&gt;0,COUNTIF(J2501,"*56*")&gt;0,COUNTIF(I2501,"68*")&gt;0,COUNTIF(J2501,"*68*")&gt;0,COUNTIF(I2501,"78*")&gt;0,COUNTIF(J2501,"*78*")&gt;0,COUNTIF(I2501,"81*")&gt;0,COUNTIF(J2501,"*81*")&gt;0,COUNTIF(I2501,"82*")&gt;0,COUNTIF(J2501,"*82*")&gt;0,COUNTIF(I2501,"64*")&gt;0,COUNTIF(J2501,"*64*")&gt;0,COUNTIF(I2501,"65*")&gt;0,COUNTIF(J2501,"*65*")&gt;0,COUNTIF(I2501,"66*")&gt;0,COUNTIF(J2501,"*66*")&gt;0,COUNTIF(I2501,"61*")&gt;0,COUNTIF(J2501,"*61*")&gt;0,COUNTIF(I2501,"62*")&gt;0,COUNTIF(J2501,"*62*")&gt;0,COUNTIF(I2501,"63*")&gt;0,COUNTIF(J2501,"*63*")&gt;0,COUNTIF(I2501,"85*")&gt;0,COUNTIF(J2501,"*85*")&gt;0,COUNTIF(I2501,"86*")&gt;0,COUNTIF(J2501,"*86*")&gt;0),"Да","Нет"))</f>
        <v/>
      </c>
      <c r="M2501" s="13">
        <f>IF(OR(G2501="",L2501&lt;&gt;"Да"),"",IF(G2501&lt;=100,"До 100",IF(G2501&lt;=200,"До 200",IF(G2501&lt;=500,"До 500","Отдельное КП"))))</f>
        <v/>
      </c>
      <c r="N2501" s="15">
        <f>IF(OR(G2501="",L2501&lt;&gt;"Да"),"",IF(G2501&lt;=100,33600,IF(G2501&lt;=200,62400,IF(G2501&lt;=500,144000,""))))</f>
        <v/>
      </c>
      <c r="O2501" s="16">
        <f>IF(G2501="","",IF(G2501&lt;=15,"1–15",IF(G2501&lt;=30,"16–30",IF(G2501&lt;=50,"31–50",IF(G2501&lt;=100,"51–100",IF(G2501&lt;=150,"101–150",IF(G2501&lt;=200,"151–200",IF(G2501&lt;=500,"201–500","500+"))))))))</f>
        <v/>
      </c>
      <c r="P2501" s="16" t="inlineStr">
        <is>
          <t>Нет совпадения в предоставленной выгрузке ССЧР</t>
        </is>
      </c>
      <c r="Q2501" s="16" t="n"/>
      <c r="R2501" s="16">
        <f>HYPERLINK("https://checko.ru/search?query=3801001629","Чекко: проверить")</f>
        <v/>
      </c>
      <c r="S2501" t="n">
        <v>0</v>
      </c>
    </row>
    <row r="2502" ht="15" customHeight="1" s="24">
      <c r="A2502" s="13" t="n">
        <v>5000095104</v>
      </c>
      <c r="B2502" s="13" t="inlineStr">
        <is>
          <t>МКОУ "СОШ с. Малакановского"</t>
        </is>
      </c>
      <c r="C2502" s="13" t="n">
        <v>716001164</v>
      </c>
      <c r="D2502" s="13" t="n"/>
      <c r="E2502" s="13" t="inlineStr">
        <is>
          <t>Не определён</t>
        </is>
      </c>
      <c r="F2502" s="13" t="inlineStr">
        <is>
          <t>716001164</t>
        </is>
      </c>
      <c r="G2502" s="14" t="n"/>
      <c r="H2502" s="14" t="n"/>
      <c r="I2502" s="14" t="n"/>
      <c r="J2502" s="14" t="n"/>
      <c r="K2502" s="13">
        <f>IF(G2502="","",IF(G2502&gt;=22,"Да","Нет"))</f>
        <v/>
      </c>
      <c r="L2502" s="13">
        <f>IF(OR(I2502="",J2502=""),"Не определено",IF(OR(COUNTIF(I2502,"45*")&gt;0,COUNTIF(J2502,"*45*")&gt;0,COUNTIF(I2502,"46*")&gt;0,COUNTIF(J2502,"*46*")&gt;0,COUNTIF(I2502,"47*")&gt;0,COUNTIF(J2502,"*47*")&gt;0,COUNTIF(I2502,"10*")&gt;0,COUNTIF(J2502,"*10*")&gt;0,COUNTIF(I2502,"11*")&gt;0,COUNTIF(J2502,"*11*")&gt;0,COUNTIF(I2502,"12*")&gt;0,COUNTIF(J2502,"*12*")&gt;0,COUNTIF(I2502,"13*")&gt;0,COUNTIF(J2502,"*13*")&gt;0,COUNTIF(I2502,"14*")&gt;0,COUNTIF(J2502,"*14*")&gt;0,COUNTIF(I2502,"15*")&gt;0,COUNTIF(J2502,"*15*")&gt;0,COUNTIF(I2502,"16*")&gt;0,COUNTIF(J2502,"*16*")&gt;0,COUNTIF(I2502,"17*")&gt;0,COUNTIF(J2502,"*17*")&gt;0,COUNTIF(I2502,"18*")&gt;0,COUNTIF(J2502,"*18*")&gt;0,COUNTIF(I2502,"19*")&gt;0,COUNTIF(J2502,"*19*")&gt;0,COUNTIF(I2502,"20*")&gt;0,COUNTIF(J2502,"*20*")&gt;0,COUNTIF(I2502,"21*")&gt;0,COUNTIF(J2502,"*21*")&gt;0,COUNTIF(I2502,"22*")&gt;0,COUNTIF(J2502,"*22*")&gt;0,COUNTIF(I2502,"23*")&gt;0,COUNTIF(J2502,"*23*")&gt;0,COUNTIF(I2502,"24*")&gt;0,COUNTIF(J2502,"*24*")&gt;0,COUNTIF(I2502,"25*")&gt;0,COUNTIF(J2502,"*25*")&gt;0,COUNTIF(I2502,"26*")&gt;0,COUNTIF(J2502,"*26*")&gt;0,COUNTIF(I2502,"27*")&gt;0,COUNTIF(J2502,"*27*")&gt;0,COUNTIF(I2502,"28*")&gt;0,COUNTIF(J2502,"*28*")&gt;0,COUNTIF(I2502,"29*")&gt;0,COUNTIF(J2502,"*29*")&gt;0,COUNTIF(I2502,"30*")&gt;0,COUNTIF(J2502,"*30*")&gt;0,COUNTIF(I2502,"31*")&gt;0,COUNTIF(J2502,"*31*")&gt;0,COUNTIF(I2502,"32*")&gt;0,COUNTIF(J2502,"*32*")&gt;0,COUNTIF(I2502,"33*")&gt;0,COUNTIF(J2502,"*33*")&gt;0,COUNTIF(I2502,"41*")&gt;0,COUNTIF(J2502,"*41*")&gt;0,COUNTIF(I2502,"42*")&gt;0,COUNTIF(J2502,"*42*")&gt;0,COUNTIF(I2502,"43*")&gt;0,COUNTIF(J2502,"*43*")&gt;0,COUNTIF(I2502,"49*")&gt;0,COUNTIF(J2502,"*49*")&gt;0,COUNTIF(I2502,"52*")&gt;0,COUNTIF(J2502,"*52*")&gt;0,COUNTIF(I2502,"55*")&gt;0,COUNTIF(J2502,"*55*")&gt;0,COUNTIF(I2502,"56*")&gt;0,COUNTIF(J2502,"*56*")&gt;0,COUNTIF(I2502,"68*")&gt;0,COUNTIF(J2502,"*68*")&gt;0,COUNTIF(I2502,"78*")&gt;0,COUNTIF(J2502,"*78*")&gt;0,COUNTIF(I2502,"81*")&gt;0,COUNTIF(J2502,"*81*")&gt;0,COUNTIF(I2502,"82*")&gt;0,COUNTIF(J2502,"*82*")&gt;0,COUNTIF(I2502,"64*")&gt;0,COUNTIF(J2502,"*64*")&gt;0,COUNTIF(I2502,"65*")&gt;0,COUNTIF(J2502,"*65*")&gt;0,COUNTIF(I2502,"66*")&gt;0,COUNTIF(J2502,"*66*")&gt;0,COUNTIF(I2502,"61*")&gt;0,COUNTIF(J2502,"*61*")&gt;0,COUNTIF(I2502,"62*")&gt;0,COUNTIF(J2502,"*62*")&gt;0,COUNTIF(I2502,"63*")&gt;0,COUNTIF(J2502,"*63*")&gt;0,COUNTIF(I2502,"85*")&gt;0,COUNTIF(J2502,"*85*")&gt;0,COUNTIF(I2502,"86*")&gt;0,COUNTIF(J2502,"*86*")&gt;0),"Да","Нет"))</f>
        <v/>
      </c>
      <c r="M2502" s="13">
        <f>IF(OR(G2502="",L2502&lt;&gt;"Да"),"",IF(G2502&lt;=100,"До 100",IF(G2502&lt;=200,"До 200",IF(G2502&lt;=500,"До 500","Отдельное КП"))))</f>
        <v/>
      </c>
      <c r="N2502" s="15">
        <f>IF(OR(G2502="",L2502&lt;&gt;"Да"),"",IF(G2502&lt;=100,33600,IF(G2502&lt;=200,62400,IF(G2502&lt;=500,144000,""))))</f>
        <v/>
      </c>
      <c r="O2502" s="16">
        <f>IF(G2502="","",IF(G2502&lt;=15,"1–15",IF(G2502&lt;=30,"16–30",IF(G2502&lt;=50,"31–50",IF(G2502&lt;=100,"51–100",IF(G2502&lt;=150,"101–150",IF(G2502&lt;=200,"151–200",IF(G2502&lt;=500,"201–500","500+"))))))))</f>
        <v/>
      </c>
      <c r="P2502" s="16" t="inlineStr">
        <is>
          <t>Нет совпадения в предоставленной выгрузке ССЧР</t>
        </is>
      </c>
      <c r="Q2502" s="16" t="n"/>
      <c r="R2502" s="16">
        <f>HYPERLINK("https://checko.ru/search?query=3801001629","Чекко: проверить")</f>
        <v/>
      </c>
      <c r="S2502" t="n">
        <v>0</v>
      </c>
    </row>
    <row r="2503" ht="15" customHeight="1" s="24">
      <c r="A2503" s="13" t="n">
        <v>5000095105</v>
      </c>
      <c r="B2503" s="13" t="inlineStr">
        <is>
          <t>МКОУ "СОШ с. Псыншоко"</t>
        </is>
      </c>
      <c r="C2503" s="13" t="n">
        <v>716001171</v>
      </c>
      <c r="D2503" s="13" t="n"/>
      <c r="E2503" s="13" t="inlineStr">
        <is>
          <t>Не определён</t>
        </is>
      </c>
      <c r="F2503" s="13" t="inlineStr">
        <is>
          <t>716001171</t>
        </is>
      </c>
      <c r="G2503" s="14" t="n"/>
      <c r="H2503" s="14" t="n"/>
      <c r="I2503" s="14" t="n"/>
      <c r="J2503" s="14" t="n"/>
      <c r="K2503" s="13">
        <f>IF(G2503="","",IF(G2503&gt;=22,"Да","Нет"))</f>
        <v/>
      </c>
      <c r="L2503" s="13">
        <f>IF(OR(I2503="",J2503=""),"Не определено",IF(OR(COUNTIF(I2503,"45*")&gt;0,COUNTIF(J2503,"*45*")&gt;0,COUNTIF(I2503,"46*")&gt;0,COUNTIF(J2503,"*46*")&gt;0,COUNTIF(I2503,"47*")&gt;0,COUNTIF(J2503,"*47*")&gt;0,COUNTIF(I2503,"10*")&gt;0,COUNTIF(J2503,"*10*")&gt;0,COUNTIF(I2503,"11*")&gt;0,COUNTIF(J2503,"*11*")&gt;0,COUNTIF(I2503,"12*")&gt;0,COUNTIF(J2503,"*12*")&gt;0,COUNTIF(I2503,"13*")&gt;0,COUNTIF(J2503,"*13*")&gt;0,COUNTIF(I2503,"14*")&gt;0,COUNTIF(J2503,"*14*")&gt;0,COUNTIF(I2503,"15*")&gt;0,COUNTIF(J2503,"*15*")&gt;0,COUNTIF(I2503,"16*")&gt;0,COUNTIF(J2503,"*16*")&gt;0,COUNTIF(I2503,"17*")&gt;0,COUNTIF(J2503,"*17*")&gt;0,COUNTIF(I2503,"18*")&gt;0,COUNTIF(J2503,"*18*")&gt;0,COUNTIF(I2503,"19*")&gt;0,COUNTIF(J2503,"*19*")&gt;0,COUNTIF(I2503,"20*")&gt;0,COUNTIF(J2503,"*20*")&gt;0,COUNTIF(I2503,"21*")&gt;0,COUNTIF(J2503,"*21*")&gt;0,COUNTIF(I2503,"22*")&gt;0,COUNTIF(J2503,"*22*")&gt;0,COUNTIF(I2503,"23*")&gt;0,COUNTIF(J2503,"*23*")&gt;0,COUNTIF(I2503,"24*")&gt;0,COUNTIF(J2503,"*24*")&gt;0,COUNTIF(I2503,"25*")&gt;0,COUNTIF(J2503,"*25*")&gt;0,COUNTIF(I2503,"26*")&gt;0,COUNTIF(J2503,"*26*")&gt;0,COUNTIF(I2503,"27*")&gt;0,COUNTIF(J2503,"*27*")&gt;0,COUNTIF(I2503,"28*")&gt;0,COUNTIF(J2503,"*28*")&gt;0,COUNTIF(I2503,"29*")&gt;0,COUNTIF(J2503,"*29*")&gt;0,COUNTIF(I2503,"30*")&gt;0,COUNTIF(J2503,"*30*")&gt;0,COUNTIF(I2503,"31*")&gt;0,COUNTIF(J2503,"*31*")&gt;0,COUNTIF(I2503,"32*")&gt;0,COUNTIF(J2503,"*32*")&gt;0,COUNTIF(I2503,"33*")&gt;0,COUNTIF(J2503,"*33*")&gt;0,COUNTIF(I2503,"41*")&gt;0,COUNTIF(J2503,"*41*")&gt;0,COUNTIF(I2503,"42*")&gt;0,COUNTIF(J2503,"*42*")&gt;0,COUNTIF(I2503,"43*")&gt;0,COUNTIF(J2503,"*43*")&gt;0,COUNTIF(I2503,"49*")&gt;0,COUNTIF(J2503,"*49*")&gt;0,COUNTIF(I2503,"52*")&gt;0,COUNTIF(J2503,"*52*")&gt;0,COUNTIF(I2503,"55*")&gt;0,COUNTIF(J2503,"*55*")&gt;0,COUNTIF(I2503,"56*")&gt;0,COUNTIF(J2503,"*56*")&gt;0,COUNTIF(I2503,"68*")&gt;0,COUNTIF(J2503,"*68*")&gt;0,COUNTIF(I2503,"78*")&gt;0,COUNTIF(J2503,"*78*")&gt;0,COUNTIF(I2503,"81*")&gt;0,COUNTIF(J2503,"*81*")&gt;0,COUNTIF(I2503,"82*")&gt;0,COUNTIF(J2503,"*82*")&gt;0,COUNTIF(I2503,"64*")&gt;0,COUNTIF(J2503,"*64*")&gt;0,COUNTIF(I2503,"65*")&gt;0,COUNTIF(J2503,"*65*")&gt;0,COUNTIF(I2503,"66*")&gt;0,COUNTIF(J2503,"*66*")&gt;0,COUNTIF(I2503,"61*")&gt;0,COUNTIF(J2503,"*61*")&gt;0,COUNTIF(I2503,"62*")&gt;0,COUNTIF(J2503,"*62*")&gt;0,COUNTIF(I2503,"63*")&gt;0,COUNTIF(J2503,"*63*")&gt;0,COUNTIF(I2503,"85*")&gt;0,COUNTIF(J2503,"*85*")&gt;0,COUNTIF(I2503,"86*")&gt;0,COUNTIF(J2503,"*86*")&gt;0),"Да","Нет"))</f>
        <v/>
      </c>
      <c r="M2503" s="13">
        <f>IF(OR(G2503="",L2503&lt;&gt;"Да"),"",IF(G2503&lt;=100,"До 100",IF(G2503&lt;=200,"До 200",IF(G2503&lt;=500,"До 500","Отдельное КП"))))</f>
        <v/>
      </c>
      <c r="N2503" s="15">
        <f>IF(OR(G2503="",L2503&lt;&gt;"Да"),"",IF(G2503&lt;=100,33600,IF(G2503&lt;=200,62400,IF(G2503&lt;=500,144000,""))))</f>
        <v/>
      </c>
      <c r="O2503" s="16">
        <f>IF(G2503="","",IF(G2503&lt;=15,"1–15",IF(G2503&lt;=30,"16–30",IF(G2503&lt;=50,"31–50",IF(G2503&lt;=100,"51–100",IF(G2503&lt;=150,"101–150",IF(G2503&lt;=200,"151–200",IF(G2503&lt;=500,"201–500","500+"))))))))</f>
        <v/>
      </c>
      <c r="P2503" s="16" t="inlineStr">
        <is>
          <t>Нет совпадения в предоставленной выгрузке ССЧР</t>
        </is>
      </c>
      <c r="Q2503" s="16" t="n"/>
      <c r="R2503" s="16">
        <f>HYPERLINK("https://checko.ru/search?query=3801001629","Чекко: проверить")</f>
        <v/>
      </c>
      <c r="S2503" t="n">
        <v>0</v>
      </c>
    </row>
    <row r="2504" ht="15" customHeight="1" s="24">
      <c r="A2504" s="13" t="n">
        <v>5000095106</v>
      </c>
      <c r="B2504" s="13" t="inlineStr">
        <is>
          <t>МКОУ "СОШ с. Заречного"</t>
        </is>
      </c>
      <c r="C2504" s="13" t="n">
        <v>716001189</v>
      </c>
      <c r="D2504" s="13" t="n"/>
      <c r="E2504" s="13" t="inlineStr">
        <is>
          <t>Не определён</t>
        </is>
      </c>
      <c r="F2504" s="13" t="inlineStr">
        <is>
          <t>716001189</t>
        </is>
      </c>
      <c r="G2504" s="14" t="n"/>
      <c r="H2504" s="14" t="n"/>
      <c r="I2504" s="14" t="n"/>
      <c r="J2504" s="14" t="n"/>
      <c r="K2504" s="13">
        <f>IF(G2504="","",IF(G2504&gt;=22,"Да","Нет"))</f>
        <v/>
      </c>
      <c r="L2504" s="13">
        <f>IF(OR(I2504="",J2504=""),"Не определено",IF(OR(COUNTIF(I2504,"45*")&gt;0,COUNTIF(J2504,"*45*")&gt;0,COUNTIF(I2504,"46*")&gt;0,COUNTIF(J2504,"*46*")&gt;0,COUNTIF(I2504,"47*")&gt;0,COUNTIF(J2504,"*47*")&gt;0,COUNTIF(I2504,"10*")&gt;0,COUNTIF(J2504,"*10*")&gt;0,COUNTIF(I2504,"11*")&gt;0,COUNTIF(J2504,"*11*")&gt;0,COUNTIF(I2504,"12*")&gt;0,COUNTIF(J2504,"*12*")&gt;0,COUNTIF(I2504,"13*")&gt;0,COUNTIF(J2504,"*13*")&gt;0,COUNTIF(I2504,"14*")&gt;0,COUNTIF(J2504,"*14*")&gt;0,COUNTIF(I2504,"15*")&gt;0,COUNTIF(J2504,"*15*")&gt;0,COUNTIF(I2504,"16*")&gt;0,COUNTIF(J2504,"*16*")&gt;0,COUNTIF(I2504,"17*")&gt;0,COUNTIF(J2504,"*17*")&gt;0,COUNTIF(I2504,"18*")&gt;0,COUNTIF(J2504,"*18*")&gt;0,COUNTIF(I2504,"19*")&gt;0,COUNTIF(J2504,"*19*")&gt;0,COUNTIF(I2504,"20*")&gt;0,COUNTIF(J2504,"*20*")&gt;0,COUNTIF(I2504,"21*")&gt;0,COUNTIF(J2504,"*21*")&gt;0,COUNTIF(I2504,"22*")&gt;0,COUNTIF(J2504,"*22*")&gt;0,COUNTIF(I2504,"23*")&gt;0,COUNTIF(J2504,"*23*")&gt;0,COUNTIF(I2504,"24*")&gt;0,COUNTIF(J2504,"*24*")&gt;0,COUNTIF(I2504,"25*")&gt;0,COUNTIF(J2504,"*25*")&gt;0,COUNTIF(I2504,"26*")&gt;0,COUNTIF(J2504,"*26*")&gt;0,COUNTIF(I2504,"27*")&gt;0,COUNTIF(J2504,"*27*")&gt;0,COUNTIF(I2504,"28*")&gt;0,COUNTIF(J2504,"*28*")&gt;0,COUNTIF(I2504,"29*")&gt;0,COUNTIF(J2504,"*29*")&gt;0,COUNTIF(I2504,"30*")&gt;0,COUNTIF(J2504,"*30*")&gt;0,COUNTIF(I2504,"31*")&gt;0,COUNTIF(J2504,"*31*")&gt;0,COUNTIF(I2504,"32*")&gt;0,COUNTIF(J2504,"*32*")&gt;0,COUNTIF(I2504,"33*")&gt;0,COUNTIF(J2504,"*33*")&gt;0,COUNTIF(I2504,"41*")&gt;0,COUNTIF(J2504,"*41*")&gt;0,COUNTIF(I2504,"42*")&gt;0,COUNTIF(J2504,"*42*")&gt;0,COUNTIF(I2504,"43*")&gt;0,COUNTIF(J2504,"*43*")&gt;0,COUNTIF(I2504,"49*")&gt;0,COUNTIF(J2504,"*49*")&gt;0,COUNTIF(I2504,"52*")&gt;0,COUNTIF(J2504,"*52*")&gt;0,COUNTIF(I2504,"55*")&gt;0,COUNTIF(J2504,"*55*")&gt;0,COUNTIF(I2504,"56*")&gt;0,COUNTIF(J2504,"*56*")&gt;0,COUNTIF(I2504,"68*")&gt;0,COUNTIF(J2504,"*68*")&gt;0,COUNTIF(I2504,"78*")&gt;0,COUNTIF(J2504,"*78*")&gt;0,COUNTIF(I2504,"81*")&gt;0,COUNTIF(J2504,"*81*")&gt;0,COUNTIF(I2504,"82*")&gt;0,COUNTIF(J2504,"*82*")&gt;0,COUNTIF(I2504,"64*")&gt;0,COUNTIF(J2504,"*64*")&gt;0,COUNTIF(I2504,"65*")&gt;0,COUNTIF(J2504,"*65*")&gt;0,COUNTIF(I2504,"66*")&gt;0,COUNTIF(J2504,"*66*")&gt;0,COUNTIF(I2504,"61*")&gt;0,COUNTIF(J2504,"*61*")&gt;0,COUNTIF(I2504,"62*")&gt;0,COUNTIF(J2504,"*62*")&gt;0,COUNTIF(I2504,"63*")&gt;0,COUNTIF(J2504,"*63*")&gt;0,COUNTIF(I2504,"85*")&gt;0,COUNTIF(J2504,"*85*")&gt;0,COUNTIF(I2504,"86*")&gt;0,COUNTIF(J2504,"*86*")&gt;0),"Да","Нет"))</f>
        <v/>
      </c>
      <c r="M2504" s="13">
        <f>IF(OR(G2504="",L2504&lt;&gt;"Да"),"",IF(G2504&lt;=100,"До 100",IF(G2504&lt;=200,"До 200",IF(G2504&lt;=500,"До 500","Отдельное КП"))))</f>
        <v/>
      </c>
      <c r="N2504" s="15">
        <f>IF(OR(G2504="",L2504&lt;&gt;"Да"),"",IF(G2504&lt;=100,33600,IF(G2504&lt;=200,62400,IF(G2504&lt;=500,144000,""))))</f>
        <v/>
      </c>
      <c r="O2504" s="16">
        <f>IF(G2504="","",IF(G2504&lt;=15,"1–15",IF(G2504&lt;=30,"16–30",IF(G2504&lt;=50,"31–50",IF(G2504&lt;=100,"51–100",IF(G2504&lt;=150,"101–150",IF(G2504&lt;=200,"151–200",IF(G2504&lt;=500,"201–500","500+"))))))))</f>
        <v/>
      </c>
      <c r="P2504" s="16" t="inlineStr">
        <is>
          <t>Нет совпадения в предоставленной выгрузке ССЧР</t>
        </is>
      </c>
      <c r="Q2504" s="16" t="n"/>
      <c r="R2504" s="16">
        <f>HYPERLINK("https://checko.ru/search?query=3801001629","Чекко: проверить")</f>
        <v/>
      </c>
      <c r="S2504" t="n">
        <v>0</v>
      </c>
    </row>
    <row r="2505" ht="15" customHeight="1" s="24">
      <c r="A2505" s="13" t="n">
        <v>5000095107</v>
      </c>
      <c r="B2505" s="13" t="inlineStr">
        <is>
          <t>МКОУ "СОШ №1 им.Х.Т. Башорова с. Карагач"</t>
        </is>
      </c>
      <c r="C2505" s="13" t="n">
        <v>716001196</v>
      </c>
      <c r="D2505" s="13" t="n"/>
      <c r="E2505" s="13" t="inlineStr">
        <is>
          <t>Не определён</t>
        </is>
      </c>
      <c r="F2505" s="13" t="inlineStr">
        <is>
          <t>716001196</t>
        </is>
      </c>
      <c r="G2505" s="14" t="n"/>
      <c r="H2505" s="14" t="n"/>
      <c r="I2505" s="14" t="n"/>
      <c r="J2505" s="14" t="n"/>
      <c r="K2505" s="13">
        <f>IF(G2505="","",IF(G2505&gt;=22,"Да","Нет"))</f>
        <v/>
      </c>
      <c r="L2505" s="13">
        <f>IF(OR(I2505="",J2505=""),"Не определено",IF(OR(COUNTIF(I2505,"45*")&gt;0,COUNTIF(J2505,"*45*")&gt;0,COUNTIF(I2505,"46*")&gt;0,COUNTIF(J2505,"*46*")&gt;0,COUNTIF(I2505,"47*")&gt;0,COUNTIF(J2505,"*47*")&gt;0,COUNTIF(I2505,"10*")&gt;0,COUNTIF(J2505,"*10*")&gt;0,COUNTIF(I2505,"11*")&gt;0,COUNTIF(J2505,"*11*")&gt;0,COUNTIF(I2505,"12*")&gt;0,COUNTIF(J2505,"*12*")&gt;0,COUNTIF(I2505,"13*")&gt;0,COUNTIF(J2505,"*13*")&gt;0,COUNTIF(I2505,"14*")&gt;0,COUNTIF(J2505,"*14*")&gt;0,COUNTIF(I2505,"15*")&gt;0,COUNTIF(J2505,"*15*")&gt;0,COUNTIF(I2505,"16*")&gt;0,COUNTIF(J2505,"*16*")&gt;0,COUNTIF(I2505,"17*")&gt;0,COUNTIF(J2505,"*17*")&gt;0,COUNTIF(I2505,"18*")&gt;0,COUNTIF(J2505,"*18*")&gt;0,COUNTIF(I2505,"19*")&gt;0,COUNTIF(J2505,"*19*")&gt;0,COUNTIF(I2505,"20*")&gt;0,COUNTIF(J2505,"*20*")&gt;0,COUNTIF(I2505,"21*")&gt;0,COUNTIF(J2505,"*21*")&gt;0,COUNTIF(I2505,"22*")&gt;0,COUNTIF(J2505,"*22*")&gt;0,COUNTIF(I2505,"23*")&gt;0,COUNTIF(J2505,"*23*")&gt;0,COUNTIF(I2505,"24*")&gt;0,COUNTIF(J2505,"*24*")&gt;0,COUNTIF(I2505,"25*")&gt;0,COUNTIF(J2505,"*25*")&gt;0,COUNTIF(I2505,"26*")&gt;0,COUNTIF(J2505,"*26*")&gt;0,COUNTIF(I2505,"27*")&gt;0,COUNTIF(J2505,"*27*")&gt;0,COUNTIF(I2505,"28*")&gt;0,COUNTIF(J2505,"*28*")&gt;0,COUNTIF(I2505,"29*")&gt;0,COUNTIF(J2505,"*29*")&gt;0,COUNTIF(I2505,"30*")&gt;0,COUNTIF(J2505,"*30*")&gt;0,COUNTIF(I2505,"31*")&gt;0,COUNTIF(J2505,"*31*")&gt;0,COUNTIF(I2505,"32*")&gt;0,COUNTIF(J2505,"*32*")&gt;0,COUNTIF(I2505,"33*")&gt;0,COUNTIF(J2505,"*33*")&gt;0,COUNTIF(I2505,"41*")&gt;0,COUNTIF(J2505,"*41*")&gt;0,COUNTIF(I2505,"42*")&gt;0,COUNTIF(J2505,"*42*")&gt;0,COUNTIF(I2505,"43*")&gt;0,COUNTIF(J2505,"*43*")&gt;0,COUNTIF(I2505,"49*")&gt;0,COUNTIF(J2505,"*49*")&gt;0,COUNTIF(I2505,"52*")&gt;0,COUNTIF(J2505,"*52*")&gt;0,COUNTIF(I2505,"55*")&gt;0,COUNTIF(J2505,"*55*")&gt;0,COUNTIF(I2505,"56*")&gt;0,COUNTIF(J2505,"*56*")&gt;0,COUNTIF(I2505,"68*")&gt;0,COUNTIF(J2505,"*68*")&gt;0,COUNTIF(I2505,"78*")&gt;0,COUNTIF(J2505,"*78*")&gt;0,COUNTIF(I2505,"81*")&gt;0,COUNTIF(J2505,"*81*")&gt;0,COUNTIF(I2505,"82*")&gt;0,COUNTIF(J2505,"*82*")&gt;0,COUNTIF(I2505,"64*")&gt;0,COUNTIF(J2505,"*64*")&gt;0,COUNTIF(I2505,"65*")&gt;0,COUNTIF(J2505,"*65*")&gt;0,COUNTIF(I2505,"66*")&gt;0,COUNTIF(J2505,"*66*")&gt;0,COUNTIF(I2505,"61*")&gt;0,COUNTIF(J2505,"*61*")&gt;0,COUNTIF(I2505,"62*")&gt;0,COUNTIF(J2505,"*62*")&gt;0,COUNTIF(I2505,"63*")&gt;0,COUNTIF(J2505,"*63*")&gt;0,COUNTIF(I2505,"85*")&gt;0,COUNTIF(J2505,"*85*")&gt;0,COUNTIF(I2505,"86*")&gt;0,COUNTIF(J2505,"*86*")&gt;0),"Да","Нет"))</f>
        <v/>
      </c>
      <c r="M2505" s="13">
        <f>IF(OR(G2505="",L2505&lt;&gt;"Да"),"",IF(G2505&lt;=100,"До 100",IF(G2505&lt;=200,"До 200",IF(G2505&lt;=500,"До 500","Отдельное КП"))))</f>
        <v/>
      </c>
      <c r="N2505" s="15">
        <f>IF(OR(G2505="",L2505&lt;&gt;"Да"),"",IF(G2505&lt;=100,33600,IF(G2505&lt;=200,62400,IF(G2505&lt;=500,144000,""))))</f>
        <v/>
      </c>
      <c r="O2505" s="16">
        <f>IF(G2505="","",IF(G2505&lt;=15,"1–15",IF(G2505&lt;=30,"16–30",IF(G2505&lt;=50,"31–50",IF(G2505&lt;=100,"51–100",IF(G2505&lt;=150,"101–150",IF(G2505&lt;=200,"151–200",IF(G2505&lt;=500,"201–500","500+"))))))))</f>
        <v/>
      </c>
      <c r="P2505" s="16" t="inlineStr">
        <is>
          <t>Нет совпадения в предоставленной выгрузке ССЧР</t>
        </is>
      </c>
      <c r="Q2505" s="16" t="n"/>
      <c r="R2505" s="16">
        <f>HYPERLINK("https://checko.ru/search?query=3801001629","Чекко: проверить")</f>
        <v/>
      </c>
      <c r="S2505" t="n">
        <v>0</v>
      </c>
    </row>
    <row r="2506" ht="15" customHeight="1" s="24">
      <c r="A2506" s="13" t="n">
        <v>5000095108</v>
      </c>
      <c r="B2506" s="13" t="inlineStr">
        <is>
          <t>МКОУ "ООШ им. И. Радченко с. Ново-Полтавского"</t>
        </is>
      </c>
      <c r="C2506" s="13" t="n">
        <v>716001206</v>
      </c>
      <c r="D2506" s="13" t="n"/>
      <c r="E2506" s="13" t="inlineStr">
        <is>
          <t>Не определён</t>
        </is>
      </c>
      <c r="F2506" s="13" t="inlineStr">
        <is>
          <t>716001206</t>
        </is>
      </c>
      <c r="G2506" s="14" t="n"/>
      <c r="H2506" s="14" t="n"/>
      <c r="I2506" s="14" t="n"/>
      <c r="J2506" s="14" t="n"/>
      <c r="K2506" s="13">
        <f>IF(G2506="","",IF(G2506&gt;=22,"Да","Нет"))</f>
        <v/>
      </c>
      <c r="L2506" s="13">
        <f>IF(OR(I2506="",J2506=""),"Не определено",IF(OR(COUNTIF(I2506,"45*")&gt;0,COUNTIF(J2506,"*45*")&gt;0,COUNTIF(I2506,"46*")&gt;0,COUNTIF(J2506,"*46*")&gt;0,COUNTIF(I2506,"47*")&gt;0,COUNTIF(J2506,"*47*")&gt;0,COUNTIF(I2506,"10*")&gt;0,COUNTIF(J2506,"*10*")&gt;0,COUNTIF(I2506,"11*")&gt;0,COUNTIF(J2506,"*11*")&gt;0,COUNTIF(I2506,"12*")&gt;0,COUNTIF(J2506,"*12*")&gt;0,COUNTIF(I2506,"13*")&gt;0,COUNTIF(J2506,"*13*")&gt;0,COUNTIF(I2506,"14*")&gt;0,COUNTIF(J2506,"*14*")&gt;0,COUNTIF(I2506,"15*")&gt;0,COUNTIF(J2506,"*15*")&gt;0,COUNTIF(I2506,"16*")&gt;0,COUNTIF(J2506,"*16*")&gt;0,COUNTIF(I2506,"17*")&gt;0,COUNTIF(J2506,"*17*")&gt;0,COUNTIF(I2506,"18*")&gt;0,COUNTIF(J2506,"*18*")&gt;0,COUNTIF(I2506,"19*")&gt;0,COUNTIF(J2506,"*19*")&gt;0,COUNTIF(I2506,"20*")&gt;0,COUNTIF(J2506,"*20*")&gt;0,COUNTIF(I2506,"21*")&gt;0,COUNTIF(J2506,"*21*")&gt;0,COUNTIF(I2506,"22*")&gt;0,COUNTIF(J2506,"*22*")&gt;0,COUNTIF(I2506,"23*")&gt;0,COUNTIF(J2506,"*23*")&gt;0,COUNTIF(I2506,"24*")&gt;0,COUNTIF(J2506,"*24*")&gt;0,COUNTIF(I2506,"25*")&gt;0,COUNTIF(J2506,"*25*")&gt;0,COUNTIF(I2506,"26*")&gt;0,COUNTIF(J2506,"*26*")&gt;0,COUNTIF(I2506,"27*")&gt;0,COUNTIF(J2506,"*27*")&gt;0,COUNTIF(I2506,"28*")&gt;0,COUNTIF(J2506,"*28*")&gt;0,COUNTIF(I2506,"29*")&gt;0,COUNTIF(J2506,"*29*")&gt;0,COUNTIF(I2506,"30*")&gt;0,COUNTIF(J2506,"*30*")&gt;0,COUNTIF(I2506,"31*")&gt;0,COUNTIF(J2506,"*31*")&gt;0,COUNTIF(I2506,"32*")&gt;0,COUNTIF(J2506,"*32*")&gt;0,COUNTIF(I2506,"33*")&gt;0,COUNTIF(J2506,"*33*")&gt;0,COUNTIF(I2506,"41*")&gt;0,COUNTIF(J2506,"*41*")&gt;0,COUNTIF(I2506,"42*")&gt;0,COUNTIF(J2506,"*42*")&gt;0,COUNTIF(I2506,"43*")&gt;0,COUNTIF(J2506,"*43*")&gt;0,COUNTIF(I2506,"49*")&gt;0,COUNTIF(J2506,"*49*")&gt;0,COUNTIF(I2506,"52*")&gt;0,COUNTIF(J2506,"*52*")&gt;0,COUNTIF(I2506,"55*")&gt;0,COUNTIF(J2506,"*55*")&gt;0,COUNTIF(I2506,"56*")&gt;0,COUNTIF(J2506,"*56*")&gt;0,COUNTIF(I2506,"68*")&gt;0,COUNTIF(J2506,"*68*")&gt;0,COUNTIF(I2506,"78*")&gt;0,COUNTIF(J2506,"*78*")&gt;0,COUNTIF(I2506,"81*")&gt;0,COUNTIF(J2506,"*81*")&gt;0,COUNTIF(I2506,"82*")&gt;0,COUNTIF(J2506,"*82*")&gt;0,COUNTIF(I2506,"64*")&gt;0,COUNTIF(J2506,"*64*")&gt;0,COUNTIF(I2506,"65*")&gt;0,COUNTIF(J2506,"*65*")&gt;0,COUNTIF(I2506,"66*")&gt;0,COUNTIF(J2506,"*66*")&gt;0,COUNTIF(I2506,"61*")&gt;0,COUNTIF(J2506,"*61*")&gt;0,COUNTIF(I2506,"62*")&gt;0,COUNTIF(J2506,"*62*")&gt;0,COUNTIF(I2506,"63*")&gt;0,COUNTIF(J2506,"*63*")&gt;0,COUNTIF(I2506,"85*")&gt;0,COUNTIF(J2506,"*85*")&gt;0,COUNTIF(I2506,"86*")&gt;0,COUNTIF(J2506,"*86*")&gt;0),"Да","Нет"))</f>
        <v/>
      </c>
      <c r="M2506" s="13">
        <f>IF(OR(G2506="",L2506&lt;&gt;"Да"),"",IF(G2506&lt;=100,"До 100",IF(G2506&lt;=200,"До 200",IF(G2506&lt;=500,"До 500","Отдельное КП"))))</f>
        <v/>
      </c>
      <c r="N2506" s="15">
        <f>IF(OR(G2506="",L2506&lt;&gt;"Да"),"",IF(G2506&lt;=100,33600,IF(G2506&lt;=200,62400,IF(G2506&lt;=500,144000,""))))</f>
        <v/>
      </c>
      <c r="O2506" s="16">
        <f>IF(G2506="","",IF(G2506&lt;=15,"1–15",IF(G2506&lt;=30,"16–30",IF(G2506&lt;=50,"31–50",IF(G2506&lt;=100,"51–100",IF(G2506&lt;=150,"101–150",IF(G2506&lt;=200,"151–200",IF(G2506&lt;=500,"201–500","500+"))))))))</f>
        <v/>
      </c>
      <c r="P2506" s="16" t="inlineStr">
        <is>
          <t>Нет совпадения в предоставленной выгрузке ССЧР</t>
        </is>
      </c>
      <c r="Q2506" s="16" t="n"/>
      <c r="R2506" s="16">
        <f>HYPERLINK("https://checko.ru/search?query=3801001629","Чекко: проверить")</f>
        <v/>
      </c>
      <c r="S2506" t="n">
        <v>0</v>
      </c>
    </row>
    <row r="2507" ht="15" customHeight="1" s="24">
      <c r="A2507" s="13" t="n">
        <v>5000095109</v>
      </c>
      <c r="B2507" s="13" t="inlineStr">
        <is>
          <t>МКОУ "СОШ № 1 с. Алтуд"</t>
        </is>
      </c>
      <c r="C2507" s="13" t="n">
        <v>716001213</v>
      </c>
      <c r="D2507" s="13" t="n"/>
      <c r="E2507" s="13" t="inlineStr">
        <is>
          <t>Не определён</t>
        </is>
      </c>
      <c r="F2507" s="13" t="inlineStr">
        <is>
          <t>716001213</t>
        </is>
      </c>
      <c r="G2507" s="14" t="n"/>
      <c r="H2507" s="14" t="n"/>
      <c r="I2507" s="14" t="n"/>
      <c r="J2507" s="14" t="n"/>
      <c r="K2507" s="13">
        <f>IF(G2507="","",IF(G2507&gt;=22,"Да","Нет"))</f>
        <v/>
      </c>
      <c r="L2507" s="13">
        <f>IF(OR(I2507="",J2507=""),"Не определено",IF(OR(COUNTIF(I2507,"45*")&gt;0,COUNTIF(J2507,"*45*")&gt;0,COUNTIF(I2507,"46*")&gt;0,COUNTIF(J2507,"*46*")&gt;0,COUNTIF(I2507,"47*")&gt;0,COUNTIF(J2507,"*47*")&gt;0,COUNTIF(I2507,"10*")&gt;0,COUNTIF(J2507,"*10*")&gt;0,COUNTIF(I2507,"11*")&gt;0,COUNTIF(J2507,"*11*")&gt;0,COUNTIF(I2507,"12*")&gt;0,COUNTIF(J2507,"*12*")&gt;0,COUNTIF(I2507,"13*")&gt;0,COUNTIF(J2507,"*13*")&gt;0,COUNTIF(I2507,"14*")&gt;0,COUNTIF(J2507,"*14*")&gt;0,COUNTIF(I2507,"15*")&gt;0,COUNTIF(J2507,"*15*")&gt;0,COUNTIF(I2507,"16*")&gt;0,COUNTIF(J2507,"*16*")&gt;0,COUNTIF(I2507,"17*")&gt;0,COUNTIF(J2507,"*17*")&gt;0,COUNTIF(I2507,"18*")&gt;0,COUNTIF(J2507,"*18*")&gt;0,COUNTIF(I2507,"19*")&gt;0,COUNTIF(J2507,"*19*")&gt;0,COUNTIF(I2507,"20*")&gt;0,COUNTIF(J2507,"*20*")&gt;0,COUNTIF(I2507,"21*")&gt;0,COUNTIF(J2507,"*21*")&gt;0,COUNTIF(I2507,"22*")&gt;0,COUNTIF(J2507,"*22*")&gt;0,COUNTIF(I2507,"23*")&gt;0,COUNTIF(J2507,"*23*")&gt;0,COUNTIF(I2507,"24*")&gt;0,COUNTIF(J2507,"*24*")&gt;0,COUNTIF(I2507,"25*")&gt;0,COUNTIF(J2507,"*25*")&gt;0,COUNTIF(I2507,"26*")&gt;0,COUNTIF(J2507,"*26*")&gt;0,COUNTIF(I2507,"27*")&gt;0,COUNTIF(J2507,"*27*")&gt;0,COUNTIF(I2507,"28*")&gt;0,COUNTIF(J2507,"*28*")&gt;0,COUNTIF(I2507,"29*")&gt;0,COUNTIF(J2507,"*29*")&gt;0,COUNTIF(I2507,"30*")&gt;0,COUNTIF(J2507,"*30*")&gt;0,COUNTIF(I2507,"31*")&gt;0,COUNTIF(J2507,"*31*")&gt;0,COUNTIF(I2507,"32*")&gt;0,COUNTIF(J2507,"*32*")&gt;0,COUNTIF(I2507,"33*")&gt;0,COUNTIF(J2507,"*33*")&gt;0,COUNTIF(I2507,"41*")&gt;0,COUNTIF(J2507,"*41*")&gt;0,COUNTIF(I2507,"42*")&gt;0,COUNTIF(J2507,"*42*")&gt;0,COUNTIF(I2507,"43*")&gt;0,COUNTIF(J2507,"*43*")&gt;0,COUNTIF(I2507,"49*")&gt;0,COUNTIF(J2507,"*49*")&gt;0,COUNTIF(I2507,"52*")&gt;0,COUNTIF(J2507,"*52*")&gt;0,COUNTIF(I2507,"55*")&gt;0,COUNTIF(J2507,"*55*")&gt;0,COUNTIF(I2507,"56*")&gt;0,COUNTIF(J2507,"*56*")&gt;0,COUNTIF(I2507,"68*")&gt;0,COUNTIF(J2507,"*68*")&gt;0,COUNTIF(I2507,"78*")&gt;0,COUNTIF(J2507,"*78*")&gt;0,COUNTIF(I2507,"81*")&gt;0,COUNTIF(J2507,"*81*")&gt;0,COUNTIF(I2507,"82*")&gt;0,COUNTIF(J2507,"*82*")&gt;0,COUNTIF(I2507,"64*")&gt;0,COUNTIF(J2507,"*64*")&gt;0,COUNTIF(I2507,"65*")&gt;0,COUNTIF(J2507,"*65*")&gt;0,COUNTIF(I2507,"66*")&gt;0,COUNTIF(J2507,"*66*")&gt;0,COUNTIF(I2507,"61*")&gt;0,COUNTIF(J2507,"*61*")&gt;0,COUNTIF(I2507,"62*")&gt;0,COUNTIF(J2507,"*62*")&gt;0,COUNTIF(I2507,"63*")&gt;0,COUNTIF(J2507,"*63*")&gt;0,COUNTIF(I2507,"85*")&gt;0,COUNTIF(J2507,"*85*")&gt;0,COUNTIF(I2507,"86*")&gt;0,COUNTIF(J2507,"*86*")&gt;0),"Да","Нет"))</f>
        <v/>
      </c>
      <c r="M2507" s="13">
        <f>IF(OR(G2507="",L2507&lt;&gt;"Да"),"",IF(G2507&lt;=100,"До 100",IF(G2507&lt;=200,"До 200",IF(G2507&lt;=500,"До 500","Отдельное КП"))))</f>
        <v/>
      </c>
      <c r="N2507" s="15">
        <f>IF(OR(G2507="",L2507&lt;&gt;"Да"),"",IF(G2507&lt;=100,33600,IF(G2507&lt;=200,62400,IF(G2507&lt;=500,144000,""))))</f>
        <v/>
      </c>
      <c r="O2507" s="16">
        <f>IF(G2507="","",IF(G2507&lt;=15,"1–15",IF(G2507&lt;=30,"16–30",IF(G2507&lt;=50,"31–50",IF(G2507&lt;=100,"51–100",IF(G2507&lt;=150,"101–150",IF(G2507&lt;=200,"151–200",IF(G2507&lt;=500,"201–500","500+"))))))))</f>
        <v/>
      </c>
      <c r="P2507" s="16" t="inlineStr">
        <is>
          <t>Нет совпадения в предоставленной выгрузке ССЧР</t>
        </is>
      </c>
      <c r="Q2507" s="16" t="n"/>
      <c r="R2507" s="16">
        <f>HYPERLINK("https://checko.ru/search?query=3801001629","Чекко: проверить")</f>
        <v/>
      </c>
      <c r="S2507" t="n">
        <v>0</v>
      </c>
    </row>
    <row r="2508" ht="15" customHeight="1" s="24">
      <c r="A2508" s="13" t="n">
        <v>5000095112</v>
      </c>
      <c r="B2508" s="13" t="inlineStr">
        <is>
          <t>МКУК "КДЦ с.п. Благовещенка"</t>
        </is>
      </c>
      <c r="C2508" s="13" t="n">
        <v>716003860</v>
      </c>
      <c r="D2508" s="13" t="n"/>
      <c r="E2508" s="13" t="inlineStr">
        <is>
          <t>Не определён</t>
        </is>
      </c>
      <c r="F2508" s="13" t="inlineStr">
        <is>
          <t>716003860</t>
        </is>
      </c>
      <c r="G2508" s="14" t="n"/>
      <c r="H2508" s="14" t="n"/>
      <c r="I2508" s="14" t="n"/>
      <c r="J2508" s="14" t="n"/>
      <c r="K2508" s="13">
        <f>IF(G2508="","",IF(G2508&gt;=22,"Да","Нет"))</f>
        <v/>
      </c>
      <c r="L2508" s="13">
        <f>IF(OR(I2508="",J2508=""),"Не определено",IF(OR(COUNTIF(I2508,"45*")&gt;0,COUNTIF(J2508,"*45*")&gt;0,COUNTIF(I2508,"46*")&gt;0,COUNTIF(J2508,"*46*")&gt;0,COUNTIF(I2508,"47*")&gt;0,COUNTIF(J2508,"*47*")&gt;0,COUNTIF(I2508,"10*")&gt;0,COUNTIF(J2508,"*10*")&gt;0,COUNTIF(I2508,"11*")&gt;0,COUNTIF(J2508,"*11*")&gt;0,COUNTIF(I2508,"12*")&gt;0,COUNTIF(J2508,"*12*")&gt;0,COUNTIF(I2508,"13*")&gt;0,COUNTIF(J2508,"*13*")&gt;0,COUNTIF(I2508,"14*")&gt;0,COUNTIF(J2508,"*14*")&gt;0,COUNTIF(I2508,"15*")&gt;0,COUNTIF(J2508,"*15*")&gt;0,COUNTIF(I2508,"16*")&gt;0,COUNTIF(J2508,"*16*")&gt;0,COUNTIF(I2508,"17*")&gt;0,COUNTIF(J2508,"*17*")&gt;0,COUNTIF(I2508,"18*")&gt;0,COUNTIF(J2508,"*18*")&gt;0,COUNTIF(I2508,"19*")&gt;0,COUNTIF(J2508,"*19*")&gt;0,COUNTIF(I2508,"20*")&gt;0,COUNTIF(J2508,"*20*")&gt;0,COUNTIF(I2508,"21*")&gt;0,COUNTIF(J2508,"*21*")&gt;0,COUNTIF(I2508,"22*")&gt;0,COUNTIF(J2508,"*22*")&gt;0,COUNTIF(I2508,"23*")&gt;0,COUNTIF(J2508,"*23*")&gt;0,COUNTIF(I2508,"24*")&gt;0,COUNTIF(J2508,"*24*")&gt;0,COUNTIF(I2508,"25*")&gt;0,COUNTIF(J2508,"*25*")&gt;0,COUNTIF(I2508,"26*")&gt;0,COUNTIF(J2508,"*26*")&gt;0,COUNTIF(I2508,"27*")&gt;0,COUNTIF(J2508,"*27*")&gt;0,COUNTIF(I2508,"28*")&gt;0,COUNTIF(J2508,"*28*")&gt;0,COUNTIF(I2508,"29*")&gt;0,COUNTIF(J2508,"*29*")&gt;0,COUNTIF(I2508,"30*")&gt;0,COUNTIF(J2508,"*30*")&gt;0,COUNTIF(I2508,"31*")&gt;0,COUNTIF(J2508,"*31*")&gt;0,COUNTIF(I2508,"32*")&gt;0,COUNTIF(J2508,"*32*")&gt;0,COUNTIF(I2508,"33*")&gt;0,COUNTIF(J2508,"*33*")&gt;0,COUNTIF(I2508,"41*")&gt;0,COUNTIF(J2508,"*41*")&gt;0,COUNTIF(I2508,"42*")&gt;0,COUNTIF(J2508,"*42*")&gt;0,COUNTIF(I2508,"43*")&gt;0,COUNTIF(J2508,"*43*")&gt;0,COUNTIF(I2508,"49*")&gt;0,COUNTIF(J2508,"*49*")&gt;0,COUNTIF(I2508,"52*")&gt;0,COUNTIF(J2508,"*52*")&gt;0,COUNTIF(I2508,"55*")&gt;0,COUNTIF(J2508,"*55*")&gt;0,COUNTIF(I2508,"56*")&gt;0,COUNTIF(J2508,"*56*")&gt;0,COUNTIF(I2508,"68*")&gt;0,COUNTIF(J2508,"*68*")&gt;0,COUNTIF(I2508,"78*")&gt;0,COUNTIF(J2508,"*78*")&gt;0,COUNTIF(I2508,"81*")&gt;0,COUNTIF(J2508,"*81*")&gt;0,COUNTIF(I2508,"82*")&gt;0,COUNTIF(J2508,"*82*")&gt;0,COUNTIF(I2508,"64*")&gt;0,COUNTIF(J2508,"*64*")&gt;0,COUNTIF(I2508,"65*")&gt;0,COUNTIF(J2508,"*65*")&gt;0,COUNTIF(I2508,"66*")&gt;0,COUNTIF(J2508,"*66*")&gt;0,COUNTIF(I2508,"61*")&gt;0,COUNTIF(J2508,"*61*")&gt;0,COUNTIF(I2508,"62*")&gt;0,COUNTIF(J2508,"*62*")&gt;0,COUNTIF(I2508,"63*")&gt;0,COUNTIF(J2508,"*63*")&gt;0,COUNTIF(I2508,"85*")&gt;0,COUNTIF(J2508,"*85*")&gt;0,COUNTIF(I2508,"86*")&gt;0,COUNTIF(J2508,"*86*")&gt;0),"Да","Нет"))</f>
        <v/>
      </c>
      <c r="M2508" s="13">
        <f>IF(OR(G2508="",L2508&lt;&gt;"Да"),"",IF(G2508&lt;=100,"До 100",IF(G2508&lt;=200,"До 200",IF(G2508&lt;=500,"До 500","Отдельное КП"))))</f>
        <v/>
      </c>
      <c r="N2508" s="15">
        <f>IF(OR(G2508="",L2508&lt;&gt;"Да"),"",IF(G2508&lt;=100,33600,IF(G2508&lt;=200,62400,IF(G2508&lt;=500,144000,""))))</f>
        <v/>
      </c>
      <c r="O2508" s="16">
        <f>IF(G2508="","",IF(G2508&lt;=15,"1–15",IF(G2508&lt;=30,"16–30",IF(G2508&lt;=50,"31–50",IF(G2508&lt;=100,"51–100",IF(G2508&lt;=150,"101–150",IF(G2508&lt;=200,"151–200",IF(G2508&lt;=500,"201–500","500+"))))))))</f>
        <v/>
      </c>
      <c r="P2508" s="16" t="inlineStr">
        <is>
          <t>Нет совпадения в предоставленной выгрузке ССЧР</t>
        </is>
      </c>
      <c r="Q2508" s="16" t="n"/>
      <c r="R2508" s="16">
        <f>HYPERLINK("https://checko.ru/search?query=3801001629","Чекко: проверить")</f>
        <v/>
      </c>
      <c r="S2508" t="n">
        <v>0</v>
      </c>
    </row>
    <row r="2509" ht="15" customHeight="1" s="24">
      <c r="A2509" s="13" t="n">
        <v>5000095113</v>
      </c>
      <c r="B2509" s="13" t="inlineStr">
        <is>
          <t>МКУК "ЦТК с.п. ст. Екатериноградской"</t>
        </is>
      </c>
      <c r="C2509" s="13" t="n">
        <v>716003877</v>
      </c>
      <c r="D2509" s="13" t="n"/>
      <c r="E2509" s="13" t="inlineStr">
        <is>
          <t>Не определён</t>
        </is>
      </c>
      <c r="F2509" s="13" t="inlineStr">
        <is>
          <t>716003877</t>
        </is>
      </c>
      <c r="G2509" s="14" t="n"/>
      <c r="H2509" s="14" t="n"/>
      <c r="I2509" s="14" t="n"/>
      <c r="J2509" s="14" t="n"/>
      <c r="K2509" s="13">
        <f>IF(G2509="","",IF(G2509&gt;=22,"Да","Нет"))</f>
        <v/>
      </c>
      <c r="L2509" s="13">
        <f>IF(OR(I2509="",J2509=""),"Не определено",IF(OR(COUNTIF(I2509,"45*")&gt;0,COUNTIF(J2509,"*45*")&gt;0,COUNTIF(I2509,"46*")&gt;0,COUNTIF(J2509,"*46*")&gt;0,COUNTIF(I2509,"47*")&gt;0,COUNTIF(J2509,"*47*")&gt;0,COUNTIF(I2509,"10*")&gt;0,COUNTIF(J2509,"*10*")&gt;0,COUNTIF(I2509,"11*")&gt;0,COUNTIF(J2509,"*11*")&gt;0,COUNTIF(I2509,"12*")&gt;0,COUNTIF(J2509,"*12*")&gt;0,COUNTIF(I2509,"13*")&gt;0,COUNTIF(J2509,"*13*")&gt;0,COUNTIF(I2509,"14*")&gt;0,COUNTIF(J2509,"*14*")&gt;0,COUNTIF(I2509,"15*")&gt;0,COUNTIF(J2509,"*15*")&gt;0,COUNTIF(I2509,"16*")&gt;0,COUNTIF(J2509,"*16*")&gt;0,COUNTIF(I2509,"17*")&gt;0,COUNTIF(J2509,"*17*")&gt;0,COUNTIF(I2509,"18*")&gt;0,COUNTIF(J2509,"*18*")&gt;0,COUNTIF(I2509,"19*")&gt;0,COUNTIF(J2509,"*19*")&gt;0,COUNTIF(I2509,"20*")&gt;0,COUNTIF(J2509,"*20*")&gt;0,COUNTIF(I2509,"21*")&gt;0,COUNTIF(J2509,"*21*")&gt;0,COUNTIF(I2509,"22*")&gt;0,COUNTIF(J2509,"*22*")&gt;0,COUNTIF(I2509,"23*")&gt;0,COUNTIF(J2509,"*23*")&gt;0,COUNTIF(I2509,"24*")&gt;0,COUNTIF(J2509,"*24*")&gt;0,COUNTIF(I2509,"25*")&gt;0,COUNTIF(J2509,"*25*")&gt;0,COUNTIF(I2509,"26*")&gt;0,COUNTIF(J2509,"*26*")&gt;0,COUNTIF(I2509,"27*")&gt;0,COUNTIF(J2509,"*27*")&gt;0,COUNTIF(I2509,"28*")&gt;0,COUNTIF(J2509,"*28*")&gt;0,COUNTIF(I2509,"29*")&gt;0,COUNTIF(J2509,"*29*")&gt;0,COUNTIF(I2509,"30*")&gt;0,COUNTIF(J2509,"*30*")&gt;0,COUNTIF(I2509,"31*")&gt;0,COUNTIF(J2509,"*31*")&gt;0,COUNTIF(I2509,"32*")&gt;0,COUNTIF(J2509,"*32*")&gt;0,COUNTIF(I2509,"33*")&gt;0,COUNTIF(J2509,"*33*")&gt;0,COUNTIF(I2509,"41*")&gt;0,COUNTIF(J2509,"*41*")&gt;0,COUNTIF(I2509,"42*")&gt;0,COUNTIF(J2509,"*42*")&gt;0,COUNTIF(I2509,"43*")&gt;0,COUNTIF(J2509,"*43*")&gt;0,COUNTIF(I2509,"49*")&gt;0,COUNTIF(J2509,"*49*")&gt;0,COUNTIF(I2509,"52*")&gt;0,COUNTIF(J2509,"*52*")&gt;0,COUNTIF(I2509,"55*")&gt;0,COUNTIF(J2509,"*55*")&gt;0,COUNTIF(I2509,"56*")&gt;0,COUNTIF(J2509,"*56*")&gt;0,COUNTIF(I2509,"68*")&gt;0,COUNTIF(J2509,"*68*")&gt;0,COUNTIF(I2509,"78*")&gt;0,COUNTIF(J2509,"*78*")&gt;0,COUNTIF(I2509,"81*")&gt;0,COUNTIF(J2509,"*81*")&gt;0,COUNTIF(I2509,"82*")&gt;0,COUNTIF(J2509,"*82*")&gt;0,COUNTIF(I2509,"64*")&gt;0,COUNTIF(J2509,"*64*")&gt;0,COUNTIF(I2509,"65*")&gt;0,COUNTIF(J2509,"*65*")&gt;0,COUNTIF(I2509,"66*")&gt;0,COUNTIF(J2509,"*66*")&gt;0,COUNTIF(I2509,"61*")&gt;0,COUNTIF(J2509,"*61*")&gt;0,COUNTIF(I2509,"62*")&gt;0,COUNTIF(J2509,"*62*")&gt;0,COUNTIF(I2509,"63*")&gt;0,COUNTIF(J2509,"*63*")&gt;0,COUNTIF(I2509,"85*")&gt;0,COUNTIF(J2509,"*85*")&gt;0,COUNTIF(I2509,"86*")&gt;0,COUNTIF(J2509,"*86*")&gt;0),"Да","Нет"))</f>
        <v/>
      </c>
      <c r="M2509" s="13">
        <f>IF(OR(G2509="",L2509&lt;&gt;"Да"),"",IF(G2509&lt;=100,"До 100",IF(G2509&lt;=200,"До 200",IF(G2509&lt;=500,"До 500","Отдельное КП"))))</f>
        <v/>
      </c>
      <c r="N2509" s="15">
        <f>IF(OR(G2509="",L2509&lt;&gt;"Да"),"",IF(G2509&lt;=100,33600,IF(G2509&lt;=200,62400,IF(G2509&lt;=500,144000,""))))</f>
        <v/>
      </c>
      <c r="O2509" s="16">
        <f>IF(G2509="","",IF(G2509&lt;=15,"1–15",IF(G2509&lt;=30,"16–30",IF(G2509&lt;=50,"31–50",IF(G2509&lt;=100,"51–100",IF(G2509&lt;=150,"101–150",IF(G2509&lt;=200,"151–200",IF(G2509&lt;=500,"201–500","500+"))))))))</f>
        <v/>
      </c>
      <c r="P2509" s="16" t="inlineStr">
        <is>
          <t>Нет совпадения в предоставленной выгрузке ССЧР</t>
        </is>
      </c>
      <c r="Q2509" s="16" t="n"/>
      <c r="R2509" s="16">
        <f>HYPERLINK("https://checko.ru/search?query=3801001629","Чекко: проверить")</f>
        <v/>
      </c>
      <c r="S2509" t="n">
        <v>0</v>
      </c>
    </row>
    <row r="2510" ht="15" customHeight="1" s="24">
      <c r="A2510" s="13" t="n">
        <v>5000095114</v>
      </c>
      <c r="B2510" s="13" t="inlineStr">
        <is>
          <t>МКУК "РЦК ТК с.п. Прималкинского"</t>
        </is>
      </c>
      <c r="C2510" s="13" t="n">
        <v>716003891</v>
      </c>
      <c r="D2510" s="13" t="n"/>
      <c r="E2510" s="13" t="inlineStr">
        <is>
          <t>Не определён</t>
        </is>
      </c>
      <c r="F2510" s="13" t="inlineStr">
        <is>
          <t>716003891</t>
        </is>
      </c>
      <c r="G2510" s="14" t="n"/>
      <c r="H2510" s="14" t="n"/>
      <c r="I2510" s="14" t="n"/>
      <c r="J2510" s="14" t="n"/>
      <c r="K2510" s="13">
        <f>IF(G2510="","",IF(G2510&gt;=22,"Да","Нет"))</f>
        <v/>
      </c>
      <c r="L2510" s="13">
        <f>IF(OR(I2510="",J2510=""),"Не определено",IF(OR(COUNTIF(I2510,"45*")&gt;0,COUNTIF(J2510,"*45*")&gt;0,COUNTIF(I2510,"46*")&gt;0,COUNTIF(J2510,"*46*")&gt;0,COUNTIF(I2510,"47*")&gt;0,COUNTIF(J2510,"*47*")&gt;0,COUNTIF(I2510,"10*")&gt;0,COUNTIF(J2510,"*10*")&gt;0,COUNTIF(I2510,"11*")&gt;0,COUNTIF(J2510,"*11*")&gt;0,COUNTIF(I2510,"12*")&gt;0,COUNTIF(J2510,"*12*")&gt;0,COUNTIF(I2510,"13*")&gt;0,COUNTIF(J2510,"*13*")&gt;0,COUNTIF(I2510,"14*")&gt;0,COUNTIF(J2510,"*14*")&gt;0,COUNTIF(I2510,"15*")&gt;0,COUNTIF(J2510,"*15*")&gt;0,COUNTIF(I2510,"16*")&gt;0,COUNTIF(J2510,"*16*")&gt;0,COUNTIF(I2510,"17*")&gt;0,COUNTIF(J2510,"*17*")&gt;0,COUNTIF(I2510,"18*")&gt;0,COUNTIF(J2510,"*18*")&gt;0,COUNTIF(I2510,"19*")&gt;0,COUNTIF(J2510,"*19*")&gt;0,COUNTIF(I2510,"20*")&gt;0,COUNTIF(J2510,"*20*")&gt;0,COUNTIF(I2510,"21*")&gt;0,COUNTIF(J2510,"*21*")&gt;0,COUNTIF(I2510,"22*")&gt;0,COUNTIF(J2510,"*22*")&gt;0,COUNTIF(I2510,"23*")&gt;0,COUNTIF(J2510,"*23*")&gt;0,COUNTIF(I2510,"24*")&gt;0,COUNTIF(J2510,"*24*")&gt;0,COUNTIF(I2510,"25*")&gt;0,COUNTIF(J2510,"*25*")&gt;0,COUNTIF(I2510,"26*")&gt;0,COUNTIF(J2510,"*26*")&gt;0,COUNTIF(I2510,"27*")&gt;0,COUNTIF(J2510,"*27*")&gt;0,COUNTIF(I2510,"28*")&gt;0,COUNTIF(J2510,"*28*")&gt;0,COUNTIF(I2510,"29*")&gt;0,COUNTIF(J2510,"*29*")&gt;0,COUNTIF(I2510,"30*")&gt;0,COUNTIF(J2510,"*30*")&gt;0,COUNTIF(I2510,"31*")&gt;0,COUNTIF(J2510,"*31*")&gt;0,COUNTIF(I2510,"32*")&gt;0,COUNTIF(J2510,"*32*")&gt;0,COUNTIF(I2510,"33*")&gt;0,COUNTIF(J2510,"*33*")&gt;0,COUNTIF(I2510,"41*")&gt;0,COUNTIF(J2510,"*41*")&gt;0,COUNTIF(I2510,"42*")&gt;0,COUNTIF(J2510,"*42*")&gt;0,COUNTIF(I2510,"43*")&gt;0,COUNTIF(J2510,"*43*")&gt;0,COUNTIF(I2510,"49*")&gt;0,COUNTIF(J2510,"*49*")&gt;0,COUNTIF(I2510,"52*")&gt;0,COUNTIF(J2510,"*52*")&gt;0,COUNTIF(I2510,"55*")&gt;0,COUNTIF(J2510,"*55*")&gt;0,COUNTIF(I2510,"56*")&gt;0,COUNTIF(J2510,"*56*")&gt;0,COUNTIF(I2510,"68*")&gt;0,COUNTIF(J2510,"*68*")&gt;0,COUNTIF(I2510,"78*")&gt;0,COUNTIF(J2510,"*78*")&gt;0,COUNTIF(I2510,"81*")&gt;0,COUNTIF(J2510,"*81*")&gt;0,COUNTIF(I2510,"82*")&gt;0,COUNTIF(J2510,"*82*")&gt;0,COUNTIF(I2510,"64*")&gt;0,COUNTIF(J2510,"*64*")&gt;0,COUNTIF(I2510,"65*")&gt;0,COUNTIF(J2510,"*65*")&gt;0,COUNTIF(I2510,"66*")&gt;0,COUNTIF(J2510,"*66*")&gt;0,COUNTIF(I2510,"61*")&gt;0,COUNTIF(J2510,"*61*")&gt;0,COUNTIF(I2510,"62*")&gt;0,COUNTIF(J2510,"*62*")&gt;0,COUNTIF(I2510,"63*")&gt;0,COUNTIF(J2510,"*63*")&gt;0,COUNTIF(I2510,"85*")&gt;0,COUNTIF(J2510,"*85*")&gt;0,COUNTIF(I2510,"86*")&gt;0,COUNTIF(J2510,"*86*")&gt;0),"Да","Нет"))</f>
        <v/>
      </c>
      <c r="M2510" s="13">
        <f>IF(OR(G2510="",L2510&lt;&gt;"Да"),"",IF(G2510&lt;=100,"До 100",IF(G2510&lt;=200,"До 200",IF(G2510&lt;=500,"До 500","Отдельное КП"))))</f>
        <v/>
      </c>
      <c r="N2510" s="15">
        <f>IF(OR(G2510="",L2510&lt;&gt;"Да"),"",IF(G2510&lt;=100,33600,IF(G2510&lt;=200,62400,IF(G2510&lt;=500,144000,""))))</f>
        <v/>
      </c>
      <c r="O2510" s="16">
        <f>IF(G2510="","",IF(G2510&lt;=15,"1–15",IF(G2510&lt;=30,"16–30",IF(G2510&lt;=50,"31–50",IF(G2510&lt;=100,"51–100",IF(G2510&lt;=150,"101–150",IF(G2510&lt;=200,"151–200",IF(G2510&lt;=500,"201–500","500+"))))))))</f>
        <v/>
      </c>
      <c r="P2510" s="16" t="inlineStr">
        <is>
          <t>Нет совпадения в предоставленной выгрузке ССЧР</t>
        </is>
      </c>
      <c r="Q2510" s="16" t="n"/>
      <c r="R2510" s="16">
        <f>HYPERLINK("https://checko.ru/search?query=3801001629","Чекко: проверить")</f>
        <v/>
      </c>
      <c r="S2510" t="n">
        <v>0</v>
      </c>
    </row>
    <row r="2511" ht="15" customHeight="1" s="24">
      <c r="A2511" s="13" t="n">
        <v>5000095115</v>
      </c>
      <c r="B2511" s="13" t="inlineStr">
        <is>
          <t>МКУК "ЦКиД с.п. ст. Солдатской"</t>
        </is>
      </c>
      <c r="C2511" s="13" t="n">
        <v>716003926</v>
      </c>
      <c r="D2511" s="13" t="n"/>
      <c r="E2511" s="13" t="inlineStr">
        <is>
          <t>Не определён</t>
        </is>
      </c>
      <c r="F2511" s="13" t="inlineStr">
        <is>
          <t>716003926</t>
        </is>
      </c>
      <c r="G2511" s="14" t="n"/>
      <c r="H2511" s="14" t="n"/>
      <c r="I2511" s="14" t="n"/>
      <c r="J2511" s="14" t="n"/>
      <c r="K2511" s="13">
        <f>IF(G2511="","",IF(G2511&gt;=22,"Да","Нет"))</f>
        <v/>
      </c>
      <c r="L2511" s="13">
        <f>IF(OR(I2511="",J2511=""),"Не определено",IF(OR(COUNTIF(I2511,"45*")&gt;0,COUNTIF(J2511,"*45*")&gt;0,COUNTIF(I2511,"46*")&gt;0,COUNTIF(J2511,"*46*")&gt;0,COUNTIF(I2511,"47*")&gt;0,COUNTIF(J2511,"*47*")&gt;0,COUNTIF(I2511,"10*")&gt;0,COUNTIF(J2511,"*10*")&gt;0,COUNTIF(I2511,"11*")&gt;0,COUNTIF(J2511,"*11*")&gt;0,COUNTIF(I2511,"12*")&gt;0,COUNTIF(J2511,"*12*")&gt;0,COUNTIF(I2511,"13*")&gt;0,COUNTIF(J2511,"*13*")&gt;0,COUNTIF(I2511,"14*")&gt;0,COUNTIF(J2511,"*14*")&gt;0,COUNTIF(I2511,"15*")&gt;0,COUNTIF(J2511,"*15*")&gt;0,COUNTIF(I2511,"16*")&gt;0,COUNTIF(J2511,"*16*")&gt;0,COUNTIF(I2511,"17*")&gt;0,COUNTIF(J2511,"*17*")&gt;0,COUNTIF(I2511,"18*")&gt;0,COUNTIF(J2511,"*18*")&gt;0,COUNTIF(I2511,"19*")&gt;0,COUNTIF(J2511,"*19*")&gt;0,COUNTIF(I2511,"20*")&gt;0,COUNTIF(J2511,"*20*")&gt;0,COUNTIF(I2511,"21*")&gt;0,COUNTIF(J2511,"*21*")&gt;0,COUNTIF(I2511,"22*")&gt;0,COUNTIF(J2511,"*22*")&gt;0,COUNTIF(I2511,"23*")&gt;0,COUNTIF(J2511,"*23*")&gt;0,COUNTIF(I2511,"24*")&gt;0,COUNTIF(J2511,"*24*")&gt;0,COUNTIF(I2511,"25*")&gt;0,COUNTIF(J2511,"*25*")&gt;0,COUNTIF(I2511,"26*")&gt;0,COUNTIF(J2511,"*26*")&gt;0,COUNTIF(I2511,"27*")&gt;0,COUNTIF(J2511,"*27*")&gt;0,COUNTIF(I2511,"28*")&gt;0,COUNTIF(J2511,"*28*")&gt;0,COUNTIF(I2511,"29*")&gt;0,COUNTIF(J2511,"*29*")&gt;0,COUNTIF(I2511,"30*")&gt;0,COUNTIF(J2511,"*30*")&gt;0,COUNTIF(I2511,"31*")&gt;0,COUNTIF(J2511,"*31*")&gt;0,COUNTIF(I2511,"32*")&gt;0,COUNTIF(J2511,"*32*")&gt;0,COUNTIF(I2511,"33*")&gt;0,COUNTIF(J2511,"*33*")&gt;0,COUNTIF(I2511,"41*")&gt;0,COUNTIF(J2511,"*41*")&gt;0,COUNTIF(I2511,"42*")&gt;0,COUNTIF(J2511,"*42*")&gt;0,COUNTIF(I2511,"43*")&gt;0,COUNTIF(J2511,"*43*")&gt;0,COUNTIF(I2511,"49*")&gt;0,COUNTIF(J2511,"*49*")&gt;0,COUNTIF(I2511,"52*")&gt;0,COUNTIF(J2511,"*52*")&gt;0,COUNTIF(I2511,"55*")&gt;0,COUNTIF(J2511,"*55*")&gt;0,COUNTIF(I2511,"56*")&gt;0,COUNTIF(J2511,"*56*")&gt;0,COUNTIF(I2511,"68*")&gt;0,COUNTIF(J2511,"*68*")&gt;0,COUNTIF(I2511,"78*")&gt;0,COUNTIF(J2511,"*78*")&gt;0,COUNTIF(I2511,"81*")&gt;0,COUNTIF(J2511,"*81*")&gt;0,COUNTIF(I2511,"82*")&gt;0,COUNTIF(J2511,"*82*")&gt;0,COUNTIF(I2511,"64*")&gt;0,COUNTIF(J2511,"*64*")&gt;0,COUNTIF(I2511,"65*")&gt;0,COUNTIF(J2511,"*65*")&gt;0,COUNTIF(I2511,"66*")&gt;0,COUNTIF(J2511,"*66*")&gt;0,COUNTIF(I2511,"61*")&gt;0,COUNTIF(J2511,"*61*")&gt;0,COUNTIF(I2511,"62*")&gt;0,COUNTIF(J2511,"*62*")&gt;0,COUNTIF(I2511,"63*")&gt;0,COUNTIF(J2511,"*63*")&gt;0,COUNTIF(I2511,"85*")&gt;0,COUNTIF(J2511,"*85*")&gt;0,COUNTIF(I2511,"86*")&gt;0,COUNTIF(J2511,"*86*")&gt;0),"Да","Нет"))</f>
        <v/>
      </c>
      <c r="M2511" s="13">
        <f>IF(OR(G2511="",L2511&lt;&gt;"Да"),"",IF(G2511&lt;=100,"До 100",IF(G2511&lt;=200,"До 200",IF(G2511&lt;=500,"До 500","Отдельное КП"))))</f>
        <v/>
      </c>
      <c r="N2511" s="15">
        <f>IF(OR(G2511="",L2511&lt;&gt;"Да"),"",IF(G2511&lt;=100,33600,IF(G2511&lt;=200,62400,IF(G2511&lt;=500,144000,""))))</f>
        <v/>
      </c>
      <c r="O2511" s="16">
        <f>IF(G2511="","",IF(G2511&lt;=15,"1–15",IF(G2511&lt;=30,"16–30",IF(G2511&lt;=50,"31–50",IF(G2511&lt;=100,"51–100",IF(G2511&lt;=150,"101–150",IF(G2511&lt;=200,"151–200",IF(G2511&lt;=500,"201–500","500+"))))))))</f>
        <v/>
      </c>
      <c r="P2511" s="16" t="inlineStr">
        <is>
          <t>Нет совпадения в предоставленной выгрузке ССЧР</t>
        </is>
      </c>
      <c r="Q2511" s="16" t="n"/>
      <c r="R2511" s="16">
        <f>HYPERLINK("https://checko.ru/search?query=3801001629","Чекко: проверить")</f>
        <v/>
      </c>
      <c r="S2511" t="n">
        <v>0</v>
      </c>
    </row>
    <row r="2512" ht="15" customHeight="1" s="24">
      <c r="A2512" s="13" t="n">
        <v>5000095116</v>
      </c>
      <c r="B2512" s="13" t="inlineStr">
        <is>
          <t>МКУК "КДЦ с.п. Ново-Полтавского"</t>
        </is>
      </c>
      <c r="C2512" s="13" t="n">
        <v>716003940</v>
      </c>
      <c r="D2512" s="13" t="n"/>
      <c r="E2512" s="13" t="inlineStr">
        <is>
          <t>Не определён</t>
        </is>
      </c>
      <c r="F2512" s="13" t="inlineStr">
        <is>
          <t>716003940</t>
        </is>
      </c>
      <c r="G2512" s="14" t="n"/>
      <c r="H2512" s="14" t="n"/>
      <c r="I2512" s="14" t="n"/>
      <c r="J2512" s="14" t="n"/>
      <c r="K2512" s="13">
        <f>IF(G2512="","",IF(G2512&gt;=22,"Да","Нет"))</f>
        <v/>
      </c>
      <c r="L2512" s="13">
        <f>IF(OR(I2512="",J2512=""),"Не определено",IF(OR(COUNTIF(I2512,"45*")&gt;0,COUNTIF(J2512,"*45*")&gt;0,COUNTIF(I2512,"46*")&gt;0,COUNTIF(J2512,"*46*")&gt;0,COUNTIF(I2512,"47*")&gt;0,COUNTIF(J2512,"*47*")&gt;0,COUNTIF(I2512,"10*")&gt;0,COUNTIF(J2512,"*10*")&gt;0,COUNTIF(I2512,"11*")&gt;0,COUNTIF(J2512,"*11*")&gt;0,COUNTIF(I2512,"12*")&gt;0,COUNTIF(J2512,"*12*")&gt;0,COUNTIF(I2512,"13*")&gt;0,COUNTIF(J2512,"*13*")&gt;0,COUNTIF(I2512,"14*")&gt;0,COUNTIF(J2512,"*14*")&gt;0,COUNTIF(I2512,"15*")&gt;0,COUNTIF(J2512,"*15*")&gt;0,COUNTIF(I2512,"16*")&gt;0,COUNTIF(J2512,"*16*")&gt;0,COUNTIF(I2512,"17*")&gt;0,COUNTIF(J2512,"*17*")&gt;0,COUNTIF(I2512,"18*")&gt;0,COUNTIF(J2512,"*18*")&gt;0,COUNTIF(I2512,"19*")&gt;0,COUNTIF(J2512,"*19*")&gt;0,COUNTIF(I2512,"20*")&gt;0,COUNTIF(J2512,"*20*")&gt;0,COUNTIF(I2512,"21*")&gt;0,COUNTIF(J2512,"*21*")&gt;0,COUNTIF(I2512,"22*")&gt;0,COUNTIF(J2512,"*22*")&gt;0,COUNTIF(I2512,"23*")&gt;0,COUNTIF(J2512,"*23*")&gt;0,COUNTIF(I2512,"24*")&gt;0,COUNTIF(J2512,"*24*")&gt;0,COUNTIF(I2512,"25*")&gt;0,COUNTIF(J2512,"*25*")&gt;0,COUNTIF(I2512,"26*")&gt;0,COUNTIF(J2512,"*26*")&gt;0,COUNTIF(I2512,"27*")&gt;0,COUNTIF(J2512,"*27*")&gt;0,COUNTIF(I2512,"28*")&gt;0,COUNTIF(J2512,"*28*")&gt;0,COUNTIF(I2512,"29*")&gt;0,COUNTIF(J2512,"*29*")&gt;0,COUNTIF(I2512,"30*")&gt;0,COUNTIF(J2512,"*30*")&gt;0,COUNTIF(I2512,"31*")&gt;0,COUNTIF(J2512,"*31*")&gt;0,COUNTIF(I2512,"32*")&gt;0,COUNTIF(J2512,"*32*")&gt;0,COUNTIF(I2512,"33*")&gt;0,COUNTIF(J2512,"*33*")&gt;0,COUNTIF(I2512,"41*")&gt;0,COUNTIF(J2512,"*41*")&gt;0,COUNTIF(I2512,"42*")&gt;0,COUNTIF(J2512,"*42*")&gt;0,COUNTIF(I2512,"43*")&gt;0,COUNTIF(J2512,"*43*")&gt;0,COUNTIF(I2512,"49*")&gt;0,COUNTIF(J2512,"*49*")&gt;0,COUNTIF(I2512,"52*")&gt;0,COUNTIF(J2512,"*52*")&gt;0,COUNTIF(I2512,"55*")&gt;0,COUNTIF(J2512,"*55*")&gt;0,COUNTIF(I2512,"56*")&gt;0,COUNTIF(J2512,"*56*")&gt;0,COUNTIF(I2512,"68*")&gt;0,COUNTIF(J2512,"*68*")&gt;0,COUNTIF(I2512,"78*")&gt;0,COUNTIF(J2512,"*78*")&gt;0,COUNTIF(I2512,"81*")&gt;0,COUNTIF(J2512,"*81*")&gt;0,COUNTIF(I2512,"82*")&gt;0,COUNTIF(J2512,"*82*")&gt;0,COUNTIF(I2512,"64*")&gt;0,COUNTIF(J2512,"*64*")&gt;0,COUNTIF(I2512,"65*")&gt;0,COUNTIF(J2512,"*65*")&gt;0,COUNTIF(I2512,"66*")&gt;0,COUNTIF(J2512,"*66*")&gt;0,COUNTIF(I2512,"61*")&gt;0,COUNTIF(J2512,"*61*")&gt;0,COUNTIF(I2512,"62*")&gt;0,COUNTIF(J2512,"*62*")&gt;0,COUNTIF(I2512,"63*")&gt;0,COUNTIF(J2512,"*63*")&gt;0,COUNTIF(I2512,"85*")&gt;0,COUNTIF(J2512,"*85*")&gt;0,COUNTIF(I2512,"86*")&gt;0,COUNTIF(J2512,"*86*")&gt;0),"Да","Нет"))</f>
        <v/>
      </c>
      <c r="M2512" s="13">
        <f>IF(OR(G2512="",L2512&lt;&gt;"Да"),"",IF(G2512&lt;=100,"До 100",IF(G2512&lt;=200,"До 200",IF(G2512&lt;=500,"До 500","Отдельное КП"))))</f>
        <v/>
      </c>
      <c r="N2512" s="15">
        <f>IF(OR(G2512="",L2512&lt;&gt;"Да"),"",IF(G2512&lt;=100,33600,IF(G2512&lt;=200,62400,IF(G2512&lt;=500,144000,""))))</f>
        <v/>
      </c>
      <c r="O2512" s="16">
        <f>IF(G2512="","",IF(G2512&lt;=15,"1–15",IF(G2512&lt;=30,"16–30",IF(G2512&lt;=50,"31–50",IF(G2512&lt;=100,"51–100",IF(G2512&lt;=150,"101–150",IF(G2512&lt;=200,"151–200",IF(G2512&lt;=500,"201–500","500+"))))))))</f>
        <v/>
      </c>
      <c r="P2512" s="16" t="inlineStr">
        <is>
          <t>Нет совпадения в предоставленной выгрузке ССЧР</t>
        </is>
      </c>
      <c r="Q2512" s="16" t="n"/>
      <c r="R2512" s="16">
        <f>HYPERLINK("https://checko.ru/search?query=3801001629","Чекко: проверить")</f>
        <v/>
      </c>
      <c r="S2512" t="n">
        <v>0</v>
      </c>
    </row>
    <row r="2513" ht="15" customHeight="1" s="24">
      <c r="A2513" s="13" t="n">
        <v>5000095117</v>
      </c>
      <c r="B2513" s="13" t="inlineStr">
        <is>
          <t>МКУК "КДЦ с.п.  Черниговского"</t>
        </is>
      </c>
      <c r="C2513" s="13" t="n">
        <v>716003997</v>
      </c>
      <c r="D2513" s="13" t="n"/>
      <c r="E2513" s="13" t="inlineStr">
        <is>
          <t>Не определён</t>
        </is>
      </c>
      <c r="F2513" s="13" t="inlineStr">
        <is>
          <t>716003997</t>
        </is>
      </c>
      <c r="G2513" s="14" t="n"/>
      <c r="H2513" s="14" t="n"/>
      <c r="I2513" s="14" t="n"/>
      <c r="J2513" s="14" t="n"/>
      <c r="K2513" s="13">
        <f>IF(G2513="","",IF(G2513&gt;=22,"Да","Нет"))</f>
        <v/>
      </c>
      <c r="L2513" s="13">
        <f>IF(OR(I2513="",J2513=""),"Не определено",IF(OR(COUNTIF(I2513,"45*")&gt;0,COUNTIF(J2513,"*45*")&gt;0,COUNTIF(I2513,"46*")&gt;0,COUNTIF(J2513,"*46*")&gt;0,COUNTIF(I2513,"47*")&gt;0,COUNTIF(J2513,"*47*")&gt;0,COUNTIF(I2513,"10*")&gt;0,COUNTIF(J2513,"*10*")&gt;0,COUNTIF(I2513,"11*")&gt;0,COUNTIF(J2513,"*11*")&gt;0,COUNTIF(I2513,"12*")&gt;0,COUNTIF(J2513,"*12*")&gt;0,COUNTIF(I2513,"13*")&gt;0,COUNTIF(J2513,"*13*")&gt;0,COUNTIF(I2513,"14*")&gt;0,COUNTIF(J2513,"*14*")&gt;0,COUNTIF(I2513,"15*")&gt;0,COUNTIF(J2513,"*15*")&gt;0,COUNTIF(I2513,"16*")&gt;0,COUNTIF(J2513,"*16*")&gt;0,COUNTIF(I2513,"17*")&gt;0,COUNTIF(J2513,"*17*")&gt;0,COUNTIF(I2513,"18*")&gt;0,COUNTIF(J2513,"*18*")&gt;0,COUNTIF(I2513,"19*")&gt;0,COUNTIF(J2513,"*19*")&gt;0,COUNTIF(I2513,"20*")&gt;0,COUNTIF(J2513,"*20*")&gt;0,COUNTIF(I2513,"21*")&gt;0,COUNTIF(J2513,"*21*")&gt;0,COUNTIF(I2513,"22*")&gt;0,COUNTIF(J2513,"*22*")&gt;0,COUNTIF(I2513,"23*")&gt;0,COUNTIF(J2513,"*23*")&gt;0,COUNTIF(I2513,"24*")&gt;0,COUNTIF(J2513,"*24*")&gt;0,COUNTIF(I2513,"25*")&gt;0,COUNTIF(J2513,"*25*")&gt;0,COUNTIF(I2513,"26*")&gt;0,COUNTIF(J2513,"*26*")&gt;0,COUNTIF(I2513,"27*")&gt;0,COUNTIF(J2513,"*27*")&gt;0,COUNTIF(I2513,"28*")&gt;0,COUNTIF(J2513,"*28*")&gt;0,COUNTIF(I2513,"29*")&gt;0,COUNTIF(J2513,"*29*")&gt;0,COUNTIF(I2513,"30*")&gt;0,COUNTIF(J2513,"*30*")&gt;0,COUNTIF(I2513,"31*")&gt;0,COUNTIF(J2513,"*31*")&gt;0,COUNTIF(I2513,"32*")&gt;0,COUNTIF(J2513,"*32*")&gt;0,COUNTIF(I2513,"33*")&gt;0,COUNTIF(J2513,"*33*")&gt;0,COUNTIF(I2513,"41*")&gt;0,COUNTIF(J2513,"*41*")&gt;0,COUNTIF(I2513,"42*")&gt;0,COUNTIF(J2513,"*42*")&gt;0,COUNTIF(I2513,"43*")&gt;0,COUNTIF(J2513,"*43*")&gt;0,COUNTIF(I2513,"49*")&gt;0,COUNTIF(J2513,"*49*")&gt;0,COUNTIF(I2513,"52*")&gt;0,COUNTIF(J2513,"*52*")&gt;0,COUNTIF(I2513,"55*")&gt;0,COUNTIF(J2513,"*55*")&gt;0,COUNTIF(I2513,"56*")&gt;0,COUNTIF(J2513,"*56*")&gt;0,COUNTIF(I2513,"68*")&gt;0,COUNTIF(J2513,"*68*")&gt;0,COUNTIF(I2513,"78*")&gt;0,COUNTIF(J2513,"*78*")&gt;0,COUNTIF(I2513,"81*")&gt;0,COUNTIF(J2513,"*81*")&gt;0,COUNTIF(I2513,"82*")&gt;0,COUNTIF(J2513,"*82*")&gt;0,COUNTIF(I2513,"64*")&gt;0,COUNTIF(J2513,"*64*")&gt;0,COUNTIF(I2513,"65*")&gt;0,COUNTIF(J2513,"*65*")&gt;0,COUNTIF(I2513,"66*")&gt;0,COUNTIF(J2513,"*66*")&gt;0,COUNTIF(I2513,"61*")&gt;0,COUNTIF(J2513,"*61*")&gt;0,COUNTIF(I2513,"62*")&gt;0,COUNTIF(J2513,"*62*")&gt;0,COUNTIF(I2513,"63*")&gt;0,COUNTIF(J2513,"*63*")&gt;0,COUNTIF(I2513,"85*")&gt;0,COUNTIF(J2513,"*85*")&gt;0,COUNTIF(I2513,"86*")&gt;0,COUNTIF(J2513,"*86*")&gt;0),"Да","Нет"))</f>
        <v/>
      </c>
      <c r="M2513" s="13">
        <f>IF(OR(G2513="",L2513&lt;&gt;"Да"),"",IF(G2513&lt;=100,"До 100",IF(G2513&lt;=200,"До 200",IF(G2513&lt;=500,"До 500","Отдельное КП"))))</f>
        <v/>
      </c>
      <c r="N2513" s="15">
        <f>IF(OR(G2513="",L2513&lt;&gt;"Да"),"",IF(G2513&lt;=100,33600,IF(G2513&lt;=200,62400,IF(G2513&lt;=500,144000,""))))</f>
        <v/>
      </c>
      <c r="O2513" s="16">
        <f>IF(G2513="","",IF(G2513&lt;=15,"1–15",IF(G2513&lt;=30,"16–30",IF(G2513&lt;=50,"31–50",IF(G2513&lt;=100,"51–100",IF(G2513&lt;=150,"101–150",IF(G2513&lt;=200,"151–200",IF(G2513&lt;=500,"201–500","500+"))))))))</f>
        <v/>
      </c>
      <c r="P2513" s="16" t="inlineStr">
        <is>
          <t>Нет совпадения в предоставленной выгрузке ССЧР</t>
        </is>
      </c>
      <c r="Q2513" s="16" t="n"/>
      <c r="R2513" s="16">
        <f>HYPERLINK("https://checko.ru/search?query=3801001629","Чекко: проверить")</f>
        <v/>
      </c>
      <c r="S2513" t="n">
        <v>0</v>
      </c>
    </row>
    <row r="2514" ht="15" customHeight="1" s="24">
      <c r="A2514" s="13" t="n">
        <v>5000095118</v>
      </c>
      <c r="B2514" s="13" t="inlineStr">
        <is>
          <t>МКУК "ЦК "Русь" с.п.  Пролетарского"</t>
        </is>
      </c>
      <c r="C2514" s="13" t="n">
        <v>716004006</v>
      </c>
      <c r="D2514" s="13" t="n"/>
      <c r="E2514" s="13" t="inlineStr">
        <is>
          <t>Не определён</t>
        </is>
      </c>
      <c r="F2514" s="13" t="inlineStr">
        <is>
          <t>716004006</t>
        </is>
      </c>
      <c r="G2514" s="14" t="n"/>
      <c r="H2514" s="14" t="n"/>
      <c r="I2514" s="14" t="n"/>
      <c r="J2514" s="14" t="n"/>
      <c r="K2514" s="13">
        <f>IF(G2514="","",IF(G2514&gt;=22,"Да","Нет"))</f>
        <v/>
      </c>
      <c r="L2514" s="13">
        <f>IF(OR(I2514="",J2514=""),"Не определено",IF(OR(COUNTIF(I2514,"45*")&gt;0,COUNTIF(J2514,"*45*")&gt;0,COUNTIF(I2514,"46*")&gt;0,COUNTIF(J2514,"*46*")&gt;0,COUNTIF(I2514,"47*")&gt;0,COUNTIF(J2514,"*47*")&gt;0,COUNTIF(I2514,"10*")&gt;0,COUNTIF(J2514,"*10*")&gt;0,COUNTIF(I2514,"11*")&gt;0,COUNTIF(J2514,"*11*")&gt;0,COUNTIF(I2514,"12*")&gt;0,COUNTIF(J2514,"*12*")&gt;0,COUNTIF(I2514,"13*")&gt;0,COUNTIF(J2514,"*13*")&gt;0,COUNTIF(I2514,"14*")&gt;0,COUNTIF(J2514,"*14*")&gt;0,COUNTIF(I2514,"15*")&gt;0,COUNTIF(J2514,"*15*")&gt;0,COUNTIF(I2514,"16*")&gt;0,COUNTIF(J2514,"*16*")&gt;0,COUNTIF(I2514,"17*")&gt;0,COUNTIF(J2514,"*17*")&gt;0,COUNTIF(I2514,"18*")&gt;0,COUNTIF(J2514,"*18*")&gt;0,COUNTIF(I2514,"19*")&gt;0,COUNTIF(J2514,"*19*")&gt;0,COUNTIF(I2514,"20*")&gt;0,COUNTIF(J2514,"*20*")&gt;0,COUNTIF(I2514,"21*")&gt;0,COUNTIF(J2514,"*21*")&gt;0,COUNTIF(I2514,"22*")&gt;0,COUNTIF(J2514,"*22*")&gt;0,COUNTIF(I2514,"23*")&gt;0,COUNTIF(J2514,"*23*")&gt;0,COUNTIF(I2514,"24*")&gt;0,COUNTIF(J2514,"*24*")&gt;0,COUNTIF(I2514,"25*")&gt;0,COUNTIF(J2514,"*25*")&gt;0,COUNTIF(I2514,"26*")&gt;0,COUNTIF(J2514,"*26*")&gt;0,COUNTIF(I2514,"27*")&gt;0,COUNTIF(J2514,"*27*")&gt;0,COUNTIF(I2514,"28*")&gt;0,COUNTIF(J2514,"*28*")&gt;0,COUNTIF(I2514,"29*")&gt;0,COUNTIF(J2514,"*29*")&gt;0,COUNTIF(I2514,"30*")&gt;0,COUNTIF(J2514,"*30*")&gt;0,COUNTIF(I2514,"31*")&gt;0,COUNTIF(J2514,"*31*")&gt;0,COUNTIF(I2514,"32*")&gt;0,COUNTIF(J2514,"*32*")&gt;0,COUNTIF(I2514,"33*")&gt;0,COUNTIF(J2514,"*33*")&gt;0,COUNTIF(I2514,"41*")&gt;0,COUNTIF(J2514,"*41*")&gt;0,COUNTIF(I2514,"42*")&gt;0,COUNTIF(J2514,"*42*")&gt;0,COUNTIF(I2514,"43*")&gt;0,COUNTIF(J2514,"*43*")&gt;0,COUNTIF(I2514,"49*")&gt;0,COUNTIF(J2514,"*49*")&gt;0,COUNTIF(I2514,"52*")&gt;0,COUNTIF(J2514,"*52*")&gt;0,COUNTIF(I2514,"55*")&gt;0,COUNTIF(J2514,"*55*")&gt;0,COUNTIF(I2514,"56*")&gt;0,COUNTIF(J2514,"*56*")&gt;0,COUNTIF(I2514,"68*")&gt;0,COUNTIF(J2514,"*68*")&gt;0,COUNTIF(I2514,"78*")&gt;0,COUNTIF(J2514,"*78*")&gt;0,COUNTIF(I2514,"81*")&gt;0,COUNTIF(J2514,"*81*")&gt;0,COUNTIF(I2514,"82*")&gt;0,COUNTIF(J2514,"*82*")&gt;0,COUNTIF(I2514,"64*")&gt;0,COUNTIF(J2514,"*64*")&gt;0,COUNTIF(I2514,"65*")&gt;0,COUNTIF(J2514,"*65*")&gt;0,COUNTIF(I2514,"66*")&gt;0,COUNTIF(J2514,"*66*")&gt;0,COUNTIF(I2514,"61*")&gt;0,COUNTIF(J2514,"*61*")&gt;0,COUNTIF(I2514,"62*")&gt;0,COUNTIF(J2514,"*62*")&gt;0,COUNTIF(I2514,"63*")&gt;0,COUNTIF(J2514,"*63*")&gt;0,COUNTIF(I2514,"85*")&gt;0,COUNTIF(J2514,"*85*")&gt;0,COUNTIF(I2514,"86*")&gt;0,COUNTIF(J2514,"*86*")&gt;0),"Да","Нет"))</f>
        <v/>
      </c>
      <c r="M2514" s="13">
        <f>IF(OR(G2514="",L2514&lt;&gt;"Да"),"",IF(G2514&lt;=100,"До 100",IF(G2514&lt;=200,"До 200",IF(G2514&lt;=500,"До 500","Отдельное КП"))))</f>
        <v/>
      </c>
      <c r="N2514" s="15">
        <f>IF(OR(G2514="",L2514&lt;&gt;"Да"),"",IF(G2514&lt;=100,33600,IF(G2514&lt;=200,62400,IF(G2514&lt;=500,144000,""))))</f>
        <v/>
      </c>
      <c r="O2514" s="16">
        <f>IF(G2514="","",IF(G2514&lt;=15,"1–15",IF(G2514&lt;=30,"16–30",IF(G2514&lt;=50,"31–50",IF(G2514&lt;=100,"51–100",IF(G2514&lt;=150,"101–150",IF(G2514&lt;=200,"151–200",IF(G2514&lt;=500,"201–500","500+"))))))))</f>
        <v/>
      </c>
      <c r="P2514" s="16" t="inlineStr">
        <is>
          <t>Нет совпадения в предоставленной выгрузке ССЧР</t>
        </is>
      </c>
      <c r="Q2514" s="16" t="n"/>
      <c r="R2514" s="16">
        <f>HYPERLINK("https://checko.ru/search?query=3801001629","Чекко: проверить")</f>
        <v/>
      </c>
      <c r="S2514" t="n">
        <v>0</v>
      </c>
    </row>
    <row r="2515" ht="15" customHeight="1" s="24">
      <c r="A2515" s="13" t="n">
        <v>5000095119</v>
      </c>
      <c r="B2515" s="13" t="inlineStr">
        <is>
          <t>МКУК "КДЦ с.п. ст. Приближной"</t>
        </is>
      </c>
      <c r="C2515" s="13" t="n">
        <v>716004013</v>
      </c>
      <c r="D2515" s="13" t="n"/>
      <c r="E2515" s="13" t="inlineStr">
        <is>
          <t>Не определён</t>
        </is>
      </c>
      <c r="F2515" s="13" t="inlineStr">
        <is>
          <t>716004013</t>
        </is>
      </c>
      <c r="G2515" s="14" t="n"/>
      <c r="H2515" s="14" t="n"/>
      <c r="I2515" s="14" t="n"/>
      <c r="J2515" s="14" t="n"/>
      <c r="K2515" s="13">
        <f>IF(G2515="","",IF(G2515&gt;=22,"Да","Нет"))</f>
        <v/>
      </c>
      <c r="L2515" s="13">
        <f>IF(OR(I2515="",J2515=""),"Не определено",IF(OR(COUNTIF(I2515,"45*")&gt;0,COUNTIF(J2515,"*45*")&gt;0,COUNTIF(I2515,"46*")&gt;0,COUNTIF(J2515,"*46*")&gt;0,COUNTIF(I2515,"47*")&gt;0,COUNTIF(J2515,"*47*")&gt;0,COUNTIF(I2515,"10*")&gt;0,COUNTIF(J2515,"*10*")&gt;0,COUNTIF(I2515,"11*")&gt;0,COUNTIF(J2515,"*11*")&gt;0,COUNTIF(I2515,"12*")&gt;0,COUNTIF(J2515,"*12*")&gt;0,COUNTIF(I2515,"13*")&gt;0,COUNTIF(J2515,"*13*")&gt;0,COUNTIF(I2515,"14*")&gt;0,COUNTIF(J2515,"*14*")&gt;0,COUNTIF(I2515,"15*")&gt;0,COUNTIF(J2515,"*15*")&gt;0,COUNTIF(I2515,"16*")&gt;0,COUNTIF(J2515,"*16*")&gt;0,COUNTIF(I2515,"17*")&gt;0,COUNTIF(J2515,"*17*")&gt;0,COUNTIF(I2515,"18*")&gt;0,COUNTIF(J2515,"*18*")&gt;0,COUNTIF(I2515,"19*")&gt;0,COUNTIF(J2515,"*19*")&gt;0,COUNTIF(I2515,"20*")&gt;0,COUNTIF(J2515,"*20*")&gt;0,COUNTIF(I2515,"21*")&gt;0,COUNTIF(J2515,"*21*")&gt;0,COUNTIF(I2515,"22*")&gt;0,COUNTIF(J2515,"*22*")&gt;0,COUNTIF(I2515,"23*")&gt;0,COUNTIF(J2515,"*23*")&gt;0,COUNTIF(I2515,"24*")&gt;0,COUNTIF(J2515,"*24*")&gt;0,COUNTIF(I2515,"25*")&gt;0,COUNTIF(J2515,"*25*")&gt;0,COUNTIF(I2515,"26*")&gt;0,COUNTIF(J2515,"*26*")&gt;0,COUNTIF(I2515,"27*")&gt;0,COUNTIF(J2515,"*27*")&gt;0,COUNTIF(I2515,"28*")&gt;0,COUNTIF(J2515,"*28*")&gt;0,COUNTIF(I2515,"29*")&gt;0,COUNTIF(J2515,"*29*")&gt;0,COUNTIF(I2515,"30*")&gt;0,COUNTIF(J2515,"*30*")&gt;0,COUNTIF(I2515,"31*")&gt;0,COUNTIF(J2515,"*31*")&gt;0,COUNTIF(I2515,"32*")&gt;0,COUNTIF(J2515,"*32*")&gt;0,COUNTIF(I2515,"33*")&gt;0,COUNTIF(J2515,"*33*")&gt;0,COUNTIF(I2515,"41*")&gt;0,COUNTIF(J2515,"*41*")&gt;0,COUNTIF(I2515,"42*")&gt;0,COUNTIF(J2515,"*42*")&gt;0,COUNTIF(I2515,"43*")&gt;0,COUNTIF(J2515,"*43*")&gt;0,COUNTIF(I2515,"49*")&gt;0,COUNTIF(J2515,"*49*")&gt;0,COUNTIF(I2515,"52*")&gt;0,COUNTIF(J2515,"*52*")&gt;0,COUNTIF(I2515,"55*")&gt;0,COUNTIF(J2515,"*55*")&gt;0,COUNTIF(I2515,"56*")&gt;0,COUNTIF(J2515,"*56*")&gt;0,COUNTIF(I2515,"68*")&gt;0,COUNTIF(J2515,"*68*")&gt;0,COUNTIF(I2515,"78*")&gt;0,COUNTIF(J2515,"*78*")&gt;0,COUNTIF(I2515,"81*")&gt;0,COUNTIF(J2515,"*81*")&gt;0,COUNTIF(I2515,"82*")&gt;0,COUNTIF(J2515,"*82*")&gt;0,COUNTIF(I2515,"64*")&gt;0,COUNTIF(J2515,"*64*")&gt;0,COUNTIF(I2515,"65*")&gt;0,COUNTIF(J2515,"*65*")&gt;0,COUNTIF(I2515,"66*")&gt;0,COUNTIF(J2515,"*66*")&gt;0,COUNTIF(I2515,"61*")&gt;0,COUNTIF(J2515,"*61*")&gt;0,COUNTIF(I2515,"62*")&gt;0,COUNTIF(J2515,"*62*")&gt;0,COUNTIF(I2515,"63*")&gt;0,COUNTIF(J2515,"*63*")&gt;0,COUNTIF(I2515,"85*")&gt;0,COUNTIF(J2515,"*85*")&gt;0,COUNTIF(I2515,"86*")&gt;0,COUNTIF(J2515,"*86*")&gt;0),"Да","Нет"))</f>
        <v/>
      </c>
      <c r="M2515" s="13">
        <f>IF(OR(G2515="",L2515&lt;&gt;"Да"),"",IF(G2515&lt;=100,"До 100",IF(G2515&lt;=200,"До 200",IF(G2515&lt;=500,"До 500","Отдельное КП"))))</f>
        <v/>
      </c>
      <c r="N2515" s="15">
        <f>IF(OR(G2515="",L2515&lt;&gt;"Да"),"",IF(G2515&lt;=100,33600,IF(G2515&lt;=200,62400,IF(G2515&lt;=500,144000,""))))</f>
        <v/>
      </c>
      <c r="O2515" s="16">
        <f>IF(G2515="","",IF(G2515&lt;=15,"1–15",IF(G2515&lt;=30,"16–30",IF(G2515&lt;=50,"31–50",IF(G2515&lt;=100,"51–100",IF(G2515&lt;=150,"101–150",IF(G2515&lt;=200,"151–200",IF(G2515&lt;=500,"201–500","500+"))))))))</f>
        <v/>
      </c>
      <c r="P2515" s="16" t="inlineStr">
        <is>
          <t>Нет совпадения в предоставленной выгрузке ССЧР</t>
        </is>
      </c>
      <c r="Q2515" s="16" t="n"/>
      <c r="R2515" s="16">
        <f>HYPERLINK("https://checko.ru/search?query=3801001629","Чекко: проверить")</f>
        <v/>
      </c>
      <c r="S2515" t="n">
        <v>0</v>
      </c>
    </row>
    <row r="2516" ht="15" customHeight="1" s="24">
      <c r="A2516" s="13" t="n">
        <v>5000095120</v>
      </c>
      <c r="B2516" s="13" t="inlineStr">
        <is>
          <t>МКУК "КДЦ с.п. Янтарного"</t>
        </is>
      </c>
      <c r="C2516" s="13" t="n">
        <v>716004038</v>
      </c>
      <c r="D2516" s="13" t="n"/>
      <c r="E2516" s="13" t="inlineStr">
        <is>
          <t>Не определён</t>
        </is>
      </c>
      <c r="F2516" s="13" t="inlineStr">
        <is>
          <t>716004038</t>
        </is>
      </c>
      <c r="G2516" s="14" t="n"/>
      <c r="H2516" s="14" t="n"/>
      <c r="I2516" s="14" t="n"/>
      <c r="J2516" s="14" t="n"/>
      <c r="K2516" s="13">
        <f>IF(G2516="","",IF(G2516&gt;=22,"Да","Нет"))</f>
        <v/>
      </c>
      <c r="L2516" s="13">
        <f>IF(OR(I2516="",J2516=""),"Не определено",IF(OR(COUNTIF(I2516,"45*")&gt;0,COUNTIF(J2516,"*45*")&gt;0,COUNTIF(I2516,"46*")&gt;0,COUNTIF(J2516,"*46*")&gt;0,COUNTIF(I2516,"47*")&gt;0,COUNTIF(J2516,"*47*")&gt;0,COUNTIF(I2516,"10*")&gt;0,COUNTIF(J2516,"*10*")&gt;0,COUNTIF(I2516,"11*")&gt;0,COUNTIF(J2516,"*11*")&gt;0,COUNTIF(I2516,"12*")&gt;0,COUNTIF(J2516,"*12*")&gt;0,COUNTIF(I2516,"13*")&gt;0,COUNTIF(J2516,"*13*")&gt;0,COUNTIF(I2516,"14*")&gt;0,COUNTIF(J2516,"*14*")&gt;0,COUNTIF(I2516,"15*")&gt;0,COUNTIF(J2516,"*15*")&gt;0,COUNTIF(I2516,"16*")&gt;0,COUNTIF(J2516,"*16*")&gt;0,COUNTIF(I2516,"17*")&gt;0,COUNTIF(J2516,"*17*")&gt;0,COUNTIF(I2516,"18*")&gt;0,COUNTIF(J2516,"*18*")&gt;0,COUNTIF(I2516,"19*")&gt;0,COUNTIF(J2516,"*19*")&gt;0,COUNTIF(I2516,"20*")&gt;0,COUNTIF(J2516,"*20*")&gt;0,COUNTIF(I2516,"21*")&gt;0,COUNTIF(J2516,"*21*")&gt;0,COUNTIF(I2516,"22*")&gt;0,COUNTIF(J2516,"*22*")&gt;0,COUNTIF(I2516,"23*")&gt;0,COUNTIF(J2516,"*23*")&gt;0,COUNTIF(I2516,"24*")&gt;0,COUNTIF(J2516,"*24*")&gt;0,COUNTIF(I2516,"25*")&gt;0,COUNTIF(J2516,"*25*")&gt;0,COUNTIF(I2516,"26*")&gt;0,COUNTIF(J2516,"*26*")&gt;0,COUNTIF(I2516,"27*")&gt;0,COUNTIF(J2516,"*27*")&gt;0,COUNTIF(I2516,"28*")&gt;0,COUNTIF(J2516,"*28*")&gt;0,COUNTIF(I2516,"29*")&gt;0,COUNTIF(J2516,"*29*")&gt;0,COUNTIF(I2516,"30*")&gt;0,COUNTIF(J2516,"*30*")&gt;0,COUNTIF(I2516,"31*")&gt;0,COUNTIF(J2516,"*31*")&gt;0,COUNTIF(I2516,"32*")&gt;0,COUNTIF(J2516,"*32*")&gt;0,COUNTIF(I2516,"33*")&gt;0,COUNTIF(J2516,"*33*")&gt;0,COUNTIF(I2516,"41*")&gt;0,COUNTIF(J2516,"*41*")&gt;0,COUNTIF(I2516,"42*")&gt;0,COUNTIF(J2516,"*42*")&gt;0,COUNTIF(I2516,"43*")&gt;0,COUNTIF(J2516,"*43*")&gt;0,COUNTIF(I2516,"49*")&gt;0,COUNTIF(J2516,"*49*")&gt;0,COUNTIF(I2516,"52*")&gt;0,COUNTIF(J2516,"*52*")&gt;0,COUNTIF(I2516,"55*")&gt;0,COUNTIF(J2516,"*55*")&gt;0,COUNTIF(I2516,"56*")&gt;0,COUNTIF(J2516,"*56*")&gt;0,COUNTIF(I2516,"68*")&gt;0,COUNTIF(J2516,"*68*")&gt;0,COUNTIF(I2516,"78*")&gt;0,COUNTIF(J2516,"*78*")&gt;0,COUNTIF(I2516,"81*")&gt;0,COUNTIF(J2516,"*81*")&gt;0,COUNTIF(I2516,"82*")&gt;0,COUNTIF(J2516,"*82*")&gt;0,COUNTIF(I2516,"64*")&gt;0,COUNTIF(J2516,"*64*")&gt;0,COUNTIF(I2516,"65*")&gt;0,COUNTIF(J2516,"*65*")&gt;0,COUNTIF(I2516,"66*")&gt;0,COUNTIF(J2516,"*66*")&gt;0,COUNTIF(I2516,"61*")&gt;0,COUNTIF(J2516,"*61*")&gt;0,COUNTIF(I2516,"62*")&gt;0,COUNTIF(J2516,"*62*")&gt;0,COUNTIF(I2516,"63*")&gt;0,COUNTIF(J2516,"*63*")&gt;0,COUNTIF(I2516,"85*")&gt;0,COUNTIF(J2516,"*85*")&gt;0,COUNTIF(I2516,"86*")&gt;0,COUNTIF(J2516,"*86*")&gt;0),"Да","Нет"))</f>
        <v/>
      </c>
      <c r="M2516" s="13">
        <f>IF(OR(G2516="",L2516&lt;&gt;"Да"),"",IF(G2516&lt;=100,"До 100",IF(G2516&lt;=200,"До 200",IF(G2516&lt;=500,"До 500","Отдельное КП"))))</f>
        <v/>
      </c>
      <c r="N2516" s="15">
        <f>IF(OR(G2516="",L2516&lt;&gt;"Да"),"",IF(G2516&lt;=100,33600,IF(G2516&lt;=200,62400,IF(G2516&lt;=500,144000,""))))</f>
        <v/>
      </c>
      <c r="O2516" s="16">
        <f>IF(G2516="","",IF(G2516&lt;=15,"1–15",IF(G2516&lt;=30,"16–30",IF(G2516&lt;=50,"31–50",IF(G2516&lt;=100,"51–100",IF(G2516&lt;=150,"101–150",IF(G2516&lt;=200,"151–200",IF(G2516&lt;=500,"201–500","500+"))))))))</f>
        <v/>
      </c>
      <c r="P2516" s="16" t="inlineStr">
        <is>
          <t>Нет совпадения в предоставленной выгрузке ССЧР</t>
        </is>
      </c>
      <c r="Q2516" s="16" t="n"/>
      <c r="R2516" s="16">
        <f>HYPERLINK("https://checko.ru/search?query=3801001629","Чекко: проверить")</f>
        <v/>
      </c>
      <c r="S2516" t="n">
        <v>0</v>
      </c>
    </row>
    <row r="2517" ht="15" customHeight="1" s="24">
      <c r="A2517" s="13" t="n">
        <v>5000095121</v>
      </c>
      <c r="B2517" s="13" t="inlineStr">
        <is>
          <t>МКУК "Саратовский клуб с.п. Черниговского"</t>
        </is>
      </c>
      <c r="C2517" s="13" t="n">
        <v>716004052</v>
      </c>
      <c r="D2517" s="13" t="n"/>
      <c r="E2517" s="13" t="inlineStr">
        <is>
          <t>Не определён</t>
        </is>
      </c>
      <c r="F2517" s="13" t="inlineStr">
        <is>
          <t>716004052</t>
        </is>
      </c>
      <c r="G2517" s="14" t="n"/>
      <c r="H2517" s="14" t="n"/>
      <c r="I2517" s="14" t="n"/>
      <c r="J2517" s="14" t="n"/>
      <c r="K2517" s="13">
        <f>IF(G2517="","",IF(G2517&gt;=22,"Да","Нет"))</f>
        <v/>
      </c>
      <c r="L2517" s="13">
        <f>IF(OR(I2517="",J2517=""),"Не определено",IF(OR(COUNTIF(I2517,"45*")&gt;0,COUNTIF(J2517,"*45*")&gt;0,COUNTIF(I2517,"46*")&gt;0,COUNTIF(J2517,"*46*")&gt;0,COUNTIF(I2517,"47*")&gt;0,COUNTIF(J2517,"*47*")&gt;0,COUNTIF(I2517,"10*")&gt;0,COUNTIF(J2517,"*10*")&gt;0,COUNTIF(I2517,"11*")&gt;0,COUNTIF(J2517,"*11*")&gt;0,COUNTIF(I2517,"12*")&gt;0,COUNTIF(J2517,"*12*")&gt;0,COUNTIF(I2517,"13*")&gt;0,COUNTIF(J2517,"*13*")&gt;0,COUNTIF(I2517,"14*")&gt;0,COUNTIF(J2517,"*14*")&gt;0,COUNTIF(I2517,"15*")&gt;0,COUNTIF(J2517,"*15*")&gt;0,COUNTIF(I2517,"16*")&gt;0,COUNTIF(J2517,"*16*")&gt;0,COUNTIF(I2517,"17*")&gt;0,COUNTIF(J2517,"*17*")&gt;0,COUNTIF(I2517,"18*")&gt;0,COUNTIF(J2517,"*18*")&gt;0,COUNTIF(I2517,"19*")&gt;0,COUNTIF(J2517,"*19*")&gt;0,COUNTIF(I2517,"20*")&gt;0,COUNTIF(J2517,"*20*")&gt;0,COUNTIF(I2517,"21*")&gt;0,COUNTIF(J2517,"*21*")&gt;0,COUNTIF(I2517,"22*")&gt;0,COUNTIF(J2517,"*22*")&gt;0,COUNTIF(I2517,"23*")&gt;0,COUNTIF(J2517,"*23*")&gt;0,COUNTIF(I2517,"24*")&gt;0,COUNTIF(J2517,"*24*")&gt;0,COUNTIF(I2517,"25*")&gt;0,COUNTIF(J2517,"*25*")&gt;0,COUNTIF(I2517,"26*")&gt;0,COUNTIF(J2517,"*26*")&gt;0,COUNTIF(I2517,"27*")&gt;0,COUNTIF(J2517,"*27*")&gt;0,COUNTIF(I2517,"28*")&gt;0,COUNTIF(J2517,"*28*")&gt;0,COUNTIF(I2517,"29*")&gt;0,COUNTIF(J2517,"*29*")&gt;0,COUNTIF(I2517,"30*")&gt;0,COUNTIF(J2517,"*30*")&gt;0,COUNTIF(I2517,"31*")&gt;0,COUNTIF(J2517,"*31*")&gt;0,COUNTIF(I2517,"32*")&gt;0,COUNTIF(J2517,"*32*")&gt;0,COUNTIF(I2517,"33*")&gt;0,COUNTIF(J2517,"*33*")&gt;0,COUNTIF(I2517,"41*")&gt;0,COUNTIF(J2517,"*41*")&gt;0,COUNTIF(I2517,"42*")&gt;0,COUNTIF(J2517,"*42*")&gt;0,COUNTIF(I2517,"43*")&gt;0,COUNTIF(J2517,"*43*")&gt;0,COUNTIF(I2517,"49*")&gt;0,COUNTIF(J2517,"*49*")&gt;0,COUNTIF(I2517,"52*")&gt;0,COUNTIF(J2517,"*52*")&gt;0,COUNTIF(I2517,"55*")&gt;0,COUNTIF(J2517,"*55*")&gt;0,COUNTIF(I2517,"56*")&gt;0,COUNTIF(J2517,"*56*")&gt;0,COUNTIF(I2517,"68*")&gt;0,COUNTIF(J2517,"*68*")&gt;0,COUNTIF(I2517,"78*")&gt;0,COUNTIF(J2517,"*78*")&gt;0,COUNTIF(I2517,"81*")&gt;0,COUNTIF(J2517,"*81*")&gt;0,COUNTIF(I2517,"82*")&gt;0,COUNTIF(J2517,"*82*")&gt;0,COUNTIF(I2517,"64*")&gt;0,COUNTIF(J2517,"*64*")&gt;0,COUNTIF(I2517,"65*")&gt;0,COUNTIF(J2517,"*65*")&gt;0,COUNTIF(I2517,"66*")&gt;0,COUNTIF(J2517,"*66*")&gt;0,COUNTIF(I2517,"61*")&gt;0,COUNTIF(J2517,"*61*")&gt;0,COUNTIF(I2517,"62*")&gt;0,COUNTIF(J2517,"*62*")&gt;0,COUNTIF(I2517,"63*")&gt;0,COUNTIF(J2517,"*63*")&gt;0,COUNTIF(I2517,"85*")&gt;0,COUNTIF(J2517,"*85*")&gt;0,COUNTIF(I2517,"86*")&gt;0,COUNTIF(J2517,"*86*")&gt;0),"Да","Нет"))</f>
        <v/>
      </c>
      <c r="M2517" s="13">
        <f>IF(OR(G2517="",L2517&lt;&gt;"Да"),"",IF(G2517&lt;=100,"До 100",IF(G2517&lt;=200,"До 200",IF(G2517&lt;=500,"До 500","Отдельное КП"))))</f>
        <v/>
      </c>
      <c r="N2517" s="15">
        <f>IF(OR(G2517="",L2517&lt;&gt;"Да"),"",IF(G2517&lt;=100,33600,IF(G2517&lt;=200,62400,IF(G2517&lt;=500,144000,""))))</f>
        <v/>
      </c>
      <c r="O2517" s="16">
        <f>IF(G2517="","",IF(G2517&lt;=15,"1–15",IF(G2517&lt;=30,"16–30",IF(G2517&lt;=50,"31–50",IF(G2517&lt;=100,"51–100",IF(G2517&lt;=150,"101–150",IF(G2517&lt;=200,"151–200",IF(G2517&lt;=500,"201–500","500+"))))))))</f>
        <v/>
      </c>
      <c r="P2517" s="16" t="inlineStr">
        <is>
          <t>Нет совпадения в предоставленной выгрузке ССЧР</t>
        </is>
      </c>
      <c r="Q2517" s="16" t="n"/>
      <c r="R2517" s="16">
        <f>HYPERLINK("https://checko.ru/search?query=3801001629","Чекко: проверить")</f>
        <v/>
      </c>
      <c r="S2517" t="n">
        <v>0</v>
      </c>
    </row>
    <row r="2518" ht="15" customHeight="1" s="24">
      <c r="A2518" s="13" t="n">
        <v>5000095122</v>
      </c>
      <c r="B2518" s="13" t="inlineStr">
        <is>
          <t>МКУК "Клуб с.п. Советского"</t>
        </is>
      </c>
      <c r="C2518" s="13" t="n">
        <v>716004060</v>
      </c>
      <c r="D2518" s="13" t="n"/>
      <c r="E2518" s="13" t="inlineStr">
        <is>
          <t>Не определён</t>
        </is>
      </c>
      <c r="F2518" s="13" t="inlineStr">
        <is>
          <t>716004060</t>
        </is>
      </c>
      <c r="G2518" s="14" t="n"/>
      <c r="H2518" s="14" t="n"/>
      <c r="I2518" s="14" t="n"/>
      <c r="J2518" s="14" t="n"/>
      <c r="K2518" s="13">
        <f>IF(G2518="","",IF(G2518&gt;=22,"Да","Нет"))</f>
        <v/>
      </c>
      <c r="L2518" s="13">
        <f>IF(OR(I2518="",J2518=""),"Не определено",IF(OR(COUNTIF(I2518,"45*")&gt;0,COUNTIF(J2518,"*45*")&gt;0,COUNTIF(I2518,"46*")&gt;0,COUNTIF(J2518,"*46*")&gt;0,COUNTIF(I2518,"47*")&gt;0,COUNTIF(J2518,"*47*")&gt;0,COUNTIF(I2518,"10*")&gt;0,COUNTIF(J2518,"*10*")&gt;0,COUNTIF(I2518,"11*")&gt;0,COUNTIF(J2518,"*11*")&gt;0,COUNTIF(I2518,"12*")&gt;0,COUNTIF(J2518,"*12*")&gt;0,COUNTIF(I2518,"13*")&gt;0,COUNTIF(J2518,"*13*")&gt;0,COUNTIF(I2518,"14*")&gt;0,COUNTIF(J2518,"*14*")&gt;0,COUNTIF(I2518,"15*")&gt;0,COUNTIF(J2518,"*15*")&gt;0,COUNTIF(I2518,"16*")&gt;0,COUNTIF(J2518,"*16*")&gt;0,COUNTIF(I2518,"17*")&gt;0,COUNTIF(J2518,"*17*")&gt;0,COUNTIF(I2518,"18*")&gt;0,COUNTIF(J2518,"*18*")&gt;0,COUNTIF(I2518,"19*")&gt;0,COUNTIF(J2518,"*19*")&gt;0,COUNTIF(I2518,"20*")&gt;0,COUNTIF(J2518,"*20*")&gt;0,COUNTIF(I2518,"21*")&gt;0,COUNTIF(J2518,"*21*")&gt;0,COUNTIF(I2518,"22*")&gt;0,COUNTIF(J2518,"*22*")&gt;0,COUNTIF(I2518,"23*")&gt;0,COUNTIF(J2518,"*23*")&gt;0,COUNTIF(I2518,"24*")&gt;0,COUNTIF(J2518,"*24*")&gt;0,COUNTIF(I2518,"25*")&gt;0,COUNTIF(J2518,"*25*")&gt;0,COUNTIF(I2518,"26*")&gt;0,COUNTIF(J2518,"*26*")&gt;0,COUNTIF(I2518,"27*")&gt;0,COUNTIF(J2518,"*27*")&gt;0,COUNTIF(I2518,"28*")&gt;0,COUNTIF(J2518,"*28*")&gt;0,COUNTIF(I2518,"29*")&gt;0,COUNTIF(J2518,"*29*")&gt;0,COUNTIF(I2518,"30*")&gt;0,COUNTIF(J2518,"*30*")&gt;0,COUNTIF(I2518,"31*")&gt;0,COUNTIF(J2518,"*31*")&gt;0,COUNTIF(I2518,"32*")&gt;0,COUNTIF(J2518,"*32*")&gt;0,COUNTIF(I2518,"33*")&gt;0,COUNTIF(J2518,"*33*")&gt;0,COUNTIF(I2518,"41*")&gt;0,COUNTIF(J2518,"*41*")&gt;0,COUNTIF(I2518,"42*")&gt;0,COUNTIF(J2518,"*42*")&gt;0,COUNTIF(I2518,"43*")&gt;0,COUNTIF(J2518,"*43*")&gt;0,COUNTIF(I2518,"49*")&gt;0,COUNTIF(J2518,"*49*")&gt;0,COUNTIF(I2518,"52*")&gt;0,COUNTIF(J2518,"*52*")&gt;0,COUNTIF(I2518,"55*")&gt;0,COUNTIF(J2518,"*55*")&gt;0,COUNTIF(I2518,"56*")&gt;0,COUNTIF(J2518,"*56*")&gt;0,COUNTIF(I2518,"68*")&gt;0,COUNTIF(J2518,"*68*")&gt;0,COUNTIF(I2518,"78*")&gt;0,COUNTIF(J2518,"*78*")&gt;0,COUNTIF(I2518,"81*")&gt;0,COUNTIF(J2518,"*81*")&gt;0,COUNTIF(I2518,"82*")&gt;0,COUNTIF(J2518,"*82*")&gt;0,COUNTIF(I2518,"64*")&gt;0,COUNTIF(J2518,"*64*")&gt;0,COUNTIF(I2518,"65*")&gt;0,COUNTIF(J2518,"*65*")&gt;0,COUNTIF(I2518,"66*")&gt;0,COUNTIF(J2518,"*66*")&gt;0,COUNTIF(I2518,"61*")&gt;0,COUNTIF(J2518,"*61*")&gt;0,COUNTIF(I2518,"62*")&gt;0,COUNTIF(J2518,"*62*")&gt;0,COUNTIF(I2518,"63*")&gt;0,COUNTIF(J2518,"*63*")&gt;0,COUNTIF(I2518,"85*")&gt;0,COUNTIF(J2518,"*85*")&gt;0,COUNTIF(I2518,"86*")&gt;0,COUNTIF(J2518,"*86*")&gt;0),"Да","Нет"))</f>
        <v/>
      </c>
      <c r="M2518" s="13">
        <f>IF(OR(G2518="",L2518&lt;&gt;"Да"),"",IF(G2518&lt;=100,"До 100",IF(G2518&lt;=200,"До 200",IF(G2518&lt;=500,"До 500","Отдельное КП"))))</f>
        <v/>
      </c>
      <c r="N2518" s="15">
        <f>IF(OR(G2518="",L2518&lt;&gt;"Да"),"",IF(G2518&lt;=100,33600,IF(G2518&lt;=200,62400,IF(G2518&lt;=500,144000,""))))</f>
        <v/>
      </c>
      <c r="O2518" s="16">
        <f>IF(G2518="","",IF(G2518&lt;=15,"1–15",IF(G2518&lt;=30,"16–30",IF(G2518&lt;=50,"31–50",IF(G2518&lt;=100,"51–100",IF(G2518&lt;=150,"101–150",IF(G2518&lt;=200,"151–200",IF(G2518&lt;=500,"201–500","500+"))))))))</f>
        <v/>
      </c>
      <c r="P2518" s="16" t="inlineStr">
        <is>
          <t>Нет совпадения в предоставленной выгрузке ССЧР</t>
        </is>
      </c>
      <c r="Q2518" s="16" t="n"/>
      <c r="R2518" s="16">
        <f>HYPERLINK("https://checko.ru/search?query=3801001629","Чекко: проверить")</f>
        <v/>
      </c>
      <c r="S2518" t="n">
        <v>0</v>
      </c>
    </row>
    <row r="2519" ht="15" customHeight="1" s="24">
      <c r="A2519" s="13" t="n">
        <v>5000095123</v>
      </c>
      <c r="B2519" s="13" t="inlineStr">
        <is>
          <t>МКУК "КДЦ им Абубекирова Н.Б. с.п. Карагач"</t>
        </is>
      </c>
      <c r="C2519" s="13" t="n">
        <v>716004084</v>
      </c>
      <c r="D2519" s="13" t="n"/>
      <c r="E2519" s="13" t="inlineStr">
        <is>
          <t>Не определён</t>
        </is>
      </c>
      <c r="F2519" s="13" t="inlineStr">
        <is>
          <t>716004084</t>
        </is>
      </c>
      <c r="G2519" s="14" t="n"/>
      <c r="H2519" s="14" t="n"/>
      <c r="I2519" s="14" t="n"/>
      <c r="J2519" s="14" t="n"/>
      <c r="K2519" s="13">
        <f>IF(G2519="","",IF(G2519&gt;=22,"Да","Нет"))</f>
        <v/>
      </c>
      <c r="L2519" s="13">
        <f>IF(OR(I2519="",J2519=""),"Не определено",IF(OR(COUNTIF(I2519,"45*")&gt;0,COUNTIF(J2519,"*45*")&gt;0,COUNTIF(I2519,"46*")&gt;0,COUNTIF(J2519,"*46*")&gt;0,COUNTIF(I2519,"47*")&gt;0,COUNTIF(J2519,"*47*")&gt;0,COUNTIF(I2519,"10*")&gt;0,COUNTIF(J2519,"*10*")&gt;0,COUNTIF(I2519,"11*")&gt;0,COUNTIF(J2519,"*11*")&gt;0,COUNTIF(I2519,"12*")&gt;0,COUNTIF(J2519,"*12*")&gt;0,COUNTIF(I2519,"13*")&gt;0,COUNTIF(J2519,"*13*")&gt;0,COUNTIF(I2519,"14*")&gt;0,COUNTIF(J2519,"*14*")&gt;0,COUNTIF(I2519,"15*")&gt;0,COUNTIF(J2519,"*15*")&gt;0,COUNTIF(I2519,"16*")&gt;0,COUNTIF(J2519,"*16*")&gt;0,COUNTIF(I2519,"17*")&gt;0,COUNTIF(J2519,"*17*")&gt;0,COUNTIF(I2519,"18*")&gt;0,COUNTIF(J2519,"*18*")&gt;0,COUNTIF(I2519,"19*")&gt;0,COUNTIF(J2519,"*19*")&gt;0,COUNTIF(I2519,"20*")&gt;0,COUNTIF(J2519,"*20*")&gt;0,COUNTIF(I2519,"21*")&gt;0,COUNTIF(J2519,"*21*")&gt;0,COUNTIF(I2519,"22*")&gt;0,COUNTIF(J2519,"*22*")&gt;0,COUNTIF(I2519,"23*")&gt;0,COUNTIF(J2519,"*23*")&gt;0,COUNTIF(I2519,"24*")&gt;0,COUNTIF(J2519,"*24*")&gt;0,COUNTIF(I2519,"25*")&gt;0,COUNTIF(J2519,"*25*")&gt;0,COUNTIF(I2519,"26*")&gt;0,COUNTIF(J2519,"*26*")&gt;0,COUNTIF(I2519,"27*")&gt;0,COUNTIF(J2519,"*27*")&gt;0,COUNTIF(I2519,"28*")&gt;0,COUNTIF(J2519,"*28*")&gt;0,COUNTIF(I2519,"29*")&gt;0,COUNTIF(J2519,"*29*")&gt;0,COUNTIF(I2519,"30*")&gt;0,COUNTIF(J2519,"*30*")&gt;0,COUNTIF(I2519,"31*")&gt;0,COUNTIF(J2519,"*31*")&gt;0,COUNTIF(I2519,"32*")&gt;0,COUNTIF(J2519,"*32*")&gt;0,COUNTIF(I2519,"33*")&gt;0,COUNTIF(J2519,"*33*")&gt;0,COUNTIF(I2519,"41*")&gt;0,COUNTIF(J2519,"*41*")&gt;0,COUNTIF(I2519,"42*")&gt;0,COUNTIF(J2519,"*42*")&gt;0,COUNTIF(I2519,"43*")&gt;0,COUNTIF(J2519,"*43*")&gt;0,COUNTIF(I2519,"49*")&gt;0,COUNTIF(J2519,"*49*")&gt;0,COUNTIF(I2519,"52*")&gt;0,COUNTIF(J2519,"*52*")&gt;0,COUNTIF(I2519,"55*")&gt;0,COUNTIF(J2519,"*55*")&gt;0,COUNTIF(I2519,"56*")&gt;0,COUNTIF(J2519,"*56*")&gt;0,COUNTIF(I2519,"68*")&gt;0,COUNTIF(J2519,"*68*")&gt;0,COUNTIF(I2519,"78*")&gt;0,COUNTIF(J2519,"*78*")&gt;0,COUNTIF(I2519,"81*")&gt;0,COUNTIF(J2519,"*81*")&gt;0,COUNTIF(I2519,"82*")&gt;0,COUNTIF(J2519,"*82*")&gt;0,COUNTIF(I2519,"64*")&gt;0,COUNTIF(J2519,"*64*")&gt;0,COUNTIF(I2519,"65*")&gt;0,COUNTIF(J2519,"*65*")&gt;0,COUNTIF(I2519,"66*")&gt;0,COUNTIF(J2519,"*66*")&gt;0,COUNTIF(I2519,"61*")&gt;0,COUNTIF(J2519,"*61*")&gt;0,COUNTIF(I2519,"62*")&gt;0,COUNTIF(J2519,"*62*")&gt;0,COUNTIF(I2519,"63*")&gt;0,COUNTIF(J2519,"*63*")&gt;0,COUNTIF(I2519,"85*")&gt;0,COUNTIF(J2519,"*85*")&gt;0,COUNTIF(I2519,"86*")&gt;0,COUNTIF(J2519,"*86*")&gt;0),"Да","Нет"))</f>
        <v/>
      </c>
      <c r="M2519" s="13">
        <f>IF(OR(G2519="",L2519&lt;&gt;"Да"),"",IF(G2519&lt;=100,"До 100",IF(G2519&lt;=200,"До 200",IF(G2519&lt;=500,"До 500","Отдельное КП"))))</f>
        <v/>
      </c>
      <c r="N2519" s="15">
        <f>IF(OR(G2519="",L2519&lt;&gt;"Да"),"",IF(G2519&lt;=100,33600,IF(G2519&lt;=200,62400,IF(G2519&lt;=500,144000,""))))</f>
        <v/>
      </c>
      <c r="O2519" s="16">
        <f>IF(G2519="","",IF(G2519&lt;=15,"1–15",IF(G2519&lt;=30,"16–30",IF(G2519&lt;=50,"31–50",IF(G2519&lt;=100,"51–100",IF(G2519&lt;=150,"101–150",IF(G2519&lt;=200,"151–200",IF(G2519&lt;=500,"201–500","500+"))))))))</f>
        <v/>
      </c>
      <c r="P2519" s="16" t="inlineStr">
        <is>
          <t>Нет совпадения в предоставленной выгрузке ССЧР</t>
        </is>
      </c>
      <c r="Q2519" s="16" t="n"/>
      <c r="R2519" s="16">
        <f>HYPERLINK("https://checko.ru/search?query=3801001629","Чекко: проверить")</f>
        <v/>
      </c>
      <c r="S2519" t="n">
        <v>0</v>
      </c>
    </row>
    <row r="2520" ht="15" customHeight="1" s="24">
      <c r="A2520" s="13" t="n">
        <v>5000095124</v>
      </c>
      <c r="B2520" s="13" t="inlineStr">
        <is>
          <t>МКУК "КДЦ с.п. Алтуд"</t>
        </is>
      </c>
      <c r="C2520" s="13" t="n">
        <v>716004119</v>
      </c>
      <c r="D2520" s="13" t="n"/>
      <c r="E2520" s="13" t="inlineStr">
        <is>
          <t>Не определён</t>
        </is>
      </c>
      <c r="F2520" s="13" t="inlineStr">
        <is>
          <t>716004119</t>
        </is>
      </c>
      <c r="G2520" s="14" t="n"/>
      <c r="H2520" s="14" t="n"/>
      <c r="I2520" s="14" t="n"/>
      <c r="J2520" s="14" t="n"/>
      <c r="K2520" s="13">
        <f>IF(G2520="","",IF(G2520&gt;=22,"Да","Нет"))</f>
        <v/>
      </c>
      <c r="L2520" s="13">
        <f>IF(OR(I2520="",J2520=""),"Не определено",IF(OR(COUNTIF(I2520,"45*")&gt;0,COUNTIF(J2520,"*45*")&gt;0,COUNTIF(I2520,"46*")&gt;0,COUNTIF(J2520,"*46*")&gt;0,COUNTIF(I2520,"47*")&gt;0,COUNTIF(J2520,"*47*")&gt;0,COUNTIF(I2520,"10*")&gt;0,COUNTIF(J2520,"*10*")&gt;0,COUNTIF(I2520,"11*")&gt;0,COUNTIF(J2520,"*11*")&gt;0,COUNTIF(I2520,"12*")&gt;0,COUNTIF(J2520,"*12*")&gt;0,COUNTIF(I2520,"13*")&gt;0,COUNTIF(J2520,"*13*")&gt;0,COUNTIF(I2520,"14*")&gt;0,COUNTIF(J2520,"*14*")&gt;0,COUNTIF(I2520,"15*")&gt;0,COUNTIF(J2520,"*15*")&gt;0,COUNTIF(I2520,"16*")&gt;0,COUNTIF(J2520,"*16*")&gt;0,COUNTIF(I2520,"17*")&gt;0,COUNTIF(J2520,"*17*")&gt;0,COUNTIF(I2520,"18*")&gt;0,COUNTIF(J2520,"*18*")&gt;0,COUNTIF(I2520,"19*")&gt;0,COUNTIF(J2520,"*19*")&gt;0,COUNTIF(I2520,"20*")&gt;0,COUNTIF(J2520,"*20*")&gt;0,COUNTIF(I2520,"21*")&gt;0,COUNTIF(J2520,"*21*")&gt;0,COUNTIF(I2520,"22*")&gt;0,COUNTIF(J2520,"*22*")&gt;0,COUNTIF(I2520,"23*")&gt;0,COUNTIF(J2520,"*23*")&gt;0,COUNTIF(I2520,"24*")&gt;0,COUNTIF(J2520,"*24*")&gt;0,COUNTIF(I2520,"25*")&gt;0,COUNTIF(J2520,"*25*")&gt;0,COUNTIF(I2520,"26*")&gt;0,COUNTIF(J2520,"*26*")&gt;0,COUNTIF(I2520,"27*")&gt;0,COUNTIF(J2520,"*27*")&gt;0,COUNTIF(I2520,"28*")&gt;0,COUNTIF(J2520,"*28*")&gt;0,COUNTIF(I2520,"29*")&gt;0,COUNTIF(J2520,"*29*")&gt;0,COUNTIF(I2520,"30*")&gt;0,COUNTIF(J2520,"*30*")&gt;0,COUNTIF(I2520,"31*")&gt;0,COUNTIF(J2520,"*31*")&gt;0,COUNTIF(I2520,"32*")&gt;0,COUNTIF(J2520,"*32*")&gt;0,COUNTIF(I2520,"33*")&gt;0,COUNTIF(J2520,"*33*")&gt;0,COUNTIF(I2520,"41*")&gt;0,COUNTIF(J2520,"*41*")&gt;0,COUNTIF(I2520,"42*")&gt;0,COUNTIF(J2520,"*42*")&gt;0,COUNTIF(I2520,"43*")&gt;0,COUNTIF(J2520,"*43*")&gt;0,COUNTIF(I2520,"49*")&gt;0,COUNTIF(J2520,"*49*")&gt;0,COUNTIF(I2520,"52*")&gt;0,COUNTIF(J2520,"*52*")&gt;0,COUNTIF(I2520,"55*")&gt;0,COUNTIF(J2520,"*55*")&gt;0,COUNTIF(I2520,"56*")&gt;0,COUNTIF(J2520,"*56*")&gt;0,COUNTIF(I2520,"68*")&gt;0,COUNTIF(J2520,"*68*")&gt;0,COUNTIF(I2520,"78*")&gt;0,COUNTIF(J2520,"*78*")&gt;0,COUNTIF(I2520,"81*")&gt;0,COUNTIF(J2520,"*81*")&gt;0,COUNTIF(I2520,"82*")&gt;0,COUNTIF(J2520,"*82*")&gt;0,COUNTIF(I2520,"64*")&gt;0,COUNTIF(J2520,"*64*")&gt;0,COUNTIF(I2520,"65*")&gt;0,COUNTIF(J2520,"*65*")&gt;0,COUNTIF(I2520,"66*")&gt;0,COUNTIF(J2520,"*66*")&gt;0,COUNTIF(I2520,"61*")&gt;0,COUNTIF(J2520,"*61*")&gt;0,COUNTIF(I2520,"62*")&gt;0,COUNTIF(J2520,"*62*")&gt;0,COUNTIF(I2520,"63*")&gt;0,COUNTIF(J2520,"*63*")&gt;0,COUNTIF(I2520,"85*")&gt;0,COUNTIF(J2520,"*85*")&gt;0,COUNTIF(I2520,"86*")&gt;0,COUNTIF(J2520,"*86*")&gt;0),"Да","Нет"))</f>
        <v/>
      </c>
      <c r="M2520" s="13">
        <f>IF(OR(G2520="",L2520&lt;&gt;"Да"),"",IF(G2520&lt;=100,"До 100",IF(G2520&lt;=200,"До 200",IF(G2520&lt;=500,"До 500","Отдельное КП"))))</f>
        <v/>
      </c>
      <c r="N2520" s="15">
        <f>IF(OR(G2520="",L2520&lt;&gt;"Да"),"",IF(G2520&lt;=100,33600,IF(G2520&lt;=200,62400,IF(G2520&lt;=500,144000,""))))</f>
        <v/>
      </c>
      <c r="O2520" s="16">
        <f>IF(G2520="","",IF(G2520&lt;=15,"1–15",IF(G2520&lt;=30,"16–30",IF(G2520&lt;=50,"31–50",IF(G2520&lt;=100,"51–100",IF(G2520&lt;=150,"101–150",IF(G2520&lt;=200,"151–200",IF(G2520&lt;=500,"201–500","500+"))))))))</f>
        <v/>
      </c>
      <c r="P2520" s="16" t="inlineStr">
        <is>
          <t>Нет совпадения в предоставленной выгрузке ССЧР</t>
        </is>
      </c>
      <c r="Q2520" s="16" t="n"/>
      <c r="R2520" s="16">
        <f>HYPERLINK("https://checko.ru/search?query=3801001629","Чекко: проверить")</f>
        <v/>
      </c>
      <c r="S2520" t="n">
        <v>0</v>
      </c>
    </row>
    <row r="2521" ht="15" customHeight="1" s="24">
      <c r="A2521" s="13" t="n">
        <v>5000095125</v>
      </c>
      <c r="B2521" s="13" t="inlineStr">
        <is>
          <t>МКУК "КДЦ с.п. Заречного"</t>
        </is>
      </c>
      <c r="C2521" s="13" t="n">
        <v>716004133</v>
      </c>
      <c r="D2521" s="13" t="n"/>
      <c r="E2521" s="13" t="inlineStr">
        <is>
          <t>Не определён</t>
        </is>
      </c>
      <c r="F2521" s="13" t="inlineStr">
        <is>
          <t>716004133</t>
        </is>
      </c>
      <c r="G2521" s="14" t="n"/>
      <c r="H2521" s="14" t="n"/>
      <c r="I2521" s="14" t="n"/>
      <c r="J2521" s="14" t="n"/>
      <c r="K2521" s="13">
        <f>IF(G2521="","",IF(G2521&gt;=22,"Да","Нет"))</f>
        <v/>
      </c>
      <c r="L2521" s="13">
        <f>IF(OR(I2521="",J2521=""),"Не определено",IF(OR(COUNTIF(I2521,"45*")&gt;0,COUNTIF(J2521,"*45*")&gt;0,COUNTIF(I2521,"46*")&gt;0,COUNTIF(J2521,"*46*")&gt;0,COUNTIF(I2521,"47*")&gt;0,COUNTIF(J2521,"*47*")&gt;0,COUNTIF(I2521,"10*")&gt;0,COUNTIF(J2521,"*10*")&gt;0,COUNTIF(I2521,"11*")&gt;0,COUNTIF(J2521,"*11*")&gt;0,COUNTIF(I2521,"12*")&gt;0,COUNTIF(J2521,"*12*")&gt;0,COUNTIF(I2521,"13*")&gt;0,COUNTIF(J2521,"*13*")&gt;0,COUNTIF(I2521,"14*")&gt;0,COUNTIF(J2521,"*14*")&gt;0,COUNTIF(I2521,"15*")&gt;0,COUNTIF(J2521,"*15*")&gt;0,COUNTIF(I2521,"16*")&gt;0,COUNTIF(J2521,"*16*")&gt;0,COUNTIF(I2521,"17*")&gt;0,COUNTIF(J2521,"*17*")&gt;0,COUNTIF(I2521,"18*")&gt;0,COUNTIF(J2521,"*18*")&gt;0,COUNTIF(I2521,"19*")&gt;0,COUNTIF(J2521,"*19*")&gt;0,COUNTIF(I2521,"20*")&gt;0,COUNTIF(J2521,"*20*")&gt;0,COUNTIF(I2521,"21*")&gt;0,COUNTIF(J2521,"*21*")&gt;0,COUNTIF(I2521,"22*")&gt;0,COUNTIF(J2521,"*22*")&gt;0,COUNTIF(I2521,"23*")&gt;0,COUNTIF(J2521,"*23*")&gt;0,COUNTIF(I2521,"24*")&gt;0,COUNTIF(J2521,"*24*")&gt;0,COUNTIF(I2521,"25*")&gt;0,COUNTIF(J2521,"*25*")&gt;0,COUNTIF(I2521,"26*")&gt;0,COUNTIF(J2521,"*26*")&gt;0,COUNTIF(I2521,"27*")&gt;0,COUNTIF(J2521,"*27*")&gt;0,COUNTIF(I2521,"28*")&gt;0,COUNTIF(J2521,"*28*")&gt;0,COUNTIF(I2521,"29*")&gt;0,COUNTIF(J2521,"*29*")&gt;0,COUNTIF(I2521,"30*")&gt;0,COUNTIF(J2521,"*30*")&gt;0,COUNTIF(I2521,"31*")&gt;0,COUNTIF(J2521,"*31*")&gt;0,COUNTIF(I2521,"32*")&gt;0,COUNTIF(J2521,"*32*")&gt;0,COUNTIF(I2521,"33*")&gt;0,COUNTIF(J2521,"*33*")&gt;0,COUNTIF(I2521,"41*")&gt;0,COUNTIF(J2521,"*41*")&gt;0,COUNTIF(I2521,"42*")&gt;0,COUNTIF(J2521,"*42*")&gt;0,COUNTIF(I2521,"43*")&gt;0,COUNTIF(J2521,"*43*")&gt;0,COUNTIF(I2521,"49*")&gt;0,COUNTIF(J2521,"*49*")&gt;0,COUNTIF(I2521,"52*")&gt;0,COUNTIF(J2521,"*52*")&gt;0,COUNTIF(I2521,"55*")&gt;0,COUNTIF(J2521,"*55*")&gt;0,COUNTIF(I2521,"56*")&gt;0,COUNTIF(J2521,"*56*")&gt;0,COUNTIF(I2521,"68*")&gt;0,COUNTIF(J2521,"*68*")&gt;0,COUNTIF(I2521,"78*")&gt;0,COUNTIF(J2521,"*78*")&gt;0,COUNTIF(I2521,"81*")&gt;0,COUNTIF(J2521,"*81*")&gt;0,COUNTIF(I2521,"82*")&gt;0,COUNTIF(J2521,"*82*")&gt;0,COUNTIF(I2521,"64*")&gt;0,COUNTIF(J2521,"*64*")&gt;0,COUNTIF(I2521,"65*")&gt;0,COUNTIF(J2521,"*65*")&gt;0,COUNTIF(I2521,"66*")&gt;0,COUNTIF(J2521,"*66*")&gt;0,COUNTIF(I2521,"61*")&gt;0,COUNTIF(J2521,"*61*")&gt;0,COUNTIF(I2521,"62*")&gt;0,COUNTIF(J2521,"*62*")&gt;0,COUNTIF(I2521,"63*")&gt;0,COUNTIF(J2521,"*63*")&gt;0,COUNTIF(I2521,"85*")&gt;0,COUNTIF(J2521,"*85*")&gt;0,COUNTIF(I2521,"86*")&gt;0,COUNTIF(J2521,"*86*")&gt;0),"Да","Нет"))</f>
        <v/>
      </c>
      <c r="M2521" s="13">
        <f>IF(OR(G2521="",L2521&lt;&gt;"Да"),"",IF(G2521&lt;=100,"До 100",IF(G2521&lt;=200,"До 200",IF(G2521&lt;=500,"До 500","Отдельное КП"))))</f>
        <v/>
      </c>
      <c r="N2521" s="15">
        <f>IF(OR(G2521="",L2521&lt;&gt;"Да"),"",IF(G2521&lt;=100,33600,IF(G2521&lt;=200,62400,IF(G2521&lt;=500,144000,""))))</f>
        <v/>
      </c>
      <c r="O2521" s="16">
        <f>IF(G2521="","",IF(G2521&lt;=15,"1–15",IF(G2521&lt;=30,"16–30",IF(G2521&lt;=50,"31–50",IF(G2521&lt;=100,"51–100",IF(G2521&lt;=150,"101–150",IF(G2521&lt;=200,"151–200",IF(G2521&lt;=500,"201–500","500+"))))))))</f>
        <v/>
      </c>
      <c r="P2521" s="16" t="inlineStr">
        <is>
          <t>Нет совпадения в предоставленной выгрузке ССЧР</t>
        </is>
      </c>
      <c r="Q2521" s="16" t="n"/>
      <c r="R2521" s="16">
        <f>HYPERLINK("https://checko.ru/search?query=3801001629","Чекко: проверить")</f>
        <v/>
      </c>
      <c r="S2521" t="n">
        <v>0</v>
      </c>
    </row>
    <row r="2522" ht="15" customHeight="1" s="24">
      <c r="A2522" s="13" t="n">
        <v>5000095126</v>
      </c>
      <c r="B2522" s="13" t="inlineStr">
        <is>
          <t>МКУК "КДЦ с.п. Красносельского"</t>
        </is>
      </c>
      <c r="C2522" s="13" t="n">
        <v>716004165</v>
      </c>
      <c r="D2522" s="13" t="n"/>
      <c r="E2522" s="13" t="inlineStr">
        <is>
          <t>Не определён</t>
        </is>
      </c>
      <c r="F2522" s="13" t="inlineStr">
        <is>
          <t>716004165</t>
        </is>
      </c>
      <c r="G2522" s="14" t="n"/>
      <c r="H2522" s="14" t="n"/>
      <c r="I2522" s="14" t="n"/>
      <c r="J2522" s="14" t="n"/>
      <c r="K2522" s="13">
        <f>IF(G2522="","",IF(G2522&gt;=22,"Да","Нет"))</f>
        <v/>
      </c>
      <c r="L2522" s="13">
        <f>IF(OR(I2522="",J2522=""),"Не определено",IF(OR(COUNTIF(I2522,"45*")&gt;0,COUNTIF(J2522,"*45*")&gt;0,COUNTIF(I2522,"46*")&gt;0,COUNTIF(J2522,"*46*")&gt;0,COUNTIF(I2522,"47*")&gt;0,COUNTIF(J2522,"*47*")&gt;0,COUNTIF(I2522,"10*")&gt;0,COUNTIF(J2522,"*10*")&gt;0,COUNTIF(I2522,"11*")&gt;0,COUNTIF(J2522,"*11*")&gt;0,COUNTIF(I2522,"12*")&gt;0,COUNTIF(J2522,"*12*")&gt;0,COUNTIF(I2522,"13*")&gt;0,COUNTIF(J2522,"*13*")&gt;0,COUNTIF(I2522,"14*")&gt;0,COUNTIF(J2522,"*14*")&gt;0,COUNTIF(I2522,"15*")&gt;0,COUNTIF(J2522,"*15*")&gt;0,COUNTIF(I2522,"16*")&gt;0,COUNTIF(J2522,"*16*")&gt;0,COUNTIF(I2522,"17*")&gt;0,COUNTIF(J2522,"*17*")&gt;0,COUNTIF(I2522,"18*")&gt;0,COUNTIF(J2522,"*18*")&gt;0,COUNTIF(I2522,"19*")&gt;0,COUNTIF(J2522,"*19*")&gt;0,COUNTIF(I2522,"20*")&gt;0,COUNTIF(J2522,"*20*")&gt;0,COUNTIF(I2522,"21*")&gt;0,COUNTIF(J2522,"*21*")&gt;0,COUNTIF(I2522,"22*")&gt;0,COUNTIF(J2522,"*22*")&gt;0,COUNTIF(I2522,"23*")&gt;0,COUNTIF(J2522,"*23*")&gt;0,COUNTIF(I2522,"24*")&gt;0,COUNTIF(J2522,"*24*")&gt;0,COUNTIF(I2522,"25*")&gt;0,COUNTIF(J2522,"*25*")&gt;0,COUNTIF(I2522,"26*")&gt;0,COUNTIF(J2522,"*26*")&gt;0,COUNTIF(I2522,"27*")&gt;0,COUNTIF(J2522,"*27*")&gt;0,COUNTIF(I2522,"28*")&gt;0,COUNTIF(J2522,"*28*")&gt;0,COUNTIF(I2522,"29*")&gt;0,COUNTIF(J2522,"*29*")&gt;0,COUNTIF(I2522,"30*")&gt;0,COUNTIF(J2522,"*30*")&gt;0,COUNTIF(I2522,"31*")&gt;0,COUNTIF(J2522,"*31*")&gt;0,COUNTIF(I2522,"32*")&gt;0,COUNTIF(J2522,"*32*")&gt;0,COUNTIF(I2522,"33*")&gt;0,COUNTIF(J2522,"*33*")&gt;0,COUNTIF(I2522,"41*")&gt;0,COUNTIF(J2522,"*41*")&gt;0,COUNTIF(I2522,"42*")&gt;0,COUNTIF(J2522,"*42*")&gt;0,COUNTIF(I2522,"43*")&gt;0,COUNTIF(J2522,"*43*")&gt;0,COUNTIF(I2522,"49*")&gt;0,COUNTIF(J2522,"*49*")&gt;0,COUNTIF(I2522,"52*")&gt;0,COUNTIF(J2522,"*52*")&gt;0,COUNTIF(I2522,"55*")&gt;0,COUNTIF(J2522,"*55*")&gt;0,COUNTIF(I2522,"56*")&gt;0,COUNTIF(J2522,"*56*")&gt;0,COUNTIF(I2522,"68*")&gt;0,COUNTIF(J2522,"*68*")&gt;0,COUNTIF(I2522,"78*")&gt;0,COUNTIF(J2522,"*78*")&gt;0,COUNTIF(I2522,"81*")&gt;0,COUNTIF(J2522,"*81*")&gt;0,COUNTIF(I2522,"82*")&gt;0,COUNTIF(J2522,"*82*")&gt;0,COUNTIF(I2522,"64*")&gt;0,COUNTIF(J2522,"*64*")&gt;0,COUNTIF(I2522,"65*")&gt;0,COUNTIF(J2522,"*65*")&gt;0,COUNTIF(I2522,"66*")&gt;0,COUNTIF(J2522,"*66*")&gt;0,COUNTIF(I2522,"61*")&gt;0,COUNTIF(J2522,"*61*")&gt;0,COUNTIF(I2522,"62*")&gt;0,COUNTIF(J2522,"*62*")&gt;0,COUNTIF(I2522,"63*")&gt;0,COUNTIF(J2522,"*63*")&gt;0,COUNTIF(I2522,"85*")&gt;0,COUNTIF(J2522,"*85*")&gt;0,COUNTIF(I2522,"86*")&gt;0,COUNTIF(J2522,"*86*")&gt;0),"Да","Нет"))</f>
        <v/>
      </c>
      <c r="M2522" s="13">
        <f>IF(OR(G2522="",L2522&lt;&gt;"Да"),"",IF(G2522&lt;=100,"До 100",IF(G2522&lt;=200,"До 200",IF(G2522&lt;=500,"До 500","Отдельное КП"))))</f>
        <v/>
      </c>
      <c r="N2522" s="15">
        <f>IF(OR(G2522="",L2522&lt;&gt;"Да"),"",IF(G2522&lt;=100,33600,IF(G2522&lt;=200,62400,IF(G2522&lt;=500,144000,""))))</f>
        <v/>
      </c>
      <c r="O2522" s="16">
        <f>IF(G2522="","",IF(G2522&lt;=15,"1–15",IF(G2522&lt;=30,"16–30",IF(G2522&lt;=50,"31–50",IF(G2522&lt;=100,"51–100",IF(G2522&lt;=150,"101–150",IF(G2522&lt;=200,"151–200",IF(G2522&lt;=500,"201–500","500+"))))))))</f>
        <v/>
      </c>
      <c r="P2522" s="16" t="inlineStr">
        <is>
          <t>Нет совпадения в предоставленной выгрузке ССЧР</t>
        </is>
      </c>
      <c r="Q2522" s="16" t="n"/>
      <c r="R2522" s="16">
        <f>HYPERLINK("https://checko.ru/search?query=3801001629","Чекко: проверить")</f>
        <v/>
      </c>
      <c r="S2522" t="n">
        <v>0</v>
      </c>
    </row>
    <row r="2523" ht="15" customHeight="1" s="24">
      <c r="A2523" s="13" t="n">
        <v>5000095127</v>
      </c>
      <c r="B2523" s="13" t="inlineStr">
        <is>
          <t>МКУК "КДЦ с.п. Дальнего"</t>
        </is>
      </c>
      <c r="C2523" s="13" t="n">
        <v>716004172</v>
      </c>
      <c r="D2523" s="13" t="n"/>
      <c r="E2523" s="13" t="inlineStr">
        <is>
          <t>Не определён</t>
        </is>
      </c>
      <c r="F2523" s="13" t="inlineStr">
        <is>
          <t>716004172</t>
        </is>
      </c>
      <c r="G2523" s="14" t="n"/>
      <c r="H2523" s="14" t="n"/>
      <c r="I2523" s="14" t="n"/>
      <c r="J2523" s="14" t="n"/>
      <c r="K2523" s="13">
        <f>IF(G2523="","",IF(G2523&gt;=22,"Да","Нет"))</f>
        <v/>
      </c>
      <c r="L2523" s="13">
        <f>IF(OR(I2523="",J2523=""),"Не определено",IF(OR(COUNTIF(I2523,"45*")&gt;0,COUNTIF(J2523,"*45*")&gt;0,COUNTIF(I2523,"46*")&gt;0,COUNTIF(J2523,"*46*")&gt;0,COUNTIF(I2523,"47*")&gt;0,COUNTIF(J2523,"*47*")&gt;0,COUNTIF(I2523,"10*")&gt;0,COUNTIF(J2523,"*10*")&gt;0,COUNTIF(I2523,"11*")&gt;0,COUNTIF(J2523,"*11*")&gt;0,COUNTIF(I2523,"12*")&gt;0,COUNTIF(J2523,"*12*")&gt;0,COUNTIF(I2523,"13*")&gt;0,COUNTIF(J2523,"*13*")&gt;0,COUNTIF(I2523,"14*")&gt;0,COUNTIF(J2523,"*14*")&gt;0,COUNTIF(I2523,"15*")&gt;0,COUNTIF(J2523,"*15*")&gt;0,COUNTIF(I2523,"16*")&gt;0,COUNTIF(J2523,"*16*")&gt;0,COUNTIF(I2523,"17*")&gt;0,COUNTIF(J2523,"*17*")&gt;0,COUNTIF(I2523,"18*")&gt;0,COUNTIF(J2523,"*18*")&gt;0,COUNTIF(I2523,"19*")&gt;0,COUNTIF(J2523,"*19*")&gt;0,COUNTIF(I2523,"20*")&gt;0,COUNTIF(J2523,"*20*")&gt;0,COUNTIF(I2523,"21*")&gt;0,COUNTIF(J2523,"*21*")&gt;0,COUNTIF(I2523,"22*")&gt;0,COUNTIF(J2523,"*22*")&gt;0,COUNTIF(I2523,"23*")&gt;0,COUNTIF(J2523,"*23*")&gt;0,COUNTIF(I2523,"24*")&gt;0,COUNTIF(J2523,"*24*")&gt;0,COUNTIF(I2523,"25*")&gt;0,COUNTIF(J2523,"*25*")&gt;0,COUNTIF(I2523,"26*")&gt;0,COUNTIF(J2523,"*26*")&gt;0,COUNTIF(I2523,"27*")&gt;0,COUNTIF(J2523,"*27*")&gt;0,COUNTIF(I2523,"28*")&gt;0,COUNTIF(J2523,"*28*")&gt;0,COUNTIF(I2523,"29*")&gt;0,COUNTIF(J2523,"*29*")&gt;0,COUNTIF(I2523,"30*")&gt;0,COUNTIF(J2523,"*30*")&gt;0,COUNTIF(I2523,"31*")&gt;0,COUNTIF(J2523,"*31*")&gt;0,COUNTIF(I2523,"32*")&gt;0,COUNTIF(J2523,"*32*")&gt;0,COUNTIF(I2523,"33*")&gt;0,COUNTIF(J2523,"*33*")&gt;0,COUNTIF(I2523,"41*")&gt;0,COUNTIF(J2523,"*41*")&gt;0,COUNTIF(I2523,"42*")&gt;0,COUNTIF(J2523,"*42*")&gt;0,COUNTIF(I2523,"43*")&gt;0,COUNTIF(J2523,"*43*")&gt;0,COUNTIF(I2523,"49*")&gt;0,COUNTIF(J2523,"*49*")&gt;0,COUNTIF(I2523,"52*")&gt;0,COUNTIF(J2523,"*52*")&gt;0,COUNTIF(I2523,"55*")&gt;0,COUNTIF(J2523,"*55*")&gt;0,COUNTIF(I2523,"56*")&gt;0,COUNTIF(J2523,"*56*")&gt;0,COUNTIF(I2523,"68*")&gt;0,COUNTIF(J2523,"*68*")&gt;0,COUNTIF(I2523,"78*")&gt;0,COUNTIF(J2523,"*78*")&gt;0,COUNTIF(I2523,"81*")&gt;0,COUNTIF(J2523,"*81*")&gt;0,COUNTIF(I2523,"82*")&gt;0,COUNTIF(J2523,"*82*")&gt;0,COUNTIF(I2523,"64*")&gt;0,COUNTIF(J2523,"*64*")&gt;0,COUNTIF(I2523,"65*")&gt;0,COUNTIF(J2523,"*65*")&gt;0,COUNTIF(I2523,"66*")&gt;0,COUNTIF(J2523,"*66*")&gt;0,COUNTIF(I2523,"61*")&gt;0,COUNTIF(J2523,"*61*")&gt;0,COUNTIF(I2523,"62*")&gt;0,COUNTIF(J2523,"*62*")&gt;0,COUNTIF(I2523,"63*")&gt;0,COUNTIF(J2523,"*63*")&gt;0,COUNTIF(I2523,"85*")&gt;0,COUNTIF(J2523,"*85*")&gt;0,COUNTIF(I2523,"86*")&gt;0,COUNTIF(J2523,"*86*")&gt;0),"Да","Нет"))</f>
        <v/>
      </c>
      <c r="M2523" s="13">
        <f>IF(OR(G2523="",L2523&lt;&gt;"Да"),"",IF(G2523&lt;=100,"До 100",IF(G2523&lt;=200,"До 200",IF(G2523&lt;=500,"До 500","Отдельное КП"))))</f>
        <v/>
      </c>
      <c r="N2523" s="15">
        <f>IF(OR(G2523="",L2523&lt;&gt;"Да"),"",IF(G2523&lt;=100,33600,IF(G2523&lt;=200,62400,IF(G2523&lt;=500,144000,""))))</f>
        <v/>
      </c>
      <c r="O2523" s="16">
        <f>IF(G2523="","",IF(G2523&lt;=15,"1–15",IF(G2523&lt;=30,"16–30",IF(G2523&lt;=50,"31–50",IF(G2523&lt;=100,"51–100",IF(G2523&lt;=150,"101–150",IF(G2523&lt;=200,"151–200",IF(G2523&lt;=500,"201–500","500+"))))))))</f>
        <v/>
      </c>
      <c r="P2523" s="16" t="inlineStr">
        <is>
          <t>Нет совпадения в предоставленной выгрузке ССЧР</t>
        </is>
      </c>
      <c r="Q2523" s="16" t="n"/>
      <c r="R2523" s="16">
        <f>HYPERLINK("https://checko.ru/search?query=3801001629","Чекко: проверить")</f>
        <v/>
      </c>
      <c r="S2523" t="n">
        <v>0</v>
      </c>
    </row>
    <row r="2524" ht="15" customHeight="1" s="24">
      <c r="A2524" s="13" t="n">
        <v>5000095128</v>
      </c>
      <c r="B2524" s="13" t="inlineStr">
        <is>
          <t>МКУК "КДЦ с.п. Ульяновского"</t>
        </is>
      </c>
      <c r="C2524" s="13" t="n">
        <v>716004180</v>
      </c>
      <c r="D2524" s="13" t="n"/>
      <c r="E2524" s="13" t="inlineStr">
        <is>
          <t>Не определён</t>
        </is>
      </c>
      <c r="F2524" s="13" t="inlineStr">
        <is>
          <t>716004180</t>
        </is>
      </c>
      <c r="G2524" s="14" t="n"/>
      <c r="H2524" s="14" t="n"/>
      <c r="I2524" s="14" t="n"/>
      <c r="J2524" s="14" t="n"/>
      <c r="K2524" s="13">
        <f>IF(G2524="","",IF(G2524&gt;=22,"Да","Нет"))</f>
        <v/>
      </c>
      <c r="L2524" s="13">
        <f>IF(OR(I2524="",J2524=""),"Не определено",IF(OR(COUNTIF(I2524,"45*")&gt;0,COUNTIF(J2524,"*45*")&gt;0,COUNTIF(I2524,"46*")&gt;0,COUNTIF(J2524,"*46*")&gt;0,COUNTIF(I2524,"47*")&gt;0,COUNTIF(J2524,"*47*")&gt;0,COUNTIF(I2524,"10*")&gt;0,COUNTIF(J2524,"*10*")&gt;0,COUNTIF(I2524,"11*")&gt;0,COUNTIF(J2524,"*11*")&gt;0,COUNTIF(I2524,"12*")&gt;0,COUNTIF(J2524,"*12*")&gt;0,COUNTIF(I2524,"13*")&gt;0,COUNTIF(J2524,"*13*")&gt;0,COUNTIF(I2524,"14*")&gt;0,COUNTIF(J2524,"*14*")&gt;0,COUNTIF(I2524,"15*")&gt;0,COUNTIF(J2524,"*15*")&gt;0,COUNTIF(I2524,"16*")&gt;0,COUNTIF(J2524,"*16*")&gt;0,COUNTIF(I2524,"17*")&gt;0,COUNTIF(J2524,"*17*")&gt;0,COUNTIF(I2524,"18*")&gt;0,COUNTIF(J2524,"*18*")&gt;0,COUNTIF(I2524,"19*")&gt;0,COUNTIF(J2524,"*19*")&gt;0,COUNTIF(I2524,"20*")&gt;0,COUNTIF(J2524,"*20*")&gt;0,COUNTIF(I2524,"21*")&gt;0,COUNTIF(J2524,"*21*")&gt;0,COUNTIF(I2524,"22*")&gt;0,COUNTIF(J2524,"*22*")&gt;0,COUNTIF(I2524,"23*")&gt;0,COUNTIF(J2524,"*23*")&gt;0,COUNTIF(I2524,"24*")&gt;0,COUNTIF(J2524,"*24*")&gt;0,COUNTIF(I2524,"25*")&gt;0,COUNTIF(J2524,"*25*")&gt;0,COUNTIF(I2524,"26*")&gt;0,COUNTIF(J2524,"*26*")&gt;0,COUNTIF(I2524,"27*")&gt;0,COUNTIF(J2524,"*27*")&gt;0,COUNTIF(I2524,"28*")&gt;0,COUNTIF(J2524,"*28*")&gt;0,COUNTIF(I2524,"29*")&gt;0,COUNTIF(J2524,"*29*")&gt;0,COUNTIF(I2524,"30*")&gt;0,COUNTIF(J2524,"*30*")&gt;0,COUNTIF(I2524,"31*")&gt;0,COUNTIF(J2524,"*31*")&gt;0,COUNTIF(I2524,"32*")&gt;0,COUNTIF(J2524,"*32*")&gt;0,COUNTIF(I2524,"33*")&gt;0,COUNTIF(J2524,"*33*")&gt;0,COUNTIF(I2524,"41*")&gt;0,COUNTIF(J2524,"*41*")&gt;0,COUNTIF(I2524,"42*")&gt;0,COUNTIF(J2524,"*42*")&gt;0,COUNTIF(I2524,"43*")&gt;0,COUNTIF(J2524,"*43*")&gt;0,COUNTIF(I2524,"49*")&gt;0,COUNTIF(J2524,"*49*")&gt;0,COUNTIF(I2524,"52*")&gt;0,COUNTIF(J2524,"*52*")&gt;0,COUNTIF(I2524,"55*")&gt;0,COUNTIF(J2524,"*55*")&gt;0,COUNTIF(I2524,"56*")&gt;0,COUNTIF(J2524,"*56*")&gt;0,COUNTIF(I2524,"68*")&gt;0,COUNTIF(J2524,"*68*")&gt;0,COUNTIF(I2524,"78*")&gt;0,COUNTIF(J2524,"*78*")&gt;0,COUNTIF(I2524,"81*")&gt;0,COUNTIF(J2524,"*81*")&gt;0,COUNTIF(I2524,"82*")&gt;0,COUNTIF(J2524,"*82*")&gt;0,COUNTIF(I2524,"64*")&gt;0,COUNTIF(J2524,"*64*")&gt;0,COUNTIF(I2524,"65*")&gt;0,COUNTIF(J2524,"*65*")&gt;0,COUNTIF(I2524,"66*")&gt;0,COUNTIF(J2524,"*66*")&gt;0,COUNTIF(I2524,"61*")&gt;0,COUNTIF(J2524,"*61*")&gt;0,COUNTIF(I2524,"62*")&gt;0,COUNTIF(J2524,"*62*")&gt;0,COUNTIF(I2524,"63*")&gt;0,COUNTIF(J2524,"*63*")&gt;0,COUNTIF(I2524,"85*")&gt;0,COUNTIF(J2524,"*85*")&gt;0,COUNTIF(I2524,"86*")&gt;0,COUNTIF(J2524,"*86*")&gt;0),"Да","Нет"))</f>
        <v/>
      </c>
      <c r="M2524" s="13">
        <f>IF(OR(G2524="",L2524&lt;&gt;"Да"),"",IF(G2524&lt;=100,"До 100",IF(G2524&lt;=200,"До 200",IF(G2524&lt;=500,"До 500","Отдельное КП"))))</f>
        <v/>
      </c>
      <c r="N2524" s="15">
        <f>IF(OR(G2524="",L2524&lt;&gt;"Да"),"",IF(G2524&lt;=100,33600,IF(G2524&lt;=200,62400,IF(G2524&lt;=500,144000,""))))</f>
        <v/>
      </c>
      <c r="O2524" s="16">
        <f>IF(G2524="","",IF(G2524&lt;=15,"1–15",IF(G2524&lt;=30,"16–30",IF(G2524&lt;=50,"31–50",IF(G2524&lt;=100,"51–100",IF(G2524&lt;=150,"101–150",IF(G2524&lt;=200,"151–200",IF(G2524&lt;=500,"201–500","500+"))))))))</f>
        <v/>
      </c>
      <c r="P2524" s="16" t="inlineStr">
        <is>
          <t>Нет совпадения в предоставленной выгрузке ССЧР</t>
        </is>
      </c>
      <c r="Q2524" s="16" t="n"/>
      <c r="R2524" s="16">
        <f>HYPERLINK("https://checko.ru/search?query=3801001629","Чекко: проверить")</f>
        <v/>
      </c>
      <c r="S2524" t="n">
        <v>0</v>
      </c>
    </row>
    <row r="2525" ht="15" customHeight="1" s="24">
      <c r="A2525" s="13" t="n">
        <v>5000095129</v>
      </c>
      <c r="B2525" s="13" t="inlineStr">
        <is>
          <t>МКУК "МКДК с.п. Учебного"</t>
        </is>
      </c>
      <c r="C2525" s="13" t="n">
        <v>716004197</v>
      </c>
      <c r="D2525" s="13" t="n"/>
      <c r="E2525" s="13" t="inlineStr">
        <is>
          <t>Не определён</t>
        </is>
      </c>
      <c r="F2525" s="13" t="inlineStr">
        <is>
          <t>716004197</t>
        </is>
      </c>
      <c r="G2525" s="14" t="n"/>
      <c r="H2525" s="14" t="n"/>
      <c r="I2525" s="14" t="n"/>
      <c r="J2525" s="14" t="n"/>
      <c r="K2525" s="13">
        <f>IF(G2525="","",IF(G2525&gt;=22,"Да","Нет"))</f>
        <v/>
      </c>
      <c r="L2525" s="13">
        <f>IF(OR(I2525="",J2525=""),"Не определено",IF(OR(COUNTIF(I2525,"45*")&gt;0,COUNTIF(J2525,"*45*")&gt;0,COUNTIF(I2525,"46*")&gt;0,COUNTIF(J2525,"*46*")&gt;0,COUNTIF(I2525,"47*")&gt;0,COUNTIF(J2525,"*47*")&gt;0,COUNTIF(I2525,"10*")&gt;0,COUNTIF(J2525,"*10*")&gt;0,COUNTIF(I2525,"11*")&gt;0,COUNTIF(J2525,"*11*")&gt;0,COUNTIF(I2525,"12*")&gt;0,COUNTIF(J2525,"*12*")&gt;0,COUNTIF(I2525,"13*")&gt;0,COUNTIF(J2525,"*13*")&gt;0,COUNTIF(I2525,"14*")&gt;0,COUNTIF(J2525,"*14*")&gt;0,COUNTIF(I2525,"15*")&gt;0,COUNTIF(J2525,"*15*")&gt;0,COUNTIF(I2525,"16*")&gt;0,COUNTIF(J2525,"*16*")&gt;0,COUNTIF(I2525,"17*")&gt;0,COUNTIF(J2525,"*17*")&gt;0,COUNTIF(I2525,"18*")&gt;0,COUNTIF(J2525,"*18*")&gt;0,COUNTIF(I2525,"19*")&gt;0,COUNTIF(J2525,"*19*")&gt;0,COUNTIF(I2525,"20*")&gt;0,COUNTIF(J2525,"*20*")&gt;0,COUNTIF(I2525,"21*")&gt;0,COUNTIF(J2525,"*21*")&gt;0,COUNTIF(I2525,"22*")&gt;0,COUNTIF(J2525,"*22*")&gt;0,COUNTIF(I2525,"23*")&gt;0,COUNTIF(J2525,"*23*")&gt;0,COUNTIF(I2525,"24*")&gt;0,COUNTIF(J2525,"*24*")&gt;0,COUNTIF(I2525,"25*")&gt;0,COUNTIF(J2525,"*25*")&gt;0,COUNTIF(I2525,"26*")&gt;0,COUNTIF(J2525,"*26*")&gt;0,COUNTIF(I2525,"27*")&gt;0,COUNTIF(J2525,"*27*")&gt;0,COUNTIF(I2525,"28*")&gt;0,COUNTIF(J2525,"*28*")&gt;0,COUNTIF(I2525,"29*")&gt;0,COUNTIF(J2525,"*29*")&gt;0,COUNTIF(I2525,"30*")&gt;0,COUNTIF(J2525,"*30*")&gt;0,COUNTIF(I2525,"31*")&gt;0,COUNTIF(J2525,"*31*")&gt;0,COUNTIF(I2525,"32*")&gt;0,COUNTIF(J2525,"*32*")&gt;0,COUNTIF(I2525,"33*")&gt;0,COUNTIF(J2525,"*33*")&gt;0,COUNTIF(I2525,"41*")&gt;0,COUNTIF(J2525,"*41*")&gt;0,COUNTIF(I2525,"42*")&gt;0,COUNTIF(J2525,"*42*")&gt;0,COUNTIF(I2525,"43*")&gt;0,COUNTIF(J2525,"*43*")&gt;0,COUNTIF(I2525,"49*")&gt;0,COUNTIF(J2525,"*49*")&gt;0,COUNTIF(I2525,"52*")&gt;0,COUNTIF(J2525,"*52*")&gt;0,COUNTIF(I2525,"55*")&gt;0,COUNTIF(J2525,"*55*")&gt;0,COUNTIF(I2525,"56*")&gt;0,COUNTIF(J2525,"*56*")&gt;0,COUNTIF(I2525,"68*")&gt;0,COUNTIF(J2525,"*68*")&gt;0,COUNTIF(I2525,"78*")&gt;0,COUNTIF(J2525,"*78*")&gt;0,COUNTIF(I2525,"81*")&gt;0,COUNTIF(J2525,"*81*")&gt;0,COUNTIF(I2525,"82*")&gt;0,COUNTIF(J2525,"*82*")&gt;0,COUNTIF(I2525,"64*")&gt;0,COUNTIF(J2525,"*64*")&gt;0,COUNTIF(I2525,"65*")&gt;0,COUNTIF(J2525,"*65*")&gt;0,COUNTIF(I2525,"66*")&gt;0,COUNTIF(J2525,"*66*")&gt;0,COUNTIF(I2525,"61*")&gt;0,COUNTIF(J2525,"*61*")&gt;0,COUNTIF(I2525,"62*")&gt;0,COUNTIF(J2525,"*62*")&gt;0,COUNTIF(I2525,"63*")&gt;0,COUNTIF(J2525,"*63*")&gt;0,COUNTIF(I2525,"85*")&gt;0,COUNTIF(J2525,"*85*")&gt;0,COUNTIF(I2525,"86*")&gt;0,COUNTIF(J2525,"*86*")&gt;0),"Да","Нет"))</f>
        <v/>
      </c>
      <c r="M2525" s="13">
        <f>IF(OR(G2525="",L2525&lt;&gt;"Да"),"",IF(G2525&lt;=100,"До 100",IF(G2525&lt;=200,"До 200",IF(G2525&lt;=500,"До 500","Отдельное КП"))))</f>
        <v/>
      </c>
      <c r="N2525" s="15">
        <f>IF(OR(G2525="",L2525&lt;&gt;"Да"),"",IF(G2525&lt;=100,33600,IF(G2525&lt;=200,62400,IF(G2525&lt;=500,144000,""))))</f>
        <v/>
      </c>
      <c r="O2525" s="16">
        <f>IF(G2525="","",IF(G2525&lt;=15,"1–15",IF(G2525&lt;=30,"16–30",IF(G2525&lt;=50,"31–50",IF(G2525&lt;=100,"51–100",IF(G2525&lt;=150,"101–150",IF(G2525&lt;=200,"151–200",IF(G2525&lt;=500,"201–500","500+"))))))))</f>
        <v/>
      </c>
      <c r="P2525" s="16" t="inlineStr">
        <is>
          <t>Нет совпадения в предоставленной выгрузке ССЧР</t>
        </is>
      </c>
      <c r="Q2525" s="16" t="n"/>
      <c r="R2525" s="16">
        <f>HYPERLINK("https://checko.ru/search?query=3801001629","Чекко: проверить")</f>
        <v/>
      </c>
      <c r="S2525" t="n">
        <v>0</v>
      </c>
    </row>
    <row r="2526" ht="15" customHeight="1" s="24">
      <c r="A2526" s="13" t="n">
        <v>5000095130</v>
      </c>
      <c r="B2526" s="13" t="inlineStr">
        <is>
          <t>МКУК "Клуб с.п. Псыншоко"</t>
        </is>
      </c>
      <c r="C2526" s="13" t="n">
        <v>716004207</v>
      </c>
      <c r="D2526" s="13" t="n"/>
      <c r="E2526" s="13" t="inlineStr">
        <is>
          <t>Не определён</t>
        </is>
      </c>
      <c r="F2526" s="13" t="inlineStr">
        <is>
          <t>716004207</t>
        </is>
      </c>
      <c r="G2526" s="14" t="n"/>
      <c r="H2526" s="14" t="n"/>
      <c r="I2526" s="14" t="n"/>
      <c r="J2526" s="14" t="n"/>
      <c r="K2526" s="13">
        <f>IF(G2526="","",IF(G2526&gt;=22,"Да","Нет"))</f>
        <v/>
      </c>
      <c r="L2526" s="13">
        <f>IF(OR(I2526="",J2526=""),"Не определено",IF(OR(COUNTIF(I2526,"45*")&gt;0,COUNTIF(J2526,"*45*")&gt;0,COUNTIF(I2526,"46*")&gt;0,COUNTIF(J2526,"*46*")&gt;0,COUNTIF(I2526,"47*")&gt;0,COUNTIF(J2526,"*47*")&gt;0,COUNTIF(I2526,"10*")&gt;0,COUNTIF(J2526,"*10*")&gt;0,COUNTIF(I2526,"11*")&gt;0,COUNTIF(J2526,"*11*")&gt;0,COUNTIF(I2526,"12*")&gt;0,COUNTIF(J2526,"*12*")&gt;0,COUNTIF(I2526,"13*")&gt;0,COUNTIF(J2526,"*13*")&gt;0,COUNTIF(I2526,"14*")&gt;0,COUNTIF(J2526,"*14*")&gt;0,COUNTIF(I2526,"15*")&gt;0,COUNTIF(J2526,"*15*")&gt;0,COUNTIF(I2526,"16*")&gt;0,COUNTIF(J2526,"*16*")&gt;0,COUNTIF(I2526,"17*")&gt;0,COUNTIF(J2526,"*17*")&gt;0,COUNTIF(I2526,"18*")&gt;0,COUNTIF(J2526,"*18*")&gt;0,COUNTIF(I2526,"19*")&gt;0,COUNTIF(J2526,"*19*")&gt;0,COUNTIF(I2526,"20*")&gt;0,COUNTIF(J2526,"*20*")&gt;0,COUNTIF(I2526,"21*")&gt;0,COUNTIF(J2526,"*21*")&gt;0,COUNTIF(I2526,"22*")&gt;0,COUNTIF(J2526,"*22*")&gt;0,COUNTIF(I2526,"23*")&gt;0,COUNTIF(J2526,"*23*")&gt;0,COUNTIF(I2526,"24*")&gt;0,COUNTIF(J2526,"*24*")&gt;0,COUNTIF(I2526,"25*")&gt;0,COUNTIF(J2526,"*25*")&gt;0,COUNTIF(I2526,"26*")&gt;0,COUNTIF(J2526,"*26*")&gt;0,COUNTIF(I2526,"27*")&gt;0,COUNTIF(J2526,"*27*")&gt;0,COUNTIF(I2526,"28*")&gt;0,COUNTIF(J2526,"*28*")&gt;0,COUNTIF(I2526,"29*")&gt;0,COUNTIF(J2526,"*29*")&gt;0,COUNTIF(I2526,"30*")&gt;0,COUNTIF(J2526,"*30*")&gt;0,COUNTIF(I2526,"31*")&gt;0,COUNTIF(J2526,"*31*")&gt;0,COUNTIF(I2526,"32*")&gt;0,COUNTIF(J2526,"*32*")&gt;0,COUNTIF(I2526,"33*")&gt;0,COUNTIF(J2526,"*33*")&gt;0,COUNTIF(I2526,"41*")&gt;0,COUNTIF(J2526,"*41*")&gt;0,COUNTIF(I2526,"42*")&gt;0,COUNTIF(J2526,"*42*")&gt;0,COUNTIF(I2526,"43*")&gt;0,COUNTIF(J2526,"*43*")&gt;0,COUNTIF(I2526,"49*")&gt;0,COUNTIF(J2526,"*49*")&gt;0,COUNTIF(I2526,"52*")&gt;0,COUNTIF(J2526,"*52*")&gt;0,COUNTIF(I2526,"55*")&gt;0,COUNTIF(J2526,"*55*")&gt;0,COUNTIF(I2526,"56*")&gt;0,COUNTIF(J2526,"*56*")&gt;0,COUNTIF(I2526,"68*")&gt;0,COUNTIF(J2526,"*68*")&gt;0,COUNTIF(I2526,"78*")&gt;0,COUNTIF(J2526,"*78*")&gt;0,COUNTIF(I2526,"81*")&gt;0,COUNTIF(J2526,"*81*")&gt;0,COUNTIF(I2526,"82*")&gt;0,COUNTIF(J2526,"*82*")&gt;0,COUNTIF(I2526,"64*")&gt;0,COUNTIF(J2526,"*64*")&gt;0,COUNTIF(I2526,"65*")&gt;0,COUNTIF(J2526,"*65*")&gt;0,COUNTIF(I2526,"66*")&gt;0,COUNTIF(J2526,"*66*")&gt;0,COUNTIF(I2526,"61*")&gt;0,COUNTIF(J2526,"*61*")&gt;0,COUNTIF(I2526,"62*")&gt;0,COUNTIF(J2526,"*62*")&gt;0,COUNTIF(I2526,"63*")&gt;0,COUNTIF(J2526,"*63*")&gt;0,COUNTIF(I2526,"85*")&gt;0,COUNTIF(J2526,"*85*")&gt;0,COUNTIF(I2526,"86*")&gt;0,COUNTIF(J2526,"*86*")&gt;0),"Да","Нет"))</f>
        <v/>
      </c>
      <c r="M2526" s="13">
        <f>IF(OR(G2526="",L2526&lt;&gt;"Да"),"",IF(G2526&lt;=100,"До 100",IF(G2526&lt;=200,"До 200",IF(G2526&lt;=500,"До 500","Отдельное КП"))))</f>
        <v/>
      </c>
      <c r="N2526" s="15">
        <f>IF(OR(G2526="",L2526&lt;&gt;"Да"),"",IF(G2526&lt;=100,33600,IF(G2526&lt;=200,62400,IF(G2526&lt;=500,144000,""))))</f>
        <v/>
      </c>
      <c r="O2526" s="16">
        <f>IF(G2526="","",IF(G2526&lt;=15,"1–15",IF(G2526&lt;=30,"16–30",IF(G2526&lt;=50,"31–50",IF(G2526&lt;=100,"51–100",IF(G2526&lt;=150,"101–150",IF(G2526&lt;=200,"151–200",IF(G2526&lt;=500,"201–500","500+"))))))))</f>
        <v/>
      </c>
      <c r="P2526" s="16" t="inlineStr">
        <is>
          <t>Нет совпадения в предоставленной выгрузке ССЧР</t>
        </is>
      </c>
      <c r="Q2526" s="16" t="n"/>
      <c r="R2526" s="16">
        <f>HYPERLINK("https://checko.ru/search?query=3801001629","Чекко: проверить")</f>
        <v/>
      </c>
      <c r="S2526" t="n">
        <v>0</v>
      </c>
    </row>
    <row r="2527" ht="15" customHeight="1" s="24">
      <c r="A2527" s="13" t="n">
        <v>5000095131</v>
      </c>
      <c r="B2527" s="13" t="inlineStr">
        <is>
          <t>МКУК "Клуб с.п.  Малакановского"</t>
        </is>
      </c>
      <c r="C2527" s="13" t="n">
        <v>716004214</v>
      </c>
      <c r="D2527" s="13" t="n"/>
      <c r="E2527" s="13" t="inlineStr">
        <is>
          <t>Не определён</t>
        </is>
      </c>
      <c r="F2527" s="13" t="inlineStr">
        <is>
          <t>716004214</t>
        </is>
      </c>
      <c r="G2527" s="14" t="n"/>
      <c r="H2527" s="14" t="n"/>
      <c r="I2527" s="14" t="n"/>
      <c r="J2527" s="14" t="n"/>
      <c r="K2527" s="13">
        <f>IF(G2527="","",IF(G2527&gt;=22,"Да","Нет"))</f>
        <v/>
      </c>
      <c r="L2527" s="13">
        <f>IF(OR(I2527="",J2527=""),"Не определено",IF(OR(COUNTIF(I2527,"45*")&gt;0,COUNTIF(J2527,"*45*")&gt;0,COUNTIF(I2527,"46*")&gt;0,COUNTIF(J2527,"*46*")&gt;0,COUNTIF(I2527,"47*")&gt;0,COUNTIF(J2527,"*47*")&gt;0,COUNTIF(I2527,"10*")&gt;0,COUNTIF(J2527,"*10*")&gt;0,COUNTIF(I2527,"11*")&gt;0,COUNTIF(J2527,"*11*")&gt;0,COUNTIF(I2527,"12*")&gt;0,COUNTIF(J2527,"*12*")&gt;0,COUNTIF(I2527,"13*")&gt;0,COUNTIF(J2527,"*13*")&gt;0,COUNTIF(I2527,"14*")&gt;0,COUNTIF(J2527,"*14*")&gt;0,COUNTIF(I2527,"15*")&gt;0,COUNTIF(J2527,"*15*")&gt;0,COUNTIF(I2527,"16*")&gt;0,COUNTIF(J2527,"*16*")&gt;0,COUNTIF(I2527,"17*")&gt;0,COUNTIF(J2527,"*17*")&gt;0,COUNTIF(I2527,"18*")&gt;0,COUNTIF(J2527,"*18*")&gt;0,COUNTIF(I2527,"19*")&gt;0,COUNTIF(J2527,"*19*")&gt;0,COUNTIF(I2527,"20*")&gt;0,COUNTIF(J2527,"*20*")&gt;0,COUNTIF(I2527,"21*")&gt;0,COUNTIF(J2527,"*21*")&gt;0,COUNTIF(I2527,"22*")&gt;0,COUNTIF(J2527,"*22*")&gt;0,COUNTIF(I2527,"23*")&gt;0,COUNTIF(J2527,"*23*")&gt;0,COUNTIF(I2527,"24*")&gt;0,COUNTIF(J2527,"*24*")&gt;0,COUNTIF(I2527,"25*")&gt;0,COUNTIF(J2527,"*25*")&gt;0,COUNTIF(I2527,"26*")&gt;0,COUNTIF(J2527,"*26*")&gt;0,COUNTIF(I2527,"27*")&gt;0,COUNTIF(J2527,"*27*")&gt;0,COUNTIF(I2527,"28*")&gt;0,COUNTIF(J2527,"*28*")&gt;0,COUNTIF(I2527,"29*")&gt;0,COUNTIF(J2527,"*29*")&gt;0,COUNTIF(I2527,"30*")&gt;0,COUNTIF(J2527,"*30*")&gt;0,COUNTIF(I2527,"31*")&gt;0,COUNTIF(J2527,"*31*")&gt;0,COUNTIF(I2527,"32*")&gt;0,COUNTIF(J2527,"*32*")&gt;0,COUNTIF(I2527,"33*")&gt;0,COUNTIF(J2527,"*33*")&gt;0,COUNTIF(I2527,"41*")&gt;0,COUNTIF(J2527,"*41*")&gt;0,COUNTIF(I2527,"42*")&gt;0,COUNTIF(J2527,"*42*")&gt;0,COUNTIF(I2527,"43*")&gt;0,COUNTIF(J2527,"*43*")&gt;0,COUNTIF(I2527,"49*")&gt;0,COUNTIF(J2527,"*49*")&gt;0,COUNTIF(I2527,"52*")&gt;0,COUNTIF(J2527,"*52*")&gt;0,COUNTIF(I2527,"55*")&gt;0,COUNTIF(J2527,"*55*")&gt;0,COUNTIF(I2527,"56*")&gt;0,COUNTIF(J2527,"*56*")&gt;0,COUNTIF(I2527,"68*")&gt;0,COUNTIF(J2527,"*68*")&gt;0,COUNTIF(I2527,"78*")&gt;0,COUNTIF(J2527,"*78*")&gt;0,COUNTIF(I2527,"81*")&gt;0,COUNTIF(J2527,"*81*")&gt;0,COUNTIF(I2527,"82*")&gt;0,COUNTIF(J2527,"*82*")&gt;0,COUNTIF(I2527,"64*")&gt;0,COUNTIF(J2527,"*64*")&gt;0,COUNTIF(I2527,"65*")&gt;0,COUNTIF(J2527,"*65*")&gt;0,COUNTIF(I2527,"66*")&gt;0,COUNTIF(J2527,"*66*")&gt;0,COUNTIF(I2527,"61*")&gt;0,COUNTIF(J2527,"*61*")&gt;0,COUNTIF(I2527,"62*")&gt;0,COUNTIF(J2527,"*62*")&gt;0,COUNTIF(I2527,"63*")&gt;0,COUNTIF(J2527,"*63*")&gt;0,COUNTIF(I2527,"85*")&gt;0,COUNTIF(J2527,"*85*")&gt;0,COUNTIF(I2527,"86*")&gt;0,COUNTIF(J2527,"*86*")&gt;0),"Да","Нет"))</f>
        <v/>
      </c>
      <c r="M2527" s="13">
        <f>IF(OR(G2527="",L2527&lt;&gt;"Да"),"",IF(G2527&lt;=100,"До 100",IF(G2527&lt;=200,"До 200",IF(G2527&lt;=500,"До 500","Отдельное КП"))))</f>
        <v/>
      </c>
      <c r="N2527" s="15">
        <f>IF(OR(G2527="",L2527&lt;&gt;"Да"),"",IF(G2527&lt;=100,33600,IF(G2527&lt;=200,62400,IF(G2527&lt;=500,144000,""))))</f>
        <v/>
      </c>
      <c r="O2527" s="16">
        <f>IF(G2527="","",IF(G2527&lt;=15,"1–15",IF(G2527&lt;=30,"16–30",IF(G2527&lt;=50,"31–50",IF(G2527&lt;=100,"51–100",IF(G2527&lt;=150,"101–150",IF(G2527&lt;=200,"151–200",IF(G2527&lt;=500,"201–500","500+"))))))))</f>
        <v/>
      </c>
      <c r="P2527" s="16" t="inlineStr">
        <is>
          <t>Нет совпадения в предоставленной выгрузке ССЧР</t>
        </is>
      </c>
      <c r="Q2527" s="16" t="n"/>
      <c r="R2527" s="16">
        <f>HYPERLINK("https://checko.ru/search?query=3801001629","Чекко: проверить")</f>
        <v/>
      </c>
      <c r="S2527" t="n">
        <v>0</v>
      </c>
    </row>
    <row r="2528" ht="15" customHeight="1" s="24">
      <c r="A2528" s="13" t="n">
        <v>5000095132</v>
      </c>
      <c r="B2528" s="13" t="inlineStr">
        <is>
          <t>МКОУ "СОШ №2 с.Карагач"</t>
        </is>
      </c>
      <c r="C2528" s="13" t="n">
        <v>716006363</v>
      </c>
      <c r="D2528" s="13" t="n"/>
      <c r="E2528" s="13" t="inlineStr">
        <is>
          <t>Не определён</t>
        </is>
      </c>
      <c r="F2528" s="13" t="inlineStr">
        <is>
          <t>716006363</t>
        </is>
      </c>
      <c r="G2528" s="14" t="n"/>
      <c r="H2528" s="14" t="n"/>
      <c r="I2528" s="14" t="n"/>
      <c r="J2528" s="14" t="n"/>
      <c r="K2528" s="13">
        <f>IF(G2528="","",IF(G2528&gt;=22,"Да","Нет"))</f>
        <v/>
      </c>
      <c r="L2528" s="13">
        <f>IF(OR(I2528="",J2528=""),"Не определено",IF(OR(COUNTIF(I2528,"45*")&gt;0,COUNTIF(J2528,"*45*")&gt;0,COUNTIF(I2528,"46*")&gt;0,COUNTIF(J2528,"*46*")&gt;0,COUNTIF(I2528,"47*")&gt;0,COUNTIF(J2528,"*47*")&gt;0,COUNTIF(I2528,"10*")&gt;0,COUNTIF(J2528,"*10*")&gt;0,COUNTIF(I2528,"11*")&gt;0,COUNTIF(J2528,"*11*")&gt;0,COUNTIF(I2528,"12*")&gt;0,COUNTIF(J2528,"*12*")&gt;0,COUNTIF(I2528,"13*")&gt;0,COUNTIF(J2528,"*13*")&gt;0,COUNTIF(I2528,"14*")&gt;0,COUNTIF(J2528,"*14*")&gt;0,COUNTIF(I2528,"15*")&gt;0,COUNTIF(J2528,"*15*")&gt;0,COUNTIF(I2528,"16*")&gt;0,COUNTIF(J2528,"*16*")&gt;0,COUNTIF(I2528,"17*")&gt;0,COUNTIF(J2528,"*17*")&gt;0,COUNTIF(I2528,"18*")&gt;0,COUNTIF(J2528,"*18*")&gt;0,COUNTIF(I2528,"19*")&gt;0,COUNTIF(J2528,"*19*")&gt;0,COUNTIF(I2528,"20*")&gt;0,COUNTIF(J2528,"*20*")&gt;0,COUNTIF(I2528,"21*")&gt;0,COUNTIF(J2528,"*21*")&gt;0,COUNTIF(I2528,"22*")&gt;0,COUNTIF(J2528,"*22*")&gt;0,COUNTIF(I2528,"23*")&gt;0,COUNTIF(J2528,"*23*")&gt;0,COUNTIF(I2528,"24*")&gt;0,COUNTIF(J2528,"*24*")&gt;0,COUNTIF(I2528,"25*")&gt;0,COUNTIF(J2528,"*25*")&gt;0,COUNTIF(I2528,"26*")&gt;0,COUNTIF(J2528,"*26*")&gt;0,COUNTIF(I2528,"27*")&gt;0,COUNTIF(J2528,"*27*")&gt;0,COUNTIF(I2528,"28*")&gt;0,COUNTIF(J2528,"*28*")&gt;0,COUNTIF(I2528,"29*")&gt;0,COUNTIF(J2528,"*29*")&gt;0,COUNTIF(I2528,"30*")&gt;0,COUNTIF(J2528,"*30*")&gt;0,COUNTIF(I2528,"31*")&gt;0,COUNTIF(J2528,"*31*")&gt;0,COUNTIF(I2528,"32*")&gt;0,COUNTIF(J2528,"*32*")&gt;0,COUNTIF(I2528,"33*")&gt;0,COUNTIF(J2528,"*33*")&gt;0,COUNTIF(I2528,"41*")&gt;0,COUNTIF(J2528,"*41*")&gt;0,COUNTIF(I2528,"42*")&gt;0,COUNTIF(J2528,"*42*")&gt;0,COUNTIF(I2528,"43*")&gt;0,COUNTIF(J2528,"*43*")&gt;0,COUNTIF(I2528,"49*")&gt;0,COUNTIF(J2528,"*49*")&gt;0,COUNTIF(I2528,"52*")&gt;0,COUNTIF(J2528,"*52*")&gt;0,COUNTIF(I2528,"55*")&gt;0,COUNTIF(J2528,"*55*")&gt;0,COUNTIF(I2528,"56*")&gt;0,COUNTIF(J2528,"*56*")&gt;0,COUNTIF(I2528,"68*")&gt;0,COUNTIF(J2528,"*68*")&gt;0,COUNTIF(I2528,"78*")&gt;0,COUNTIF(J2528,"*78*")&gt;0,COUNTIF(I2528,"81*")&gt;0,COUNTIF(J2528,"*81*")&gt;0,COUNTIF(I2528,"82*")&gt;0,COUNTIF(J2528,"*82*")&gt;0,COUNTIF(I2528,"64*")&gt;0,COUNTIF(J2528,"*64*")&gt;0,COUNTIF(I2528,"65*")&gt;0,COUNTIF(J2528,"*65*")&gt;0,COUNTIF(I2528,"66*")&gt;0,COUNTIF(J2528,"*66*")&gt;0,COUNTIF(I2528,"61*")&gt;0,COUNTIF(J2528,"*61*")&gt;0,COUNTIF(I2528,"62*")&gt;0,COUNTIF(J2528,"*62*")&gt;0,COUNTIF(I2528,"63*")&gt;0,COUNTIF(J2528,"*63*")&gt;0,COUNTIF(I2528,"85*")&gt;0,COUNTIF(J2528,"*85*")&gt;0,COUNTIF(I2528,"86*")&gt;0,COUNTIF(J2528,"*86*")&gt;0),"Да","Нет"))</f>
        <v/>
      </c>
      <c r="M2528" s="13">
        <f>IF(OR(G2528="",L2528&lt;&gt;"Да"),"",IF(G2528&lt;=100,"До 100",IF(G2528&lt;=200,"До 200",IF(G2528&lt;=500,"До 500","Отдельное КП"))))</f>
        <v/>
      </c>
      <c r="N2528" s="15">
        <f>IF(OR(G2528="",L2528&lt;&gt;"Да"),"",IF(G2528&lt;=100,33600,IF(G2528&lt;=200,62400,IF(G2528&lt;=500,144000,""))))</f>
        <v/>
      </c>
      <c r="O2528" s="16">
        <f>IF(G2528="","",IF(G2528&lt;=15,"1–15",IF(G2528&lt;=30,"16–30",IF(G2528&lt;=50,"31–50",IF(G2528&lt;=100,"51–100",IF(G2528&lt;=150,"101–150",IF(G2528&lt;=200,"151–200",IF(G2528&lt;=500,"201–500","500+"))))))))</f>
        <v/>
      </c>
      <c r="P2528" s="16" t="inlineStr">
        <is>
          <t>Нет совпадения в предоставленной выгрузке ССЧР</t>
        </is>
      </c>
      <c r="Q2528" s="16" t="n"/>
      <c r="R2528" s="16">
        <f>HYPERLINK("https://checko.ru/search?query=3801001629","Чекко: проверить")</f>
        <v/>
      </c>
      <c r="S2528" t="n">
        <v>0</v>
      </c>
    </row>
    <row r="2529" ht="15" customHeight="1" s="24">
      <c r="A2529" s="13" t="n">
        <v>5000095133</v>
      </c>
      <c r="B2529" s="13" t="inlineStr">
        <is>
          <t>МКОУ "СОШ №2 с. Алтуд"</t>
        </is>
      </c>
      <c r="C2529" s="13" t="n">
        <v>716006370</v>
      </c>
      <c r="D2529" s="13" t="n"/>
      <c r="E2529" s="13" t="inlineStr">
        <is>
          <t>Не определён</t>
        </is>
      </c>
      <c r="F2529" s="13" t="inlineStr">
        <is>
          <t>716006370</t>
        </is>
      </c>
      <c r="G2529" s="14" t="n"/>
      <c r="H2529" s="14" t="n"/>
      <c r="I2529" s="14" t="n"/>
      <c r="J2529" s="14" t="n"/>
      <c r="K2529" s="13">
        <f>IF(G2529="","",IF(G2529&gt;=22,"Да","Нет"))</f>
        <v/>
      </c>
      <c r="L2529" s="13">
        <f>IF(OR(I2529="",J2529=""),"Не определено",IF(OR(COUNTIF(I2529,"45*")&gt;0,COUNTIF(J2529,"*45*")&gt;0,COUNTIF(I2529,"46*")&gt;0,COUNTIF(J2529,"*46*")&gt;0,COUNTIF(I2529,"47*")&gt;0,COUNTIF(J2529,"*47*")&gt;0,COUNTIF(I2529,"10*")&gt;0,COUNTIF(J2529,"*10*")&gt;0,COUNTIF(I2529,"11*")&gt;0,COUNTIF(J2529,"*11*")&gt;0,COUNTIF(I2529,"12*")&gt;0,COUNTIF(J2529,"*12*")&gt;0,COUNTIF(I2529,"13*")&gt;0,COUNTIF(J2529,"*13*")&gt;0,COUNTIF(I2529,"14*")&gt;0,COUNTIF(J2529,"*14*")&gt;0,COUNTIF(I2529,"15*")&gt;0,COUNTIF(J2529,"*15*")&gt;0,COUNTIF(I2529,"16*")&gt;0,COUNTIF(J2529,"*16*")&gt;0,COUNTIF(I2529,"17*")&gt;0,COUNTIF(J2529,"*17*")&gt;0,COUNTIF(I2529,"18*")&gt;0,COUNTIF(J2529,"*18*")&gt;0,COUNTIF(I2529,"19*")&gt;0,COUNTIF(J2529,"*19*")&gt;0,COUNTIF(I2529,"20*")&gt;0,COUNTIF(J2529,"*20*")&gt;0,COUNTIF(I2529,"21*")&gt;0,COUNTIF(J2529,"*21*")&gt;0,COUNTIF(I2529,"22*")&gt;0,COUNTIF(J2529,"*22*")&gt;0,COUNTIF(I2529,"23*")&gt;0,COUNTIF(J2529,"*23*")&gt;0,COUNTIF(I2529,"24*")&gt;0,COUNTIF(J2529,"*24*")&gt;0,COUNTIF(I2529,"25*")&gt;0,COUNTIF(J2529,"*25*")&gt;0,COUNTIF(I2529,"26*")&gt;0,COUNTIF(J2529,"*26*")&gt;0,COUNTIF(I2529,"27*")&gt;0,COUNTIF(J2529,"*27*")&gt;0,COUNTIF(I2529,"28*")&gt;0,COUNTIF(J2529,"*28*")&gt;0,COUNTIF(I2529,"29*")&gt;0,COUNTIF(J2529,"*29*")&gt;0,COUNTIF(I2529,"30*")&gt;0,COUNTIF(J2529,"*30*")&gt;0,COUNTIF(I2529,"31*")&gt;0,COUNTIF(J2529,"*31*")&gt;0,COUNTIF(I2529,"32*")&gt;0,COUNTIF(J2529,"*32*")&gt;0,COUNTIF(I2529,"33*")&gt;0,COUNTIF(J2529,"*33*")&gt;0,COUNTIF(I2529,"41*")&gt;0,COUNTIF(J2529,"*41*")&gt;0,COUNTIF(I2529,"42*")&gt;0,COUNTIF(J2529,"*42*")&gt;0,COUNTIF(I2529,"43*")&gt;0,COUNTIF(J2529,"*43*")&gt;0,COUNTIF(I2529,"49*")&gt;0,COUNTIF(J2529,"*49*")&gt;0,COUNTIF(I2529,"52*")&gt;0,COUNTIF(J2529,"*52*")&gt;0,COUNTIF(I2529,"55*")&gt;0,COUNTIF(J2529,"*55*")&gt;0,COUNTIF(I2529,"56*")&gt;0,COUNTIF(J2529,"*56*")&gt;0,COUNTIF(I2529,"68*")&gt;0,COUNTIF(J2529,"*68*")&gt;0,COUNTIF(I2529,"78*")&gt;0,COUNTIF(J2529,"*78*")&gt;0,COUNTIF(I2529,"81*")&gt;0,COUNTIF(J2529,"*81*")&gt;0,COUNTIF(I2529,"82*")&gt;0,COUNTIF(J2529,"*82*")&gt;0,COUNTIF(I2529,"64*")&gt;0,COUNTIF(J2529,"*64*")&gt;0,COUNTIF(I2529,"65*")&gt;0,COUNTIF(J2529,"*65*")&gt;0,COUNTIF(I2529,"66*")&gt;0,COUNTIF(J2529,"*66*")&gt;0,COUNTIF(I2529,"61*")&gt;0,COUNTIF(J2529,"*61*")&gt;0,COUNTIF(I2529,"62*")&gt;0,COUNTIF(J2529,"*62*")&gt;0,COUNTIF(I2529,"63*")&gt;0,COUNTIF(J2529,"*63*")&gt;0,COUNTIF(I2529,"85*")&gt;0,COUNTIF(J2529,"*85*")&gt;0,COUNTIF(I2529,"86*")&gt;0,COUNTIF(J2529,"*86*")&gt;0),"Да","Нет"))</f>
        <v/>
      </c>
      <c r="M2529" s="13">
        <f>IF(OR(G2529="",L2529&lt;&gt;"Да"),"",IF(G2529&lt;=100,"До 100",IF(G2529&lt;=200,"До 200",IF(G2529&lt;=500,"До 500","Отдельное КП"))))</f>
        <v/>
      </c>
      <c r="N2529" s="15">
        <f>IF(OR(G2529="",L2529&lt;&gt;"Да"),"",IF(G2529&lt;=100,33600,IF(G2529&lt;=200,62400,IF(G2529&lt;=500,144000,""))))</f>
        <v/>
      </c>
      <c r="O2529" s="16">
        <f>IF(G2529="","",IF(G2529&lt;=15,"1–15",IF(G2529&lt;=30,"16–30",IF(G2529&lt;=50,"31–50",IF(G2529&lt;=100,"51–100",IF(G2529&lt;=150,"101–150",IF(G2529&lt;=200,"151–200",IF(G2529&lt;=500,"201–500","500+"))))))))</f>
        <v/>
      </c>
      <c r="P2529" s="16" t="inlineStr">
        <is>
          <t>Нет совпадения в предоставленной выгрузке ССЧР</t>
        </is>
      </c>
      <c r="Q2529" s="16" t="n"/>
      <c r="R2529" s="16">
        <f>HYPERLINK("https://checko.ru/search?query=3801001629","Чекко: проверить")</f>
        <v/>
      </c>
      <c r="S2529" t="n">
        <v>0</v>
      </c>
    </row>
    <row r="2530" ht="15" customHeight="1" s="24">
      <c r="A2530" s="13" t="n">
        <v>5000095134</v>
      </c>
      <c r="B2530" s="13" t="inlineStr">
        <is>
          <t>МУ РГ "Вести Прохладного"</t>
        </is>
      </c>
      <c r="C2530" s="13" t="n">
        <v>716006564</v>
      </c>
      <c r="D2530" s="13" t="n"/>
      <c r="E2530" s="13" t="inlineStr">
        <is>
          <t>Не определён</t>
        </is>
      </c>
      <c r="F2530" s="13" t="inlineStr">
        <is>
          <t>716006564</t>
        </is>
      </c>
      <c r="G2530" s="14" t="n"/>
      <c r="H2530" s="14" t="n"/>
      <c r="I2530" s="14" t="n"/>
      <c r="J2530" s="14" t="n"/>
      <c r="K2530" s="13">
        <f>IF(G2530="","",IF(G2530&gt;=22,"Да","Нет"))</f>
        <v/>
      </c>
      <c r="L2530" s="13">
        <f>IF(OR(I2530="",J2530=""),"Не определено",IF(OR(COUNTIF(I2530,"45*")&gt;0,COUNTIF(J2530,"*45*")&gt;0,COUNTIF(I2530,"46*")&gt;0,COUNTIF(J2530,"*46*")&gt;0,COUNTIF(I2530,"47*")&gt;0,COUNTIF(J2530,"*47*")&gt;0,COUNTIF(I2530,"10*")&gt;0,COUNTIF(J2530,"*10*")&gt;0,COUNTIF(I2530,"11*")&gt;0,COUNTIF(J2530,"*11*")&gt;0,COUNTIF(I2530,"12*")&gt;0,COUNTIF(J2530,"*12*")&gt;0,COUNTIF(I2530,"13*")&gt;0,COUNTIF(J2530,"*13*")&gt;0,COUNTIF(I2530,"14*")&gt;0,COUNTIF(J2530,"*14*")&gt;0,COUNTIF(I2530,"15*")&gt;0,COUNTIF(J2530,"*15*")&gt;0,COUNTIF(I2530,"16*")&gt;0,COUNTIF(J2530,"*16*")&gt;0,COUNTIF(I2530,"17*")&gt;0,COUNTIF(J2530,"*17*")&gt;0,COUNTIF(I2530,"18*")&gt;0,COUNTIF(J2530,"*18*")&gt;0,COUNTIF(I2530,"19*")&gt;0,COUNTIF(J2530,"*19*")&gt;0,COUNTIF(I2530,"20*")&gt;0,COUNTIF(J2530,"*20*")&gt;0,COUNTIF(I2530,"21*")&gt;0,COUNTIF(J2530,"*21*")&gt;0,COUNTIF(I2530,"22*")&gt;0,COUNTIF(J2530,"*22*")&gt;0,COUNTIF(I2530,"23*")&gt;0,COUNTIF(J2530,"*23*")&gt;0,COUNTIF(I2530,"24*")&gt;0,COUNTIF(J2530,"*24*")&gt;0,COUNTIF(I2530,"25*")&gt;0,COUNTIF(J2530,"*25*")&gt;0,COUNTIF(I2530,"26*")&gt;0,COUNTIF(J2530,"*26*")&gt;0,COUNTIF(I2530,"27*")&gt;0,COUNTIF(J2530,"*27*")&gt;0,COUNTIF(I2530,"28*")&gt;0,COUNTIF(J2530,"*28*")&gt;0,COUNTIF(I2530,"29*")&gt;0,COUNTIF(J2530,"*29*")&gt;0,COUNTIF(I2530,"30*")&gt;0,COUNTIF(J2530,"*30*")&gt;0,COUNTIF(I2530,"31*")&gt;0,COUNTIF(J2530,"*31*")&gt;0,COUNTIF(I2530,"32*")&gt;0,COUNTIF(J2530,"*32*")&gt;0,COUNTIF(I2530,"33*")&gt;0,COUNTIF(J2530,"*33*")&gt;0,COUNTIF(I2530,"41*")&gt;0,COUNTIF(J2530,"*41*")&gt;0,COUNTIF(I2530,"42*")&gt;0,COUNTIF(J2530,"*42*")&gt;0,COUNTIF(I2530,"43*")&gt;0,COUNTIF(J2530,"*43*")&gt;0,COUNTIF(I2530,"49*")&gt;0,COUNTIF(J2530,"*49*")&gt;0,COUNTIF(I2530,"52*")&gt;0,COUNTIF(J2530,"*52*")&gt;0,COUNTIF(I2530,"55*")&gt;0,COUNTIF(J2530,"*55*")&gt;0,COUNTIF(I2530,"56*")&gt;0,COUNTIF(J2530,"*56*")&gt;0,COUNTIF(I2530,"68*")&gt;0,COUNTIF(J2530,"*68*")&gt;0,COUNTIF(I2530,"78*")&gt;0,COUNTIF(J2530,"*78*")&gt;0,COUNTIF(I2530,"81*")&gt;0,COUNTIF(J2530,"*81*")&gt;0,COUNTIF(I2530,"82*")&gt;0,COUNTIF(J2530,"*82*")&gt;0,COUNTIF(I2530,"64*")&gt;0,COUNTIF(J2530,"*64*")&gt;0,COUNTIF(I2530,"65*")&gt;0,COUNTIF(J2530,"*65*")&gt;0,COUNTIF(I2530,"66*")&gt;0,COUNTIF(J2530,"*66*")&gt;0,COUNTIF(I2530,"61*")&gt;0,COUNTIF(J2530,"*61*")&gt;0,COUNTIF(I2530,"62*")&gt;0,COUNTIF(J2530,"*62*")&gt;0,COUNTIF(I2530,"63*")&gt;0,COUNTIF(J2530,"*63*")&gt;0,COUNTIF(I2530,"85*")&gt;0,COUNTIF(J2530,"*85*")&gt;0,COUNTIF(I2530,"86*")&gt;0,COUNTIF(J2530,"*86*")&gt;0),"Да","Нет"))</f>
        <v/>
      </c>
      <c r="M2530" s="13">
        <f>IF(OR(G2530="",L2530&lt;&gt;"Да"),"",IF(G2530&lt;=100,"До 100",IF(G2530&lt;=200,"До 200",IF(G2530&lt;=500,"До 500","Отдельное КП"))))</f>
        <v/>
      </c>
      <c r="N2530" s="15">
        <f>IF(OR(G2530="",L2530&lt;&gt;"Да"),"",IF(G2530&lt;=100,33600,IF(G2530&lt;=200,62400,IF(G2530&lt;=500,144000,""))))</f>
        <v/>
      </c>
      <c r="O2530" s="16">
        <f>IF(G2530="","",IF(G2530&lt;=15,"1–15",IF(G2530&lt;=30,"16–30",IF(G2530&lt;=50,"31–50",IF(G2530&lt;=100,"51–100",IF(G2530&lt;=150,"101–150",IF(G2530&lt;=200,"151–200",IF(G2530&lt;=500,"201–500","500+"))))))))</f>
        <v/>
      </c>
      <c r="P2530" s="16" t="inlineStr">
        <is>
          <t>Нет совпадения в предоставленной выгрузке ССЧР</t>
        </is>
      </c>
      <c r="Q2530" s="16" t="n"/>
      <c r="R2530" s="16">
        <f>HYPERLINK("https://checko.ru/search?query=3801001629","Чекко: проверить")</f>
        <v/>
      </c>
      <c r="S2530" t="n">
        <v>0</v>
      </c>
    </row>
    <row r="2531" ht="15" customHeight="1" s="24">
      <c r="A2531" s="13" t="n">
        <v>5000095136</v>
      </c>
      <c r="B2531" s="13" t="inlineStr">
        <is>
          <t>МКУ "ДК" с.п. Каменномостское</t>
        </is>
      </c>
      <c r="C2531" s="13" t="n">
        <v>718000310</v>
      </c>
      <c r="D2531" s="13" t="n"/>
      <c r="E2531" s="13" t="inlineStr">
        <is>
          <t>Не определён</t>
        </is>
      </c>
      <c r="F2531" s="13" t="inlineStr">
        <is>
          <t>718000310</t>
        </is>
      </c>
      <c r="G2531" s="14" t="n"/>
      <c r="H2531" s="14" t="n"/>
      <c r="I2531" s="14" t="n"/>
      <c r="J2531" s="14" t="n"/>
      <c r="K2531" s="13">
        <f>IF(G2531="","",IF(G2531&gt;=22,"Да","Нет"))</f>
        <v/>
      </c>
      <c r="L2531" s="13">
        <f>IF(OR(I2531="",J2531=""),"Не определено",IF(OR(COUNTIF(I2531,"45*")&gt;0,COUNTIF(J2531,"*45*")&gt;0,COUNTIF(I2531,"46*")&gt;0,COUNTIF(J2531,"*46*")&gt;0,COUNTIF(I2531,"47*")&gt;0,COUNTIF(J2531,"*47*")&gt;0,COUNTIF(I2531,"10*")&gt;0,COUNTIF(J2531,"*10*")&gt;0,COUNTIF(I2531,"11*")&gt;0,COUNTIF(J2531,"*11*")&gt;0,COUNTIF(I2531,"12*")&gt;0,COUNTIF(J2531,"*12*")&gt;0,COUNTIF(I2531,"13*")&gt;0,COUNTIF(J2531,"*13*")&gt;0,COUNTIF(I2531,"14*")&gt;0,COUNTIF(J2531,"*14*")&gt;0,COUNTIF(I2531,"15*")&gt;0,COUNTIF(J2531,"*15*")&gt;0,COUNTIF(I2531,"16*")&gt;0,COUNTIF(J2531,"*16*")&gt;0,COUNTIF(I2531,"17*")&gt;0,COUNTIF(J2531,"*17*")&gt;0,COUNTIF(I2531,"18*")&gt;0,COUNTIF(J2531,"*18*")&gt;0,COUNTIF(I2531,"19*")&gt;0,COUNTIF(J2531,"*19*")&gt;0,COUNTIF(I2531,"20*")&gt;0,COUNTIF(J2531,"*20*")&gt;0,COUNTIF(I2531,"21*")&gt;0,COUNTIF(J2531,"*21*")&gt;0,COUNTIF(I2531,"22*")&gt;0,COUNTIF(J2531,"*22*")&gt;0,COUNTIF(I2531,"23*")&gt;0,COUNTIF(J2531,"*23*")&gt;0,COUNTIF(I2531,"24*")&gt;0,COUNTIF(J2531,"*24*")&gt;0,COUNTIF(I2531,"25*")&gt;0,COUNTIF(J2531,"*25*")&gt;0,COUNTIF(I2531,"26*")&gt;0,COUNTIF(J2531,"*26*")&gt;0,COUNTIF(I2531,"27*")&gt;0,COUNTIF(J2531,"*27*")&gt;0,COUNTIF(I2531,"28*")&gt;0,COUNTIF(J2531,"*28*")&gt;0,COUNTIF(I2531,"29*")&gt;0,COUNTIF(J2531,"*29*")&gt;0,COUNTIF(I2531,"30*")&gt;0,COUNTIF(J2531,"*30*")&gt;0,COUNTIF(I2531,"31*")&gt;0,COUNTIF(J2531,"*31*")&gt;0,COUNTIF(I2531,"32*")&gt;0,COUNTIF(J2531,"*32*")&gt;0,COUNTIF(I2531,"33*")&gt;0,COUNTIF(J2531,"*33*")&gt;0,COUNTIF(I2531,"41*")&gt;0,COUNTIF(J2531,"*41*")&gt;0,COUNTIF(I2531,"42*")&gt;0,COUNTIF(J2531,"*42*")&gt;0,COUNTIF(I2531,"43*")&gt;0,COUNTIF(J2531,"*43*")&gt;0,COUNTIF(I2531,"49*")&gt;0,COUNTIF(J2531,"*49*")&gt;0,COUNTIF(I2531,"52*")&gt;0,COUNTIF(J2531,"*52*")&gt;0,COUNTIF(I2531,"55*")&gt;0,COUNTIF(J2531,"*55*")&gt;0,COUNTIF(I2531,"56*")&gt;0,COUNTIF(J2531,"*56*")&gt;0,COUNTIF(I2531,"68*")&gt;0,COUNTIF(J2531,"*68*")&gt;0,COUNTIF(I2531,"78*")&gt;0,COUNTIF(J2531,"*78*")&gt;0,COUNTIF(I2531,"81*")&gt;0,COUNTIF(J2531,"*81*")&gt;0,COUNTIF(I2531,"82*")&gt;0,COUNTIF(J2531,"*82*")&gt;0,COUNTIF(I2531,"64*")&gt;0,COUNTIF(J2531,"*64*")&gt;0,COUNTIF(I2531,"65*")&gt;0,COUNTIF(J2531,"*65*")&gt;0,COUNTIF(I2531,"66*")&gt;0,COUNTIF(J2531,"*66*")&gt;0,COUNTIF(I2531,"61*")&gt;0,COUNTIF(J2531,"*61*")&gt;0,COUNTIF(I2531,"62*")&gt;0,COUNTIF(J2531,"*62*")&gt;0,COUNTIF(I2531,"63*")&gt;0,COUNTIF(J2531,"*63*")&gt;0,COUNTIF(I2531,"85*")&gt;0,COUNTIF(J2531,"*85*")&gt;0,COUNTIF(I2531,"86*")&gt;0,COUNTIF(J2531,"*86*")&gt;0),"Да","Нет"))</f>
        <v/>
      </c>
      <c r="M2531" s="13">
        <f>IF(OR(G2531="",L2531&lt;&gt;"Да"),"",IF(G2531&lt;=100,"До 100",IF(G2531&lt;=200,"До 200",IF(G2531&lt;=500,"До 500","Отдельное КП"))))</f>
        <v/>
      </c>
      <c r="N2531" s="15">
        <f>IF(OR(G2531="",L2531&lt;&gt;"Да"),"",IF(G2531&lt;=100,33600,IF(G2531&lt;=200,62400,IF(G2531&lt;=500,144000,""))))</f>
        <v/>
      </c>
      <c r="O2531" s="16">
        <f>IF(G2531="","",IF(G2531&lt;=15,"1–15",IF(G2531&lt;=30,"16–30",IF(G2531&lt;=50,"31–50",IF(G2531&lt;=100,"51–100",IF(G2531&lt;=150,"101–150",IF(G2531&lt;=200,"151–200",IF(G2531&lt;=500,"201–500","500+"))))))))</f>
        <v/>
      </c>
      <c r="P2531" s="16" t="inlineStr">
        <is>
          <t>Нет совпадения в предоставленной выгрузке ССЧР</t>
        </is>
      </c>
      <c r="Q2531" s="16" t="n"/>
      <c r="R2531" s="16">
        <f>HYPERLINK("https://checko.ru/search?query=3801001629","Чекко: проверить")</f>
        <v/>
      </c>
      <c r="S2531" t="n">
        <v>0</v>
      </c>
    </row>
    <row r="2532" ht="27.75" customHeight="1" s="24">
      <c r="A2532" s="13" t="n">
        <v>5000095137</v>
      </c>
      <c r="B2532" s="13" t="inlineStr">
        <is>
          <t>МКУ ФОК "ПОБЕДА" ЗОЛЬСКОГО МУНИЦИПАЛЬНОГО РАЙОНА КБР</t>
        </is>
      </c>
      <c r="C2532" s="13" t="n">
        <v>718000511</v>
      </c>
      <c r="D2532" s="13" t="n"/>
      <c r="E2532" s="13" t="inlineStr">
        <is>
          <t>Не определён</t>
        </is>
      </c>
      <c r="F2532" s="13" t="inlineStr">
        <is>
          <t>718000511</t>
        </is>
      </c>
      <c r="G2532" s="14" t="n"/>
      <c r="H2532" s="14" t="n"/>
      <c r="I2532" s="14" t="n"/>
      <c r="J2532" s="14" t="n"/>
      <c r="K2532" s="13">
        <f>IF(G2532="","",IF(G2532&gt;=22,"Да","Нет"))</f>
        <v/>
      </c>
      <c r="L2532" s="13">
        <f>IF(OR(I2532="",J2532=""),"Не определено",IF(OR(COUNTIF(I2532,"45*")&gt;0,COUNTIF(J2532,"*45*")&gt;0,COUNTIF(I2532,"46*")&gt;0,COUNTIF(J2532,"*46*")&gt;0,COUNTIF(I2532,"47*")&gt;0,COUNTIF(J2532,"*47*")&gt;0,COUNTIF(I2532,"10*")&gt;0,COUNTIF(J2532,"*10*")&gt;0,COUNTIF(I2532,"11*")&gt;0,COUNTIF(J2532,"*11*")&gt;0,COUNTIF(I2532,"12*")&gt;0,COUNTIF(J2532,"*12*")&gt;0,COUNTIF(I2532,"13*")&gt;0,COUNTIF(J2532,"*13*")&gt;0,COUNTIF(I2532,"14*")&gt;0,COUNTIF(J2532,"*14*")&gt;0,COUNTIF(I2532,"15*")&gt;0,COUNTIF(J2532,"*15*")&gt;0,COUNTIF(I2532,"16*")&gt;0,COUNTIF(J2532,"*16*")&gt;0,COUNTIF(I2532,"17*")&gt;0,COUNTIF(J2532,"*17*")&gt;0,COUNTIF(I2532,"18*")&gt;0,COUNTIF(J2532,"*18*")&gt;0,COUNTIF(I2532,"19*")&gt;0,COUNTIF(J2532,"*19*")&gt;0,COUNTIF(I2532,"20*")&gt;0,COUNTIF(J2532,"*20*")&gt;0,COUNTIF(I2532,"21*")&gt;0,COUNTIF(J2532,"*21*")&gt;0,COUNTIF(I2532,"22*")&gt;0,COUNTIF(J2532,"*22*")&gt;0,COUNTIF(I2532,"23*")&gt;0,COUNTIF(J2532,"*23*")&gt;0,COUNTIF(I2532,"24*")&gt;0,COUNTIF(J2532,"*24*")&gt;0,COUNTIF(I2532,"25*")&gt;0,COUNTIF(J2532,"*25*")&gt;0,COUNTIF(I2532,"26*")&gt;0,COUNTIF(J2532,"*26*")&gt;0,COUNTIF(I2532,"27*")&gt;0,COUNTIF(J2532,"*27*")&gt;0,COUNTIF(I2532,"28*")&gt;0,COUNTIF(J2532,"*28*")&gt;0,COUNTIF(I2532,"29*")&gt;0,COUNTIF(J2532,"*29*")&gt;0,COUNTIF(I2532,"30*")&gt;0,COUNTIF(J2532,"*30*")&gt;0,COUNTIF(I2532,"31*")&gt;0,COUNTIF(J2532,"*31*")&gt;0,COUNTIF(I2532,"32*")&gt;0,COUNTIF(J2532,"*32*")&gt;0,COUNTIF(I2532,"33*")&gt;0,COUNTIF(J2532,"*33*")&gt;0,COUNTIF(I2532,"41*")&gt;0,COUNTIF(J2532,"*41*")&gt;0,COUNTIF(I2532,"42*")&gt;0,COUNTIF(J2532,"*42*")&gt;0,COUNTIF(I2532,"43*")&gt;0,COUNTIF(J2532,"*43*")&gt;0,COUNTIF(I2532,"49*")&gt;0,COUNTIF(J2532,"*49*")&gt;0,COUNTIF(I2532,"52*")&gt;0,COUNTIF(J2532,"*52*")&gt;0,COUNTIF(I2532,"55*")&gt;0,COUNTIF(J2532,"*55*")&gt;0,COUNTIF(I2532,"56*")&gt;0,COUNTIF(J2532,"*56*")&gt;0,COUNTIF(I2532,"68*")&gt;0,COUNTIF(J2532,"*68*")&gt;0,COUNTIF(I2532,"78*")&gt;0,COUNTIF(J2532,"*78*")&gt;0,COUNTIF(I2532,"81*")&gt;0,COUNTIF(J2532,"*81*")&gt;0,COUNTIF(I2532,"82*")&gt;0,COUNTIF(J2532,"*82*")&gt;0,COUNTIF(I2532,"64*")&gt;0,COUNTIF(J2532,"*64*")&gt;0,COUNTIF(I2532,"65*")&gt;0,COUNTIF(J2532,"*65*")&gt;0,COUNTIF(I2532,"66*")&gt;0,COUNTIF(J2532,"*66*")&gt;0,COUNTIF(I2532,"61*")&gt;0,COUNTIF(J2532,"*61*")&gt;0,COUNTIF(I2532,"62*")&gt;0,COUNTIF(J2532,"*62*")&gt;0,COUNTIF(I2532,"63*")&gt;0,COUNTIF(J2532,"*63*")&gt;0,COUNTIF(I2532,"85*")&gt;0,COUNTIF(J2532,"*85*")&gt;0,COUNTIF(I2532,"86*")&gt;0,COUNTIF(J2532,"*86*")&gt;0),"Да","Нет"))</f>
        <v/>
      </c>
      <c r="M2532" s="13">
        <f>IF(OR(G2532="",L2532&lt;&gt;"Да"),"",IF(G2532&lt;=100,"До 100",IF(G2532&lt;=200,"До 200",IF(G2532&lt;=500,"До 500","Отдельное КП"))))</f>
        <v/>
      </c>
      <c r="N2532" s="15">
        <f>IF(OR(G2532="",L2532&lt;&gt;"Да"),"",IF(G2532&lt;=100,33600,IF(G2532&lt;=200,62400,IF(G2532&lt;=500,144000,""))))</f>
        <v/>
      </c>
      <c r="O2532" s="16">
        <f>IF(G2532="","",IF(G2532&lt;=15,"1–15",IF(G2532&lt;=30,"16–30",IF(G2532&lt;=50,"31–50",IF(G2532&lt;=100,"51–100",IF(G2532&lt;=150,"101–150",IF(G2532&lt;=200,"151–200",IF(G2532&lt;=500,"201–500","500+"))))))))</f>
        <v/>
      </c>
      <c r="P2532" s="16" t="inlineStr">
        <is>
          <t>Нет совпадения в предоставленной выгрузке ССЧР</t>
        </is>
      </c>
      <c r="Q2532" s="16" t="n"/>
      <c r="R2532" s="16">
        <f>HYPERLINK("https://checko.ru/search?query=3801001629","Чекко: проверить")</f>
        <v/>
      </c>
      <c r="S2532" t="n">
        <v>0</v>
      </c>
    </row>
    <row r="2533" ht="15" customHeight="1" s="24">
      <c r="A2533" s="13" t="n">
        <v>5000095138</v>
      </c>
      <c r="B2533" s="13" t="inlineStr">
        <is>
          <t>МКУ "Спортивная школа Эльбрус"</t>
        </is>
      </c>
      <c r="C2533" s="13" t="n">
        <v>721000624</v>
      </c>
      <c r="D2533" s="13" t="n"/>
      <c r="E2533" s="13" t="inlineStr">
        <is>
          <t>Не определён</t>
        </is>
      </c>
      <c r="F2533" s="13" t="inlineStr">
        <is>
          <t>721000624</t>
        </is>
      </c>
      <c r="G2533" s="14" t="n"/>
      <c r="H2533" s="14" t="n"/>
      <c r="I2533" s="14" t="n"/>
      <c r="J2533" s="14" t="n"/>
      <c r="K2533" s="13">
        <f>IF(G2533="","",IF(G2533&gt;=22,"Да","Нет"))</f>
        <v/>
      </c>
      <c r="L2533" s="13">
        <f>IF(OR(I2533="",J2533=""),"Не определено",IF(OR(COUNTIF(I2533,"45*")&gt;0,COUNTIF(J2533,"*45*")&gt;0,COUNTIF(I2533,"46*")&gt;0,COUNTIF(J2533,"*46*")&gt;0,COUNTIF(I2533,"47*")&gt;0,COUNTIF(J2533,"*47*")&gt;0,COUNTIF(I2533,"10*")&gt;0,COUNTIF(J2533,"*10*")&gt;0,COUNTIF(I2533,"11*")&gt;0,COUNTIF(J2533,"*11*")&gt;0,COUNTIF(I2533,"12*")&gt;0,COUNTIF(J2533,"*12*")&gt;0,COUNTIF(I2533,"13*")&gt;0,COUNTIF(J2533,"*13*")&gt;0,COUNTIF(I2533,"14*")&gt;0,COUNTIF(J2533,"*14*")&gt;0,COUNTIF(I2533,"15*")&gt;0,COUNTIF(J2533,"*15*")&gt;0,COUNTIF(I2533,"16*")&gt;0,COUNTIF(J2533,"*16*")&gt;0,COUNTIF(I2533,"17*")&gt;0,COUNTIF(J2533,"*17*")&gt;0,COUNTIF(I2533,"18*")&gt;0,COUNTIF(J2533,"*18*")&gt;0,COUNTIF(I2533,"19*")&gt;0,COUNTIF(J2533,"*19*")&gt;0,COUNTIF(I2533,"20*")&gt;0,COUNTIF(J2533,"*20*")&gt;0,COUNTIF(I2533,"21*")&gt;0,COUNTIF(J2533,"*21*")&gt;0,COUNTIF(I2533,"22*")&gt;0,COUNTIF(J2533,"*22*")&gt;0,COUNTIF(I2533,"23*")&gt;0,COUNTIF(J2533,"*23*")&gt;0,COUNTIF(I2533,"24*")&gt;0,COUNTIF(J2533,"*24*")&gt;0,COUNTIF(I2533,"25*")&gt;0,COUNTIF(J2533,"*25*")&gt;0,COUNTIF(I2533,"26*")&gt;0,COUNTIF(J2533,"*26*")&gt;0,COUNTIF(I2533,"27*")&gt;0,COUNTIF(J2533,"*27*")&gt;0,COUNTIF(I2533,"28*")&gt;0,COUNTIF(J2533,"*28*")&gt;0,COUNTIF(I2533,"29*")&gt;0,COUNTIF(J2533,"*29*")&gt;0,COUNTIF(I2533,"30*")&gt;0,COUNTIF(J2533,"*30*")&gt;0,COUNTIF(I2533,"31*")&gt;0,COUNTIF(J2533,"*31*")&gt;0,COUNTIF(I2533,"32*")&gt;0,COUNTIF(J2533,"*32*")&gt;0,COUNTIF(I2533,"33*")&gt;0,COUNTIF(J2533,"*33*")&gt;0,COUNTIF(I2533,"41*")&gt;0,COUNTIF(J2533,"*41*")&gt;0,COUNTIF(I2533,"42*")&gt;0,COUNTIF(J2533,"*42*")&gt;0,COUNTIF(I2533,"43*")&gt;0,COUNTIF(J2533,"*43*")&gt;0,COUNTIF(I2533,"49*")&gt;0,COUNTIF(J2533,"*49*")&gt;0,COUNTIF(I2533,"52*")&gt;0,COUNTIF(J2533,"*52*")&gt;0,COUNTIF(I2533,"55*")&gt;0,COUNTIF(J2533,"*55*")&gt;0,COUNTIF(I2533,"56*")&gt;0,COUNTIF(J2533,"*56*")&gt;0,COUNTIF(I2533,"68*")&gt;0,COUNTIF(J2533,"*68*")&gt;0,COUNTIF(I2533,"78*")&gt;0,COUNTIF(J2533,"*78*")&gt;0,COUNTIF(I2533,"81*")&gt;0,COUNTIF(J2533,"*81*")&gt;0,COUNTIF(I2533,"82*")&gt;0,COUNTIF(J2533,"*82*")&gt;0,COUNTIF(I2533,"64*")&gt;0,COUNTIF(J2533,"*64*")&gt;0,COUNTIF(I2533,"65*")&gt;0,COUNTIF(J2533,"*65*")&gt;0,COUNTIF(I2533,"66*")&gt;0,COUNTIF(J2533,"*66*")&gt;0,COUNTIF(I2533,"61*")&gt;0,COUNTIF(J2533,"*61*")&gt;0,COUNTIF(I2533,"62*")&gt;0,COUNTIF(J2533,"*62*")&gt;0,COUNTIF(I2533,"63*")&gt;0,COUNTIF(J2533,"*63*")&gt;0,COUNTIF(I2533,"85*")&gt;0,COUNTIF(J2533,"*85*")&gt;0,COUNTIF(I2533,"86*")&gt;0,COUNTIF(J2533,"*86*")&gt;0),"Да","Нет"))</f>
        <v/>
      </c>
      <c r="M2533" s="13">
        <f>IF(OR(G2533="",L2533&lt;&gt;"Да"),"",IF(G2533&lt;=100,"До 100",IF(G2533&lt;=200,"До 200",IF(G2533&lt;=500,"До 500","Отдельное КП"))))</f>
        <v/>
      </c>
      <c r="N2533" s="15">
        <f>IF(OR(G2533="",L2533&lt;&gt;"Да"),"",IF(G2533&lt;=100,33600,IF(G2533&lt;=200,62400,IF(G2533&lt;=500,144000,""))))</f>
        <v/>
      </c>
      <c r="O2533" s="16">
        <f>IF(G2533="","",IF(G2533&lt;=15,"1–15",IF(G2533&lt;=30,"16–30",IF(G2533&lt;=50,"31–50",IF(G2533&lt;=100,"51–100",IF(G2533&lt;=150,"101–150",IF(G2533&lt;=200,"151–200",IF(G2533&lt;=500,"201–500","500+"))))))))</f>
        <v/>
      </c>
      <c r="P2533" s="16" t="inlineStr">
        <is>
          <t>Нет совпадения в предоставленной выгрузке ССЧР</t>
        </is>
      </c>
      <c r="Q2533" s="16" t="n"/>
      <c r="R2533" s="16">
        <f>HYPERLINK("https://checko.ru/search?query=3801001629","Чекко: проверить")</f>
        <v/>
      </c>
      <c r="S2533" t="n">
        <v>0</v>
      </c>
    </row>
    <row r="2534" ht="15" customHeight="1" s="24">
      <c r="A2534" s="13" t="n">
        <v>5000095139</v>
      </c>
      <c r="B2534" s="13" t="inlineStr">
        <is>
          <t>МКУ СШОР городского округа Нальчик КБР</t>
        </is>
      </c>
      <c r="C2534" s="13" t="n">
        <v>721000631</v>
      </c>
      <c r="D2534" s="13" t="n"/>
      <c r="E2534" s="13" t="inlineStr">
        <is>
          <t>Не определён</t>
        </is>
      </c>
      <c r="F2534" s="13" t="inlineStr">
        <is>
          <t>721000631</t>
        </is>
      </c>
      <c r="G2534" s="14" t="n"/>
      <c r="H2534" s="14" t="n"/>
      <c r="I2534" s="14" t="n"/>
      <c r="J2534" s="14" t="n"/>
      <c r="K2534" s="13">
        <f>IF(G2534="","",IF(G2534&gt;=22,"Да","Нет"))</f>
        <v/>
      </c>
      <c r="L2534" s="13">
        <f>IF(OR(I2534="",J2534=""),"Не определено",IF(OR(COUNTIF(I2534,"45*")&gt;0,COUNTIF(J2534,"*45*")&gt;0,COUNTIF(I2534,"46*")&gt;0,COUNTIF(J2534,"*46*")&gt;0,COUNTIF(I2534,"47*")&gt;0,COUNTIF(J2534,"*47*")&gt;0,COUNTIF(I2534,"10*")&gt;0,COUNTIF(J2534,"*10*")&gt;0,COUNTIF(I2534,"11*")&gt;0,COUNTIF(J2534,"*11*")&gt;0,COUNTIF(I2534,"12*")&gt;0,COUNTIF(J2534,"*12*")&gt;0,COUNTIF(I2534,"13*")&gt;0,COUNTIF(J2534,"*13*")&gt;0,COUNTIF(I2534,"14*")&gt;0,COUNTIF(J2534,"*14*")&gt;0,COUNTIF(I2534,"15*")&gt;0,COUNTIF(J2534,"*15*")&gt;0,COUNTIF(I2534,"16*")&gt;0,COUNTIF(J2534,"*16*")&gt;0,COUNTIF(I2534,"17*")&gt;0,COUNTIF(J2534,"*17*")&gt;0,COUNTIF(I2534,"18*")&gt;0,COUNTIF(J2534,"*18*")&gt;0,COUNTIF(I2534,"19*")&gt;0,COUNTIF(J2534,"*19*")&gt;0,COUNTIF(I2534,"20*")&gt;0,COUNTIF(J2534,"*20*")&gt;0,COUNTIF(I2534,"21*")&gt;0,COUNTIF(J2534,"*21*")&gt;0,COUNTIF(I2534,"22*")&gt;0,COUNTIF(J2534,"*22*")&gt;0,COUNTIF(I2534,"23*")&gt;0,COUNTIF(J2534,"*23*")&gt;0,COUNTIF(I2534,"24*")&gt;0,COUNTIF(J2534,"*24*")&gt;0,COUNTIF(I2534,"25*")&gt;0,COUNTIF(J2534,"*25*")&gt;0,COUNTIF(I2534,"26*")&gt;0,COUNTIF(J2534,"*26*")&gt;0,COUNTIF(I2534,"27*")&gt;0,COUNTIF(J2534,"*27*")&gt;0,COUNTIF(I2534,"28*")&gt;0,COUNTIF(J2534,"*28*")&gt;0,COUNTIF(I2534,"29*")&gt;0,COUNTIF(J2534,"*29*")&gt;0,COUNTIF(I2534,"30*")&gt;0,COUNTIF(J2534,"*30*")&gt;0,COUNTIF(I2534,"31*")&gt;0,COUNTIF(J2534,"*31*")&gt;0,COUNTIF(I2534,"32*")&gt;0,COUNTIF(J2534,"*32*")&gt;0,COUNTIF(I2534,"33*")&gt;0,COUNTIF(J2534,"*33*")&gt;0,COUNTIF(I2534,"41*")&gt;0,COUNTIF(J2534,"*41*")&gt;0,COUNTIF(I2534,"42*")&gt;0,COUNTIF(J2534,"*42*")&gt;0,COUNTIF(I2534,"43*")&gt;0,COUNTIF(J2534,"*43*")&gt;0,COUNTIF(I2534,"49*")&gt;0,COUNTIF(J2534,"*49*")&gt;0,COUNTIF(I2534,"52*")&gt;0,COUNTIF(J2534,"*52*")&gt;0,COUNTIF(I2534,"55*")&gt;0,COUNTIF(J2534,"*55*")&gt;0,COUNTIF(I2534,"56*")&gt;0,COUNTIF(J2534,"*56*")&gt;0,COUNTIF(I2534,"68*")&gt;0,COUNTIF(J2534,"*68*")&gt;0,COUNTIF(I2534,"78*")&gt;0,COUNTIF(J2534,"*78*")&gt;0,COUNTIF(I2534,"81*")&gt;0,COUNTIF(J2534,"*81*")&gt;0,COUNTIF(I2534,"82*")&gt;0,COUNTIF(J2534,"*82*")&gt;0,COUNTIF(I2534,"64*")&gt;0,COUNTIF(J2534,"*64*")&gt;0,COUNTIF(I2534,"65*")&gt;0,COUNTIF(J2534,"*65*")&gt;0,COUNTIF(I2534,"66*")&gt;0,COUNTIF(J2534,"*66*")&gt;0,COUNTIF(I2534,"61*")&gt;0,COUNTIF(J2534,"*61*")&gt;0,COUNTIF(I2534,"62*")&gt;0,COUNTIF(J2534,"*62*")&gt;0,COUNTIF(I2534,"63*")&gt;0,COUNTIF(J2534,"*63*")&gt;0,COUNTIF(I2534,"85*")&gt;0,COUNTIF(J2534,"*85*")&gt;0,COUNTIF(I2534,"86*")&gt;0,COUNTIF(J2534,"*86*")&gt;0),"Да","Нет"))</f>
        <v/>
      </c>
      <c r="M2534" s="13">
        <f>IF(OR(G2534="",L2534&lt;&gt;"Да"),"",IF(G2534&lt;=100,"До 100",IF(G2534&lt;=200,"До 200",IF(G2534&lt;=500,"До 500","Отдельное КП"))))</f>
        <v/>
      </c>
      <c r="N2534" s="15">
        <f>IF(OR(G2534="",L2534&lt;&gt;"Да"),"",IF(G2534&lt;=100,33600,IF(G2534&lt;=200,62400,IF(G2534&lt;=500,144000,""))))</f>
        <v/>
      </c>
      <c r="O2534" s="16">
        <f>IF(G2534="","",IF(G2534&lt;=15,"1–15",IF(G2534&lt;=30,"16–30",IF(G2534&lt;=50,"31–50",IF(G2534&lt;=100,"51–100",IF(G2534&lt;=150,"101–150",IF(G2534&lt;=200,"151–200",IF(G2534&lt;=500,"201–500","500+"))))))))</f>
        <v/>
      </c>
      <c r="P2534" s="16" t="inlineStr">
        <is>
          <t>Нет совпадения в предоставленной выгрузке ССЧР</t>
        </is>
      </c>
      <c r="Q2534" s="16" t="n"/>
      <c r="R2534" s="16">
        <f>HYPERLINK("https://checko.ru/search?query=3801001629","Чекко: проверить")</f>
        <v/>
      </c>
      <c r="S2534" t="n">
        <v>0</v>
      </c>
    </row>
    <row r="2535" ht="15" customHeight="1" s="24">
      <c r="A2535" s="13" t="n">
        <v>5000095140</v>
      </c>
      <c r="B2535" s="13" t="inlineStr">
        <is>
          <t>ГКУК "МЖПР 1944-1957гг."</t>
        </is>
      </c>
      <c r="C2535" s="13" t="n">
        <v>721000832</v>
      </c>
      <c r="D2535" s="13" t="n"/>
      <c r="E2535" s="13" t="inlineStr">
        <is>
          <t>Не определён</t>
        </is>
      </c>
      <c r="F2535" s="13" t="inlineStr">
        <is>
          <t>721000832</t>
        </is>
      </c>
      <c r="G2535" s="14" t="n"/>
      <c r="H2535" s="14" t="n"/>
      <c r="I2535" s="14" t="n"/>
      <c r="J2535" s="14" t="n"/>
      <c r="K2535" s="13">
        <f>IF(G2535="","",IF(G2535&gt;=22,"Да","Нет"))</f>
        <v/>
      </c>
      <c r="L2535" s="13">
        <f>IF(OR(I2535="",J2535=""),"Не определено",IF(OR(COUNTIF(I2535,"45*")&gt;0,COUNTIF(J2535,"*45*")&gt;0,COUNTIF(I2535,"46*")&gt;0,COUNTIF(J2535,"*46*")&gt;0,COUNTIF(I2535,"47*")&gt;0,COUNTIF(J2535,"*47*")&gt;0,COUNTIF(I2535,"10*")&gt;0,COUNTIF(J2535,"*10*")&gt;0,COUNTIF(I2535,"11*")&gt;0,COUNTIF(J2535,"*11*")&gt;0,COUNTIF(I2535,"12*")&gt;0,COUNTIF(J2535,"*12*")&gt;0,COUNTIF(I2535,"13*")&gt;0,COUNTIF(J2535,"*13*")&gt;0,COUNTIF(I2535,"14*")&gt;0,COUNTIF(J2535,"*14*")&gt;0,COUNTIF(I2535,"15*")&gt;0,COUNTIF(J2535,"*15*")&gt;0,COUNTIF(I2535,"16*")&gt;0,COUNTIF(J2535,"*16*")&gt;0,COUNTIF(I2535,"17*")&gt;0,COUNTIF(J2535,"*17*")&gt;0,COUNTIF(I2535,"18*")&gt;0,COUNTIF(J2535,"*18*")&gt;0,COUNTIF(I2535,"19*")&gt;0,COUNTIF(J2535,"*19*")&gt;0,COUNTIF(I2535,"20*")&gt;0,COUNTIF(J2535,"*20*")&gt;0,COUNTIF(I2535,"21*")&gt;0,COUNTIF(J2535,"*21*")&gt;0,COUNTIF(I2535,"22*")&gt;0,COUNTIF(J2535,"*22*")&gt;0,COUNTIF(I2535,"23*")&gt;0,COUNTIF(J2535,"*23*")&gt;0,COUNTIF(I2535,"24*")&gt;0,COUNTIF(J2535,"*24*")&gt;0,COUNTIF(I2535,"25*")&gt;0,COUNTIF(J2535,"*25*")&gt;0,COUNTIF(I2535,"26*")&gt;0,COUNTIF(J2535,"*26*")&gt;0,COUNTIF(I2535,"27*")&gt;0,COUNTIF(J2535,"*27*")&gt;0,COUNTIF(I2535,"28*")&gt;0,COUNTIF(J2535,"*28*")&gt;0,COUNTIF(I2535,"29*")&gt;0,COUNTIF(J2535,"*29*")&gt;0,COUNTIF(I2535,"30*")&gt;0,COUNTIF(J2535,"*30*")&gt;0,COUNTIF(I2535,"31*")&gt;0,COUNTIF(J2535,"*31*")&gt;0,COUNTIF(I2535,"32*")&gt;0,COUNTIF(J2535,"*32*")&gt;0,COUNTIF(I2535,"33*")&gt;0,COUNTIF(J2535,"*33*")&gt;0,COUNTIF(I2535,"41*")&gt;0,COUNTIF(J2535,"*41*")&gt;0,COUNTIF(I2535,"42*")&gt;0,COUNTIF(J2535,"*42*")&gt;0,COUNTIF(I2535,"43*")&gt;0,COUNTIF(J2535,"*43*")&gt;0,COUNTIF(I2535,"49*")&gt;0,COUNTIF(J2535,"*49*")&gt;0,COUNTIF(I2535,"52*")&gt;0,COUNTIF(J2535,"*52*")&gt;0,COUNTIF(I2535,"55*")&gt;0,COUNTIF(J2535,"*55*")&gt;0,COUNTIF(I2535,"56*")&gt;0,COUNTIF(J2535,"*56*")&gt;0,COUNTIF(I2535,"68*")&gt;0,COUNTIF(J2535,"*68*")&gt;0,COUNTIF(I2535,"78*")&gt;0,COUNTIF(J2535,"*78*")&gt;0,COUNTIF(I2535,"81*")&gt;0,COUNTIF(J2535,"*81*")&gt;0,COUNTIF(I2535,"82*")&gt;0,COUNTIF(J2535,"*82*")&gt;0,COUNTIF(I2535,"64*")&gt;0,COUNTIF(J2535,"*64*")&gt;0,COUNTIF(I2535,"65*")&gt;0,COUNTIF(J2535,"*65*")&gt;0,COUNTIF(I2535,"66*")&gt;0,COUNTIF(J2535,"*66*")&gt;0,COUNTIF(I2535,"61*")&gt;0,COUNTIF(J2535,"*61*")&gt;0,COUNTIF(I2535,"62*")&gt;0,COUNTIF(J2535,"*62*")&gt;0,COUNTIF(I2535,"63*")&gt;0,COUNTIF(J2535,"*63*")&gt;0,COUNTIF(I2535,"85*")&gt;0,COUNTIF(J2535,"*85*")&gt;0,COUNTIF(I2535,"86*")&gt;0,COUNTIF(J2535,"*86*")&gt;0),"Да","Нет"))</f>
        <v/>
      </c>
      <c r="M2535" s="13">
        <f>IF(OR(G2535="",L2535&lt;&gt;"Да"),"",IF(G2535&lt;=100,"До 100",IF(G2535&lt;=200,"До 200",IF(G2535&lt;=500,"До 500","Отдельное КП"))))</f>
        <v/>
      </c>
      <c r="N2535" s="15">
        <f>IF(OR(G2535="",L2535&lt;&gt;"Да"),"",IF(G2535&lt;=100,33600,IF(G2535&lt;=200,62400,IF(G2535&lt;=500,144000,""))))</f>
        <v/>
      </c>
      <c r="O2535" s="16">
        <f>IF(G2535="","",IF(G2535&lt;=15,"1–15",IF(G2535&lt;=30,"16–30",IF(G2535&lt;=50,"31–50",IF(G2535&lt;=100,"51–100",IF(G2535&lt;=150,"101–150",IF(G2535&lt;=200,"151–200",IF(G2535&lt;=500,"201–500","500+"))))))))</f>
        <v/>
      </c>
      <c r="P2535" s="16" t="inlineStr">
        <is>
          <t>Нет совпадения в предоставленной выгрузке ССЧР</t>
        </is>
      </c>
      <c r="Q2535" s="16" t="n"/>
      <c r="R2535" s="16">
        <f>HYPERLINK("https://checko.ru/search?query=3801001629","Чекко: проверить")</f>
        <v/>
      </c>
      <c r="S2535" t="n">
        <v>0</v>
      </c>
    </row>
    <row r="2536" ht="27.75" customHeight="1" s="24">
      <c r="A2536" s="13" t="n">
        <v>5000095152</v>
      </c>
      <c r="B2536" s="13" t="inlineStr">
        <is>
          <t>Администрация Главы Кабардино-Балкарской Республики</t>
        </is>
      </c>
      <c r="C2536" s="13" t="n">
        <v>721012740</v>
      </c>
      <c r="D2536" s="13" t="n"/>
      <c r="E2536" s="13" t="inlineStr">
        <is>
          <t>Не определён</t>
        </is>
      </c>
      <c r="F2536" s="13" t="inlineStr">
        <is>
          <t>721012740</t>
        </is>
      </c>
      <c r="G2536" s="14" t="n"/>
      <c r="H2536" s="14" t="n"/>
      <c r="I2536" s="14" t="n"/>
      <c r="J2536" s="14" t="n"/>
      <c r="K2536" s="13">
        <f>IF(G2536="","",IF(G2536&gt;=22,"Да","Нет"))</f>
        <v/>
      </c>
      <c r="L2536" s="13">
        <f>IF(OR(I2536="",J2536=""),"Не определено",IF(OR(COUNTIF(I2536,"45*")&gt;0,COUNTIF(J2536,"*45*")&gt;0,COUNTIF(I2536,"46*")&gt;0,COUNTIF(J2536,"*46*")&gt;0,COUNTIF(I2536,"47*")&gt;0,COUNTIF(J2536,"*47*")&gt;0,COUNTIF(I2536,"10*")&gt;0,COUNTIF(J2536,"*10*")&gt;0,COUNTIF(I2536,"11*")&gt;0,COUNTIF(J2536,"*11*")&gt;0,COUNTIF(I2536,"12*")&gt;0,COUNTIF(J2536,"*12*")&gt;0,COUNTIF(I2536,"13*")&gt;0,COUNTIF(J2536,"*13*")&gt;0,COUNTIF(I2536,"14*")&gt;0,COUNTIF(J2536,"*14*")&gt;0,COUNTIF(I2536,"15*")&gt;0,COUNTIF(J2536,"*15*")&gt;0,COUNTIF(I2536,"16*")&gt;0,COUNTIF(J2536,"*16*")&gt;0,COUNTIF(I2536,"17*")&gt;0,COUNTIF(J2536,"*17*")&gt;0,COUNTIF(I2536,"18*")&gt;0,COUNTIF(J2536,"*18*")&gt;0,COUNTIF(I2536,"19*")&gt;0,COUNTIF(J2536,"*19*")&gt;0,COUNTIF(I2536,"20*")&gt;0,COUNTIF(J2536,"*20*")&gt;0,COUNTIF(I2536,"21*")&gt;0,COUNTIF(J2536,"*21*")&gt;0,COUNTIF(I2536,"22*")&gt;0,COUNTIF(J2536,"*22*")&gt;0,COUNTIF(I2536,"23*")&gt;0,COUNTIF(J2536,"*23*")&gt;0,COUNTIF(I2536,"24*")&gt;0,COUNTIF(J2536,"*24*")&gt;0,COUNTIF(I2536,"25*")&gt;0,COUNTIF(J2536,"*25*")&gt;0,COUNTIF(I2536,"26*")&gt;0,COUNTIF(J2536,"*26*")&gt;0,COUNTIF(I2536,"27*")&gt;0,COUNTIF(J2536,"*27*")&gt;0,COUNTIF(I2536,"28*")&gt;0,COUNTIF(J2536,"*28*")&gt;0,COUNTIF(I2536,"29*")&gt;0,COUNTIF(J2536,"*29*")&gt;0,COUNTIF(I2536,"30*")&gt;0,COUNTIF(J2536,"*30*")&gt;0,COUNTIF(I2536,"31*")&gt;0,COUNTIF(J2536,"*31*")&gt;0,COUNTIF(I2536,"32*")&gt;0,COUNTIF(J2536,"*32*")&gt;0,COUNTIF(I2536,"33*")&gt;0,COUNTIF(J2536,"*33*")&gt;0,COUNTIF(I2536,"41*")&gt;0,COUNTIF(J2536,"*41*")&gt;0,COUNTIF(I2536,"42*")&gt;0,COUNTIF(J2536,"*42*")&gt;0,COUNTIF(I2536,"43*")&gt;0,COUNTIF(J2536,"*43*")&gt;0,COUNTIF(I2536,"49*")&gt;0,COUNTIF(J2536,"*49*")&gt;0,COUNTIF(I2536,"52*")&gt;0,COUNTIF(J2536,"*52*")&gt;0,COUNTIF(I2536,"55*")&gt;0,COUNTIF(J2536,"*55*")&gt;0,COUNTIF(I2536,"56*")&gt;0,COUNTIF(J2536,"*56*")&gt;0,COUNTIF(I2536,"68*")&gt;0,COUNTIF(J2536,"*68*")&gt;0,COUNTIF(I2536,"78*")&gt;0,COUNTIF(J2536,"*78*")&gt;0,COUNTIF(I2536,"81*")&gt;0,COUNTIF(J2536,"*81*")&gt;0,COUNTIF(I2536,"82*")&gt;0,COUNTIF(J2536,"*82*")&gt;0,COUNTIF(I2536,"64*")&gt;0,COUNTIF(J2536,"*64*")&gt;0,COUNTIF(I2536,"65*")&gt;0,COUNTIF(J2536,"*65*")&gt;0,COUNTIF(I2536,"66*")&gt;0,COUNTIF(J2536,"*66*")&gt;0,COUNTIF(I2536,"61*")&gt;0,COUNTIF(J2536,"*61*")&gt;0,COUNTIF(I2536,"62*")&gt;0,COUNTIF(J2536,"*62*")&gt;0,COUNTIF(I2536,"63*")&gt;0,COUNTIF(J2536,"*63*")&gt;0,COUNTIF(I2536,"85*")&gt;0,COUNTIF(J2536,"*85*")&gt;0,COUNTIF(I2536,"86*")&gt;0,COUNTIF(J2536,"*86*")&gt;0),"Да","Нет"))</f>
        <v/>
      </c>
      <c r="M2536" s="13">
        <f>IF(OR(G2536="",L2536&lt;&gt;"Да"),"",IF(G2536&lt;=100,"До 100",IF(G2536&lt;=200,"До 200",IF(G2536&lt;=500,"До 500","Отдельное КП"))))</f>
        <v/>
      </c>
      <c r="N2536" s="15">
        <f>IF(OR(G2536="",L2536&lt;&gt;"Да"),"",IF(G2536&lt;=100,33600,IF(G2536&lt;=200,62400,IF(G2536&lt;=500,144000,""))))</f>
        <v/>
      </c>
      <c r="O2536" s="16">
        <f>IF(G2536="","",IF(G2536&lt;=15,"1–15",IF(G2536&lt;=30,"16–30",IF(G2536&lt;=50,"31–50",IF(G2536&lt;=100,"51–100",IF(G2536&lt;=150,"101–150",IF(G2536&lt;=200,"151–200",IF(G2536&lt;=500,"201–500","500+"))))))))</f>
        <v/>
      </c>
      <c r="P2536" s="16" t="inlineStr">
        <is>
          <t>Нет совпадения в предоставленной выгрузке ССЧР</t>
        </is>
      </c>
      <c r="Q2536" s="16" t="n"/>
      <c r="R2536" s="16">
        <f>HYPERLINK("https://checko.ru/search?query=3801001629","Чекко: проверить")</f>
        <v/>
      </c>
      <c r="S2536" t="n">
        <v>0</v>
      </c>
    </row>
    <row r="2537" ht="15" customHeight="1" s="24">
      <c r="A2537" s="13" t="n">
        <v>5000095158</v>
      </c>
      <c r="B2537" s="13" t="inlineStr">
        <is>
          <t>Минимущество КБР</t>
        </is>
      </c>
      <c r="C2537" s="13" t="n">
        <v>721017836</v>
      </c>
      <c r="D2537" s="13" t="n"/>
      <c r="E2537" s="13" t="inlineStr">
        <is>
          <t>Не определён</t>
        </is>
      </c>
      <c r="F2537" s="13" t="inlineStr">
        <is>
          <t>721017836</t>
        </is>
      </c>
      <c r="G2537" s="14" t="n"/>
      <c r="H2537" s="14" t="n"/>
      <c r="I2537" s="14" t="n"/>
      <c r="J2537" s="14" t="n"/>
      <c r="K2537" s="13">
        <f>IF(G2537="","",IF(G2537&gt;=22,"Да","Нет"))</f>
        <v/>
      </c>
      <c r="L2537" s="13">
        <f>IF(OR(I2537="",J2537=""),"Не определено",IF(OR(COUNTIF(I2537,"45*")&gt;0,COUNTIF(J2537,"*45*")&gt;0,COUNTIF(I2537,"46*")&gt;0,COUNTIF(J2537,"*46*")&gt;0,COUNTIF(I2537,"47*")&gt;0,COUNTIF(J2537,"*47*")&gt;0,COUNTIF(I2537,"10*")&gt;0,COUNTIF(J2537,"*10*")&gt;0,COUNTIF(I2537,"11*")&gt;0,COUNTIF(J2537,"*11*")&gt;0,COUNTIF(I2537,"12*")&gt;0,COUNTIF(J2537,"*12*")&gt;0,COUNTIF(I2537,"13*")&gt;0,COUNTIF(J2537,"*13*")&gt;0,COUNTIF(I2537,"14*")&gt;0,COUNTIF(J2537,"*14*")&gt;0,COUNTIF(I2537,"15*")&gt;0,COUNTIF(J2537,"*15*")&gt;0,COUNTIF(I2537,"16*")&gt;0,COUNTIF(J2537,"*16*")&gt;0,COUNTIF(I2537,"17*")&gt;0,COUNTIF(J2537,"*17*")&gt;0,COUNTIF(I2537,"18*")&gt;0,COUNTIF(J2537,"*18*")&gt;0,COUNTIF(I2537,"19*")&gt;0,COUNTIF(J2537,"*19*")&gt;0,COUNTIF(I2537,"20*")&gt;0,COUNTIF(J2537,"*20*")&gt;0,COUNTIF(I2537,"21*")&gt;0,COUNTIF(J2537,"*21*")&gt;0,COUNTIF(I2537,"22*")&gt;0,COUNTIF(J2537,"*22*")&gt;0,COUNTIF(I2537,"23*")&gt;0,COUNTIF(J2537,"*23*")&gt;0,COUNTIF(I2537,"24*")&gt;0,COUNTIF(J2537,"*24*")&gt;0,COUNTIF(I2537,"25*")&gt;0,COUNTIF(J2537,"*25*")&gt;0,COUNTIF(I2537,"26*")&gt;0,COUNTIF(J2537,"*26*")&gt;0,COUNTIF(I2537,"27*")&gt;0,COUNTIF(J2537,"*27*")&gt;0,COUNTIF(I2537,"28*")&gt;0,COUNTIF(J2537,"*28*")&gt;0,COUNTIF(I2537,"29*")&gt;0,COUNTIF(J2537,"*29*")&gt;0,COUNTIF(I2537,"30*")&gt;0,COUNTIF(J2537,"*30*")&gt;0,COUNTIF(I2537,"31*")&gt;0,COUNTIF(J2537,"*31*")&gt;0,COUNTIF(I2537,"32*")&gt;0,COUNTIF(J2537,"*32*")&gt;0,COUNTIF(I2537,"33*")&gt;0,COUNTIF(J2537,"*33*")&gt;0,COUNTIF(I2537,"41*")&gt;0,COUNTIF(J2537,"*41*")&gt;0,COUNTIF(I2537,"42*")&gt;0,COUNTIF(J2537,"*42*")&gt;0,COUNTIF(I2537,"43*")&gt;0,COUNTIF(J2537,"*43*")&gt;0,COUNTIF(I2537,"49*")&gt;0,COUNTIF(J2537,"*49*")&gt;0,COUNTIF(I2537,"52*")&gt;0,COUNTIF(J2537,"*52*")&gt;0,COUNTIF(I2537,"55*")&gt;0,COUNTIF(J2537,"*55*")&gt;0,COUNTIF(I2537,"56*")&gt;0,COUNTIF(J2537,"*56*")&gt;0,COUNTIF(I2537,"68*")&gt;0,COUNTIF(J2537,"*68*")&gt;0,COUNTIF(I2537,"78*")&gt;0,COUNTIF(J2537,"*78*")&gt;0,COUNTIF(I2537,"81*")&gt;0,COUNTIF(J2537,"*81*")&gt;0,COUNTIF(I2537,"82*")&gt;0,COUNTIF(J2537,"*82*")&gt;0,COUNTIF(I2537,"64*")&gt;0,COUNTIF(J2537,"*64*")&gt;0,COUNTIF(I2537,"65*")&gt;0,COUNTIF(J2537,"*65*")&gt;0,COUNTIF(I2537,"66*")&gt;0,COUNTIF(J2537,"*66*")&gt;0,COUNTIF(I2537,"61*")&gt;0,COUNTIF(J2537,"*61*")&gt;0,COUNTIF(I2537,"62*")&gt;0,COUNTIF(J2537,"*62*")&gt;0,COUNTIF(I2537,"63*")&gt;0,COUNTIF(J2537,"*63*")&gt;0,COUNTIF(I2537,"85*")&gt;0,COUNTIF(J2537,"*85*")&gt;0,COUNTIF(I2537,"86*")&gt;0,COUNTIF(J2537,"*86*")&gt;0),"Да","Нет"))</f>
        <v/>
      </c>
      <c r="M2537" s="13">
        <f>IF(OR(G2537="",L2537&lt;&gt;"Да"),"",IF(G2537&lt;=100,"До 100",IF(G2537&lt;=200,"До 200",IF(G2537&lt;=500,"До 500","Отдельное КП"))))</f>
        <v/>
      </c>
      <c r="N2537" s="15">
        <f>IF(OR(G2537="",L2537&lt;&gt;"Да"),"",IF(G2537&lt;=100,33600,IF(G2537&lt;=200,62400,IF(G2537&lt;=500,144000,""))))</f>
        <v/>
      </c>
      <c r="O2537" s="16">
        <f>IF(G2537="","",IF(G2537&lt;=15,"1–15",IF(G2537&lt;=30,"16–30",IF(G2537&lt;=50,"31–50",IF(G2537&lt;=100,"51–100",IF(G2537&lt;=150,"101–150",IF(G2537&lt;=200,"151–200",IF(G2537&lt;=500,"201–500","500+"))))))))</f>
        <v/>
      </c>
      <c r="P2537" s="16" t="inlineStr">
        <is>
          <t>Нет совпадения в предоставленной выгрузке ССЧР</t>
        </is>
      </c>
      <c r="Q2537" s="16" t="n"/>
      <c r="R2537" s="16">
        <f>HYPERLINK("https://checko.ru/search?query=3801001629","Чекко: проверить")</f>
        <v/>
      </c>
      <c r="S2537" t="n">
        <v>0</v>
      </c>
    </row>
    <row r="2538" ht="15" customHeight="1" s="24">
      <c r="A2538" s="13" t="n">
        <v>5000095159</v>
      </c>
      <c r="B2538" s="13" t="inlineStr">
        <is>
          <t>Минприроды КБР</t>
        </is>
      </c>
      <c r="C2538" s="13" t="n">
        <v>721018100</v>
      </c>
      <c r="D2538" s="13" t="n"/>
      <c r="E2538" s="13" t="inlineStr">
        <is>
          <t>Не определён</t>
        </is>
      </c>
      <c r="F2538" s="13" t="inlineStr">
        <is>
          <t>721018100</t>
        </is>
      </c>
      <c r="G2538" s="14" t="n"/>
      <c r="H2538" s="14" t="n"/>
      <c r="I2538" s="14" t="n"/>
      <c r="J2538" s="14" t="n"/>
      <c r="K2538" s="13">
        <f>IF(G2538="","",IF(G2538&gt;=22,"Да","Нет"))</f>
        <v/>
      </c>
      <c r="L2538" s="13">
        <f>IF(OR(I2538="",J2538=""),"Не определено",IF(OR(COUNTIF(I2538,"45*")&gt;0,COUNTIF(J2538,"*45*")&gt;0,COUNTIF(I2538,"46*")&gt;0,COUNTIF(J2538,"*46*")&gt;0,COUNTIF(I2538,"47*")&gt;0,COUNTIF(J2538,"*47*")&gt;0,COUNTIF(I2538,"10*")&gt;0,COUNTIF(J2538,"*10*")&gt;0,COUNTIF(I2538,"11*")&gt;0,COUNTIF(J2538,"*11*")&gt;0,COUNTIF(I2538,"12*")&gt;0,COUNTIF(J2538,"*12*")&gt;0,COUNTIF(I2538,"13*")&gt;0,COUNTIF(J2538,"*13*")&gt;0,COUNTIF(I2538,"14*")&gt;0,COUNTIF(J2538,"*14*")&gt;0,COUNTIF(I2538,"15*")&gt;0,COUNTIF(J2538,"*15*")&gt;0,COUNTIF(I2538,"16*")&gt;0,COUNTIF(J2538,"*16*")&gt;0,COUNTIF(I2538,"17*")&gt;0,COUNTIF(J2538,"*17*")&gt;0,COUNTIF(I2538,"18*")&gt;0,COUNTIF(J2538,"*18*")&gt;0,COUNTIF(I2538,"19*")&gt;0,COUNTIF(J2538,"*19*")&gt;0,COUNTIF(I2538,"20*")&gt;0,COUNTIF(J2538,"*20*")&gt;0,COUNTIF(I2538,"21*")&gt;0,COUNTIF(J2538,"*21*")&gt;0,COUNTIF(I2538,"22*")&gt;0,COUNTIF(J2538,"*22*")&gt;0,COUNTIF(I2538,"23*")&gt;0,COUNTIF(J2538,"*23*")&gt;0,COUNTIF(I2538,"24*")&gt;0,COUNTIF(J2538,"*24*")&gt;0,COUNTIF(I2538,"25*")&gt;0,COUNTIF(J2538,"*25*")&gt;0,COUNTIF(I2538,"26*")&gt;0,COUNTIF(J2538,"*26*")&gt;0,COUNTIF(I2538,"27*")&gt;0,COUNTIF(J2538,"*27*")&gt;0,COUNTIF(I2538,"28*")&gt;0,COUNTIF(J2538,"*28*")&gt;0,COUNTIF(I2538,"29*")&gt;0,COUNTIF(J2538,"*29*")&gt;0,COUNTIF(I2538,"30*")&gt;0,COUNTIF(J2538,"*30*")&gt;0,COUNTIF(I2538,"31*")&gt;0,COUNTIF(J2538,"*31*")&gt;0,COUNTIF(I2538,"32*")&gt;0,COUNTIF(J2538,"*32*")&gt;0,COUNTIF(I2538,"33*")&gt;0,COUNTIF(J2538,"*33*")&gt;0,COUNTIF(I2538,"41*")&gt;0,COUNTIF(J2538,"*41*")&gt;0,COUNTIF(I2538,"42*")&gt;0,COUNTIF(J2538,"*42*")&gt;0,COUNTIF(I2538,"43*")&gt;0,COUNTIF(J2538,"*43*")&gt;0,COUNTIF(I2538,"49*")&gt;0,COUNTIF(J2538,"*49*")&gt;0,COUNTIF(I2538,"52*")&gt;0,COUNTIF(J2538,"*52*")&gt;0,COUNTIF(I2538,"55*")&gt;0,COUNTIF(J2538,"*55*")&gt;0,COUNTIF(I2538,"56*")&gt;0,COUNTIF(J2538,"*56*")&gt;0,COUNTIF(I2538,"68*")&gt;0,COUNTIF(J2538,"*68*")&gt;0,COUNTIF(I2538,"78*")&gt;0,COUNTIF(J2538,"*78*")&gt;0,COUNTIF(I2538,"81*")&gt;0,COUNTIF(J2538,"*81*")&gt;0,COUNTIF(I2538,"82*")&gt;0,COUNTIF(J2538,"*82*")&gt;0,COUNTIF(I2538,"64*")&gt;0,COUNTIF(J2538,"*64*")&gt;0,COUNTIF(I2538,"65*")&gt;0,COUNTIF(J2538,"*65*")&gt;0,COUNTIF(I2538,"66*")&gt;0,COUNTIF(J2538,"*66*")&gt;0,COUNTIF(I2538,"61*")&gt;0,COUNTIF(J2538,"*61*")&gt;0,COUNTIF(I2538,"62*")&gt;0,COUNTIF(J2538,"*62*")&gt;0,COUNTIF(I2538,"63*")&gt;0,COUNTIF(J2538,"*63*")&gt;0,COUNTIF(I2538,"85*")&gt;0,COUNTIF(J2538,"*85*")&gt;0,COUNTIF(I2538,"86*")&gt;0,COUNTIF(J2538,"*86*")&gt;0),"Да","Нет"))</f>
        <v/>
      </c>
      <c r="M2538" s="13">
        <f>IF(OR(G2538="",L2538&lt;&gt;"Да"),"",IF(G2538&lt;=100,"До 100",IF(G2538&lt;=200,"До 200",IF(G2538&lt;=500,"До 500","Отдельное КП"))))</f>
        <v/>
      </c>
      <c r="N2538" s="15">
        <f>IF(OR(G2538="",L2538&lt;&gt;"Да"),"",IF(G2538&lt;=100,33600,IF(G2538&lt;=200,62400,IF(G2538&lt;=500,144000,""))))</f>
        <v/>
      </c>
      <c r="O2538" s="16">
        <f>IF(G2538="","",IF(G2538&lt;=15,"1–15",IF(G2538&lt;=30,"16–30",IF(G2538&lt;=50,"31–50",IF(G2538&lt;=100,"51–100",IF(G2538&lt;=150,"101–150",IF(G2538&lt;=200,"151–200",IF(G2538&lt;=500,"201–500","500+"))))))))</f>
        <v/>
      </c>
      <c r="P2538" s="16" t="inlineStr">
        <is>
          <t>Нет совпадения в предоставленной выгрузке ССЧР</t>
        </is>
      </c>
      <c r="Q2538" s="16" t="n"/>
      <c r="R2538" s="16">
        <f>HYPERLINK("https://checko.ru/search?query=3801001629","Чекко: проверить")</f>
        <v/>
      </c>
      <c r="S2538" t="n">
        <v>0</v>
      </c>
    </row>
    <row r="2539" ht="15" customHeight="1" s="24">
      <c r="A2539" s="13" t="n">
        <v>5000095160</v>
      </c>
      <c r="B2539" s="13" t="inlineStr">
        <is>
          <t>Минтрудсоцзащиты КБР</t>
        </is>
      </c>
      <c r="C2539" s="13" t="n">
        <v>721018445</v>
      </c>
      <c r="D2539" s="13" t="n"/>
      <c r="E2539" s="13" t="inlineStr">
        <is>
          <t>Не определён</t>
        </is>
      </c>
      <c r="F2539" s="13" t="inlineStr">
        <is>
          <t>721018445</t>
        </is>
      </c>
      <c r="G2539" s="14" t="n"/>
      <c r="H2539" s="14" t="n"/>
      <c r="I2539" s="14" t="n"/>
      <c r="J2539" s="14" t="n"/>
      <c r="K2539" s="13">
        <f>IF(G2539="","",IF(G2539&gt;=22,"Да","Нет"))</f>
        <v/>
      </c>
      <c r="L2539" s="13">
        <f>IF(OR(I2539="",J2539=""),"Не определено",IF(OR(COUNTIF(I2539,"45*")&gt;0,COUNTIF(J2539,"*45*")&gt;0,COUNTIF(I2539,"46*")&gt;0,COUNTIF(J2539,"*46*")&gt;0,COUNTIF(I2539,"47*")&gt;0,COUNTIF(J2539,"*47*")&gt;0,COUNTIF(I2539,"10*")&gt;0,COUNTIF(J2539,"*10*")&gt;0,COUNTIF(I2539,"11*")&gt;0,COUNTIF(J2539,"*11*")&gt;0,COUNTIF(I2539,"12*")&gt;0,COUNTIF(J2539,"*12*")&gt;0,COUNTIF(I2539,"13*")&gt;0,COUNTIF(J2539,"*13*")&gt;0,COUNTIF(I2539,"14*")&gt;0,COUNTIF(J2539,"*14*")&gt;0,COUNTIF(I2539,"15*")&gt;0,COUNTIF(J2539,"*15*")&gt;0,COUNTIF(I2539,"16*")&gt;0,COUNTIF(J2539,"*16*")&gt;0,COUNTIF(I2539,"17*")&gt;0,COUNTIF(J2539,"*17*")&gt;0,COUNTIF(I2539,"18*")&gt;0,COUNTIF(J2539,"*18*")&gt;0,COUNTIF(I2539,"19*")&gt;0,COUNTIF(J2539,"*19*")&gt;0,COUNTIF(I2539,"20*")&gt;0,COUNTIF(J2539,"*20*")&gt;0,COUNTIF(I2539,"21*")&gt;0,COUNTIF(J2539,"*21*")&gt;0,COUNTIF(I2539,"22*")&gt;0,COUNTIF(J2539,"*22*")&gt;0,COUNTIF(I2539,"23*")&gt;0,COUNTIF(J2539,"*23*")&gt;0,COUNTIF(I2539,"24*")&gt;0,COUNTIF(J2539,"*24*")&gt;0,COUNTIF(I2539,"25*")&gt;0,COUNTIF(J2539,"*25*")&gt;0,COUNTIF(I2539,"26*")&gt;0,COUNTIF(J2539,"*26*")&gt;0,COUNTIF(I2539,"27*")&gt;0,COUNTIF(J2539,"*27*")&gt;0,COUNTIF(I2539,"28*")&gt;0,COUNTIF(J2539,"*28*")&gt;0,COUNTIF(I2539,"29*")&gt;0,COUNTIF(J2539,"*29*")&gt;0,COUNTIF(I2539,"30*")&gt;0,COUNTIF(J2539,"*30*")&gt;0,COUNTIF(I2539,"31*")&gt;0,COUNTIF(J2539,"*31*")&gt;0,COUNTIF(I2539,"32*")&gt;0,COUNTIF(J2539,"*32*")&gt;0,COUNTIF(I2539,"33*")&gt;0,COUNTIF(J2539,"*33*")&gt;0,COUNTIF(I2539,"41*")&gt;0,COUNTIF(J2539,"*41*")&gt;0,COUNTIF(I2539,"42*")&gt;0,COUNTIF(J2539,"*42*")&gt;0,COUNTIF(I2539,"43*")&gt;0,COUNTIF(J2539,"*43*")&gt;0,COUNTIF(I2539,"49*")&gt;0,COUNTIF(J2539,"*49*")&gt;0,COUNTIF(I2539,"52*")&gt;0,COUNTIF(J2539,"*52*")&gt;0,COUNTIF(I2539,"55*")&gt;0,COUNTIF(J2539,"*55*")&gt;0,COUNTIF(I2539,"56*")&gt;0,COUNTIF(J2539,"*56*")&gt;0,COUNTIF(I2539,"68*")&gt;0,COUNTIF(J2539,"*68*")&gt;0,COUNTIF(I2539,"78*")&gt;0,COUNTIF(J2539,"*78*")&gt;0,COUNTIF(I2539,"81*")&gt;0,COUNTIF(J2539,"*81*")&gt;0,COUNTIF(I2539,"82*")&gt;0,COUNTIF(J2539,"*82*")&gt;0,COUNTIF(I2539,"64*")&gt;0,COUNTIF(J2539,"*64*")&gt;0,COUNTIF(I2539,"65*")&gt;0,COUNTIF(J2539,"*65*")&gt;0,COUNTIF(I2539,"66*")&gt;0,COUNTIF(J2539,"*66*")&gt;0,COUNTIF(I2539,"61*")&gt;0,COUNTIF(J2539,"*61*")&gt;0,COUNTIF(I2539,"62*")&gt;0,COUNTIF(J2539,"*62*")&gt;0,COUNTIF(I2539,"63*")&gt;0,COUNTIF(J2539,"*63*")&gt;0,COUNTIF(I2539,"85*")&gt;0,COUNTIF(J2539,"*85*")&gt;0,COUNTIF(I2539,"86*")&gt;0,COUNTIF(J2539,"*86*")&gt;0),"Да","Нет"))</f>
        <v/>
      </c>
      <c r="M2539" s="13">
        <f>IF(OR(G2539="",L2539&lt;&gt;"Да"),"",IF(G2539&lt;=100,"До 100",IF(G2539&lt;=200,"До 200",IF(G2539&lt;=500,"До 500","Отдельное КП"))))</f>
        <v/>
      </c>
      <c r="N2539" s="15">
        <f>IF(OR(G2539="",L2539&lt;&gt;"Да"),"",IF(G2539&lt;=100,33600,IF(G2539&lt;=200,62400,IF(G2539&lt;=500,144000,""))))</f>
        <v/>
      </c>
      <c r="O2539" s="16">
        <f>IF(G2539="","",IF(G2539&lt;=15,"1–15",IF(G2539&lt;=30,"16–30",IF(G2539&lt;=50,"31–50",IF(G2539&lt;=100,"51–100",IF(G2539&lt;=150,"101–150",IF(G2539&lt;=200,"151–200",IF(G2539&lt;=500,"201–500","500+"))))))))</f>
        <v/>
      </c>
      <c r="P2539" s="16" t="inlineStr">
        <is>
          <t>Нет совпадения в предоставленной выгрузке ССЧР</t>
        </is>
      </c>
      <c r="Q2539" s="16" t="n"/>
      <c r="R2539" s="16">
        <f>HYPERLINK("https://checko.ru/search?query=3801001629","Чекко: проверить")</f>
        <v/>
      </c>
      <c r="S2539" t="n">
        <v>0</v>
      </c>
    </row>
    <row r="2540" ht="15" customHeight="1" s="24">
      <c r="A2540" s="13" t="n">
        <v>5000095161</v>
      </c>
      <c r="B2540" s="13" t="inlineStr">
        <is>
          <t>Отдел ЗАГС г.о. Нальчик</t>
        </is>
      </c>
      <c r="C2540" s="13" t="n">
        <v>721018580</v>
      </c>
      <c r="D2540" s="13" t="n"/>
      <c r="E2540" s="13" t="inlineStr">
        <is>
          <t>Не определён</t>
        </is>
      </c>
      <c r="F2540" s="13" t="inlineStr">
        <is>
          <t>721018580</t>
        </is>
      </c>
      <c r="G2540" s="14" t="n"/>
      <c r="H2540" s="14" t="n"/>
      <c r="I2540" s="14" t="n"/>
      <c r="J2540" s="14" t="n"/>
      <c r="K2540" s="13">
        <f>IF(G2540="","",IF(G2540&gt;=22,"Да","Нет"))</f>
        <v/>
      </c>
      <c r="L2540" s="13">
        <f>IF(OR(I2540="",J2540=""),"Не определено",IF(OR(COUNTIF(I2540,"45*")&gt;0,COUNTIF(J2540,"*45*")&gt;0,COUNTIF(I2540,"46*")&gt;0,COUNTIF(J2540,"*46*")&gt;0,COUNTIF(I2540,"47*")&gt;0,COUNTIF(J2540,"*47*")&gt;0,COUNTIF(I2540,"10*")&gt;0,COUNTIF(J2540,"*10*")&gt;0,COUNTIF(I2540,"11*")&gt;0,COUNTIF(J2540,"*11*")&gt;0,COUNTIF(I2540,"12*")&gt;0,COUNTIF(J2540,"*12*")&gt;0,COUNTIF(I2540,"13*")&gt;0,COUNTIF(J2540,"*13*")&gt;0,COUNTIF(I2540,"14*")&gt;0,COUNTIF(J2540,"*14*")&gt;0,COUNTIF(I2540,"15*")&gt;0,COUNTIF(J2540,"*15*")&gt;0,COUNTIF(I2540,"16*")&gt;0,COUNTIF(J2540,"*16*")&gt;0,COUNTIF(I2540,"17*")&gt;0,COUNTIF(J2540,"*17*")&gt;0,COUNTIF(I2540,"18*")&gt;0,COUNTIF(J2540,"*18*")&gt;0,COUNTIF(I2540,"19*")&gt;0,COUNTIF(J2540,"*19*")&gt;0,COUNTIF(I2540,"20*")&gt;0,COUNTIF(J2540,"*20*")&gt;0,COUNTIF(I2540,"21*")&gt;0,COUNTIF(J2540,"*21*")&gt;0,COUNTIF(I2540,"22*")&gt;0,COUNTIF(J2540,"*22*")&gt;0,COUNTIF(I2540,"23*")&gt;0,COUNTIF(J2540,"*23*")&gt;0,COUNTIF(I2540,"24*")&gt;0,COUNTIF(J2540,"*24*")&gt;0,COUNTIF(I2540,"25*")&gt;0,COUNTIF(J2540,"*25*")&gt;0,COUNTIF(I2540,"26*")&gt;0,COUNTIF(J2540,"*26*")&gt;0,COUNTIF(I2540,"27*")&gt;0,COUNTIF(J2540,"*27*")&gt;0,COUNTIF(I2540,"28*")&gt;0,COUNTIF(J2540,"*28*")&gt;0,COUNTIF(I2540,"29*")&gt;0,COUNTIF(J2540,"*29*")&gt;0,COUNTIF(I2540,"30*")&gt;0,COUNTIF(J2540,"*30*")&gt;0,COUNTIF(I2540,"31*")&gt;0,COUNTIF(J2540,"*31*")&gt;0,COUNTIF(I2540,"32*")&gt;0,COUNTIF(J2540,"*32*")&gt;0,COUNTIF(I2540,"33*")&gt;0,COUNTIF(J2540,"*33*")&gt;0,COUNTIF(I2540,"41*")&gt;0,COUNTIF(J2540,"*41*")&gt;0,COUNTIF(I2540,"42*")&gt;0,COUNTIF(J2540,"*42*")&gt;0,COUNTIF(I2540,"43*")&gt;0,COUNTIF(J2540,"*43*")&gt;0,COUNTIF(I2540,"49*")&gt;0,COUNTIF(J2540,"*49*")&gt;0,COUNTIF(I2540,"52*")&gt;0,COUNTIF(J2540,"*52*")&gt;0,COUNTIF(I2540,"55*")&gt;0,COUNTIF(J2540,"*55*")&gt;0,COUNTIF(I2540,"56*")&gt;0,COUNTIF(J2540,"*56*")&gt;0,COUNTIF(I2540,"68*")&gt;0,COUNTIF(J2540,"*68*")&gt;0,COUNTIF(I2540,"78*")&gt;0,COUNTIF(J2540,"*78*")&gt;0,COUNTIF(I2540,"81*")&gt;0,COUNTIF(J2540,"*81*")&gt;0,COUNTIF(I2540,"82*")&gt;0,COUNTIF(J2540,"*82*")&gt;0,COUNTIF(I2540,"64*")&gt;0,COUNTIF(J2540,"*64*")&gt;0,COUNTIF(I2540,"65*")&gt;0,COUNTIF(J2540,"*65*")&gt;0,COUNTIF(I2540,"66*")&gt;0,COUNTIF(J2540,"*66*")&gt;0,COUNTIF(I2540,"61*")&gt;0,COUNTIF(J2540,"*61*")&gt;0,COUNTIF(I2540,"62*")&gt;0,COUNTIF(J2540,"*62*")&gt;0,COUNTIF(I2540,"63*")&gt;0,COUNTIF(J2540,"*63*")&gt;0,COUNTIF(I2540,"85*")&gt;0,COUNTIF(J2540,"*85*")&gt;0,COUNTIF(I2540,"86*")&gt;0,COUNTIF(J2540,"*86*")&gt;0),"Да","Нет"))</f>
        <v/>
      </c>
      <c r="M2540" s="13">
        <f>IF(OR(G2540="",L2540&lt;&gt;"Да"),"",IF(G2540&lt;=100,"До 100",IF(G2540&lt;=200,"До 200",IF(G2540&lt;=500,"До 500","Отдельное КП"))))</f>
        <v/>
      </c>
      <c r="N2540" s="15">
        <f>IF(OR(G2540="",L2540&lt;&gt;"Да"),"",IF(G2540&lt;=100,33600,IF(G2540&lt;=200,62400,IF(G2540&lt;=500,144000,""))))</f>
        <v/>
      </c>
      <c r="O2540" s="16">
        <f>IF(G2540="","",IF(G2540&lt;=15,"1–15",IF(G2540&lt;=30,"16–30",IF(G2540&lt;=50,"31–50",IF(G2540&lt;=100,"51–100",IF(G2540&lt;=150,"101–150",IF(G2540&lt;=200,"151–200",IF(G2540&lt;=500,"201–500","500+"))))))))</f>
        <v/>
      </c>
      <c r="P2540" s="16" t="inlineStr">
        <is>
          <t>Нет совпадения в предоставленной выгрузке ССЧР</t>
        </is>
      </c>
      <c r="Q2540" s="16" t="n"/>
      <c r="R2540" s="16">
        <f>HYPERLINK("https://checko.ru/search?query=3801001629","Чекко: проверить")</f>
        <v/>
      </c>
      <c r="S2540" t="n">
        <v>0</v>
      </c>
    </row>
    <row r="2541" ht="15" customHeight="1" s="24">
      <c r="A2541" s="13" t="n">
        <v>5000095163</v>
      </c>
      <c r="B2541" s="13" t="inlineStr">
        <is>
          <t>ГКУК "МЦ НТ"</t>
        </is>
      </c>
      <c r="C2541" s="13" t="n">
        <v>721020229</v>
      </c>
      <c r="D2541" s="13" t="n"/>
      <c r="E2541" s="13" t="inlineStr">
        <is>
          <t>Не определён</t>
        </is>
      </c>
      <c r="F2541" s="13" t="inlineStr">
        <is>
          <t>721020229</t>
        </is>
      </c>
      <c r="G2541" s="14" t="n"/>
      <c r="H2541" s="14" t="n"/>
      <c r="I2541" s="14" t="n"/>
      <c r="J2541" s="14" t="n"/>
      <c r="K2541" s="13">
        <f>IF(G2541="","",IF(G2541&gt;=22,"Да","Нет"))</f>
        <v/>
      </c>
      <c r="L2541" s="13">
        <f>IF(OR(I2541="",J2541=""),"Не определено",IF(OR(COUNTIF(I2541,"45*")&gt;0,COUNTIF(J2541,"*45*")&gt;0,COUNTIF(I2541,"46*")&gt;0,COUNTIF(J2541,"*46*")&gt;0,COUNTIF(I2541,"47*")&gt;0,COUNTIF(J2541,"*47*")&gt;0,COUNTIF(I2541,"10*")&gt;0,COUNTIF(J2541,"*10*")&gt;0,COUNTIF(I2541,"11*")&gt;0,COUNTIF(J2541,"*11*")&gt;0,COUNTIF(I2541,"12*")&gt;0,COUNTIF(J2541,"*12*")&gt;0,COUNTIF(I2541,"13*")&gt;0,COUNTIF(J2541,"*13*")&gt;0,COUNTIF(I2541,"14*")&gt;0,COUNTIF(J2541,"*14*")&gt;0,COUNTIF(I2541,"15*")&gt;0,COUNTIF(J2541,"*15*")&gt;0,COUNTIF(I2541,"16*")&gt;0,COUNTIF(J2541,"*16*")&gt;0,COUNTIF(I2541,"17*")&gt;0,COUNTIF(J2541,"*17*")&gt;0,COUNTIF(I2541,"18*")&gt;0,COUNTIF(J2541,"*18*")&gt;0,COUNTIF(I2541,"19*")&gt;0,COUNTIF(J2541,"*19*")&gt;0,COUNTIF(I2541,"20*")&gt;0,COUNTIF(J2541,"*20*")&gt;0,COUNTIF(I2541,"21*")&gt;0,COUNTIF(J2541,"*21*")&gt;0,COUNTIF(I2541,"22*")&gt;0,COUNTIF(J2541,"*22*")&gt;0,COUNTIF(I2541,"23*")&gt;0,COUNTIF(J2541,"*23*")&gt;0,COUNTIF(I2541,"24*")&gt;0,COUNTIF(J2541,"*24*")&gt;0,COUNTIF(I2541,"25*")&gt;0,COUNTIF(J2541,"*25*")&gt;0,COUNTIF(I2541,"26*")&gt;0,COUNTIF(J2541,"*26*")&gt;0,COUNTIF(I2541,"27*")&gt;0,COUNTIF(J2541,"*27*")&gt;0,COUNTIF(I2541,"28*")&gt;0,COUNTIF(J2541,"*28*")&gt;0,COUNTIF(I2541,"29*")&gt;0,COUNTIF(J2541,"*29*")&gt;0,COUNTIF(I2541,"30*")&gt;0,COUNTIF(J2541,"*30*")&gt;0,COUNTIF(I2541,"31*")&gt;0,COUNTIF(J2541,"*31*")&gt;0,COUNTIF(I2541,"32*")&gt;0,COUNTIF(J2541,"*32*")&gt;0,COUNTIF(I2541,"33*")&gt;0,COUNTIF(J2541,"*33*")&gt;0,COUNTIF(I2541,"41*")&gt;0,COUNTIF(J2541,"*41*")&gt;0,COUNTIF(I2541,"42*")&gt;0,COUNTIF(J2541,"*42*")&gt;0,COUNTIF(I2541,"43*")&gt;0,COUNTIF(J2541,"*43*")&gt;0,COUNTIF(I2541,"49*")&gt;0,COUNTIF(J2541,"*49*")&gt;0,COUNTIF(I2541,"52*")&gt;0,COUNTIF(J2541,"*52*")&gt;0,COUNTIF(I2541,"55*")&gt;0,COUNTIF(J2541,"*55*")&gt;0,COUNTIF(I2541,"56*")&gt;0,COUNTIF(J2541,"*56*")&gt;0,COUNTIF(I2541,"68*")&gt;0,COUNTIF(J2541,"*68*")&gt;0,COUNTIF(I2541,"78*")&gt;0,COUNTIF(J2541,"*78*")&gt;0,COUNTIF(I2541,"81*")&gt;0,COUNTIF(J2541,"*81*")&gt;0,COUNTIF(I2541,"82*")&gt;0,COUNTIF(J2541,"*82*")&gt;0,COUNTIF(I2541,"64*")&gt;0,COUNTIF(J2541,"*64*")&gt;0,COUNTIF(I2541,"65*")&gt;0,COUNTIF(J2541,"*65*")&gt;0,COUNTIF(I2541,"66*")&gt;0,COUNTIF(J2541,"*66*")&gt;0,COUNTIF(I2541,"61*")&gt;0,COUNTIF(J2541,"*61*")&gt;0,COUNTIF(I2541,"62*")&gt;0,COUNTIF(J2541,"*62*")&gt;0,COUNTIF(I2541,"63*")&gt;0,COUNTIF(J2541,"*63*")&gt;0,COUNTIF(I2541,"85*")&gt;0,COUNTIF(J2541,"*85*")&gt;0,COUNTIF(I2541,"86*")&gt;0,COUNTIF(J2541,"*86*")&gt;0),"Да","Нет"))</f>
        <v/>
      </c>
      <c r="M2541" s="13">
        <f>IF(OR(G2541="",L2541&lt;&gt;"Да"),"",IF(G2541&lt;=100,"До 100",IF(G2541&lt;=200,"До 200",IF(G2541&lt;=500,"До 500","Отдельное КП"))))</f>
        <v/>
      </c>
      <c r="N2541" s="15">
        <f>IF(OR(G2541="",L2541&lt;&gt;"Да"),"",IF(G2541&lt;=100,33600,IF(G2541&lt;=200,62400,IF(G2541&lt;=500,144000,""))))</f>
        <v/>
      </c>
      <c r="O2541" s="16">
        <f>IF(G2541="","",IF(G2541&lt;=15,"1–15",IF(G2541&lt;=30,"16–30",IF(G2541&lt;=50,"31–50",IF(G2541&lt;=100,"51–100",IF(G2541&lt;=150,"101–150",IF(G2541&lt;=200,"151–200",IF(G2541&lt;=500,"201–500","500+"))))))))</f>
        <v/>
      </c>
      <c r="P2541" s="16" t="inlineStr">
        <is>
          <t>Нет совпадения в предоставленной выгрузке ССЧР</t>
        </is>
      </c>
      <c r="Q2541" s="16" t="n"/>
      <c r="R2541" s="16">
        <f>HYPERLINK("https://checko.ru/search?query=3801001629","Чекко: проверить")</f>
        <v/>
      </c>
      <c r="S2541" t="n">
        <v>0</v>
      </c>
    </row>
    <row r="2542" ht="15" customHeight="1" s="24">
      <c r="A2542" s="13" t="n">
        <v>5000095164</v>
      </c>
      <c r="B2542" s="13" t="inlineStr">
        <is>
          <t>ГКУК  "НМ КБР"</t>
        </is>
      </c>
      <c r="C2542" s="13" t="n">
        <v>721020236</v>
      </c>
      <c r="D2542" s="13" t="n"/>
      <c r="E2542" s="13" t="inlineStr">
        <is>
          <t>Не определён</t>
        </is>
      </c>
      <c r="F2542" s="13" t="inlineStr">
        <is>
          <t>721020236</t>
        </is>
      </c>
      <c r="G2542" s="14" t="n"/>
      <c r="H2542" s="14" t="n"/>
      <c r="I2542" s="14" t="n"/>
      <c r="J2542" s="14" t="n"/>
      <c r="K2542" s="13">
        <f>IF(G2542="","",IF(G2542&gt;=22,"Да","Нет"))</f>
        <v/>
      </c>
      <c r="L2542" s="13">
        <f>IF(OR(I2542="",J2542=""),"Не определено",IF(OR(COUNTIF(I2542,"45*")&gt;0,COUNTIF(J2542,"*45*")&gt;0,COUNTIF(I2542,"46*")&gt;0,COUNTIF(J2542,"*46*")&gt;0,COUNTIF(I2542,"47*")&gt;0,COUNTIF(J2542,"*47*")&gt;0,COUNTIF(I2542,"10*")&gt;0,COUNTIF(J2542,"*10*")&gt;0,COUNTIF(I2542,"11*")&gt;0,COUNTIF(J2542,"*11*")&gt;0,COUNTIF(I2542,"12*")&gt;0,COUNTIF(J2542,"*12*")&gt;0,COUNTIF(I2542,"13*")&gt;0,COUNTIF(J2542,"*13*")&gt;0,COUNTIF(I2542,"14*")&gt;0,COUNTIF(J2542,"*14*")&gt;0,COUNTIF(I2542,"15*")&gt;0,COUNTIF(J2542,"*15*")&gt;0,COUNTIF(I2542,"16*")&gt;0,COUNTIF(J2542,"*16*")&gt;0,COUNTIF(I2542,"17*")&gt;0,COUNTIF(J2542,"*17*")&gt;0,COUNTIF(I2542,"18*")&gt;0,COUNTIF(J2542,"*18*")&gt;0,COUNTIF(I2542,"19*")&gt;0,COUNTIF(J2542,"*19*")&gt;0,COUNTIF(I2542,"20*")&gt;0,COUNTIF(J2542,"*20*")&gt;0,COUNTIF(I2542,"21*")&gt;0,COUNTIF(J2542,"*21*")&gt;0,COUNTIF(I2542,"22*")&gt;0,COUNTIF(J2542,"*22*")&gt;0,COUNTIF(I2542,"23*")&gt;0,COUNTIF(J2542,"*23*")&gt;0,COUNTIF(I2542,"24*")&gt;0,COUNTIF(J2542,"*24*")&gt;0,COUNTIF(I2542,"25*")&gt;0,COUNTIF(J2542,"*25*")&gt;0,COUNTIF(I2542,"26*")&gt;0,COUNTIF(J2542,"*26*")&gt;0,COUNTIF(I2542,"27*")&gt;0,COUNTIF(J2542,"*27*")&gt;0,COUNTIF(I2542,"28*")&gt;0,COUNTIF(J2542,"*28*")&gt;0,COUNTIF(I2542,"29*")&gt;0,COUNTIF(J2542,"*29*")&gt;0,COUNTIF(I2542,"30*")&gt;0,COUNTIF(J2542,"*30*")&gt;0,COUNTIF(I2542,"31*")&gt;0,COUNTIF(J2542,"*31*")&gt;0,COUNTIF(I2542,"32*")&gt;0,COUNTIF(J2542,"*32*")&gt;0,COUNTIF(I2542,"33*")&gt;0,COUNTIF(J2542,"*33*")&gt;0,COUNTIF(I2542,"41*")&gt;0,COUNTIF(J2542,"*41*")&gt;0,COUNTIF(I2542,"42*")&gt;0,COUNTIF(J2542,"*42*")&gt;0,COUNTIF(I2542,"43*")&gt;0,COUNTIF(J2542,"*43*")&gt;0,COUNTIF(I2542,"49*")&gt;0,COUNTIF(J2542,"*49*")&gt;0,COUNTIF(I2542,"52*")&gt;0,COUNTIF(J2542,"*52*")&gt;0,COUNTIF(I2542,"55*")&gt;0,COUNTIF(J2542,"*55*")&gt;0,COUNTIF(I2542,"56*")&gt;0,COUNTIF(J2542,"*56*")&gt;0,COUNTIF(I2542,"68*")&gt;0,COUNTIF(J2542,"*68*")&gt;0,COUNTIF(I2542,"78*")&gt;0,COUNTIF(J2542,"*78*")&gt;0,COUNTIF(I2542,"81*")&gt;0,COUNTIF(J2542,"*81*")&gt;0,COUNTIF(I2542,"82*")&gt;0,COUNTIF(J2542,"*82*")&gt;0,COUNTIF(I2542,"64*")&gt;0,COUNTIF(J2542,"*64*")&gt;0,COUNTIF(I2542,"65*")&gt;0,COUNTIF(J2542,"*65*")&gt;0,COUNTIF(I2542,"66*")&gt;0,COUNTIF(J2542,"*66*")&gt;0,COUNTIF(I2542,"61*")&gt;0,COUNTIF(J2542,"*61*")&gt;0,COUNTIF(I2542,"62*")&gt;0,COUNTIF(J2542,"*62*")&gt;0,COUNTIF(I2542,"63*")&gt;0,COUNTIF(J2542,"*63*")&gt;0,COUNTIF(I2542,"85*")&gt;0,COUNTIF(J2542,"*85*")&gt;0,COUNTIF(I2542,"86*")&gt;0,COUNTIF(J2542,"*86*")&gt;0),"Да","Нет"))</f>
        <v/>
      </c>
      <c r="M2542" s="13">
        <f>IF(OR(G2542="",L2542&lt;&gt;"Да"),"",IF(G2542&lt;=100,"До 100",IF(G2542&lt;=200,"До 200",IF(G2542&lt;=500,"До 500","Отдельное КП"))))</f>
        <v/>
      </c>
      <c r="N2542" s="15">
        <f>IF(OR(G2542="",L2542&lt;&gt;"Да"),"",IF(G2542&lt;=100,33600,IF(G2542&lt;=200,62400,IF(G2542&lt;=500,144000,""))))</f>
        <v/>
      </c>
      <c r="O2542" s="16">
        <f>IF(G2542="","",IF(G2542&lt;=15,"1–15",IF(G2542&lt;=30,"16–30",IF(G2542&lt;=50,"31–50",IF(G2542&lt;=100,"51–100",IF(G2542&lt;=150,"101–150",IF(G2542&lt;=200,"151–200",IF(G2542&lt;=500,"201–500","500+"))))))))</f>
        <v/>
      </c>
      <c r="P2542" s="16" t="inlineStr">
        <is>
          <t>Нет совпадения в предоставленной выгрузке ССЧР</t>
        </is>
      </c>
      <c r="Q2542" s="16" t="n"/>
      <c r="R2542" s="16">
        <f>HYPERLINK("https://checko.ru/search?query=3801001629","Чекко: проверить")</f>
        <v/>
      </c>
      <c r="S2542" t="n">
        <v>0</v>
      </c>
    </row>
    <row r="2543" ht="15" customHeight="1" s="24">
      <c r="A2543" s="13" t="n">
        <v>5000095165</v>
      </c>
      <c r="B2543" s="13" t="inlineStr">
        <is>
          <t>ГКУК "Музей ИЗО им. Ткаченко"</t>
        </is>
      </c>
      <c r="C2543" s="13" t="n">
        <v>721020243</v>
      </c>
      <c r="D2543" s="13" t="n"/>
      <c r="E2543" s="13" t="inlineStr">
        <is>
          <t>Не определён</t>
        </is>
      </c>
      <c r="F2543" s="13" t="inlineStr">
        <is>
          <t>721020243</t>
        </is>
      </c>
      <c r="G2543" s="14" t="n"/>
      <c r="H2543" s="14" t="n"/>
      <c r="I2543" s="14" t="n"/>
      <c r="J2543" s="14" t="n"/>
      <c r="K2543" s="13">
        <f>IF(G2543="","",IF(G2543&gt;=22,"Да","Нет"))</f>
        <v/>
      </c>
      <c r="L2543" s="13">
        <f>IF(OR(I2543="",J2543=""),"Не определено",IF(OR(COUNTIF(I2543,"45*")&gt;0,COUNTIF(J2543,"*45*")&gt;0,COUNTIF(I2543,"46*")&gt;0,COUNTIF(J2543,"*46*")&gt;0,COUNTIF(I2543,"47*")&gt;0,COUNTIF(J2543,"*47*")&gt;0,COUNTIF(I2543,"10*")&gt;0,COUNTIF(J2543,"*10*")&gt;0,COUNTIF(I2543,"11*")&gt;0,COUNTIF(J2543,"*11*")&gt;0,COUNTIF(I2543,"12*")&gt;0,COUNTIF(J2543,"*12*")&gt;0,COUNTIF(I2543,"13*")&gt;0,COUNTIF(J2543,"*13*")&gt;0,COUNTIF(I2543,"14*")&gt;0,COUNTIF(J2543,"*14*")&gt;0,COUNTIF(I2543,"15*")&gt;0,COUNTIF(J2543,"*15*")&gt;0,COUNTIF(I2543,"16*")&gt;0,COUNTIF(J2543,"*16*")&gt;0,COUNTIF(I2543,"17*")&gt;0,COUNTIF(J2543,"*17*")&gt;0,COUNTIF(I2543,"18*")&gt;0,COUNTIF(J2543,"*18*")&gt;0,COUNTIF(I2543,"19*")&gt;0,COUNTIF(J2543,"*19*")&gt;0,COUNTIF(I2543,"20*")&gt;0,COUNTIF(J2543,"*20*")&gt;0,COUNTIF(I2543,"21*")&gt;0,COUNTIF(J2543,"*21*")&gt;0,COUNTIF(I2543,"22*")&gt;0,COUNTIF(J2543,"*22*")&gt;0,COUNTIF(I2543,"23*")&gt;0,COUNTIF(J2543,"*23*")&gt;0,COUNTIF(I2543,"24*")&gt;0,COUNTIF(J2543,"*24*")&gt;0,COUNTIF(I2543,"25*")&gt;0,COUNTIF(J2543,"*25*")&gt;0,COUNTIF(I2543,"26*")&gt;0,COUNTIF(J2543,"*26*")&gt;0,COUNTIF(I2543,"27*")&gt;0,COUNTIF(J2543,"*27*")&gt;0,COUNTIF(I2543,"28*")&gt;0,COUNTIF(J2543,"*28*")&gt;0,COUNTIF(I2543,"29*")&gt;0,COUNTIF(J2543,"*29*")&gt;0,COUNTIF(I2543,"30*")&gt;0,COUNTIF(J2543,"*30*")&gt;0,COUNTIF(I2543,"31*")&gt;0,COUNTIF(J2543,"*31*")&gt;0,COUNTIF(I2543,"32*")&gt;0,COUNTIF(J2543,"*32*")&gt;0,COUNTIF(I2543,"33*")&gt;0,COUNTIF(J2543,"*33*")&gt;0,COUNTIF(I2543,"41*")&gt;0,COUNTIF(J2543,"*41*")&gt;0,COUNTIF(I2543,"42*")&gt;0,COUNTIF(J2543,"*42*")&gt;0,COUNTIF(I2543,"43*")&gt;0,COUNTIF(J2543,"*43*")&gt;0,COUNTIF(I2543,"49*")&gt;0,COUNTIF(J2543,"*49*")&gt;0,COUNTIF(I2543,"52*")&gt;0,COUNTIF(J2543,"*52*")&gt;0,COUNTIF(I2543,"55*")&gt;0,COUNTIF(J2543,"*55*")&gt;0,COUNTIF(I2543,"56*")&gt;0,COUNTIF(J2543,"*56*")&gt;0,COUNTIF(I2543,"68*")&gt;0,COUNTIF(J2543,"*68*")&gt;0,COUNTIF(I2543,"78*")&gt;0,COUNTIF(J2543,"*78*")&gt;0,COUNTIF(I2543,"81*")&gt;0,COUNTIF(J2543,"*81*")&gt;0,COUNTIF(I2543,"82*")&gt;0,COUNTIF(J2543,"*82*")&gt;0,COUNTIF(I2543,"64*")&gt;0,COUNTIF(J2543,"*64*")&gt;0,COUNTIF(I2543,"65*")&gt;0,COUNTIF(J2543,"*65*")&gt;0,COUNTIF(I2543,"66*")&gt;0,COUNTIF(J2543,"*66*")&gt;0,COUNTIF(I2543,"61*")&gt;0,COUNTIF(J2543,"*61*")&gt;0,COUNTIF(I2543,"62*")&gt;0,COUNTIF(J2543,"*62*")&gt;0,COUNTIF(I2543,"63*")&gt;0,COUNTIF(J2543,"*63*")&gt;0,COUNTIF(I2543,"85*")&gt;0,COUNTIF(J2543,"*85*")&gt;0,COUNTIF(I2543,"86*")&gt;0,COUNTIF(J2543,"*86*")&gt;0),"Да","Нет"))</f>
        <v/>
      </c>
      <c r="M2543" s="13">
        <f>IF(OR(G2543="",L2543&lt;&gt;"Да"),"",IF(G2543&lt;=100,"До 100",IF(G2543&lt;=200,"До 200",IF(G2543&lt;=500,"До 500","Отдельное КП"))))</f>
        <v/>
      </c>
      <c r="N2543" s="15">
        <f>IF(OR(G2543="",L2543&lt;&gt;"Да"),"",IF(G2543&lt;=100,33600,IF(G2543&lt;=200,62400,IF(G2543&lt;=500,144000,""))))</f>
        <v/>
      </c>
      <c r="O2543" s="16">
        <f>IF(G2543="","",IF(G2543&lt;=15,"1–15",IF(G2543&lt;=30,"16–30",IF(G2543&lt;=50,"31–50",IF(G2543&lt;=100,"51–100",IF(G2543&lt;=150,"101–150",IF(G2543&lt;=200,"151–200",IF(G2543&lt;=500,"201–500","500+"))))))))</f>
        <v/>
      </c>
      <c r="P2543" s="16" t="inlineStr">
        <is>
          <t>Нет совпадения в предоставленной выгрузке ССЧР</t>
        </is>
      </c>
      <c r="Q2543" s="16" t="n"/>
      <c r="R2543" s="16">
        <f>HYPERLINK("https://checko.ru/search?query=3801001629","Чекко: проверить")</f>
        <v/>
      </c>
      <c r="S2543" t="n">
        <v>0</v>
      </c>
    </row>
    <row r="2544" ht="27.75" customHeight="1" s="24">
      <c r="A2544" s="13" t="n">
        <v>5000095181</v>
      </c>
      <c r="B2544" s="13" t="inlineStr">
        <is>
          <t>Совет местного самоуправления городского округа Баксан</t>
        </is>
      </c>
      <c r="C2544" s="13" t="n">
        <v>722001275</v>
      </c>
      <c r="D2544" s="13" t="n"/>
      <c r="E2544" s="13" t="inlineStr">
        <is>
          <t>Не определён</t>
        </is>
      </c>
      <c r="F2544" s="13" t="inlineStr">
        <is>
          <t>722001275</t>
        </is>
      </c>
      <c r="G2544" s="14" t="n"/>
      <c r="H2544" s="14" t="n"/>
      <c r="I2544" s="14" t="n"/>
      <c r="J2544" s="14" t="n"/>
      <c r="K2544" s="13">
        <f>IF(G2544="","",IF(G2544&gt;=22,"Да","Нет"))</f>
        <v/>
      </c>
      <c r="L2544" s="13">
        <f>IF(OR(I2544="",J2544=""),"Не определено",IF(OR(COUNTIF(I2544,"45*")&gt;0,COUNTIF(J2544,"*45*")&gt;0,COUNTIF(I2544,"46*")&gt;0,COUNTIF(J2544,"*46*")&gt;0,COUNTIF(I2544,"47*")&gt;0,COUNTIF(J2544,"*47*")&gt;0,COUNTIF(I2544,"10*")&gt;0,COUNTIF(J2544,"*10*")&gt;0,COUNTIF(I2544,"11*")&gt;0,COUNTIF(J2544,"*11*")&gt;0,COUNTIF(I2544,"12*")&gt;0,COUNTIF(J2544,"*12*")&gt;0,COUNTIF(I2544,"13*")&gt;0,COUNTIF(J2544,"*13*")&gt;0,COUNTIF(I2544,"14*")&gt;0,COUNTIF(J2544,"*14*")&gt;0,COUNTIF(I2544,"15*")&gt;0,COUNTIF(J2544,"*15*")&gt;0,COUNTIF(I2544,"16*")&gt;0,COUNTIF(J2544,"*16*")&gt;0,COUNTIF(I2544,"17*")&gt;0,COUNTIF(J2544,"*17*")&gt;0,COUNTIF(I2544,"18*")&gt;0,COUNTIF(J2544,"*18*")&gt;0,COUNTIF(I2544,"19*")&gt;0,COUNTIF(J2544,"*19*")&gt;0,COUNTIF(I2544,"20*")&gt;0,COUNTIF(J2544,"*20*")&gt;0,COUNTIF(I2544,"21*")&gt;0,COUNTIF(J2544,"*21*")&gt;0,COUNTIF(I2544,"22*")&gt;0,COUNTIF(J2544,"*22*")&gt;0,COUNTIF(I2544,"23*")&gt;0,COUNTIF(J2544,"*23*")&gt;0,COUNTIF(I2544,"24*")&gt;0,COUNTIF(J2544,"*24*")&gt;0,COUNTIF(I2544,"25*")&gt;0,COUNTIF(J2544,"*25*")&gt;0,COUNTIF(I2544,"26*")&gt;0,COUNTIF(J2544,"*26*")&gt;0,COUNTIF(I2544,"27*")&gt;0,COUNTIF(J2544,"*27*")&gt;0,COUNTIF(I2544,"28*")&gt;0,COUNTIF(J2544,"*28*")&gt;0,COUNTIF(I2544,"29*")&gt;0,COUNTIF(J2544,"*29*")&gt;0,COUNTIF(I2544,"30*")&gt;0,COUNTIF(J2544,"*30*")&gt;0,COUNTIF(I2544,"31*")&gt;0,COUNTIF(J2544,"*31*")&gt;0,COUNTIF(I2544,"32*")&gt;0,COUNTIF(J2544,"*32*")&gt;0,COUNTIF(I2544,"33*")&gt;0,COUNTIF(J2544,"*33*")&gt;0,COUNTIF(I2544,"41*")&gt;0,COUNTIF(J2544,"*41*")&gt;0,COUNTIF(I2544,"42*")&gt;0,COUNTIF(J2544,"*42*")&gt;0,COUNTIF(I2544,"43*")&gt;0,COUNTIF(J2544,"*43*")&gt;0,COUNTIF(I2544,"49*")&gt;0,COUNTIF(J2544,"*49*")&gt;0,COUNTIF(I2544,"52*")&gt;0,COUNTIF(J2544,"*52*")&gt;0,COUNTIF(I2544,"55*")&gt;0,COUNTIF(J2544,"*55*")&gt;0,COUNTIF(I2544,"56*")&gt;0,COUNTIF(J2544,"*56*")&gt;0,COUNTIF(I2544,"68*")&gt;0,COUNTIF(J2544,"*68*")&gt;0,COUNTIF(I2544,"78*")&gt;0,COUNTIF(J2544,"*78*")&gt;0,COUNTIF(I2544,"81*")&gt;0,COUNTIF(J2544,"*81*")&gt;0,COUNTIF(I2544,"82*")&gt;0,COUNTIF(J2544,"*82*")&gt;0,COUNTIF(I2544,"64*")&gt;0,COUNTIF(J2544,"*64*")&gt;0,COUNTIF(I2544,"65*")&gt;0,COUNTIF(J2544,"*65*")&gt;0,COUNTIF(I2544,"66*")&gt;0,COUNTIF(J2544,"*66*")&gt;0,COUNTIF(I2544,"61*")&gt;0,COUNTIF(J2544,"*61*")&gt;0,COUNTIF(I2544,"62*")&gt;0,COUNTIF(J2544,"*62*")&gt;0,COUNTIF(I2544,"63*")&gt;0,COUNTIF(J2544,"*63*")&gt;0,COUNTIF(I2544,"85*")&gt;0,COUNTIF(J2544,"*85*")&gt;0,COUNTIF(I2544,"86*")&gt;0,COUNTIF(J2544,"*86*")&gt;0),"Да","Нет"))</f>
        <v/>
      </c>
      <c r="M2544" s="13">
        <f>IF(OR(G2544="",L2544&lt;&gt;"Да"),"",IF(G2544&lt;=100,"До 100",IF(G2544&lt;=200,"До 200",IF(G2544&lt;=500,"До 500","Отдельное КП"))))</f>
        <v/>
      </c>
      <c r="N2544" s="15">
        <f>IF(OR(G2544="",L2544&lt;&gt;"Да"),"",IF(G2544&lt;=100,33600,IF(G2544&lt;=200,62400,IF(G2544&lt;=500,144000,""))))</f>
        <v/>
      </c>
      <c r="O2544" s="16">
        <f>IF(G2544="","",IF(G2544&lt;=15,"1–15",IF(G2544&lt;=30,"16–30",IF(G2544&lt;=50,"31–50",IF(G2544&lt;=100,"51–100",IF(G2544&lt;=150,"101–150",IF(G2544&lt;=200,"151–200",IF(G2544&lt;=500,"201–500","500+"))))))))</f>
        <v/>
      </c>
      <c r="P2544" s="16" t="inlineStr">
        <is>
          <t>Нет совпадения в предоставленной выгрузке ССЧР</t>
        </is>
      </c>
      <c r="Q2544" s="16" t="n"/>
      <c r="R2544" s="16">
        <f>HYPERLINK("https://checko.ru/search?query=3801001629","Чекко: проверить")</f>
        <v/>
      </c>
      <c r="S2544" t="n">
        <v>0</v>
      </c>
    </row>
    <row r="2545" ht="15" customHeight="1" s="24">
      <c r="A2545" s="13" t="n">
        <v>5000095182</v>
      </c>
      <c r="B2545" s="13" t="inlineStr">
        <is>
          <t>МКУ КСП городского округа Баксан</t>
        </is>
      </c>
      <c r="C2545" s="13" t="n">
        <v>722001324</v>
      </c>
      <c r="D2545" s="13" t="n"/>
      <c r="E2545" s="13" t="inlineStr">
        <is>
          <t>Не определён</t>
        </is>
      </c>
      <c r="F2545" s="13" t="inlineStr">
        <is>
          <t>722001324</t>
        </is>
      </c>
      <c r="G2545" s="14" t="n"/>
      <c r="H2545" s="14" t="n"/>
      <c r="I2545" s="14" t="n"/>
      <c r="J2545" s="14" t="n"/>
      <c r="K2545" s="13">
        <f>IF(G2545="","",IF(G2545&gt;=22,"Да","Нет"))</f>
        <v/>
      </c>
      <c r="L2545" s="13">
        <f>IF(OR(I2545="",J2545=""),"Не определено",IF(OR(COUNTIF(I2545,"45*")&gt;0,COUNTIF(J2545,"*45*")&gt;0,COUNTIF(I2545,"46*")&gt;0,COUNTIF(J2545,"*46*")&gt;0,COUNTIF(I2545,"47*")&gt;0,COUNTIF(J2545,"*47*")&gt;0,COUNTIF(I2545,"10*")&gt;0,COUNTIF(J2545,"*10*")&gt;0,COUNTIF(I2545,"11*")&gt;0,COUNTIF(J2545,"*11*")&gt;0,COUNTIF(I2545,"12*")&gt;0,COUNTIF(J2545,"*12*")&gt;0,COUNTIF(I2545,"13*")&gt;0,COUNTIF(J2545,"*13*")&gt;0,COUNTIF(I2545,"14*")&gt;0,COUNTIF(J2545,"*14*")&gt;0,COUNTIF(I2545,"15*")&gt;0,COUNTIF(J2545,"*15*")&gt;0,COUNTIF(I2545,"16*")&gt;0,COUNTIF(J2545,"*16*")&gt;0,COUNTIF(I2545,"17*")&gt;0,COUNTIF(J2545,"*17*")&gt;0,COUNTIF(I2545,"18*")&gt;0,COUNTIF(J2545,"*18*")&gt;0,COUNTIF(I2545,"19*")&gt;0,COUNTIF(J2545,"*19*")&gt;0,COUNTIF(I2545,"20*")&gt;0,COUNTIF(J2545,"*20*")&gt;0,COUNTIF(I2545,"21*")&gt;0,COUNTIF(J2545,"*21*")&gt;0,COUNTIF(I2545,"22*")&gt;0,COUNTIF(J2545,"*22*")&gt;0,COUNTIF(I2545,"23*")&gt;0,COUNTIF(J2545,"*23*")&gt;0,COUNTIF(I2545,"24*")&gt;0,COUNTIF(J2545,"*24*")&gt;0,COUNTIF(I2545,"25*")&gt;0,COUNTIF(J2545,"*25*")&gt;0,COUNTIF(I2545,"26*")&gt;0,COUNTIF(J2545,"*26*")&gt;0,COUNTIF(I2545,"27*")&gt;0,COUNTIF(J2545,"*27*")&gt;0,COUNTIF(I2545,"28*")&gt;0,COUNTIF(J2545,"*28*")&gt;0,COUNTIF(I2545,"29*")&gt;0,COUNTIF(J2545,"*29*")&gt;0,COUNTIF(I2545,"30*")&gt;0,COUNTIF(J2545,"*30*")&gt;0,COUNTIF(I2545,"31*")&gt;0,COUNTIF(J2545,"*31*")&gt;0,COUNTIF(I2545,"32*")&gt;0,COUNTIF(J2545,"*32*")&gt;0,COUNTIF(I2545,"33*")&gt;0,COUNTIF(J2545,"*33*")&gt;0,COUNTIF(I2545,"41*")&gt;0,COUNTIF(J2545,"*41*")&gt;0,COUNTIF(I2545,"42*")&gt;0,COUNTIF(J2545,"*42*")&gt;0,COUNTIF(I2545,"43*")&gt;0,COUNTIF(J2545,"*43*")&gt;0,COUNTIF(I2545,"49*")&gt;0,COUNTIF(J2545,"*49*")&gt;0,COUNTIF(I2545,"52*")&gt;0,COUNTIF(J2545,"*52*")&gt;0,COUNTIF(I2545,"55*")&gt;0,COUNTIF(J2545,"*55*")&gt;0,COUNTIF(I2545,"56*")&gt;0,COUNTIF(J2545,"*56*")&gt;0,COUNTIF(I2545,"68*")&gt;0,COUNTIF(J2545,"*68*")&gt;0,COUNTIF(I2545,"78*")&gt;0,COUNTIF(J2545,"*78*")&gt;0,COUNTIF(I2545,"81*")&gt;0,COUNTIF(J2545,"*81*")&gt;0,COUNTIF(I2545,"82*")&gt;0,COUNTIF(J2545,"*82*")&gt;0,COUNTIF(I2545,"64*")&gt;0,COUNTIF(J2545,"*64*")&gt;0,COUNTIF(I2545,"65*")&gt;0,COUNTIF(J2545,"*65*")&gt;0,COUNTIF(I2545,"66*")&gt;0,COUNTIF(J2545,"*66*")&gt;0,COUNTIF(I2545,"61*")&gt;0,COUNTIF(J2545,"*61*")&gt;0,COUNTIF(I2545,"62*")&gt;0,COUNTIF(J2545,"*62*")&gt;0,COUNTIF(I2545,"63*")&gt;0,COUNTIF(J2545,"*63*")&gt;0,COUNTIF(I2545,"85*")&gt;0,COUNTIF(J2545,"*85*")&gt;0,COUNTIF(I2545,"86*")&gt;0,COUNTIF(J2545,"*86*")&gt;0),"Да","Нет"))</f>
        <v/>
      </c>
      <c r="M2545" s="13">
        <f>IF(OR(G2545="",L2545&lt;&gt;"Да"),"",IF(G2545&lt;=100,"До 100",IF(G2545&lt;=200,"До 200",IF(G2545&lt;=500,"До 500","Отдельное КП"))))</f>
        <v/>
      </c>
      <c r="N2545" s="15">
        <f>IF(OR(G2545="",L2545&lt;&gt;"Да"),"",IF(G2545&lt;=100,33600,IF(G2545&lt;=200,62400,IF(G2545&lt;=500,144000,""))))</f>
        <v/>
      </c>
      <c r="O2545" s="16">
        <f>IF(G2545="","",IF(G2545&lt;=15,"1–15",IF(G2545&lt;=30,"16–30",IF(G2545&lt;=50,"31–50",IF(G2545&lt;=100,"51–100",IF(G2545&lt;=150,"101–150",IF(G2545&lt;=200,"151–200",IF(G2545&lt;=500,"201–500","500+"))))))))</f>
        <v/>
      </c>
      <c r="P2545" s="16" t="inlineStr">
        <is>
          <t>Нет совпадения в предоставленной выгрузке ССЧР</t>
        </is>
      </c>
      <c r="Q2545" s="16" t="n"/>
      <c r="R2545" s="16">
        <f>HYPERLINK("https://checko.ru/search?query=3801001629","Чекко: проверить")</f>
        <v/>
      </c>
      <c r="S2545" t="n">
        <v>0</v>
      </c>
    </row>
    <row r="2546" ht="15" customHeight="1" s="24">
      <c r="A2546" s="13" t="n">
        <v>5000095183</v>
      </c>
      <c r="B2546" s="13" t="inlineStr">
        <is>
          <t>МКУ "Администрация с.Дыгулубгей"</t>
        </is>
      </c>
      <c r="C2546" s="13" t="n">
        <v>722001719</v>
      </c>
      <c r="D2546" s="13" t="n"/>
      <c r="E2546" s="13" t="inlineStr">
        <is>
          <t>Не определён</t>
        </is>
      </c>
      <c r="F2546" s="13" t="inlineStr">
        <is>
          <t>722001719</t>
        </is>
      </c>
      <c r="G2546" s="14" t="n"/>
      <c r="H2546" s="14" t="n"/>
      <c r="I2546" s="14" t="n"/>
      <c r="J2546" s="14" t="n"/>
      <c r="K2546" s="13">
        <f>IF(G2546="","",IF(G2546&gt;=22,"Да","Нет"))</f>
        <v/>
      </c>
      <c r="L2546" s="13">
        <f>IF(OR(I2546="",J2546=""),"Не определено",IF(OR(COUNTIF(I2546,"45*")&gt;0,COUNTIF(J2546,"*45*")&gt;0,COUNTIF(I2546,"46*")&gt;0,COUNTIF(J2546,"*46*")&gt;0,COUNTIF(I2546,"47*")&gt;0,COUNTIF(J2546,"*47*")&gt;0,COUNTIF(I2546,"10*")&gt;0,COUNTIF(J2546,"*10*")&gt;0,COUNTIF(I2546,"11*")&gt;0,COUNTIF(J2546,"*11*")&gt;0,COUNTIF(I2546,"12*")&gt;0,COUNTIF(J2546,"*12*")&gt;0,COUNTIF(I2546,"13*")&gt;0,COUNTIF(J2546,"*13*")&gt;0,COUNTIF(I2546,"14*")&gt;0,COUNTIF(J2546,"*14*")&gt;0,COUNTIF(I2546,"15*")&gt;0,COUNTIF(J2546,"*15*")&gt;0,COUNTIF(I2546,"16*")&gt;0,COUNTIF(J2546,"*16*")&gt;0,COUNTIF(I2546,"17*")&gt;0,COUNTIF(J2546,"*17*")&gt;0,COUNTIF(I2546,"18*")&gt;0,COUNTIF(J2546,"*18*")&gt;0,COUNTIF(I2546,"19*")&gt;0,COUNTIF(J2546,"*19*")&gt;0,COUNTIF(I2546,"20*")&gt;0,COUNTIF(J2546,"*20*")&gt;0,COUNTIF(I2546,"21*")&gt;0,COUNTIF(J2546,"*21*")&gt;0,COUNTIF(I2546,"22*")&gt;0,COUNTIF(J2546,"*22*")&gt;0,COUNTIF(I2546,"23*")&gt;0,COUNTIF(J2546,"*23*")&gt;0,COUNTIF(I2546,"24*")&gt;0,COUNTIF(J2546,"*24*")&gt;0,COUNTIF(I2546,"25*")&gt;0,COUNTIF(J2546,"*25*")&gt;0,COUNTIF(I2546,"26*")&gt;0,COUNTIF(J2546,"*26*")&gt;0,COUNTIF(I2546,"27*")&gt;0,COUNTIF(J2546,"*27*")&gt;0,COUNTIF(I2546,"28*")&gt;0,COUNTIF(J2546,"*28*")&gt;0,COUNTIF(I2546,"29*")&gt;0,COUNTIF(J2546,"*29*")&gt;0,COUNTIF(I2546,"30*")&gt;0,COUNTIF(J2546,"*30*")&gt;0,COUNTIF(I2546,"31*")&gt;0,COUNTIF(J2546,"*31*")&gt;0,COUNTIF(I2546,"32*")&gt;0,COUNTIF(J2546,"*32*")&gt;0,COUNTIF(I2546,"33*")&gt;0,COUNTIF(J2546,"*33*")&gt;0,COUNTIF(I2546,"41*")&gt;0,COUNTIF(J2546,"*41*")&gt;0,COUNTIF(I2546,"42*")&gt;0,COUNTIF(J2546,"*42*")&gt;0,COUNTIF(I2546,"43*")&gt;0,COUNTIF(J2546,"*43*")&gt;0,COUNTIF(I2546,"49*")&gt;0,COUNTIF(J2546,"*49*")&gt;0,COUNTIF(I2546,"52*")&gt;0,COUNTIF(J2546,"*52*")&gt;0,COUNTIF(I2546,"55*")&gt;0,COUNTIF(J2546,"*55*")&gt;0,COUNTIF(I2546,"56*")&gt;0,COUNTIF(J2546,"*56*")&gt;0,COUNTIF(I2546,"68*")&gt;0,COUNTIF(J2546,"*68*")&gt;0,COUNTIF(I2546,"78*")&gt;0,COUNTIF(J2546,"*78*")&gt;0,COUNTIF(I2546,"81*")&gt;0,COUNTIF(J2546,"*81*")&gt;0,COUNTIF(I2546,"82*")&gt;0,COUNTIF(J2546,"*82*")&gt;0,COUNTIF(I2546,"64*")&gt;0,COUNTIF(J2546,"*64*")&gt;0,COUNTIF(I2546,"65*")&gt;0,COUNTIF(J2546,"*65*")&gt;0,COUNTIF(I2546,"66*")&gt;0,COUNTIF(J2546,"*66*")&gt;0,COUNTIF(I2546,"61*")&gt;0,COUNTIF(J2546,"*61*")&gt;0,COUNTIF(I2546,"62*")&gt;0,COUNTIF(J2546,"*62*")&gt;0,COUNTIF(I2546,"63*")&gt;0,COUNTIF(J2546,"*63*")&gt;0,COUNTIF(I2546,"85*")&gt;0,COUNTIF(J2546,"*85*")&gt;0,COUNTIF(I2546,"86*")&gt;0,COUNTIF(J2546,"*86*")&gt;0),"Да","Нет"))</f>
        <v/>
      </c>
      <c r="M2546" s="13">
        <f>IF(OR(G2546="",L2546&lt;&gt;"Да"),"",IF(G2546&lt;=100,"До 100",IF(G2546&lt;=200,"До 200",IF(G2546&lt;=500,"До 500","Отдельное КП"))))</f>
        <v/>
      </c>
      <c r="N2546" s="15">
        <f>IF(OR(G2546="",L2546&lt;&gt;"Да"),"",IF(G2546&lt;=100,33600,IF(G2546&lt;=200,62400,IF(G2546&lt;=500,144000,""))))</f>
        <v/>
      </c>
      <c r="O2546" s="16">
        <f>IF(G2546="","",IF(G2546&lt;=15,"1–15",IF(G2546&lt;=30,"16–30",IF(G2546&lt;=50,"31–50",IF(G2546&lt;=100,"51–100",IF(G2546&lt;=150,"101–150",IF(G2546&lt;=200,"151–200",IF(G2546&lt;=500,"201–500","500+"))))))))</f>
        <v/>
      </c>
      <c r="P2546" s="16" t="inlineStr">
        <is>
          <t>Нет совпадения в предоставленной выгрузке ССЧР</t>
        </is>
      </c>
      <c r="Q2546" s="16" t="n"/>
      <c r="R2546" s="16">
        <f>HYPERLINK("https://checko.ru/search?query=3801001629","Чекко: проверить")</f>
        <v/>
      </c>
      <c r="S2546" t="n">
        <v>0</v>
      </c>
    </row>
    <row r="2547" ht="15" customHeight="1" s="24">
      <c r="A2547" s="13" t="n">
        <v>5000095185</v>
      </c>
      <c r="B2547" s="13" t="inlineStr">
        <is>
          <t>МКУ "Дворец культуры с.Дыгулыбгей"</t>
        </is>
      </c>
      <c r="C2547" s="13" t="n">
        <v>722002060</v>
      </c>
      <c r="D2547" s="13" t="n"/>
      <c r="E2547" s="13" t="inlineStr">
        <is>
          <t>Не определён</t>
        </is>
      </c>
      <c r="F2547" s="13" t="inlineStr">
        <is>
          <t>722002060</t>
        </is>
      </c>
      <c r="G2547" s="14" t="n"/>
      <c r="H2547" s="14" t="n"/>
      <c r="I2547" s="14" t="n"/>
      <c r="J2547" s="14" t="n"/>
      <c r="K2547" s="13">
        <f>IF(G2547="","",IF(G2547&gt;=22,"Да","Нет"))</f>
        <v/>
      </c>
      <c r="L2547" s="13">
        <f>IF(OR(I2547="",J2547=""),"Не определено",IF(OR(COUNTIF(I2547,"45*")&gt;0,COUNTIF(J2547,"*45*")&gt;0,COUNTIF(I2547,"46*")&gt;0,COUNTIF(J2547,"*46*")&gt;0,COUNTIF(I2547,"47*")&gt;0,COUNTIF(J2547,"*47*")&gt;0,COUNTIF(I2547,"10*")&gt;0,COUNTIF(J2547,"*10*")&gt;0,COUNTIF(I2547,"11*")&gt;0,COUNTIF(J2547,"*11*")&gt;0,COUNTIF(I2547,"12*")&gt;0,COUNTIF(J2547,"*12*")&gt;0,COUNTIF(I2547,"13*")&gt;0,COUNTIF(J2547,"*13*")&gt;0,COUNTIF(I2547,"14*")&gt;0,COUNTIF(J2547,"*14*")&gt;0,COUNTIF(I2547,"15*")&gt;0,COUNTIF(J2547,"*15*")&gt;0,COUNTIF(I2547,"16*")&gt;0,COUNTIF(J2547,"*16*")&gt;0,COUNTIF(I2547,"17*")&gt;0,COUNTIF(J2547,"*17*")&gt;0,COUNTIF(I2547,"18*")&gt;0,COUNTIF(J2547,"*18*")&gt;0,COUNTIF(I2547,"19*")&gt;0,COUNTIF(J2547,"*19*")&gt;0,COUNTIF(I2547,"20*")&gt;0,COUNTIF(J2547,"*20*")&gt;0,COUNTIF(I2547,"21*")&gt;0,COUNTIF(J2547,"*21*")&gt;0,COUNTIF(I2547,"22*")&gt;0,COUNTIF(J2547,"*22*")&gt;0,COUNTIF(I2547,"23*")&gt;0,COUNTIF(J2547,"*23*")&gt;0,COUNTIF(I2547,"24*")&gt;0,COUNTIF(J2547,"*24*")&gt;0,COUNTIF(I2547,"25*")&gt;0,COUNTIF(J2547,"*25*")&gt;0,COUNTIF(I2547,"26*")&gt;0,COUNTIF(J2547,"*26*")&gt;0,COUNTIF(I2547,"27*")&gt;0,COUNTIF(J2547,"*27*")&gt;0,COUNTIF(I2547,"28*")&gt;0,COUNTIF(J2547,"*28*")&gt;0,COUNTIF(I2547,"29*")&gt;0,COUNTIF(J2547,"*29*")&gt;0,COUNTIF(I2547,"30*")&gt;0,COUNTIF(J2547,"*30*")&gt;0,COUNTIF(I2547,"31*")&gt;0,COUNTIF(J2547,"*31*")&gt;0,COUNTIF(I2547,"32*")&gt;0,COUNTIF(J2547,"*32*")&gt;0,COUNTIF(I2547,"33*")&gt;0,COUNTIF(J2547,"*33*")&gt;0,COUNTIF(I2547,"41*")&gt;0,COUNTIF(J2547,"*41*")&gt;0,COUNTIF(I2547,"42*")&gt;0,COUNTIF(J2547,"*42*")&gt;0,COUNTIF(I2547,"43*")&gt;0,COUNTIF(J2547,"*43*")&gt;0,COUNTIF(I2547,"49*")&gt;0,COUNTIF(J2547,"*49*")&gt;0,COUNTIF(I2547,"52*")&gt;0,COUNTIF(J2547,"*52*")&gt;0,COUNTIF(I2547,"55*")&gt;0,COUNTIF(J2547,"*55*")&gt;0,COUNTIF(I2547,"56*")&gt;0,COUNTIF(J2547,"*56*")&gt;0,COUNTIF(I2547,"68*")&gt;0,COUNTIF(J2547,"*68*")&gt;0,COUNTIF(I2547,"78*")&gt;0,COUNTIF(J2547,"*78*")&gt;0,COUNTIF(I2547,"81*")&gt;0,COUNTIF(J2547,"*81*")&gt;0,COUNTIF(I2547,"82*")&gt;0,COUNTIF(J2547,"*82*")&gt;0,COUNTIF(I2547,"64*")&gt;0,COUNTIF(J2547,"*64*")&gt;0,COUNTIF(I2547,"65*")&gt;0,COUNTIF(J2547,"*65*")&gt;0,COUNTIF(I2547,"66*")&gt;0,COUNTIF(J2547,"*66*")&gt;0,COUNTIF(I2547,"61*")&gt;0,COUNTIF(J2547,"*61*")&gt;0,COUNTIF(I2547,"62*")&gt;0,COUNTIF(J2547,"*62*")&gt;0,COUNTIF(I2547,"63*")&gt;0,COUNTIF(J2547,"*63*")&gt;0,COUNTIF(I2547,"85*")&gt;0,COUNTIF(J2547,"*85*")&gt;0,COUNTIF(I2547,"86*")&gt;0,COUNTIF(J2547,"*86*")&gt;0),"Да","Нет"))</f>
        <v/>
      </c>
      <c r="M2547" s="13">
        <f>IF(OR(G2547="",L2547&lt;&gt;"Да"),"",IF(G2547&lt;=100,"До 100",IF(G2547&lt;=200,"До 200",IF(G2547&lt;=500,"До 500","Отдельное КП"))))</f>
        <v/>
      </c>
      <c r="N2547" s="15">
        <f>IF(OR(G2547="",L2547&lt;&gt;"Да"),"",IF(G2547&lt;=100,33600,IF(G2547&lt;=200,62400,IF(G2547&lt;=500,144000,""))))</f>
        <v/>
      </c>
      <c r="O2547" s="16">
        <f>IF(G2547="","",IF(G2547&lt;=15,"1–15",IF(G2547&lt;=30,"16–30",IF(G2547&lt;=50,"31–50",IF(G2547&lt;=100,"51–100",IF(G2547&lt;=150,"101–150",IF(G2547&lt;=200,"151–200",IF(G2547&lt;=500,"201–500","500+"))))))))</f>
        <v/>
      </c>
      <c r="P2547" s="16" t="inlineStr">
        <is>
          <t>Нет совпадения в предоставленной выгрузке ССЧР</t>
        </is>
      </c>
      <c r="Q2547" s="16" t="n"/>
      <c r="R2547" s="16">
        <f>HYPERLINK("https://checko.ru/search?query=3801001629","Чекко: проверить")</f>
        <v/>
      </c>
      <c r="S2547" t="n">
        <v>0</v>
      </c>
    </row>
    <row r="2548" ht="27.75" customHeight="1" s="24">
      <c r="A2548" s="13" t="n">
        <v>5000095186</v>
      </c>
      <c r="B2548" s="13" t="inlineStr">
        <is>
          <t>МКУ "Городская библиотечная система"  Г.О.Баксан</t>
        </is>
      </c>
      <c r="C2548" s="13" t="n">
        <v>722002350</v>
      </c>
      <c r="D2548" s="13" t="n"/>
      <c r="E2548" s="13" t="inlineStr">
        <is>
          <t>Не определён</t>
        </is>
      </c>
      <c r="F2548" s="13" t="inlineStr">
        <is>
          <t>722002350</t>
        </is>
      </c>
      <c r="G2548" s="14" t="n"/>
      <c r="H2548" s="14" t="n"/>
      <c r="I2548" s="14" t="n"/>
      <c r="J2548" s="14" t="n"/>
      <c r="K2548" s="13">
        <f>IF(G2548="","",IF(G2548&gt;=22,"Да","Нет"))</f>
        <v/>
      </c>
      <c r="L2548" s="13">
        <f>IF(OR(I2548="",J2548=""),"Не определено",IF(OR(COUNTIF(I2548,"45*")&gt;0,COUNTIF(J2548,"*45*")&gt;0,COUNTIF(I2548,"46*")&gt;0,COUNTIF(J2548,"*46*")&gt;0,COUNTIF(I2548,"47*")&gt;0,COUNTIF(J2548,"*47*")&gt;0,COUNTIF(I2548,"10*")&gt;0,COUNTIF(J2548,"*10*")&gt;0,COUNTIF(I2548,"11*")&gt;0,COUNTIF(J2548,"*11*")&gt;0,COUNTIF(I2548,"12*")&gt;0,COUNTIF(J2548,"*12*")&gt;0,COUNTIF(I2548,"13*")&gt;0,COUNTIF(J2548,"*13*")&gt;0,COUNTIF(I2548,"14*")&gt;0,COUNTIF(J2548,"*14*")&gt;0,COUNTIF(I2548,"15*")&gt;0,COUNTIF(J2548,"*15*")&gt;0,COUNTIF(I2548,"16*")&gt;0,COUNTIF(J2548,"*16*")&gt;0,COUNTIF(I2548,"17*")&gt;0,COUNTIF(J2548,"*17*")&gt;0,COUNTIF(I2548,"18*")&gt;0,COUNTIF(J2548,"*18*")&gt;0,COUNTIF(I2548,"19*")&gt;0,COUNTIF(J2548,"*19*")&gt;0,COUNTIF(I2548,"20*")&gt;0,COUNTIF(J2548,"*20*")&gt;0,COUNTIF(I2548,"21*")&gt;0,COUNTIF(J2548,"*21*")&gt;0,COUNTIF(I2548,"22*")&gt;0,COUNTIF(J2548,"*22*")&gt;0,COUNTIF(I2548,"23*")&gt;0,COUNTIF(J2548,"*23*")&gt;0,COUNTIF(I2548,"24*")&gt;0,COUNTIF(J2548,"*24*")&gt;0,COUNTIF(I2548,"25*")&gt;0,COUNTIF(J2548,"*25*")&gt;0,COUNTIF(I2548,"26*")&gt;0,COUNTIF(J2548,"*26*")&gt;0,COUNTIF(I2548,"27*")&gt;0,COUNTIF(J2548,"*27*")&gt;0,COUNTIF(I2548,"28*")&gt;0,COUNTIF(J2548,"*28*")&gt;0,COUNTIF(I2548,"29*")&gt;0,COUNTIF(J2548,"*29*")&gt;0,COUNTIF(I2548,"30*")&gt;0,COUNTIF(J2548,"*30*")&gt;0,COUNTIF(I2548,"31*")&gt;0,COUNTIF(J2548,"*31*")&gt;0,COUNTIF(I2548,"32*")&gt;0,COUNTIF(J2548,"*32*")&gt;0,COUNTIF(I2548,"33*")&gt;0,COUNTIF(J2548,"*33*")&gt;0,COUNTIF(I2548,"41*")&gt;0,COUNTIF(J2548,"*41*")&gt;0,COUNTIF(I2548,"42*")&gt;0,COUNTIF(J2548,"*42*")&gt;0,COUNTIF(I2548,"43*")&gt;0,COUNTIF(J2548,"*43*")&gt;0,COUNTIF(I2548,"49*")&gt;0,COUNTIF(J2548,"*49*")&gt;0,COUNTIF(I2548,"52*")&gt;0,COUNTIF(J2548,"*52*")&gt;0,COUNTIF(I2548,"55*")&gt;0,COUNTIF(J2548,"*55*")&gt;0,COUNTIF(I2548,"56*")&gt;0,COUNTIF(J2548,"*56*")&gt;0,COUNTIF(I2548,"68*")&gt;0,COUNTIF(J2548,"*68*")&gt;0,COUNTIF(I2548,"78*")&gt;0,COUNTIF(J2548,"*78*")&gt;0,COUNTIF(I2548,"81*")&gt;0,COUNTIF(J2548,"*81*")&gt;0,COUNTIF(I2548,"82*")&gt;0,COUNTIF(J2548,"*82*")&gt;0,COUNTIF(I2548,"64*")&gt;0,COUNTIF(J2548,"*64*")&gt;0,COUNTIF(I2548,"65*")&gt;0,COUNTIF(J2548,"*65*")&gt;0,COUNTIF(I2548,"66*")&gt;0,COUNTIF(J2548,"*66*")&gt;0,COUNTIF(I2548,"61*")&gt;0,COUNTIF(J2548,"*61*")&gt;0,COUNTIF(I2548,"62*")&gt;0,COUNTIF(J2548,"*62*")&gt;0,COUNTIF(I2548,"63*")&gt;0,COUNTIF(J2548,"*63*")&gt;0,COUNTIF(I2548,"85*")&gt;0,COUNTIF(J2548,"*85*")&gt;0,COUNTIF(I2548,"86*")&gt;0,COUNTIF(J2548,"*86*")&gt;0),"Да","Нет"))</f>
        <v/>
      </c>
      <c r="M2548" s="13">
        <f>IF(OR(G2548="",L2548&lt;&gt;"Да"),"",IF(G2548&lt;=100,"До 100",IF(G2548&lt;=200,"До 200",IF(G2548&lt;=500,"До 500","Отдельное КП"))))</f>
        <v/>
      </c>
      <c r="N2548" s="15">
        <f>IF(OR(G2548="",L2548&lt;&gt;"Да"),"",IF(G2548&lt;=100,33600,IF(G2548&lt;=200,62400,IF(G2548&lt;=500,144000,""))))</f>
        <v/>
      </c>
      <c r="O2548" s="16">
        <f>IF(G2548="","",IF(G2548&lt;=15,"1–15",IF(G2548&lt;=30,"16–30",IF(G2548&lt;=50,"31–50",IF(G2548&lt;=100,"51–100",IF(G2548&lt;=150,"101–150",IF(G2548&lt;=200,"151–200",IF(G2548&lt;=500,"201–500","500+"))))))))</f>
        <v/>
      </c>
      <c r="P2548" s="16" t="inlineStr">
        <is>
          <t>Нет совпадения в предоставленной выгрузке ССЧР</t>
        </is>
      </c>
      <c r="Q2548" s="16" t="n"/>
      <c r="R2548" s="16">
        <f>HYPERLINK("https://checko.ru/search?query=3801001629","Чекко: проверить")</f>
        <v/>
      </c>
      <c r="S2548" t="n">
        <v>0</v>
      </c>
    </row>
    <row r="2549" ht="15" customHeight="1" s="24">
      <c r="A2549" s="13" t="n">
        <v>5000095187</v>
      </c>
      <c r="B2549" s="13" t="inlineStr">
        <is>
          <t>МАУ "ПМКИО" Г.О.БАКСАН</t>
        </is>
      </c>
      <c r="C2549" s="13" t="n">
        <v>722002649</v>
      </c>
      <c r="D2549" s="13" t="n"/>
      <c r="E2549" s="13" t="inlineStr">
        <is>
          <t>Не определён</t>
        </is>
      </c>
      <c r="F2549" s="13" t="inlineStr">
        <is>
          <t>722002649</t>
        </is>
      </c>
      <c r="G2549" s="14" t="n"/>
      <c r="H2549" s="14" t="n"/>
      <c r="I2549" s="14" t="n"/>
      <c r="J2549" s="14" t="n"/>
      <c r="K2549" s="13">
        <f>IF(G2549="","",IF(G2549&gt;=22,"Да","Нет"))</f>
        <v/>
      </c>
      <c r="L2549" s="13">
        <f>IF(OR(I2549="",J2549=""),"Не определено",IF(OR(COUNTIF(I2549,"45*")&gt;0,COUNTIF(J2549,"*45*")&gt;0,COUNTIF(I2549,"46*")&gt;0,COUNTIF(J2549,"*46*")&gt;0,COUNTIF(I2549,"47*")&gt;0,COUNTIF(J2549,"*47*")&gt;0,COUNTIF(I2549,"10*")&gt;0,COUNTIF(J2549,"*10*")&gt;0,COUNTIF(I2549,"11*")&gt;0,COUNTIF(J2549,"*11*")&gt;0,COUNTIF(I2549,"12*")&gt;0,COUNTIF(J2549,"*12*")&gt;0,COUNTIF(I2549,"13*")&gt;0,COUNTIF(J2549,"*13*")&gt;0,COUNTIF(I2549,"14*")&gt;0,COUNTIF(J2549,"*14*")&gt;0,COUNTIF(I2549,"15*")&gt;0,COUNTIF(J2549,"*15*")&gt;0,COUNTIF(I2549,"16*")&gt;0,COUNTIF(J2549,"*16*")&gt;0,COUNTIF(I2549,"17*")&gt;0,COUNTIF(J2549,"*17*")&gt;0,COUNTIF(I2549,"18*")&gt;0,COUNTIF(J2549,"*18*")&gt;0,COUNTIF(I2549,"19*")&gt;0,COUNTIF(J2549,"*19*")&gt;0,COUNTIF(I2549,"20*")&gt;0,COUNTIF(J2549,"*20*")&gt;0,COUNTIF(I2549,"21*")&gt;0,COUNTIF(J2549,"*21*")&gt;0,COUNTIF(I2549,"22*")&gt;0,COUNTIF(J2549,"*22*")&gt;0,COUNTIF(I2549,"23*")&gt;0,COUNTIF(J2549,"*23*")&gt;0,COUNTIF(I2549,"24*")&gt;0,COUNTIF(J2549,"*24*")&gt;0,COUNTIF(I2549,"25*")&gt;0,COUNTIF(J2549,"*25*")&gt;0,COUNTIF(I2549,"26*")&gt;0,COUNTIF(J2549,"*26*")&gt;0,COUNTIF(I2549,"27*")&gt;0,COUNTIF(J2549,"*27*")&gt;0,COUNTIF(I2549,"28*")&gt;0,COUNTIF(J2549,"*28*")&gt;0,COUNTIF(I2549,"29*")&gt;0,COUNTIF(J2549,"*29*")&gt;0,COUNTIF(I2549,"30*")&gt;0,COUNTIF(J2549,"*30*")&gt;0,COUNTIF(I2549,"31*")&gt;0,COUNTIF(J2549,"*31*")&gt;0,COUNTIF(I2549,"32*")&gt;0,COUNTIF(J2549,"*32*")&gt;0,COUNTIF(I2549,"33*")&gt;0,COUNTIF(J2549,"*33*")&gt;0,COUNTIF(I2549,"41*")&gt;0,COUNTIF(J2549,"*41*")&gt;0,COUNTIF(I2549,"42*")&gt;0,COUNTIF(J2549,"*42*")&gt;0,COUNTIF(I2549,"43*")&gt;0,COUNTIF(J2549,"*43*")&gt;0,COUNTIF(I2549,"49*")&gt;0,COUNTIF(J2549,"*49*")&gt;0,COUNTIF(I2549,"52*")&gt;0,COUNTIF(J2549,"*52*")&gt;0,COUNTIF(I2549,"55*")&gt;0,COUNTIF(J2549,"*55*")&gt;0,COUNTIF(I2549,"56*")&gt;0,COUNTIF(J2549,"*56*")&gt;0,COUNTIF(I2549,"68*")&gt;0,COUNTIF(J2549,"*68*")&gt;0,COUNTIF(I2549,"78*")&gt;0,COUNTIF(J2549,"*78*")&gt;0,COUNTIF(I2549,"81*")&gt;0,COUNTIF(J2549,"*81*")&gt;0,COUNTIF(I2549,"82*")&gt;0,COUNTIF(J2549,"*82*")&gt;0,COUNTIF(I2549,"64*")&gt;0,COUNTIF(J2549,"*64*")&gt;0,COUNTIF(I2549,"65*")&gt;0,COUNTIF(J2549,"*65*")&gt;0,COUNTIF(I2549,"66*")&gt;0,COUNTIF(J2549,"*66*")&gt;0,COUNTIF(I2549,"61*")&gt;0,COUNTIF(J2549,"*61*")&gt;0,COUNTIF(I2549,"62*")&gt;0,COUNTIF(J2549,"*62*")&gt;0,COUNTIF(I2549,"63*")&gt;0,COUNTIF(J2549,"*63*")&gt;0,COUNTIF(I2549,"85*")&gt;0,COUNTIF(J2549,"*85*")&gt;0,COUNTIF(I2549,"86*")&gt;0,COUNTIF(J2549,"*86*")&gt;0),"Да","Нет"))</f>
        <v/>
      </c>
      <c r="M2549" s="13">
        <f>IF(OR(G2549="",L2549&lt;&gt;"Да"),"",IF(G2549&lt;=100,"До 100",IF(G2549&lt;=200,"До 200",IF(G2549&lt;=500,"До 500","Отдельное КП"))))</f>
        <v/>
      </c>
      <c r="N2549" s="15">
        <f>IF(OR(G2549="",L2549&lt;&gt;"Да"),"",IF(G2549&lt;=100,33600,IF(G2549&lt;=200,62400,IF(G2549&lt;=500,144000,""))))</f>
        <v/>
      </c>
      <c r="O2549" s="16">
        <f>IF(G2549="","",IF(G2549&lt;=15,"1–15",IF(G2549&lt;=30,"16–30",IF(G2549&lt;=50,"31–50",IF(G2549&lt;=100,"51–100",IF(G2549&lt;=150,"101–150",IF(G2549&lt;=200,"151–200",IF(G2549&lt;=500,"201–500","500+"))))))))</f>
        <v/>
      </c>
      <c r="P2549" s="16" t="inlineStr">
        <is>
          <t>Нет совпадения в предоставленной выгрузке ССЧР</t>
        </is>
      </c>
      <c r="Q2549" s="16" t="n"/>
      <c r="R2549" s="16">
        <f>HYPERLINK("https://checko.ru/search?query=3801001629","Чекко: проверить")</f>
        <v/>
      </c>
      <c r="S2549" t="n">
        <v>0</v>
      </c>
    </row>
    <row r="2550" ht="15" customHeight="1" s="24">
      <c r="A2550" s="13" t="n">
        <v>5000095188</v>
      </c>
      <c r="B2550" s="13" t="inlineStr">
        <is>
          <t>МУК ЦБС</t>
        </is>
      </c>
      <c r="C2550" s="13" t="n">
        <v>722003152</v>
      </c>
      <c r="D2550" s="13" t="n"/>
      <c r="E2550" s="13" t="inlineStr">
        <is>
          <t>Не определён</t>
        </is>
      </c>
      <c r="F2550" s="13" t="inlineStr">
        <is>
          <t>722003152</t>
        </is>
      </c>
      <c r="G2550" s="14" t="n"/>
      <c r="H2550" s="14" t="n"/>
      <c r="I2550" s="14" t="n"/>
      <c r="J2550" s="14" t="n"/>
      <c r="K2550" s="13">
        <f>IF(G2550="","",IF(G2550&gt;=22,"Да","Нет"))</f>
        <v/>
      </c>
      <c r="L2550" s="13">
        <f>IF(OR(I2550="",J2550=""),"Не определено",IF(OR(COUNTIF(I2550,"45*")&gt;0,COUNTIF(J2550,"*45*")&gt;0,COUNTIF(I2550,"46*")&gt;0,COUNTIF(J2550,"*46*")&gt;0,COUNTIF(I2550,"47*")&gt;0,COUNTIF(J2550,"*47*")&gt;0,COUNTIF(I2550,"10*")&gt;0,COUNTIF(J2550,"*10*")&gt;0,COUNTIF(I2550,"11*")&gt;0,COUNTIF(J2550,"*11*")&gt;0,COUNTIF(I2550,"12*")&gt;0,COUNTIF(J2550,"*12*")&gt;0,COUNTIF(I2550,"13*")&gt;0,COUNTIF(J2550,"*13*")&gt;0,COUNTIF(I2550,"14*")&gt;0,COUNTIF(J2550,"*14*")&gt;0,COUNTIF(I2550,"15*")&gt;0,COUNTIF(J2550,"*15*")&gt;0,COUNTIF(I2550,"16*")&gt;0,COUNTIF(J2550,"*16*")&gt;0,COUNTIF(I2550,"17*")&gt;0,COUNTIF(J2550,"*17*")&gt;0,COUNTIF(I2550,"18*")&gt;0,COUNTIF(J2550,"*18*")&gt;0,COUNTIF(I2550,"19*")&gt;0,COUNTIF(J2550,"*19*")&gt;0,COUNTIF(I2550,"20*")&gt;0,COUNTIF(J2550,"*20*")&gt;0,COUNTIF(I2550,"21*")&gt;0,COUNTIF(J2550,"*21*")&gt;0,COUNTIF(I2550,"22*")&gt;0,COUNTIF(J2550,"*22*")&gt;0,COUNTIF(I2550,"23*")&gt;0,COUNTIF(J2550,"*23*")&gt;0,COUNTIF(I2550,"24*")&gt;0,COUNTIF(J2550,"*24*")&gt;0,COUNTIF(I2550,"25*")&gt;0,COUNTIF(J2550,"*25*")&gt;0,COUNTIF(I2550,"26*")&gt;0,COUNTIF(J2550,"*26*")&gt;0,COUNTIF(I2550,"27*")&gt;0,COUNTIF(J2550,"*27*")&gt;0,COUNTIF(I2550,"28*")&gt;0,COUNTIF(J2550,"*28*")&gt;0,COUNTIF(I2550,"29*")&gt;0,COUNTIF(J2550,"*29*")&gt;0,COUNTIF(I2550,"30*")&gt;0,COUNTIF(J2550,"*30*")&gt;0,COUNTIF(I2550,"31*")&gt;0,COUNTIF(J2550,"*31*")&gt;0,COUNTIF(I2550,"32*")&gt;0,COUNTIF(J2550,"*32*")&gt;0,COUNTIF(I2550,"33*")&gt;0,COUNTIF(J2550,"*33*")&gt;0,COUNTIF(I2550,"41*")&gt;0,COUNTIF(J2550,"*41*")&gt;0,COUNTIF(I2550,"42*")&gt;0,COUNTIF(J2550,"*42*")&gt;0,COUNTIF(I2550,"43*")&gt;0,COUNTIF(J2550,"*43*")&gt;0,COUNTIF(I2550,"49*")&gt;0,COUNTIF(J2550,"*49*")&gt;0,COUNTIF(I2550,"52*")&gt;0,COUNTIF(J2550,"*52*")&gt;0,COUNTIF(I2550,"55*")&gt;0,COUNTIF(J2550,"*55*")&gt;0,COUNTIF(I2550,"56*")&gt;0,COUNTIF(J2550,"*56*")&gt;0,COUNTIF(I2550,"68*")&gt;0,COUNTIF(J2550,"*68*")&gt;0,COUNTIF(I2550,"78*")&gt;0,COUNTIF(J2550,"*78*")&gt;0,COUNTIF(I2550,"81*")&gt;0,COUNTIF(J2550,"*81*")&gt;0,COUNTIF(I2550,"82*")&gt;0,COUNTIF(J2550,"*82*")&gt;0,COUNTIF(I2550,"64*")&gt;0,COUNTIF(J2550,"*64*")&gt;0,COUNTIF(I2550,"65*")&gt;0,COUNTIF(J2550,"*65*")&gt;0,COUNTIF(I2550,"66*")&gt;0,COUNTIF(J2550,"*66*")&gt;0,COUNTIF(I2550,"61*")&gt;0,COUNTIF(J2550,"*61*")&gt;0,COUNTIF(I2550,"62*")&gt;0,COUNTIF(J2550,"*62*")&gt;0,COUNTIF(I2550,"63*")&gt;0,COUNTIF(J2550,"*63*")&gt;0,COUNTIF(I2550,"85*")&gt;0,COUNTIF(J2550,"*85*")&gt;0,COUNTIF(I2550,"86*")&gt;0,COUNTIF(J2550,"*86*")&gt;0),"Да","Нет"))</f>
        <v/>
      </c>
      <c r="M2550" s="13">
        <f>IF(OR(G2550="",L2550&lt;&gt;"Да"),"",IF(G2550&lt;=100,"До 100",IF(G2550&lt;=200,"До 200",IF(G2550&lt;=500,"До 500","Отдельное КП"))))</f>
        <v/>
      </c>
      <c r="N2550" s="15">
        <f>IF(OR(G2550="",L2550&lt;&gt;"Да"),"",IF(G2550&lt;=100,33600,IF(G2550&lt;=200,62400,IF(G2550&lt;=500,144000,""))))</f>
        <v/>
      </c>
      <c r="O2550" s="16">
        <f>IF(G2550="","",IF(G2550&lt;=15,"1–15",IF(G2550&lt;=30,"16–30",IF(G2550&lt;=50,"31–50",IF(G2550&lt;=100,"51–100",IF(G2550&lt;=150,"101–150",IF(G2550&lt;=200,"151–200",IF(G2550&lt;=500,"201–500","500+"))))))))</f>
        <v/>
      </c>
      <c r="P2550" s="16" t="inlineStr">
        <is>
          <t>Нет совпадения в предоставленной выгрузке ССЧР</t>
        </is>
      </c>
      <c r="Q2550" s="16" t="n"/>
      <c r="R2550" s="16">
        <f>HYPERLINK("https://checko.ru/search?query=3801001629","Чекко: проверить")</f>
        <v/>
      </c>
      <c r="S2550" t="n">
        <v>0</v>
      </c>
    </row>
    <row r="2551" ht="15" customHeight="1" s="24">
      <c r="A2551" s="13" t="n">
        <v>5000095189</v>
      </c>
      <c r="B2551" s="13" t="inlineStr">
        <is>
          <t>МКУ "ДК с.п. Верхний Лескен"</t>
        </is>
      </c>
      <c r="C2551" s="13" t="n">
        <v>723000370</v>
      </c>
      <c r="D2551" s="13" t="n"/>
      <c r="E2551" s="13" t="inlineStr">
        <is>
          <t>Не определён</t>
        </is>
      </c>
      <c r="F2551" s="13" t="inlineStr">
        <is>
          <t>723000370</t>
        </is>
      </c>
      <c r="G2551" s="14" t="n"/>
      <c r="H2551" s="14" t="n"/>
      <c r="I2551" s="14" t="n"/>
      <c r="J2551" s="14" t="n"/>
      <c r="K2551" s="13">
        <f>IF(G2551="","",IF(G2551&gt;=22,"Да","Нет"))</f>
        <v/>
      </c>
      <c r="L2551" s="13">
        <f>IF(OR(I2551="",J2551=""),"Не определено",IF(OR(COUNTIF(I2551,"45*")&gt;0,COUNTIF(J2551,"*45*")&gt;0,COUNTIF(I2551,"46*")&gt;0,COUNTIF(J2551,"*46*")&gt;0,COUNTIF(I2551,"47*")&gt;0,COUNTIF(J2551,"*47*")&gt;0,COUNTIF(I2551,"10*")&gt;0,COUNTIF(J2551,"*10*")&gt;0,COUNTIF(I2551,"11*")&gt;0,COUNTIF(J2551,"*11*")&gt;0,COUNTIF(I2551,"12*")&gt;0,COUNTIF(J2551,"*12*")&gt;0,COUNTIF(I2551,"13*")&gt;0,COUNTIF(J2551,"*13*")&gt;0,COUNTIF(I2551,"14*")&gt;0,COUNTIF(J2551,"*14*")&gt;0,COUNTIF(I2551,"15*")&gt;0,COUNTIF(J2551,"*15*")&gt;0,COUNTIF(I2551,"16*")&gt;0,COUNTIF(J2551,"*16*")&gt;0,COUNTIF(I2551,"17*")&gt;0,COUNTIF(J2551,"*17*")&gt;0,COUNTIF(I2551,"18*")&gt;0,COUNTIF(J2551,"*18*")&gt;0,COUNTIF(I2551,"19*")&gt;0,COUNTIF(J2551,"*19*")&gt;0,COUNTIF(I2551,"20*")&gt;0,COUNTIF(J2551,"*20*")&gt;0,COUNTIF(I2551,"21*")&gt;0,COUNTIF(J2551,"*21*")&gt;0,COUNTIF(I2551,"22*")&gt;0,COUNTIF(J2551,"*22*")&gt;0,COUNTIF(I2551,"23*")&gt;0,COUNTIF(J2551,"*23*")&gt;0,COUNTIF(I2551,"24*")&gt;0,COUNTIF(J2551,"*24*")&gt;0,COUNTIF(I2551,"25*")&gt;0,COUNTIF(J2551,"*25*")&gt;0,COUNTIF(I2551,"26*")&gt;0,COUNTIF(J2551,"*26*")&gt;0,COUNTIF(I2551,"27*")&gt;0,COUNTIF(J2551,"*27*")&gt;0,COUNTIF(I2551,"28*")&gt;0,COUNTIF(J2551,"*28*")&gt;0,COUNTIF(I2551,"29*")&gt;0,COUNTIF(J2551,"*29*")&gt;0,COUNTIF(I2551,"30*")&gt;0,COUNTIF(J2551,"*30*")&gt;0,COUNTIF(I2551,"31*")&gt;0,COUNTIF(J2551,"*31*")&gt;0,COUNTIF(I2551,"32*")&gt;0,COUNTIF(J2551,"*32*")&gt;0,COUNTIF(I2551,"33*")&gt;0,COUNTIF(J2551,"*33*")&gt;0,COUNTIF(I2551,"41*")&gt;0,COUNTIF(J2551,"*41*")&gt;0,COUNTIF(I2551,"42*")&gt;0,COUNTIF(J2551,"*42*")&gt;0,COUNTIF(I2551,"43*")&gt;0,COUNTIF(J2551,"*43*")&gt;0,COUNTIF(I2551,"49*")&gt;0,COUNTIF(J2551,"*49*")&gt;0,COUNTIF(I2551,"52*")&gt;0,COUNTIF(J2551,"*52*")&gt;0,COUNTIF(I2551,"55*")&gt;0,COUNTIF(J2551,"*55*")&gt;0,COUNTIF(I2551,"56*")&gt;0,COUNTIF(J2551,"*56*")&gt;0,COUNTIF(I2551,"68*")&gt;0,COUNTIF(J2551,"*68*")&gt;0,COUNTIF(I2551,"78*")&gt;0,COUNTIF(J2551,"*78*")&gt;0,COUNTIF(I2551,"81*")&gt;0,COUNTIF(J2551,"*81*")&gt;0,COUNTIF(I2551,"82*")&gt;0,COUNTIF(J2551,"*82*")&gt;0,COUNTIF(I2551,"64*")&gt;0,COUNTIF(J2551,"*64*")&gt;0,COUNTIF(I2551,"65*")&gt;0,COUNTIF(J2551,"*65*")&gt;0,COUNTIF(I2551,"66*")&gt;0,COUNTIF(J2551,"*66*")&gt;0,COUNTIF(I2551,"61*")&gt;0,COUNTIF(J2551,"*61*")&gt;0,COUNTIF(I2551,"62*")&gt;0,COUNTIF(J2551,"*62*")&gt;0,COUNTIF(I2551,"63*")&gt;0,COUNTIF(J2551,"*63*")&gt;0,COUNTIF(I2551,"85*")&gt;0,COUNTIF(J2551,"*85*")&gt;0,COUNTIF(I2551,"86*")&gt;0,COUNTIF(J2551,"*86*")&gt;0),"Да","Нет"))</f>
        <v/>
      </c>
      <c r="M2551" s="13">
        <f>IF(OR(G2551="",L2551&lt;&gt;"Да"),"",IF(G2551&lt;=100,"До 100",IF(G2551&lt;=200,"До 200",IF(G2551&lt;=500,"До 500","Отдельное КП"))))</f>
        <v/>
      </c>
      <c r="N2551" s="15">
        <f>IF(OR(G2551="",L2551&lt;&gt;"Да"),"",IF(G2551&lt;=100,33600,IF(G2551&lt;=200,62400,IF(G2551&lt;=500,144000,""))))</f>
        <v/>
      </c>
      <c r="O2551" s="16">
        <f>IF(G2551="","",IF(G2551&lt;=15,"1–15",IF(G2551&lt;=30,"16–30",IF(G2551&lt;=50,"31–50",IF(G2551&lt;=100,"51–100",IF(G2551&lt;=150,"101–150",IF(G2551&lt;=200,"151–200",IF(G2551&lt;=500,"201–500","500+"))))))))</f>
        <v/>
      </c>
      <c r="P2551" s="16" t="inlineStr">
        <is>
          <t>Нет совпадения в предоставленной выгрузке ССЧР</t>
        </is>
      </c>
      <c r="Q2551" s="16" t="n"/>
      <c r="R2551" s="16">
        <f>HYPERLINK("https://checko.ru/search?query=3801001629","Чекко: проверить")</f>
        <v/>
      </c>
      <c r="S2551" t="n">
        <v>0</v>
      </c>
    </row>
    <row r="2552" ht="27.75" customHeight="1" s="24">
      <c r="A2552" s="13" t="n">
        <v>5000095064</v>
      </c>
      <c r="B2552" s="13" t="inlineStr">
        <is>
          <t>МКДОУ "ДС №25 компенсирующего вида "Золотой орешек" г.о. Нальчик КБР</t>
        </is>
      </c>
      <c r="C2552" s="13" t="n">
        <v>711051845</v>
      </c>
      <c r="D2552" s="13" t="n"/>
      <c r="E2552" s="13" t="inlineStr">
        <is>
          <t>Не определён</t>
        </is>
      </c>
      <c r="F2552" s="13" t="inlineStr">
        <is>
          <t>711051845</t>
        </is>
      </c>
      <c r="G2552" s="14" t="n"/>
      <c r="H2552" s="14" t="n"/>
      <c r="I2552" s="14" t="n"/>
      <c r="J2552" s="14" t="n"/>
      <c r="K2552" s="13">
        <f>IF(G2552="","",IF(G2552&gt;=22,"Да","Нет"))</f>
        <v/>
      </c>
      <c r="L2552" s="13">
        <f>IF(OR(I2552="",J2552=""),"Не определено",IF(OR(COUNTIF(I2552,"45*")&gt;0,COUNTIF(J2552,"*45*")&gt;0,COUNTIF(I2552,"46*")&gt;0,COUNTIF(J2552,"*46*")&gt;0,COUNTIF(I2552,"47*")&gt;0,COUNTIF(J2552,"*47*")&gt;0,COUNTIF(I2552,"10*")&gt;0,COUNTIF(J2552,"*10*")&gt;0,COUNTIF(I2552,"11*")&gt;0,COUNTIF(J2552,"*11*")&gt;0,COUNTIF(I2552,"12*")&gt;0,COUNTIF(J2552,"*12*")&gt;0,COUNTIF(I2552,"13*")&gt;0,COUNTIF(J2552,"*13*")&gt;0,COUNTIF(I2552,"14*")&gt;0,COUNTIF(J2552,"*14*")&gt;0,COUNTIF(I2552,"15*")&gt;0,COUNTIF(J2552,"*15*")&gt;0,COUNTIF(I2552,"16*")&gt;0,COUNTIF(J2552,"*16*")&gt;0,COUNTIF(I2552,"17*")&gt;0,COUNTIF(J2552,"*17*")&gt;0,COUNTIF(I2552,"18*")&gt;0,COUNTIF(J2552,"*18*")&gt;0,COUNTIF(I2552,"19*")&gt;0,COUNTIF(J2552,"*19*")&gt;0,COUNTIF(I2552,"20*")&gt;0,COUNTIF(J2552,"*20*")&gt;0,COUNTIF(I2552,"21*")&gt;0,COUNTIF(J2552,"*21*")&gt;0,COUNTIF(I2552,"22*")&gt;0,COUNTIF(J2552,"*22*")&gt;0,COUNTIF(I2552,"23*")&gt;0,COUNTIF(J2552,"*23*")&gt;0,COUNTIF(I2552,"24*")&gt;0,COUNTIF(J2552,"*24*")&gt;0,COUNTIF(I2552,"25*")&gt;0,COUNTIF(J2552,"*25*")&gt;0,COUNTIF(I2552,"26*")&gt;0,COUNTIF(J2552,"*26*")&gt;0,COUNTIF(I2552,"27*")&gt;0,COUNTIF(J2552,"*27*")&gt;0,COUNTIF(I2552,"28*")&gt;0,COUNTIF(J2552,"*28*")&gt;0,COUNTIF(I2552,"29*")&gt;0,COUNTIF(J2552,"*29*")&gt;0,COUNTIF(I2552,"30*")&gt;0,COUNTIF(J2552,"*30*")&gt;0,COUNTIF(I2552,"31*")&gt;0,COUNTIF(J2552,"*31*")&gt;0,COUNTIF(I2552,"32*")&gt;0,COUNTIF(J2552,"*32*")&gt;0,COUNTIF(I2552,"33*")&gt;0,COUNTIF(J2552,"*33*")&gt;0,COUNTIF(I2552,"41*")&gt;0,COUNTIF(J2552,"*41*")&gt;0,COUNTIF(I2552,"42*")&gt;0,COUNTIF(J2552,"*42*")&gt;0,COUNTIF(I2552,"43*")&gt;0,COUNTIF(J2552,"*43*")&gt;0,COUNTIF(I2552,"49*")&gt;0,COUNTIF(J2552,"*49*")&gt;0,COUNTIF(I2552,"52*")&gt;0,COUNTIF(J2552,"*52*")&gt;0,COUNTIF(I2552,"55*")&gt;0,COUNTIF(J2552,"*55*")&gt;0,COUNTIF(I2552,"56*")&gt;0,COUNTIF(J2552,"*56*")&gt;0,COUNTIF(I2552,"68*")&gt;0,COUNTIF(J2552,"*68*")&gt;0,COUNTIF(I2552,"78*")&gt;0,COUNTIF(J2552,"*78*")&gt;0,COUNTIF(I2552,"81*")&gt;0,COUNTIF(J2552,"*81*")&gt;0,COUNTIF(I2552,"82*")&gt;0,COUNTIF(J2552,"*82*")&gt;0,COUNTIF(I2552,"64*")&gt;0,COUNTIF(J2552,"*64*")&gt;0,COUNTIF(I2552,"65*")&gt;0,COUNTIF(J2552,"*65*")&gt;0,COUNTIF(I2552,"66*")&gt;0,COUNTIF(J2552,"*66*")&gt;0,COUNTIF(I2552,"61*")&gt;0,COUNTIF(J2552,"*61*")&gt;0,COUNTIF(I2552,"62*")&gt;0,COUNTIF(J2552,"*62*")&gt;0,COUNTIF(I2552,"63*")&gt;0,COUNTIF(J2552,"*63*")&gt;0,COUNTIF(I2552,"85*")&gt;0,COUNTIF(J2552,"*85*")&gt;0,COUNTIF(I2552,"86*")&gt;0,COUNTIF(J2552,"*86*")&gt;0),"Да","Нет"))</f>
        <v/>
      </c>
      <c r="M2552" s="13">
        <f>IF(OR(G2552="",L2552&lt;&gt;"Да"),"",IF(G2552&lt;=100,"До 100",IF(G2552&lt;=200,"До 200",IF(G2552&lt;=500,"До 500","Отдельное КП"))))</f>
        <v/>
      </c>
      <c r="N2552" s="15">
        <f>IF(OR(G2552="",L2552&lt;&gt;"Да"),"",IF(G2552&lt;=100,33600,IF(G2552&lt;=200,62400,IF(G2552&lt;=500,144000,""))))</f>
        <v/>
      </c>
      <c r="O2552" s="16">
        <f>IF(G2552="","",IF(G2552&lt;=15,"1–15",IF(G2552&lt;=30,"16–30",IF(G2552&lt;=50,"31–50",IF(G2552&lt;=100,"51–100",IF(G2552&lt;=150,"101–150",IF(G2552&lt;=200,"151–200",IF(G2552&lt;=500,"201–500","500+"))))))))</f>
        <v/>
      </c>
      <c r="P2552" s="16" t="inlineStr">
        <is>
          <t>Нет совпадения в предоставленной выгрузке ССЧР</t>
        </is>
      </c>
      <c r="Q2552" s="16" t="n"/>
      <c r="R2552" s="16">
        <f>HYPERLINK("https://checko.ru/search?query=3801001629","Чекко: проверить")</f>
        <v/>
      </c>
      <c r="S2552" t="n">
        <v>0</v>
      </c>
    </row>
    <row r="2553" ht="15" customHeight="1" s="24">
      <c r="A2553" s="13" t="n">
        <v>5000095067</v>
      </c>
      <c r="B2553" s="13" t="inlineStr">
        <is>
          <t>ГБУЗ "Перинатальный центр" Минздрава КБР"</t>
        </is>
      </c>
      <c r="C2553" s="13" t="n">
        <v>711055776</v>
      </c>
      <c r="D2553" s="13" t="n"/>
      <c r="E2553" s="13" t="inlineStr">
        <is>
          <t>Не определён</t>
        </is>
      </c>
      <c r="F2553" s="13" t="inlineStr">
        <is>
          <t>711055776</t>
        </is>
      </c>
      <c r="G2553" s="14" t="n"/>
      <c r="H2553" s="14" t="n"/>
      <c r="I2553" s="14" t="n"/>
      <c r="J2553" s="14" t="n"/>
      <c r="K2553" s="13">
        <f>IF(G2553="","",IF(G2553&gt;=22,"Да","Нет"))</f>
        <v/>
      </c>
      <c r="L2553" s="13">
        <f>IF(OR(I2553="",J2553=""),"Не определено",IF(OR(COUNTIF(I2553,"45*")&gt;0,COUNTIF(J2553,"*45*")&gt;0,COUNTIF(I2553,"46*")&gt;0,COUNTIF(J2553,"*46*")&gt;0,COUNTIF(I2553,"47*")&gt;0,COUNTIF(J2553,"*47*")&gt;0,COUNTIF(I2553,"10*")&gt;0,COUNTIF(J2553,"*10*")&gt;0,COUNTIF(I2553,"11*")&gt;0,COUNTIF(J2553,"*11*")&gt;0,COUNTIF(I2553,"12*")&gt;0,COUNTIF(J2553,"*12*")&gt;0,COUNTIF(I2553,"13*")&gt;0,COUNTIF(J2553,"*13*")&gt;0,COUNTIF(I2553,"14*")&gt;0,COUNTIF(J2553,"*14*")&gt;0,COUNTIF(I2553,"15*")&gt;0,COUNTIF(J2553,"*15*")&gt;0,COUNTIF(I2553,"16*")&gt;0,COUNTIF(J2553,"*16*")&gt;0,COUNTIF(I2553,"17*")&gt;0,COUNTIF(J2553,"*17*")&gt;0,COUNTIF(I2553,"18*")&gt;0,COUNTIF(J2553,"*18*")&gt;0,COUNTIF(I2553,"19*")&gt;0,COUNTIF(J2553,"*19*")&gt;0,COUNTIF(I2553,"20*")&gt;0,COUNTIF(J2553,"*20*")&gt;0,COUNTIF(I2553,"21*")&gt;0,COUNTIF(J2553,"*21*")&gt;0,COUNTIF(I2553,"22*")&gt;0,COUNTIF(J2553,"*22*")&gt;0,COUNTIF(I2553,"23*")&gt;0,COUNTIF(J2553,"*23*")&gt;0,COUNTIF(I2553,"24*")&gt;0,COUNTIF(J2553,"*24*")&gt;0,COUNTIF(I2553,"25*")&gt;0,COUNTIF(J2553,"*25*")&gt;0,COUNTIF(I2553,"26*")&gt;0,COUNTIF(J2553,"*26*")&gt;0,COUNTIF(I2553,"27*")&gt;0,COUNTIF(J2553,"*27*")&gt;0,COUNTIF(I2553,"28*")&gt;0,COUNTIF(J2553,"*28*")&gt;0,COUNTIF(I2553,"29*")&gt;0,COUNTIF(J2553,"*29*")&gt;0,COUNTIF(I2553,"30*")&gt;0,COUNTIF(J2553,"*30*")&gt;0,COUNTIF(I2553,"31*")&gt;0,COUNTIF(J2553,"*31*")&gt;0,COUNTIF(I2553,"32*")&gt;0,COUNTIF(J2553,"*32*")&gt;0,COUNTIF(I2553,"33*")&gt;0,COUNTIF(J2553,"*33*")&gt;0,COUNTIF(I2553,"41*")&gt;0,COUNTIF(J2553,"*41*")&gt;0,COUNTIF(I2553,"42*")&gt;0,COUNTIF(J2553,"*42*")&gt;0,COUNTIF(I2553,"43*")&gt;0,COUNTIF(J2553,"*43*")&gt;0,COUNTIF(I2553,"49*")&gt;0,COUNTIF(J2553,"*49*")&gt;0,COUNTIF(I2553,"52*")&gt;0,COUNTIF(J2553,"*52*")&gt;0,COUNTIF(I2553,"55*")&gt;0,COUNTIF(J2553,"*55*")&gt;0,COUNTIF(I2553,"56*")&gt;0,COUNTIF(J2553,"*56*")&gt;0,COUNTIF(I2553,"68*")&gt;0,COUNTIF(J2553,"*68*")&gt;0,COUNTIF(I2553,"78*")&gt;0,COUNTIF(J2553,"*78*")&gt;0,COUNTIF(I2553,"81*")&gt;0,COUNTIF(J2553,"*81*")&gt;0,COUNTIF(I2553,"82*")&gt;0,COUNTIF(J2553,"*82*")&gt;0,COUNTIF(I2553,"64*")&gt;0,COUNTIF(J2553,"*64*")&gt;0,COUNTIF(I2553,"65*")&gt;0,COUNTIF(J2553,"*65*")&gt;0,COUNTIF(I2553,"66*")&gt;0,COUNTIF(J2553,"*66*")&gt;0,COUNTIF(I2553,"61*")&gt;0,COUNTIF(J2553,"*61*")&gt;0,COUNTIF(I2553,"62*")&gt;0,COUNTIF(J2553,"*62*")&gt;0,COUNTIF(I2553,"63*")&gt;0,COUNTIF(J2553,"*63*")&gt;0,COUNTIF(I2553,"85*")&gt;0,COUNTIF(J2553,"*85*")&gt;0,COUNTIF(I2553,"86*")&gt;0,COUNTIF(J2553,"*86*")&gt;0),"Да","Нет"))</f>
        <v/>
      </c>
      <c r="M2553" s="13">
        <f>IF(OR(G2553="",L2553&lt;&gt;"Да"),"",IF(G2553&lt;=100,"До 100",IF(G2553&lt;=200,"До 200",IF(G2553&lt;=500,"До 500","Отдельное КП"))))</f>
        <v/>
      </c>
      <c r="N2553" s="15">
        <f>IF(OR(G2553="",L2553&lt;&gt;"Да"),"",IF(G2553&lt;=100,33600,IF(G2553&lt;=200,62400,IF(G2553&lt;=500,144000,""))))</f>
        <v/>
      </c>
      <c r="O2553" s="16">
        <f>IF(G2553="","",IF(G2553&lt;=15,"1–15",IF(G2553&lt;=30,"16–30",IF(G2553&lt;=50,"31–50",IF(G2553&lt;=100,"51–100",IF(G2553&lt;=150,"101–150",IF(G2553&lt;=200,"151–200",IF(G2553&lt;=500,"201–500","500+"))))))))</f>
        <v/>
      </c>
      <c r="P2553" s="16" t="inlineStr">
        <is>
          <t>Нет совпадения в предоставленной выгрузке ССЧР</t>
        </is>
      </c>
      <c r="Q2553" s="16" t="n"/>
      <c r="R2553" s="16">
        <f>HYPERLINK("https://checko.ru/search?query=3801001629","Чекко: проверить")</f>
        <v/>
      </c>
      <c r="S2553" t="n">
        <v>0</v>
      </c>
    </row>
    <row r="2554" ht="27.75" customHeight="1" s="24">
      <c r="A2554" s="13" t="n">
        <v>5000095068</v>
      </c>
      <c r="B2554" s="13" t="inlineStr">
        <is>
          <t>МКОУ "СОШ №16 им. Фриева Р.М." г. о. Нальчик КБР</t>
        </is>
      </c>
      <c r="C2554" s="13" t="n">
        <v>711056603</v>
      </c>
      <c r="D2554" s="13" t="n"/>
      <c r="E2554" s="13" t="inlineStr">
        <is>
          <t>Не определён</t>
        </is>
      </c>
      <c r="F2554" s="13" t="inlineStr">
        <is>
          <t>711056603</t>
        </is>
      </c>
      <c r="G2554" s="14" t="n"/>
      <c r="H2554" s="14" t="n"/>
      <c r="I2554" s="14" t="n"/>
      <c r="J2554" s="14" t="n"/>
      <c r="K2554" s="13">
        <f>IF(G2554="","",IF(G2554&gt;=22,"Да","Нет"))</f>
        <v/>
      </c>
      <c r="L2554" s="13">
        <f>IF(OR(I2554="",J2554=""),"Не определено",IF(OR(COUNTIF(I2554,"45*")&gt;0,COUNTIF(J2554,"*45*")&gt;0,COUNTIF(I2554,"46*")&gt;0,COUNTIF(J2554,"*46*")&gt;0,COUNTIF(I2554,"47*")&gt;0,COUNTIF(J2554,"*47*")&gt;0,COUNTIF(I2554,"10*")&gt;0,COUNTIF(J2554,"*10*")&gt;0,COUNTIF(I2554,"11*")&gt;0,COUNTIF(J2554,"*11*")&gt;0,COUNTIF(I2554,"12*")&gt;0,COUNTIF(J2554,"*12*")&gt;0,COUNTIF(I2554,"13*")&gt;0,COUNTIF(J2554,"*13*")&gt;0,COUNTIF(I2554,"14*")&gt;0,COUNTIF(J2554,"*14*")&gt;0,COUNTIF(I2554,"15*")&gt;0,COUNTIF(J2554,"*15*")&gt;0,COUNTIF(I2554,"16*")&gt;0,COUNTIF(J2554,"*16*")&gt;0,COUNTIF(I2554,"17*")&gt;0,COUNTIF(J2554,"*17*")&gt;0,COUNTIF(I2554,"18*")&gt;0,COUNTIF(J2554,"*18*")&gt;0,COUNTIF(I2554,"19*")&gt;0,COUNTIF(J2554,"*19*")&gt;0,COUNTIF(I2554,"20*")&gt;0,COUNTIF(J2554,"*20*")&gt;0,COUNTIF(I2554,"21*")&gt;0,COUNTIF(J2554,"*21*")&gt;0,COUNTIF(I2554,"22*")&gt;0,COUNTIF(J2554,"*22*")&gt;0,COUNTIF(I2554,"23*")&gt;0,COUNTIF(J2554,"*23*")&gt;0,COUNTIF(I2554,"24*")&gt;0,COUNTIF(J2554,"*24*")&gt;0,COUNTIF(I2554,"25*")&gt;0,COUNTIF(J2554,"*25*")&gt;0,COUNTIF(I2554,"26*")&gt;0,COUNTIF(J2554,"*26*")&gt;0,COUNTIF(I2554,"27*")&gt;0,COUNTIF(J2554,"*27*")&gt;0,COUNTIF(I2554,"28*")&gt;0,COUNTIF(J2554,"*28*")&gt;0,COUNTIF(I2554,"29*")&gt;0,COUNTIF(J2554,"*29*")&gt;0,COUNTIF(I2554,"30*")&gt;0,COUNTIF(J2554,"*30*")&gt;0,COUNTIF(I2554,"31*")&gt;0,COUNTIF(J2554,"*31*")&gt;0,COUNTIF(I2554,"32*")&gt;0,COUNTIF(J2554,"*32*")&gt;0,COUNTIF(I2554,"33*")&gt;0,COUNTIF(J2554,"*33*")&gt;0,COUNTIF(I2554,"41*")&gt;0,COUNTIF(J2554,"*41*")&gt;0,COUNTIF(I2554,"42*")&gt;0,COUNTIF(J2554,"*42*")&gt;0,COUNTIF(I2554,"43*")&gt;0,COUNTIF(J2554,"*43*")&gt;0,COUNTIF(I2554,"49*")&gt;0,COUNTIF(J2554,"*49*")&gt;0,COUNTIF(I2554,"52*")&gt;0,COUNTIF(J2554,"*52*")&gt;0,COUNTIF(I2554,"55*")&gt;0,COUNTIF(J2554,"*55*")&gt;0,COUNTIF(I2554,"56*")&gt;0,COUNTIF(J2554,"*56*")&gt;0,COUNTIF(I2554,"68*")&gt;0,COUNTIF(J2554,"*68*")&gt;0,COUNTIF(I2554,"78*")&gt;0,COUNTIF(J2554,"*78*")&gt;0,COUNTIF(I2554,"81*")&gt;0,COUNTIF(J2554,"*81*")&gt;0,COUNTIF(I2554,"82*")&gt;0,COUNTIF(J2554,"*82*")&gt;0,COUNTIF(I2554,"64*")&gt;0,COUNTIF(J2554,"*64*")&gt;0,COUNTIF(I2554,"65*")&gt;0,COUNTIF(J2554,"*65*")&gt;0,COUNTIF(I2554,"66*")&gt;0,COUNTIF(J2554,"*66*")&gt;0,COUNTIF(I2554,"61*")&gt;0,COUNTIF(J2554,"*61*")&gt;0,COUNTIF(I2554,"62*")&gt;0,COUNTIF(J2554,"*62*")&gt;0,COUNTIF(I2554,"63*")&gt;0,COUNTIF(J2554,"*63*")&gt;0,COUNTIF(I2554,"85*")&gt;0,COUNTIF(J2554,"*85*")&gt;0,COUNTIF(I2554,"86*")&gt;0,COUNTIF(J2554,"*86*")&gt;0),"Да","Нет"))</f>
        <v/>
      </c>
      <c r="M2554" s="13">
        <f>IF(OR(G2554="",L2554&lt;&gt;"Да"),"",IF(G2554&lt;=100,"До 100",IF(G2554&lt;=200,"До 200",IF(G2554&lt;=500,"До 500","Отдельное КП"))))</f>
        <v/>
      </c>
      <c r="N2554" s="15">
        <f>IF(OR(G2554="",L2554&lt;&gt;"Да"),"",IF(G2554&lt;=100,33600,IF(G2554&lt;=200,62400,IF(G2554&lt;=500,144000,""))))</f>
        <v/>
      </c>
      <c r="O2554" s="16">
        <f>IF(G2554="","",IF(G2554&lt;=15,"1–15",IF(G2554&lt;=30,"16–30",IF(G2554&lt;=50,"31–50",IF(G2554&lt;=100,"51–100",IF(G2554&lt;=150,"101–150",IF(G2554&lt;=200,"151–200",IF(G2554&lt;=500,"201–500","500+"))))))))</f>
        <v/>
      </c>
      <c r="P2554" s="16" t="inlineStr">
        <is>
          <t>Нет совпадения в предоставленной выгрузке ССЧР</t>
        </is>
      </c>
      <c r="Q2554" s="16" t="n"/>
      <c r="R2554" s="16">
        <f>HYPERLINK("https://checko.ru/search?query=3801001629","Чекко: проверить")</f>
        <v/>
      </c>
      <c r="S2554" t="n">
        <v>0</v>
      </c>
    </row>
    <row r="2555" ht="15" customHeight="1" s="24">
      <c r="A2555" s="13" t="n">
        <v>5000095069</v>
      </c>
      <c r="B2555" s="13" t="inlineStr">
        <is>
          <t>ГБУ ДО "ЭБЦ" Минпросвещения КБР</t>
        </is>
      </c>
      <c r="C2555" s="13" t="n">
        <v>711057036</v>
      </c>
      <c r="D2555" s="13" t="n"/>
      <c r="E2555" s="13" t="inlineStr">
        <is>
          <t>Не определён</t>
        </is>
      </c>
      <c r="F2555" s="13" t="inlineStr">
        <is>
          <t>711057036</t>
        </is>
      </c>
      <c r="G2555" s="14" t="n"/>
      <c r="H2555" s="14" t="n"/>
      <c r="I2555" s="14" t="n"/>
      <c r="J2555" s="14" t="n"/>
      <c r="K2555" s="13">
        <f>IF(G2555="","",IF(G2555&gt;=22,"Да","Нет"))</f>
        <v/>
      </c>
      <c r="L2555" s="13">
        <f>IF(OR(I2555="",J2555=""),"Не определено",IF(OR(COUNTIF(I2555,"45*")&gt;0,COUNTIF(J2555,"*45*")&gt;0,COUNTIF(I2555,"46*")&gt;0,COUNTIF(J2555,"*46*")&gt;0,COUNTIF(I2555,"47*")&gt;0,COUNTIF(J2555,"*47*")&gt;0,COUNTIF(I2555,"10*")&gt;0,COUNTIF(J2555,"*10*")&gt;0,COUNTIF(I2555,"11*")&gt;0,COUNTIF(J2555,"*11*")&gt;0,COUNTIF(I2555,"12*")&gt;0,COUNTIF(J2555,"*12*")&gt;0,COUNTIF(I2555,"13*")&gt;0,COUNTIF(J2555,"*13*")&gt;0,COUNTIF(I2555,"14*")&gt;0,COUNTIF(J2555,"*14*")&gt;0,COUNTIF(I2555,"15*")&gt;0,COUNTIF(J2555,"*15*")&gt;0,COUNTIF(I2555,"16*")&gt;0,COUNTIF(J2555,"*16*")&gt;0,COUNTIF(I2555,"17*")&gt;0,COUNTIF(J2555,"*17*")&gt;0,COUNTIF(I2555,"18*")&gt;0,COUNTIF(J2555,"*18*")&gt;0,COUNTIF(I2555,"19*")&gt;0,COUNTIF(J2555,"*19*")&gt;0,COUNTIF(I2555,"20*")&gt;0,COUNTIF(J2555,"*20*")&gt;0,COUNTIF(I2555,"21*")&gt;0,COUNTIF(J2555,"*21*")&gt;0,COUNTIF(I2555,"22*")&gt;0,COUNTIF(J2555,"*22*")&gt;0,COUNTIF(I2555,"23*")&gt;0,COUNTIF(J2555,"*23*")&gt;0,COUNTIF(I2555,"24*")&gt;0,COUNTIF(J2555,"*24*")&gt;0,COUNTIF(I2555,"25*")&gt;0,COUNTIF(J2555,"*25*")&gt;0,COUNTIF(I2555,"26*")&gt;0,COUNTIF(J2555,"*26*")&gt;0,COUNTIF(I2555,"27*")&gt;0,COUNTIF(J2555,"*27*")&gt;0,COUNTIF(I2555,"28*")&gt;0,COUNTIF(J2555,"*28*")&gt;0,COUNTIF(I2555,"29*")&gt;0,COUNTIF(J2555,"*29*")&gt;0,COUNTIF(I2555,"30*")&gt;0,COUNTIF(J2555,"*30*")&gt;0,COUNTIF(I2555,"31*")&gt;0,COUNTIF(J2555,"*31*")&gt;0,COUNTIF(I2555,"32*")&gt;0,COUNTIF(J2555,"*32*")&gt;0,COUNTIF(I2555,"33*")&gt;0,COUNTIF(J2555,"*33*")&gt;0,COUNTIF(I2555,"41*")&gt;0,COUNTIF(J2555,"*41*")&gt;0,COUNTIF(I2555,"42*")&gt;0,COUNTIF(J2555,"*42*")&gt;0,COUNTIF(I2555,"43*")&gt;0,COUNTIF(J2555,"*43*")&gt;0,COUNTIF(I2555,"49*")&gt;0,COUNTIF(J2555,"*49*")&gt;0,COUNTIF(I2555,"52*")&gt;0,COUNTIF(J2555,"*52*")&gt;0,COUNTIF(I2555,"55*")&gt;0,COUNTIF(J2555,"*55*")&gt;0,COUNTIF(I2555,"56*")&gt;0,COUNTIF(J2555,"*56*")&gt;0,COUNTIF(I2555,"68*")&gt;0,COUNTIF(J2555,"*68*")&gt;0,COUNTIF(I2555,"78*")&gt;0,COUNTIF(J2555,"*78*")&gt;0,COUNTIF(I2555,"81*")&gt;0,COUNTIF(J2555,"*81*")&gt;0,COUNTIF(I2555,"82*")&gt;0,COUNTIF(J2555,"*82*")&gt;0,COUNTIF(I2555,"64*")&gt;0,COUNTIF(J2555,"*64*")&gt;0,COUNTIF(I2555,"65*")&gt;0,COUNTIF(J2555,"*65*")&gt;0,COUNTIF(I2555,"66*")&gt;0,COUNTIF(J2555,"*66*")&gt;0,COUNTIF(I2555,"61*")&gt;0,COUNTIF(J2555,"*61*")&gt;0,COUNTIF(I2555,"62*")&gt;0,COUNTIF(J2555,"*62*")&gt;0,COUNTIF(I2555,"63*")&gt;0,COUNTIF(J2555,"*63*")&gt;0,COUNTIF(I2555,"85*")&gt;0,COUNTIF(J2555,"*85*")&gt;0,COUNTIF(I2555,"86*")&gt;0,COUNTIF(J2555,"*86*")&gt;0),"Да","Нет"))</f>
        <v/>
      </c>
      <c r="M2555" s="13">
        <f>IF(OR(G2555="",L2555&lt;&gt;"Да"),"",IF(G2555&lt;=100,"До 100",IF(G2555&lt;=200,"До 200",IF(G2555&lt;=500,"До 500","Отдельное КП"))))</f>
        <v/>
      </c>
      <c r="N2555" s="15">
        <f>IF(OR(G2555="",L2555&lt;&gt;"Да"),"",IF(G2555&lt;=100,33600,IF(G2555&lt;=200,62400,IF(G2555&lt;=500,144000,""))))</f>
        <v/>
      </c>
      <c r="O2555" s="16">
        <f>IF(G2555="","",IF(G2555&lt;=15,"1–15",IF(G2555&lt;=30,"16–30",IF(G2555&lt;=50,"31–50",IF(G2555&lt;=100,"51–100",IF(G2555&lt;=150,"101–150",IF(G2555&lt;=200,"151–200",IF(G2555&lt;=500,"201–500","500+"))))))))</f>
        <v/>
      </c>
      <c r="P2555" s="16" t="inlineStr">
        <is>
          <t>Нет совпадения в предоставленной выгрузке ССЧР</t>
        </is>
      </c>
      <c r="Q2555" s="16" t="n"/>
      <c r="R2555" s="16">
        <f>HYPERLINK("https://checko.ru/search?query=3801001629","Чекко: проверить")</f>
        <v/>
      </c>
      <c r="S2555" t="n">
        <v>0</v>
      </c>
    </row>
    <row r="2556" ht="15" customHeight="1" s="24">
      <c r="A2556" s="13" t="n">
        <v>5000095215</v>
      </c>
      <c r="B2556" s="13" t="inlineStr">
        <is>
          <t>ГКУ "КБР-Медиа"</t>
        </is>
      </c>
      <c r="C2556" s="13" t="n">
        <v>725009184</v>
      </c>
      <c r="D2556" s="13" t="n"/>
      <c r="E2556" s="13" t="inlineStr">
        <is>
          <t>Не определён</t>
        </is>
      </c>
      <c r="F2556" s="13" t="inlineStr">
        <is>
          <t>725009184</t>
        </is>
      </c>
      <c r="G2556" s="14" t="n"/>
      <c r="H2556" s="14" t="n"/>
      <c r="I2556" s="14" t="n"/>
      <c r="J2556" s="14" t="n"/>
      <c r="K2556" s="13">
        <f>IF(G2556="","",IF(G2556&gt;=22,"Да","Нет"))</f>
        <v/>
      </c>
      <c r="L2556" s="13">
        <f>IF(OR(I2556="",J2556=""),"Не определено",IF(OR(COUNTIF(I2556,"45*")&gt;0,COUNTIF(J2556,"*45*")&gt;0,COUNTIF(I2556,"46*")&gt;0,COUNTIF(J2556,"*46*")&gt;0,COUNTIF(I2556,"47*")&gt;0,COUNTIF(J2556,"*47*")&gt;0,COUNTIF(I2556,"10*")&gt;0,COUNTIF(J2556,"*10*")&gt;0,COUNTIF(I2556,"11*")&gt;0,COUNTIF(J2556,"*11*")&gt;0,COUNTIF(I2556,"12*")&gt;0,COUNTIF(J2556,"*12*")&gt;0,COUNTIF(I2556,"13*")&gt;0,COUNTIF(J2556,"*13*")&gt;0,COUNTIF(I2556,"14*")&gt;0,COUNTIF(J2556,"*14*")&gt;0,COUNTIF(I2556,"15*")&gt;0,COUNTIF(J2556,"*15*")&gt;0,COUNTIF(I2556,"16*")&gt;0,COUNTIF(J2556,"*16*")&gt;0,COUNTIF(I2556,"17*")&gt;0,COUNTIF(J2556,"*17*")&gt;0,COUNTIF(I2556,"18*")&gt;0,COUNTIF(J2556,"*18*")&gt;0,COUNTIF(I2556,"19*")&gt;0,COUNTIF(J2556,"*19*")&gt;0,COUNTIF(I2556,"20*")&gt;0,COUNTIF(J2556,"*20*")&gt;0,COUNTIF(I2556,"21*")&gt;0,COUNTIF(J2556,"*21*")&gt;0,COUNTIF(I2556,"22*")&gt;0,COUNTIF(J2556,"*22*")&gt;0,COUNTIF(I2556,"23*")&gt;0,COUNTIF(J2556,"*23*")&gt;0,COUNTIF(I2556,"24*")&gt;0,COUNTIF(J2556,"*24*")&gt;0,COUNTIF(I2556,"25*")&gt;0,COUNTIF(J2556,"*25*")&gt;0,COUNTIF(I2556,"26*")&gt;0,COUNTIF(J2556,"*26*")&gt;0,COUNTIF(I2556,"27*")&gt;0,COUNTIF(J2556,"*27*")&gt;0,COUNTIF(I2556,"28*")&gt;0,COUNTIF(J2556,"*28*")&gt;0,COUNTIF(I2556,"29*")&gt;0,COUNTIF(J2556,"*29*")&gt;0,COUNTIF(I2556,"30*")&gt;0,COUNTIF(J2556,"*30*")&gt;0,COUNTIF(I2556,"31*")&gt;0,COUNTIF(J2556,"*31*")&gt;0,COUNTIF(I2556,"32*")&gt;0,COUNTIF(J2556,"*32*")&gt;0,COUNTIF(I2556,"33*")&gt;0,COUNTIF(J2556,"*33*")&gt;0,COUNTIF(I2556,"41*")&gt;0,COUNTIF(J2556,"*41*")&gt;0,COUNTIF(I2556,"42*")&gt;0,COUNTIF(J2556,"*42*")&gt;0,COUNTIF(I2556,"43*")&gt;0,COUNTIF(J2556,"*43*")&gt;0,COUNTIF(I2556,"49*")&gt;0,COUNTIF(J2556,"*49*")&gt;0,COUNTIF(I2556,"52*")&gt;0,COUNTIF(J2556,"*52*")&gt;0,COUNTIF(I2556,"55*")&gt;0,COUNTIF(J2556,"*55*")&gt;0,COUNTIF(I2556,"56*")&gt;0,COUNTIF(J2556,"*56*")&gt;0,COUNTIF(I2556,"68*")&gt;0,COUNTIF(J2556,"*68*")&gt;0,COUNTIF(I2556,"78*")&gt;0,COUNTIF(J2556,"*78*")&gt;0,COUNTIF(I2556,"81*")&gt;0,COUNTIF(J2556,"*81*")&gt;0,COUNTIF(I2556,"82*")&gt;0,COUNTIF(J2556,"*82*")&gt;0,COUNTIF(I2556,"64*")&gt;0,COUNTIF(J2556,"*64*")&gt;0,COUNTIF(I2556,"65*")&gt;0,COUNTIF(J2556,"*65*")&gt;0,COUNTIF(I2556,"66*")&gt;0,COUNTIF(J2556,"*66*")&gt;0,COUNTIF(I2556,"61*")&gt;0,COUNTIF(J2556,"*61*")&gt;0,COUNTIF(I2556,"62*")&gt;0,COUNTIF(J2556,"*62*")&gt;0,COUNTIF(I2556,"63*")&gt;0,COUNTIF(J2556,"*63*")&gt;0,COUNTIF(I2556,"85*")&gt;0,COUNTIF(J2556,"*85*")&gt;0,COUNTIF(I2556,"86*")&gt;0,COUNTIF(J2556,"*86*")&gt;0),"Да","Нет"))</f>
        <v/>
      </c>
      <c r="M2556" s="13">
        <f>IF(OR(G2556="",L2556&lt;&gt;"Да"),"",IF(G2556&lt;=100,"До 100",IF(G2556&lt;=200,"До 200",IF(G2556&lt;=500,"До 500","Отдельное КП"))))</f>
        <v/>
      </c>
      <c r="N2556" s="15">
        <f>IF(OR(G2556="",L2556&lt;&gt;"Да"),"",IF(G2556&lt;=100,33600,IF(G2556&lt;=200,62400,IF(G2556&lt;=500,144000,""))))</f>
        <v/>
      </c>
      <c r="O2556" s="16">
        <f>IF(G2556="","",IF(G2556&lt;=15,"1–15",IF(G2556&lt;=30,"16–30",IF(G2556&lt;=50,"31–50",IF(G2556&lt;=100,"51–100",IF(G2556&lt;=150,"101–150",IF(G2556&lt;=200,"151–200",IF(G2556&lt;=500,"201–500","500+"))))))))</f>
        <v/>
      </c>
      <c r="P2556" s="16" t="inlineStr">
        <is>
          <t>Нет совпадения в предоставленной выгрузке ССЧР</t>
        </is>
      </c>
      <c r="Q2556" s="16" t="n"/>
      <c r="R2556" s="16">
        <f>HYPERLINK("https://checko.ru/search?query=3801001629","Чекко: проверить")</f>
        <v/>
      </c>
      <c r="S2556" t="n">
        <v>0</v>
      </c>
    </row>
    <row r="2557" ht="15" customHeight="1" s="24">
      <c r="A2557" s="13" t="n">
        <v>5000095300</v>
      </c>
      <c r="B2557" s="13" t="inlineStr">
        <is>
          <t>МКДОУ "Детский сад № 50" г.о.Нальчик КБР</t>
        </is>
      </c>
      <c r="C2557" s="13" t="n">
        <v>726025686</v>
      </c>
      <c r="D2557" s="13" t="n"/>
      <c r="E2557" s="13" t="inlineStr">
        <is>
          <t>Не определён</t>
        </is>
      </c>
      <c r="F2557" s="13" t="inlineStr">
        <is>
          <t>726025686</t>
        </is>
      </c>
      <c r="G2557" s="14" t="n"/>
      <c r="H2557" s="14" t="n"/>
      <c r="I2557" s="14" t="n"/>
      <c r="J2557" s="14" t="n"/>
      <c r="K2557" s="13">
        <f>IF(G2557="","",IF(G2557&gt;=22,"Да","Нет"))</f>
        <v/>
      </c>
      <c r="L2557" s="13">
        <f>IF(OR(I2557="",J2557=""),"Не определено",IF(OR(COUNTIF(I2557,"45*")&gt;0,COUNTIF(J2557,"*45*")&gt;0,COUNTIF(I2557,"46*")&gt;0,COUNTIF(J2557,"*46*")&gt;0,COUNTIF(I2557,"47*")&gt;0,COUNTIF(J2557,"*47*")&gt;0,COUNTIF(I2557,"10*")&gt;0,COUNTIF(J2557,"*10*")&gt;0,COUNTIF(I2557,"11*")&gt;0,COUNTIF(J2557,"*11*")&gt;0,COUNTIF(I2557,"12*")&gt;0,COUNTIF(J2557,"*12*")&gt;0,COUNTIF(I2557,"13*")&gt;0,COUNTIF(J2557,"*13*")&gt;0,COUNTIF(I2557,"14*")&gt;0,COUNTIF(J2557,"*14*")&gt;0,COUNTIF(I2557,"15*")&gt;0,COUNTIF(J2557,"*15*")&gt;0,COUNTIF(I2557,"16*")&gt;0,COUNTIF(J2557,"*16*")&gt;0,COUNTIF(I2557,"17*")&gt;0,COUNTIF(J2557,"*17*")&gt;0,COUNTIF(I2557,"18*")&gt;0,COUNTIF(J2557,"*18*")&gt;0,COUNTIF(I2557,"19*")&gt;0,COUNTIF(J2557,"*19*")&gt;0,COUNTIF(I2557,"20*")&gt;0,COUNTIF(J2557,"*20*")&gt;0,COUNTIF(I2557,"21*")&gt;0,COUNTIF(J2557,"*21*")&gt;0,COUNTIF(I2557,"22*")&gt;0,COUNTIF(J2557,"*22*")&gt;0,COUNTIF(I2557,"23*")&gt;0,COUNTIF(J2557,"*23*")&gt;0,COUNTIF(I2557,"24*")&gt;0,COUNTIF(J2557,"*24*")&gt;0,COUNTIF(I2557,"25*")&gt;0,COUNTIF(J2557,"*25*")&gt;0,COUNTIF(I2557,"26*")&gt;0,COUNTIF(J2557,"*26*")&gt;0,COUNTIF(I2557,"27*")&gt;0,COUNTIF(J2557,"*27*")&gt;0,COUNTIF(I2557,"28*")&gt;0,COUNTIF(J2557,"*28*")&gt;0,COUNTIF(I2557,"29*")&gt;0,COUNTIF(J2557,"*29*")&gt;0,COUNTIF(I2557,"30*")&gt;0,COUNTIF(J2557,"*30*")&gt;0,COUNTIF(I2557,"31*")&gt;0,COUNTIF(J2557,"*31*")&gt;0,COUNTIF(I2557,"32*")&gt;0,COUNTIF(J2557,"*32*")&gt;0,COUNTIF(I2557,"33*")&gt;0,COUNTIF(J2557,"*33*")&gt;0,COUNTIF(I2557,"41*")&gt;0,COUNTIF(J2557,"*41*")&gt;0,COUNTIF(I2557,"42*")&gt;0,COUNTIF(J2557,"*42*")&gt;0,COUNTIF(I2557,"43*")&gt;0,COUNTIF(J2557,"*43*")&gt;0,COUNTIF(I2557,"49*")&gt;0,COUNTIF(J2557,"*49*")&gt;0,COUNTIF(I2557,"52*")&gt;0,COUNTIF(J2557,"*52*")&gt;0,COUNTIF(I2557,"55*")&gt;0,COUNTIF(J2557,"*55*")&gt;0,COUNTIF(I2557,"56*")&gt;0,COUNTIF(J2557,"*56*")&gt;0,COUNTIF(I2557,"68*")&gt;0,COUNTIF(J2557,"*68*")&gt;0,COUNTIF(I2557,"78*")&gt;0,COUNTIF(J2557,"*78*")&gt;0,COUNTIF(I2557,"81*")&gt;0,COUNTIF(J2557,"*81*")&gt;0,COUNTIF(I2557,"82*")&gt;0,COUNTIF(J2557,"*82*")&gt;0,COUNTIF(I2557,"64*")&gt;0,COUNTIF(J2557,"*64*")&gt;0,COUNTIF(I2557,"65*")&gt;0,COUNTIF(J2557,"*65*")&gt;0,COUNTIF(I2557,"66*")&gt;0,COUNTIF(J2557,"*66*")&gt;0,COUNTIF(I2557,"61*")&gt;0,COUNTIF(J2557,"*61*")&gt;0,COUNTIF(I2557,"62*")&gt;0,COUNTIF(J2557,"*62*")&gt;0,COUNTIF(I2557,"63*")&gt;0,COUNTIF(J2557,"*63*")&gt;0,COUNTIF(I2557,"85*")&gt;0,COUNTIF(J2557,"*85*")&gt;0,COUNTIF(I2557,"86*")&gt;0,COUNTIF(J2557,"*86*")&gt;0),"Да","Нет"))</f>
        <v/>
      </c>
      <c r="M2557" s="13">
        <f>IF(OR(G2557="",L2557&lt;&gt;"Да"),"",IF(G2557&lt;=100,"До 100",IF(G2557&lt;=200,"До 200",IF(G2557&lt;=500,"До 500","Отдельное КП"))))</f>
        <v/>
      </c>
      <c r="N2557" s="15">
        <f>IF(OR(G2557="",L2557&lt;&gt;"Да"),"",IF(G2557&lt;=100,33600,IF(G2557&lt;=200,62400,IF(G2557&lt;=500,144000,""))))</f>
        <v/>
      </c>
      <c r="O2557" s="16">
        <f>IF(G2557="","",IF(G2557&lt;=15,"1–15",IF(G2557&lt;=30,"16–30",IF(G2557&lt;=50,"31–50",IF(G2557&lt;=100,"51–100",IF(G2557&lt;=150,"101–150",IF(G2557&lt;=200,"151–200",IF(G2557&lt;=500,"201–500","500+"))))))))</f>
        <v/>
      </c>
      <c r="P2557" s="16" t="inlineStr">
        <is>
          <t>Нет совпадения в предоставленной выгрузке ССЧР</t>
        </is>
      </c>
      <c r="Q2557" s="16" t="n"/>
      <c r="R2557" s="16">
        <f>HYPERLINK("https://checko.ru/search?query=3801001629","Чекко: проверить")</f>
        <v/>
      </c>
      <c r="S2557" t="n">
        <v>0</v>
      </c>
    </row>
    <row r="2558" ht="15" customHeight="1" s="24">
      <c r="A2558" s="13" t="n">
        <v>5000095303</v>
      </c>
      <c r="B2558" s="13" t="inlineStr">
        <is>
          <t>МКДОУ "ДЕТСКИЙ САД НЮР" Г.П. КАШХАТАУ</t>
        </is>
      </c>
      <c r="C2558" s="13" t="n">
        <v>700006329</v>
      </c>
      <c r="D2558" s="13" t="n"/>
      <c r="E2558" s="13" t="inlineStr">
        <is>
          <t>Не определён</t>
        </is>
      </c>
      <c r="F2558" s="13" t="inlineStr">
        <is>
          <t>700006329</t>
        </is>
      </c>
      <c r="G2558" s="14" t="n"/>
      <c r="H2558" s="14" t="n"/>
      <c r="I2558" s="14" t="n"/>
      <c r="J2558" s="14" t="n"/>
      <c r="K2558" s="13">
        <f>IF(G2558="","",IF(G2558&gt;=22,"Да","Нет"))</f>
        <v/>
      </c>
      <c r="L2558" s="13">
        <f>IF(OR(I2558="",J2558=""),"Не определено",IF(OR(COUNTIF(I2558,"45*")&gt;0,COUNTIF(J2558,"*45*")&gt;0,COUNTIF(I2558,"46*")&gt;0,COUNTIF(J2558,"*46*")&gt;0,COUNTIF(I2558,"47*")&gt;0,COUNTIF(J2558,"*47*")&gt;0,COUNTIF(I2558,"10*")&gt;0,COUNTIF(J2558,"*10*")&gt;0,COUNTIF(I2558,"11*")&gt;0,COUNTIF(J2558,"*11*")&gt;0,COUNTIF(I2558,"12*")&gt;0,COUNTIF(J2558,"*12*")&gt;0,COUNTIF(I2558,"13*")&gt;0,COUNTIF(J2558,"*13*")&gt;0,COUNTIF(I2558,"14*")&gt;0,COUNTIF(J2558,"*14*")&gt;0,COUNTIF(I2558,"15*")&gt;0,COUNTIF(J2558,"*15*")&gt;0,COUNTIF(I2558,"16*")&gt;0,COUNTIF(J2558,"*16*")&gt;0,COUNTIF(I2558,"17*")&gt;0,COUNTIF(J2558,"*17*")&gt;0,COUNTIF(I2558,"18*")&gt;0,COUNTIF(J2558,"*18*")&gt;0,COUNTIF(I2558,"19*")&gt;0,COUNTIF(J2558,"*19*")&gt;0,COUNTIF(I2558,"20*")&gt;0,COUNTIF(J2558,"*20*")&gt;0,COUNTIF(I2558,"21*")&gt;0,COUNTIF(J2558,"*21*")&gt;0,COUNTIF(I2558,"22*")&gt;0,COUNTIF(J2558,"*22*")&gt;0,COUNTIF(I2558,"23*")&gt;0,COUNTIF(J2558,"*23*")&gt;0,COUNTIF(I2558,"24*")&gt;0,COUNTIF(J2558,"*24*")&gt;0,COUNTIF(I2558,"25*")&gt;0,COUNTIF(J2558,"*25*")&gt;0,COUNTIF(I2558,"26*")&gt;0,COUNTIF(J2558,"*26*")&gt;0,COUNTIF(I2558,"27*")&gt;0,COUNTIF(J2558,"*27*")&gt;0,COUNTIF(I2558,"28*")&gt;0,COUNTIF(J2558,"*28*")&gt;0,COUNTIF(I2558,"29*")&gt;0,COUNTIF(J2558,"*29*")&gt;0,COUNTIF(I2558,"30*")&gt;0,COUNTIF(J2558,"*30*")&gt;0,COUNTIF(I2558,"31*")&gt;0,COUNTIF(J2558,"*31*")&gt;0,COUNTIF(I2558,"32*")&gt;0,COUNTIF(J2558,"*32*")&gt;0,COUNTIF(I2558,"33*")&gt;0,COUNTIF(J2558,"*33*")&gt;0,COUNTIF(I2558,"41*")&gt;0,COUNTIF(J2558,"*41*")&gt;0,COUNTIF(I2558,"42*")&gt;0,COUNTIF(J2558,"*42*")&gt;0,COUNTIF(I2558,"43*")&gt;0,COUNTIF(J2558,"*43*")&gt;0,COUNTIF(I2558,"49*")&gt;0,COUNTIF(J2558,"*49*")&gt;0,COUNTIF(I2558,"52*")&gt;0,COUNTIF(J2558,"*52*")&gt;0,COUNTIF(I2558,"55*")&gt;0,COUNTIF(J2558,"*55*")&gt;0,COUNTIF(I2558,"56*")&gt;0,COUNTIF(J2558,"*56*")&gt;0,COUNTIF(I2558,"68*")&gt;0,COUNTIF(J2558,"*68*")&gt;0,COUNTIF(I2558,"78*")&gt;0,COUNTIF(J2558,"*78*")&gt;0,COUNTIF(I2558,"81*")&gt;0,COUNTIF(J2558,"*81*")&gt;0,COUNTIF(I2558,"82*")&gt;0,COUNTIF(J2558,"*82*")&gt;0,COUNTIF(I2558,"64*")&gt;0,COUNTIF(J2558,"*64*")&gt;0,COUNTIF(I2558,"65*")&gt;0,COUNTIF(J2558,"*65*")&gt;0,COUNTIF(I2558,"66*")&gt;0,COUNTIF(J2558,"*66*")&gt;0,COUNTIF(I2558,"61*")&gt;0,COUNTIF(J2558,"*61*")&gt;0,COUNTIF(I2558,"62*")&gt;0,COUNTIF(J2558,"*62*")&gt;0,COUNTIF(I2558,"63*")&gt;0,COUNTIF(J2558,"*63*")&gt;0,COUNTIF(I2558,"85*")&gt;0,COUNTIF(J2558,"*85*")&gt;0,COUNTIF(I2558,"86*")&gt;0,COUNTIF(J2558,"*86*")&gt;0),"Да","Нет"))</f>
        <v/>
      </c>
      <c r="M2558" s="13">
        <f>IF(OR(G2558="",L2558&lt;&gt;"Да"),"",IF(G2558&lt;=100,"До 100",IF(G2558&lt;=200,"До 200",IF(G2558&lt;=500,"До 500","Отдельное КП"))))</f>
        <v/>
      </c>
      <c r="N2558" s="15">
        <f>IF(OR(G2558="",L2558&lt;&gt;"Да"),"",IF(G2558&lt;=100,33600,IF(G2558&lt;=200,62400,IF(G2558&lt;=500,144000,""))))</f>
        <v/>
      </c>
      <c r="O2558" s="16">
        <f>IF(G2558="","",IF(G2558&lt;=15,"1–15",IF(G2558&lt;=30,"16–30",IF(G2558&lt;=50,"31–50",IF(G2558&lt;=100,"51–100",IF(G2558&lt;=150,"101–150",IF(G2558&lt;=200,"151–200",IF(G2558&lt;=500,"201–500","500+"))))))))</f>
        <v/>
      </c>
      <c r="P2558" s="16" t="inlineStr">
        <is>
          <t>Нет совпадения в предоставленной выгрузке ССЧР</t>
        </is>
      </c>
      <c r="Q2558" s="16" t="n"/>
      <c r="R2558" s="16">
        <f>HYPERLINK("https://checko.ru/search?query=3801001629","Чекко: проверить")</f>
        <v/>
      </c>
      <c r="S2558" t="n">
        <v>0</v>
      </c>
    </row>
    <row r="2559" ht="15" customHeight="1" s="24">
      <c r="A2559" s="13" t="n">
        <v>5000095216</v>
      </c>
      <c r="B2559" s="13" t="inlineStr">
        <is>
          <t>ГКУ КБР "СШОР по боксу"</t>
        </is>
      </c>
      <c r="C2559" s="13" t="n">
        <v>725009233</v>
      </c>
      <c r="D2559" s="13" t="n"/>
      <c r="E2559" s="13" t="inlineStr">
        <is>
          <t>Не определён</t>
        </is>
      </c>
      <c r="F2559" s="13" t="inlineStr">
        <is>
          <t>725009233</t>
        </is>
      </c>
      <c r="G2559" s="14" t="n"/>
      <c r="H2559" s="14" t="n"/>
      <c r="I2559" s="14" t="n"/>
      <c r="J2559" s="14" t="n"/>
      <c r="K2559" s="13">
        <f>IF(G2559="","",IF(G2559&gt;=22,"Да","Нет"))</f>
        <v/>
      </c>
      <c r="L2559" s="13">
        <f>IF(OR(I2559="",J2559=""),"Не определено",IF(OR(COUNTIF(I2559,"45*")&gt;0,COUNTIF(J2559,"*45*")&gt;0,COUNTIF(I2559,"46*")&gt;0,COUNTIF(J2559,"*46*")&gt;0,COUNTIF(I2559,"47*")&gt;0,COUNTIF(J2559,"*47*")&gt;0,COUNTIF(I2559,"10*")&gt;0,COUNTIF(J2559,"*10*")&gt;0,COUNTIF(I2559,"11*")&gt;0,COUNTIF(J2559,"*11*")&gt;0,COUNTIF(I2559,"12*")&gt;0,COUNTIF(J2559,"*12*")&gt;0,COUNTIF(I2559,"13*")&gt;0,COUNTIF(J2559,"*13*")&gt;0,COUNTIF(I2559,"14*")&gt;0,COUNTIF(J2559,"*14*")&gt;0,COUNTIF(I2559,"15*")&gt;0,COUNTIF(J2559,"*15*")&gt;0,COUNTIF(I2559,"16*")&gt;0,COUNTIF(J2559,"*16*")&gt;0,COUNTIF(I2559,"17*")&gt;0,COUNTIF(J2559,"*17*")&gt;0,COUNTIF(I2559,"18*")&gt;0,COUNTIF(J2559,"*18*")&gt;0,COUNTIF(I2559,"19*")&gt;0,COUNTIF(J2559,"*19*")&gt;0,COUNTIF(I2559,"20*")&gt;0,COUNTIF(J2559,"*20*")&gt;0,COUNTIF(I2559,"21*")&gt;0,COUNTIF(J2559,"*21*")&gt;0,COUNTIF(I2559,"22*")&gt;0,COUNTIF(J2559,"*22*")&gt;0,COUNTIF(I2559,"23*")&gt;0,COUNTIF(J2559,"*23*")&gt;0,COUNTIF(I2559,"24*")&gt;0,COUNTIF(J2559,"*24*")&gt;0,COUNTIF(I2559,"25*")&gt;0,COUNTIF(J2559,"*25*")&gt;0,COUNTIF(I2559,"26*")&gt;0,COUNTIF(J2559,"*26*")&gt;0,COUNTIF(I2559,"27*")&gt;0,COUNTIF(J2559,"*27*")&gt;0,COUNTIF(I2559,"28*")&gt;0,COUNTIF(J2559,"*28*")&gt;0,COUNTIF(I2559,"29*")&gt;0,COUNTIF(J2559,"*29*")&gt;0,COUNTIF(I2559,"30*")&gt;0,COUNTIF(J2559,"*30*")&gt;0,COUNTIF(I2559,"31*")&gt;0,COUNTIF(J2559,"*31*")&gt;0,COUNTIF(I2559,"32*")&gt;0,COUNTIF(J2559,"*32*")&gt;0,COUNTIF(I2559,"33*")&gt;0,COUNTIF(J2559,"*33*")&gt;0,COUNTIF(I2559,"41*")&gt;0,COUNTIF(J2559,"*41*")&gt;0,COUNTIF(I2559,"42*")&gt;0,COUNTIF(J2559,"*42*")&gt;0,COUNTIF(I2559,"43*")&gt;0,COUNTIF(J2559,"*43*")&gt;0,COUNTIF(I2559,"49*")&gt;0,COUNTIF(J2559,"*49*")&gt;0,COUNTIF(I2559,"52*")&gt;0,COUNTIF(J2559,"*52*")&gt;0,COUNTIF(I2559,"55*")&gt;0,COUNTIF(J2559,"*55*")&gt;0,COUNTIF(I2559,"56*")&gt;0,COUNTIF(J2559,"*56*")&gt;0,COUNTIF(I2559,"68*")&gt;0,COUNTIF(J2559,"*68*")&gt;0,COUNTIF(I2559,"78*")&gt;0,COUNTIF(J2559,"*78*")&gt;0,COUNTIF(I2559,"81*")&gt;0,COUNTIF(J2559,"*81*")&gt;0,COUNTIF(I2559,"82*")&gt;0,COUNTIF(J2559,"*82*")&gt;0,COUNTIF(I2559,"64*")&gt;0,COUNTIF(J2559,"*64*")&gt;0,COUNTIF(I2559,"65*")&gt;0,COUNTIF(J2559,"*65*")&gt;0,COUNTIF(I2559,"66*")&gt;0,COUNTIF(J2559,"*66*")&gt;0,COUNTIF(I2559,"61*")&gt;0,COUNTIF(J2559,"*61*")&gt;0,COUNTIF(I2559,"62*")&gt;0,COUNTIF(J2559,"*62*")&gt;0,COUNTIF(I2559,"63*")&gt;0,COUNTIF(J2559,"*63*")&gt;0,COUNTIF(I2559,"85*")&gt;0,COUNTIF(J2559,"*85*")&gt;0,COUNTIF(I2559,"86*")&gt;0,COUNTIF(J2559,"*86*")&gt;0),"Да","Нет"))</f>
        <v/>
      </c>
      <c r="M2559" s="13">
        <f>IF(OR(G2559="",L2559&lt;&gt;"Да"),"",IF(G2559&lt;=100,"До 100",IF(G2559&lt;=200,"До 200",IF(G2559&lt;=500,"До 500","Отдельное КП"))))</f>
        <v/>
      </c>
      <c r="N2559" s="15">
        <f>IF(OR(G2559="",L2559&lt;&gt;"Да"),"",IF(G2559&lt;=100,33600,IF(G2559&lt;=200,62400,IF(G2559&lt;=500,144000,""))))</f>
        <v/>
      </c>
      <c r="O2559" s="16">
        <f>IF(G2559="","",IF(G2559&lt;=15,"1–15",IF(G2559&lt;=30,"16–30",IF(G2559&lt;=50,"31–50",IF(G2559&lt;=100,"51–100",IF(G2559&lt;=150,"101–150",IF(G2559&lt;=200,"151–200",IF(G2559&lt;=500,"201–500","500+"))))))))</f>
        <v/>
      </c>
      <c r="P2559" s="16" t="inlineStr">
        <is>
          <t>Нет совпадения в предоставленной выгрузке ССЧР</t>
        </is>
      </c>
      <c r="Q2559" s="16" t="n"/>
      <c r="R2559" s="16">
        <f>HYPERLINK("https://checko.ru/search?query=3801001629","Чекко: проверить")</f>
        <v/>
      </c>
      <c r="S2559" t="n">
        <v>0</v>
      </c>
    </row>
    <row r="2560" ht="15" customHeight="1" s="24">
      <c r="A2560" s="13" t="n">
        <v>5000095217</v>
      </c>
      <c r="B2560" s="13" t="inlineStr">
        <is>
          <t>ГКУ КБР "СШОР по дзюдо им. С. Х. Нирова"</t>
        </is>
      </c>
      <c r="C2560" s="13" t="n">
        <v>725009258</v>
      </c>
      <c r="D2560" s="13" t="n"/>
      <c r="E2560" s="13" t="inlineStr">
        <is>
          <t>Не определён</t>
        </is>
      </c>
      <c r="F2560" s="13" t="inlineStr">
        <is>
          <t>725009258</t>
        </is>
      </c>
      <c r="G2560" s="14" t="n"/>
      <c r="H2560" s="14" t="n"/>
      <c r="I2560" s="14" t="n"/>
      <c r="J2560" s="14" t="n"/>
      <c r="K2560" s="13">
        <f>IF(G2560="","",IF(G2560&gt;=22,"Да","Нет"))</f>
        <v/>
      </c>
      <c r="L2560" s="13">
        <f>IF(OR(I2560="",J2560=""),"Не определено",IF(OR(COUNTIF(I2560,"45*")&gt;0,COUNTIF(J2560,"*45*")&gt;0,COUNTIF(I2560,"46*")&gt;0,COUNTIF(J2560,"*46*")&gt;0,COUNTIF(I2560,"47*")&gt;0,COUNTIF(J2560,"*47*")&gt;0,COUNTIF(I2560,"10*")&gt;0,COUNTIF(J2560,"*10*")&gt;0,COUNTIF(I2560,"11*")&gt;0,COUNTIF(J2560,"*11*")&gt;0,COUNTIF(I2560,"12*")&gt;0,COUNTIF(J2560,"*12*")&gt;0,COUNTIF(I2560,"13*")&gt;0,COUNTIF(J2560,"*13*")&gt;0,COUNTIF(I2560,"14*")&gt;0,COUNTIF(J2560,"*14*")&gt;0,COUNTIF(I2560,"15*")&gt;0,COUNTIF(J2560,"*15*")&gt;0,COUNTIF(I2560,"16*")&gt;0,COUNTIF(J2560,"*16*")&gt;0,COUNTIF(I2560,"17*")&gt;0,COUNTIF(J2560,"*17*")&gt;0,COUNTIF(I2560,"18*")&gt;0,COUNTIF(J2560,"*18*")&gt;0,COUNTIF(I2560,"19*")&gt;0,COUNTIF(J2560,"*19*")&gt;0,COUNTIF(I2560,"20*")&gt;0,COUNTIF(J2560,"*20*")&gt;0,COUNTIF(I2560,"21*")&gt;0,COUNTIF(J2560,"*21*")&gt;0,COUNTIF(I2560,"22*")&gt;0,COUNTIF(J2560,"*22*")&gt;0,COUNTIF(I2560,"23*")&gt;0,COUNTIF(J2560,"*23*")&gt;0,COUNTIF(I2560,"24*")&gt;0,COUNTIF(J2560,"*24*")&gt;0,COUNTIF(I2560,"25*")&gt;0,COUNTIF(J2560,"*25*")&gt;0,COUNTIF(I2560,"26*")&gt;0,COUNTIF(J2560,"*26*")&gt;0,COUNTIF(I2560,"27*")&gt;0,COUNTIF(J2560,"*27*")&gt;0,COUNTIF(I2560,"28*")&gt;0,COUNTIF(J2560,"*28*")&gt;0,COUNTIF(I2560,"29*")&gt;0,COUNTIF(J2560,"*29*")&gt;0,COUNTIF(I2560,"30*")&gt;0,COUNTIF(J2560,"*30*")&gt;0,COUNTIF(I2560,"31*")&gt;0,COUNTIF(J2560,"*31*")&gt;0,COUNTIF(I2560,"32*")&gt;0,COUNTIF(J2560,"*32*")&gt;0,COUNTIF(I2560,"33*")&gt;0,COUNTIF(J2560,"*33*")&gt;0,COUNTIF(I2560,"41*")&gt;0,COUNTIF(J2560,"*41*")&gt;0,COUNTIF(I2560,"42*")&gt;0,COUNTIF(J2560,"*42*")&gt;0,COUNTIF(I2560,"43*")&gt;0,COUNTIF(J2560,"*43*")&gt;0,COUNTIF(I2560,"49*")&gt;0,COUNTIF(J2560,"*49*")&gt;0,COUNTIF(I2560,"52*")&gt;0,COUNTIF(J2560,"*52*")&gt;0,COUNTIF(I2560,"55*")&gt;0,COUNTIF(J2560,"*55*")&gt;0,COUNTIF(I2560,"56*")&gt;0,COUNTIF(J2560,"*56*")&gt;0,COUNTIF(I2560,"68*")&gt;0,COUNTIF(J2560,"*68*")&gt;0,COUNTIF(I2560,"78*")&gt;0,COUNTIF(J2560,"*78*")&gt;0,COUNTIF(I2560,"81*")&gt;0,COUNTIF(J2560,"*81*")&gt;0,COUNTIF(I2560,"82*")&gt;0,COUNTIF(J2560,"*82*")&gt;0,COUNTIF(I2560,"64*")&gt;0,COUNTIF(J2560,"*64*")&gt;0,COUNTIF(I2560,"65*")&gt;0,COUNTIF(J2560,"*65*")&gt;0,COUNTIF(I2560,"66*")&gt;0,COUNTIF(J2560,"*66*")&gt;0,COUNTIF(I2560,"61*")&gt;0,COUNTIF(J2560,"*61*")&gt;0,COUNTIF(I2560,"62*")&gt;0,COUNTIF(J2560,"*62*")&gt;0,COUNTIF(I2560,"63*")&gt;0,COUNTIF(J2560,"*63*")&gt;0,COUNTIF(I2560,"85*")&gt;0,COUNTIF(J2560,"*85*")&gt;0,COUNTIF(I2560,"86*")&gt;0,COUNTIF(J2560,"*86*")&gt;0),"Да","Нет"))</f>
        <v/>
      </c>
      <c r="M2560" s="13">
        <f>IF(OR(G2560="",L2560&lt;&gt;"Да"),"",IF(G2560&lt;=100,"До 100",IF(G2560&lt;=200,"До 200",IF(G2560&lt;=500,"До 500","Отдельное КП"))))</f>
        <v/>
      </c>
      <c r="N2560" s="15">
        <f>IF(OR(G2560="",L2560&lt;&gt;"Да"),"",IF(G2560&lt;=100,33600,IF(G2560&lt;=200,62400,IF(G2560&lt;=500,144000,""))))</f>
        <v/>
      </c>
      <c r="O2560" s="16">
        <f>IF(G2560="","",IF(G2560&lt;=15,"1–15",IF(G2560&lt;=30,"16–30",IF(G2560&lt;=50,"31–50",IF(G2560&lt;=100,"51–100",IF(G2560&lt;=150,"101–150",IF(G2560&lt;=200,"151–200",IF(G2560&lt;=500,"201–500","500+"))))))))</f>
        <v/>
      </c>
      <c r="P2560" s="16" t="inlineStr">
        <is>
          <t>Нет совпадения в предоставленной выгрузке ССЧР</t>
        </is>
      </c>
      <c r="Q2560" s="16" t="n"/>
      <c r="R2560" s="16">
        <f>HYPERLINK("https://checko.ru/search?query=3801001629","Чекко: проверить")</f>
        <v/>
      </c>
      <c r="S2560" t="n">
        <v>0</v>
      </c>
    </row>
    <row r="2561" ht="15" customHeight="1" s="24">
      <c r="A2561" s="13" t="n">
        <v>5000095218</v>
      </c>
      <c r="B2561" s="13" t="inlineStr">
        <is>
          <t>ГКУ КБР "СШОР по футболу им. А. Апшева"</t>
        </is>
      </c>
      <c r="C2561" s="13" t="n">
        <v>725009265</v>
      </c>
      <c r="D2561" s="13" t="n"/>
      <c r="E2561" s="13" t="inlineStr">
        <is>
          <t>Не определён</t>
        </is>
      </c>
      <c r="F2561" s="13" t="inlineStr">
        <is>
          <t>725009265</t>
        </is>
      </c>
      <c r="G2561" s="14" t="n"/>
      <c r="H2561" s="14" t="n"/>
      <c r="I2561" s="14" t="n"/>
      <c r="J2561" s="14" t="n"/>
      <c r="K2561" s="13">
        <f>IF(G2561="","",IF(G2561&gt;=22,"Да","Нет"))</f>
        <v/>
      </c>
      <c r="L2561" s="13">
        <f>IF(OR(I2561="",J2561=""),"Не определено",IF(OR(COUNTIF(I2561,"45*")&gt;0,COUNTIF(J2561,"*45*")&gt;0,COUNTIF(I2561,"46*")&gt;0,COUNTIF(J2561,"*46*")&gt;0,COUNTIF(I2561,"47*")&gt;0,COUNTIF(J2561,"*47*")&gt;0,COUNTIF(I2561,"10*")&gt;0,COUNTIF(J2561,"*10*")&gt;0,COUNTIF(I2561,"11*")&gt;0,COUNTIF(J2561,"*11*")&gt;0,COUNTIF(I2561,"12*")&gt;0,COUNTIF(J2561,"*12*")&gt;0,COUNTIF(I2561,"13*")&gt;0,COUNTIF(J2561,"*13*")&gt;0,COUNTIF(I2561,"14*")&gt;0,COUNTIF(J2561,"*14*")&gt;0,COUNTIF(I2561,"15*")&gt;0,COUNTIF(J2561,"*15*")&gt;0,COUNTIF(I2561,"16*")&gt;0,COUNTIF(J2561,"*16*")&gt;0,COUNTIF(I2561,"17*")&gt;0,COUNTIF(J2561,"*17*")&gt;0,COUNTIF(I2561,"18*")&gt;0,COUNTIF(J2561,"*18*")&gt;0,COUNTIF(I2561,"19*")&gt;0,COUNTIF(J2561,"*19*")&gt;0,COUNTIF(I2561,"20*")&gt;0,COUNTIF(J2561,"*20*")&gt;0,COUNTIF(I2561,"21*")&gt;0,COUNTIF(J2561,"*21*")&gt;0,COUNTIF(I2561,"22*")&gt;0,COUNTIF(J2561,"*22*")&gt;0,COUNTIF(I2561,"23*")&gt;0,COUNTIF(J2561,"*23*")&gt;0,COUNTIF(I2561,"24*")&gt;0,COUNTIF(J2561,"*24*")&gt;0,COUNTIF(I2561,"25*")&gt;0,COUNTIF(J2561,"*25*")&gt;0,COUNTIF(I2561,"26*")&gt;0,COUNTIF(J2561,"*26*")&gt;0,COUNTIF(I2561,"27*")&gt;0,COUNTIF(J2561,"*27*")&gt;0,COUNTIF(I2561,"28*")&gt;0,COUNTIF(J2561,"*28*")&gt;0,COUNTIF(I2561,"29*")&gt;0,COUNTIF(J2561,"*29*")&gt;0,COUNTIF(I2561,"30*")&gt;0,COUNTIF(J2561,"*30*")&gt;0,COUNTIF(I2561,"31*")&gt;0,COUNTIF(J2561,"*31*")&gt;0,COUNTIF(I2561,"32*")&gt;0,COUNTIF(J2561,"*32*")&gt;0,COUNTIF(I2561,"33*")&gt;0,COUNTIF(J2561,"*33*")&gt;0,COUNTIF(I2561,"41*")&gt;0,COUNTIF(J2561,"*41*")&gt;0,COUNTIF(I2561,"42*")&gt;0,COUNTIF(J2561,"*42*")&gt;0,COUNTIF(I2561,"43*")&gt;0,COUNTIF(J2561,"*43*")&gt;0,COUNTIF(I2561,"49*")&gt;0,COUNTIF(J2561,"*49*")&gt;0,COUNTIF(I2561,"52*")&gt;0,COUNTIF(J2561,"*52*")&gt;0,COUNTIF(I2561,"55*")&gt;0,COUNTIF(J2561,"*55*")&gt;0,COUNTIF(I2561,"56*")&gt;0,COUNTIF(J2561,"*56*")&gt;0,COUNTIF(I2561,"68*")&gt;0,COUNTIF(J2561,"*68*")&gt;0,COUNTIF(I2561,"78*")&gt;0,COUNTIF(J2561,"*78*")&gt;0,COUNTIF(I2561,"81*")&gt;0,COUNTIF(J2561,"*81*")&gt;0,COUNTIF(I2561,"82*")&gt;0,COUNTIF(J2561,"*82*")&gt;0,COUNTIF(I2561,"64*")&gt;0,COUNTIF(J2561,"*64*")&gt;0,COUNTIF(I2561,"65*")&gt;0,COUNTIF(J2561,"*65*")&gt;0,COUNTIF(I2561,"66*")&gt;0,COUNTIF(J2561,"*66*")&gt;0,COUNTIF(I2561,"61*")&gt;0,COUNTIF(J2561,"*61*")&gt;0,COUNTIF(I2561,"62*")&gt;0,COUNTIF(J2561,"*62*")&gt;0,COUNTIF(I2561,"63*")&gt;0,COUNTIF(J2561,"*63*")&gt;0,COUNTIF(I2561,"85*")&gt;0,COUNTIF(J2561,"*85*")&gt;0,COUNTIF(I2561,"86*")&gt;0,COUNTIF(J2561,"*86*")&gt;0),"Да","Нет"))</f>
        <v/>
      </c>
      <c r="M2561" s="13">
        <f>IF(OR(G2561="",L2561&lt;&gt;"Да"),"",IF(G2561&lt;=100,"До 100",IF(G2561&lt;=200,"До 200",IF(G2561&lt;=500,"До 500","Отдельное КП"))))</f>
        <v/>
      </c>
      <c r="N2561" s="15">
        <f>IF(OR(G2561="",L2561&lt;&gt;"Да"),"",IF(G2561&lt;=100,33600,IF(G2561&lt;=200,62400,IF(G2561&lt;=500,144000,""))))</f>
        <v/>
      </c>
      <c r="O2561" s="16">
        <f>IF(G2561="","",IF(G2561&lt;=15,"1–15",IF(G2561&lt;=30,"16–30",IF(G2561&lt;=50,"31–50",IF(G2561&lt;=100,"51–100",IF(G2561&lt;=150,"101–150",IF(G2561&lt;=200,"151–200",IF(G2561&lt;=500,"201–500","500+"))))))))</f>
        <v/>
      </c>
      <c r="P2561" s="16" t="inlineStr">
        <is>
          <t>Нет совпадения в предоставленной выгрузке ССЧР</t>
        </is>
      </c>
      <c r="Q2561" s="16" t="n"/>
      <c r="R2561" s="16">
        <f>HYPERLINK("https://checko.ru/search?query=3801001629","Чекко: проверить")</f>
        <v/>
      </c>
      <c r="S2561" t="n">
        <v>0</v>
      </c>
    </row>
    <row r="2562" ht="15" customHeight="1" s="24">
      <c r="A2562" s="13" t="n">
        <v>5000095219</v>
      </c>
      <c r="B2562" s="13" t="inlineStr">
        <is>
          <t>ГКУ КБР "СШОР по греко-римской борьбе"</t>
        </is>
      </c>
      <c r="C2562" s="13" t="n">
        <v>725009272</v>
      </c>
      <c r="D2562" s="13" t="n"/>
      <c r="E2562" s="13" t="inlineStr">
        <is>
          <t>Не определён</t>
        </is>
      </c>
      <c r="F2562" s="13" t="inlineStr">
        <is>
          <t>725009272</t>
        </is>
      </c>
      <c r="G2562" s="14" t="n"/>
      <c r="H2562" s="14" t="n"/>
      <c r="I2562" s="14" t="n"/>
      <c r="J2562" s="14" t="n"/>
      <c r="K2562" s="13">
        <f>IF(G2562="","",IF(G2562&gt;=22,"Да","Нет"))</f>
        <v/>
      </c>
      <c r="L2562" s="13">
        <f>IF(OR(I2562="",J2562=""),"Не определено",IF(OR(COUNTIF(I2562,"45*")&gt;0,COUNTIF(J2562,"*45*")&gt;0,COUNTIF(I2562,"46*")&gt;0,COUNTIF(J2562,"*46*")&gt;0,COUNTIF(I2562,"47*")&gt;0,COUNTIF(J2562,"*47*")&gt;0,COUNTIF(I2562,"10*")&gt;0,COUNTIF(J2562,"*10*")&gt;0,COUNTIF(I2562,"11*")&gt;0,COUNTIF(J2562,"*11*")&gt;0,COUNTIF(I2562,"12*")&gt;0,COUNTIF(J2562,"*12*")&gt;0,COUNTIF(I2562,"13*")&gt;0,COUNTIF(J2562,"*13*")&gt;0,COUNTIF(I2562,"14*")&gt;0,COUNTIF(J2562,"*14*")&gt;0,COUNTIF(I2562,"15*")&gt;0,COUNTIF(J2562,"*15*")&gt;0,COUNTIF(I2562,"16*")&gt;0,COUNTIF(J2562,"*16*")&gt;0,COUNTIF(I2562,"17*")&gt;0,COUNTIF(J2562,"*17*")&gt;0,COUNTIF(I2562,"18*")&gt;0,COUNTIF(J2562,"*18*")&gt;0,COUNTIF(I2562,"19*")&gt;0,COUNTIF(J2562,"*19*")&gt;0,COUNTIF(I2562,"20*")&gt;0,COUNTIF(J2562,"*20*")&gt;0,COUNTIF(I2562,"21*")&gt;0,COUNTIF(J2562,"*21*")&gt;0,COUNTIF(I2562,"22*")&gt;0,COUNTIF(J2562,"*22*")&gt;0,COUNTIF(I2562,"23*")&gt;0,COUNTIF(J2562,"*23*")&gt;0,COUNTIF(I2562,"24*")&gt;0,COUNTIF(J2562,"*24*")&gt;0,COUNTIF(I2562,"25*")&gt;0,COUNTIF(J2562,"*25*")&gt;0,COUNTIF(I2562,"26*")&gt;0,COUNTIF(J2562,"*26*")&gt;0,COUNTIF(I2562,"27*")&gt;0,COUNTIF(J2562,"*27*")&gt;0,COUNTIF(I2562,"28*")&gt;0,COUNTIF(J2562,"*28*")&gt;0,COUNTIF(I2562,"29*")&gt;0,COUNTIF(J2562,"*29*")&gt;0,COUNTIF(I2562,"30*")&gt;0,COUNTIF(J2562,"*30*")&gt;0,COUNTIF(I2562,"31*")&gt;0,COUNTIF(J2562,"*31*")&gt;0,COUNTIF(I2562,"32*")&gt;0,COUNTIF(J2562,"*32*")&gt;0,COUNTIF(I2562,"33*")&gt;0,COUNTIF(J2562,"*33*")&gt;0,COUNTIF(I2562,"41*")&gt;0,COUNTIF(J2562,"*41*")&gt;0,COUNTIF(I2562,"42*")&gt;0,COUNTIF(J2562,"*42*")&gt;0,COUNTIF(I2562,"43*")&gt;0,COUNTIF(J2562,"*43*")&gt;0,COUNTIF(I2562,"49*")&gt;0,COUNTIF(J2562,"*49*")&gt;0,COUNTIF(I2562,"52*")&gt;0,COUNTIF(J2562,"*52*")&gt;0,COUNTIF(I2562,"55*")&gt;0,COUNTIF(J2562,"*55*")&gt;0,COUNTIF(I2562,"56*")&gt;0,COUNTIF(J2562,"*56*")&gt;0,COUNTIF(I2562,"68*")&gt;0,COUNTIF(J2562,"*68*")&gt;0,COUNTIF(I2562,"78*")&gt;0,COUNTIF(J2562,"*78*")&gt;0,COUNTIF(I2562,"81*")&gt;0,COUNTIF(J2562,"*81*")&gt;0,COUNTIF(I2562,"82*")&gt;0,COUNTIF(J2562,"*82*")&gt;0,COUNTIF(I2562,"64*")&gt;0,COUNTIF(J2562,"*64*")&gt;0,COUNTIF(I2562,"65*")&gt;0,COUNTIF(J2562,"*65*")&gt;0,COUNTIF(I2562,"66*")&gt;0,COUNTIF(J2562,"*66*")&gt;0,COUNTIF(I2562,"61*")&gt;0,COUNTIF(J2562,"*61*")&gt;0,COUNTIF(I2562,"62*")&gt;0,COUNTIF(J2562,"*62*")&gt;0,COUNTIF(I2562,"63*")&gt;0,COUNTIF(J2562,"*63*")&gt;0,COUNTIF(I2562,"85*")&gt;0,COUNTIF(J2562,"*85*")&gt;0,COUNTIF(I2562,"86*")&gt;0,COUNTIF(J2562,"*86*")&gt;0),"Да","Нет"))</f>
        <v/>
      </c>
      <c r="M2562" s="13">
        <f>IF(OR(G2562="",L2562&lt;&gt;"Да"),"",IF(G2562&lt;=100,"До 100",IF(G2562&lt;=200,"До 200",IF(G2562&lt;=500,"До 500","Отдельное КП"))))</f>
        <v/>
      </c>
      <c r="N2562" s="15">
        <f>IF(OR(G2562="",L2562&lt;&gt;"Да"),"",IF(G2562&lt;=100,33600,IF(G2562&lt;=200,62400,IF(G2562&lt;=500,144000,""))))</f>
        <v/>
      </c>
      <c r="O2562" s="16">
        <f>IF(G2562="","",IF(G2562&lt;=15,"1–15",IF(G2562&lt;=30,"16–30",IF(G2562&lt;=50,"31–50",IF(G2562&lt;=100,"51–100",IF(G2562&lt;=150,"101–150",IF(G2562&lt;=200,"151–200",IF(G2562&lt;=500,"201–500","500+"))))))))</f>
        <v/>
      </c>
      <c r="P2562" s="16" t="inlineStr">
        <is>
          <t>Нет совпадения в предоставленной выгрузке ССЧР</t>
        </is>
      </c>
      <c r="Q2562" s="16" t="n"/>
      <c r="R2562" s="16">
        <f>HYPERLINK("https://checko.ru/search?query=3801001629","Чекко: проверить")</f>
        <v/>
      </c>
      <c r="S2562" t="n">
        <v>0</v>
      </c>
    </row>
    <row r="2563" ht="15" customHeight="1" s="24">
      <c r="A2563" s="13" t="n">
        <v>5000095220</v>
      </c>
      <c r="B2563" s="13" t="inlineStr">
        <is>
          <t>ГБУ ЦПМСС</t>
        </is>
      </c>
      <c r="C2563" s="13" t="n">
        <v>725009995</v>
      </c>
      <c r="D2563" s="13" t="n"/>
      <c r="E2563" s="13" t="inlineStr">
        <is>
          <t>Не определён</t>
        </is>
      </c>
      <c r="F2563" s="13" t="inlineStr">
        <is>
          <t>725009995</t>
        </is>
      </c>
      <c r="G2563" s="14" t="n"/>
      <c r="H2563" s="14" t="n"/>
      <c r="I2563" s="14" t="n"/>
      <c r="J2563" s="14" t="n"/>
      <c r="K2563" s="13">
        <f>IF(G2563="","",IF(G2563&gt;=22,"Да","Нет"))</f>
        <v/>
      </c>
      <c r="L2563" s="13">
        <f>IF(OR(I2563="",J2563=""),"Не определено",IF(OR(COUNTIF(I2563,"45*")&gt;0,COUNTIF(J2563,"*45*")&gt;0,COUNTIF(I2563,"46*")&gt;0,COUNTIF(J2563,"*46*")&gt;0,COUNTIF(I2563,"47*")&gt;0,COUNTIF(J2563,"*47*")&gt;0,COUNTIF(I2563,"10*")&gt;0,COUNTIF(J2563,"*10*")&gt;0,COUNTIF(I2563,"11*")&gt;0,COUNTIF(J2563,"*11*")&gt;0,COUNTIF(I2563,"12*")&gt;0,COUNTIF(J2563,"*12*")&gt;0,COUNTIF(I2563,"13*")&gt;0,COUNTIF(J2563,"*13*")&gt;0,COUNTIF(I2563,"14*")&gt;0,COUNTIF(J2563,"*14*")&gt;0,COUNTIF(I2563,"15*")&gt;0,COUNTIF(J2563,"*15*")&gt;0,COUNTIF(I2563,"16*")&gt;0,COUNTIF(J2563,"*16*")&gt;0,COUNTIF(I2563,"17*")&gt;0,COUNTIF(J2563,"*17*")&gt;0,COUNTIF(I2563,"18*")&gt;0,COUNTIF(J2563,"*18*")&gt;0,COUNTIF(I2563,"19*")&gt;0,COUNTIF(J2563,"*19*")&gt;0,COUNTIF(I2563,"20*")&gt;0,COUNTIF(J2563,"*20*")&gt;0,COUNTIF(I2563,"21*")&gt;0,COUNTIF(J2563,"*21*")&gt;0,COUNTIF(I2563,"22*")&gt;0,COUNTIF(J2563,"*22*")&gt;0,COUNTIF(I2563,"23*")&gt;0,COUNTIF(J2563,"*23*")&gt;0,COUNTIF(I2563,"24*")&gt;0,COUNTIF(J2563,"*24*")&gt;0,COUNTIF(I2563,"25*")&gt;0,COUNTIF(J2563,"*25*")&gt;0,COUNTIF(I2563,"26*")&gt;0,COUNTIF(J2563,"*26*")&gt;0,COUNTIF(I2563,"27*")&gt;0,COUNTIF(J2563,"*27*")&gt;0,COUNTIF(I2563,"28*")&gt;0,COUNTIF(J2563,"*28*")&gt;0,COUNTIF(I2563,"29*")&gt;0,COUNTIF(J2563,"*29*")&gt;0,COUNTIF(I2563,"30*")&gt;0,COUNTIF(J2563,"*30*")&gt;0,COUNTIF(I2563,"31*")&gt;0,COUNTIF(J2563,"*31*")&gt;0,COUNTIF(I2563,"32*")&gt;0,COUNTIF(J2563,"*32*")&gt;0,COUNTIF(I2563,"33*")&gt;0,COUNTIF(J2563,"*33*")&gt;0,COUNTIF(I2563,"41*")&gt;0,COUNTIF(J2563,"*41*")&gt;0,COUNTIF(I2563,"42*")&gt;0,COUNTIF(J2563,"*42*")&gt;0,COUNTIF(I2563,"43*")&gt;0,COUNTIF(J2563,"*43*")&gt;0,COUNTIF(I2563,"49*")&gt;0,COUNTIF(J2563,"*49*")&gt;0,COUNTIF(I2563,"52*")&gt;0,COUNTIF(J2563,"*52*")&gt;0,COUNTIF(I2563,"55*")&gt;0,COUNTIF(J2563,"*55*")&gt;0,COUNTIF(I2563,"56*")&gt;0,COUNTIF(J2563,"*56*")&gt;0,COUNTIF(I2563,"68*")&gt;0,COUNTIF(J2563,"*68*")&gt;0,COUNTIF(I2563,"78*")&gt;0,COUNTIF(J2563,"*78*")&gt;0,COUNTIF(I2563,"81*")&gt;0,COUNTIF(J2563,"*81*")&gt;0,COUNTIF(I2563,"82*")&gt;0,COUNTIF(J2563,"*82*")&gt;0,COUNTIF(I2563,"64*")&gt;0,COUNTIF(J2563,"*64*")&gt;0,COUNTIF(I2563,"65*")&gt;0,COUNTIF(J2563,"*65*")&gt;0,COUNTIF(I2563,"66*")&gt;0,COUNTIF(J2563,"*66*")&gt;0,COUNTIF(I2563,"61*")&gt;0,COUNTIF(J2563,"*61*")&gt;0,COUNTIF(I2563,"62*")&gt;0,COUNTIF(J2563,"*62*")&gt;0,COUNTIF(I2563,"63*")&gt;0,COUNTIF(J2563,"*63*")&gt;0,COUNTIF(I2563,"85*")&gt;0,COUNTIF(J2563,"*85*")&gt;0,COUNTIF(I2563,"86*")&gt;0,COUNTIF(J2563,"*86*")&gt;0),"Да","Нет"))</f>
        <v/>
      </c>
      <c r="M2563" s="13">
        <f>IF(OR(G2563="",L2563&lt;&gt;"Да"),"",IF(G2563&lt;=100,"До 100",IF(G2563&lt;=200,"До 200",IF(G2563&lt;=500,"До 500","Отдельное КП"))))</f>
        <v/>
      </c>
      <c r="N2563" s="15">
        <f>IF(OR(G2563="",L2563&lt;&gt;"Да"),"",IF(G2563&lt;=100,33600,IF(G2563&lt;=200,62400,IF(G2563&lt;=500,144000,""))))</f>
        <v/>
      </c>
      <c r="O2563" s="16">
        <f>IF(G2563="","",IF(G2563&lt;=15,"1–15",IF(G2563&lt;=30,"16–30",IF(G2563&lt;=50,"31–50",IF(G2563&lt;=100,"51–100",IF(G2563&lt;=150,"101–150",IF(G2563&lt;=200,"151–200",IF(G2563&lt;=500,"201–500","500+"))))))))</f>
        <v/>
      </c>
      <c r="P2563" s="16" t="inlineStr">
        <is>
          <t>Нет совпадения в предоставленной выгрузке ССЧР</t>
        </is>
      </c>
      <c r="Q2563" s="16" t="n"/>
      <c r="R2563" s="16">
        <f>HYPERLINK("https://checko.ru/search?query=3801001629","Чекко: проверить")</f>
        <v/>
      </c>
      <c r="S2563" t="n">
        <v>0</v>
      </c>
    </row>
    <row r="2564" ht="15" customHeight="1" s="24">
      <c r="A2564" s="13" t="n">
        <v>5000095221</v>
      </c>
      <c r="B2564" s="13" t="inlineStr">
        <is>
          <t>ГКТ и ЖН КБР</t>
        </is>
      </c>
      <c r="C2564" s="13" t="n">
        <v>725010542</v>
      </c>
      <c r="D2564" s="13" t="n"/>
      <c r="E2564" s="13" t="inlineStr">
        <is>
          <t>Не определён</t>
        </is>
      </c>
      <c r="F2564" s="13" t="inlineStr">
        <is>
          <t>725010542</t>
        </is>
      </c>
      <c r="G2564" s="14" t="n"/>
      <c r="H2564" s="14" t="n"/>
      <c r="I2564" s="14" t="n"/>
      <c r="J2564" s="14" t="n"/>
      <c r="K2564" s="13">
        <f>IF(G2564="","",IF(G2564&gt;=22,"Да","Нет"))</f>
        <v/>
      </c>
      <c r="L2564" s="13">
        <f>IF(OR(I2564="",J2564=""),"Не определено",IF(OR(COUNTIF(I2564,"45*")&gt;0,COUNTIF(J2564,"*45*")&gt;0,COUNTIF(I2564,"46*")&gt;0,COUNTIF(J2564,"*46*")&gt;0,COUNTIF(I2564,"47*")&gt;0,COUNTIF(J2564,"*47*")&gt;0,COUNTIF(I2564,"10*")&gt;0,COUNTIF(J2564,"*10*")&gt;0,COUNTIF(I2564,"11*")&gt;0,COUNTIF(J2564,"*11*")&gt;0,COUNTIF(I2564,"12*")&gt;0,COUNTIF(J2564,"*12*")&gt;0,COUNTIF(I2564,"13*")&gt;0,COUNTIF(J2564,"*13*")&gt;0,COUNTIF(I2564,"14*")&gt;0,COUNTIF(J2564,"*14*")&gt;0,COUNTIF(I2564,"15*")&gt;0,COUNTIF(J2564,"*15*")&gt;0,COUNTIF(I2564,"16*")&gt;0,COUNTIF(J2564,"*16*")&gt;0,COUNTIF(I2564,"17*")&gt;0,COUNTIF(J2564,"*17*")&gt;0,COUNTIF(I2564,"18*")&gt;0,COUNTIF(J2564,"*18*")&gt;0,COUNTIF(I2564,"19*")&gt;0,COUNTIF(J2564,"*19*")&gt;0,COUNTIF(I2564,"20*")&gt;0,COUNTIF(J2564,"*20*")&gt;0,COUNTIF(I2564,"21*")&gt;0,COUNTIF(J2564,"*21*")&gt;0,COUNTIF(I2564,"22*")&gt;0,COUNTIF(J2564,"*22*")&gt;0,COUNTIF(I2564,"23*")&gt;0,COUNTIF(J2564,"*23*")&gt;0,COUNTIF(I2564,"24*")&gt;0,COUNTIF(J2564,"*24*")&gt;0,COUNTIF(I2564,"25*")&gt;0,COUNTIF(J2564,"*25*")&gt;0,COUNTIF(I2564,"26*")&gt;0,COUNTIF(J2564,"*26*")&gt;0,COUNTIF(I2564,"27*")&gt;0,COUNTIF(J2564,"*27*")&gt;0,COUNTIF(I2564,"28*")&gt;0,COUNTIF(J2564,"*28*")&gt;0,COUNTIF(I2564,"29*")&gt;0,COUNTIF(J2564,"*29*")&gt;0,COUNTIF(I2564,"30*")&gt;0,COUNTIF(J2564,"*30*")&gt;0,COUNTIF(I2564,"31*")&gt;0,COUNTIF(J2564,"*31*")&gt;0,COUNTIF(I2564,"32*")&gt;0,COUNTIF(J2564,"*32*")&gt;0,COUNTIF(I2564,"33*")&gt;0,COUNTIF(J2564,"*33*")&gt;0,COUNTIF(I2564,"41*")&gt;0,COUNTIF(J2564,"*41*")&gt;0,COUNTIF(I2564,"42*")&gt;0,COUNTIF(J2564,"*42*")&gt;0,COUNTIF(I2564,"43*")&gt;0,COUNTIF(J2564,"*43*")&gt;0,COUNTIF(I2564,"49*")&gt;0,COUNTIF(J2564,"*49*")&gt;0,COUNTIF(I2564,"52*")&gt;0,COUNTIF(J2564,"*52*")&gt;0,COUNTIF(I2564,"55*")&gt;0,COUNTIF(J2564,"*55*")&gt;0,COUNTIF(I2564,"56*")&gt;0,COUNTIF(J2564,"*56*")&gt;0,COUNTIF(I2564,"68*")&gt;0,COUNTIF(J2564,"*68*")&gt;0,COUNTIF(I2564,"78*")&gt;0,COUNTIF(J2564,"*78*")&gt;0,COUNTIF(I2564,"81*")&gt;0,COUNTIF(J2564,"*81*")&gt;0,COUNTIF(I2564,"82*")&gt;0,COUNTIF(J2564,"*82*")&gt;0,COUNTIF(I2564,"64*")&gt;0,COUNTIF(J2564,"*64*")&gt;0,COUNTIF(I2564,"65*")&gt;0,COUNTIF(J2564,"*65*")&gt;0,COUNTIF(I2564,"66*")&gt;0,COUNTIF(J2564,"*66*")&gt;0,COUNTIF(I2564,"61*")&gt;0,COUNTIF(J2564,"*61*")&gt;0,COUNTIF(I2564,"62*")&gt;0,COUNTIF(J2564,"*62*")&gt;0,COUNTIF(I2564,"63*")&gt;0,COUNTIF(J2564,"*63*")&gt;0,COUNTIF(I2564,"85*")&gt;0,COUNTIF(J2564,"*85*")&gt;0,COUNTIF(I2564,"86*")&gt;0,COUNTIF(J2564,"*86*")&gt;0),"Да","Нет"))</f>
        <v/>
      </c>
      <c r="M2564" s="13">
        <f>IF(OR(G2564="",L2564&lt;&gt;"Да"),"",IF(G2564&lt;=100,"До 100",IF(G2564&lt;=200,"До 200",IF(G2564&lt;=500,"До 500","Отдельное КП"))))</f>
        <v/>
      </c>
      <c r="N2564" s="15">
        <f>IF(OR(G2564="",L2564&lt;&gt;"Да"),"",IF(G2564&lt;=100,33600,IF(G2564&lt;=200,62400,IF(G2564&lt;=500,144000,""))))</f>
        <v/>
      </c>
      <c r="O2564" s="16">
        <f>IF(G2564="","",IF(G2564&lt;=15,"1–15",IF(G2564&lt;=30,"16–30",IF(G2564&lt;=50,"31–50",IF(G2564&lt;=100,"51–100",IF(G2564&lt;=150,"101–150",IF(G2564&lt;=200,"151–200",IF(G2564&lt;=500,"201–500","500+"))))))))</f>
        <v/>
      </c>
      <c r="P2564" s="16" t="inlineStr">
        <is>
          <t>Нет совпадения в предоставленной выгрузке ССЧР</t>
        </is>
      </c>
      <c r="Q2564" s="16" t="n"/>
      <c r="R2564" s="16">
        <f>HYPERLINK("https://checko.ru/search?query=3801001629","Чекко: проверить")</f>
        <v/>
      </c>
      <c r="S2564" t="n">
        <v>0</v>
      </c>
    </row>
    <row r="2565" ht="15" customHeight="1" s="24">
      <c r="A2565" s="13" t="n">
        <v>5000095222</v>
      </c>
      <c r="B2565" s="13" t="inlineStr">
        <is>
          <t>Минпромэнерготорг КБР</t>
        </is>
      </c>
      <c r="C2565" s="13" t="n">
        <v>725010768</v>
      </c>
      <c r="D2565" s="13" t="n"/>
      <c r="E2565" s="13" t="inlineStr">
        <is>
          <t>Не определён</t>
        </is>
      </c>
      <c r="F2565" s="13" t="inlineStr">
        <is>
          <t>725010768</t>
        </is>
      </c>
      <c r="G2565" s="14" t="n"/>
      <c r="H2565" s="14" t="n"/>
      <c r="I2565" s="14" t="n"/>
      <c r="J2565" s="14" t="n"/>
      <c r="K2565" s="13">
        <f>IF(G2565="","",IF(G2565&gt;=22,"Да","Нет"))</f>
        <v/>
      </c>
      <c r="L2565" s="13">
        <f>IF(OR(I2565="",J2565=""),"Не определено",IF(OR(COUNTIF(I2565,"45*")&gt;0,COUNTIF(J2565,"*45*")&gt;0,COUNTIF(I2565,"46*")&gt;0,COUNTIF(J2565,"*46*")&gt;0,COUNTIF(I2565,"47*")&gt;0,COUNTIF(J2565,"*47*")&gt;0,COUNTIF(I2565,"10*")&gt;0,COUNTIF(J2565,"*10*")&gt;0,COUNTIF(I2565,"11*")&gt;0,COUNTIF(J2565,"*11*")&gt;0,COUNTIF(I2565,"12*")&gt;0,COUNTIF(J2565,"*12*")&gt;0,COUNTIF(I2565,"13*")&gt;0,COUNTIF(J2565,"*13*")&gt;0,COUNTIF(I2565,"14*")&gt;0,COUNTIF(J2565,"*14*")&gt;0,COUNTIF(I2565,"15*")&gt;0,COUNTIF(J2565,"*15*")&gt;0,COUNTIF(I2565,"16*")&gt;0,COUNTIF(J2565,"*16*")&gt;0,COUNTIF(I2565,"17*")&gt;0,COUNTIF(J2565,"*17*")&gt;0,COUNTIF(I2565,"18*")&gt;0,COUNTIF(J2565,"*18*")&gt;0,COUNTIF(I2565,"19*")&gt;0,COUNTIF(J2565,"*19*")&gt;0,COUNTIF(I2565,"20*")&gt;0,COUNTIF(J2565,"*20*")&gt;0,COUNTIF(I2565,"21*")&gt;0,COUNTIF(J2565,"*21*")&gt;0,COUNTIF(I2565,"22*")&gt;0,COUNTIF(J2565,"*22*")&gt;0,COUNTIF(I2565,"23*")&gt;0,COUNTIF(J2565,"*23*")&gt;0,COUNTIF(I2565,"24*")&gt;0,COUNTIF(J2565,"*24*")&gt;0,COUNTIF(I2565,"25*")&gt;0,COUNTIF(J2565,"*25*")&gt;0,COUNTIF(I2565,"26*")&gt;0,COUNTIF(J2565,"*26*")&gt;0,COUNTIF(I2565,"27*")&gt;0,COUNTIF(J2565,"*27*")&gt;0,COUNTIF(I2565,"28*")&gt;0,COUNTIF(J2565,"*28*")&gt;0,COUNTIF(I2565,"29*")&gt;0,COUNTIF(J2565,"*29*")&gt;0,COUNTIF(I2565,"30*")&gt;0,COUNTIF(J2565,"*30*")&gt;0,COUNTIF(I2565,"31*")&gt;0,COUNTIF(J2565,"*31*")&gt;0,COUNTIF(I2565,"32*")&gt;0,COUNTIF(J2565,"*32*")&gt;0,COUNTIF(I2565,"33*")&gt;0,COUNTIF(J2565,"*33*")&gt;0,COUNTIF(I2565,"41*")&gt;0,COUNTIF(J2565,"*41*")&gt;0,COUNTIF(I2565,"42*")&gt;0,COUNTIF(J2565,"*42*")&gt;0,COUNTIF(I2565,"43*")&gt;0,COUNTIF(J2565,"*43*")&gt;0,COUNTIF(I2565,"49*")&gt;0,COUNTIF(J2565,"*49*")&gt;0,COUNTIF(I2565,"52*")&gt;0,COUNTIF(J2565,"*52*")&gt;0,COUNTIF(I2565,"55*")&gt;0,COUNTIF(J2565,"*55*")&gt;0,COUNTIF(I2565,"56*")&gt;0,COUNTIF(J2565,"*56*")&gt;0,COUNTIF(I2565,"68*")&gt;0,COUNTIF(J2565,"*68*")&gt;0,COUNTIF(I2565,"78*")&gt;0,COUNTIF(J2565,"*78*")&gt;0,COUNTIF(I2565,"81*")&gt;0,COUNTIF(J2565,"*81*")&gt;0,COUNTIF(I2565,"82*")&gt;0,COUNTIF(J2565,"*82*")&gt;0,COUNTIF(I2565,"64*")&gt;0,COUNTIF(J2565,"*64*")&gt;0,COUNTIF(I2565,"65*")&gt;0,COUNTIF(J2565,"*65*")&gt;0,COUNTIF(I2565,"66*")&gt;0,COUNTIF(J2565,"*66*")&gt;0,COUNTIF(I2565,"61*")&gt;0,COUNTIF(J2565,"*61*")&gt;0,COUNTIF(I2565,"62*")&gt;0,COUNTIF(J2565,"*62*")&gt;0,COUNTIF(I2565,"63*")&gt;0,COUNTIF(J2565,"*63*")&gt;0,COUNTIF(I2565,"85*")&gt;0,COUNTIF(J2565,"*85*")&gt;0,COUNTIF(I2565,"86*")&gt;0,COUNTIF(J2565,"*86*")&gt;0),"Да","Нет"))</f>
        <v/>
      </c>
      <c r="M2565" s="13">
        <f>IF(OR(G2565="",L2565&lt;&gt;"Да"),"",IF(G2565&lt;=100,"До 100",IF(G2565&lt;=200,"До 200",IF(G2565&lt;=500,"До 500","Отдельное КП"))))</f>
        <v/>
      </c>
      <c r="N2565" s="15">
        <f>IF(OR(G2565="",L2565&lt;&gt;"Да"),"",IF(G2565&lt;=100,33600,IF(G2565&lt;=200,62400,IF(G2565&lt;=500,144000,""))))</f>
        <v/>
      </c>
      <c r="O2565" s="16">
        <f>IF(G2565="","",IF(G2565&lt;=15,"1–15",IF(G2565&lt;=30,"16–30",IF(G2565&lt;=50,"31–50",IF(G2565&lt;=100,"51–100",IF(G2565&lt;=150,"101–150",IF(G2565&lt;=200,"151–200",IF(G2565&lt;=500,"201–500","500+"))))))))</f>
        <v/>
      </c>
      <c r="P2565" s="16" t="inlineStr">
        <is>
          <t>Нет совпадения в предоставленной выгрузке ССЧР</t>
        </is>
      </c>
      <c r="Q2565" s="16" t="n"/>
      <c r="R2565" s="16">
        <f>HYPERLINK("https://checko.ru/search?query=3801001629","Чекко: проверить")</f>
        <v/>
      </c>
      <c r="S2565" t="n">
        <v>0</v>
      </c>
    </row>
    <row r="2566" ht="15" customHeight="1" s="24">
      <c r="A2566" s="13" t="n">
        <v>5000095226</v>
      </c>
      <c r="B2566" s="13" t="inlineStr">
        <is>
          <t>Минэкономразвития КБР</t>
        </is>
      </c>
      <c r="C2566" s="13" t="n">
        <v>725011659</v>
      </c>
      <c r="D2566" s="13" t="n"/>
      <c r="E2566" s="13" t="inlineStr">
        <is>
          <t>Не определён</t>
        </is>
      </c>
      <c r="F2566" s="13" t="inlineStr">
        <is>
          <t>725011659</t>
        </is>
      </c>
      <c r="G2566" s="14" t="n"/>
      <c r="H2566" s="14" t="n"/>
      <c r="I2566" s="14" t="n"/>
      <c r="J2566" s="14" t="n"/>
      <c r="K2566" s="13">
        <f>IF(G2566="","",IF(G2566&gt;=22,"Да","Нет"))</f>
        <v/>
      </c>
      <c r="L2566" s="13">
        <f>IF(OR(I2566="",J2566=""),"Не определено",IF(OR(COUNTIF(I2566,"45*")&gt;0,COUNTIF(J2566,"*45*")&gt;0,COUNTIF(I2566,"46*")&gt;0,COUNTIF(J2566,"*46*")&gt;0,COUNTIF(I2566,"47*")&gt;0,COUNTIF(J2566,"*47*")&gt;0,COUNTIF(I2566,"10*")&gt;0,COUNTIF(J2566,"*10*")&gt;0,COUNTIF(I2566,"11*")&gt;0,COUNTIF(J2566,"*11*")&gt;0,COUNTIF(I2566,"12*")&gt;0,COUNTIF(J2566,"*12*")&gt;0,COUNTIF(I2566,"13*")&gt;0,COUNTIF(J2566,"*13*")&gt;0,COUNTIF(I2566,"14*")&gt;0,COUNTIF(J2566,"*14*")&gt;0,COUNTIF(I2566,"15*")&gt;0,COUNTIF(J2566,"*15*")&gt;0,COUNTIF(I2566,"16*")&gt;0,COUNTIF(J2566,"*16*")&gt;0,COUNTIF(I2566,"17*")&gt;0,COUNTIF(J2566,"*17*")&gt;0,COUNTIF(I2566,"18*")&gt;0,COUNTIF(J2566,"*18*")&gt;0,COUNTIF(I2566,"19*")&gt;0,COUNTIF(J2566,"*19*")&gt;0,COUNTIF(I2566,"20*")&gt;0,COUNTIF(J2566,"*20*")&gt;0,COUNTIF(I2566,"21*")&gt;0,COUNTIF(J2566,"*21*")&gt;0,COUNTIF(I2566,"22*")&gt;0,COUNTIF(J2566,"*22*")&gt;0,COUNTIF(I2566,"23*")&gt;0,COUNTIF(J2566,"*23*")&gt;0,COUNTIF(I2566,"24*")&gt;0,COUNTIF(J2566,"*24*")&gt;0,COUNTIF(I2566,"25*")&gt;0,COUNTIF(J2566,"*25*")&gt;0,COUNTIF(I2566,"26*")&gt;0,COUNTIF(J2566,"*26*")&gt;0,COUNTIF(I2566,"27*")&gt;0,COUNTIF(J2566,"*27*")&gt;0,COUNTIF(I2566,"28*")&gt;0,COUNTIF(J2566,"*28*")&gt;0,COUNTIF(I2566,"29*")&gt;0,COUNTIF(J2566,"*29*")&gt;0,COUNTIF(I2566,"30*")&gt;0,COUNTIF(J2566,"*30*")&gt;0,COUNTIF(I2566,"31*")&gt;0,COUNTIF(J2566,"*31*")&gt;0,COUNTIF(I2566,"32*")&gt;0,COUNTIF(J2566,"*32*")&gt;0,COUNTIF(I2566,"33*")&gt;0,COUNTIF(J2566,"*33*")&gt;0,COUNTIF(I2566,"41*")&gt;0,COUNTIF(J2566,"*41*")&gt;0,COUNTIF(I2566,"42*")&gt;0,COUNTIF(J2566,"*42*")&gt;0,COUNTIF(I2566,"43*")&gt;0,COUNTIF(J2566,"*43*")&gt;0,COUNTIF(I2566,"49*")&gt;0,COUNTIF(J2566,"*49*")&gt;0,COUNTIF(I2566,"52*")&gt;0,COUNTIF(J2566,"*52*")&gt;0,COUNTIF(I2566,"55*")&gt;0,COUNTIF(J2566,"*55*")&gt;0,COUNTIF(I2566,"56*")&gt;0,COUNTIF(J2566,"*56*")&gt;0,COUNTIF(I2566,"68*")&gt;0,COUNTIF(J2566,"*68*")&gt;0,COUNTIF(I2566,"78*")&gt;0,COUNTIF(J2566,"*78*")&gt;0,COUNTIF(I2566,"81*")&gt;0,COUNTIF(J2566,"*81*")&gt;0,COUNTIF(I2566,"82*")&gt;0,COUNTIF(J2566,"*82*")&gt;0,COUNTIF(I2566,"64*")&gt;0,COUNTIF(J2566,"*64*")&gt;0,COUNTIF(I2566,"65*")&gt;0,COUNTIF(J2566,"*65*")&gt;0,COUNTIF(I2566,"66*")&gt;0,COUNTIF(J2566,"*66*")&gt;0,COUNTIF(I2566,"61*")&gt;0,COUNTIF(J2566,"*61*")&gt;0,COUNTIF(I2566,"62*")&gt;0,COUNTIF(J2566,"*62*")&gt;0,COUNTIF(I2566,"63*")&gt;0,COUNTIF(J2566,"*63*")&gt;0,COUNTIF(I2566,"85*")&gt;0,COUNTIF(J2566,"*85*")&gt;0,COUNTIF(I2566,"86*")&gt;0,COUNTIF(J2566,"*86*")&gt;0),"Да","Нет"))</f>
        <v/>
      </c>
      <c r="M2566" s="13">
        <f>IF(OR(G2566="",L2566&lt;&gt;"Да"),"",IF(G2566&lt;=100,"До 100",IF(G2566&lt;=200,"До 200",IF(G2566&lt;=500,"До 500","Отдельное КП"))))</f>
        <v/>
      </c>
      <c r="N2566" s="15">
        <f>IF(OR(G2566="",L2566&lt;&gt;"Да"),"",IF(G2566&lt;=100,33600,IF(G2566&lt;=200,62400,IF(G2566&lt;=500,144000,""))))</f>
        <v/>
      </c>
      <c r="O2566" s="16">
        <f>IF(G2566="","",IF(G2566&lt;=15,"1–15",IF(G2566&lt;=30,"16–30",IF(G2566&lt;=50,"31–50",IF(G2566&lt;=100,"51–100",IF(G2566&lt;=150,"101–150",IF(G2566&lt;=200,"151–200",IF(G2566&lt;=500,"201–500","500+"))))))))</f>
        <v/>
      </c>
      <c r="P2566" s="16" t="inlineStr">
        <is>
          <t>Нет совпадения в предоставленной выгрузке ССЧР</t>
        </is>
      </c>
      <c r="Q2566" s="16" t="n"/>
      <c r="R2566" s="16">
        <f>HYPERLINK("https://checko.ru/search?query=3801001629","Чекко: проверить")</f>
        <v/>
      </c>
      <c r="S2566" t="n">
        <v>0</v>
      </c>
    </row>
    <row r="2567" ht="15" customHeight="1" s="24">
      <c r="A2567" s="13" t="n">
        <v>5000095227</v>
      </c>
      <c r="B2567" s="13" t="inlineStr">
        <is>
          <t>МКУ "ТЮЗ" г.о.Нальчик</t>
        </is>
      </c>
      <c r="C2567" s="13" t="n">
        <v>725012370</v>
      </c>
      <c r="D2567" s="13" t="n"/>
      <c r="E2567" s="13" t="inlineStr">
        <is>
          <t>Не определён</t>
        </is>
      </c>
      <c r="F2567" s="13" t="inlineStr">
        <is>
          <t>725012370</t>
        </is>
      </c>
      <c r="G2567" s="14" t="n"/>
      <c r="H2567" s="14" t="n"/>
      <c r="I2567" s="14" t="n"/>
      <c r="J2567" s="14" t="n"/>
      <c r="K2567" s="13">
        <f>IF(G2567="","",IF(G2567&gt;=22,"Да","Нет"))</f>
        <v/>
      </c>
      <c r="L2567" s="13">
        <f>IF(OR(I2567="",J2567=""),"Не определено",IF(OR(COUNTIF(I2567,"45*")&gt;0,COUNTIF(J2567,"*45*")&gt;0,COUNTIF(I2567,"46*")&gt;0,COUNTIF(J2567,"*46*")&gt;0,COUNTIF(I2567,"47*")&gt;0,COUNTIF(J2567,"*47*")&gt;0,COUNTIF(I2567,"10*")&gt;0,COUNTIF(J2567,"*10*")&gt;0,COUNTIF(I2567,"11*")&gt;0,COUNTIF(J2567,"*11*")&gt;0,COUNTIF(I2567,"12*")&gt;0,COUNTIF(J2567,"*12*")&gt;0,COUNTIF(I2567,"13*")&gt;0,COUNTIF(J2567,"*13*")&gt;0,COUNTIF(I2567,"14*")&gt;0,COUNTIF(J2567,"*14*")&gt;0,COUNTIF(I2567,"15*")&gt;0,COUNTIF(J2567,"*15*")&gt;0,COUNTIF(I2567,"16*")&gt;0,COUNTIF(J2567,"*16*")&gt;0,COUNTIF(I2567,"17*")&gt;0,COUNTIF(J2567,"*17*")&gt;0,COUNTIF(I2567,"18*")&gt;0,COUNTIF(J2567,"*18*")&gt;0,COUNTIF(I2567,"19*")&gt;0,COUNTIF(J2567,"*19*")&gt;0,COUNTIF(I2567,"20*")&gt;0,COUNTIF(J2567,"*20*")&gt;0,COUNTIF(I2567,"21*")&gt;0,COUNTIF(J2567,"*21*")&gt;0,COUNTIF(I2567,"22*")&gt;0,COUNTIF(J2567,"*22*")&gt;0,COUNTIF(I2567,"23*")&gt;0,COUNTIF(J2567,"*23*")&gt;0,COUNTIF(I2567,"24*")&gt;0,COUNTIF(J2567,"*24*")&gt;0,COUNTIF(I2567,"25*")&gt;0,COUNTIF(J2567,"*25*")&gt;0,COUNTIF(I2567,"26*")&gt;0,COUNTIF(J2567,"*26*")&gt;0,COUNTIF(I2567,"27*")&gt;0,COUNTIF(J2567,"*27*")&gt;0,COUNTIF(I2567,"28*")&gt;0,COUNTIF(J2567,"*28*")&gt;0,COUNTIF(I2567,"29*")&gt;0,COUNTIF(J2567,"*29*")&gt;0,COUNTIF(I2567,"30*")&gt;0,COUNTIF(J2567,"*30*")&gt;0,COUNTIF(I2567,"31*")&gt;0,COUNTIF(J2567,"*31*")&gt;0,COUNTIF(I2567,"32*")&gt;0,COUNTIF(J2567,"*32*")&gt;0,COUNTIF(I2567,"33*")&gt;0,COUNTIF(J2567,"*33*")&gt;0,COUNTIF(I2567,"41*")&gt;0,COUNTIF(J2567,"*41*")&gt;0,COUNTIF(I2567,"42*")&gt;0,COUNTIF(J2567,"*42*")&gt;0,COUNTIF(I2567,"43*")&gt;0,COUNTIF(J2567,"*43*")&gt;0,COUNTIF(I2567,"49*")&gt;0,COUNTIF(J2567,"*49*")&gt;0,COUNTIF(I2567,"52*")&gt;0,COUNTIF(J2567,"*52*")&gt;0,COUNTIF(I2567,"55*")&gt;0,COUNTIF(J2567,"*55*")&gt;0,COUNTIF(I2567,"56*")&gt;0,COUNTIF(J2567,"*56*")&gt;0,COUNTIF(I2567,"68*")&gt;0,COUNTIF(J2567,"*68*")&gt;0,COUNTIF(I2567,"78*")&gt;0,COUNTIF(J2567,"*78*")&gt;0,COUNTIF(I2567,"81*")&gt;0,COUNTIF(J2567,"*81*")&gt;0,COUNTIF(I2567,"82*")&gt;0,COUNTIF(J2567,"*82*")&gt;0,COUNTIF(I2567,"64*")&gt;0,COUNTIF(J2567,"*64*")&gt;0,COUNTIF(I2567,"65*")&gt;0,COUNTIF(J2567,"*65*")&gt;0,COUNTIF(I2567,"66*")&gt;0,COUNTIF(J2567,"*66*")&gt;0,COUNTIF(I2567,"61*")&gt;0,COUNTIF(J2567,"*61*")&gt;0,COUNTIF(I2567,"62*")&gt;0,COUNTIF(J2567,"*62*")&gt;0,COUNTIF(I2567,"63*")&gt;0,COUNTIF(J2567,"*63*")&gt;0,COUNTIF(I2567,"85*")&gt;0,COUNTIF(J2567,"*85*")&gt;0,COUNTIF(I2567,"86*")&gt;0,COUNTIF(J2567,"*86*")&gt;0),"Да","Нет"))</f>
        <v/>
      </c>
      <c r="M2567" s="13">
        <f>IF(OR(G2567="",L2567&lt;&gt;"Да"),"",IF(G2567&lt;=100,"До 100",IF(G2567&lt;=200,"До 200",IF(G2567&lt;=500,"До 500","Отдельное КП"))))</f>
        <v/>
      </c>
      <c r="N2567" s="15">
        <f>IF(OR(G2567="",L2567&lt;&gt;"Да"),"",IF(G2567&lt;=100,33600,IF(G2567&lt;=200,62400,IF(G2567&lt;=500,144000,""))))</f>
        <v/>
      </c>
      <c r="O2567" s="16">
        <f>IF(G2567="","",IF(G2567&lt;=15,"1–15",IF(G2567&lt;=30,"16–30",IF(G2567&lt;=50,"31–50",IF(G2567&lt;=100,"51–100",IF(G2567&lt;=150,"101–150",IF(G2567&lt;=200,"151–200",IF(G2567&lt;=500,"201–500","500+"))))))))</f>
        <v/>
      </c>
      <c r="P2567" s="16" t="inlineStr">
        <is>
          <t>Нет совпадения в предоставленной выгрузке ССЧР</t>
        </is>
      </c>
      <c r="Q2567" s="16" t="n"/>
      <c r="R2567" s="16">
        <f>HYPERLINK("https://checko.ru/search?query=3801001629","Чекко: проверить")</f>
        <v/>
      </c>
      <c r="S2567" t="n">
        <v>0</v>
      </c>
    </row>
    <row r="2568" ht="15" customHeight="1" s="24">
      <c r="A2568" s="13" t="n">
        <v>5000095228</v>
      </c>
      <c r="B2568" s="13" t="inlineStr">
        <is>
          <t>МКУ "Театр Эстрады" г.о. Нальчик</t>
        </is>
      </c>
      <c r="C2568" s="13" t="n">
        <v>725012388</v>
      </c>
      <c r="D2568" s="13" t="n"/>
      <c r="E2568" s="13" t="inlineStr">
        <is>
          <t>Не определён</t>
        </is>
      </c>
      <c r="F2568" s="13" t="inlineStr">
        <is>
          <t>725012388</t>
        </is>
      </c>
      <c r="G2568" s="14" t="n"/>
      <c r="H2568" s="14" t="n"/>
      <c r="I2568" s="14" t="n"/>
      <c r="J2568" s="14" t="n"/>
      <c r="K2568" s="13">
        <f>IF(G2568="","",IF(G2568&gt;=22,"Да","Нет"))</f>
        <v/>
      </c>
      <c r="L2568" s="13">
        <f>IF(OR(I2568="",J2568=""),"Не определено",IF(OR(COUNTIF(I2568,"45*")&gt;0,COUNTIF(J2568,"*45*")&gt;0,COUNTIF(I2568,"46*")&gt;0,COUNTIF(J2568,"*46*")&gt;0,COUNTIF(I2568,"47*")&gt;0,COUNTIF(J2568,"*47*")&gt;0,COUNTIF(I2568,"10*")&gt;0,COUNTIF(J2568,"*10*")&gt;0,COUNTIF(I2568,"11*")&gt;0,COUNTIF(J2568,"*11*")&gt;0,COUNTIF(I2568,"12*")&gt;0,COUNTIF(J2568,"*12*")&gt;0,COUNTIF(I2568,"13*")&gt;0,COUNTIF(J2568,"*13*")&gt;0,COUNTIF(I2568,"14*")&gt;0,COUNTIF(J2568,"*14*")&gt;0,COUNTIF(I2568,"15*")&gt;0,COUNTIF(J2568,"*15*")&gt;0,COUNTIF(I2568,"16*")&gt;0,COUNTIF(J2568,"*16*")&gt;0,COUNTIF(I2568,"17*")&gt;0,COUNTIF(J2568,"*17*")&gt;0,COUNTIF(I2568,"18*")&gt;0,COUNTIF(J2568,"*18*")&gt;0,COUNTIF(I2568,"19*")&gt;0,COUNTIF(J2568,"*19*")&gt;0,COUNTIF(I2568,"20*")&gt;0,COUNTIF(J2568,"*20*")&gt;0,COUNTIF(I2568,"21*")&gt;0,COUNTIF(J2568,"*21*")&gt;0,COUNTIF(I2568,"22*")&gt;0,COUNTIF(J2568,"*22*")&gt;0,COUNTIF(I2568,"23*")&gt;0,COUNTIF(J2568,"*23*")&gt;0,COUNTIF(I2568,"24*")&gt;0,COUNTIF(J2568,"*24*")&gt;0,COUNTIF(I2568,"25*")&gt;0,COUNTIF(J2568,"*25*")&gt;0,COUNTIF(I2568,"26*")&gt;0,COUNTIF(J2568,"*26*")&gt;0,COUNTIF(I2568,"27*")&gt;0,COUNTIF(J2568,"*27*")&gt;0,COUNTIF(I2568,"28*")&gt;0,COUNTIF(J2568,"*28*")&gt;0,COUNTIF(I2568,"29*")&gt;0,COUNTIF(J2568,"*29*")&gt;0,COUNTIF(I2568,"30*")&gt;0,COUNTIF(J2568,"*30*")&gt;0,COUNTIF(I2568,"31*")&gt;0,COUNTIF(J2568,"*31*")&gt;0,COUNTIF(I2568,"32*")&gt;0,COUNTIF(J2568,"*32*")&gt;0,COUNTIF(I2568,"33*")&gt;0,COUNTIF(J2568,"*33*")&gt;0,COUNTIF(I2568,"41*")&gt;0,COUNTIF(J2568,"*41*")&gt;0,COUNTIF(I2568,"42*")&gt;0,COUNTIF(J2568,"*42*")&gt;0,COUNTIF(I2568,"43*")&gt;0,COUNTIF(J2568,"*43*")&gt;0,COUNTIF(I2568,"49*")&gt;0,COUNTIF(J2568,"*49*")&gt;0,COUNTIF(I2568,"52*")&gt;0,COUNTIF(J2568,"*52*")&gt;0,COUNTIF(I2568,"55*")&gt;0,COUNTIF(J2568,"*55*")&gt;0,COUNTIF(I2568,"56*")&gt;0,COUNTIF(J2568,"*56*")&gt;0,COUNTIF(I2568,"68*")&gt;0,COUNTIF(J2568,"*68*")&gt;0,COUNTIF(I2568,"78*")&gt;0,COUNTIF(J2568,"*78*")&gt;0,COUNTIF(I2568,"81*")&gt;0,COUNTIF(J2568,"*81*")&gt;0,COUNTIF(I2568,"82*")&gt;0,COUNTIF(J2568,"*82*")&gt;0,COUNTIF(I2568,"64*")&gt;0,COUNTIF(J2568,"*64*")&gt;0,COUNTIF(I2568,"65*")&gt;0,COUNTIF(J2568,"*65*")&gt;0,COUNTIF(I2568,"66*")&gt;0,COUNTIF(J2568,"*66*")&gt;0,COUNTIF(I2568,"61*")&gt;0,COUNTIF(J2568,"*61*")&gt;0,COUNTIF(I2568,"62*")&gt;0,COUNTIF(J2568,"*62*")&gt;0,COUNTIF(I2568,"63*")&gt;0,COUNTIF(J2568,"*63*")&gt;0,COUNTIF(I2568,"85*")&gt;0,COUNTIF(J2568,"*85*")&gt;0,COUNTIF(I2568,"86*")&gt;0,COUNTIF(J2568,"*86*")&gt;0),"Да","Нет"))</f>
        <v/>
      </c>
      <c r="M2568" s="13">
        <f>IF(OR(G2568="",L2568&lt;&gt;"Да"),"",IF(G2568&lt;=100,"До 100",IF(G2568&lt;=200,"До 200",IF(G2568&lt;=500,"До 500","Отдельное КП"))))</f>
        <v/>
      </c>
      <c r="N2568" s="15">
        <f>IF(OR(G2568="",L2568&lt;&gt;"Да"),"",IF(G2568&lt;=100,33600,IF(G2568&lt;=200,62400,IF(G2568&lt;=500,144000,""))))</f>
        <v/>
      </c>
      <c r="O2568" s="16">
        <f>IF(G2568="","",IF(G2568&lt;=15,"1–15",IF(G2568&lt;=30,"16–30",IF(G2568&lt;=50,"31–50",IF(G2568&lt;=100,"51–100",IF(G2568&lt;=150,"101–150",IF(G2568&lt;=200,"151–200",IF(G2568&lt;=500,"201–500","500+"))))))))</f>
        <v/>
      </c>
      <c r="P2568" s="16" t="inlineStr">
        <is>
          <t>Нет совпадения в предоставленной выгрузке ССЧР</t>
        </is>
      </c>
      <c r="Q2568" s="16" t="n"/>
      <c r="R2568" s="16">
        <f>HYPERLINK("https://checko.ru/search?query=3801001629","Чекко: проверить")</f>
        <v/>
      </c>
      <c r="S2568" t="n">
        <v>0</v>
      </c>
    </row>
    <row r="2569" ht="15" customHeight="1" s="24">
      <c r="A2569" s="13" t="n">
        <v>5000095230</v>
      </c>
      <c r="B2569" s="13" t="inlineStr">
        <is>
          <t>ГКУ КБР "САШ"</t>
        </is>
      </c>
      <c r="C2569" s="13" t="n">
        <v>725013350</v>
      </c>
      <c r="D2569" s="13" t="n"/>
      <c r="E2569" s="13" t="inlineStr">
        <is>
          <t>Не определён</t>
        </is>
      </c>
      <c r="F2569" s="13" t="inlineStr">
        <is>
          <t>725013350</t>
        </is>
      </c>
      <c r="G2569" s="14" t="n"/>
      <c r="H2569" s="14" t="n"/>
      <c r="I2569" s="14" t="n"/>
      <c r="J2569" s="14" t="n"/>
      <c r="K2569" s="13">
        <f>IF(G2569="","",IF(G2569&gt;=22,"Да","Нет"))</f>
        <v/>
      </c>
      <c r="L2569" s="13">
        <f>IF(OR(I2569="",J2569=""),"Не определено",IF(OR(COUNTIF(I2569,"45*")&gt;0,COUNTIF(J2569,"*45*")&gt;0,COUNTIF(I2569,"46*")&gt;0,COUNTIF(J2569,"*46*")&gt;0,COUNTIF(I2569,"47*")&gt;0,COUNTIF(J2569,"*47*")&gt;0,COUNTIF(I2569,"10*")&gt;0,COUNTIF(J2569,"*10*")&gt;0,COUNTIF(I2569,"11*")&gt;0,COUNTIF(J2569,"*11*")&gt;0,COUNTIF(I2569,"12*")&gt;0,COUNTIF(J2569,"*12*")&gt;0,COUNTIF(I2569,"13*")&gt;0,COUNTIF(J2569,"*13*")&gt;0,COUNTIF(I2569,"14*")&gt;0,COUNTIF(J2569,"*14*")&gt;0,COUNTIF(I2569,"15*")&gt;0,COUNTIF(J2569,"*15*")&gt;0,COUNTIF(I2569,"16*")&gt;0,COUNTIF(J2569,"*16*")&gt;0,COUNTIF(I2569,"17*")&gt;0,COUNTIF(J2569,"*17*")&gt;0,COUNTIF(I2569,"18*")&gt;0,COUNTIF(J2569,"*18*")&gt;0,COUNTIF(I2569,"19*")&gt;0,COUNTIF(J2569,"*19*")&gt;0,COUNTIF(I2569,"20*")&gt;0,COUNTIF(J2569,"*20*")&gt;0,COUNTIF(I2569,"21*")&gt;0,COUNTIF(J2569,"*21*")&gt;0,COUNTIF(I2569,"22*")&gt;0,COUNTIF(J2569,"*22*")&gt;0,COUNTIF(I2569,"23*")&gt;0,COUNTIF(J2569,"*23*")&gt;0,COUNTIF(I2569,"24*")&gt;0,COUNTIF(J2569,"*24*")&gt;0,COUNTIF(I2569,"25*")&gt;0,COUNTIF(J2569,"*25*")&gt;0,COUNTIF(I2569,"26*")&gt;0,COUNTIF(J2569,"*26*")&gt;0,COUNTIF(I2569,"27*")&gt;0,COUNTIF(J2569,"*27*")&gt;0,COUNTIF(I2569,"28*")&gt;0,COUNTIF(J2569,"*28*")&gt;0,COUNTIF(I2569,"29*")&gt;0,COUNTIF(J2569,"*29*")&gt;0,COUNTIF(I2569,"30*")&gt;0,COUNTIF(J2569,"*30*")&gt;0,COUNTIF(I2569,"31*")&gt;0,COUNTIF(J2569,"*31*")&gt;0,COUNTIF(I2569,"32*")&gt;0,COUNTIF(J2569,"*32*")&gt;0,COUNTIF(I2569,"33*")&gt;0,COUNTIF(J2569,"*33*")&gt;0,COUNTIF(I2569,"41*")&gt;0,COUNTIF(J2569,"*41*")&gt;0,COUNTIF(I2569,"42*")&gt;0,COUNTIF(J2569,"*42*")&gt;0,COUNTIF(I2569,"43*")&gt;0,COUNTIF(J2569,"*43*")&gt;0,COUNTIF(I2569,"49*")&gt;0,COUNTIF(J2569,"*49*")&gt;0,COUNTIF(I2569,"52*")&gt;0,COUNTIF(J2569,"*52*")&gt;0,COUNTIF(I2569,"55*")&gt;0,COUNTIF(J2569,"*55*")&gt;0,COUNTIF(I2569,"56*")&gt;0,COUNTIF(J2569,"*56*")&gt;0,COUNTIF(I2569,"68*")&gt;0,COUNTIF(J2569,"*68*")&gt;0,COUNTIF(I2569,"78*")&gt;0,COUNTIF(J2569,"*78*")&gt;0,COUNTIF(I2569,"81*")&gt;0,COUNTIF(J2569,"*81*")&gt;0,COUNTIF(I2569,"82*")&gt;0,COUNTIF(J2569,"*82*")&gt;0,COUNTIF(I2569,"64*")&gt;0,COUNTIF(J2569,"*64*")&gt;0,COUNTIF(I2569,"65*")&gt;0,COUNTIF(J2569,"*65*")&gt;0,COUNTIF(I2569,"66*")&gt;0,COUNTIF(J2569,"*66*")&gt;0,COUNTIF(I2569,"61*")&gt;0,COUNTIF(J2569,"*61*")&gt;0,COUNTIF(I2569,"62*")&gt;0,COUNTIF(J2569,"*62*")&gt;0,COUNTIF(I2569,"63*")&gt;0,COUNTIF(J2569,"*63*")&gt;0,COUNTIF(I2569,"85*")&gt;0,COUNTIF(J2569,"*85*")&gt;0,COUNTIF(I2569,"86*")&gt;0,COUNTIF(J2569,"*86*")&gt;0),"Да","Нет"))</f>
        <v/>
      </c>
      <c r="M2569" s="13">
        <f>IF(OR(G2569="",L2569&lt;&gt;"Да"),"",IF(G2569&lt;=100,"До 100",IF(G2569&lt;=200,"До 200",IF(G2569&lt;=500,"До 500","Отдельное КП"))))</f>
        <v/>
      </c>
      <c r="N2569" s="15">
        <f>IF(OR(G2569="",L2569&lt;&gt;"Да"),"",IF(G2569&lt;=100,33600,IF(G2569&lt;=200,62400,IF(G2569&lt;=500,144000,""))))</f>
        <v/>
      </c>
      <c r="O2569" s="16">
        <f>IF(G2569="","",IF(G2569&lt;=15,"1–15",IF(G2569&lt;=30,"16–30",IF(G2569&lt;=50,"31–50",IF(G2569&lt;=100,"51–100",IF(G2569&lt;=150,"101–150",IF(G2569&lt;=200,"151–200",IF(G2569&lt;=500,"201–500","500+"))))))))</f>
        <v/>
      </c>
      <c r="P2569" s="16" t="inlineStr">
        <is>
          <t>Нет совпадения в предоставленной выгрузке ССЧР</t>
        </is>
      </c>
      <c r="Q2569" s="16" t="n"/>
      <c r="R2569" s="16">
        <f>HYPERLINK("https://checko.ru/search?query=3801001629","Чекко: проверить")</f>
        <v/>
      </c>
      <c r="S2569" t="n">
        <v>0</v>
      </c>
    </row>
    <row r="2570" ht="15" customHeight="1" s="24">
      <c r="A2570" s="13" t="n">
        <v>5000095231</v>
      </c>
      <c r="B2570" s="13" t="inlineStr">
        <is>
          <t>Минкурортов КБР</t>
        </is>
      </c>
      <c r="C2570" s="13" t="n">
        <v>725013945</v>
      </c>
      <c r="D2570" s="13" t="n"/>
      <c r="E2570" s="13" t="inlineStr">
        <is>
          <t>Не определён</t>
        </is>
      </c>
      <c r="F2570" s="13" t="inlineStr">
        <is>
          <t>725013945</t>
        </is>
      </c>
      <c r="G2570" s="14" t="n"/>
      <c r="H2570" s="14" t="n"/>
      <c r="I2570" s="14" t="n"/>
      <c r="J2570" s="14" t="n"/>
      <c r="K2570" s="13">
        <f>IF(G2570="","",IF(G2570&gt;=22,"Да","Нет"))</f>
        <v/>
      </c>
      <c r="L2570" s="13">
        <f>IF(OR(I2570="",J2570=""),"Не определено",IF(OR(COUNTIF(I2570,"45*")&gt;0,COUNTIF(J2570,"*45*")&gt;0,COUNTIF(I2570,"46*")&gt;0,COUNTIF(J2570,"*46*")&gt;0,COUNTIF(I2570,"47*")&gt;0,COUNTIF(J2570,"*47*")&gt;0,COUNTIF(I2570,"10*")&gt;0,COUNTIF(J2570,"*10*")&gt;0,COUNTIF(I2570,"11*")&gt;0,COUNTIF(J2570,"*11*")&gt;0,COUNTIF(I2570,"12*")&gt;0,COUNTIF(J2570,"*12*")&gt;0,COUNTIF(I2570,"13*")&gt;0,COUNTIF(J2570,"*13*")&gt;0,COUNTIF(I2570,"14*")&gt;0,COUNTIF(J2570,"*14*")&gt;0,COUNTIF(I2570,"15*")&gt;0,COUNTIF(J2570,"*15*")&gt;0,COUNTIF(I2570,"16*")&gt;0,COUNTIF(J2570,"*16*")&gt;0,COUNTIF(I2570,"17*")&gt;0,COUNTIF(J2570,"*17*")&gt;0,COUNTIF(I2570,"18*")&gt;0,COUNTIF(J2570,"*18*")&gt;0,COUNTIF(I2570,"19*")&gt;0,COUNTIF(J2570,"*19*")&gt;0,COUNTIF(I2570,"20*")&gt;0,COUNTIF(J2570,"*20*")&gt;0,COUNTIF(I2570,"21*")&gt;0,COUNTIF(J2570,"*21*")&gt;0,COUNTIF(I2570,"22*")&gt;0,COUNTIF(J2570,"*22*")&gt;0,COUNTIF(I2570,"23*")&gt;0,COUNTIF(J2570,"*23*")&gt;0,COUNTIF(I2570,"24*")&gt;0,COUNTIF(J2570,"*24*")&gt;0,COUNTIF(I2570,"25*")&gt;0,COUNTIF(J2570,"*25*")&gt;0,COUNTIF(I2570,"26*")&gt;0,COUNTIF(J2570,"*26*")&gt;0,COUNTIF(I2570,"27*")&gt;0,COUNTIF(J2570,"*27*")&gt;0,COUNTIF(I2570,"28*")&gt;0,COUNTIF(J2570,"*28*")&gt;0,COUNTIF(I2570,"29*")&gt;0,COUNTIF(J2570,"*29*")&gt;0,COUNTIF(I2570,"30*")&gt;0,COUNTIF(J2570,"*30*")&gt;0,COUNTIF(I2570,"31*")&gt;0,COUNTIF(J2570,"*31*")&gt;0,COUNTIF(I2570,"32*")&gt;0,COUNTIF(J2570,"*32*")&gt;0,COUNTIF(I2570,"33*")&gt;0,COUNTIF(J2570,"*33*")&gt;0,COUNTIF(I2570,"41*")&gt;0,COUNTIF(J2570,"*41*")&gt;0,COUNTIF(I2570,"42*")&gt;0,COUNTIF(J2570,"*42*")&gt;0,COUNTIF(I2570,"43*")&gt;0,COUNTIF(J2570,"*43*")&gt;0,COUNTIF(I2570,"49*")&gt;0,COUNTIF(J2570,"*49*")&gt;0,COUNTIF(I2570,"52*")&gt;0,COUNTIF(J2570,"*52*")&gt;0,COUNTIF(I2570,"55*")&gt;0,COUNTIF(J2570,"*55*")&gt;0,COUNTIF(I2570,"56*")&gt;0,COUNTIF(J2570,"*56*")&gt;0,COUNTIF(I2570,"68*")&gt;0,COUNTIF(J2570,"*68*")&gt;0,COUNTIF(I2570,"78*")&gt;0,COUNTIF(J2570,"*78*")&gt;0,COUNTIF(I2570,"81*")&gt;0,COUNTIF(J2570,"*81*")&gt;0,COUNTIF(I2570,"82*")&gt;0,COUNTIF(J2570,"*82*")&gt;0,COUNTIF(I2570,"64*")&gt;0,COUNTIF(J2570,"*64*")&gt;0,COUNTIF(I2570,"65*")&gt;0,COUNTIF(J2570,"*65*")&gt;0,COUNTIF(I2570,"66*")&gt;0,COUNTIF(J2570,"*66*")&gt;0,COUNTIF(I2570,"61*")&gt;0,COUNTIF(J2570,"*61*")&gt;0,COUNTIF(I2570,"62*")&gt;0,COUNTIF(J2570,"*62*")&gt;0,COUNTIF(I2570,"63*")&gt;0,COUNTIF(J2570,"*63*")&gt;0,COUNTIF(I2570,"85*")&gt;0,COUNTIF(J2570,"*85*")&gt;0,COUNTIF(I2570,"86*")&gt;0,COUNTIF(J2570,"*86*")&gt;0),"Да","Нет"))</f>
        <v/>
      </c>
      <c r="M2570" s="13">
        <f>IF(OR(G2570="",L2570&lt;&gt;"Да"),"",IF(G2570&lt;=100,"До 100",IF(G2570&lt;=200,"До 200",IF(G2570&lt;=500,"До 500","Отдельное КП"))))</f>
        <v/>
      </c>
      <c r="N2570" s="15">
        <f>IF(OR(G2570="",L2570&lt;&gt;"Да"),"",IF(G2570&lt;=100,33600,IF(G2570&lt;=200,62400,IF(G2570&lt;=500,144000,""))))</f>
        <v/>
      </c>
      <c r="O2570" s="16">
        <f>IF(G2570="","",IF(G2570&lt;=15,"1–15",IF(G2570&lt;=30,"16–30",IF(G2570&lt;=50,"31–50",IF(G2570&lt;=100,"51–100",IF(G2570&lt;=150,"101–150",IF(G2570&lt;=200,"151–200",IF(G2570&lt;=500,"201–500","500+"))))))))</f>
        <v/>
      </c>
      <c r="P2570" s="16" t="inlineStr">
        <is>
          <t>Нет совпадения в предоставленной выгрузке ССЧР</t>
        </is>
      </c>
      <c r="Q2570" s="16" t="n"/>
      <c r="R2570" s="16">
        <f>HYPERLINK("https://checko.ru/search?query=3801001629","Чекко: проверить")</f>
        <v/>
      </c>
      <c r="S2570" t="n">
        <v>0</v>
      </c>
    </row>
    <row r="2571" ht="15" customHeight="1" s="24">
      <c r="A2571" s="13" t="n">
        <v>5000095232</v>
      </c>
      <c r="B2571" s="13" t="inlineStr">
        <is>
          <t>МКУ "Управление по ФК С и ДМ г.о. Нальчик"</t>
        </is>
      </c>
      <c r="C2571" s="13" t="n">
        <v>725014145</v>
      </c>
      <c r="D2571" s="13" t="n"/>
      <c r="E2571" s="13" t="inlineStr">
        <is>
          <t>Не определён</t>
        </is>
      </c>
      <c r="F2571" s="13" t="inlineStr">
        <is>
          <t>725014145</t>
        </is>
      </c>
      <c r="G2571" s="14" t="n"/>
      <c r="H2571" s="14" t="n"/>
      <c r="I2571" s="14" t="n"/>
      <c r="J2571" s="14" t="n"/>
      <c r="K2571" s="13">
        <f>IF(G2571="","",IF(G2571&gt;=22,"Да","Нет"))</f>
        <v/>
      </c>
      <c r="L2571" s="13">
        <f>IF(OR(I2571="",J2571=""),"Не определено",IF(OR(COUNTIF(I2571,"45*")&gt;0,COUNTIF(J2571,"*45*")&gt;0,COUNTIF(I2571,"46*")&gt;0,COUNTIF(J2571,"*46*")&gt;0,COUNTIF(I2571,"47*")&gt;0,COUNTIF(J2571,"*47*")&gt;0,COUNTIF(I2571,"10*")&gt;0,COUNTIF(J2571,"*10*")&gt;0,COUNTIF(I2571,"11*")&gt;0,COUNTIF(J2571,"*11*")&gt;0,COUNTIF(I2571,"12*")&gt;0,COUNTIF(J2571,"*12*")&gt;0,COUNTIF(I2571,"13*")&gt;0,COUNTIF(J2571,"*13*")&gt;0,COUNTIF(I2571,"14*")&gt;0,COUNTIF(J2571,"*14*")&gt;0,COUNTIF(I2571,"15*")&gt;0,COUNTIF(J2571,"*15*")&gt;0,COUNTIF(I2571,"16*")&gt;0,COUNTIF(J2571,"*16*")&gt;0,COUNTIF(I2571,"17*")&gt;0,COUNTIF(J2571,"*17*")&gt;0,COUNTIF(I2571,"18*")&gt;0,COUNTIF(J2571,"*18*")&gt;0,COUNTIF(I2571,"19*")&gt;0,COUNTIF(J2571,"*19*")&gt;0,COUNTIF(I2571,"20*")&gt;0,COUNTIF(J2571,"*20*")&gt;0,COUNTIF(I2571,"21*")&gt;0,COUNTIF(J2571,"*21*")&gt;0,COUNTIF(I2571,"22*")&gt;0,COUNTIF(J2571,"*22*")&gt;0,COUNTIF(I2571,"23*")&gt;0,COUNTIF(J2571,"*23*")&gt;0,COUNTIF(I2571,"24*")&gt;0,COUNTIF(J2571,"*24*")&gt;0,COUNTIF(I2571,"25*")&gt;0,COUNTIF(J2571,"*25*")&gt;0,COUNTIF(I2571,"26*")&gt;0,COUNTIF(J2571,"*26*")&gt;0,COUNTIF(I2571,"27*")&gt;0,COUNTIF(J2571,"*27*")&gt;0,COUNTIF(I2571,"28*")&gt;0,COUNTIF(J2571,"*28*")&gt;0,COUNTIF(I2571,"29*")&gt;0,COUNTIF(J2571,"*29*")&gt;0,COUNTIF(I2571,"30*")&gt;0,COUNTIF(J2571,"*30*")&gt;0,COUNTIF(I2571,"31*")&gt;0,COUNTIF(J2571,"*31*")&gt;0,COUNTIF(I2571,"32*")&gt;0,COUNTIF(J2571,"*32*")&gt;0,COUNTIF(I2571,"33*")&gt;0,COUNTIF(J2571,"*33*")&gt;0,COUNTIF(I2571,"41*")&gt;0,COUNTIF(J2571,"*41*")&gt;0,COUNTIF(I2571,"42*")&gt;0,COUNTIF(J2571,"*42*")&gt;0,COUNTIF(I2571,"43*")&gt;0,COUNTIF(J2571,"*43*")&gt;0,COUNTIF(I2571,"49*")&gt;0,COUNTIF(J2571,"*49*")&gt;0,COUNTIF(I2571,"52*")&gt;0,COUNTIF(J2571,"*52*")&gt;0,COUNTIF(I2571,"55*")&gt;0,COUNTIF(J2571,"*55*")&gt;0,COUNTIF(I2571,"56*")&gt;0,COUNTIF(J2571,"*56*")&gt;0,COUNTIF(I2571,"68*")&gt;0,COUNTIF(J2571,"*68*")&gt;0,COUNTIF(I2571,"78*")&gt;0,COUNTIF(J2571,"*78*")&gt;0,COUNTIF(I2571,"81*")&gt;0,COUNTIF(J2571,"*81*")&gt;0,COUNTIF(I2571,"82*")&gt;0,COUNTIF(J2571,"*82*")&gt;0,COUNTIF(I2571,"64*")&gt;0,COUNTIF(J2571,"*64*")&gt;0,COUNTIF(I2571,"65*")&gt;0,COUNTIF(J2571,"*65*")&gt;0,COUNTIF(I2571,"66*")&gt;0,COUNTIF(J2571,"*66*")&gt;0,COUNTIF(I2571,"61*")&gt;0,COUNTIF(J2571,"*61*")&gt;0,COUNTIF(I2571,"62*")&gt;0,COUNTIF(J2571,"*62*")&gt;0,COUNTIF(I2571,"63*")&gt;0,COUNTIF(J2571,"*63*")&gt;0,COUNTIF(I2571,"85*")&gt;0,COUNTIF(J2571,"*85*")&gt;0,COUNTIF(I2571,"86*")&gt;0,COUNTIF(J2571,"*86*")&gt;0),"Да","Нет"))</f>
        <v/>
      </c>
      <c r="M2571" s="13">
        <f>IF(OR(G2571="",L2571&lt;&gt;"Да"),"",IF(G2571&lt;=100,"До 100",IF(G2571&lt;=200,"До 200",IF(G2571&lt;=500,"До 500","Отдельное КП"))))</f>
        <v/>
      </c>
      <c r="N2571" s="15">
        <f>IF(OR(G2571="",L2571&lt;&gt;"Да"),"",IF(G2571&lt;=100,33600,IF(G2571&lt;=200,62400,IF(G2571&lt;=500,144000,""))))</f>
        <v/>
      </c>
      <c r="O2571" s="16">
        <f>IF(G2571="","",IF(G2571&lt;=15,"1–15",IF(G2571&lt;=30,"16–30",IF(G2571&lt;=50,"31–50",IF(G2571&lt;=100,"51–100",IF(G2571&lt;=150,"101–150",IF(G2571&lt;=200,"151–200",IF(G2571&lt;=500,"201–500","500+"))))))))</f>
        <v/>
      </c>
      <c r="P2571" s="16" t="inlineStr">
        <is>
          <t>Нет совпадения в предоставленной выгрузке ССЧР</t>
        </is>
      </c>
      <c r="Q2571" s="16" t="n"/>
      <c r="R2571" s="16">
        <f>HYPERLINK("https://checko.ru/search?query=3801001629","Чекко: проверить")</f>
        <v/>
      </c>
      <c r="S2571" t="n">
        <v>0</v>
      </c>
    </row>
    <row r="2572" ht="15" customHeight="1" s="24">
      <c r="A2572" s="13" t="n">
        <v>5000095235</v>
      </c>
      <c r="B2572" s="13" t="inlineStr">
        <is>
          <t>ГКУ КБР "СШОР по тхэквондо"</t>
        </is>
      </c>
      <c r="C2572" s="13" t="n">
        <v>725014850</v>
      </c>
      <c r="D2572" s="13" t="n"/>
      <c r="E2572" s="13" t="inlineStr">
        <is>
          <t>Не определён</t>
        </is>
      </c>
      <c r="F2572" s="13" t="inlineStr">
        <is>
          <t>725014850</t>
        </is>
      </c>
      <c r="G2572" s="14" t="n"/>
      <c r="H2572" s="14" t="n"/>
      <c r="I2572" s="14" t="n"/>
      <c r="J2572" s="14" t="n"/>
      <c r="K2572" s="13">
        <f>IF(G2572="","",IF(G2572&gt;=22,"Да","Нет"))</f>
        <v/>
      </c>
      <c r="L2572" s="13">
        <f>IF(OR(I2572="",J2572=""),"Не определено",IF(OR(COUNTIF(I2572,"45*")&gt;0,COUNTIF(J2572,"*45*")&gt;0,COUNTIF(I2572,"46*")&gt;0,COUNTIF(J2572,"*46*")&gt;0,COUNTIF(I2572,"47*")&gt;0,COUNTIF(J2572,"*47*")&gt;0,COUNTIF(I2572,"10*")&gt;0,COUNTIF(J2572,"*10*")&gt;0,COUNTIF(I2572,"11*")&gt;0,COUNTIF(J2572,"*11*")&gt;0,COUNTIF(I2572,"12*")&gt;0,COUNTIF(J2572,"*12*")&gt;0,COUNTIF(I2572,"13*")&gt;0,COUNTIF(J2572,"*13*")&gt;0,COUNTIF(I2572,"14*")&gt;0,COUNTIF(J2572,"*14*")&gt;0,COUNTIF(I2572,"15*")&gt;0,COUNTIF(J2572,"*15*")&gt;0,COUNTIF(I2572,"16*")&gt;0,COUNTIF(J2572,"*16*")&gt;0,COUNTIF(I2572,"17*")&gt;0,COUNTIF(J2572,"*17*")&gt;0,COUNTIF(I2572,"18*")&gt;0,COUNTIF(J2572,"*18*")&gt;0,COUNTIF(I2572,"19*")&gt;0,COUNTIF(J2572,"*19*")&gt;0,COUNTIF(I2572,"20*")&gt;0,COUNTIF(J2572,"*20*")&gt;0,COUNTIF(I2572,"21*")&gt;0,COUNTIF(J2572,"*21*")&gt;0,COUNTIF(I2572,"22*")&gt;0,COUNTIF(J2572,"*22*")&gt;0,COUNTIF(I2572,"23*")&gt;0,COUNTIF(J2572,"*23*")&gt;0,COUNTIF(I2572,"24*")&gt;0,COUNTIF(J2572,"*24*")&gt;0,COUNTIF(I2572,"25*")&gt;0,COUNTIF(J2572,"*25*")&gt;0,COUNTIF(I2572,"26*")&gt;0,COUNTIF(J2572,"*26*")&gt;0,COUNTIF(I2572,"27*")&gt;0,COUNTIF(J2572,"*27*")&gt;0,COUNTIF(I2572,"28*")&gt;0,COUNTIF(J2572,"*28*")&gt;0,COUNTIF(I2572,"29*")&gt;0,COUNTIF(J2572,"*29*")&gt;0,COUNTIF(I2572,"30*")&gt;0,COUNTIF(J2572,"*30*")&gt;0,COUNTIF(I2572,"31*")&gt;0,COUNTIF(J2572,"*31*")&gt;0,COUNTIF(I2572,"32*")&gt;0,COUNTIF(J2572,"*32*")&gt;0,COUNTIF(I2572,"33*")&gt;0,COUNTIF(J2572,"*33*")&gt;0,COUNTIF(I2572,"41*")&gt;0,COUNTIF(J2572,"*41*")&gt;0,COUNTIF(I2572,"42*")&gt;0,COUNTIF(J2572,"*42*")&gt;0,COUNTIF(I2572,"43*")&gt;0,COUNTIF(J2572,"*43*")&gt;0,COUNTIF(I2572,"49*")&gt;0,COUNTIF(J2572,"*49*")&gt;0,COUNTIF(I2572,"52*")&gt;0,COUNTIF(J2572,"*52*")&gt;0,COUNTIF(I2572,"55*")&gt;0,COUNTIF(J2572,"*55*")&gt;0,COUNTIF(I2572,"56*")&gt;0,COUNTIF(J2572,"*56*")&gt;0,COUNTIF(I2572,"68*")&gt;0,COUNTIF(J2572,"*68*")&gt;0,COUNTIF(I2572,"78*")&gt;0,COUNTIF(J2572,"*78*")&gt;0,COUNTIF(I2572,"81*")&gt;0,COUNTIF(J2572,"*81*")&gt;0,COUNTIF(I2572,"82*")&gt;0,COUNTIF(J2572,"*82*")&gt;0,COUNTIF(I2572,"64*")&gt;0,COUNTIF(J2572,"*64*")&gt;0,COUNTIF(I2572,"65*")&gt;0,COUNTIF(J2572,"*65*")&gt;0,COUNTIF(I2572,"66*")&gt;0,COUNTIF(J2572,"*66*")&gt;0,COUNTIF(I2572,"61*")&gt;0,COUNTIF(J2572,"*61*")&gt;0,COUNTIF(I2572,"62*")&gt;0,COUNTIF(J2572,"*62*")&gt;0,COUNTIF(I2572,"63*")&gt;0,COUNTIF(J2572,"*63*")&gt;0,COUNTIF(I2572,"85*")&gt;0,COUNTIF(J2572,"*85*")&gt;0,COUNTIF(I2572,"86*")&gt;0,COUNTIF(J2572,"*86*")&gt;0),"Да","Нет"))</f>
        <v/>
      </c>
      <c r="M2572" s="13">
        <f>IF(OR(G2572="",L2572&lt;&gt;"Да"),"",IF(G2572&lt;=100,"До 100",IF(G2572&lt;=200,"До 200",IF(G2572&lt;=500,"До 500","Отдельное КП"))))</f>
        <v/>
      </c>
      <c r="N2572" s="15">
        <f>IF(OR(G2572="",L2572&lt;&gt;"Да"),"",IF(G2572&lt;=100,33600,IF(G2572&lt;=200,62400,IF(G2572&lt;=500,144000,""))))</f>
        <v/>
      </c>
      <c r="O2572" s="16">
        <f>IF(G2572="","",IF(G2572&lt;=15,"1–15",IF(G2572&lt;=30,"16–30",IF(G2572&lt;=50,"31–50",IF(G2572&lt;=100,"51–100",IF(G2572&lt;=150,"101–150",IF(G2572&lt;=200,"151–200",IF(G2572&lt;=500,"201–500","500+"))))))))</f>
        <v/>
      </c>
      <c r="P2572" s="16" t="inlineStr">
        <is>
          <t>Нет совпадения в предоставленной выгрузке ССЧР</t>
        </is>
      </c>
      <c r="Q2572" s="16" t="n"/>
      <c r="R2572" s="16">
        <f>HYPERLINK("https://checko.ru/search?query=3801001629","Чекко: проверить")</f>
        <v/>
      </c>
      <c r="S2572" t="n">
        <v>0</v>
      </c>
    </row>
    <row r="2573" ht="15" customHeight="1" s="24">
      <c r="A2573" s="13" t="n">
        <v>5000095237</v>
      </c>
      <c r="B2573" s="13" t="inlineStr">
        <is>
          <t>Упрвет КБР</t>
        </is>
      </c>
      <c r="C2573" s="13" t="n">
        <v>725015484</v>
      </c>
      <c r="D2573" s="13" t="n"/>
      <c r="E2573" s="13" t="inlineStr">
        <is>
          <t>Не определён</t>
        </is>
      </c>
      <c r="F2573" s="13" t="inlineStr">
        <is>
          <t>725015484</t>
        </is>
      </c>
      <c r="G2573" s="14" t="n"/>
      <c r="H2573" s="14" t="n"/>
      <c r="I2573" s="14" t="n"/>
      <c r="J2573" s="14" t="n"/>
      <c r="K2573" s="13">
        <f>IF(G2573="","",IF(G2573&gt;=22,"Да","Нет"))</f>
        <v/>
      </c>
      <c r="L2573" s="13">
        <f>IF(OR(I2573="",J2573=""),"Не определено",IF(OR(COUNTIF(I2573,"45*")&gt;0,COUNTIF(J2573,"*45*")&gt;0,COUNTIF(I2573,"46*")&gt;0,COUNTIF(J2573,"*46*")&gt;0,COUNTIF(I2573,"47*")&gt;0,COUNTIF(J2573,"*47*")&gt;0,COUNTIF(I2573,"10*")&gt;0,COUNTIF(J2573,"*10*")&gt;0,COUNTIF(I2573,"11*")&gt;0,COUNTIF(J2573,"*11*")&gt;0,COUNTIF(I2573,"12*")&gt;0,COUNTIF(J2573,"*12*")&gt;0,COUNTIF(I2573,"13*")&gt;0,COUNTIF(J2573,"*13*")&gt;0,COUNTIF(I2573,"14*")&gt;0,COUNTIF(J2573,"*14*")&gt;0,COUNTIF(I2573,"15*")&gt;0,COUNTIF(J2573,"*15*")&gt;0,COUNTIF(I2573,"16*")&gt;0,COUNTIF(J2573,"*16*")&gt;0,COUNTIF(I2573,"17*")&gt;0,COUNTIF(J2573,"*17*")&gt;0,COUNTIF(I2573,"18*")&gt;0,COUNTIF(J2573,"*18*")&gt;0,COUNTIF(I2573,"19*")&gt;0,COUNTIF(J2573,"*19*")&gt;0,COUNTIF(I2573,"20*")&gt;0,COUNTIF(J2573,"*20*")&gt;0,COUNTIF(I2573,"21*")&gt;0,COUNTIF(J2573,"*21*")&gt;0,COUNTIF(I2573,"22*")&gt;0,COUNTIF(J2573,"*22*")&gt;0,COUNTIF(I2573,"23*")&gt;0,COUNTIF(J2573,"*23*")&gt;0,COUNTIF(I2573,"24*")&gt;0,COUNTIF(J2573,"*24*")&gt;0,COUNTIF(I2573,"25*")&gt;0,COUNTIF(J2573,"*25*")&gt;0,COUNTIF(I2573,"26*")&gt;0,COUNTIF(J2573,"*26*")&gt;0,COUNTIF(I2573,"27*")&gt;0,COUNTIF(J2573,"*27*")&gt;0,COUNTIF(I2573,"28*")&gt;0,COUNTIF(J2573,"*28*")&gt;0,COUNTIF(I2573,"29*")&gt;0,COUNTIF(J2573,"*29*")&gt;0,COUNTIF(I2573,"30*")&gt;0,COUNTIF(J2573,"*30*")&gt;0,COUNTIF(I2573,"31*")&gt;0,COUNTIF(J2573,"*31*")&gt;0,COUNTIF(I2573,"32*")&gt;0,COUNTIF(J2573,"*32*")&gt;0,COUNTIF(I2573,"33*")&gt;0,COUNTIF(J2573,"*33*")&gt;0,COUNTIF(I2573,"41*")&gt;0,COUNTIF(J2573,"*41*")&gt;0,COUNTIF(I2573,"42*")&gt;0,COUNTIF(J2573,"*42*")&gt;0,COUNTIF(I2573,"43*")&gt;0,COUNTIF(J2573,"*43*")&gt;0,COUNTIF(I2573,"49*")&gt;0,COUNTIF(J2573,"*49*")&gt;0,COUNTIF(I2573,"52*")&gt;0,COUNTIF(J2573,"*52*")&gt;0,COUNTIF(I2573,"55*")&gt;0,COUNTIF(J2573,"*55*")&gt;0,COUNTIF(I2573,"56*")&gt;0,COUNTIF(J2573,"*56*")&gt;0,COUNTIF(I2573,"68*")&gt;0,COUNTIF(J2573,"*68*")&gt;0,COUNTIF(I2573,"78*")&gt;0,COUNTIF(J2573,"*78*")&gt;0,COUNTIF(I2573,"81*")&gt;0,COUNTIF(J2573,"*81*")&gt;0,COUNTIF(I2573,"82*")&gt;0,COUNTIF(J2573,"*82*")&gt;0,COUNTIF(I2573,"64*")&gt;0,COUNTIF(J2573,"*64*")&gt;0,COUNTIF(I2573,"65*")&gt;0,COUNTIF(J2573,"*65*")&gt;0,COUNTIF(I2573,"66*")&gt;0,COUNTIF(J2573,"*66*")&gt;0,COUNTIF(I2573,"61*")&gt;0,COUNTIF(J2573,"*61*")&gt;0,COUNTIF(I2573,"62*")&gt;0,COUNTIF(J2573,"*62*")&gt;0,COUNTIF(I2573,"63*")&gt;0,COUNTIF(J2573,"*63*")&gt;0,COUNTIF(I2573,"85*")&gt;0,COUNTIF(J2573,"*85*")&gt;0,COUNTIF(I2573,"86*")&gt;0,COUNTIF(J2573,"*86*")&gt;0),"Да","Нет"))</f>
        <v/>
      </c>
      <c r="M2573" s="13">
        <f>IF(OR(G2573="",L2573&lt;&gt;"Да"),"",IF(G2573&lt;=100,"До 100",IF(G2573&lt;=200,"До 200",IF(G2573&lt;=500,"До 500","Отдельное КП"))))</f>
        <v/>
      </c>
      <c r="N2573" s="15">
        <f>IF(OR(G2573="",L2573&lt;&gt;"Да"),"",IF(G2573&lt;=100,33600,IF(G2573&lt;=200,62400,IF(G2573&lt;=500,144000,""))))</f>
        <v/>
      </c>
      <c r="O2573" s="16">
        <f>IF(G2573="","",IF(G2573&lt;=15,"1–15",IF(G2573&lt;=30,"16–30",IF(G2573&lt;=50,"31–50",IF(G2573&lt;=100,"51–100",IF(G2573&lt;=150,"101–150",IF(G2573&lt;=200,"151–200",IF(G2573&lt;=500,"201–500","500+"))))))))</f>
        <v/>
      </c>
      <c r="P2573" s="16" t="inlineStr">
        <is>
          <t>Нет совпадения в предоставленной выгрузке ССЧР</t>
        </is>
      </c>
      <c r="Q2573" s="16" t="n"/>
      <c r="R2573" s="16">
        <f>HYPERLINK("https://checko.ru/search?query=3801001629","Чекко: проверить")</f>
        <v/>
      </c>
      <c r="S2573" t="n">
        <v>0</v>
      </c>
    </row>
    <row r="2574" ht="27.75" customHeight="1" s="24">
      <c r="A2574" s="13" t="n">
        <v>5000095240</v>
      </c>
      <c r="B2574" s="13" t="inlineStr">
        <is>
          <t>МКУ "ДАиГ Местной администрации городского округа Нальчик"</t>
        </is>
      </c>
      <c r="C2574" s="13" t="n">
        <v>725017682</v>
      </c>
      <c r="D2574" s="13" t="n"/>
      <c r="E2574" s="13" t="inlineStr">
        <is>
          <t>Не определён</t>
        </is>
      </c>
      <c r="F2574" s="13" t="inlineStr">
        <is>
          <t>725017682</t>
        </is>
      </c>
      <c r="G2574" s="14" t="n"/>
      <c r="H2574" s="14" t="n"/>
      <c r="I2574" s="14" t="n"/>
      <c r="J2574" s="14" t="n"/>
      <c r="K2574" s="13">
        <f>IF(G2574="","",IF(G2574&gt;=22,"Да","Нет"))</f>
        <v/>
      </c>
      <c r="L2574" s="13">
        <f>IF(OR(I2574="",J2574=""),"Не определено",IF(OR(COUNTIF(I2574,"45*")&gt;0,COUNTIF(J2574,"*45*")&gt;0,COUNTIF(I2574,"46*")&gt;0,COUNTIF(J2574,"*46*")&gt;0,COUNTIF(I2574,"47*")&gt;0,COUNTIF(J2574,"*47*")&gt;0,COUNTIF(I2574,"10*")&gt;0,COUNTIF(J2574,"*10*")&gt;0,COUNTIF(I2574,"11*")&gt;0,COUNTIF(J2574,"*11*")&gt;0,COUNTIF(I2574,"12*")&gt;0,COUNTIF(J2574,"*12*")&gt;0,COUNTIF(I2574,"13*")&gt;0,COUNTIF(J2574,"*13*")&gt;0,COUNTIF(I2574,"14*")&gt;0,COUNTIF(J2574,"*14*")&gt;0,COUNTIF(I2574,"15*")&gt;0,COUNTIF(J2574,"*15*")&gt;0,COUNTIF(I2574,"16*")&gt;0,COUNTIF(J2574,"*16*")&gt;0,COUNTIF(I2574,"17*")&gt;0,COUNTIF(J2574,"*17*")&gt;0,COUNTIF(I2574,"18*")&gt;0,COUNTIF(J2574,"*18*")&gt;0,COUNTIF(I2574,"19*")&gt;0,COUNTIF(J2574,"*19*")&gt;0,COUNTIF(I2574,"20*")&gt;0,COUNTIF(J2574,"*20*")&gt;0,COUNTIF(I2574,"21*")&gt;0,COUNTIF(J2574,"*21*")&gt;0,COUNTIF(I2574,"22*")&gt;0,COUNTIF(J2574,"*22*")&gt;0,COUNTIF(I2574,"23*")&gt;0,COUNTIF(J2574,"*23*")&gt;0,COUNTIF(I2574,"24*")&gt;0,COUNTIF(J2574,"*24*")&gt;0,COUNTIF(I2574,"25*")&gt;0,COUNTIF(J2574,"*25*")&gt;0,COUNTIF(I2574,"26*")&gt;0,COUNTIF(J2574,"*26*")&gt;0,COUNTIF(I2574,"27*")&gt;0,COUNTIF(J2574,"*27*")&gt;0,COUNTIF(I2574,"28*")&gt;0,COUNTIF(J2574,"*28*")&gt;0,COUNTIF(I2574,"29*")&gt;0,COUNTIF(J2574,"*29*")&gt;0,COUNTIF(I2574,"30*")&gt;0,COUNTIF(J2574,"*30*")&gt;0,COUNTIF(I2574,"31*")&gt;0,COUNTIF(J2574,"*31*")&gt;0,COUNTIF(I2574,"32*")&gt;0,COUNTIF(J2574,"*32*")&gt;0,COUNTIF(I2574,"33*")&gt;0,COUNTIF(J2574,"*33*")&gt;0,COUNTIF(I2574,"41*")&gt;0,COUNTIF(J2574,"*41*")&gt;0,COUNTIF(I2574,"42*")&gt;0,COUNTIF(J2574,"*42*")&gt;0,COUNTIF(I2574,"43*")&gt;0,COUNTIF(J2574,"*43*")&gt;0,COUNTIF(I2574,"49*")&gt;0,COUNTIF(J2574,"*49*")&gt;0,COUNTIF(I2574,"52*")&gt;0,COUNTIF(J2574,"*52*")&gt;0,COUNTIF(I2574,"55*")&gt;0,COUNTIF(J2574,"*55*")&gt;0,COUNTIF(I2574,"56*")&gt;0,COUNTIF(J2574,"*56*")&gt;0,COUNTIF(I2574,"68*")&gt;0,COUNTIF(J2574,"*68*")&gt;0,COUNTIF(I2574,"78*")&gt;0,COUNTIF(J2574,"*78*")&gt;0,COUNTIF(I2574,"81*")&gt;0,COUNTIF(J2574,"*81*")&gt;0,COUNTIF(I2574,"82*")&gt;0,COUNTIF(J2574,"*82*")&gt;0,COUNTIF(I2574,"64*")&gt;0,COUNTIF(J2574,"*64*")&gt;0,COUNTIF(I2574,"65*")&gt;0,COUNTIF(J2574,"*65*")&gt;0,COUNTIF(I2574,"66*")&gt;0,COUNTIF(J2574,"*66*")&gt;0,COUNTIF(I2574,"61*")&gt;0,COUNTIF(J2574,"*61*")&gt;0,COUNTIF(I2574,"62*")&gt;0,COUNTIF(J2574,"*62*")&gt;0,COUNTIF(I2574,"63*")&gt;0,COUNTIF(J2574,"*63*")&gt;0,COUNTIF(I2574,"85*")&gt;0,COUNTIF(J2574,"*85*")&gt;0,COUNTIF(I2574,"86*")&gt;0,COUNTIF(J2574,"*86*")&gt;0),"Да","Нет"))</f>
        <v/>
      </c>
      <c r="M2574" s="13">
        <f>IF(OR(G2574="",L2574&lt;&gt;"Да"),"",IF(G2574&lt;=100,"До 100",IF(G2574&lt;=200,"До 200",IF(G2574&lt;=500,"До 500","Отдельное КП"))))</f>
        <v/>
      </c>
      <c r="N2574" s="15">
        <f>IF(OR(G2574="",L2574&lt;&gt;"Да"),"",IF(G2574&lt;=100,33600,IF(G2574&lt;=200,62400,IF(G2574&lt;=500,144000,""))))</f>
        <v/>
      </c>
      <c r="O2574" s="16">
        <f>IF(G2574="","",IF(G2574&lt;=15,"1–15",IF(G2574&lt;=30,"16–30",IF(G2574&lt;=50,"31–50",IF(G2574&lt;=100,"51–100",IF(G2574&lt;=150,"101–150",IF(G2574&lt;=200,"151–200",IF(G2574&lt;=500,"201–500","500+"))))))))</f>
        <v/>
      </c>
      <c r="P2574" s="16" t="inlineStr">
        <is>
          <t>Нет совпадения в предоставленной выгрузке ССЧР</t>
        </is>
      </c>
      <c r="Q2574" s="16" t="n"/>
      <c r="R2574" s="16">
        <f>HYPERLINK("https://checko.ru/search?query=3801001629","Чекко: проверить")</f>
        <v/>
      </c>
      <c r="S2574" t="n">
        <v>0</v>
      </c>
    </row>
    <row r="2575" ht="15" customHeight="1" s="24">
      <c r="A2575" s="13" t="n">
        <v>5000095242</v>
      </c>
      <c r="B2575" s="13" t="inlineStr">
        <is>
          <t>ГБУЗ "Городская поликлиника №3" г.о. Нальчик</t>
        </is>
      </c>
      <c r="C2575" s="13" t="n">
        <v>725019496</v>
      </c>
      <c r="D2575" s="13" t="n"/>
      <c r="E2575" s="13" t="inlineStr">
        <is>
          <t>Не определён</t>
        </is>
      </c>
      <c r="F2575" s="13" t="inlineStr">
        <is>
          <t>725019496</t>
        </is>
      </c>
      <c r="G2575" s="14" t="n"/>
      <c r="H2575" s="14" t="n"/>
      <c r="I2575" s="14" t="n"/>
      <c r="J2575" s="14" t="n"/>
      <c r="K2575" s="13">
        <f>IF(G2575="","",IF(G2575&gt;=22,"Да","Нет"))</f>
        <v/>
      </c>
      <c r="L2575" s="13">
        <f>IF(OR(I2575="",J2575=""),"Не определено",IF(OR(COUNTIF(I2575,"45*")&gt;0,COUNTIF(J2575,"*45*")&gt;0,COUNTIF(I2575,"46*")&gt;0,COUNTIF(J2575,"*46*")&gt;0,COUNTIF(I2575,"47*")&gt;0,COUNTIF(J2575,"*47*")&gt;0,COUNTIF(I2575,"10*")&gt;0,COUNTIF(J2575,"*10*")&gt;0,COUNTIF(I2575,"11*")&gt;0,COUNTIF(J2575,"*11*")&gt;0,COUNTIF(I2575,"12*")&gt;0,COUNTIF(J2575,"*12*")&gt;0,COUNTIF(I2575,"13*")&gt;0,COUNTIF(J2575,"*13*")&gt;0,COUNTIF(I2575,"14*")&gt;0,COUNTIF(J2575,"*14*")&gt;0,COUNTIF(I2575,"15*")&gt;0,COUNTIF(J2575,"*15*")&gt;0,COUNTIF(I2575,"16*")&gt;0,COUNTIF(J2575,"*16*")&gt;0,COUNTIF(I2575,"17*")&gt;0,COUNTIF(J2575,"*17*")&gt;0,COUNTIF(I2575,"18*")&gt;0,COUNTIF(J2575,"*18*")&gt;0,COUNTIF(I2575,"19*")&gt;0,COUNTIF(J2575,"*19*")&gt;0,COUNTIF(I2575,"20*")&gt;0,COUNTIF(J2575,"*20*")&gt;0,COUNTIF(I2575,"21*")&gt;0,COUNTIF(J2575,"*21*")&gt;0,COUNTIF(I2575,"22*")&gt;0,COUNTIF(J2575,"*22*")&gt;0,COUNTIF(I2575,"23*")&gt;0,COUNTIF(J2575,"*23*")&gt;0,COUNTIF(I2575,"24*")&gt;0,COUNTIF(J2575,"*24*")&gt;0,COUNTIF(I2575,"25*")&gt;0,COUNTIF(J2575,"*25*")&gt;0,COUNTIF(I2575,"26*")&gt;0,COUNTIF(J2575,"*26*")&gt;0,COUNTIF(I2575,"27*")&gt;0,COUNTIF(J2575,"*27*")&gt;0,COUNTIF(I2575,"28*")&gt;0,COUNTIF(J2575,"*28*")&gt;0,COUNTIF(I2575,"29*")&gt;0,COUNTIF(J2575,"*29*")&gt;0,COUNTIF(I2575,"30*")&gt;0,COUNTIF(J2575,"*30*")&gt;0,COUNTIF(I2575,"31*")&gt;0,COUNTIF(J2575,"*31*")&gt;0,COUNTIF(I2575,"32*")&gt;0,COUNTIF(J2575,"*32*")&gt;0,COUNTIF(I2575,"33*")&gt;0,COUNTIF(J2575,"*33*")&gt;0,COUNTIF(I2575,"41*")&gt;0,COUNTIF(J2575,"*41*")&gt;0,COUNTIF(I2575,"42*")&gt;0,COUNTIF(J2575,"*42*")&gt;0,COUNTIF(I2575,"43*")&gt;0,COUNTIF(J2575,"*43*")&gt;0,COUNTIF(I2575,"49*")&gt;0,COUNTIF(J2575,"*49*")&gt;0,COUNTIF(I2575,"52*")&gt;0,COUNTIF(J2575,"*52*")&gt;0,COUNTIF(I2575,"55*")&gt;0,COUNTIF(J2575,"*55*")&gt;0,COUNTIF(I2575,"56*")&gt;0,COUNTIF(J2575,"*56*")&gt;0,COUNTIF(I2575,"68*")&gt;0,COUNTIF(J2575,"*68*")&gt;0,COUNTIF(I2575,"78*")&gt;0,COUNTIF(J2575,"*78*")&gt;0,COUNTIF(I2575,"81*")&gt;0,COUNTIF(J2575,"*81*")&gt;0,COUNTIF(I2575,"82*")&gt;0,COUNTIF(J2575,"*82*")&gt;0,COUNTIF(I2575,"64*")&gt;0,COUNTIF(J2575,"*64*")&gt;0,COUNTIF(I2575,"65*")&gt;0,COUNTIF(J2575,"*65*")&gt;0,COUNTIF(I2575,"66*")&gt;0,COUNTIF(J2575,"*66*")&gt;0,COUNTIF(I2575,"61*")&gt;0,COUNTIF(J2575,"*61*")&gt;0,COUNTIF(I2575,"62*")&gt;0,COUNTIF(J2575,"*62*")&gt;0,COUNTIF(I2575,"63*")&gt;0,COUNTIF(J2575,"*63*")&gt;0,COUNTIF(I2575,"85*")&gt;0,COUNTIF(J2575,"*85*")&gt;0,COUNTIF(I2575,"86*")&gt;0,COUNTIF(J2575,"*86*")&gt;0),"Да","Нет"))</f>
        <v/>
      </c>
      <c r="M2575" s="13">
        <f>IF(OR(G2575="",L2575&lt;&gt;"Да"),"",IF(G2575&lt;=100,"До 100",IF(G2575&lt;=200,"До 200",IF(G2575&lt;=500,"До 500","Отдельное КП"))))</f>
        <v/>
      </c>
      <c r="N2575" s="15">
        <f>IF(OR(G2575="",L2575&lt;&gt;"Да"),"",IF(G2575&lt;=100,33600,IF(G2575&lt;=200,62400,IF(G2575&lt;=500,144000,""))))</f>
        <v/>
      </c>
      <c r="O2575" s="16">
        <f>IF(G2575="","",IF(G2575&lt;=15,"1–15",IF(G2575&lt;=30,"16–30",IF(G2575&lt;=50,"31–50",IF(G2575&lt;=100,"51–100",IF(G2575&lt;=150,"101–150",IF(G2575&lt;=200,"151–200",IF(G2575&lt;=500,"201–500","500+"))))))))</f>
        <v/>
      </c>
      <c r="P2575" s="16" t="inlineStr">
        <is>
          <t>Нет совпадения в предоставленной выгрузке ССЧР</t>
        </is>
      </c>
      <c r="Q2575" s="16" t="n"/>
      <c r="R2575" s="16">
        <f>HYPERLINK("https://checko.ru/search?query=3801001629","Чекко: проверить")</f>
        <v/>
      </c>
      <c r="S2575" t="n">
        <v>0</v>
      </c>
    </row>
    <row r="2576" ht="15" customHeight="1" s="24">
      <c r="A2576" s="13" t="n">
        <v>5000095244</v>
      </c>
      <c r="B2576" s="13" t="inlineStr">
        <is>
          <t>ГКУ КБР "СШОР"</t>
        </is>
      </c>
      <c r="C2576" s="13" t="n">
        <v>725026221</v>
      </c>
      <c r="D2576" s="13" t="n"/>
      <c r="E2576" s="13" t="inlineStr">
        <is>
          <t>Не определён</t>
        </is>
      </c>
      <c r="F2576" s="13" t="inlineStr">
        <is>
          <t>725026221</t>
        </is>
      </c>
      <c r="G2576" s="14" t="n"/>
      <c r="H2576" s="14" t="n"/>
      <c r="I2576" s="14" t="n"/>
      <c r="J2576" s="14" t="n"/>
      <c r="K2576" s="13">
        <f>IF(G2576="","",IF(G2576&gt;=22,"Да","Нет"))</f>
        <v/>
      </c>
      <c r="L2576" s="13">
        <f>IF(OR(I2576="",J2576=""),"Не определено",IF(OR(COUNTIF(I2576,"45*")&gt;0,COUNTIF(J2576,"*45*")&gt;0,COUNTIF(I2576,"46*")&gt;0,COUNTIF(J2576,"*46*")&gt;0,COUNTIF(I2576,"47*")&gt;0,COUNTIF(J2576,"*47*")&gt;0,COUNTIF(I2576,"10*")&gt;0,COUNTIF(J2576,"*10*")&gt;0,COUNTIF(I2576,"11*")&gt;0,COUNTIF(J2576,"*11*")&gt;0,COUNTIF(I2576,"12*")&gt;0,COUNTIF(J2576,"*12*")&gt;0,COUNTIF(I2576,"13*")&gt;0,COUNTIF(J2576,"*13*")&gt;0,COUNTIF(I2576,"14*")&gt;0,COUNTIF(J2576,"*14*")&gt;0,COUNTIF(I2576,"15*")&gt;0,COUNTIF(J2576,"*15*")&gt;0,COUNTIF(I2576,"16*")&gt;0,COUNTIF(J2576,"*16*")&gt;0,COUNTIF(I2576,"17*")&gt;0,COUNTIF(J2576,"*17*")&gt;0,COUNTIF(I2576,"18*")&gt;0,COUNTIF(J2576,"*18*")&gt;0,COUNTIF(I2576,"19*")&gt;0,COUNTIF(J2576,"*19*")&gt;0,COUNTIF(I2576,"20*")&gt;0,COUNTIF(J2576,"*20*")&gt;0,COUNTIF(I2576,"21*")&gt;0,COUNTIF(J2576,"*21*")&gt;0,COUNTIF(I2576,"22*")&gt;0,COUNTIF(J2576,"*22*")&gt;0,COUNTIF(I2576,"23*")&gt;0,COUNTIF(J2576,"*23*")&gt;0,COUNTIF(I2576,"24*")&gt;0,COUNTIF(J2576,"*24*")&gt;0,COUNTIF(I2576,"25*")&gt;0,COUNTIF(J2576,"*25*")&gt;0,COUNTIF(I2576,"26*")&gt;0,COUNTIF(J2576,"*26*")&gt;0,COUNTIF(I2576,"27*")&gt;0,COUNTIF(J2576,"*27*")&gt;0,COUNTIF(I2576,"28*")&gt;0,COUNTIF(J2576,"*28*")&gt;0,COUNTIF(I2576,"29*")&gt;0,COUNTIF(J2576,"*29*")&gt;0,COUNTIF(I2576,"30*")&gt;0,COUNTIF(J2576,"*30*")&gt;0,COUNTIF(I2576,"31*")&gt;0,COUNTIF(J2576,"*31*")&gt;0,COUNTIF(I2576,"32*")&gt;0,COUNTIF(J2576,"*32*")&gt;0,COUNTIF(I2576,"33*")&gt;0,COUNTIF(J2576,"*33*")&gt;0,COUNTIF(I2576,"41*")&gt;0,COUNTIF(J2576,"*41*")&gt;0,COUNTIF(I2576,"42*")&gt;0,COUNTIF(J2576,"*42*")&gt;0,COUNTIF(I2576,"43*")&gt;0,COUNTIF(J2576,"*43*")&gt;0,COUNTIF(I2576,"49*")&gt;0,COUNTIF(J2576,"*49*")&gt;0,COUNTIF(I2576,"52*")&gt;0,COUNTIF(J2576,"*52*")&gt;0,COUNTIF(I2576,"55*")&gt;0,COUNTIF(J2576,"*55*")&gt;0,COUNTIF(I2576,"56*")&gt;0,COUNTIF(J2576,"*56*")&gt;0,COUNTIF(I2576,"68*")&gt;0,COUNTIF(J2576,"*68*")&gt;0,COUNTIF(I2576,"78*")&gt;0,COUNTIF(J2576,"*78*")&gt;0,COUNTIF(I2576,"81*")&gt;0,COUNTIF(J2576,"*81*")&gt;0,COUNTIF(I2576,"82*")&gt;0,COUNTIF(J2576,"*82*")&gt;0,COUNTIF(I2576,"64*")&gt;0,COUNTIF(J2576,"*64*")&gt;0,COUNTIF(I2576,"65*")&gt;0,COUNTIF(J2576,"*65*")&gt;0,COUNTIF(I2576,"66*")&gt;0,COUNTIF(J2576,"*66*")&gt;0,COUNTIF(I2576,"61*")&gt;0,COUNTIF(J2576,"*61*")&gt;0,COUNTIF(I2576,"62*")&gt;0,COUNTIF(J2576,"*62*")&gt;0,COUNTIF(I2576,"63*")&gt;0,COUNTIF(J2576,"*63*")&gt;0,COUNTIF(I2576,"85*")&gt;0,COUNTIF(J2576,"*85*")&gt;0,COUNTIF(I2576,"86*")&gt;0,COUNTIF(J2576,"*86*")&gt;0),"Да","Нет"))</f>
        <v/>
      </c>
      <c r="M2576" s="13">
        <f>IF(OR(G2576="",L2576&lt;&gt;"Да"),"",IF(G2576&lt;=100,"До 100",IF(G2576&lt;=200,"До 200",IF(G2576&lt;=500,"До 500","Отдельное КП"))))</f>
        <v/>
      </c>
      <c r="N2576" s="15">
        <f>IF(OR(G2576="",L2576&lt;&gt;"Да"),"",IF(G2576&lt;=100,33600,IF(G2576&lt;=200,62400,IF(G2576&lt;=500,144000,""))))</f>
        <v/>
      </c>
      <c r="O2576" s="16">
        <f>IF(G2576="","",IF(G2576&lt;=15,"1–15",IF(G2576&lt;=30,"16–30",IF(G2576&lt;=50,"31–50",IF(G2576&lt;=100,"51–100",IF(G2576&lt;=150,"101–150",IF(G2576&lt;=200,"151–200",IF(G2576&lt;=500,"201–500","500+"))))))))</f>
        <v/>
      </c>
      <c r="P2576" s="16" t="inlineStr">
        <is>
          <t>Нет совпадения в предоставленной выгрузке ССЧР</t>
        </is>
      </c>
      <c r="Q2576" s="16" t="n"/>
      <c r="R2576" s="16">
        <f>HYPERLINK("https://checko.ru/search?query=3801001629","Чекко: проверить")</f>
        <v/>
      </c>
      <c r="S2576" t="n">
        <v>0</v>
      </c>
    </row>
    <row r="2577" ht="15" customHeight="1" s="24">
      <c r="A2577" s="13" t="n">
        <v>5000095245</v>
      </c>
      <c r="B2577" s="13" t="inlineStr">
        <is>
          <t>МБУ "Управление ПРУ и СМЗ"</t>
        </is>
      </c>
      <c r="C2577" s="13" t="n">
        <v>725026373</v>
      </c>
      <c r="D2577" s="13" t="n"/>
      <c r="E2577" s="13" t="inlineStr">
        <is>
          <t>Не определён</t>
        </is>
      </c>
      <c r="F2577" s="13" t="inlineStr">
        <is>
          <t>725026373</t>
        </is>
      </c>
      <c r="G2577" s="14" t="n"/>
      <c r="H2577" s="14" t="n"/>
      <c r="I2577" s="14" t="n"/>
      <c r="J2577" s="14" t="n"/>
      <c r="K2577" s="13">
        <f>IF(G2577="","",IF(G2577&gt;=22,"Да","Нет"))</f>
        <v/>
      </c>
      <c r="L2577" s="13">
        <f>IF(OR(I2577="",J2577=""),"Не определено",IF(OR(COUNTIF(I2577,"45*")&gt;0,COUNTIF(J2577,"*45*")&gt;0,COUNTIF(I2577,"46*")&gt;0,COUNTIF(J2577,"*46*")&gt;0,COUNTIF(I2577,"47*")&gt;0,COUNTIF(J2577,"*47*")&gt;0,COUNTIF(I2577,"10*")&gt;0,COUNTIF(J2577,"*10*")&gt;0,COUNTIF(I2577,"11*")&gt;0,COUNTIF(J2577,"*11*")&gt;0,COUNTIF(I2577,"12*")&gt;0,COUNTIF(J2577,"*12*")&gt;0,COUNTIF(I2577,"13*")&gt;0,COUNTIF(J2577,"*13*")&gt;0,COUNTIF(I2577,"14*")&gt;0,COUNTIF(J2577,"*14*")&gt;0,COUNTIF(I2577,"15*")&gt;0,COUNTIF(J2577,"*15*")&gt;0,COUNTIF(I2577,"16*")&gt;0,COUNTIF(J2577,"*16*")&gt;0,COUNTIF(I2577,"17*")&gt;0,COUNTIF(J2577,"*17*")&gt;0,COUNTIF(I2577,"18*")&gt;0,COUNTIF(J2577,"*18*")&gt;0,COUNTIF(I2577,"19*")&gt;0,COUNTIF(J2577,"*19*")&gt;0,COUNTIF(I2577,"20*")&gt;0,COUNTIF(J2577,"*20*")&gt;0,COUNTIF(I2577,"21*")&gt;0,COUNTIF(J2577,"*21*")&gt;0,COUNTIF(I2577,"22*")&gt;0,COUNTIF(J2577,"*22*")&gt;0,COUNTIF(I2577,"23*")&gt;0,COUNTIF(J2577,"*23*")&gt;0,COUNTIF(I2577,"24*")&gt;0,COUNTIF(J2577,"*24*")&gt;0,COUNTIF(I2577,"25*")&gt;0,COUNTIF(J2577,"*25*")&gt;0,COUNTIF(I2577,"26*")&gt;0,COUNTIF(J2577,"*26*")&gt;0,COUNTIF(I2577,"27*")&gt;0,COUNTIF(J2577,"*27*")&gt;0,COUNTIF(I2577,"28*")&gt;0,COUNTIF(J2577,"*28*")&gt;0,COUNTIF(I2577,"29*")&gt;0,COUNTIF(J2577,"*29*")&gt;0,COUNTIF(I2577,"30*")&gt;0,COUNTIF(J2577,"*30*")&gt;0,COUNTIF(I2577,"31*")&gt;0,COUNTIF(J2577,"*31*")&gt;0,COUNTIF(I2577,"32*")&gt;0,COUNTIF(J2577,"*32*")&gt;0,COUNTIF(I2577,"33*")&gt;0,COUNTIF(J2577,"*33*")&gt;0,COUNTIF(I2577,"41*")&gt;0,COUNTIF(J2577,"*41*")&gt;0,COUNTIF(I2577,"42*")&gt;0,COUNTIF(J2577,"*42*")&gt;0,COUNTIF(I2577,"43*")&gt;0,COUNTIF(J2577,"*43*")&gt;0,COUNTIF(I2577,"49*")&gt;0,COUNTIF(J2577,"*49*")&gt;0,COUNTIF(I2577,"52*")&gt;0,COUNTIF(J2577,"*52*")&gt;0,COUNTIF(I2577,"55*")&gt;0,COUNTIF(J2577,"*55*")&gt;0,COUNTIF(I2577,"56*")&gt;0,COUNTIF(J2577,"*56*")&gt;0,COUNTIF(I2577,"68*")&gt;0,COUNTIF(J2577,"*68*")&gt;0,COUNTIF(I2577,"78*")&gt;0,COUNTIF(J2577,"*78*")&gt;0,COUNTIF(I2577,"81*")&gt;0,COUNTIF(J2577,"*81*")&gt;0,COUNTIF(I2577,"82*")&gt;0,COUNTIF(J2577,"*82*")&gt;0,COUNTIF(I2577,"64*")&gt;0,COUNTIF(J2577,"*64*")&gt;0,COUNTIF(I2577,"65*")&gt;0,COUNTIF(J2577,"*65*")&gt;0,COUNTIF(I2577,"66*")&gt;0,COUNTIF(J2577,"*66*")&gt;0,COUNTIF(I2577,"61*")&gt;0,COUNTIF(J2577,"*61*")&gt;0,COUNTIF(I2577,"62*")&gt;0,COUNTIF(J2577,"*62*")&gt;0,COUNTIF(I2577,"63*")&gt;0,COUNTIF(J2577,"*63*")&gt;0,COUNTIF(I2577,"85*")&gt;0,COUNTIF(J2577,"*85*")&gt;0,COUNTIF(I2577,"86*")&gt;0,COUNTIF(J2577,"*86*")&gt;0),"Да","Нет"))</f>
        <v/>
      </c>
      <c r="M2577" s="13">
        <f>IF(OR(G2577="",L2577&lt;&gt;"Да"),"",IF(G2577&lt;=100,"До 100",IF(G2577&lt;=200,"До 200",IF(G2577&lt;=500,"До 500","Отдельное КП"))))</f>
        <v/>
      </c>
      <c r="N2577" s="15">
        <f>IF(OR(G2577="",L2577&lt;&gt;"Да"),"",IF(G2577&lt;=100,33600,IF(G2577&lt;=200,62400,IF(G2577&lt;=500,144000,""))))</f>
        <v/>
      </c>
      <c r="O2577" s="16">
        <f>IF(G2577="","",IF(G2577&lt;=15,"1–15",IF(G2577&lt;=30,"16–30",IF(G2577&lt;=50,"31–50",IF(G2577&lt;=100,"51–100",IF(G2577&lt;=150,"101–150",IF(G2577&lt;=200,"151–200",IF(G2577&lt;=500,"201–500","500+"))))))))</f>
        <v/>
      </c>
      <c r="P2577" s="16" t="inlineStr">
        <is>
          <t>Нет совпадения в предоставленной выгрузке ССЧР</t>
        </is>
      </c>
      <c r="Q2577" s="16" t="n"/>
      <c r="R2577" s="16">
        <f>HYPERLINK("https://checko.ru/search?query=3801001629","Чекко: проверить")</f>
        <v/>
      </c>
      <c r="S2577" t="n">
        <v>0</v>
      </c>
    </row>
    <row r="2578" ht="15" customHeight="1" s="24">
      <c r="A2578" s="13" t="n">
        <v>5000095246</v>
      </c>
      <c r="B2578" s="13" t="inlineStr">
        <is>
          <t>МКУ "АРТ ЗАЛ ПЛАТФОРМА"</t>
        </is>
      </c>
      <c r="C2578" s="13" t="n">
        <v>725026422</v>
      </c>
      <c r="D2578" s="13" t="n"/>
      <c r="E2578" s="13" t="inlineStr">
        <is>
          <t>Не определён</t>
        </is>
      </c>
      <c r="F2578" s="13" t="inlineStr">
        <is>
          <t>725026422</t>
        </is>
      </c>
      <c r="G2578" s="14" t="n"/>
      <c r="H2578" s="14" t="n"/>
      <c r="I2578" s="14" t="n"/>
      <c r="J2578" s="14" t="n"/>
      <c r="K2578" s="13">
        <f>IF(G2578="","",IF(G2578&gt;=22,"Да","Нет"))</f>
        <v/>
      </c>
      <c r="L2578" s="13">
        <f>IF(OR(I2578="",J2578=""),"Не определено",IF(OR(COUNTIF(I2578,"45*")&gt;0,COUNTIF(J2578,"*45*")&gt;0,COUNTIF(I2578,"46*")&gt;0,COUNTIF(J2578,"*46*")&gt;0,COUNTIF(I2578,"47*")&gt;0,COUNTIF(J2578,"*47*")&gt;0,COUNTIF(I2578,"10*")&gt;0,COUNTIF(J2578,"*10*")&gt;0,COUNTIF(I2578,"11*")&gt;0,COUNTIF(J2578,"*11*")&gt;0,COUNTIF(I2578,"12*")&gt;0,COUNTIF(J2578,"*12*")&gt;0,COUNTIF(I2578,"13*")&gt;0,COUNTIF(J2578,"*13*")&gt;0,COUNTIF(I2578,"14*")&gt;0,COUNTIF(J2578,"*14*")&gt;0,COUNTIF(I2578,"15*")&gt;0,COUNTIF(J2578,"*15*")&gt;0,COUNTIF(I2578,"16*")&gt;0,COUNTIF(J2578,"*16*")&gt;0,COUNTIF(I2578,"17*")&gt;0,COUNTIF(J2578,"*17*")&gt;0,COUNTIF(I2578,"18*")&gt;0,COUNTIF(J2578,"*18*")&gt;0,COUNTIF(I2578,"19*")&gt;0,COUNTIF(J2578,"*19*")&gt;0,COUNTIF(I2578,"20*")&gt;0,COUNTIF(J2578,"*20*")&gt;0,COUNTIF(I2578,"21*")&gt;0,COUNTIF(J2578,"*21*")&gt;0,COUNTIF(I2578,"22*")&gt;0,COUNTIF(J2578,"*22*")&gt;0,COUNTIF(I2578,"23*")&gt;0,COUNTIF(J2578,"*23*")&gt;0,COUNTIF(I2578,"24*")&gt;0,COUNTIF(J2578,"*24*")&gt;0,COUNTIF(I2578,"25*")&gt;0,COUNTIF(J2578,"*25*")&gt;0,COUNTIF(I2578,"26*")&gt;0,COUNTIF(J2578,"*26*")&gt;0,COUNTIF(I2578,"27*")&gt;0,COUNTIF(J2578,"*27*")&gt;0,COUNTIF(I2578,"28*")&gt;0,COUNTIF(J2578,"*28*")&gt;0,COUNTIF(I2578,"29*")&gt;0,COUNTIF(J2578,"*29*")&gt;0,COUNTIF(I2578,"30*")&gt;0,COUNTIF(J2578,"*30*")&gt;0,COUNTIF(I2578,"31*")&gt;0,COUNTIF(J2578,"*31*")&gt;0,COUNTIF(I2578,"32*")&gt;0,COUNTIF(J2578,"*32*")&gt;0,COUNTIF(I2578,"33*")&gt;0,COUNTIF(J2578,"*33*")&gt;0,COUNTIF(I2578,"41*")&gt;0,COUNTIF(J2578,"*41*")&gt;0,COUNTIF(I2578,"42*")&gt;0,COUNTIF(J2578,"*42*")&gt;0,COUNTIF(I2578,"43*")&gt;0,COUNTIF(J2578,"*43*")&gt;0,COUNTIF(I2578,"49*")&gt;0,COUNTIF(J2578,"*49*")&gt;0,COUNTIF(I2578,"52*")&gt;0,COUNTIF(J2578,"*52*")&gt;0,COUNTIF(I2578,"55*")&gt;0,COUNTIF(J2578,"*55*")&gt;0,COUNTIF(I2578,"56*")&gt;0,COUNTIF(J2578,"*56*")&gt;0,COUNTIF(I2578,"68*")&gt;0,COUNTIF(J2578,"*68*")&gt;0,COUNTIF(I2578,"78*")&gt;0,COUNTIF(J2578,"*78*")&gt;0,COUNTIF(I2578,"81*")&gt;0,COUNTIF(J2578,"*81*")&gt;0,COUNTIF(I2578,"82*")&gt;0,COUNTIF(J2578,"*82*")&gt;0,COUNTIF(I2578,"64*")&gt;0,COUNTIF(J2578,"*64*")&gt;0,COUNTIF(I2578,"65*")&gt;0,COUNTIF(J2578,"*65*")&gt;0,COUNTIF(I2578,"66*")&gt;0,COUNTIF(J2578,"*66*")&gt;0,COUNTIF(I2578,"61*")&gt;0,COUNTIF(J2578,"*61*")&gt;0,COUNTIF(I2578,"62*")&gt;0,COUNTIF(J2578,"*62*")&gt;0,COUNTIF(I2578,"63*")&gt;0,COUNTIF(J2578,"*63*")&gt;0,COUNTIF(I2578,"85*")&gt;0,COUNTIF(J2578,"*85*")&gt;0,COUNTIF(I2578,"86*")&gt;0,COUNTIF(J2578,"*86*")&gt;0),"Да","Нет"))</f>
        <v/>
      </c>
      <c r="M2578" s="13">
        <f>IF(OR(G2578="",L2578&lt;&gt;"Да"),"",IF(G2578&lt;=100,"До 100",IF(G2578&lt;=200,"До 200",IF(G2578&lt;=500,"До 500","Отдельное КП"))))</f>
        <v/>
      </c>
      <c r="N2578" s="15">
        <f>IF(OR(G2578="",L2578&lt;&gt;"Да"),"",IF(G2578&lt;=100,33600,IF(G2578&lt;=200,62400,IF(G2578&lt;=500,144000,""))))</f>
        <v/>
      </c>
      <c r="O2578" s="16">
        <f>IF(G2578="","",IF(G2578&lt;=15,"1–15",IF(G2578&lt;=30,"16–30",IF(G2578&lt;=50,"31–50",IF(G2578&lt;=100,"51–100",IF(G2578&lt;=150,"101–150",IF(G2578&lt;=200,"151–200",IF(G2578&lt;=500,"201–500","500+"))))))))</f>
        <v/>
      </c>
      <c r="P2578" s="16" t="inlineStr">
        <is>
          <t>Нет совпадения в предоставленной выгрузке ССЧР</t>
        </is>
      </c>
      <c r="Q2578" s="16" t="n"/>
      <c r="R2578" s="16">
        <f>HYPERLINK("https://checko.ru/search?query=3801001629","Чекко: проверить")</f>
        <v/>
      </c>
      <c r="S2578" t="n">
        <v>0</v>
      </c>
    </row>
    <row r="2579" ht="27.75" customHeight="1" s="24">
      <c r="A2579" s="13" t="n">
        <v>5000095247</v>
      </c>
      <c r="B2579" s="13" t="inlineStr">
        <is>
          <t>ГКУ КБР "Дирекция по эксплуатации и капстроительству природоохранных объектов"</t>
        </is>
      </c>
      <c r="C2579" s="13" t="n">
        <v>725026951</v>
      </c>
      <c r="D2579" s="13" t="n"/>
      <c r="E2579" s="13" t="inlineStr">
        <is>
          <t>Не определён</t>
        </is>
      </c>
      <c r="F2579" s="13" t="inlineStr">
        <is>
          <t>725026951</t>
        </is>
      </c>
      <c r="G2579" s="14" t="n"/>
      <c r="H2579" s="14" t="n"/>
      <c r="I2579" s="14" t="n"/>
      <c r="J2579" s="14" t="n"/>
      <c r="K2579" s="13">
        <f>IF(G2579="","",IF(G2579&gt;=22,"Да","Нет"))</f>
        <v/>
      </c>
      <c r="L2579" s="13">
        <f>IF(OR(I2579="",J2579=""),"Не определено",IF(OR(COUNTIF(I2579,"45*")&gt;0,COUNTIF(J2579,"*45*")&gt;0,COUNTIF(I2579,"46*")&gt;0,COUNTIF(J2579,"*46*")&gt;0,COUNTIF(I2579,"47*")&gt;0,COUNTIF(J2579,"*47*")&gt;0,COUNTIF(I2579,"10*")&gt;0,COUNTIF(J2579,"*10*")&gt;0,COUNTIF(I2579,"11*")&gt;0,COUNTIF(J2579,"*11*")&gt;0,COUNTIF(I2579,"12*")&gt;0,COUNTIF(J2579,"*12*")&gt;0,COUNTIF(I2579,"13*")&gt;0,COUNTIF(J2579,"*13*")&gt;0,COUNTIF(I2579,"14*")&gt;0,COUNTIF(J2579,"*14*")&gt;0,COUNTIF(I2579,"15*")&gt;0,COUNTIF(J2579,"*15*")&gt;0,COUNTIF(I2579,"16*")&gt;0,COUNTIF(J2579,"*16*")&gt;0,COUNTIF(I2579,"17*")&gt;0,COUNTIF(J2579,"*17*")&gt;0,COUNTIF(I2579,"18*")&gt;0,COUNTIF(J2579,"*18*")&gt;0,COUNTIF(I2579,"19*")&gt;0,COUNTIF(J2579,"*19*")&gt;0,COUNTIF(I2579,"20*")&gt;0,COUNTIF(J2579,"*20*")&gt;0,COUNTIF(I2579,"21*")&gt;0,COUNTIF(J2579,"*21*")&gt;0,COUNTIF(I2579,"22*")&gt;0,COUNTIF(J2579,"*22*")&gt;0,COUNTIF(I2579,"23*")&gt;0,COUNTIF(J2579,"*23*")&gt;0,COUNTIF(I2579,"24*")&gt;0,COUNTIF(J2579,"*24*")&gt;0,COUNTIF(I2579,"25*")&gt;0,COUNTIF(J2579,"*25*")&gt;0,COUNTIF(I2579,"26*")&gt;0,COUNTIF(J2579,"*26*")&gt;0,COUNTIF(I2579,"27*")&gt;0,COUNTIF(J2579,"*27*")&gt;0,COUNTIF(I2579,"28*")&gt;0,COUNTIF(J2579,"*28*")&gt;0,COUNTIF(I2579,"29*")&gt;0,COUNTIF(J2579,"*29*")&gt;0,COUNTIF(I2579,"30*")&gt;0,COUNTIF(J2579,"*30*")&gt;0,COUNTIF(I2579,"31*")&gt;0,COUNTIF(J2579,"*31*")&gt;0,COUNTIF(I2579,"32*")&gt;0,COUNTIF(J2579,"*32*")&gt;0,COUNTIF(I2579,"33*")&gt;0,COUNTIF(J2579,"*33*")&gt;0,COUNTIF(I2579,"41*")&gt;0,COUNTIF(J2579,"*41*")&gt;0,COUNTIF(I2579,"42*")&gt;0,COUNTIF(J2579,"*42*")&gt;0,COUNTIF(I2579,"43*")&gt;0,COUNTIF(J2579,"*43*")&gt;0,COUNTIF(I2579,"49*")&gt;0,COUNTIF(J2579,"*49*")&gt;0,COUNTIF(I2579,"52*")&gt;0,COUNTIF(J2579,"*52*")&gt;0,COUNTIF(I2579,"55*")&gt;0,COUNTIF(J2579,"*55*")&gt;0,COUNTIF(I2579,"56*")&gt;0,COUNTIF(J2579,"*56*")&gt;0,COUNTIF(I2579,"68*")&gt;0,COUNTIF(J2579,"*68*")&gt;0,COUNTIF(I2579,"78*")&gt;0,COUNTIF(J2579,"*78*")&gt;0,COUNTIF(I2579,"81*")&gt;0,COUNTIF(J2579,"*81*")&gt;0,COUNTIF(I2579,"82*")&gt;0,COUNTIF(J2579,"*82*")&gt;0,COUNTIF(I2579,"64*")&gt;0,COUNTIF(J2579,"*64*")&gt;0,COUNTIF(I2579,"65*")&gt;0,COUNTIF(J2579,"*65*")&gt;0,COUNTIF(I2579,"66*")&gt;0,COUNTIF(J2579,"*66*")&gt;0,COUNTIF(I2579,"61*")&gt;0,COUNTIF(J2579,"*61*")&gt;0,COUNTIF(I2579,"62*")&gt;0,COUNTIF(J2579,"*62*")&gt;0,COUNTIF(I2579,"63*")&gt;0,COUNTIF(J2579,"*63*")&gt;0,COUNTIF(I2579,"85*")&gt;0,COUNTIF(J2579,"*85*")&gt;0,COUNTIF(I2579,"86*")&gt;0,COUNTIF(J2579,"*86*")&gt;0),"Да","Нет"))</f>
        <v/>
      </c>
      <c r="M2579" s="13">
        <f>IF(OR(G2579="",L2579&lt;&gt;"Да"),"",IF(G2579&lt;=100,"До 100",IF(G2579&lt;=200,"До 200",IF(G2579&lt;=500,"До 500","Отдельное КП"))))</f>
        <v/>
      </c>
      <c r="N2579" s="15">
        <f>IF(OR(G2579="",L2579&lt;&gt;"Да"),"",IF(G2579&lt;=100,33600,IF(G2579&lt;=200,62400,IF(G2579&lt;=500,144000,""))))</f>
        <v/>
      </c>
      <c r="O2579" s="16">
        <f>IF(G2579="","",IF(G2579&lt;=15,"1–15",IF(G2579&lt;=30,"16–30",IF(G2579&lt;=50,"31–50",IF(G2579&lt;=100,"51–100",IF(G2579&lt;=150,"101–150",IF(G2579&lt;=200,"151–200",IF(G2579&lt;=500,"201–500","500+"))))))))</f>
        <v/>
      </c>
      <c r="P2579" s="16" t="inlineStr">
        <is>
          <t>Нет совпадения в предоставленной выгрузке ССЧР</t>
        </is>
      </c>
      <c r="Q2579" s="16" t="n"/>
      <c r="R2579" s="16">
        <f>HYPERLINK("https://checko.ru/search?query=3801001629","Чекко: проверить")</f>
        <v/>
      </c>
      <c r="S2579" t="n">
        <v>0</v>
      </c>
    </row>
    <row r="2580" ht="15" customHeight="1" s="24">
      <c r="A2580" s="13" t="n">
        <v>5000095248</v>
      </c>
      <c r="B2580" s="13" t="inlineStr">
        <is>
          <t>Минцифра КБР</t>
        </is>
      </c>
      <c r="C2580" s="13" t="n">
        <v>725027994</v>
      </c>
      <c r="D2580" s="13" t="n"/>
      <c r="E2580" s="13" t="inlineStr">
        <is>
          <t>Не определён</t>
        </is>
      </c>
      <c r="F2580" s="13" t="inlineStr">
        <is>
          <t>725027994</t>
        </is>
      </c>
      <c r="G2580" s="14" t="n"/>
      <c r="H2580" s="14" t="n"/>
      <c r="I2580" s="14" t="n"/>
      <c r="J2580" s="14" t="n"/>
      <c r="K2580" s="13">
        <f>IF(G2580="","",IF(G2580&gt;=22,"Да","Нет"))</f>
        <v/>
      </c>
      <c r="L2580" s="13">
        <f>IF(OR(I2580="",J2580=""),"Не определено",IF(OR(COUNTIF(I2580,"45*")&gt;0,COUNTIF(J2580,"*45*")&gt;0,COUNTIF(I2580,"46*")&gt;0,COUNTIF(J2580,"*46*")&gt;0,COUNTIF(I2580,"47*")&gt;0,COUNTIF(J2580,"*47*")&gt;0,COUNTIF(I2580,"10*")&gt;0,COUNTIF(J2580,"*10*")&gt;0,COUNTIF(I2580,"11*")&gt;0,COUNTIF(J2580,"*11*")&gt;0,COUNTIF(I2580,"12*")&gt;0,COUNTIF(J2580,"*12*")&gt;0,COUNTIF(I2580,"13*")&gt;0,COUNTIF(J2580,"*13*")&gt;0,COUNTIF(I2580,"14*")&gt;0,COUNTIF(J2580,"*14*")&gt;0,COUNTIF(I2580,"15*")&gt;0,COUNTIF(J2580,"*15*")&gt;0,COUNTIF(I2580,"16*")&gt;0,COUNTIF(J2580,"*16*")&gt;0,COUNTIF(I2580,"17*")&gt;0,COUNTIF(J2580,"*17*")&gt;0,COUNTIF(I2580,"18*")&gt;0,COUNTIF(J2580,"*18*")&gt;0,COUNTIF(I2580,"19*")&gt;0,COUNTIF(J2580,"*19*")&gt;0,COUNTIF(I2580,"20*")&gt;0,COUNTIF(J2580,"*20*")&gt;0,COUNTIF(I2580,"21*")&gt;0,COUNTIF(J2580,"*21*")&gt;0,COUNTIF(I2580,"22*")&gt;0,COUNTIF(J2580,"*22*")&gt;0,COUNTIF(I2580,"23*")&gt;0,COUNTIF(J2580,"*23*")&gt;0,COUNTIF(I2580,"24*")&gt;0,COUNTIF(J2580,"*24*")&gt;0,COUNTIF(I2580,"25*")&gt;0,COUNTIF(J2580,"*25*")&gt;0,COUNTIF(I2580,"26*")&gt;0,COUNTIF(J2580,"*26*")&gt;0,COUNTIF(I2580,"27*")&gt;0,COUNTIF(J2580,"*27*")&gt;0,COUNTIF(I2580,"28*")&gt;0,COUNTIF(J2580,"*28*")&gt;0,COUNTIF(I2580,"29*")&gt;0,COUNTIF(J2580,"*29*")&gt;0,COUNTIF(I2580,"30*")&gt;0,COUNTIF(J2580,"*30*")&gt;0,COUNTIF(I2580,"31*")&gt;0,COUNTIF(J2580,"*31*")&gt;0,COUNTIF(I2580,"32*")&gt;0,COUNTIF(J2580,"*32*")&gt;0,COUNTIF(I2580,"33*")&gt;0,COUNTIF(J2580,"*33*")&gt;0,COUNTIF(I2580,"41*")&gt;0,COUNTIF(J2580,"*41*")&gt;0,COUNTIF(I2580,"42*")&gt;0,COUNTIF(J2580,"*42*")&gt;0,COUNTIF(I2580,"43*")&gt;0,COUNTIF(J2580,"*43*")&gt;0,COUNTIF(I2580,"49*")&gt;0,COUNTIF(J2580,"*49*")&gt;0,COUNTIF(I2580,"52*")&gt;0,COUNTIF(J2580,"*52*")&gt;0,COUNTIF(I2580,"55*")&gt;0,COUNTIF(J2580,"*55*")&gt;0,COUNTIF(I2580,"56*")&gt;0,COUNTIF(J2580,"*56*")&gt;0,COUNTIF(I2580,"68*")&gt;0,COUNTIF(J2580,"*68*")&gt;0,COUNTIF(I2580,"78*")&gt;0,COUNTIF(J2580,"*78*")&gt;0,COUNTIF(I2580,"81*")&gt;0,COUNTIF(J2580,"*81*")&gt;0,COUNTIF(I2580,"82*")&gt;0,COUNTIF(J2580,"*82*")&gt;0,COUNTIF(I2580,"64*")&gt;0,COUNTIF(J2580,"*64*")&gt;0,COUNTIF(I2580,"65*")&gt;0,COUNTIF(J2580,"*65*")&gt;0,COUNTIF(I2580,"66*")&gt;0,COUNTIF(J2580,"*66*")&gt;0,COUNTIF(I2580,"61*")&gt;0,COUNTIF(J2580,"*61*")&gt;0,COUNTIF(I2580,"62*")&gt;0,COUNTIF(J2580,"*62*")&gt;0,COUNTIF(I2580,"63*")&gt;0,COUNTIF(J2580,"*63*")&gt;0,COUNTIF(I2580,"85*")&gt;0,COUNTIF(J2580,"*85*")&gt;0,COUNTIF(I2580,"86*")&gt;0,COUNTIF(J2580,"*86*")&gt;0),"Да","Нет"))</f>
        <v/>
      </c>
      <c r="M2580" s="13">
        <f>IF(OR(G2580="",L2580&lt;&gt;"Да"),"",IF(G2580&lt;=100,"До 100",IF(G2580&lt;=200,"До 200",IF(G2580&lt;=500,"До 500","Отдельное КП"))))</f>
        <v/>
      </c>
      <c r="N2580" s="15">
        <f>IF(OR(G2580="",L2580&lt;&gt;"Да"),"",IF(G2580&lt;=100,33600,IF(G2580&lt;=200,62400,IF(G2580&lt;=500,144000,""))))</f>
        <v/>
      </c>
      <c r="O2580" s="16">
        <f>IF(G2580="","",IF(G2580&lt;=15,"1–15",IF(G2580&lt;=30,"16–30",IF(G2580&lt;=50,"31–50",IF(G2580&lt;=100,"51–100",IF(G2580&lt;=150,"101–150",IF(G2580&lt;=200,"151–200",IF(G2580&lt;=500,"201–500","500+"))))))))</f>
        <v/>
      </c>
      <c r="P2580" s="16" t="inlineStr">
        <is>
          <t>Нет совпадения в предоставленной выгрузке ССЧР</t>
        </is>
      </c>
      <c r="Q2580" s="16" t="n"/>
      <c r="R2580" s="16">
        <f>HYPERLINK("https://checko.ru/search?query=3801001629","Чекко: проверить")</f>
        <v/>
      </c>
      <c r="S2580" t="n">
        <v>0</v>
      </c>
    </row>
    <row r="2581" ht="15" customHeight="1" s="24">
      <c r="A2581" s="13" t="n">
        <v>5000095249</v>
      </c>
      <c r="B2581" s="13" t="inlineStr">
        <is>
          <t>МБОУ "СОШ № 33" г.о. Нальчик КБР</t>
        </is>
      </c>
      <c r="C2581" s="13" t="n">
        <v>725028571</v>
      </c>
      <c r="D2581" s="13" t="n"/>
      <c r="E2581" s="13" t="inlineStr">
        <is>
          <t>Не определён</t>
        </is>
      </c>
      <c r="F2581" s="13" t="inlineStr">
        <is>
          <t>725028571</t>
        </is>
      </c>
      <c r="G2581" s="14" t="n"/>
      <c r="H2581" s="14" t="n"/>
      <c r="I2581" s="14" t="n"/>
      <c r="J2581" s="14" t="n"/>
      <c r="K2581" s="13">
        <f>IF(G2581="","",IF(G2581&gt;=22,"Да","Нет"))</f>
        <v/>
      </c>
      <c r="L2581" s="13">
        <f>IF(OR(I2581="",J2581=""),"Не определено",IF(OR(COUNTIF(I2581,"45*")&gt;0,COUNTIF(J2581,"*45*")&gt;0,COUNTIF(I2581,"46*")&gt;0,COUNTIF(J2581,"*46*")&gt;0,COUNTIF(I2581,"47*")&gt;0,COUNTIF(J2581,"*47*")&gt;0,COUNTIF(I2581,"10*")&gt;0,COUNTIF(J2581,"*10*")&gt;0,COUNTIF(I2581,"11*")&gt;0,COUNTIF(J2581,"*11*")&gt;0,COUNTIF(I2581,"12*")&gt;0,COUNTIF(J2581,"*12*")&gt;0,COUNTIF(I2581,"13*")&gt;0,COUNTIF(J2581,"*13*")&gt;0,COUNTIF(I2581,"14*")&gt;0,COUNTIF(J2581,"*14*")&gt;0,COUNTIF(I2581,"15*")&gt;0,COUNTIF(J2581,"*15*")&gt;0,COUNTIF(I2581,"16*")&gt;0,COUNTIF(J2581,"*16*")&gt;0,COUNTIF(I2581,"17*")&gt;0,COUNTIF(J2581,"*17*")&gt;0,COUNTIF(I2581,"18*")&gt;0,COUNTIF(J2581,"*18*")&gt;0,COUNTIF(I2581,"19*")&gt;0,COUNTIF(J2581,"*19*")&gt;0,COUNTIF(I2581,"20*")&gt;0,COUNTIF(J2581,"*20*")&gt;0,COUNTIF(I2581,"21*")&gt;0,COUNTIF(J2581,"*21*")&gt;0,COUNTIF(I2581,"22*")&gt;0,COUNTIF(J2581,"*22*")&gt;0,COUNTIF(I2581,"23*")&gt;0,COUNTIF(J2581,"*23*")&gt;0,COUNTIF(I2581,"24*")&gt;0,COUNTIF(J2581,"*24*")&gt;0,COUNTIF(I2581,"25*")&gt;0,COUNTIF(J2581,"*25*")&gt;0,COUNTIF(I2581,"26*")&gt;0,COUNTIF(J2581,"*26*")&gt;0,COUNTIF(I2581,"27*")&gt;0,COUNTIF(J2581,"*27*")&gt;0,COUNTIF(I2581,"28*")&gt;0,COUNTIF(J2581,"*28*")&gt;0,COUNTIF(I2581,"29*")&gt;0,COUNTIF(J2581,"*29*")&gt;0,COUNTIF(I2581,"30*")&gt;0,COUNTIF(J2581,"*30*")&gt;0,COUNTIF(I2581,"31*")&gt;0,COUNTIF(J2581,"*31*")&gt;0,COUNTIF(I2581,"32*")&gt;0,COUNTIF(J2581,"*32*")&gt;0,COUNTIF(I2581,"33*")&gt;0,COUNTIF(J2581,"*33*")&gt;0,COUNTIF(I2581,"41*")&gt;0,COUNTIF(J2581,"*41*")&gt;0,COUNTIF(I2581,"42*")&gt;0,COUNTIF(J2581,"*42*")&gt;0,COUNTIF(I2581,"43*")&gt;0,COUNTIF(J2581,"*43*")&gt;0,COUNTIF(I2581,"49*")&gt;0,COUNTIF(J2581,"*49*")&gt;0,COUNTIF(I2581,"52*")&gt;0,COUNTIF(J2581,"*52*")&gt;0,COUNTIF(I2581,"55*")&gt;0,COUNTIF(J2581,"*55*")&gt;0,COUNTIF(I2581,"56*")&gt;0,COUNTIF(J2581,"*56*")&gt;0,COUNTIF(I2581,"68*")&gt;0,COUNTIF(J2581,"*68*")&gt;0,COUNTIF(I2581,"78*")&gt;0,COUNTIF(J2581,"*78*")&gt;0,COUNTIF(I2581,"81*")&gt;0,COUNTIF(J2581,"*81*")&gt;0,COUNTIF(I2581,"82*")&gt;0,COUNTIF(J2581,"*82*")&gt;0,COUNTIF(I2581,"64*")&gt;0,COUNTIF(J2581,"*64*")&gt;0,COUNTIF(I2581,"65*")&gt;0,COUNTIF(J2581,"*65*")&gt;0,COUNTIF(I2581,"66*")&gt;0,COUNTIF(J2581,"*66*")&gt;0,COUNTIF(I2581,"61*")&gt;0,COUNTIF(J2581,"*61*")&gt;0,COUNTIF(I2581,"62*")&gt;0,COUNTIF(J2581,"*62*")&gt;0,COUNTIF(I2581,"63*")&gt;0,COUNTIF(J2581,"*63*")&gt;0,COUNTIF(I2581,"85*")&gt;0,COUNTIF(J2581,"*85*")&gt;0,COUNTIF(I2581,"86*")&gt;0,COUNTIF(J2581,"*86*")&gt;0),"Да","Нет"))</f>
        <v/>
      </c>
      <c r="M2581" s="13">
        <f>IF(OR(G2581="",L2581&lt;&gt;"Да"),"",IF(G2581&lt;=100,"До 100",IF(G2581&lt;=200,"До 200",IF(G2581&lt;=500,"До 500","Отдельное КП"))))</f>
        <v/>
      </c>
      <c r="N2581" s="15">
        <f>IF(OR(G2581="",L2581&lt;&gt;"Да"),"",IF(G2581&lt;=100,33600,IF(G2581&lt;=200,62400,IF(G2581&lt;=500,144000,""))))</f>
        <v/>
      </c>
      <c r="O2581" s="16">
        <f>IF(G2581="","",IF(G2581&lt;=15,"1–15",IF(G2581&lt;=30,"16–30",IF(G2581&lt;=50,"31–50",IF(G2581&lt;=100,"51–100",IF(G2581&lt;=150,"101–150",IF(G2581&lt;=200,"151–200",IF(G2581&lt;=500,"201–500","500+"))))))))</f>
        <v/>
      </c>
      <c r="P2581" s="16" t="inlineStr">
        <is>
          <t>Нет совпадения в предоставленной выгрузке ССЧР</t>
        </is>
      </c>
      <c r="Q2581" s="16" t="n"/>
      <c r="R2581" s="16">
        <f>HYPERLINK("https://checko.ru/search?query=3801001629","Чекко: проверить")</f>
        <v/>
      </c>
      <c r="S2581" t="n">
        <v>0</v>
      </c>
    </row>
    <row r="2582" ht="15" customHeight="1" s="24">
      <c r="A2582" s="13" t="n">
        <v>5000095250</v>
      </c>
      <c r="B2582" s="13" t="inlineStr">
        <is>
          <t>МКУ "ДЖП"</t>
        </is>
      </c>
      <c r="C2582" s="13" t="n">
        <v>725028596</v>
      </c>
      <c r="D2582" s="13" t="n"/>
      <c r="E2582" s="13" t="inlineStr">
        <is>
          <t>Не определён</t>
        </is>
      </c>
      <c r="F2582" s="13" t="inlineStr">
        <is>
          <t>725028596</t>
        </is>
      </c>
      <c r="G2582" s="14" t="n"/>
      <c r="H2582" s="14" t="n"/>
      <c r="I2582" s="14" t="n"/>
      <c r="J2582" s="14" t="n"/>
      <c r="K2582" s="13">
        <f>IF(G2582="","",IF(G2582&gt;=22,"Да","Нет"))</f>
        <v/>
      </c>
      <c r="L2582" s="13">
        <f>IF(OR(I2582="",J2582=""),"Не определено",IF(OR(COUNTIF(I2582,"45*")&gt;0,COUNTIF(J2582,"*45*")&gt;0,COUNTIF(I2582,"46*")&gt;0,COUNTIF(J2582,"*46*")&gt;0,COUNTIF(I2582,"47*")&gt;0,COUNTIF(J2582,"*47*")&gt;0,COUNTIF(I2582,"10*")&gt;0,COUNTIF(J2582,"*10*")&gt;0,COUNTIF(I2582,"11*")&gt;0,COUNTIF(J2582,"*11*")&gt;0,COUNTIF(I2582,"12*")&gt;0,COUNTIF(J2582,"*12*")&gt;0,COUNTIF(I2582,"13*")&gt;0,COUNTIF(J2582,"*13*")&gt;0,COUNTIF(I2582,"14*")&gt;0,COUNTIF(J2582,"*14*")&gt;0,COUNTIF(I2582,"15*")&gt;0,COUNTIF(J2582,"*15*")&gt;0,COUNTIF(I2582,"16*")&gt;0,COUNTIF(J2582,"*16*")&gt;0,COUNTIF(I2582,"17*")&gt;0,COUNTIF(J2582,"*17*")&gt;0,COUNTIF(I2582,"18*")&gt;0,COUNTIF(J2582,"*18*")&gt;0,COUNTIF(I2582,"19*")&gt;0,COUNTIF(J2582,"*19*")&gt;0,COUNTIF(I2582,"20*")&gt;0,COUNTIF(J2582,"*20*")&gt;0,COUNTIF(I2582,"21*")&gt;0,COUNTIF(J2582,"*21*")&gt;0,COUNTIF(I2582,"22*")&gt;0,COUNTIF(J2582,"*22*")&gt;0,COUNTIF(I2582,"23*")&gt;0,COUNTIF(J2582,"*23*")&gt;0,COUNTIF(I2582,"24*")&gt;0,COUNTIF(J2582,"*24*")&gt;0,COUNTIF(I2582,"25*")&gt;0,COUNTIF(J2582,"*25*")&gt;0,COUNTIF(I2582,"26*")&gt;0,COUNTIF(J2582,"*26*")&gt;0,COUNTIF(I2582,"27*")&gt;0,COUNTIF(J2582,"*27*")&gt;0,COUNTIF(I2582,"28*")&gt;0,COUNTIF(J2582,"*28*")&gt;0,COUNTIF(I2582,"29*")&gt;0,COUNTIF(J2582,"*29*")&gt;0,COUNTIF(I2582,"30*")&gt;0,COUNTIF(J2582,"*30*")&gt;0,COUNTIF(I2582,"31*")&gt;0,COUNTIF(J2582,"*31*")&gt;0,COUNTIF(I2582,"32*")&gt;0,COUNTIF(J2582,"*32*")&gt;0,COUNTIF(I2582,"33*")&gt;0,COUNTIF(J2582,"*33*")&gt;0,COUNTIF(I2582,"41*")&gt;0,COUNTIF(J2582,"*41*")&gt;0,COUNTIF(I2582,"42*")&gt;0,COUNTIF(J2582,"*42*")&gt;0,COUNTIF(I2582,"43*")&gt;0,COUNTIF(J2582,"*43*")&gt;0,COUNTIF(I2582,"49*")&gt;0,COUNTIF(J2582,"*49*")&gt;0,COUNTIF(I2582,"52*")&gt;0,COUNTIF(J2582,"*52*")&gt;0,COUNTIF(I2582,"55*")&gt;0,COUNTIF(J2582,"*55*")&gt;0,COUNTIF(I2582,"56*")&gt;0,COUNTIF(J2582,"*56*")&gt;0,COUNTIF(I2582,"68*")&gt;0,COUNTIF(J2582,"*68*")&gt;0,COUNTIF(I2582,"78*")&gt;0,COUNTIF(J2582,"*78*")&gt;0,COUNTIF(I2582,"81*")&gt;0,COUNTIF(J2582,"*81*")&gt;0,COUNTIF(I2582,"82*")&gt;0,COUNTIF(J2582,"*82*")&gt;0,COUNTIF(I2582,"64*")&gt;0,COUNTIF(J2582,"*64*")&gt;0,COUNTIF(I2582,"65*")&gt;0,COUNTIF(J2582,"*65*")&gt;0,COUNTIF(I2582,"66*")&gt;0,COUNTIF(J2582,"*66*")&gt;0,COUNTIF(I2582,"61*")&gt;0,COUNTIF(J2582,"*61*")&gt;0,COUNTIF(I2582,"62*")&gt;0,COUNTIF(J2582,"*62*")&gt;0,COUNTIF(I2582,"63*")&gt;0,COUNTIF(J2582,"*63*")&gt;0,COUNTIF(I2582,"85*")&gt;0,COUNTIF(J2582,"*85*")&gt;0,COUNTIF(I2582,"86*")&gt;0,COUNTIF(J2582,"*86*")&gt;0),"Да","Нет"))</f>
        <v/>
      </c>
      <c r="M2582" s="13">
        <f>IF(OR(G2582="",L2582&lt;&gt;"Да"),"",IF(G2582&lt;=100,"До 100",IF(G2582&lt;=200,"До 200",IF(G2582&lt;=500,"До 500","Отдельное КП"))))</f>
        <v/>
      </c>
      <c r="N2582" s="15">
        <f>IF(OR(G2582="",L2582&lt;&gt;"Да"),"",IF(G2582&lt;=100,33600,IF(G2582&lt;=200,62400,IF(G2582&lt;=500,144000,""))))</f>
        <v/>
      </c>
      <c r="O2582" s="16">
        <f>IF(G2582="","",IF(G2582&lt;=15,"1–15",IF(G2582&lt;=30,"16–30",IF(G2582&lt;=50,"31–50",IF(G2582&lt;=100,"51–100",IF(G2582&lt;=150,"101–150",IF(G2582&lt;=200,"151–200",IF(G2582&lt;=500,"201–500","500+"))))))))</f>
        <v/>
      </c>
      <c r="P2582" s="16" t="inlineStr">
        <is>
          <t>Нет совпадения в предоставленной выгрузке ССЧР</t>
        </is>
      </c>
      <c r="Q2582" s="16" t="n"/>
      <c r="R2582" s="16">
        <f>HYPERLINK("https://checko.ru/search?query=3801001629","Чекко: проверить")</f>
        <v/>
      </c>
      <c r="S2582" t="n">
        <v>0</v>
      </c>
    </row>
    <row r="2583" ht="15" customHeight="1" s="24">
      <c r="A2583" s="13" t="n">
        <v>5000095251</v>
      </c>
      <c r="B2583" s="13" t="inlineStr">
        <is>
          <t>МКУ "УКС"</t>
        </is>
      </c>
      <c r="C2583" s="13" t="n">
        <v>725028645</v>
      </c>
      <c r="D2583" s="13" t="n"/>
      <c r="E2583" s="13" t="inlineStr">
        <is>
          <t>Не определён</t>
        </is>
      </c>
      <c r="F2583" s="13" t="inlineStr">
        <is>
          <t>725028645</t>
        </is>
      </c>
      <c r="G2583" s="14" t="n"/>
      <c r="H2583" s="14" t="n"/>
      <c r="I2583" s="14" t="n"/>
      <c r="J2583" s="14" t="n"/>
      <c r="K2583" s="13">
        <f>IF(G2583="","",IF(G2583&gt;=22,"Да","Нет"))</f>
        <v/>
      </c>
      <c r="L2583" s="13">
        <f>IF(OR(I2583="",J2583=""),"Не определено",IF(OR(COUNTIF(I2583,"45*")&gt;0,COUNTIF(J2583,"*45*")&gt;0,COUNTIF(I2583,"46*")&gt;0,COUNTIF(J2583,"*46*")&gt;0,COUNTIF(I2583,"47*")&gt;0,COUNTIF(J2583,"*47*")&gt;0,COUNTIF(I2583,"10*")&gt;0,COUNTIF(J2583,"*10*")&gt;0,COUNTIF(I2583,"11*")&gt;0,COUNTIF(J2583,"*11*")&gt;0,COUNTIF(I2583,"12*")&gt;0,COUNTIF(J2583,"*12*")&gt;0,COUNTIF(I2583,"13*")&gt;0,COUNTIF(J2583,"*13*")&gt;0,COUNTIF(I2583,"14*")&gt;0,COUNTIF(J2583,"*14*")&gt;0,COUNTIF(I2583,"15*")&gt;0,COUNTIF(J2583,"*15*")&gt;0,COUNTIF(I2583,"16*")&gt;0,COUNTIF(J2583,"*16*")&gt;0,COUNTIF(I2583,"17*")&gt;0,COUNTIF(J2583,"*17*")&gt;0,COUNTIF(I2583,"18*")&gt;0,COUNTIF(J2583,"*18*")&gt;0,COUNTIF(I2583,"19*")&gt;0,COUNTIF(J2583,"*19*")&gt;0,COUNTIF(I2583,"20*")&gt;0,COUNTIF(J2583,"*20*")&gt;0,COUNTIF(I2583,"21*")&gt;0,COUNTIF(J2583,"*21*")&gt;0,COUNTIF(I2583,"22*")&gt;0,COUNTIF(J2583,"*22*")&gt;0,COUNTIF(I2583,"23*")&gt;0,COUNTIF(J2583,"*23*")&gt;0,COUNTIF(I2583,"24*")&gt;0,COUNTIF(J2583,"*24*")&gt;0,COUNTIF(I2583,"25*")&gt;0,COUNTIF(J2583,"*25*")&gt;0,COUNTIF(I2583,"26*")&gt;0,COUNTIF(J2583,"*26*")&gt;0,COUNTIF(I2583,"27*")&gt;0,COUNTIF(J2583,"*27*")&gt;0,COUNTIF(I2583,"28*")&gt;0,COUNTIF(J2583,"*28*")&gt;0,COUNTIF(I2583,"29*")&gt;0,COUNTIF(J2583,"*29*")&gt;0,COUNTIF(I2583,"30*")&gt;0,COUNTIF(J2583,"*30*")&gt;0,COUNTIF(I2583,"31*")&gt;0,COUNTIF(J2583,"*31*")&gt;0,COUNTIF(I2583,"32*")&gt;0,COUNTIF(J2583,"*32*")&gt;0,COUNTIF(I2583,"33*")&gt;0,COUNTIF(J2583,"*33*")&gt;0,COUNTIF(I2583,"41*")&gt;0,COUNTIF(J2583,"*41*")&gt;0,COUNTIF(I2583,"42*")&gt;0,COUNTIF(J2583,"*42*")&gt;0,COUNTIF(I2583,"43*")&gt;0,COUNTIF(J2583,"*43*")&gt;0,COUNTIF(I2583,"49*")&gt;0,COUNTIF(J2583,"*49*")&gt;0,COUNTIF(I2583,"52*")&gt;0,COUNTIF(J2583,"*52*")&gt;0,COUNTIF(I2583,"55*")&gt;0,COUNTIF(J2583,"*55*")&gt;0,COUNTIF(I2583,"56*")&gt;0,COUNTIF(J2583,"*56*")&gt;0,COUNTIF(I2583,"68*")&gt;0,COUNTIF(J2583,"*68*")&gt;0,COUNTIF(I2583,"78*")&gt;0,COUNTIF(J2583,"*78*")&gt;0,COUNTIF(I2583,"81*")&gt;0,COUNTIF(J2583,"*81*")&gt;0,COUNTIF(I2583,"82*")&gt;0,COUNTIF(J2583,"*82*")&gt;0,COUNTIF(I2583,"64*")&gt;0,COUNTIF(J2583,"*64*")&gt;0,COUNTIF(I2583,"65*")&gt;0,COUNTIF(J2583,"*65*")&gt;0,COUNTIF(I2583,"66*")&gt;0,COUNTIF(J2583,"*66*")&gt;0,COUNTIF(I2583,"61*")&gt;0,COUNTIF(J2583,"*61*")&gt;0,COUNTIF(I2583,"62*")&gt;0,COUNTIF(J2583,"*62*")&gt;0,COUNTIF(I2583,"63*")&gt;0,COUNTIF(J2583,"*63*")&gt;0,COUNTIF(I2583,"85*")&gt;0,COUNTIF(J2583,"*85*")&gt;0,COUNTIF(I2583,"86*")&gt;0,COUNTIF(J2583,"*86*")&gt;0),"Да","Нет"))</f>
        <v/>
      </c>
      <c r="M2583" s="13">
        <f>IF(OR(G2583="",L2583&lt;&gt;"Да"),"",IF(G2583&lt;=100,"До 100",IF(G2583&lt;=200,"До 200",IF(G2583&lt;=500,"До 500","Отдельное КП"))))</f>
        <v/>
      </c>
      <c r="N2583" s="15">
        <f>IF(OR(G2583="",L2583&lt;&gt;"Да"),"",IF(G2583&lt;=100,33600,IF(G2583&lt;=200,62400,IF(G2583&lt;=500,144000,""))))</f>
        <v/>
      </c>
      <c r="O2583" s="16">
        <f>IF(G2583="","",IF(G2583&lt;=15,"1–15",IF(G2583&lt;=30,"16–30",IF(G2583&lt;=50,"31–50",IF(G2583&lt;=100,"51–100",IF(G2583&lt;=150,"101–150",IF(G2583&lt;=200,"151–200",IF(G2583&lt;=500,"201–500","500+"))))))))</f>
        <v/>
      </c>
      <c r="P2583" s="16" t="inlineStr">
        <is>
          <t>Нет совпадения в предоставленной выгрузке ССЧР</t>
        </is>
      </c>
      <c r="Q2583" s="16" t="n"/>
      <c r="R2583" s="16">
        <f>HYPERLINK("https://checko.ru/search?query=3801001629","Чекко: проверить")</f>
        <v/>
      </c>
      <c r="S2583" t="n">
        <v>0</v>
      </c>
    </row>
    <row r="2584" ht="15" customHeight="1" s="24">
      <c r="A2584" s="13" t="n">
        <v>5000095252</v>
      </c>
      <c r="B2584" s="13" t="inlineStr">
        <is>
          <t>МКДОУ "Д/С №78" г.о.Нальчик</t>
        </is>
      </c>
      <c r="C2584" s="13" t="n">
        <v>725029575</v>
      </c>
      <c r="D2584" s="13" t="n"/>
      <c r="E2584" s="13" t="inlineStr">
        <is>
          <t>Не определён</t>
        </is>
      </c>
      <c r="F2584" s="13" t="inlineStr">
        <is>
          <t>725029575</t>
        </is>
      </c>
      <c r="G2584" s="14" t="n"/>
      <c r="H2584" s="14" t="n"/>
      <c r="I2584" s="14" t="n"/>
      <c r="J2584" s="14" t="n"/>
      <c r="K2584" s="13">
        <f>IF(G2584="","",IF(G2584&gt;=22,"Да","Нет"))</f>
        <v/>
      </c>
      <c r="L2584" s="13">
        <f>IF(OR(I2584="",J2584=""),"Не определено",IF(OR(COUNTIF(I2584,"45*")&gt;0,COUNTIF(J2584,"*45*")&gt;0,COUNTIF(I2584,"46*")&gt;0,COUNTIF(J2584,"*46*")&gt;0,COUNTIF(I2584,"47*")&gt;0,COUNTIF(J2584,"*47*")&gt;0,COUNTIF(I2584,"10*")&gt;0,COUNTIF(J2584,"*10*")&gt;0,COUNTIF(I2584,"11*")&gt;0,COUNTIF(J2584,"*11*")&gt;0,COUNTIF(I2584,"12*")&gt;0,COUNTIF(J2584,"*12*")&gt;0,COUNTIF(I2584,"13*")&gt;0,COUNTIF(J2584,"*13*")&gt;0,COUNTIF(I2584,"14*")&gt;0,COUNTIF(J2584,"*14*")&gt;0,COUNTIF(I2584,"15*")&gt;0,COUNTIF(J2584,"*15*")&gt;0,COUNTIF(I2584,"16*")&gt;0,COUNTIF(J2584,"*16*")&gt;0,COUNTIF(I2584,"17*")&gt;0,COUNTIF(J2584,"*17*")&gt;0,COUNTIF(I2584,"18*")&gt;0,COUNTIF(J2584,"*18*")&gt;0,COUNTIF(I2584,"19*")&gt;0,COUNTIF(J2584,"*19*")&gt;0,COUNTIF(I2584,"20*")&gt;0,COUNTIF(J2584,"*20*")&gt;0,COUNTIF(I2584,"21*")&gt;0,COUNTIF(J2584,"*21*")&gt;0,COUNTIF(I2584,"22*")&gt;0,COUNTIF(J2584,"*22*")&gt;0,COUNTIF(I2584,"23*")&gt;0,COUNTIF(J2584,"*23*")&gt;0,COUNTIF(I2584,"24*")&gt;0,COUNTIF(J2584,"*24*")&gt;0,COUNTIF(I2584,"25*")&gt;0,COUNTIF(J2584,"*25*")&gt;0,COUNTIF(I2584,"26*")&gt;0,COUNTIF(J2584,"*26*")&gt;0,COUNTIF(I2584,"27*")&gt;0,COUNTIF(J2584,"*27*")&gt;0,COUNTIF(I2584,"28*")&gt;0,COUNTIF(J2584,"*28*")&gt;0,COUNTIF(I2584,"29*")&gt;0,COUNTIF(J2584,"*29*")&gt;0,COUNTIF(I2584,"30*")&gt;0,COUNTIF(J2584,"*30*")&gt;0,COUNTIF(I2584,"31*")&gt;0,COUNTIF(J2584,"*31*")&gt;0,COUNTIF(I2584,"32*")&gt;0,COUNTIF(J2584,"*32*")&gt;0,COUNTIF(I2584,"33*")&gt;0,COUNTIF(J2584,"*33*")&gt;0,COUNTIF(I2584,"41*")&gt;0,COUNTIF(J2584,"*41*")&gt;0,COUNTIF(I2584,"42*")&gt;0,COUNTIF(J2584,"*42*")&gt;0,COUNTIF(I2584,"43*")&gt;0,COUNTIF(J2584,"*43*")&gt;0,COUNTIF(I2584,"49*")&gt;0,COUNTIF(J2584,"*49*")&gt;0,COUNTIF(I2584,"52*")&gt;0,COUNTIF(J2584,"*52*")&gt;0,COUNTIF(I2584,"55*")&gt;0,COUNTIF(J2584,"*55*")&gt;0,COUNTIF(I2584,"56*")&gt;0,COUNTIF(J2584,"*56*")&gt;0,COUNTIF(I2584,"68*")&gt;0,COUNTIF(J2584,"*68*")&gt;0,COUNTIF(I2584,"78*")&gt;0,COUNTIF(J2584,"*78*")&gt;0,COUNTIF(I2584,"81*")&gt;0,COUNTIF(J2584,"*81*")&gt;0,COUNTIF(I2584,"82*")&gt;0,COUNTIF(J2584,"*82*")&gt;0,COUNTIF(I2584,"64*")&gt;0,COUNTIF(J2584,"*64*")&gt;0,COUNTIF(I2584,"65*")&gt;0,COUNTIF(J2584,"*65*")&gt;0,COUNTIF(I2584,"66*")&gt;0,COUNTIF(J2584,"*66*")&gt;0,COUNTIF(I2584,"61*")&gt;0,COUNTIF(J2584,"*61*")&gt;0,COUNTIF(I2584,"62*")&gt;0,COUNTIF(J2584,"*62*")&gt;0,COUNTIF(I2584,"63*")&gt;0,COUNTIF(J2584,"*63*")&gt;0,COUNTIF(I2584,"85*")&gt;0,COUNTIF(J2584,"*85*")&gt;0,COUNTIF(I2584,"86*")&gt;0,COUNTIF(J2584,"*86*")&gt;0),"Да","Нет"))</f>
        <v/>
      </c>
      <c r="M2584" s="13">
        <f>IF(OR(G2584="",L2584&lt;&gt;"Да"),"",IF(G2584&lt;=100,"До 100",IF(G2584&lt;=200,"До 200",IF(G2584&lt;=500,"До 500","Отдельное КП"))))</f>
        <v/>
      </c>
      <c r="N2584" s="15">
        <f>IF(OR(G2584="",L2584&lt;&gt;"Да"),"",IF(G2584&lt;=100,33600,IF(G2584&lt;=200,62400,IF(G2584&lt;=500,144000,""))))</f>
        <v/>
      </c>
      <c r="O2584" s="16">
        <f>IF(G2584="","",IF(G2584&lt;=15,"1–15",IF(G2584&lt;=30,"16–30",IF(G2584&lt;=50,"31–50",IF(G2584&lt;=100,"51–100",IF(G2584&lt;=150,"101–150",IF(G2584&lt;=200,"151–200",IF(G2584&lt;=500,"201–500","500+"))))))))</f>
        <v/>
      </c>
      <c r="P2584" s="16" t="inlineStr">
        <is>
          <t>Нет совпадения в предоставленной выгрузке ССЧР</t>
        </is>
      </c>
      <c r="Q2584" s="16" t="n"/>
      <c r="R2584" s="16">
        <f>HYPERLINK("https://checko.ru/search?query=3801001629","Чекко: проверить")</f>
        <v/>
      </c>
      <c r="S2584" t="n">
        <v>0</v>
      </c>
    </row>
    <row r="2585" ht="15" customHeight="1" s="24">
      <c r="A2585" s="13" t="n">
        <v>5000095253</v>
      </c>
      <c r="B2585" s="13" t="inlineStr">
        <is>
          <t>МКДОУ "Д/С №9" г.о. Нальчик</t>
        </is>
      </c>
      <c r="C2585" s="13" t="n">
        <v>725029582</v>
      </c>
      <c r="D2585" s="13" t="n"/>
      <c r="E2585" s="13" t="inlineStr">
        <is>
          <t>Не определён</t>
        </is>
      </c>
      <c r="F2585" s="13" t="inlineStr">
        <is>
          <t>725029582</t>
        </is>
      </c>
      <c r="G2585" s="14" t="n"/>
      <c r="H2585" s="14" t="n"/>
      <c r="I2585" s="14" t="n"/>
      <c r="J2585" s="14" t="n"/>
      <c r="K2585" s="13">
        <f>IF(G2585="","",IF(G2585&gt;=22,"Да","Нет"))</f>
        <v/>
      </c>
      <c r="L2585" s="13">
        <f>IF(OR(I2585="",J2585=""),"Не определено",IF(OR(COUNTIF(I2585,"45*")&gt;0,COUNTIF(J2585,"*45*")&gt;0,COUNTIF(I2585,"46*")&gt;0,COUNTIF(J2585,"*46*")&gt;0,COUNTIF(I2585,"47*")&gt;0,COUNTIF(J2585,"*47*")&gt;0,COUNTIF(I2585,"10*")&gt;0,COUNTIF(J2585,"*10*")&gt;0,COUNTIF(I2585,"11*")&gt;0,COUNTIF(J2585,"*11*")&gt;0,COUNTIF(I2585,"12*")&gt;0,COUNTIF(J2585,"*12*")&gt;0,COUNTIF(I2585,"13*")&gt;0,COUNTIF(J2585,"*13*")&gt;0,COUNTIF(I2585,"14*")&gt;0,COUNTIF(J2585,"*14*")&gt;0,COUNTIF(I2585,"15*")&gt;0,COUNTIF(J2585,"*15*")&gt;0,COUNTIF(I2585,"16*")&gt;0,COUNTIF(J2585,"*16*")&gt;0,COUNTIF(I2585,"17*")&gt;0,COUNTIF(J2585,"*17*")&gt;0,COUNTIF(I2585,"18*")&gt;0,COUNTIF(J2585,"*18*")&gt;0,COUNTIF(I2585,"19*")&gt;0,COUNTIF(J2585,"*19*")&gt;0,COUNTIF(I2585,"20*")&gt;0,COUNTIF(J2585,"*20*")&gt;0,COUNTIF(I2585,"21*")&gt;0,COUNTIF(J2585,"*21*")&gt;0,COUNTIF(I2585,"22*")&gt;0,COUNTIF(J2585,"*22*")&gt;0,COUNTIF(I2585,"23*")&gt;0,COUNTIF(J2585,"*23*")&gt;0,COUNTIF(I2585,"24*")&gt;0,COUNTIF(J2585,"*24*")&gt;0,COUNTIF(I2585,"25*")&gt;0,COUNTIF(J2585,"*25*")&gt;0,COUNTIF(I2585,"26*")&gt;0,COUNTIF(J2585,"*26*")&gt;0,COUNTIF(I2585,"27*")&gt;0,COUNTIF(J2585,"*27*")&gt;0,COUNTIF(I2585,"28*")&gt;0,COUNTIF(J2585,"*28*")&gt;0,COUNTIF(I2585,"29*")&gt;0,COUNTIF(J2585,"*29*")&gt;0,COUNTIF(I2585,"30*")&gt;0,COUNTIF(J2585,"*30*")&gt;0,COUNTIF(I2585,"31*")&gt;0,COUNTIF(J2585,"*31*")&gt;0,COUNTIF(I2585,"32*")&gt;0,COUNTIF(J2585,"*32*")&gt;0,COUNTIF(I2585,"33*")&gt;0,COUNTIF(J2585,"*33*")&gt;0,COUNTIF(I2585,"41*")&gt;0,COUNTIF(J2585,"*41*")&gt;0,COUNTIF(I2585,"42*")&gt;0,COUNTIF(J2585,"*42*")&gt;0,COUNTIF(I2585,"43*")&gt;0,COUNTIF(J2585,"*43*")&gt;0,COUNTIF(I2585,"49*")&gt;0,COUNTIF(J2585,"*49*")&gt;0,COUNTIF(I2585,"52*")&gt;0,COUNTIF(J2585,"*52*")&gt;0,COUNTIF(I2585,"55*")&gt;0,COUNTIF(J2585,"*55*")&gt;0,COUNTIF(I2585,"56*")&gt;0,COUNTIF(J2585,"*56*")&gt;0,COUNTIF(I2585,"68*")&gt;0,COUNTIF(J2585,"*68*")&gt;0,COUNTIF(I2585,"78*")&gt;0,COUNTIF(J2585,"*78*")&gt;0,COUNTIF(I2585,"81*")&gt;0,COUNTIF(J2585,"*81*")&gt;0,COUNTIF(I2585,"82*")&gt;0,COUNTIF(J2585,"*82*")&gt;0,COUNTIF(I2585,"64*")&gt;0,COUNTIF(J2585,"*64*")&gt;0,COUNTIF(I2585,"65*")&gt;0,COUNTIF(J2585,"*65*")&gt;0,COUNTIF(I2585,"66*")&gt;0,COUNTIF(J2585,"*66*")&gt;0,COUNTIF(I2585,"61*")&gt;0,COUNTIF(J2585,"*61*")&gt;0,COUNTIF(I2585,"62*")&gt;0,COUNTIF(J2585,"*62*")&gt;0,COUNTIF(I2585,"63*")&gt;0,COUNTIF(J2585,"*63*")&gt;0,COUNTIF(I2585,"85*")&gt;0,COUNTIF(J2585,"*85*")&gt;0,COUNTIF(I2585,"86*")&gt;0,COUNTIF(J2585,"*86*")&gt;0),"Да","Нет"))</f>
        <v/>
      </c>
      <c r="M2585" s="13">
        <f>IF(OR(G2585="",L2585&lt;&gt;"Да"),"",IF(G2585&lt;=100,"До 100",IF(G2585&lt;=200,"До 200",IF(G2585&lt;=500,"До 500","Отдельное КП"))))</f>
        <v/>
      </c>
      <c r="N2585" s="15">
        <f>IF(OR(G2585="",L2585&lt;&gt;"Да"),"",IF(G2585&lt;=100,33600,IF(G2585&lt;=200,62400,IF(G2585&lt;=500,144000,""))))</f>
        <v/>
      </c>
      <c r="O2585" s="16">
        <f>IF(G2585="","",IF(G2585&lt;=15,"1–15",IF(G2585&lt;=30,"16–30",IF(G2585&lt;=50,"31–50",IF(G2585&lt;=100,"51–100",IF(G2585&lt;=150,"101–150",IF(G2585&lt;=200,"151–200",IF(G2585&lt;=500,"201–500","500+"))))))))</f>
        <v/>
      </c>
      <c r="P2585" s="16" t="inlineStr">
        <is>
          <t>Нет совпадения в предоставленной выгрузке ССЧР</t>
        </is>
      </c>
      <c r="Q2585" s="16" t="n"/>
      <c r="R2585" s="16">
        <f>HYPERLINK("https://checko.ru/search?query=3801001629","Чекко: проверить")</f>
        <v/>
      </c>
      <c r="S2585" t="n">
        <v>0</v>
      </c>
    </row>
    <row r="2586" ht="15" customHeight="1" s="24">
      <c r="A2586" s="13" t="n">
        <v>5000095254</v>
      </c>
      <c r="B2586" s="13" t="inlineStr">
        <is>
          <t>МКДОУ "Детский сад №27" г.о. Нальчик</t>
        </is>
      </c>
      <c r="C2586" s="13" t="n">
        <v>725029590</v>
      </c>
      <c r="D2586" s="13" t="n"/>
      <c r="E2586" s="13" t="inlineStr">
        <is>
          <t>Не определён</t>
        </is>
      </c>
      <c r="F2586" s="13" t="inlineStr">
        <is>
          <t>725029590</t>
        </is>
      </c>
      <c r="G2586" s="14" t="n"/>
      <c r="H2586" s="14" t="n"/>
      <c r="I2586" s="14" t="n"/>
      <c r="J2586" s="14" t="n"/>
      <c r="K2586" s="13">
        <f>IF(G2586="","",IF(G2586&gt;=22,"Да","Нет"))</f>
        <v/>
      </c>
      <c r="L2586" s="13">
        <f>IF(OR(I2586="",J2586=""),"Не определено",IF(OR(COUNTIF(I2586,"45*")&gt;0,COUNTIF(J2586,"*45*")&gt;0,COUNTIF(I2586,"46*")&gt;0,COUNTIF(J2586,"*46*")&gt;0,COUNTIF(I2586,"47*")&gt;0,COUNTIF(J2586,"*47*")&gt;0,COUNTIF(I2586,"10*")&gt;0,COUNTIF(J2586,"*10*")&gt;0,COUNTIF(I2586,"11*")&gt;0,COUNTIF(J2586,"*11*")&gt;0,COUNTIF(I2586,"12*")&gt;0,COUNTIF(J2586,"*12*")&gt;0,COUNTIF(I2586,"13*")&gt;0,COUNTIF(J2586,"*13*")&gt;0,COUNTIF(I2586,"14*")&gt;0,COUNTIF(J2586,"*14*")&gt;0,COUNTIF(I2586,"15*")&gt;0,COUNTIF(J2586,"*15*")&gt;0,COUNTIF(I2586,"16*")&gt;0,COUNTIF(J2586,"*16*")&gt;0,COUNTIF(I2586,"17*")&gt;0,COUNTIF(J2586,"*17*")&gt;0,COUNTIF(I2586,"18*")&gt;0,COUNTIF(J2586,"*18*")&gt;0,COUNTIF(I2586,"19*")&gt;0,COUNTIF(J2586,"*19*")&gt;0,COUNTIF(I2586,"20*")&gt;0,COUNTIF(J2586,"*20*")&gt;0,COUNTIF(I2586,"21*")&gt;0,COUNTIF(J2586,"*21*")&gt;0,COUNTIF(I2586,"22*")&gt;0,COUNTIF(J2586,"*22*")&gt;0,COUNTIF(I2586,"23*")&gt;0,COUNTIF(J2586,"*23*")&gt;0,COUNTIF(I2586,"24*")&gt;0,COUNTIF(J2586,"*24*")&gt;0,COUNTIF(I2586,"25*")&gt;0,COUNTIF(J2586,"*25*")&gt;0,COUNTIF(I2586,"26*")&gt;0,COUNTIF(J2586,"*26*")&gt;0,COUNTIF(I2586,"27*")&gt;0,COUNTIF(J2586,"*27*")&gt;0,COUNTIF(I2586,"28*")&gt;0,COUNTIF(J2586,"*28*")&gt;0,COUNTIF(I2586,"29*")&gt;0,COUNTIF(J2586,"*29*")&gt;0,COUNTIF(I2586,"30*")&gt;0,COUNTIF(J2586,"*30*")&gt;0,COUNTIF(I2586,"31*")&gt;0,COUNTIF(J2586,"*31*")&gt;0,COUNTIF(I2586,"32*")&gt;0,COUNTIF(J2586,"*32*")&gt;0,COUNTIF(I2586,"33*")&gt;0,COUNTIF(J2586,"*33*")&gt;0,COUNTIF(I2586,"41*")&gt;0,COUNTIF(J2586,"*41*")&gt;0,COUNTIF(I2586,"42*")&gt;0,COUNTIF(J2586,"*42*")&gt;0,COUNTIF(I2586,"43*")&gt;0,COUNTIF(J2586,"*43*")&gt;0,COUNTIF(I2586,"49*")&gt;0,COUNTIF(J2586,"*49*")&gt;0,COUNTIF(I2586,"52*")&gt;0,COUNTIF(J2586,"*52*")&gt;0,COUNTIF(I2586,"55*")&gt;0,COUNTIF(J2586,"*55*")&gt;0,COUNTIF(I2586,"56*")&gt;0,COUNTIF(J2586,"*56*")&gt;0,COUNTIF(I2586,"68*")&gt;0,COUNTIF(J2586,"*68*")&gt;0,COUNTIF(I2586,"78*")&gt;0,COUNTIF(J2586,"*78*")&gt;0,COUNTIF(I2586,"81*")&gt;0,COUNTIF(J2586,"*81*")&gt;0,COUNTIF(I2586,"82*")&gt;0,COUNTIF(J2586,"*82*")&gt;0,COUNTIF(I2586,"64*")&gt;0,COUNTIF(J2586,"*64*")&gt;0,COUNTIF(I2586,"65*")&gt;0,COUNTIF(J2586,"*65*")&gt;0,COUNTIF(I2586,"66*")&gt;0,COUNTIF(J2586,"*66*")&gt;0,COUNTIF(I2586,"61*")&gt;0,COUNTIF(J2586,"*61*")&gt;0,COUNTIF(I2586,"62*")&gt;0,COUNTIF(J2586,"*62*")&gt;0,COUNTIF(I2586,"63*")&gt;0,COUNTIF(J2586,"*63*")&gt;0,COUNTIF(I2586,"85*")&gt;0,COUNTIF(J2586,"*85*")&gt;0,COUNTIF(I2586,"86*")&gt;0,COUNTIF(J2586,"*86*")&gt;0),"Да","Нет"))</f>
        <v/>
      </c>
      <c r="M2586" s="13">
        <f>IF(OR(G2586="",L2586&lt;&gt;"Да"),"",IF(G2586&lt;=100,"До 100",IF(G2586&lt;=200,"До 200",IF(G2586&lt;=500,"До 500","Отдельное КП"))))</f>
        <v/>
      </c>
      <c r="N2586" s="15">
        <f>IF(OR(G2586="",L2586&lt;&gt;"Да"),"",IF(G2586&lt;=100,33600,IF(G2586&lt;=200,62400,IF(G2586&lt;=500,144000,""))))</f>
        <v/>
      </c>
      <c r="O2586" s="16">
        <f>IF(G2586="","",IF(G2586&lt;=15,"1–15",IF(G2586&lt;=30,"16–30",IF(G2586&lt;=50,"31–50",IF(G2586&lt;=100,"51–100",IF(G2586&lt;=150,"101–150",IF(G2586&lt;=200,"151–200",IF(G2586&lt;=500,"201–500","500+"))))))))</f>
        <v/>
      </c>
      <c r="P2586" s="16" t="inlineStr">
        <is>
          <t>Нет совпадения в предоставленной выгрузке ССЧР</t>
        </is>
      </c>
      <c r="Q2586" s="16" t="n"/>
      <c r="R2586" s="16">
        <f>HYPERLINK("https://checko.ru/search?query=3801001629","Чекко: проверить")</f>
        <v/>
      </c>
      <c r="S2586" t="n">
        <v>0</v>
      </c>
    </row>
    <row r="2587" ht="15" customHeight="1" s="24">
      <c r="A2587" s="13" t="n">
        <v>5000095255</v>
      </c>
      <c r="B2587" s="13" t="inlineStr">
        <is>
          <t>МКДОУ "Детский сад №58" г.о.Нальчик КБР</t>
        </is>
      </c>
      <c r="C2587" s="13" t="n">
        <v>725029631</v>
      </c>
      <c r="D2587" s="13" t="n"/>
      <c r="E2587" s="13" t="inlineStr">
        <is>
          <t>Не определён</t>
        </is>
      </c>
      <c r="F2587" s="13" t="inlineStr">
        <is>
          <t>725029631</t>
        </is>
      </c>
      <c r="G2587" s="14" t="n"/>
      <c r="H2587" s="14" t="n"/>
      <c r="I2587" s="14" t="n"/>
      <c r="J2587" s="14" t="n"/>
      <c r="K2587" s="13">
        <f>IF(G2587="","",IF(G2587&gt;=22,"Да","Нет"))</f>
        <v/>
      </c>
      <c r="L2587" s="13">
        <f>IF(OR(I2587="",J2587=""),"Не определено",IF(OR(COUNTIF(I2587,"45*")&gt;0,COUNTIF(J2587,"*45*")&gt;0,COUNTIF(I2587,"46*")&gt;0,COUNTIF(J2587,"*46*")&gt;0,COUNTIF(I2587,"47*")&gt;0,COUNTIF(J2587,"*47*")&gt;0,COUNTIF(I2587,"10*")&gt;0,COUNTIF(J2587,"*10*")&gt;0,COUNTIF(I2587,"11*")&gt;0,COUNTIF(J2587,"*11*")&gt;0,COUNTIF(I2587,"12*")&gt;0,COUNTIF(J2587,"*12*")&gt;0,COUNTIF(I2587,"13*")&gt;0,COUNTIF(J2587,"*13*")&gt;0,COUNTIF(I2587,"14*")&gt;0,COUNTIF(J2587,"*14*")&gt;0,COUNTIF(I2587,"15*")&gt;0,COUNTIF(J2587,"*15*")&gt;0,COUNTIF(I2587,"16*")&gt;0,COUNTIF(J2587,"*16*")&gt;0,COUNTIF(I2587,"17*")&gt;0,COUNTIF(J2587,"*17*")&gt;0,COUNTIF(I2587,"18*")&gt;0,COUNTIF(J2587,"*18*")&gt;0,COUNTIF(I2587,"19*")&gt;0,COUNTIF(J2587,"*19*")&gt;0,COUNTIF(I2587,"20*")&gt;0,COUNTIF(J2587,"*20*")&gt;0,COUNTIF(I2587,"21*")&gt;0,COUNTIF(J2587,"*21*")&gt;0,COUNTIF(I2587,"22*")&gt;0,COUNTIF(J2587,"*22*")&gt;0,COUNTIF(I2587,"23*")&gt;0,COUNTIF(J2587,"*23*")&gt;0,COUNTIF(I2587,"24*")&gt;0,COUNTIF(J2587,"*24*")&gt;0,COUNTIF(I2587,"25*")&gt;0,COUNTIF(J2587,"*25*")&gt;0,COUNTIF(I2587,"26*")&gt;0,COUNTIF(J2587,"*26*")&gt;0,COUNTIF(I2587,"27*")&gt;0,COUNTIF(J2587,"*27*")&gt;0,COUNTIF(I2587,"28*")&gt;0,COUNTIF(J2587,"*28*")&gt;0,COUNTIF(I2587,"29*")&gt;0,COUNTIF(J2587,"*29*")&gt;0,COUNTIF(I2587,"30*")&gt;0,COUNTIF(J2587,"*30*")&gt;0,COUNTIF(I2587,"31*")&gt;0,COUNTIF(J2587,"*31*")&gt;0,COUNTIF(I2587,"32*")&gt;0,COUNTIF(J2587,"*32*")&gt;0,COUNTIF(I2587,"33*")&gt;0,COUNTIF(J2587,"*33*")&gt;0,COUNTIF(I2587,"41*")&gt;0,COUNTIF(J2587,"*41*")&gt;0,COUNTIF(I2587,"42*")&gt;0,COUNTIF(J2587,"*42*")&gt;0,COUNTIF(I2587,"43*")&gt;0,COUNTIF(J2587,"*43*")&gt;0,COUNTIF(I2587,"49*")&gt;0,COUNTIF(J2587,"*49*")&gt;0,COUNTIF(I2587,"52*")&gt;0,COUNTIF(J2587,"*52*")&gt;0,COUNTIF(I2587,"55*")&gt;0,COUNTIF(J2587,"*55*")&gt;0,COUNTIF(I2587,"56*")&gt;0,COUNTIF(J2587,"*56*")&gt;0,COUNTIF(I2587,"68*")&gt;0,COUNTIF(J2587,"*68*")&gt;0,COUNTIF(I2587,"78*")&gt;0,COUNTIF(J2587,"*78*")&gt;0,COUNTIF(I2587,"81*")&gt;0,COUNTIF(J2587,"*81*")&gt;0,COUNTIF(I2587,"82*")&gt;0,COUNTIF(J2587,"*82*")&gt;0,COUNTIF(I2587,"64*")&gt;0,COUNTIF(J2587,"*64*")&gt;0,COUNTIF(I2587,"65*")&gt;0,COUNTIF(J2587,"*65*")&gt;0,COUNTIF(I2587,"66*")&gt;0,COUNTIF(J2587,"*66*")&gt;0,COUNTIF(I2587,"61*")&gt;0,COUNTIF(J2587,"*61*")&gt;0,COUNTIF(I2587,"62*")&gt;0,COUNTIF(J2587,"*62*")&gt;0,COUNTIF(I2587,"63*")&gt;0,COUNTIF(J2587,"*63*")&gt;0,COUNTIF(I2587,"85*")&gt;0,COUNTIF(J2587,"*85*")&gt;0,COUNTIF(I2587,"86*")&gt;0,COUNTIF(J2587,"*86*")&gt;0),"Да","Нет"))</f>
        <v/>
      </c>
      <c r="M2587" s="13">
        <f>IF(OR(G2587="",L2587&lt;&gt;"Да"),"",IF(G2587&lt;=100,"До 100",IF(G2587&lt;=200,"До 200",IF(G2587&lt;=500,"До 500","Отдельное КП"))))</f>
        <v/>
      </c>
      <c r="N2587" s="15">
        <f>IF(OR(G2587="",L2587&lt;&gt;"Да"),"",IF(G2587&lt;=100,33600,IF(G2587&lt;=200,62400,IF(G2587&lt;=500,144000,""))))</f>
        <v/>
      </c>
      <c r="O2587" s="16">
        <f>IF(G2587="","",IF(G2587&lt;=15,"1–15",IF(G2587&lt;=30,"16–30",IF(G2587&lt;=50,"31–50",IF(G2587&lt;=100,"51–100",IF(G2587&lt;=150,"101–150",IF(G2587&lt;=200,"151–200",IF(G2587&lt;=500,"201–500","500+"))))))))</f>
        <v/>
      </c>
      <c r="P2587" s="16" t="inlineStr">
        <is>
          <t>Нет совпадения в предоставленной выгрузке ССЧР</t>
        </is>
      </c>
      <c r="Q2587" s="16" t="n"/>
      <c r="R2587" s="16">
        <f>HYPERLINK("https://checko.ru/search?query=3801001629","Чекко: проверить")</f>
        <v/>
      </c>
      <c r="S2587" t="n">
        <v>0</v>
      </c>
    </row>
    <row r="2588" ht="15" customHeight="1" s="24">
      <c r="A2588" s="13" t="n">
        <v>5000095256</v>
      </c>
      <c r="B2588" s="13" t="inlineStr">
        <is>
          <t>МКДОУ "Детский сад № 44" г.о. Нальчик</t>
        </is>
      </c>
      <c r="C2588" s="13" t="n">
        <v>725029656</v>
      </c>
      <c r="D2588" s="13" t="n"/>
      <c r="E2588" s="13" t="inlineStr">
        <is>
          <t>Не определён</t>
        </is>
      </c>
      <c r="F2588" s="13" t="inlineStr">
        <is>
          <t>725029656</t>
        </is>
      </c>
      <c r="G2588" s="14" t="n"/>
      <c r="H2588" s="14" t="n"/>
      <c r="I2588" s="14" t="n"/>
      <c r="J2588" s="14" t="n"/>
      <c r="K2588" s="13">
        <f>IF(G2588="","",IF(G2588&gt;=22,"Да","Нет"))</f>
        <v/>
      </c>
      <c r="L2588" s="13">
        <f>IF(OR(I2588="",J2588=""),"Не определено",IF(OR(COUNTIF(I2588,"45*")&gt;0,COUNTIF(J2588,"*45*")&gt;0,COUNTIF(I2588,"46*")&gt;0,COUNTIF(J2588,"*46*")&gt;0,COUNTIF(I2588,"47*")&gt;0,COUNTIF(J2588,"*47*")&gt;0,COUNTIF(I2588,"10*")&gt;0,COUNTIF(J2588,"*10*")&gt;0,COUNTIF(I2588,"11*")&gt;0,COUNTIF(J2588,"*11*")&gt;0,COUNTIF(I2588,"12*")&gt;0,COUNTIF(J2588,"*12*")&gt;0,COUNTIF(I2588,"13*")&gt;0,COUNTIF(J2588,"*13*")&gt;0,COUNTIF(I2588,"14*")&gt;0,COUNTIF(J2588,"*14*")&gt;0,COUNTIF(I2588,"15*")&gt;0,COUNTIF(J2588,"*15*")&gt;0,COUNTIF(I2588,"16*")&gt;0,COUNTIF(J2588,"*16*")&gt;0,COUNTIF(I2588,"17*")&gt;0,COUNTIF(J2588,"*17*")&gt;0,COUNTIF(I2588,"18*")&gt;0,COUNTIF(J2588,"*18*")&gt;0,COUNTIF(I2588,"19*")&gt;0,COUNTIF(J2588,"*19*")&gt;0,COUNTIF(I2588,"20*")&gt;0,COUNTIF(J2588,"*20*")&gt;0,COUNTIF(I2588,"21*")&gt;0,COUNTIF(J2588,"*21*")&gt;0,COUNTIF(I2588,"22*")&gt;0,COUNTIF(J2588,"*22*")&gt;0,COUNTIF(I2588,"23*")&gt;0,COUNTIF(J2588,"*23*")&gt;0,COUNTIF(I2588,"24*")&gt;0,COUNTIF(J2588,"*24*")&gt;0,COUNTIF(I2588,"25*")&gt;0,COUNTIF(J2588,"*25*")&gt;0,COUNTIF(I2588,"26*")&gt;0,COUNTIF(J2588,"*26*")&gt;0,COUNTIF(I2588,"27*")&gt;0,COUNTIF(J2588,"*27*")&gt;0,COUNTIF(I2588,"28*")&gt;0,COUNTIF(J2588,"*28*")&gt;0,COUNTIF(I2588,"29*")&gt;0,COUNTIF(J2588,"*29*")&gt;0,COUNTIF(I2588,"30*")&gt;0,COUNTIF(J2588,"*30*")&gt;0,COUNTIF(I2588,"31*")&gt;0,COUNTIF(J2588,"*31*")&gt;0,COUNTIF(I2588,"32*")&gt;0,COUNTIF(J2588,"*32*")&gt;0,COUNTIF(I2588,"33*")&gt;0,COUNTIF(J2588,"*33*")&gt;0,COUNTIF(I2588,"41*")&gt;0,COUNTIF(J2588,"*41*")&gt;0,COUNTIF(I2588,"42*")&gt;0,COUNTIF(J2588,"*42*")&gt;0,COUNTIF(I2588,"43*")&gt;0,COUNTIF(J2588,"*43*")&gt;0,COUNTIF(I2588,"49*")&gt;0,COUNTIF(J2588,"*49*")&gt;0,COUNTIF(I2588,"52*")&gt;0,COUNTIF(J2588,"*52*")&gt;0,COUNTIF(I2588,"55*")&gt;0,COUNTIF(J2588,"*55*")&gt;0,COUNTIF(I2588,"56*")&gt;0,COUNTIF(J2588,"*56*")&gt;0,COUNTIF(I2588,"68*")&gt;0,COUNTIF(J2588,"*68*")&gt;0,COUNTIF(I2588,"78*")&gt;0,COUNTIF(J2588,"*78*")&gt;0,COUNTIF(I2588,"81*")&gt;0,COUNTIF(J2588,"*81*")&gt;0,COUNTIF(I2588,"82*")&gt;0,COUNTIF(J2588,"*82*")&gt;0,COUNTIF(I2588,"64*")&gt;0,COUNTIF(J2588,"*64*")&gt;0,COUNTIF(I2588,"65*")&gt;0,COUNTIF(J2588,"*65*")&gt;0,COUNTIF(I2588,"66*")&gt;0,COUNTIF(J2588,"*66*")&gt;0,COUNTIF(I2588,"61*")&gt;0,COUNTIF(J2588,"*61*")&gt;0,COUNTIF(I2588,"62*")&gt;0,COUNTIF(J2588,"*62*")&gt;0,COUNTIF(I2588,"63*")&gt;0,COUNTIF(J2588,"*63*")&gt;0,COUNTIF(I2588,"85*")&gt;0,COUNTIF(J2588,"*85*")&gt;0,COUNTIF(I2588,"86*")&gt;0,COUNTIF(J2588,"*86*")&gt;0),"Да","Нет"))</f>
        <v/>
      </c>
      <c r="M2588" s="13">
        <f>IF(OR(G2588="",L2588&lt;&gt;"Да"),"",IF(G2588&lt;=100,"До 100",IF(G2588&lt;=200,"До 200",IF(G2588&lt;=500,"До 500","Отдельное КП"))))</f>
        <v/>
      </c>
      <c r="N2588" s="15">
        <f>IF(OR(G2588="",L2588&lt;&gt;"Да"),"",IF(G2588&lt;=100,33600,IF(G2588&lt;=200,62400,IF(G2588&lt;=500,144000,""))))</f>
        <v/>
      </c>
      <c r="O2588" s="16">
        <f>IF(G2588="","",IF(G2588&lt;=15,"1–15",IF(G2588&lt;=30,"16–30",IF(G2588&lt;=50,"31–50",IF(G2588&lt;=100,"51–100",IF(G2588&lt;=150,"101–150",IF(G2588&lt;=200,"151–200",IF(G2588&lt;=500,"201–500","500+"))))))))</f>
        <v/>
      </c>
      <c r="P2588" s="16" t="inlineStr">
        <is>
          <t>Нет совпадения в предоставленной выгрузке ССЧР</t>
        </is>
      </c>
      <c r="Q2588" s="16" t="n"/>
      <c r="R2588" s="16">
        <f>HYPERLINK("https://checko.ru/search?query=3801001629","Чекко: проверить")</f>
        <v/>
      </c>
      <c r="S2588" t="n">
        <v>0</v>
      </c>
    </row>
    <row r="2589" ht="15" customHeight="1" s="24">
      <c r="A2589" s="13" t="n">
        <v>5000095257</v>
      </c>
      <c r="B2589" s="13" t="inlineStr">
        <is>
          <t>МКДОУ "Детский сад №2" г.о. Нальчик</t>
        </is>
      </c>
      <c r="C2589" s="13" t="n">
        <v>725029663</v>
      </c>
      <c r="D2589" s="13" t="n"/>
      <c r="E2589" s="13" t="inlineStr">
        <is>
          <t>Не определён</t>
        </is>
      </c>
      <c r="F2589" s="13" t="inlineStr">
        <is>
          <t>725029663</t>
        </is>
      </c>
      <c r="G2589" s="14" t="n"/>
      <c r="H2589" s="14" t="n"/>
      <c r="I2589" s="14" t="n"/>
      <c r="J2589" s="14" t="n"/>
      <c r="K2589" s="13">
        <f>IF(G2589="","",IF(G2589&gt;=22,"Да","Нет"))</f>
        <v/>
      </c>
      <c r="L2589" s="13">
        <f>IF(OR(I2589="",J2589=""),"Не определено",IF(OR(COUNTIF(I2589,"45*")&gt;0,COUNTIF(J2589,"*45*")&gt;0,COUNTIF(I2589,"46*")&gt;0,COUNTIF(J2589,"*46*")&gt;0,COUNTIF(I2589,"47*")&gt;0,COUNTIF(J2589,"*47*")&gt;0,COUNTIF(I2589,"10*")&gt;0,COUNTIF(J2589,"*10*")&gt;0,COUNTIF(I2589,"11*")&gt;0,COUNTIF(J2589,"*11*")&gt;0,COUNTIF(I2589,"12*")&gt;0,COUNTIF(J2589,"*12*")&gt;0,COUNTIF(I2589,"13*")&gt;0,COUNTIF(J2589,"*13*")&gt;0,COUNTIF(I2589,"14*")&gt;0,COUNTIF(J2589,"*14*")&gt;0,COUNTIF(I2589,"15*")&gt;0,COUNTIF(J2589,"*15*")&gt;0,COUNTIF(I2589,"16*")&gt;0,COUNTIF(J2589,"*16*")&gt;0,COUNTIF(I2589,"17*")&gt;0,COUNTIF(J2589,"*17*")&gt;0,COUNTIF(I2589,"18*")&gt;0,COUNTIF(J2589,"*18*")&gt;0,COUNTIF(I2589,"19*")&gt;0,COUNTIF(J2589,"*19*")&gt;0,COUNTIF(I2589,"20*")&gt;0,COUNTIF(J2589,"*20*")&gt;0,COUNTIF(I2589,"21*")&gt;0,COUNTIF(J2589,"*21*")&gt;0,COUNTIF(I2589,"22*")&gt;0,COUNTIF(J2589,"*22*")&gt;0,COUNTIF(I2589,"23*")&gt;0,COUNTIF(J2589,"*23*")&gt;0,COUNTIF(I2589,"24*")&gt;0,COUNTIF(J2589,"*24*")&gt;0,COUNTIF(I2589,"25*")&gt;0,COUNTIF(J2589,"*25*")&gt;0,COUNTIF(I2589,"26*")&gt;0,COUNTIF(J2589,"*26*")&gt;0,COUNTIF(I2589,"27*")&gt;0,COUNTIF(J2589,"*27*")&gt;0,COUNTIF(I2589,"28*")&gt;0,COUNTIF(J2589,"*28*")&gt;0,COUNTIF(I2589,"29*")&gt;0,COUNTIF(J2589,"*29*")&gt;0,COUNTIF(I2589,"30*")&gt;0,COUNTIF(J2589,"*30*")&gt;0,COUNTIF(I2589,"31*")&gt;0,COUNTIF(J2589,"*31*")&gt;0,COUNTIF(I2589,"32*")&gt;0,COUNTIF(J2589,"*32*")&gt;0,COUNTIF(I2589,"33*")&gt;0,COUNTIF(J2589,"*33*")&gt;0,COUNTIF(I2589,"41*")&gt;0,COUNTIF(J2589,"*41*")&gt;0,COUNTIF(I2589,"42*")&gt;0,COUNTIF(J2589,"*42*")&gt;0,COUNTIF(I2589,"43*")&gt;0,COUNTIF(J2589,"*43*")&gt;0,COUNTIF(I2589,"49*")&gt;0,COUNTIF(J2589,"*49*")&gt;0,COUNTIF(I2589,"52*")&gt;0,COUNTIF(J2589,"*52*")&gt;0,COUNTIF(I2589,"55*")&gt;0,COUNTIF(J2589,"*55*")&gt;0,COUNTIF(I2589,"56*")&gt;0,COUNTIF(J2589,"*56*")&gt;0,COUNTIF(I2589,"68*")&gt;0,COUNTIF(J2589,"*68*")&gt;0,COUNTIF(I2589,"78*")&gt;0,COUNTIF(J2589,"*78*")&gt;0,COUNTIF(I2589,"81*")&gt;0,COUNTIF(J2589,"*81*")&gt;0,COUNTIF(I2589,"82*")&gt;0,COUNTIF(J2589,"*82*")&gt;0,COUNTIF(I2589,"64*")&gt;0,COUNTIF(J2589,"*64*")&gt;0,COUNTIF(I2589,"65*")&gt;0,COUNTIF(J2589,"*65*")&gt;0,COUNTIF(I2589,"66*")&gt;0,COUNTIF(J2589,"*66*")&gt;0,COUNTIF(I2589,"61*")&gt;0,COUNTIF(J2589,"*61*")&gt;0,COUNTIF(I2589,"62*")&gt;0,COUNTIF(J2589,"*62*")&gt;0,COUNTIF(I2589,"63*")&gt;0,COUNTIF(J2589,"*63*")&gt;0,COUNTIF(I2589,"85*")&gt;0,COUNTIF(J2589,"*85*")&gt;0,COUNTIF(I2589,"86*")&gt;0,COUNTIF(J2589,"*86*")&gt;0),"Да","Нет"))</f>
        <v/>
      </c>
      <c r="M2589" s="13">
        <f>IF(OR(G2589="",L2589&lt;&gt;"Да"),"",IF(G2589&lt;=100,"До 100",IF(G2589&lt;=200,"До 200",IF(G2589&lt;=500,"До 500","Отдельное КП"))))</f>
        <v/>
      </c>
      <c r="N2589" s="15">
        <f>IF(OR(G2589="",L2589&lt;&gt;"Да"),"",IF(G2589&lt;=100,33600,IF(G2589&lt;=200,62400,IF(G2589&lt;=500,144000,""))))</f>
        <v/>
      </c>
      <c r="O2589" s="16">
        <f>IF(G2589="","",IF(G2589&lt;=15,"1–15",IF(G2589&lt;=30,"16–30",IF(G2589&lt;=50,"31–50",IF(G2589&lt;=100,"51–100",IF(G2589&lt;=150,"101–150",IF(G2589&lt;=200,"151–200",IF(G2589&lt;=500,"201–500","500+"))))))))</f>
        <v/>
      </c>
      <c r="P2589" s="16" t="inlineStr">
        <is>
          <t>Нет совпадения в предоставленной выгрузке ССЧР</t>
        </is>
      </c>
      <c r="Q2589" s="16" t="n"/>
      <c r="R2589" s="16">
        <f>HYPERLINK("https://checko.ru/search?query=3801001629","Чекко: проверить")</f>
        <v/>
      </c>
      <c r="S2589" t="n">
        <v>0</v>
      </c>
    </row>
    <row r="2590" ht="15" customHeight="1" s="24">
      <c r="A2590" s="13" t="n">
        <v>5000095258</v>
      </c>
      <c r="B2590" s="13" t="inlineStr">
        <is>
          <t>МКДОУ "Детский сад №48"</t>
        </is>
      </c>
      <c r="C2590" s="13" t="n">
        <v>725029670</v>
      </c>
      <c r="D2590" s="13" t="n"/>
      <c r="E2590" s="13" t="inlineStr">
        <is>
          <t>Не определён</t>
        </is>
      </c>
      <c r="F2590" s="13" t="inlineStr">
        <is>
          <t>725029670</t>
        </is>
      </c>
      <c r="G2590" s="14" t="n"/>
      <c r="H2590" s="14" t="n"/>
      <c r="I2590" s="14" t="n"/>
      <c r="J2590" s="14" t="n"/>
      <c r="K2590" s="13">
        <f>IF(G2590="","",IF(G2590&gt;=22,"Да","Нет"))</f>
        <v/>
      </c>
      <c r="L2590" s="13">
        <f>IF(OR(I2590="",J2590=""),"Не определено",IF(OR(COUNTIF(I2590,"45*")&gt;0,COUNTIF(J2590,"*45*")&gt;0,COUNTIF(I2590,"46*")&gt;0,COUNTIF(J2590,"*46*")&gt;0,COUNTIF(I2590,"47*")&gt;0,COUNTIF(J2590,"*47*")&gt;0,COUNTIF(I2590,"10*")&gt;0,COUNTIF(J2590,"*10*")&gt;0,COUNTIF(I2590,"11*")&gt;0,COUNTIF(J2590,"*11*")&gt;0,COUNTIF(I2590,"12*")&gt;0,COUNTIF(J2590,"*12*")&gt;0,COUNTIF(I2590,"13*")&gt;0,COUNTIF(J2590,"*13*")&gt;0,COUNTIF(I2590,"14*")&gt;0,COUNTIF(J2590,"*14*")&gt;0,COUNTIF(I2590,"15*")&gt;0,COUNTIF(J2590,"*15*")&gt;0,COUNTIF(I2590,"16*")&gt;0,COUNTIF(J2590,"*16*")&gt;0,COUNTIF(I2590,"17*")&gt;0,COUNTIF(J2590,"*17*")&gt;0,COUNTIF(I2590,"18*")&gt;0,COUNTIF(J2590,"*18*")&gt;0,COUNTIF(I2590,"19*")&gt;0,COUNTIF(J2590,"*19*")&gt;0,COUNTIF(I2590,"20*")&gt;0,COUNTIF(J2590,"*20*")&gt;0,COUNTIF(I2590,"21*")&gt;0,COUNTIF(J2590,"*21*")&gt;0,COUNTIF(I2590,"22*")&gt;0,COUNTIF(J2590,"*22*")&gt;0,COUNTIF(I2590,"23*")&gt;0,COUNTIF(J2590,"*23*")&gt;0,COUNTIF(I2590,"24*")&gt;0,COUNTIF(J2590,"*24*")&gt;0,COUNTIF(I2590,"25*")&gt;0,COUNTIF(J2590,"*25*")&gt;0,COUNTIF(I2590,"26*")&gt;0,COUNTIF(J2590,"*26*")&gt;0,COUNTIF(I2590,"27*")&gt;0,COUNTIF(J2590,"*27*")&gt;0,COUNTIF(I2590,"28*")&gt;0,COUNTIF(J2590,"*28*")&gt;0,COUNTIF(I2590,"29*")&gt;0,COUNTIF(J2590,"*29*")&gt;0,COUNTIF(I2590,"30*")&gt;0,COUNTIF(J2590,"*30*")&gt;0,COUNTIF(I2590,"31*")&gt;0,COUNTIF(J2590,"*31*")&gt;0,COUNTIF(I2590,"32*")&gt;0,COUNTIF(J2590,"*32*")&gt;0,COUNTIF(I2590,"33*")&gt;0,COUNTIF(J2590,"*33*")&gt;0,COUNTIF(I2590,"41*")&gt;0,COUNTIF(J2590,"*41*")&gt;0,COUNTIF(I2590,"42*")&gt;0,COUNTIF(J2590,"*42*")&gt;0,COUNTIF(I2590,"43*")&gt;0,COUNTIF(J2590,"*43*")&gt;0,COUNTIF(I2590,"49*")&gt;0,COUNTIF(J2590,"*49*")&gt;0,COUNTIF(I2590,"52*")&gt;0,COUNTIF(J2590,"*52*")&gt;0,COUNTIF(I2590,"55*")&gt;0,COUNTIF(J2590,"*55*")&gt;0,COUNTIF(I2590,"56*")&gt;0,COUNTIF(J2590,"*56*")&gt;0,COUNTIF(I2590,"68*")&gt;0,COUNTIF(J2590,"*68*")&gt;0,COUNTIF(I2590,"78*")&gt;0,COUNTIF(J2590,"*78*")&gt;0,COUNTIF(I2590,"81*")&gt;0,COUNTIF(J2590,"*81*")&gt;0,COUNTIF(I2590,"82*")&gt;0,COUNTIF(J2590,"*82*")&gt;0,COUNTIF(I2590,"64*")&gt;0,COUNTIF(J2590,"*64*")&gt;0,COUNTIF(I2590,"65*")&gt;0,COUNTIF(J2590,"*65*")&gt;0,COUNTIF(I2590,"66*")&gt;0,COUNTIF(J2590,"*66*")&gt;0,COUNTIF(I2590,"61*")&gt;0,COUNTIF(J2590,"*61*")&gt;0,COUNTIF(I2590,"62*")&gt;0,COUNTIF(J2590,"*62*")&gt;0,COUNTIF(I2590,"63*")&gt;0,COUNTIF(J2590,"*63*")&gt;0,COUNTIF(I2590,"85*")&gt;0,COUNTIF(J2590,"*85*")&gt;0,COUNTIF(I2590,"86*")&gt;0,COUNTIF(J2590,"*86*")&gt;0),"Да","Нет"))</f>
        <v/>
      </c>
      <c r="M2590" s="13">
        <f>IF(OR(G2590="",L2590&lt;&gt;"Да"),"",IF(G2590&lt;=100,"До 100",IF(G2590&lt;=200,"До 200",IF(G2590&lt;=500,"До 500","Отдельное КП"))))</f>
        <v/>
      </c>
      <c r="N2590" s="15">
        <f>IF(OR(G2590="",L2590&lt;&gt;"Да"),"",IF(G2590&lt;=100,33600,IF(G2590&lt;=200,62400,IF(G2590&lt;=500,144000,""))))</f>
        <v/>
      </c>
      <c r="O2590" s="16">
        <f>IF(G2590="","",IF(G2590&lt;=15,"1–15",IF(G2590&lt;=30,"16–30",IF(G2590&lt;=50,"31–50",IF(G2590&lt;=100,"51–100",IF(G2590&lt;=150,"101–150",IF(G2590&lt;=200,"151–200",IF(G2590&lt;=500,"201–500","500+"))))))))</f>
        <v/>
      </c>
      <c r="P2590" s="16" t="inlineStr">
        <is>
          <t>Нет совпадения в предоставленной выгрузке ССЧР</t>
        </is>
      </c>
      <c r="Q2590" s="16" t="n"/>
      <c r="R2590" s="16">
        <f>HYPERLINK("https://checko.ru/search?query=3801001629","Чекко: проверить")</f>
        <v/>
      </c>
      <c r="S2590" t="n">
        <v>0</v>
      </c>
    </row>
    <row r="2591" ht="15" customHeight="1" s="24">
      <c r="A2591" s="13" t="n">
        <v>5000095259</v>
      </c>
      <c r="B2591" s="13" t="inlineStr">
        <is>
          <t>МКДОУ "Детский сад №10"</t>
        </is>
      </c>
      <c r="C2591" s="13" t="n">
        <v>725029688</v>
      </c>
      <c r="D2591" s="13" t="n"/>
      <c r="E2591" s="13" t="inlineStr">
        <is>
          <t>Не определён</t>
        </is>
      </c>
      <c r="F2591" s="13" t="inlineStr">
        <is>
          <t>725029688</t>
        </is>
      </c>
      <c r="G2591" s="14" t="n"/>
      <c r="H2591" s="14" t="n"/>
      <c r="I2591" s="14" t="n"/>
      <c r="J2591" s="14" t="n"/>
      <c r="K2591" s="13">
        <f>IF(G2591="","",IF(G2591&gt;=22,"Да","Нет"))</f>
        <v/>
      </c>
      <c r="L2591" s="13">
        <f>IF(OR(I2591="",J2591=""),"Не определено",IF(OR(COUNTIF(I2591,"45*")&gt;0,COUNTIF(J2591,"*45*")&gt;0,COUNTIF(I2591,"46*")&gt;0,COUNTIF(J2591,"*46*")&gt;0,COUNTIF(I2591,"47*")&gt;0,COUNTIF(J2591,"*47*")&gt;0,COUNTIF(I2591,"10*")&gt;0,COUNTIF(J2591,"*10*")&gt;0,COUNTIF(I2591,"11*")&gt;0,COUNTIF(J2591,"*11*")&gt;0,COUNTIF(I2591,"12*")&gt;0,COUNTIF(J2591,"*12*")&gt;0,COUNTIF(I2591,"13*")&gt;0,COUNTIF(J2591,"*13*")&gt;0,COUNTIF(I2591,"14*")&gt;0,COUNTIF(J2591,"*14*")&gt;0,COUNTIF(I2591,"15*")&gt;0,COUNTIF(J2591,"*15*")&gt;0,COUNTIF(I2591,"16*")&gt;0,COUNTIF(J2591,"*16*")&gt;0,COUNTIF(I2591,"17*")&gt;0,COUNTIF(J2591,"*17*")&gt;0,COUNTIF(I2591,"18*")&gt;0,COUNTIF(J2591,"*18*")&gt;0,COUNTIF(I2591,"19*")&gt;0,COUNTIF(J2591,"*19*")&gt;0,COUNTIF(I2591,"20*")&gt;0,COUNTIF(J2591,"*20*")&gt;0,COUNTIF(I2591,"21*")&gt;0,COUNTIF(J2591,"*21*")&gt;0,COUNTIF(I2591,"22*")&gt;0,COUNTIF(J2591,"*22*")&gt;0,COUNTIF(I2591,"23*")&gt;0,COUNTIF(J2591,"*23*")&gt;0,COUNTIF(I2591,"24*")&gt;0,COUNTIF(J2591,"*24*")&gt;0,COUNTIF(I2591,"25*")&gt;0,COUNTIF(J2591,"*25*")&gt;0,COUNTIF(I2591,"26*")&gt;0,COUNTIF(J2591,"*26*")&gt;0,COUNTIF(I2591,"27*")&gt;0,COUNTIF(J2591,"*27*")&gt;0,COUNTIF(I2591,"28*")&gt;0,COUNTIF(J2591,"*28*")&gt;0,COUNTIF(I2591,"29*")&gt;0,COUNTIF(J2591,"*29*")&gt;0,COUNTIF(I2591,"30*")&gt;0,COUNTIF(J2591,"*30*")&gt;0,COUNTIF(I2591,"31*")&gt;0,COUNTIF(J2591,"*31*")&gt;0,COUNTIF(I2591,"32*")&gt;0,COUNTIF(J2591,"*32*")&gt;0,COUNTIF(I2591,"33*")&gt;0,COUNTIF(J2591,"*33*")&gt;0,COUNTIF(I2591,"41*")&gt;0,COUNTIF(J2591,"*41*")&gt;0,COUNTIF(I2591,"42*")&gt;0,COUNTIF(J2591,"*42*")&gt;0,COUNTIF(I2591,"43*")&gt;0,COUNTIF(J2591,"*43*")&gt;0,COUNTIF(I2591,"49*")&gt;0,COUNTIF(J2591,"*49*")&gt;0,COUNTIF(I2591,"52*")&gt;0,COUNTIF(J2591,"*52*")&gt;0,COUNTIF(I2591,"55*")&gt;0,COUNTIF(J2591,"*55*")&gt;0,COUNTIF(I2591,"56*")&gt;0,COUNTIF(J2591,"*56*")&gt;0,COUNTIF(I2591,"68*")&gt;0,COUNTIF(J2591,"*68*")&gt;0,COUNTIF(I2591,"78*")&gt;0,COUNTIF(J2591,"*78*")&gt;0,COUNTIF(I2591,"81*")&gt;0,COUNTIF(J2591,"*81*")&gt;0,COUNTIF(I2591,"82*")&gt;0,COUNTIF(J2591,"*82*")&gt;0,COUNTIF(I2591,"64*")&gt;0,COUNTIF(J2591,"*64*")&gt;0,COUNTIF(I2591,"65*")&gt;0,COUNTIF(J2591,"*65*")&gt;0,COUNTIF(I2591,"66*")&gt;0,COUNTIF(J2591,"*66*")&gt;0,COUNTIF(I2591,"61*")&gt;0,COUNTIF(J2591,"*61*")&gt;0,COUNTIF(I2591,"62*")&gt;0,COUNTIF(J2591,"*62*")&gt;0,COUNTIF(I2591,"63*")&gt;0,COUNTIF(J2591,"*63*")&gt;0,COUNTIF(I2591,"85*")&gt;0,COUNTIF(J2591,"*85*")&gt;0,COUNTIF(I2591,"86*")&gt;0,COUNTIF(J2591,"*86*")&gt;0),"Да","Нет"))</f>
        <v/>
      </c>
      <c r="M2591" s="13">
        <f>IF(OR(G2591="",L2591&lt;&gt;"Да"),"",IF(G2591&lt;=100,"До 100",IF(G2591&lt;=200,"До 200",IF(G2591&lt;=500,"До 500","Отдельное КП"))))</f>
        <v/>
      </c>
      <c r="N2591" s="15">
        <f>IF(OR(G2591="",L2591&lt;&gt;"Да"),"",IF(G2591&lt;=100,33600,IF(G2591&lt;=200,62400,IF(G2591&lt;=500,144000,""))))</f>
        <v/>
      </c>
      <c r="O2591" s="16">
        <f>IF(G2591="","",IF(G2591&lt;=15,"1–15",IF(G2591&lt;=30,"16–30",IF(G2591&lt;=50,"31–50",IF(G2591&lt;=100,"51–100",IF(G2591&lt;=150,"101–150",IF(G2591&lt;=200,"151–200",IF(G2591&lt;=500,"201–500","500+"))))))))</f>
        <v/>
      </c>
      <c r="P2591" s="16" t="inlineStr">
        <is>
          <t>Нет совпадения в предоставленной выгрузке ССЧР</t>
        </is>
      </c>
      <c r="Q2591" s="16" t="n"/>
      <c r="R2591" s="16">
        <f>HYPERLINK("https://checko.ru/search?query=3801001629","Чекко: проверить")</f>
        <v/>
      </c>
      <c r="S2591" t="n">
        <v>0</v>
      </c>
    </row>
    <row r="2592" ht="15" customHeight="1" s="24">
      <c r="A2592" s="13" t="n">
        <v>5000095260</v>
      </c>
      <c r="B2592" s="13" t="inlineStr">
        <is>
          <t>МКОУ "Прогимназия №1" г.о. Нальчик</t>
        </is>
      </c>
      <c r="C2592" s="13" t="n">
        <v>725029705</v>
      </c>
      <c r="D2592" s="13" t="n"/>
      <c r="E2592" s="13" t="inlineStr">
        <is>
          <t>Не определён</t>
        </is>
      </c>
      <c r="F2592" s="13" t="inlineStr">
        <is>
          <t>725029705</t>
        </is>
      </c>
      <c r="G2592" s="14" t="n"/>
      <c r="H2592" s="14" t="n"/>
      <c r="I2592" s="14" t="n"/>
      <c r="J2592" s="14" t="n"/>
      <c r="K2592" s="13">
        <f>IF(G2592="","",IF(G2592&gt;=22,"Да","Нет"))</f>
        <v/>
      </c>
      <c r="L2592" s="13">
        <f>IF(OR(I2592="",J2592=""),"Не определено",IF(OR(COUNTIF(I2592,"45*")&gt;0,COUNTIF(J2592,"*45*")&gt;0,COUNTIF(I2592,"46*")&gt;0,COUNTIF(J2592,"*46*")&gt;0,COUNTIF(I2592,"47*")&gt;0,COUNTIF(J2592,"*47*")&gt;0,COUNTIF(I2592,"10*")&gt;0,COUNTIF(J2592,"*10*")&gt;0,COUNTIF(I2592,"11*")&gt;0,COUNTIF(J2592,"*11*")&gt;0,COUNTIF(I2592,"12*")&gt;0,COUNTIF(J2592,"*12*")&gt;0,COUNTIF(I2592,"13*")&gt;0,COUNTIF(J2592,"*13*")&gt;0,COUNTIF(I2592,"14*")&gt;0,COUNTIF(J2592,"*14*")&gt;0,COUNTIF(I2592,"15*")&gt;0,COUNTIF(J2592,"*15*")&gt;0,COUNTIF(I2592,"16*")&gt;0,COUNTIF(J2592,"*16*")&gt;0,COUNTIF(I2592,"17*")&gt;0,COUNTIF(J2592,"*17*")&gt;0,COUNTIF(I2592,"18*")&gt;0,COUNTIF(J2592,"*18*")&gt;0,COUNTIF(I2592,"19*")&gt;0,COUNTIF(J2592,"*19*")&gt;0,COUNTIF(I2592,"20*")&gt;0,COUNTIF(J2592,"*20*")&gt;0,COUNTIF(I2592,"21*")&gt;0,COUNTIF(J2592,"*21*")&gt;0,COUNTIF(I2592,"22*")&gt;0,COUNTIF(J2592,"*22*")&gt;0,COUNTIF(I2592,"23*")&gt;0,COUNTIF(J2592,"*23*")&gt;0,COUNTIF(I2592,"24*")&gt;0,COUNTIF(J2592,"*24*")&gt;0,COUNTIF(I2592,"25*")&gt;0,COUNTIF(J2592,"*25*")&gt;0,COUNTIF(I2592,"26*")&gt;0,COUNTIF(J2592,"*26*")&gt;0,COUNTIF(I2592,"27*")&gt;0,COUNTIF(J2592,"*27*")&gt;0,COUNTIF(I2592,"28*")&gt;0,COUNTIF(J2592,"*28*")&gt;0,COUNTIF(I2592,"29*")&gt;0,COUNTIF(J2592,"*29*")&gt;0,COUNTIF(I2592,"30*")&gt;0,COUNTIF(J2592,"*30*")&gt;0,COUNTIF(I2592,"31*")&gt;0,COUNTIF(J2592,"*31*")&gt;0,COUNTIF(I2592,"32*")&gt;0,COUNTIF(J2592,"*32*")&gt;0,COUNTIF(I2592,"33*")&gt;0,COUNTIF(J2592,"*33*")&gt;0,COUNTIF(I2592,"41*")&gt;0,COUNTIF(J2592,"*41*")&gt;0,COUNTIF(I2592,"42*")&gt;0,COUNTIF(J2592,"*42*")&gt;0,COUNTIF(I2592,"43*")&gt;0,COUNTIF(J2592,"*43*")&gt;0,COUNTIF(I2592,"49*")&gt;0,COUNTIF(J2592,"*49*")&gt;0,COUNTIF(I2592,"52*")&gt;0,COUNTIF(J2592,"*52*")&gt;0,COUNTIF(I2592,"55*")&gt;0,COUNTIF(J2592,"*55*")&gt;0,COUNTIF(I2592,"56*")&gt;0,COUNTIF(J2592,"*56*")&gt;0,COUNTIF(I2592,"68*")&gt;0,COUNTIF(J2592,"*68*")&gt;0,COUNTIF(I2592,"78*")&gt;0,COUNTIF(J2592,"*78*")&gt;0,COUNTIF(I2592,"81*")&gt;0,COUNTIF(J2592,"*81*")&gt;0,COUNTIF(I2592,"82*")&gt;0,COUNTIF(J2592,"*82*")&gt;0,COUNTIF(I2592,"64*")&gt;0,COUNTIF(J2592,"*64*")&gt;0,COUNTIF(I2592,"65*")&gt;0,COUNTIF(J2592,"*65*")&gt;0,COUNTIF(I2592,"66*")&gt;0,COUNTIF(J2592,"*66*")&gt;0,COUNTIF(I2592,"61*")&gt;0,COUNTIF(J2592,"*61*")&gt;0,COUNTIF(I2592,"62*")&gt;0,COUNTIF(J2592,"*62*")&gt;0,COUNTIF(I2592,"63*")&gt;0,COUNTIF(J2592,"*63*")&gt;0,COUNTIF(I2592,"85*")&gt;0,COUNTIF(J2592,"*85*")&gt;0,COUNTIF(I2592,"86*")&gt;0,COUNTIF(J2592,"*86*")&gt;0),"Да","Нет"))</f>
        <v/>
      </c>
      <c r="M2592" s="13">
        <f>IF(OR(G2592="",L2592&lt;&gt;"Да"),"",IF(G2592&lt;=100,"До 100",IF(G2592&lt;=200,"До 200",IF(G2592&lt;=500,"До 500","Отдельное КП"))))</f>
        <v/>
      </c>
      <c r="N2592" s="15">
        <f>IF(OR(G2592="",L2592&lt;&gt;"Да"),"",IF(G2592&lt;=100,33600,IF(G2592&lt;=200,62400,IF(G2592&lt;=500,144000,""))))</f>
        <v/>
      </c>
      <c r="O2592" s="16">
        <f>IF(G2592="","",IF(G2592&lt;=15,"1–15",IF(G2592&lt;=30,"16–30",IF(G2592&lt;=50,"31–50",IF(G2592&lt;=100,"51–100",IF(G2592&lt;=150,"101–150",IF(G2592&lt;=200,"151–200",IF(G2592&lt;=500,"201–500","500+"))))))))</f>
        <v/>
      </c>
      <c r="P2592" s="16" t="inlineStr">
        <is>
          <t>Нет совпадения в предоставленной выгрузке ССЧР</t>
        </is>
      </c>
      <c r="Q2592" s="16" t="n"/>
      <c r="R2592" s="16">
        <f>HYPERLINK("https://checko.ru/search?query=3801001629","Чекко: проверить")</f>
        <v/>
      </c>
      <c r="S2592" t="n">
        <v>0</v>
      </c>
    </row>
    <row r="2593" ht="15" customHeight="1" s="24">
      <c r="A2593" s="13" t="n">
        <v>5000095261</v>
      </c>
      <c r="B2593" s="13" t="inlineStr">
        <is>
          <t>МКДОУ "Детский сад №61"</t>
        </is>
      </c>
      <c r="C2593" s="13" t="n">
        <v>725029751</v>
      </c>
      <c r="D2593" s="13" t="n"/>
      <c r="E2593" s="13" t="inlineStr">
        <is>
          <t>Не определён</t>
        </is>
      </c>
      <c r="F2593" s="13" t="inlineStr">
        <is>
          <t>725029751</t>
        </is>
      </c>
      <c r="G2593" s="14" t="n"/>
      <c r="H2593" s="14" t="n"/>
      <c r="I2593" s="14" t="n"/>
      <c r="J2593" s="14" t="n"/>
      <c r="K2593" s="13">
        <f>IF(G2593="","",IF(G2593&gt;=22,"Да","Нет"))</f>
        <v/>
      </c>
      <c r="L2593" s="13">
        <f>IF(OR(I2593="",J2593=""),"Не определено",IF(OR(COUNTIF(I2593,"45*")&gt;0,COUNTIF(J2593,"*45*")&gt;0,COUNTIF(I2593,"46*")&gt;0,COUNTIF(J2593,"*46*")&gt;0,COUNTIF(I2593,"47*")&gt;0,COUNTIF(J2593,"*47*")&gt;0,COUNTIF(I2593,"10*")&gt;0,COUNTIF(J2593,"*10*")&gt;0,COUNTIF(I2593,"11*")&gt;0,COUNTIF(J2593,"*11*")&gt;0,COUNTIF(I2593,"12*")&gt;0,COUNTIF(J2593,"*12*")&gt;0,COUNTIF(I2593,"13*")&gt;0,COUNTIF(J2593,"*13*")&gt;0,COUNTIF(I2593,"14*")&gt;0,COUNTIF(J2593,"*14*")&gt;0,COUNTIF(I2593,"15*")&gt;0,COUNTIF(J2593,"*15*")&gt;0,COUNTIF(I2593,"16*")&gt;0,COUNTIF(J2593,"*16*")&gt;0,COUNTIF(I2593,"17*")&gt;0,COUNTIF(J2593,"*17*")&gt;0,COUNTIF(I2593,"18*")&gt;0,COUNTIF(J2593,"*18*")&gt;0,COUNTIF(I2593,"19*")&gt;0,COUNTIF(J2593,"*19*")&gt;0,COUNTIF(I2593,"20*")&gt;0,COUNTIF(J2593,"*20*")&gt;0,COUNTIF(I2593,"21*")&gt;0,COUNTIF(J2593,"*21*")&gt;0,COUNTIF(I2593,"22*")&gt;0,COUNTIF(J2593,"*22*")&gt;0,COUNTIF(I2593,"23*")&gt;0,COUNTIF(J2593,"*23*")&gt;0,COUNTIF(I2593,"24*")&gt;0,COUNTIF(J2593,"*24*")&gt;0,COUNTIF(I2593,"25*")&gt;0,COUNTIF(J2593,"*25*")&gt;0,COUNTIF(I2593,"26*")&gt;0,COUNTIF(J2593,"*26*")&gt;0,COUNTIF(I2593,"27*")&gt;0,COUNTIF(J2593,"*27*")&gt;0,COUNTIF(I2593,"28*")&gt;0,COUNTIF(J2593,"*28*")&gt;0,COUNTIF(I2593,"29*")&gt;0,COUNTIF(J2593,"*29*")&gt;0,COUNTIF(I2593,"30*")&gt;0,COUNTIF(J2593,"*30*")&gt;0,COUNTIF(I2593,"31*")&gt;0,COUNTIF(J2593,"*31*")&gt;0,COUNTIF(I2593,"32*")&gt;0,COUNTIF(J2593,"*32*")&gt;0,COUNTIF(I2593,"33*")&gt;0,COUNTIF(J2593,"*33*")&gt;0,COUNTIF(I2593,"41*")&gt;0,COUNTIF(J2593,"*41*")&gt;0,COUNTIF(I2593,"42*")&gt;0,COUNTIF(J2593,"*42*")&gt;0,COUNTIF(I2593,"43*")&gt;0,COUNTIF(J2593,"*43*")&gt;0,COUNTIF(I2593,"49*")&gt;0,COUNTIF(J2593,"*49*")&gt;0,COUNTIF(I2593,"52*")&gt;0,COUNTIF(J2593,"*52*")&gt;0,COUNTIF(I2593,"55*")&gt;0,COUNTIF(J2593,"*55*")&gt;0,COUNTIF(I2593,"56*")&gt;0,COUNTIF(J2593,"*56*")&gt;0,COUNTIF(I2593,"68*")&gt;0,COUNTIF(J2593,"*68*")&gt;0,COUNTIF(I2593,"78*")&gt;0,COUNTIF(J2593,"*78*")&gt;0,COUNTIF(I2593,"81*")&gt;0,COUNTIF(J2593,"*81*")&gt;0,COUNTIF(I2593,"82*")&gt;0,COUNTIF(J2593,"*82*")&gt;0,COUNTIF(I2593,"64*")&gt;0,COUNTIF(J2593,"*64*")&gt;0,COUNTIF(I2593,"65*")&gt;0,COUNTIF(J2593,"*65*")&gt;0,COUNTIF(I2593,"66*")&gt;0,COUNTIF(J2593,"*66*")&gt;0,COUNTIF(I2593,"61*")&gt;0,COUNTIF(J2593,"*61*")&gt;0,COUNTIF(I2593,"62*")&gt;0,COUNTIF(J2593,"*62*")&gt;0,COUNTIF(I2593,"63*")&gt;0,COUNTIF(J2593,"*63*")&gt;0,COUNTIF(I2593,"85*")&gt;0,COUNTIF(J2593,"*85*")&gt;0,COUNTIF(I2593,"86*")&gt;0,COUNTIF(J2593,"*86*")&gt;0),"Да","Нет"))</f>
        <v/>
      </c>
      <c r="M2593" s="13">
        <f>IF(OR(G2593="",L2593&lt;&gt;"Да"),"",IF(G2593&lt;=100,"До 100",IF(G2593&lt;=200,"До 200",IF(G2593&lt;=500,"До 500","Отдельное КП"))))</f>
        <v/>
      </c>
      <c r="N2593" s="15">
        <f>IF(OR(G2593="",L2593&lt;&gt;"Да"),"",IF(G2593&lt;=100,33600,IF(G2593&lt;=200,62400,IF(G2593&lt;=500,144000,""))))</f>
        <v/>
      </c>
      <c r="O2593" s="16">
        <f>IF(G2593="","",IF(G2593&lt;=15,"1–15",IF(G2593&lt;=30,"16–30",IF(G2593&lt;=50,"31–50",IF(G2593&lt;=100,"51–100",IF(G2593&lt;=150,"101–150",IF(G2593&lt;=200,"151–200",IF(G2593&lt;=500,"201–500","500+"))))))))</f>
        <v/>
      </c>
      <c r="P2593" s="16" t="inlineStr">
        <is>
          <t>Нет совпадения в предоставленной выгрузке ССЧР</t>
        </is>
      </c>
      <c r="Q2593" s="16" t="n"/>
      <c r="R2593" s="16">
        <f>HYPERLINK("https://checko.ru/search?query=3801001629","Чекко: проверить")</f>
        <v/>
      </c>
      <c r="S2593" t="n">
        <v>0</v>
      </c>
    </row>
    <row r="2594" ht="15" customHeight="1" s="24">
      <c r="A2594" s="13" t="n">
        <v>5000095262</v>
      </c>
      <c r="B2594" s="13" t="inlineStr">
        <is>
          <t>МКДОУ "Детский сад №49" г.о.Нальчик КБР</t>
        </is>
      </c>
      <c r="C2594" s="13" t="n">
        <v>725029776</v>
      </c>
      <c r="D2594" s="13" t="n"/>
      <c r="E2594" s="13" t="inlineStr">
        <is>
          <t>Не определён</t>
        </is>
      </c>
      <c r="F2594" s="13" t="inlineStr">
        <is>
          <t>725029776</t>
        </is>
      </c>
      <c r="G2594" s="14" t="n"/>
      <c r="H2594" s="14" t="n"/>
      <c r="I2594" s="14" t="n"/>
      <c r="J2594" s="14" t="n"/>
      <c r="K2594" s="13">
        <f>IF(G2594="","",IF(G2594&gt;=22,"Да","Нет"))</f>
        <v/>
      </c>
      <c r="L2594" s="13">
        <f>IF(OR(I2594="",J2594=""),"Не определено",IF(OR(COUNTIF(I2594,"45*")&gt;0,COUNTIF(J2594,"*45*")&gt;0,COUNTIF(I2594,"46*")&gt;0,COUNTIF(J2594,"*46*")&gt;0,COUNTIF(I2594,"47*")&gt;0,COUNTIF(J2594,"*47*")&gt;0,COUNTIF(I2594,"10*")&gt;0,COUNTIF(J2594,"*10*")&gt;0,COUNTIF(I2594,"11*")&gt;0,COUNTIF(J2594,"*11*")&gt;0,COUNTIF(I2594,"12*")&gt;0,COUNTIF(J2594,"*12*")&gt;0,COUNTIF(I2594,"13*")&gt;0,COUNTIF(J2594,"*13*")&gt;0,COUNTIF(I2594,"14*")&gt;0,COUNTIF(J2594,"*14*")&gt;0,COUNTIF(I2594,"15*")&gt;0,COUNTIF(J2594,"*15*")&gt;0,COUNTIF(I2594,"16*")&gt;0,COUNTIF(J2594,"*16*")&gt;0,COUNTIF(I2594,"17*")&gt;0,COUNTIF(J2594,"*17*")&gt;0,COUNTIF(I2594,"18*")&gt;0,COUNTIF(J2594,"*18*")&gt;0,COUNTIF(I2594,"19*")&gt;0,COUNTIF(J2594,"*19*")&gt;0,COUNTIF(I2594,"20*")&gt;0,COUNTIF(J2594,"*20*")&gt;0,COUNTIF(I2594,"21*")&gt;0,COUNTIF(J2594,"*21*")&gt;0,COUNTIF(I2594,"22*")&gt;0,COUNTIF(J2594,"*22*")&gt;0,COUNTIF(I2594,"23*")&gt;0,COUNTIF(J2594,"*23*")&gt;0,COUNTIF(I2594,"24*")&gt;0,COUNTIF(J2594,"*24*")&gt;0,COUNTIF(I2594,"25*")&gt;0,COUNTIF(J2594,"*25*")&gt;0,COUNTIF(I2594,"26*")&gt;0,COUNTIF(J2594,"*26*")&gt;0,COUNTIF(I2594,"27*")&gt;0,COUNTIF(J2594,"*27*")&gt;0,COUNTIF(I2594,"28*")&gt;0,COUNTIF(J2594,"*28*")&gt;0,COUNTIF(I2594,"29*")&gt;0,COUNTIF(J2594,"*29*")&gt;0,COUNTIF(I2594,"30*")&gt;0,COUNTIF(J2594,"*30*")&gt;0,COUNTIF(I2594,"31*")&gt;0,COUNTIF(J2594,"*31*")&gt;0,COUNTIF(I2594,"32*")&gt;0,COUNTIF(J2594,"*32*")&gt;0,COUNTIF(I2594,"33*")&gt;0,COUNTIF(J2594,"*33*")&gt;0,COUNTIF(I2594,"41*")&gt;0,COUNTIF(J2594,"*41*")&gt;0,COUNTIF(I2594,"42*")&gt;0,COUNTIF(J2594,"*42*")&gt;0,COUNTIF(I2594,"43*")&gt;0,COUNTIF(J2594,"*43*")&gt;0,COUNTIF(I2594,"49*")&gt;0,COUNTIF(J2594,"*49*")&gt;0,COUNTIF(I2594,"52*")&gt;0,COUNTIF(J2594,"*52*")&gt;0,COUNTIF(I2594,"55*")&gt;0,COUNTIF(J2594,"*55*")&gt;0,COUNTIF(I2594,"56*")&gt;0,COUNTIF(J2594,"*56*")&gt;0,COUNTIF(I2594,"68*")&gt;0,COUNTIF(J2594,"*68*")&gt;0,COUNTIF(I2594,"78*")&gt;0,COUNTIF(J2594,"*78*")&gt;0,COUNTIF(I2594,"81*")&gt;0,COUNTIF(J2594,"*81*")&gt;0,COUNTIF(I2594,"82*")&gt;0,COUNTIF(J2594,"*82*")&gt;0,COUNTIF(I2594,"64*")&gt;0,COUNTIF(J2594,"*64*")&gt;0,COUNTIF(I2594,"65*")&gt;0,COUNTIF(J2594,"*65*")&gt;0,COUNTIF(I2594,"66*")&gt;0,COUNTIF(J2594,"*66*")&gt;0,COUNTIF(I2594,"61*")&gt;0,COUNTIF(J2594,"*61*")&gt;0,COUNTIF(I2594,"62*")&gt;0,COUNTIF(J2594,"*62*")&gt;0,COUNTIF(I2594,"63*")&gt;0,COUNTIF(J2594,"*63*")&gt;0,COUNTIF(I2594,"85*")&gt;0,COUNTIF(J2594,"*85*")&gt;0,COUNTIF(I2594,"86*")&gt;0,COUNTIF(J2594,"*86*")&gt;0),"Да","Нет"))</f>
        <v/>
      </c>
      <c r="M2594" s="13">
        <f>IF(OR(G2594="",L2594&lt;&gt;"Да"),"",IF(G2594&lt;=100,"До 100",IF(G2594&lt;=200,"До 200",IF(G2594&lt;=500,"До 500","Отдельное КП"))))</f>
        <v/>
      </c>
      <c r="N2594" s="15">
        <f>IF(OR(G2594="",L2594&lt;&gt;"Да"),"",IF(G2594&lt;=100,33600,IF(G2594&lt;=200,62400,IF(G2594&lt;=500,144000,""))))</f>
        <v/>
      </c>
      <c r="O2594" s="16">
        <f>IF(G2594="","",IF(G2594&lt;=15,"1–15",IF(G2594&lt;=30,"16–30",IF(G2594&lt;=50,"31–50",IF(G2594&lt;=100,"51–100",IF(G2594&lt;=150,"101–150",IF(G2594&lt;=200,"151–200",IF(G2594&lt;=500,"201–500","500+"))))))))</f>
        <v/>
      </c>
      <c r="P2594" s="16" t="inlineStr">
        <is>
          <t>Нет совпадения в предоставленной выгрузке ССЧР</t>
        </is>
      </c>
      <c r="Q2594" s="16" t="n"/>
      <c r="R2594" s="16">
        <f>HYPERLINK("https://checko.ru/search?query=3801001629","Чекко: проверить")</f>
        <v/>
      </c>
      <c r="S2594" t="n">
        <v>0</v>
      </c>
    </row>
    <row r="2595" ht="15" customHeight="1" s="24">
      <c r="A2595" s="13" t="n">
        <v>5000095263</v>
      </c>
      <c r="B2595" s="13" t="inlineStr">
        <is>
          <t>МБДОУ "Детский сад №8" г.о.Нальчик КБР</t>
        </is>
      </c>
      <c r="C2595" s="13" t="n">
        <v>725031020</v>
      </c>
      <c r="D2595" s="13" t="n"/>
      <c r="E2595" s="13" t="inlineStr">
        <is>
          <t>Не определён</t>
        </is>
      </c>
      <c r="F2595" s="13" t="inlineStr">
        <is>
          <t>725031020</t>
        </is>
      </c>
      <c r="G2595" s="14" t="n"/>
      <c r="H2595" s="14" t="n"/>
      <c r="I2595" s="14" t="n"/>
      <c r="J2595" s="14" t="n"/>
      <c r="K2595" s="13">
        <f>IF(G2595="","",IF(G2595&gt;=22,"Да","Нет"))</f>
        <v/>
      </c>
      <c r="L2595" s="13">
        <f>IF(OR(I2595="",J2595=""),"Не определено",IF(OR(COUNTIF(I2595,"45*")&gt;0,COUNTIF(J2595,"*45*")&gt;0,COUNTIF(I2595,"46*")&gt;0,COUNTIF(J2595,"*46*")&gt;0,COUNTIF(I2595,"47*")&gt;0,COUNTIF(J2595,"*47*")&gt;0,COUNTIF(I2595,"10*")&gt;0,COUNTIF(J2595,"*10*")&gt;0,COUNTIF(I2595,"11*")&gt;0,COUNTIF(J2595,"*11*")&gt;0,COUNTIF(I2595,"12*")&gt;0,COUNTIF(J2595,"*12*")&gt;0,COUNTIF(I2595,"13*")&gt;0,COUNTIF(J2595,"*13*")&gt;0,COUNTIF(I2595,"14*")&gt;0,COUNTIF(J2595,"*14*")&gt;0,COUNTIF(I2595,"15*")&gt;0,COUNTIF(J2595,"*15*")&gt;0,COUNTIF(I2595,"16*")&gt;0,COUNTIF(J2595,"*16*")&gt;0,COUNTIF(I2595,"17*")&gt;0,COUNTIF(J2595,"*17*")&gt;0,COUNTIF(I2595,"18*")&gt;0,COUNTIF(J2595,"*18*")&gt;0,COUNTIF(I2595,"19*")&gt;0,COUNTIF(J2595,"*19*")&gt;0,COUNTIF(I2595,"20*")&gt;0,COUNTIF(J2595,"*20*")&gt;0,COUNTIF(I2595,"21*")&gt;0,COUNTIF(J2595,"*21*")&gt;0,COUNTIF(I2595,"22*")&gt;0,COUNTIF(J2595,"*22*")&gt;0,COUNTIF(I2595,"23*")&gt;0,COUNTIF(J2595,"*23*")&gt;0,COUNTIF(I2595,"24*")&gt;0,COUNTIF(J2595,"*24*")&gt;0,COUNTIF(I2595,"25*")&gt;0,COUNTIF(J2595,"*25*")&gt;0,COUNTIF(I2595,"26*")&gt;0,COUNTIF(J2595,"*26*")&gt;0,COUNTIF(I2595,"27*")&gt;0,COUNTIF(J2595,"*27*")&gt;0,COUNTIF(I2595,"28*")&gt;0,COUNTIF(J2595,"*28*")&gt;0,COUNTIF(I2595,"29*")&gt;0,COUNTIF(J2595,"*29*")&gt;0,COUNTIF(I2595,"30*")&gt;0,COUNTIF(J2595,"*30*")&gt;0,COUNTIF(I2595,"31*")&gt;0,COUNTIF(J2595,"*31*")&gt;0,COUNTIF(I2595,"32*")&gt;0,COUNTIF(J2595,"*32*")&gt;0,COUNTIF(I2595,"33*")&gt;0,COUNTIF(J2595,"*33*")&gt;0,COUNTIF(I2595,"41*")&gt;0,COUNTIF(J2595,"*41*")&gt;0,COUNTIF(I2595,"42*")&gt;0,COUNTIF(J2595,"*42*")&gt;0,COUNTIF(I2595,"43*")&gt;0,COUNTIF(J2595,"*43*")&gt;0,COUNTIF(I2595,"49*")&gt;0,COUNTIF(J2595,"*49*")&gt;0,COUNTIF(I2595,"52*")&gt;0,COUNTIF(J2595,"*52*")&gt;0,COUNTIF(I2595,"55*")&gt;0,COUNTIF(J2595,"*55*")&gt;0,COUNTIF(I2595,"56*")&gt;0,COUNTIF(J2595,"*56*")&gt;0,COUNTIF(I2595,"68*")&gt;0,COUNTIF(J2595,"*68*")&gt;0,COUNTIF(I2595,"78*")&gt;0,COUNTIF(J2595,"*78*")&gt;0,COUNTIF(I2595,"81*")&gt;0,COUNTIF(J2595,"*81*")&gt;0,COUNTIF(I2595,"82*")&gt;0,COUNTIF(J2595,"*82*")&gt;0,COUNTIF(I2595,"64*")&gt;0,COUNTIF(J2595,"*64*")&gt;0,COUNTIF(I2595,"65*")&gt;0,COUNTIF(J2595,"*65*")&gt;0,COUNTIF(I2595,"66*")&gt;0,COUNTIF(J2595,"*66*")&gt;0,COUNTIF(I2595,"61*")&gt;0,COUNTIF(J2595,"*61*")&gt;0,COUNTIF(I2595,"62*")&gt;0,COUNTIF(J2595,"*62*")&gt;0,COUNTIF(I2595,"63*")&gt;0,COUNTIF(J2595,"*63*")&gt;0,COUNTIF(I2595,"85*")&gt;0,COUNTIF(J2595,"*85*")&gt;0,COUNTIF(I2595,"86*")&gt;0,COUNTIF(J2595,"*86*")&gt;0),"Да","Нет"))</f>
        <v/>
      </c>
      <c r="M2595" s="13">
        <f>IF(OR(G2595="",L2595&lt;&gt;"Да"),"",IF(G2595&lt;=100,"До 100",IF(G2595&lt;=200,"До 200",IF(G2595&lt;=500,"До 500","Отдельное КП"))))</f>
        <v/>
      </c>
      <c r="N2595" s="15">
        <f>IF(OR(G2595="",L2595&lt;&gt;"Да"),"",IF(G2595&lt;=100,33600,IF(G2595&lt;=200,62400,IF(G2595&lt;=500,144000,""))))</f>
        <v/>
      </c>
      <c r="O2595" s="16">
        <f>IF(G2595="","",IF(G2595&lt;=15,"1–15",IF(G2595&lt;=30,"16–30",IF(G2595&lt;=50,"31–50",IF(G2595&lt;=100,"51–100",IF(G2595&lt;=150,"101–150",IF(G2595&lt;=200,"151–200",IF(G2595&lt;=500,"201–500","500+"))))))))</f>
        <v/>
      </c>
      <c r="P2595" s="16" t="inlineStr">
        <is>
          <t>Нет совпадения в предоставленной выгрузке ССЧР</t>
        </is>
      </c>
      <c r="Q2595" s="16" t="n"/>
      <c r="R2595" s="16">
        <f>HYPERLINK("https://checko.ru/search?query=3801001629","Чекко: проверить")</f>
        <v/>
      </c>
      <c r="S2595" t="n">
        <v>0</v>
      </c>
    </row>
    <row r="2596" ht="15" customHeight="1" s="24">
      <c r="A2596" s="13" t="n">
        <v>5000095264</v>
      </c>
      <c r="B2596" s="13" t="inlineStr">
        <is>
          <t>МКУ "ДРГ", МКУ"Департамент развития города"</t>
        </is>
      </c>
      <c r="C2596" s="13" t="n">
        <v>725031045</v>
      </c>
      <c r="D2596" s="13" t="n"/>
      <c r="E2596" s="13" t="inlineStr">
        <is>
          <t>Не определён</t>
        </is>
      </c>
      <c r="F2596" s="13" t="inlineStr">
        <is>
          <t>725031045</t>
        </is>
      </c>
      <c r="G2596" s="14" t="n"/>
      <c r="H2596" s="14" t="n"/>
      <c r="I2596" s="14" t="n"/>
      <c r="J2596" s="14" t="n"/>
      <c r="K2596" s="13">
        <f>IF(G2596="","",IF(G2596&gt;=22,"Да","Нет"))</f>
        <v/>
      </c>
      <c r="L2596" s="13">
        <f>IF(OR(I2596="",J2596=""),"Не определено",IF(OR(COUNTIF(I2596,"45*")&gt;0,COUNTIF(J2596,"*45*")&gt;0,COUNTIF(I2596,"46*")&gt;0,COUNTIF(J2596,"*46*")&gt;0,COUNTIF(I2596,"47*")&gt;0,COUNTIF(J2596,"*47*")&gt;0,COUNTIF(I2596,"10*")&gt;0,COUNTIF(J2596,"*10*")&gt;0,COUNTIF(I2596,"11*")&gt;0,COUNTIF(J2596,"*11*")&gt;0,COUNTIF(I2596,"12*")&gt;0,COUNTIF(J2596,"*12*")&gt;0,COUNTIF(I2596,"13*")&gt;0,COUNTIF(J2596,"*13*")&gt;0,COUNTIF(I2596,"14*")&gt;0,COUNTIF(J2596,"*14*")&gt;0,COUNTIF(I2596,"15*")&gt;0,COUNTIF(J2596,"*15*")&gt;0,COUNTIF(I2596,"16*")&gt;0,COUNTIF(J2596,"*16*")&gt;0,COUNTIF(I2596,"17*")&gt;0,COUNTIF(J2596,"*17*")&gt;0,COUNTIF(I2596,"18*")&gt;0,COUNTIF(J2596,"*18*")&gt;0,COUNTIF(I2596,"19*")&gt;0,COUNTIF(J2596,"*19*")&gt;0,COUNTIF(I2596,"20*")&gt;0,COUNTIF(J2596,"*20*")&gt;0,COUNTIF(I2596,"21*")&gt;0,COUNTIF(J2596,"*21*")&gt;0,COUNTIF(I2596,"22*")&gt;0,COUNTIF(J2596,"*22*")&gt;0,COUNTIF(I2596,"23*")&gt;0,COUNTIF(J2596,"*23*")&gt;0,COUNTIF(I2596,"24*")&gt;0,COUNTIF(J2596,"*24*")&gt;0,COUNTIF(I2596,"25*")&gt;0,COUNTIF(J2596,"*25*")&gt;0,COUNTIF(I2596,"26*")&gt;0,COUNTIF(J2596,"*26*")&gt;0,COUNTIF(I2596,"27*")&gt;0,COUNTIF(J2596,"*27*")&gt;0,COUNTIF(I2596,"28*")&gt;0,COUNTIF(J2596,"*28*")&gt;0,COUNTIF(I2596,"29*")&gt;0,COUNTIF(J2596,"*29*")&gt;0,COUNTIF(I2596,"30*")&gt;0,COUNTIF(J2596,"*30*")&gt;0,COUNTIF(I2596,"31*")&gt;0,COUNTIF(J2596,"*31*")&gt;0,COUNTIF(I2596,"32*")&gt;0,COUNTIF(J2596,"*32*")&gt;0,COUNTIF(I2596,"33*")&gt;0,COUNTIF(J2596,"*33*")&gt;0,COUNTIF(I2596,"41*")&gt;0,COUNTIF(J2596,"*41*")&gt;0,COUNTIF(I2596,"42*")&gt;0,COUNTIF(J2596,"*42*")&gt;0,COUNTIF(I2596,"43*")&gt;0,COUNTIF(J2596,"*43*")&gt;0,COUNTIF(I2596,"49*")&gt;0,COUNTIF(J2596,"*49*")&gt;0,COUNTIF(I2596,"52*")&gt;0,COUNTIF(J2596,"*52*")&gt;0,COUNTIF(I2596,"55*")&gt;0,COUNTIF(J2596,"*55*")&gt;0,COUNTIF(I2596,"56*")&gt;0,COUNTIF(J2596,"*56*")&gt;0,COUNTIF(I2596,"68*")&gt;0,COUNTIF(J2596,"*68*")&gt;0,COUNTIF(I2596,"78*")&gt;0,COUNTIF(J2596,"*78*")&gt;0,COUNTIF(I2596,"81*")&gt;0,COUNTIF(J2596,"*81*")&gt;0,COUNTIF(I2596,"82*")&gt;0,COUNTIF(J2596,"*82*")&gt;0,COUNTIF(I2596,"64*")&gt;0,COUNTIF(J2596,"*64*")&gt;0,COUNTIF(I2596,"65*")&gt;0,COUNTIF(J2596,"*65*")&gt;0,COUNTIF(I2596,"66*")&gt;0,COUNTIF(J2596,"*66*")&gt;0,COUNTIF(I2596,"61*")&gt;0,COUNTIF(J2596,"*61*")&gt;0,COUNTIF(I2596,"62*")&gt;0,COUNTIF(J2596,"*62*")&gt;0,COUNTIF(I2596,"63*")&gt;0,COUNTIF(J2596,"*63*")&gt;0,COUNTIF(I2596,"85*")&gt;0,COUNTIF(J2596,"*85*")&gt;0,COUNTIF(I2596,"86*")&gt;0,COUNTIF(J2596,"*86*")&gt;0),"Да","Нет"))</f>
        <v/>
      </c>
      <c r="M2596" s="13">
        <f>IF(OR(G2596="",L2596&lt;&gt;"Да"),"",IF(G2596&lt;=100,"До 100",IF(G2596&lt;=200,"До 200",IF(G2596&lt;=500,"До 500","Отдельное КП"))))</f>
        <v/>
      </c>
      <c r="N2596" s="15">
        <f>IF(OR(G2596="",L2596&lt;&gt;"Да"),"",IF(G2596&lt;=100,33600,IF(G2596&lt;=200,62400,IF(G2596&lt;=500,144000,""))))</f>
        <v/>
      </c>
      <c r="O2596" s="16">
        <f>IF(G2596="","",IF(G2596&lt;=15,"1–15",IF(G2596&lt;=30,"16–30",IF(G2596&lt;=50,"31–50",IF(G2596&lt;=100,"51–100",IF(G2596&lt;=150,"101–150",IF(G2596&lt;=200,"151–200",IF(G2596&lt;=500,"201–500","500+"))))))))</f>
        <v/>
      </c>
      <c r="P2596" s="16" t="inlineStr">
        <is>
          <t>Нет совпадения в предоставленной выгрузке ССЧР</t>
        </is>
      </c>
      <c r="Q2596" s="16" t="n"/>
      <c r="R2596" s="16">
        <f>HYPERLINK("https://checko.ru/search?query=3801001629","Чекко: проверить")</f>
        <v/>
      </c>
      <c r="S2596" t="n">
        <v>0</v>
      </c>
    </row>
    <row r="2597" ht="15" customHeight="1" s="24">
      <c r="A2597" s="13" t="n">
        <v>5000095265</v>
      </c>
      <c r="B2597" s="13" t="inlineStr">
        <is>
          <t>МКУ "ЦБС" г.о. Нальчик</t>
        </is>
      </c>
      <c r="C2597" s="13" t="n">
        <v>725031101</v>
      </c>
      <c r="D2597" s="13" t="n"/>
      <c r="E2597" s="13" t="inlineStr">
        <is>
          <t>Не определён</t>
        </is>
      </c>
      <c r="F2597" s="13" t="inlineStr">
        <is>
          <t>725031101</t>
        </is>
      </c>
      <c r="G2597" s="14" t="n"/>
      <c r="H2597" s="14" t="n"/>
      <c r="I2597" s="14" t="n"/>
      <c r="J2597" s="14" t="n"/>
      <c r="K2597" s="13">
        <f>IF(G2597="","",IF(G2597&gt;=22,"Да","Нет"))</f>
        <v/>
      </c>
      <c r="L2597" s="13">
        <f>IF(OR(I2597="",J2597=""),"Не определено",IF(OR(COUNTIF(I2597,"45*")&gt;0,COUNTIF(J2597,"*45*")&gt;0,COUNTIF(I2597,"46*")&gt;0,COUNTIF(J2597,"*46*")&gt;0,COUNTIF(I2597,"47*")&gt;0,COUNTIF(J2597,"*47*")&gt;0,COUNTIF(I2597,"10*")&gt;0,COUNTIF(J2597,"*10*")&gt;0,COUNTIF(I2597,"11*")&gt;0,COUNTIF(J2597,"*11*")&gt;0,COUNTIF(I2597,"12*")&gt;0,COUNTIF(J2597,"*12*")&gt;0,COUNTIF(I2597,"13*")&gt;0,COUNTIF(J2597,"*13*")&gt;0,COUNTIF(I2597,"14*")&gt;0,COUNTIF(J2597,"*14*")&gt;0,COUNTIF(I2597,"15*")&gt;0,COUNTIF(J2597,"*15*")&gt;0,COUNTIF(I2597,"16*")&gt;0,COUNTIF(J2597,"*16*")&gt;0,COUNTIF(I2597,"17*")&gt;0,COUNTIF(J2597,"*17*")&gt;0,COUNTIF(I2597,"18*")&gt;0,COUNTIF(J2597,"*18*")&gt;0,COUNTIF(I2597,"19*")&gt;0,COUNTIF(J2597,"*19*")&gt;0,COUNTIF(I2597,"20*")&gt;0,COUNTIF(J2597,"*20*")&gt;0,COUNTIF(I2597,"21*")&gt;0,COUNTIF(J2597,"*21*")&gt;0,COUNTIF(I2597,"22*")&gt;0,COUNTIF(J2597,"*22*")&gt;0,COUNTIF(I2597,"23*")&gt;0,COUNTIF(J2597,"*23*")&gt;0,COUNTIF(I2597,"24*")&gt;0,COUNTIF(J2597,"*24*")&gt;0,COUNTIF(I2597,"25*")&gt;0,COUNTIF(J2597,"*25*")&gt;0,COUNTIF(I2597,"26*")&gt;0,COUNTIF(J2597,"*26*")&gt;0,COUNTIF(I2597,"27*")&gt;0,COUNTIF(J2597,"*27*")&gt;0,COUNTIF(I2597,"28*")&gt;0,COUNTIF(J2597,"*28*")&gt;0,COUNTIF(I2597,"29*")&gt;0,COUNTIF(J2597,"*29*")&gt;0,COUNTIF(I2597,"30*")&gt;0,COUNTIF(J2597,"*30*")&gt;0,COUNTIF(I2597,"31*")&gt;0,COUNTIF(J2597,"*31*")&gt;0,COUNTIF(I2597,"32*")&gt;0,COUNTIF(J2597,"*32*")&gt;0,COUNTIF(I2597,"33*")&gt;0,COUNTIF(J2597,"*33*")&gt;0,COUNTIF(I2597,"41*")&gt;0,COUNTIF(J2597,"*41*")&gt;0,COUNTIF(I2597,"42*")&gt;0,COUNTIF(J2597,"*42*")&gt;0,COUNTIF(I2597,"43*")&gt;0,COUNTIF(J2597,"*43*")&gt;0,COUNTIF(I2597,"49*")&gt;0,COUNTIF(J2597,"*49*")&gt;0,COUNTIF(I2597,"52*")&gt;0,COUNTIF(J2597,"*52*")&gt;0,COUNTIF(I2597,"55*")&gt;0,COUNTIF(J2597,"*55*")&gt;0,COUNTIF(I2597,"56*")&gt;0,COUNTIF(J2597,"*56*")&gt;0,COUNTIF(I2597,"68*")&gt;0,COUNTIF(J2597,"*68*")&gt;0,COUNTIF(I2597,"78*")&gt;0,COUNTIF(J2597,"*78*")&gt;0,COUNTIF(I2597,"81*")&gt;0,COUNTIF(J2597,"*81*")&gt;0,COUNTIF(I2597,"82*")&gt;0,COUNTIF(J2597,"*82*")&gt;0,COUNTIF(I2597,"64*")&gt;0,COUNTIF(J2597,"*64*")&gt;0,COUNTIF(I2597,"65*")&gt;0,COUNTIF(J2597,"*65*")&gt;0,COUNTIF(I2597,"66*")&gt;0,COUNTIF(J2597,"*66*")&gt;0,COUNTIF(I2597,"61*")&gt;0,COUNTIF(J2597,"*61*")&gt;0,COUNTIF(I2597,"62*")&gt;0,COUNTIF(J2597,"*62*")&gt;0,COUNTIF(I2597,"63*")&gt;0,COUNTIF(J2597,"*63*")&gt;0,COUNTIF(I2597,"85*")&gt;0,COUNTIF(J2597,"*85*")&gt;0,COUNTIF(I2597,"86*")&gt;0,COUNTIF(J2597,"*86*")&gt;0),"Да","Нет"))</f>
        <v/>
      </c>
      <c r="M2597" s="13">
        <f>IF(OR(G2597="",L2597&lt;&gt;"Да"),"",IF(G2597&lt;=100,"До 100",IF(G2597&lt;=200,"До 200",IF(G2597&lt;=500,"До 500","Отдельное КП"))))</f>
        <v/>
      </c>
      <c r="N2597" s="15">
        <f>IF(OR(G2597="",L2597&lt;&gt;"Да"),"",IF(G2597&lt;=100,33600,IF(G2597&lt;=200,62400,IF(G2597&lt;=500,144000,""))))</f>
        <v/>
      </c>
      <c r="O2597" s="16">
        <f>IF(G2597="","",IF(G2597&lt;=15,"1–15",IF(G2597&lt;=30,"16–30",IF(G2597&lt;=50,"31–50",IF(G2597&lt;=100,"51–100",IF(G2597&lt;=150,"101–150",IF(G2597&lt;=200,"151–200",IF(G2597&lt;=500,"201–500","500+"))))))))</f>
        <v/>
      </c>
      <c r="P2597" s="16" t="inlineStr">
        <is>
          <t>Нет совпадения в предоставленной выгрузке ССЧР</t>
        </is>
      </c>
      <c r="Q2597" s="16" t="n"/>
      <c r="R2597" s="16">
        <f>HYPERLINK("https://checko.ru/search?query=3801001629","Чекко: проверить")</f>
        <v/>
      </c>
      <c r="S2597" t="n">
        <v>0</v>
      </c>
    </row>
    <row r="2598" ht="15" customHeight="1" s="24">
      <c r="A2598" s="13" t="n">
        <v>5000095266</v>
      </c>
      <c r="B2598" s="13" t="inlineStr">
        <is>
          <t>МКДОУ "Детский сад № 22"  г.о.Нальчик КБР</t>
        </is>
      </c>
      <c r="C2598" s="13" t="n">
        <v>725031503</v>
      </c>
      <c r="D2598" s="13" t="n"/>
      <c r="E2598" s="13" t="inlineStr">
        <is>
          <t>Не определён</t>
        </is>
      </c>
      <c r="F2598" s="13" t="inlineStr">
        <is>
          <t>725031503</t>
        </is>
      </c>
      <c r="G2598" s="14" t="n"/>
      <c r="H2598" s="14" t="n"/>
      <c r="I2598" s="14" t="n"/>
      <c r="J2598" s="14" t="n"/>
      <c r="K2598" s="13">
        <f>IF(G2598="","",IF(G2598&gt;=22,"Да","Нет"))</f>
        <v/>
      </c>
      <c r="L2598" s="13">
        <f>IF(OR(I2598="",J2598=""),"Не определено",IF(OR(COUNTIF(I2598,"45*")&gt;0,COUNTIF(J2598,"*45*")&gt;0,COUNTIF(I2598,"46*")&gt;0,COUNTIF(J2598,"*46*")&gt;0,COUNTIF(I2598,"47*")&gt;0,COUNTIF(J2598,"*47*")&gt;0,COUNTIF(I2598,"10*")&gt;0,COUNTIF(J2598,"*10*")&gt;0,COUNTIF(I2598,"11*")&gt;0,COUNTIF(J2598,"*11*")&gt;0,COUNTIF(I2598,"12*")&gt;0,COUNTIF(J2598,"*12*")&gt;0,COUNTIF(I2598,"13*")&gt;0,COUNTIF(J2598,"*13*")&gt;0,COUNTIF(I2598,"14*")&gt;0,COUNTIF(J2598,"*14*")&gt;0,COUNTIF(I2598,"15*")&gt;0,COUNTIF(J2598,"*15*")&gt;0,COUNTIF(I2598,"16*")&gt;0,COUNTIF(J2598,"*16*")&gt;0,COUNTIF(I2598,"17*")&gt;0,COUNTIF(J2598,"*17*")&gt;0,COUNTIF(I2598,"18*")&gt;0,COUNTIF(J2598,"*18*")&gt;0,COUNTIF(I2598,"19*")&gt;0,COUNTIF(J2598,"*19*")&gt;0,COUNTIF(I2598,"20*")&gt;0,COUNTIF(J2598,"*20*")&gt;0,COUNTIF(I2598,"21*")&gt;0,COUNTIF(J2598,"*21*")&gt;0,COUNTIF(I2598,"22*")&gt;0,COUNTIF(J2598,"*22*")&gt;0,COUNTIF(I2598,"23*")&gt;0,COUNTIF(J2598,"*23*")&gt;0,COUNTIF(I2598,"24*")&gt;0,COUNTIF(J2598,"*24*")&gt;0,COUNTIF(I2598,"25*")&gt;0,COUNTIF(J2598,"*25*")&gt;0,COUNTIF(I2598,"26*")&gt;0,COUNTIF(J2598,"*26*")&gt;0,COUNTIF(I2598,"27*")&gt;0,COUNTIF(J2598,"*27*")&gt;0,COUNTIF(I2598,"28*")&gt;0,COUNTIF(J2598,"*28*")&gt;0,COUNTIF(I2598,"29*")&gt;0,COUNTIF(J2598,"*29*")&gt;0,COUNTIF(I2598,"30*")&gt;0,COUNTIF(J2598,"*30*")&gt;0,COUNTIF(I2598,"31*")&gt;0,COUNTIF(J2598,"*31*")&gt;0,COUNTIF(I2598,"32*")&gt;0,COUNTIF(J2598,"*32*")&gt;0,COUNTIF(I2598,"33*")&gt;0,COUNTIF(J2598,"*33*")&gt;0,COUNTIF(I2598,"41*")&gt;0,COUNTIF(J2598,"*41*")&gt;0,COUNTIF(I2598,"42*")&gt;0,COUNTIF(J2598,"*42*")&gt;0,COUNTIF(I2598,"43*")&gt;0,COUNTIF(J2598,"*43*")&gt;0,COUNTIF(I2598,"49*")&gt;0,COUNTIF(J2598,"*49*")&gt;0,COUNTIF(I2598,"52*")&gt;0,COUNTIF(J2598,"*52*")&gt;0,COUNTIF(I2598,"55*")&gt;0,COUNTIF(J2598,"*55*")&gt;0,COUNTIF(I2598,"56*")&gt;0,COUNTIF(J2598,"*56*")&gt;0,COUNTIF(I2598,"68*")&gt;0,COUNTIF(J2598,"*68*")&gt;0,COUNTIF(I2598,"78*")&gt;0,COUNTIF(J2598,"*78*")&gt;0,COUNTIF(I2598,"81*")&gt;0,COUNTIF(J2598,"*81*")&gt;0,COUNTIF(I2598,"82*")&gt;0,COUNTIF(J2598,"*82*")&gt;0,COUNTIF(I2598,"64*")&gt;0,COUNTIF(J2598,"*64*")&gt;0,COUNTIF(I2598,"65*")&gt;0,COUNTIF(J2598,"*65*")&gt;0,COUNTIF(I2598,"66*")&gt;0,COUNTIF(J2598,"*66*")&gt;0,COUNTIF(I2598,"61*")&gt;0,COUNTIF(J2598,"*61*")&gt;0,COUNTIF(I2598,"62*")&gt;0,COUNTIF(J2598,"*62*")&gt;0,COUNTIF(I2598,"63*")&gt;0,COUNTIF(J2598,"*63*")&gt;0,COUNTIF(I2598,"85*")&gt;0,COUNTIF(J2598,"*85*")&gt;0,COUNTIF(I2598,"86*")&gt;0,COUNTIF(J2598,"*86*")&gt;0),"Да","Нет"))</f>
        <v/>
      </c>
      <c r="M2598" s="13">
        <f>IF(OR(G2598="",L2598&lt;&gt;"Да"),"",IF(G2598&lt;=100,"До 100",IF(G2598&lt;=200,"До 200",IF(G2598&lt;=500,"До 500","Отдельное КП"))))</f>
        <v/>
      </c>
      <c r="N2598" s="15">
        <f>IF(OR(G2598="",L2598&lt;&gt;"Да"),"",IF(G2598&lt;=100,33600,IF(G2598&lt;=200,62400,IF(G2598&lt;=500,144000,""))))</f>
        <v/>
      </c>
      <c r="O2598" s="16">
        <f>IF(G2598="","",IF(G2598&lt;=15,"1–15",IF(G2598&lt;=30,"16–30",IF(G2598&lt;=50,"31–50",IF(G2598&lt;=100,"51–100",IF(G2598&lt;=150,"101–150",IF(G2598&lt;=200,"151–200",IF(G2598&lt;=500,"201–500","500+"))))))))</f>
        <v/>
      </c>
      <c r="P2598" s="16" t="inlineStr">
        <is>
          <t>Нет совпадения в предоставленной выгрузке ССЧР</t>
        </is>
      </c>
      <c r="Q2598" s="16" t="n"/>
      <c r="R2598" s="16">
        <f>HYPERLINK("https://checko.ru/search?query=3801001629","Чекко: проверить")</f>
        <v/>
      </c>
      <c r="S2598" t="n">
        <v>0</v>
      </c>
    </row>
    <row r="2599" ht="15" customHeight="1" s="24">
      <c r="A2599" s="13" t="n">
        <v>5000095267</v>
      </c>
      <c r="B2599" s="13" t="inlineStr">
        <is>
          <t>МКДОУ "Детский сад № 14" г.о.Нальчик КБР</t>
        </is>
      </c>
      <c r="C2599" s="13" t="n">
        <v>725031510</v>
      </c>
      <c r="D2599" s="13" t="n"/>
      <c r="E2599" s="13" t="inlineStr">
        <is>
          <t>Не определён</t>
        </is>
      </c>
      <c r="F2599" s="13" t="inlineStr">
        <is>
          <t>725031510</t>
        </is>
      </c>
      <c r="G2599" s="14" t="n"/>
      <c r="H2599" s="14" t="n"/>
      <c r="I2599" s="14" t="n"/>
      <c r="J2599" s="14" t="n"/>
      <c r="K2599" s="13">
        <f>IF(G2599="","",IF(G2599&gt;=22,"Да","Нет"))</f>
        <v/>
      </c>
      <c r="L2599" s="13">
        <f>IF(OR(I2599="",J2599=""),"Не определено",IF(OR(COUNTIF(I2599,"45*")&gt;0,COUNTIF(J2599,"*45*")&gt;0,COUNTIF(I2599,"46*")&gt;0,COUNTIF(J2599,"*46*")&gt;0,COUNTIF(I2599,"47*")&gt;0,COUNTIF(J2599,"*47*")&gt;0,COUNTIF(I2599,"10*")&gt;0,COUNTIF(J2599,"*10*")&gt;0,COUNTIF(I2599,"11*")&gt;0,COUNTIF(J2599,"*11*")&gt;0,COUNTIF(I2599,"12*")&gt;0,COUNTIF(J2599,"*12*")&gt;0,COUNTIF(I2599,"13*")&gt;0,COUNTIF(J2599,"*13*")&gt;0,COUNTIF(I2599,"14*")&gt;0,COUNTIF(J2599,"*14*")&gt;0,COUNTIF(I2599,"15*")&gt;0,COUNTIF(J2599,"*15*")&gt;0,COUNTIF(I2599,"16*")&gt;0,COUNTIF(J2599,"*16*")&gt;0,COUNTIF(I2599,"17*")&gt;0,COUNTIF(J2599,"*17*")&gt;0,COUNTIF(I2599,"18*")&gt;0,COUNTIF(J2599,"*18*")&gt;0,COUNTIF(I2599,"19*")&gt;0,COUNTIF(J2599,"*19*")&gt;0,COUNTIF(I2599,"20*")&gt;0,COUNTIF(J2599,"*20*")&gt;0,COUNTIF(I2599,"21*")&gt;0,COUNTIF(J2599,"*21*")&gt;0,COUNTIF(I2599,"22*")&gt;0,COUNTIF(J2599,"*22*")&gt;0,COUNTIF(I2599,"23*")&gt;0,COUNTIF(J2599,"*23*")&gt;0,COUNTIF(I2599,"24*")&gt;0,COUNTIF(J2599,"*24*")&gt;0,COUNTIF(I2599,"25*")&gt;0,COUNTIF(J2599,"*25*")&gt;0,COUNTIF(I2599,"26*")&gt;0,COUNTIF(J2599,"*26*")&gt;0,COUNTIF(I2599,"27*")&gt;0,COUNTIF(J2599,"*27*")&gt;0,COUNTIF(I2599,"28*")&gt;0,COUNTIF(J2599,"*28*")&gt;0,COUNTIF(I2599,"29*")&gt;0,COUNTIF(J2599,"*29*")&gt;0,COUNTIF(I2599,"30*")&gt;0,COUNTIF(J2599,"*30*")&gt;0,COUNTIF(I2599,"31*")&gt;0,COUNTIF(J2599,"*31*")&gt;0,COUNTIF(I2599,"32*")&gt;0,COUNTIF(J2599,"*32*")&gt;0,COUNTIF(I2599,"33*")&gt;0,COUNTIF(J2599,"*33*")&gt;0,COUNTIF(I2599,"41*")&gt;0,COUNTIF(J2599,"*41*")&gt;0,COUNTIF(I2599,"42*")&gt;0,COUNTIF(J2599,"*42*")&gt;0,COUNTIF(I2599,"43*")&gt;0,COUNTIF(J2599,"*43*")&gt;0,COUNTIF(I2599,"49*")&gt;0,COUNTIF(J2599,"*49*")&gt;0,COUNTIF(I2599,"52*")&gt;0,COUNTIF(J2599,"*52*")&gt;0,COUNTIF(I2599,"55*")&gt;0,COUNTIF(J2599,"*55*")&gt;0,COUNTIF(I2599,"56*")&gt;0,COUNTIF(J2599,"*56*")&gt;0,COUNTIF(I2599,"68*")&gt;0,COUNTIF(J2599,"*68*")&gt;0,COUNTIF(I2599,"78*")&gt;0,COUNTIF(J2599,"*78*")&gt;0,COUNTIF(I2599,"81*")&gt;0,COUNTIF(J2599,"*81*")&gt;0,COUNTIF(I2599,"82*")&gt;0,COUNTIF(J2599,"*82*")&gt;0,COUNTIF(I2599,"64*")&gt;0,COUNTIF(J2599,"*64*")&gt;0,COUNTIF(I2599,"65*")&gt;0,COUNTIF(J2599,"*65*")&gt;0,COUNTIF(I2599,"66*")&gt;0,COUNTIF(J2599,"*66*")&gt;0,COUNTIF(I2599,"61*")&gt;0,COUNTIF(J2599,"*61*")&gt;0,COUNTIF(I2599,"62*")&gt;0,COUNTIF(J2599,"*62*")&gt;0,COUNTIF(I2599,"63*")&gt;0,COUNTIF(J2599,"*63*")&gt;0,COUNTIF(I2599,"85*")&gt;0,COUNTIF(J2599,"*85*")&gt;0,COUNTIF(I2599,"86*")&gt;0,COUNTIF(J2599,"*86*")&gt;0),"Да","Нет"))</f>
        <v/>
      </c>
      <c r="M2599" s="13">
        <f>IF(OR(G2599="",L2599&lt;&gt;"Да"),"",IF(G2599&lt;=100,"До 100",IF(G2599&lt;=200,"До 200",IF(G2599&lt;=500,"До 500","Отдельное КП"))))</f>
        <v/>
      </c>
      <c r="N2599" s="15">
        <f>IF(OR(G2599="",L2599&lt;&gt;"Да"),"",IF(G2599&lt;=100,33600,IF(G2599&lt;=200,62400,IF(G2599&lt;=500,144000,""))))</f>
        <v/>
      </c>
      <c r="O2599" s="16">
        <f>IF(G2599="","",IF(G2599&lt;=15,"1–15",IF(G2599&lt;=30,"16–30",IF(G2599&lt;=50,"31–50",IF(G2599&lt;=100,"51–100",IF(G2599&lt;=150,"101–150",IF(G2599&lt;=200,"151–200",IF(G2599&lt;=500,"201–500","500+"))))))))</f>
        <v/>
      </c>
      <c r="P2599" s="16" t="inlineStr">
        <is>
          <t>Нет совпадения в предоставленной выгрузке ССЧР</t>
        </is>
      </c>
      <c r="Q2599" s="16" t="n"/>
      <c r="R2599" s="16">
        <f>HYPERLINK("https://checko.ru/search?query=3801001629","Чекко: проверить")</f>
        <v/>
      </c>
      <c r="S2599" t="n">
        <v>0</v>
      </c>
    </row>
    <row r="2600" ht="15" customHeight="1" s="24">
      <c r="A2600" s="13" t="n">
        <v>5000095268</v>
      </c>
      <c r="B2600" s="13" t="inlineStr">
        <is>
          <t>МКДОУ "Детский сад №15" г.о.Нальчик КБР</t>
        </is>
      </c>
      <c r="C2600" s="13" t="n">
        <v>725031535</v>
      </c>
      <c r="D2600" s="13" t="n"/>
      <c r="E2600" s="13" t="inlineStr">
        <is>
          <t>Не определён</t>
        </is>
      </c>
      <c r="F2600" s="13" t="inlineStr">
        <is>
          <t>725031535</t>
        </is>
      </c>
      <c r="G2600" s="14" t="n"/>
      <c r="H2600" s="14" t="n"/>
      <c r="I2600" s="14" t="n"/>
      <c r="J2600" s="14" t="n"/>
      <c r="K2600" s="13">
        <f>IF(G2600="","",IF(G2600&gt;=22,"Да","Нет"))</f>
        <v/>
      </c>
      <c r="L2600" s="13">
        <f>IF(OR(I2600="",J2600=""),"Не определено",IF(OR(COUNTIF(I2600,"45*")&gt;0,COUNTIF(J2600,"*45*")&gt;0,COUNTIF(I2600,"46*")&gt;0,COUNTIF(J2600,"*46*")&gt;0,COUNTIF(I2600,"47*")&gt;0,COUNTIF(J2600,"*47*")&gt;0,COUNTIF(I2600,"10*")&gt;0,COUNTIF(J2600,"*10*")&gt;0,COUNTIF(I2600,"11*")&gt;0,COUNTIF(J2600,"*11*")&gt;0,COUNTIF(I2600,"12*")&gt;0,COUNTIF(J2600,"*12*")&gt;0,COUNTIF(I2600,"13*")&gt;0,COUNTIF(J2600,"*13*")&gt;0,COUNTIF(I2600,"14*")&gt;0,COUNTIF(J2600,"*14*")&gt;0,COUNTIF(I2600,"15*")&gt;0,COUNTIF(J2600,"*15*")&gt;0,COUNTIF(I2600,"16*")&gt;0,COUNTIF(J2600,"*16*")&gt;0,COUNTIF(I2600,"17*")&gt;0,COUNTIF(J2600,"*17*")&gt;0,COUNTIF(I2600,"18*")&gt;0,COUNTIF(J2600,"*18*")&gt;0,COUNTIF(I2600,"19*")&gt;0,COUNTIF(J2600,"*19*")&gt;0,COUNTIF(I2600,"20*")&gt;0,COUNTIF(J2600,"*20*")&gt;0,COUNTIF(I2600,"21*")&gt;0,COUNTIF(J2600,"*21*")&gt;0,COUNTIF(I2600,"22*")&gt;0,COUNTIF(J2600,"*22*")&gt;0,COUNTIF(I2600,"23*")&gt;0,COUNTIF(J2600,"*23*")&gt;0,COUNTIF(I2600,"24*")&gt;0,COUNTIF(J2600,"*24*")&gt;0,COUNTIF(I2600,"25*")&gt;0,COUNTIF(J2600,"*25*")&gt;0,COUNTIF(I2600,"26*")&gt;0,COUNTIF(J2600,"*26*")&gt;0,COUNTIF(I2600,"27*")&gt;0,COUNTIF(J2600,"*27*")&gt;0,COUNTIF(I2600,"28*")&gt;0,COUNTIF(J2600,"*28*")&gt;0,COUNTIF(I2600,"29*")&gt;0,COUNTIF(J2600,"*29*")&gt;0,COUNTIF(I2600,"30*")&gt;0,COUNTIF(J2600,"*30*")&gt;0,COUNTIF(I2600,"31*")&gt;0,COUNTIF(J2600,"*31*")&gt;0,COUNTIF(I2600,"32*")&gt;0,COUNTIF(J2600,"*32*")&gt;0,COUNTIF(I2600,"33*")&gt;0,COUNTIF(J2600,"*33*")&gt;0,COUNTIF(I2600,"41*")&gt;0,COUNTIF(J2600,"*41*")&gt;0,COUNTIF(I2600,"42*")&gt;0,COUNTIF(J2600,"*42*")&gt;0,COUNTIF(I2600,"43*")&gt;0,COUNTIF(J2600,"*43*")&gt;0,COUNTIF(I2600,"49*")&gt;0,COUNTIF(J2600,"*49*")&gt;0,COUNTIF(I2600,"52*")&gt;0,COUNTIF(J2600,"*52*")&gt;0,COUNTIF(I2600,"55*")&gt;0,COUNTIF(J2600,"*55*")&gt;0,COUNTIF(I2600,"56*")&gt;0,COUNTIF(J2600,"*56*")&gt;0,COUNTIF(I2600,"68*")&gt;0,COUNTIF(J2600,"*68*")&gt;0,COUNTIF(I2600,"78*")&gt;0,COUNTIF(J2600,"*78*")&gt;0,COUNTIF(I2600,"81*")&gt;0,COUNTIF(J2600,"*81*")&gt;0,COUNTIF(I2600,"82*")&gt;0,COUNTIF(J2600,"*82*")&gt;0,COUNTIF(I2600,"64*")&gt;0,COUNTIF(J2600,"*64*")&gt;0,COUNTIF(I2600,"65*")&gt;0,COUNTIF(J2600,"*65*")&gt;0,COUNTIF(I2600,"66*")&gt;0,COUNTIF(J2600,"*66*")&gt;0,COUNTIF(I2600,"61*")&gt;0,COUNTIF(J2600,"*61*")&gt;0,COUNTIF(I2600,"62*")&gt;0,COUNTIF(J2600,"*62*")&gt;0,COUNTIF(I2600,"63*")&gt;0,COUNTIF(J2600,"*63*")&gt;0,COUNTIF(I2600,"85*")&gt;0,COUNTIF(J2600,"*85*")&gt;0,COUNTIF(I2600,"86*")&gt;0,COUNTIF(J2600,"*86*")&gt;0),"Да","Нет"))</f>
        <v/>
      </c>
      <c r="M2600" s="13">
        <f>IF(OR(G2600="",L2600&lt;&gt;"Да"),"",IF(G2600&lt;=100,"До 100",IF(G2600&lt;=200,"До 200",IF(G2600&lt;=500,"До 500","Отдельное КП"))))</f>
        <v/>
      </c>
      <c r="N2600" s="15">
        <f>IF(OR(G2600="",L2600&lt;&gt;"Да"),"",IF(G2600&lt;=100,33600,IF(G2600&lt;=200,62400,IF(G2600&lt;=500,144000,""))))</f>
        <v/>
      </c>
      <c r="O2600" s="16">
        <f>IF(G2600="","",IF(G2600&lt;=15,"1–15",IF(G2600&lt;=30,"16–30",IF(G2600&lt;=50,"31–50",IF(G2600&lt;=100,"51–100",IF(G2600&lt;=150,"101–150",IF(G2600&lt;=200,"151–200",IF(G2600&lt;=500,"201–500","500+"))))))))</f>
        <v/>
      </c>
      <c r="P2600" s="16" t="inlineStr">
        <is>
          <t>Нет совпадения в предоставленной выгрузке ССЧР</t>
        </is>
      </c>
      <c r="Q2600" s="16" t="n"/>
      <c r="R2600" s="16">
        <f>HYPERLINK("https://checko.ru/search?query=3801001629","Чекко: проверить")</f>
        <v/>
      </c>
      <c r="S2600" t="n">
        <v>0</v>
      </c>
    </row>
    <row r="2601" ht="15" customHeight="1" s="24">
      <c r="A2601" s="13" t="n">
        <v>5000095269</v>
      </c>
      <c r="B2601" s="13" t="inlineStr">
        <is>
          <t>МКДОУ "Детский сад № 74"  г.о.Нальчик КБР</t>
        </is>
      </c>
      <c r="C2601" s="13" t="n">
        <v>725031542</v>
      </c>
      <c r="D2601" s="13" t="n"/>
      <c r="E2601" s="13" t="inlineStr">
        <is>
          <t>Не определён</t>
        </is>
      </c>
      <c r="F2601" s="13" t="inlineStr">
        <is>
          <t>725031542</t>
        </is>
      </c>
      <c r="G2601" s="14" t="n"/>
      <c r="H2601" s="14" t="n"/>
      <c r="I2601" s="14" t="n"/>
      <c r="J2601" s="14" t="n"/>
      <c r="K2601" s="13">
        <f>IF(G2601="","",IF(G2601&gt;=22,"Да","Нет"))</f>
        <v/>
      </c>
      <c r="L2601" s="13">
        <f>IF(OR(I2601="",J2601=""),"Не определено",IF(OR(COUNTIF(I2601,"45*")&gt;0,COUNTIF(J2601,"*45*")&gt;0,COUNTIF(I2601,"46*")&gt;0,COUNTIF(J2601,"*46*")&gt;0,COUNTIF(I2601,"47*")&gt;0,COUNTIF(J2601,"*47*")&gt;0,COUNTIF(I2601,"10*")&gt;0,COUNTIF(J2601,"*10*")&gt;0,COUNTIF(I2601,"11*")&gt;0,COUNTIF(J2601,"*11*")&gt;0,COUNTIF(I2601,"12*")&gt;0,COUNTIF(J2601,"*12*")&gt;0,COUNTIF(I2601,"13*")&gt;0,COUNTIF(J2601,"*13*")&gt;0,COUNTIF(I2601,"14*")&gt;0,COUNTIF(J2601,"*14*")&gt;0,COUNTIF(I2601,"15*")&gt;0,COUNTIF(J2601,"*15*")&gt;0,COUNTIF(I2601,"16*")&gt;0,COUNTIF(J2601,"*16*")&gt;0,COUNTIF(I2601,"17*")&gt;0,COUNTIF(J2601,"*17*")&gt;0,COUNTIF(I2601,"18*")&gt;0,COUNTIF(J2601,"*18*")&gt;0,COUNTIF(I2601,"19*")&gt;0,COUNTIF(J2601,"*19*")&gt;0,COUNTIF(I2601,"20*")&gt;0,COUNTIF(J2601,"*20*")&gt;0,COUNTIF(I2601,"21*")&gt;0,COUNTIF(J2601,"*21*")&gt;0,COUNTIF(I2601,"22*")&gt;0,COUNTIF(J2601,"*22*")&gt;0,COUNTIF(I2601,"23*")&gt;0,COUNTIF(J2601,"*23*")&gt;0,COUNTIF(I2601,"24*")&gt;0,COUNTIF(J2601,"*24*")&gt;0,COUNTIF(I2601,"25*")&gt;0,COUNTIF(J2601,"*25*")&gt;0,COUNTIF(I2601,"26*")&gt;0,COUNTIF(J2601,"*26*")&gt;0,COUNTIF(I2601,"27*")&gt;0,COUNTIF(J2601,"*27*")&gt;0,COUNTIF(I2601,"28*")&gt;0,COUNTIF(J2601,"*28*")&gt;0,COUNTIF(I2601,"29*")&gt;0,COUNTIF(J2601,"*29*")&gt;0,COUNTIF(I2601,"30*")&gt;0,COUNTIF(J2601,"*30*")&gt;0,COUNTIF(I2601,"31*")&gt;0,COUNTIF(J2601,"*31*")&gt;0,COUNTIF(I2601,"32*")&gt;0,COUNTIF(J2601,"*32*")&gt;0,COUNTIF(I2601,"33*")&gt;0,COUNTIF(J2601,"*33*")&gt;0,COUNTIF(I2601,"41*")&gt;0,COUNTIF(J2601,"*41*")&gt;0,COUNTIF(I2601,"42*")&gt;0,COUNTIF(J2601,"*42*")&gt;0,COUNTIF(I2601,"43*")&gt;0,COUNTIF(J2601,"*43*")&gt;0,COUNTIF(I2601,"49*")&gt;0,COUNTIF(J2601,"*49*")&gt;0,COUNTIF(I2601,"52*")&gt;0,COUNTIF(J2601,"*52*")&gt;0,COUNTIF(I2601,"55*")&gt;0,COUNTIF(J2601,"*55*")&gt;0,COUNTIF(I2601,"56*")&gt;0,COUNTIF(J2601,"*56*")&gt;0,COUNTIF(I2601,"68*")&gt;0,COUNTIF(J2601,"*68*")&gt;0,COUNTIF(I2601,"78*")&gt;0,COUNTIF(J2601,"*78*")&gt;0,COUNTIF(I2601,"81*")&gt;0,COUNTIF(J2601,"*81*")&gt;0,COUNTIF(I2601,"82*")&gt;0,COUNTIF(J2601,"*82*")&gt;0,COUNTIF(I2601,"64*")&gt;0,COUNTIF(J2601,"*64*")&gt;0,COUNTIF(I2601,"65*")&gt;0,COUNTIF(J2601,"*65*")&gt;0,COUNTIF(I2601,"66*")&gt;0,COUNTIF(J2601,"*66*")&gt;0,COUNTIF(I2601,"61*")&gt;0,COUNTIF(J2601,"*61*")&gt;0,COUNTIF(I2601,"62*")&gt;0,COUNTIF(J2601,"*62*")&gt;0,COUNTIF(I2601,"63*")&gt;0,COUNTIF(J2601,"*63*")&gt;0,COUNTIF(I2601,"85*")&gt;0,COUNTIF(J2601,"*85*")&gt;0,COUNTIF(I2601,"86*")&gt;0,COUNTIF(J2601,"*86*")&gt;0),"Да","Нет"))</f>
        <v/>
      </c>
      <c r="M2601" s="13">
        <f>IF(OR(G2601="",L2601&lt;&gt;"Да"),"",IF(G2601&lt;=100,"До 100",IF(G2601&lt;=200,"До 200",IF(G2601&lt;=500,"До 500","Отдельное КП"))))</f>
        <v/>
      </c>
      <c r="N2601" s="15">
        <f>IF(OR(G2601="",L2601&lt;&gt;"Да"),"",IF(G2601&lt;=100,33600,IF(G2601&lt;=200,62400,IF(G2601&lt;=500,144000,""))))</f>
        <v/>
      </c>
      <c r="O2601" s="16">
        <f>IF(G2601="","",IF(G2601&lt;=15,"1–15",IF(G2601&lt;=30,"16–30",IF(G2601&lt;=50,"31–50",IF(G2601&lt;=100,"51–100",IF(G2601&lt;=150,"101–150",IF(G2601&lt;=200,"151–200",IF(G2601&lt;=500,"201–500","500+"))))))))</f>
        <v/>
      </c>
      <c r="P2601" s="16" t="inlineStr">
        <is>
          <t>Нет совпадения в предоставленной выгрузке ССЧР</t>
        </is>
      </c>
      <c r="Q2601" s="16" t="n"/>
      <c r="R2601" s="16">
        <f>HYPERLINK("https://checko.ru/search?query=3801001629","Чекко: проверить")</f>
        <v/>
      </c>
      <c r="S2601" t="n">
        <v>0</v>
      </c>
    </row>
    <row r="2602" ht="15" customHeight="1" s="24">
      <c r="A2602" s="13" t="n">
        <v>5000095270</v>
      </c>
      <c r="B2602" s="13" t="inlineStr">
        <is>
          <t>МКДОУ "Детский сад № 12" г.о.Нальчик КБР</t>
        </is>
      </c>
      <c r="C2602" s="13" t="n">
        <v>725031599</v>
      </c>
      <c r="D2602" s="13" t="n"/>
      <c r="E2602" s="13" t="inlineStr">
        <is>
          <t>Не определён</t>
        </is>
      </c>
      <c r="F2602" s="13" t="inlineStr">
        <is>
          <t>725031599</t>
        </is>
      </c>
      <c r="G2602" s="14" t="n"/>
      <c r="H2602" s="14" t="n"/>
      <c r="I2602" s="14" t="n"/>
      <c r="J2602" s="14" t="n"/>
      <c r="K2602" s="13">
        <f>IF(G2602="","",IF(G2602&gt;=22,"Да","Нет"))</f>
        <v/>
      </c>
      <c r="L2602" s="13">
        <f>IF(OR(I2602="",J2602=""),"Не определено",IF(OR(COUNTIF(I2602,"45*")&gt;0,COUNTIF(J2602,"*45*")&gt;0,COUNTIF(I2602,"46*")&gt;0,COUNTIF(J2602,"*46*")&gt;0,COUNTIF(I2602,"47*")&gt;0,COUNTIF(J2602,"*47*")&gt;0,COUNTIF(I2602,"10*")&gt;0,COUNTIF(J2602,"*10*")&gt;0,COUNTIF(I2602,"11*")&gt;0,COUNTIF(J2602,"*11*")&gt;0,COUNTIF(I2602,"12*")&gt;0,COUNTIF(J2602,"*12*")&gt;0,COUNTIF(I2602,"13*")&gt;0,COUNTIF(J2602,"*13*")&gt;0,COUNTIF(I2602,"14*")&gt;0,COUNTIF(J2602,"*14*")&gt;0,COUNTIF(I2602,"15*")&gt;0,COUNTIF(J2602,"*15*")&gt;0,COUNTIF(I2602,"16*")&gt;0,COUNTIF(J2602,"*16*")&gt;0,COUNTIF(I2602,"17*")&gt;0,COUNTIF(J2602,"*17*")&gt;0,COUNTIF(I2602,"18*")&gt;0,COUNTIF(J2602,"*18*")&gt;0,COUNTIF(I2602,"19*")&gt;0,COUNTIF(J2602,"*19*")&gt;0,COUNTIF(I2602,"20*")&gt;0,COUNTIF(J2602,"*20*")&gt;0,COUNTIF(I2602,"21*")&gt;0,COUNTIF(J2602,"*21*")&gt;0,COUNTIF(I2602,"22*")&gt;0,COUNTIF(J2602,"*22*")&gt;0,COUNTIF(I2602,"23*")&gt;0,COUNTIF(J2602,"*23*")&gt;0,COUNTIF(I2602,"24*")&gt;0,COUNTIF(J2602,"*24*")&gt;0,COUNTIF(I2602,"25*")&gt;0,COUNTIF(J2602,"*25*")&gt;0,COUNTIF(I2602,"26*")&gt;0,COUNTIF(J2602,"*26*")&gt;0,COUNTIF(I2602,"27*")&gt;0,COUNTIF(J2602,"*27*")&gt;0,COUNTIF(I2602,"28*")&gt;0,COUNTIF(J2602,"*28*")&gt;0,COUNTIF(I2602,"29*")&gt;0,COUNTIF(J2602,"*29*")&gt;0,COUNTIF(I2602,"30*")&gt;0,COUNTIF(J2602,"*30*")&gt;0,COUNTIF(I2602,"31*")&gt;0,COUNTIF(J2602,"*31*")&gt;0,COUNTIF(I2602,"32*")&gt;0,COUNTIF(J2602,"*32*")&gt;0,COUNTIF(I2602,"33*")&gt;0,COUNTIF(J2602,"*33*")&gt;0,COUNTIF(I2602,"41*")&gt;0,COUNTIF(J2602,"*41*")&gt;0,COUNTIF(I2602,"42*")&gt;0,COUNTIF(J2602,"*42*")&gt;0,COUNTIF(I2602,"43*")&gt;0,COUNTIF(J2602,"*43*")&gt;0,COUNTIF(I2602,"49*")&gt;0,COUNTIF(J2602,"*49*")&gt;0,COUNTIF(I2602,"52*")&gt;0,COUNTIF(J2602,"*52*")&gt;0,COUNTIF(I2602,"55*")&gt;0,COUNTIF(J2602,"*55*")&gt;0,COUNTIF(I2602,"56*")&gt;0,COUNTIF(J2602,"*56*")&gt;0,COUNTIF(I2602,"68*")&gt;0,COUNTIF(J2602,"*68*")&gt;0,COUNTIF(I2602,"78*")&gt;0,COUNTIF(J2602,"*78*")&gt;0,COUNTIF(I2602,"81*")&gt;0,COUNTIF(J2602,"*81*")&gt;0,COUNTIF(I2602,"82*")&gt;0,COUNTIF(J2602,"*82*")&gt;0,COUNTIF(I2602,"64*")&gt;0,COUNTIF(J2602,"*64*")&gt;0,COUNTIF(I2602,"65*")&gt;0,COUNTIF(J2602,"*65*")&gt;0,COUNTIF(I2602,"66*")&gt;0,COUNTIF(J2602,"*66*")&gt;0,COUNTIF(I2602,"61*")&gt;0,COUNTIF(J2602,"*61*")&gt;0,COUNTIF(I2602,"62*")&gt;0,COUNTIF(J2602,"*62*")&gt;0,COUNTIF(I2602,"63*")&gt;0,COUNTIF(J2602,"*63*")&gt;0,COUNTIF(I2602,"85*")&gt;0,COUNTIF(J2602,"*85*")&gt;0,COUNTIF(I2602,"86*")&gt;0,COUNTIF(J2602,"*86*")&gt;0),"Да","Нет"))</f>
        <v/>
      </c>
      <c r="M2602" s="13">
        <f>IF(OR(G2602="",L2602&lt;&gt;"Да"),"",IF(G2602&lt;=100,"До 100",IF(G2602&lt;=200,"До 200",IF(G2602&lt;=500,"До 500","Отдельное КП"))))</f>
        <v/>
      </c>
      <c r="N2602" s="15">
        <f>IF(OR(G2602="",L2602&lt;&gt;"Да"),"",IF(G2602&lt;=100,33600,IF(G2602&lt;=200,62400,IF(G2602&lt;=500,144000,""))))</f>
        <v/>
      </c>
      <c r="O2602" s="16">
        <f>IF(G2602="","",IF(G2602&lt;=15,"1–15",IF(G2602&lt;=30,"16–30",IF(G2602&lt;=50,"31–50",IF(G2602&lt;=100,"51–100",IF(G2602&lt;=150,"101–150",IF(G2602&lt;=200,"151–200",IF(G2602&lt;=500,"201–500","500+"))))))))</f>
        <v/>
      </c>
      <c r="P2602" s="16" t="inlineStr">
        <is>
          <t>Нет совпадения в предоставленной выгрузке ССЧР</t>
        </is>
      </c>
      <c r="Q2602" s="16" t="n"/>
      <c r="R2602" s="16">
        <f>HYPERLINK("https://checko.ru/search?query=3801001629","Чекко: проверить")</f>
        <v/>
      </c>
      <c r="S2602" t="n">
        <v>0</v>
      </c>
    </row>
    <row r="2603" ht="15" customHeight="1" s="24">
      <c r="A2603" s="13" t="n">
        <v>5000095271</v>
      </c>
      <c r="B2603" s="13" t="inlineStr">
        <is>
          <t>МКДОУ "Детский сад №20 " г.о.Нальчик КБР</t>
        </is>
      </c>
      <c r="C2603" s="13" t="n">
        <v>725031616</v>
      </c>
      <c r="D2603" s="13" t="n"/>
      <c r="E2603" s="13" t="inlineStr">
        <is>
          <t>Не определён</t>
        </is>
      </c>
      <c r="F2603" s="13" t="inlineStr">
        <is>
          <t>725031616</t>
        </is>
      </c>
      <c r="G2603" s="14" t="n"/>
      <c r="H2603" s="14" t="n"/>
      <c r="I2603" s="14" t="n"/>
      <c r="J2603" s="14" t="n"/>
      <c r="K2603" s="13">
        <f>IF(G2603="","",IF(G2603&gt;=22,"Да","Нет"))</f>
        <v/>
      </c>
      <c r="L2603" s="13">
        <f>IF(OR(I2603="",J2603=""),"Не определено",IF(OR(COUNTIF(I2603,"45*")&gt;0,COUNTIF(J2603,"*45*")&gt;0,COUNTIF(I2603,"46*")&gt;0,COUNTIF(J2603,"*46*")&gt;0,COUNTIF(I2603,"47*")&gt;0,COUNTIF(J2603,"*47*")&gt;0,COUNTIF(I2603,"10*")&gt;0,COUNTIF(J2603,"*10*")&gt;0,COUNTIF(I2603,"11*")&gt;0,COUNTIF(J2603,"*11*")&gt;0,COUNTIF(I2603,"12*")&gt;0,COUNTIF(J2603,"*12*")&gt;0,COUNTIF(I2603,"13*")&gt;0,COUNTIF(J2603,"*13*")&gt;0,COUNTIF(I2603,"14*")&gt;0,COUNTIF(J2603,"*14*")&gt;0,COUNTIF(I2603,"15*")&gt;0,COUNTIF(J2603,"*15*")&gt;0,COUNTIF(I2603,"16*")&gt;0,COUNTIF(J2603,"*16*")&gt;0,COUNTIF(I2603,"17*")&gt;0,COUNTIF(J2603,"*17*")&gt;0,COUNTIF(I2603,"18*")&gt;0,COUNTIF(J2603,"*18*")&gt;0,COUNTIF(I2603,"19*")&gt;0,COUNTIF(J2603,"*19*")&gt;0,COUNTIF(I2603,"20*")&gt;0,COUNTIF(J2603,"*20*")&gt;0,COUNTIF(I2603,"21*")&gt;0,COUNTIF(J2603,"*21*")&gt;0,COUNTIF(I2603,"22*")&gt;0,COUNTIF(J2603,"*22*")&gt;0,COUNTIF(I2603,"23*")&gt;0,COUNTIF(J2603,"*23*")&gt;0,COUNTIF(I2603,"24*")&gt;0,COUNTIF(J2603,"*24*")&gt;0,COUNTIF(I2603,"25*")&gt;0,COUNTIF(J2603,"*25*")&gt;0,COUNTIF(I2603,"26*")&gt;0,COUNTIF(J2603,"*26*")&gt;0,COUNTIF(I2603,"27*")&gt;0,COUNTIF(J2603,"*27*")&gt;0,COUNTIF(I2603,"28*")&gt;0,COUNTIF(J2603,"*28*")&gt;0,COUNTIF(I2603,"29*")&gt;0,COUNTIF(J2603,"*29*")&gt;0,COUNTIF(I2603,"30*")&gt;0,COUNTIF(J2603,"*30*")&gt;0,COUNTIF(I2603,"31*")&gt;0,COUNTIF(J2603,"*31*")&gt;0,COUNTIF(I2603,"32*")&gt;0,COUNTIF(J2603,"*32*")&gt;0,COUNTIF(I2603,"33*")&gt;0,COUNTIF(J2603,"*33*")&gt;0,COUNTIF(I2603,"41*")&gt;0,COUNTIF(J2603,"*41*")&gt;0,COUNTIF(I2603,"42*")&gt;0,COUNTIF(J2603,"*42*")&gt;0,COUNTIF(I2603,"43*")&gt;0,COUNTIF(J2603,"*43*")&gt;0,COUNTIF(I2603,"49*")&gt;0,COUNTIF(J2603,"*49*")&gt;0,COUNTIF(I2603,"52*")&gt;0,COUNTIF(J2603,"*52*")&gt;0,COUNTIF(I2603,"55*")&gt;0,COUNTIF(J2603,"*55*")&gt;0,COUNTIF(I2603,"56*")&gt;0,COUNTIF(J2603,"*56*")&gt;0,COUNTIF(I2603,"68*")&gt;0,COUNTIF(J2603,"*68*")&gt;0,COUNTIF(I2603,"78*")&gt;0,COUNTIF(J2603,"*78*")&gt;0,COUNTIF(I2603,"81*")&gt;0,COUNTIF(J2603,"*81*")&gt;0,COUNTIF(I2603,"82*")&gt;0,COUNTIF(J2603,"*82*")&gt;0,COUNTIF(I2603,"64*")&gt;0,COUNTIF(J2603,"*64*")&gt;0,COUNTIF(I2603,"65*")&gt;0,COUNTIF(J2603,"*65*")&gt;0,COUNTIF(I2603,"66*")&gt;0,COUNTIF(J2603,"*66*")&gt;0,COUNTIF(I2603,"61*")&gt;0,COUNTIF(J2603,"*61*")&gt;0,COUNTIF(I2603,"62*")&gt;0,COUNTIF(J2603,"*62*")&gt;0,COUNTIF(I2603,"63*")&gt;0,COUNTIF(J2603,"*63*")&gt;0,COUNTIF(I2603,"85*")&gt;0,COUNTIF(J2603,"*85*")&gt;0,COUNTIF(I2603,"86*")&gt;0,COUNTIF(J2603,"*86*")&gt;0),"Да","Нет"))</f>
        <v/>
      </c>
      <c r="M2603" s="13">
        <f>IF(OR(G2603="",L2603&lt;&gt;"Да"),"",IF(G2603&lt;=100,"До 100",IF(G2603&lt;=200,"До 200",IF(G2603&lt;=500,"До 500","Отдельное КП"))))</f>
        <v/>
      </c>
      <c r="N2603" s="15">
        <f>IF(OR(G2603="",L2603&lt;&gt;"Да"),"",IF(G2603&lt;=100,33600,IF(G2603&lt;=200,62400,IF(G2603&lt;=500,144000,""))))</f>
        <v/>
      </c>
      <c r="O2603" s="16">
        <f>IF(G2603="","",IF(G2603&lt;=15,"1–15",IF(G2603&lt;=30,"16–30",IF(G2603&lt;=50,"31–50",IF(G2603&lt;=100,"51–100",IF(G2603&lt;=150,"101–150",IF(G2603&lt;=200,"151–200",IF(G2603&lt;=500,"201–500","500+"))))))))</f>
        <v/>
      </c>
      <c r="P2603" s="16" t="inlineStr">
        <is>
          <t>Нет совпадения в предоставленной выгрузке ССЧР</t>
        </is>
      </c>
      <c r="Q2603" s="16" t="n"/>
      <c r="R2603" s="16">
        <f>HYPERLINK("https://checko.ru/search?query=3801001629","Чекко: проверить")</f>
        <v/>
      </c>
      <c r="S2603" t="n">
        <v>0</v>
      </c>
    </row>
    <row r="2604" ht="15" customHeight="1" s="24">
      <c r="A2604" s="13" t="n">
        <v>5000095272</v>
      </c>
      <c r="B2604" s="13" t="inlineStr">
        <is>
          <t>МКДОУ "Детский сад № 40" г.о.Нальчик КБР</t>
        </is>
      </c>
      <c r="C2604" s="13" t="n">
        <v>725031655</v>
      </c>
      <c r="D2604" s="13" t="n"/>
      <c r="E2604" s="13" t="inlineStr">
        <is>
          <t>Не определён</t>
        </is>
      </c>
      <c r="F2604" s="13" t="inlineStr">
        <is>
          <t>725031655</t>
        </is>
      </c>
      <c r="G2604" s="14" t="n"/>
      <c r="H2604" s="14" t="n"/>
      <c r="I2604" s="14" t="n"/>
      <c r="J2604" s="14" t="n"/>
      <c r="K2604" s="13">
        <f>IF(G2604="","",IF(G2604&gt;=22,"Да","Нет"))</f>
        <v/>
      </c>
      <c r="L2604" s="13">
        <f>IF(OR(I2604="",J2604=""),"Не определено",IF(OR(COUNTIF(I2604,"45*")&gt;0,COUNTIF(J2604,"*45*")&gt;0,COUNTIF(I2604,"46*")&gt;0,COUNTIF(J2604,"*46*")&gt;0,COUNTIF(I2604,"47*")&gt;0,COUNTIF(J2604,"*47*")&gt;0,COUNTIF(I2604,"10*")&gt;0,COUNTIF(J2604,"*10*")&gt;0,COUNTIF(I2604,"11*")&gt;0,COUNTIF(J2604,"*11*")&gt;0,COUNTIF(I2604,"12*")&gt;0,COUNTIF(J2604,"*12*")&gt;0,COUNTIF(I2604,"13*")&gt;0,COUNTIF(J2604,"*13*")&gt;0,COUNTIF(I2604,"14*")&gt;0,COUNTIF(J2604,"*14*")&gt;0,COUNTIF(I2604,"15*")&gt;0,COUNTIF(J2604,"*15*")&gt;0,COUNTIF(I2604,"16*")&gt;0,COUNTIF(J2604,"*16*")&gt;0,COUNTIF(I2604,"17*")&gt;0,COUNTIF(J2604,"*17*")&gt;0,COUNTIF(I2604,"18*")&gt;0,COUNTIF(J2604,"*18*")&gt;0,COUNTIF(I2604,"19*")&gt;0,COUNTIF(J2604,"*19*")&gt;0,COUNTIF(I2604,"20*")&gt;0,COUNTIF(J2604,"*20*")&gt;0,COUNTIF(I2604,"21*")&gt;0,COUNTIF(J2604,"*21*")&gt;0,COUNTIF(I2604,"22*")&gt;0,COUNTIF(J2604,"*22*")&gt;0,COUNTIF(I2604,"23*")&gt;0,COUNTIF(J2604,"*23*")&gt;0,COUNTIF(I2604,"24*")&gt;0,COUNTIF(J2604,"*24*")&gt;0,COUNTIF(I2604,"25*")&gt;0,COUNTIF(J2604,"*25*")&gt;0,COUNTIF(I2604,"26*")&gt;0,COUNTIF(J2604,"*26*")&gt;0,COUNTIF(I2604,"27*")&gt;0,COUNTIF(J2604,"*27*")&gt;0,COUNTIF(I2604,"28*")&gt;0,COUNTIF(J2604,"*28*")&gt;0,COUNTIF(I2604,"29*")&gt;0,COUNTIF(J2604,"*29*")&gt;0,COUNTIF(I2604,"30*")&gt;0,COUNTIF(J2604,"*30*")&gt;0,COUNTIF(I2604,"31*")&gt;0,COUNTIF(J2604,"*31*")&gt;0,COUNTIF(I2604,"32*")&gt;0,COUNTIF(J2604,"*32*")&gt;0,COUNTIF(I2604,"33*")&gt;0,COUNTIF(J2604,"*33*")&gt;0,COUNTIF(I2604,"41*")&gt;0,COUNTIF(J2604,"*41*")&gt;0,COUNTIF(I2604,"42*")&gt;0,COUNTIF(J2604,"*42*")&gt;0,COUNTIF(I2604,"43*")&gt;0,COUNTIF(J2604,"*43*")&gt;0,COUNTIF(I2604,"49*")&gt;0,COUNTIF(J2604,"*49*")&gt;0,COUNTIF(I2604,"52*")&gt;0,COUNTIF(J2604,"*52*")&gt;0,COUNTIF(I2604,"55*")&gt;0,COUNTIF(J2604,"*55*")&gt;0,COUNTIF(I2604,"56*")&gt;0,COUNTIF(J2604,"*56*")&gt;0,COUNTIF(I2604,"68*")&gt;0,COUNTIF(J2604,"*68*")&gt;0,COUNTIF(I2604,"78*")&gt;0,COUNTIF(J2604,"*78*")&gt;0,COUNTIF(I2604,"81*")&gt;0,COUNTIF(J2604,"*81*")&gt;0,COUNTIF(I2604,"82*")&gt;0,COUNTIF(J2604,"*82*")&gt;0,COUNTIF(I2604,"64*")&gt;0,COUNTIF(J2604,"*64*")&gt;0,COUNTIF(I2604,"65*")&gt;0,COUNTIF(J2604,"*65*")&gt;0,COUNTIF(I2604,"66*")&gt;0,COUNTIF(J2604,"*66*")&gt;0,COUNTIF(I2604,"61*")&gt;0,COUNTIF(J2604,"*61*")&gt;0,COUNTIF(I2604,"62*")&gt;0,COUNTIF(J2604,"*62*")&gt;0,COUNTIF(I2604,"63*")&gt;0,COUNTIF(J2604,"*63*")&gt;0,COUNTIF(I2604,"85*")&gt;0,COUNTIF(J2604,"*85*")&gt;0,COUNTIF(I2604,"86*")&gt;0,COUNTIF(J2604,"*86*")&gt;0),"Да","Нет"))</f>
        <v/>
      </c>
      <c r="M2604" s="13">
        <f>IF(OR(G2604="",L2604&lt;&gt;"Да"),"",IF(G2604&lt;=100,"До 100",IF(G2604&lt;=200,"До 200",IF(G2604&lt;=500,"До 500","Отдельное КП"))))</f>
        <v/>
      </c>
      <c r="N2604" s="15">
        <f>IF(OR(G2604="",L2604&lt;&gt;"Да"),"",IF(G2604&lt;=100,33600,IF(G2604&lt;=200,62400,IF(G2604&lt;=500,144000,""))))</f>
        <v/>
      </c>
      <c r="O2604" s="16">
        <f>IF(G2604="","",IF(G2604&lt;=15,"1–15",IF(G2604&lt;=30,"16–30",IF(G2604&lt;=50,"31–50",IF(G2604&lt;=100,"51–100",IF(G2604&lt;=150,"101–150",IF(G2604&lt;=200,"151–200",IF(G2604&lt;=500,"201–500","500+"))))))))</f>
        <v/>
      </c>
      <c r="P2604" s="16" t="inlineStr">
        <is>
          <t>Нет совпадения в предоставленной выгрузке ССЧР</t>
        </is>
      </c>
      <c r="Q2604" s="16" t="n"/>
      <c r="R2604" s="16">
        <f>HYPERLINK("https://checko.ru/search?query=3801001629","Чекко: проверить")</f>
        <v/>
      </c>
      <c r="S2604" t="n">
        <v>0</v>
      </c>
    </row>
    <row r="2605" ht="15" customHeight="1" s="24">
      <c r="A2605" s="13" t="n">
        <v>5000095273</v>
      </c>
      <c r="B2605" s="13" t="inlineStr">
        <is>
          <t>МКДОУ "Детский сад №30 " г.о.Нальчик КБР</t>
        </is>
      </c>
      <c r="C2605" s="13" t="n">
        <v>725031670</v>
      </c>
      <c r="D2605" s="13" t="n"/>
      <c r="E2605" s="13" t="inlineStr">
        <is>
          <t>Не определён</t>
        </is>
      </c>
      <c r="F2605" s="13" t="inlineStr">
        <is>
          <t>725031670</t>
        </is>
      </c>
      <c r="G2605" s="14" t="n"/>
      <c r="H2605" s="14" t="n"/>
      <c r="I2605" s="14" t="n"/>
      <c r="J2605" s="14" t="n"/>
      <c r="K2605" s="13">
        <f>IF(G2605="","",IF(G2605&gt;=22,"Да","Нет"))</f>
        <v/>
      </c>
      <c r="L2605" s="13">
        <f>IF(OR(I2605="",J2605=""),"Не определено",IF(OR(COUNTIF(I2605,"45*")&gt;0,COUNTIF(J2605,"*45*")&gt;0,COUNTIF(I2605,"46*")&gt;0,COUNTIF(J2605,"*46*")&gt;0,COUNTIF(I2605,"47*")&gt;0,COUNTIF(J2605,"*47*")&gt;0,COUNTIF(I2605,"10*")&gt;0,COUNTIF(J2605,"*10*")&gt;0,COUNTIF(I2605,"11*")&gt;0,COUNTIF(J2605,"*11*")&gt;0,COUNTIF(I2605,"12*")&gt;0,COUNTIF(J2605,"*12*")&gt;0,COUNTIF(I2605,"13*")&gt;0,COUNTIF(J2605,"*13*")&gt;0,COUNTIF(I2605,"14*")&gt;0,COUNTIF(J2605,"*14*")&gt;0,COUNTIF(I2605,"15*")&gt;0,COUNTIF(J2605,"*15*")&gt;0,COUNTIF(I2605,"16*")&gt;0,COUNTIF(J2605,"*16*")&gt;0,COUNTIF(I2605,"17*")&gt;0,COUNTIF(J2605,"*17*")&gt;0,COUNTIF(I2605,"18*")&gt;0,COUNTIF(J2605,"*18*")&gt;0,COUNTIF(I2605,"19*")&gt;0,COUNTIF(J2605,"*19*")&gt;0,COUNTIF(I2605,"20*")&gt;0,COUNTIF(J2605,"*20*")&gt;0,COUNTIF(I2605,"21*")&gt;0,COUNTIF(J2605,"*21*")&gt;0,COUNTIF(I2605,"22*")&gt;0,COUNTIF(J2605,"*22*")&gt;0,COUNTIF(I2605,"23*")&gt;0,COUNTIF(J2605,"*23*")&gt;0,COUNTIF(I2605,"24*")&gt;0,COUNTIF(J2605,"*24*")&gt;0,COUNTIF(I2605,"25*")&gt;0,COUNTIF(J2605,"*25*")&gt;0,COUNTIF(I2605,"26*")&gt;0,COUNTIF(J2605,"*26*")&gt;0,COUNTIF(I2605,"27*")&gt;0,COUNTIF(J2605,"*27*")&gt;0,COUNTIF(I2605,"28*")&gt;0,COUNTIF(J2605,"*28*")&gt;0,COUNTIF(I2605,"29*")&gt;0,COUNTIF(J2605,"*29*")&gt;0,COUNTIF(I2605,"30*")&gt;0,COUNTIF(J2605,"*30*")&gt;0,COUNTIF(I2605,"31*")&gt;0,COUNTIF(J2605,"*31*")&gt;0,COUNTIF(I2605,"32*")&gt;0,COUNTIF(J2605,"*32*")&gt;0,COUNTIF(I2605,"33*")&gt;0,COUNTIF(J2605,"*33*")&gt;0,COUNTIF(I2605,"41*")&gt;0,COUNTIF(J2605,"*41*")&gt;0,COUNTIF(I2605,"42*")&gt;0,COUNTIF(J2605,"*42*")&gt;0,COUNTIF(I2605,"43*")&gt;0,COUNTIF(J2605,"*43*")&gt;0,COUNTIF(I2605,"49*")&gt;0,COUNTIF(J2605,"*49*")&gt;0,COUNTIF(I2605,"52*")&gt;0,COUNTIF(J2605,"*52*")&gt;0,COUNTIF(I2605,"55*")&gt;0,COUNTIF(J2605,"*55*")&gt;0,COUNTIF(I2605,"56*")&gt;0,COUNTIF(J2605,"*56*")&gt;0,COUNTIF(I2605,"68*")&gt;0,COUNTIF(J2605,"*68*")&gt;0,COUNTIF(I2605,"78*")&gt;0,COUNTIF(J2605,"*78*")&gt;0,COUNTIF(I2605,"81*")&gt;0,COUNTIF(J2605,"*81*")&gt;0,COUNTIF(I2605,"82*")&gt;0,COUNTIF(J2605,"*82*")&gt;0,COUNTIF(I2605,"64*")&gt;0,COUNTIF(J2605,"*64*")&gt;0,COUNTIF(I2605,"65*")&gt;0,COUNTIF(J2605,"*65*")&gt;0,COUNTIF(I2605,"66*")&gt;0,COUNTIF(J2605,"*66*")&gt;0,COUNTIF(I2605,"61*")&gt;0,COUNTIF(J2605,"*61*")&gt;0,COUNTIF(I2605,"62*")&gt;0,COUNTIF(J2605,"*62*")&gt;0,COUNTIF(I2605,"63*")&gt;0,COUNTIF(J2605,"*63*")&gt;0,COUNTIF(I2605,"85*")&gt;0,COUNTIF(J2605,"*85*")&gt;0,COUNTIF(I2605,"86*")&gt;0,COUNTIF(J2605,"*86*")&gt;0),"Да","Нет"))</f>
        <v/>
      </c>
      <c r="M2605" s="13">
        <f>IF(OR(G2605="",L2605&lt;&gt;"Да"),"",IF(G2605&lt;=100,"До 100",IF(G2605&lt;=200,"До 200",IF(G2605&lt;=500,"До 500","Отдельное КП"))))</f>
        <v/>
      </c>
      <c r="N2605" s="15">
        <f>IF(OR(G2605="",L2605&lt;&gt;"Да"),"",IF(G2605&lt;=100,33600,IF(G2605&lt;=200,62400,IF(G2605&lt;=500,144000,""))))</f>
        <v/>
      </c>
      <c r="O2605" s="16">
        <f>IF(G2605="","",IF(G2605&lt;=15,"1–15",IF(G2605&lt;=30,"16–30",IF(G2605&lt;=50,"31–50",IF(G2605&lt;=100,"51–100",IF(G2605&lt;=150,"101–150",IF(G2605&lt;=200,"151–200",IF(G2605&lt;=500,"201–500","500+"))))))))</f>
        <v/>
      </c>
      <c r="P2605" s="16" t="inlineStr">
        <is>
          <t>Нет совпадения в предоставленной выгрузке ССЧР</t>
        </is>
      </c>
      <c r="Q2605" s="16" t="n"/>
      <c r="R2605" s="16">
        <f>HYPERLINK("https://checko.ru/search?query=3801001629","Чекко: проверить")</f>
        <v/>
      </c>
      <c r="S2605" t="n">
        <v>0</v>
      </c>
    </row>
    <row r="2606" ht="15" customHeight="1" s="24">
      <c r="A2606" s="13" t="n">
        <v>5000095274</v>
      </c>
      <c r="B2606" s="13" t="inlineStr">
        <is>
          <t>МКУ СШ "Нальчик"</t>
        </is>
      </c>
      <c r="C2606" s="13" t="n">
        <v>726002872</v>
      </c>
      <c r="D2606" s="13" t="n"/>
      <c r="E2606" s="13" t="inlineStr">
        <is>
          <t>Не определён</t>
        </is>
      </c>
      <c r="F2606" s="13" t="inlineStr">
        <is>
          <t>726002872</t>
        </is>
      </c>
      <c r="G2606" s="14" t="n"/>
      <c r="H2606" s="14" t="n"/>
      <c r="I2606" s="14" t="n"/>
      <c r="J2606" s="14" t="n"/>
      <c r="K2606" s="13">
        <f>IF(G2606="","",IF(G2606&gt;=22,"Да","Нет"))</f>
        <v/>
      </c>
      <c r="L2606" s="13">
        <f>IF(OR(I2606="",J2606=""),"Не определено",IF(OR(COUNTIF(I2606,"45*")&gt;0,COUNTIF(J2606,"*45*")&gt;0,COUNTIF(I2606,"46*")&gt;0,COUNTIF(J2606,"*46*")&gt;0,COUNTIF(I2606,"47*")&gt;0,COUNTIF(J2606,"*47*")&gt;0,COUNTIF(I2606,"10*")&gt;0,COUNTIF(J2606,"*10*")&gt;0,COUNTIF(I2606,"11*")&gt;0,COUNTIF(J2606,"*11*")&gt;0,COUNTIF(I2606,"12*")&gt;0,COUNTIF(J2606,"*12*")&gt;0,COUNTIF(I2606,"13*")&gt;0,COUNTIF(J2606,"*13*")&gt;0,COUNTIF(I2606,"14*")&gt;0,COUNTIF(J2606,"*14*")&gt;0,COUNTIF(I2606,"15*")&gt;0,COUNTIF(J2606,"*15*")&gt;0,COUNTIF(I2606,"16*")&gt;0,COUNTIF(J2606,"*16*")&gt;0,COUNTIF(I2606,"17*")&gt;0,COUNTIF(J2606,"*17*")&gt;0,COUNTIF(I2606,"18*")&gt;0,COUNTIF(J2606,"*18*")&gt;0,COUNTIF(I2606,"19*")&gt;0,COUNTIF(J2606,"*19*")&gt;0,COUNTIF(I2606,"20*")&gt;0,COUNTIF(J2606,"*20*")&gt;0,COUNTIF(I2606,"21*")&gt;0,COUNTIF(J2606,"*21*")&gt;0,COUNTIF(I2606,"22*")&gt;0,COUNTIF(J2606,"*22*")&gt;0,COUNTIF(I2606,"23*")&gt;0,COUNTIF(J2606,"*23*")&gt;0,COUNTIF(I2606,"24*")&gt;0,COUNTIF(J2606,"*24*")&gt;0,COUNTIF(I2606,"25*")&gt;0,COUNTIF(J2606,"*25*")&gt;0,COUNTIF(I2606,"26*")&gt;0,COUNTIF(J2606,"*26*")&gt;0,COUNTIF(I2606,"27*")&gt;0,COUNTIF(J2606,"*27*")&gt;0,COUNTIF(I2606,"28*")&gt;0,COUNTIF(J2606,"*28*")&gt;0,COUNTIF(I2606,"29*")&gt;0,COUNTIF(J2606,"*29*")&gt;0,COUNTIF(I2606,"30*")&gt;0,COUNTIF(J2606,"*30*")&gt;0,COUNTIF(I2606,"31*")&gt;0,COUNTIF(J2606,"*31*")&gt;0,COUNTIF(I2606,"32*")&gt;0,COUNTIF(J2606,"*32*")&gt;0,COUNTIF(I2606,"33*")&gt;0,COUNTIF(J2606,"*33*")&gt;0,COUNTIF(I2606,"41*")&gt;0,COUNTIF(J2606,"*41*")&gt;0,COUNTIF(I2606,"42*")&gt;0,COUNTIF(J2606,"*42*")&gt;0,COUNTIF(I2606,"43*")&gt;0,COUNTIF(J2606,"*43*")&gt;0,COUNTIF(I2606,"49*")&gt;0,COUNTIF(J2606,"*49*")&gt;0,COUNTIF(I2606,"52*")&gt;0,COUNTIF(J2606,"*52*")&gt;0,COUNTIF(I2606,"55*")&gt;0,COUNTIF(J2606,"*55*")&gt;0,COUNTIF(I2606,"56*")&gt;0,COUNTIF(J2606,"*56*")&gt;0,COUNTIF(I2606,"68*")&gt;0,COUNTIF(J2606,"*68*")&gt;0,COUNTIF(I2606,"78*")&gt;0,COUNTIF(J2606,"*78*")&gt;0,COUNTIF(I2606,"81*")&gt;0,COUNTIF(J2606,"*81*")&gt;0,COUNTIF(I2606,"82*")&gt;0,COUNTIF(J2606,"*82*")&gt;0,COUNTIF(I2606,"64*")&gt;0,COUNTIF(J2606,"*64*")&gt;0,COUNTIF(I2606,"65*")&gt;0,COUNTIF(J2606,"*65*")&gt;0,COUNTIF(I2606,"66*")&gt;0,COUNTIF(J2606,"*66*")&gt;0,COUNTIF(I2606,"61*")&gt;0,COUNTIF(J2606,"*61*")&gt;0,COUNTIF(I2606,"62*")&gt;0,COUNTIF(J2606,"*62*")&gt;0,COUNTIF(I2606,"63*")&gt;0,COUNTIF(J2606,"*63*")&gt;0,COUNTIF(I2606,"85*")&gt;0,COUNTIF(J2606,"*85*")&gt;0,COUNTIF(I2606,"86*")&gt;0,COUNTIF(J2606,"*86*")&gt;0),"Да","Нет"))</f>
        <v/>
      </c>
      <c r="M2606" s="13">
        <f>IF(OR(G2606="",L2606&lt;&gt;"Да"),"",IF(G2606&lt;=100,"До 100",IF(G2606&lt;=200,"До 200",IF(G2606&lt;=500,"До 500","Отдельное КП"))))</f>
        <v/>
      </c>
      <c r="N2606" s="15">
        <f>IF(OR(G2606="",L2606&lt;&gt;"Да"),"",IF(G2606&lt;=100,33600,IF(G2606&lt;=200,62400,IF(G2606&lt;=500,144000,""))))</f>
        <v/>
      </c>
      <c r="O2606" s="16">
        <f>IF(G2606="","",IF(G2606&lt;=15,"1–15",IF(G2606&lt;=30,"16–30",IF(G2606&lt;=50,"31–50",IF(G2606&lt;=100,"51–100",IF(G2606&lt;=150,"101–150",IF(G2606&lt;=200,"151–200",IF(G2606&lt;=500,"201–500","500+"))))))))</f>
        <v/>
      </c>
      <c r="P2606" s="16" t="inlineStr">
        <is>
          <t>Нет совпадения в предоставленной выгрузке ССЧР</t>
        </is>
      </c>
      <c r="Q2606" s="16" t="n"/>
      <c r="R2606" s="16">
        <f>HYPERLINK("https://checko.ru/search?query=3801001629","Чекко: проверить")</f>
        <v/>
      </c>
      <c r="S2606" t="n">
        <v>0</v>
      </c>
    </row>
    <row r="2607" ht="27.75" customHeight="1" s="24">
      <c r="A2607" s="13" t="n">
        <v>5000001420</v>
      </c>
      <c r="B2607" s="13" t="inlineStr">
        <is>
          <t>ОГАУ Центр по сохранению историко-культурного наследия Иркутской области</t>
        </is>
      </c>
      <c r="C2607" s="13" t="n">
        <v>3808002646</v>
      </c>
      <c r="D2607" s="13" t="inlineStr">
        <is>
          <t>3808002646</t>
        </is>
      </c>
      <c r="E2607" s="13" t="inlineStr">
        <is>
          <t>ЮЛ РФ</t>
        </is>
      </c>
      <c r="F2607" s="13" t="n"/>
      <c r="G2607" s="14" t="n"/>
      <c r="H2607" s="14" t="n"/>
      <c r="I2607" s="14" t="n"/>
      <c r="J2607" s="14" t="n"/>
      <c r="K2607" s="53" t="inlineStr"/>
      <c r="L2607" s="53" t="inlineStr">
        <is>
          <t>Не определено</t>
        </is>
      </c>
      <c r="M2607" s="53" t="inlineStr"/>
      <c r="N2607" s="54" t="inlineStr"/>
      <c r="O2607" s="55" t="inlineStr"/>
      <c r="P2607" s="16" t="inlineStr">
        <is>
          <t>Требует обогащения</t>
        </is>
      </c>
      <c r="Q2607" s="16">
        <f>HYPERLINK("https://pb.nalog.ru/search.html?query=3808002646","ФНС: проверить")</f>
        <v/>
      </c>
      <c r="R2607" s="16">
        <f>HYPERLINK("https://checko.ru/search?query=3801001629","Чекко: проверить")</f>
        <v/>
      </c>
      <c r="S2607" t="n">
        <v>1</v>
      </c>
      <c r="T2607" s="35" t="inlineStr">
        <is>
          <t>4 — Не обогащён</t>
        </is>
      </c>
      <c r="U2607" s="35" t="inlineStr">
        <is>
          <t>Нет ОКВЭД/ССЧР</t>
        </is>
      </c>
      <c r="V2607" s="35" t="inlineStr">
        <is>
          <t>Не определено</t>
        </is>
      </c>
      <c r="W2607" s="35" t="inlineStr"/>
      <c r="X2607" s="35" t="inlineStr"/>
    </row>
    <row r="2608" ht="81.75" customHeight="1" s="24">
      <c r="A2608" s="13" t="n">
        <v>5000106141</v>
      </c>
      <c r="B2608" s="13" t="inlineStr">
        <is>
          <t>МУНИЦИПАЛЬНОЕ БЮДЖЕТНОЕ ОБЩЕОБРАЗОВАТЕЛЬНОЕ УЧРЕЖДЕНИЕ "БАКЛАНОВСКАЯ СРЕДНЯЯ ОБЩЕОБРАЗОВАТЕЛЬНАЯ ШКОЛА" СОРОЧИНСКОГО ГОРОДСКОГО ОКРУГА ОРЕНБУРГСКОЙ ОБ</t>
        </is>
      </c>
      <c r="C2608" s="13" t="n">
        <v>5647005340</v>
      </c>
      <c r="D2608" s="13" t="inlineStr">
        <is>
          <t>5647005340</t>
        </is>
      </c>
      <c r="E2608" s="13" t="inlineStr">
        <is>
          <t>ЮЛ РФ</t>
        </is>
      </c>
      <c r="F2608" s="13" t="n"/>
      <c r="G2608" s="14" t="n"/>
      <c r="H2608" s="14" t="n"/>
      <c r="I2608" s="14" t="n"/>
      <c r="J2608" s="14" t="n"/>
      <c r="K2608" s="53" t="inlineStr"/>
      <c r="L2608" s="53" t="inlineStr">
        <is>
          <t>Не определено</t>
        </is>
      </c>
      <c r="M2608" s="53" t="inlineStr"/>
      <c r="N2608" s="54" t="inlineStr"/>
      <c r="O2608" s="55" t="inlineStr"/>
      <c r="P2608" s="16" t="inlineStr">
        <is>
          <t>Требует обогащения</t>
        </is>
      </c>
      <c r="Q2608" s="16">
        <f>HYPERLINK("https://pb.nalog.ru/search.html?query=5647005340","ФНС: проверить")</f>
        <v/>
      </c>
      <c r="R2608" s="16">
        <f>HYPERLINK("https://checko.ru/search?query=3801001629","Чекко: проверить")</f>
        <v/>
      </c>
      <c r="S2608" t="n">
        <v>1</v>
      </c>
      <c r="T2608" s="35" t="inlineStr">
        <is>
          <t>4 — Не обогащён</t>
        </is>
      </c>
      <c r="U2608" s="35" t="inlineStr">
        <is>
          <t>Нет ОКВЭД/ССЧР</t>
        </is>
      </c>
      <c r="V2608" s="35" t="inlineStr">
        <is>
          <t>Не определено</t>
        </is>
      </c>
      <c r="W2608" s="35" t="inlineStr"/>
      <c r="X2608" s="35" t="inlineStr"/>
    </row>
    <row r="2609" ht="15" customHeight="1" s="24">
      <c r="A2609" s="13" t="n">
        <v>5000002206</v>
      </c>
      <c r="B2609" s="13" t="inlineStr">
        <is>
          <t>ОГБУЗ "Усольская городская  больница"</t>
        </is>
      </c>
      <c r="C2609" s="13" t="n">
        <v>3819012290</v>
      </c>
      <c r="D2609" s="13" t="inlineStr">
        <is>
          <t>3819012290</t>
        </is>
      </c>
      <c r="E2609" s="13" t="inlineStr">
        <is>
          <t>ЮЛ РФ</t>
        </is>
      </c>
      <c r="F2609" s="13" t="n"/>
      <c r="G2609" s="14" t="n"/>
      <c r="H2609" s="14" t="n"/>
      <c r="I2609" s="14" t="n"/>
      <c r="J2609" s="14" t="n"/>
      <c r="K2609" s="53" t="inlineStr"/>
      <c r="L2609" s="53" t="inlineStr">
        <is>
          <t>Не определено</t>
        </is>
      </c>
      <c r="M2609" s="53" t="inlineStr"/>
      <c r="N2609" s="54" t="inlineStr"/>
      <c r="O2609" s="55" t="inlineStr"/>
      <c r="P2609" s="16" t="inlineStr">
        <is>
          <t>Требует обогащения</t>
        </is>
      </c>
      <c r="Q2609" s="16">
        <f>HYPERLINK("https://pb.nalog.ru/search.html?query=3819012290","ФНС: проверить")</f>
        <v/>
      </c>
      <c r="R2609" s="16">
        <f>HYPERLINK("https://checko.ru/search?query=3801001629","Чекко: проверить")</f>
        <v/>
      </c>
      <c r="S2609" t="n">
        <v>1</v>
      </c>
      <c r="T2609" s="35" t="inlineStr">
        <is>
          <t>4 — Не обогащён</t>
        </is>
      </c>
      <c r="U2609" s="35" t="inlineStr">
        <is>
          <t>Нет ОКВЭД/ССЧР</t>
        </is>
      </c>
      <c r="V2609" s="35" t="inlineStr">
        <is>
          <t>Не определено</t>
        </is>
      </c>
      <c r="W2609" s="35" t="inlineStr"/>
      <c r="X2609" s="35" t="inlineStr"/>
    </row>
    <row r="2610" ht="27.75" customHeight="1" s="24">
      <c r="A2610" s="13" t="n">
        <v>5000094440</v>
      </c>
      <c r="B2610" s="13" t="inlineStr">
        <is>
          <t>МУ «Комитет по управлению имуществом Баксанского муниципального района»</t>
        </is>
      </c>
      <c r="C2610" s="13" t="n">
        <v>701005744</v>
      </c>
      <c r="D2610" s="13" t="n"/>
      <c r="E2610" s="13" t="inlineStr">
        <is>
          <t>Не определён</t>
        </is>
      </c>
      <c r="F2610" s="13" t="inlineStr">
        <is>
          <t>701005744</t>
        </is>
      </c>
      <c r="G2610" s="14" t="n"/>
      <c r="H2610" s="14" t="n"/>
      <c r="I2610" s="14" t="n"/>
      <c r="J2610" s="14" t="n"/>
      <c r="K2610" s="13">
        <f>IF(G2610="","",IF(G2610&gt;=22,"Да","Нет"))</f>
        <v/>
      </c>
      <c r="L2610" s="13">
        <f>IF(OR(I2610="",J2610=""),"Не определено",IF(OR(COUNTIF(I2610,"45*")&gt;0,COUNTIF(J2610,"*45*")&gt;0,COUNTIF(I2610,"46*")&gt;0,COUNTIF(J2610,"*46*")&gt;0,COUNTIF(I2610,"47*")&gt;0,COUNTIF(J2610,"*47*")&gt;0,COUNTIF(I2610,"10*")&gt;0,COUNTIF(J2610,"*10*")&gt;0,COUNTIF(I2610,"11*")&gt;0,COUNTIF(J2610,"*11*")&gt;0,COUNTIF(I2610,"12*")&gt;0,COUNTIF(J2610,"*12*")&gt;0,COUNTIF(I2610,"13*")&gt;0,COUNTIF(J2610,"*13*")&gt;0,COUNTIF(I2610,"14*")&gt;0,COUNTIF(J2610,"*14*")&gt;0,COUNTIF(I2610,"15*")&gt;0,COUNTIF(J2610,"*15*")&gt;0,COUNTIF(I2610,"16*")&gt;0,COUNTIF(J2610,"*16*")&gt;0,COUNTIF(I2610,"17*")&gt;0,COUNTIF(J2610,"*17*")&gt;0,COUNTIF(I2610,"18*")&gt;0,COUNTIF(J2610,"*18*")&gt;0,COUNTIF(I2610,"19*")&gt;0,COUNTIF(J2610,"*19*")&gt;0,COUNTIF(I2610,"20*")&gt;0,COUNTIF(J2610,"*20*")&gt;0,COUNTIF(I2610,"21*")&gt;0,COUNTIF(J2610,"*21*")&gt;0,COUNTIF(I2610,"22*")&gt;0,COUNTIF(J2610,"*22*")&gt;0,COUNTIF(I2610,"23*")&gt;0,COUNTIF(J2610,"*23*")&gt;0,COUNTIF(I2610,"24*")&gt;0,COUNTIF(J2610,"*24*")&gt;0,COUNTIF(I2610,"25*")&gt;0,COUNTIF(J2610,"*25*")&gt;0,COUNTIF(I2610,"26*")&gt;0,COUNTIF(J2610,"*26*")&gt;0,COUNTIF(I2610,"27*")&gt;0,COUNTIF(J2610,"*27*")&gt;0,COUNTIF(I2610,"28*")&gt;0,COUNTIF(J2610,"*28*")&gt;0,COUNTIF(I2610,"29*")&gt;0,COUNTIF(J2610,"*29*")&gt;0,COUNTIF(I2610,"30*")&gt;0,COUNTIF(J2610,"*30*")&gt;0,COUNTIF(I2610,"31*")&gt;0,COUNTIF(J2610,"*31*")&gt;0,COUNTIF(I2610,"32*")&gt;0,COUNTIF(J2610,"*32*")&gt;0,COUNTIF(I2610,"33*")&gt;0,COUNTIF(J2610,"*33*")&gt;0,COUNTIF(I2610,"41*")&gt;0,COUNTIF(J2610,"*41*")&gt;0,COUNTIF(I2610,"42*")&gt;0,COUNTIF(J2610,"*42*")&gt;0,COUNTIF(I2610,"43*")&gt;0,COUNTIF(J2610,"*43*")&gt;0,COUNTIF(I2610,"49*")&gt;0,COUNTIF(J2610,"*49*")&gt;0,COUNTIF(I2610,"52*")&gt;0,COUNTIF(J2610,"*52*")&gt;0,COUNTIF(I2610,"55*")&gt;0,COUNTIF(J2610,"*55*")&gt;0,COUNTIF(I2610,"56*")&gt;0,COUNTIF(J2610,"*56*")&gt;0,COUNTIF(I2610,"68*")&gt;0,COUNTIF(J2610,"*68*")&gt;0,COUNTIF(I2610,"78*")&gt;0,COUNTIF(J2610,"*78*")&gt;0,COUNTIF(I2610,"81*")&gt;0,COUNTIF(J2610,"*81*")&gt;0,COUNTIF(I2610,"82*")&gt;0,COUNTIF(J2610,"*82*")&gt;0,COUNTIF(I2610,"64*")&gt;0,COUNTIF(J2610,"*64*")&gt;0,COUNTIF(I2610,"65*")&gt;0,COUNTIF(J2610,"*65*")&gt;0,COUNTIF(I2610,"66*")&gt;0,COUNTIF(J2610,"*66*")&gt;0,COUNTIF(I2610,"61*")&gt;0,COUNTIF(J2610,"*61*")&gt;0,COUNTIF(I2610,"62*")&gt;0,COUNTIF(J2610,"*62*")&gt;0,COUNTIF(I2610,"63*")&gt;0,COUNTIF(J2610,"*63*")&gt;0,COUNTIF(I2610,"85*")&gt;0,COUNTIF(J2610,"*85*")&gt;0,COUNTIF(I2610,"86*")&gt;0,COUNTIF(J2610,"*86*")&gt;0),"Да","Нет"))</f>
        <v/>
      </c>
      <c r="M2610" s="13">
        <f>IF(OR(G2610="",L2610&lt;&gt;"Да"),"",IF(G2610&lt;=100,"До 100",IF(G2610&lt;=200,"До 200",IF(G2610&lt;=500,"До 500","Отдельное КП"))))</f>
        <v/>
      </c>
      <c r="N2610" s="15">
        <f>IF(OR(G2610="",L2610&lt;&gt;"Да"),"",IF(G2610&lt;=100,33600,IF(G2610&lt;=200,62400,IF(G2610&lt;=500,144000,""))))</f>
        <v/>
      </c>
      <c r="O2610" s="16">
        <f>IF(G2610="","",IF(G2610&lt;=15,"1–15",IF(G2610&lt;=30,"16–30",IF(G2610&lt;=50,"31–50",IF(G2610&lt;=100,"51–100",IF(G2610&lt;=150,"101–150",IF(G2610&lt;=200,"151–200",IF(G2610&lt;=500,"201–500","500+"))))))))</f>
        <v/>
      </c>
      <c r="P2610" s="16" t="inlineStr">
        <is>
          <t>Нет совпадения в предоставленной выгрузке ССЧР</t>
        </is>
      </c>
      <c r="Q2610" s="16" t="n"/>
      <c r="R2610" s="16">
        <f>HYPERLINK("https://checko.ru/search?query=3801001629","Чекко: проверить")</f>
        <v/>
      </c>
      <c r="S2610" t="n">
        <v>0</v>
      </c>
    </row>
    <row r="2611" ht="15" customHeight="1" s="24">
      <c r="A2611" s="13" t="n">
        <v>5000042547</v>
      </c>
      <c r="B2611" s="13" t="inlineStr">
        <is>
          <t>МДОУ Газ-Заводский дс</t>
        </is>
      </c>
      <c r="C2611" s="13" t="n">
        <v>7504001542</v>
      </c>
      <c r="D2611" s="13" t="inlineStr">
        <is>
          <t>7504001542</t>
        </is>
      </c>
      <c r="E2611" s="13" t="inlineStr">
        <is>
          <t>ЮЛ РФ</t>
        </is>
      </c>
      <c r="F2611" s="13" t="n"/>
      <c r="G2611" s="14" t="n"/>
      <c r="H2611" s="14" t="n"/>
      <c r="I2611" s="14" t="n"/>
      <c r="J2611" s="14" t="n"/>
      <c r="K2611" s="53" t="inlineStr"/>
      <c r="L2611" s="53" t="inlineStr">
        <is>
          <t>Не определено</t>
        </is>
      </c>
      <c r="M2611" s="53" t="inlineStr"/>
      <c r="N2611" s="54" t="inlineStr"/>
      <c r="O2611" s="55" t="inlineStr"/>
      <c r="P2611" s="16" t="inlineStr">
        <is>
          <t>Требует обогащения</t>
        </is>
      </c>
      <c r="Q2611" s="16">
        <f>HYPERLINK("https://pb.nalog.ru/search.html?query=7504001542","ФНС: проверить")</f>
        <v/>
      </c>
      <c r="R2611" s="16">
        <f>HYPERLINK("https://checko.ru/search?query=3801001629","Чекко: проверить")</f>
        <v/>
      </c>
      <c r="S2611" t="n">
        <v>1</v>
      </c>
      <c r="T2611" s="35" t="inlineStr">
        <is>
          <t>4 — Не обогащён</t>
        </is>
      </c>
      <c r="U2611" s="35" t="inlineStr">
        <is>
          <t>Нет ОКВЭД/ССЧР</t>
        </is>
      </c>
      <c r="V2611" s="35" t="inlineStr">
        <is>
          <t>Не определено</t>
        </is>
      </c>
      <c r="W2611" s="35" t="inlineStr"/>
      <c r="X2611" s="35" t="inlineStr"/>
    </row>
    <row r="2612" ht="15" customHeight="1" s="24">
      <c r="A2612" s="13" t="n">
        <v>5000042548</v>
      </c>
      <c r="B2612" s="13" t="inlineStr">
        <is>
          <t>МДОУ Зеренский дс</t>
        </is>
      </c>
      <c r="C2612" s="13" t="n">
        <v>7504001550</v>
      </c>
      <c r="D2612" s="13" t="inlineStr">
        <is>
          <t>7504001550</t>
        </is>
      </c>
      <c r="E2612" s="13" t="inlineStr">
        <is>
          <t>ЮЛ РФ</t>
        </is>
      </c>
      <c r="F2612" s="13" t="n"/>
      <c r="G2612" s="14" t="n"/>
      <c r="H2612" s="14" t="n"/>
      <c r="I2612" s="14" t="n"/>
      <c r="J2612" s="14" t="n"/>
      <c r="K2612" s="53" t="inlineStr"/>
      <c r="L2612" s="53" t="inlineStr">
        <is>
          <t>Не определено</t>
        </is>
      </c>
      <c r="M2612" s="53" t="inlineStr"/>
      <c r="N2612" s="54" t="inlineStr"/>
      <c r="O2612" s="55" t="inlineStr"/>
      <c r="P2612" s="16" t="inlineStr">
        <is>
          <t>Требует обогащения</t>
        </is>
      </c>
      <c r="Q2612" s="16">
        <f>HYPERLINK("https://pb.nalog.ru/search.html?query=7504001550","ФНС: проверить")</f>
        <v/>
      </c>
      <c r="R2612" s="16">
        <f>HYPERLINK("https://checko.ru/search?query=3801001629","Чекко: проверить")</f>
        <v/>
      </c>
      <c r="S2612" t="n">
        <v>1</v>
      </c>
      <c r="T2612" s="35" t="inlineStr">
        <is>
          <t>4 — Не обогащён</t>
        </is>
      </c>
      <c r="U2612" s="35" t="inlineStr">
        <is>
          <t>Нет ОКВЭД/ССЧР</t>
        </is>
      </c>
      <c r="V2612" s="35" t="inlineStr">
        <is>
          <t>Не определено</t>
        </is>
      </c>
      <c r="W2612" s="35" t="inlineStr"/>
      <c r="X2612" s="35" t="inlineStr"/>
    </row>
    <row r="2613" ht="15" customHeight="1" s="24">
      <c r="A2613" s="13" t="n">
        <v>5000042551</v>
      </c>
      <c r="B2613" s="13" t="inlineStr">
        <is>
          <t>МДОУ Тайнинский дс</t>
        </is>
      </c>
      <c r="C2613" s="13" t="n">
        <v>7504001581</v>
      </c>
      <c r="D2613" s="13" t="inlineStr">
        <is>
          <t>7504001581</t>
        </is>
      </c>
      <c r="E2613" s="13" t="inlineStr">
        <is>
          <t>ЮЛ РФ</t>
        </is>
      </c>
      <c r="F2613" s="13" t="n"/>
      <c r="G2613" s="14" t="n"/>
      <c r="H2613" s="14" t="n"/>
      <c r="I2613" s="14" t="n"/>
      <c r="J2613" s="14" t="n"/>
      <c r="K2613" s="53" t="inlineStr"/>
      <c r="L2613" s="53" t="inlineStr">
        <is>
          <t>Не определено</t>
        </is>
      </c>
      <c r="M2613" s="53" t="inlineStr"/>
      <c r="N2613" s="54" t="inlineStr"/>
      <c r="O2613" s="55" t="inlineStr"/>
      <c r="P2613" s="16" t="inlineStr">
        <is>
          <t>Требует обогащения</t>
        </is>
      </c>
      <c r="Q2613" s="16">
        <f>HYPERLINK("https://pb.nalog.ru/search.html?query=7504001581","ФНС: проверить")</f>
        <v/>
      </c>
      <c r="R2613" s="16">
        <f>HYPERLINK("https://checko.ru/search?query=3801001629","Чекко: проверить")</f>
        <v/>
      </c>
      <c r="S2613" t="n">
        <v>1</v>
      </c>
      <c r="T2613" s="35" t="inlineStr">
        <is>
          <t>4 — Не обогащён</t>
        </is>
      </c>
      <c r="U2613" s="35" t="inlineStr">
        <is>
          <t>Нет ОКВЭД/ССЧР</t>
        </is>
      </c>
      <c r="V2613" s="35" t="inlineStr">
        <is>
          <t>Не определено</t>
        </is>
      </c>
      <c r="W2613" s="35" t="inlineStr"/>
      <c r="X2613" s="35" t="inlineStr"/>
    </row>
    <row r="2614" ht="27.75" customHeight="1" s="24">
      <c r="A2614" s="13" t="n">
        <v>5000106088</v>
      </c>
      <c r="B2614" s="13" t="inlineStr">
        <is>
          <t>Государственное учреждение культуры "Областная детская библиотека</t>
        </is>
      </c>
      <c r="C2614" s="13" t="n">
        <v>5612021831</v>
      </c>
      <c r="D2614" s="13" t="inlineStr">
        <is>
          <t>5612021831</t>
        </is>
      </c>
      <c r="E2614" s="13" t="inlineStr">
        <is>
          <t>ЮЛ РФ</t>
        </is>
      </c>
      <c r="F2614" s="13" t="n"/>
      <c r="G2614" s="14" t="n"/>
      <c r="H2614" s="14" t="n"/>
      <c r="I2614" s="14" t="n"/>
      <c r="J2614" s="14" t="n"/>
      <c r="K2614" s="53" t="inlineStr"/>
      <c r="L2614" s="53" t="inlineStr">
        <is>
          <t>Не определено</t>
        </is>
      </c>
      <c r="M2614" s="53" t="inlineStr"/>
      <c r="N2614" s="54" t="inlineStr"/>
      <c r="O2614" s="55" t="inlineStr"/>
      <c r="P2614" s="16" t="inlineStr">
        <is>
          <t>Требует обогащения</t>
        </is>
      </c>
      <c r="Q2614" s="16">
        <f>HYPERLINK("https://pb.nalog.ru/search.html?query=5612021831","ФНС: проверить")</f>
        <v/>
      </c>
      <c r="R2614" s="16">
        <f>HYPERLINK("https://checko.ru/search?query=3801001629","Чекко: проверить")</f>
        <v/>
      </c>
      <c r="S2614" t="n">
        <v>1</v>
      </c>
      <c r="T2614" s="35" t="inlineStr">
        <is>
          <t>4 — Не обогащён</t>
        </is>
      </c>
      <c r="U2614" s="35" t="inlineStr">
        <is>
          <t>Нет ОКВЭД/ССЧР</t>
        </is>
      </c>
      <c r="V2614" s="35" t="inlineStr">
        <is>
          <t>Не определено</t>
        </is>
      </c>
      <c r="W2614" s="35" t="inlineStr"/>
      <c r="X2614" s="35" t="inlineStr"/>
    </row>
    <row r="2615" ht="15" customHeight="1" s="24">
      <c r="A2615" s="13" t="n">
        <v>5000095036</v>
      </c>
      <c r="B2615" s="13" t="inlineStr">
        <is>
          <t>МОУ "Прогимназия №41"</t>
        </is>
      </c>
      <c r="C2615" s="13" t="n">
        <v>711041861</v>
      </c>
      <c r="D2615" s="13" t="n"/>
      <c r="E2615" s="13" t="inlineStr">
        <is>
          <t>Не определён</t>
        </is>
      </c>
      <c r="F2615" s="13" t="inlineStr">
        <is>
          <t>711041861</t>
        </is>
      </c>
      <c r="G2615" s="14" t="n"/>
      <c r="H2615" s="14" t="n"/>
      <c r="I2615" s="14" t="n"/>
      <c r="J2615" s="14" t="n"/>
      <c r="K2615" s="13">
        <f>IF(G2615="","",IF(G2615&gt;=22,"Да","Нет"))</f>
        <v/>
      </c>
      <c r="L2615" s="13">
        <f>IF(OR(I2615="",J2615=""),"Не определено",IF(OR(COUNTIF(I2615,"45*")&gt;0,COUNTIF(J2615,"*45*")&gt;0,COUNTIF(I2615,"46*")&gt;0,COUNTIF(J2615,"*46*")&gt;0,COUNTIF(I2615,"47*")&gt;0,COUNTIF(J2615,"*47*")&gt;0,COUNTIF(I2615,"10*")&gt;0,COUNTIF(J2615,"*10*")&gt;0,COUNTIF(I2615,"11*")&gt;0,COUNTIF(J2615,"*11*")&gt;0,COUNTIF(I2615,"12*")&gt;0,COUNTIF(J2615,"*12*")&gt;0,COUNTIF(I2615,"13*")&gt;0,COUNTIF(J2615,"*13*")&gt;0,COUNTIF(I2615,"14*")&gt;0,COUNTIF(J2615,"*14*")&gt;0,COUNTIF(I2615,"15*")&gt;0,COUNTIF(J2615,"*15*")&gt;0,COUNTIF(I2615,"16*")&gt;0,COUNTIF(J2615,"*16*")&gt;0,COUNTIF(I2615,"17*")&gt;0,COUNTIF(J2615,"*17*")&gt;0,COUNTIF(I2615,"18*")&gt;0,COUNTIF(J2615,"*18*")&gt;0,COUNTIF(I2615,"19*")&gt;0,COUNTIF(J2615,"*19*")&gt;0,COUNTIF(I2615,"20*")&gt;0,COUNTIF(J2615,"*20*")&gt;0,COUNTIF(I2615,"21*")&gt;0,COUNTIF(J2615,"*21*")&gt;0,COUNTIF(I2615,"22*")&gt;0,COUNTIF(J2615,"*22*")&gt;0,COUNTIF(I2615,"23*")&gt;0,COUNTIF(J2615,"*23*")&gt;0,COUNTIF(I2615,"24*")&gt;0,COUNTIF(J2615,"*24*")&gt;0,COUNTIF(I2615,"25*")&gt;0,COUNTIF(J2615,"*25*")&gt;0,COUNTIF(I2615,"26*")&gt;0,COUNTIF(J2615,"*26*")&gt;0,COUNTIF(I2615,"27*")&gt;0,COUNTIF(J2615,"*27*")&gt;0,COUNTIF(I2615,"28*")&gt;0,COUNTIF(J2615,"*28*")&gt;0,COUNTIF(I2615,"29*")&gt;0,COUNTIF(J2615,"*29*")&gt;0,COUNTIF(I2615,"30*")&gt;0,COUNTIF(J2615,"*30*")&gt;0,COUNTIF(I2615,"31*")&gt;0,COUNTIF(J2615,"*31*")&gt;0,COUNTIF(I2615,"32*")&gt;0,COUNTIF(J2615,"*32*")&gt;0,COUNTIF(I2615,"33*")&gt;0,COUNTIF(J2615,"*33*")&gt;0,COUNTIF(I2615,"41*")&gt;0,COUNTIF(J2615,"*41*")&gt;0,COUNTIF(I2615,"42*")&gt;0,COUNTIF(J2615,"*42*")&gt;0,COUNTIF(I2615,"43*")&gt;0,COUNTIF(J2615,"*43*")&gt;0,COUNTIF(I2615,"49*")&gt;0,COUNTIF(J2615,"*49*")&gt;0,COUNTIF(I2615,"52*")&gt;0,COUNTIF(J2615,"*52*")&gt;0,COUNTIF(I2615,"55*")&gt;0,COUNTIF(J2615,"*55*")&gt;0,COUNTIF(I2615,"56*")&gt;0,COUNTIF(J2615,"*56*")&gt;0,COUNTIF(I2615,"68*")&gt;0,COUNTIF(J2615,"*68*")&gt;0,COUNTIF(I2615,"78*")&gt;0,COUNTIF(J2615,"*78*")&gt;0,COUNTIF(I2615,"81*")&gt;0,COUNTIF(J2615,"*81*")&gt;0,COUNTIF(I2615,"82*")&gt;0,COUNTIF(J2615,"*82*")&gt;0,COUNTIF(I2615,"64*")&gt;0,COUNTIF(J2615,"*64*")&gt;0,COUNTIF(I2615,"65*")&gt;0,COUNTIF(J2615,"*65*")&gt;0,COUNTIF(I2615,"66*")&gt;0,COUNTIF(J2615,"*66*")&gt;0,COUNTIF(I2615,"61*")&gt;0,COUNTIF(J2615,"*61*")&gt;0,COUNTIF(I2615,"62*")&gt;0,COUNTIF(J2615,"*62*")&gt;0,COUNTIF(I2615,"63*")&gt;0,COUNTIF(J2615,"*63*")&gt;0,COUNTIF(I2615,"85*")&gt;0,COUNTIF(J2615,"*85*")&gt;0,COUNTIF(I2615,"86*")&gt;0,COUNTIF(J2615,"*86*")&gt;0),"Да","Нет"))</f>
        <v/>
      </c>
      <c r="M2615" s="13">
        <f>IF(OR(G2615="",L2615&lt;&gt;"Да"),"",IF(G2615&lt;=100,"До 100",IF(G2615&lt;=200,"До 200",IF(G2615&lt;=500,"До 500","Отдельное КП"))))</f>
        <v/>
      </c>
      <c r="N2615" s="15">
        <f>IF(OR(G2615="",L2615&lt;&gt;"Да"),"",IF(G2615&lt;=100,33600,IF(G2615&lt;=200,62400,IF(G2615&lt;=500,144000,""))))</f>
        <v/>
      </c>
      <c r="O2615" s="16">
        <f>IF(G2615="","",IF(G2615&lt;=15,"1–15",IF(G2615&lt;=30,"16–30",IF(G2615&lt;=50,"31–50",IF(G2615&lt;=100,"51–100",IF(G2615&lt;=150,"101–150",IF(G2615&lt;=200,"151–200",IF(G2615&lt;=500,"201–500","500+"))))))))</f>
        <v/>
      </c>
      <c r="P2615" s="16" t="inlineStr">
        <is>
          <t>Нет совпадения в предоставленной выгрузке ССЧР</t>
        </is>
      </c>
      <c r="Q2615" s="16" t="n"/>
      <c r="R2615" s="16">
        <f>HYPERLINK("https://checko.ru/search?query=3801001629","Чекко: проверить")</f>
        <v/>
      </c>
      <c r="S2615" t="n">
        <v>0</v>
      </c>
    </row>
    <row r="2616" ht="27.75" customHeight="1" s="24">
      <c r="A2616" s="13" t="n">
        <v>5000101189</v>
      </c>
      <c r="B2616" s="13" t="inlineStr">
        <is>
          <t>Министерство физической культуры, спорта и туризма Оренбургской области</t>
        </is>
      </c>
      <c r="C2616" s="13" t="n">
        <v>5612080763</v>
      </c>
      <c r="D2616" s="13" t="inlineStr">
        <is>
          <t>5612080763</t>
        </is>
      </c>
      <c r="E2616" s="13" t="inlineStr">
        <is>
          <t>ЮЛ РФ</t>
        </is>
      </c>
      <c r="F2616" s="13" t="n"/>
      <c r="G2616" s="14" t="n"/>
      <c r="H2616" s="14" t="n"/>
      <c r="I2616" s="14" t="n"/>
      <c r="J2616" s="14" t="n"/>
      <c r="K2616" s="53" t="inlineStr"/>
      <c r="L2616" s="53" t="inlineStr">
        <is>
          <t>Не определено</t>
        </is>
      </c>
      <c r="M2616" s="53" t="inlineStr"/>
      <c r="N2616" s="54" t="inlineStr"/>
      <c r="O2616" s="55" t="inlineStr"/>
      <c r="P2616" s="16" t="inlineStr">
        <is>
          <t>Требует обогащения</t>
        </is>
      </c>
      <c r="Q2616" s="16">
        <f>HYPERLINK("https://pb.nalog.ru/search.html?query=5612080763","ФНС: проверить")</f>
        <v/>
      </c>
      <c r="R2616" s="16">
        <f>HYPERLINK("https://checko.ru/search?query=3801001629","Чекко: проверить")</f>
        <v/>
      </c>
      <c r="S2616" t="n">
        <v>1</v>
      </c>
      <c r="T2616" s="35" t="inlineStr">
        <is>
          <t>4 — Не обогащён</t>
        </is>
      </c>
      <c r="U2616" s="35" t="inlineStr">
        <is>
          <t>Нет ОКВЭД/ССЧР</t>
        </is>
      </c>
      <c r="V2616" s="35" t="inlineStr">
        <is>
          <t>Не определено</t>
        </is>
      </c>
      <c r="W2616" s="35" t="inlineStr"/>
      <c r="X2616" s="35" t="inlineStr"/>
    </row>
    <row r="2617" ht="27.75" customHeight="1" s="24">
      <c r="A2617" s="13" t="n">
        <v>5000062542</v>
      </c>
      <c r="B2617" s="13" t="inlineStr">
        <is>
          <t>ОГАУСО "Специальный дом - интернат для престарелых и инвалидов в с. Акшуат"</t>
        </is>
      </c>
      <c r="C2617" s="13" t="n">
        <v>7304004049</v>
      </c>
      <c r="D2617" s="13" t="inlineStr">
        <is>
          <t>7304004049</t>
        </is>
      </c>
      <c r="E2617" s="13" t="inlineStr">
        <is>
          <t>ЮЛ РФ</t>
        </is>
      </c>
      <c r="F2617" s="13" t="n"/>
      <c r="G2617" s="14" t="n"/>
      <c r="H2617" s="14" t="n"/>
      <c r="I2617" s="14" t="n"/>
      <c r="J2617" s="14" t="n"/>
      <c r="K2617" s="53" t="inlineStr"/>
      <c r="L2617" s="53" t="inlineStr">
        <is>
          <t>Не определено</t>
        </is>
      </c>
      <c r="M2617" s="53" t="inlineStr"/>
      <c r="N2617" s="54" t="inlineStr"/>
      <c r="O2617" s="55" t="inlineStr"/>
      <c r="P2617" s="16" t="inlineStr">
        <is>
          <t>Требует обогащения</t>
        </is>
      </c>
      <c r="Q2617" s="16">
        <f>HYPERLINK("https://pb.nalog.ru/search.html?query=7304004049","ФНС: проверить")</f>
        <v/>
      </c>
      <c r="R2617" s="16">
        <f>HYPERLINK("https://checko.ru/search?query=3801001629","Чекко: проверить")</f>
        <v/>
      </c>
      <c r="S2617" t="n">
        <v>1</v>
      </c>
      <c r="T2617" s="35" t="inlineStr">
        <is>
          <t>4 — Не обогащён</t>
        </is>
      </c>
      <c r="U2617" s="35" t="inlineStr">
        <is>
          <t>Нет ОКВЭД/ССЧР</t>
        </is>
      </c>
      <c r="V2617" s="35" t="inlineStr">
        <is>
          <t>Не определено</t>
        </is>
      </c>
      <c r="W2617" s="35" t="inlineStr"/>
      <c r="X2617" s="35" t="inlineStr"/>
    </row>
    <row r="2618" ht="41.25" customHeight="1" s="24">
      <c r="A2618" s="13" t="n">
        <v>5000036228</v>
      </c>
      <c r="B2618" s="13" t="inlineStr">
        <is>
          <t>Областное государственное автономное учреждение "Региональный градостроительный центр"</t>
        </is>
      </c>
      <c r="C2618" s="13" t="n">
        <v>7325137346</v>
      </c>
      <c r="D2618" s="13" t="inlineStr">
        <is>
          <t>7325137346</t>
        </is>
      </c>
      <c r="E2618" s="13" t="inlineStr">
        <is>
          <t>ЮЛ РФ</t>
        </is>
      </c>
      <c r="F2618" s="13" t="n"/>
      <c r="G2618" s="14" t="n"/>
      <c r="H2618" s="14" t="n"/>
      <c r="I2618" s="14" t="n"/>
      <c r="J2618" s="14" t="n"/>
      <c r="K2618" s="53" t="inlineStr"/>
      <c r="L2618" s="53" t="inlineStr">
        <is>
          <t>Не определено</t>
        </is>
      </c>
      <c r="M2618" s="53" t="inlineStr"/>
      <c r="N2618" s="54" t="inlineStr"/>
      <c r="O2618" s="55" t="inlineStr"/>
      <c r="P2618" s="16" t="inlineStr">
        <is>
          <t>Требует обогащения</t>
        </is>
      </c>
      <c r="Q2618" s="16">
        <f>HYPERLINK("https://pb.nalog.ru/search.html?query=7325137346","ФНС: проверить")</f>
        <v/>
      </c>
      <c r="R2618" s="16">
        <f>HYPERLINK("https://checko.ru/search?query=3801001629","Чекко: проверить")</f>
        <v/>
      </c>
      <c r="S2618" t="n">
        <v>1</v>
      </c>
      <c r="T2618" s="35" t="inlineStr">
        <is>
          <t>4 — Не обогащён</t>
        </is>
      </c>
      <c r="U2618" s="35" t="inlineStr">
        <is>
          <t>Нет ОКВЭД/ССЧР</t>
        </is>
      </c>
      <c r="V2618" s="35" t="inlineStr">
        <is>
          <t>Не определено</t>
        </is>
      </c>
      <c r="W2618" s="35" t="inlineStr"/>
      <c r="X2618" s="35" t="inlineStr"/>
    </row>
    <row r="2619" ht="15" customHeight="1" s="24">
      <c r="A2619" s="13" t="n">
        <v>5000001473</v>
      </c>
      <c r="B2619" s="13" t="inlineStr">
        <is>
          <t>ОГКУ "Центр энергоресурсосбережения"</t>
        </is>
      </c>
      <c r="C2619" s="13" t="n">
        <v>3808064177</v>
      </c>
      <c r="D2619" s="13" t="inlineStr">
        <is>
          <t>3808064177</t>
        </is>
      </c>
      <c r="E2619" s="13" t="inlineStr">
        <is>
          <t>ЮЛ РФ</t>
        </is>
      </c>
      <c r="F2619" s="13" t="n"/>
      <c r="G2619" s="14" t="n"/>
      <c r="H2619" s="14" t="n"/>
      <c r="I2619" s="14" t="n"/>
      <c r="J2619" s="14" t="n"/>
      <c r="K2619" s="53" t="inlineStr"/>
      <c r="L2619" s="53" t="inlineStr">
        <is>
          <t>Не определено</t>
        </is>
      </c>
      <c r="M2619" s="53" t="inlineStr"/>
      <c r="N2619" s="54" t="inlineStr"/>
      <c r="O2619" s="55" t="inlineStr"/>
      <c r="P2619" s="16" t="inlineStr">
        <is>
          <t>Требует обогащения</t>
        </is>
      </c>
      <c r="Q2619" s="16">
        <f>HYPERLINK("https://pb.nalog.ru/search.html?query=3808064177","ФНС: проверить")</f>
        <v/>
      </c>
      <c r="R2619" s="16">
        <f>HYPERLINK("https://checko.ru/search?query=3801001629","Чекко: проверить")</f>
        <v/>
      </c>
      <c r="S2619" t="n">
        <v>1</v>
      </c>
      <c r="T2619" s="35" t="inlineStr">
        <is>
          <t>4 — Не обогащён</t>
        </is>
      </c>
      <c r="U2619" s="35" t="inlineStr">
        <is>
          <t>Нет ОКВЭД/ССЧР</t>
        </is>
      </c>
      <c r="V2619" s="35" t="inlineStr">
        <is>
          <t>Не определено</t>
        </is>
      </c>
      <c r="W2619" s="35" t="inlineStr"/>
      <c r="X2619" s="35" t="inlineStr"/>
    </row>
    <row r="2620" ht="15" customHeight="1" s="24">
      <c r="A2620" s="13" t="n">
        <v>5000036252</v>
      </c>
      <c r="B2620" s="13" t="inlineStr">
        <is>
          <t>Информационное агентство "Приволжье - медиа"</t>
        </is>
      </c>
      <c r="C2620" s="13" t="n">
        <v>7310104080</v>
      </c>
      <c r="D2620" s="13" t="inlineStr">
        <is>
          <t>7310104080</t>
        </is>
      </c>
      <c r="E2620" s="13" t="inlineStr">
        <is>
          <t>ЮЛ РФ</t>
        </is>
      </c>
      <c r="F2620" s="13" t="n"/>
      <c r="G2620" s="14" t="n"/>
      <c r="H2620" s="14" t="n"/>
      <c r="I2620" s="14" t="n"/>
      <c r="J2620" s="14" t="n"/>
      <c r="K2620" s="53" t="inlineStr"/>
      <c r="L2620" s="53" t="inlineStr">
        <is>
          <t>Не определено</t>
        </is>
      </c>
      <c r="M2620" s="53" t="inlineStr"/>
      <c r="N2620" s="54" t="inlineStr"/>
      <c r="O2620" s="55" t="inlineStr"/>
      <c r="P2620" s="16" t="inlineStr">
        <is>
          <t>Требует обогащения</t>
        </is>
      </c>
      <c r="Q2620" s="16">
        <f>HYPERLINK("https://pb.nalog.ru/search.html?query=7310104080","ФНС: проверить")</f>
        <v/>
      </c>
      <c r="R2620" s="16">
        <f>HYPERLINK("https://checko.ru/search?query=3801001629","Чекко: проверить")</f>
        <v/>
      </c>
      <c r="S2620" t="n">
        <v>1</v>
      </c>
      <c r="T2620" s="35" t="inlineStr">
        <is>
          <t>4 — Не обогащён</t>
        </is>
      </c>
      <c r="U2620" s="35" t="inlineStr">
        <is>
          <t>Нет ОКВЭД/ССЧР</t>
        </is>
      </c>
      <c r="V2620" s="35" t="inlineStr">
        <is>
          <t>Не определено</t>
        </is>
      </c>
      <c r="W2620" s="35" t="inlineStr"/>
      <c r="X2620" s="35" t="inlineStr"/>
    </row>
    <row r="2621" ht="15" customHeight="1" s="24">
      <c r="A2621" s="13" t="n">
        <v>5000001884</v>
      </c>
      <c r="B2621" s="13" t="inlineStr">
        <is>
          <t>ОГБУЗ «Нукутская районная больница»</t>
        </is>
      </c>
      <c r="C2621" s="13" t="n">
        <v>8504000759</v>
      </c>
      <c r="D2621" s="13" t="inlineStr">
        <is>
          <t>8504000759</t>
        </is>
      </c>
      <c r="E2621" s="13" t="inlineStr">
        <is>
          <t>ЮЛ РФ</t>
        </is>
      </c>
      <c r="F2621" s="13" t="n"/>
      <c r="G2621" s="14" t="n"/>
      <c r="H2621" s="14" t="n"/>
      <c r="I2621" s="14" t="n"/>
      <c r="J2621" s="14" t="n"/>
      <c r="K2621" s="53" t="inlineStr"/>
      <c r="L2621" s="53" t="inlineStr">
        <is>
          <t>Не определено</t>
        </is>
      </c>
      <c r="M2621" s="53" t="inlineStr"/>
      <c r="N2621" s="54" t="inlineStr"/>
      <c r="O2621" s="55" t="inlineStr"/>
      <c r="P2621" s="16" t="inlineStr">
        <is>
          <t>Требует обогащения</t>
        </is>
      </c>
      <c r="Q2621" s="16">
        <f>HYPERLINK("https://pb.nalog.ru/search.html?query=8504000759","ФНС: проверить")</f>
        <v/>
      </c>
      <c r="R2621" s="16">
        <f>HYPERLINK("https://checko.ru/search?query=3801001629","Чекко: проверить")</f>
        <v/>
      </c>
      <c r="S2621" t="n">
        <v>1</v>
      </c>
      <c r="T2621" s="35" t="inlineStr">
        <is>
          <t>4 — Не обогащён</t>
        </is>
      </c>
      <c r="U2621" s="35" t="inlineStr">
        <is>
          <t>Нет ОКВЭД/ССЧР</t>
        </is>
      </c>
      <c r="V2621" s="35" t="inlineStr">
        <is>
          <t>Не определено</t>
        </is>
      </c>
      <c r="W2621" s="35" t="inlineStr"/>
      <c r="X2621" s="35" t="inlineStr"/>
    </row>
    <row r="2622" ht="15" customHeight="1" s="24">
      <c r="A2622" s="13" t="n">
        <v>5000062615</v>
      </c>
      <c r="B2622" s="13" t="inlineStr">
        <is>
          <t>Радищевская Центральная Районная Больница</t>
        </is>
      </c>
      <c r="C2622" s="13" t="n">
        <v>7315010051</v>
      </c>
      <c r="D2622" s="13" t="inlineStr">
        <is>
          <t>7315010051</t>
        </is>
      </c>
      <c r="E2622" s="13" t="inlineStr">
        <is>
          <t>ЮЛ РФ</t>
        </is>
      </c>
      <c r="F2622" s="13" t="n"/>
      <c r="G2622" s="14" t="n"/>
      <c r="H2622" s="14" t="n"/>
      <c r="I2622" s="14" t="n"/>
      <c r="J2622" s="14" t="n"/>
      <c r="K2622" s="53" t="inlineStr"/>
      <c r="L2622" s="53" t="inlineStr">
        <is>
          <t>Не определено</t>
        </is>
      </c>
      <c r="M2622" s="53" t="inlineStr"/>
      <c r="N2622" s="54" t="inlineStr"/>
      <c r="O2622" s="55" t="inlineStr"/>
      <c r="P2622" s="16" t="inlineStr">
        <is>
          <t>Требует обогащения</t>
        </is>
      </c>
      <c r="Q2622" s="16">
        <f>HYPERLINK("https://pb.nalog.ru/search.html?query=7315010051","ФНС: проверить")</f>
        <v/>
      </c>
      <c r="R2622" s="16">
        <f>HYPERLINK("https://checko.ru/search?query=3801001629","Чекко: проверить")</f>
        <v/>
      </c>
      <c r="S2622" t="n">
        <v>1</v>
      </c>
      <c r="T2622" s="35" t="inlineStr">
        <is>
          <t>4 — Не обогащён</t>
        </is>
      </c>
      <c r="U2622" s="35" t="inlineStr">
        <is>
          <t>Нет ОКВЭД/ССЧР</t>
        </is>
      </c>
      <c r="V2622" s="35" t="inlineStr">
        <is>
          <t>Не определено</t>
        </is>
      </c>
      <c r="W2622" s="35" t="inlineStr"/>
      <c r="X2622" s="35" t="inlineStr"/>
    </row>
    <row r="2623" ht="41.25" customHeight="1" s="24">
      <c r="A2623" s="13" t="n">
        <v>5000001875</v>
      </c>
      <c r="B2623" s="13" t="inlineStr">
        <is>
          <t>ОбГОКУ для детей - сирот и детей, оставшихся без попечения родителей, детский дом № 4 г.Шелехов</t>
        </is>
      </c>
      <c r="C2623" s="13" t="n">
        <v>3821006985</v>
      </c>
      <c r="D2623" s="13" t="inlineStr">
        <is>
          <t>3821006985</t>
        </is>
      </c>
      <c r="E2623" s="13" t="inlineStr">
        <is>
          <t>ЮЛ РФ</t>
        </is>
      </c>
      <c r="F2623" s="13" t="n"/>
      <c r="G2623" s="14" t="n"/>
      <c r="H2623" s="14" t="n"/>
      <c r="I2623" s="14" t="n"/>
      <c r="J2623" s="14" t="n"/>
      <c r="K2623" s="53" t="inlineStr"/>
      <c r="L2623" s="53" t="inlineStr">
        <is>
          <t>Не определено</t>
        </is>
      </c>
      <c r="M2623" s="53" t="inlineStr"/>
      <c r="N2623" s="54" t="inlineStr"/>
      <c r="O2623" s="55" t="inlineStr"/>
      <c r="P2623" s="16" t="inlineStr">
        <is>
          <t>Требует обогащения</t>
        </is>
      </c>
      <c r="Q2623" s="16">
        <f>HYPERLINK("https://pb.nalog.ru/search.html?query=3821006985","ФНС: проверить")</f>
        <v/>
      </c>
      <c r="R2623" s="16">
        <f>HYPERLINK("https://checko.ru/search?query=3801001629","Чекко: проверить")</f>
        <v/>
      </c>
      <c r="S2623" t="n">
        <v>1</v>
      </c>
      <c r="T2623" s="35" t="inlineStr">
        <is>
          <t>4 — Не обогащён</t>
        </is>
      </c>
      <c r="U2623" s="35" t="inlineStr">
        <is>
          <t>Нет ОКВЭД/ССЧР</t>
        </is>
      </c>
      <c r="V2623" s="35" t="inlineStr">
        <is>
          <t>Не определено</t>
        </is>
      </c>
      <c r="W2623" s="35" t="inlineStr"/>
      <c r="X2623" s="35" t="inlineStr"/>
    </row>
    <row r="2624" ht="15" customHeight="1" s="24">
      <c r="A2624" s="13" t="n">
        <v>5000008571</v>
      </c>
      <c r="B2624" s="13" t="inlineStr">
        <is>
          <t>УФССП России по Оренбургской области</t>
        </is>
      </c>
      <c r="C2624" s="13" t="n">
        <v>5611032615</v>
      </c>
      <c r="D2624" s="13" t="inlineStr">
        <is>
          <t>5611032615</t>
        </is>
      </c>
      <c r="E2624" s="13" t="inlineStr">
        <is>
          <t>ЮЛ РФ</t>
        </is>
      </c>
      <c r="F2624" s="13" t="n"/>
      <c r="G2624" s="14" t="n"/>
      <c r="H2624" s="14" t="n"/>
      <c r="I2624" s="14" t="n"/>
      <c r="J2624" s="14" t="n"/>
      <c r="K2624" s="53" t="inlineStr"/>
      <c r="L2624" s="53" t="inlineStr">
        <is>
          <t>Не определено</t>
        </is>
      </c>
      <c r="M2624" s="53" t="inlineStr"/>
      <c r="N2624" s="54" t="inlineStr"/>
      <c r="O2624" s="55" t="inlineStr"/>
      <c r="P2624" s="16" t="inlineStr">
        <is>
          <t>Требует обогащения</t>
        </is>
      </c>
      <c r="Q2624" s="16">
        <f>HYPERLINK("https://pb.nalog.ru/search.html?query=5611032615","ФНС: проверить")</f>
        <v/>
      </c>
      <c r="R2624" s="16">
        <f>HYPERLINK("https://checko.ru/search?query=3801001629","Чекко: проверить")</f>
        <v/>
      </c>
      <c r="S2624" t="n">
        <v>1</v>
      </c>
      <c r="T2624" s="35" t="inlineStr">
        <is>
          <t>4 — Не обогащён</t>
        </is>
      </c>
      <c r="U2624" s="35" t="inlineStr">
        <is>
          <t>Нет ОКВЭД/ССЧР</t>
        </is>
      </c>
      <c r="V2624" s="35" t="inlineStr">
        <is>
          <t>Не определено</t>
        </is>
      </c>
      <c r="W2624" s="35" t="inlineStr"/>
      <c r="X2624" s="35" t="inlineStr"/>
    </row>
    <row r="2625" ht="27.75" customHeight="1" s="24">
      <c r="A2625" s="13" t="n">
        <v>5000001681</v>
      </c>
      <c r="B2625" s="13" t="inlineStr">
        <is>
          <t>ОГУСО «Пуляевский психоневрологический интернат»</t>
        </is>
      </c>
      <c r="C2625" s="13" t="n">
        <v>3838001696</v>
      </c>
      <c r="D2625" s="13" t="inlineStr">
        <is>
          <t>3838001696</t>
        </is>
      </c>
      <c r="E2625" s="13" t="inlineStr">
        <is>
          <t>ЮЛ РФ</t>
        </is>
      </c>
      <c r="F2625" s="13" t="n"/>
      <c r="G2625" s="14" t="n"/>
      <c r="H2625" s="14" t="n"/>
      <c r="I2625" s="14" t="n"/>
      <c r="J2625" s="14" t="n"/>
      <c r="K2625" s="53" t="inlineStr"/>
      <c r="L2625" s="53" t="inlineStr">
        <is>
          <t>Не определено</t>
        </is>
      </c>
      <c r="M2625" s="53" t="inlineStr"/>
      <c r="N2625" s="54" t="inlineStr"/>
      <c r="O2625" s="55" t="inlineStr"/>
      <c r="P2625" s="16" t="inlineStr">
        <is>
          <t>Требует обогащения</t>
        </is>
      </c>
      <c r="Q2625" s="16">
        <f>HYPERLINK("https://pb.nalog.ru/search.html?query=3838001696","ФНС: проверить")</f>
        <v/>
      </c>
      <c r="R2625" s="16">
        <f>HYPERLINK("https://checko.ru/search?query=3801001629","Чекко: проверить")</f>
        <v/>
      </c>
      <c r="S2625" t="n">
        <v>1</v>
      </c>
      <c r="T2625" s="35" t="inlineStr">
        <is>
          <t>4 — Не обогащён</t>
        </is>
      </c>
      <c r="U2625" s="35" t="inlineStr">
        <is>
          <t>Нет ОКВЭД/ССЧР</t>
        </is>
      </c>
      <c r="V2625" s="35" t="inlineStr">
        <is>
          <t>Не определено</t>
        </is>
      </c>
      <c r="W2625" s="35" t="inlineStr"/>
      <c r="X2625" s="35" t="inlineStr"/>
    </row>
    <row r="2626" ht="27.75" customHeight="1" s="24">
      <c r="A2626" s="13" t="n">
        <v>5000002026</v>
      </c>
      <c r="B2626" s="13" t="inlineStr">
        <is>
          <t>МБУ «Киренская центральная районная больница»</t>
        </is>
      </c>
      <c r="C2626" s="13" t="n">
        <v>3831000478</v>
      </c>
      <c r="D2626" s="13" t="inlineStr">
        <is>
          <t>3831000478</t>
        </is>
      </c>
      <c r="E2626" s="13" t="inlineStr">
        <is>
          <t>ЮЛ РФ</t>
        </is>
      </c>
      <c r="F2626" s="13" t="n"/>
      <c r="G2626" s="14" t="n"/>
      <c r="H2626" s="14" t="n"/>
      <c r="I2626" s="14" t="n"/>
      <c r="J2626" s="14" t="n"/>
      <c r="K2626" s="53" t="inlineStr"/>
      <c r="L2626" s="53" t="inlineStr">
        <is>
          <t>Не определено</t>
        </is>
      </c>
      <c r="M2626" s="53" t="inlineStr"/>
      <c r="N2626" s="54" t="inlineStr"/>
      <c r="O2626" s="55" t="inlineStr"/>
      <c r="P2626" s="16" t="inlineStr">
        <is>
          <t>Требует обогащения</t>
        </is>
      </c>
      <c r="Q2626" s="16">
        <f>HYPERLINK("https://pb.nalog.ru/search.html?query=3831000478","ФНС: проверить")</f>
        <v/>
      </c>
      <c r="R2626" s="16">
        <f>HYPERLINK("https://checko.ru/search?query=3801001629","Чекко: проверить")</f>
        <v/>
      </c>
      <c r="S2626" t="n">
        <v>1</v>
      </c>
      <c r="T2626" s="35" t="inlineStr">
        <is>
          <t>4 — Не обогащён</t>
        </is>
      </c>
      <c r="U2626" s="35" t="inlineStr">
        <is>
          <t>Нет ОКВЭД/ССЧР</t>
        </is>
      </c>
      <c r="V2626" s="35" t="inlineStr">
        <is>
          <t>Не определено</t>
        </is>
      </c>
      <c r="W2626" s="35" t="inlineStr"/>
      <c r="X2626" s="35" t="inlineStr"/>
    </row>
    <row r="2627" ht="15" customHeight="1" s="24">
      <c r="A2627" s="13" t="n">
        <v>5000002017</v>
      </c>
      <c r="B2627" s="13" t="inlineStr">
        <is>
          <t>ОБГБУЗ "ИРКУТСКАЯ РАЙОННАЯ БОЛЬНИЦА"</t>
        </is>
      </c>
      <c r="C2627" s="13" t="n">
        <v>3827004279</v>
      </c>
      <c r="D2627" s="13" t="inlineStr">
        <is>
          <t>3827004279</t>
        </is>
      </c>
      <c r="E2627" s="13" t="inlineStr">
        <is>
          <t>ЮЛ РФ</t>
        </is>
      </c>
      <c r="F2627" s="13" t="n"/>
      <c r="G2627" s="14" t="n"/>
      <c r="H2627" s="14" t="n"/>
      <c r="I2627" s="14" t="n"/>
      <c r="J2627" s="14" t="n"/>
      <c r="K2627" s="53" t="inlineStr"/>
      <c r="L2627" s="53" t="inlineStr">
        <is>
          <t>Не определено</t>
        </is>
      </c>
      <c r="M2627" s="53" t="inlineStr"/>
      <c r="N2627" s="54" t="inlineStr"/>
      <c r="O2627" s="55" t="inlineStr"/>
      <c r="P2627" s="16" t="inlineStr">
        <is>
          <t>Требует обогащения</t>
        </is>
      </c>
      <c r="Q2627" s="16">
        <f>HYPERLINK("https://pb.nalog.ru/search.html?query=3827004279","ФНС: проверить")</f>
        <v/>
      </c>
      <c r="R2627" s="16">
        <f>HYPERLINK("https://checko.ru/search?query=3801001629","Чекко: проверить")</f>
        <v/>
      </c>
      <c r="S2627" t="n">
        <v>1</v>
      </c>
      <c r="T2627" s="35" t="inlineStr">
        <is>
          <t>4 — Не обогащён</t>
        </is>
      </c>
      <c r="U2627" s="35" t="inlineStr">
        <is>
          <t>Нет ОКВЭД/ССЧР</t>
        </is>
      </c>
      <c r="V2627" s="35" t="inlineStr">
        <is>
          <t>Не определено</t>
        </is>
      </c>
      <c r="W2627" s="35" t="inlineStr"/>
      <c r="X2627" s="35" t="inlineStr"/>
    </row>
    <row r="2628" ht="15" customHeight="1" s="24">
      <c r="A2628" s="13" t="n">
        <v>5000001549</v>
      </c>
      <c r="B2628" s="13" t="inlineStr">
        <is>
          <t>МАУЗ "МЕДСАНЧАСТЬ ИАПО" г. Иркутска</t>
        </is>
      </c>
      <c r="C2628" s="13" t="n">
        <v>3810020427</v>
      </c>
      <c r="D2628" s="13" t="inlineStr">
        <is>
          <t>3810020427</t>
        </is>
      </c>
      <c r="E2628" s="13" t="inlineStr">
        <is>
          <t>ЮЛ РФ</t>
        </is>
      </c>
      <c r="F2628" s="13" t="n"/>
      <c r="G2628" s="14" t="n"/>
      <c r="H2628" s="14" t="n"/>
      <c r="I2628" s="14" t="n"/>
      <c r="J2628" s="14" t="n"/>
      <c r="K2628" s="53" t="inlineStr"/>
      <c r="L2628" s="53" t="inlineStr">
        <is>
          <t>Не определено</t>
        </is>
      </c>
      <c r="M2628" s="53" t="inlineStr"/>
      <c r="N2628" s="54" t="inlineStr"/>
      <c r="O2628" s="55" t="inlineStr"/>
      <c r="P2628" s="16" t="inlineStr">
        <is>
          <t>Требует обогащения</t>
        </is>
      </c>
      <c r="Q2628" s="16">
        <f>HYPERLINK("https://pb.nalog.ru/search.html?query=3810020427","ФНС: проверить")</f>
        <v/>
      </c>
      <c r="R2628" s="16">
        <f>HYPERLINK("https://checko.ru/search?query=3801001629","Чекко: проверить")</f>
        <v/>
      </c>
      <c r="S2628" t="n">
        <v>1</v>
      </c>
      <c r="T2628" s="35" t="inlineStr">
        <is>
          <t>4 — Не обогащён</t>
        </is>
      </c>
      <c r="U2628" s="35" t="inlineStr">
        <is>
          <t>Нет ОКВЭД/ССЧР</t>
        </is>
      </c>
      <c r="V2628" s="35" t="inlineStr">
        <is>
          <t>Не определено</t>
        </is>
      </c>
      <c r="W2628" s="35" t="inlineStr"/>
      <c r="X2628" s="35" t="inlineStr"/>
    </row>
    <row r="2629" ht="15" customHeight="1" s="24">
      <c r="A2629" s="13" t="n">
        <v>5000001650</v>
      </c>
      <c r="B2629" s="13" t="inlineStr">
        <is>
          <t>МБУЗ "Аларская центральная районная больница"</t>
        </is>
      </c>
      <c r="C2629" s="13" t="n">
        <v>8501005043</v>
      </c>
      <c r="D2629" s="13" t="inlineStr">
        <is>
          <t>8501005043</t>
        </is>
      </c>
      <c r="E2629" s="13" t="inlineStr">
        <is>
          <t>ЮЛ РФ</t>
        </is>
      </c>
      <c r="F2629" s="13" t="n"/>
      <c r="G2629" s="14" t="n"/>
      <c r="H2629" s="14" t="n"/>
      <c r="I2629" s="14" t="n"/>
      <c r="J2629" s="14" t="n"/>
      <c r="K2629" s="53" t="inlineStr"/>
      <c r="L2629" s="53" t="inlineStr">
        <is>
          <t>Не определено</t>
        </is>
      </c>
      <c r="M2629" s="53" t="inlineStr"/>
      <c r="N2629" s="54" t="inlineStr"/>
      <c r="O2629" s="55" t="inlineStr"/>
      <c r="P2629" s="16" t="inlineStr">
        <is>
          <t>Требует обогащения</t>
        </is>
      </c>
      <c r="Q2629" s="16">
        <f>HYPERLINK("https://pb.nalog.ru/search.html?query=8501005043","ФНС: проверить")</f>
        <v/>
      </c>
      <c r="R2629" s="16">
        <f>HYPERLINK("https://checko.ru/search?query=3801001629","Чекко: проверить")</f>
        <v/>
      </c>
      <c r="S2629" t="n">
        <v>1</v>
      </c>
      <c r="T2629" s="35" t="inlineStr">
        <is>
          <t>4 — Не обогащён</t>
        </is>
      </c>
      <c r="U2629" s="35" t="inlineStr">
        <is>
          <t>Нет ОКВЭД/ССЧР</t>
        </is>
      </c>
      <c r="V2629" s="35" t="inlineStr">
        <is>
          <t>Не определено</t>
        </is>
      </c>
      <c r="W2629" s="35" t="inlineStr"/>
      <c r="X2629" s="35" t="inlineStr"/>
    </row>
    <row r="2630" ht="27.75" customHeight="1" s="24">
      <c r="A2630" s="13" t="n">
        <v>5000076962</v>
      </c>
      <c r="B2630" s="13" t="inlineStr">
        <is>
          <t>ГКУ Ульяновской области "Барышское лесничество"</t>
        </is>
      </c>
      <c r="C2630" s="13" t="n">
        <v>7306039713</v>
      </c>
      <c r="D2630" s="13" t="inlineStr">
        <is>
          <t>7306039713</t>
        </is>
      </c>
      <c r="E2630" s="13" t="inlineStr">
        <is>
          <t>ЮЛ РФ</t>
        </is>
      </c>
      <c r="F2630" s="13" t="n"/>
      <c r="G2630" s="14" t="n"/>
      <c r="H2630" s="14" t="n"/>
      <c r="I2630" s="14" t="n"/>
      <c r="J2630" s="14" t="n"/>
      <c r="K2630" s="53" t="inlineStr"/>
      <c r="L2630" s="53" t="inlineStr">
        <is>
          <t>Не определено</t>
        </is>
      </c>
      <c r="M2630" s="53" t="inlineStr"/>
      <c r="N2630" s="54" t="inlineStr"/>
      <c r="O2630" s="55" t="inlineStr"/>
      <c r="P2630" s="16" t="inlineStr">
        <is>
          <t>Требует обогащения</t>
        </is>
      </c>
      <c r="Q2630" s="16">
        <f>HYPERLINK("https://pb.nalog.ru/search.html?query=7306039713","ФНС: проверить")</f>
        <v/>
      </c>
      <c r="R2630" s="16">
        <f>HYPERLINK("https://checko.ru/search?query=3801001629","Чекко: проверить")</f>
        <v/>
      </c>
      <c r="S2630" t="n">
        <v>1</v>
      </c>
      <c r="T2630" s="35" t="inlineStr">
        <is>
          <t>4 — Не обогащён</t>
        </is>
      </c>
      <c r="U2630" s="35" t="inlineStr">
        <is>
          <t>Нет ОКВЭД/ССЧР</t>
        </is>
      </c>
      <c r="V2630" s="35" t="inlineStr">
        <is>
          <t>Не определено</t>
        </is>
      </c>
      <c r="W2630" s="35" t="inlineStr"/>
      <c r="X2630" s="35" t="inlineStr"/>
    </row>
    <row r="2631" ht="27.75" customHeight="1" s="24">
      <c r="A2631" s="13" t="n">
        <v>5000121239</v>
      </c>
      <c r="B2631" s="13" t="inlineStr">
        <is>
          <t>Муниципальное учреждение "Молодежный культурно - досуговый центр"</t>
        </is>
      </c>
      <c r="C2631" s="13" t="n">
        <v>5041023609</v>
      </c>
      <c r="D2631" s="13" t="inlineStr">
        <is>
          <t>5041023609</t>
        </is>
      </c>
      <c r="E2631" s="13" t="inlineStr">
        <is>
          <t>ЮЛ РФ</t>
        </is>
      </c>
      <c r="F2631" s="13" t="n"/>
      <c r="G2631" s="14" t="n"/>
      <c r="H2631" s="14" t="n"/>
      <c r="I2631" s="14" t="n"/>
      <c r="J2631" s="14" t="n"/>
      <c r="K2631" s="53" t="inlineStr"/>
      <c r="L2631" s="53" t="inlineStr">
        <is>
          <t>Не определено</t>
        </is>
      </c>
      <c r="M2631" s="53" t="inlineStr"/>
      <c r="N2631" s="54" t="inlineStr"/>
      <c r="O2631" s="55" t="inlineStr"/>
      <c r="P2631" s="16" t="inlineStr">
        <is>
          <t>Требует обогащения</t>
        </is>
      </c>
      <c r="Q2631" s="16">
        <f>HYPERLINK("https://pb.nalog.ru/search.html?query=5041023609","ФНС: проверить")</f>
        <v/>
      </c>
      <c r="R2631" s="16">
        <f>HYPERLINK("https://checko.ru/search?query=3801001629","Чекко: проверить")</f>
        <v/>
      </c>
      <c r="S2631" t="n">
        <v>1</v>
      </c>
      <c r="T2631" s="35" t="inlineStr">
        <is>
          <t>4 — Не обогащён</t>
        </is>
      </c>
      <c r="U2631" s="35" t="inlineStr">
        <is>
          <t>Нет ОКВЭД/ССЧР</t>
        </is>
      </c>
      <c r="V2631" s="35" t="inlineStr">
        <is>
          <t>Не определено</t>
        </is>
      </c>
      <c r="W2631" s="35" t="inlineStr"/>
      <c r="X2631" s="35" t="inlineStr"/>
    </row>
    <row r="2632" ht="41.25" customHeight="1" s="24">
      <c r="A2632" s="13" t="n">
        <v>5000094605</v>
      </c>
      <c r="B2632" s="13" t="inlineStr">
        <is>
          <t>Местная администрация сельского поселения Дальнее Прохладненского муниципального района Кабардино-Балкарской Республики</t>
        </is>
      </c>
      <c r="C2632" s="13" t="n">
        <v>704001762</v>
      </c>
      <c r="D2632" s="13" t="n"/>
      <c r="E2632" s="13" t="inlineStr">
        <is>
          <t>Не определён</t>
        </is>
      </c>
      <c r="F2632" s="13" t="inlineStr">
        <is>
          <t>704001762</t>
        </is>
      </c>
      <c r="G2632" s="14" t="n"/>
      <c r="H2632" s="14" t="n"/>
      <c r="I2632" s="14" t="n"/>
      <c r="J2632" s="14" t="n"/>
      <c r="K2632" s="13">
        <f>IF(G2632="","",IF(G2632&gt;=22,"Да","Нет"))</f>
        <v/>
      </c>
      <c r="L2632" s="13">
        <f>IF(OR(I2632="",J2632=""),"Не определено",IF(OR(COUNTIF(I2632,"45*")&gt;0,COUNTIF(J2632,"*45*")&gt;0,COUNTIF(I2632,"46*")&gt;0,COUNTIF(J2632,"*46*")&gt;0,COUNTIF(I2632,"47*")&gt;0,COUNTIF(J2632,"*47*")&gt;0,COUNTIF(I2632,"10*")&gt;0,COUNTIF(J2632,"*10*")&gt;0,COUNTIF(I2632,"11*")&gt;0,COUNTIF(J2632,"*11*")&gt;0,COUNTIF(I2632,"12*")&gt;0,COUNTIF(J2632,"*12*")&gt;0,COUNTIF(I2632,"13*")&gt;0,COUNTIF(J2632,"*13*")&gt;0,COUNTIF(I2632,"14*")&gt;0,COUNTIF(J2632,"*14*")&gt;0,COUNTIF(I2632,"15*")&gt;0,COUNTIF(J2632,"*15*")&gt;0,COUNTIF(I2632,"16*")&gt;0,COUNTIF(J2632,"*16*")&gt;0,COUNTIF(I2632,"17*")&gt;0,COUNTIF(J2632,"*17*")&gt;0,COUNTIF(I2632,"18*")&gt;0,COUNTIF(J2632,"*18*")&gt;0,COUNTIF(I2632,"19*")&gt;0,COUNTIF(J2632,"*19*")&gt;0,COUNTIF(I2632,"20*")&gt;0,COUNTIF(J2632,"*20*")&gt;0,COUNTIF(I2632,"21*")&gt;0,COUNTIF(J2632,"*21*")&gt;0,COUNTIF(I2632,"22*")&gt;0,COUNTIF(J2632,"*22*")&gt;0,COUNTIF(I2632,"23*")&gt;0,COUNTIF(J2632,"*23*")&gt;0,COUNTIF(I2632,"24*")&gt;0,COUNTIF(J2632,"*24*")&gt;0,COUNTIF(I2632,"25*")&gt;0,COUNTIF(J2632,"*25*")&gt;0,COUNTIF(I2632,"26*")&gt;0,COUNTIF(J2632,"*26*")&gt;0,COUNTIF(I2632,"27*")&gt;0,COUNTIF(J2632,"*27*")&gt;0,COUNTIF(I2632,"28*")&gt;0,COUNTIF(J2632,"*28*")&gt;0,COUNTIF(I2632,"29*")&gt;0,COUNTIF(J2632,"*29*")&gt;0,COUNTIF(I2632,"30*")&gt;0,COUNTIF(J2632,"*30*")&gt;0,COUNTIF(I2632,"31*")&gt;0,COUNTIF(J2632,"*31*")&gt;0,COUNTIF(I2632,"32*")&gt;0,COUNTIF(J2632,"*32*")&gt;0,COUNTIF(I2632,"33*")&gt;0,COUNTIF(J2632,"*33*")&gt;0,COUNTIF(I2632,"41*")&gt;0,COUNTIF(J2632,"*41*")&gt;0,COUNTIF(I2632,"42*")&gt;0,COUNTIF(J2632,"*42*")&gt;0,COUNTIF(I2632,"43*")&gt;0,COUNTIF(J2632,"*43*")&gt;0,COUNTIF(I2632,"49*")&gt;0,COUNTIF(J2632,"*49*")&gt;0,COUNTIF(I2632,"52*")&gt;0,COUNTIF(J2632,"*52*")&gt;0,COUNTIF(I2632,"55*")&gt;0,COUNTIF(J2632,"*55*")&gt;0,COUNTIF(I2632,"56*")&gt;0,COUNTIF(J2632,"*56*")&gt;0,COUNTIF(I2632,"68*")&gt;0,COUNTIF(J2632,"*68*")&gt;0,COUNTIF(I2632,"78*")&gt;0,COUNTIF(J2632,"*78*")&gt;0,COUNTIF(I2632,"81*")&gt;0,COUNTIF(J2632,"*81*")&gt;0,COUNTIF(I2632,"82*")&gt;0,COUNTIF(J2632,"*82*")&gt;0,COUNTIF(I2632,"64*")&gt;0,COUNTIF(J2632,"*64*")&gt;0,COUNTIF(I2632,"65*")&gt;0,COUNTIF(J2632,"*65*")&gt;0,COUNTIF(I2632,"66*")&gt;0,COUNTIF(J2632,"*66*")&gt;0,COUNTIF(I2632,"61*")&gt;0,COUNTIF(J2632,"*61*")&gt;0,COUNTIF(I2632,"62*")&gt;0,COUNTIF(J2632,"*62*")&gt;0,COUNTIF(I2632,"63*")&gt;0,COUNTIF(J2632,"*63*")&gt;0,COUNTIF(I2632,"85*")&gt;0,COUNTIF(J2632,"*85*")&gt;0,COUNTIF(I2632,"86*")&gt;0,COUNTIF(J2632,"*86*")&gt;0),"Да","Нет"))</f>
        <v/>
      </c>
      <c r="M2632" s="13">
        <f>IF(OR(G2632="",L2632&lt;&gt;"Да"),"",IF(G2632&lt;=100,"До 100",IF(G2632&lt;=200,"До 200",IF(G2632&lt;=500,"До 500","Отдельное КП"))))</f>
        <v/>
      </c>
      <c r="N2632" s="15">
        <f>IF(OR(G2632="",L2632&lt;&gt;"Да"),"",IF(G2632&lt;=100,33600,IF(G2632&lt;=200,62400,IF(G2632&lt;=500,144000,""))))</f>
        <v/>
      </c>
      <c r="O2632" s="16">
        <f>IF(G2632="","",IF(G2632&lt;=15,"1–15",IF(G2632&lt;=30,"16–30",IF(G2632&lt;=50,"31–50",IF(G2632&lt;=100,"51–100",IF(G2632&lt;=150,"101–150",IF(G2632&lt;=200,"151–200",IF(G2632&lt;=500,"201–500","500+"))))))))</f>
        <v/>
      </c>
      <c r="P2632" s="16" t="inlineStr">
        <is>
          <t>Нет совпадения в предоставленной выгрузке ССЧР</t>
        </is>
      </c>
      <c r="Q2632" s="16" t="n"/>
      <c r="R2632" s="16">
        <f>HYPERLINK("https://checko.ru/search?query=3801001629","Чекко: проверить")</f>
        <v/>
      </c>
      <c r="S2632" t="n">
        <v>0</v>
      </c>
    </row>
    <row r="2633" ht="41.25" customHeight="1" s="24">
      <c r="A2633" s="13" t="n">
        <v>5000001638</v>
      </c>
      <c r="B2633" s="13" t="inlineStr">
        <is>
          <t>ОБЛАСТНОЕ ГОСУДАРСТВЕННОЕ АВТОНОМНОЕ УЧРЕЖДЕНИЕ ЗДРАВООХРАНЕНИЯ "ИРКУТСКАЯ ГОРОДСКАЯ КЛИНИЧЕСКАЯ БОЛЬНИЦА № 10"</t>
        </is>
      </c>
      <c r="C2633" s="13" t="n">
        <v>3812014556</v>
      </c>
      <c r="D2633" s="13" t="inlineStr">
        <is>
          <t>3812014556</t>
        </is>
      </c>
      <c r="E2633" s="13" t="inlineStr">
        <is>
          <t>ЮЛ РФ</t>
        </is>
      </c>
      <c r="F2633" s="13" t="n"/>
      <c r="G2633" s="14" t="n"/>
      <c r="H2633" s="14" t="n"/>
      <c r="I2633" s="14" t="n"/>
      <c r="J2633" s="14" t="n"/>
      <c r="K2633" s="53" t="inlineStr"/>
      <c r="L2633" s="53" t="inlineStr">
        <is>
          <t>Не определено</t>
        </is>
      </c>
      <c r="M2633" s="53" t="inlineStr"/>
      <c r="N2633" s="54" t="inlineStr"/>
      <c r="O2633" s="55" t="inlineStr"/>
      <c r="P2633" s="16" t="inlineStr">
        <is>
          <t>Требует обогащения</t>
        </is>
      </c>
      <c r="Q2633" s="16">
        <f>HYPERLINK("https://pb.nalog.ru/search.html?query=3812014556","ФНС: проверить")</f>
        <v/>
      </c>
      <c r="R2633" s="16">
        <f>HYPERLINK("https://checko.ru/search?query=3801001629","Чекко: проверить")</f>
        <v/>
      </c>
      <c r="S2633" t="n">
        <v>0</v>
      </c>
      <c r="T2633" s="35" t="inlineStr">
        <is>
          <t>4 — Не обогащён</t>
        </is>
      </c>
      <c r="U2633" s="35" t="inlineStr">
        <is>
          <t>Нет ОКВЭД/ССЧР</t>
        </is>
      </c>
      <c r="V2633" s="35" t="inlineStr">
        <is>
          <t>Не определено</t>
        </is>
      </c>
      <c r="W2633" s="35" t="inlineStr"/>
      <c r="X2633" s="35" t="inlineStr"/>
    </row>
    <row r="2634" ht="15" customHeight="1" s="24">
      <c r="A2634" s="13" t="n">
        <v>5000095073</v>
      </c>
      <c r="B2634" s="13" t="inlineStr">
        <is>
          <t>ГБУЗ "ГКБ № 2"</t>
        </is>
      </c>
      <c r="C2634" s="13" t="n">
        <v>713001470</v>
      </c>
      <c r="D2634" s="13" t="n"/>
      <c r="E2634" s="13" t="inlineStr">
        <is>
          <t>Не определён</t>
        </is>
      </c>
      <c r="F2634" s="13" t="inlineStr">
        <is>
          <t>713001470</t>
        </is>
      </c>
      <c r="G2634" s="14" t="n"/>
      <c r="H2634" s="14" t="n"/>
      <c r="I2634" s="14" t="n"/>
      <c r="J2634" s="14" t="n"/>
      <c r="K2634" s="13">
        <f>IF(G2634="","",IF(G2634&gt;=22,"Да","Нет"))</f>
        <v/>
      </c>
      <c r="L2634" s="13">
        <f>IF(OR(I2634="",J2634=""),"Не определено",IF(OR(COUNTIF(I2634,"45*")&gt;0,COUNTIF(J2634,"*45*")&gt;0,COUNTIF(I2634,"46*")&gt;0,COUNTIF(J2634,"*46*")&gt;0,COUNTIF(I2634,"47*")&gt;0,COUNTIF(J2634,"*47*")&gt;0,COUNTIF(I2634,"10*")&gt;0,COUNTIF(J2634,"*10*")&gt;0,COUNTIF(I2634,"11*")&gt;0,COUNTIF(J2634,"*11*")&gt;0,COUNTIF(I2634,"12*")&gt;0,COUNTIF(J2634,"*12*")&gt;0,COUNTIF(I2634,"13*")&gt;0,COUNTIF(J2634,"*13*")&gt;0,COUNTIF(I2634,"14*")&gt;0,COUNTIF(J2634,"*14*")&gt;0,COUNTIF(I2634,"15*")&gt;0,COUNTIF(J2634,"*15*")&gt;0,COUNTIF(I2634,"16*")&gt;0,COUNTIF(J2634,"*16*")&gt;0,COUNTIF(I2634,"17*")&gt;0,COUNTIF(J2634,"*17*")&gt;0,COUNTIF(I2634,"18*")&gt;0,COUNTIF(J2634,"*18*")&gt;0,COUNTIF(I2634,"19*")&gt;0,COUNTIF(J2634,"*19*")&gt;0,COUNTIF(I2634,"20*")&gt;0,COUNTIF(J2634,"*20*")&gt;0,COUNTIF(I2634,"21*")&gt;0,COUNTIF(J2634,"*21*")&gt;0,COUNTIF(I2634,"22*")&gt;0,COUNTIF(J2634,"*22*")&gt;0,COUNTIF(I2634,"23*")&gt;0,COUNTIF(J2634,"*23*")&gt;0,COUNTIF(I2634,"24*")&gt;0,COUNTIF(J2634,"*24*")&gt;0,COUNTIF(I2634,"25*")&gt;0,COUNTIF(J2634,"*25*")&gt;0,COUNTIF(I2634,"26*")&gt;0,COUNTIF(J2634,"*26*")&gt;0,COUNTIF(I2634,"27*")&gt;0,COUNTIF(J2634,"*27*")&gt;0,COUNTIF(I2634,"28*")&gt;0,COUNTIF(J2634,"*28*")&gt;0,COUNTIF(I2634,"29*")&gt;0,COUNTIF(J2634,"*29*")&gt;0,COUNTIF(I2634,"30*")&gt;0,COUNTIF(J2634,"*30*")&gt;0,COUNTIF(I2634,"31*")&gt;0,COUNTIF(J2634,"*31*")&gt;0,COUNTIF(I2634,"32*")&gt;0,COUNTIF(J2634,"*32*")&gt;0,COUNTIF(I2634,"33*")&gt;0,COUNTIF(J2634,"*33*")&gt;0,COUNTIF(I2634,"41*")&gt;0,COUNTIF(J2634,"*41*")&gt;0,COUNTIF(I2634,"42*")&gt;0,COUNTIF(J2634,"*42*")&gt;0,COUNTIF(I2634,"43*")&gt;0,COUNTIF(J2634,"*43*")&gt;0,COUNTIF(I2634,"49*")&gt;0,COUNTIF(J2634,"*49*")&gt;0,COUNTIF(I2634,"52*")&gt;0,COUNTIF(J2634,"*52*")&gt;0,COUNTIF(I2634,"55*")&gt;0,COUNTIF(J2634,"*55*")&gt;0,COUNTIF(I2634,"56*")&gt;0,COUNTIF(J2634,"*56*")&gt;0,COUNTIF(I2634,"68*")&gt;0,COUNTIF(J2634,"*68*")&gt;0,COUNTIF(I2634,"78*")&gt;0,COUNTIF(J2634,"*78*")&gt;0,COUNTIF(I2634,"81*")&gt;0,COUNTIF(J2634,"*81*")&gt;0,COUNTIF(I2634,"82*")&gt;0,COUNTIF(J2634,"*82*")&gt;0,COUNTIF(I2634,"64*")&gt;0,COUNTIF(J2634,"*64*")&gt;0,COUNTIF(I2634,"65*")&gt;0,COUNTIF(J2634,"*65*")&gt;0,COUNTIF(I2634,"66*")&gt;0,COUNTIF(J2634,"*66*")&gt;0,COUNTIF(I2634,"61*")&gt;0,COUNTIF(J2634,"*61*")&gt;0,COUNTIF(I2634,"62*")&gt;0,COUNTIF(J2634,"*62*")&gt;0,COUNTIF(I2634,"63*")&gt;0,COUNTIF(J2634,"*63*")&gt;0,COUNTIF(I2634,"85*")&gt;0,COUNTIF(J2634,"*85*")&gt;0,COUNTIF(I2634,"86*")&gt;0,COUNTIF(J2634,"*86*")&gt;0),"Да","Нет"))</f>
        <v/>
      </c>
      <c r="M2634" s="13">
        <f>IF(OR(G2634="",L2634&lt;&gt;"Да"),"",IF(G2634&lt;=100,"До 100",IF(G2634&lt;=200,"До 200",IF(G2634&lt;=500,"До 500","Отдельное КП"))))</f>
        <v/>
      </c>
      <c r="N2634" s="15">
        <f>IF(OR(G2634="",L2634&lt;&gt;"Да"),"",IF(G2634&lt;=100,33600,IF(G2634&lt;=200,62400,IF(G2634&lt;=500,144000,""))))</f>
        <v/>
      </c>
      <c r="O2634" s="16">
        <f>IF(G2634="","",IF(G2634&lt;=15,"1–15",IF(G2634&lt;=30,"16–30",IF(G2634&lt;=50,"31–50",IF(G2634&lt;=100,"51–100",IF(G2634&lt;=150,"101–150",IF(G2634&lt;=200,"151–200",IF(G2634&lt;=500,"201–500","500+"))))))))</f>
        <v/>
      </c>
      <c r="P2634" s="16" t="inlineStr">
        <is>
          <t>Нет совпадения в предоставленной выгрузке ССЧР</t>
        </is>
      </c>
      <c r="Q2634" s="16" t="n"/>
      <c r="R2634" s="16">
        <f>HYPERLINK("https://checko.ru/search?query=3801001629","Чекко: проверить")</f>
        <v/>
      </c>
      <c r="S2634" t="n">
        <v>0</v>
      </c>
    </row>
    <row r="2635" ht="27.75" customHeight="1" s="24">
      <c r="A2635" s="13" t="n">
        <v>5000094994</v>
      </c>
      <c r="B2635" s="13" t="inlineStr">
        <is>
          <t>ГБУЗ "Республиканская клиническая больница" Минздрава КБР</t>
        </is>
      </c>
      <c r="C2635" s="13" t="n">
        <v>711035586</v>
      </c>
      <c r="D2635" s="13" t="n"/>
      <c r="E2635" s="13" t="inlineStr">
        <is>
          <t>Не определён</t>
        </is>
      </c>
      <c r="F2635" s="13" t="inlineStr">
        <is>
          <t>711035586</t>
        </is>
      </c>
      <c r="G2635" s="14" t="n"/>
      <c r="H2635" s="14" t="n"/>
      <c r="I2635" s="14" t="n"/>
      <c r="J2635" s="14" t="n"/>
      <c r="K2635" s="13">
        <f>IF(G2635="","",IF(G2635&gt;=22,"Да","Нет"))</f>
        <v/>
      </c>
      <c r="L2635" s="13">
        <f>IF(OR(I2635="",J2635=""),"Не определено",IF(OR(COUNTIF(I2635,"45*")&gt;0,COUNTIF(J2635,"*45*")&gt;0,COUNTIF(I2635,"46*")&gt;0,COUNTIF(J2635,"*46*")&gt;0,COUNTIF(I2635,"47*")&gt;0,COUNTIF(J2635,"*47*")&gt;0,COUNTIF(I2635,"10*")&gt;0,COUNTIF(J2635,"*10*")&gt;0,COUNTIF(I2635,"11*")&gt;0,COUNTIF(J2635,"*11*")&gt;0,COUNTIF(I2635,"12*")&gt;0,COUNTIF(J2635,"*12*")&gt;0,COUNTIF(I2635,"13*")&gt;0,COUNTIF(J2635,"*13*")&gt;0,COUNTIF(I2635,"14*")&gt;0,COUNTIF(J2635,"*14*")&gt;0,COUNTIF(I2635,"15*")&gt;0,COUNTIF(J2635,"*15*")&gt;0,COUNTIF(I2635,"16*")&gt;0,COUNTIF(J2635,"*16*")&gt;0,COUNTIF(I2635,"17*")&gt;0,COUNTIF(J2635,"*17*")&gt;0,COUNTIF(I2635,"18*")&gt;0,COUNTIF(J2635,"*18*")&gt;0,COUNTIF(I2635,"19*")&gt;0,COUNTIF(J2635,"*19*")&gt;0,COUNTIF(I2635,"20*")&gt;0,COUNTIF(J2635,"*20*")&gt;0,COUNTIF(I2635,"21*")&gt;0,COUNTIF(J2635,"*21*")&gt;0,COUNTIF(I2635,"22*")&gt;0,COUNTIF(J2635,"*22*")&gt;0,COUNTIF(I2635,"23*")&gt;0,COUNTIF(J2635,"*23*")&gt;0,COUNTIF(I2635,"24*")&gt;0,COUNTIF(J2635,"*24*")&gt;0,COUNTIF(I2635,"25*")&gt;0,COUNTIF(J2635,"*25*")&gt;0,COUNTIF(I2635,"26*")&gt;0,COUNTIF(J2635,"*26*")&gt;0,COUNTIF(I2635,"27*")&gt;0,COUNTIF(J2635,"*27*")&gt;0,COUNTIF(I2635,"28*")&gt;0,COUNTIF(J2635,"*28*")&gt;0,COUNTIF(I2635,"29*")&gt;0,COUNTIF(J2635,"*29*")&gt;0,COUNTIF(I2635,"30*")&gt;0,COUNTIF(J2635,"*30*")&gt;0,COUNTIF(I2635,"31*")&gt;0,COUNTIF(J2635,"*31*")&gt;0,COUNTIF(I2635,"32*")&gt;0,COUNTIF(J2635,"*32*")&gt;0,COUNTIF(I2635,"33*")&gt;0,COUNTIF(J2635,"*33*")&gt;0,COUNTIF(I2635,"41*")&gt;0,COUNTIF(J2635,"*41*")&gt;0,COUNTIF(I2635,"42*")&gt;0,COUNTIF(J2635,"*42*")&gt;0,COUNTIF(I2635,"43*")&gt;0,COUNTIF(J2635,"*43*")&gt;0,COUNTIF(I2635,"49*")&gt;0,COUNTIF(J2635,"*49*")&gt;0,COUNTIF(I2635,"52*")&gt;0,COUNTIF(J2635,"*52*")&gt;0,COUNTIF(I2635,"55*")&gt;0,COUNTIF(J2635,"*55*")&gt;0,COUNTIF(I2635,"56*")&gt;0,COUNTIF(J2635,"*56*")&gt;0,COUNTIF(I2635,"68*")&gt;0,COUNTIF(J2635,"*68*")&gt;0,COUNTIF(I2635,"78*")&gt;0,COUNTIF(J2635,"*78*")&gt;0,COUNTIF(I2635,"81*")&gt;0,COUNTIF(J2635,"*81*")&gt;0,COUNTIF(I2635,"82*")&gt;0,COUNTIF(J2635,"*82*")&gt;0,COUNTIF(I2635,"64*")&gt;0,COUNTIF(J2635,"*64*")&gt;0,COUNTIF(I2635,"65*")&gt;0,COUNTIF(J2635,"*65*")&gt;0,COUNTIF(I2635,"66*")&gt;0,COUNTIF(J2635,"*66*")&gt;0,COUNTIF(I2635,"61*")&gt;0,COUNTIF(J2635,"*61*")&gt;0,COUNTIF(I2635,"62*")&gt;0,COUNTIF(J2635,"*62*")&gt;0,COUNTIF(I2635,"63*")&gt;0,COUNTIF(J2635,"*63*")&gt;0,COUNTIF(I2635,"85*")&gt;0,COUNTIF(J2635,"*85*")&gt;0,COUNTIF(I2635,"86*")&gt;0,COUNTIF(J2635,"*86*")&gt;0),"Да","Нет"))</f>
        <v/>
      </c>
      <c r="M2635" s="13">
        <f>IF(OR(G2635="",L2635&lt;&gt;"Да"),"",IF(G2635&lt;=100,"До 100",IF(G2635&lt;=200,"До 200",IF(G2635&lt;=500,"До 500","Отдельное КП"))))</f>
        <v/>
      </c>
      <c r="N2635" s="15">
        <f>IF(OR(G2635="",L2635&lt;&gt;"Да"),"",IF(G2635&lt;=100,33600,IF(G2635&lt;=200,62400,IF(G2635&lt;=500,144000,""))))</f>
        <v/>
      </c>
      <c r="O2635" s="16">
        <f>IF(G2635="","",IF(G2635&lt;=15,"1–15",IF(G2635&lt;=30,"16–30",IF(G2635&lt;=50,"31–50",IF(G2635&lt;=100,"51–100",IF(G2635&lt;=150,"101–150",IF(G2635&lt;=200,"151–200",IF(G2635&lt;=500,"201–500","500+"))))))))</f>
        <v/>
      </c>
      <c r="P2635" s="16" t="inlineStr">
        <is>
          <t>Нет совпадения в предоставленной выгрузке ССЧР</t>
        </is>
      </c>
      <c r="Q2635" s="16" t="n"/>
      <c r="R2635" s="16">
        <f>HYPERLINK("https://checko.ru/search?query=3801001629","Чекко: проверить")</f>
        <v/>
      </c>
      <c r="S2635" t="n">
        <v>0</v>
      </c>
    </row>
    <row r="2636" ht="15" customHeight="1" s="24">
      <c r="A2636" s="13" t="n">
        <v>5000001331</v>
      </c>
      <c r="B2636" s="13" t="inlineStr">
        <is>
          <t>ОГКУ ДО «ДЮСШ» Усть-Ордынский</t>
        </is>
      </c>
      <c r="C2636" s="13" t="n">
        <v>8506004413</v>
      </c>
      <c r="D2636" s="13" t="inlineStr">
        <is>
          <t>8506004413</t>
        </is>
      </c>
      <c r="E2636" s="13" t="inlineStr">
        <is>
          <t>ЮЛ РФ</t>
        </is>
      </c>
      <c r="F2636" s="13" t="n"/>
      <c r="G2636" s="14" t="n"/>
      <c r="H2636" s="14" t="n"/>
      <c r="I2636" s="14" t="n"/>
      <c r="J2636" s="14" t="n"/>
      <c r="K2636" s="53" t="inlineStr"/>
      <c r="L2636" s="53" t="inlineStr">
        <is>
          <t>Не определено</t>
        </is>
      </c>
      <c r="M2636" s="53" t="inlineStr"/>
      <c r="N2636" s="54" t="inlineStr"/>
      <c r="O2636" s="55" t="inlineStr"/>
      <c r="P2636" s="16" t="inlineStr">
        <is>
          <t>Требует обогащения</t>
        </is>
      </c>
      <c r="Q2636" s="16">
        <f>HYPERLINK("https://pb.nalog.ru/search.html?query=8506004413","ФНС: проверить")</f>
        <v/>
      </c>
      <c r="R2636" s="16">
        <f>HYPERLINK("https://checko.ru/search?query=3801001629","Чекко: проверить")</f>
        <v/>
      </c>
      <c r="S2636" t="n">
        <v>1</v>
      </c>
      <c r="T2636" s="35" t="inlineStr">
        <is>
          <t>4 — Не обогащён</t>
        </is>
      </c>
      <c r="U2636" s="35" t="inlineStr">
        <is>
          <t>Нет ОКВЭД/ССЧР</t>
        </is>
      </c>
      <c r="V2636" s="35" t="inlineStr">
        <is>
          <t>Не определено</t>
        </is>
      </c>
      <c r="W2636" s="35" t="inlineStr"/>
      <c r="X2636" s="35" t="inlineStr"/>
    </row>
    <row r="2637" ht="15" customHeight="1" s="24">
      <c r="A2637" s="13" t="n">
        <v>5000094990</v>
      </c>
      <c r="B2637" s="13" t="inlineStr">
        <is>
          <t>МБОУ "Гимназия №29"</t>
        </is>
      </c>
      <c r="C2637" s="13" t="n">
        <v>711035297</v>
      </c>
      <c r="D2637" s="13" t="n"/>
      <c r="E2637" s="13" t="inlineStr">
        <is>
          <t>Не определён</t>
        </is>
      </c>
      <c r="F2637" s="13" t="inlineStr">
        <is>
          <t>711035297</t>
        </is>
      </c>
      <c r="G2637" s="14" t="n"/>
      <c r="H2637" s="14" t="n"/>
      <c r="I2637" s="14" t="n"/>
      <c r="J2637" s="14" t="n"/>
      <c r="K2637" s="13">
        <f>IF(G2637="","",IF(G2637&gt;=22,"Да","Нет"))</f>
        <v/>
      </c>
      <c r="L2637" s="13">
        <f>IF(OR(I2637="",J2637=""),"Не определено",IF(OR(COUNTIF(I2637,"45*")&gt;0,COUNTIF(J2637,"*45*")&gt;0,COUNTIF(I2637,"46*")&gt;0,COUNTIF(J2637,"*46*")&gt;0,COUNTIF(I2637,"47*")&gt;0,COUNTIF(J2637,"*47*")&gt;0,COUNTIF(I2637,"10*")&gt;0,COUNTIF(J2637,"*10*")&gt;0,COUNTIF(I2637,"11*")&gt;0,COUNTIF(J2637,"*11*")&gt;0,COUNTIF(I2637,"12*")&gt;0,COUNTIF(J2637,"*12*")&gt;0,COUNTIF(I2637,"13*")&gt;0,COUNTIF(J2637,"*13*")&gt;0,COUNTIF(I2637,"14*")&gt;0,COUNTIF(J2637,"*14*")&gt;0,COUNTIF(I2637,"15*")&gt;0,COUNTIF(J2637,"*15*")&gt;0,COUNTIF(I2637,"16*")&gt;0,COUNTIF(J2637,"*16*")&gt;0,COUNTIF(I2637,"17*")&gt;0,COUNTIF(J2637,"*17*")&gt;0,COUNTIF(I2637,"18*")&gt;0,COUNTIF(J2637,"*18*")&gt;0,COUNTIF(I2637,"19*")&gt;0,COUNTIF(J2637,"*19*")&gt;0,COUNTIF(I2637,"20*")&gt;0,COUNTIF(J2637,"*20*")&gt;0,COUNTIF(I2637,"21*")&gt;0,COUNTIF(J2637,"*21*")&gt;0,COUNTIF(I2637,"22*")&gt;0,COUNTIF(J2637,"*22*")&gt;0,COUNTIF(I2637,"23*")&gt;0,COUNTIF(J2637,"*23*")&gt;0,COUNTIF(I2637,"24*")&gt;0,COUNTIF(J2637,"*24*")&gt;0,COUNTIF(I2637,"25*")&gt;0,COUNTIF(J2637,"*25*")&gt;0,COUNTIF(I2637,"26*")&gt;0,COUNTIF(J2637,"*26*")&gt;0,COUNTIF(I2637,"27*")&gt;0,COUNTIF(J2637,"*27*")&gt;0,COUNTIF(I2637,"28*")&gt;0,COUNTIF(J2637,"*28*")&gt;0,COUNTIF(I2637,"29*")&gt;0,COUNTIF(J2637,"*29*")&gt;0,COUNTIF(I2637,"30*")&gt;0,COUNTIF(J2637,"*30*")&gt;0,COUNTIF(I2637,"31*")&gt;0,COUNTIF(J2637,"*31*")&gt;0,COUNTIF(I2637,"32*")&gt;0,COUNTIF(J2637,"*32*")&gt;0,COUNTIF(I2637,"33*")&gt;0,COUNTIF(J2637,"*33*")&gt;0,COUNTIF(I2637,"41*")&gt;0,COUNTIF(J2637,"*41*")&gt;0,COUNTIF(I2637,"42*")&gt;0,COUNTIF(J2637,"*42*")&gt;0,COUNTIF(I2637,"43*")&gt;0,COUNTIF(J2637,"*43*")&gt;0,COUNTIF(I2637,"49*")&gt;0,COUNTIF(J2637,"*49*")&gt;0,COUNTIF(I2637,"52*")&gt;0,COUNTIF(J2637,"*52*")&gt;0,COUNTIF(I2637,"55*")&gt;0,COUNTIF(J2637,"*55*")&gt;0,COUNTIF(I2637,"56*")&gt;0,COUNTIF(J2637,"*56*")&gt;0,COUNTIF(I2637,"68*")&gt;0,COUNTIF(J2637,"*68*")&gt;0,COUNTIF(I2637,"78*")&gt;0,COUNTIF(J2637,"*78*")&gt;0,COUNTIF(I2637,"81*")&gt;0,COUNTIF(J2637,"*81*")&gt;0,COUNTIF(I2637,"82*")&gt;0,COUNTIF(J2637,"*82*")&gt;0,COUNTIF(I2637,"64*")&gt;0,COUNTIF(J2637,"*64*")&gt;0,COUNTIF(I2637,"65*")&gt;0,COUNTIF(J2637,"*65*")&gt;0,COUNTIF(I2637,"66*")&gt;0,COUNTIF(J2637,"*66*")&gt;0,COUNTIF(I2637,"61*")&gt;0,COUNTIF(J2637,"*61*")&gt;0,COUNTIF(I2637,"62*")&gt;0,COUNTIF(J2637,"*62*")&gt;0,COUNTIF(I2637,"63*")&gt;0,COUNTIF(J2637,"*63*")&gt;0,COUNTIF(I2637,"85*")&gt;0,COUNTIF(J2637,"*85*")&gt;0,COUNTIF(I2637,"86*")&gt;0,COUNTIF(J2637,"*86*")&gt;0),"Да","Нет"))</f>
        <v/>
      </c>
      <c r="M2637" s="13">
        <f>IF(OR(G2637="",L2637&lt;&gt;"Да"),"",IF(G2637&lt;=100,"До 100",IF(G2637&lt;=200,"До 200",IF(G2637&lt;=500,"До 500","Отдельное КП"))))</f>
        <v/>
      </c>
      <c r="N2637" s="15">
        <f>IF(OR(G2637="",L2637&lt;&gt;"Да"),"",IF(G2637&lt;=100,33600,IF(G2637&lt;=200,62400,IF(G2637&lt;=500,144000,""))))</f>
        <v/>
      </c>
      <c r="O2637" s="16">
        <f>IF(G2637="","",IF(G2637&lt;=15,"1–15",IF(G2637&lt;=30,"16–30",IF(G2637&lt;=50,"31–50",IF(G2637&lt;=100,"51–100",IF(G2637&lt;=150,"101–150",IF(G2637&lt;=200,"151–200",IF(G2637&lt;=500,"201–500","500+"))))))))</f>
        <v/>
      </c>
      <c r="P2637" s="16" t="inlineStr">
        <is>
          <t>Нет совпадения в предоставленной выгрузке ССЧР</t>
        </is>
      </c>
      <c r="Q2637" s="16" t="n"/>
      <c r="R2637" s="16">
        <f>HYPERLINK("https://checko.ru/search?query=3801001629","Чекко: проверить")</f>
        <v/>
      </c>
      <c r="S2637" t="n">
        <v>0</v>
      </c>
    </row>
    <row r="2638" ht="27.75" customHeight="1" s="24">
      <c r="A2638" s="13" t="n">
        <v>5000095213</v>
      </c>
      <c r="B2638" s="13" t="inlineStr">
        <is>
          <t>Министерство строительства и ЖКХ Кабардино-Балкарской Республики</t>
        </is>
      </c>
      <c r="C2638" s="13" t="n">
        <v>725007620</v>
      </c>
      <c r="D2638" s="13" t="n"/>
      <c r="E2638" s="13" t="inlineStr">
        <is>
          <t>Не определён</t>
        </is>
      </c>
      <c r="F2638" s="13" t="inlineStr">
        <is>
          <t>725007620</t>
        </is>
      </c>
      <c r="G2638" s="14" t="n"/>
      <c r="H2638" s="14" t="n"/>
      <c r="I2638" s="14" t="n"/>
      <c r="J2638" s="14" t="n"/>
      <c r="K2638" s="13">
        <f>IF(G2638="","",IF(G2638&gt;=22,"Да","Нет"))</f>
        <v/>
      </c>
      <c r="L2638" s="13">
        <f>IF(OR(I2638="",J2638=""),"Не определено",IF(OR(COUNTIF(I2638,"45*")&gt;0,COUNTIF(J2638,"*45*")&gt;0,COUNTIF(I2638,"46*")&gt;0,COUNTIF(J2638,"*46*")&gt;0,COUNTIF(I2638,"47*")&gt;0,COUNTIF(J2638,"*47*")&gt;0,COUNTIF(I2638,"10*")&gt;0,COUNTIF(J2638,"*10*")&gt;0,COUNTIF(I2638,"11*")&gt;0,COUNTIF(J2638,"*11*")&gt;0,COUNTIF(I2638,"12*")&gt;0,COUNTIF(J2638,"*12*")&gt;0,COUNTIF(I2638,"13*")&gt;0,COUNTIF(J2638,"*13*")&gt;0,COUNTIF(I2638,"14*")&gt;0,COUNTIF(J2638,"*14*")&gt;0,COUNTIF(I2638,"15*")&gt;0,COUNTIF(J2638,"*15*")&gt;0,COUNTIF(I2638,"16*")&gt;0,COUNTIF(J2638,"*16*")&gt;0,COUNTIF(I2638,"17*")&gt;0,COUNTIF(J2638,"*17*")&gt;0,COUNTIF(I2638,"18*")&gt;0,COUNTIF(J2638,"*18*")&gt;0,COUNTIF(I2638,"19*")&gt;0,COUNTIF(J2638,"*19*")&gt;0,COUNTIF(I2638,"20*")&gt;0,COUNTIF(J2638,"*20*")&gt;0,COUNTIF(I2638,"21*")&gt;0,COUNTIF(J2638,"*21*")&gt;0,COUNTIF(I2638,"22*")&gt;0,COUNTIF(J2638,"*22*")&gt;0,COUNTIF(I2638,"23*")&gt;0,COUNTIF(J2638,"*23*")&gt;0,COUNTIF(I2638,"24*")&gt;0,COUNTIF(J2638,"*24*")&gt;0,COUNTIF(I2638,"25*")&gt;0,COUNTIF(J2638,"*25*")&gt;0,COUNTIF(I2638,"26*")&gt;0,COUNTIF(J2638,"*26*")&gt;0,COUNTIF(I2638,"27*")&gt;0,COUNTIF(J2638,"*27*")&gt;0,COUNTIF(I2638,"28*")&gt;0,COUNTIF(J2638,"*28*")&gt;0,COUNTIF(I2638,"29*")&gt;0,COUNTIF(J2638,"*29*")&gt;0,COUNTIF(I2638,"30*")&gt;0,COUNTIF(J2638,"*30*")&gt;0,COUNTIF(I2638,"31*")&gt;0,COUNTIF(J2638,"*31*")&gt;0,COUNTIF(I2638,"32*")&gt;0,COUNTIF(J2638,"*32*")&gt;0,COUNTIF(I2638,"33*")&gt;0,COUNTIF(J2638,"*33*")&gt;0,COUNTIF(I2638,"41*")&gt;0,COUNTIF(J2638,"*41*")&gt;0,COUNTIF(I2638,"42*")&gt;0,COUNTIF(J2638,"*42*")&gt;0,COUNTIF(I2638,"43*")&gt;0,COUNTIF(J2638,"*43*")&gt;0,COUNTIF(I2638,"49*")&gt;0,COUNTIF(J2638,"*49*")&gt;0,COUNTIF(I2638,"52*")&gt;0,COUNTIF(J2638,"*52*")&gt;0,COUNTIF(I2638,"55*")&gt;0,COUNTIF(J2638,"*55*")&gt;0,COUNTIF(I2638,"56*")&gt;0,COUNTIF(J2638,"*56*")&gt;0,COUNTIF(I2638,"68*")&gt;0,COUNTIF(J2638,"*68*")&gt;0,COUNTIF(I2638,"78*")&gt;0,COUNTIF(J2638,"*78*")&gt;0,COUNTIF(I2638,"81*")&gt;0,COUNTIF(J2638,"*81*")&gt;0,COUNTIF(I2638,"82*")&gt;0,COUNTIF(J2638,"*82*")&gt;0,COUNTIF(I2638,"64*")&gt;0,COUNTIF(J2638,"*64*")&gt;0,COUNTIF(I2638,"65*")&gt;0,COUNTIF(J2638,"*65*")&gt;0,COUNTIF(I2638,"66*")&gt;0,COUNTIF(J2638,"*66*")&gt;0,COUNTIF(I2638,"61*")&gt;0,COUNTIF(J2638,"*61*")&gt;0,COUNTIF(I2638,"62*")&gt;0,COUNTIF(J2638,"*62*")&gt;0,COUNTIF(I2638,"63*")&gt;0,COUNTIF(J2638,"*63*")&gt;0,COUNTIF(I2638,"85*")&gt;0,COUNTIF(J2638,"*85*")&gt;0,COUNTIF(I2638,"86*")&gt;0,COUNTIF(J2638,"*86*")&gt;0),"Да","Нет"))</f>
        <v/>
      </c>
      <c r="M2638" s="13">
        <f>IF(OR(G2638="",L2638&lt;&gt;"Да"),"",IF(G2638&lt;=100,"До 100",IF(G2638&lt;=200,"До 200",IF(G2638&lt;=500,"До 500","Отдельное КП"))))</f>
        <v/>
      </c>
      <c r="N2638" s="15">
        <f>IF(OR(G2638="",L2638&lt;&gt;"Да"),"",IF(G2638&lt;=100,33600,IF(G2638&lt;=200,62400,IF(G2638&lt;=500,144000,""))))</f>
        <v/>
      </c>
      <c r="O2638" s="16">
        <f>IF(G2638="","",IF(G2638&lt;=15,"1–15",IF(G2638&lt;=30,"16–30",IF(G2638&lt;=50,"31–50",IF(G2638&lt;=100,"51–100",IF(G2638&lt;=150,"101–150",IF(G2638&lt;=200,"151–200",IF(G2638&lt;=500,"201–500","500+"))))))))</f>
        <v/>
      </c>
      <c r="P2638" s="16" t="inlineStr">
        <is>
          <t>Нет совпадения в предоставленной выгрузке ССЧР</t>
        </is>
      </c>
      <c r="Q2638" s="16" t="n"/>
      <c r="R2638" s="16">
        <f>HYPERLINK("https://checko.ru/search?query=3801001629","Чекко: проверить")</f>
        <v/>
      </c>
      <c r="S2638" t="n">
        <v>0</v>
      </c>
    </row>
    <row r="2639" ht="27.75" customHeight="1" s="24">
      <c r="A2639" s="13" t="n">
        <v>5000001531</v>
      </c>
      <c r="B2639" s="13" t="inlineStr">
        <is>
          <t>ОбГБОУ ДОД Центр развития творчества детей и юношества «Узорочье</t>
        </is>
      </c>
      <c r="C2639" s="13" t="n">
        <v>3809015768</v>
      </c>
      <c r="D2639" s="13" t="inlineStr">
        <is>
          <t>3809015768</t>
        </is>
      </c>
      <c r="E2639" s="13" t="inlineStr">
        <is>
          <t>ЮЛ РФ</t>
        </is>
      </c>
      <c r="F2639" s="13" t="n"/>
      <c r="G2639" s="14" t="n"/>
      <c r="H2639" s="14" t="n"/>
      <c r="I2639" s="14" t="n"/>
      <c r="J2639" s="14" t="n"/>
      <c r="K2639" s="53" t="inlineStr"/>
      <c r="L2639" s="53" t="inlineStr">
        <is>
          <t>Не определено</t>
        </is>
      </c>
      <c r="M2639" s="53" t="inlineStr"/>
      <c r="N2639" s="54" t="inlineStr"/>
      <c r="O2639" s="55" t="inlineStr"/>
      <c r="P2639" s="16" t="inlineStr">
        <is>
          <t>Требует обогащения</t>
        </is>
      </c>
      <c r="Q2639" s="16">
        <f>HYPERLINK("https://pb.nalog.ru/search.html?query=3809015768","ФНС: проверить")</f>
        <v/>
      </c>
      <c r="R2639" s="16">
        <f>HYPERLINK("https://checko.ru/search?query=3801001629","Чекко: проверить")</f>
        <v/>
      </c>
      <c r="S2639" t="n">
        <v>1</v>
      </c>
      <c r="T2639" s="35" t="inlineStr">
        <is>
          <t>4 — Не обогащён</t>
        </is>
      </c>
      <c r="U2639" s="35" t="inlineStr">
        <is>
          <t>Нет ОКВЭД/ССЧР</t>
        </is>
      </c>
      <c r="V2639" s="35" t="inlineStr">
        <is>
          <t>Не определено</t>
        </is>
      </c>
      <c r="W2639" s="35" t="inlineStr"/>
      <c r="X2639" s="35" t="inlineStr"/>
    </row>
    <row r="2640" ht="27.75" customHeight="1" s="24">
      <c r="A2640" s="13" t="n">
        <v>5000008584</v>
      </c>
      <c r="B2640" s="13" t="inlineStr">
        <is>
          <t>Управление Федеральной службы судебных приставов по Удмуртской республике</t>
        </is>
      </c>
      <c r="C2640" s="13" t="n">
        <v>1835062680</v>
      </c>
      <c r="D2640" s="13" t="inlineStr">
        <is>
          <t>1835062680</t>
        </is>
      </c>
      <c r="E2640" s="13" t="inlineStr">
        <is>
          <t>ЮЛ РФ</t>
        </is>
      </c>
      <c r="F2640" s="13" t="n"/>
      <c r="G2640" s="14" t="n"/>
      <c r="H2640" s="14" t="n"/>
      <c r="I2640" s="14" t="n"/>
      <c r="J2640" s="14" t="n"/>
      <c r="K2640" s="53" t="inlineStr"/>
      <c r="L2640" s="53" t="inlineStr">
        <is>
          <t>Не определено</t>
        </is>
      </c>
      <c r="M2640" s="53" t="inlineStr"/>
      <c r="N2640" s="54" t="inlineStr"/>
      <c r="O2640" s="55" t="inlineStr"/>
      <c r="P2640" s="16" t="inlineStr">
        <is>
          <t>Требует обогащения</t>
        </is>
      </c>
      <c r="Q2640" s="16">
        <f>HYPERLINK("https://pb.nalog.ru/search.html?query=1835062680","ФНС: проверить")</f>
        <v/>
      </c>
      <c r="R2640" s="16">
        <f>HYPERLINK("https://checko.ru/search?query=3801001629","Чекко: проверить")</f>
        <v/>
      </c>
      <c r="S2640" t="n">
        <v>1</v>
      </c>
      <c r="T2640" s="35" t="inlineStr">
        <is>
          <t>4 — Не обогащён</t>
        </is>
      </c>
      <c r="U2640" s="35" t="inlineStr">
        <is>
          <t>Нет ОКВЭД/ССЧР</t>
        </is>
      </c>
      <c r="V2640" s="35" t="inlineStr">
        <is>
          <t>Не определено</t>
        </is>
      </c>
      <c r="W2640" s="35" t="inlineStr"/>
      <c r="X2640" s="35" t="inlineStr"/>
    </row>
    <row r="2641" ht="15" customHeight="1" s="24">
      <c r="A2641" s="13" t="n">
        <v>5000001389</v>
      </c>
      <c r="B2641" s="13" t="inlineStr">
        <is>
          <t>ОГАУЗ "Братская городская больница № 1"</t>
        </is>
      </c>
      <c r="C2641" s="13" t="n">
        <v>3804004681</v>
      </c>
      <c r="D2641" s="13" t="inlineStr">
        <is>
          <t>3804004681</t>
        </is>
      </c>
      <c r="E2641" s="13" t="inlineStr">
        <is>
          <t>ЮЛ РФ</t>
        </is>
      </c>
      <c r="F2641" s="13" t="n"/>
      <c r="G2641" s="14" t="n"/>
      <c r="H2641" s="14" t="n"/>
      <c r="I2641" s="14" t="n"/>
      <c r="J2641" s="14" t="n"/>
      <c r="K2641" s="53" t="inlineStr"/>
      <c r="L2641" s="53" t="inlineStr">
        <is>
          <t>Не определено</t>
        </is>
      </c>
      <c r="M2641" s="53" t="inlineStr"/>
      <c r="N2641" s="54" t="inlineStr"/>
      <c r="O2641" s="55" t="inlineStr"/>
      <c r="P2641" s="16" t="inlineStr">
        <is>
          <t>Требует обогащения</t>
        </is>
      </c>
      <c r="Q2641" s="16">
        <f>HYPERLINK("https://pb.nalog.ru/search.html?query=3804004681","ФНС: проверить")</f>
        <v/>
      </c>
      <c r="R2641" s="16">
        <f>HYPERLINK("https://checko.ru/search?query=3801001629","Чекко: проверить")</f>
        <v/>
      </c>
      <c r="S2641" t="n">
        <v>0</v>
      </c>
      <c r="T2641" s="35" t="inlineStr">
        <is>
          <t>4 — Не обогащён</t>
        </is>
      </c>
      <c r="U2641" s="35" t="inlineStr">
        <is>
          <t>Нет ОКВЭД/ССЧР</t>
        </is>
      </c>
      <c r="V2641" s="35" t="inlineStr">
        <is>
          <t>Не определено</t>
        </is>
      </c>
      <c r="W2641" s="35" t="inlineStr"/>
      <c r="X2641" s="35" t="inlineStr"/>
    </row>
    <row r="2642" ht="27.75" customHeight="1" s="24">
      <c r="A2642" s="13" t="n">
        <v>5000001711</v>
      </c>
      <c r="B2642" s="13" t="inlineStr">
        <is>
          <t>ОГКУСО "Социально-реабилитационный центр для несовершеннолетних Братского района"</t>
        </is>
      </c>
      <c r="C2642" s="13" t="n">
        <v>3823019891</v>
      </c>
      <c r="D2642" s="13" t="inlineStr">
        <is>
          <t>3823019891</t>
        </is>
      </c>
      <c r="E2642" s="13" t="inlineStr">
        <is>
          <t>ЮЛ РФ</t>
        </is>
      </c>
      <c r="F2642" s="13" t="n"/>
      <c r="G2642" s="14" t="n"/>
      <c r="H2642" s="14" t="n"/>
      <c r="I2642" s="14" t="n"/>
      <c r="J2642" s="14" t="n"/>
      <c r="K2642" s="53" t="inlineStr"/>
      <c r="L2642" s="53" t="inlineStr">
        <is>
          <t>Не определено</t>
        </is>
      </c>
      <c r="M2642" s="53" t="inlineStr"/>
      <c r="N2642" s="54" t="inlineStr"/>
      <c r="O2642" s="55" t="inlineStr"/>
      <c r="P2642" s="16" t="inlineStr">
        <is>
          <t>Требует обогащения</t>
        </is>
      </c>
      <c r="Q2642" s="16">
        <f>HYPERLINK("https://pb.nalog.ru/search.html?query=3823019891","ФНС: проверить")</f>
        <v/>
      </c>
      <c r="R2642" s="16">
        <f>HYPERLINK("https://checko.ru/search?query=3801001629","Чекко: проверить")</f>
        <v/>
      </c>
      <c r="S2642" t="n">
        <v>1</v>
      </c>
      <c r="T2642" s="35" t="inlineStr">
        <is>
          <t>4 — Не обогащён</t>
        </is>
      </c>
      <c r="U2642" s="35" t="inlineStr">
        <is>
          <t>Нет ОКВЭД/ССЧР</t>
        </is>
      </c>
      <c r="V2642" s="35" t="inlineStr">
        <is>
          <t>Не определено</t>
        </is>
      </c>
      <c r="W2642" s="35" t="inlineStr"/>
      <c r="X2642" s="35" t="inlineStr"/>
    </row>
    <row r="2643" ht="41.25" customHeight="1" s="24">
      <c r="A2643" s="13" t="n">
        <v>5000101674</v>
      </c>
      <c r="B2643" s="13" t="inlineStr">
        <is>
          <t>ГОСУДАРСТВЕННОЕ КАЗЕННОЕ УЧРЕЖДЕНИЕ ИРКУТСКОЙ ОБЛАСТИ "КУЙТУНСКОЕ ЛЕСНИЧЕСТВО"</t>
        </is>
      </c>
      <c r="C2643" s="13" t="n">
        <v>3816035451</v>
      </c>
      <c r="D2643" s="13" t="inlineStr">
        <is>
          <t>3816035451</t>
        </is>
      </c>
      <c r="E2643" s="13" t="inlineStr">
        <is>
          <t>ЮЛ РФ</t>
        </is>
      </c>
      <c r="F2643" s="13" t="n"/>
      <c r="G2643" s="14" t="n"/>
      <c r="H2643" s="14" t="n"/>
      <c r="I2643" s="14" t="n"/>
      <c r="J2643" s="14" t="n"/>
      <c r="K2643" s="53" t="inlineStr"/>
      <c r="L2643" s="53" t="inlineStr">
        <is>
          <t>Не определено</t>
        </is>
      </c>
      <c r="M2643" s="53" t="inlineStr"/>
      <c r="N2643" s="54" t="inlineStr"/>
      <c r="O2643" s="55" t="inlineStr"/>
      <c r="P2643" s="16" t="inlineStr">
        <is>
          <t>Требует обогащения</t>
        </is>
      </c>
      <c r="Q2643" s="16">
        <f>HYPERLINK("https://pb.nalog.ru/search.html?query=3816035451","ФНС: проверить")</f>
        <v/>
      </c>
      <c r="R2643" s="16">
        <f>HYPERLINK("https://checko.ru/search?query=3801001629","Чекко: проверить")</f>
        <v/>
      </c>
      <c r="S2643" t="n">
        <v>1</v>
      </c>
      <c r="T2643" s="35" t="inlineStr">
        <is>
          <t>4 — Не обогащён</t>
        </is>
      </c>
      <c r="U2643" s="35" t="inlineStr">
        <is>
          <t>Нет ОКВЭД/ССЧР</t>
        </is>
      </c>
      <c r="V2643" s="35" t="inlineStr">
        <is>
          <t>Не определено</t>
        </is>
      </c>
      <c r="W2643" s="35" t="inlineStr"/>
      <c r="X2643" s="35" t="inlineStr"/>
    </row>
    <row r="2644" ht="27.75" customHeight="1" s="24">
      <c r="A2644" s="13" t="n">
        <v>5000001441</v>
      </c>
      <c r="B2644" s="13" t="inlineStr">
        <is>
          <t>Служба записи актов гражданского состояния Иркутской области</t>
        </is>
      </c>
      <c r="C2644" s="13" t="n">
        <v>3808018244</v>
      </c>
      <c r="D2644" s="13" t="inlineStr">
        <is>
          <t>3808018244</t>
        </is>
      </c>
      <c r="E2644" s="13" t="inlineStr">
        <is>
          <t>ЮЛ РФ</t>
        </is>
      </c>
      <c r="F2644" s="13" t="n"/>
      <c r="G2644" s="14" t="n"/>
      <c r="H2644" s="14" t="n"/>
      <c r="I2644" s="14" t="n"/>
      <c r="J2644" s="14" t="n"/>
      <c r="K2644" s="53" t="inlineStr"/>
      <c r="L2644" s="53" t="inlineStr">
        <is>
          <t>Не определено</t>
        </is>
      </c>
      <c r="M2644" s="53" t="inlineStr"/>
      <c r="N2644" s="54" t="inlineStr"/>
      <c r="O2644" s="55" t="inlineStr"/>
      <c r="P2644" s="16" t="inlineStr">
        <is>
          <t>Требует обогащения</t>
        </is>
      </c>
      <c r="Q2644" s="16">
        <f>HYPERLINK("https://pb.nalog.ru/search.html?query=3808018244","ФНС: проверить")</f>
        <v/>
      </c>
      <c r="R2644" s="16">
        <f>HYPERLINK("https://checko.ru/search?query=3801001629","Чекко: проверить")</f>
        <v/>
      </c>
      <c r="S2644" t="n">
        <v>1</v>
      </c>
      <c r="T2644" s="35" t="inlineStr">
        <is>
          <t>4 — Не обогащён</t>
        </is>
      </c>
      <c r="U2644" s="35" t="inlineStr">
        <is>
          <t>Нет ОКВЭД/ССЧР</t>
        </is>
      </c>
      <c r="V2644" s="35" t="inlineStr">
        <is>
          <t>Не определено</t>
        </is>
      </c>
      <c r="W2644" s="35" t="inlineStr"/>
      <c r="X2644" s="35" t="inlineStr"/>
    </row>
    <row r="2645" ht="27.75" customHeight="1" s="24">
      <c r="A2645" s="13" t="n">
        <v>5000002044</v>
      </c>
      <c r="B2645" s="13" t="inlineStr">
        <is>
          <t>ОГАУК Иркутский академический драматический театр им. Н.П.Охлопкова</t>
        </is>
      </c>
      <c r="C2645" s="13" t="n">
        <v>3807001463</v>
      </c>
      <c r="D2645" s="13" t="inlineStr">
        <is>
          <t>3807001463</t>
        </is>
      </c>
      <c r="E2645" s="13" t="inlineStr">
        <is>
          <t>ЮЛ РФ</t>
        </is>
      </c>
      <c r="F2645" s="13" t="n"/>
      <c r="G2645" s="14" t="n"/>
      <c r="H2645" s="14" t="n"/>
      <c r="I2645" s="14" t="n"/>
      <c r="J2645" s="14" t="n"/>
      <c r="K2645" s="53" t="inlineStr"/>
      <c r="L2645" s="53" t="inlineStr">
        <is>
          <t>Не определено</t>
        </is>
      </c>
      <c r="M2645" s="53" t="inlineStr"/>
      <c r="N2645" s="54" t="inlineStr"/>
      <c r="O2645" s="55" t="inlineStr"/>
      <c r="P2645" s="16" t="inlineStr">
        <is>
          <t>Требует обогащения</t>
        </is>
      </c>
      <c r="Q2645" s="16">
        <f>HYPERLINK("https://pb.nalog.ru/search.html?query=3807001463","ФНС: проверить")</f>
        <v/>
      </c>
      <c r="R2645" s="16">
        <f>HYPERLINK("https://checko.ru/search?query=3801001629","Чекко: проверить")</f>
        <v/>
      </c>
      <c r="S2645" t="n">
        <v>1</v>
      </c>
      <c r="T2645" s="35" t="inlineStr">
        <is>
          <t>4 — Не обогащён</t>
        </is>
      </c>
      <c r="U2645" s="35" t="inlineStr">
        <is>
          <t>Нет ОКВЭД/ССЧР</t>
        </is>
      </c>
      <c r="V2645" s="35" t="inlineStr">
        <is>
          <t>Не определено</t>
        </is>
      </c>
      <c r="W2645" s="35" t="inlineStr"/>
      <c r="X2645" s="35" t="inlineStr"/>
    </row>
    <row r="2646" ht="27.75" customHeight="1" s="24">
      <c r="A2646" s="13" t="n">
        <v>5000001614</v>
      </c>
      <c r="B2646" s="13" t="inlineStr">
        <is>
          <t>ОбГКУЗ "Областной медицинский центр мобилизационных резервов "Резерв"</t>
        </is>
      </c>
      <c r="C2646" s="13" t="n">
        <v>3811031622</v>
      </c>
      <c r="D2646" s="13" t="inlineStr">
        <is>
          <t>3811031622</t>
        </is>
      </c>
      <c r="E2646" s="13" t="inlineStr">
        <is>
          <t>ЮЛ РФ</t>
        </is>
      </c>
      <c r="F2646" s="13" t="n"/>
      <c r="G2646" s="14" t="n"/>
      <c r="H2646" s="14" t="n"/>
      <c r="I2646" s="14" t="n"/>
      <c r="J2646" s="14" t="n"/>
      <c r="K2646" s="53" t="inlineStr"/>
      <c r="L2646" s="53" t="inlineStr">
        <is>
          <t>Не определено</t>
        </is>
      </c>
      <c r="M2646" s="53" t="inlineStr"/>
      <c r="N2646" s="54" t="inlineStr"/>
      <c r="O2646" s="55" t="inlineStr"/>
      <c r="P2646" s="16" t="inlineStr">
        <is>
          <t>Требует обогащения</t>
        </is>
      </c>
      <c r="Q2646" s="16">
        <f>HYPERLINK("https://pb.nalog.ru/search.html?query=3811031622","ФНС: проверить")</f>
        <v/>
      </c>
      <c r="R2646" s="16">
        <f>HYPERLINK("https://checko.ru/search?query=3801001629","Чекко: проверить")</f>
        <v/>
      </c>
      <c r="S2646" t="n">
        <v>1</v>
      </c>
      <c r="T2646" s="35" t="inlineStr">
        <is>
          <t>4 — Не обогащён</t>
        </is>
      </c>
      <c r="U2646" s="35" t="inlineStr">
        <is>
          <t>Нет ОКВЭД/ССЧР</t>
        </is>
      </c>
      <c r="V2646" s="35" t="inlineStr">
        <is>
          <t>Не определено</t>
        </is>
      </c>
      <c r="W2646" s="35" t="inlineStr"/>
      <c r="X2646" s="35" t="inlineStr"/>
    </row>
    <row r="2647" ht="27.75" customHeight="1" s="24">
      <c r="A2647" s="13" t="n">
        <v>5000002019</v>
      </c>
      <c r="B2647" s="13" t="inlineStr">
        <is>
          <t>ОГКУ «Центр реабилитации наркозависимых «Воля»</t>
        </is>
      </c>
      <c r="C2647" s="13" t="n">
        <v>3827014679</v>
      </c>
      <c r="D2647" s="13" t="inlineStr">
        <is>
          <t>3827014679</t>
        </is>
      </c>
      <c r="E2647" s="13" t="inlineStr">
        <is>
          <t>ЮЛ РФ</t>
        </is>
      </c>
      <c r="F2647" s="13" t="n"/>
      <c r="G2647" s="14" t="n"/>
      <c r="H2647" s="14" t="n"/>
      <c r="I2647" s="14" t="n"/>
      <c r="J2647" s="14" t="n"/>
      <c r="K2647" s="53" t="inlineStr"/>
      <c r="L2647" s="53" t="inlineStr">
        <is>
          <t>Не определено</t>
        </is>
      </c>
      <c r="M2647" s="53" t="inlineStr"/>
      <c r="N2647" s="54" t="inlineStr"/>
      <c r="O2647" s="55" t="inlineStr"/>
      <c r="P2647" s="16" t="inlineStr">
        <is>
          <t>Требует обогащения</t>
        </is>
      </c>
      <c r="Q2647" s="16">
        <f>HYPERLINK("https://pb.nalog.ru/search.html?query=3827014679","ФНС: проверить")</f>
        <v/>
      </c>
      <c r="R2647" s="16">
        <f>HYPERLINK("https://checko.ru/search?query=3801001629","Чекко: проверить")</f>
        <v/>
      </c>
      <c r="S2647" t="n">
        <v>1</v>
      </c>
      <c r="T2647" s="35" t="inlineStr">
        <is>
          <t>4 — Не обогащён</t>
        </is>
      </c>
      <c r="U2647" s="35" t="inlineStr">
        <is>
          <t>Нет ОКВЭД/ССЧР</t>
        </is>
      </c>
      <c r="V2647" s="35" t="inlineStr">
        <is>
          <t>Не определено</t>
        </is>
      </c>
      <c r="W2647" s="35" t="inlineStr"/>
      <c r="X2647" s="35" t="inlineStr"/>
    </row>
    <row r="2648" ht="54.75" customHeight="1" s="24">
      <c r="A2648" s="13" t="n">
        <v>5000106139</v>
      </c>
      <c r="B2648" s="13" t="inlineStr">
        <is>
          <t>МУНИЦИПАЛЬНОЕ БЮДЖЕТНОЕ УЧРЕЖДЕНИЕ ДОПОЛНИТЕЛЬНОГО ОБРАЗОВАНИЯ "СПОРТИВНАЯ ШКОЛА" СОРОЧИНСКОГО ГОРОДСКОГО ОКРУГА ОРЕНБУРГСКОЙ ОБЛАСТИ</t>
        </is>
      </c>
      <c r="C2648" s="13" t="n">
        <v>5617006523</v>
      </c>
      <c r="D2648" s="13" t="inlineStr">
        <is>
          <t>5617006523</t>
        </is>
      </c>
      <c r="E2648" s="13" t="inlineStr">
        <is>
          <t>ЮЛ РФ</t>
        </is>
      </c>
      <c r="F2648" s="13" t="n"/>
      <c r="G2648" s="14" t="n"/>
      <c r="H2648" s="14" t="n"/>
      <c r="I2648" s="14" t="n"/>
      <c r="J2648" s="14" t="n"/>
      <c r="K2648" s="53" t="inlineStr"/>
      <c r="L2648" s="53" t="inlineStr">
        <is>
          <t>Не определено</t>
        </is>
      </c>
      <c r="M2648" s="53" t="inlineStr"/>
      <c r="N2648" s="54" t="inlineStr"/>
      <c r="O2648" s="55" t="inlineStr"/>
      <c r="P2648" s="16" t="inlineStr">
        <is>
          <t>Требует обогащения</t>
        </is>
      </c>
      <c r="Q2648" s="16">
        <f>HYPERLINK("https://pb.nalog.ru/search.html?query=5617006523","ФНС: проверить")</f>
        <v/>
      </c>
      <c r="R2648" s="16">
        <f>HYPERLINK("https://checko.ru/search?query=3801001629","Чекко: проверить")</f>
        <v/>
      </c>
      <c r="S2648" t="n">
        <v>1</v>
      </c>
      <c r="T2648" s="35" t="inlineStr">
        <is>
          <t>4 — Не обогащён</t>
        </is>
      </c>
      <c r="U2648" s="35" t="inlineStr">
        <is>
          <t>Нет ОКВЭД/ССЧР</t>
        </is>
      </c>
      <c r="V2648" s="35" t="inlineStr">
        <is>
          <t>Не определено</t>
        </is>
      </c>
      <c r="W2648" s="35" t="inlineStr"/>
      <c r="X2648" s="35" t="inlineStr"/>
    </row>
    <row r="2649" ht="41.25" customHeight="1" s="24">
      <c r="A2649" s="13" t="n">
        <v>5000001998</v>
      </c>
      <c r="B2649" s="13" t="inlineStr">
        <is>
          <t>ОБЛАСТНОЕ ГОСУДАРСТВЕННОЕ АВТОНОМНОЕ УЧРЕЖДЕНИЕ ЗДРАВООХРАНЕНИЯ "УСОЛЬСКАЯ ГОРОДСКАЯ СТОМАТОЛОГИЧЕСК</t>
        </is>
      </c>
      <c r="C2649" s="13" t="n">
        <v>3819004420</v>
      </c>
      <c r="D2649" s="13" t="inlineStr">
        <is>
          <t>3819004420</t>
        </is>
      </c>
      <c r="E2649" s="13" t="inlineStr">
        <is>
          <t>ЮЛ РФ</t>
        </is>
      </c>
      <c r="F2649" s="13" t="n"/>
      <c r="G2649" s="14" t="n"/>
      <c r="H2649" s="14" t="n"/>
      <c r="I2649" s="14" t="n"/>
      <c r="J2649" s="14" t="n"/>
      <c r="K2649" s="53" t="inlineStr"/>
      <c r="L2649" s="53" t="inlineStr">
        <is>
          <t>Не определено</t>
        </is>
      </c>
      <c r="M2649" s="53" t="inlineStr"/>
      <c r="N2649" s="54" t="inlineStr"/>
      <c r="O2649" s="55" t="inlineStr"/>
      <c r="P2649" s="16" t="inlineStr">
        <is>
          <t>Требует обогащения</t>
        </is>
      </c>
      <c r="Q2649" s="16">
        <f>HYPERLINK("https://pb.nalog.ru/search.html?query=3819004420","ФНС: проверить")</f>
        <v/>
      </c>
      <c r="R2649" s="16">
        <f>HYPERLINK("https://checko.ru/search?query=3801001629","Чекко: проверить")</f>
        <v/>
      </c>
      <c r="S2649" t="n">
        <v>1</v>
      </c>
      <c r="T2649" s="35" t="inlineStr">
        <is>
          <t>4 — Не обогащён</t>
        </is>
      </c>
      <c r="U2649" s="35" t="inlineStr">
        <is>
          <t>Нет ОКВЭД/ССЧР</t>
        </is>
      </c>
      <c r="V2649" s="35" t="inlineStr">
        <is>
          <t>Не определено</t>
        </is>
      </c>
      <c r="W2649" s="35" t="inlineStr"/>
      <c r="X2649" s="35" t="inlineStr"/>
    </row>
    <row r="2650" ht="15" customHeight="1" s="24">
      <c r="A2650" s="13" t="n">
        <v>5000001385</v>
      </c>
      <c r="B2650" s="13" t="inlineStr">
        <is>
          <t>ГОУ СПО "Братское Музыкальное Училище"</t>
        </is>
      </c>
      <c r="C2650" s="13" t="n">
        <v>3804000535</v>
      </c>
      <c r="D2650" s="13" t="inlineStr">
        <is>
          <t>3804000535</t>
        </is>
      </c>
      <c r="E2650" s="13" t="inlineStr">
        <is>
          <t>ЮЛ РФ</t>
        </is>
      </c>
      <c r="F2650" s="13" t="n"/>
      <c r="G2650" s="14" t="n"/>
      <c r="H2650" s="14" t="n"/>
      <c r="I2650" s="14" t="n"/>
      <c r="J2650" s="14" t="n"/>
      <c r="K2650" s="53" t="inlineStr"/>
      <c r="L2650" s="53" t="inlineStr">
        <is>
          <t>Не определено</t>
        </is>
      </c>
      <c r="M2650" s="53" t="inlineStr"/>
      <c r="N2650" s="54" t="inlineStr"/>
      <c r="O2650" s="55" t="inlineStr"/>
      <c r="P2650" s="16" t="inlineStr">
        <is>
          <t>Требует обогащения</t>
        </is>
      </c>
      <c r="Q2650" s="16">
        <f>HYPERLINK("https://pb.nalog.ru/search.html?query=3804000535","ФНС: проверить")</f>
        <v/>
      </c>
      <c r="R2650" s="16">
        <f>HYPERLINK("https://checko.ru/search?query=3801001629","Чекко: проверить")</f>
        <v/>
      </c>
      <c r="S2650" t="n">
        <v>1</v>
      </c>
      <c r="T2650" s="35" t="inlineStr">
        <is>
          <t>4 — Не обогащён</t>
        </is>
      </c>
      <c r="U2650" s="35" t="inlineStr">
        <is>
          <t>Нет ОКВЭД/ССЧР</t>
        </is>
      </c>
      <c r="V2650" s="35" t="inlineStr">
        <is>
          <t>Не определено</t>
        </is>
      </c>
      <c r="W2650" s="35" t="inlineStr"/>
      <c r="X2650" s="35" t="inlineStr"/>
    </row>
    <row r="2651" ht="27.75" customHeight="1" s="24">
      <c r="A2651" s="13" t="n">
        <v>5000001431</v>
      </c>
      <c r="B2651" s="13" t="inlineStr">
        <is>
          <t>ОбГАОУ СПО "Иркутский областной техникум индустрии питания"</t>
        </is>
      </c>
      <c r="C2651" s="13" t="n">
        <v>3808012193</v>
      </c>
      <c r="D2651" s="13" t="inlineStr">
        <is>
          <t>3808012193</t>
        </is>
      </c>
      <c r="E2651" s="13" t="inlineStr">
        <is>
          <t>ЮЛ РФ</t>
        </is>
      </c>
      <c r="F2651" s="13" t="n"/>
      <c r="G2651" s="14" t="n"/>
      <c r="H2651" s="14" t="n"/>
      <c r="I2651" s="14" t="n"/>
      <c r="J2651" s="14" t="n"/>
      <c r="K2651" s="53" t="inlineStr"/>
      <c r="L2651" s="53" t="inlineStr">
        <is>
          <t>Не определено</t>
        </is>
      </c>
      <c r="M2651" s="53" t="inlineStr"/>
      <c r="N2651" s="54" t="inlineStr"/>
      <c r="O2651" s="55" t="inlineStr"/>
      <c r="P2651" s="16" t="inlineStr">
        <is>
          <t>Требует обогащения</t>
        </is>
      </c>
      <c r="Q2651" s="16">
        <f>HYPERLINK("https://pb.nalog.ru/search.html?query=3808012193","ФНС: проверить")</f>
        <v/>
      </c>
      <c r="R2651" s="16">
        <f>HYPERLINK("https://checko.ru/search?query=3801001629","Чекко: проверить")</f>
        <v/>
      </c>
      <c r="S2651" t="n">
        <v>1</v>
      </c>
      <c r="T2651" s="35" t="inlineStr">
        <is>
          <t>4 — Не обогащён</t>
        </is>
      </c>
      <c r="U2651" s="35" t="inlineStr">
        <is>
          <t>Нет ОКВЭД/ССЧР</t>
        </is>
      </c>
      <c r="V2651" s="35" t="inlineStr">
        <is>
          <t>Не определено</t>
        </is>
      </c>
      <c r="W2651" s="35" t="inlineStr"/>
      <c r="X2651" s="35" t="inlineStr"/>
    </row>
    <row r="2652" ht="27.75" customHeight="1" s="24">
      <c r="A2652" s="13" t="n">
        <v>5000001928</v>
      </c>
      <c r="B2652" s="13" t="inlineStr">
        <is>
          <t>ГБОУ СПО Иркутской области «Черемховский педагогический колледж»</t>
        </is>
      </c>
      <c r="C2652" s="13" t="n">
        <v>3820003205</v>
      </c>
      <c r="D2652" s="13" t="inlineStr">
        <is>
          <t>3820003205</t>
        </is>
      </c>
      <c r="E2652" s="13" t="inlineStr">
        <is>
          <t>ЮЛ РФ</t>
        </is>
      </c>
      <c r="F2652" s="13" t="n"/>
      <c r="G2652" s="14" t="n"/>
      <c r="H2652" s="14" t="n"/>
      <c r="I2652" s="14" t="n"/>
      <c r="J2652" s="14" t="n"/>
      <c r="K2652" s="53" t="inlineStr"/>
      <c r="L2652" s="53" t="inlineStr">
        <is>
          <t>Не определено</t>
        </is>
      </c>
      <c r="M2652" s="53" t="inlineStr"/>
      <c r="N2652" s="54" t="inlineStr"/>
      <c r="O2652" s="55" t="inlineStr"/>
      <c r="P2652" s="16" t="inlineStr">
        <is>
          <t>Требует обогащения</t>
        </is>
      </c>
      <c r="Q2652" s="16">
        <f>HYPERLINK("https://pb.nalog.ru/search.html?query=3820003205","ФНС: проверить")</f>
        <v/>
      </c>
      <c r="R2652" s="16">
        <f>HYPERLINK("https://checko.ru/search?query=3801001629","Чекко: проверить")</f>
        <v/>
      </c>
      <c r="S2652" t="n">
        <v>1</v>
      </c>
      <c r="T2652" s="35" t="inlineStr">
        <is>
          <t>4 — Не обогащён</t>
        </is>
      </c>
      <c r="U2652" s="35" t="inlineStr">
        <is>
          <t>Нет ОКВЭД/ССЧР</t>
        </is>
      </c>
      <c r="V2652" s="35" t="inlineStr">
        <is>
          <t>Не определено</t>
        </is>
      </c>
      <c r="W2652" s="35" t="inlineStr"/>
      <c r="X2652" s="35" t="inlineStr"/>
    </row>
    <row r="2653" ht="81.75" customHeight="1" s="24">
      <c r="A2653" s="13" t="n">
        <v>5000106153</v>
      </c>
      <c r="B2653" s="13" t="inlineStr">
        <is>
          <t>МУНИЦИПАЛЬНОЕ БЮДЖЕТНОЕ ОБЩЕОБРАЗОВАТЕЛЬНОЕ УЧРЕЖДЕНИЕ "ФЕДОРОВСКАЯ ОСНОВНАЯ ОБЩЕОБРАЗОВАТЕЛЬНАЯ ШКОЛА ИМЕНИ МАКСИМА ЖУМАХАНОВА" СОРОЧИНСКОГО ГОРОДСКО</t>
        </is>
      </c>
      <c r="C2653" s="13" t="n">
        <v>5647005492</v>
      </c>
      <c r="D2653" s="13" t="inlineStr">
        <is>
          <t>5647005492</t>
        </is>
      </c>
      <c r="E2653" s="13" t="inlineStr">
        <is>
          <t>ЮЛ РФ</t>
        </is>
      </c>
      <c r="F2653" s="13" t="n"/>
      <c r="G2653" s="14" t="n"/>
      <c r="H2653" s="14" t="n"/>
      <c r="I2653" s="14" t="n"/>
      <c r="J2653" s="14" t="n"/>
      <c r="K2653" s="53" t="inlineStr"/>
      <c r="L2653" s="53" t="inlineStr">
        <is>
          <t>Не определено</t>
        </is>
      </c>
      <c r="M2653" s="53" t="inlineStr"/>
      <c r="N2653" s="54" t="inlineStr"/>
      <c r="O2653" s="55" t="inlineStr"/>
      <c r="P2653" s="16" t="inlineStr">
        <is>
          <t>Требует обогащения</t>
        </is>
      </c>
      <c r="Q2653" s="16">
        <f>HYPERLINK("https://pb.nalog.ru/search.html?query=5647005492","ФНС: проверить")</f>
        <v/>
      </c>
      <c r="R2653" s="16">
        <f>HYPERLINK("https://checko.ru/search?query=3801001629","Чекко: проверить")</f>
        <v/>
      </c>
      <c r="S2653" t="n">
        <v>1</v>
      </c>
      <c r="T2653" s="35" t="inlineStr">
        <is>
          <t>4 — Не обогащён</t>
        </is>
      </c>
      <c r="U2653" s="35" t="inlineStr">
        <is>
          <t>Нет ОКВЭД/ССЧР</t>
        </is>
      </c>
      <c r="V2653" s="35" t="inlineStr">
        <is>
          <t>Не определено</t>
        </is>
      </c>
      <c r="W2653" s="35" t="inlineStr"/>
      <c r="X2653" s="35" t="inlineStr"/>
    </row>
    <row r="2654" ht="54.75" customHeight="1" s="24">
      <c r="A2654" s="13" t="n">
        <v>5000106138</v>
      </c>
      <c r="B2654" s="13" t="inlineStr">
        <is>
          <t>МУНИЦИПАЛЬНОЕ БЮДЖЕТНОЕ УЧРЕЖДЕНИЕ ДОПОЛНИТЕЛЬНОГО ОБРАЗОВАНИЯ "ЦЕНТР ДЕТСКОГО ТВОРЧЕСТВА" СОРОЧИНСКОГО ГОРОДСКОГО ОКРУГА ОРЕНБУРГСКОЙ ОБЛАСТИ</t>
        </is>
      </c>
      <c r="C2654" s="13" t="n">
        <v>5617005255</v>
      </c>
      <c r="D2654" s="13" t="inlineStr">
        <is>
          <t>5617005255</t>
        </is>
      </c>
      <c r="E2654" s="13" t="inlineStr">
        <is>
          <t>ЮЛ РФ</t>
        </is>
      </c>
      <c r="F2654" s="13" t="n"/>
      <c r="G2654" s="14" t="n"/>
      <c r="H2654" s="14" t="n"/>
      <c r="I2654" s="14" t="n"/>
      <c r="J2654" s="14" t="n"/>
      <c r="K2654" s="53" t="inlineStr"/>
      <c r="L2654" s="53" t="inlineStr">
        <is>
          <t>Не определено</t>
        </is>
      </c>
      <c r="M2654" s="53" t="inlineStr"/>
      <c r="N2654" s="54" t="inlineStr"/>
      <c r="O2654" s="55" t="inlineStr"/>
      <c r="P2654" s="16" t="inlineStr">
        <is>
          <t>Требует обогащения</t>
        </is>
      </c>
      <c r="Q2654" s="16">
        <f>HYPERLINK("https://pb.nalog.ru/search.html?query=5617005255","ФНС: проверить")</f>
        <v/>
      </c>
      <c r="R2654" s="16">
        <f>HYPERLINK("https://checko.ru/search?query=3801001629","Чекко: проверить")</f>
        <v/>
      </c>
      <c r="S2654" t="n">
        <v>1</v>
      </c>
      <c r="T2654" s="35" t="inlineStr">
        <is>
          <t>4 — Не обогащён</t>
        </is>
      </c>
      <c r="U2654" s="35" t="inlineStr">
        <is>
          <t>Нет ОКВЭД/ССЧР</t>
        </is>
      </c>
      <c r="V2654" s="35" t="inlineStr">
        <is>
          <t>Не определено</t>
        </is>
      </c>
      <c r="W2654" s="35" t="inlineStr"/>
      <c r="X2654" s="35" t="inlineStr"/>
    </row>
    <row r="2655" ht="41.25" customHeight="1" s="24">
      <c r="A2655" s="13" t="n">
        <v>5000106172</v>
      </c>
      <c r="B2655" s="13" t="inlineStr">
        <is>
          <t>АДМИНИСТРАЦИЯ МУНИЦИПАЛЬНОГО ОБРАЗОВАНИЯ КИНДЕЛИНСКИЙ СЕЛЬСОВЕТ ТАШЛИНСКОГО РАЙОНА ОРЕНБУРГСКОЙ ОБЛАСТИ</t>
        </is>
      </c>
      <c r="C2655" s="13" t="n">
        <v>5648020616</v>
      </c>
      <c r="D2655" s="13" t="inlineStr">
        <is>
          <t>5648020616</t>
        </is>
      </c>
      <c r="E2655" s="13" t="inlineStr">
        <is>
          <t>ЮЛ РФ</t>
        </is>
      </c>
      <c r="F2655" s="13" t="n"/>
      <c r="G2655" s="14" t="n"/>
      <c r="H2655" s="14" t="n"/>
      <c r="I2655" s="14" t="n"/>
      <c r="J2655" s="14" t="n"/>
      <c r="K2655" s="53" t="inlineStr"/>
      <c r="L2655" s="53" t="inlineStr">
        <is>
          <t>Не определено</t>
        </is>
      </c>
      <c r="M2655" s="53" t="inlineStr"/>
      <c r="N2655" s="54" t="inlineStr"/>
      <c r="O2655" s="55" t="inlineStr"/>
      <c r="P2655" s="16" t="inlineStr">
        <is>
          <t>Требует обогащения</t>
        </is>
      </c>
      <c r="Q2655" s="16">
        <f>HYPERLINK("https://pb.nalog.ru/search.html?query=5648020616","ФНС: проверить")</f>
        <v/>
      </c>
      <c r="R2655" s="16">
        <f>HYPERLINK("https://checko.ru/search?query=3801001629","Чекко: проверить")</f>
        <v/>
      </c>
      <c r="S2655" t="n">
        <v>1</v>
      </c>
      <c r="T2655" s="35" t="inlineStr">
        <is>
          <t>4 — Не обогащён</t>
        </is>
      </c>
      <c r="U2655" s="35" t="inlineStr">
        <is>
          <t>Нет ОКВЭД/ССЧР</t>
        </is>
      </c>
      <c r="V2655" s="35" t="inlineStr">
        <is>
          <t>Не определено</t>
        </is>
      </c>
      <c r="W2655" s="35" t="inlineStr"/>
      <c r="X2655" s="35" t="inlineStr"/>
    </row>
    <row r="2656" ht="27.75" customHeight="1" s="24">
      <c r="A2656" s="13" t="n">
        <v>5000092229</v>
      </c>
      <c r="B2656" s="13" t="inlineStr">
        <is>
          <t>АДМИНИСТРАЦИЯ МУНИЦИПАЛЬНОГО ОБРАЗОВАНИЯ "МАЙСК"</t>
        </is>
      </c>
      <c r="C2656" s="13" t="n">
        <v>8505005968</v>
      </c>
      <c r="D2656" s="13" t="inlineStr">
        <is>
          <t>8505005968</t>
        </is>
      </c>
      <c r="E2656" s="13" t="inlineStr">
        <is>
          <t>ЮЛ РФ</t>
        </is>
      </c>
      <c r="F2656" s="13" t="n"/>
      <c r="G2656" s="14" t="n"/>
      <c r="H2656" s="14" t="n"/>
      <c r="I2656" s="14" t="n"/>
      <c r="J2656" s="14" t="n"/>
      <c r="K2656" s="53" t="inlineStr"/>
      <c r="L2656" s="53" t="inlineStr">
        <is>
          <t>Не определено</t>
        </is>
      </c>
      <c r="M2656" s="53" t="inlineStr"/>
      <c r="N2656" s="54" t="inlineStr"/>
      <c r="O2656" s="55" t="inlineStr"/>
      <c r="P2656" s="16" t="inlineStr">
        <is>
          <t>Требует обогащения</t>
        </is>
      </c>
      <c r="Q2656" s="16">
        <f>HYPERLINK("https://pb.nalog.ru/search.html?query=8505005968","ФНС: проверить")</f>
        <v/>
      </c>
      <c r="R2656" s="16">
        <f>HYPERLINK("https://checko.ru/search?query=3801001629","Чекко: проверить")</f>
        <v/>
      </c>
      <c r="S2656" t="n">
        <v>1</v>
      </c>
      <c r="T2656" s="35" t="inlineStr">
        <is>
          <t>4 — Не обогащён</t>
        </is>
      </c>
      <c r="U2656" s="35" t="inlineStr">
        <is>
          <t>Нет ОКВЭД/ССЧР</t>
        </is>
      </c>
      <c r="V2656" s="35" t="inlineStr">
        <is>
          <t>Не определено</t>
        </is>
      </c>
      <c r="W2656" s="35" t="inlineStr"/>
      <c r="X2656" s="35" t="inlineStr"/>
    </row>
    <row r="2657" ht="15" customHeight="1" s="24">
      <c r="A2657" s="13" t="n">
        <v>5000001544</v>
      </c>
      <c r="B2657" s="13" t="inlineStr">
        <is>
          <t>ГОБУ СКШИ № 9 г. Иркутска</t>
        </is>
      </c>
      <c r="C2657" s="13" t="n">
        <v>3809024057</v>
      </c>
      <c r="D2657" s="13" t="inlineStr">
        <is>
          <t>3809024057</t>
        </is>
      </c>
      <c r="E2657" s="13" t="inlineStr">
        <is>
          <t>ЮЛ РФ</t>
        </is>
      </c>
      <c r="F2657" s="13" t="n"/>
      <c r="G2657" s="14" t="n"/>
      <c r="H2657" s="14" t="n"/>
      <c r="I2657" s="14" t="n"/>
      <c r="J2657" s="14" t="n"/>
      <c r="K2657" s="53" t="inlineStr"/>
      <c r="L2657" s="53" t="inlineStr">
        <is>
          <t>Не определено</t>
        </is>
      </c>
      <c r="M2657" s="53" t="inlineStr"/>
      <c r="N2657" s="54" t="inlineStr"/>
      <c r="O2657" s="55" t="inlineStr"/>
      <c r="P2657" s="16" t="inlineStr">
        <is>
          <t>Требует обогащения</t>
        </is>
      </c>
      <c r="Q2657" s="16">
        <f>HYPERLINK("https://pb.nalog.ru/search.html?query=3809024057","ФНС: проверить")</f>
        <v/>
      </c>
      <c r="R2657" s="16">
        <f>HYPERLINK("https://checko.ru/search?query=3801001629","Чекко: проверить")</f>
        <v/>
      </c>
      <c r="S2657" t="n">
        <v>1</v>
      </c>
      <c r="T2657" s="35" t="inlineStr">
        <is>
          <t>4 — Не обогащён</t>
        </is>
      </c>
      <c r="U2657" s="35" t="inlineStr">
        <is>
          <t>Нет ОКВЭД/ССЧР</t>
        </is>
      </c>
      <c r="V2657" s="35" t="inlineStr">
        <is>
          <t>Не определено</t>
        </is>
      </c>
      <c r="W2657" s="35" t="inlineStr"/>
      <c r="X2657" s="35" t="inlineStr"/>
    </row>
    <row r="2658" ht="15" customHeight="1" s="24">
      <c r="A2658" s="13" t="n">
        <v>5000045235</v>
      </c>
      <c r="B2658" s="13" t="inlineStr">
        <is>
          <t>ОГАУ "Баяндаевский лесхоз"</t>
        </is>
      </c>
      <c r="C2658" s="13" t="n">
        <v>8502002599</v>
      </c>
      <c r="D2658" s="13" t="inlineStr">
        <is>
          <t>8502002599</t>
        </is>
      </c>
      <c r="E2658" s="13" t="inlineStr">
        <is>
          <t>ЮЛ РФ</t>
        </is>
      </c>
      <c r="F2658" s="13" t="n"/>
      <c r="G2658" s="14" t="n"/>
      <c r="H2658" s="14" t="n"/>
      <c r="I2658" s="14" t="n"/>
      <c r="J2658" s="14" t="n"/>
      <c r="K2658" s="53" t="inlineStr"/>
      <c r="L2658" s="53" t="inlineStr">
        <is>
          <t>Не определено</t>
        </is>
      </c>
      <c r="M2658" s="53" t="inlineStr"/>
      <c r="N2658" s="54" t="inlineStr"/>
      <c r="O2658" s="55" t="inlineStr"/>
      <c r="P2658" s="16" t="inlineStr">
        <is>
          <t>Требует обогащения</t>
        </is>
      </c>
      <c r="Q2658" s="16">
        <f>HYPERLINK("https://pb.nalog.ru/search.html?query=8502002599","ФНС: проверить")</f>
        <v/>
      </c>
      <c r="R2658" s="16">
        <f>HYPERLINK("https://checko.ru/search?query=3801001629","Чекко: проверить")</f>
        <v/>
      </c>
      <c r="S2658" t="n">
        <v>1</v>
      </c>
      <c r="T2658" s="35" t="inlineStr">
        <is>
          <t>4 — Не обогащён</t>
        </is>
      </c>
      <c r="U2658" s="35" t="inlineStr">
        <is>
          <t>Нет ОКВЭД/ССЧР</t>
        </is>
      </c>
      <c r="V2658" s="35" t="inlineStr">
        <is>
          <t>Не определено</t>
        </is>
      </c>
      <c r="W2658" s="35" t="inlineStr"/>
      <c r="X2658" s="35" t="inlineStr"/>
    </row>
    <row r="2659" ht="15" customHeight="1" s="24">
      <c r="A2659" s="13" t="n">
        <v>5000042552</v>
      </c>
      <c r="B2659" s="13" t="inlineStr">
        <is>
          <t>МДОУ Трубачевский дс</t>
        </is>
      </c>
      <c r="C2659" s="13" t="n">
        <v>7504001599</v>
      </c>
      <c r="D2659" s="13" t="inlineStr">
        <is>
          <t>7504001599</t>
        </is>
      </c>
      <c r="E2659" s="13" t="inlineStr">
        <is>
          <t>ЮЛ РФ</t>
        </is>
      </c>
      <c r="F2659" s="13" t="n"/>
      <c r="G2659" s="14" t="n"/>
      <c r="H2659" s="14" t="n"/>
      <c r="I2659" s="14" t="n"/>
      <c r="J2659" s="14" t="n"/>
      <c r="K2659" s="53" t="inlineStr"/>
      <c r="L2659" s="53" t="inlineStr">
        <is>
          <t>Не определено</t>
        </is>
      </c>
      <c r="M2659" s="53" t="inlineStr"/>
      <c r="N2659" s="54" t="inlineStr"/>
      <c r="O2659" s="55" t="inlineStr"/>
      <c r="P2659" s="16" t="inlineStr">
        <is>
          <t>Требует обогащения</t>
        </is>
      </c>
      <c r="Q2659" s="16">
        <f>HYPERLINK("https://pb.nalog.ru/search.html?query=7504001599","ФНС: проверить")</f>
        <v/>
      </c>
      <c r="R2659" s="16">
        <f>HYPERLINK("https://checko.ru/search?query=3801001629","Чекко: проверить")</f>
        <v/>
      </c>
      <c r="S2659" t="n">
        <v>1</v>
      </c>
      <c r="T2659" s="35" t="inlineStr">
        <is>
          <t>4 — Не обогащён</t>
        </is>
      </c>
      <c r="U2659" s="35" t="inlineStr">
        <is>
          <t>Нет ОКВЭД/ССЧР</t>
        </is>
      </c>
      <c r="V2659" s="35" t="inlineStr">
        <is>
          <t>Не определено</t>
        </is>
      </c>
      <c r="W2659" s="35" t="inlineStr"/>
      <c r="X2659" s="35" t="inlineStr"/>
    </row>
    <row r="2660" ht="15" customHeight="1" s="24">
      <c r="A2660" s="13" t="n">
        <v>5000042553</v>
      </c>
      <c r="B2660" s="13" t="inlineStr">
        <is>
          <t>МДОУ Ушмунский дс</t>
        </is>
      </c>
      <c r="C2660" s="13" t="n">
        <v>7504001616</v>
      </c>
      <c r="D2660" s="13" t="inlineStr">
        <is>
          <t>7504001616</t>
        </is>
      </c>
      <c r="E2660" s="13" t="inlineStr">
        <is>
          <t>ЮЛ РФ</t>
        </is>
      </c>
      <c r="F2660" s="13" t="n"/>
      <c r="G2660" s="14" t="n"/>
      <c r="H2660" s="14" t="n"/>
      <c r="I2660" s="14" t="n"/>
      <c r="J2660" s="14" t="n"/>
      <c r="K2660" s="53" t="inlineStr"/>
      <c r="L2660" s="53" t="inlineStr">
        <is>
          <t>Не определено</t>
        </is>
      </c>
      <c r="M2660" s="53" t="inlineStr"/>
      <c r="N2660" s="54" t="inlineStr"/>
      <c r="O2660" s="55" t="inlineStr"/>
      <c r="P2660" s="16" t="inlineStr">
        <is>
          <t>Требует обогащения</t>
        </is>
      </c>
      <c r="Q2660" s="16">
        <f>HYPERLINK("https://pb.nalog.ru/search.html?query=7504001616","ФНС: проверить")</f>
        <v/>
      </c>
      <c r="R2660" s="16">
        <f>HYPERLINK("https://checko.ru/search?query=3801001629","Чекко: проверить")</f>
        <v/>
      </c>
      <c r="S2660" t="n">
        <v>1</v>
      </c>
      <c r="T2660" s="35" t="inlineStr">
        <is>
          <t>4 — Не обогащён</t>
        </is>
      </c>
      <c r="U2660" s="35" t="inlineStr">
        <is>
          <t>Нет ОКВЭД/ССЧР</t>
        </is>
      </c>
      <c r="V2660" s="35" t="inlineStr">
        <is>
          <t>Не определено</t>
        </is>
      </c>
      <c r="W2660" s="35" t="inlineStr"/>
      <c r="X2660" s="35" t="inlineStr"/>
    </row>
    <row r="2661" ht="15" customHeight="1" s="24">
      <c r="A2661" s="13" t="n">
        <v>5000042554</v>
      </c>
      <c r="B2661" s="13" t="inlineStr">
        <is>
          <t>МДОУ Широкинский дс</t>
        </is>
      </c>
      <c r="C2661" s="13" t="n">
        <v>7504001574</v>
      </c>
      <c r="D2661" s="13" t="inlineStr">
        <is>
          <t>7504001574</t>
        </is>
      </c>
      <c r="E2661" s="13" t="inlineStr">
        <is>
          <t>ЮЛ РФ</t>
        </is>
      </c>
      <c r="F2661" s="13" t="n"/>
      <c r="G2661" s="14" t="n"/>
      <c r="H2661" s="14" t="n"/>
      <c r="I2661" s="14" t="n"/>
      <c r="J2661" s="14" t="n"/>
      <c r="K2661" s="53" t="inlineStr"/>
      <c r="L2661" s="53" t="inlineStr">
        <is>
          <t>Не определено</t>
        </is>
      </c>
      <c r="M2661" s="53" t="inlineStr"/>
      <c r="N2661" s="54" t="inlineStr"/>
      <c r="O2661" s="55" t="inlineStr"/>
      <c r="P2661" s="16" t="inlineStr">
        <is>
          <t>Требует обогащения</t>
        </is>
      </c>
      <c r="Q2661" s="16">
        <f>HYPERLINK("https://pb.nalog.ru/search.html?query=7504001574","ФНС: проверить")</f>
        <v/>
      </c>
      <c r="R2661" s="16">
        <f>HYPERLINK("https://checko.ru/search?query=3801001629","Чекко: проверить")</f>
        <v/>
      </c>
      <c r="S2661" t="n">
        <v>1</v>
      </c>
      <c r="T2661" s="35" t="inlineStr">
        <is>
          <t>4 — Не обогащён</t>
        </is>
      </c>
      <c r="U2661" s="35" t="inlineStr">
        <is>
          <t>Нет ОКВЭД/ССЧР</t>
        </is>
      </c>
      <c r="V2661" s="35" t="inlineStr">
        <is>
          <t>Не определено</t>
        </is>
      </c>
      <c r="W2661" s="35" t="inlineStr"/>
      <c r="X2661" s="35" t="inlineStr"/>
    </row>
    <row r="2662" ht="15" customHeight="1" s="24">
      <c r="A2662" s="13" t="n">
        <v>5000042555</v>
      </c>
      <c r="B2662" s="13" t="inlineStr">
        <is>
          <t>МОУ Батаканская СОШ</t>
        </is>
      </c>
      <c r="C2662" s="13" t="n">
        <v>7504001461</v>
      </c>
      <c r="D2662" s="13" t="inlineStr">
        <is>
          <t>7504001461</t>
        </is>
      </c>
      <c r="E2662" s="13" t="inlineStr">
        <is>
          <t>ЮЛ РФ</t>
        </is>
      </c>
      <c r="F2662" s="13" t="n"/>
      <c r="G2662" s="14" t="n"/>
      <c r="H2662" s="14" t="n"/>
      <c r="I2662" s="14" t="n"/>
      <c r="J2662" s="14" t="n"/>
      <c r="K2662" s="53" t="inlineStr"/>
      <c r="L2662" s="53" t="inlineStr">
        <is>
          <t>Не определено</t>
        </is>
      </c>
      <c r="M2662" s="53" t="inlineStr"/>
      <c r="N2662" s="54" t="inlineStr"/>
      <c r="O2662" s="55" t="inlineStr"/>
      <c r="P2662" s="16" t="inlineStr">
        <is>
          <t>Требует обогащения</t>
        </is>
      </c>
      <c r="Q2662" s="16">
        <f>HYPERLINK("https://pb.nalog.ru/search.html?query=7504001461","ФНС: проверить")</f>
        <v/>
      </c>
      <c r="R2662" s="16">
        <f>HYPERLINK("https://checko.ru/search?query=3801001629","Чекко: проверить")</f>
        <v/>
      </c>
      <c r="S2662" t="n">
        <v>1</v>
      </c>
      <c r="T2662" s="35" t="inlineStr">
        <is>
          <t>4 — Не обогащён</t>
        </is>
      </c>
      <c r="U2662" s="35" t="inlineStr">
        <is>
          <t>Нет ОКВЭД/ССЧР</t>
        </is>
      </c>
      <c r="V2662" s="35" t="inlineStr">
        <is>
          <t>Не определено</t>
        </is>
      </c>
      <c r="W2662" s="35" t="inlineStr"/>
      <c r="X2662" s="35" t="inlineStr"/>
    </row>
    <row r="2663" ht="15" customHeight="1" s="24">
      <c r="A2663" s="13" t="n">
        <v>5000042556</v>
      </c>
      <c r="B2663" s="13" t="inlineStr">
        <is>
          <t>МОУ Будюмканская ООШ</t>
        </is>
      </c>
      <c r="C2663" s="13" t="n">
        <v>7504001493</v>
      </c>
      <c r="D2663" s="13" t="inlineStr">
        <is>
          <t>7504001493</t>
        </is>
      </c>
      <c r="E2663" s="13" t="inlineStr">
        <is>
          <t>ЮЛ РФ</t>
        </is>
      </c>
      <c r="F2663" s="13" t="n"/>
      <c r="G2663" s="14" t="n"/>
      <c r="H2663" s="14" t="n"/>
      <c r="I2663" s="14" t="n"/>
      <c r="J2663" s="14" t="n"/>
      <c r="K2663" s="53" t="inlineStr"/>
      <c r="L2663" s="53" t="inlineStr">
        <is>
          <t>Не определено</t>
        </is>
      </c>
      <c r="M2663" s="53" t="inlineStr"/>
      <c r="N2663" s="54" t="inlineStr"/>
      <c r="O2663" s="55" t="inlineStr"/>
      <c r="P2663" s="16" t="inlineStr">
        <is>
          <t>Требует обогащения</t>
        </is>
      </c>
      <c r="Q2663" s="16">
        <f>HYPERLINK("https://pb.nalog.ru/search.html?query=7504001493","ФНС: проверить")</f>
        <v/>
      </c>
      <c r="R2663" s="16">
        <f>HYPERLINK("https://checko.ru/search?query=3801001629","Чекко: проверить")</f>
        <v/>
      </c>
      <c r="S2663" t="n">
        <v>1</v>
      </c>
      <c r="T2663" s="35" t="inlineStr">
        <is>
          <t>4 — Не обогащён</t>
        </is>
      </c>
      <c r="U2663" s="35" t="inlineStr">
        <is>
          <t>Нет ОКВЭД/ССЧР</t>
        </is>
      </c>
      <c r="V2663" s="35" t="inlineStr">
        <is>
          <t>Не определено</t>
        </is>
      </c>
      <c r="W2663" s="35" t="inlineStr"/>
      <c r="X2663" s="35" t="inlineStr"/>
    </row>
    <row r="2664" ht="15" customHeight="1" s="24">
      <c r="A2664" s="13" t="n">
        <v>5000042557</v>
      </c>
      <c r="B2664" s="13" t="inlineStr">
        <is>
          <t>МОУ Буруканская ООШ</t>
        </is>
      </c>
      <c r="C2664" s="13" t="n">
        <v>7504001422</v>
      </c>
      <c r="D2664" s="13" t="inlineStr">
        <is>
          <t>7504001422</t>
        </is>
      </c>
      <c r="E2664" s="13" t="inlineStr">
        <is>
          <t>ЮЛ РФ</t>
        </is>
      </c>
      <c r="F2664" s="13" t="n"/>
      <c r="G2664" s="14" t="n"/>
      <c r="H2664" s="14" t="n"/>
      <c r="I2664" s="14" t="n"/>
      <c r="J2664" s="14" t="n"/>
      <c r="K2664" s="53" t="inlineStr"/>
      <c r="L2664" s="53" t="inlineStr">
        <is>
          <t>Не определено</t>
        </is>
      </c>
      <c r="M2664" s="53" t="inlineStr"/>
      <c r="N2664" s="54" t="inlineStr"/>
      <c r="O2664" s="55" t="inlineStr"/>
      <c r="P2664" s="16" t="inlineStr">
        <is>
          <t>Требует обогащения</t>
        </is>
      </c>
      <c r="Q2664" s="16">
        <f>HYPERLINK("https://pb.nalog.ru/search.html?query=7504001422","ФНС: проверить")</f>
        <v/>
      </c>
      <c r="R2664" s="16">
        <f>HYPERLINK("https://checko.ru/search?query=3801001629","Чекко: проверить")</f>
        <v/>
      </c>
      <c r="S2664" t="n">
        <v>1</v>
      </c>
      <c r="T2664" s="35" t="inlineStr">
        <is>
          <t>4 — Не обогащён</t>
        </is>
      </c>
      <c r="U2664" s="35" t="inlineStr">
        <is>
          <t>Нет ОКВЭД/ССЧР</t>
        </is>
      </c>
      <c r="V2664" s="35" t="inlineStr">
        <is>
          <t>Не определено</t>
        </is>
      </c>
      <c r="W2664" s="35" t="inlineStr"/>
      <c r="X2664" s="35" t="inlineStr"/>
    </row>
    <row r="2665" ht="15" customHeight="1" s="24">
      <c r="A2665" s="13" t="n">
        <v>5000042558</v>
      </c>
      <c r="B2665" s="13" t="inlineStr">
        <is>
          <t>МОУ Газимуро-Заводская СОШ</t>
        </is>
      </c>
      <c r="C2665" s="13" t="n">
        <v>7504001408</v>
      </c>
      <c r="D2665" s="13" t="inlineStr">
        <is>
          <t>7504001408</t>
        </is>
      </c>
      <c r="E2665" s="13" t="inlineStr">
        <is>
          <t>ЮЛ РФ</t>
        </is>
      </c>
      <c r="F2665" s="13" t="n"/>
      <c r="G2665" s="14" t="n"/>
      <c r="H2665" s="14" t="n"/>
      <c r="I2665" s="14" t="n"/>
      <c r="J2665" s="14" t="n"/>
      <c r="K2665" s="53" t="inlineStr"/>
      <c r="L2665" s="53" t="inlineStr">
        <is>
          <t>Не определено</t>
        </is>
      </c>
      <c r="M2665" s="53" t="inlineStr"/>
      <c r="N2665" s="54" t="inlineStr"/>
      <c r="O2665" s="55" t="inlineStr"/>
      <c r="P2665" s="16" t="inlineStr">
        <is>
          <t>Требует обогащения</t>
        </is>
      </c>
      <c r="Q2665" s="16">
        <f>HYPERLINK("https://pb.nalog.ru/search.html?query=7504001408","ФНС: проверить")</f>
        <v/>
      </c>
      <c r="R2665" s="16">
        <f>HYPERLINK("https://checko.ru/search?query=3801001629","Чекко: проверить")</f>
        <v/>
      </c>
      <c r="S2665" t="n">
        <v>1</v>
      </c>
      <c r="T2665" s="35" t="inlineStr">
        <is>
          <t>4 — Не обогащён</t>
        </is>
      </c>
      <c r="U2665" s="35" t="inlineStr">
        <is>
          <t>Нет ОКВЭД/ССЧР</t>
        </is>
      </c>
      <c r="V2665" s="35" t="inlineStr">
        <is>
          <t>Не определено</t>
        </is>
      </c>
      <c r="W2665" s="35" t="inlineStr"/>
      <c r="X2665" s="35" t="inlineStr"/>
    </row>
    <row r="2666" ht="15" customHeight="1" s="24">
      <c r="A2666" s="13" t="n">
        <v>5000042559</v>
      </c>
      <c r="B2666" s="13" t="inlineStr">
        <is>
          <t>МОУ Зеренская ООШ</t>
        </is>
      </c>
      <c r="C2666" s="13" t="n">
        <v>7504001398</v>
      </c>
      <c r="D2666" s="13" t="inlineStr">
        <is>
          <t>7504001398</t>
        </is>
      </c>
      <c r="E2666" s="13" t="inlineStr">
        <is>
          <t>ЮЛ РФ</t>
        </is>
      </c>
      <c r="F2666" s="13" t="n"/>
      <c r="G2666" s="14" t="n"/>
      <c r="H2666" s="14" t="n"/>
      <c r="I2666" s="14" t="n"/>
      <c r="J2666" s="14" t="n"/>
      <c r="K2666" s="53" t="inlineStr"/>
      <c r="L2666" s="53" t="inlineStr">
        <is>
          <t>Не определено</t>
        </is>
      </c>
      <c r="M2666" s="53" t="inlineStr"/>
      <c r="N2666" s="54" t="inlineStr"/>
      <c r="O2666" s="55" t="inlineStr"/>
      <c r="P2666" s="16" t="inlineStr">
        <is>
          <t>Требует обогащения</t>
        </is>
      </c>
      <c r="Q2666" s="16">
        <f>HYPERLINK("https://pb.nalog.ru/search.html?query=7504001398","ФНС: проверить")</f>
        <v/>
      </c>
      <c r="R2666" s="16">
        <f>HYPERLINK("https://checko.ru/search?query=3801001629","Чекко: проверить")</f>
        <v/>
      </c>
      <c r="S2666" t="n">
        <v>1</v>
      </c>
      <c r="T2666" s="35" t="inlineStr">
        <is>
          <t>4 — Не обогащён</t>
        </is>
      </c>
      <c r="U2666" s="35" t="inlineStr">
        <is>
          <t>Нет ОКВЭД/ССЧР</t>
        </is>
      </c>
      <c r="V2666" s="35" t="inlineStr">
        <is>
          <t>Не определено</t>
        </is>
      </c>
      <c r="W2666" s="35" t="inlineStr"/>
      <c r="X2666" s="35" t="inlineStr"/>
    </row>
    <row r="2667" ht="15" customHeight="1" s="24">
      <c r="A2667" s="13" t="n">
        <v>5000042560</v>
      </c>
      <c r="B2667" s="13" t="inlineStr">
        <is>
          <t>МОУ Кактолгинская СОШ</t>
        </is>
      </c>
      <c r="C2667" s="13" t="n">
        <v>7504001447</v>
      </c>
      <c r="D2667" s="13" t="inlineStr">
        <is>
          <t>7504001447</t>
        </is>
      </c>
      <c r="E2667" s="13" t="inlineStr">
        <is>
          <t>ЮЛ РФ</t>
        </is>
      </c>
      <c r="F2667" s="13" t="n"/>
      <c r="G2667" s="14" t="n"/>
      <c r="H2667" s="14" t="n"/>
      <c r="I2667" s="14" t="n"/>
      <c r="J2667" s="14" t="n"/>
      <c r="K2667" s="53" t="inlineStr"/>
      <c r="L2667" s="53" t="inlineStr">
        <is>
          <t>Не определено</t>
        </is>
      </c>
      <c r="M2667" s="53" t="inlineStr"/>
      <c r="N2667" s="54" t="inlineStr"/>
      <c r="O2667" s="55" t="inlineStr"/>
      <c r="P2667" s="16" t="inlineStr">
        <is>
          <t>Требует обогащения</t>
        </is>
      </c>
      <c r="Q2667" s="16">
        <f>HYPERLINK("https://pb.nalog.ru/search.html?query=7504001447","ФНС: проверить")</f>
        <v/>
      </c>
      <c r="R2667" s="16">
        <f>HYPERLINK("https://checko.ru/search?query=3801001629","Чекко: проверить")</f>
        <v/>
      </c>
      <c r="S2667" t="n">
        <v>1</v>
      </c>
      <c r="T2667" s="35" t="inlineStr">
        <is>
          <t>4 — Не обогащён</t>
        </is>
      </c>
      <c r="U2667" s="35" t="inlineStr">
        <is>
          <t>Нет ОКВЭД/ССЧР</t>
        </is>
      </c>
      <c r="V2667" s="35" t="inlineStr">
        <is>
          <t>Не определено</t>
        </is>
      </c>
      <c r="W2667" s="35" t="inlineStr"/>
      <c r="X2667" s="35" t="inlineStr"/>
    </row>
    <row r="2668" ht="15" customHeight="1" s="24">
      <c r="A2668" s="13" t="n">
        <v>5000042562</v>
      </c>
      <c r="B2668" s="13" t="inlineStr">
        <is>
          <t>МОУ Тайнинская ООШ</t>
        </is>
      </c>
      <c r="C2668" s="13" t="n">
        <v>7504001479</v>
      </c>
      <c r="D2668" s="13" t="inlineStr">
        <is>
          <t>7504001479</t>
        </is>
      </c>
      <c r="E2668" s="13" t="inlineStr">
        <is>
          <t>ЮЛ РФ</t>
        </is>
      </c>
      <c r="F2668" s="13" t="n"/>
      <c r="G2668" s="14" t="n"/>
      <c r="H2668" s="14" t="n"/>
      <c r="I2668" s="14" t="n"/>
      <c r="J2668" s="14" t="n"/>
      <c r="K2668" s="53" t="inlineStr"/>
      <c r="L2668" s="53" t="inlineStr">
        <is>
          <t>Не определено</t>
        </is>
      </c>
      <c r="M2668" s="53" t="inlineStr"/>
      <c r="N2668" s="54" t="inlineStr"/>
      <c r="O2668" s="55" t="inlineStr"/>
      <c r="P2668" s="16" t="inlineStr">
        <is>
          <t>Требует обогащения</t>
        </is>
      </c>
      <c r="Q2668" s="16">
        <f>HYPERLINK("https://pb.nalog.ru/search.html?query=7504001479","ФНС: проверить")</f>
        <v/>
      </c>
      <c r="R2668" s="16">
        <f>HYPERLINK("https://checko.ru/search?query=3801001629","Чекко: проверить")</f>
        <v/>
      </c>
      <c r="S2668" t="n">
        <v>1</v>
      </c>
      <c r="T2668" s="35" t="inlineStr">
        <is>
          <t>4 — Не обогащён</t>
        </is>
      </c>
      <c r="U2668" s="35" t="inlineStr">
        <is>
          <t>Нет ОКВЭД/ССЧР</t>
        </is>
      </c>
      <c r="V2668" s="35" t="inlineStr">
        <is>
          <t>Не определено</t>
        </is>
      </c>
      <c r="W2668" s="35" t="inlineStr"/>
      <c r="X2668" s="35" t="inlineStr"/>
    </row>
    <row r="2669" ht="15" customHeight="1" s="24">
      <c r="A2669" s="13" t="n">
        <v>5000042563</v>
      </c>
      <c r="B2669" s="13" t="inlineStr">
        <is>
          <t>МОУ Трубачевкая ООШ</t>
        </is>
      </c>
      <c r="C2669" s="13" t="n">
        <v>7504001430</v>
      </c>
      <c r="D2669" s="13" t="inlineStr">
        <is>
          <t>7504001430</t>
        </is>
      </c>
      <c r="E2669" s="13" t="inlineStr">
        <is>
          <t>ЮЛ РФ</t>
        </is>
      </c>
      <c r="F2669" s="13" t="n"/>
      <c r="G2669" s="14" t="n"/>
      <c r="H2669" s="14" t="n"/>
      <c r="I2669" s="14" t="n"/>
      <c r="J2669" s="14" t="n"/>
      <c r="K2669" s="53" t="inlineStr"/>
      <c r="L2669" s="53" t="inlineStr">
        <is>
          <t>Не определено</t>
        </is>
      </c>
      <c r="M2669" s="53" t="inlineStr"/>
      <c r="N2669" s="54" t="inlineStr"/>
      <c r="O2669" s="55" t="inlineStr"/>
      <c r="P2669" s="16" t="inlineStr">
        <is>
          <t>Требует обогащения</t>
        </is>
      </c>
      <c r="Q2669" s="16">
        <f>HYPERLINK("https://pb.nalog.ru/search.html?query=7504001430","ФНС: проверить")</f>
        <v/>
      </c>
      <c r="R2669" s="16">
        <f>HYPERLINK("https://checko.ru/search?query=3801001629","Чекко: проверить")</f>
        <v/>
      </c>
      <c r="S2669" t="n">
        <v>1</v>
      </c>
      <c r="T2669" s="35" t="inlineStr">
        <is>
          <t>4 — Не обогащён</t>
        </is>
      </c>
      <c r="U2669" s="35" t="inlineStr">
        <is>
          <t>Нет ОКВЭД/ССЧР</t>
        </is>
      </c>
      <c r="V2669" s="35" t="inlineStr">
        <is>
          <t>Не определено</t>
        </is>
      </c>
      <c r="W2669" s="35" t="inlineStr"/>
      <c r="X2669" s="35" t="inlineStr"/>
    </row>
    <row r="2670" ht="15" customHeight="1" s="24">
      <c r="A2670" s="13" t="n">
        <v>5000042564</v>
      </c>
      <c r="B2670" s="13" t="inlineStr">
        <is>
          <t>МОУ Ушмунская СОШ</t>
        </is>
      </c>
      <c r="C2670" s="13" t="n">
        <v>7504001454</v>
      </c>
      <c r="D2670" s="13" t="inlineStr">
        <is>
          <t>7504001454</t>
        </is>
      </c>
      <c r="E2670" s="13" t="inlineStr">
        <is>
          <t>ЮЛ РФ</t>
        </is>
      </c>
      <c r="F2670" s="13" t="n"/>
      <c r="G2670" s="14" t="n"/>
      <c r="H2670" s="14" t="n"/>
      <c r="I2670" s="14" t="n"/>
      <c r="J2670" s="14" t="n"/>
      <c r="K2670" s="53" t="inlineStr"/>
      <c r="L2670" s="53" t="inlineStr">
        <is>
          <t>Не определено</t>
        </is>
      </c>
      <c r="M2670" s="53" t="inlineStr"/>
      <c r="N2670" s="54" t="inlineStr"/>
      <c r="O2670" s="55" t="inlineStr"/>
      <c r="P2670" s="16" t="inlineStr">
        <is>
          <t>Требует обогащения</t>
        </is>
      </c>
      <c r="Q2670" s="16">
        <f>HYPERLINK("https://pb.nalog.ru/search.html?query=7504001454","ФНС: проверить")</f>
        <v/>
      </c>
      <c r="R2670" s="16">
        <f>HYPERLINK("https://checko.ru/search?query=3801001629","Чекко: проверить")</f>
        <v/>
      </c>
      <c r="S2670" t="n">
        <v>1</v>
      </c>
      <c r="T2670" s="35" t="inlineStr">
        <is>
          <t>4 — Не обогащён</t>
        </is>
      </c>
      <c r="U2670" s="35" t="inlineStr">
        <is>
          <t>Нет ОКВЭД/ССЧР</t>
        </is>
      </c>
      <c r="V2670" s="35" t="inlineStr">
        <is>
          <t>Не определено</t>
        </is>
      </c>
      <c r="W2670" s="35" t="inlineStr"/>
      <c r="X2670" s="35" t="inlineStr"/>
    </row>
    <row r="2671" ht="15" customHeight="1" s="24">
      <c r="A2671" s="13" t="n">
        <v>5000042565</v>
      </c>
      <c r="B2671" s="13" t="inlineStr">
        <is>
          <t>МОУ Широкинская СОШ</t>
        </is>
      </c>
      <c r="C2671" s="13" t="n">
        <v>7504001486</v>
      </c>
      <c r="D2671" s="13" t="inlineStr">
        <is>
          <t>7504001486</t>
        </is>
      </c>
      <c r="E2671" s="13" t="inlineStr">
        <is>
          <t>ЮЛ РФ</t>
        </is>
      </c>
      <c r="F2671" s="13" t="n"/>
      <c r="G2671" s="14" t="n"/>
      <c r="H2671" s="14" t="n"/>
      <c r="I2671" s="14" t="n"/>
      <c r="J2671" s="14" t="n"/>
      <c r="K2671" s="53" t="inlineStr"/>
      <c r="L2671" s="53" t="inlineStr">
        <is>
          <t>Не определено</t>
        </is>
      </c>
      <c r="M2671" s="53" t="inlineStr"/>
      <c r="N2671" s="54" t="inlineStr"/>
      <c r="O2671" s="55" t="inlineStr"/>
      <c r="P2671" s="16" t="inlineStr">
        <is>
          <t>Требует обогащения</t>
        </is>
      </c>
      <c r="Q2671" s="16">
        <f>HYPERLINK("https://pb.nalog.ru/search.html?query=7504001486","ФНС: проверить")</f>
        <v/>
      </c>
      <c r="R2671" s="16">
        <f>HYPERLINK("https://checko.ru/search?query=3801001629","Чекко: проверить")</f>
        <v/>
      </c>
      <c r="S2671" t="n">
        <v>1</v>
      </c>
      <c r="T2671" s="35" t="inlineStr">
        <is>
          <t>4 — Не обогащён</t>
        </is>
      </c>
      <c r="U2671" s="35" t="inlineStr">
        <is>
          <t>Нет ОКВЭД/ССЧР</t>
        </is>
      </c>
      <c r="V2671" s="35" t="inlineStr">
        <is>
          <t>Не определено</t>
        </is>
      </c>
      <c r="W2671" s="35" t="inlineStr"/>
      <c r="X2671" s="35" t="inlineStr"/>
    </row>
    <row r="2672" ht="27.75" customHeight="1" s="24">
      <c r="A2672" s="13" t="n">
        <v>5000042566</v>
      </c>
      <c r="B2672" s="13" t="inlineStr">
        <is>
          <t>МУ ДО «Детско-юношеская спортивная школа» Газимуро-Заводского района</t>
        </is>
      </c>
      <c r="C2672" s="13" t="n">
        <v>7504001863</v>
      </c>
      <c r="D2672" s="13" t="inlineStr">
        <is>
          <t>7504001863</t>
        </is>
      </c>
      <c r="E2672" s="13" t="inlineStr">
        <is>
          <t>ЮЛ РФ</t>
        </is>
      </c>
      <c r="F2672" s="13" t="n"/>
      <c r="G2672" s="14" t="n"/>
      <c r="H2672" s="14" t="n"/>
      <c r="I2672" s="14" t="n"/>
      <c r="J2672" s="14" t="n"/>
      <c r="K2672" s="53" t="inlineStr"/>
      <c r="L2672" s="53" t="inlineStr">
        <is>
          <t>Не определено</t>
        </is>
      </c>
      <c r="M2672" s="53" t="inlineStr"/>
      <c r="N2672" s="54" t="inlineStr"/>
      <c r="O2672" s="55" t="inlineStr"/>
      <c r="P2672" s="16" t="inlineStr">
        <is>
          <t>Требует обогащения</t>
        </is>
      </c>
      <c r="Q2672" s="16">
        <f>HYPERLINK("https://pb.nalog.ru/search.html?query=7504001863","ФНС: проверить")</f>
        <v/>
      </c>
      <c r="R2672" s="16">
        <f>HYPERLINK("https://checko.ru/search?query=3801001629","Чекко: проверить")</f>
        <v/>
      </c>
      <c r="S2672" t="n">
        <v>1</v>
      </c>
      <c r="T2672" s="35" t="inlineStr">
        <is>
          <t>4 — Не обогащён</t>
        </is>
      </c>
      <c r="U2672" s="35" t="inlineStr">
        <is>
          <t>Нет ОКВЭД/ССЧР</t>
        </is>
      </c>
      <c r="V2672" s="35" t="inlineStr">
        <is>
          <t>Не определено</t>
        </is>
      </c>
      <c r="W2672" s="35" t="inlineStr"/>
      <c r="X2672" s="35" t="inlineStr"/>
    </row>
    <row r="2673" ht="41.25" customHeight="1" s="24">
      <c r="A2673" s="13" t="n">
        <v>5000060624</v>
      </c>
      <c r="B2673" s="13" t="inlineStr">
        <is>
          <t>ОБЛАСТНОЕ ГОСУДАРСТВЕННОЕ КАЗЁННОЕ ОБЩЕОБРАЗОВАТЕЛЬНОЕ УЧРЕЖДЕНИЕ "ШКОЛА-ИНТЕРНАТ ДЛЯ ОБУЧАЮЩИХСЯ С</t>
        </is>
      </c>
      <c r="C2673" s="13" t="n">
        <v>7325025152</v>
      </c>
      <c r="D2673" s="13" t="inlineStr">
        <is>
          <t>7325025152</t>
        </is>
      </c>
      <c r="E2673" s="13" t="inlineStr">
        <is>
          <t>ЮЛ РФ</t>
        </is>
      </c>
      <c r="F2673" s="13" t="n"/>
      <c r="G2673" s="14" t="n"/>
      <c r="H2673" s="14" t="n"/>
      <c r="I2673" s="14" t="n"/>
      <c r="J2673" s="14" t="n"/>
      <c r="K2673" s="53" t="inlineStr"/>
      <c r="L2673" s="53" t="inlineStr">
        <is>
          <t>Не определено</t>
        </is>
      </c>
      <c r="M2673" s="53" t="inlineStr"/>
      <c r="N2673" s="54" t="inlineStr"/>
      <c r="O2673" s="55" t="inlineStr"/>
      <c r="P2673" s="16" t="inlineStr">
        <is>
          <t>Требует обогащения</t>
        </is>
      </c>
      <c r="Q2673" s="16">
        <f>HYPERLINK("https://pb.nalog.ru/search.html?query=7325025152","ФНС: проверить")</f>
        <v/>
      </c>
      <c r="R2673" s="16">
        <f>HYPERLINK("https://checko.ru/search?query=3801001629","Чекко: проверить")</f>
        <v/>
      </c>
      <c r="S2673" t="n">
        <v>1</v>
      </c>
      <c r="T2673" s="35" t="inlineStr">
        <is>
          <t>4 — Не обогащён</t>
        </is>
      </c>
      <c r="U2673" s="35" t="inlineStr">
        <is>
          <t>Нет ОКВЭД/ССЧР</t>
        </is>
      </c>
      <c r="V2673" s="35" t="inlineStr">
        <is>
          <t>Не определено</t>
        </is>
      </c>
      <c r="W2673" s="35" t="inlineStr"/>
      <c r="X2673" s="35" t="inlineStr"/>
    </row>
    <row r="2674" ht="27.75" customHeight="1" s="24">
      <c r="A2674" s="13" t="n">
        <v>5000060621</v>
      </c>
      <c r="B2674" s="13" t="inlineStr">
        <is>
          <t>ОГОУ для детей-сирот и детей, оставшихся без попечения родителей,</t>
        </is>
      </c>
      <c r="C2674" s="13" t="n">
        <v>7323006179</v>
      </c>
      <c r="D2674" s="13" t="inlineStr">
        <is>
          <t>7323006179</t>
        </is>
      </c>
      <c r="E2674" s="13" t="inlineStr">
        <is>
          <t>ЮЛ РФ</t>
        </is>
      </c>
      <c r="F2674" s="13" t="n"/>
      <c r="G2674" s="14" t="n"/>
      <c r="H2674" s="14" t="n"/>
      <c r="I2674" s="14" t="n"/>
      <c r="J2674" s="14" t="n"/>
      <c r="K2674" s="53" t="inlineStr"/>
      <c r="L2674" s="53" t="inlineStr">
        <is>
          <t>Не определено</t>
        </is>
      </c>
      <c r="M2674" s="53" t="inlineStr"/>
      <c r="N2674" s="54" t="inlineStr"/>
      <c r="O2674" s="55" t="inlineStr"/>
      <c r="P2674" s="16" t="inlineStr">
        <is>
          <t>Требует обогащения</t>
        </is>
      </c>
      <c r="Q2674" s="16">
        <f>HYPERLINK("https://pb.nalog.ru/search.html?query=7323006179","ФНС: проверить")</f>
        <v/>
      </c>
      <c r="R2674" s="16">
        <f>HYPERLINK("https://checko.ru/search?query=3801001629","Чекко: проверить")</f>
        <v/>
      </c>
      <c r="S2674" t="n">
        <v>1</v>
      </c>
      <c r="T2674" s="35" t="inlineStr">
        <is>
          <t>4 — Не обогащён</t>
        </is>
      </c>
      <c r="U2674" s="35" t="inlineStr">
        <is>
          <t>Нет ОКВЭД/ССЧР</t>
        </is>
      </c>
      <c r="V2674" s="35" t="inlineStr">
        <is>
          <t>Не определено</t>
        </is>
      </c>
      <c r="W2674" s="35" t="inlineStr"/>
      <c r="X2674" s="35" t="inlineStr"/>
    </row>
    <row r="2675" ht="27.75" customHeight="1" s="24">
      <c r="A2675" s="13" t="n">
        <v>5000075689</v>
      </c>
      <c r="B2675" s="13" t="inlineStr">
        <is>
          <t>Министерство региональной и информационной политики Оренбургской области</t>
        </is>
      </c>
      <c r="C2675" s="13" t="n">
        <v>5610237190</v>
      </c>
      <c r="D2675" s="13" t="inlineStr">
        <is>
          <t>5610237190</t>
        </is>
      </c>
      <c r="E2675" s="13" t="inlineStr">
        <is>
          <t>ЮЛ РФ</t>
        </is>
      </c>
      <c r="F2675" s="13" t="n"/>
      <c r="G2675" s="14" t="n"/>
      <c r="H2675" s="14" t="n"/>
      <c r="I2675" s="14" t="n"/>
      <c r="J2675" s="14" t="n"/>
      <c r="K2675" s="53" t="inlineStr"/>
      <c r="L2675" s="53" t="inlineStr">
        <is>
          <t>Не определено</t>
        </is>
      </c>
      <c r="M2675" s="53" t="inlineStr"/>
      <c r="N2675" s="54" t="inlineStr"/>
      <c r="O2675" s="55" t="inlineStr"/>
      <c r="P2675" s="16" t="inlineStr">
        <is>
          <t>Требует обогащения</t>
        </is>
      </c>
      <c r="Q2675" s="16">
        <f>HYPERLINK("https://pb.nalog.ru/search.html?query=5610237190","ФНС: проверить")</f>
        <v/>
      </c>
      <c r="R2675" s="16">
        <f>HYPERLINK("https://checko.ru/search?query=3801001629","Чекко: проверить")</f>
        <v/>
      </c>
      <c r="S2675" t="n">
        <v>1</v>
      </c>
      <c r="T2675" s="35" t="inlineStr">
        <is>
          <t>4 — Не обогащён</t>
        </is>
      </c>
      <c r="U2675" s="35" t="inlineStr">
        <is>
          <t>Нет ОКВЭД/ССЧР</t>
        </is>
      </c>
      <c r="V2675" s="35" t="inlineStr">
        <is>
          <t>Не определено</t>
        </is>
      </c>
      <c r="W2675" s="35" t="inlineStr"/>
      <c r="X2675" s="35" t="inlineStr"/>
    </row>
    <row r="2676" ht="27.75" customHeight="1" s="24">
      <c r="A2676" s="13" t="n">
        <v>5000075687</v>
      </c>
      <c r="B2676" s="13" t="inlineStr">
        <is>
          <t>Министерство промышленности и энергетики Оренбургской области</t>
        </is>
      </c>
      <c r="C2676" s="13" t="n">
        <v>5610238042</v>
      </c>
      <c r="D2676" s="13" t="inlineStr">
        <is>
          <t>5610238042</t>
        </is>
      </c>
      <c r="E2676" s="13" t="inlineStr">
        <is>
          <t>ЮЛ РФ</t>
        </is>
      </c>
      <c r="F2676" s="13" t="n"/>
      <c r="G2676" s="14" t="n"/>
      <c r="H2676" s="14" t="n"/>
      <c r="I2676" s="14" t="n"/>
      <c r="J2676" s="14" t="n"/>
      <c r="K2676" s="53" t="inlineStr"/>
      <c r="L2676" s="53" t="inlineStr">
        <is>
          <t>Не определено</t>
        </is>
      </c>
      <c r="M2676" s="53" t="inlineStr"/>
      <c r="N2676" s="54" t="inlineStr"/>
      <c r="O2676" s="55" t="inlineStr"/>
      <c r="P2676" s="16" t="inlineStr">
        <is>
          <t>Требует обогащения</t>
        </is>
      </c>
      <c r="Q2676" s="16">
        <f>HYPERLINK("https://pb.nalog.ru/search.html?query=5610238042","ФНС: проверить")</f>
        <v/>
      </c>
      <c r="R2676" s="16">
        <f>HYPERLINK("https://checko.ru/search?query=3801001629","Чекко: проверить")</f>
        <v/>
      </c>
      <c r="S2676" t="n">
        <v>1</v>
      </c>
      <c r="T2676" s="35" t="inlineStr">
        <is>
          <t>4 — Не обогащён</t>
        </is>
      </c>
      <c r="U2676" s="35" t="inlineStr">
        <is>
          <t>Нет ОКВЭД/ССЧР</t>
        </is>
      </c>
      <c r="V2676" s="35" t="inlineStr">
        <is>
          <t>Не определено</t>
        </is>
      </c>
      <c r="W2676" s="35" t="inlineStr"/>
      <c r="X2676" s="35" t="inlineStr"/>
    </row>
    <row r="2677" ht="27.75" customHeight="1" s="24">
      <c r="A2677" s="13" t="n">
        <v>5000075688</v>
      </c>
      <c r="B2677" s="13" t="inlineStr">
        <is>
          <t>Департамент архитектуры и информационной политики Оренбургской области</t>
        </is>
      </c>
      <c r="C2677" s="13" t="n">
        <v>5610237666</v>
      </c>
      <c r="D2677" s="13" t="inlineStr">
        <is>
          <t>5610237666</t>
        </is>
      </c>
      <c r="E2677" s="13" t="inlineStr">
        <is>
          <t>ЮЛ РФ</t>
        </is>
      </c>
      <c r="F2677" s="13" t="n"/>
      <c r="G2677" s="14" t="n"/>
      <c r="H2677" s="14" t="n"/>
      <c r="I2677" s="14" t="n"/>
      <c r="J2677" s="14" t="n"/>
      <c r="K2677" s="53" t="inlineStr"/>
      <c r="L2677" s="53" t="inlineStr">
        <is>
          <t>Не определено</t>
        </is>
      </c>
      <c r="M2677" s="53" t="inlineStr"/>
      <c r="N2677" s="54" t="inlineStr"/>
      <c r="O2677" s="55" t="inlineStr"/>
      <c r="P2677" s="16" t="inlineStr">
        <is>
          <t>Требует обогащения</t>
        </is>
      </c>
      <c r="Q2677" s="16">
        <f>HYPERLINK("https://pb.nalog.ru/search.html?query=5610237666","ФНС: проверить")</f>
        <v/>
      </c>
      <c r="R2677" s="16">
        <f>HYPERLINK("https://checko.ru/search?query=3801001629","Чекко: проверить")</f>
        <v/>
      </c>
      <c r="S2677" t="n">
        <v>1</v>
      </c>
      <c r="T2677" s="35" t="inlineStr">
        <is>
          <t>4 — Не обогащён</t>
        </is>
      </c>
      <c r="U2677" s="35" t="inlineStr">
        <is>
          <t>Нет ОКВЭД/ССЧР</t>
        </is>
      </c>
      <c r="V2677" s="35" t="inlineStr">
        <is>
          <t>Не определено</t>
        </is>
      </c>
      <c r="W2677" s="35" t="inlineStr"/>
      <c r="X2677" s="35" t="inlineStr"/>
    </row>
    <row r="2678" ht="27.75" customHeight="1" s="24">
      <c r="A2678" s="13" t="n">
        <v>5000075691</v>
      </c>
      <c r="B2678" s="13" t="inlineStr">
        <is>
          <t>Комитет по профилактике коррупционных правонарушений Оренбургской области</t>
        </is>
      </c>
      <c r="C2678" s="13" t="n">
        <v>5610234048</v>
      </c>
      <c r="D2678" s="13" t="inlineStr">
        <is>
          <t>5610234048</t>
        </is>
      </c>
      <c r="E2678" s="13" t="inlineStr">
        <is>
          <t>ЮЛ РФ</t>
        </is>
      </c>
      <c r="F2678" s="13" t="n"/>
      <c r="G2678" s="14" t="n"/>
      <c r="H2678" s="14" t="n"/>
      <c r="I2678" s="14" t="n"/>
      <c r="J2678" s="14" t="n"/>
      <c r="K2678" s="53" t="inlineStr"/>
      <c r="L2678" s="53" t="inlineStr">
        <is>
          <t>Не определено</t>
        </is>
      </c>
      <c r="M2678" s="53" t="inlineStr"/>
      <c r="N2678" s="54" t="inlineStr"/>
      <c r="O2678" s="55" t="inlineStr"/>
      <c r="P2678" s="16" t="inlineStr">
        <is>
          <t>Требует обогащения</t>
        </is>
      </c>
      <c r="Q2678" s="16">
        <f>HYPERLINK("https://pb.nalog.ru/search.html?query=5610234048","ФНС: проверить")</f>
        <v/>
      </c>
      <c r="R2678" s="16">
        <f>HYPERLINK("https://checko.ru/search?query=3801001629","Чекко: проверить")</f>
        <v/>
      </c>
      <c r="S2678" t="n">
        <v>1</v>
      </c>
      <c r="T2678" s="35" t="inlineStr">
        <is>
          <t>4 — Не обогащён</t>
        </is>
      </c>
      <c r="U2678" s="35" t="inlineStr">
        <is>
          <t>Нет ОКВЭД/ССЧР</t>
        </is>
      </c>
      <c r="V2678" s="35" t="inlineStr">
        <is>
          <t>Не определено</t>
        </is>
      </c>
      <c r="W2678" s="35" t="inlineStr"/>
      <c r="X2678" s="35" t="inlineStr"/>
    </row>
    <row r="2679" ht="27.75" customHeight="1" s="24">
      <c r="A2679" s="13" t="n">
        <v>5000075690</v>
      </c>
      <c r="B2679" s="13" t="inlineStr">
        <is>
          <t>Испекция государственной охраны объектов культурного наследия Оренбургской области</t>
        </is>
      </c>
      <c r="C2679" s="13" t="n">
        <v>5610235740</v>
      </c>
      <c r="D2679" s="13" t="inlineStr">
        <is>
          <t>5610235740</t>
        </is>
      </c>
      <c r="E2679" s="13" t="inlineStr">
        <is>
          <t>ЮЛ РФ</t>
        </is>
      </c>
      <c r="F2679" s="13" t="n"/>
      <c r="G2679" s="14" t="n"/>
      <c r="H2679" s="14" t="n"/>
      <c r="I2679" s="14" t="n"/>
      <c r="J2679" s="14" t="n"/>
      <c r="K2679" s="53" t="inlineStr"/>
      <c r="L2679" s="53" t="inlineStr">
        <is>
          <t>Не определено</t>
        </is>
      </c>
      <c r="M2679" s="53" t="inlineStr"/>
      <c r="N2679" s="54" t="inlineStr"/>
      <c r="O2679" s="55" t="inlineStr"/>
      <c r="P2679" s="16" t="inlineStr">
        <is>
          <t>Требует обогащения</t>
        </is>
      </c>
      <c r="Q2679" s="16">
        <f>HYPERLINK("https://pb.nalog.ru/search.html?query=5610235740","ФНС: проверить")</f>
        <v/>
      </c>
      <c r="R2679" s="16">
        <f>HYPERLINK("https://checko.ru/search?query=3801001629","Чекко: проверить")</f>
        <v/>
      </c>
      <c r="S2679" t="n">
        <v>1</v>
      </c>
      <c r="T2679" s="35" t="inlineStr">
        <is>
          <t>4 — Не обогащён</t>
        </is>
      </c>
      <c r="U2679" s="35" t="inlineStr">
        <is>
          <t>Нет ОКВЭД/ССЧР</t>
        </is>
      </c>
      <c r="V2679" s="35" t="inlineStr">
        <is>
          <t>Не определено</t>
        </is>
      </c>
      <c r="W2679" s="35" t="inlineStr"/>
      <c r="X2679" s="35" t="inlineStr"/>
    </row>
    <row r="2680" ht="41.25" customHeight="1" s="24">
      <c r="A2680" s="13" t="n">
        <v>5000075693</v>
      </c>
      <c r="B2680" s="13" t="inlineStr">
        <is>
          <t>Министерство строительства, жилищно-коммунального, дорожного хозяйства и транспорта Оренбургской области</t>
        </is>
      </c>
      <c r="C2680" s="13" t="n">
        <v>5610091390</v>
      </c>
      <c r="D2680" s="13" t="inlineStr">
        <is>
          <t>5610091390</t>
        </is>
      </c>
      <c r="E2680" s="13" t="inlineStr">
        <is>
          <t>ЮЛ РФ</t>
        </is>
      </c>
      <c r="F2680" s="13" t="n"/>
      <c r="G2680" s="14" t="n"/>
      <c r="H2680" s="14" t="n"/>
      <c r="I2680" s="14" t="n"/>
      <c r="J2680" s="14" t="n"/>
      <c r="K2680" s="53" t="inlineStr"/>
      <c r="L2680" s="53" t="inlineStr">
        <is>
          <t>Не определено</t>
        </is>
      </c>
      <c r="M2680" s="53" t="inlineStr"/>
      <c r="N2680" s="54" t="inlineStr"/>
      <c r="O2680" s="55" t="inlineStr"/>
      <c r="P2680" s="16" t="inlineStr">
        <is>
          <t>Требует обогащения</t>
        </is>
      </c>
      <c r="Q2680" s="16">
        <f>HYPERLINK("https://pb.nalog.ru/search.html?query=5610091390","ФНС: проверить")</f>
        <v/>
      </c>
      <c r="R2680" s="16">
        <f>HYPERLINK("https://checko.ru/search?query=3801001629","Чекко: проверить")</f>
        <v/>
      </c>
      <c r="S2680" t="n">
        <v>1</v>
      </c>
      <c r="T2680" s="35" t="inlineStr">
        <is>
          <t>4 — Не обогащён</t>
        </is>
      </c>
      <c r="U2680" s="35" t="inlineStr">
        <is>
          <t>Нет ОКВЭД/ССЧР</t>
        </is>
      </c>
      <c r="V2680" s="35" t="inlineStr">
        <is>
          <t>Не определено</t>
        </is>
      </c>
      <c r="W2680" s="35" t="inlineStr"/>
      <c r="X2680" s="35" t="inlineStr"/>
    </row>
    <row r="2681" ht="41.25" customHeight="1" s="24">
      <c r="A2681" s="13" t="n">
        <v>5000077474</v>
      </c>
      <c r="B2681" s="13" t="inlineStr">
        <is>
          <t>ОГКУ «Представительство Правительства Иркутской области при Правительстве Российской Федерации в г. Москве»</t>
        </is>
      </c>
      <c r="C2681" s="13" t="n">
        <v>9709071311</v>
      </c>
      <c r="D2681" s="13" t="inlineStr">
        <is>
          <t>9709071311</t>
        </is>
      </c>
      <c r="E2681" s="13" t="inlineStr">
        <is>
          <t>ЮЛ РФ</t>
        </is>
      </c>
      <c r="F2681" s="13" t="n"/>
      <c r="G2681" s="14" t="n"/>
      <c r="H2681" s="14" t="n"/>
      <c r="I2681" s="14" t="n"/>
      <c r="J2681" s="14" t="n"/>
      <c r="K2681" s="53" t="inlineStr"/>
      <c r="L2681" s="53" t="inlineStr">
        <is>
          <t>Не определено</t>
        </is>
      </c>
      <c r="M2681" s="53" t="inlineStr"/>
      <c r="N2681" s="54" t="inlineStr"/>
      <c r="O2681" s="55" t="inlineStr"/>
      <c r="P2681" s="16" t="inlineStr">
        <is>
          <t>Требует обогащения</t>
        </is>
      </c>
      <c r="Q2681" s="16">
        <f>HYPERLINK("https://pb.nalog.ru/search.html?query=9709071311","ФНС: проверить")</f>
        <v/>
      </c>
      <c r="R2681" s="16">
        <f>HYPERLINK("https://checko.ru/search?query=3801001629","Чекко: проверить")</f>
        <v/>
      </c>
      <c r="S2681" t="n">
        <v>1</v>
      </c>
      <c r="T2681" s="35" t="inlineStr">
        <is>
          <t>4 — Не обогащён</t>
        </is>
      </c>
      <c r="U2681" s="35" t="inlineStr">
        <is>
          <t>Нет ОКВЭД/ССЧР</t>
        </is>
      </c>
      <c r="V2681" s="35" t="inlineStr">
        <is>
          <t>Не определено</t>
        </is>
      </c>
      <c r="W2681" s="35" t="inlineStr"/>
      <c r="X2681" s="35" t="inlineStr"/>
    </row>
    <row r="2682" ht="27.75" customHeight="1" s="24">
      <c r="A2682" s="13" t="n">
        <v>5000077475</v>
      </c>
      <c r="B2682" s="13" t="inlineStr">
        <is>
          <t>Министерство транспорта и дорожного хозяйства Иркутской области</t>
        </is>
      </c>
      <c r="C2682" s="13" t="n">
        <v>3808273847</v>
      </c>
      <c r="D2682" s="13" t="inlineStr">
        <is>
          <t>3808273847</t>
        </is>
      </c>
      <c r="E2682" s="13" t="inlineStr">
        <is>
          <t>ЮЛ РФ</t>
        </is>
      </c>
      <c r="F2682" s="13" t="n"/>
      <c r="G2682" s="14" t="n"/>
      <c r="H2682" s="14" t="n"/>
      <c r="I2682" s="14" t="n"/>
      <c r="J2682" s="14" t="n"/>
      <c r="K2682" s="53" t="inlineStr"/>
      <c r="L2682" s="53" t="inlineStr">
        <is>
          <t>Не определено</t>
        </is>
      </c>
      <c r="M2682" s="53" t="inlineStr"/>
      <c r="N2682" s="54" t="inlineStr"/>
      <c r="O2682" s="55" t="inlineStr"/>
      <c r="P2682" s="16" t="inlineStr">
        <is>
          <t>Требует обогащения</t>
        </is>
      </c>
      <c r="Q2682" s="16">
        <f>HYPERLINK("https://pb.nalog.ru/search.html?query=3808273847","ФНС: проверить")</f>
        <v/>
      </c>
      <c r="R2682" s="16">
        <f>HYPERLINK("https://checko.ru/search?query=3801001629","Чекко: проверить")</f>
        <v/>
      </c>
      <c r="S2682" t="n">
        <v>1</v>
      </c>
      <c r="T2682" s="35" t="inlineStr">
        <is>
          <t>4 — Не обогащён</t>
        </is>
      </c>
      <c r="U2682" s="35" t="inlineStr">
        <is>
          <t>Нет ОКВЭД/ССЧР</t>
        </is>
      </c>
      <c r="V2682" s="35" t="inlineStr">
        <is>
          <t>Не определено</t>
        </is>
      </c>
      <c r="W2682" s="35" t="inlineStr"/>
      <c r="X2682" s="35" t="inlineStr"/>
    </row>
    <row r="2683" ht="41.25" customHeight="1" s="24">
      <c r="A2683" s="13" t="n">
        <v>5000002053</v>
      </c>
      <c r="B2683" s="13" t="inlineStr">
        <is>
          <t>ОБЛАСТНОЕ ГОСУДАРСТВЕННОЕ БЮДЖЕТНОЕ УЧРЕЖДЕНИЕ ЗДРАВООХРАНЕНИЯ "УСТЬ-ОРДЫНСКАЯ ОБЛАСТНАЯ СТОМАТОЛОГИ</t>
        </is>
      </c>
      <c r="C2683" s="13" t="n">
        <v>8506004879</v>
      </c>
      <c r="D2683" s="13" t="inlineStr">
        <is>
          <t>8506004879</t>
        </is>
      </c>
      <c r="E2683" s="13" t="inlineStr">
        <is>
          <t>ЮЛ РФ</t>
        </is>
      </c>
      <c r="F2683" s="13" t="n"/>
      <c r="G2683" s="14" t="n"/>
      <c r="H2683" s="14" t="n"/>
      <c r="I2683" s="14" t="n"/>
      <c r="J2683" s="14" t="n"/>
      <c r="K2683" s="53" t="inlineStr"/>
      <c r="L2683" s="53" t="inlineStr">
        <is>
          <t>Не определено</t>
        </is>
      </c>
      <c r="M2683" s="53" t="inlineStr"/>
      <c r="N2683" s="54" t="inlineStr"/>
      <c r="O2683" s="55" t="inlineStr"/>
      <c r="P2683" s="16" t="inlineStr">
        <is>
          <t>Требует обогащения</t>
        </is>
      </c>
      <c r="Q2683" s="16">
        <f>HYPERLINK("https://pb.nalog.ru/search.html?query=8506004879","ФНС: проверить")</f>
        <v/>
      </c>
      <c r="R2683" s="16">
        <f>HYPERLINK("https://checko.ru/search?query=3801001629","Чекко: проверить")</f>
        <v/>
      </c>
      <c r="S2683" t="n">
        <v>1</v>
      </c>
      <c r="T2683" s="35" t="inlineStr">
        <is>
          <t>4 — Не обогащён</t>
        </is>
      </c>
      <c r="U2683" s="35" t="inlineStr">
        <is>
          <t>Нет ОКВЭД/ССЧР</t>
        </is>
      </c>
      <c r="V2683" s="35" t="inlineStr">
        <is>
          <t>Не определено</t>
        </is>
      </c>
      <c r="W2683" s="35" t="inlineStr"/>
      <c r="X2683" s="35" t="inlineStr"/>
    </row>
    <row r="2684" ht="27.75" customHeight="1" s="24">
      <c r="A2684" s="13" t="n">
        <v>5000006317</v>
      </c>
      <c r="B2684" s="13" t="inlineStr">
        <is>
          <t>Агентство по обеспечению деятельности мировых судей УО</t>
        </is>
      </c>
      <c r="C2684" s="13" t="n">
        <v>7325025917</v>
      </c>
      <c r="D2684" s="13" t="inlineStr">
        <is>
          <t>7325025917</t>
        </is>
      </c>
      <c r="E2684" s="13" t="inlineStr">
        <is>
          <t>ЮЛ РФ</t>
        </is>
      </c>
      <c r="F2684" s="13" t="n"/>
      <c r="G2684" s="14" t="n"/>
      <c r="H2684" s="14" t="n"/>
      <c r="I2684" s="14" t="n"/>
      <c r="J2684" s="14" t="n"/>
      <c r="K2684" s="53" t="inlineStr"/>
      <c r="L2684" s="53" t="inlineStr">
        <is>
          <t>Не определено</t>
        </is>
      </c>
      <c r="M2684" s="53" t="inlineStr"/>
      <c r="N2684" s="54" t="inlineStr"/>
      <c r="O2684" s="55" t="inlineStr"/>
      <c r="P2684" s="16" t="inlineStr">
        <is>
          <t>Требует обогащения</t>
        </is>
      </c>
      <c r="Q2684" s="16">
        <f>HYPERLINK("https://pb.nalog.ru/search.html?query=7325025917","ФНС: проверить")</f>
        <v/>
      </c>
      <c r="R2684" s="16">
        <f>HYPERLINK("https://checko.ru/search?query=3801001629","Чекко: проверить")</f>
        <v/>
      </c>
      <c r="S2684" t="n">
        <v>1</v>
      </c>
      <c r="T2684" s="35" t="inlineStr">
        <is>
          <t>4 — Не обогащён</t>
        </is>
      </c>
      <c r="U2684" s="35" t="inlineStr">
        <is>
          <t>Нет ОКВЭД/ССЧР</t>
        </is>
      </c>
      <c r="V2684" s="35" t="inlineStr">
        <is>
          <t>Не определено</t>
        </is>
      </c>
      <c r="W2684" s="35" t="inlineStr"/>
      <c r="X2684" s="35" t="inlineStr"/>
    </row>
    <row r="2685" ht="27.75" customHeight="1" s="24">
      <c r="A2685" s="13" t="n">
        <v>5000006324</v>
      </c>
      <c r="B2685" s="13" t="inlineStr">
        <is>
          <t>ОГКУ Ульяновской области «Обеспечение судебных участков»</t>
        </is>
      </c>
      <c r="C2685" s="13" t="n">
        <v>7325080210</v>
      </c>
      <c r="D2685" s="13" t="inlineStr">
        <is>
          <t>7325080210</t>
        </is>
      </c>
      <c r="E2685" s="13" t="inlineStr">
        <is>
          <t>ЮЛ РФ</t>
        </is>
      </c>
      <c r="F2685" s="13" t="n"/>
      <c r="G2685" s="14" t="n"/>
      <c r="H2685" s="14" t="n"/>
      <c r="I2685" s="14" t="n"/>
      <c r="J2685" s="14" t="n"/>
      <c r="K2685" s="53" t="inlineStr"/>
      <c r="L2685" s="53" t="inlineStr">
        <is>
          <t>Не определено</t>
        </is>
      </c>
      <c r="M2685" s="53" t="inlineStr"/>
      <c r="N2685" s="54" t="inlineStr"/>
      <c r="O2685" s="55" t="inlineStr"/>
      <c r="P2685" s="16" t="inlineStr">
        <is>
          <t>Требует обогащения</t>
        </is>
      </c>
      <c r="Q2685" s="16">
        <f>HYPERLINK("https://pb.nalog.ru/search.html?query=7325080210","ФНС: проверить")</f>
        <v/>
      </c>
      <c r="R2685" s="16">
        <f>HYPERLINK("https://checko.ru/search?query=3801001629","Чекко: проверить")</f>
        <v/>
      </c>
      <c r="S2685" t="n">
        <v>1</v>
      </c>
      <c r="T2685" s="35" t="inlineStr">
        <is>
          <t>4 — Не обогащён</t>
        </is>
      </c>
      <c r="U2685" s="35" t="inlineStr">
        <is>
          <t>Нет ОКВЭД/ССЧР</t>
        </is>
      </c>
      <c r="V2685" s="35" t="inlineStr">
        <is>
          <t>Не определено</t>
        </is>
      </c>
      <c r="W2685" s="35" t="inlineStr"/>
      <c r="X2685" s="35" t="inlineStr"/>
    </row>
    <row r="2686" ht="27.75" customHeight="1" s="24">
      <c r="A2686" s="13" t="n">
        <v>5000076964</v>
      </c>
      <c r="B2686" s="13" t="inlineStr">
        <is>
          <t>Министерство природы и цикличной экономики Ульяновской области</t>
        </is>
      </c>
      <c r="C2686" s="13" t="n">
        <v>7325161645</v>
      </c>
      <c r="D2686" s="13" t="inlineStr">
        <is>
          <t>7325161645</t>
        </is>
      </c>
      <c r="E2686" s="13" t="inlineStr">
        <is>
          <t>ЮЛ РФ</t>
        </is>
      </c>
      <c r="F2686" s="13" t="n"/>
      <c r="G2686" s="14" t="n"/>
      <c r="H2686" s="14" t="n"/>
      <c r="I2686" s="14" t="n"/>
      <c r="J2686" s="14" t="n"/>
      <c r="K2686" s="53" t="inlineStr"/>
      <c r="L2686" s="53" t="inlineStr">
        <is>
          <t>Не определено</t>
        </is>
      </c>
      <c r="M2686" s="53" t="inlineStr"/>
      <c r="N2686" s="54" t="inlineStr"/>
      <c r="O2686" s="55" t="inlineStr"/>
      <c r="P2686" s="16" t="inlineStr">
        <is>
          <t>Требует обогащения</t>
        </is>
      </c>
      <c r="Q2686" s="16">
        <f>HYPERLINK("https://pb.nalog.ru/search.html?query=7325161645","ФНС: проверить")</f>
        <v/>
      </c>
      <c r="R2686" s="16">
        <f>HYPERLINK("https://checko.ru/search?query=3801001629","Чекко: проверить")</f>
        <v/>
      </c>
      <c r="S2686" t="n">
        <v>1</v>
      </c>
      <c r="T2686" s="35" t="inlineStr">
        <is>
          <t>4 — Не обогащён</t>
        </is>
      </c>
      <c r="U2686" s="35" t="inlineStr">
        <is>
          <t>Нет ОКВЭД/ССЧР</t>
        </is>
      </c>
      <c r="V2686" s="35" t="inlineStr">
        <is>
          <t>Не определено</t>
        </is>
      </c>
      <c r="W2686" s="35" t="inlineStr"/>
      <c r="X2686" s="35" t="inlineStr"/>
    </row>
    <row r="2687" ht="15" customHeight="1" s="24">
      <c r="A2687" s="13" t="n">
        <v>5000076947</v>
      </c>
      <c r="B2687" s="13" t="inlineStr">
        <is>
          <t>ГКУ Ульяновской области "Сурское  лесничество"</t>
        </is>
      </c>
      <c r="C2687" s="13" t="n">
        <v>7309904452</v>
      </c>
      <c r="D2687" s="13" t="inlineStr">
        <is>
          <t>7309904452</t>
        </is>
      </c>
      <c r="E2687" s="13" t="inlineStr">
        <is>
          <t>ЮЛ РФ</t>
        </is>
      </c>
      <c r="F2687" s="13" t="n"/>
      <c r="G2687" s="14" t="n"/>
      <c r="H2687" s="14" t="n"/>
      <c r="I2687" s="14" t="n"/>
      <c r="J2687" s="14" t="n"/>
      <c r="K2687" s="53" t="inlineStr"/>
      <c r="L2687" s="53" t="inlineStr">
        <is>
          <t>Не определено</t>
        </is>
      </c>
      <c r="M2687" s="53" t="inlineStr"/>
      <c r="N2687" s="54" t="inlineStr"/>
      <c r="O2687" s="55" t="inlineStr"/>
      <c r="P2687" s="16" t="inlineStr">
        <is>
          <t>Требует обогащения</t>
        </is>
      </c>
      <c r="Q2687" s="16">
        <f>HYPERLINK("https://pb.nalog.ru/search.html?query=7309904452","ФНС: проверить")</f>
        <v/>
      </c>
      <c r="R2687" s="16">
        <f>HYPERLINK("https://checko.ru/search?query=3801001629","Чекко: проверить")</f>
        <v/>
      </c>
      <c r="S2687" t="n">
        <v>1</v>
      </c>
      <c r="T2687" s="35" t="inlineStr">
        <is>
          <t>4 — Не обогащён</t>
        </is>
      </c>
      <c r="U2687" s="35" t="inlineStr">
        <is>
          <t>Нет ОКВЭД/ССЧР</t>
        </is>
      </c>
      <c r="V2687" s="35" t="inlineStr">
        <is>
          <t>Не определено</t>
        </is>
      </c>
      <c r="W2687" s="35" t="inlineStr"/>
      <c r="X2687" s="35" t="inlineStr"/>
    </row>
    <row r="2688" ht="15" customHeight="1" s="24">
      <c r="A2688" s="13" t="n">
        <v>5000076943</v>
      </c>
      <c r="B2688" s="13" t="inlineStr">
        <is>
          <t>ОГАУ "Карсунский лесхоз"</t>
        </is>
      </c>
      <c r="C2688" s="13" t="n">
        <v>7309008583</v>
      </c>
      <c r="D2688" s="13" t="inlineStr">
        <is>
          <t>7309008583</t>
        </is>
      </c>
      <c r="E2688" s="13" t="inlineStr">
        <is>
          <t>ЮЛ РФ</t>
        </is>
      </c>
      <c r="F2688" s="13" t="n"/>
      <c r="G2688" s="14" t="n"/>
      <c r="H2688" s="14" t="n"/>
      <c r="I2688" s="14" t="n"/>
      <c r="J2688" s="14" t="n"/>
      <c r="K2688" s="53" t="inlineStr"/>
      <c r="L2688" s="53" t="inlineStr">
        <is>
          <t>Не определено</t>
        </is>
      </c>
      <c r="M2688" s="53" t="inlineStr"/>
      <c r="N2688" s="54" t="inlineStr"/>
      <c r="O2688" s="55" t="inlineStr"/>
      <c r="P2688" s="16" t="inlineStr">
        <is>
          <t>Требует обогащения</t>
        </is>
      </c>
      <c r="Q2688" s="16">
        <f>HYPERLINK("https://pb.nalog.ru/search.html?query=7309008583","ФНС: проверить")</f>
        <v/>
      </c>
      <c r="R2688" s="16">
        <f>HYPERLINK("https://checko.ru/search?query=3801001629","Чекко: проверить")</f>
        <v/>
      </c>
      <c r="S2688" t="n">
        <v>1</v>
      </c>
      <c r="T2688" s="35" t="inlineStr">
        <is>
          <t>4 — Не обогащён</t>
        </is>
      </c>
      <c r="U2688" s="35" t="inlineStr">
        <is>
          <t>Нет ОКВЭД/ССЧР</t>
        </is>
      </c>
      <c r="V2688" s="35" t="inlineStr">
        <is>
          <t>Не определено</t>
        </is>
      </c>
      <c r="W2688" s="35" t="inlineStr"/>
      <c r="X2688" s="35" t="inlineStr"/>
    </row>
    <row r="2689" ht="41.25" customHeight="1" s="24">
      <c r="A2689" s="13" t="n">
        <v>5000062546</v>
      </c>
      <c r="B2689" s="13" t="inlineStr">
        <is>
          <t>ОбГБУ социального обслуживания "Центр социального обслуживания "Доверие" в г.Димитровграде"</t>
        </is>
      </c>
      <c r="C2689" s="13" t="n">
        <v>7302010745</v>
      </c>
      <c r="D2689" s="13" t="inlineStr">
        <is>
          <t>7302010745</t>
        </is>
      </c>
      <c r="E2689" s="13" t="inlineStr">
        <is>
          <t>ЮЛ РФ</t>
        </is>
      </c>
      <c r="F2689" s="13" t="n"/>
      <c r="G2689" s="14" t="n"/>
      <c r="H2689" s="14" t="n"/>
      <c r="I2689" s="14" t="n"/>
      <c r="J2689" s="14" t="n"/>
      <c r="K2689" s="53" t="inlineStr"/>
      <c r="L2689" s="53" t="inlineStr">
        <is>
          <t>Не определено</t>
        </is>
      </c>
      <c r="M2689" s="53" t="inlineStr"/>
      <c r="N2689" s="54" t="inlineStr"/>
      <c r="O2689" s="55" t="inlineStr"/>
      <c r="P2689" s="16" t="inlineStr">
        <is>
          <t>Требует обогащения</t>
        </is>
      </c>
      <c r="Q2689" s="16">
        <f>HYPERLINK("https://pb.nalog.ru/search.html?query=7302010745","ФНС: проверить")</f>
        <v/>
      </c>
      <c r="R2689" s="16">
        <f>HYPERLINK("https://checko.ru/search?query=3801001629","Чекко: проверить")</f>
        <v/>
      </c>
      <c r="S2689" t="n">
        <v>1</v>
      </c>
      <c r="T2689" s="35" t="inlineStr">
        <is>
          <t>4 — Не обогащён</t>
        </is>
      </c>
      <c r="U2689" s="35" t="inlineStr">
        <is>
          <t>Нет ОКВЭД/ССЧР</t>
        </is>
      </c>
      <c r="V2689" s="35" t="inlineStr">
        <is>
          <t>Не определено</t>
        </is>
      </c>
      <c r="W2689" s="35" t="inlineStr"/>
      <c r="X2689" s="35" t="inlineStr"/>
    </row>
    <row r="2690" ht="27.75" customHeight="1" s="24">
      <c r="A2690" s="13" t="n">
        <v>5000101673</v>
      </c>
      <c r="B2690" s="13" t="inlineStr">
        <is>
          <t>ГОСУДАРСТВЕННОЕ КАЗЕННОЕ УЧРЕЖДЕНИЕ ИРКУТСКОЙ ОБЛАСТИ "КАЧУГСКОЕ ЛЕСНИЧЕСТВО"</t>
        </is>
      </c>
      <c r="C2690" s="13" t="n">
        <v>3808283563</v>
      </c>
      <c r="D2690" s="13" t="inlineStr">
        <is>
          <t>3808283563</t>
        </is>
      </c>
      <c r="E2690" s="13" t="inlineStr">
        <is>
          <t>ЮЛ РФ</t>
        </is>
      </c>
      <c r="F2690" s="13" t="n"/>
      <c r="G2690" s="14" t="n"/>
      <c r="H2690" s="14" t="n"/>
      <c r="I2690" s="14" t="n"/>
      <c r="J2690" s="14" t="n"/>
      <c r="K2690" s="53" t="inlineStr"/>
      <c r="L2690" s="53" t="inlineStr">
        <is>
          <t>Не определено</t>
        </is>
      </c>
      <c r="M2690" s="53" t="inlineStr"/>
      <c r="N2690" s="54" t="inlineStr"/>
      <c r="O2690" s="55" t="inlineStr"/>
      <c r="P2690" s="16" t="inlineStr">
        <is>
          <t>Требует обогащения</t>
        </is>
      </c>
      <c r="Q2690" s="16">
        <f>HYPERLINK("https://pb.nalog.ru/search.html?query=3808283563","ФНС: проверить")</f>
        <v/>
      </c>
      <c r="R2690" s="16">
        <f>HYPERLINK("https://checko.ru/search?query=3801001629","Чекко: проверить")</f>
        <v/>
      </c>
      <c r="S2690" t="n">
        <v>1</v>
      </c>
      <c r="T2690" s="35" t="inlineStr">
        <is>
          <t>4 — Не обогащён</t>
        </is>
      </c>
      <c r="U2690" s="35" t="inlineStr">
        <is>
          <t>Нет ОКВЭД/ССЧР</t>
        </is>
      </c>
      <c r="V2690" s="35" t="inlineStr">
        <is>
          <t>Не определено</t>
        </is>
      </c>
      <c r="W2690" s="35" t="inlineStr"/>
      <c r="X2690" s="35" t="inlineStr"/>
    </row>
    <row r="2691" ht="15" customHeight="1" s="24">
      <c r="A2691" s="13" t="n">
        <v>5000095305</v>
      </c>
      <c r="B2691" s="13" t="inlineStr">
        <is>
          <t>МКУ "УСХ МИЗО администрации Терского р-на"</t>
        </is>
      </c>
      <c r="C2691" s="13" t="n">
        <v>705008087</v>
      </c>
      <c r="D2691" s="13" t="n"/>
      <c r="E2691" s="13" t="inlineStr">
        <is>
          <t>Не определён</t>
        </is>
      </c>
      <c r="F2691" s="13" t="inlineStr">
        <is>
          <t>705008087</t>
        </is>
      </c>
      <c r="G2691" s="14" t="n"/>
      <c r="H2691" s="14" t="n"/>
      <c r="I2691" s="14" t="n"/>
      <c r="J2691" s="14" t="n"/>
      <c r="K2691" s="13">
        <f>IF(G2691="","",IF(G2691&gt;=22,"Да","Нет"))</f>
        <v/>
      </c>
      <c r="L2691" s="13">
        <f>IF(OR(I2691="",J2691=""),"Не определено",IF(OR(COUNTIF(I2691,"45*")&gt;0,COUNTIF(J2691,"*45*")&gt;0,COUNTIF(I2691,"46*")&gt;0,COUNTIF(J2691,"*46*")&gt;0,COUNTIF(I2691,"47*")&gt;0,COUNTIF(J2691,"*47*")&gt;0,COUNTIF(I2691,"10*")&gt;0,COUNTIF(J2691,"*10*")&gt;0,COUNTIF(I2691,"11*")&gt;0,COUNTIF(J2691,"*11*")&gt;0,COUNTIF(I2691,"12*")&gt;0,COUNTIF(J2691,"*12*")&gt;0,COUNTIF(I2691,"13*")&gt;0,COUNTIF(J2691,"*13*")&gt;0,COUNTIF(I2691,"14*")&gt;0,COUNTIF(J2691,"*14*")&gt;0,COUNTIF(I2691,"15*")&gt;0,COUNTIF(J2691,"*15*")&gt;0,COUNTIF(I2691,"16*")&gt;0,COUNTIF(J2691,"*16*")&gt;0,COUNTIF(I2691,"17*")&gt;0,COUNTIF(J2691,"*17*")&gt;0,COUNTIF(I2691,"18*")&gt;0,COUNTIF(J2691,"*18*")&gt;0,COUNTIF(I2691,"19*")&gt;0,COUNTIF(J2691,"*19*")&gt;0,COUNTIF(I2691,"20*")&gt;0,COUNTIF(J2691,"*20*")&gt;0,COUNTIF(I2691,"21*")&gt;0,COUNTIF(J2691,"*21*")&gt;0,COUNTIF(I2691,"22*")&gt;0,COUNTIF(J2691,"*22*")&gt;0,COUNTIF(I2691,"23*")&gt;0,COUNTIF(J2691,"*23*")&gt;0,COUNTIF(I2691,"24*")&gt;0,COUNTIF(J2691,"*24*")&gt;0,COUNTIF(I2691,"25*")&gt;0,COUNTIF(J2691,"*25*")&gt;0,COUNTIF(I2691,"26*")&gt;0,COUNTIF(J2691,"*26*")&gt;0,COUNTIF(I2691,"27*")&gt;0,COUNTIF(J2691,"*27*")&gt;0,COUNTIF(I2691,"28*")&gt;0,COUNTIF(J2691,"*28*")&gt;0,COUNTIF(I2691,"29*")&gt;0,COUNTIF(J2691,"*29*")&gt;0,COUNTIF(I2691,"30*")&gt;0,COUNTIF(J2691,"*30*")&gt;0,COUNTIF(I2691,"31*")&gt;0,COUNTIF(J2691,"*31*")&gt;0,COUNTIF(I2691,"32*")&gt;0,COUNTIF(J2691,"*32*")&gt;0,COUNTIF(I2691,"33*")&gt;0,COUNTIF(J2691,"*33*")&gt;0,COUNTIF(I2691,"41*")&gt;0,COUNTIF(J2691,"*41*")&gt;0,COUNTIF(I2691,"42*")&gt;0,COUNTIF(J2691,"*42*")&gt;0,COUNTIF(I2691,"43*")&gt;0,COUNTIF(J2691,"*43*")&gt;0,COUNTIF(I2691,"49*")&gt;0,COUNTIF(J2691,"*49*")&gt;0,COUNTIF(I2691,"52*")&gt;0,COUNTIF(J2691,"*52*")&gt;0,COUNTIF(I2691,"55*")&gt;0,COUNTIF(J2691,"*55*")&gt;0,COUNTIF(I2691,"56*")&gt;0,COUNTIF(J2691,"*56*")&gt;0,COUNTIF(I2691,"68*")&gt;0,COUNTIF(J2691,"*68*")&gt;0,COUNTIF(I2691,"78*")&gt;0,COUNTIF(J2691,"*78*")&gt;0,COUNTIF(I2691,"81*")&gt;0,COUNTIF(J2691,"*81*")&gt;0,COUNTIF(I2691,"82*")&gt;0,COUNTIF(J2691,"*82*")&gt;0,COUNTIF(I2691,"64*")&gt;0,COUNTIF(J2691,"*64*")&gt;0,COUNTIF(I2691,"65*")&gt;0,COUNTIF(J2691,"*65*")&gt;0,COUNTIF(I2691,"66*")&gt;0,COUNTIF(J2691,"*66*")&gt;0,COUNTIF(I2691,"61*")&gt;0,COUNTIF(J2691,"*61*")&gt;0,COUNTIF(I2691,"62*")&gt;0,COUNTIF(J2691,"*62*")&gt;0,COUNTIF(I2691,"63*")&gt;0,COUNTIF(J2691,"*63*")&gt;0,COUNTIF(I2691,"85*")&gt;0,COUNTIF(J2691,"*85*")&gt;0,COUNTIF(I2691,"86*")&gt;0,COUNTIF(J2691,"*86*")&gt;0),"Да","Нет"))</f>
        <v/>
      </c>
      <c r="M2691" s="13">
        <f>IF(OR(G2691="",L2691&lt;&gt;"Да"),"",IF(G2691&lt;=100,"До 100",IF(G2691&lt;=200,"До 200",IF(G2691&lt;=500,"До 500","Отдельное КП"))))</f>
        <v/>
      </c>
      <c r="N2691" s="15">
        <f>IF(OR(G2691="",L2691&lt;&gt;"Да"),"",IF(G2691&lt;=100,33600,IF(G2691&lt;=200,62400,IF(G2691&lt;=500,144000,""))))</f>
        <v/>
      </c>
      <c r="O2691" s="16">
        <f>IF(G2691="","",IF(G2691&lt;=15,"1–15",IF(G2691&lt;=30,"16–30",IF(G2691&lt;=50,"31–50",IF(G2691&lt;=100,"51–100",IF(G2691&lt;=150,"101–150",IF(G2691&lt;=200,"151–200",IF(G2691&lt;=500,"201–500","500+"))))))))</f>
        <v/>
      </c>
      <c r="P2691" s="16" t="inlineStr">
        <is>
          <t>Нет совпадения в предоставленной выгрузке ССЧР</t>
        </is>
      </c>
      <c r="Q2691" s="16" t="n"/>
      <c r="R2691" s="16">
        <f>HYPERLINK("https://checko.ru/search?query=3801001629","Чекко: проверить")</f>
        <v/>
      </c>
      <c r="S2691" t="n">
        <v>0</v>
      </c>
    </row>
    <row r="2692" ht="27.75" customHeight="1" s="24">
      <c r="A2692" s="13" t="n">
        <v>5000001859</v>
      </c>
      <c r="B2692" s="13" t="inlineStr">
        <is>
          <t>ОбГКУ "Государственный архив Иркутской области"</t>
        </is>
      </c>
      <c r="C2692" s="13" t="n">
        <v>3811038032</v>
      </c>
      <c r="D2692" s="13" t="inlineStr">
        <is>
          <t>3811038032</t>
        </is>
      </c>
      <c r="E2692" s="13" t="inlineStr">
        <is>
          <t>ЮЛ РФ</t>
        </is>
      </c>
      <c r="F2692" s="13" t="n"/>
      <c r="G2692" s="14" t="n"/>
      <c r="H2692" s="14" t="n"/>
      <c r="I2692" s="14" t="n"/>
      <c r="J2692" s="14" t="n"/>
      <c r="K2692" s="53" t="inlineStr"/>
      <c r="L2692" s="53" t="inlineStr">
        <is>
          <t>Не определено</t>
        </is>
      </c>
      <c r="M2692" s="53" t="inlineStr"/>
      <c r="N2692" s="54" t="inlineStr"/>
      <c r="O2692" s="55" t="inlineStr"/>
      <c r="P2692" s="16" t="inlineStr">
        <is>
          <t>Требует обогащения</t>
        </is>
      </c>
      <c r="Q2692" s="16">
        <f>HYPERLINK("https://pb.nalog.ru/search.html?query=3811038032","ФНС: проверить")</f>
        <v/>
      </c>
      <c r="R2692" s="16">
        <f>HYPERLINK("https://checko.ru/search?query=3801001629","Чекко: проверить")</f>
        <v/>
      </c>
      <c r="S2692" t="n">
        <v>1</v>
      </c>
      <c r="T2692" s="35" t="inlineStr">
        <is>
          <t>4 — Не обогащён</t>
        </is>
      </c>
      <c r="U2692" s="35" t="inlineStr">
        <is>
          <t>Нет ОКВЭД/ССЧР</t>
        </is>
      </c>
      <c r="V2692" s="35" t="inlineStr">
        <is>
          <t>Не определено</t>
        </is>
      </c>
      <c r="W2692" s="35" t="inlineStr"/>
      <c r="X2692" s="35" t="inlineStr"/>
    </row>
    <row r="2693" ht="15" customHeight="1" s="24">
      <c r="A2693" s="13" t="n">
        <v>5000081404</v>
      </c>
      <c r="B2693" s="13" t="inlineStr">
        <is>
          <t>ОГБУ «УСЗСОН по Аларскому району»</t>
        </is>
      </c>
      <c r="C2693" s="13" t="n">
        <v>3851026940</v>
      </c>
      <c r="D2693" s="13" t="inlineStr">
        <is>
          <t>3851026940</t>
        </is>
      </c>
      <c r="E2693" s="13" t="inlineStr">
        <is>
          <t>ЮЛ РФ</t>
        </is>
      </c>
      <c r="F2693" s="13" t="n"/>
      <c r="G2693" s="14" t="n"/>
      <c r="H2693" s="14" t="n"/>
      <c r="I2693" s="14" t="n"/>
      <c r="J2693" s="14" t="n"/>
      <c r="K2693" s="53" t="inlineStr"/>
      <c r="L2693" s="53" t="inlineStr">
        <is>
          <t>Не определено</t>
        </is>
      </c>
      <c r="M2693" s="53" t="inlineStr"/>
      <c r="N2693" s="54" t="inlineStr"/>
      <c r="O2693" s="55" t="inlineStr"/>
      <c r="P2693" s="16" t="inlineStr">
        <is>
          <t>Требует обогащения</t>
        </is>
      </c>
      <c r="Q2693" s="16">
        <f>HYPERLINK("https://pb.nalog.ru/search.html?query=3851026940","ФНС: проверить")</f>
        <v/>
      </c>
      <c r="R2693" s="16">
        <f>HYPERLINK("https://checko.ru/search?query=3801001629","Чекко: проверить")</f>
        <v/>
      </c>
      <c r="S2693" t="n">
        <v>1</v>
      </c>
      <c r="T2693" s="35" t="inlineStr">
        <is>
          <t>4 — Не обогащён</t>
        </is>
      </c>
      <c r="U2693" s="35" t="inlineStr">
        <is>
          <t>Нет ОКВЭД/ССЧР</t>
        </is>
      </c>
      <c r="V2693" s="35" t="inlineStr">
        <is>
          <t>Не определено</t>
        </is>
      </c>
      <c r="W2693" s="35" t="inlineStr"/>
      <c r="X2693" s="35" t="inlineStr"/>
    </row>
    <row r="2694" ht="41.25" customHeight="1" s="24">
      <c r="A2694" s="13" t="n">
        <v>5000001526</v>
      </c>
      <c r="B2694" s="13" t="inlineStr">
        <is>
          <t>ОБЛАСТНОЕ ГОСУДАРСТВЕННОЕ БЮДЖЕТНОЕ УЧРЕЖДЕНИЕ "ЦЕНТР СПОРТИВНОЙ ПОДГОТОВКИ СБОРНЫХ КОМАНД ИРКУТСКОЙ</t>
        </is>
      </c>
      <c r="C2694" s="13" t="n">
        <v>3808235249</v>
      </c>
      <c r="D2694" s="13" t="inlineStr">
        <is>
          <t>3808235249</t>
        </is>
      </c>
      <c r="E2694" s="13" t="inlineStr">
        <is>
          <t>ЮЛ РФ</t>
        </is>
      </c>
      <c r="F2694" s="13" t="n"/>
      <c r="G2694" s="14" t="n"/>
      <c r="H2694" s="14" t="n"/>
      <c r="I2694" s="14" t="n"/>
      <c r="J2694" s="14" t="n"/>
      <c r="K2694" s="53" t="inlineStr"/>
      <c r="L2694" s="53" t="inlineStr">
        <is>
          <t>Не определено</t>
        </is>
      </c>
      <c r="M2694" s="53" t="inlineStr"/>
      <c r="N2694" s="54" t="inlineStr"/>
      <c r="O2694" s="55" t="inlineStr"/>
      <c r="P2694" s="16" t="inlineStr">
        <is>
          <t>Требует обогащения</t>
        </is>
      </c>
      <c r="Q2694" s="16">
        <f>HYPERLINK("https://pb.nalog.ru/search.html?query=3808235249","ФНС: проверить")</f>
        <v/>
      </c>
      <c r="R2694" s="16">
        <f>HYPERLINK("https://checko.ru/search?query=3801001629","Чекко: проверить")</f>
        <v/>
      </c>
      <c r="S2694" t="n">
        <v>1</v>
      </c>
      <c r="T2694" s="35" t="inlineStr">
        <is>
          <t>4 — Не обогащён</t>
        </is>
      </c>
      <c r="U2694" s="35" t="inlineStr">
        <is>
          <t>Нет ОКВЭД/ССЧР</t>
        </is>
      </c>
      <c r="V2694" s="35" t="inlineStr">
        <is>
          <t>Не определено</t>
        </is>
      </c>
      <c r="W2694" s="35" t="inlineStr"/>
      <c r="X2694" s="35" t="inlineStr"/>
    </row>
    <row r="2695" ht="27.75" customHeight="1" s="24">
      <c r="A2695" s="13" t="n">
        <v>5000081399</v>
      </c>
      <c r="B2695" s="13" t="inlineStr">
        <is>
          <t>Министерство цифрового развития и связи Иркутской области</t>
        </is>
      </c>
      <c r="C2695" s="13" t="n">
        <v>3808274304</v>
      </c>
      <c r="D2695" s="13" t="inlineStr">
        <is>
          <t>3808274304</t>
        </is>
      </c>
      <c r="E2695" s="13" t="inlineStr">
        <is>
          <t>ЮЛ РФ</t>
        </is>
      </c>
      <c r="F2695" s="13" t="n"/>
      <c r="G2695" s="14" t="n"/>
      <c r="H2695" s="14" t="n"/>
      <c r="I2695" s="14" t="n"/>
      <c r="J2695" s="14" t="n"/>
      <c r="K2695" s="53" t="inlineStr"/>
      <c r="L2695" s="53" t="inlineStr">
        <is>
          <t>Не определено</t>
        </is>
      </c>
      <c r="M2695" s="53" t="inlineStr"/>
      <c r="N2695" s="54" t="inlineStr"/>
      <c r="O2695" s="55" t="inlineStr"/>
      <c r="P2695" s="16" t="inlineStr">
        <is>
          <t>Требует обогащения</t>
        </is>
      </c>
      <c r="Q2695" s="16">
        <f>HYPERLINK("https://pb.nalog.ru/search.html?query=3808274304","ФНС: проверить")</f>
        <v/>
      </c>
      <c r="R2695" s="16">
        <f>HYPERLINK("https://checko.ru/search?query=3801001629","Чекко: проверить")</f>
        <v/>
      </c>
      <c r="S2695" t="n">
        <v>1</v>
      </c>
      <c r="T2695" s="35" t="inlineStr">
        <is>
          <t>4 — Не обогащён</t>
        </is>
      </c>
      <c r="U2695" s="35" t="inlineStr">
        <is>
          <t>Нет ОКВЭД/ССЧР</t>
        </is>
      </c>
      <c r="V2695" s="35" t="inlineStr">
        <is>
          <t>Не определено</t>
        </is>
      </c>
      <c r="W2695" s="35" t="inlineStr"/>
      <c r="X2695" s="35" t="inlineStr"/>
    </row>
    <row r="2696" ht="27.75" customHeight="1" s="24">
      <c r="A2696" s="13" t="n">
        <v>5000081400</v>
      </c>
      <c r="B2696" s="13" t="inlineStr">
        <is>
          <t>ОГКУ «Централизованная бухгалтерия в сфере занятости населения ИО»</t>
        </is>
      </c>
      <c r="C2696" s="13" t="n">
        <v>3808274590</v>
      </c>
      <c r="D2696" s="13" t="inlineStr">
        <is>
          <t>3808274590</t>
        </is>
      </c>
      <c r="E2696" s="13" t="inlineStr">
        <is>
          <t>ЮЛ РФ</t>
        </is>
      </c>
      <c r="F2696" s="13" t="n"/>
      <c r="G2696" s="14" t="n"/>
      <c r="H2696" s="14" t="n"/>
      <c r="I2696" s="14" t="n"/>
      <c r="J2696" s="14" t="n"/>
      <c r="K2696" s="53" t="inlineStr"/>
      <c r="L2696" s="53" t="inlineStr">
        <is>
          <t>Не определено</t>
        </is>
      </c>
      <c r="M2696" s="53" t="inlineStr"/>
      <c r="N2696" s="54" t="inlineStr"/>
      <c r="O2696" s="55" t="inlineStr"/>
      <c r="P2696" s="16" t="inlineStr">
        <is>
          <t>Требует обогащения</t>
        </is>
      </c>
      <c r="Q2696" s="16">
        <f>HYPERLINK("https://pb.nalog.ru/search.html?query=3808274590","ФНС: проверить")</f>
        <v/>
      </c>
      <c r="R2696" s="16">
        <f>HYPERLINK("https://checko.ru/search?query=3801001629","Чекко: проверить")</f>
        <v/>
      </c>
      <c r="S2696" t="n">
        <v>1</v>
      </c>
      <c r="T2696" s="35" t="inlineStr">
        <is>
          <t>4 — Не обогащён</t>
        </is>
      </c>
      <c r="U2696" s="35" t="inlineStr">
        <is>
          <t>Нет ОКВЭД/ССЧР</t>
        </is>
      </c>
      <c r="V2696" s="35" t="inlineStr">
        <is>
          <t>Не определено</t>
        </is>
      </c>
      <c r="W2696" s="35" t="inlineStr"/>
      <c r="X2696" s="35" t="inlineStr"/>
    </row>
    <row r="2697" ht="15" customHeight="1" s="24">
      <c r="A2697" s="13" t="n">
        <v>5000081401</v>
      </c>
      <c r="B2697" s="13" t="inlineStr">
        <is>
          <t>«ЕЦО в сфере физической культуры и спорта»</t>
        </is>
      </c>
      <c r="C2697" s="13" t="n">
        <v>3808274640</v>
      </c>
      <c r="D2697" s="13" t="inlineStr">
        <is>
          <t>3808274640</t>
        </is>
      </c>
      <c r="E2697" s="13" t="inlineStr">
        <is>
          <t>ЮЛ РФ</t>
        </is>
      </c>
      <c r="F2697" s="13" t="n"/>
      <c r="G2697" s="14" t="n"/>
      <c r="H2697" s="14" t="n"/>
      <c r="I2697" s="14" t="n"/>
      <c r="J2697" s="14" t="n"/>
      <c r="K2697" s="53" t="inlineStr"/>
      <c r="L2697" s="53" t="inlineStr">
        <is>
          <t>Не определено</t>
        </is>
      </c>
      <c r="M2697" s="53" t="inlineStr"/>
      <c r="N2697" s="54" t="inlineStr"/>
      <c r="O2697" s="55" t="inlineStr"/>
      <c r="P2697" s="16" t="inlineStr">
        <is>
          <t>Требует обогащения</t>
        </is>
      </c>
      <c r="Q2697" s="16">
        <f>HYPERLINK("https://pb.nalog.ru/search.html?query=3808274640","ФНС: проверить")</f>
        <v/>
      </c>
      <c r="R2697" s="16">
        <f>HYPERLINK("https://checko.ru/search?query=3801001629","Чекко: проверить")</f>
        <v/>
      </c>
      <c r="S2697" t="n">
        <v>1</v>
      </c>
      <c r="T2697" s="35" t="inlineStr">
        <is>
          <t>4 — Не обогащён</t>
        </is>
      </c>
      <c r="U2697" s="35" t="inlineStr">
        <is>
          <t>Нет ОКВЭД/ССЧР</t>
        </is>
      </c>
      <c r="V2697" s="35" t="inlineStr">
        <is>
          <t>Не определено</t>
        </is>
      </c>
      <c r="W2697" s="35" t="inlineStr"/>
      <c r="X2697" s="35" t="inlineStr"/>
    </row>
    <row r="2698" ht="15" customHeight="1" s="24">
      <c r="A2698" s="13" t="n">
        <v>5000081406</v>
      </c>
      <c r="B2698" s="13" t="inlineStr">
        <is>
          <t>ОГБУ «УСЗСОН по Баяндаевскому району»</t>
        </is>
      </c>
      <c r="C2698" s="13" t="n">
        <v>3849084126</v>
      </c>
      <c r="D2698" s="13" t="inlineStr">
        <is>
          <t>3849084126</t>
        </is>
      </c>
      <c r="E2698" s="13" t="inlineStr">
        <is>
          <t>ЮЛ РФ</t>
        </is>
      </c>
      <c r="F2698" s="13" t="n"/>
      <c r="G2698" s="14" t="n"/>
      <c r="H2698" s="14" t="n"/>
      <c r="I2698" s="14" t="n"/>
      <c r="J2698" s="14" t="n"/>
      <c r="K2698" s="53" t="inlineStr"/>
      <c r="L2698" s="53" t="inlineStr">
        <is>
          <t>Не определено</t>
        </is>
      </c>
      <c r="M2698" s="53" t="inlineStr"/>
      <c r="N2698" s="54" t="inlineStr"/>
      <c r="O2698" s="55" t="inlineStr"/>
      <c r="P2698" s="16" t="inlineStr">
        <is>
          <t>Требует обогащения</t>
        </is>
      </c>
      <c r="Q2698" s="16">
        <f>HYPERLINK("https://pb.nalog.ru/search.html?query=3849084126","ФНС: проверить")</f>
        <v/>
      </c>
      <c r="R2698" s="16">
        <f>HYPERLINK("https://checko.ru/search?query=3801001629","Чекко: проверить")</f>
        <v/>
      </c>
      <c r="S2698" t="n">
        <v>1</v>
      </c>
      <c r="T2698" s="35" t="inlineStr">
        <is>
          <t>4 — Не обогащён</t>
        </is>
      </c>
      <c r="U2698" s="35" t="inlineStr">
        <is>
          <t>Нет ОКВЭД/ССЧР</t>
        </is>
      </c>
      <c r="V2698" s="35" t="inlineStr">
        <is>
          <t>Не определено</t>
        </is>
      </c>
      <c r="W2698" s="35" t="inlineStr"/>
      <c r="X2698" s="35" t="inlineStr"/>
    </row>
    <row r="2699" ht="15" customHeight="1" s="24">
      <c r="A2699" s="13" t="n">
        <v>5000081407</v>
      </c>
      <c r="B2699" s="13" t="inlineStr">
        <is>
          <t>ОГБУ «УСЗСОН по Мамско-Чуйскому району»</t>
        </is>
      </c>
      <c r="C2699" s="13" t="n">
        <v>3808274801</v>
      </c>
      <c r="D2699" s="13" t="inlineStr">
        <is>
          <t>3808274801</t>
        </is>
      </c>
      <c r="E2699" s="13" t="inlineStr">
        <is>
          <t>ЮЛ РФ</t>
        </is>
      </c>
      <c r="F2699" s="13" t="n"/>
      <c r="G2699" s="14" t="n"/>
      <c r="H2699" s="14" t="n"/>
      <c r="I2699" s="14" t="n"/>
      <c r="J2699" s="14" t="n"/>
      <c r="K2699" s="53" t="inlineStr"/>
      <c r="L2699" s="53" t="inlineStr">
        <is>
          <t>Не определено</t>
        </is>
      </c>
      <c r="M2699" s="53" t="inlineStr"/>
      <c r="N2699" s="54" t="inlineStr"/>
      <c r="O2699" s="55" t="inlineStr"/>
      <c r="P2699" s="16" t="inlineStr">
        <is>
          <t>Требует обогащения</t>
        </is>
      </c>
      <c r="Q2699" s="16">
        <f>HYPERLINK("https://pb.nalog.ru/search.html?query=3808274801","ФНС: проверить")</f>
        <v/>
      </c>
      <c r="R2699" s="16">
        <f>HYPERLINK("https://checko.ru/search?query=3801001629","Чекко: проверить")</f>
        <v/>
      </c>
      <c r="S2699" t="n">
        <v>1</v>
      </c>
      <c r="T2699" s="35" t="inlineStr">
        <is>
          <t>4 — Не обогащён</t>
        </is>
      </c>
      <c r="U2699" s="35" t="inlineStr">
        <is>
          <t>Нет ОКВЭД/ССЧР</t>
        </is>
      </c>
      <c r="V2699" s="35" t="inlineStr">
        <is>
          <t>Не определено</t>
        </is>
      </c>
      <c r="W2699" s="35" t="inlineStr"/>
      <c r="X2699" s="35" t="inlineStr"/>
    </row>
    <row r="2700" ht="15" customHeight="1" s="24">
      <c r="A2700" s="13" t="n">
        <v>5000081403</v>
      </c>
      <c r="B2700" s="13" t="inlineStr">
        <is>
          <t>ОГБУ "УСЗСОН по Ольхонскому району"</t>
        </is>
      </c>
      <c r="C2700" s="13" t="n">
        <v>3827446862</v>
      </c>
      <c r="D2700" s="13" t="inlineStr">
        <is>
          <t>3827446862</t>
        </is>
      </c>
      <c r="E2700" s="13" t="inlineStr">
        <is>
          <t>ЮЛ РФ</t>
        </is>
      </c>
      <c r="F2700" s="13" t="n"/>
      <c r="G2700" s="14" t="n"/>
      <c r="H2700" s="14" t="n"/>
      <c r="I2700" s="14" t="n"/>
      <c r="J2700" s="14" t="n"/>
      <c r="K2700" s="53" t="inlineStr"/>
      <c r="L2700" s="53" t="inlineStr">
        <is>
          <t>Не определено</t>
        </is>
      </c>
      <c r="M2700" s="53" t="inlineStr"/>
      <c r="N2700" s="54" t="inlineStr"/>
      <c r="O2700" s="55" t="inlineStr"/>
      <c r="P2700" s="16" t="inlineStr">
        <is>
          <t>Требует обогащения</t>
        </is>
      </c>
      <c r="Q2700" s="16">
        <f>HYPERLINK("https://pb.nalog.ru/search.html?query=3827446862","ФНС: проверить")</f>
        <v/>
      </c>
      <c r="R2700" s="16">
        <f>HYPERLINK("https://checko.ru/search?query=3801001629","Чекко: проверить")</f>
        <v/>
      </c>
      <c r="S2700" t="n">
        <v>1</v>
      </c>
      <c r="T2700" s="35" t="inlineStr">
        <is>
          <t>4 — Не обогащён</t>
        </is>
      </c>
      <c r="U2700" s="35" t="inlineStr">
        <is>
          <t>Нет ОКВЭД/ССЧР</t>
        </is>
      </c>
      <c r="V2700" s="35" t="inlineStr">
        <is>
          <t>Не определено</t>
        </is>
      </c>
      <c r="W2700" s="35" t="inlineStr"/>
      <c r="X2700" s="35" t="inlineStr"/>
    </row>
    <row r="2701" ht="41.25" customHeight="1" s="24">
      <c r="A2701" s="13" t="n">
        <v>5000062555</v>
      </c>
      <c r="B2701" s="13" t="inlineStr">
        <is>
          <t>ОБЛАСТНОЕ ГОСУДАРСТВЕННОЕ КАЗЁННОЕ УЧРЕЖДЕНИЕ СОЦИАЛЬНОГО ОБСЛУЖИВАНИЯ "СОЦИАЛЬНО-РЕАБИЛИТАЦИОННЫЙ Ц</t>
        </is>
      </c>
      <c r="C2701" s="13" t="n">
        <v>7301002533</v>
      </c>
      <c r="D2701" s="13" t="inlineStr">
        <is>
          <t>7301002533</t>
        </is>
      </c>
      <c r="E2701" s="13" t="inlineStr">
        <is>
          <t>ЮЛ РФ</t>
        </is>
      </c>
      <c r="F2701" s="13" t="n"/>
      <c r="G2701" s="14" t="n"/>
      <c r="H2701" s="14" t="n"/>
      <c r="I2701" s="14" t="n"/>
      <c r="J2701" s="14" t="n"/>
      <c r="K2701" s="53" t="inlineStr"/>
      <c r="L2701" s="53" t="inlineStr">
        <is>
          <t>Не определено</t>
        </is>
      </c>
      <c r="M2701" s="53" t="inlineStr"/>
      <c r="N2701" s="54" t="inlineStr"/>
      <c r="O2701" s="55" t="inlineStr"/>
      <c r="P2701" s="16" t="inlineStr">
        <is>
          <t>Требует обогащения</t>
        </is>
      </c>
      <c r="Q2701" s="16">
        <f>HYPERLINK("https://pb.nalog.ru/search.html?query=7301002533","ФНС: проверить")</f>
        <v/>
      </c>
      <c r="R2701" s="16">
        <f>HYPERLINK("https://checko.ru/search?query=3801001629","Чекко: проверить")</f>
        <v/>
      </c>
      <c r="S2701" t="n">
        <v>1</v>
      </c>
      <c r="T2701" s="35" t="inlineStr">
        <is>
          <t>4 — Не обогащён</t>
        </is>
      </c>
      <c r="U2701" s="35" t="inlineStr">
        <is>
          <t>Нет ОКВЭД/ССЧР</t>
        </is>
      </c>
      <c r="V2701" s="35" t="inlineStr">
        <is>
          <t>Не определено</t>
        </is>
      </c>
      <c r="W2701" s="35" t="inlineStr"/>
      <c r="X2701" s="35" t="inlineStr"/>
    </row>
    <row r="2702" ht="41.25" customHeight="1" s="24">
      <c r="A2702" s="13" t="n">
        <v>5000081480</v>
      </c>
      <c r="B2702" s="13" t="inlineStr">
        <is>
          <t>АДМИНИСТРАЦИЯ МУНИЦИПАЛЬНОГО ОБРАЗОВАНИЯ БЛАГОДАРНОВСКИЙ СЕЛЬСОВЕТ ТАШЛИНСКОГО РАЙОНА ОРЕНБУРГСКОЙ ОБЛАСТИ</t>
        </is>
      </c>
      <c r="C2702" s="13" t="n">
        <v>5648004156</v>
      </c>
      <c r="D2702" s="13" t="inlineStr">
        <is>
          <t>5648004156</t>
        </is>
      </c>
      <c r="E2702" s="13" t="inlineStr">
        <is>
          <t>ЮЛ РФ</t>
        </is>
      </c>
      <c r="F2702" s="13" t="n"/>
      <c r="G2702" s="14" t="n"/>
      <c r="H2702" s="14" t="n"/>
      <c r="I2702" s="14" t="n"/>
      <c r="J2702" s="14" t="n"/>
      <c r="K2702" s="53" t="inlineStr"/>
      <c r="L2702" s="53" t="inlineStr">
        <is>
          <t>Не определено</t>
        </is>
      </c>
      <c r="M2702" s="53" t="inlineStr"/>
      <c r="N2702" s="54" t="inlineStr"/>
      <c r="O2702" s="55" t="inlineStr"/>
      <c r="P2702" s="16" t="inlineStr">
        <is>
          <t>Требует обогащения</t>
        </is>
      </c>
      <c r="Q2702" s="16">
        <f>HYPERLINK("https://pb.nalog.ru/search.html?query=5648004156","ФНС: проверить")</f>
        <v/>
      </c>
      <c r="R2702" s="16">
        <f>HYPERLINK("https://checko.ru/search?query=3801001629","Чекко: проверить")</f>
        <v/>
      </c>
      <c r="S2702" t="n">
        <v>1</v>
      </c>
      <c r="T2702" s="35" t="inlineStr">
        <is>
          <t>4 — Не обогащён</t>
        </is>
      </c>
      <c r="U2702" s="35" t="inlineStr">
        <is>
          <t>Нет ОКВЭД/ССЧР</t>
        </is>
      </c>
      <c r="V2702" s="35" t="inlineStr">
        <is>
          <t>Не определено</t>
        </is>
      </c>
      <c r="W2702" s="35" t="inlineStr"/>
      <c r="X2702" s="35" t="inlineStr"/>
    </row>
    <row r="2703" ht="41.25" customHeight="1" s="24">
      <c r="A2703" s="13" t="n">
        <v>5000081481</v>
      </c>
      <c r="B2703" s="13" t="inlineStr">
        <is>
          <t>АДМИНИСТРАЦИЯ МУНИЦИПАЛЬНОГО ОБРАЗОВАНИЯ СТЕПАНОВСКИЙ СЕЛЬСОВЕТ ТАШЛИНСКОГО РАЙОНА ОРЕНБУРГСКОЙ ОБЛАСТИ</t>
        </is>
      </c>
      <c r="C2703" s="13" t="n">
        <v>5648004371</v>
      </c>
      <c r="D2703" s="13" t="inlineStr">
        <is>
          <t>5648004371</t>
        </is>
      </c>
      <c r="E2703" s="13" t="inlineStr">
        <is>
          <t>ЮЛ РФ</t>
        </is>
      </c>
      <c r="F2703" s="13" t="n"/>
      <c r="G2703" s="14" t="n"/>
      <c r="H2703" s="14" t="n"/>
      <c r="I2703" s="14" t="n"/>
      <c r="J2703" s="14" t="n"/>
      <c r="K2703" s="53" t="inlineStr"/>
      <c r="L2703" s="53" t="inlineStr">
        <is>
          <t>Не определено</t>
        </is>
      </c>
      <c r="M2703" s="53" t="inlineStr"/>
      <c r="N2703" s="54" t="inlineStr"/>
      <c r="O2703" s="55" t="inlineStr"/>
      <c r="P2703" s="16" t="inlineStr">
        <is>
          <t>Требует обогащения</t>
        </is>
      </c>
      <c r="Q2703" s="16">
        <f>HYPERLINK("https://pb.nalog.ru/search.html?query=5648004371","ФНС: проверить")</f>
        <v/>
      </c>
      <c r="R2703" s="16">
        <f>HYPERLINK("https://checko.ru/search?query=3801001629","Чекко: проверить")</f>
        <v/>
      </c>
      <c r="S2703" t="n">
        <v>1</v>
      </c>
      <c r="T2703" s="35" t="inlineStr">
        <is>
          <t>4 — Не обогащён</t>
        </is>
      </c>
      <c r="U2703" s="35" t="inlineStr">
        <is>
          <t>Нет ОКВЭД/ССЧР</t>
        </is>
      </c>
      <c r="V2703" s="35" t="inlineStr">
        <is>
          <t>Не определено</t>
        </is>
      </c>
      <c r="W2703" s="35" t="inlineStr"/>
      <c r="X2703" s="35" t="inlineStr"/>
    </row>
    <row r="2704" ht="15" customHeight="1" s="24">
      <c r="A2704" s="13" t="n">
        <v>5000081405</v>
      </c>
      <c r="B2704" s="13" t="inlineStr">
        <is>
          <t>ОГБУ «УСЗСОН по Жигаловскому району»</t>
        </is>
      </c>
      <c r="C2704" s="13" t="n">
        <v>3827446870</v>
      </c>
      <c r="D2704" s="13" t="inlineStr">
        <is>
          <t>3827446870</t>
        </is>
      </c>
      <c r="E2704" s="13" t="inlineStr">
        <is>
          <t>ЮЛ РФ</t>
        </is>
      </c>
      <c r="F2704" s="13" t="n"/>
      <c r="G2704" s="14" t="n"/>
      <c r="H2704" s="14" t="n"/>
      <c r="I2704" s="14" t="n"/>
      <c r="J2704" s="14" t="n"/>
      <c r="K2704" s="53" t="inlineStr"/>
      <c r="L2704" s="53" t="inlineStr">
        <is>
          <t>Не определено</t>
        </is>
      </c>
      <c r="M2704" s="53" t="inlineStr"/>
      <c r="N2704" s="54" t="inlineStr"/>
      <c r="O2704" s="55" t="inlineStr"/>
      <c r="P2704" s="16" t="inlineStr">
        <is>
          <t>Требует обогащения</t>
        </is>
      </c>
      <c r="Q2704" s="16">
        <f>HYPERLINK("https://pb.nalog.ru/search.html?query=3827446870","ФНС: проверить")</f>
        <v/>
      </c>
      <c r="R2704" s="16">
        <f>HYPERLINK("https://checko.ru/search?query=3801001629","Чекко: проверить")</f>
        <v/>
      </c>
      <c r="S2704" t="n">
        <v>1</v>
      </c>
      <c r="T2704" s="35" t="inlineStr">
        <is>
          <t>4 — Не обогащён</t>
        </is>
      </c>
      <c r="U2704" s="35" t="inlineStr">
        <is>
          <t>Нет ОКВЭД/ССЧР</t>
        </is>
      </c>
      <c r="V2704" s="35" t="inlineStr">
        <is>
          <t>Не определено</t>
        </is>
      </c>
      <c r="W2704" s="35" t="inlineStr"/>
      <c r="X2704" s="35" t="inlineStr"/>
    </row>
    <row r="2705" ht="15" customHeight="1" s="24">
      <c r="A2705" s="13" t="n">
        <v>5000080287</v>
      </c>
      <c r="B2705" s="13" t="inlineStr">
        <is>
          <t>МБОУ "Первая школа имени М.А. Пронина"</t>
        </is>
      </c>
      <c r="C2705" s="13" t="n">
        <v>5032333361</v>
      </c>
      <c r="D2705" s="13" t="inlineStr">
        <is>
          <t>5032333361</t>
        </is>
      </c>
      <c r="E2705" s="13" t="inlineStr">
        <is>
          <t>ЮЛ РФ</t>
        </is>
      </c>
      <c r="F2705" s="13" t="n"/>
      <c r="G2705" s="14" t="n"/>
      <c r="H2705" s="14" t="n"/>
      <c r="I2705" s="14" t="n"/>
      <c r="J2705" s="14" t="n"/>
      <c r="K2705" s="53" t="inlineStr"/>
      <c r="L2705" s="53" t="inlineStr">
        <is>
          <t>Не определено</t>
        </is>
      </c>
      <c r="M2705" s="53" t="inlineStr"/>
      <c r="N2705" s="54" t="inlineStr"/>
      <c r="O2705" s="55" t="inlineStr"/>
      <c r="P2705" s="16" t="inlineStr">
        <is>
          <t>Требует обогащения</t>
        </is>
      </c>
      <c r="Q2705" s="16">
        <f>HYPERLINK("https://pb.nalog.ru/search.html?query=5032333361","ФНС: проверить")</f>
        <v/>
      </c>
      <c r="R2705" s="16">
        <f>HYPERLINK("https://checko.ru/search?query=3801001629","Чекко: проверить")</f>
        <v/>
      </c>
      <c r="S2705" t="n">
        <v>1</v>
      </c>
      <c r="T2705" s="35" t="inlineStr">
        <is>
          <t>4 — Не обогащён</t>
        </is>
      </c>
      <c r="U2705" s="35" t="inlineStr">
        <is>
          <t>Нет ОКВЭД/ССЧР</t>
        </is>
      </c>
      <c r="V2705" s="35" t="inlineStr">
        <is>
          <t>Не определено</t>
        </is>
      </c>
      <c r="W2705" s="35" t="inlineStr"/>
      <c r="X2705" s="35" t="inlineStr"/>
    </row>
    <row r="2706" ht="15" customHeight="1" s="24">
      <c r="A2706" s="13" t="n">
        <v>5000034710</v>
      </c>
      <c r="B2706" s="13" t="inlineStr">
        <is>
          <t>МБУ "Культурно-досуговый центр "Октябрь"</t>
        </is>
      </c>
      <c r="C2706" s="13" t="n">
        <v>5032200114</v>
      </c>
      <c r="D2706" s="13" t="inlineStr">
        <is>
          <t>5032200114</t>
        </is>
      </c>
      <c r="E2706" s="13" t="inlineStr">
        <is>
          <t>ЮЛ РФ</t>
        </is>
      </c>
      <c r="F2706" s="13" t="n"/>
      <c r="G2706" s="14" t="n"/>
      <c r="H2706" s="14" t="n"/>
      <c r="I2706" s="14" t="n"/>
      <c r="J2706" s="14" t="n"/>
      <c r="K2706" s="53" t="inlineStr"/>
      <c r="L2706" s="53" t="inlineStr">
        <is>
          <t>Не определено</t>
        </is>
      </c>
      <c r="M2706" s="53" t="inlineStr"/>
      <c r="N2706" s="54" t="inlineStr"/>
      <c r="O2706" s="55" t="inlineStr"/>
      <c r="P2706" s="16" t="inlineStr">
        <is>
          <t>Требует обогащения</t>
        </is>
      </c>
      <c r="Q2706" s="16">
        <f>HYPERLINK("https://pb.nalog.ru/search.html?query=5032200114","ФНС: проверить")</f>
        <v/>
      </c>
      <c r="R2706" s="16">
        <f>HYPERLINK("https://checko.ru/search?query=3801001629","Чекко: проверить")</f>
        <v/>
      </c>
      <c r="S2706" t="n">
        <v>1</v>
      </c>
      <c r="T2706" s="35" t="inlineStr">
        <is>
          <t>4 — Не обогащён</t>
        </is>
      </c>
      <c r="U2706" s="35" t="inlineStr">
        <is>
          <t>Нет ОКВЭД/ССЧР</t>
        </is>
      </c>
      <c r="V2706" s="35" t="inlineStr">
        <is>
          <t>Не определено</t>
        </is>
      </c>
      <c r="W2706" s="35" t="inlineStr"/>
      <c r="X2706" s="35" t="inlineStr"/>
    </row>
    <row r="2707" ht="15" customHeight="1" s="24">
      <c r="A2707" s="13" t="n">
        <v>5000057422</v>
      </c>
      <c r="B2707" s="13" t="inlineStr">
        <is>
          <t>АУ "МАУК и С "МаксимуМ"</t>
        </is>
      </c>
      <c r="C2707" s="13" t="n">
        <v>5032110460</v>
      </c>
      <c r="D2707" s="13" t="inlineStr">
        <is>
          <t>5032110460</t>
        </is>
      </c>
      <c r="E2707" s="13" t="inlineStr">
        <is>
          <t>ЮЛ РФ</t>
        </is>
      </c>
      <c r="F2707" s="13" t="n"/>
      <c r="G2707" s="14" t="n"/>
      <c r="H2707" s="14" t="n"/>
      <c r="I2707" s="14" t="n"/>
      <c r="J2707" s="14" t="n"/>
      <c r="K2707" s="53" t="inlineStr"/>
      <c r="L2707" s="53" t="inlineStr">
        <is>
          <t>Не определено</t>
        </is>
      </c>
      <c r="M2707" s="53" t="inlineStr"/>
      <c r="N2707" s="54" t="inlineStr"/>
      <c r="O2707" s="55" t="inlineStr"/>
      <c r="P2707" s="16" t="inlineStr">
        <is>
          <t>Требует обогащения</t>
        </is>
      </c>
      <c r="Q2707" s="16">
        <f>HYPERLINK("https://pb.nalog.ru/search.html?query=5032110460","ФНС: проверить")</f>
        <v/>
      </c>
      <c r="R2707" s="16">
        <f>HYPERLINK("https://checko.ru/search?query=3801001629","Чекко: проверить")</f>
        <v/>
      </c>
      <c r="S2707" t="n">
        <v>1</v>
      </c>
      <c r="T2707" s="35" t="inlineStr">
        <is>
          <t>4 — Не обогащён</t>
        </is>
      </c>
      <c r="U2707" s="35" t="inlineStr">
        <is>
          <t>Нет ОКВЭД/ССЧР</t>
        </is>
      </c>
      <c r="V2707" s="35" t="inlineStr">
        <is>
          <t>Не определено</t>
        </is>
      </c>
      <c r="W2707" s="35" t="inlineStr"/>
      <c r="X2707" s="35" t="inlineStr"/>
    </row>
    <row r="2708" ht="27.75" customHeight="1" s="24">
      <c r="A2708" s="13" t="n">
        <v>5000121124</v>
      </c>
      <c r="B2708" s="13" t="inlineStr">
        <is>
          <t>Корпорация развития Одинцовского муниципального района</t>
        </is>
      </c>
      <c r="C2708" s="13" t="n">
        <v>5032207053</v>
      </c>
      <c r="D2708" s="13" t="inlineStr">
        <is>
          <t>5032207053</t>
        </is>
      </c>
      <c r="E2708" s="13" t="inlineStr">
        <is>
          <t>ЮЛ РФ</t>
        </is>
      </c>
      <c r="F2708" s="13" t="n"/>
      <c r="G2708" s="14" t="n"/>
      <c r="H2708" s="14" t="n"/>
      <c r="I2708" s="14" t="n"/>
      <c r="J2708" s="14" t="n"/>
      <c r="K2708" s="53" t="inlineStr"/>
      <c r="L2708" s="53" t="inlineStr">
        <is>
          <t>Не определено</t>
        </is>
      </c>
      <c r="M2708" s="53" t="inlineStr"/>
      <c r="N2708" s="54" t="inlineStr"/>
      <c r="O2708" s="55" t="inlineStr"/>
      <c r="P2708" s="16" t="inlineStr">
        <is>
          <t>Требует обогащения</t>
        </is>
      </c>
      <c r="Q2708" s="16">
        <f>HYPERLINK("https://pb.nalog.ru/search.html?query=5032207053","ФНС: проверить")</f>
        <v/>
      </c>
      <c r="R2708" s="16">
        <f>HYPERLINK("https://checko.ru/search?query=3801001629","Чекко: проверить")</f>
        <v/>
      </c>
      <c r="S2708" t="n">
        <v>1</v>
      </c>
      <c r="T2708" s="35" t="inlineStr">
        <is>
          <t>4 — Не обогащён</t>
        </is>
      </c>
      <c r="U2708" s="35" t="inlineStr">
        <is>
          <t>Нет ОКВЭД/ССЧР</t>
        </is>
      </c>
      <c r="V2708" s="35" t="inlineStr">
        <is>
          <t>Не определено</t>
        </is>
      </c>
      <c r="W2708" s="35" t="inlineStr"/>
      <c r="X2708" s="35" t="inlineStr"/>
    </row>
    <row r="2709" ht="41.25" customHeight="1" s="24">
      <c r="A2709" s="13" t="n">
        <v>5000062552</v>
      </c>
      <c r="B2709" s="13" t="inlineStr">
        <is>
          <t>ОБЛАСТНОЕ ГОСУДАРСТВЕННОЕ КАЗЁННОЕ УЧРЕЖДЕНИЕ СОЦИАЛЬНОГО ОБСЛУЖИВАНИЯ "ДЕТСКИЙ ДОМ-ИНТЕРНАТ ДЛЯ УМС</t>
        </is>
      </c>
      <c r="C2709" s="13" t="n">
        <v>7321020259</v>
      </c>
      <c r="D2709" s="13" t="inlineStr">
        <is>
          <t>7321020259</t>
        </is>
      </c>
      <c r="E2709" s="13" t="inlineStr">
        <is>
          <t>ЮЛ РФ</t>
        </is>
      </c>
      <c r="F2709" s="13" t="n"/>
      <c r="G2709" s="14" t="n"/>
      <c r="H2709" s="14" t="n"/>
      <c r="I2709" s="14" t="n"/>
      <c r="J2709" s="14" t="n"/>
      <c r="K2709" s="53" t="inlineStr"/>
      <c r="L2709" s="53" t="inlineStr">
        <is>
          <t>Не определено</t>
        </is>
      </c>
      <c r="M2709" s="53" t="inlineStr"/>
      <c r="N2709" s="54" t="inlineStr"/>
      <c r="O2709" s="55" t="inlineStr"/>
      <c r="P2709" s="16" t="inlineStr">
        <is>
          <t>Требует обогащения</t>
        </is>
      </c>
      <c r="Q2709" s="16">
        <f>HYPERLINK("https://pb.nalog.ru/search.html?query=7321020259","ФНС: проверить")</f>
        <v/>
      </c>
      <c r="R2709" s="16">
        <f>HYPERLINK("https://checko.ru/search?query=3801001629","Чекко: проверить")</f>
        <v/>
      </c>
      <c r="S2709" t="n">
        <v>1</v>
      </c>
      <c r="T2709" s="35" t="inlineStr">
        <is>
          <t>4 — Не обогащён</t>
        </is>
      </c>
      <c r="U2709" s="35" t="inlineStr">
        <is>
          <t>Нет ОКВЭД/ССЧР</t>
        </is>
      </c>
      <c r="V2709" s="35" t="inlineStr">
        <is>
          <t>Не определено</t>
        </is>
      </c>
      <c r="W2709" s="35" t="inlineStr"/>
      <c r="X2709" s="35" t="inlineStr"/>
    </row>
    <row r="2710" ht="41.25" customHeight="1" s="24">
      <c r="A2710" s="13" t="n">
        <v>5000075061</v>
      </c>
      <c r="B2710" s="13" t="inlineStr">
        <is>
          <t>ГКУ ИО «Центр комплексного обеспечения Губернатора Иркутской области и Правительства Иркутской области»</t>
        </is>
      </c>
      <c r="C2710" s="13" t="n">
        <v>3808273406</v>
      </c>
      <c r="D2710" s="13" t="inlineStr">
        <is>
          <t>3808273406</t>
        </is>
      </c>
      <c r="E2710" s="13" t="inlineStr">
        <is>
          <t>ЮЛ РФ</t>
        </is>
      </c>
      <c r="F2710" s="13" t="n"/>
      <c r="G2710" s="14" t="n"/>
      <c r="H2710" s="14" t="n"/>
      <c r="I2710" s="14" t="n"/>
      <c r="J2710" s="14" t="n"/>
      <c r="K2710" s="53" t="inlineStr"/>
      <c r="L2710" s="53" t="inlineStr">
        <is>
          <t>Не определено</t>
        </is>
      </c>
      <c r="M2710" s="53" t="inlineStr"/>
      <c r="N2710" s="54" t="inlineStr"/>
      <c r="O2710" s="55" t="inlineStr"/>
      <c r="P2710" s="16" t="inlineStr">
        <is>
          <t>Требует обогащения</t>
        </is>
      </c>
      <c r="Q2710" s="16">
        <f>HYPERLINK("https://pb.nalog.ru/search.html?query=3808273406","ФНС: проверить")</f>
        <v/>
      </c>
      <c r="R2710" s="16">
        <f>HYPERLINK("https://checko.ru/search?query=3801001629","Чекко: проверить")</f>
        <v/>
      </c>
      <c r="S2710" t="n">
        <v>1</v>
      </c>
      <c r="T2710" s="35" t="inlineStr">
        <is>
          <t>4 — Не обогащён</t>
        </is>
      </c>
      <c r="U2710" s="35" t="inlineStr">
        <is>
          <t>Нет ОКВЭД/ССЧР</t>
        </is>
      </c>
      <c r="V2710" s="35" t="inlineStr">
        <is>
          <t>Не определено</t>
        </is>
      </c>
      <c r="W2710" s="35" t="inlineStr"/>
      <c r="X2710" s="35" t="inlineStr"/>
    </row>
    <row r="2711" ht="41.25" customHeight="1" s="24">
      <c r="A2711" s="13" t="n">
        <v>5000001557</v>
      </c>
      <c r="B2711" s="13" t="inlineStr">
        <is>
          <t>ОБЛАСТНОЕ ГОСУДАРСТВЕННОЕ АВТОНОМНОЕ УЧРЕЖДЕНИЕ СОЦИАЛЬНОГО ОБСЛУЖИВАНИЯ "РЕАБИЛИТАЦИОННЫЙ ЦЕНТР "ШЕ</t>
        </is>
      </c>
      <c r="C2711" s="13" t="n">
        <v>3810061310</v>
      </c>
      <c r="D2711" s="13" t="inlineStr">
        <is>
          <t>3810061310</t>
        </is>
      </c>
      <c r="E2711" s="13" t="inlineStr">
        <is>
          <t>ЮЛ РФ</t>
        </is>
      </c>
      <c r="F2711" s="13" t="n"/>
      <c r="G2711" s="14" t="n"/>
      <c r="H2711" s="14" t="n"/>
      <c r="I2711" s="14" t="n"/>
      <c r="J2711" s="14" t="n"/>
      <c r="K2711" s="53" t="inlineStr"/>
      <c r="L2711" s="53" t="inlineStr">
        <is>
          <t>Не определено</t>
        </is>
      </c>
      <c r="M2711" s="53" t="inlineStr"/>
      <c r="N2711" s="54" t="inlineStr"/>
      <c r="O2711" s="55" t="inlineStr"/>
      <c r="P2711" s="16" t="inlineStr">
        <is>
          <t>Требует обогащения</t>
        </is>
      </c>
      <c r="Q2711" s="16">
        <f>HYPERLINK("https://pb.nalog.ru/search.html?query=3810061310","ФНС: проверить")</f>
        <v/>
      </c>
      <c r="R2711" s="16">
        <f>HYPERLINK("https://checko.ru/search?query=3801001629","Чекко: проверить")</f>
        <v/>
      </c>
      <c r="S2711" t="n">
        <v>1</v>
      </c>
      <c r="T2711" s="35" t="inlineStr">
        <is>
          <t>4 — Не обогащён</t>
        </is>
      </c>
      <c r="U2711" s="35" t="inlineStr">
        <is>
          <t>Нет ОКВЭД/ССЧР</t>
        </is>
      </c>
      <c r="V2711" s="35" t="inlineStr">
        <is>
          <t>Не определено</t>
        </is>
      </c>
      <c r="W2711" s="35" t="inlineStr"/>
      <c r="X2711" s="35" t="inlineStr"/>
    </row>
    <row r="2712" ht="54.75" customHeight="1" s="24">
      <c r="A2712" s="13" t="n">
        <v>5000094746</v>
      </c>
      <c r="B2712" s="13" t="inlineStr">
        <is>
          <t>Муниципальное казенное учреждение «Администрация сельского поселения Кахун Урванского муниципального района Кабардино-Балкарской Республики»</t>
        </is>
      </c>
      <c r="C2712" s="13" t="n">
        <v>707003060</v>
      </c>
      <c r="D2712" s="13" t="n"/>
      <c r="E2712" s="13" t="inlineStr">
        <is>
          <t>Не определён</t>
        </is>
      </c>
      <c r="F2712" s="13" t="inlineStr">
        <is>
          <t>707003060</t>
        </is>
      </c>
      <c r="G2712" s="14" t="n"/>
      <c r="H2712" s="14" t="n"/>
      <c r="I2712" s="14" t="n"/>
      <c r="J2712" s="14" t="n"/>
      <c r="K2712" s="13">
        <f>IF(G2712="","",IF(G2712&gt;=22,"Да","Нет"))</f>
        <v/>
      </c>
      <c r="L2712" s="13">
        <f>IF(OR(I2712="",J2712=""),"Не определено",IF(OR(COUNTIF(I2712,"45*")&gt;0,COUNTIF(J2712,"*45*")&gt;0,COUNTIF(I2712,"46*")&gt;0,COUNTIF(J2712,"*46*")&gt;0,COUNTIF(I2712,"47*")&gt;0,COUNTIF(J2712,"*47*")&gt;0,COUNTIF(I2712,"10*")&gt;0,COUNTIF(J2712,"*10*")&gt;0,COUNTIF(I2712,"11*")&gt;0,COUNTIF(J2712,"*11*")&gt;0,COUNTIF(I2712,"12*")&gt;0,COUNTIF(J2712,"*12*")&gt;0,COUNTIF(I2712,"13*")&gt;0,COUNTIF(J2712,"*13*")&gt;0,COUNTIF(I2712,"14*")&gt;0,COUNTIF(J2712,"*14*")&gt;0,COUNTIF(I2712,"15*")&gt;0,COUNTIF(J2712,"*15*")&gt;0,COUNTIF(I2712,"16*")&gt;0,COUNTIF(J2712,"*16*")&gt;0,COUNTIF(I2712,"17*")&gt;0,COUNTIF(J2712,"*17*")&gt;0,COUNTIF(I2712,"18*")&gt;0,COUNTIF(J2712,"*18*")&gt;0,COUNTIF(I2712,"19*")&gt;0,COUNTIF(J2712,"*19*")&gt;0,COUNTIF(I2712,"20*")&gt;0,COUNTIF(J2712,"*20*")&gt;0,COUNTIF(I2712,"21*")&gt;0,COUNTIF(J2712,"*21*")&gt;0,COUNTIF(I2712,"22*")&gt;0,COUNTIF(J2712,"*22*")&gt;0,COUNTIF(I2712,"23*")&gt;0,COUNTIF(J2712,"*23*")&gt;0,COUNTIF(I2712,"24*")&gt;0,COUNTIF(J2712,"*24*")&gt;0,COUNTIF(I2712,"25*")&gt;0,COUNTIF(J2712,"*25*")&gt;0,COUNTIF(I2712,"26*")&gt;0,COUNTIF(J2712,"*26*")&gt;0,COUNTIF(I2712,"27*")&gt;0,COUNTIF(J2712,"*27*")&gt;0,COUNTIF(I2712,"28*")&gt;0,COUNTIF(J2712,"*28*")&gt;0,COUNTIF(I2712,"29*")&gt;0,COUNTIF(J2712,"*29*")&gt;0,COUNTIF(I2712,"30*")&gt;0,COUNTIF(J2712,"*30*")&gt;0,COUNTIF(I2712,"31*")&gt;0,COUNTIF(J2712,"*31*")&gt;0,COUNTIF(I2712,"32*")&gt;0,COUNTIF(J2712,"*32*")&gt;0,COUNTIF(I2712,"33*")&gt;0,COUNTIF(J2712,"*33*")&gt;0,COUNTIF(I2712,"41*")&gt;0,COUNTIF(J2712,"*41*")&gt;0,COUNTIF(I2712,"42*")&gt;0,COUNTIF(J2712,"*42*")&gt;0,COUNTIF(I2712,"43*")&gt;0,COUNTIF(J2712,"*43*")&gt;0,COUNTIF(I2712,"49*")&gt;0,COUNTIF(J2712,"*49*")&gt;0,COUNTIF(I2712,"52*")&gt;0,COUNTIF(J2712,"*52*")&gt;0,COUNTIF(I2712,"55*")&gt;0,COUNTIF(J2712,"*55*")&gt;0,COUNTIF(I2712,"56*")&gt;0,COUNTIF(J2712,"*56*")&gt;0,COUNTIF(I2712,"68*")&gt;0,COUNTIF(J2712,"*68*")&gt;0,COUNTIF(I2712,"78*")&gt;0,COUNTIF(J2712,"*78*")&gt;0,COUNTIF(I2712,"81*")&gt;0,COUNTIF(J2712,"*81*")&gt;0,COUNTIF(I2712,"82*")&gt;0,COUNTIF(J2712,"*82*")&gt;0,COUNTIF(I2712,"64*")&gt;0,COUNTIF(J2712,"*64*")&gt;0,COUNTIF(I2712,"65*")&gt;0,COUNTIF(J2712,"*65*")&gt;0,COUNTIF(I2712,"66*")&gt;0,COUNTIF(J2712,"*66*")&gt;0,COUNTIF(I2712,"61*")&gt;0,COUNTIF(J2712,"*61*")&gt;0,COUNTIF(I2712,"62*")&gt;0,COUNTIF(J2712,"*62*")&gt;0,COUNTIF(I2712,"63*")&gt;0,COUNTIF(J2712,"*63*")&gt;0,COUNTIF(I2712,"85*")&gt;0,COUNTIF(J2712,"*85*")&gt;0,COUNTIF(I2712,"86*")&gt;0,COUNTIF(J2712,"*86*")&gt;0),"Да","Нет"))</f>
        <v/>
      </c>
      <c r="M2712" s="13">
        <f>IF(OR(G2712="",L2712&lt;&gt;"Да"),"",IF(G2712&lt;=100,"До 100",IF(G2712&lt;=200,"До 200",IF(G2712&lt;=500,"До 500","Отдельное КП"))))</f>
        <v/>
      </c>
      <c r="N2712" s="15">
        <f>IF(OR(G2712="",L2712&lt;&gt;"Да"),"",IF(G2712&lt;=100,33600,IF(G2712&lt;=200,62400,IF(G2712&lt;=500,144000,""))))</f>
        <v/>
      </c>
      <c r="O2712" s="16">
        <f>IF(G2712="","",IF(G2712&lt;=15,"1–15",IF(G2712&lt;=30,"16–30",IF(G2712&lt;=50,"31–50",IF(G2712&lt;=100,"51–100",IF(G2712&lt;=150,"101–150",IF(G2712&lt;=200,"151–200",IF(G2712&lt;=500,"201–500","500+"))))))))</f>
        <v/>
      </c>
      <c r="P2712" s="16" t="inlineStr">
        <is>
          <t>Нет совпадения в предоставленной выгрузке ССЧР</t>
        </is>
      </c>
      <c r="Q2712" s="16" t="n"/>
      <c r="R2712" s="16">
        <f>HYPERLINK("https://checko.ru/search?query=3801001629","Чекко: проверить")</f>
        <v/>
      </c>
      <c r="S2712" t="n">
        <v>0</v>
      </c>
    </row>
    <row r="2713" ht="27.75" customHeight="1" s="24">
      <c r="A2713" s="13" t="n">
        <v>5000075557</v>
      </c>
      <c r="B2713" s="13" t="inlineStr">
        <is>
          <t>ОбГКУ "Центр Управления Недвижимым Имуществом Ульяновской Области"</t>
        </is>
      </c>
      <c r="C2713" s="13" t="n">
        <v>7325173464</v>
      </c>
      <c r="D2713" s="13" t="inlineStr">
        <is>
          <t>7325173464</t>
        </is>
      </c>
      <c r="E2713" s="13" t="inlineStr">
        <is>
          <t>ЮЛ РФ</t>
        </is>
      </c>
      <c r="F2713" s="13" t="n"/>
      <c r="G2713" s="14" t="n"/>
      <c r="H2713" s="14" t="n"/>
      <c r="I2713" s="14" t="n"/>
      <c r="J2713" s="14" t="n"/>
      <c r="K2713" s="53" t="inlineStr"/>
      <c r="L2713" s="53" t="inlineStr">
        <is>
          <t>Не определено</t>
        </is>
      </c>
      <c r="M2713" s="53" t="inlineStr"/>
      <c r="N2713" s="54" t="inlineStr"/>
      <c r="O2713" s="55" t="inlineStr"/>
      <c r="P2713" s="16" t="inlineStr">
        <is>
          <t>Требует обогащения</t>
        </is>
      </c>
      <c r="Q2713" s="16">
        <f>HYPERLINK("https://pb.nalog.ru/search.html?query=7325173464","ФНС: проверить")</f>
        <v/>
      </c>
      <c r="R2713" s="16">
        <f>HYPERLINK("https://checko.ru/search?query=3801001629","Чекко: проверить")</f>
        <v/>
      </c>
      <c r="S2713" t="n">
        <v>1</v>
      </c>
      <c r="T2713" s="35" t="inlineStr">
        <is>
          <t>4 — Не обогащён</t>
        </is>
      </c>
      <c r="U2713" s="35" t="inlineStr">
        <is>
          <t>Нет ОКВЭД/ССЧР</t>
        </is>
      </c>
      <c r="V2713" s="35" t="inlineStr">
        <is>
          <t>Не определено</t>
        </is>
      </c>
      <c r="W2713" s="35" t="inlineStr"/>
      <c r="X2713" s="35" t="inlineStr"/>
    </row>
    <row r="2714" ht="27.75" customHeight="1" s="24">
      <c r="A2714" s="13" t="n">
        <v>5000075700</v>
      </c>
      <c r="B2714" s="13" t="inlineStr">
        <is>
          <t>ГКУ ОРЕНБУРГСКОЙ ОБЛАСТИ "ЦЕНТР ПО ОБЕСПЕЧЕНИЮ"</t>
        </is>
      </c>
      <c r="C2714" s="13" t="n">
        <v>5610221592</v>
      </c>
      <c r="D2714" s="13" t="inlineStr">
        <is>
          <t>5610221592</t>
        </is>
      </c>
      <c r="E2714" s="13" t="inlineStr">
        <is>
          <t>ЮЛ РФ</t>
        </is>
      </c>
      <c r="F2714" s="13" t="n"/>
      <c r="G2714" s="14" t="n"/>
      <c r="H2714" s="14" t="n"/>
      <c r="I2714" s="14" t="n"/>
      <c r="J2714" s="14" t="n"/>
      <c r="K2714" s="53" t="inlineStr"/>
      <c r="L2714" s="53" t="inlineStr">
        <is>
          <t>Не определено</t>
        </is>
      </c>
      <c r="M2714" s="53" t="inlineStr"/>
      <c r="N2714" s="54" t="inlineStr"/>
      <c r="O2714" s="55" t="inlineStr"/>
      <c r="P2714" s="16" t="inlineStr">
        <is>
          <t>Требует обогащения</t>
        </is>
      </c>
      <c r="Q2714" s="16">
        <f>HYPERLINK("https://pb.nalog.ru/search.html?query=5610221592","ФНС: проверить")</f>
        <v/>
      </c>
      <c r="R2714" s="16">
        <f>HYPERLINK("https://checko.ru/search?query=3801001629","Чекко: проверить")</f>
        <v/>
      </c>
      <c r="S2714" t="n">
        <v>1</v>
      </c>
      <c r="T2714" s="35" t="inlineStr">
        <is>
          <t>4 — Не обогащён</t>
        </is>
      </c>
      <c r="U2714" s="35" t="inlineStr">
        <is>
          <t>Нет ОКВЭД/ССЧР</t>
        </is>
      </c>
      <c r="V2714" s="35" t="inlineStr">
        <is>
          <t>Не определено</t>
        </is>
      </c>
      <c r="W2714" s="35" t="inlineStr"/>
      <c r="X2714" s="35" t="inlineStr"/>
    </row>
    <row r="2715" ht="41.25" customHeight="1" s="24">
      <c r="A2715" s="13" t="n">
        <v>5000062556</v>
      </c>
      <c r="B2715" s="13" t="inlineStr">
        <is>
          <t>ОБЛАСТНОЕ ГОСУДАРСТВЕННОЕ КАЗЁННОЕ УЧРЕЖДЕНИЕ СОЦИАЛЬНОГО ОБСЛУЖИВАНИЯ  "СОЦИАЛЬНО-РЕАБИЛИТАЦИОННЫЙ</t>
        </is>
      </c>
      <c r="C2715" s="13" t="n">
        <v>7306005200</v>
      </c>
      <c r="D2715" s="13" t="inlineStr">
        <is>
          <t>7306005200</t>
        </is>
      </c>
      <c r="E2715" s="13" t="inlineStr">
        <is>
          <t>ЮЛ РФ</t>
        </is>
      </c>
      <c r="F2715" s="13" t="n"/>
      <c r="G2715" s="14" t="n"/>
      <c r="H2715" s="14" t="n"/>
      <c r="I2715" s="14" t="n"/>
      <c r="J2715" s="14" t="n"/>
      <c r="K2715" s="53" t="inlineStr"/>
      <c r="L2715" s="53" t="inlineStr">
        <is>
          <t>Не определено</t>
        </is>
      </c>
      <c r="M2715" s="53" t="inlineStr"/>
      <c r="N2715" s="54" t="inlineStr"/>
      <c r="O2715" s="55" t="inlineStr"/>
      <c r="P2715" s="16" t="inlineStr">
        <is>
          <t>Требует обогащения</t>
        </is>
      </c>
      <c r="Q2715" s="16">
        <f>HYPERLINK("https://pb.nalog.ru/search.html?query=7306005200","ФНС: проверить")</f>
        <v/>
      </c>
      <c r="R2715" s="16">
        <f>HYPERLINK("https://checko.ru/search?query=3801001629","Чекко: проверить")</f>
        <v/>
      </c>
      <c r="S2715" t="n">
        <v>1</v>
      </c>
      <c r="T2715" s="35" t="inlineStr">
        <is>
          <t>4 — Не обогащён</t>
        </is>
      </c>
      <c r="U2715" s="35" t="inlineStr">
        <is>
          <t>Нет ОКВЭД/ССЧР</t>
        </is>
      </c>
      <c r="V2715" s="35" t="inlineStr">
        <is>
          <t>Не определено</t>
        </is>
      </c>
      <c r="W2715" s="35" t="inlineStr"/>
      <c r="X2715" s="35" t="inlineStr"/>
    </row>
    <row r="2716" ht="41.25" customHeight="1" s="24">
      <c r="A2716" s="13" t="n">
        <v>5000060623</v>
      </c>
      <c r="B2716" s="13" t="inlineStr">
        <is>
          <t>ОБЛАСТНОЕ ГОСУДАРСТВЕННОЕ КАЗЁННОЕ ОБЩЕОБРАЗОВАТЕЛЬНОЕ УЧРЕЖДЕНИЕ "ШКОЛА-ИНТЕРНАТ ДЛЯ ОБУЧАЮЩИХСЯ С</t>
        </is>
      </c>
      <c r="C2716" s="13" t="n">
        <v>7325025868</v>
      </c>
      <c r="D2716" s="13" t="inlineStr">
        <is>
          <t>7325025868</t>
        </is>
      </c>
      <c r="E2716" s="13" t="inlineStr">
        <is>
          <t>ЮЛ РФ</t>
        </is>
      </c>
      <c r="F2716" s="13" t="n"/>
      <c r="G2716" s="14" t="n"/>
      <c r="H2716" s="14" t="n"/>
      <c r="I2716" s="14" t="n"/>
      <c r="J2716" s="14" t="n"/>
      <c r="K2716" s="53" t="inlineStr"/>
      <c r="L2716" s="53" t="inlineStr">
        <is>
          <t>Не определено</t>
        </is>
      </c>
      <c r="M2716" s="53" t="inlineStr"/>
      <c r="N2716" s="54" t="inlineStr"/>
      <c r="O2716" s="55" t="inlineStr"/>
      <c r="P2716" s="16" t="inlineStr">
        <is>
          <t>Требует обогащения</t>
        </is>
      </c>
      <c r="Q2716" s="16">
        <f>HYPERLINK("https://pb.nalog.ru/search.html?query=7325025868","ФНС: проверить")</f>
        <v/>
      </c>
      <c r="R2716" s="16">
        <f>HYPERLINK("https://checko.ru/search?query=3801001629","Чекко: проверить")</f>
        <v/>
      </c>
      <c r="S2716" t="n">
        <v>1</v>
      </c>
      <c r="T2716" s="35" t="inlineStr">
        <is>
          <t>4 — Не обогащён</t>
        </is>
      </c>
      <c r="U2716" s="35" t="inlineStr">
        <is>
          <t>Нет ОКВЭД/ССЧР</t>
        </is>
      </c>
      <c r="V2716" s="35" t="inlineStr">
        <is>
          <t>Не определено</t>
        </is>
      </c>
      <c r="W2716" s="35" t="inlineStr"/>
      <c r="X2716" s="35" t="inlineStr"/>
    </row>
    <row r="2717" ht="41.25" customHeight="1" s="24">
      <c r="A2717" s="13" t="n">
        <v>5000060611</v>
      </c>
      <c r="B2717" s="13" t="inlineStr">
        <is>
          <t>ОБЛАСТНОЕ ГОСУДАРСТВЕННОЕ КАЗЁННОЕ УЧРЕЖДЕНИЕ СОЦИАЛЬНОГО ОБСЛУЖИВАНИЯ "СОЦИАЛЬНО-РЕАБИЛИТАЦИОННЫЙ Ц</t>
        </is>
      </c>
      <c r="C2717" s="13" t="n">
        <v>7302017116</v>
      </c>
      <c r="D2717" s="13" t="inlineStr">
        <is>
          <t>7302017116</t>
        </is>
      </c>
      <c r="E2717" s="13" t="inlineStr">
        <is>
          <t>ЮЛ РФ</t>
        </is>
      </c>
      <c r="F2717" s="13" t="n"/>
      <c r="G2717" s="14" t="n"/>
      <c r="H2717" s="14" t="n"/>
      <c r="I2717" s="14" t="n"/>
      <c r="J2717" s="14" t="n"/>
      <c r="K2717" s="53" t="inlineStr"/>
      <c r="L2717" s="53" t="inlineStr">
        <is>
          <t>Не определено</t>
        </is>
      </c>
      <c r="M2717" s="53" t="inlineStr"/>
      <c r="N2717" s="54" t="inlineStr"/>
      <c r="O2717" s="55" t="inlineStr"/>
      <c r="P2717" s="16" t="inlineStr">
        <is>
          <t>Требует обогащения</t>
        </is>
      </c>
      <c r="Q2717" s="16">
        <f>HYPERLINK("https://pb.nalog.ru/search.html?query=7302017116","ФНС: проверить")</f>
        <v/>
      </c>
      <c r="R2717" s="16">
        <f>HYPERLINK("https://checko.ru/search?query=3801001629","Чекко: проверить")</f>
        <v/>
      </c>
      <c r="S2717" t="n">
        <v>1</v>
      </c>
      <c r="T2717" s="35" t="inlineStr">
        <is>
          <t>4 — Не обогащён</t>
        </is>
      </c>
      <c r="U2717" s="35" t="inlineStr">
        <is>
          <t>Нет ОКВЭД/ССЧР</t>
        </is>
      </c>
      <c r="V2717" s="35" t="inlineStr">
        <is>
          <t>Не определено</t>
        </is>
      </c>
      <c r="W2717" s="35" t="inlineStr"/>
      <c r="X2717" s="35" t="inlineStr"/>
    </row>
    <row r="2718" ht="41.25" customHeight="1" s="24">
      <c r="A2718" s="13" t="n">
        <v>5000060602</v>
      </c>
      <c r="B2718" s="13" t="inlineStr">
        <is>
          <t>ОБЛАСТНОЕ ГОСУДАРСТВЕННОЕ КАЗЁННОЕ УЧРЕЖДЕНИЕ ДЛЯ ДЕТЕЙ-СИРОТ И ДЕТЕЙ, ОСТАВШИХСЯ БЕЗ ПОПЕЧЕНИЯ РОДИ</t>
        </is>
      </c>
      <c r="C2718" s="13" t="n">
        <v>7303016690</v>
      </c>
      <c r="D2718" s="13" t="inlineStr">
        <is>
          <t>7303016690</t>
        </is>
      </c>
      <c r="E2718" s="13" t="inlineStr">
        <is>
          <t>ЮЛ РФ</t>
        </is>
      </c>
      <c r="F2718" s="13" t="n"/>
      <c r="G2718" s="14" t="n"/>
      <c r="H2718" s="14" t="n"/>
      <c r="I2718" s="14" t="n"/>
      <c r="J2718" s="14" t="n"/>
      <c r="K2718" s="53" t="inlineStr"/>
      <c r="L2718" s="53" t="inlineStr">
        <is>
          <t>Не определено</t>
        </is>
      </c>
      <c r="M2718" s="53" t="inlineStr"/>
      <c r="N2718" s="54" t="inlineStr"/>
      <c r="O2718" s="55" t="inlineStr"/>
      <c r="P2718" s="16" t="inlineStr">
        <is>
          <t>Требует обогащения</t>
        </is>
      </c>
      <c r="Q2718" s="16">
        <f>HYPERLINK("https://pb.nalog.ru/search.html?query=7303016690","ФНС: проверить")</f>
        <v/>
      </c>
      <c r="R2718" s="16">
        <f>HYPERLINK("https://checko.ru/search?query=3801001629","Чекко: проверить")</f>
        <v/>
      </c>
      <c r="S2718" t="n">
        <v>1</v>
      </c>
      <c r="T2718" s="35" t="inlineStr">
        <is>
          <t>4 — Не обогащён</t>
        </is>
      </c>
      <c r="U2718" s="35" t="inlineStr">
        <is>
          <t>Нет ОКВЭД/ССЧР</t>
        </is>
      </c>
      <c r="V2718" s="35" t="inlineStr">
        <is>
          <t>Не определено</t>
        </is>
      </c>
      <c r="W2718" s="35" t="inlineStr"/>
      <c r="X2718" s="35" t="inlineStr"/>
    </row>
    <row r="2719" ht="41.25" customHeight="1" s="24">
      <c r="A2719" s="13" t="n">
        <v>5000062539</v>
      </c>
      <c r="B2719" s="13" t="inlineStr">
        <is>
          <t>ОБЛАСТНОЕ ГОСУДАРСТВЕННОЕ АВТОНОМНОЕ УЧРЕЖДЕНИЕ СОЦИАЛЬНОГО ОБСЛУЖИВАНИЯ "ПСИХОНЕВРОЛОГИЧЕСКИЙ ИНТЕР</t>
        </is>
      </c>
      <c r="C2719" s="13" t="n">
        <v>7316002825</v>
      </c>
      <c r="D2719" s="13" t="inlineStr">
        <is>
          <t>7316002825</t>
        </is>
      </c>
      <c r="E2719" s="13" t="inlineStr">
        <is>
          <t>ЮЛ РФ</t>
        </is>
      </c>
      <c r="F2719" s="13" t="n"/>
      <c r="G2719" s="14" t="n"/>
      <c r="H2719" s="14" t="n"/>
      <c r="I2719" s="14" t="n"/>
      <c r="J2719" s="14" t="n"/>
      <c r="K2719" s="53" t="inlineStr"/>
      <c r="L2719" s="53" t="inlineStr">
        <is>
          <t>Не определено</t>
        </is>
      </c>
      <c r="M2719" s="53" t="inlineStr"/>
      <c r="N2719" s="54" t="inlineStr"/>
      <c r="O2719" s="55" t="inlineStr"/>
      <c r="P2719" s="16" t="inlineStr">
        <is>
          <t>Требует обогащения</t>
        </is>
      </c>
      <c r="Q2719" s="16">
        <f>HYPERLINK("https://pb.nalog.ru/search.html?query=7316002825","ФНС: проверить")</f>
        <v/>
      </c>
      <c r="R2719" s="16">
        <f>HYPERLINK("https://checko.ru/search?query=3801001629","Чекко: проверить")</f>
        <v/>
      </c>
      <c r="S2719" t="n">
        <v>1</v>
      </c>
      <c r="T2719" s="35" t="inlineStr">
        <is>
          <t>4 — Не обогащён</t>
        </is>
      </c>
      <c r="U2719" s="35" t="inlineStr">
        <is>
          <t>Нет ОКВЭД/ССЧР</t>
        </is>
      </c>
      <c r="V2719" s="35" t="inlineStr">
        <is>
          <t>Не определено</t>
        </is>
      </c>
      <c r="W2719" s="35" t="inlineStr"/>
      <c r="X2719" s="35" t="inlineStr"/>
    </row>
    <row r="2720" ht="41.25" customHeight="1" s="24">
      <c r="A2720" s="13" t="n">
        <v>5000060608</v>
      </c>
      <c r="B2720" s="13" t="inlineStr">
        <is>
          <t>ОБЛАСТНОЕ ГОСУДАРСТВЕННОЕ КАЗЁННОЕ УЧРЕЖДЕНИЕ СОЦИАЛЬНОГО ОБСЛУЖИВАНИЯ "СОЦИАЛЬНО-РЕАБИЛИТАЦИОННЫЙ Ц</t>
        </is>
      </c>
      <c r="C2720" s="13" t="n">
        <v>7328046792</v>
      </c>
      <c r="D2720" s="13" t="inlineStr">
        <is>
          <t>7328046792</t>
        </is>
      </c>
      <c r="E2720" s="13" t="inlineStr">
        <is>
          <t>ЮЛ РФ</t>
        </is>
      </c>
      <c r="F2720" s="13" t="n"/>
      <c r="G2720" s="14" t="n"/>
      <c r="H2720" s="14" t="n"/>
      <c r="I2720" s="14" t="n"/>
      <c r="J2720" s="14" t="n"/>
      <c r="K2720" s="53" t="inlineStr"/>
      <c r="L2720" s="53" t="inlineStr">
        <is>
          <t>Не определено</t>
        </is>
      </c>
      <c r="M2720" s="53" t="inlineStr"/>
      <c r="N2720" s="54" t="inlineStr"/>
      <c r="O2720" s="55" t="inlineStr"/>
      <c r="P2720" s="16" t="inlineStr">
        <is>
          <t>Требует обогащения</t>
        </is>
      </c>
      <c r="Q2720" s="16">
        <f>HYPERLINK("https://pb.nalog.ru/search.html?query=7328046792","ФНС: проверить")</f>
        <v/>
      </c>
      <c r="R2720" s="16">
        <f>HYPERLINK("https://checko.ru/search?query=3801001629","Чекко: проверить")</f>
        <v/>
      </c>
      <c r="S2720" t="n">
        <v>1</v>
      </c>
      <c r="T2720" s="35" t="inlineStr">
        <is>
          <t>4 — Не обогащён</t>
        </is>
      </c>
      <c r="U2720" s="35" t="inlineStr">
        <is>
          <t>Нет ОКВЭД/ССЧР</t>
        </is>
      </c>
      <c r="V2720" s="35" t="inlineStr">
        <is>
          <t>Не определено</t>
        </is>
      </c>
      <c r="W2720" s="35" t="inlineStr"/>
      <c r="X2720" s="35" t="inlineStr"/>
    </row>
    <row r="2721" ht="15" customHeight="1" s="24">
      <c r="A2721" s="13" t="n">
        <v>5000102990</v>
      </c>
      <c r="B2721" s="13" t="inlineStr">
        <is>
          <t>Контрольно-счетная палата города Черемхово</t>
        </is>
      </c>
      <c r="C2721" s="13" t="n">
        <v>3851998568</v>
      </c>
      <c r="D2721" s="13" t="inlineStr">
        <is>
          <t>3851998568</t>
        </is>
      </c>
      <c r="E2721" s="13" t="inlineStr">
        <is>
          <t>ЮЛ РФ</t>
        </is>
      </c>
      <c r="F2721" s="13" t="n"/>
      <c r="G2721" s="14" t="n"/>
      <c r="H2721" s="14" t="n"/>
      <c r="I2721" s="14" t="n"/>
      <c r="J2721" s="14" t="n"/>
      <c r="K2721" s="53" t="inlineStr"/>
      <c r="L2721" s="53" t="inlineStr">
        <is>
          <t>Не определено</t>
        </is>
      </c>
      <c r="M2721" s="53" t="inlineStr"/>
      <c r="N2721" s="54" t="inlineStr"/>
      <c r="O2721" s="55" t="inlineStr"/>
      <c r="P2721" s="16" t="inlineStr">
        <is>
          <t>Требует обогащения</t>
        </is>
      </c>
      <c r="Q2721" s="16">
        <f>HYPERLINK("https://pb.nalog.ru/search.html?query=3851998568","ФНС: проверить")</f>
        <v/>
      </c>
      <c r="R2721" s="16">
        <f>HYPERLINK("https://checko.ru/search?query=3801001629","Чекко: проверить")</f>
        <v/>
      </c>
      <c r="S2721" t="n">
        <v>1</v>
      </c>
      <c r="T2721" s="35" t="inlineStr">
        <is>
          <t>4 — Не обогащён</t>
        </is>
      </c>
      <c r="U2721" s="35" t="inlineStr">
        <is>
          <t>Нет ОКВЭД/ССЧР</t>
        </is>
      </c>
      <c r="V2721" s="35" t="inlineStr">
        <is>
          <t>Не определено</t>
        </is>
      </c>
      <c r="W2721" s="35" t="inlineStr"/>
      <c r="X2721" s="35" t="inlineStr"/>
    </row>
    <row r="2722" ht="41.25" customHeight="1" s="24">
      <c r="A2722" s="13" t="n">
        <v>5000069644</v>
      </c>
      <c r="B2722" s="13" t="inlineStr">
        <is>
          <t>Муниципальное бюджетное учреждение культуры Ташлинская централизованная библиотечная система</t>
        </is>
      </c>
      <c r="C2722" s="13" t="n">
        <v>5648021546</v>
      </c>
      <c r="D2722" s="13" t="inlineStr">
        <is>
          <t>5648021546</t>
        </is>
      </c>
      <c r="E2722" s="13" t="inlineStr">
        <is>
          <t>ЮЛ РФ</t>
        </is>
      </c>
      <c r="F2722" s="13" t="n"/>
      <c r="G2722" s="14" t="n"/>
      <c r="H2722" s="14" t="n"/>
      <c r="I2722" s="14" t="n"/>
      <c r="J2722" s="14" t="n"/>
      <c r="K2722" s="53" t="inlineStr"/>
      <c r="L2722" s="53" t="inlineStr">
        <is>
          <t>Не определено</t>
        </is>
      </c>
      <c r="M2722" s="53" t="inlineStr"/>
      <c r="N2722" s="54" t="inlineStr"/>
      <c r="O2722" s="55" t="inlineStr"/>
      <c r="P2722" s="16" t="inlineStr">
        <is>
          <t>Требует обогащения</t>
        </is>
      </c>
      <c r="Q2722" s="16">
        <f>HYPERLINK("https://pb.nalog.ru/search.html?query=5648021546","ФНС: проверить")</f>
        <v/>
      </c>
      <c r="R2722" s="16">
        <f>HYPERLINK("https://checko.ru/search?query=3801001629","Чекко: проверить")</f>
        <v/>
      </c>
      <c r="S2722" t="n">
        <v>1</v>
      </c>
      <c r="T2722" s="35" t="inlineStr">
        <is>
          <t>4 — Не обогащён</t>
        </is>
      </c>
      <c r="U2722" s="35" t="inlineStr">
        <is>
          <t>Нет ОКВЭД/ССЧР</t>
        </is>
      </c>
      <c r="V2722" s="35" t="inlineStr">
        <is>
          <t>Не определено</t>
        </is>
      </c>
      <c r="W2722" s="35" t="inlineStr"/>
      <c r="X2722" s="35" t="inlineStr"/>
    </row>
    <row r="2723" ht="41.25" customHeight="1" s="24">
      <c r="A2723" s="13" t="n">
        <v>5000069645</v>
      </c>
      <c r="B2723" s="13" t="inlineStr">
        <is>
          <t>Муниципальное бюджетное учреждение культуры Централизованная клубная система Ташлинского района</t>
        </is>
      </c>
      <c r="C2723" s="13" t="n">
        <v>5648021553</v>
      </c>
      <c r="D2723" s="13" t="inlineStr">
        <is>
          <t>5648021553</t>
        </is>
      </c>
      <c r="E2723" s="13" t="inlineStr">
        <is>
          <t>ЮЛ РФ</t>
        </is>
      </c>
      <c r="F2723" s="13" t="n"/>
      <c r="G2723" s="14" t="n"/>
      <c r="H2723" s="14" t="n"/>
      <c r="I2723" s="14" t="n"/>
      <c r="J2723" s="14" t="n"/>
      <c r="K2723" s="53" t="inlineStr"/>
      <c r="L2723" s="53" t="inlineStr">
        <is>
          <t>Не определено</t>
        </is>
      </c>
      <c r="M2723" s="53" t="inlineStr"/>
      <c r="N2723" s="54" t="inlineStr"/>
      <c r="O2723" s="55" t="inlineStr"/>
      <c r="P2723" s="16" t="inlineStr">
        <is>
          <t>Требует обогащения</t>
        </is>
      </c>
      <c r="Q2723" s="16">
        <f>HYPERLINK("https://pb.nalog.ru/search.html?query=5648021553","ФНС: проверить")</f>
        <v/>
      </c>
      <c r="R2723" s="16">
        <f>HYPERLINK("https://checko.ru/search?query=3801001629","Чекко: проверить")</f>
        <v/>
      </c>
      <c r="S2723" t="n">
        <v>1</v>
      </c>
      <c r="T2723" s="35" t="inlineStr">
        <is>
          <t>4 — Не обогащён</t>
        </is>
      </c>
      <c r="U2723" s="35" t="inlineStr">
        <is>
          <t>Нет ОКВЭД/ССЧР</t>
        </is>
      </c>
      <c r="V2723" s="35" t="inlineStr">
        <is>
          <t>Не определено</t>
        </is>
      </c>
      <c r="W2723" s="35" t="inlineStr"/>
      <c r="X2723" s="35" t="inlineStr"/>
    </row>
    <row r="2724" ht="15" customHeight="1" s="24">
      <c r="A2724" s="13" t="n">
        <v>5000001409</v>
      </c>
      <c r="B2724" s="13" t="inlineStr">
        <is>
          <t>Братский промышленный техникум</t>
        </is>
      </c>
      <c r="C2724" s="13" t="n">
        <v>3805717580</v>
      </c>
      <c r="D2724" s="13" t="inlineStr">
        <is>
          <t>3805717580</t>
        </is>
      </c>
      <c r="E2724" s="13" t="inlineStr">
        <is>
          <t>ЮЛ РФ</t>
        </is>
      </c>
      <c r="F2724" s="13" t="n"/>
      <c r="G2724" s="14" t="n"/>
      <c r="H2724" s="14" t="n"/>
      <c r="I2724" s="14" t="n"/>
      <c r="J2724" s="14" t="n"/>
      <c r="K2724" s="53" t="inlineStr"/>
      <c r="L2724" s="53" t="inlineStr">
        <is>
          <t>Не определено</t>
        </is>
      </c>
      <c r="M2724" s="53" t="inlineStr"/>
      <c r="N2724" s="54" t="inlineStr"/>
      <c r="O2724" s="55" t="inlineStr"/>
      <c r="P2724" s="16" t="inlineStr">
        <is>
          <t>Требует обогащения</t>
        </is>
      </c>
      <c r="Q2724" s="16">
        <f>HYPERLINK("https://pb.nalog.ru/search.html?query=3805717580","ФНС: проверить")</f>
        <v/>
      </c>
      <c r="R2724" s="16">
        <f>HYPERLINK("https://checko.ru/search?query=3801001629","Чекко: проверить")</f>
        <v/>
      </c>
      <c r="S2724" t="n">
        <v>1</v>
      </c>
      <c r="T2724" s="35" t="inlineStr">
        <is>
          <t>4 — Не обогащён</t>
        </is>
      </c>
      <c r="U2724" s="35" t="inlineStr">
        <is>
          <t>Нет ОКВЭД/ССЧР</t>
        </is>
      </c>
      <c r="V2724" s="35" t="inlineStr">
        <is>
          <t>Не определено</t>
        </is>
      </c>
      <c r="W2724" s="35" t="inlineStr"/>
      <c r="X2724" s="35" t="inlineStr"/>
    </row>
    <row r="2725" ht="27.75" customHeight="1" s="24">
      <c r="A2725" s="13" t="n">
        <v>5000094888</v>
      </c>
      <c r="B2725" s="13" t="inlineStr">
        <is>
          <t>ГКУ "Дирекция особо охраняемых природных территорий КБР"</t>
        </is>
      </c>
      <c r="C2725" s="13" t="n">
        <v>708011056</v>
      </c>
      <c r="D2725" s="13" t="n"/>
      <c r="E2725" s="13" t="inlineStr">
        <is>
          <t>Не определён</t>
        </is>
      </c>
      <c r="F2725" s="13" t="inlineStr">
        <is>
          <t>708011056</t>
        </is>
      </c>
      <c r="G2725" s="14" t="n"/>
      <c r="H2725" s="14" t="n"/>
      <c r="I2725" s="14" t="n"/>
      <c r="J2725" s="14" t="n"/>
      <c r="K2725" s="13">
        <f>IF(G2725="","",IF(G2725&gt;=22,"Да","Нет"))</f>
        <v/>
      </c>
      <c r="L2725" s="13">
        <f>IF(OR(I2725="",J2725=""),"Не определено",IF(OR(COUNTIF(I2725,"45*")&gt;0,COUNTIF(J2725,"*45*")&gt;0,COUNTIF(I2725,"46*")&gt;0,COUNTIF(J2725,"*46*")&gt;0,COUNTIF(I2725,"47*")&gt;0,COUNTIF(J2725,"*47*")&gt;0,COUNTIF(I2725,"10*")&gt;0,COUNTIF(J2725,"*10*")&gt;0,COUNTIF(I2725,"11*")&gt;0,COUNTIF(J2725,"*11*")&gt;0,COUNTIF(I2725,"12*")&gt;0,COUNTIF(J2725,"*12*")&gt;0,COUNTIF(I2725,"13*")&gt;0,COUNTIF(J2725,"*13*")&gt;0,COUNTIF(I2725,"14*")&gt;0,COUNTIF(J2725,"*14*")&gt;0,COUNTIF(I2725,"15*")&gt;0,COUNTIF(J2725,"*15*")&gt;0,COUNTIF(I2725,"16*")&gt;0,COUNTIF(J2725,"*16*")&gt;0,COUNTIF(I2725,"17*")&gt;0,COUNTIF(J2725,"*17*")&gt;0,COUNTIF(I2725,"18*")&gt;0,COUNTIF(J2725,"*18*")&gt;0,COUNTIF(I2725,"19*")&gt;0,COUNTIF(J2725,"*19*")&gt;0,COUNTIF(I2725,"20*")&gt;0,COUNTIF(J2725,"*20*")&gt;0,COUNTIF(I2725,"21*")&gt;0,COUNTIF(J2725,"*21*")&gt;0,COUNTIF(I2725,"22*")&gt;0,COUNTIF(J2725,"*22*")&gt;0,COUNTIF(I2725,"23*")&gt;0,COUNTIF(J2725,"*23*")&gt;0,COUNTIF(I2725,"24*")&gt;0,COUNTIF(J2725,"*24*")&gt;0,COUNTIF(I2725,"25*")&gt;0,COUNTIF(J2725,"*25*")&gt;0,COUNTIF(I2725,"26*")&gt;0,COUNTIF(J2725,"*26*")&gt;0,COUNTIF(I2725,"27*")&gt;0,COUNTIF(J2725,"*27*")&gt;0,COUNTIF(I2725,"28*")&gt;0,COUNTIF(J2725,"*28*")&gt;0,COUNTIF(I2725,"29*")&gt;0,COUNTIF(J2725,"*29*")&gt;0,COUNTIF(I2725,"30*")&gt;0,COUNTIF(J2725,"*30*")&gt;0,COUNTIF(I2725,"31*")&gt;0,COUNTIF(J2725,"*31*")&gt;0,COUNTIF(I2725,"32*")&gt;0,COUNTIF(J2725,"*32*")&gt;0,COUNTIF(I2725,"33*")&gt;0,COUNTIF(J2725,"*33*")&gt;0,COUNTIF(I2725,"41*")&gt;0,COUNTIF(J2725,"*41*")&gt;0,COUNTIF(I2725,"42*")&gt;0,COUNTIF(J2725,"*42*")&gt;0,COUNTIF(I2725,"43*")&gt;0,COUNTIF(J2725,"*43*")&gt;0,COUNTIF(I2725,"49*")&gt;0,COUNTIF(J2725,"*49*")&gt;0,COUNTIF(I2725,"52*")&gt;0,COUNTIF(J2725,"*52*")&gt;0,COUNTIF(I2725,"55*")&gt;0,COUNTIF(J2725,"*55*")&gt;0,COUNTIF(I2725,"56*")&gt;0,COUNTIF(J2725,"*56*")&gt;0,COUNTIF(I2725,"68*")&gt;0,COUNTIF(J2725,"*68*")&gt;0,COUNTIF(I2725,"78*")&gt;0,COUNTIF(J2725,"*78*")&gt;0,COUNTIF(I2725,"81*")&gt;0,COUNTIF(J2725,"*81*")&gt;0,COUNTIF(I2725,"82*")&gt;0,COUNTIF(J2725,"*82*")&gt;0,COUNTIF(I2725,"64*")&gt;0,COUNTIF(J2725,"*64*")&gt;0,COUNTIF(I2725,"65*")&gt;0,COUNTIF(J2725,"*65*")&gt;0,COUNTIF(I2725,"66*")&gt;0,COUNTIF(J2725,"*66*")&gt;0,COUNTIF(I2725,"61*")&gt;0,COUNTIF(J2725,"*61*")&gt;0,COUNTIF(I2725,"62*")&gt;0,COUNTIF(J2725,"*62*")&gt;0,COUNTIF(I2725,"63*")&gt;0,COUNTIF(J2725,"*63*")&gt;0,COUNTIF(I2725,"85*")&gt;0,COUNTIF(J2725,"*85*")&gt;0,COUNTIF(I2725,"86*")&gt;0,COUNTIF(J2725,"*86*")&gt;0),"Да","Нет"))</f>
        <v/>
      </c>
      <c r="M2725" s="13">
        <f>IF(OR(G2725="",L2725&lt;&gt;"Да"),"",IF(G2725&lt;=100,"До 100",IF(G2725&lt;=200,"До 200",IF(G2725&lt;=500,"До 500","Отдельное КП"))))</f>
        <v/>
      </c>
      <c r="N2725" s="15">
        <f>IF(OR(G2725="",L2725&lt;&gt;"Да"),"",IF(G2725&lt;=100,33600,IF(G2725&lt;=200,62400,IF(G2725&lt;=500,144000,""))))</f>
        <v/>
      </c>
      <c r="O2725" s="16">
        <f>IF(G2725="","",IF(G2725&lt;=15,"1–15",IF(G2725&lt;=30,"16–30",IF(G2725&lt;=50,"31–50",IF(G2725&lt;=100,"51–100",IF(G2725&lt;=150,"101–150",IF(G2725&lt;=200,"151–200",IF(G2725&lt;=500,"201–500","500+"))))))))</f>
        <v/>
      </c>
      <c r="P2725" s="16" t="inlineStr">
        <is>
          <t>Нет совпадения в предоставленной выгрузке ССЧР</t>
        </is>
      </c>
      <c r="Q2725" s="16" t="n"/>
      <c r="R2725" s="16">
        <f>HYPERLINK("https://checko.ru/search?query=3801001629","Чекко: проверить")</f>
        <v/>
      </c>
      <c r="S2725" t="n">
        <v>0</v>
      </c>
    </row>
    <row r="2726" ht="15" customHeight="1" s="24">
      <c r="A2726" s="13" t="n">
        <v>5000034717</v>
      </c>
      <c r="B2726" s="13" t="inlineStr">
        <is>
          <t>МБУК КТ КСК "НАЗАРЬЕВСКИЙ "</t>
        </is>
      </c>
      <c r="C2726" s="13" t="n">
        <v>5032125210</v>
      </c>
      <c r="D2726" s="13" t="inlineStr">
        <is>
          <t>5032125210</t>
        </is>
      </c>
      <c r="E2726" s="13" t="inlineStr">
        <is>
          <t>ЮЛ РФ</t>
        </is>
      </c>
      <c r="F2726" s="13" t="n"/>
      <c r="G2726" s="14" t="n"/>
      <c r="H2726" s="14" t="n"/>
      <c r="I2726" s="14" t="n"/>
      <c r="J2726" s="14" t="n"/>
      <c r="K2726" s="53" t="inlineStr"/>
      <c r="L2726" s="53" t="inlineStr">
        <is>
          <t>Не определено</t>
        </is>
      </c>
      <c r="M2726" s="53" t="inlineStr"/>
      <c r="N2726" s="54" t="inlineStr"/>
      <c r="O2726" s="55" t="inlineStr"/>
      <c r="P2726" s="16" t="inlineStr">
        <is>
          <t>Требует обогащения</t>
        </is>
      </c>
      <c r="Q2726" s="16">
        <f>HYPERLINK("https://pb.nalog.ru/search.html?query=5032125210","ФНС: проверить")</f>
        <v/>
      </c>
      <c r="R2726" s="16">
        <f>HYPERLINK("https://checko.ru/search?query=3801001629","Чекко: проверить")</f>
        <v/>
      </c>
      <c r="S2726" t="n">
        <v>1</v>
      </c>
      <c r="T2726" s="35" t="inlineStr">
        <is>
          <t>4 — Не обогащён</t>
        </is>
      </c>
      <c r="U2726" s="35" t="inlineStr">
        <is>
          <t>Нет ОКВЭД/ССЧР</t>
        </is>
      </c>
      <c r="V2726" s="35" t="inlineStr">
        <is>
          <t>Не определено</t>
        </is>
      </c>
      <c r="W2726" s="35" t="inlineStr"/>
      <c r="X2726" s="35" t="inlineStr"/>
    </row>
    <row r="2727" ht="15" customHeight="1" s="24">
      <c r="A2727" s="13" t="n">
        <v>5000118279</v>
      </c>
      <c r="B2727" s="13" t="inlineStr">
        <is>
          <t>КСП ОГО МО</t>
        </is>
      </c>
      <c r="C2727" s="13" t="n">
        <v>5032170808</v>
      </c>
      <c r="D2727" s="13" t="inlineStr">
        <is>
          <t>5032170808</t>
        </is>
      </c>
      <c r="E2727" s="13" t="inlineStr">
        <is>
          <t>ЮЛ РФ</t>
        </is>
      </c>
      <c r="F2727" s="13" t="n"/>
      <c r="G2727" s="14" t="n"/>
      <c r="H2727" s="14" t="n"/>
      <c r="I2727" s="14" t="n"/>
      <c r="J2727" s="14" t="n"/>
      <c r="K2727" s="53" t="inlineStr"/>
      <c r="L2727" s="53" t="inlineStr">
        <is>
          <t>Не определено</t>
        </is>
      </c>
      <c r="M2727" s="53" t="inlineStr"/>
      <c r="N2727" s="54" t="inlineStr"/>
      <c r="O2727" s="55" t="inlineStr"/>
      <c r="P2727" s="16" t="inlineStr">
        <is>
          <t>Требует обогащения</t>
        </is>
      </c>
      <c r="Q2727" s="16">
        <f>HYPERLINK("https://pb.nalog.ru/search.html?query=5032170808","ФНС: проверить")</f>
        <v/>
      </c>
      <c r="R2727" s="16">
        <f>HYPERLINK("https://checko.ru/search?query=3801001629","Чекко: проверить")</f>
        <v/>
      </c>
      <c r="S2727" t="n">
        <v>1</v>
      </c>
      <c r="T2727" s="35" t="inlineStr">
        <is>
          <t>4 — Не обогащён</t>
        </is>
      </c>
      <c r="U2727" s="35" t="inlineStr">
        <is>
          <t>Нет ОКВЭД/ССЧР</t>
        </is>
      </c>
      <c r="V2727" s="35" t="inlineStr">
        <is>
          <t>Не определено</t>
        </is>
      </c>
      <c r="W2727" s="35" t="inlineStr"/>
      <c r="X2727" s="35" t="inlineStr"/>
    </row>
    <row r="2728" ht="27.75" customHeight="1" s="24">
      <c r="A2728" s="13" t="n">
        <v>5000118280</v>
      </c>
      <c r="B2728" s="13" t="inlineStr">
        <is>
          <t>СОВЕТ ДЕПУТАТОВ ОДИНЦОВСКОГО ГОРОДСКОГО ОКРУГА</t>
        </is>
      </c>
      <c r="C2728" s="13" t="n">
        <v>5032308206</v>
      </c>
      <c r="D2728" s="13" t="inlineStr">
        <is>
          <t>5032308206</t>
        </is>
      </c>
      <c r="E2728" s="13" t="inlineStr">
        <is>
          <t>ЮЛ РФ</t>
        </is>
      </c>
      <c r="F2728" s="13" t="n"/>
      <c r="G2728" s="14" t="n"/>
      <c r="H2728" s="14" t="n"/>
      <c r="I2728" s="14" t="n"/>
      <c r="J2728" s="14" t="n"/>
      <c r="K2728" s="53" t="inlineStr"/>
      <c r="L2728" s="53" t="inlineStr">
        <is>
          <t>Не определено</t>
        </is>
      </c>
      <c r="M2728" s="53" t="inlineStr"/>
      <c r="N2728" s="54" t="inlineStr"/>
      <c r="O2728" s="55" t="inlineStr"/>
      <c r="P2728" s="16" t="inlineStr">
        <is>
          <t>Требует обогащения</t>
        </is>
      </c>
      <c r="Q2728" s="16">
        <f>HYPERLINK("https://pb.nalog.ru/search.html?query=5032308206","ФНС: проверить")</f>
        <v/>
      </c>
      <c r="R2728" s="16">
        <f>HYPERLINK("https://checko.ru/search?query=3801001629","Чекко: проверить")</f>
        <v/>
      </c>
      <c r="S2728" t="n">
        <v>1</v>
      </c>
      <c r="T2728" s="35" t="inlineStr">
        <is>
          <t>4 — Не обогащён</t>
        </is>
      </c>
      <c r="U2728" s="35" t="inlineStr">
        <is>
          <t>Нет ОКВЭД/ССЧР</t>
        </is>
      </c>
      <c r="V2728" s="35" t="inlineStr">
        <is>
          <t>Не определено</t>
        </is>
      </c>
      <c r="W2728" s="35" t="inlineStr"/>
      <c r="X2728" s="35" t="inlineStr"/>
    </row>
    <row r="2729" ht="54.75" customHeight="1" s="24">
      <c r="A2729" s="13" t="n">
        <v>5000118897</v>
      </c>
      <c r="B2729" s="13" t="inlineStr">
        <is>
          <t>Муниципальное автономное учреждение Культуры Одинцовского Городского Округа Московской Области Культурно-Досуговый Центр "Звени Город"</t>
        </is>
      </c>
      <c r="C2729" s="13" t="n">
        <v>5032394773</v>
      </c>
      <c r="D2729" s="13" t="inlineStr">
        <is>
          <t>5032394773</t>
        </is>
      </c>
      <c r="E2729" s="13" t="inlineStr">
        <is>
          <t>ЮЛ РФ</t>
        </is>
      </c>
      <c r="F2729" s="13" t="n"/>
      <c r="G2729" s="14" t="n"/>
      <c r="H2729" s="14" t="n"/>
      <c r="I2729" s="14" t="n"/>
      <c r="J2729" s="14" t="n"/>
      <c r="K2729" s="53" t="inlineStr"/>
      <c r="L2729" s="53" t="inlineStr">
        <is>
          <t>Не определено</t>
        </is>
      </c>
      <c r="M2729" s="53" t="inlineStr"/>
      <c r="N2729" s="54" t="inlineStr"/>
      <c r="O2729" s="55" t="inlineStr"/>
      <c r="P2729" s="16" t="inlineStr">
        <is>
          <t>Требует обогащения</t>
        </is>
      </c>
      <c r="Q2729" s="16">
        <f>HYPERLINK("https://pb.nalog.ru/search.html?query=5032394773","ФНС: проверить")</f>
        <v/>
      </c>
      <c r="R2729" s="16">
        <f>HYPERLINK("https://checko.ru/search?query=3801001629","Чекко: проверить")</f>
        <v/>
      </c>
      <c r="S2729" t="n">
        <v>1</v>
      </c>
      <c r="T2729" s="35" t="inlineStr">
        <is>
          <t>4 — Не обогащён</t>
        </is>
      </c>
      <c r="U2729" s="35" t="inlineStr">
        <is>
          <t>Нет ОКВЭД/ССЧР</t>
        </is>
      </c>
      <c r="V2729" s="35" t="inlineStr">
        <is>
          <t>Не определено</t>
        </is>
      </c>
      <c r="W2729" s="35" t="inlineStr"/>
      <c r="X2729" s="35" t="inlineStr"/>
    </row>
    <row r="2730" ht="15" customHeight="1" s="24">
      <c r="A2730" s="13" t="n">
        <v>5000118031</v>
      </c>
      <c r="B2730" s="13" t="inlineStr">
        <is>
          <t>МБУ "ПРИЮТ ДЛЯ БЕЗДОМНЫХ ЖИВОТНЫХ"</t>
        </is>
      </c>
      <c r="C2730" s="13" t="n">
        <v>5032393346</v>
      </c>
      <c r="D2730" s="13" t="inlineStr">
        <is>
          <t>5032393346</t>
        </is>
      </c>
      <c r="E2730" s="13" t="inlineStr">
        <is>
          <t>ЮЛ РФ</t>
        </is>
      </c>
      <c r="F2730" s="13" t="n"/>
      <c r="G2730" s="14" t="n"/>
      <c r="H2730" s="14" t="n"/>
      <c r="I2730" s="14" t="n"/>
      <c r="J2730" s="14" t="n"/>
      <c r="K2730" s="53" t="inlineStr"/>
      <c r="L2730" s="53" t="inlineStr">
        <is>
          <t>Не определено</t>
        </is>
      </c>
      <c r="M2730" s="53" t="inlineStr"/>
      <c r="N2730" s="54" t="inlineStr"/>
      <c r="O2730" s="55" t="inlineStr"/>
      <c r="P2730" s="16" t="inlineStr">
        <is>
          <t>Требует обогащения</t>
        </is>
      </c>
      <c r="Q2730" s="16">
        <f>HYPERLINK("https://pb.nalog.ru/search.html?query=5032393346","ФНС: проверить")</f>
        <v/>
      </c>
      <c r="R2730" s="16">
        <f>HYPERLINK("https://checko.ru/search?query=3801001629","Чекко: проверить")</f>
        <v/>
      </c>
      <c r="S2730" t="n">
        <v>1</v>
      </c>
      <c r="T2730" s="35" t="inlineStr">
        <is>
          <t>4 — Не обогащён</t>
        </is>
      </c>
      <c r="U2730" s="35" t="inlineStr">
        <is>
          <t>Нет ОКВЭД/ССЧР</t>
        </is>
      </c>
      <c r="V2730" s="35" t="inlineStr">
        <is>
          <t>Не определено</t>
        </is>
      </c>
      <c r="W2730" s="35" t="inlineStr"/>
      <c r="X2730" s="35" t="inlineStr"/>
    </row>
    <row r="2731" ht="54.75" customHeight="1" s="24">
      <c r="A2731" s="13" t="n">
        <v>5000117649</v>
      </c>
      <c r="B2731" s="13" t="inlineStr">
        <is>
          <t>Государственное автономное учреждение Дополнительного Образования Оренбургской Области "Спортивная Школа-Интернат Для Одаренных Детей № 7 "Академия На</t>
        </is>
      </c>
      <c r="C2731" s="13" t="n">
        <v>5610257574</v>
      </c>
      <c r="D2731" s="13" t="inlineStr">
        <is>
          <t>5610257574</t>
        </is>
      </c>
      <c r="E2731" s="13" t="inlineStr">
        <is>
          <t>ЮЛ РФ</t>
        </is>
      </c>
      <c r="F2731" s="13" t="n"/>
      <c r="G2731" s="14" t="n"/>
      <c r="H2731" s="14" t="n"/>
      <c r="I2731" s="14" t="n"/>
      <c r="J2731" s="14" t="n"/>
      <c r="K2731" s="53" t="inlineStr"/>
      <c r="L2731" s="53" t="inlineStr">
        <is>
          <t>Не определено</t>
        </is>
      </c>
      <c r="M2731" s="53" t="inlineStr"/>
      <c r="N2731" s="54" t="inlineStr"/>
      <c r="O2731" s="55" t="inlineStr"/>
      <c r="P2731" s="16" t="inlineStr">
        <is>
          <t>Требует обогащения</t>
        </is>
      </c>
      <c r="Q2731" s="16">
        <f>HYPERLINK("https://pb.nalog.ru/search.html?query=5610257574","ФНС: проверить")</f>
        <v/>
      </c>
      <c r="R2731" s="16">
        <f>HYPERLINK("https://checko.ru/search?query=3801001629","Чекко: проверить")</f>
        <v/>
      </c>
      <c r="S2731" t="n">
        <v>1</v>
      </c>
      <c r="T2731" s="35" t="inlineStr">
        <is>
          <t>4 — Не обогащён</t>
        </is>
      </c>
      <c r="U2731" s="35" t="inlineStr">
        <is>
          <t>Нет ОКВЭД/ССЧР</t>
        </is>
      </c>
      <c r="V2731" s="35" t="inlineStr">
        <is>
          <t>Не определено</t>
        </is>
      </c>
      <c r="W2731" s="35" t="inlineStr"/>
      <c r="X2731" s="35" t="inlineStr"/>
    </row>
    <row r="2732" ht="15" customHeight="1" s="24">
      <c r="A2732" s="13" t="n">
        <v>5000094391</v>
      </c>
      <c r="B2732" s="13" t="inlineStr">
        <is>
          <t>МОУ СОШ №4 с.п. Исламей</t>
        </is>
      </c>
      <c r="C2732" s="13" t="n">
        <v>701000471</v>
      </c>
      <c r="D2732" s="13" t="n"/>
      <c r="E2732" s="13" t="inlineStr">
        <is>
          <t>Не определён</t>
        </is>
      </c>
      <c r="F2732" s="13" t="inlineStr">
        <is>
          <t>701000471</t>
        </is>
      </c>
      <c r="G2732" s="14" t="n"/>
      <c r="H2732" s="14" t="n"/>
      <c r="I2732" s="14" t="n"/>
      <c r="J2732" s="14" t="n"/>
      <c r="K2732" s="13">
        <f>IF(G2732="","",IF(G2732&gt;=22,"Да","Нет"))</f>
        <v/>
      </c>
      <c r="L2732" s="13">
        <f>IF(OR(I2732="",J2732=""),"Не определено",IF(OR(COUNTIF(I2732,"45*")&gt;0,COUNTIF(J2732,"*45*")&gt;0,COUNTIF(I2732,"46*")&gt;0,COUNTIF(J2732,"*46*")&gt;0,COUNTIF(I2732,"47*")&gt;0,COUNTIF(J2732,"*47*")&gt;0,COUNTIF(I2732,"10*")&gt;0,COUNTIF(J2732,"*10*")&gt;0,COUNTIF(I2732,"11*")&gt;0,COUNTIF(J2732,"*11*")&gt;0,COUNTIF(I2732,"12*")&gt;0,COUNTIF(J2732,"*12*")&gt;0,COUNTIF(I2732,"13*")&gt;0,COUNTIF(J2732,"*13*")&gt;0,COUNTIF(I2732,"14*")&gt;0,COUNTIF(J2732,"*14*")&gt;0,COUNTIF(I2732,"15*")&gt;0,COUNTIF(J2732,"*15*")&gt;0,COUNTIF(I2732,"16*")&gt;0,COUNTIF(J2732,"*16*")&gt;0,COUNTIF(I2732,"17*")&gt;0,COUNTIF(J2732,"*17*")&gt;0,COUNTIF(I2732,"18*")&gt;0,COUNTIF(J2732,"*18*")&gt;0,COUNTIF(I2732,"19*")&gt;0,COUNTIF(J2732,"*19*")&gt;0,COUNTIF(I2732,"20*")&gt;0,COUNTIF(J2732,"*20*")&gt;0,COUNTIF(I2732,"21*")&gt;0,COUNTIF(J2732,"*21*")&gt;0,COUNTIF(I2732,"22*")&gt;0,COUNTIF(J2732,"*22*")&gt;0,COUNTIF(I2732,"23*")&gt;0,COUNTIF(J2732,"*23*")&gt;0,COUNTIF(I2732,"24*")&gt;0,COUNTIF(J2732,"*24*")&gt;0,COUNTIF(I2732,"25*")&gt;0,COUNTIF(J2732,"*25*")&gt;0,COUNTIF(I2732,"26*")&gt;0,COUNTIF(J2732,"*26*")&gt;0,COUNTIF(I2732,"27*")&gt;0,COUNTIF(J2732,"*27*")&gt;0,COUNTIF(I2732,"28*")&gt;0,COUNTIF(J2732,"*28*")&gt;0,COUNTIF(I2732,"29*")&gt;0,COUNTIF(J2732,"*29*")&gt;0,COUNTIF(I2732,"30*")&gt;0,COUNTIF(J2732,"*30*")&gt;0,COUNTIF(I2732,"31*")&gt;0,COUNTIF(J2732,"*31*")&gt;0,COUNTIF(I2732,"32*")&gt;0,COUNTIF(J2732,"*32*")&gt;0,COUNTIF(I2732,"33*")&gt;0,COUNTIF(J2732,"*33*")&gt;0,COUNTIF(I2732,"41*")&gt;0,COUNTIF(J2732,"*41*")&gt;0,COUNTIF(I2732,"42*")&gt;0,COUNTIF(J2732,"*42*")&gt;0,COUNTIF(I2732,"43*")&gt;0,COUNTIF(J2732,"*43*")&gt;0,COUNTIF(I2732,"49*")&gt;0,COUNTIF(J2732,"*49*")&gt;0,COUNTIF(I2732,"52*")&gt;0,COUNTIF(J2732,"*52*")&gt;0,COUNTIF(I2732,"55*")&gt;0,COUNTIF(J2732,"*55*")&gt;0,COUNTIF(I2732,"56*")&gt;0,COUNTIF(J2732,"*56*")&gt;0,COUNTIF(I2732,"68*")&gt;0,COUNTIF(J2732,"*68*")&gt;0,COUNTIF(I2732,"78*")&gt;0,COUNTIF(J2732,"*78*")&gt;0,COUNTIF(I2732,"81*")&gt;0,COUNTIF(J2732,"*81*")&gt;0,COUNTIF(I2732,"82*")&gt;0,COUNTIF(J2732,"*82*")&gt;0,COUNTIF(I2732,"64*")&gt;0,COUNTIF(J2732,"*64*")&gt;0,COUNTIF(I2732,"65*")&gt;0,COUNTIF(J2732,"*65*")&gt;0,COUNTIF(I2732,"66*")&gt;0,COUNTIF(J2732,"*66*")&gt;0,COUNTIF(I2732,"61*")&gt;0,COUNTIF(J2732,"*61*")&gt;0,COUNTIF(I2732,"62*")&gt;0,COUNTIF(J2732,"*62*")&gt;0,COUNTIF(I2732,"63*")&gt;0,COUNTIF(J2732,"*63*")&gt;0,COUNTIF(I2732,"85*")&gt;0,COUNTIF(J2732,"*85*")&gt;0,COUNTIF(I2732,"86*")&gt;0,COUNTIF(J2732,"*86*")&gt;0),"Да","Нет"))</f>
        <v/>
      </c>
      <c r="M2732" s="13">
        <f>IF(OR(G2732="",L2732&lt;&gt;"Да"),"",IF(G2732&lt;=100,"До 100",IF(G2732&lt;=200,"До 200",IF(G2732&lt;=500,"До 500","Отдельное КП"))))</f>
        <v/>
      </c>
      <c r="N2732" s="15">
        <f>IF(OR(G2732="",L2732&lt;&gt;"Да"),"",IF(G2732&lt;=100,33600,IF(G2732&lt;=200,62400,IF(G2732&lt;=500,144000,""))))</f>
        <v/>
      </c>
      <c r="O2732" s="16">
        <f>IF(G2732="","",IF(G2732&lt;=15,"1–15",IF(G2732&lt;=30,"16–30",IF(G2732&lt;=50,"31–50",IF(G2732&lt;=100,"51–100",IF(G2732&lt;=150,"101–150",IF(G2732&lt;=200,"151–200",IF(G2732&lt;=500,"201–500","500+"))))))))</f>
        <v/>
      </c>
      <c r="P2732" s="16" t="inlineStr">
        <is>
          <t>Нет совпадения в предоставленной выгрузке ССЧР</t>
        </is>
      </c>
      <c r="Q2732" s="16" t="n"/>
      <c r="R2732" s="16">
        <f>HYPERLINK("https://checko.ru/search?query=3801001629","Чекко: проверить")</f>
        <v/>
      </c>
      <c r="S2732" t="n">
        <v>0</v>
      </c>
    </row>
    <row r="2733" ht="15" customHeight="1" s="24">
      <c r="A2733" s="13" t="n">
        <v>5000094395</v>
      </c>
      <c r="B2733" s="13" t="inlineStr">
        <is>
          <t>МУ "УФБР"</t>
        </is>
      </c>
      <c r="C2733" s="13" t="n">
        <v>701004170</v>
      </c>
      <c r="D2733" s="13" t="n"/>
      <c r="E2733" s="13" t="inlineStr">
        <is>
          <t>Не определён</t>
        </is>
      </c>
      <c r="F2733" s="13" t="inlineStr">
        <is>
          <t>701004170</t>
        </is>
      </c>
      <c r="G2733" s="14" t="n"/>
      <c r="H2733" s="14" t="n"/>
      <c r="I2733" s="14" t="n"/>
      <c r="J2733" s="14" t="n"/>
      <c r="K2733" s="13">
        <f>IF(G2733="","",IF(G2733&gt;=22,"Да","Нет"))</f>
        <v/>
      </c>
      <c r="L2733" s="13">
        <f>IF(OR(I2733="",J2733=""),"Не определено",IF(OR(COUNTIF(I2733,"45*")&gt;0,COUNTIF(J2733,"*45*")&gt;0,COUNTIF(I2733,"46*")&gt;0,COUNTIF(J2733,"*46*")&gt;0,COUNTIF(I2733,"47*")&gt;0,COUNTIF(J2733,"*47*")&gt;0,COUNTIF(I2733,"10*")&gt;0,COUNTIF(J2733,"*10*")&gt;0,COUNTIF(I2733,"11*")&gt;0,COUNTIF(J2733,"*11*")&gt;0,COUNTIF(I2733,"12*")&gt;0,COUNTIF(J2733,"*12*")&gt;0,COUNTIF(I2733,"13*")&gt;0,COUNTIF(J2733,"*13*")&gt;0,COUNTIF(I2733,"14*")&gt;0,COUNTIF(J2733,"*14*")&gt;0,COUNTIF(I2733,"15*")&gt;0,COUNTIF(J2733,"*15*")&gt;0,COUNTIF(I2733,"16*")&gt;0,COUNTIF(J2733,"*16*")&gt;0,COUNTIF(I2733,"17*")&gt;0,COUNTIF(J2733,"*17*")&gt;0,COUNTIF(I2733,"18*")&gt;0,COUNTIF(J2733,"*18*")&gt;0,COUNTIF(I2733,"19*")&gt;0,COUNTIF(J2733,"*19*")&gt;0,COUNTIF(I2733,"20*")&gt;0,COUNTIF(J2733,"*20*")&gt;0,COUNTIF(I2733,"21*")&gt;0,COUNTIF(J2733,"*21*")&gt;0,COUNTIF(I2733,"22*")&gt;0,COUNTIF(J2733,"*22*")&gt;0,COUNTIF(I2733,"23*")&gt;0,COUNTIF(J2733,"*23*")&gt;0,COUNTIF(I2733,"24*")&gt;0,COUNTIF(J2733,"*24*")&gt;0,COUNTIF(I2733,"25*")&gt;0,COUNTIF(J2733,"*25*")&gt;0,COUNTIF(I2733,"26*")&gt;0,COUNTIF(J2733,"*26*")&gt;0,COUNTIF(I2733,"27*")&gt;0,COUNTIF(J2733,"*27*")&gt;0,COUNTIF(I2733,"28*")&gt;0,COUNTIF(J2733,"*28*")&gt;0,COUNTIF(I2733,"29*")&gt;0,COUNTIF(J2733,"*29*")&gt;0,COUNTIF(I2733,"30*")&gt;0,COUNTIF(J2733,"*30*")&gt;0,COUNTIF(I2733,"31*")&gt;0,COUNTIF(J2733,"*31*")&gt;0,COUNTIF(I2733,"32*")&gt;0,COUNTIF(J2733,"*32*")&gt;0,COUNTIF(I2733,"33*")&gt;0,COUNTIF(J2733,"*33*")&gt;0,COUNTIF(I2733,"41*")&gt;0,COUNTIF(J2733,"*41*")&gt;0,COUNTIF(I2733,"42*")&gt;0,COUNTIF(J2733,"*42*")&gt;0,COUNTIF(I2733,"43*")&gt;0,COUNTIF(J2733,"*43*")&gt;0,COUNTIF(I2733,"49*")&gt;0,COUNTIF(J2733,"*49*")&gt;0,COUNTIF(I2733,"52*")&gt;0,COUNTIF(J2733,"*52*")&gt;0,COUNTIF(I2733,"55*")&gt;0,COUNTIF(J2733,"*55*")&gt;0,COUNTIF(I2733,"56*")&gt;0,COUNTIF(J2733,"*56*")&gt;0,COUNTIF(I2733,"68*")&gt;0,COUNTIF(J2733,"*68*")&gt;0,COUNTIF(I2733,"78*")&gt;0,COUNTIF(J2733,"*78*")&gt;0,COUNTIF(I2733,"81*")&gt;0,COUNTIF(J2733,"*81*")&gt;0,COUNTIF(I2733,"82*")&gt;0,COUNTIF(J2733,"*82*")&gt;0,COUNTIF(I2733,"64*")&gt;0,COUNTIF(J2733,"*64*")&gt;0,COUNTIF(I2733,"65*")&gt;0,COUNTIF(J2733,"*65*")&gt;0,COUNTIF(I2733,"66*")&gt;0,COUNTIF(J2733,"*66*")&gt;0,COUNTIF(I2733,"61*")&gt;0,COUNTIF(J2733,"*61*")&gt;0,COUNTIF(I2733,"62*")&gt;0,COUNTIF(J2733,"*62*")&gt;0,COUNTIF(I2733,"63*")&gt;0,COUNTIF(J2733,"*63*")&gt;0,COUNTIF(I2733,"85*")&gt;0,COUNTIF(J2733,"*85*")&gt;0,COUNTIF(I2733,"86*")&gt;0,COUNTIF(J2733,"*86*")&gt;0),"Да","Нет"))</f>
        <v/>
      </c>
      <c r="M2733" s="13">
        <f>IF(OR(G2733="",L2733&lt;&gt;"Да"),"",IF(G2733&lt;=100,"До 100",IF(G2733&lt;=200,"До 200",IF(G2733&lt;=500,"До 500","Отдельное КП"))))</f>
        <v/>
      </c>
      <c r="N2733" s="15">
        <f>IF(OR(G2733="",L2733&lt;&gt;"Да"),"",IF(G2733&lt;=100,33600,IF(G2733&lt;=200,62400,IF(G2733&lt;=500,144000,""))))</f>
        <v/>
      </c>
      <c r="O2733" s="16">
        <f>IF(G2733="","",IF(G2733&lt;=15,"1–15",IF(G2733&lt;=30,"16–30",IF(G2733&lt;=50,"31–50",IF(G2733&lt;=100,"51–100",IF(G2733&lt;=150,"101–150",IF(G2733&lt;=200,"151–200",IF(G2733&lt;=500,"201–500","500+"))))))))</f>
        <v/>
      </c>
      <c r="P2733" s="16" t="inlineStr">
        <is>
          <t>Нет совпадения в предоставленной выгрузке ССЧР</t>
        </is>
      </c>
      <c r="Q2733" s="16" t="n"/>
      <c r="R2733" s="16">
        <f>HYPERLINK("https://checko.ru/search?query=3801001629","Чекко: проверить")</f>
        <v/>
      </c>
      <c r="S2733" t="n">
        <v>0</v>
      </c>
    </row>
    <row r="2734" ht="15" customHeight="1" s="24">
      <c r="A2734" s="13" t="n">
        <v>5000094396</v>
      </c>
      <c r="B2734" s="13" t="inlineStr">
        <is>
          <t>МКОУ "Прогимназия №3 г.Баксана"</t>
        </is>
      </c>
      <c r="C2734" s="13" t="n">
        <v>701004187</v>
      </c>
      <c r="D2734" s="13" t="n"/>
      <c r="E2734" s="13" t="inlineStr">
        <is>
          <t>Не определён</t>
        </is>
      </c>
      <c r="F2734" s="13" t="inlineStr">
        <is>
          <t>701004187</t>
        </is>
      </c>
      <c r="G2734" s="14" t="n"/>
      <c r="H2734" s="14" t="n"/>
      <c r="I2734" s="14" t="n"/>
      <c r="J2734" s="14" t="n"/>
      <c r="K2734" s="13">
        <f>IF(G2734="","",IF(G2734&gt;=22,"Да","Нет"))</f>
        <v/>
      </c>
      <c r="L2734" s="13">
        <f>IF(OR(I2734="",J2734=""),"Не определено",IF(OR(COUNTIF(I2734,"45*")&gt;0,COUNTIF(J2734,"*45*")&gt;0,COUNTIF(I2734,"46*")&gt;0,COUNTIF(J2734,"*46*")&gt;0,COUNTIF(I2734,"47*")&gt;0,COUNTIF(J2734,"*47*")&gt;0,COUNTIF(I2734,"10*")&gt;0,COUNTIF(J2734,"*10*")&gt;0,COUNTIF(I2734,"11*")&gt;0,COUNTIF(J2734,"*11*")&gt;0,COUNTIF(I2734,"12*")&gt;0,COUNTIF(J2734,"*12*")&gt;0,COUNTIF(I2734,"13*")&gt;0,COUNTIF(J2734,"*13*")&gt;0,COUNTIF(I2734,"14*")&gt;0,COUNTIF(J2734,"*14*")&gt;0,COUNTIF(I2734,"15*")&gt;0,COUNTIF(J2734,"*15*")&gt;0,COUNTIF(I2734,"16*")&gt;0,COUNTIF(J2734,"*16*")&gt;0,COUNTIF(I2734,"17*")&gt;0,COUNTIF(J2734,"*17*")&gt;0,COUNTIF(I2734,"18*")&gt;0,COUNTIF(J2734,"*18*")&gt;0,COUNTIF(I2734,"19*")&gt;0,COUNTIF(J2734,"*19*")&gt;0,COUNTIF(I2734,"20*")&gt;0,COUNTIF(J2734,"*20*")&gt;0,COUNTIF(I2734,"21*")&gt;0,COUNTIF(J2734,"*21*")&gt;0,COUNTIF(I2734,"22*")&gt;0,COUNTIF(J2734,"*22*")&gt;0,COUNTIF(I2734,"23*")&gt;0,COUNTIF(J2734,"*23*")&gt;0,COUNTIF(I2734,"24*")&gt;0,COUNTIF(J2734,"*24*")&gt;0,COUNTIF(I2734,"25*")&gt;0,COUNTIF(J2734,"*25*")&gt;0,COUNTIF(I2734,"26*")&gt;0,COUNTIF(J2734,"*26*")&gt;0,COUNTIF(I2734,"27*")&gt;0,COUNTIF(J2734,"*27*")&gt;0,COUNTIF(I2734,"28*")&gt;0,COUNTIF(J2734,"*28*")&gt;0,COUNTIF(I2734,"29*")&gt;0,COUNTIF(J2734,"*29*")&gt;0,COUNTIF(I2734,"30*")&gt;0,COUNTIF(J2734,"*30*")&gt;0,COUNTIF(I2734,"31*")&gt;0,COUNTIF(J2734,"*31*")&gt;0,COUNTIF(I2734,"32*")&gt;0,COUNTIF(J2734,"*32*")&gt;0,COUNTIF(I2734,"33*")&gt;0,COUNTIF(J2734,"*33*")&gt;0,COUNTIF(I2734,"41*")&gt;0,COUNTIF(J2734,"*41*")&gt;0,COUNTIF(I2734,"42*")&gt;0,COUNTIF(J2734,"*42*")&gt;0,COUNTIF(I2734,"43*")&gt;0,COUNTIF(J2734,"*43*")&gt;0,COUNTIF(I2734,"49*")&gt;0,COUNTIF(J2734,"*49*")&gt;0,COUNTIF(I2734,"52*")&gt;0,COUNTIF(J2734,"*52*")&gt;0,COUNTIF(I2734,"55*")&gt;0,COUNTIF(J2734,"*55*")&gt;0,COUNTIF(I2734,"56*")&gt;0,COUNTIF(J2734,"*56*")&gt;0,COUNTIF(I2734,"68*")&gt;0,COUNTIF(J2734,"*68*")&gt;0,COUNTIF(I2734,"78*")&gt;0,COUNTIF(J2734,"*78*")&gt;0,COUNTIF(I2734,"81*")&gt;0,COUNTIF(J2734,"*81*")&gt;0,COUNTIF(I2734,"82*")&gt;0,COUNTIF(J2734,"*82*")&gt;0,COUNTIF(I2734,"64*")&gt;0,COUNTIF(J2734,"*64*")&gt;0,COUNTIF(I2734,"65*")&gt;0,COUNTIF(J2734,"*65*")&gt;0,COUNTIF(I2734,"66*")&gt;0,COUNTIF(J2734,"*66*")&gt;0,COUNTIF(I2734,"61*")&gt;0,COUNTIF(J2734,"*61*")&gt;0,COUNTIF(I2734,"62*")&gt;0,COUNTIF(J2734,"*62*")&gt;0,COUNTIF(I2734,"63*")&gt;0,COUNTIF(J2734,"*63*")&gt;0,COUNTIF(I2734,"85*")&gt;0,COUNTIF(J2734,"*85*")&gt;0,COUNTIF(I2734,"86*")&gt;0,COUNTIF(J2734,"*86*")&gt;0),"Да","Нет"))</f>
        <v/>
      </c>
      <c r="M2734" s="13">
        <f>IF(OR(G2734="",L2734&lt;&gt;"Да"),"",IF(G2734&lt;=100,"До 100",IF(G2734&lt;=200,"До 200",IF(G2734&lt;=500,"До 500","Отдельное КП"))))</f>
        <v/>
      </c>
      <c r="N2734" s="15">
        <f>IF(OR(G2734="",L2734&lt;&gt;"Да"),"",IF(G2734&lt;=100,33600,IF(G2734&lt;=200,62400,IF(G2734&lt;=500,144000,""))))</f>
        <v/>
      </c>
      <c r="O2734" s="16">
        <f>IF(G2734="","",IF(G2734&lt;=15,"1–15",IF(G2734&lt;=30,"16–30",IF(G2734&lt;=50,"31–50",IF(G2734&lt;=100,"51–100",IF(G2734&lt;=150,"101–150",IF(G2734&lt;=200,"151–200",IF(G2734&lt;=500,"201–500","500+"))))))))</f>
        <v/>
      </c>
      <c r="P2734" s="16" t="inlineStr">
        <is>
          <t>Нет совпадения в предоставленной выгрузке ССЧР</t>
        </is>
      </c>
      <c r="Q2734" s="16" t="n"/>
      <c r="R2734" s="16">
        <f>HYPERLINK("https://checko.ru/search?query=3801001629","Чекко: проверить")</f>
        <v/>
      </c>
      <c r="S2734" t="n">
        <v>0</v>
      </c>
    </row>
    <row r="2735" ht="41.25" customHeight="1" s="24">
      <c r="A2735" s="13" t="n">
        <v>5000091951</v>
      </c>
      <c r="B2735" s="13" t="inlineStr">
        <is>
          <t>АДМИНИСТРАЦИЯ МУНИЦИПАЛЬНОГО ОБРАЗОВАНИЯ ШЕСТАКОВСКИЙ СЕЛЬСОВЕТ ТАШЛИНСКОГО РАЙОНА ОРЕНБУРГСКОЙ ОБЛАСТИ</t>
        </is>
      </c>
      <c r="C2735" s="13" t="n">
        <v>5648004195</v>
      </c>
      <c r="D2735" s="13" t="inlineStr">
        <is>
          <t>5648004195</t>
        </is>
      </c>
      <c r="E2735" s="13" t="inlineStr">
        <is>
          <t>ЮЛ РФ</t>
        </is>
      </c>
      <c r="F2735" s="13" t="n"/>
      <c r="G2735" s="14" t="n"/>
      <c r="H2735" s="14" t="n"/>
      <c r="I2735" s="14" t="n"/>
      <c r="J2735" s="14" t="n"/>
      <c r="K2735" s="53" t="inlineStr"/>
      <c r="L2735" s="53" t="inlineStr">
        <is>
          <t>Не определено</t>
        </is>
      </c>
      <c r="M2735" s="53" t="inlineStr"/>
      <c r="N2735" s="54" t="inlineStr"/>
      <c r="O2735" s="55" t="inlineStr"/>
      <c r="P2735" s="16" t="inlineStr">
        <is>
          <t>Требует обогащения</t>
        </is>
      </c>
      <c r="Q2735" s="16">
        <f>HYPERLINK("https://pb.nalog.ru/search.html?query=5648004195","ФНС: проверить")</f>
        <v/>
      </c>
      <c r="R2735" s="16">
        <f>HYPERLINK("https://checko.ru/search?query=3801001629","Чекко: проверить")</f>
        <v/>
      </c>
      <c r="S2735" t="n">
        <v>1</v>
      </c>
      <c r="T2735" s="35" t="inlineStr">
        <is>
          <t>4 — Не обогащён</t>
        </is>
      </c>
      <c r="U2735" s="35" t="inlineStr">
        <is>
          <t>Нет ОКВЭД/ССЧР</t>
        </is>
      </c>
      <c r="V2735" s="35" t="inlineStr">
        <is>
          <t>Не определено</t>
        </is>
      </c>
      <c r="W2735" s="35" t="inlineStr"/>
      <c r="X2735" s="35" t="inlineStr"/>
    </row>
    <row r="2736" ht="15" customHeight="1" s="24">
      <c r="A2736" s="13" t="n">
        <v>5000092234</v>
      </c>
      <c r="B2736" s="13" t="inlineStr">
        <is>
          <t>МБУК "Обусинский культурно-досуговый центр"</t>
        </is>
      </c>
      <c r="C2736" s="13" t="n">
        <v>3849013407</v>
      </c>
      <c r="D2736" s="13" t="inlineStr">
        <is>
          <t>3849013407</t>
        </is>
      </c>
      <c r="E2736" s="13" t="inlineStr">
        <is>
          <t>ЮЛ РФ</t>
        </is>
      </c>
      <c r="F2736" s="13" t="n"/>
      <c r="G2736" s="14" t="n"/>
      <c r="H2736" s="14" t="n"/>
      <c r="I2736" s="14" t="n"/>
      <c r="J2736" s="14" t="n"/>
      <c r="K2736" s="53" t="inlineStr"/>
      <c r="L2736" s="53" t="inlineStr">
        <is>
          <t>Не определено</t>
        </is>
      </c>
      <c r="M2736" s="53" t="inlineStr"/>
      <c r="N2736" s="54" t="inlineStr"/>
      <c r="O2736" s="55" t="inlineStr"/>
      <c r="P2736" s="16" t="inlineStr">
        <is>
          <t>Требует обогащения</t>
        </is>
      </c>
      <c r="Q2736" s="16">
        <f>HYPERLINK("https://pb.nalog.ru/search.html?query=3849013407","ФНС: проверить")</f>
        <v/>
      </c>
      <c r="R2736" s="16">
        <f>HYPERLINK("https://checko.ru/search?query=3801001629","Чекко: проверить")</f>
        <v/>
      </c>
      <c r="S2736" t="n">
        <v>1</v>
      </c>
      <c r="T2736" s="35" t="inlineStr">
        <is>
          <t>4 — Не обогащён</t>
        </is>
      </c>
      <c r="U2736" s="35" t="inlineStr">
        <is>
          <t>Нет ОКВЭД/ССЧР</t>
        </is>
      </c>
      <c r="V2736" s="35" t="inlineStr">
        <is>
          <t>Не определено</t>
        </is>
      </c>
      <c r="W2736" s="35" t="inlineStr"/>
      <c r="X2736" s="35" t="inlineStr"/>
    </row>
    <row r="2737" ht="27.75" customHeight="1" s="24">
      <c r="A2737" s="13" t="n">
        <v>5000092236</v>
      </c>
      <c r="B2737" s="13" t="inlineStr">
        <is>
          <t>Финансовый отдел администрации муниципального образования "Улейское"</t>
        </is>
      </c>
      <c r="C2737" s="13" t="n">
        <v>8505003720</v>
      </c>
      <c r="D2737" s="13" t="inlineStr">
        <is>
          <t>8505003720</t>
        </is>
      </c>
      <c r="E2737" s="13" t="inlineStr">
        <is>
          <t>ЮЛ РФ</t>
        </is>
      </c>
      <c r="F2737" s="13" t="n"/>
      <c r="G2737" s="14" t="n"/>
      <c r="H2737" s="14" t="n"/>
      <c r="I2737" s="14" t="n"/>
      <c r="J2737" s="14" t="n"/>
      <c r="K2737" s="53" t="inlineStr"/>
      <c r="L2737" s="53" t="inlineStr">
        <is>
          <t>Не определено</t>
        </is>
      </c>
      <c r="M2737" s="53" t="inlineStr"/>
      <c r="N2737" s="54" t="inlineStr"/>
      <c r="O2737" s="55" t="inlineStr"/>
      <c r="P2737" s="16" t="inlineStr">
        <is>
          <t>Требует обогащения</t>
        </is>
      </c>
      <c r="Q2737" s="16">
        <f>HYPERLINK("https://pb.nalog.ru/search.html?query=8505003720","ФНС: проверить")</f>
        <v/>
      </c>
      <c r="R2737" s="16">
        <f>HYPERLINK("https://checko.ru/search?query=3801001629","Чекко: проверить")</f>
        <v/>
      </c>
      <c r="S2737" t="n">
        <v>1</v>
      </c>
      <c r="T2737" s="35" t="inlineStr">
        <is>
          <t>4 — Не обогащён</t>
        </is>
      </c>
      <c r="U2737" s="35" t="inlineStr">
        <is>
          <t>Нет ОКВЭД/ССЧР</t>
        </is>
      </c>
      <c r="V2737" s="35" t="inlineStr">
        <is>
          <t>Не определено</t>
        </is>
      </c>
      <c r="W2737" s="35" t="inlineStr"/>
      <c r="X2737" s="35" t="inlineStr"/>
    </row>
    <row r="2738" ht="27.75" customHeight="1" s="24">
      <c r="A2738" s="13" t="n">
        <v>5000092237</v>
      </c>
      <c r="B2738" s="13" t="inlineStr">
        <is>
          <t>МКУ "Улейский Центр Культуры и Благоустройства"</t>
        </is>
      </c>
      <c r="C2738" s="13" t="n">
        <v>3849012604</v>
      </c>
      <c r="D2738" s="13" t="inlineStr">
        <is>
          <t>3849012604</t>
        </is>
      </c>
      <c r="E2738" s="13" t="inlineStr">
        <is>
          <t>ЮЛ РФ</t>
        </is>
      </c>
      <c r="F2738" s="13" t="n"/>
      <c r="G2738" s="14" t="n"/>
      <c r="H2738" s="14" t="n"/>
      <c r="I2738" s="14" t="n"/>
      <c r="J2738" s="14" t="n"/>
      <c r="K2738" s="53" t="inlineStr"/>
      <c r="L2738" s="53" t="inlineStr">
        <is>
          <t>Не определено</t>
        </is>
      </c>
      <c r="M2738" s="53" t="inlineStr"/>
      <c r="N2738" s="54" t="inlineStr"/>
      <c r="O2738" s="55" t="inlineStr"/>
      <c r="P2738" s="16" t="inlineStr">
        <is>
          <t>Требует обогащения</t>
        </is>
      </c>
      <c r="Q2738" s="16">
        <f>HYPERLINK("https://pb.nalog.ru/search.html?query=3849012604","ФНС: проверить")</f>
        <v/>
      </c>
      <c r="R2738" s="16">
        <f>HYPERLINK("https://checko.ru/search?query=3801001629","Чекко: проверить")</f>
        <v/>
      </c>
      <c r="S2738" t="n">
        <v>1</v>
      </c>
      <c r="T2738" s="35" t="inlineStr">
        <is>
          <t>4 — Не обогащён</t>
        </is>
      </c>
      <c r="U2738" s="35" t="inlineStr">
        <is>
          <t>Нет ОКВЭД/ССЧР</t>
        </is>
      </c>
      <c r="V2738" s="35" t="inlineStr">
        <is>
          <t>Не определено</t>
        </is>
      </c>
      <c r="W2738" s="35" t="inlineStr"/>
      <c r="X2738" s="35" t="inlineStr"/>
    </row>
    <row r="2739" ht="27.75" customHeight="1" s="24">
      <c r="A2739" s="13" t="n">
        <v>5000091616</v>
      </c>
      <c r="B2739" s="13" t="inlineStr">
        <is>
          <t>МКУК "Ключи-Булакский культурно-досуговый центр Братского района"</t>
        </is>
      </c>
      <c r="C2739" s="13" t="n">
        <v>3847000346</v>
      </c>
      <c r="D2739" s="13" t="inlineStr">
        <is>
          <t>3847000346</t>
        </is>
      </c>
      <c r="E2739" s="13" t="inlineStr">
        <is>
          <t>ЮЛ РФ</t>
        </is>
      </c>
      <c r="F2739" s="13" t="n"/>
      <c r="G2739" s="14" t="n"/>
      <c r="H2739" s="14" t="n"/>
      <c r="I2739" s="14" t="n"/>
      <c r="J2739" s="14" t="n"/>
      <c r="K2739" s="53" t="inlineStr"/>
      <c r="L2739" s="53" t="inlineStr">
        <is>
          <t>Не определено</t>
        </is>
      </c>
      <c r="M2739" s="53" t="inlineStr"/>
      <c r="N2739" s="54" t="inlineStr"/>
      <c r="O2739" s="55" t="inlineStr"/>
      <c r="P2739" s="16" t="inlineStr">
        <is>
          <t>Требует обогащения</t>
        </is>
      </c>
      <c r="Q2739" s="16">
        <f>HYPERLINK("https://pb.nalog.ru/search.html?query=3847000346","ФНС: проверить")</f>
        <v/>
      </c>
      <c r="R2739" s="16">
        <f>HYPERLINK("https://checko.ru/search?query=3801001629","Чекко: проверить")</f>
        <v/>
      </c>
      <c r="S2739" t="n">
        <v>1</v>
      </c>
      <c r="T2739" s="35" t="inlineStr">
        <is>
          <t>4 — Не обогащён</t>
        </is>
      </c>
      <c r="U2739" s="35" t="inlineStr">
        <is>
          <t>Нет ОКВЭД/ССЧР</t>
        </is>
      </c>
      <c r="V2739" s="35" t="inlineStr">
        <is>
          <t>Не определено</t>
        </is>
      </c>
      <c r="W2739" s="35" t="inlineStr"/>
      <c r="X2739" s="35" t="inlineStr"/>
    </row>
    <row r="2740" ht="27.75" customHeight="1" s="24">
      <c r="A2740" s="13" t="n">
        <v>5000092215</v>
      </c>
      <c r="B2740" s="13" t="inlineStr">
        <is>
          <t>Муниципальное казенное учреждение культуры "Библиотечно-информационный центр"</t>
        </is>
      </c>
      <c r="C2740" s="13" t="n">
        <v>3813002169</v>
      </c>
      <c r="D2740" s="13" t="inlineStr">
        <is>
          <t>3813002169</t>
        </is>
      </c>
      <c r="E2740" s="13" t="inlineStr">
        <is>
          <t>ЮЛ РФ</t>
        </is>
      </c>
      <c r="F2740" s="13" t="n"/>
      <c r="G2740" s="14" t="n"/>
      <c r="H2740" s="14" t="n"/>
      <c r="I2740" s="14" t="n"/>
      <c r="J2740" s="14" t="n"/>
      <c r="K2740" s="53" t="inlineStr"/>
      <c r="L2740" s="53" t="inlineStr">
        <is>
          <t>Не определено</t>
        </is>
      </c>
      <c r="M2740" s="53" t="inlineStr"/>
      <c r="N2740" s="54" t="inlineStr"/>
      <c r="O2740" s="55" t="inlineStr"/>
      <c r="P2740" s="16" t="inlineStr">
        <is>
          <t>Требует обогащения</t>
        </is>
      </c>
      <c r="Q2740" s="16">
        <f>HYPERLINK("https://pb.nalog.ru/search.html?query=3813002169","ФНС: проверить")</f>
        <v/>
      </c>
      <c r="R2740" s="16">
        <f>HYPERLINK("https://checko.ru/search?query=3801001629","Чекко: проверить")</f>
        <v/>
      </c>
      <c r="S2740" t="n">
        <v>1</v>
      </c>
      <c r="T2740" s="35" t="inlineStr">
        <is>
          <t>4 — Не обогащён</t>
        </is>
      </c>
      <c r="U2740" s="35" t="inlineStr">
        <is>
          <t>Нет ОКВЭД/ССЧР</t>
        </is>
      </c>
      <c r="V2740" s="35" t="inlineStr">
        <is>
          <t>Не определено</t>
        </is>
      </c>
      <c r="W2740" s="35" t="inlineStr"/>
      <c r="X2740" s="35" t="inlineStr"/>
    </row>
    <row r="2741" ht="27.75" customHeight="1" s="24">
      <c r="A2741" s="13" t="n">
        <v>5000092227</v>
      </c>
      <c r="B2741" s="13" t="inlineStr">
        <is>
          <t>Финансовый отдел администрации муниципального образования "Ирхидей"</t>
        </is>
      </c>
      <c r="C2741" s="13" t="n">
        <v>8505003833</v>
      </c>
      <c r="D2741" s="13" t="inlineStr">
        <is>
          <t>8505003833</t>
        </is>
      </c>
      <c r="E2741" s="13" t="inlineStr">
        <is>
          <t>ЮЛ РФ</t>
        </is>
      </c>
      <c r="F2741" s="13" t="n"/>
      <c r="G2741" s="14" t="n"/>
      <c r="H2741" s="14" t="n"/>
      <c r="I2741" s="14" t="n"/>
      <c r="J2741" s="14" t="n"/>
      <c r="K2741" s="53" t="inlineStr"/>
      <c r="L2741" s="53" t="inlineStr">
        <is>
          <t>Не определено</t>
        </is>
      </c>
      <c r="M2741" s="53" t="inlineStr"/>
      <c r="N2741" s="54" t="inlineStr"/>
      <c r="O2741" s="55" t="inlineStr"/>
      <c r="P2741" s="16" t="inlineStr">
        <is>
          <t>Требует обогащения</t>
        </is>
      </c>
      <c r="Q2741" s="16">
        <f>HYPERLINK("https://pb.nalog.ru/search.html?query=8505003833","ФНС: проверить")</f>
        <v/>
      </c>
      <c r="R2741" s="16">
        <f>HYPERLINK("https://checko.ru/search?query=3801001629","Чекко: проверить")</f>
        <v/>
      </c>
      <c r="S2741" t="n">
        <v>1</v>
      </c>
      <c r="T2741" s="35" t="inlineStr">
        <is>
          <t>4 — Не обогащён</t>
        </is>
      </c>
      <c r="U2741" s="35" t="inlineStr">
        <is>
          <t>Нет ОКВЭД/ССЧР</t>
        </is>
      </c>
      <c r="V2741" s="35" t="inlineStr">
        <is>
          <t>Не определено</t>
        </is>
      </c>
      <c r="W2741" s="35" t="inlineStr"/>
      <c r="X2741" s="35" t="inlineStr"/>
    </row>
    <row r="2742" ht="41.25" customHeight="1" s="24">
      <c r="A2742" s="13" t="n">
        <v>5000092228</v>
      </c>
      <c r="B2742" s="13" t="inlineStr">
        <is>
          <t>Муниципальное бюджетное учреждение культуры "Ирхидейский культурно-досуговый центр"</t>
        </is>
      </c>
      <c r="C2742" s="13" t="n">
        <v>3849013799</v>
      </c>
      <c r="D2742" s="13" t="inlineStr">
        <is>
          <t>3849013799</t>
        </is>
      </c>
      <c r="E2742" s="13" t="inlineStr">
        <is>
          <t>ЮЛ РФ</t>
        </is>
      </c>
      <c r="F2742" s="13" t="n"/>
      <c r="G2742" s="14" t="n"/>
      <c r="H2742" s="14" t="n"/>
      <c r="I2742" s="14" t="n"/>
      <c r="J2742" s="14" t="n"/>
      <c r="K2742" s="53" t="inlineStr"/>
      <c r="L2742" s="53" t="inlineStr">
        <is>
          <t>Не определено</t>
        </is>
      </c>
      <c r="M2742" s="53" t="inlineStr"/>
      <c r="N2742" s="54" t="inlineStr"/>
      <c r="O2742" s="55" t="inlineStr"/>
      <c r="P2742" s="16" t="inlineStr">
        <is>
          <t>Требует обогащения</t>
        </is>
      </c>
      <c r="Q2742" s="16">
        <f>HYPERLINK("https://pb.nalog.ru/search.html?query=3849013799","ФНС: проверить")</f>
        <v/>
      </c>
      <c r="R2742" s="16">
        <f>HYPERLINK("https://checko.ru/search?query=3801001629","Чекко: проверить")</f>
        <v/>
      </c>
      <c r="S2742" t="n">
        <v>1</v>
      </c>
      <c r="T2742" s="35" t="inlineStr">
        <is>
          <t>4 — Не обогащён</t>
        </is>
      </c>
      <c r="U2742" s="35" t="inlineStr">
        <is>
          <t>Нет ОКВЭД/ССЧР</t>
        </is>
      </c>
      <c r="V2742" s="35" t="inlineStr">
        <is>
          <t>Не определено</t>
        </is>
      </c>
      <c r="W2742" s="35" t="inlineStr"/>
      <c r="X2742" s="35" t="inlineStr"/>
    </row>
    <row r="2743" ht="27.75" customHeight="1" s="24">
      <c r="A2743" s="13" t="n">
        <v>5000092230</v>
      </c>
      <c r="B2743" s="13" t="inlineStr">
        <is>
          <t>Финансовый отдел администрации муниципального образования "Майск"</t>
        </is>
      </c>
      <c r="C2743" s="13" t="n">
        <v>8505003696</v>
      </c>
      <c r="D2743" s="13" t="inlineStr">
        <is>
          <t>8505003696</t>
        </is>
      </c>
      <c r="E2743" s="13" t="inlineStr">
        <is>
          <t>ЮЛ РФ</t>
        </is>
      </c>
      <c r="F2743" s="13" t="n"/>
      <c r="G2743" s="14" t="n"/>
      <c r="H2743" s="14" t="n"/>
      <c r="I2743" s="14" t="n"/>
      <c r="J2743" s="14" t="n"/>
      <c r="K2743" s="53" t="inlineStr"/>
      <c r="L2743" s="53" t="inlineStr">
        <is>
          <t>Не определено</t>
        </is>
      </c>
      <c r="M2743" s="53" t="inlineStr"/>
      <c r="N2743" s="54" t="inlineStr"/>
      <c r="O2743" s="55" t="inlineStr"/>
      <c r="P2743" s="16" t="inlineStr">
        <is>
          <t>Требует обогащения</t>
        </is>
      </c>
      <c r="Q2743" s="16">
        <f>HYPERLINK("https://pb.nalog.ru/search.html?query=8505003696","ФНС: проверить")</f>
        <v/>
      </c>
      <c r="R2743" s="16">
        <f>HYPERLINK("https://checko.ru/search?query=3801001629","Чекко: проверить")</f>
        <v/>
      </c>
      <c r="S2743" t="n">
        <v>1</v>
      </c>
      <c r="T2743" s="35" t="inlineStr">
        <is>
          <t>4 — Не обогащён</t>
        </is>
      </c>
      <c r="U2743" s="35" t="inlineStr">
        <is>
          <t>Нет ОКВЭД/ССЧР</t>
        </is>
      </c>
      <c r="V2743" s="35" t="inlineStr">
        <is>
          <t>Не определено</t>
        </is>
      </c>
      <c r="W2743" s="35" t="inlineStr"/>
      <c r="X2743" s="35" t="inlineStr"/>
    </row>
    <row r="2744" ht="15" customHeight="1" s="24">
      <c r="A2744" s="13" t="n">
        <v>5000092231</v>
      </c>
      <c r="B2744" s="13" t="inlineStr">
        <is>
          <t>МБУК "Майский культурно-досуговый центр"</t>
        </is>
      </c>
      <c r="C2744" s="13" t="n">
        <v>3849013911</v>
      </c>
      <c r="D2744" s="13" t="inlineStr">
        <is>
          <t>3849013911</t>
        </is>
      </c>
      <c r="E2744" s="13" t="inlineStr">
        <is>
          <t>ЮЛ РФ</t>
        </is>
      </c>
      <c r="F2744" s="13" t="n"/>
      <c r="G2744" s="14" t="n"/>
      <c r="H2744" s="14" t="n"/>
      <c r="I2744" s="14" t="n"/>
      <c r="J2744" s="14" t="n"/>
      <c r="K2744" s="53" t="inlineStr"/>
      <c r="L2744" s="53" t="inlineStr">
        <is>
          <t>Не определено</t>
        </is>
      </c>
      <c r="M2744" s="53" t="inlineStr"/>
      <c r="N2744" s="54" t="inlineStr"/>
      <c r="O2744" s="55" t="inlineStr"/>
      <c r="P2744" s="16" t="inlineStr">
        <is>
          <t>Требует обогащения</t>
        </is>
      </c>
      <c r="Q2744" s="16">
        <f>HYPERLINK("https://pb.nalog.ru/search.html?query=3849013911","ФНС: проверить")</f>
        <v/>
      </c>
      <c r="R2744" s="16">
        <f>HYPERLINK("https://checko.ru/search?query=3801001629","Чекко: проверить")</f>
        <v/>
      </c>
      <c r="S2744" t="n">
        <v>1</v>
      </c>
      <c r="T2744" s="35" t="inlineStr">
        <is>
          <t>4 — Не обогащён</t>
        </is>
      </c>
      <c r="U2744" s="35" t="inlineStr">
        <is>
          <t>Нет ОКВЭД/ССЧР</t>
        </is>
      </c>
      <c r="V2744" s="35" t="inlineStr">
        <is>
          <t>Не определено</t>
        </is>
      </c>
      <c r="W2744" s="35" t="inlineStr"/>
      <c r="X2744" s="35" t="inlineStr"/>
    </row>
    <row r="2745" ht="27.75" customHeight="1" s="24">
      <c r="A2745" s="13" t="n">
        <v>5000092233</v>
      </c>
      <c r="B2745" s="13" t="inlineStr">
        <is>
          <t>Финансовый отдел администрации муниципального образования "Обуса"</t>
        </is>
      </c>
      <c r="C2745" s="13" t="n">
        <v>8505003840</v>
      </c>
      <c r="D2745" s="13" t="inlineStr">
        <is>
          <t>8505003840</t>
        </is>
      </c>
      <c r="E2745" s="13" t="inlineStr">
        <is>
          <t>ЮЛ РФ</t>
        </is>
      </c>
      <c r="F2745" s="13" t="n"/>
      <c r="G2745" s="14" t="n"/>
      <c r="H2745" s="14" t="n"/>
      <c r="I2745" s="14" t="n"/>
      <c r="J2745" s="14" t="n"/>
      <c r="K2745" s="53" t="inlineStr"/>
      <c r="L2745" s="53" t="inlineStr">
        <is>
          <t>Не определено</t>
        </is>
      </c>
      <c r="M2745" s="53" t="inlineStr"/>
      <c r="N2745" s="54" t="inlineStr"/>
      <c r="O2745" s="55" t="inlineStr"/>
      <c r="P2745" s="16" t="inlineStr">
        <is>
          <t>Требует обогащения</t>
        </is>
      </c>
      <c r="Q2745" s="16">
        <f>HYPERLINK("https://pb.nalog.ru/search.html?query=8505003840","ФНС: проверить")</f>
        <v/>
      </c>
      <c r="R2745" s="16">
        <f>HYPERLINK("https://checko.ru/search?query=3801001629","Чекко: проверить")</f>
        <v/>
      </c>
      <c r="S2745" t="n">
        <v>1</v>
      </c>
      <c r="T2745" s="35" t="inlineStr">
        <is>
          <t>4 — Не обогащён</t>
        </is>
      </c>
      <c r="U2745" s="35" t="inlineStr">
        <is>
          <t>Нет ОКВЭД/ССЧР</t>
        </is>
      </c>
      <c r="V2745" s="35" t="inlineStr">
        <is>
          <t>Не определено</t>
        </is>
      </c>
      <c r="W2745" s="35" t="inlineStr"/>
      <c r="X2745" s="35" t="inlineStr"/>
    </row>
    <row r="2746" ht="27.75" customHeight="1" s="24">
      <c r="A2746" s="13" t="n">
        <v>5000092238</v>
      </c>
      <c r="B2746" s="13" t="inlineStr">
        <is>
          <t>Администрация муниципального образования "Бурят-Янгуты"</t>
        </is>
      </c>
      <c r="C2746" s="13" t="n">
        <v>8505006023</v>
      </c>
      <c r="D2746" s="13" t="inlineStr">
        <is>
          <t>8505006023</t>
        </is>
      </c>
      <c r="E2746" s="13" t="inlineStr">
        <is>
          <t>ЮЛ РФ</t>
        </is>
      </c>
      <c r="F2746" s="13" t="n"/>
      <c r="G2746" s="14" t="n"/>
      <c r="H2746" s="14" t="n"/>
      <c r="I2746" s="14" t="n"/>
      <c r="J2746" s="14" t="n"/>
      <c r="K2746" s="53" t="inlineStr"/>
      <c r="L2746" s="53" t="inlineStr">
        <is>
          <t>Не определено</t>
        </is>
      </c>
      <c r="M2746" s="53" t="inlineStr"/>
      <c r="N2746" s="54" t="inlineStr"/>
      <c r="O2746" s="55" t="inlineStr"/>
      <c r="P2746" s="16" t="inlineStr">
        <is>
          <t>Требует обогащения</t>
        </is>
      </c>
      <c r="Q2746" s="16">
        <f>HYPERLINK("https://pb.nalog.ru/search.html?query=8505006023","ФНС: проверить")</f>
        <v/>
      </c>
      <c r="R2746" s="16">
        <f>HYPERLINK("https://checko.ru/search?query=3801001629","Чекко: проверить")</f>
        <v/>
      </c>
      <c r="S2746" t="n">
        <v>1</v>
      </c>
      <c r="T2746" s="35" t="inlineStr">
        <is>
          <t>4 — Не обогащён</t>
        </is>
      </c>
      <c r="U2746" s="35" t="inlineStr">
        <is>
          <t>Нет ОКВЭД/ССЧР</t>
        </is>
      </c>
      <c r="V2746" s="35" t="inlineStr">
        <is>
          <t>Не определено</t>
        </is>
      </c>
      <c r="W2746" s="35" t="inlineStr"/>
      <c r="X2746" s="35" t="inlineStr"/>
    </row>
    <row r="2747" ht="27.75" customHeight="1" s="24">
      <c r="A2747" s="13" t="n">
        <v>5000092239</v>
      </c>
      <c r="B2747" s="13" t="inlineStr">
        <is>
          <t>Финансовый отдел администрации муниципального образования "Бурят-Янгуты"</t>
        </is>
      </c>
      <c r="C2747" s="13" t="n">
        <v>8505003777</v>
      </c>
      <c r="D2747" s="13" t="inlineStr">
        <is>
          <t>8505003777</t>
        </is>
      </c>
      <c r="E2747" s="13" t="inlineStr">
        <is>
          <t>ЮЛ РФ</t>
        </is>
      </c>
      <c r="F2747" s="13" t="n"/>
      <c r="G2747" s="14" t="n"/>
      <c r="H2747" s="14" t="n"/>
      <c r="I2747" s="14" t="n"/>
      <c r="J2747" s="14" t="n"/>
      <c r="K2747" s="53" t="inlineStr"/>
      <c r="L2747" s="53" t="inlineStr">
        <is>
          <t>Не определено</t>
        </is>
      </c>
      <c r="M2747" s="53" t="inlineStr"/>
      <c r="N2747" s="54" t="inlineStr"/>
      <c r="O2747" s="55" t="inlineStr"/>
      <c r="P2747" s="16" t="inlineStr">
        <is>
          <t>Требует обогащения</t>
        </is>
      </c>
      <c r="Q2747" s="16">
        <f>HYPERLINK("https://pb.nalog.ru/search.html?query=8505003777","ФНС: проверить")</f>
        <v/>
      </c>
      <c r="R2747" s="16">
        <f>HYPERLINK("https://checko.ru/search?query=3801001629","Чекко: проверить")</f>
        <v/>
      </c>
      <c r="S2747" t="n">
        <v>1</v>
      </c>
      <c r="T2747" s="35" t="inlineStr">
        <is>
          <t>4 — Не обогащён</t>
        </is>
      </c>
      <c r="U2747" s="35" t="inlineStr">
        <is>
          <t>Нет ОКВЭД/ССЧР</t>
        </is>
      </c>
      <c r="V2747" s="35" t="inlineStr">
        <is>
          <t>Не определено</t>
        </is>
      </c>
      <c r="W2747" s="35" t="inlineStr"/>
      <c r="X2747" s="35" t="inlineStr"/>
    </row>
    <row r="2748" ht="27.75" customHeight="1" s="24">
      <c r="A2748" s="13" t="n">
        <v>5000092240</v>
      </c>
      <c r="B2748" s="13" t="inlineStr">
        <is>
          <t>МБУК "Культурно-досуговый центр МО "Бурят-Янгуты""</t>
        </is>
      </c>
      <c r="C2748" s="13" t="n">
        <v>3849011752</v>
      </c>
      <c r="D2748" s="13" t="inlineStr">
        <is>
          <t>3849011752</t>
        </is>
      </c>
      <c r="E2748" s="13" t="inlineStr">
        <is>
          <t>ЮЛ РФ</t>
        </is>
      </c>
      <c r="F2748" s="13" t="n"/>
      <c r="G2748" s="14" t="n"/>
      <c r="H2748" s="14" t="n"/>
      <c r="I2748" s="14" t="n"/>
      <c r="J2748" s="14" t="n"/>
      <c r="K2748" s="53" t="inlineStr"/>
      <c r="L2748" s="53" t="inlineStr">
        <is>
          <t>Не определено</t>
        </is>
      </c>
      <c r="M2748" s="53" t="inlineStr"/>
      <c r="N2748" s="54" t="inlineStr"/>
      <c r="O2748" s="55" t="inlineStr"/>
      <c r="P2748" s="16" t="inlineStr">
        <is>
          <t>Требует обогащения</t>
        </is>
      </c>
      <c r="Q2748" s="16">
        <f>HYPERLINK("https://pb.nalog.ru/search.html?query=3849011752","ФНС: проверить")</f>
        <v/>
      </c>
      <c r="R2748" s="16">
        <f>HYPERLINK("https://checko.ru/search?query=3801001629","Чекко: проверить")</f>
        <v/>
      </c>
      <c r="S2748" t="n">
        <v>1</v>
      </c>
      <c r="T2748" s="35" t="inlineStr">
        <is>
          <t>4 — Не обогащён</t>
        </is>
      </c>
      <c r="U2748" s="35" t="inlineStr">
        <is>
          <t>Нет ОКВЭД/ССЧР</t>
        </is>
      </c>
      <c r="V2748" s="35" t="inlineStr">
        <is>
          <t>Не определено</t>
        </is>
      </c>
      <c r="W2748" s="35" t="inlineStr"/>
      <c r="X2748" s="35" t="inlineStr"/>
    </row>
    <row r="2749" ht="27.75" customHeight="1" s="24">
      <c r="A2749" s="13" t="n">
        <v>5000092241</v>
      </c>
      <c r="B2749" s="13" t="inlineStr">
        <is>
          <t>Администрация муниципального образования "Русские Янгуты"</t>
        </is>
      </c>
      <c r="C2749" s="13" t="n">
        <v>8505006030</v>
      </c>
      <c r="D2749" s="13" t="inlineStr">
        <is>
          <t>8505006030</t>
        </is>
      </c>
      <c r="E2749" s="13" t="inlineStr">
        <is>
          <t>ЮЛ РФ</t>
        </is>
      </c>
      <c r="F2749" s="13" t="n"/>
      <c r="G2749" s="14" t="n"/>
      <c r="H2749" s="14" t="n"/>
      <c r="I2749" s="14" t="n"/>
      <c r="J2749" s="14" t="n"/>
      <c r="K2749" s="53" t="inlineStr"/>
      <c r="L2749" s="53" t="inlineStr">
        <is>
          <t>Не определено</t>
        </is>
      </c>
      <c r="M2749" s="53" t="inlineStr"/>
      <c r="N2749" s="54" t="inlineStr"/>
      <c r="O2749" s="55" t="inlineStr"/>
      <c r="P2749" s="16" t="inlineStr">
        <is>
          <t>Требует обогащения</t>
        </is>
      </c>
      <c r="Q2749" s="16">
        <f>HYPERLINK("https://pb.nalog.ru/search.html?query=8505006030","ФНС: проверить")</f>
        <v/>
      </c>
      <c r="R2749" s="16">
        <f>HYPERLINK("https://checko.ru/search?query=3801001629","Чекко: проверить")</f>
        <v/>
      </c>
      <c r="S2749" t="n">
        <v>1</v>
      </c>
      <c r="T2749" s="35" t="inlineStr">
        <is>
          <t>4 — Не обогащён</t>
        </is>
      </c>
      <c r="U2749" s="35" t="inlineStr">
        <is>
          <t>Нет ОКВЭД/ССЧР</t>
        </is>
      </c>
      <c r="V2749" s="35" t="inlineStr">
        <is>
          <t>Не определено</t>
        </is>
      </c>
      <c r="W2749" s="35" t="inlineStr"/>
      <c r="X2749" s="35" t="inlineStr"/>
    </row>
    <row r="2750" ht="27.75" customHeight="1" s="24">
      <c r="A2750" s="13" t="n">
        <v>5000092242</v>
      </c>
      <c r="B2750" s="13" t="inlineStr">
        <is>
          <t>Финансовый отдел администрации муниципального образования "Русские Янгуты"</t>
        </is>
      </c>
      <c r="C2750" s="13" t="n">
        <v>8505003632</v>
      </c>
      <c r="D2750" s="13" t="inlineStr">
        <is>
          <t>8505003632</t>
        </is>
      </c>
      <c r="E2750" s="13" t="inlineStr">
        <is>
          <t>ЮЛ РФ</t>
        </is>
      </c>
      <c r="F2750" s="13" t="n"/>
      <c r="G2750" s="14" t="n"/>
      <c r="H2750" s="14" t="n"/>
      <c r="I2750" s="14" t="n"/>
      <c r="J2750" s="14" t="n"/>
      <c r="K2750" s="53" t="inlineStr"/>
      <c r="L2750" s="53" t="inlineStr">
        <is>
          <t>Не определено</t>
        </is>
      </c>
      <c r="M2750" s="53" t="inlineStr"/>
      <c r="N2750" s="54" t="inlineStr"/>
      <c r="O2750" s="55" t="inlineStr"/>
      <c r="P2750" s="16" t="inlineStr">
        <is>
          <t>Требует обогащения</t>
        </is>
      </c>
      <c r="Q2750" s="16">
        <f>HYPERLINK("https://pb.nalog.ru/search.html?query=8505003632","ФНС: проверить")</f>
        <v/>
      </c>
      <c r="R2750" s="16">
        <f>HYPERLINK("https://checko.ru/search?query=3801001629","Чекко: проверить")</f>
        <v/>
      </c>
      <c r="S2750" t="n">
        <v>1</v>
      </c>
      <c r="T2750" s="35" t="inlineStr">
        <is>
          <t>4 — Не обогащён</t>
        </is>
      </c>
      <c r="U2750" s="35" t="inlineStr">
        <is>
          <t>Нет ОКВЭД/ССЧР</t>
        </is>
      </c>
      <c r="V2750" s="35" t="inlineStr">
        <is>
          <t>Не определено</t>
        </is>
      </c>
      <c r="W2750" s="35" t="inlineStr"/>
      <c r="X2750" s="35" t="inlineStr"/>
    </row>
    <row r="2751" ht="27.75" customHeight="1" s="24">
      <c r="A2751" s="13" t="n">
        <v>5000092249</v>
      </c>
      <c r="B2751" s="13" t="inlineStr">
        <is>
          <t>ОГКУ «ЕЦО в сфере социального развития, опеки и попечительства»</t>
        </is>
      </c>
      <c r="C2751" s="13" t="n">
        <v>3808279535</v>
      </c>
      <c r="D2751" s="13" t="inlineStr">
        <is>
          <t>3808279535</t>
        </is>
      </c>
      <c r="E2751" s="13" t="inlineStr">
        <is>
          <t>ЮЛ РФ</t>
        </is>
      </c>
      <c r="F2751" s="13" t="n"/>
      <c r="G2751" s="14" t="n"/>
      <c r="H2751" s="14" t="n"/>
      <c r="I2751" s="14" t="n"/>
      <c r="J2751" s="14" t="n"/>
      <c r="K2751" s="53" t="inlineStr"/>
      <c r="L2751" s="53" t="inlineStr">
        <is>
          <t>Не определено</t>
        </is>
      </c>
      <c r="M2751" s="53" t="inlineStr"/>
      <c r="N2751" s="54" t="inlineStr"/>
      <c r="O2751" s="55" t="inlineStr"/>
      <c r="P2751" s="16" t="inlineStr">
        <is>
          <t>Требует обогащения</t>
        </is>
      </c>
      <c r="Q2751" s="16">
        <f>HYPERLINK("https://pb.nalog.ru/search.html?query=3808279535","ФНС: проверить")</f>
        <v/>
      </c>
      <c r="R2751" s="16">
        <f>HYPERLINK("https://checko.ru/search?query=3801001629","Чекко: проверить")</f>
        <v/>
      </c>
      <c r="S2751" t="n">
        <v>1</v>
      </c>
      <c r="T2751" s="35" t="inlineStr">
        <is>
          <t>4 — Не обогащён</t>
        </is>
      </c>
      <c r="U2751" s="35" t="inlineStr">
        <is>
          <t>Нет ОКВЭД/ССЧР</t>
        </is>
      </c>
      <c r="V2751" s="35" t="inlineStr">
        <is>
          <t>Не определено</t>
        </is>
      </c>
      <c r="W2751" s="35" t="inlineStr"/>
      <c r="X2751" s="35" t="inlineStr"/>
    </row>
    <row r="2752" ht="15" customHeight="1" s="24">
      <c r="A2752" s="13" t="n">
        <v>5000092335</v>
      </c>
      <c r="B2752" s="13" t="inlineStr">
        <is>
          <t>УФССП России по Запорожской области</t>
        </is>
      </c>
      <c r="C2752" s="13" t="n">
        <v>9001000088</v>
      </c>
      <c r="D2752" s="13" t="inlineStr">
        <is>
          <t>9001000088</t>
        </is>
      </c>
      <c r="E2752" s="13" t="inlineStr">
        <is>
          <t>ЮЛ РФ</t>
        </is>
      </c>
      <c r="F2752" s="13" t="n"/>
      <c r="G2752" s="14" t="n"/>
      <c r="H2752" s="14" t="n"/>
      <c r="I2752" s="14" t="n"/>
      <c r="J2752" s="14" t="n"/>
      <c r="K2752" s="53" t="inlineStr"/>
      <c r="L2752" s="53" t="inlineStr">
        <is>
          <t>Не определено</t>
        </is>
      </c>
      <c r="M2752" s="53" t="inlineStr"/>
      <c r="N2752" s="54" t="inlineStr"/>
      <c r="O2752" s="55" t="inlineStr"/>
      <c r="P2752" s="16" t="inlineStr">
        <is>
          <t>Требует обогащения</t>
        </is>
      </c>
      <c r="Q2752" s="16">
        <f>HYPERLINK("https://pb.nalog.ru/search.html?query=9001000088","ФНС: проверить")</f>
        <v/>
      </c>
      <c r="R2752" s="16">
        <f>HYPERLINK("https://checko.ru/search?query=3801001629","Чекко: проверить")</f>
        <v/>
      </c>
      <c r="S2752" t="n">
        <v>1</v>
      </c>
      <c r="T2752" s="35" t="inlineStr">
        <is>
          <t>4 — Не обогащён</t>
        </is>
      </c>
      <c r="U2752" s="35" t="inlineStr">
        <is>
          <t>Нет ОКВЭД/ССЧР</t>
        </is>
      </c>
      <c r="V2752" s="35" t="inlineStr">
        <is>
          <t>Не определено</t>
        </is>
      </c>
      <c r="W2752" s="35" t="inlineStr"/>
      <c r="X2752" s="35" t="inlineStr"/>
    </row>
    <row r="2753" ht="15" customHeight="1" s="24">
      <c r="A2753" s="13" t="n">
        <v>5000092336</v>
      </c>
      <c r="B2753" s="13" t="inlineStr">
        <is>
          <t>УФССП России по Луганской области</t>
        </is>
      </c>
      <c r="C2753" s="13" t="n">
        <v>9403000063</v>
      </c>
      <c r="D2753" s="13" t="inlineStr">
        <is>
          <t>9403000063</t>
        </is>
      </c>
      <c r="E2753" s="13" t="inlineStr">
        <is>
          <t>ЮЛ РФ</t>
        </is>
      </c>
      <c r="F2753" s="13" t="n"/>
      <c r="G2753" s="14" t="n"/>
      <c r="H2753" s="14" t="n"/>
      <c r="I2753" s="14" t="n"/>
      <c r="J2753" s="14" t="n"/>
      <c r="K2753" s="53" t="inlineStr"/>
      <c r="L2753" s="53" t="inlineStr">
        <is>
          <t>Не определено</t>
        </is>
      </c>
      <c r="M2753" s="53" t="inlineStr"/>
      <c r="N2753" s="54" t="inlineStr"/>
      <c r="O2753" s="55" t="inlineStr"/>
      <c r="P2753" s="16" t="inlineStr">
        <is>
          <t>Требует обогащения</t>
        </is>
      </c>
      <c r="Q2753" s="16">
        <f>HYPERLINK("https://pb.nalog.ru/search.html?query=9403000063","ФНС: проверить")</f>
        <v/>
      </c>
      <c r="R2753" s="16">
        <f>HYPERLINK("https://checko.ru/search?query=3801001629","Чекко: проверить")</f>
        <v/>
      </c>
      <c r="S2753" t="n">
        <v>1</v>
      </c>
      <c r="T2753" s="35" t="inlineStr">
        <is>
          <t>4 — Не обогащён</t>
        </is>
      </c>
      <c r="U2753" s="35" t="inlineStr">
        <is>
          <t>Нет ОКВЭД/ССЧР</t>
        </is>
      </c>
      <c r="V2753" s="35" t="inlineStr">
        <is>
          <t>Не определено</t>
        </is>
      </c>
      <c r="W2753" s="35" t="inlineStr"/>
      <c r="X2753" s="35" t="inlineStr"/>
    </row>
    <row r="2754" ht="15" customHeight="1" s="24">
      <c r="A2754" s="13" t="n">
        <v>5000092337</v>
      </c>
      <c r="B2754" s="13" t="inlineStr">
        <is>
          <t>УФССП России по Донецкой области</t>
        </is>
      </c>
      <c r="C2754" s="13" t="n">
        <v>9308000200</v>
      </c>
      <c r="D2754" s="13" t="inlineStr">
        <is>
          <t>9308000200</t>
        </is>
      </c>
      <c r="E2754" s="13" t="inlineStr">
        <is>
          <t>ЮЛ РФ</t>
        </is>
      </c>
      <c r="F2754" s="13" t="n"/>
      <c r="G2754" s="14" t="n"/>
      <c r="H2754" s="14" t="n"/>
      <c r="I2754" s="14" t="n"/>
      <c r="J2754" s="14" t="n"/>
      <c r="K2754" s="53" t="inlineStr"/>
      <c r="L2754" s="53" t="inlineStr">
        <is>
          <t>Не определено</t>
        </is>
      </c>
      <c r="M2754" s="53" t="inlineStr"/>
      <c r="N2754" s="54" t="inlineStr"/>
      <c r="O2754" s="55" t="inlineStr"/>
      <c r="P2754" s="16" t="inlineStr">
        <is>
          <t>Требует обогащения</t>
        </is>
      </c>
      <c r="Q2754" s="16">
        <f>HYPERLINK("https://pb.nalog.ru/search.html?query=9308000200","ФНС: проверить")</f>
        <v/>
      </c>
      <c r="R2754" s="16">
        <f>HYPERLINK("https://checko.ru/search?query=3801001629","Чекко: проверить")</f>
        <v/>
      </c>
      <c r="S2754" t="n">
        <v>1</v>
      </c>
      <c r="T2754" s="35" t="inlineStr">
        <is>
          <t>4 — Не обогащён</t>
        </is>
      </c>
      <c r="U2754" s="35" t="inlineStr">
        <is>
          <t>Нет ОКВЭД/ССЧР</t>
        </is>
      </c>
      <c r="V2754" s="35" t="inlineStr">
        <is>
          <t>Не определено</t>
        </is>
      </c>
      <c r="W2754" s="35" t="inlineStr"/>
      <c r="X2754" s="35" t="inlineStr"/>
    </row>
    <row r="2755" ht="27.75" customHeight="1" s="24">
      <c r="A2755" s="13" t="n">
        <v>5000092216</v>
      </c>
      <c r="B2755" s="13" t="inlineStr">
        <is>
          <t>Муниципальное казенное учреждение Культуры Дом Культуры "Сибиряк"</t>
        </is>
      </c>
      <c r="C2755" s="13" t="n">
        <v>3816017124</v>
      </c>
      <c r="D2755" s="13" t="inlineStr">
        <is>
          <t>3816017124</t>
        </is>
      </c>
      <c r="E2755" s="13" t="inlineStr">
        <is>
          <t>ЮЛ РФ</t>
        </is>
      </c>
      <c r="F2755" s="13" t="n"/>
      <c r="G2755" s="14" t="n"/>
      <c r="H2755" s="14" t="n"/>
      <c r="I2755" s="14" t="n"/>
      <c r="J2755" s="14" t="n"/>
      <c r="K2755" s="53" t="inlineStr"/>
      <c r="L2755" s="53" t="inlineStr">
        <is>
          <t>Не определено</t>
        </is>
      </c>
      <c r="M2755" s="53" t="inlineStr"/>
      <c r="N2755" s="54" t="inlineStr"/>
      <c r="O2755" s="55" t="inlineStr"/>
      <c r="P2755" s="16" t="inlineStr">
        <is>
          <t>Требует обогащения</t>
        </is>
      </c>
      <c r="Q2755" s="16">
        <f>HYPERLINK("https://pb.nalog.ru/search.html?query=3816017124","ФНС: проверить")</f>
        <v/>
      </c>
      <c r="R2755" s="16">
        <f>HYPERLINK("https://checko.ru/search?query=3801001629","Чекко: проверить")</f>
        <v/>
      </c>
      <c r="S2755" t="n">
        <v>1</v>
      </c>
      <c r="T2755" s="35" t="inlineStr">
        <is>
          <t>4 — Не обогащён</t>
        </is>
      </c>
      <c r="U2755" s="35" t="inlineStr">
        <is>
          <t>Нет ОКВЭД/ССЧР</t>
        </is>
      </c>
      <c r="V2755" s="35" t="inlineStr">
        <is>
          <t>Не определено</t>
        </is>
      </c>
      <c r="W2755" s="35" t="inlineStr"/>
      <c r="X2755" s="35" t="inlineStr"/>
    </row>
    <row r="2756" ht="15" customHeight="1" s="24">
      <c r="A2756" s="13" t="n">
        <v>5000092338</v>
      </c>
      <c r="B2756" s="13" t="inlineStr">
        <is>
          <t>УФССП России по Херсонской области</t>
        </is>
      </c>
      <c r="C2756" s="13" t="n">
        <v>9500000051</v>
      </c>
      <c r="D2756" s="13" t="inlineStr">
        <is>
          <t>9500000051</t>
        </is>
      </c>
      <c r="E2756" s="13" t="inlineStr">
        <is>
          <t>ЮЛ РФ</t>
        </is>
      </c>
      <c r="F2756" s="13" t="n"/>
      <c r="G2756" s="14" t="n"/>
      <c r="H2756" s="14" t="n"/>
      <c r="I2756" s="14" t="n"/>
      <c r="J2756" s="14" t="n"/>
      <c r="K2756" s="53" t="inlineStr"/>
      <c r="L2756" s="53" t="inlineStr">
        <is>
          <t>Не определено</t>
        </is>
      </c>
      <c r="M2756" s="53" t="inlineStr"/>
      <c r="N2756" s="54" t="inlineStr"/>
      <c r="O2756" s="55" t="inlineStr"/>
      <c r="P2756" s="16" t="inlineStr">
        <is>
          <t>Требует обогащения</t>
        </is>
      </c>
      <c r="Q2756" s="16">
        <f>HYPERLINK("https://pb.nalog.ru/search.html?query=9500000051","ФНС: проверить")</f>
        <v/>
      </c>
      <c r="R2756" s="16">
        <f>HYPERLINK("https://checko.ru/search?query=3801001629","Чекко: проверить")</f>
        <v/>
      </c>
      <c r="S2756" t="n">
        <v>1</v>
      </c>
      <c r="T2756" s="35" t="inlineStr">
        <is>
          <t>4 — Не обогащён</t>
        </is>
      </c>
      <c r="U2756" s="35" t="inlineStr">
        <is>
          <t>Нет ОКВЭД/ССЧР</t>
        </is>
      </c>
      <c r="V2756" s="35" t="inlineStr">
        <is>
          <t>Не определено</t>
        </is>
      </c>
      <c r="W2756" s="35" t="inlineStr"/>
      <c r="X2756" s="35" t="inlineStr"/>
    </row>
    <row r="2757" ht="27.75" customHeight="1" s="24">
      <c r="A2757" s="13" t="n">
        <v>5000092339</v>
      </c>
      <c r="B2757" s="13" t="inlineStr">
        <is>
          <t>Главное межрегиональное (специализированное) управление ФССП России</t>
        </is>
      </c>
      <c r="C2757" s="13" t="n">
        <v>9703098444</v>
      </c>
      <c r="D2757" s="13" t="inlineStr">
        <is>
          <t>9703098444</t>
        </is>
      </c>
      <c r="E2757" s="13" t="inlineStr">
        <is>
          <t>ЮЛ РФ</t>
        </is>
      </c>
      <c r="F2757" s="13" t="n"/>
      <c r="G2757" s="14" t="n"/>
      <c r="H2757" s="14" t="n"/>
      <c r="I2757" s="14" t="n"/>
      <c r="J2757" s="14" t="n"/>
      <c r="K2757" s="53" t="inlineStr"/>
      <c r="L2757" s="53" t="inlineStr">
        <is>
          <t>Не определено</t>
        </is>
      </c>
      <c r="M2757" s="53" t="inlineStr"/>
      <c r="N2757" s="54" t="inlineStr"/>
      <c r="O2757" s="55" t="inlineStr"/>
      <c r="P2757" s="16" t="inlineStr">
        <is>
          <t>Требует обогащения</t>
        </is>
      </c>
      <c r="Q2757" s="16">
        <f>HYPERLINK("https://pb.nalog.ru/search.html?query=9703098444","ФНС: проверить")</f>
        <v/>
      </c>
      <c r="R2757" s="16">
        <f>HYPERLINK("https://checko.ru/search?query=3801001629","Чекко: проверить")</f>
        <v/>
      </c>
      <c r="S2757" t="n">
        <v>1</v>
      </c>
      <c r="T2757" s="35" t="inlineStr">
        <is>
          <t>4 — Не обогащён</t>
        </is>
      </c>
      <c r="U2757" s="35" t="inlineStr">
        <is>
          <t>Нет ОКВЭД/ССЧР</t>
        </is>
      </c>
      <c r="V2757" s="35" t="inlineStr">
        <is>
          <t>Не определено</t>
        </is>
      </c>
      <c r="W2757" s="35" t="inlineStr"/>
      <c r="X2757" s="35" t="inlineStr"/>
    </row>
    <row r="2758" ht="27.75" customHeight="1" s="24">
      <c r="A2758" s="13" t="n">
        <v>5000092217</v>
      </c>
      <c r="B2758" s="13" t="inlineStr">
        <is>
          <t>Муниципальное казенное учреждение "Центр Комплексного Обслуживания"</t>
        </is>
      </c>
      <c r="C2758" s="13" t="n">
        <v>3816016459</v>
      </c>
      <c r="D2758" s="13" t="inlineStr">
        <is>
          <t>3816016459</t>
        </is>
      </c>
      <c r="E2758" s="13" t="inlineStr">
        <is>
          <t>ЮЛ РФ</t>
        </is>
      </c>
      <c r="F2758" s="13" t="n"/>
      <c r="G2758" s="14" t="n"/>
      <c r="H2758" s="14" t="n"/>
      <c r="I2758" s="14" t="n"/>
      <c r="J2758" s="14" t="n"/>
      <c r="K2758" s="53" t="inlineStr"/>
      <c r="L2758" s="53" t="inlineStr">
        <is>
          <t>Не определено</t>
        </is>
      </c>
      <c r="M2758" s="53" t="inlineStr"/>
      <c r="N2758" s="54" t="inlineStr"/>
      <c r="O2758" s="55" t="inlineStr"/>
      <c r="P2758" s="16" t="inlineStr">
        <is>
          <t>Требует обогащения</t>
        </is>
      </c>
      <c r="Q2758" s="16">
        <f>HYPERLINK("https://pb.nalog.ru/search.html?query=3816016459","ФНС: проверить")</f>
        <v/>
      </c>
      <c r="R2758" s="16">
        <f>HYPERLINK("https://checko.ru/search?query=3801001629","Чекко: проверить")</f>
        <v/>
      </c>
      <c r="S2758" t="n">
        <v>1</v>
      </c>
      <c r="T2758" s="35" t="inlineStr">
        <is>
          <t>4 — Не обогащён</t>
        </is>
      </c>
      <c r="U2758" s="35" t="inlineStr">
        <is>
          <t>Нет ОКВЭД/ССЧР</t>
        </is>
      </c>
      <c r="V2758" s="35" t="inlineStr">
        <is>
          <t>Не определено</t>
        </is>
      </c>
      <c r="W2758" s="35" t="inlineStr"/>
      <c r="X2758" s="35" t="inlineStr"/>
    </row>
    <row r="2759" ht="27.75" customHeight="1" s="24">
      <c r="A2759" s="13" t="n">
        <v>5000092688</v>
      </c>
      <c r="B2759" s="13" t="inlineStr">
        <is>
          <t>Финансовый отдел муниципалыюго образования «Аларь»</t>
        </is>
      </c>
      <c r="C2759" s="13" t="n">
        <v>8501004963</v>
      </c>
      <c r="D2759" s="13" t="inlineStr">
        <is>
          <t>8501004963</t>
        </is>
      </c>
      <c r="E2759" s="13" t="inlineStr">
        <is>
          <t>ЮЛ РФ</t>
        </is>
      </c>
      <c r="F2759" s="13" t="n"/>
      <c r="G2759" s="14" t="n"/>
      <c r="H2759" s="14" t="n"/>
      <c r="I2759" s="14" t="n"/>
      <c r="J2759" s="14" t="n"/>
      <c r="K2759" s="53" t="inlineStr"/>
      <c r="L2759" s="53" t="inlineStr">
        <is>
          <t>Не определено</t>
        </is>
      </c>
      <c r="M2759" s="53" t="inlineStr"/>
      <c r="N2759" s="54" t="inlineStr"/>
      <c r="O2759" s="55" t="inlineStr"/>
      <c r="P2759" s="16" t="inlineStr">
        <is>
          <t>Требует обогащения</t>
        </is>
      </c>
      <c r="Q2759" s="16">
        <f>HYPERLINK("https://pb.nalog.ru/search.html?query=8501004963","ФНС: проверить")</f>
        <v/>
      </c>
      <c r="R2759" s="16">
        <f>HYPERLINK("https://checko.ru/search?query=3801001629","Чекко: проверить")</f>
        <v/>
      </c>
      <c r="S2759" t="n">
        <v>1</v>
      </c>
      <c r="T2759" s="35" t="inlineStr">
        <is>
          <t>4 — Не обогащён</t>
        </is>
      </c>
      <c r="U2759" s="35" t="inlineStr">
        <is>
          <t>Нет ОКВЭД/ССЧР</t>
        </is>
      </c>
      <c r="V2759" s="35" t="inlineStr">
        <is>
          <t>Не определено</t>
        </is>
      </c>
      <c r="W2759" s="35" t="inlineStr"/>
      <c r="X2759" s="35" t="inlineStr"/>
    </row>
    <row r="2760" ht="27.75" customHeight="1" s="24">
      <c r="A2760" s="13" t="n">
        <v>5000089907</v>
      </c>
      <c r="B2760" s="13" t="inlineStr">
        <is>
          <t>ОбГАУ "Молодёжный Многофункциональный Центр "Дом Молодых"</t>
        </is>
      </c>
      <c r="C2760" s="13" t="n">
        <v>7300006239</v>
      </c>
      <c r="D2760" s="13" t="inlineStr">
        <is>
          <t>7300006239</t>
        </is>
      </c>
      <c r="E2760" s="13" t="inlineStr">
        <is>
          <t>ЮЛ РФ</t>
        </is>
      </c>
      <c r="F2760" s="13" t="n"/>
      <c r="G2760" s="14" t="n"/>
      <c r="H2760" s="14" t="n"/>
      <c r="I2760" s="14" t="n"/>
      <c r="J2760" s="14" t="n"/>
      <c r="K2760" s="53" t="inlineStr"/>
      <c r="L2760" s="53" t="inlineStr">
        <is>
          <t>Не определено</t>
        </is>
      </c>
      <c r="M2760" s="53" t="inlineStr"/>
      <c r="N2760" s="54" t="inlineStr"/>
      <c r="O2760" s="55" t="inlineStr"/>
      <c r="P2760" s="16" t="inlineStr">
        <is>
          <t>Требует обогащения</t>
        </is>
      </c>
      <c r="Q2760" s="16">
        <f>HYPERLINK("https://pb.nalog.ru/search.html?query=7300006239","ФНС: проверить")</f>
        <v/>
      </c>
      <c r="R2760" s="16">
        <f>HYPERLINK("https://checko.ru/search?query=3801001629","Чекко: проверить")</f>
        <v/>
      </c>
      <c r="S2760" t="n">
        <v>1</v>
      </c>
      <c r="T2760" s="35" t="inlineStr">
        <is>
          <t>4 — Не обогащён</t>
        </is>
      </c>
      <c r="U2760" s="35" t="inlineStr">
        <is>
          <t>Нет ОКВЭД/ССЧР</t>
        </is>
      </c>
      <c r="V2760" s="35" t="inlineStr">
        <is>
          <t>Не определено</t>
        </is>
      </c>
      <c r="W2760" s="35" t="inlineStr"/>
      <c r="X2760" s="35" t="inlineStr"/>
    </row>
    <row r="2761" ht="15" customHeight="1" s="24">
      <c r="A2761" s="13" t="n">
        <v>5000089909</v>
      </c>
      <c r="B2761" s="13" t="inlineStr">
        <is>
          <t>АУ «Чунский лесхоз»</t>
        </is>
      </c>
      <c r="C2761" s="13" t="n">
        <v>3844001158</v>
      </c>
      <c r="D2761" s="13" t="inlineStr">
        <is>
          <t>3844001158</t>
        </is>
      </c>
      <c r="E2761" s="13" t="inlineStr">
        <is>
          <t>ЮЛ РФ</t>
        </is>
      </c>
      <c r="F2761" s="13" t="n"/>
      <c r="G2761" s="14" t="n"/>
      <c r="H2761" s="14" t="n"/>
      <c r="I2761" s="14" t="n"/>
      <c r="J2761" s="14" t="n"/>
      <c r="K2761" s="53" t="inlineStr"/>
      <c r="L2761" s="53" t="inlineStr">
        <is>
          <t>Не определено</t>
        </is>
      </c>
      <c r="M2761" s="53" t="inlineStr"/>
      <c r="N2761" s="54" t="inlineStr"/>
      <c r="O2761" s="55" t="inlineStr"/>
      <c r="P2761" s="16" t="inlineStr">
        <is>
          <t>Требует обогащения</t>
        </is>
      </c>
      <c r="Q2761" s="16">
        <f>HYPERLINK("https://pb.nalog.ru/search.html?query=3844001158","ФНС: проверить")</f>
        <v/>
      </c>
      <c r="R2761" s="16">
        <f>HYPERLINK("https://checko.ru/search?query=3801001629","Чекко: проверить")</f>
        <v/>
      </c>
      <c r="S2761" t="n">
        <v>1</v>
      </c>
      <c r="T2761" s="35" t="inlineStr">
        <is>
          <t>4 — Не обогащён</t>
        </is>
      </c>
      <c r="U2761" s="35" t="inlineStr">
        <is>
          <t>Нет ОКВЭД/ССЧР</t>
        </is>
      </c>
      <c r="V2761" s="35" t="inlineStr">
        <is>
          <t>Не определено</t>
        </is>
      </c>
      <c r="W2761" s="35" t="inlineStr"/>
      <c r="X2761" s="35" t="inlineStr"/>
    </row>
    <row r="2762" ht="15" customHeight="1" s="24">
      <c r="A2762" s="13" t="n">
        <v>5000089910</v>
      </c>
      <c r="B2762" s="13" t="inlineStr">
        <is>
          <t>ГБУ ДО ИО «Региональный центр «Авангард»</t>
        </is>
      </c>
      <c r="C2762" s="13" t="n">
        <v>3849088459</v>
      </c>
      <c r="D2762" s="13" t="inlineStr">
        <is>
          <t>3849088459</t>
        </is>
      </c>
      <c r="E2762" s="13" t="inlineStr">
        <is>
          <t>ЮЛ РФ</t>
        </is>
      </c>
      <c r="F2762" s="13" t="n"/>
      <c r="G2762" s="14" t="n"/>
      <c r="H2762" s="14" t="n"/>
      <c r="I2762" s="14" t="n"/>
      <c r="J2762" s="14" t="n"/>
      <c r="K2762" s="53" t="inlineStr"/>
      <c r="L2762" s="53" t="inlineStr">
        <is>
          <t>Не определено</t>
        </is>
      </c>
      <c r="M2762" s="53" t="inlineStr"/>
      <c r="N2762" s="54" t="inlineStr"/>
      <c r="O2762" s="55" t="inlineStr"/>
      <c r="P2762" s="16" t="inlineStr">
        <is>
          <t>Требует обогащения</t>
        </is>
      </c>
      <c r="Q2762" s="16">
        <f>HYPERLINK("https://pb.nalog.ru/search.html?query=3849088459","ФНС: проверить")</f>
        <v/>
      </c>
      <c r="R2762" s="16">
        <f>HYPERLINK("https://checko.ru/search?query=3801001629","Чекко: проверить")</f>
        <v/>
      </c>
      <c r="S2762" t="n">
        <v>1</v>
      </c>
      <c r="T2762" s="35" t="inlineStr">
        <is>
          <t>4 — Не обогащён</t>
        </is>
      </c>
      <c r="U2762" s="35" t="inlineStr">
        <is>
          <t>Нет ОКВЭД/ССЧР</t>
        </is>
      </c>
      <c r="V2762" s="35" t="inlineStr">
        <is>
          <t>Не определено</t>
        </is>
      </c>
      <c r="W2762" s="35" t="inlineStr"/>
      <c r="X2762" s="35" t="inlineStr"/>
    </row>
    <row r="2763" ht="27.75" customHeight="1" s="24">
      <c r="A2763" s="13" t="n">
        <v>5000090127</v>
      </c>
      <c r="B2763" s="13" t="inlineStr">
        <is>
          <t>Администрация муниципального образования "Усть-Алтан"</t>
        </is>
      </c>
      <c r="C2763" s="13" t="n">
        <v>8505005982</v>
      </c>
      <c r="D2763" s="13" t="inlineStr">
        <is>
          <t>8505005982</t>
        </is>
      </c>
      <c r="E2763" s="13" t="inlineStr">
        <is>
          <t>ЮЛ РФ</t>
        </is>
      </c>
      <c r="F2763" s="13" t="n"/>
      <c r="G2763" s="14" t="n"/>
      <c r="H2763" s="14" t="n"/>
      <c r="I2763" s="14" t="n"/>
      <c r="J2763" s="14" t="n"/>
      <c r="K2763" s="53" t="inlineStr"/>
      <c r="L2763" s="53" t="inlineStr">
        <is>
          <t>Не определено</t>
        </is>
      </c>
      <c r="M2763" s="53" t="inlineStr"/>
      <c r="N2763" s="54" t="inlineStr"/>
      <c r="O2763" s="55" t="inlineStr"/>
      <c r="P2763" s="16" t="inlineStr">
        <is>
          <t>Требует обогащения</t>
        </is>
      </c>
      <c r="Q2763" s="16">
        <f>HYPERLINK("https://pb.nalog.ru/search.html?query=8505005982","ФНС: проверить")</f>
        <v/>
      </c>
      <c r="R2763" s="16">
        <f>HYPERLINK("https://checko.ru/search?query=3801001629","Чекко: проверить")</f>
        <v/>
      </c>
      <c r="S2763" t="n">
        <v>1</v>
      </c>
      <c r="T2763" s="35" t="inlineStr">
        <is>
          <t>4 — Не обогащён</t>
        </is>
      </c>
      <c r="U2763" s="35" t="inlineStr">
        <is>
          <t>Нет ОКВЭД/ССЧР</t>
        </is>
      </c>
      <c r="V2763" s="35" t="inlineStr">
        <is>
          <t>Не определено</t>
        </is>
      </c>
      <c r="W2763" s="35" t="inlineStr"/>
      <c r="X2763" s="35" t="inlineStr"/>
    </row>
    <row r="2764" ht="41.25" customHeight="1" s="24">
      <c r="A2764" s="13" t="n">
        <v>5000090128</v>
      </c>
      <c r="B2764" s="13" t="inlineStr">
        <is>
          <t>Муниципальное автономное учреждение Культуры "Усть-Алтанский Культурно Досуговый Центр"</t>
        </is>
      </c>
      <c r="C2764" s="13" t="n">
        <v>3849013245</v>
      </c>
      <c r="D2764" s="13" t="inlineStr">
        <is>
          <t>3849013245</t>
        </is>
      </c>
      <c r="E2764" s="13" t="inlineStr">
        <is>
          <t>ЮЛ РФ</t>
        </is>
      </c>
      <c r="F2764" s="13" t="n"/>
      <c r="G2764" s="14" t="n"/>
      <c r="H2764" s="14" t="n"/>
      <c r="I2764" s="14" t="n"/>
      <c r="J2764" s="14" t="n"/>
      <c r="K2764" s="53" t="inlineStr"/>
      <c r="L2764" s="53" t="inlineStr">
        <is>
          <t>Не определено</t>
        </is>
      </c>
      <c r="M2764" s="53" t="inlineStr"/>
      <c r="N2764" s="54" t="inlineStr"/>
      <c r="O2764" s="55" t="inlineStr"/>
      <c r="P2764" s="16" t="inlineStr">
        <is>
          <t>Требует обогащения</t>
        </is>
      </c>
      <c r="Q2764" s="16">
        <f>HYPERLINK("https://pb.nalog.ru/search.html?query=3849013245","ФНС: проверить")</f>
        <v/>
      </c>
      <c r="R2764" s="16">
        <f>HYPERLINK("https://checko.ru/search?query=3801001629","Чекко: проверить")</f>
        <v/>
      </c>
      <c r="S2764" t="n">
        <v>1</v>
      </c>
      <c r="T2764" s="35" t="inlineStr">
        <is>
          <t>4 — Не обогащён</t>
        </is>
      </c>
      <c r="U2764" s="35" t="inlineStr">
        <is>
          <t>Нет ОКВЭД/ССЧР</t>
        </is>
      </c>
      <c r="V2764" s="35" t="inlineStr">
        <is>
          <t>Не определено</t>
        </is>
      </c>
      <c r="W2764" s="35" t="inlineStr"/>
      <c r="X2764" s="35" t="inlineStr"/>
    </row>
    <row r="2765" ht="15" customHeight="1" s="24">
      <c r="A2765" s="13" t="n">
        <v>5000090351</v>
      </c>
      <c r="B2765" s="13" t="inlineStr">
        <is>
          <t>ОГБУ «УСЗСОН по Куйтунскому району»</t>
        </is>
      </c>
      <c r="C2765" s="13" t="n">
        <v>3816034218</v>
      </c>
      <c r="D2765" s="13" t="inlineStr">
        <is>
          <t>3816034218</t>
        </is>
      </c>
      <c r="E2765" s="13" t="inlineStr">
        <is>
          <t>ЮЛ РФ</t>
        </is>
      </c>
      <c r="F2765" s="13" t="n"/>
      <c r="G2765" s="14" t="n"/>
      <c r="H2765" s="14" t="n"/>
      <c r="I2765" s="14" t="n"/>
      <c r="J2765" s="14" t="n"/>
      <c r="K2765" s="53" t="inlineStr"/>
      <c r="L2765" s="53" t="inlineStr">
        <is>
          <t>Не определено</t>
        </is>
      </c>
      <c r="M2765" s="53" t="inlineStr"/>
      <c r="N2765" s="54" t="inlineStr"/>
      <c r="O2765" s="55" t="inlineStr"/>
      <c r="P2765" s="16" t="inlineStr">
        <is>
          <t>Требует обогащения</t>
        </is>
      </c>
      <c r="Q2765" s="16">
        <f>HYPERLINK("https://pb.nalog.ru/search.html?query=3816034218","ФНС: проверить")</f>
        <v/>
      </c>
      <c r="R2765" s="16">
        <f>HYPERLINK("https://checko.ru/search?query=3801001629","Чекко: проверить")</f>
        <v/>
      </c>
      <c r="S2765" t="n">
        <v>1</v>
      </c>
      <c r="T2765" s="35" t="inlineStr">
        <is>
          <t>4 — Не обогащён</t>
        </is>
      </c>
      <c r="U2765" s="35" t="inlineStr">
        <is>
          <t>Нет ОКВЭД/ССЧР</t>
        </is>
      </c>
      <c r="V2765" s="35" t="inlineStr">
        <is>
          <t>Не определено</t>
        </is>
      </c>
      <c r="W2765" s="35" t="inlineStr"/>
      <c r="X2765" s="35" t="inlineStr"/>
    </row>
    <row r="2766" ht="15" customHeight="1" s="24">
      <c r="A2766" s="13" t="n">
        <v>5000090352</v>
      </c>
      <c r="B2766" s="13" t="inlineStr">
        <is>
          <t>ОГАУЗ "Ангарская городская больница"</t>
        </is>
      </c>
      <c r="C2766" s="13" t="n">
        <v>3801156936</v>
      </c>
      <c r="D2766" s="13" t="inlineStr">
        <is>
          <t>3801156936</t>
        </is>
      </c>
      <c r="E2766" s="13" t="inlineStr">
        <is>
          <t>ЮЛ РФ</t>
        </is>
      </c>
      <c r="F2766" s="13" t="n"/>
      <c r="G2766" s="14" t="n"/>
      <c r="H2766" s="14" t="n"/>
      <c r="I2766" s="14" t="n"/>
      <c r="J2766" s="14" t="n"/>
      <c r="K2766" s="53" t="inlineStr"/>
      <c r="L2766" s="53" t="inlineStr">
        <is>
          <t>Не определено</t>
        </is>
      </c>
      <c r="M2766" s="53" t="inlineStr"/>
      <c r="N2766" s="54" t="inlineStr"/>
      <c r="O2766" s="55" t="inlineStr"/>
      <c r="P2766" s="16" t="inlineStr">
        <is>
          <t>Требует обогащения</t>
        </is>
      </c>
      <c r="Q2766" s="16">
        <f>HYPERLINK("https://pb.nalog.ru/search.html?query=3801156936","ФНС: проверить")</f>
        <v/>
      </c>
      <c r="R2766" s="16">
        <f>HYPERLINK("https://checko.ru/search?query=3801001629","Чекко: проверить")</f>
        <v/>
      </c>
      <c r="S2766" t="n">
        <v>1</v>
      </c>
      <c r="T2766" s="35" t="inlineStr">
        <is>
          <t>4 — Не обогащён</t>
        </is>
      </c>
      <c r="U2766" s="35" t="inlineStr">
        <is>
          <t>Нет ОКВЭД/ССЧР</t>
        </is>
      </c>
      <c r="V2766" s="35" t="inlineStr">
        <is>
          <t>Не определено</t>
        </is>
      </c>
      <c r="W2766" s="35" t="inlineStr"/>
      <c r="X2766" s="35" t="inlineStr"/>
    </row>
    <row r="2767" ht="15" customHeight="1" s="24">
      <c r="A2767" s="13" t="n">
        <v>5000090353</v>
      </c>
      <c r="B2767" s="13" t="inlineStr">
        <is>
          <t>ОГБУ «УСЗСОН по Бодайбинскому району»</t>
        </is>
      </c>
      <c r="C2767" s="13" t="n">
        <v>3808278700</v>
      </c>
      <c r="D2767" s="13" t="inlineStr">
        <is>
          <t>3808278700</t>
        </is>
      </c>
      <c r="E2767" s="13" t="inlineStr">
        <is>
          <t>ЮЛ РФ</t>
        </is>
      </c>
      <c r="F2767" s="13" t="n"/>
      <c r="G2767" s="14" t="n"/>
      <c r="H2767" s="14" t="n"/>
      <c r="I2767" s="14" t="n"/>
      <c r="J2767" s="14" t="n"/>
      <c r="K2767" s="53" t="inlineStr"/>
      <c r="L2767" s="53" t="inlineStr">
        <is>
          <t>Не определено</t>
        </is>
      </c>
      <c r="M2767" s="53" t="inlineStr"/>
      <c r="N2767" s="54" t="inlineStr"/>
      <c r="O2767" s="55" t="inlineStr"/>
      <c r="P2767" s="16" t="inlineStr">
        <is>
          <t>Требует обогащения</t>
        </is>
      </c>
      <c r="Q2767" s="16">
        <f>HYPERLINK("https://pb.nalog.ru/search.html?query=3808278700","ФНС: проверить")</f>
        <v/>
      </c>
      <c r="R2767" s="16">
        <f>HYPERLINK("https://checko.ru/search?query=3801001629","Чекко: проверить")</f>
        <v/>
      </c>
      <c r="S2767" t="n">
        <v>1</v>
      </c>
      <c r="T2767" s="35" t="inlineStr">
        <is>
          <t>4 — Не обогащён</t>
        </is>
      </c>
      <c r="U2767" s="35" t="inlineStr">
        <is>
          <t>Нет ОКВЭД/ССЧР</t>
        </is>
      </c>
      <c r="V2767" s="35" t="inlineStr">
        <is>
          <t>Не определено</t>
        </is>
      </c>
      <c r="W2767" s="35" t="inlineStr"/>
      <c r="X2767" s="35" t="inlineStr"/>
    </row>
    <row r="2768" ht="15" customHeight="1" s="24">
      <c r="A2768" s="13" t="n">
        <v>5000090354</v>
      </c>
      <c r="B2768" s="13" t="inlineStr">
        <is>
          <t>ОГБУ «УСЗСОН по Казачинско-Ленскому району»</t>
        </is>
      </c>
      <c r="C2768" s="13" t="n">
        <v>3808278612</v>
      </c>
      <c r="D2768" s="13" t="inlineStr">
        <is>
          <t>3808278612</t>
        </is>
      </c>
      <c r="E2768" s="13" t="inlineStr">
        <is>
          <t>ЮЛ РФ</t>
        </is>
      </c>
      <c r="F2768" s="13" t="n"/>
      <c r="G2768" s="14" t="n"/>
      <c r="H2768" s="14" t="n"/>
      <c r="I2768" s="14" t="n"/>
      <c r="J2768" s="14" t="n"/>
      <c r="K2768" s="53" t="inlineStr"/>
      <c r="L2768" s="53" t="inlineStr">
        <is>
          <t>Не определено</t>
        </is>
      </c>
      <c r="M2768" s="53" t="inlineStr"/>
      <c r="N2768" s="54" t="inlineStr"/>
      <c r="O2768" s="55" t="inlineStr"/>
      <c r="P2768" s="16" t="inlineStr">
        <is>
          <t>Требует обогащения</t>
        </is>
      </c>
      <c r="Q2768" s="16">
        <f>HYPERLINK("https://pb.nalog.ru/search.html?query=3808278612","ФНС: проверить")</f>
        <v/>
      </c>
      <c r="R2768" s="16">
        <f>HYPERLINK("https://checko.ru/search?query=3801001629","Чекко: проверить")</f>
        <v/>
      </c>
      <c r="S2768" t="n">
        <v>1</v>
      </c>
      <c r="T2768" s="35" t="inlineStr">
        <is>
          <t>4 — Не обогащён</t>
        </is>
      </c>
      <c r="U2768" s="35" t="inlineStr">
        <is>
          <t>Нет ОКВЭД/ССЧР</t>
        </is>
      </c>
      <c r="V2768" s="35" t="inlineStr">
        <is>
          <t>Не определено</t>
        </is>
      </c>
      <c r="W2768" s="35" t="inlineStr"/>
      <c r="X2768" s="35" t="inlineStr"/>
    </row>
    <row r="2769" ht="54.75" customHeight="1" s="24">
      <c r="A2769" s="13" t="n">
        <v>5000090472</v>
      </c>
      <c r="B2769" s="13" t="inlineStr">
        <is>
          <t>МКУ "СЛУЖБА ПО РЕШЕНИЮ ВОПРОСОВ ГРАЖДАНСКОЙ ОБОРОНЫ И ЧРЕЗВЫЧАЙНЫМ СИТУАЦИЯМ МУНИЦИПАЛЬНОГО ОБРАЗОВАНИЯ "БАЯНДАЕВСКИЙ РА</t>
        </is>
      </c>
      <c r="C2769" s="13" t="n">
        <v>3849076580</v>
      </c>
      <c r="D2769" s="13" t="inlineStr">
        <is>
          <t>3849076580</t>
        </is>
      </c>
      <c r="E2769" s="13" t="inlineStr">
        <is>
          <t>ЮЛ РФ</t>
        </is>
      </c>
      <c r="F2769" s="13" t="n"/>
      <c r="G2769" s="14" t="n"/>
      <c r="H2769" s="14" t="n"/>
      <c r="I2769" s="14" t="n"/>
      <c r="J2769" s="14" t="n"/>
      <c r="K2769" s="53" t="inlineStr"/>
      <c r="L2769" s="53" t="inlineStr">
        <is>
          <t>Не определено</t>
        </is>
      </c>
      <c r="M2769" s="53" t="inlineStr"/>
      <c r="N2769" s="54" t="inlineStr"/>
      <c r="O2769" s="55" t="inlineStr"/>
      <c r="P2769" s="16" t="inlineStr">
        <is>
          <t>Требует обогащения</t>
        </is>
      </c>
      <c r="Q2769" s="16">
        <f>HYPERLINK("https://pb.nalog.ru/search.html?query=3849076580","ФНС: проверить")</f>
        <v/>
      </c>
      <c r="R2769" s="16">
        <f>HYPERLINK("https://checko.ru/search?query=3801001629","Чекко: проверить")</f>
        <v/>
      </c>
      <c r="S2769" t="n">
        <v>1</v>
      </c>
      <c r="T2769" s="35" t="inlineStr">
        <is>
          <t>4 — Не обогащён</t>
        </is>
      </c>
      <c r="U2769" s="35" t="inlineStr">
        <is>
          <t>Нет ОКВЭД/ССЧР</t>
        </is>
      </c>
      <c r="V2769" s="35" t="inlineStr">
        <is>
          <t>Не определено</t>
        </is>
      </c>
      <c r="W2769" s="35" t="inlineStr"/>
      <c r="X2769" s="35" t="inlineStr"/>
    </row>
    <row r="2770" ht="15" customHeight="1" s="24">
      <c r="A2770" s="13" t="n">
        <v>5000090355</v>
      </c>
      <c r="B2770" s="13" t="inlineStr">
        <is>
          <t>ОГБУ «УСЗСОН по Балаганскому району»</t>
        </is>
      </c>
      <c r="C2770" s="13" t="n">
        <v>3816034225</v>
      </c>
      <c r="D2770" s="13" t="inlineStr">
        <is>
          <t>3816034225</t>
        </is>
      </c>
      <c r="E2770" s="13" t="inlineStr">
        <is>
          <t>ЮЛ РФ</t>
        </is>
      </c>
      <c r="F2770" s="13" t="n"/>
      <c r="G2770" s="14" t="n"/>
      <c r="H2770" s="14" t="n"/>
      <c r="I2770" s="14" t="n"/>
      <c r="J2770" s="14" t="n"/>
      <c r="K2770" s="53" t="inlineStr"/>
      <c r="L2770" s="53" t="inlineStr">
        <is>
          <t>Не определено</t>
        </is>
      </c>
      <c r="M2770" s="53" t="inlineStr"/>
      <c r="N2770" s="54" t="inlineStr"/>
      <c r="O2770" s="55" t="inlineStr"/>
      <c r="P2770" s="16" t="inlineStr">
        <is>
          <t>Требует обогащения</t>
        </is>
      </c>
      <c r="Q2770" s="16">
        <f>HYPERLINK("https://pb.nalog.ru/search.html?query=3816034225","ФНС: проверить")</f>
        <v/>
      </c>
      <c r="R2770" s="16">
        <f>HYPERLINK("https://checko.ru/search?query=3801001629","Чекко: проверить")</f>
        <v/>
      </c>
      <c r="S2770" t="n">
        <v>1</v>
      </c>
      <c r="T2770" s="35" t="inlineStr">
        <is>
          <t>4 — Не обогащён</t>
        </is>
      </c>
      <c r="U2770" s="35" t="inlineStr">
        <is>
          <t>Нет ОКВЭД/ССЧР</t>
        </is>
      </c>
      <c r="V2770" s="35" t="inlineStr">
        <is>
          <t>Не определено</t>
        </is>
      </c>
      <c r="W2770" s="35" t="inlineStr"/>
      <c r="X2770" s="35" t="inlineStr"/>
    </row>
    <row r="2771" ht="27.75" customHeight="1" s="24">
      <c r="A2771" s="13" t="n">
        <v>5000090356</v>
      </c>
      <c r="B2771" s="13" t="inlineStr">
        <is>
          <t>ГКУ ИО «Единый центр обслуживания в сфере образования»</t>
        </is>
      </c>
      <c r="C2771" s="13" t="n">
        <v>3808278845</v>
      </c>
      <c r="D2771" s="13" t="inlineStr">
        <is>
          <t>3808278845</t>
        </is>
      </c>
      <c r="E2771" s="13" t="inlineStr">
        <is>
          <t>ЮЛ РФ</t>
        </is>
      </c>
      <c r="F2771" s="13" t="n"/>
      <c r="G2771" s="14" t="n"/>
      <c r="H2771" s="14" t="n"/>
      <c r="I2771" s="14" t="n"/>
      <c r="J2771" s="14" t="n"/>
      <c r="K2771" s="53" t="inlineStr"/>
      <c r="L2771" s="53" t="inlineStr">
        <is>
          <t>Не определено</t>
        </is>
      </c>
      <c r="M2771" s="53" t="inlineStr"/>
      <c r="N2771" s="54" t="inlineStr"/>
      <c r="O2771" s="55" t="inlineStr"/>
      <c r="P2771" s="16" t="inlineStr">
        <is>
          <t>Требует обогащения</t>
        </is>
      </c>
      <c r="Q2771" s="16">
        <f>HYPERLINK("https://pb.nalog.ru/search.html?query=3808278845","ФНС: проверить")</f>
        <v/>
      </c>
      <c r="R2771" s="16">
        <f>HYPERLINK("https://checko.ru/search?query=3801001629","Чекко: проверить")</f>
        <v/>
      </c>
      <c r="S2771" t="n">
        <v>1</v>
      </c>
      <c r="T2771" s="35" t="inlineStr">
        <is>
          <t>4 — Не обогащён</t>
        </is>
      </c>
      <c r="U2771" s="35" t="inlineStr">
        <is>
          <t>Нет ОКВЭД/ССЧР</t>
        </is>
      </c>
      <c r="V2771" s="35" t="inlineStr">
        <is>
          <t>Не определено</t>
        </is>
      </c>
      <c r="W2771" s="35" t="inlineStr"/>
      <c r="X2771" s="35" t="inlineStr"/>
    </row>
    <row r="2772" ht="15" customHeight="1" s="24">
      <c r="A2772" s="13" t="n">
        <v>5000090119</v>
      </c>
      <c r="B2772" s="13" t="inlineStr">
        <is>
          <t>МАУ "Комбинат питания "Доброе кафе"</t>
        </is>
      </c>
      <c r="C2772" s="13" t="n">
        <v>5032343240</v>
      </c>
      <c r="D2772" s="13" t="inlineStr">
        <is>
          <t>5032343240</t>
        </is>
      </c>
      <c r="E2772" s="13" t="inlineStr">
        <is>
          <t>ЮЛ РФ</t>
        </is>
      </c>
      <c r="F2772" s="13" t="n"/>
      <c r="G2772" s="14" t="n"/>
      <c r="H2772" s="14" t="n"/>
      <c r="I2772" s="14" t="n"/>
      <c r="J2772" s="14" t="n"/>
      <c r="K2772" s="53" t="inlineStr"/>
      <c r="L2772" s="53" t="inlineStr">
        <is>
          <t>Не определено</t>
        </is>
      </c>
      <c r="M2772" s="53" t="inlineStr"/>
      <c r="N2772" s="54" t="inlineStr"/>
      <c r="O2772" s="55" t="inlineStr"/>
      <c r="P2772" s="16" t="inlineStr">
        <is>
          <t>Требует обогащения</t>
        </is>
      </c>
      <c r="Q2772" s="16">
        <f>HYPERLINK("https://pb.nalog.ru/search.html?query=5032343240","ФНС: проверить")</f>
        <v/>
      </c>
      <c r="R2772" s="16">
        <f>HYPERLINK("https://checko.ru/search?query=3801001629","Чекко: проверить")</f>
        <v/>
      </c>
      <c r="S2772" t="n">
        <v>1</v>
      </c>
      <c r="T2772" s="35" t="inlineStr">
        <is>
          <t>4 — Не обогащён</t>
        </is>
      </c>
      <c r="U2772" s="35" t="inlineStr">
        <is>
          <t>Нет ОКВЭД/ССЧР</t>
        </is>
      </c>
      <c r="V2772" s="35" t="inlineStr">
        <is>
          <t>Не определено</t>
        </is>
      </c>
      <c r="W2772" s="35" t="inlineStr"/>
      <c r="X2772" s="35" t="inlineStr"/>
    </row>
    <row r="2773" ht="15" customHeight="1" s="24">
      <c r="A2773" s="13" t="n">
        <v>5000094425</v>
      </c>
      <c r="B2773" s="13" t="inlineStr">
        <is>
          <t>Местная администрация с.п. Нижний Куркужин</t>
        </is>
      </c>
      <c r="C2773" s="13" t="n">
        <v>701004684</v>
      </c>
      <c r="D2773" s="13" t="n"/>
      <c r="E2773" s="13" t="inlineStr">
        <is>
          <t>Не определён</t>
        </is>
      </c>
      <c r="F2773" s="13" t="inlineStr">
        <is>
          <t>701004684</t>
        </is>
      </c>
      <c r="G2773" s="14" t="n"/>
      <c r="H2773" s="14" t="n"/>
      <c r="I2773" s="14" t="n"/>
      <c r="J2773" s="14" t="n"/>
      <c r="K2773" s="13">
        <f>IF(G2773="","",IF(G2773&gt;=22,"Да","Нет"))</f>
        <v/>
      </c>
      <c r="L2773" s="13">
        <f>IF(OR(I2773="",J2773=""),"Не определено",IF(OR(COUNTIF(I2773,"45*")&gt;0,COUNTIF(J2773,"*45*")&gt;0,COUNTIF(I2773,"46*")&gt;0,COUNTIF(J2773,"*46*")&gt;0,COUNTIF(I2773,"47*")&gt;0,COUNTIF(J2773,"*47*")&gt;0,COUNTIF(I2773,"10*")&gt;0,COUNTIF(J2773,"*10*")&gt;0,COUNTIF(I2773,"11*")&gt;0,COUNTIF(J2773,"*11*")&gt;0,COUNTIF(I2773,"12*")&gt;0,COUNTIF(J2773,"*12*")&gt;0,COUNTIF(I2773,"13*")&gt;0,COUNTIF(J2773,"*13*")&gt;0,COUNTIF(I2773,"14*")&gt;0,COUNTIF(J2773,"*14*")&gt;0,COUNTIF(I2773,"15*")&gt;0,COUNTIF(J2773,"*15*")&gt;0,COUNTIF(I2773,"16*")&gt;0,COUNTIF(J2773,"*16*")&gt;0,COUNTIF(I2773,"17*")&gt;0,COUNTIF(J2773,"*17*")&gt;0,COUNTIF(I2773,"18*")&gt;0,COUNTIF(J2773,"*18*")&gt;0,COUNTIF(I2773,"19*")&gt;0,COUNTIF(J2773,"*19*")&gt;0,COUNTIF(I2773,"20*")&gt;0,COUNTIF(J2773,"*20*")&gt;0,COUNTIF(I2773,"21*")&gt;0,COUNTIF(J2773,"*21*")&gt;0,COUNTIF(I2773,"22*")&gt;0,COUNTIF(J2773,"*22*")&gt;0,COUNTIF(I2773,"23*")&gt;0,COUNTIF(J2773,"*23*")&gt;0,COUNTIF(I2773,"24*")&gt;0,COUNTIF(J2773,"*24*")&gt;0,COUNTIF(I2773,"25*")&gt;0,COUNTIF(J2773,"*25*")&gt;0,COUNTIF(I2773,"26*")&gt;0,COUNTIF(J2773,"*26*")&gt;0,COUNTIF(I2773,"27*")&gt;0,COUNTIF(J2773,"*27*")&gt;0,COUNTIF(I2773,"28*")&gt;0,COUNTIF(J2773,"*28*")&gt;0,COUNTIF(I2773,"29*")&gt;0,COUNTIF(J2773,"*29*")&gt;0,COUNTIF(I2773,"30*")&gt;0,COUNTIF(J2773,"*30*")&gt;0,COUNTIF(I2773,"31*")&gt;0,COUNTIF(J2773,"*31*")&gt;0,COUNTIF(I2773,"32*")&gt;0,COUNTIF(J2773,"*32*")&gt;0,COUNTIF(I2773,"33*")&gt;0,COUNTIF(J2773,"*33*")&gt;0,COUNTIF(I2773,"41*")&gt;0,COUNTIF(J2773,"*41*")&gt;0,COUNTIF(I2773,"42*")&gt;0,COUNTIF(J2773,"*42*")&gt;0,COUNTIF(I2773,"43*")&gt;0,COUNTIF(J2773,"*43*")&gt;0,COUNTIF(I2773,"49*")&gt;0,COUNTIF(J2773,"*49*")&gt;0,COUNTIF(I2773,"52*")&gt;0,COUNTIF(J2773,"*52*")&gt;0,COUNTIF(I2773,"55*")&gt;0,COUNTIF(J2773,"*55*")&gt;0,COUNTIF(I2773,"56*")&gt;0,COUNTIF(J2773,"*56*")&gt;0,COUNTIF(I2773,"68*")&gt;0,COUNTIF(J2773,"*68*")&gt;0,COUNTIF(I2773,"78*")&gt;0,COUNTIF(J2773,"*78*")&gt;0,COUNTIF(I2773,"81*")&gt;0,COUNTIF(J2773,"*81*")&gt;0,COUNTIF(I2773,"82*")&gt;0,COUNTIF(J2773,"*82*")&gt;0,COUNTIF(I2773,"64*")&gt;0,COUNTIF(J2773,"*64*")&gt;0,COUNTIF(I2773,"65*")&gt;0,COUNTIF(J2773,"*65*")&gt;0,COUNTIF(I2773,"66*")&gt;0,COUNTIF(J2773,"*66*")&gt;0,COUNTIF(I2773,"61*")&gt;0,COUNTIF(J2773,"*61*")&gt;0,COUNTIF(I2773,"62*")&gt;0,COUNTIF(J2773,"*62*")&gt;0,COUNTIF(I2773,"63*")&gt;0,COUNTIF(J2773,"*63*")&gt;0,COUNTIF(I2773,"85*")&gt;0,COUNTIF(J2773,"*85*")&gt;0,COUNTIF(I2773,"86*")&gt;0,COUNTIF(J2773,"*86*")&gt;0),"Да","Нет"))</f>
        <v/>
      </c>
      <c r="M2773" s="13">
        <f>IF(OR(G2773="",L2773&lt;&gt;"Да"),"",IF(G2773&lt;=100,"До 100",IF(G2773&lt;=200,"До 200",IF(G2773&lt;=500,"До 500","Отдельное КП"))))</f>
        <v/>
      </c>
      <c r="N2773" s="15">
        <f>IF(OR(G2773="",L2773&lt;&gt;"Да"),"",IF(G2773&lt;=100,33600,IF(G2773&lt;=200,62400,IF(G2773&lt;=500,144000,""))))</f>
        <v/>
      </c>
      <c r="O2773" s="16">
        <f>IF(G2773="","",IF(G2773&lt;=15,"1–15",IF(G2773&lt;=30,"16–30",IF(G2773&lt;=50,"31–50",IF(G2773&lt;=100,"51–100",IF(G2773&lt;=150,"101–150",IF(G2773&lt;=200,"151–200",IF(G2773&lt;=500,"201–500","500+"))))))))</f>
        <v/>
      </c>
      <c r="P2773" s="16" t="inlineStr">
        <is>
          <t>Нет совпадения в предоставленной выгрузке ССЧР</t>
        </is>
      </c>
      <c r="Q2773" s="16" t="n"/>
      <c r="R2773" s="16">
        <f>HYPERLINK("https://checko.ru/search?query=3801001629","Чекко: проверить")</f>
        <v/>
      </c>
      <c r="S2773" t="n">
        <v>0</v>
      </c>
    </row>
    <row r="2774" ht="15" customHeight="1" s="24">
      <c r="A2774" s="13" t="n">
        <v>5000094426</v>
      </c>
      <c r="B2774" s="13" t="inlineStr">
        <is>
          <t>Местная администрация с.п. В-Куркужин</t>
        </is>
      </c>
      <c r="C2774" s="13" t="n">
        <v>701004691</v>
      </c>
      <c r="D2774" s="13" t="n"/>
      <c r="E2774" s="13" t="inlineStr">
        <is>
          <t>Не определён</t>
        </is>
      </c>
      <c r="F2774" s="13" t="inlineStr">
        <is>
          <t>701004691</t>
        </is>
      </c>
      <c r="G2774" s="14" t="n"/>
      <c r="H2774" s="14" t="n"/>
      <c r="I2774" s="14" t="n"/>
      <c r="J2774" s="14" t="n"/>
      <c r="K2774" s="13">
        <f>IF(G2774="","",IF(G2774&gt;=22,"Да","Нет"))</f>
        <v/>
      </c>
      <c r="L2774" s="13">
        <f>IF(OR(I2774="",J2774=""),"Не определено",IF(OR(COUNTIF(I2774,"45*")&gt;0,COUNTIF(J2774,"*45*")&gt;0,COUNTIF(I2774,"46*")&gt;0,COUNTIF(J2774,"*46*")&gt;0,COUNTIF(I2774,"47*")&gt;0,COUNTIF(J2774,"*47*")&gt;0,COUNTIF(I2774,"10*")&gt;0,COUNTIF(J2774,"*10*")&gt;0,COUNTIF(I2774,"11*")&gt;0,COUNTIF(J2774,"*11*")&gt;0,COUNTIF(I2774,"12*")&gt;0,COUNTIF(J2774,"*12*")&gt;0,COUNTIF(I2774,"13*")&gt;0,COUNTIF(J2774,"*13*")&gt;0,COUNTIF(I2774,"14*")&gt;0,COUNTIF(J2774,"*14*")&gt;0,COUNTIF(I2774,"15*")&gt;0,COUNTIF(J2774,"*15*")&gt;0,COUNTIF(I2774,"16*")&gt;0,COUNTIF(J2774,"*16*")&gt;0,COUNTIF(I2774,"17*")&gt;0,COUNTIF(J2774,"*17*")&gt;0,COUNTIF(I2774,"18*")&gt;0,COUNTIF(J2774,"*18*")&gt;0,COUNTIF(I2774,"19*")&gt;0,COUNTIF(J2774,"*19*")&gt;0,COUNTIF(I2774,"20*")&gt;0,COUNTIF(J2774,"*20*")&gt;0,COUNTIF(I2774,"21*")&gt;0,COUNTIF(J2774,"*21*")&gt;0,COUNTIF(I2774,"22*")&gt;0,COUNTIF(J2774,"*22*")&gt;0,COUNTIF(I2774,"23*")&gt;0,COUNTIF(J2774,"*23*")&gt;0,COUNTIF(I2774,"24*")&gt;0,COUNTIF(J2774,"*24*")&gt;0,COUNTIF(I2774,"25*")&gt;0,COUNTIF(J2774,"*25*")&gt;0,COUNTIF(I2774,"26*")&gt;0,COUNTIF(J2774,"*26*")&gt;0,COUNTIF(I2774,"27*")&gt;0,COUNTIF(J2774,"*27*")&gt;0,COUNTIF(I2774,"28*")&gt;0,COUNTIF(J2774,"*28*")&gt;0,COUNTIF(I2774,"29*")&gt;0,COUNTIF(J2774,"*29*")&gt;0,COUNTIF(I2774,"30*")&gt;0,COUNTIF(J2774,"*30*")&gt;0,COUNTIF(I2774,"31*")&gt;0,COUNTIF(J2774,"*31*")&gt;0,COUNTIF(I2774,"32*")&gt;0,COUNTIF(J2774,"*32*")&gt;0,COUNTIF(I2774,"33*")&gt;0,COUNTIF(J2774,"*33*")&gt;0,COUNTIF(I2774,"41*")&gt;0,COUNTIF(J2774,"*41*")&gt;0,COUNTIF(I2774,"42*")&gt;0,COUNTIF(J2774,"*42*")&gt;0,COUNTIF(I2774,"43*")&gt;0,COUNTIF(J2774,"*43*")&gt;0,COUNTIF(I2774,"49*")&gt;0,COUNTIF(J2774,"*49*")&gt;0,COUNTIF(I2774,"52*")&gt;0,COUNTIF(J2774,"*52*")&gt;0,COUNTIF(I2774,"55*")&gt;0,COUNTIF(J2774,"*55*")&gt;0,COUNTIF(I2774,"56*")&gt;0,COUNTIF(J2774,"*56*")&gt;0,COUNTIF(I2774,"68*")&gt;0,COUNTIF(J2774,"*68*")&gt;0,COUNTIF(I2774,"78*")&gt;0,COUNTIF(J2774,"*78*")&gt;0,COUNTIF(I2774,"81*")&gt;0,COUNTIF(J2774,"*81*")&gt;0,COUNTIF(I2774,"82*")&gt;0,COUNTIF(J2774,"*82*")&gt;0,COUNTIF(I2774,"64*")&gt;0,COUNTIF(J2774,"*64*")&gt;0,COUNTIF(I2774,"65*")&gt;0,COUNTIF(J2774,"*65*")&gt;0,COUNTIF(I2774,"66*")&gt;0,COUNTIF(J2774,"*66*")&gt;0,COUNTIF(I2774,"61*")&gt;0,COUNTIF(J2774,"*61*")&gt;0,COUNTIF(I2774,"62*")&gt;0,COUNTIF(J2774,"*62*")&gt;0,COUNTIF(I2774,"63*")&gt;0,COUNTIF(J2774,"*63*")&gt;0,COUNTIF(I2774,"85*")&gt;0,COUNTIF(J2774,"*85*")&gt;0,COUNTIF(I2774,"86*")&gt;0,COUNTIF(J2774,"*86*")&gt;0),"Да","Нет"))</f>
        <v/>
      </c>
      <c r="M2774" s="13">
        <f>IF(OR(G2774="",L2774&lt;&gt;"Да"),"",IF(G2774&lt;=100,"До 100",IF(G2774&lt;=200,"До 200",IF(G2774&lt;=500,"До 500","Отдельное КП"))))</f>
        <v/>
      </c>
      <c r="N2774" s="15">
        <f>IF(OR(G2774="",L2774&lt;&gt;"Да"),"",IF(G2774&lt;=100,33600,IF(G2774&lt;=200,62400,IF(G2774&lt;=500,144000,""))))</f>
        <v/>
      </c>
      <c r="O2774" s="16">
        <f>IF(G2774="","",IF(G2774&lt;=15,"1–15",IF(G2774&lt;=30,"16–30",IF(G2774&lt;=50,"31–50",IF(G2774&lt;=100,"51–100",IF(G2774&lt;=150,"101–150",IF(G2774&lt;=200,"151–200",IF(G2774&lt;=500,"201–500","500+"))))))))</f>
        <v/>
      </c>
      <c r="P2774" s="16" t="inlineStr">
        <is>
          <t>Нет совпадения в предоставленной выгрузке ССЧР</t>
        </is>
      </c>
      <c r="Q2774" s="16" t="n"/>
      <c r="R2774" s="16">
        <f>HYPERLINK("https://checko.ru/search?query=3801001629","Чекко: проверить")</f>
        <v/>
      </c>
      <c r="S2774" t="n">
        <v>0</v>
      </c>
    </row>
    <row r="2775" ht="15" customHeight="1" s="24">
      <c r="A2775" s="13" t="n">
        <v>5000094388</v>
      </c>
      <c r="B2775" s="13" t="inlineStr">
        <is>
          <t>МКУ "ДОМ КУЛЬТУРЫ"С.П.ЗАЛУКОДЕС</t>
        </is>
      </c>
      <c r="C2775" s="13" t="n">
        <v>700004949</v>
      </c>
      <c r="D2775" s="13" t="n"/>
      <c r="E2775" s="13" t="inlineStr">
        <is>
          <t>Не определён</t>
        </is>
      </c>
      <c r="F2775" s="13" t="inlineStr">
        <is>
          <t>700004949</t>
        </is>
      </c>
      <c r="G2775" s="14" t="n"/>
      <c r="H2775" s="14" t="n"/>
      <c r="I2775" s="14" t="n"/>
      <c r="J2775" s="14" t="n"/>
      <c r="K2775" s="13">
        <f>IF(G2775="","",IF(G2775&gt;=22,"Да","Нет"))</f>
        <v/>
      </c>
      <c r="L2775" s="13">
        <f>IF(OR(I2775="",J2775=""),"Не определено",IF(OR(COUNTIF(I2775,"45*")&gt;0,COUNTIF(J2775,"*45*")&gt;0,COUNTIF(I2775,"46*")&gt;0,COUNTIF(J2775,"*46*")&gt;0,COUNTIF(I2775,"47*")&gt;0,COUNTIF(J2775,"*47*")&gt;0,COUNTIF(I2775,"10*")&gt;0,COUNTIF(J2775,"*10*")&gt;0,COUNTIF(I2775,"11*")&gt;0,COUNTIF(J2775,"*11*")&gt;0,COUNTIF(I2775,"12*")&gt;0,COUNTIF(J2775,"*12*")&gt;0,COUNTIF(I2775,"13*")&gt;0,COUNTIF(J2775,"*13*")&gt;0,COUNTIF(I2775,"14*")&gt;0,COUNTIF(J2775,"*14*")&gt;0,COUNTIF(I2775,"15*")&gt;0,COUNTIF(J2775,"*15*")&gt;0,COUNTIF(I2775,"16*")&gt;0,COUNTIF(J2775,"*16*")&gt;0,COUNTIF(I2775,"17*")&gt;0,COUNTIF(J2775,"*17*")&gt;0,COUNTIF(I2775,"18*")&gt;0,COUNTIF(J2775,"*18*")&gt;0,COUNTIF(I2775,"19*")&gt;0,COUNTIF(J2775,"*19*")&gt;0,COUNTIF(I2775,"20*")&gt;0,COUNTIF(J2775,"*20*")&gt;0,COUNTIF(I2775,"21*")&gt;0,COUNTIF(J2775,"*21*")&gt;0,COUNTIF(I2775,"22*")&gt;0,COUNTIF(J2775,"*22*")&gt;0,COUNTIF(I2775,"23*")&gt;0,COUNTIF(J2775,"*23*")&gt;0,COUNTIF(I2775,"24*")&gt;0,COUNTIF(J2775,"*24*")&gt;0,COUNTIF(I2775,"25*")&gt;0,COUNTIF(J2775,"*25*")&gt;0,COUNTIF(I2775,"26*")&gt;0,COUNTIF(J2775,"*26*")&gt;0,COUNTIF(I2775,"27*")&gt;0,COUNTIF(J2775,"*27*")&gt;0,COUNTIF(I2775,"28*")&gt;0,COUNTIF(J2775,"*28*")&gt;0,COUNTIF(I2775,"29*")&gt;0,COUNTIF(J2775,"*29*")&gt;0,COUNTIF(I2775,"30*")&gt;0,COUNTIF(J2775,"*30*")&gt;0,COUNTIF(I2775,"31*")&gt;0,COUNTIF(J2775,"*31*")&gt;0,COUNTIF(I2775,"32*")&gt;0,COUNTIF(J2775,"*32*")&gt;0,COUNTIF(I2775,"33*")&gt;0,COUNTIF(J2775,"*33*")&gt;0,COUNTIF(I2775,"41*")&gt;0,COUNTIF(J2775,"*41*")&gt;0,COUNTIF(I2775,"42*")&gt;0,COUNTIF(J2775,"*42*")&gt;0,COUNTIF(I2775,"43*")&gt;0,COUNTIF(J2775,"*43*")&gt;0,COUNTIF(I2775,"49*")&gt;0,COUNTIF(J2775,"*49*")&gt;0,COUNTIF(I2775,"52*")&gt;0,COUNTIF(J2775,"*52*")&gt;0,COUNTIF(I2775,"55*")&gt;0,COUNTIF(J2775,"*55*")&gt;0,COUNTIF(I2775,"56*")&gt;0,COUNTIF(J2775,"*56*")&gt;0,COUNTIF(I2775,"68*")&gt;0,COUNTIF(J2775,"*68*")&gt;0,COUNTIF(I2775,"78*")&gt;0,COUNTIF(J2775,"*78*")&gt;0,COUNTIF(I2775,"81*")&gt;0,COUNTIF(J2775,"*81*")&gt;0,COUNTIF(I2775,"82*")&gt;0,COUNTIF(J2775,"*82*")&gt;0,COUNTIF(I2775,"64*")&gt;0,COUNTIF(J2775,"*64*")&gt;0,COUNTIF(I2775,"65*")&gt;0,COUNTIF(J2775,"*65*")&gt;0,COUNTIF(I2775,"66*")&gt;0,COUNTIF(J2775,"*66*")&gt;0,COUNTIF(I2775,"61*")&gt;0,COUNTIF(J2775,"*61*")&gt;0,COUNTIF(I2775,"62*")&gt;0,COUNTIF(J2775,"*62*")&gt;0,COUNTIF(I2775,"63*")&gt;0,COUNTIF(J2775,"*63*")&gt;0,COUNTIF(I2775,"85*")&gt;0,COUNTIF(J2775,"*85*")&gt;0,COUNTIF(I2775,"86*")&gt;0,COUNTIF(J2775,"*86*")&gt;0),"Да","Нет"))</f>
        <v/>
      </c>
      <c r="M2775" s="13">
        <f>IF(OR(G2775="",L2775&lt;&gt;"Да"),"",IF(G2775&lt;=100,"До 100",IF(G2775&lt;=200,"До 200",IF(G2775&lt;=500,"До 500","Отдельное КП"))))</f>
        <v/>
      </c>
      <c r="N2775" s="15">
        <f>IF(OR(G2775="",L2775&lt;&gt;"Да"),"",IF(G2775&lt;=100,33600,IF(G2775&lt;=200,62400,IF(G2775&lt;=500,144000,""))))</f>
        <v/>
      </c>
      <c r="O2775" s="16">
        <f>IF(G2775="","",IF(G2775&lt;=15,"1–15",IF(G2775&lt;=30,"16–30",IF(G2775&lt;=50,"31–50",IF(G2775&lt;=100,"51–100",IF(G2775&lt;=150,"101–150",IF(G2775&lt;=200,"151–200",IF(G2775&lt;=500,"201–500","500+"))))))))</f>
        <v/>
      </c>
      <c r="P2775" s="16" t="inlineStr">
        <is>
          <t>Нет совпадения в предоставленной выгрузке ССЧР</t>
        </is>
      </c>
      <c r="Q2775" s="16" t="n"/>
      <c r="R2775" s="16">
        <f>HYPERLINK("https://checko.ru/search?query=3801001629","Чекко: проверить")</f>
        <v/>
      </c>
      <c r="S2775" t="n">
        <v>0</v>
      </c>
    </row>
    <row r="2776" ht="27.75" customHeight="1" s="24">
      <c r="A2776" s="13" t="n">
        <v>5000097387</v>
      </c>
      <c r="B2776" s="13" t="inlineStr">
        <is>
          <t>Финансовый отдел администрации муниципального образования "Бильчир"</t>
        </is>
      </c>
      <c r="C2776" s="13" t="n">
        <v>8505003738</v>
      </c>
      <c r="D2776" s="13" t="inlineStr">
        <is>
          <t>8505003738</t>
        </is>
      </c>
      <c r="E2776" s="13" t="inlineStr">
        <is>
          <t>ЮЛ РФ</t>
        </is>
      </c>
      <c r="F2776" s="13" t="n"/>
      <c r="G2776" s="14" t="n"/>
      <c r="H2776" s="14" t="n"/>
      <c r="I2776" s="14" t="n"/>
      <c r="J2776" s="14" t="n"/>
      <c r="K2776" s="53" t="inlineStr"/>
      <c r="L2776" s="53" t="inlineStr">
        <is>
          <t>Не определено</t>
        </is>
      </c>
      <c r="M2776" s="53" t="inlineStr"/>
      <c r="N2776" s="54" t="inlineStr"/>
      <c r="O2776" s="55" t="inlineStr"/>
      <c r="P2776" s="16" t="inlineStr">
        <is>
          <t>Требует обогащения</t>
        </is>
      </c>
      <c r="Q2776" s="16">
        <f>HYPERLINK("https://pb.nalog.ru/search.html?query=8505003738","ФНС: проверить")</f>
        <v/>
      </c>
      <c r="R2776" s="16">
        <f>HYPERLINK("https://checko.ru/search?query=3801001629","Чекко: проверить")</f>
        <v/>
      </c>
      <c r="S2776" t="n">
        <v>1</v>
      </c>
      <c r="T2776" s="35" t="inlineStr">
        <is>
          <t>4 — Не обогащён</t>
        </is>
      </c>
      <c r="U2776" s="35" t="inlineStr">
        <is>
          <t>Нет ОКВЭД/ССЧР</t>
        </is>
      </c>
      <c r="V2776" s="35" t="inlineStr">
        <is>
          <t>Не определено</t>
        </is>
      </c>
      <c r="W2776" s="35" t="inlineStr"/>
      <c r="X2776" s="35" t="inlineStr"/>
    </row>
    <row r="2777" ht="27.75" customHeight="1" s="24">
      <c r="A2777" s="13" t="n">
        <v>5000097388</v>
      </c>
      <c r="B2777" s="13" t="inlineStr">
        <is>
          <t>МБУК "Бильчирский культурно-досуговый центр им. Арзаева А.А."</t>
        </is>
      </c>
      <c r="C2777" s="13" t="n">
        <v>3849012918</v>
      </c>
      <c r="D2777" s="13" t="inlineStr">
        <is>
          <t>3849012918</t>
        </is>
      </c>
      <c r="E2777" s="13" t="inlineStr">
        <is>
          <t>ЮЛ РФ</t>
        </is>
      </c>
      <c r="F2777" s="13" t="n"/>
      <c r="G2777" s="14" t="n"/>
      <c r="H2777" s="14" t="n"/>
      <c r="I2777" s="14" t="n"/>
      <c r="J2777" s="14" t="n"/>
      <c r="K2777" s="53" t="inlineStr"/>
      <c r="L2777" s="53" t="inlineStr">
        <is>
          <t>Не определено</t>
        </is>
      </c>
      <c r="M2777" s="53" t="inlineStr"/>
      <c r="N2777" s="54" t="inlineStr"/>
      <c r="O2777" s="55" t="inlineStr"/>
      <c r="P2777" s="16" t="inlineStr">
        <is>
          <t>Требует обогащения</t>
        </is>
      </c>
      <c r="Q2777" s="16">
        <f>HYPERLINK("https://pb.nalog.ru/search.html?query=3849012918","ФНС: проверить")</f>
        <v/>
      </c>
      <c r="R2777" s="16">
        <f>HYPERLINK("https://checko.ru/search?query=3801001629","Чекко: проверить")</f>
        <v/>
      </c>
      <c r="S2777" t="n">
        <v>1</v>
      </c>
      <c r="T2777" s="35" t="inlineStr">
        <is>
          <t>4 — Не обогащён</t>
        </is>
      </c>
      <c r="U2777" s="35" t="inlineStr">
        <is>
          <t>Нет ОКВЭД/ССЧР</t>
        </is>
      </c>
      <c r="V2777" s="35" t="inlineStr">
        <is>
          <t>Не определено</t>
        </is>
      </c>
      <c r="W2777" s="35" t="inlineStr"/>
      <c r="X2777" s="35" t="inlineStr"/>
    </row>
    <row r="2778" ht="15" customHeight="1" s="24">
      <c r="A2778" s="13" t="n">
        <v>5000095297</v>
      </c>
      <c r="B2778" s="13" t="inlineStr">
        <is>
          <t>МКДОУ "Детский сад № 3"  г.о.Нальчик КБР</t>
        </is>
      </c>
      <c r="C2778" s="13" t="n">
        <v>726025654</v>
      </c>
      <c r="D2778" s="13" t="n"/>
      <c r="E2778" s="13" t="inlineStr">
        <is>
          <t>Не определён</t>
        </is>
      </c>
      <c r="F2778" s="13" t="inlineStr">
        <is>
          <t>726025654</t>
        </is>
      </c>
      <c r="G2778" s="14" t="n"/>
      <c r="H2778" s="14" t="n"/>
      <c r="I2778" s="14" t="n"/>
      <c r="J2778" s="14" t="n"/>
      <c r="K2778" s="13">
        <f>IF(G2778="","",IF(G2778&gt;=22,"Да","Нет"))</f>
        <v/>
      </c>
      <c r="L2778" s="13">
        <f>IF(OR(I2778="",J2778=""),"Не определено",IF(OR(COUNTIF(I2778,"45*")&gt;0,COUNTIF(J2778,"*45*")&gt;0,COUNTIF(I2778,"46*")&gt;0,COUNTIF(J2778,"*46*")&gt;0,COUNTIF(I2778,"47*")&gt;0,COUNTIF(J2778,"*47*")&gt;0,COUNTIF(I2778,"10*")&gt;0,COUNTIF(J2778,"*10*")&gt;0,COUNTIF(I2778,"11*")&gt;0,COUNTIF(J2778,"*11*")&gt;0,COUNTIF(I2778,"12*")&gt;0,COUNTIF(J2778,"*12*")&gt;0,COUNTIF(I2778,"13*")&gt;0,COUNTIF(J2778,"*13*")&gt;0,COUNTIF(I2778,"14*")&gt;0,COUNTIF(J2778,"*14*")&gt;0,COUNTIF(I2778,"15*")&gt;0,COUNTIF(J2778,"*15*")&gt;0,COUNTIF(I2778,"16*")&gt;0,COUNTIF(J2778,"*16*")&gt;0,COUNTIF(I2778,"17*")&gt;0,COUNTIF(J2778,"*17*")&gt;0,COUNTIF(I2778,"18*")&gt;0,COUNTIF(J2778,"*18*")&gt;0,COUNTIF(I2778,"19*")&gt;0,COUNTIF(J2778,"*19*")&gt;0,COUNTIF(I2778,"20*")&gt;0,COUNTIF(J2778,"*20*")&gt;0,COUNTIF(I2778,"21*")&gt;0,COUNTIF(J2778,"*21*")&gt;0,COUNTIF(I2778,"22*")&gt;0,COUNTIF(J2778,"*22*")&gt;0,COUNTIF(I2778,"23*")&gt;0,COUNTIF(J2778,"*23*")&gt;0,COUNTIF(I2778,"24*")&gt;0,COUNTIF(J2778,"*24*")&gt;0,COUNTIF(I2778,"25*")&gt;0,COUNTIF(J2778,"*25*")&gt;0,COUNTIF(I2778,"26*")&gt;0,COUNTIF(J2778,"*26*")&gt;0,COUNTIF(I2778,"27*")&gt;0,COUNTIF(J2778,"*27*")&gt;0,COUNTIF(I2778,"28*")&gt;0,COUNTIF(J2778,"*28*")&gt;0,COUNTIF(I2778,"29*")&gt;0,COUNTIF(J2778,"*29*")&gt;0,COUNTIF(I2778,"30*")&gt;0,COUNTIF(J2778,"*30*")&gt;0,COUNTIF(I2778,"31*")&gt;0,COUNTIF(J2778,"*31*")&gt;0,COUNTIF(I2778,"32*")&gt;0,COUNTIF(J2778,"*32*")&gt;0,COUNTIF(I2778,"33*")&gt;0,COUNTIF(J2778,"*33*")&gt;0,COUNTIF(I2778,"41*")&gt;0,COUNTIF(J2778,"*41*")&gt;0,COUNTIF(I2778,"42*")&gt;0,COUNTIF(J2778,"*42*")&gt;0,COUNTIF(I2778,"43*")&gt;0,COUNTIF(J2778,"*43*")&gt;0,COUNTIF(I2778,"49*")&gt;0,COUNTIF(J2778,"*49*")&gt;0,COUNTIF(I2778,"52*")&gt;0,COUNTIF(J2778,"*52*")&gt;0,COUNTIF(I2778,"55*")&gt;0,COUNTIF(J2778,"*55*")&gt;0,COUNTIF(I2778,"56*")&gt;0,COUNTIF(J2778,"*56*")&gt;0,COUNTIF(I2778,"68*")&gt;0,COUNTIF(J2778,"*68*")&gt;0,COUNTIF(I2778,"78*")&gt;0,COUNTIF(J2778,"*78*")&gt;0,COUNTIF(I2778,"81*")&gt;0,COUNTIF(J2778,"*81*")&gt;0,COUNTIF(I2778,"82*")&gt;0,COUNTIF(J2778,"*82*")&gt;0,COUNTIF(I2778,"64*")&gt;0,COUNTIF(J2778,"*64*")&gt;0,COUNTIF(I2778,"65*")&gt;0,COUNTIF(J2778,"*65*")&gt;0,COUNTIF(I2778,"66*")&gt;0,COUNTIF(J2778,"*66*")&gt;0,COUNTIF(I2778,"61*")&gt;0,COUNTIF(J2778,"*61*")&gt;0,COUNTIF(I2778,"62*")&gt;0,COUNTIF(J2778,"*62*")&gt;0,COUNTIF(I2778,"63*")&gt;0,COUNTIF(J2778,"*63*")&gt;0,COUNTIF(I2778,"85*")&gt;0,COUNTIF(J2778,"*85*")&gt;0,COUNTIF(I2778,"86*")&gt;0,COUNTIF(J2778,"*86*")&gt;0),"Да","Нет"))</f>
        <v/>
      </c>
      <c r="M2778" s="13">
        <f>IF(OR(G2778="",L2778&lt;&gt;"Да"),"",IF(G2778&lt;=100,"До 100",IF(G2778&lt;=200,"До 200",IF(G2778&lt;=500,"До 500","Отдельное КП"))))</f>
        <v/>
      </c>
      <c r="N2778" s="15">
        <f>IF(OR(G2778="",L2778&lt;&gt;"Да"),"",IF(G2778&lt;=100,33600,IF(G2778&lt;=200,62400,IF(G2778&lt;=500,144000,""))))</f>
        <v/>
      </c>
      <c r="O2778" s="16">
        <f>IF(G2778="","",IF(G2778&lt;=15,"1–15",IF(G2778&lt;=30,"16–30",IF(G2778&lt;=50,"31–50",IF(G2778&lt;=100,"51–100",IF(G2778&lt;=150,"101–150",IF(G2778&lt;=200,"151–200",IF(G2778&lt;=500,"201–500","500+"))))))))</f>
        <v/>
      </c>
      <c r="P2778" s="16" t="inlineStr">
        <is>
          <t>Нет совпадения в предоставленной выгрузке ССЧР</t>
        </is>
      </c>
      <c r="Q2778" s="16" t="n"/>
      <c r="R2778" s="16">
        <f>HYPERLINK("https://checko.ru/search?query=3801001629","Чекко: проверить")</f>
        <v/>
      </c>
      <c r="S2778" t="n">
        <v>0</v>
      </c>
    </row>
    <row r="2779" ht="15" customHeight="1" s="24">
      <c r="A2779" s="13" t="n">
        <v>5000095298</v>
      </c>
      <c r="B2779" s="13" t="inlineStr">
        <is>
          <t>МКДОУ "Детский сад №7"  г.о.Нальчик КБР</t>
        </is>
      </c>
      <c r="C2779" s="13" t="n">
        <v>726025661</v>
      </c>
      <c r="D2779" s="13" t="n"/>
      <c r="E2779" s="13" t="inlineStr">
        <is>
          <t>Не определён</t>
        </is>
      </c>
      <c r="F2779" s="13" t="inlineStr">
        <is>
          <t>726025661</t>
        </is>
      </c>
      <c r="G2779" s="14" t="n"/>
      <c r="H2779" s="14" t="n"/>
      <c r="I2779" s="14" t="n"/>
      <c r="J2779" s="14" t="n"/>
      <c r="K2779" s="13">
        <f>IF(G2779="","",IF(G2779&gt;=22,"Да","Нет"))</f>
        <v/>
      </c>
      <c r="L2779" s="13">
        <f>IF(OR(I2779="",J2779=""),"Не определено",IF(OR(COUNTIF(I2779,"45*")&gt;0,COUNTIF(J2779,"*45*")&gt;0,COUNTIF(I2779,"46*")&gt;0,COUNTIF(J2779,"*46*")&gt;0,COUNTIF(I2779,"47*")&gt;0,COUNTIF(J2779,"*47*")&gt;0,COUNTIF(I2779,"10*")&gt;0,COUNTIF(J2779,"*10*")&gt;0,COUNTIF(I2779,"11*")&gt;0,COUNTIF(J2779,"*11*")&gt;0,COUNTIF(I2779,"12*")&gt;0,COUNTIF(J2779,"*12*")&gt;0,COUNTIF(I2779,"13*")&gt;0,COUNTIF(J2779,"*13*")&gt;0,COUNTIF(I2779,"14*")&gt;0,COUNTIF(J2779,"*14*")&gt;0,COUNTIF(I2779,"15*")&gt;0,COUNTIF(J2779,"*15*")&gt;0,COUNTIF(I2779,"16*")&gt;0,COUNTIF(J2779,"*16*")&gt;0,COUNTIF(I2779,"17*")&gt;0,COUNTIF(J2779,"*17*")&gt;0,COUNTIF(I2779,"18*")&gt;0,COUNTIF(J2779,"*18*")&gt;0,COUNTIF(I2779,"19*")&gt;0,COUNTIF(J2779,"*19*")&gt;0,COUNTIF(I2779,"20*")&gt;0,COUNTIF(J2779,"*20*")&gt;0,COUNTIF(I2779,"21*")&gt;0,COUNTIF(J2779,"*21*")&gt;0,COUNTIF(I2779,"22*")&gt;0,COUNTIF(J2779,"*22*")&gt;0,COUNTIF(I2779,"23*")&gt;0,COUNTIF(J2779,"*23*")&gt;0,COUNTIF(I2779,"24*")&gt;0,COUNTIF(J2779,"*24*")&gt;0,COUNTIF(I2779,"25*")&gt;0,COUNTIF(J2779,"*25*")&gt;0,COUNTIF(I2779,"26*")&gt;0,COUNTIF(J2779,"*26*")&gt;0,COUNTIF(I2779,"27*")&gt;0,COUNTIF(J2779,"*27*")&gt;0,COUNTIF(I2779,"28*")&gt;0,COUNTIF(J2779,"*28*")&gt;0,COUNTIF(I2779,"29*")&gt;0,COUNTIF(J2779,"*29*")&gt;0,COUNTIF(I2779,"30*")&gt;0,COUNTIF(J2779,"*30*")&gt;0,COUNTIF(I2779,"31*")&gt;0,COUNTIF(J2779,"*31*")&gt;0,COUNTIF(I2779,"32*")&gt;0,COUNTIF(J2779,"*32*")&gt;0,COUNTIF(I2779,"33*")&gt;0,COUNTIF(J2779,"*33*")&gt;0,COUNTIF(I2779,"41*")&gt;0,COUNTIF(J2779,"*41*")&gt;0,COUNTIF(I2779,"42*")&gt;0,COUNTIF(J2779,"*42*")&gt;0,COUNTIF(I2779,"43*")&gt;0,COUNTIF(J2779,"*43*")&gt;0,COUNTIF(I2779,"49*")&gt;0,COUNTIF(J2779,"*49*")&gt;0,COUNTIF(I2779,"52*")&gt;0,COUNTIF(J2779,"*52*")&gt;0,COUNTIF(I2779,"55*")&gt;0,COUNTIF(J2779,"*55*")&gt;0,COUNTIF(I2779,"56*")&gt;0,COUNTIF(J2779,"*56*")&gt;0,COUNTIF(I2779,"68*")&gt;0,COUNTIF(J2779,"*68*")&gt;0,COUNTIF(I2779,"78*")&gt;0,COUNTIF(J2779,"*78*")&gt;0,COUNTIF(I2779,"81*")&gt;0,COUNTIF(J2779,"*81*")&gt;0,COUNTIF(I2779,"82*")&gt;0,COUNTIF(J2779,"*82*")&gt;0,COUNTIF(I2779,"64*")&gt;0,COUNTIF(J2779,"*64*")&gt;0,COUNTIF(I2779,"65*")&gt;0,COUNTIF(J2779,"*65*")&gt;0,COUNTIF(I2779,"66*")&gt;0,COUNTIF(J2779,"*66*")&gt;0,COUNTIF(I2779,"61*")&gt;0,COUNTIF(J2779,"*61*")&gt;0,COUNTIF(I2779,"62*")&gt;0,COUNTIF(J2779,"*62*")&gt;0,COUNTIF(I2779,"63*")&gt;0,COUNTIF(J2779,"*63*")&gt;0,COUNTIF(I2779,"85*")&gt;0,COUNTIF(J2779,"*85*")&gt;0,COUNTIF(I2779,"86*")&gt;0,COUNTIF(J2779,"*86*")&gt;0),"Да","Нет"))</f>
        <v/>
      </c>
      <c r="M2779" s="13">
        <f>IF(OR(G2779="",L2779&lt;&gt;"Да"),"",IF(G2779&lt;=100,"До 100",IF(G2779&lt;=200,"До 200",IF(G2779&lt;=500,"До 500","Отдельное КП"))))</f>
        <v/>
      </c>
      <c r="N2779" s="15">
        <f>IF(OR(G2779="",L2779&lt;&gt;"Да"),"",IF(G2779&lt;=100,33600,IF(G2779&lt;=200,62400,IF(G2779&lt;=500,144000,""))))</f>
        <v/>
      </c>
      <c r="O2779" s="16">
        <f>IF(G2779="","",IF(G2779&lt;=15,"1–15",IF(G2779&lt;=30,"16–30",IF(G2779&lt;=50,"31–50",IF(G2779&lt;=100,"51–100",IF(G2779&lt;=150,"101–150",IF(G2779&lt;=200,"151–200",IF(G2779&lt;=500,"201–500","500+"))))))))</f>
        <v/>
      </c>
      <c r="P2779" s="16" t="inlineStr">
        <is>
          <t>Нет совпадения в предоставленной выгрузке ССЧР</t>
        </is>
      </c>
      <c r="Q2779" s="16" t="n"/>
      <c r="R2779" s="16">
        <f>HYPERLINK("https://checko.ru/search?query=3801001629","Чекко: проверить")</f>
        <v/>
      </c>
      <c r="S2779" t="n">
        <v>0</v>
      </c>
    </row>
    <row r="2780" ht="15" customHeight="1" s="24">
      <c r="A2780" s="13" t="n">
        <v>5000095299</v>
      </c>
      <c r="B2780" s="13" t="inlineStr">
        <is>
          <t>МКДОУ "Детский сад № 5"  г.о.Нальчик КБР</t>
        </is>
      </c>
      <c r="C2780" s="13" t="n">
        <v>726025679</v>
      </c>
      <c r="D2780" s="13" t="n"/>
      <c r="E2780" s="13" t="inlineStr">
        <is>
          <t>Не определён</t>
        </is>
      </c>
      <c r="F2780" s="13" t="inlineStr">
        <is>
          <t>726025679</t>
        </is>
      </c>
      <c r="G2780" s="14" t="n"/>
      <c r="H2780" s="14" t="n"/>
      <c r="I2780" s="14" t="n"/>
      <c r="J2780" s="14" t="n"/>
      <c r="K2780" s="13">
        <f>IF(G2780="","",IF(G2780&gt;=22,"Да","Нет"))</f>
        <v/>
      </c>
      <c r="L2780" s="13">
        <f>IF(OR(I2780="",J2780=""),"Не определено",IF(OR(COUNTIF(I2780,"45*")&gt;0,COUNTIF(J2780,"*45*")&gt;0,COUNTIF(I2780,"46*")&gt;0,COUNTIF(J2780,"*46*")&gt;0,COUNTIF(I2780,"47*")&gt;0,COUNTIF(J2780,"*47*")&gt;0,COUNTIF(I2780,"10*")&gt;0,COUNTIF(J2780,"*10*")&gt;0,COUNTIF(I2780,"11*")&gt;0,COUNTIF(J2780,"*11*")&gt;0,COUNTIF(I2780,"12*")&gt;0,COUNTIF(J2780,"*12*")&gt;0,COUNTIF(I2780,"13*")&gt;0,COUNTIF(J2780,"*13*")&gt;0,COUNTIF(I2780,"14*")&gt;0,COUNTIF(J2780,"*14*")&gt;0,COUNTIF(I2780,"15*")&gt;0,COUNTIF(J2780,"*15*")&gt;0,COUNTIF(I2780,"16*")&gt;0,COUNTIF(J2780,"*16*")&gt;0,COUNTIF(I2780,"17*")&gt;0,COUNTIF(J2780,"*17*")&gt;0,COUNTIF(I2780,"18*")&gt;0,COUNTIF(J2780,"*18*")&gt;0,COUNTIF(I2780,"19*")&gt;0,COUNTIF(J2780,"*19*")&gt;0,COUNTIF(I2780,"20*")&gt;0,COUNTIF(J2780,"*20*")&gt;0,COUNTIF(I2780,"21*")&gt;0,COUNTIF(J2780,"*21*")&gt;0,COUNTIF(I2780,"22*")&gt;0,COUNTIF(J2780,"*22*")&gt;0,COUNTIF(I2780,"23*")&gt;0,COUNTIF(J2780,"*23*")&gt;0,COUNTIF(I2780,"24*")&gt;0,COUNTIF(J2780,"*24*")&gt;0,COUNTIF(I2780,"25*")&gt;0,COUNTIF(J2780,"*25*")&gt;0,COUNTIF(I2780,"26*")&gt;0,COUNTIF(J2780,"*26*")&gt;0,COUNTIF(I2780,"27*")&gt;0,COUNTIF(J2780,"*27*")&gt;0,COUNTIF(I2780,"28*")&gt;0,COUNTIF(J2780,"*28*")&gt;0,COUNTIF(I2780,"29*")&gt;0,COUNTIF(J2780,"*29*")&gt;0,COUNTIF(I2780,"30*")&gt;0,COUNTIF(J2780,"*30*")&gt;0,COUNTIF(I2780,"31*")&gt;0,COUNTIF(J2780,"*31*")&gt;0,COUNTIF(I2780,"32*")&gt;0,COUNTIF(J2780,"*32*")&gt;0,COUNTIF(I2780,"33*")&gt;0,COUNTIF(J2780,"*33*")&gt;0,COUNTIF(I2780,"41*")&gt;0,COUNTIF(J2780,"*41*")&gt;0,COUNTIF(I2780,"42*")&gt;0,COUNTIF(J2780,"*42*")&gt;0,COUNTIF(I2780,"43*")&gt;0,COUNTIF(J2780,"*43*")&gt;0,COUNTIF(I2780,"49*")&gt;0,COUNTIF(J2780,"*49*")&gt;0,COUNTIF(I2780,"52*")&gt;0,COUNTIF(J2780,"*52*")&gt;0,COUNTIF(I2780,"55*")&gt;0,COUNTIF(J2780,"*55*")&gt;0,COUNTIF(I2780,"56*")&gt;0,COUNTIF(J2780,"*56*")&gt;0,COUNTIF(I2780,"68*")&gt;0,COUNTIF(J2780,"*68*")&gt;0,COUNTIF(I2780,"78*")&gt;0,COUNTIF(J2780,"*78*")&gt;0,COUNTIF(I2780,"81*")&gt;0,COUNTIF(J2780,"*81*")&gt;0,COUNTIF(I2780,"82*")&gt;0,COUNTIF(J2780,"*82*")&gt;0,COUNTIF(I2780,"64*")&gt;0,COUNTIF(J2780,"*64*")&gt;0,COUNTIF(I2780,"65*")&gt;0,COUNTIF(J2780,"*65*")&gt;0,COUNTIF(I2780,"66*")&gt;0,COUNTIF(J2780,"*66*")&gt;0,COUNTIF(I2780,"61*")&gt;0,COUNTIF(J2780,"*61*")&gt;0,COUNTIF(I2780,"62*")&gt;0,COUNTIF(J2780,"*62*")&gt;0,COUNTIF(I2780,"63*")&gt;0,COUNTIF(J2780,"*63*")&gt;0,COUNTIF(I2780,"85*")&gt;0,COUNTIF(J2780,"*85*")&gt;0,COUNTIF(I2780,"86*")&gt;0,COUNTIF(J2780,"*86*")&gt;0),"Да","Нет"))</f>
        <v/>
      </c>
      <c r="M2780" s="13">
        <f>IF(OR(G2780="",L2780&lt;&gt;"Да"),"",IF(G2780&lt;=100,"До 100",IF(G2780&lt;=200,"До 200",IF(G2780&lt;=500,"До 500","Отдельное КП"))))</f>
        <v/>
      </c>
      <c r="N2780" s="15">
        <f>IF(OR(G2780="",L2780&lt;&gt;"Да"),"",IF(G2780&lt;=100,33600,IF(G2780&lt;=200,62400,IF(G2780&lt;=500,144000,""))))</f>
        <v/>
      </c>
      <c r="O2780" s="16">
        <f>IF(G2780="","",IF(G2780&lt;=15,"1–15",IF(G2780&lt;=30,"16–30",IF(G2780&lt;=50,"31–50",IF(G2780&lt;=100,"51–100",IF(G2780&lt;=150,"101–150",IF(G2780&lt;=200,"151–200",IF(G2780&lt;=500,"201–500","500+"))))))))</f>
        <v/>
      </c>
      <c r="P2780" s="16" t="inlineStr">
        <is>
          <t>Нет совпадения в предоставленной выгрузке ССЧР</t>
        </is>
      </c>
      <c r="Q2780" s="16" t="n"/>
      <c r="R2780" s="16">
        <f>HYPERLINK("https://checko.ru/search?query=3801001629","Чекко: проверить")</f>
        <v/>
      </c>
      <c r="S2780" t="n">
        <v>0</v>
      </c>
    </row>
    <row r="2781" ht="15" customHeight="1" s="24">
      <c r="A2781" s="13" t="n">
        <v>5000094409</v>
      </c>
      <c r="B2781" s="13" t="inlineStr">
        <is>
          <t>МОУ СОШ №1 с.п. Исламей</t>
        </is>
      </c>
      <c r="C2781" s="13" t="n">
        <v>701004370</v>
      </c>
      <c r="D2781" s="13" t="n"/>
      <c r="E2781" s="13" t="inlineStr">
        <is>
          <t>Не определён</t>
        </is>
      </c>
      <c r="F2781" s="13" t="inlineStr">
        <is>
          <t>701004370</t>
        </is>
      </c>
      <c r="G2781" s="14" t="n"/>
      <c r="H2781" s="14" t="n"/>
      <c r="I2781" s="14" t="n"/>
      <c r="J2781" s="14" t="n"/>
      <c r="K2781" s="13">
        <f>IF(G2781="","",IF(G2781&gt;=22,"Да","Нет"))</f>
        <v/>
      </c>
      <c r="L2781" s="13">
        <f>IF(OR(I2781="",J2781=""),"Не определено",IF(OR(COUNTIF(I2781,"45*")&gt;0,COUNTIF(J2781,"*45*")&gt;0,COUNTIF(I2781,"46*")&gt;0,COUNTIF(J2781,"*46*")&gt;0,COUNTIF(I2781,"47*")&gt;0,COUNTIF(J2781,"*47*")&gt;0,COUNTIF(I2781,"10*")&gt;0,COUNTIF(J2781,"*10*")&gt;0,COUNTIF(I2781,"11*")&gt;0,COUNTIF(J2781,"*11*")&gt;0,COUNTIF(I2781,"12*")&gt;0,COUNTIF(J2781,"*12*")&gt;0,COUNTIF(I2781,"13*")&gt;0,COUNTIF(J2781,"*13*")&gt;0,COUNTIF(I2781,"14*")&gt;0,COUNTIF(J2781,"*14*")&gt;0,COUNTIF(I2781,"15*")&gt;0,COUNTIF(J2781,"*15*")&gt;0,COUNTIF(I2781,"16*")&gt;0,COUNTIF(J2781,"*16*")&gt;0,COUNTIF(I2781,"17*")&gt;0,COUNTIF(J2781,"*17*")&gt;0,COUNTIF(I2781,"18*")&gt;0,COUNTIF(J2781,"*18*")&gt;0,COUNTIF(I2781,"19*")&gt;0,COUNTIF(J2781,"*19*")&gt;0,COUNTIF(I2781,"20*")&gt;0,COUNTIF(J2781,"*20*")&gt;0,COUNTIF(I2781,"21*")&gt;0,COUNTIF(J2781,"*21*")&gt;0,COUNTIF(I2781,"22*")&gt;0,COUNTIF(J2781,"*22*")&gt;0,COUNTIF(I2781,"23*")&gt;0,COUNTIF(J2781,"*23*")&gt;0,COUNTIF(I2781,"24*")&gt;0,COUNTIF(J2781,"*24*")&gt;0,COUNTIF(I2781,"25*")&gt;0,COUNTIF(J2781,"*25*")&gt;0,COUNTIF(I2781,"26*")&gt;0,COUNTIF(J2781,"*26*")&gt;0,COUNTIF(I2781,"27*")&gt;0,COUNTIF(J2781,"*27*")&gt;0,COUNTIF(I2781,"28*")&gt;0,COUNTIF(J2781,"*28*")&gt;0,COUNTIF(I2781,"29*")&gt;0,COUNTIF(J2781,"*29*")&gt;0,COUNTIF(I2781,"30*")&gt;0,COUNTIF(J2781,"*30*")&gt;0,COUNTIF(I2781,"31*")&gt;0,COUNTIF(J2781,"*31*")&gt;0,COUNTIF(I2781,"32*")&gt;0,COUNTIF(J2781,"*32*")&gt;0,COUNTIF(I2781,"33*")&gt;0,COUNTIF(J2781,"*33*")&gt;0,COUNTIF(I2781,"41*")&gt;0,COUNTIF(J2781,"*41*")&gt;0,COUNTIF(I2781,"42*")&gt;0,COUNTIF(J2781,"*42*")&gt;0,COUNTIF(I2781,"43*")&gt;0,COUNTIF(J2781,"*43*")&gt;0,COUNTIF(I2781,"49*")&gt;0,COUNTIF(J2781,"*49*")&gt;0,COUNTIF(I2781,"52*")&gt;0,COUNTIF(J2781,"*52*")&gt;0,COUNTIF(I2781,"55*")&gt;0,COUNTIF(J2781,"*55*")&gt;0,COUNTIF(I2781,"56*")&gt;0,COUNTIF(J2781,"*56*")&gt;0,COUNTIF(I2781,"68*")&gt;0,COUNTIF(J2781,"*68*")&gt;0,COUNTIF(I2781,"78*")&gt;0,COUNTIF(J2781,"*78*")&gt;0,COUNTIF(I2781,"81*")&gt;0,COUNTIF(J2781,"*81*")&gt;0,COUNTIF(I2781,"82*")&gt;0,COUNTIF(J2781,"*82*")&gt;0,COUNTIF(I2781,"64*")&gt;0,COUNTIF(J2781,"*64*")&gt;0,COUNTIF(I2781,"65*")&gt;0,COUNTIF(J2781,"*65*")&gt;0,COUNTIF(I2781,"66*")&gt;0,COUNTIF(J2781,"*66*")&gt;0,COUNTIF(I2781,"61*")&gt;0,COUNTIF(J2781,"*61*")&gt;0,COUNTIF(I2781,"62*")&gt;0,COUNTIF(J2781,"*62*")&gt;0,COUNTIF(I2781,"63*")&gt;0,COUNTIF(J2781,"*63*")&gt;0,COUNTIF(I2781,"85*")&gt;0,COUNTIF(J2781,"*85*")&gt;0,COUNTIF(I2781,"86*")&gt;0,COUNTIF(J2781,"*86*")&gt;0),"Да","Нет"))</f>
        <v/>
      </c>
      <c r="M2781" s="13">
        <f>IF(OR(G2781="",L2781&lt;&gt;"Да"),"",IF(G2781&lt;=100,"До 100",IF(G2781&lt;=200,"До 200",IF(G2781&lt;=500,"До 500","Отдельное КП"))))</f>
        <v/>
      </c>
      <c r="N2781" s="15">
        <f>IF(OR(G2781="",L2781&lt;&gt;"Да"),"",IF(G2781&lt;=100,33600,IF(G2781&lt;=200,62400,IF(G2781&lt;=500,144000,""))))</f>
        <v/>
      </c>
      <c r="O2781" s="16">
        <f>IF(G2781="","",IF(G2781&lt;=15,"1–15",IF(G2781&lt;=30,"16–30",IF(G2781&lt;=50,"31–50",IF(G2781&lt;=100,"51–100",IF(G2781&lt;=150,"101–150",IF(G2781&lt;=200,"151–200",IF(G2781&lt;=500,"201–500","500+"))))))))</f>
        <v/>
      </c>
      <c r="P2781" s="16" t="inlineStr">
        <is>
          <t>Нет совпадения в предоставленной выгрузке ССЧР</t>
        </is>
      </c>
      <c r="Q2781" s="16" t="n"/>
      <c r="R2781" s="16">
        <f>HYPERLINK("https://checko.ru/search?query=3801001629","Чекко: проверить")</f>
        <v/>
      </c>
      <c r="S2781" t="n">
        <v>0</v>
      </c>
    </row>
    <row r="2782" ht="15" customHeight="1" s="24">
      <c r="A2782" s="13" t="n">
        <v>5000094410</v>
      </c>
      <c r="B2782" s="13" t="inlineStr">
        <is>
          <t>МКОУ СОШ №2 им. А.А.Шогенцукова г.Баксана</t>
        </is>
      </c>
      <c r="C2782" s="13" t="n">
        <v>701004388</v>
      </c>
      <c r="D2782" s="13" t="n"/>
      <c r="E2782" s="13" t="inlineStr">
        <is>
          <t>Не определён</t>
        </is>
      </c>
      <c r="F2782" s="13" t="inlineStr">
        <is>
          <t>701004388</t>
        </is>
      </c>
      <c r="G2782" s="14" t="n"/>
      <c r="H2782" s="14" t="n"/>
      <c r="I2782" s="14" t="n"/>
      <c r="J2782" s="14" t="n"/>
      <c r="K2782" s="13">
        <f>IF(G2782="","",IF(G2782&gt;=22,"Да","Нет"))</f>
        <v/>
      </c>
      <c r="L2782" s="13">
        <f>IF(OR(I2782="",J2782=""),"Не определено",IF(OR(COUNTIF(I2782,"45*")&gt;0,COUNTIF(J2782,"*45*")&gt;0,COUNTIF(I2782,"46*")&gt;0,COUNTIF(J2782,"*46*")&gt;0,COUNTIF(I2782,"47*")&gt;0,COUNTIF(J2782,"*47*")&gt;0,COUNTIF(I2782,"10*")&gt;0,COUNTIF(J2782,"*10*")&gt;0,COUNTIF(I2782,"11*")&gt;0,COUNTIF(J2782,"*11*")&gt;0,COUNTIF(I2782,"12*")&gt;0,COUNTIF(J2782,"*12*")&gt;0,COUNTIF(I2782,"13*")&gt;0,COUNTIF(J2782,"*13*")&gt;0,COUNTIF(I2782,"14*")&gt;0,COUNTIF(J2782,"*14*")&gt;0,COUNTIF(I2782,"15*")&gt;0,COUNTIF(J2782,"*15*")&gt;0,COUNTIF(I2782,"16*")&gt;0,COUNTIF(J2782,"*16*")&gt;0,COUNTIF(I2782,"17*")&gt;0,COUNTIF(J2782,"*17*")&gt;0,COUNTIF(I2782,"18*")&gt;0,COUNTIF(J2782,"*18*")&gt;0,COUNTIF(I2782,"19*")&gt;0,COUNTIF(J2782,"*19*")&gt;0,COUNTIF(I2782,"20*")&gt;0,COUNTIF(J2782,"*20*")&gt;0,COUNTIF(I2782,"21*")&gt;0,COUNTIF(J2782,"*21*")&gt;0,COUNTIF(I2782,"22*")&gt;0,COUNTIF(J2782,"*22*")&gt;0,COUNTIF(I2782,"23*")&gt;0,COUNTIF(J2782,"*23*")&gt;0,COUNTIF(I2782,"24*")&gt;0,COUNTIF(J2782,"*24*")&gt;0,COUNTIF(I2782,"25*")&gt;0,COUNTIF(J2782,"*25*")&gt;0,COUNTIF(I2782,"26*")&gt;0,COUNTIF(J2782,"*26*")&gt;0,COUNTIF(I2782,"27*")&gt;0,COUNTIF(J2782,"*27*")&gt;0,COUNTIF(I2782,"28*")&gt;0,COUNTIF(J2782,"*28*")&gt;0,COUNTIF(I2782,"29*")&gt;0,COUNTIF(J2782,"*29*")&gt;0,COUNTIF(I2782,"30*")&gt;0,COUNTIF(J2782,"*30*")&gt;0,COUNTIF(I2782,"31*")&gt;0,COUNTIF(J2782,"*31*")&gt;0,COUNTIF(I2782,"32*")&gt;0,COUNTIF(J2782,"*32*")&gt;0,COUNTIF(I2782,"33*")&gt;0,COUNTIF(J2782,"*33*")&gt;0,COUNTIF(I2782,"41*")&gt;0,COUNTIF(J2782,"*41*")&gt;0,COUNTIF(I2782,"42*")&gt;0,COUNTIF(J2782,"*42*")&gt;0,COUNTIF(I2782,"43*")&gt;0,COUNTIF(J2782,"*43*")&gt;0,COUNTIF(I2782,"49*")&gt;0,COUNTIF(J2782,"*49*")&gt;0,COUNTIF(I2782,"52*")&gt;0,COUNTIF(J2782,"*52*")&gt;0,COUNTIF(I2782,"55*")&gt;0,COUNTIF(J2782,"*55*")&gt;0,COUNTIF(I2782,"56*")&gt;0,COUNTIF(J2782,"*56*")&gt;0,COUNTIF(I2782,"68*")&gt;0,COUNTIF(J2782,"*68*")&gt;0,COUNTIF(I2782,"78*")&gt;0,COUNTIF(J2782,"*78*")&gt;0,COUNTIF(I2782,"81*")&gt;0,COUNTIF(J2782,"*81*")&gt;0,COUNTIF(I2782,"82*")&gt;0,COUNTIF(J2782,"*82*")&gt;0,COUNTIF(I2782,"64*")&gt;0,COUNTIF(J2782,"*64*")&gt;0,COUNTIF(I2782,"65*")&gt;0,COUNTIF(J2782,"*65*")&gt;0,COUNTIF(I2782,"66*")&gt;0,COUNTIF(J2782,"*66*")&gt;0,COUNTIF(I2782,"61*")&gt;0,COUNTIF(J2782,"*61*")&gt;0,COUNTIF(I2782,"62*")&gt;0,COUNTIF(J2782,"*62*")&gt;0,COUNTIF(I2782,"63*")&gt;0,COUNTIF(J2782,"*63*")&gt;0,COUNTIF(I2782,"85*")&gt;0,COUNTIF(J2782,"*85*")&gt;0,COUNTIF(I2782,"86*")&gt;0,COUNTIF(J2782,"*86*")&gt;0),"Да","Нет"))</f>
        <v/>
      </c>
      <c r="M2782" s="13">
        <f>IF(OR(G2782="",L2782&lt;&gt;"Да"),"",IF(G2782&lt;=100,"До 100",IF(G2782&lt;=200,"До 200",IF(G2782&lt;=500,"До 500","Отдельное КП"))))</f>
        <v/>
      </c>
      <c r="N2782" s="15">
        <f>IF(OR(G2782="",L2782&lt;&gt;"Да"),"",IF(G2782&lt;=100,33600,IF(G2782&lt;=200,62400,IF(G2782&lt;=500,144000,""))))</f>
        <v/>
      </c>
      <c r="O2782" s="16">
        <f>IF(G2782="","",IF(G2782&lt;=15,"1–15",IF(G2782&lt;=30,"16–30",IF(G2782&lt;=50,"31–50",IF(G2782&lt;=100,"51–100",IF(G2782&lt;=150,"101–150",IF(G2782&lt;=200,"151–200",IF(G2782&lt;=500,"201–500","500+"))))))))</f>
        <v/>
      </c>
      <c r="P2782" s="16" t="inlineStr">
        <is>
          <t>Нет совпадения в предоставленной выгрузке ССЧР</t>
        </is>
      </c>
      <c r="Q2782" s="16" t="n"/>
      <c r="R2782" s="16">
        <f>HYPERLINK("https://checko.ru/search?query=3801001629","Чекко: проверить")</f>
        <v/>
      </c>
      <c r="S2782" t="n">
        <v>0</v>
      </c>
    </row>
    <row r="2783" ht="15" customHeight="1" s="24">
      <c r="A2783" s="13" t="n">
        <v>5000094411</v>
      </c>
      <c r="B2783" s="13" t="inlineStr">
        <is>
          <t>МОУ "СОШ №1" с.п. Куба-Таба</t>
        </is>
      </c>
      <c r="C2783" s="13" t="n">
        <v>701004395</v>
      </c>
      <c r="D2783" s="13" t="n"/>
      <c r="E2783" s="13" t="inlineStr">
        <is>
          <t>Не определён</t>
        </is>
      </c>
      <c r="F2783" s="13" t="inlineStr">
        <is>
          <t>701004395</t>
        </is>
      </c>
      <c r="G2783" s="14" t="n"/>
      <c r="H2783" s="14" t="n"/>
      <c r="I2783" s="14" t="n"/>
      <c r="J2783" s="14" t="n"/>
      <c r="K2783" s="13">
        <f>IF(G2783="","",IF(G2783&gt;=22,"Да","Нет"))</f>
        <v/>
      </c>
      <c r="L2783" s="13">
        <f>IF(OR(I2783="",J2783=""),"Не определено",IF(OR(COUNTIF(I2783,"45*")&gt;0,COUNTIF(J2783,"*45*")&gt;0,COUNTIF(I2783,"46*")&gt;0,COUNTIF(J2783,"*46*")&gt;0,COUNTIF(I2783,"47*")&gt;0,COUNTIF(J2783,"*47*")&gt;0,COUNTIF(I2783,"10*")&gt;0,COUNTIF(J2783,"*10*")&gt;0,COUNTIF(I2783,"11*")&gt;0,COUNTIF(J2783,"*11*")&gt;0,COUNTIF(I2783,"12*")&gt;0,COUNTIF(J2783,"*12*")&gt;0,COUNTIF(I2783,"13*")&gt;0,COUNTIF(J2783,"*13*")&gt;0,COUNTIF(I2783,"14*")&gt;0,COUNTIF(J2783,"*14*")&gt;0,COUNTIF(I2783,"15*")&gt;0,COUNTIF(J2783,"*15*")&gt;0,COUNTIF(I2783,"16*")&gt;0,COUNTIF(J2783,"*16*")&gt;0,COUNTIF(I2783,"17*")&gt;0,COUNTIF(J2783,"*17*")&gt;0,COUNTIF(I2783,"18*")&gt;0,COUNTIF(J2783,"*18*")&gt;0,COUNTIF(I2783,"19*")&gt;0,COUNTIF(J2783,"*19*")&gt;0,COUNTIF(I2783,"20*")&gt;0,COUNTIF(J2783,"*20*")&gt;0,COUNTIF(I2783,"21*")&gt;0,COUNTIF(J2783,"*21*")&gt;0,COUNTIF(I2783,"22*")&gt;0,COUNTIF(J2783,"*22*")&gt;0,COUNTIF(I2783,"23*")&gt;0,COUNTIF(J2783,"*23*")&gt;0,COUNTIF(I2783,"24*")&gt;0,COUNTIF(J2783,"*24*")&gt;0,COUNTIF(I2783,"25*")&gt;0,COUNTIF(J2783,"*25*")&gt;0,COUNTIF(I2783,"26*")&gt;0,COUNTIF(J2783,"*26*")&gt;0,COUNTIF(I2783,"27*")&gt;0,COUNTIF(J2783,"*27*")&gt;0,COUNTIF(I2783,"28*")&gt;0,COUNTIF(J2783,"*28*")&gt;0,COUNTIF(I2783,"29*")&gt;0,COUNTIF(J2783,"*29*")&gt;0,COUNTIF(I2783,"30*")&gt;0,COUNTIF(J2783,"*30*")&gt;0,COUNTIF(I2783,"31*")&gt;0,COUNTIF(J2783,"*31*")&gt;0,COUNTIF(I2783,"32*")&gt;0,COUNTIF(J2783,"*32*")&gt;0,COUNTIF(I2783,"33*")&gt;0,COUNTIF(J2783,"*33*")&gt;0,COUNTIF(I2783,"41*")&gt;0,COUNTIF(J2783,"*41*")&gt;0,COUNTIF(I2783,"42*")&gt;0,COUNTIF(J2783,"*42*")&gt;0,COUNTIF(I2783,"43*")&gt;0,COUNTIF(J2783,"*43*")&gt;0,COUNTIF(I2783,"49*")&gt;0,COUNTIF(J2783,"*49*")&gt;0,COUNTIF(I2783,"52*")&gt;0,COUNTIF(J2783,"*52*")&gt;0,COUNTIF(I2783,"55*")&gt;0,COUNTIF(J2783,"*55*")&gt;0,COUNTIF(I2783,"56*")&gt;0,COUNTIF(J2783,"*56*")&gt;0,COUNTIF(I2783,"68*")&gt;0,COUNTIF(J2783,"*68*")&gt;0,COUNTIF(I2783,"78*")&gt;0,COUNTIF(J2783,"*78*")&gt;0,COUNTIF(I2783,"81*")&gt;0,COUNTIF(J2783,"*81*")&gt;0,COUNTIF(I2783,"82*")&gt;0,COUNTIF(J2783,"*82*")&gt;0,COUNTIF(I2783,"64*")&gt;0,COUNTIF(J2783,"*64*")&gt;0,COUNTIF(I2783,"65*")&gt;0,COUNTIF(J2783,"*65*")&gt;0,COUNTIF(I2783,"66*")&gt;0,COUNTIF(J2783,"*66*")&gt;0,COUNTIF(I2783,"61*")&gt;0,COUNTIF(J2783,"*61*")&gt;0,COUNTIF(I2783,"62*")&gt;0,COUNTIF(J2783,"*62*")&gt;0,COUNTIF(I2783,"63*")&gt;0,COUNTIF(J2783,"*63*")&gt;0,COUNTIF(I2783,"85*")&gt;0,COUNTIF(J2783,"*85*")&gt;0,COUNTIF(I2783,"86*")&gt;0,COUNTIF(J2783,"*86*")&gt;0),"Да","Нет"))</f>
        <v/>
      </c>
      <c r="M2783" s="13">
        <f>IF(OR(G2783="",L2783&lt;&gt;"Да"),"",IF(G2783&lt;=100,"До 100",IF(G2783&lt;=200,"До 200",IF(G2783&lt;=500,"До 500","Отдельное КП"))))</f>
        <v/>
      </c>
      <c r="N2783" s="15">
        <f>IF(OR(G2783="",L2783&lt;&gt;"Да"),"",IF(G2783&lt;=100,33600,IF(G2783&lt;=200,62400,IF(G2783&lt;=500,144000,""))))</f>
        <v/>
      </c>
      <c r="O2783" s="16">
        <f>IF(G2783="","",IF(G2783&lt;=15,"1–15",IF(G2783&lt;=30,"16–30",IF(G2783&lt;=50,"31–50",IF(G2783&lt;=100,"51–100",IF(G2783&lt;=150,"101–150",IF(G2783&lt;=200,"151–200",IF(G2783&lt;=500,"201–500","500+"))))))))</f>
        <v/>
      </c>
      <c r="P2783" s="16" t="inlineStr">
        <is>
          <t>Нет совпадения в предоставленной выгрузке ССЧР</t>
        </is>
      </c>
      <c r="Q2783" s="16" t="n"/>
      <c r="R2783" s="16">
        <f>HYPERLINK("https://checko.ru/search?query=3801001629","Чекко: проверить")</f>
        <v/>
      </c>
      <c r="S2783" t="n">
        <v>0</v>
      </c>
    </row>
    <row r="2784" ht="15" customHeight="1" s="24">
      <c r="A2784" s="13" t="n">
        <v>5000094412</v>
      </c>
      <c r="B2784" s="13" t="inlineStr">
        <is>
          <t>МКОУ СОШ №4 им. З.А. Нырова  с.п. Н. Куркужин</t>
        </is>
      </c>
      <c r="C2784" s="13" t="n">
        <v>701004420</v>
      </c>
      <c r="D2784" s="13" t="n"/>
      <c r="E2784" s="13" t="inlineStr">
        <is>
          <t>Не определён</t>
        </is>
      </c>
      <c r="F2784" s="13" t="inlineStr">
        <is>
          <t>701004420</t>
        </is>
      </c>
      <c r="G2784" s="14" t="n"/>
      <c r="H2784" s="14" t="n"/>
      <c r="I2784" s="14" t="n"/>
      <c r="J2784" s="14" t="n"/>
      <c r="K2784" s="13">
        <f>IF(G2784="","",IF(G2784&gt;=22,"Да","Нет"))</f>
        <v/>
      </c>
      <c r="L2784" s="13">
        <f>IF(OR(I2784="",J2784=""),"Не определено",IF(OR(COUNTIF(I2784,"45*")&gt;0,COUNTIF(J2784,"*45*")&gt;0,COUNTIF(I2784,"46*")&gt;0,COUNTIF(J2784,"*46*")&gt;0,COUNTIF(I2784,"47*")&gt;0,COUNTIF(J2784,"*47*")&gt;0,COUNTIF(I2784,"10*")&gt;0,COUNTIF(J2784,"*10*")&gt;0,COUNTIF(I2784,"11*")&gt;0,COUNTIF(J2784,"*11*")&gt;0,COUNTIF(I2784,"12*")&gt;0,COUNTIF(J2784,"*12*")&gt;0,COUNTIF(I2784,"13*")&gt;0,COUNTIF(J2784,"*13*")&gt;0,COUNTIF(I2784,"14*")&gt;0,COUNTIF(J2784,"*14*")&gt;0,COUNTIF(I2784,"15*")&gt;0,COUNTIF(J2784,"*15*")&gt;0,COUNTIF(I2784,"16*")&gt;0,COUNTIF(J2784,"*16*")&gt;0,COUNTIF(I2784,"17*")&gt;0,COUNTIF(J2784,"*17*")&gt;0,COUNTIF(I2784,"18*")&gt;0,COUNTIF(J2784,"*18*")&gt;0,COUNTIF(I2784,"19*")&gt;0,COUNTIF(J2784,"*19*")&gt;0,COUNTIF(I2784,"20*")&gt;0,COUNTIF(J2784,"*20*")&gt;0,COUNTIF(I2784,"21*")&gt;0,COUNTIF(J2784,"*21*")&gt;0,COUNTIF(I2784,"22*")&gt;0,COUNTIF(J2784,"*22*")&gt;0,COUNTIF(I2784,"23*")&gt;0,COUNTIF(J2784,"*23*")&gt;0,COUNTIF(I2784,"24*")&gt;0,COUNTIF(J2784,"*24*")&gt;0,COUNTIF(I2784,"25*")&gt;0,COUNTIF(J2784,"*25*")&gt;0,COUNTIF(I2784,"26*")&gt;0,COUNTIF(J2784,"*26*")&gt;0,COUNTIF(I2784,"27*")&gt;0,COUNTIF(J2784,"*27*")&gt;0,COUNTIF(I2784,"28*")&gt;0,COUNTIF(J2784,"*28*")&gt;0,COUNTIF(I2784,"29*")&gt;0,COUNTIF(J2784,"*29*")&gt;0,COUNTIF(I2784,"30*")&gt;0,COUNTIF(J2784,"*30*")&gt;0,COUNTIF(I2784,"31*")&gt;0,COUNTIF(J2784,"*31*")&gt;0,COUNTIF(I2784,"32*")&gt;0,COUNTIF(J2784,"*32*")&gt;0,COUNTIF(I2784,"33*")&gt;0,COUNTIF(J2784,"*33*")&gt;0,COUNTIF(I2784,"41*")&gt;0,COUNTIF(J2784,"*41*")&gt;0,COUNTIF(I2784,"42*")&gt;0,COUNTIF(J2784,"*42*")&gt;0,COUNTIF(I2784,"43*")&gt;0,COUNTIF(J2784,"*43*")&gt;0,COUNTIF(I2784,"49*")&gt;0,COUNTIF(J2784,"*49*")&gt;0,COUNTIF(I2784,"52*")&gt;0,COUNTIF(J2784,"*52*")&gt;0,COUNTIF(I2784,"55*")&gt;0,COUNTIF(J2784,"*55*")&gt;0,COUNTIF(I2784,"56*")&gt;0,COUNTIF(J2784,"*56*")&gt;0,COUNTIF(I2784,"68*")&gt;0,COUNTIF(J2784,"*68*")&gt;0,COUNTIF(I2784,"78*")&gt;0,COUNTIF(J2784,"*78*")&gt;0,COUNTIF(I2784,"81*")&gt;0,COUNTIF(J2784,"*81*")&gt;0,COUNTIF(I2784,"82*")&gt;0,COUNTIF(J2784,"*82*")&gt;0,COUNTIF(I2784,"64*")&gt;0,COUNTIF(J2784,"*64*")&gt;0,COUNTIF(I2784,"65*")&gt;0,COUNTIF(J2784,"*65*")&gt;0,COUNTIF(I2784,"66*")&gt;0,COUNTIF(J2784,"*66*")&gt;0,COUNTIF(I2784,"61*")&gt;0,COUNTIF(J2784,"*61*")&gt;0,COUNTIF(I2784,"62*")&gt;0,COUNTIF(J2784,"*62*")&gt;0,COUNTIF(I2784,"63*")&gt;0,COUNTIF(J2784,"*63*")&gt;0,COUNTIF(I2784,"85*")&gt;0,COUNTIF(J2784,"*85*")&gt;0,COUNTIF(I2784,"86*")&gt;0,COUNTIF(J2784,"*86*")&gt;0),"Да","Нет"))</f>
        <v/>
      </c>
      <c r="M2784" s="13">
        <f>IF(OR(G2784="",L2784&lt;&gt;"Да"),"",IF(G2784&lt;=100,"До 100",IF(G2784&lt;=200,"До 200",IF(G2784&lt;=500,"До 500","Отдельное КП"))))</f>
        <v/>
      </c>
      <c r="N2784" s="15">
        <f>IF(OR(G2784="",L2784&lt;&gt;"Да"),"",IF(G2784&lt;=100,33600,IF(G2784&lt;=200,62400,IF(G2784&lt;=500,144000,""))))</f>
        <v/>
      </c>
      <c r="O2784" s="16">
        <f>IF(G2784="","",IF(G2784&lt;=15,"1–15",IF(G2784&lt;=30,"16–30",IF(G2784&lt;=50,"31–50",IF(G2784&lt;=100,"51–100",IF(G2784&lt;=150,"101–150",IF(G2784&lt;=200,"151–200",IF(G2784&lt;=500,"201–500","500+"))))))))</f>
        <v/>
      </c>
      <c r="P2784" s="16" t="inlineStr">
        <is>
          <t>Нет совпадения в предоставленной выгрузке ССЧР</t>
        </is>
      </c>
      <c r="Q2784" s="16" t="n"/>
      <c r="R2784" s="16">
        <f>HYPERLINK("https://checko.ru/search?query=3801001629","Чекко: проверить")</f>
        <v/>
      </c>
      <c r="S2784" t="n">
        <v>0</v>
      </c>
    </row>
    <row r="2785" ht="15" customHeight="1" s="24">
      <c r="A2785" s="13" t="n">
        <v>5000094413</v>
      </c>
      <c r="B2785" s="13" t="inlineStr">
        <is>
          <t>МОУ "СОШ №2" с.п. Куба</t>
        </is>
      </c>
      <c r="C2785" s="13" t="n">
        <v>701004437</v>
      </c>
      <c r="D2785" s="13" t="n"/>
      <c r="E2785" s="13" t="inlineStr">
        <is>
          <t>Не определён</t>
        </is>
      </c>
      <c r="F2785" s="13" t="inlineStr">
        <is>
          <t>701004437</t>
        </is>
      </c>
      <c r="G2785" s="14" t="n"/>
      <c r="H2785" s="14" t="n"/>
      <c r="I2785" s="14" t="n"/>
      <c r="J2785" s="14" t="n"/>
      <c r="K2785" s="13">
        <f>IF(G2785="","",IF(G2785&gt;=22,"Да","Нет"))</f>
        <v/>
      </c>
      <c r="L2785" s="13">
        <f>IF(OR(I2785="",J2785=""),"Не определено",IF(OR(COUNTIF(I2785,"45*")&gt;0,COUNTIF(J2785,"*45*")&gt;0,COUNTIF(I2785,"46*")&gt;0,COUNTIF(J2785,"*46*")&gt;0,COUNTIF(I2785,"47*")&gt;0,COUNTIF(J2785,"*47*")&gt;0,COUNTIF(I2785,"10*")&gt;0,COUNTIF(J2785,"*10*")&gt;0,COUNTIF(I2785,"11*")&gt;0,COUNTIF(J2785,"*11*")&gt;0,COUNTIF(I2785,"12*")&gt;0,COUNTIF(J2785,"*12*")&gt;0,COUNTIF(I2785,"13*")&gt;0,COUNTIF(J2785,"*13*")&gt;0,COUNTIF(I2785,"14*")&gt;0,COUNTIF(J2785,"*14*")&gt;0,COUNTIF(I2785,"15*")&gt;0,COUNTIF(J2785,"*15*")&gt;0,COUNTIF(I2785,"16*")&gt;0,COUNTIF(J2785,"*16*")&gt;0,COUNTIF(I2785,"17*")&gt;0,COUNTIF(J2785,"*17*")&gt;0,COUNTIF(I2785,"18*")&gt;0,COUNTIF(J2785,"*18*")&gt;0,COUNTIF(I2785,"19*")&gt;0,COUNTIF(J2785,"*19*")&gt;0,COUNTIF(I2785,"20*")&gt;0,COUNTIF(J2785,"*20*")&gt;0,COUNTIF(I2785,"21*")&gt;0,COUNTIF(J2785,"*21*")&gt;0,COUNTIF(I2785,"22*")&gt;0,COUNTIF(J2785,"*22*")&gt;0,COUNTIF(I2785,"23*")&gt;0,COUNTIF(J2785,"*23*")&gt;0,COUNTIF(I2785,"24*")&gt;0,COUNTIF(J2785,"*24*")&gt;0,COUNTIF(I2785,"25*")&gt;0,COUNTIF(J2785,"*25*")&gt;0,COUNTIF(I2785,"26*")&gt;0,COUNTIF(J2785,"*26*")&gt;0,COUNTIF(I2785,"27*")&gt;0,COUNTIF(J2785,"*27*")&gt;0,COUNTIF(I2785,"28*")&gt;0,COUNTIF(J2785,"*28*")&gt;0,COUNTIF(I2785,"29*")&gt;0,COUNTIF(J2785,"*29*")&gt;0,COUNTIF(I2785,"30*")&gt;0,COUNTIF(J2785,"*30*")&gt;0,COUNTIF(I2785,"31*")&gt;0,COUNTIF(J2785,"*31*")&gt;0,COUNTIF(I2785,"32*")&gt;0,COUNTIF(J2785,"*32*")&gt;0,COUNTIF(I2785,"33*")&gt;0,COUNTIF(J2785,"*33*")&gt;0,COUNTIF(I2785,"41*")&gt;0,COUNTIF(J2785,"*41*")&gt;0,COUNTIF(I2785,"42*")&gt;0,COUNTIF(J2785,"*42*")&gt;0,COUNTIF(I2785,"43*")&gt;0,COUNTIF(J2785,"*43*")&gt;0,COUNTIF(I2785,"49*")&gt;0,COUNTIF(J2785,"*49*")&gt;0,COUNTIF(I2785,"52*")&gt;0,COUNTIF(J2785,"*52*")&gt;0,COUNTIF(I2785,"55*")&gt;0,COUNTIF(J2785,"*55*")&gt;0,COUNTIF(I2785,"56*")&gt;0,COUNTIF(J2785,"*56*")&gt;0,COUNTIF(I2785,"68*")&gt;0,COUNTIF(J2785,"*68*")&gt;0,COUNTIF(I2785,"78*")&gt;0,COUNTIF(J2785,"*78*")&gt;0,COUNTIF(I2785,"81*")&gt;0,COUNTIF(J2785,"*81*")&gt;0,COUNTIF(I2785,"82*")&gt;0,COUNTIF(J2785,"*82*")&gt;0,COUNTIF(I2785,"64*")&gt;0,COUNTIF(J2785,"*64*")&gt;0,COUNTIF(I2785,"65*")&gt;0,COUNTIF(J2785,"*65*")&gt;0,COUNTIF(I2785,"66*")&gt;0,COUNTIF(J2785,"*66*")&gt;0,COUNTIF(I2785,"61*")&gt;0,COUNTIF(J2785,"*61*")&gt;0,COUNTIF(I2785,"62*")&gt;0,COUNTIF(J2785,"*62*")&gt;0,COUNTIF(I2785,"63*")&gt;0,COUNTIF(J2785,"*63*")&gt;0,COUNTIF(I2785,"85*")&gt;0,COUNTIF(J2785,"*85*")&gt;0,COUNTIF(I2785,"86*")&gt;0,COUNTIF(J2785,"*86*")&gt;0),"Да","Нет"))</f>
        <v/>
      </c>
      <c r="M2785" s="13">
        <f>IF(OR(G2785="",L2785&lt;&gt;"Да"),"",IF(G2785&lt;=100,"До 100",IF(G2785&lt;=200,"До 200",IF(G2785&lt;=500,"До 500","Отдельное КП"))))</f>
        <v/>
      </c>
      <c r="N2785" s="15">
        <f>IF(OR(G2785="",L2785&lt;&gt;"Да"),"",IF(G2785&lt;=100,33600,IF(G2785&lt;=200,62400,IF(G2785&lt;=500,144000,""))))</f>
        <v/>
      </c>
      <c r="O2785" s="16">
        <f>IF(G2785="","",IF(G2785&lt;=15,"1–15",IF(G2785&lt;=30,"16–30",IF(G2785&lt;=50,"31–50",IF(G2785&lt;=100,"51–100",IF(G2785&lt;=150,"101–150",IF(G2785&lt;=200,"151–200",IF(G2785&lt;=500,"201–500","500+"))))))))</f>
        <v/>
      </c>
      <c r="P2785" s="16" t="inlineStr">
        <is>
          <t>Нет совпадения в предоставленной выгрузке ССЧР</t>
        </is>
      </c>
      <c r="Q2785" s="16" t="n"/>
      <c r="R2785" s="16">
        <f>HYPERLINK("https://checko.ru/search?query=3801001629","Чекко: проверить")</f>
        <v/>
      </c>
      <c r="S2785" t="n">
        <v>0</v>
      </c>
    </row>
    <row r="2786" ht="15" customHeight="1" s="24">
      <c r="A2786" s="13" t="n">
        <v>5000094414</v>
      </c>
      <c r="B2786" s="13" t="inlineStr">
        <is>
          <t>МОУ СОШ№2 им.Х.А. Шафиева с.п. Заюково</t>
        </is>
      </c>
      <c r="C2786" s="13" t="n">
        <v>701004444</v>
      </c>
      <c r="D2786" s="13" t="n"/>
      <c r="E2786" s="13" t="inlineStr">
        <is>
          <t>Не определён</t>
        </is>
      </c>
      <c r="F2786" s="13" t="inlineStr">
        <is>
          <t>701004444</t>
        </is>
      </c>
      <c r="G2786" s="14" t="n"/>
      <c r="H2786" s="14" t="n"/>
      <c r="I2786" s="14" t="n"/>
      <c r="J2786" s="14" t="n"/>
      <c r="K2786" s="13">
        <f>IF(G2786="","",IF(G2786&gt;=22,"Да","Нет"))</f>
        <v/>
      </c>
      <c r="L2786" s="13">
        <f>IF(OR(I2786="",J2786=""),"Не определено",IF(OR(COUNTIF(I2786,"45*")&gt;0,COUNTIF(J2786,"*45*")&gt;0,COUNTIF(I2786,"46*")&gt;0,COUNTIF(J2786,"*46*")&gt;0,COUNTIF(I2786,"47*")&gt;0,COUNTIF(J2786,"*47*")&gt;0,COUNTIF(I2786,"10*")&gt;0,COUNTIF(J2786,"*10*")&gt;0,COUNTIF(I2786,"11*")&gt;0,COUNTIF(J2786,"*11*")&gt;0,COUNTIF(I2786,"12*")&gt;0,COUNTIF(J2786,"*12*")&gt;0,COUNTIF(I2786,"13*")&gt;0,COUNTIF(J2786,"*13*")&gt;0,COUNTIF(I2786,"14*")&gt;0,COUNTIF(J2786,"*14*")&gt;0,COUNTIF(I2786,"15*")&gt;0,COUNTIF(J2786,"*15*")&gt;0,COUNTIF(I2786,"16*")&gt;0,COUNTIF(J2786,"*16*")&gt;0,COUNTIF(I2786,"17*")&gt;0,COUNTIF(J2786,"*17*")&gt;0,COUNTIF(I2786,"18*")&gt;0,COUNTIF(J2786,"*18*")&gt;0,COUNTIF(I2786,"19*")&gt;0,COUNTIF(J2786,"*19*")&gt;0,COUNTIF(I2786,"20*")&gt;0,COUNTIF(J2786,"*20*")&gt;0,COUNTIF(I2786,"21*")&gt;0,COUNTIF(J2786,"*21*")&gt;0,COUNTIF(I2786,"22*")&gt;0,COUNTIF(J2786,"*22*")&gt;0,COUNTIF(I2786,"23*")&gt;0,COUNTIF(J2786,"*23*")&gt;0,COUNTIF(I2786,"24*")&gt;0,COUNTIF(J2786,"*24*")&gt;0,COUNTIF(I2786,"25*")&gt;0,COUNTIF(J2786,"*25*")&gt;0,COUNTIF(I2786,"26*")&gt;0,COUNTIF(J2786,"*26*")&gt;0,COUNTIF(I2786,"27*")&gt;0,COUNTIF(J2786,"*27*")&gt;0,COUNTIF(I2786,"28*")&gt;0,COUNTIF(J2786,"*28*")&gt;0,COUNTIF(I2786,"29*")&gt;0,COUNTIF(J2786,"*29*")&gt;0,COUNTIF(I2786,"30*")&gt;0,COUNTIF(J2786,"*30*")&gt;0,COUNTIF(I2786,"31*")&gt;0,COUNTIF(J2786,"*31*")&gt;0,COUNTIF(I2786,"32*")&gt;0,COUNTIF(J2786,"*32*")&gt;0,COUNTIF(I2786,"33*")&gt;0,COUNTIF(J2786,"*33*")&gt;0,COUNTIF(I2786,"41*")&gt;0,COUNTIF(J2786,"*41*")&gt;0,COUNTIF(I2786,"42*")&gt;0,COUNTIF(J2786,"*42*")&gt;0,COUNTIF(I2786,"43*")&gt;0,COUNTIF(J2786,"*43*")&gt;0,COUNTIF(I2786,"49*")&gt;0,COUNTIF(J2786,"*49*")&gt;0,COUNTIF(I2786,"52*")&gt;0,COUNTIF(J2786,"*52*")&gt;0,COUNTIF(I2786,"55*")&gt;0,COUNTIF(J2786,"*55*")&gt;0,COUNTIF(I2786,"56*")&gt;0,COUNTIF(J2786,"*56*")&gt;0,COUNTIF(I2786,"68*")&gt;0,COUNTIF(J2786,"*68*")&gt;0,COUNTIF(I2786,"78*")&gt;0,COUNTIF(J2786,"*78*")&gt;0,COUNTIF(I2786,"81*")&gt;0,COUNTIF(J2786,"*81*")&gt;0,COUNTIF(I2786,"82*")&gt;0,COUNTIF(J2786,"*82*")&gt;0,COUNTIF(I2786,"64*")&gt;0,COUNTIF(J2786,"*64*")&gt;0,COUNTIF(I2786,"65*")&gt;0,COUNTIF(J2786,"*65*")&gt;0,COUNTIF(I2786,"66*")&gt;0,COUNTIF(J2786,"*66*")&gt;0,COUNTIF(I2786,"61*")&gt;0,COUNTIF(J2786,"*61*")&gt;0,COUNTIF(I2786,"62*")&gt;0,COUNTIF(J2786,"*62*")&gt;0,COUNTIF(I2786,"63*")&gt;0,COUNTIF(J2786,"*63*")&gt;0,COUNTIF(I2786,"85*")&gt;0,COUNTIF(J2786,"*85*")&gt;0,COUNTIF(I2786,"86*")&gt;0,COUNTIF(J2786,"*86*")&gt;0),"Да","Нет"))</f>
        <v/>
      </c>
      <c r="M2786" s="13">
        <f>IF(OR(G2786="",L2786&lt;&gt;"Да"),"",IF(G2786&lt;=100,"До 100",IF(G2786&lt;=200,"До 200",IF(G2786&lt;=500,"До 500","Отдельное КП"))))</f>
        <v/>
      </c>
      <c r="N2786" s="15">
        <f>IF(OR(G2786="",L2786&lt;&gt;"Да"),"",IF(G2786&lt;=100,33600,IF(G2786&lt;=200,62400,IF(G2786&lt;=500,144000,""))))</f>
        <v/>
      </c>
      <c r="O2786" s="16">
        <f>IF(G2786="","",IF(G2786&lt;=15,"1–15",IF(G2786&lt;=30,"16–30",IF(G2786&lt;=50,"31–50",IF(G2786&lt;=100,"51–100",IF(G2786&lt;=150,"101–150",IF(G2786&lt;=200,"151–200",IF(G2786&lt;=500,"201–500","500+"))))))))</f>
        <v/>
      </c>
      <c r="P2786" s="16" t="inlineStr">
        <is>
          <t>Нет совпадения в предоставленной выгрузке ССЧР</t>
        </is>
      </c>
      <c r="Q2786" s="16" t="n"/>
      <c r="R2786" s="16">
        <f>HYPERLINK("https://checko.ru/search?query=3801001629","Чекко: проверить")</f>
        <v/>
      </c>
      <c r="S2786" t="n">
        <v>0</v>
      </c>
    </row>
    <row r="2787" ht="15" customHeight="1" s="24">
      <c r="A2787" s="13" t="n">
        <v>5000094427</v>
      </c>
      <c r="B2787" s="13" t="inlineStr">
        <is>
          <t>Местная администрация с.п. Атажукино</t>
        </is>
      </c>
      <c r="C2787" s="13" t="n">
        <v>701004701</v>
      </c>
      <c r="D2787" s="13" t="n"/>
      <c r="E2787" s="13" t="inlineStr">
        <is>
          <t>Не определён</t>
        </is>
      </c>
      <c r="F2787" s="13" t="inlineStr">
        <is>
          <t>701004701</t>
        </is>
      </c>
      <c r="G2787" s="14" t="n"/>
      <c r="H2787" s="14" t="n"/>
      <c r="I2787" s="14" t="n"/>
      <c r="J2787" s="14" t="n"/>
      <c r="K2787" s="13">
        <f>IF(G2787="","",IF(G2787&gt;=22,"Да","Нет"))</f>
        <v/>
      </c>
      <c r="L2787" s="13">
        <f>IF(OR(I2787="",J2787=""),"Не определено",IF(OR(COUNTIF(I2787,"45*")&gt;0,COUNTIF(J2787,"*45*")&gt;0,COUNTIF(I2787,"46*")&gt;0,COUNTIF(J2787,"*46*")&gt;0,COUNTIF(I2787,"47*")&gt;0,COUNTIF(J2787,"*47*")&gt;0,COUNTIF(I2787,"10*")&gt;0,COUNTIF(J2787,"*10*")&gt;0,COUNTIF(I2787,"11*")&gt;0,COUNTIF(J2787,"*11*")&gt;0,COUNTIF(I2787,"12*")&gt;0,COUNTIF(J2787,"*12*")&gt;0,COUNTIF(I2787,"13*")&gt;0,COUNTIF(J2787,"*13*")&gt;0,COUNTIF(I2787,"14*")&gt;0,COUNTIF(J2787,"*14*")&gt;0,COUNTIF(I2787,"15*")&gt;0,COUNTIF(J2787,"*15*")&gt;0,COUNTIF(I2787,"16*")&gt;0,COUNTIF(J2787,"*16*")&gt;0,COUNTIF(I2787,"17*")&gt;0,COUNTIF(J2787,"*17*")&gt;0,COUNTIF(I2787,"18*")&gt;0,COUNTIF(J2787,"*18*")&gt;0,COUNTIF(I2787,"19*")&gt;0,COUNTIF(J2787,"*19*")&gt;0,COUNTIF(I2787,"20*")&gt;0,COUNTIF(J2787,"*20*")&gt;0,COUNTIF(I2787,"21*")&gt;0,COUNTIF(J2787,"*21*")&gt;0,COUNTIF(I2787,"22*")&gt;0,COUNTIF(J2787,"*22*")&gt;0,COUNTIF(I2787,"23*")&gt;0,COUNTIF(J2787,"*23*")&gt;0,COUNTIF(I2787,"24*")&gt;0,COUNTIF(J2787,"*24*")&gt;0,COUNTIF(I2787,"25*")&gt;0,COUNTIF(J2787,"*25*")&gt;0,COUNTIF(I2787,"26*")&gt;0,COUNTIF(J2787,"*26*")&gt;0,COUNTIF(I2787,"27*")&gt;0,COUNTIF(J2787,"*27*")&gt;0,COUNTIF(I2787,"28*")&gt;0,COUNTIF(J2787,"*28*")&gt;0,COUNTIF(I2787,"29*")&gt;0,COUNTIF(J2787,"*29*")&gt;0,COUNTIF(I2787,"30*")&gt;0,COUNTIF(J2787,"*30*")&gt;0,COUNTIF(I2787,"31*")&gt;0,COUNTIF(J2787,"*31*")&gt;0,COUNTIF(I2787,"32*")&gt;0,COUNTIF(J2787,"*32*")&gt;0,COUNTIF(I2787,"33*")&gt;0,COUNTIF(J2787,"*33*")&gt;0,COUNTIF(I2787,"41*")&gt;0,COUNTIF(J2787,"*41*")&gt;0,COUNTIF(I2787,"42*")&gt;0,COUNTIF(J2787,"*42*")&gt;0,COUNTIF(I2787,"43*")&gt;0,COUNTIF(J2787,"*43*")&gt;0,COUNTIF(I2787,"49*")&gt;0,COUNTIF(J2787,"*49*")&gt;0,COUNTIF(I2787,"52*")&gt;0,COUNTIF(J2787,"*52*")&gt;0,COUNTIF(I2787,"55*")&gt;0,COUNTIF(J2787,"*55*")&gt;0,COUNTIF(I2787,"56*")&gt;0,COUNTIF(J2787,"*56*")&gt;0,COUNTIF(I2787,"68*")&gt;0,COUNTIF(J2787,"*68*")&gt;0,COUNTIF(I2787,"78*")&gt;0,COUNTIF(J2787,"*78*")&gt;0,COUNTIF(I2787,"81*")&gt;0,COUNTIF(J2787,"*81*")&gt;0,COUNTIF(I2787,"82*")&gt;0,COUNTIF(J2787,"*82*")&gt;0,COUNTIF(I2787,"64*")&gt;0,COUNTIF(J2787,"*64*")&gt;0,COUNTIF(I2787,"65*")&gt;0,COUNTIF(J2787,"*65*")&gt;0,COUNTIF(I2787,"66*")&gt;0,COUNTIF(J2787,"*66*")&gt;0,COUNTIF(I2787,"61*")&gt;0,COUNTIF(J2787,"*61*")&gt;0,COUNTIF(I2787,"62*")&gt;0,COUNTIF(J2787,"*62*")&gt;0,COUNTIF(I2787,"63*")&gt;0,COUNTIF(J2787,"*63*")&gt;0,COUNTIF(I2787,"85*")&gt;0,COUNTIF(J2787,"*85*")&gt;0,COUNTIF(I2787,"86*")&gt;0,COUNTIF(J2787,"*86*")&gt;0),"Да","Нет"))</f>
        <v/>
      </c>
      <c r="M2787" s="13">
        <f>IF(OR(G2787="",L2787&lt;&gt;"Да"),"",IF(G2787&lt;=100,"До 100",IF(G2787&lt;=200,"До 200",IF(G2787&lt;=500,"До 500","Отдельное КП"))))</f>
        <v/>
      </c>
      <c r="N2787" s="15">
        <f>IF(OR(G2787="",L2787&lt;&gt;"Да"),"",IF(G2787&lt;=100,33600,IF(G2787&lt;=200,62400,IF(G2787&lt;=500,144000,""))))</f>
        <v/>
      </c>
      <c r="O2787" s="16">
        <f>IF(G2787="","",IF(G2787&lt;=15,"1–15",IF(G2787&lt;=30,"16–30",IF(G2787&lt;=50,"31–50",IF(G2787&lt;=100,"51–100",IF(G2787&lt;=150,"101–150",IF(G2787&lt;=200,"151–200",IF(G2787&lt;=500,"201–500","500+"))))))))</f>
        <v/>
      </c>
      <c r="P2787" s="16" t="inlineStr">
        <is>
          <t>Нет совпадения в предоставленной выгрузке ССЧР</t>
        </is>
      </c>
      <c r="Q2787" s="16" t="n"/>
      <c r="R2787" s="16">
        <f>HYPERLINK("https://checko.ru/search?query=3801001629","Чекко: проверить")</f>
        <v/>
      </c>
      <c r="S2787" t="n">
        <v>0</v>
      </c>
    </row>
    <row r="2788" ht="15" customHeight="1" s="24">
      <c r="A2788" s="13" t="n">
        <v>5000094428</v>
      </c>
      <c r="B2788" s="13" t="inlineStr">
        <is>
          <t>Местная администрация с.п. Кишпек</t>
        </is>
      </c>
      <c r="C2788" s="13" t="n">
        <v>701004719</v>
      </c>
      <c r="D2788" s="13" t="n"/>
      <c r="E2788" s="13" t="inlineStr">
        <is>
          <t>Не определён</t>
        </is>
      </c>
      <c r="F2788" s="13" t="inlineStr">
        <is>
          <t>701004719</t>
        </is>
      </c>
      <c r="G2788" s="14" t="n"/>
      <c r="H2788" s="14" t="n"/>
      <c r="I2788" s="14" t="n"/>
      <c r="J2788" s="14" t="n"/>
      <c r="K2788" s="13">
        <f>IF(G2788="","",IF(G2788&gt;=22,"Да","Нет"))</f>
        <v/>
      </c>
      <c r="L2788" s="13">
        <f>IF(OR(I2788="",J2788=""),"Не определено",IF(OR(COUNTIF(I2788,"45*")&gt;0,COUNTIF(J2788,"*45*")&gt;0,COUNTIF(I2788,"46*")&gt;0,COUNTIF(J2788,"*46*")&gt;0,COUNTIF(I2788,"47*")&gt;0,COUNTIF(J2788,"*47*")&gt;0,COUNTIF(I2788,"10*")&gt;0,COUNTIF(J2788,"*10*")&gt;0,COUNTIF(I2788,"11*")&gt;0,COUNTIF(J2788,"*11*")&gt;0,COUNTIF(I2788,"12*")&gt;0,COUNTIF(J2788,"*12*")&gt;0,COUNTIF(I2788,"13*")&gt;0,COUNTIF(J2788,"*13*")&gt;0,COUNTIF(I2788,"14*")&gt;0,COUNTIF(J2788,"*14*")&gt;0,COUNTIF(I2788,"15*")&gt;0,COUNTIF(J2788,"*15*")&gt;0,COUNTIF(I2788,"16*")&gt;0,COUNTIF(J2788,"*16*")&gt;0,COUNTIF(I2788,"17*")&gt;0,COUNTIF(J2788,"*17*")&gt;0,COUNTIF(I2788,"18*")&gt;0,COUNTIF(J2788,"*18*")&gt;0,COUNTIF(I2788,"19*")&gt;0,COUNTIF(J2788,"*19*")&gt;0,COUNTIF(I2788,"20*")&gt;0,COUNTIF(J2788,"*20*")&gt;0,COUNTIF(I2788,"21*")&gt;0,COUNTIF(J2788,"*21*")&gt;0,COUNTIF(I2788,"22*")&gt;0,COUNTIF(J2788,"*22*")&gt;0,COUNTIF(I2788,"23*")&gt;0,COUNTIF(J2788,"*23*")&gt;0,COUNTIF(I2788,"24*")&gt;0,COUNTIF(J2788,"*24*")&gt;0,COUNTIF(I2788,"25*")&gt;0,COUNTIF(J2788,"*25*")&gt;0,COUNTIF(I2788,"26*")&gt;0,COUNTIF(J2788,"*26*")&gt;0,COUNTIF(I2788,"27*")&gt;0,COUNTIF(J2788,"*27*")&gt;0,COUNTIF(I2788,"28*")&gt;0,COUNTIF(J2788,"*28*")&gt;0,COUNTIF(I2788,"29*")&gt;0,COUNTIF(J2788,"*29*")&gt;0,COUNTIF(I2788,"30*")&gt;0,COUNTIF(J2788,"*30*")&gt;0,COUNTIF(I2788,"31*")&gt;0,COUNTIF(J2788,"*31*")&gt;0,COUNTIF(I2788,"32*")&gt;0,COUNTIF(J2788,"*32*")&gt;0,COUNTIF(I2788,"33*")&gt;0,COUNTIF(J2788,"*33*")&gt;0,COUNTIF(I2788,"41*")&gt;0,COUNTIF(J2788,"*41*")&gt;0,COUNTIF(I2788,"42*")&gt;0,COUNTIF(J2788,"*42*")&gt;0,COUNTIF(I2788,"43*")&gt;0,COUNTIF(J2788,"*43*")&gt;0,COUNTIF(I2788,"49*")&gt;0,COUNTIF(J2788,"*49*")&gt;0,COUNTIF(I2788,"52*")&gt;0,COUNTIF(J2788,"*52*")&gt;0,COUNTIF(I2788,"55*")&gt;0,COUNTIF(J2788,"*55*")&gt;0,COUNTIF(I2788,"56*")&gt;0,COUNTIF(J2788,"*56*")&gt;0,COUNTIF(I2788,"68*")&gt;0,COUNTIF(J2788,"*68*")&gt;0,COUNTIF(I2788,"78*")&gt;0,COUNTIF(J2788,"*78*")&gt;0,COUNTIF(I2788,"81*")&gt;0,COUNTIF(J2788,"*81*")&gt;0,COUNTIF(I2788,"82*")&gt;0,COUNTIF(J2788,"*82*")&gt;0,COUNTIF(I2788,"64*")&gt;0,COUNTIF(J2788,"*64*")&gt;0,COUNTIF(I2788,"65*")&gt;0,COUNTIF(J2788,"*65*")&gt;0,COUNTIF(I2788,"66*")&gt;0,COUNTIF(J2788,"*66*")&gt;0,COUNTIF(I2788,"61*")&gt;0,COUNTIF(J2788,"*61*")&gt;0,COUNTIF(I2788,"62*")&gt;0,COUNTIF(J2788,"*62*")&gt;0,COUNTIF(I2788,"63*")&gt;0,COUNTIF(J2788,"*63*")&gt;0,COUNTIF(I2788,"85*")&gt;0,COUNTIF(J2788,"*85*")&gt;0,COUNTIF(I2788,"86*")&gt;0,COUNTIF(J2788,"*86*")&gt;0),"Да","Нет"))</f>
        <v/>
      </c>
      <c r="M2788" s="13">
        <f>IF(OR(G2788="",L2788&lt;&gt;"Да"),"",IF(G2788&lt;=100,"До 100",IF(G2788&lt;=200,"До 200",IF(G2788&lt;=500,"До 500","Отдельное КП"))))</f>
        <v/>
      </c>
      <c r="N2788" s="15">
        <f>IF(OR(G2788="",L2788&lt;&gt;"Да"),"",IF(G2788&lt;=100,33600,IF(G2788&lt;=200,62400,IF(G2788&lt;=500,144000,""))))</f>
        <v/>
      </c>
      <c r="O2788" s="16">
        <f>IF(G2788="","",IF(G2788&lt;=15,"1–15",IF(G2788&lt;=30,"16–30",IF(G2788&lt;=50,"31–50",IF(G2788&lt;=100,"51–100",IF(G2788&lt;=150,"101–150",IF(G2788&lt;=200,"151–200",IF(G2788&lt;=500,"201–500","500+"))))))))</f>
        <v/>
      </c>
      <c r="P2788" s="16" t="inlineStr">
        <is>
          <t>Нет совпадения в предоставленной выгрузке ССЧР</t>
        </is>
      </c>
      <c r="Q2788" s="16" t="n"/>
      <c r="R2788" s="16">
        <f>HYPERLINK("https://checko.ru/search?query=3801001629","Чекко: проверить")</f>
        <v/>
      </c>
      <c r="S2788" t="n">
        <v>0</v>
      </c>
    </row>
    <row r="2789" ht="15" customHeight="1" s="24">
      <c r="A2789" s="13" t="n">
        <v>5000094429</v>
      </c>
      <c r="B2789" s="13" t="inlineStr">
        <is>
          <t>МКОУ "СОШ №9 им. Цагова Н.А." г.Баксана</t>
        </is>
      </c>
      <c r="C2789" s="13" t="n">
        <v>701004758</v>
      </c>
      <c r="D2789" s="13" t="n"/>
      <c r="E2789" s="13" t="inlineStr">
        <is>
          <t>Не определён</t>
        </is>
      </c>
      <c r="F2789" s="13" t="inlineStr">
        <is>
          <t>701004758</t>
        </is>
      </c>
      <c r="G2789" s="14" t="n"/>
      <c r="H2789" s="14" t="n"/>
      <c r="I2789" s="14" t="n"/>
      <c r="J2789" s="14" t="n"/>
      <c r="K2789" s="13">
        <f>IF(G2789="","",IF(G2789&gt;=22,"Да","Нет"))</f>
        <v/>
      </c>
      <c r="L2789" s="13">
        <f>IF(OR(I2789="",J2789=""),"Не определено",IF(OR(COUNTIF(I2789,"45*")&gt;0,COUNTIF(J2789,"*45*")&gt;0,COUNTIF(I2789,"46*")&gt;0,COUNTIF(J2789,"*46*")&gt;0,COUNTIF(I2789,"47*")&gt;0,COUNTIF(J2789,"*47*")&gt;0,COUNTIF(I2789,"10*")&gt;0,COUNTIF(J2789,"*10*")&gt;0,COUNTIF(I2789,"11*")&gt;0,COUNTIF(J2789,"*11*")&gt;0,COUNTIF(I2789,"12*")&gt;0,COUNTIF(J2789,"*12*")&gt;0,COUNTIF(I2789,"13*")&gt;0,COUNTIF(J2789,"*13*")&gt;0,COUNTIF(I2789,"14*")&gt;0,COUNTIF(J2789,"*14*")&gt;0,COUNTIF(I2789,"15*")&gt;0,COUNTIF(J2789,"*15*")&gt;0,COUNTIF(I2789,"16*")&gt;0,COUNTIF(J2789,"*16*")&gt;0,COUNTIF(I2789,"17*")&gt;0,COUNTIF(J2789,"*17*")&gt;0,COUNTIF(I2789,"18*")&gt;0,COUNTIF(J2789,"*18*")&gt;0,COUNTIF(I2789,"19*")&gt;0,COUNTIF(J2789,"*19*")&gt;0,COUNTIF(I2789,"20*")&gt;0,COUNTIF(J2789,"*20*")&gt;0,COUNTIF(I2789,"21*")&gt;0,COUNTIF(J2789,"*21*")&gt;0,COUNTIF(I2789,"22*")&gt;0,COUNTIF(J2789,"*22*")&gt;0,COUNTIF(I2789,"23*")&gt;0,COUNTIF(J2789,"*23*")&gt;0,COUNTIF(I2789,"24*")&gt;0,COUNTIF(J2789,"*24*")&gt;0,COUNTIF(I2789,"25*")&gt;0,COUNTIF(J2789,"*25*")&gt;0,COUNTIF(I2789,"26*")&gt;0,COUNTIF(J2789,"*26*")&gt;0,COUNTIF(I2789,"27*")&gt;0,COUNTIF(J2789,"*27*")&gt;0,COUNTIF(I2789,"28*")&gt;0,COUNTIF(J2789,"*28*")&gt;0,COUNTIF(I2789,"29*")&gt;0,COUNTIF(J2789,"*29*")&gt;0,COUNTIF(I2789,"30*")&gt;0,COUNTIF(J2789,"*30*")&gt;0,COUNTIF(I2789,"31*")&gt;0,COUNTIF(J2789,"*31*")&gt;0,COUNTIF(I2789,"32*")&gt;0,COUNTIF(J2789,"*32*")&gt;0,COUNTIF(I2789,"33*")&gt;0,COUNTIF(J2789,"*33*")&gt;0,COUNTIF(I2789,"41*")&gt;0,COUNTIF(J2789,"*41*")&gt;0,COUNTIF(I2789,"42*")&gt;0,COUNTIF(J2789,"*42*")&gt;0,COUNTIF(I2789,"43*")&gt;0,COUNTIF(J2789,"*43*")&gt;0,COUNTIF(I2789,"49*")&gt;0,COUNTIF(J2789,"*49*")&gt;0,COUNTIF(I2789,"52*")&gt;0,COUNTIF(J2789,"*52*")&gt;0,COUNTIF(I2789,"55*")&gt;0,COUNTIF(J2789,"*55*")&gt;0,COUNTIF(I2789,"56*")&gt;0,COUNTIF(J2789,"*56*")&gt;0,COUNTIF(I2789,"68*")&gt;0,COUNTIF(J2789,"*68*")&gt;0,COUNTIF(I2789,"78*")&gt;0,COUNTIF(J2789,"*78*")&gt;0,COUNTIF(I2789,"81*")&gt;0,COUNTIF(J2789,"*81*")&gt;0,COUNTIF(I2789,"82*")&gt;0,COUNTIF(J2789,"*82*")&gt;0,COUNTIF(I2789,"64*")&gt;0,COUNTIF(J2789,"*64*")&gt;0,COUNTIF(I2789,"65*")&gt;0,COUNTIF(J2789,"*65*")&gt;0,COUNTIF(I2789,"66*")&gt;0,COUNTIF(J2789,"*66*")&gt;0,COUNTIF(I2789,"61*")&gt;0,COUNTIF(J2789,"*61*")&gt;0,COUNTIF(I2789,"62*")&gt;0,COUNTIF(J2789,"*62*")&gt;0,COUNTIF(I2789,"63*")&gt;0,COUNTIF(J2789,"*63*")&gt;0,COUNTIF(I2789,"85*")&gt;0,COUNTIF(J2789,"*85*")&gt;0,COUNTIF(I2789,"86*")&gt;0,COUNTIF(J2789,"*86*")&gt;0),"Да","Нет"))</f>
        <v/>
      </c>
      <c r="M2789" s="13">
        <f>IF(OR(G2789="",L2789&lt;&gt;"Да"),"",IF(G2789&lt;=100,"До 100",IF(G2789&lt;=200,"До 200",IF(G2789&lt;=500,"До 500","Отдельное КП"))))</f>
        <v/>
      </c>
      <c r="N2789" s="15">
        <f>IF(OR(G2789="",L2789&lt;&gt;"Да"),"",IF(G2789&lt;=100,33600,IF(G2789&lt;=200,62400,IF(G2789&lt;=500,144000,""))))</f>
        <v/>
      </c>
      <c r="O2789" s="16">
        <f>IF(G2789="","",IF(G2789&lt;=15,"1–15",IF(G2789&lt;=30,"16–30",IF(G2789&lt;=50,"31–50",IF(G2789&lt;=100,"51–100",IF(G2789&lt;=150,"101–150",IF(G2789&lt;=200,"151–200",IF(G2789&lt;=500,"201–500","500+"))))))))</f>
        <v/>
      </c>
      <c r="P2789" s="16" t="inlineStr">
        <is>
          <t>Нет совпадения в предоставленной выгрузке ССЧР</t>
        </is>
      </c>
      <c r="Q2789" s="16" t="n"/>
      <c r="R2789" s="16">
        <f>HYPERLINK("https://checko.ru/search?query=3801001629","Чекко: проверить")</f>
        <v/>
      </c>
      <c r="S2789" t="n">
        <v>0</v>
      </c>
    </row>
    <row r="2790" ht="15" customHeight="1" s="24">
      <c r="A2790" s="13" t="n">
        <v>5000094381</v>
      </c>
      <c r="B2790" s="13" t="inlineStr">
        <is>
          <t>МКДОУ "Детский сад" с.п. Заюково</t>
        </is>
      </c>
      <c r="C2790" s="13" t="n">
        <v>700001850</v>
      </c>
      <c r="D2790" s="13" t="n"/>
      <c r="E2790" s="13" t="inlineStr">
        <is>
          <t>Не определён</t>
        </is>
      </c>
      <c r="F2790" s="13" t="inlineStr">
        <is>
          <t>700001850</t>
        </is>
      </c>
      <c r="G2790" s="14" t="n"/>
      <c r="H2790" s="14" t="n"/>
      <c r="I2790" s="14" t="n"/>
      <c r="J2790" s="14" t="n"/>
      <c r="K2790" s="13">
        <f>IF(G2790="","",IF(G2790&gt;=22,"Да","Нет"))</f>
        <v/>
      </c>
      <c r="L2790" s="13">
        <f>IF(OR(I2790="",J2790=""),"Не определено",IF(OR(COUNTIF(I2790,"45*")&gt;0,COUNTIF(J2790,"*45*")&gt;0,COUNTIF(I2790,"46*")&gt;0,COUNTIF(J2790,"*46*")&gt;0,COUNTIF(I2790,"47*")&gt;0,COUNTIF(J2790,"*47*")&gt;0,COUNTIF(I2790,"10*")&gt;0,COUNTIF(J2790,"*10*")&gt;0,COUNTIF(I2790,"11*")&gt;0,COUNTIF(J2790,"*11*")&gt;0,COUNTIF(I2790,"12*")&gt;0,COUNTIF(J2790,"*12*")&gt;0,COUNTIF(I2790,"13*")&gt;0,COUNTIF(J2790,"*13*")&gt;0,COUNTIF(I2790,"14*")&gt;0,COUNTIF(J2790,"*14*")&gt;0,COUNTIF(I2790,"15*")&gt;0,COUNTIF(J2790,"*15*")&gt;0,COUNTIF(I2790,"16*")&gt;0,COUNTIF(J2790,"*16*")&gt;0,COUNTIF(I2790,"17*")&gt;0,COUNTIF(J2790,"*17*")&gt;0,COUNTIF(I2790,"18*")&gt;0,COUNTIF(J2790,"*18*")&gt;0,COUNTIF(I2790,"19*")&gt;0,COUNTIF(J2790,"*19*")&gt;0,COUNTIF(I2790,"20*")&gt;0,COUNTIF(J2790,"*20*")&gt;0,COUNTIF(I2790,"21*")&gt;0,COUNTIF(J2790,"*21*")&gt;0,COUNTIF(I2790,"22*")&gt;0,COUNTIF(J2790,"*22*")&gt;0,COUNTIF(I2790,"23*")&gt;0,COUNTIF(J2790,"*23*")&gt;0,COUNTIF(I2790,"24*")&gt;0,COUNTIF(J2790,"*24*")&gt;0,COUNTIF(I2790,"25*")&gt;0,COUNTIF(J2790,"*25*")&gt;0,COUNTIF(I2790,"26*")&gt;0,COUNTIF(J2790,"*26*")&gt;0,COUNTIF(I2790,"27*")&gt;0,COUNTIF(J2790,"*27*")&gt;0,COUNTIF(I2790,"28*")&gt;0,COUNTIF(J2790,"*28*")&gt;0,COUNTIF(I2790,"29*")&gt;0,COUNTIF(J2790,"*29*")&gt;0,COUNTIF(I2790,"30*")&gt;0,COUNTIF(J2790,"*30*")&gt;0,COUNTIF(I2790,"31*")&gt;0,COUNTIF(J2790,"*31*")&gt;0,COUNTIF(I2790,"32*")&gt;0,COUNTIF(J2790,"*32*")&gt;0,COUNTIF(I2790,"33*")&gt;0,COUNTIF(J2790,"*33*")&gt;0,COUNTIF(I2790,"41*")&gt;0,COUNTIF(J2790,"*41*")&gt;0,COUNTIF(I2790,"42*")&gt;0,COUNTIF(J2790,"*42*")&gt;0,COUNTIF(I2790,"43*")&gt;0,COUNTIF(J2790,"*43*")&gt;0,COUNTIF(I2790,"49*")&gt;0,COUNTIF(J2790,"*49*")&gt;0,COUNTIF(I2790,"52*")&gt;0,COUNTIF(J2790,"*52*")&gt;0,COUNTIF(I2790,"55*")&gt;0,COUNTIF(J2790,"*55*")&gt;0,COUNTIF(I2790,"56*")&gt;0,COUNTIF(J2790,"*56*")&gt;0,COUNTIF(I2790,"68*")&gt;0,COUNTIF(J2790,"*68*")&gt;0,COUNTIF(I2790,"78*")&gt;0,COUNTIF(J2790,"*78*")&gt;0,COUNTIF(I2790,"81*")&gt;0,COUNTIF(J2790,"*81*")&gt;0,COUNTIF(I2790,"82*")&gt;0,COUNTIF(J2790,"*82*")&gt;0,COUNTIF(I2790,"64*")&gt;0,COUNTIF(J2790,"*64*")&gt;0,COUNTIF(I2790,"65*")&gt;0,COUNTIF(J2790,"*65*")&gt;0,COUNTIF(I2790,"66*")&gt;0,COUNTIF(J2790,"*66*")&gt;0,COUNTIF(I2790,"61*")&gt;0,COUNTIF(J2790,"*61*")&gt;0,COUNTIF(I2790,"62*")&gt;0,COUNTIF(J2790,"*62*")&gt;0,COUNTIF(I2790,"63*")&gt;0,COUNTIF(J2790,"*63*")&gt;0,COUNTIF(I2790,"85*")&gt;0,COUNTIF(J2790,"*85*")&gt;0,COUNTIF(I2790,"86*")&gt;0,COUNTIF(J2790,"*86*")&gt;0),"Да","Нет"))</f>
        <v/>
      </c>
      <c r="M2790" s="13">
        <f>IF(OR(G2790="",L2790&lt;&gt;"Да"),"",IF(G2790&lt;=100,"До 100",IF(G2790&lt;=200,"До 200",IF(G2790&lt;=500,"До 500","Отдельное КП"))))</f>
        <v/>
      </c>
      <c r="N2790" s="15">
        <f>IF(OR(G2790="",L2790&lt;&gt;"Да"),"",IF(G2790&lt;=100,33600,IF(G2790&lt;=200,62400,IF(G2790&lt;=500,144000,""))))</f>
        <v/>
      </c>
      <c r="O2790" s="16">
        <f>IF(G2790="","",IF(G2790&lt;=15,"1–15",IF(G2790&lt;=30,"16–30",IF(G2790&lt;=50,"31–50",IF(G2790&lt;=100,"51–100",IF(G2790&lt;=150,"101–150",IF(G2790&lt;=200,"151–200",IF(G2790&lt;=500,"201–500","500+"))))))))</f>
        <v/>
      </c>
      <c r="P2790" s="16" t="inlineStr">
        <is>
          <t>Нет совпадения в предоставленной выгрузке ССЧР</t>
        </is>
      </c>
      <c r="Q2790" s="16" t="n"/>
      <c r="R2790" s="16">
        <f>HYPERLINK("https://checko.ru/search?query=3801001629","Чекко: проверить")</f>
        <v/>
      </c>
      <c r="S2790" t="n">
        <v>0</v>
      </c>
    </row>
    <row r="2791" ht="15" customHeight="1" s="24">
      <c r="A2791" s="13" t="n">
        <v>5000094382</v>
      </c>
      <c r="B2791" s="13" t="inlineStr">
        <is>
          <t>МКУ "УАКС"</t>
        </is>
      </c>
      <c r="C2791" s="13" t="n">
        <v>700002148</v>
      </c>
      <c r="D2791" s="13" t="n"/>
      <c r="E2791" s="13" t="inlineStr">
        <is>
          <t>Не определён</t>
        </is>
      </c>
      <c r="F2791" s="13" t="inlineStr">
        <is>
          <t>700002148</t>
        </is>
      </c>
      <c r="G2791" s="14" t="n"/>
      <c r="H2791" s="14" t="n"/>
      <c r="I2791" s="14" t="n"/>
      <c r="J2791" s="14" t="n"/>
      <c r="K2791" s="13">
        <f>IF(G2791="","",IF(G2791&gt;=22,"Да","Нет"))</f>
        <v/>
      </c>
      <c r="L2791" s="13">
        <f>IF(OR(I2791="",J2791=""),"Не определено",IF(OR(COUNTIF(I2791,"45*")&gt;0,COUNTIF(J2791,"*45*")&gt;0,COUNTIF(I2791,"46*")&gt;0,COUNTIF(J2791,"*46*")&gt;0,COUNTIF(I2791,"47*")&gt;0,COUNTIF(J2791,"*47*")&gt;0,COUNTIF(I2791,"10*")&gt;0,COUNTIF(J2791,"*10*")&gt;0,COUNTIF(I2791,"11*")&gt;0,COUNTIF(J2791,"*11*")&gt;0,COUNTIF(I2791,"12*")&gt;0,COUNTIF(J2791,"*12*")&gt;0,COUNTIF(I2791,"13*")&gt;0,COUNTIF(J2791,"*13*")&gt;0,COUNTIF(I2791,"14*")&gt;0,COUNTIF(J2791,"*14*")&gt;0,COUNTIF(I2791,"15*")&gt;0,COUNTIF(J2791,"*15*")&gt;0,COUNTIF(I2791,"16*")&gt;0,COUNTIF(J2791,"*16*")&gt;0,COUNTIF(I2791,"17*")&gt;0,COUNTIF(J2791,"*17*")&gt;0,COUNTIF(I2791,"18*")&gt;0,COUNTIF(J2791,"*18*")&gt;0,COUNTIF(I2791,"19*")&gt;0,COUNTIF(J2791,"*19*")&gt;0,COUNTIF(I2791,"20*")&gt;0,COUNTIF(J2791,"*20*")&gt;0,COUNTIF(I2791,"21*")&gt;0,COUNTIF(J2791,"*21*")&gt;0,COUNTIF(I2791,"22*")&gt;0,COUNTIF(J2791,"*22*")&gt;0,COUNTIF(I2791,"23*")&gt;0,COUNTIF(J2791,"*23*")&gt;0,COUNTIF(I2791,"24*")&gt;0,COUNTIF(J2791,"*24*")&gt;0,COUNTIF(I2791,"25*")&gt;0,COUNTIF(J2791,"*25*")&gt;0,COUNTIF(I2791,"26*")&gt;0,COUNTIF(J2791,"*26*")&gt;0,COUNTIF(I2791,"27*")&gt;0,COUNTIF(J2791,"*27*")&gt;0,COUNTIF(I2791,"28*")&gt;0,COUNTIF(J2791,"*28*")&gt;0,COUNTIF(I2791,"29*")&gt;0,COUNTIF(J2791,"*29*")&gt;0,COUNTIF(I2791,"30*")&gt;0,COUNTIF(J2791,"*30*")&gt;0,COUNTIF(I2791,"31*")&gt;0,COUNTIF(J2791,"*31*")&gt;0,COUNTIF(I2791,"32*")&gt;0,COUNTIF(J2791,"*32*")&gt;0,COUNTIF(I2791,"33*")&gt;0,COUNTIF(J2791,"*33*")&gt;0,COUNTIF(I2791,"41*")&gt;0,COUNTIF(J2791,"*41*")&gt;0,COUNTIF(I2791,"42*")&gt;0,COUNTIF(J2791,"*42*")&gt;0,COUNTIF(I2791,"43*")&gt;0,COUNTIF(J2791,"*43*")&gt;0,COUNTIF(I2791,"49*")&gt;0,COUNTIF(J2791,"*49*")&gt;0,COUNTIF(I2791,"52*")&gt;0,COUNTIF(J2791,"*52*")&gt;0,COUNTIF(I2791,"55*")&gt;0,COUNTIF(J2791,"*55*")&gt;0,COUNTIF(I2791,"56*")&gt;0,COUNTIF(J2791,"*56*")&gt;0,COUNTIF(I2791,"68*")&gt;0,COUNTIF(J2791,"*68*")&gt;0,COUNTIF(I2791,"78*")&gt;0,COUNTIF(J2791,"*78*")&gt;0,COUNTIF(I2791,"81*")&gt;0,COUNTIF(J2791,"*81*")&gt;0,COUNTIF(I2791,"82*")&gt;0,COUNTIF(J2791,"*82*")&gt;0,COUNTIF(I2791,"64*")&gt;0,COUNTIF(J2791,"*64*")&gt;0,COUNTIF(I2791,"65*")&gt;0,COUNTIF(J2791,"*65*")&gt;0,COUNTIF(I2791,"66*")&gt;0,COUNTIF(J2791,"*66*")&gt;0,COUNTIF(I2791,"61*")&gt;0,COUNTIF(J2791,"*61*")&gt;0,COUNTIF(I2791,"62*")&gt;0,COUNTIF(J2791,"*62*")&gt;0,COUNTIF(I2791,"63*")&gt;0,COUNTIF(J2791,"*63*")&gt;0,COUNTIF(I2791,"85*")&gt;0,COUNTIF(J2791,"*85*")&gt;0,COUNTIF(I2791,"86*")&gt;0,COUNTIF(J2791,"*86*")&gt;0),"Да","Нет"))</f>
        <v/>
      </c>
      <c r="M2791" s="13">
        <f>IF(OR(G2791="",L2791&lt;&gt;"Да"),"",IF(G2791&lt;=100,"До 100",IF(G2791&lt;=200,"До 200",IF(G2791&lt;=500,"До 500","Отдельное КП"))))</f>
        <v/>
      </c>
      <c r="N2791" s="15">
        <f>IF(OR(G2791="",L2791&lt;&gt;"Да"),"",IF(G2791&lt;=100,33600,IF(G2791&lt;=200,62400,IF(G2791&lt;=500,144000,""))))</f>
        <v/>
      </c>
      <c r="O2791" s="16">
        <f>IF(G2791="","",IF(G2791&lt;=15,"1–15",IF(G2791&lt;=30,"16–30",IF(G2791&lt;=50,"31–50",IF(G2791&lt;=100,"51–100",IF(G2791&lt;=150,"101–150",IF(G2791&lt;=200,"151–200",IF(G2791&lt;=500,"201–500","500+"))))))))</f>
        <v/>
      </c>
      <c r="P2791" s="16" t="inlineStr">
        <is>
          <t>Нет совпадения в предоставленной выгрузке ССЧР</t>
        </is>
      </c>
      <c r="Q2791" s="16" t="n"/>
      <c r="R2791" s="16">
        <f>HYPERLINK("https://checko.ru/search?query=3801001629","Чекко: проверить")</f>
        <v/>
      </c>
      <c r="S2791" t="n">
        <v>0</v>
      </c>
    </row>
    <row r="2792" ht="15" customHeight="1" s="24">
      <c r="A2792" s="13" t="n">
        <v>5000094415</v>
      </c>
      <c r="B2792" s="13" t="inlineStr">
        <is>
          <t>МОУ СОШ №2 с.п. Атажукино</t>
        </is>
      </c>
      <c r="C2792" s="13" t="n">
        <v>701004483</v>
      </c>
      <c r="D2792" s="13" t="n"/>
      <c r="E2792" s="13" t="inlineStr">
        <is>
          <t>Не определён</t>
        </is>
      </c>
      <c r="F2792" s="13" t="inlineStr">
        <is>
          <t>701004483</t>
        </is>
      </c>
      <c r="G2792" s="14" t="n"/>
      <c r="H2792" s="14" t="n"/>
      <c r="I2792" s="14" t="n"/>
      <c r="J2792" s="14" t="n"/>
      <c r="K2792" s="13">
        <f>IF(G2792="","",IF(G2792&gt;=22,"Да","Нет"))</f>
        <v/>
      </c>
      <c r="L2792" s="13">
        <f>IF(OR(I2792="",J2792=""),"Не определено",IF(OR(COUNTIF(I2792,"45*")&gt;0,COUNTIF(J2792,"*45*")&gt;0,COUNTIF(I2792,"46*")&gt;0,COUNTIF(J2792,"*46*")&gt;0,COUNTIF(I2792,"47*")&gt;0,COUNTIF(J2792,"*47*")&gt;0,COUNTIF(I2792,"10*")&gt;0,COUNTIF(J2792,"*10*")&gt;0,COUNTIF(I2792,"11*")&gt;0,COUNTIF(J2792,"*11*")&gt;0,COUNTIF(I2792,"12*")&gt;0,COUNTIF(J2792,"*12*")&gt;0,COUNTIF(I2792,"13*")&gt;0,COUNTIF(J2792,"*13*")&gt;0,COUNTIF(I2792,"14*")&gt;0,COUNTIF(J2792,"*14*")&gt;0,COUNTIF(I2792,"15*")&gt;0,COUNTIF(J2792,"*15*")&gt;0,COUNTIF(I2792,"16*")&gt;0,COUNTIF(J2792,"*16*")&gt;0,COUNTIF(I2792,"17*")&gt;0,COUNTIF(J2792,"*17*")&gt;0,COUNTIF(I2792,"18*")&gt;0,COUNTIF(J2792,"*18*")&gt;0,COUNTIF(I2792,"19*")&gt;0,COUNTIF(J2792,"*19*")&gt;0,COUNTIF(I2792,"20*")&gt;0,COUNTIF(J2792,"*20*")&gt;0,COUNTIF(I2792,"21*")&gt;0,COUNTIF(J2792,"*21*")&gt;0,COUNTIF(I2792,"22*")&gt;0,COUNTIF(J2792,"*22*")&gt;0,COUNTIF(I2792,"23*")&gt;0,COUNTIF(J2792,"*23*")&gt;0,COUNTIF(I2792,"24*")&gt;0,COUNTIF(J2792,"*24*")&gt;0,COUNTIF(I2792,"25*")&gt;0,COUNTIF(J2792,"*25*")&gt;0,COUNTIF(I2792,"26*")&gt;0,COUNTIF(J2792,"*26*")&gt;0,COUNTIF(I2792,"27*")&gt;0,COUNTIF(J2792,"*27*")&gt;0,COUNTIF(I2792,"28*")&gt;0,COUNTIF(J2792,"*28*")&gt;0,COUNTIF(I2792,"29*")&gt;0,COUNTIF(J2792,"*29*")&gt;0,COUNTIF(I2792,"30*")&gt;0,COUNTIF(J2792,"*30*")&gt;0,COUNTIF(I2792,"31*")&gt;0,COUNTIF(J2792,"*31*")&gt;0,COUNTIF(I2792,"32*")&gt;0,COUNTIF(J2792,"*32*")&gt;0,COUNTIF(I2792,"33*")&gt;0,COUNTIF(J2792,"*33*")&gt;0,COUNTIF(I2792,"41*")&gt;0,COUNTIF(J2792,"*41*")&gt;0,COUNTIF(I2792,"42*")&gt;0,COUNTIF(J2792,"*42*")&gt;0,COUNTIF(I2792,"43*")&gt;0,COUNTIF(J2792,"*43*")&gt;0,COUNTIF(I2792,"49*")&gt;0,COUNTIF(J2792,"*49*")&gt;0,COUNTIF(I2792,"52*")&gt;0,COUNTIF(J2792,"*52*")&gt;0,COUNTIF(I2792,"55*")&gt;0,COUNTIF(J2792,"*55*")&gt;0,COUNTIF(I2792,"56*")&gt;0,COUNTIF(J2792,"*56*")&gt;0,COUNTIF(I2792,"68*")&gt;0,COUNTIF(J2792,"*68*")&gt;0,COUNTIF(I2792,"78*")&gt;0,COUNTIF(J2792,"*78*")&gt;0,COUNTIF(I2792,"81*")&gt;0,COUNTIF(J2792,"*81*")&gt;0,COUNTIF(I2792,"82*")&gt;0,COUNTIF(J2792,"*82*")&gt;0,COUNTIF(I2792,"64*")&gt;0,COUNTIF(J2792,"*64*")&gt;0,COUNTIF(I2792,"65*")&gt;0,COUNTIF(J2792,"*65*")&gt;0,COUNTIF(I2792,"66*")&gt;0,COUNTIF(J2792,"*66*")&gt;0,COUNTIF(I2792,"61*")&gt;0,COUNTIF(J2792,"*61*")&gt;0,COUNTIF(I2792,"62*")&gt;0,COUNTIF(J2792,"*62*")&gt;0,COUNTIF(I2792,"63*")&gt;0,COUNTIF(J2792,"*63*")&gt;0,COUNTIF(I2792,"85*")&gt;0,COUNTIF(J2792,"*85*")&gt;0,COUNTIF(I2792,"86*")&gt;0,COUNTIF(J2792,"*86*")&gt;0),"Да","Нет"))</f>
        <v/>
      </c>
      <c r="M2792" s="13">
        <f>IF(OR(G2792="",L2792&lt;&gt;"Да"),"",IF(G2792&lt;=100,"До 100",IF(G2792&lt;=200,"До 200",IF(G2792&lt;=500,"До 500","Отдельное КП"))))</f>
        <v/>
      </c>
      <c r="N2792" s="15">
        <f>IF(OR(G2792="",L2792&lt;&gt;"Да"),"",IF(G2792&lt;=100,33600,IF(G2792&lt;=200,62400,IF(G2792&lt;=500,144000,""))))</f>
        <v/>
      </c>
      <c r="O2792" s="16">
        <f>IF(G2792="","",IF(G2792&lt;=15,"1–15",IF(G2792&lt;=30,"16–30",IF(G2792&lt;=50,"31–50",IF(G2792&lt;=100,"51–100",IF(G2792&lt;=150,"101–150",IF(G2792&lt;=200,"151–200",IF(G2792&lt;=500,"201–500","500+"))))))))</f>
        <v/>
      </c>
      <c r="P2792" s="16" t="inlineStr">
        <is>
          <t>Нет совпадения в предоставленной выгрузке ССЧР</t>
        </is>
      </c>
      <c r="Q2792" s="16" t="n"/>
      <c r="R2792" s="16">
        <f>HYPERLINK("https://checko.ru/search?query=3801001629","Чекко: проверить")</f>
        <v/>
      </c>
      <c r="S2792" t="n">
        <v>0</v>
      </c>
    </row>
    <row r="2793" ht="15" customHeight="1" s="24">
      <c r="A2793" s="13" t="n">
        <v>5000094383</v>
      </c>
      <c r="B2793" s="13" t="inlineStr">
        <is>
          <t>ГКУ КБР "Госюрбюро" МТ и СЗ КБР</t>
        </is>
      </c>
      <c r="C2793" s="13" t="n">
        <v>700002684</v>
      </c>
      <c r="D2793" s="13" t="n"/>
      <c r="E2793" s="13" t="inlineStr">
        <is>
          <t>Не определён</t>
        </is>
      </c>
      <c r="F2793" s="13" t="inlineStr">
        <is>
          <t>700002684</t>
        </is>
      </c>
      <c r="G2793" s="14" t="n"/>
      <c r="H2793" s="14" t="n"/>
      <c r="I2793" s="14" t="n"/>
      <c r="J2793" s="14" t="n"/>
      <c r="K2793" s="13">
        <f>IF(G2793="","",IF(G2793&gt;=22,"Да","Нет"))</f>
        <v/>
      </c>
      <c r="L2793" s="13">
        <f>IF(OR(I2793="",J2793=""),"Не определено",IF(OR(COUNTIF(I2793,"45*")&gt;0,COUNTIF(J2793,"*45*")&gt;0,COUNTIF(I2793,"46*")&gt;0,COUNTIF(J2793,"*46*")&gt;0,COUNTIF(I2793,"47*")&gt;0,COUNTIF(J2793,"*47*")&gt;0,COUNTIF(I2793,"10*")&gt;0,COUNTIF(J2793,"*10*")&gt;0,COUNTIF(I2793,"11*")&gt;0,COUNTIF(J2793,"*11*")&gt;0,COUNTIF(I2793,"12*")&gt;0,COUNTIF(J2793,"*12*")&gt;0,COUNTIF(I2793,"13*")&gt;0,COUNTIF(J2793,"*13*")&gt;0,COUNTIF(I2793,"14*")&gt;0,COUNTIF(J2793,"*14*")&gt;0,COUNTIF(I2793,"15*")&gt;0,COUNTIF(J2793,"*15*")&gt;0,COUNTIF(I2793,"16*")&gt;0,COUNTIF(J2793,"*16*")&gt;0,COUNTIF(I2793,"17*")&gt;0,COUNTIF(J2793,"*17*")&gt;0,COUNTIF(I2793,"18*")&gt;0,COUNTIF(J2793,"*18*")&gt;0,COUNTIF(I2793,"19*")&gt;0,COUNTIF(J2793,"*19*")&gt;0,COUNTIF(I2793,"20*")&gt;0,COUNTIF(J2793,"*20*")&gt;0,COUNTIF(I2793,"21*")&gt;0,COUNTIF(J2793,"*21*")&gt;0,COUNTIF(I2793,"22*")&gt;0,COUNTIF(J2793,"*22*")&gt;0,COUNTIF(I2793,"23*")&gt;0,COUNTIF(J2793,"*23*")&gt;0,COUNTIF(I2793,"24*")&gt;0,COUNTIF(J2793,"*24*")&gt;0,COUNTIF(I2793,"25*")&gt;0,COUNTIF(J2793,"*25*")&gt;0,COUNTIF(I2793,"26*")&gt;0,COUNTIF(J2793,"*26*")&gt;0,COUNTIF(I2793,"27*")&gt;0,COUNTIF(J2793,"*27*")&gt;0,COUNTIF(I2793,"28*")&gt;0,COUNTIF(J2793,"*28*")&gt;0,COUNTIF(I2793,"29*")&gt;0,COUNTIF(J2793,"*29*")&gt;0,COUNTIF(I2793,"30*")&gt;0,COUNTIF(J2793,"*30*")&gt;0,COUNTIF(I2793,"31*")&gt;0,COUNTIF(J2793,"*31*")&gt;0,COUNTIF(I2793,"32*")&gt;0,COUNTIF(J2793,"*32*")&gt;0,COUNTIF(I2793,"33*")&gt;0,COUNTIF(J2793,"*33*")&gt;0,COUNTIF(I2793,"41*")&gt;0,COUNTIF(J2793,"*41*")&gt;0,COUNTIF(I2793,"42*")&gt;0,COUNTIF(J2793,"*42*")&gt;0,COUNTIF(I2793,"43*")&gt;0,COUNTIF(J2793,"*43*")&gt;0,COUNTIF(I2793,"49*")&gt;0,COUNTIF(J2793,"*49*")&gt;0,COUNTIF(I2793,"52*")&gt;0,COUNTIF(J2793,"*52*")&gt;0,COUNTIF(I2793,"55*")&gt;0,COUNTIF(J2793,"*55*")&gt;0,COUNTIF(I2793,"56*")&gt;0,COUNTIF(J2793,"*56*")&gt;0,COUNTIF(I2793,"68*")&gt;0,COUNTIF(J2793,"*68*")&gt;0,COUNTIF(I2793,"78*")&gt;0,COUNTIF(J2793,"*78*")&gt;0,COUNTIF(I2793,"81*")&gt;0,COUNTIF(J2793,"*81*")&gt;0,COUNTIF(I2793,"82*")&gt;0,COUNTIF(J2793,"*82*")&gt;0,COUNTIF(I2793,"64*")&gt;0,COUNTIF(J2793,"*64*")&gt;0,COUNTIF(I2793,"65*")&gt;0,COUNTIF(J2793,"*65*")&gt;0,COUNTIF(I2793,"66*")&gt;0,COUNTIF(J2793,"*66*")&gt;0,COUNTIF(I2793,"61*")&gt;0,COUNTIF(J2793,"*61*")&gt;0,COUNTIF(I2793,"62*")&gt;0,COUNTIF(J2793,"*62*")&gt;0,COUNTIF(I2793,"63*")&gt;0,COUNTIF(J2793,"*63*")&gt;0,COUNTIF(I2793,"85*")&gt;0,COUNTIF(J2793,"*85*")&gt;0,COUNTIF(I2793,"86*")&gt;0,COUNTIF(J2793,"*86*")&gt;0),"Да","Нет"))</f>
        <v/>
      </c>
      <c r="M2793" s="13">
        <f>IF(OR(G2793="",L2793&lt;&gt;"Да"),"",IF(G2793&lt;=100,"До 100",IF(G2793&lt;=200,"До 200",IF(G2793&lt;=500,"До 500","Отдельное КП"))))</f>
        <v/>
      </c>
      <c r="N2793" s="15">
        <f>IF(OR(G2793="",L2793&lt;&gt;"Да"),"",IF(G2793&lt;=100,33600,IF(G2793&lt;=200,62400,IF(G2793&lt;=500,144000,""))))</f>
        <v/>
      </c>
      <c r="O2793" s="16">
        <f>IF(G2793="","",IF(G2793&lt;=15,"1–15",IF(G2793&lt;=30,"16–30",IF(G2793&lt;=50,"31–50",IF(G2793&lt;=100,"51–100",IF(G2793&lt;=150,"101–150",IF(G2793&lt;=200,"151–200",IF(G2793&lt;=500,"201–500","500+"))))))))</f>
        <v/>
      </c>
      <c r="P2793" s="16" t="inlineStr">
        <is>
          <t>Нет совпадения в предоставленной выгрузке ССЧР</t>
        </is>
      </c>
      <c r="Q2793" s="16" t="n"/>
      <c r="R2793" s="16">
        <f>HYPERLINK("https://checko.ru/search?query=3801001629","Чекко: проверить")</f>
        <v/>
      </c>
      <c r="S2793" t="n">
        <v>0</v>
      </c>
    </row>
    <row r="2794" ht="15" customHeight="1" s="24">
      <c r="A2794" s="13" t="n">
        <v>5000094384</v>
      </c>
      <c r="B2794" s="13" t="inlineStr">
        <is>
          <t>МКУ "УКСИА"</t>
        </is>
      </c>
      <c r="C2794" s="13" t="n">
        <v>700004522</v>
      </c>
      <c r="D2794" s="13" t="n"/>
      <c r="E2794" s="13" t="inlineStr">
        <is>
          <t>Не определён</t>
        </is>
      </c>
      <c r="F2794" s="13" t="inlineStr">
        <is>
          <t>700004522</t>
        </is>
      </c>
      <c r="G2794" s="14" t="n"/>
      <c r="H2794" s="14" t="n"/>
      <c r="I2794" s="14" t="n"/>
      <c r="J2794" s="14" t="n"/>
      <c r="K2794" s="13">
        <f>IF(G2794="","",IF(G2794&gt;=22,"Да","Нет"))</f>
        <v/>
      </c>
      <c r="L2794" s="13">
        <f>IF(OR(I2794="",J2794=""),"Не определено",IF(OR(COUNTIF(I2794,"45*")&gt;0,COUNTIF(J2794,"*45*")&gt;0,COUNTIF(I2794,"46*")&gt;0,COUNTIF(J2794,"*46*")&gt;0,COUNTIF(I2794,"47*")&gt;0,COUNTIF(J2794,"*47*")&gt;0,COUNTIF(I2794,"10*")&gt;0,COUNTIF(J2794,"*10*")&gt;0,COUNTIF(I2794,"11*")&gt;0,COUNTIF(J2794,"*11*")&gt;0,COUNTIF(I2794,"12*")&gt;0,COUNTIF(J2794,"*12*")&gt;0,COUNTIF(I2794,"13*")&gt;0,COUNTIF(J2794,"*13*")&gt;0,COUNTIF(I2794,"14*")&gt;0,COUNTIF(J2794,"*14*")&gt;0,COUNTIF(I2794,"15*")&gt;0,COUNTIF(J2794,"*15*")&gt;0,COUNTIF(I2794,"16*")&gt;0,COUNTIF(J2794,"*16*")&gt;0,COUNTIF(I2794,"17*")&gt;0,COUNTIF(J2794,"*17*")&gt;0,COUNTIF(I2794,"18*")&gt;0,COUNTIF(J2794,"*18*")&gt;0,COUNTIF(I2794,"19*")&gt;0,COUNTIF(J2794,"*19*")&gt;0,COUNTIF(I2794,"20*")&gt;0,COUNTIF(J2794,"*20*")&gt;0,COUNTIF(I2794,"21*")&gt;0,COUNTIF(J2794,"*21*")&gt;0,COUNTIF(I2794,"22*")&gt;0,COUNTIF(J2794,"*22*")&gt;0,COUNTIF(I2794,"23*")&gt;0,COUNTIF(J2794,"*23*")&gt;0,COUNTIF(I2794,"24*")&gt;0,COUNTIF(J2794,"*24*")&gt;0,COUNTIF(I2794,"25*")&gt;0,COUNTIF(J2794,"*25*")&gt;0,COUNTIF(I2794,"26*")&gt;0,COUNTIF(J2794,"*26*")&gt;0,COUNTIF(I2794,"27*")&gt;0,COUNTIF(J2794,"*27*")&gt;0,COUNTIF(I2794,"28*")&gt;0,COUNTIF(J2794,"*28*")&gt;0,COUNTIF(I2794,"29*")&gt;0,COUNTIF(J2794,"*29*")&gt;0,COUNTIF(I2794,"30*")&gt;0,COUNTIF(J2794,"*30*")&gt;0,COUNTIF(I2794,"31*")&gt;0,COUNTIF(J2794,"*31*")&gt;0,COUNTIF(I2794,"32*")&gt;0,COUNTIF(J2794,"*32*")&gt;0,COUNTIF(I2794,"33*")&gt;0,COUNTIF(J2794,"*33*")&gt;0,COUNTIF(I2794,"41*")&gt;0,COUNTIF(J2794,"*41*")&gt;0,COUNTIF(I2794,"42*")&gt;0,COUNTIF(J2794,"*42*")&gt;0,COUNTIF(I2794,"43*")&gt;0,COUNTIF(J2794,"*43*")&gt;0,COUNTIF(I2794,"49*")&gt;0,COUNTIF(J2794,"*49*")&gt;0,COUNTIF(I2794,"52*")&gt;0,COUNTIF(J2794,"*52*")&gt;0,COUNTIF(I2794,"55*")&gt;0,COUNTIF(J2794,"*55*")&gt;0,COUNTIF(I2794,"56*")&gt;0,COUNTIF(J2794,"*56*")&gt;0,COUNTIF(I2794,"68*")&gt;0,COUNTIF(J2794,"*68*")&gt;0,COUNTIF(I2794,"78*")&gt;0,COUNTIF(J2794,"*78*")&gt;0,COUNTIF(I2794,"81*")&gt;0,COUNTIF(J2794,"*81*")&gt;0,COUNTIF(I2794,"82*")&gt;0,COUNTIF(J2794,"*82*")&gt;0,COUNTIF(I2794,"64*")&gt;0,COUNTIF(J2794,"*64*")&gt;0,COUNTIF(I2794,"65*")&gt;0,COUNTIF(J2794,"*65*")&gt;0,COUNTIF(I2794,"66*")&gt;0,COUNTIF(J2794,"*66*")&gt;0,COUNTIF(I2794,"61*")&gt;0,COUNTIF(J2794,"*61*")&gt;0,COUNTIF(I2794,"62*")&gt;0,COUNTIF(J2794,"*62*")&gt;0,COUNTIF(I2794,"63*")&gt;0,COUNTIF(J2794,"*63*")&gt;0,COUNTIF(I2794,"85*")&gt;0,COUNTIF(J2794,"*85*")&gt;0,COUNTIF(I2794,"86*")&gt;0,COUNTIF(J2794,"*86*")&gt;0),"Да","Нет"))</f>
        <v/>
      </c>
      <c r="M2794" s="13">
        <f>IF(OR(G2794="",L2794&lt;&gt;"Да"),"",IF(G2794&lt;=100,"До 100",IF(G2794&lt;=200,"До 200",IF(G2794&lt;=500,"До 500","Отдельное КП"))))</f>
        <v/>
      </c>
      <c r="N2794" s="15">
        <f>IF(OR(G2794="",L2794&lt;&gt;"Да"),"",IF(G2794&lt;=100,33600,IF(G2794&lt;=200,62400,IF(G2794&lt;=500,144000,""))))</f>
        <v/>
      </c>
      <c r="O2794" s="16">
        <f>IF(G2794="","",IF(G2794&lt;=15,"1–15",IF(G2794&lt;=30,"16–30",IF(G2794&lt;=50,"31–50",IF(G2794&lt;=100,"51–100",IF(G2794&lt;=150,"101–150",IF(G2794&lt;=200,"151–200",IF(G2794&lt;=500,"201–500","500+"))))))))</f>
        <v/>
      </c>
      <c r="P2794" s="16" t="inlineStr">
        <is>
          <t>Нет совпадения в предоставленной выгрузке ССЧР</t>
        </is>
      </c>
      <c r="Q2794" s="16" t="n"/>
      <c r="R2794" s="16">
        <f>HYPERLINK("https://checko.ru/search?query=3801001629","Чекко: проверить")</f>
        <v/>
      </c>
      <c r="S2794" t="n">
        <v>0</v>
      </c>
    </row>
    <row r="2795" ht="15" customHeight="1" s="24">
      <c r="A2795" s="13" t="n">
        <v>5000094424</v>
      </c>
      <c r="B2795" s="13" t="inlineStr">
        <is>
          <t>Администрация сельского поселения Куба-Таба</t>
        </is>
      </c>
      <c r="C2795" s="13" t="n">
        <v>701004652</v>
      </c>
      <c r="D2795" s="13" t="n"/>
      <c r="E2795" s="13" t="inlineStr">
        <is>
          <t>Не определён</t>
        </is>
      </c>
      <c r="F2795" s="13" t="inlineStr">
        <is>
          <t>701004652</t>
        </is>
      </c>
      <c r="G2795" s="14" t="n"/>
      <c r="H2795" s="14" t="n"/>
      <c r="I2795" s="14" t="n"/>
      <c r="J2795" s="14" t="n"/>
      <c r="K2795" s="13">
        <f>IF(G2795="","",IF(G2795&gt;=22,"Да","Нет"))</f>
        <v/>
      </c>
      <c r="L2795" s="13">
        <f>IF(OR(I2795="",J2795=""),"Не определено",IF(OR(COUNTIF(I2795,"45*")&gt;0,COUNTIF(J2795,"*45*")&gt;0,COUNTIF(I2795,"46*")&gt;0,COUNTIF(J2795,"*46*")&gt;0,COUNTIF(I2795,"47*")&gt;0,COUNTIF(J2795,"*47*")&gt;0,COUNTIF(I2795,"10*")&gt;0,COUNTIF(J2795,"*10*")&gt;0,COUNTIF(I2795,"11*")&gt;0,COUNTIF(J2795,"*11*")&gt;0,COUNTIF(I2795,"12*")&gt;0,COUNTIF(J2795,"*12*")&gt;0,COUNTIF(I2795,"13*")&gt;0,COUNTIF(J2795,"*13*")&gt;0,COUNTIF(I2795,"14*")&gt;0,COUNTIF(J2795,"*14*")&gt;0,COUNTIF(I2795,"15*")&gt;0,COUNTIF(J2795,"*15*")&gt;0,COUNTIF(I2795,"16*")&gt;0,COUNTIF(J2795,"*16*")&gt;0,COUNTIF(I2795,"17*")&gt;0,COUNTIF(J2795,"*17*")&gt;0,COUNTIF(I2795,"18*")&gt;0,COUNTIF(J2795,"*18*")&gt;0,COUNTIF(I2795,"19*")&gt;0,COUNTIF(J2795,"*19*")&gt;0,COUNTIF(I2795,"20*")&gt;0,COUNTIF(J2795,"*20*")&gt;0,COUNTIF(I2795,"21*")&gt;0,COUNTIF(J2795,"*21*")&gt;0,COUNTIF(I2795,"22*")&gt;0,COUNTIF(J2795,"*22*")&gt;0,COUNTIF(I2795,"23*")&gt;0,COUNTIF(J2795,"*23*")&gt;0,COUNTIF(I2795,"24*")&gt;0,COUNTIF(J2795,"*24*")&gt;0,COUNTIF(I2795,"25*")&gt;0,COUNTIF(J2795,"*25*")&gt;0,COUNTIF(I2795,"26*")&gt;0,COUNTIF(J2795,"*26*")&gt;0,COUNTIF(I2795,"27*")&gt;0,COUNTIF(J2795,"*27*")&gt;0,COUNTIF(I2795,"28*")&gt;0,COUNTIF(J2795,"*28*")&gt;0,COUNTIF(I2795,"29*")&gt;0,COUNTIF(J2795,"*29*")&gt;0,COUNTIF(I2795,"30*")&gt;0,COUNTIF(J2795,"*30*")&gt;0,COUNTIF(I2795,"31*")&gt;0,COUNTIF(J2795,"*31*")&gt;0,COUNTIF(I2795,"32*")&gt;0,COUNTIF(J2795,"*32*")&gt;0,COUNTIF(I2795,"33*")&gt;0,COUNTIF(J2795,"*33*")&gt;0,COUNTIF(I2795,"41*")&gt;0,COUNTIF(J2795,"*41*")&gt;0,COUNTIF(I2795,"42*")&gt;0,COUNTIF(J2795,"*42*")&gt;0,COUNTIF(I2795,"43*")&gt;0,COUNTIF(J2795,"*43*")&gt;0,COUNTIF(I2795,"49*")&gt;0,COUNTIF(J2795,"*49*")&gt;0,COUNTIF(I2795,"52*")&gt;0,COUNTIF(J2795,"*52*")&gt;0,COUNTIF(I2795,"55*")&gt;0,COUNTIF(J2795,"*55*")&gt;0,COUNTIF(I2795,"56*")&gt;0,COUNTIF(J2795,"*56*")&gt;0,COUNTIF(I2795,"68*")&gt;0,COUNTIF(J2795,"*68*")&gt;0,COUNTIF(I2795,"78*")&gt;0,COUNTIF(J2795,"*78*")&gt;0,COUNTIF(I2795,"81*")&gt;0,COUNTIF(J2795,"*81*")&gt;0,COUNTIF(I2795,"82*")&gt;0,COUNTIF(J2795,"*82*")&gt;0,COUNTIF(I2795,"64*")&gt;0,COUNTIF(J2795,"*64*")&gt;0,COUNTIF(I2795,"65*")&gt;0,COUNTIF(J2795,"*65*")&gt;0,COUNTIF(I2795,"66*")&gt;0,COUNTIF(J2795,"*66*")&gt;0,COUNTIF(I2795,"61*")&gt;0,COUNTIF(J2795,"*61*")&gt;0,COUNTIF(I2795,"62*")&gt;0,COUNTIF(J2795,"*62*")&gt;0,COUNTIF(I2795,"63*")&gt;0,COUNTIF(J2795,"*63*")&gt;0,COUNTIF(I2795,"85*")&gt;0,COUNTIF(J2795,"*85*")&gt;0,COUNTIF(I2795,"86*")&gt;0,COUNTIF(J2795,"*86*")&gt;0),"Да","Нет"))</f>
        <v/>
      </c>
      <c r="M2795" s="13">
        <f>IF(OR(G2795="",L2795&lt;&gt;"Да"),"",IF(G2795&lt;=100,"До 100",IF(G2795&lt;=200,"До 200",IF(G2795&lt;=500,"До 500","Отдельное КП"))))</f>
        <v/>
      </c>
      <c r="N2795" s="15">
        <f>IF(OR(G2795="",L2795&lt;&gt;"Да"),"",IF(G2795&lt;=100,33600,IF(G2795&lt;=200,62400,IF(G2795&lt;=500,144000,""))))</f>
        <v/>
      </c>
      <c r="O2795" s="16">
        <f>IF(G2795="","",IF(G2795&lt;=15,"1–15",IF(G2795&lt;=30,"16–30",IF(G2795&lt;=50,"31–50",IF(G2795&lt;=100,"51–100",IF(G2795&lt;=150,"101–150",IF(G2795&lt;=200,"151–200",IF(G2795&lt;=500,"201–500","500+"))))))))</f>
        <v/>
      </c>
      <c r="P2795" s="16" t="inlineStr">
        <is>
          <t>Нет совпадения в предоставленной выгрузке ССЧР</t>
        </is>
      </c>
      <c r="Q2795" s="16" t="n"/>
      <c r="R2795" s="16">
        <f>HYPERLINK("https://checko.ru/search?query=3801001629","Чекко: проверить")</f>
        <v/>
      </c>
      <c r="S2795" t="n">
        <v>0</v>
      </c>
    </row>
    <row r="2796" ht="15" customHeight="1" s="24">
      <c r="A2796" s="13" t="n">
        <v>5000094416</v>
      </c>
      <c r="B2796" s="13" t="inlineStr">
        <is>
          <t>МОУ "СОШ№3" с.п.Баксаненок</t>
        </is>
      </c>
      <c r="C2796" s="13" t="n">
        <v>701004490</v>
      </c>
      <c r="D2796" s="13" t="n"/>
      <c r="E2796" s="13" t="inlineStr">
        <is>
          <t>Не определён</t>
        </is>
      </c>
      <c r="F2796" s="13" t="inlineStr">
        <is>
          <t>701004490</t>
        </is>
      </c>
      <c r="G2796" s="14" t="n"/>
      <c r="H2796" s="14" t="n"/>
      <c r="I2796" s="14" t="n"/>
      <c r="J2796" s="14" t="n"/>
      <c r="K2796" s="13">
        <f>IF(G2796="","",IF(G2796&gt;=22,"Да","Нет"))</f>
        <v/>
      </c>
      <c r="L2796" s="13">
        <f>IF(OR(I2796="",J2796=""),"Не определено",IF(OR(COUNTIF(I2796,"45*")&gt;0,COUNTIF(J2796,"*45*")&gt;0,COUNTIF(I2796,"46*")&gt;0,COUNTIF(J2796,"*46*")&gt;0,COUNTIF(I2796,"47*")&gt;0,COUNTIF(J2796,"*47*")&gt;0,COUNTIF(I2796,"10*")&gt;0,COUNTIF(J2796,"*10*")&gt;0,COUNTIF(I2796,"11*")&gt;0,COUNTIF(J2796,"*11*")&gt;0,COUNTIF(I2796,"12*")&gt;0,COUNTIF(J2796,"*12*")&gt;0,COUNTIF(I2796,"13*")&gt;0,COUNTIF(J2796,"*13*")&gt;0,COUNTIF(I2796,"14*")&gt;0,COUNTIF(J2796,"*14*")&gt;0,COUNTIF(I2796,"15*")&gt;0,COUNTIF(J2796,"*15*")&gt;0,COUNTIF(I2796,"16*")&gt;0,COUNTIF(J2796,"*16*")&gt;0,COUNTIF(I2796,"17*")&gt;0,COUNTIF(J2796,"*17*")&gt;0,COUNTIF(I2796,"18*")&gt;0,COUNTIF(J2796,"*18*")&gt;0,COUNTIF(I2796,"19*")&gt;0,COUNTIF(J2796,"*19*")&gt;0,COUNTIF(I2796,"20*")&gt;0,COUNTIF(J2796,"*20*")&gt;0,COUNTIF(I2796,"21*")&gt;0,COUNTIF(J2796,"*21*")&gt;0,COUNTIF(I2796,"22*")&gt;0,COUNTIF(J2796,"*22*")&gt;0,COUNTIF(I2796,"23*")&gt;0,COUNTIF(J2796,"*23*")&gt;0,COUNTIF(I2796,"24*")&gt;0,COUNTIF(J2796,"*24*")&gt;0,COUNTIF(I2796,"25*")&gt;0,COUNTIF(J2796,"*25*")&gt;0,COUNTIF(I2796,"26*")&gt;0,COUNTIF(J2796,"*26*")&gt;0,COUNTIF(I2796,"27*")&gt;0,COUNTIF(J2796,"*27*")&gt;0,COUNTIF(I2796,"28*")&gt;0,COUNTIF(J2796,"*28*")&gt;0,COUNTIF(I2796,"29*")&gt;0,COUNTIF(J2796,"*29*")&gt;0,COUNTIF(I2796,"30*")&gt;0,COUNTIF(J2796,"*30*")&gt;0,COUNTIF(I2796,"31*")&gt;0,COUNTIF(J2796,"*31*")&gt;0,COUNTIF(I2796,"32*")&gt;0,COUNTIF(J2796,"*32*")&gt;0,COUNTIF(I2796,"33*")&gt;0,COUNTIF(J2796,"*33*")&gt;0,COUNTIF(I2796,"41*")&gt;0,COUNTIF(J2796,"*41*")&gt;0,COUNTIF(I2796,"42*")&gt;0,COUNTIF(J2796,"*42*")&gt;0,COUNTIF(I2796,"43*")&gt;0,COUNTIF(J2796,"*43*")&gt;0,COUNTIF(I2796,"49*")&gt;0,COUNTIF(J2796,"*49*")&gt;0,COUNTIF(I2796,"52*")&gt;0,COUNTIF(J2796,"*52*")&gt;0,COUNTIF(I2796,"55*")&gt;0,COUNTIF(J2796,"*55*")&gt;0,COUNTIF(I2796,"56*")&gt;0,COUNTIF(J2796,"*56*")&gt;0,COUNTIF(I2796,"68*")&gt;0,COUNTIF(J2796,"*68*")&gt;0,COUNTIF(I2796,"78*")&gt;0,COUNTIF(J2796,"*78*")&gt;0,COUNTIF(I2796,"81*")&gt;0,COUNTIF(J2796,"*81*")&gt;0,COUNTIF(I2796,"82*")&gt;0,COUNTIF(J2796,"*82*")&gt;0,COUNTIF(I2796,"64*")&gt;0,COUNTIF(J2796,"*64*")&gt;0,COUNTIF(I2796,"65*")&gt;0,COUNTIF(J2796,"*65*")&gt;0,COUNTIF(I2796,"66*")&gt;0,COUNTIF(J2796,"*66*")&gt;0,COUNTIF(I2796,"61*")&gt;0,COUNTIF(J2796,"*61*")&gt;0,COUNTIF(I2796,"62*")&gt;0,COUNTIF(J2796,"*62*")&gt;0,COUNTIF(I2796,"63*")&gt;0,COUNTIF(J2796,"*63*")&gt;0,COUNTIF(I2796,"85*")&gt;0,COUNTIF(J2796,"*85*")&gt;0,COUNTIF(I2796,"86*")&gt;0,COUNTIF(J2796,"*86*")&gt;0),"Да","Нет"))</f>
        <v/>
      </c>
      <c r="M2796" s="13">
        <f>IF(OR(G2796="",L2796&lt;&gt;"Да"),"",IF(G2796&lt;=100,"До 100",IF(G2796&lt;=200,"До 200",IF(G2796&lt;=500,"До 500","Отдельное КП"))))</f>
        <v/>
      </c>
      <c r="N2796" s="15">
        <f>IF(OR(G2796="",L2796&lt;&gt;"Да"),"",IF(G2796&lt;=100,33600,IF(G2796&lt;=200,62400,IF(G2796&lt;=500,144000,""))))</f>
        <v/>
      </c>
      <c r="O2796" s="16">
        <f>IF(G2796="","",IF(G2796&lt;=15,"1–15",IF(G2796&lt;=30,"16–30",IF(G2796&lt;=50,"31–50",IF(G2796&lt;=100,"51–100",IF(G2796&lt;=150,"101–150",IF(G2796&lt;=200,"151–200",IF(G2796&lt;=500,"201–500","500+"))))))))</f>
        <v/>
      </c>
      <c r="P2796" s="16" t="inlineStr">
        <is>
          <t>Нет совпадения в предоставленной выгрузке ССЧР</t>
        </is>
      </c>
      <c r="Q2796" s="16" t="n"/>
      <c r="R2796" s="16">
        <f>HYPERLINK("https://checko.ru/search?query=3801001629","Чекко: проверить")</f>
        <v/>
      </c>
      <c r="S2796" t="n">
        <v>0</v>
      </c>
    </row>
    <row r="2797" ht="15" customHeight="1" s="24">
      <c r="A2797" s="13" t="n">
        <v>5000094512</v>
      </c>
      <c r="B2797" s="13" t="inlineStr">
        <is>
          <t>МКОУ "СОШ №2" с.п.Малка</t>
        </is>
      </c>
      <c r="C2797" s="13" t="n">
        <v>702006941</v>
      </c>
      <c r="D2797" s="13" t="n"/>
      <c r="E2797" s="13" t="inlineStr">
        <is>
          <t>Не определён</t>
        </is>
      </c>
      <c r="F2797" s="13" t="inlineStr">
        <is>
          <t>702006941</t>
        </is>
      </c>
      <c r="G2797" s="14" t="n"/>
      <c r="H2797" s="14" t="n"/>
      <c r="I2797" s="14" t="n"/>
      <c r="J2797" s="14" t="n"/>
      <c r="K2797" s="13">
        <f>IF(G2797="","",IF(G2797&gt;=22,"Да","Нет"))</f>
        <v/>
      </c>
      <c r="L2797" s="13">
        <f>IF(OR(I2797="",J2797=""),"Не определено",IF(OR(COUNTIF(I2797,"45*")&gt;0,COUNTIF(J2797,"*45*")&gt;0,COUNTIF(I2797,"46*")&gt;0,COUNTIF(J2797,"*46*")&gt;0,COUNTIF(I2797,"47*")&gt;0,COUNTIF(J2797,"*47*")&gt;0,COUNTIF(I2797,"10*")&gt;0,COUNTIF(J2797,"*10*")&gt;0,COUNTIF(I2797,"11*")&gt;0,COUNTIF(J2797,"*11*")&gt;0,COUNTIF(I2797,"12*")&gt;0,COUNTIF(J2797,"*12*")&gt;0,COUNTIF(I2797,"13*")&gt;0,COUNTIF(J2797,"*13*")&gt;0,COUNTIF(I2797,"14*")&gt;0,COUNTIF(J2797,"*14*")&gt;0,COUNTIF(I2797,"15*")&gt;0,COUNTIF(J2797,"*15*")&gt;0,COUNTIF(I2797,"16*")&gt;0,COUNTIF(J2797,"*16*")&gt;0,COUNTIF(I2797,"17*")&gt;0,COUNTIF(J2797,"*17*")&gt;0,COUNTIF(I2797,"18*")&gt;0,COUNTIF(J2797,"*18*")&gt;0,COUNTIF(I2797,"19*")&gt;0,COUNTIF(J2797,"*19*")&gt;0,COUNTIF(I2797,"20*")&gt;0,COUNTIF(J2797,"*20*")&gt;0,COUNTIF(I2797,"21*")&gt;0,COUNTIF(J2797,"*21*")&gt;0,COUNTIF(I2797,"22*")&gt;0,COUNTIF(J2797,"*22*")&gt;0,COUNTIF(I2797,"23*")&gt;0,COUNTIF(J2797,"*23*")&gt;0,COUNTIF(I2797,"24*")&gt;0,COUNTIF(J2797,"*24*")&gt;0,COUNTIF(I2797,"25*")&gt;0,COUNTIF(J2797,"*25*")&gt;0,COUNTIF(I2797,"26*")&gt;0,COUNTIF(J2797,"*26*")&gt;0,COUNTIF(I2797,"27*")&gt;0,COUNTIF(J2797,"*27*")&gt;0,COUNTIF(I2797,"28*")&gt;0,COUNTIF(J2797,"*28*")&gt;0,COUNTIF(I2797,"29*")&gt;0,COUNTIF(J2797,"*29*")&gt;0,COUNTIF(I2797,"30*")&gt;0,COUNTIF(J2797,"*30*")&gt;0,COUNTIF(I2797,"31*")&gt;0,COUNTIF(J2797,"*31*")&gt;0,COUNTIF(I2797,"32*")&gt;0,COUNTIF(J2797,"*32*")&gt;0,COUNTIF(I2797,"33*")&gt;0,COUNTIF(J2797,"*33*")&gt;0,COUNTIF(I2797,"41*")&gt;0,COUNTIF(J2797,"*41*")&gt;0,COUNTIF(I2797,"42*")&gt;0,COUNTIF(J2797,"*42*")&gt;0,COUNTIF(I2797,"43*")&gt;0,COUNTIF(J2797,"*43*")&gt;0,COUNTIF(I2797,"49*")&gt;0,COUNTIF(J2797,"*49*")&gt;0,COUNTIF(I2797,"52*")&gt;0,COUNTIF(J2797,"*52*")&gt;0,COUNTIF(I2797,"55*")&gt;0,COUNTIF(J2797,"*55*")&gt;0,COUNTIF(I2797,"56*")&gt;0,COUNTIF(J2797,"*56*")&gt;0,COUNTIF(I2797,"68*")&gt;0,COUNTIF(J2797,"*68*")&gt;0,COUNTIF(I2797,"78*")&gt;0,COUNTIF(J2797,"*78*")&gt;0,COUNTIF(I2797,"81*")&gt;0,COUNTIF(J2797,"*81*")&gt;0,COUNTIF(I2797,"82*")&gt;0,COUNTIF(J2797,"*82*")&gt;0,COUNTIF(I2797,"64*")&gt;0,COUNTIF(J2797,"*64*")&gt;0,COUNTIF(I2797,"65*")&gt;0,COUNTIF(J2797,"*65*")&gt;0,COUNTIF(I2797,"66*")&gt;0,COUNTIF(J2797,"*66*")&gt;0,COUNTIF(I2797,"61*")&gt;0,COUNTIF(J2797,"*61*")&gt;0,COUNTIF(I2797,"62*")&gt;0,COUNTIF(J2797,"*62*")&gt;0,COUNTIF(I2797,"63*")&gt;0,COUNTIF(J2797,"*63*")&gt;0,COUNTIF(I2797,"85*")&gt;0,COUNTIF(J2797,"*85*")&gt;0,COUNTIF(I2797,"86*")&gt;0,COUNTIF(J2797,"*86*")&gt;0),"Да","Нет"))</f>
        <v/>
      </c>
      <c r="M2797" s="13">
        <f>IF(OR(G2797="",L2797&lt;&gt;"Да"),"",IF(G2797&lt;=100,"До 100",IF(G2797&lt;=200,"До 200",IF(G2797&lt;=500,"До 500","Отдельное КП"))))</f>
        <v/>
      </c>
      <c r="N2797" s="15">
        <f>IF(OR(G2797="",L2797&lt;&gt;"Да"),"",IF(G2797&lt;=100,33600,IF(G2797&lt;=200,62400,IF(G2797&lt;=500,144000,""))))</f>
        <v/>
      </c>
      <c r="O2797" s="16">
        <f>IF(G2797="","",IF(G2797&lt;=15,"1–15",IF(G2797&lt;=30,"16–30",IF(G2797&lt;=50,"31–50",IF(G2797&lt;=100,"51–100",IF(G2797&lt;=150,"101–150",IF(G2797&lt;=200,"151–200",IF(G2797&lt;=500,"201–500","500+"))))))))</f>
        <v/>
      </c>
      <c r="P2797" s="16" t="inlineStr">
        <is>
          <t>Нет совпадения в предоставленной выгрузке ССЧР</t>
        </is>
      </c>
      <c r="Q2797" s="16" t="n"/>
      <c r="R2797" s="16">
        <f>HYPERLINK("https://checko.ru/search?query=3801001629","Чекко: проверить")</f>
        <v/>
      </c>
      <c r="S2797" t="n">
        <v>0</v>
      </c>
    </row>
    <row r="2798" ht="15" customHeight="1" s="24">
      <c r="A2798" s="13" t="n">
        <v>5000094417</v>
      </c>
      <c r="B2798" s="13" t="inlineStr">
        <is>
          <t>МОУ "СОШ №1" с.п. Баксаненок</t>
        </is>
      </c>
      <c r="C2798" s="13" t="n">
        <v>701004518</v>
      </c>
      <c r="D2798" s="13" t="n"/>
      <c r="E2798" s="13" t="inlineStr">
        <is>
          <t>Не определён</t>
        </is>
      </c>
      <c r="F2798" s="13" t="inlineStr">
        <is>
          <t>701004518</t>
        </is>
      </c>
      <c r="G2798" s="14" t="n"/>
      <c r="H2798" s="14" t="n"/>
      <c r="I2798" s="14" t="n"/>
      <c r="J2798" s="14" t="n"/>
      <c r="K2798" s="13">
        <f>IF(G2798="","",IF(G2798&gt;=22,"Да","Нет"))</f>
        <v/>
      </c>
      <c r="L2798" s="13">
        <f>IF(OR(I2798="",J2798=""),"Не определено",IF(OR(COUNTIF(I2798,"45*")&gt;0,COUNTIF(J2798,"*45*")&gt;0,COUNTIF(I2798,"46*")&gt;0,COUNTIF(J2798,"*46*")&gt;0,COUNTIF(I2798,"47*")&gt;0,COUNTIF(J2798,"*47*")&gt;0,COUNTIF(I2798,"10*")&gt;0,COUNTIF(J2798,"*10*")&gt;0,COUNTIF(I2798,"11*")&gt;0,COUNTIF(J2798,"*11*")&gt;0,COUNTIF(I2798,"12*")&gt;0,COUNTIF(J2798,"*12*")&gt;0,COUNTIF(I2798,"13*")&gt;0,COUNTIF(J2798,"*13*")&gt;0,COUNTIF(I2798,"14*")&gt;0,COUNTIF(J2798,"*14*")&gt;0,COUNTIF(I2798,"15*")&gt;0,COUNTIF(J2798,"*15*")&gt;0,COUNTIF(I2798,"16*")&gt;0,COUNTIF(J2798,"*16*")&gt;0,COUNTIF(I2798,"17*")&gt;0,COUNTIF(J2798,"*17*")&gt;0,COUNTIF(I2798,"18*")&gt;0,COUNTIF(J2798,"*18*")&gt;0,COUNTIF(I2798,"19*")&gt;0,COUNTIF(J2798,"*19*")&gt;0,COUNTIF(I2798,"20*")&gt;0,COUNTIF(J2798,"*20*")&gt;0,COUNTIF(I2798,"21*")&gt;0,COUNTIF(J2798,"*21*")&gt;0,COUNTIF(I2798,"22*")&gt;0,COUNTIF(J2798,"*22*")&gt;0,COUNTIF(I2798,"23*")&gt;0,COUNTIF(J2798,"*23*")&gt;0,COUNTIF(I2798,"24*")&gt;0,COUNTIF(J2798,"*24*")&gt;0,COUNTIF(I2798,"25*")&gt;0,COUNTIF(J2798,"*25*")&gt;0,COUNTIF(I2798,"26*")&gt;0,COUNTIF(J2798,"*26*")&gt;0,COUNTIF(I2798,"27*")&gt;0,COUNTIF(J2798,"*27*")&gt;0,COUNTIF(I2798,"28*")&gt;0,COUNTIF(J2798,"*28*")&gt;0,COUNTIF(I2798,"29*")&gt;0,COUNTIF(J2798,"*29*")&gt;0,COUNTIF(I2798,"30*")&gt;0,COUNTIF(J2798,"*30*")&gt;0,COUNTIF(I2798,"31*")&gt;0,COUNTIF(J2798,"*31*")&gt;0,COUNTIF(I2798,"32*")&gt;0,COUNTIF(J2798,"*32*")&gt;0,COUNTIF(I2798,"33*")&gt;0,COUNTIF(J2798,"*33*")&gt;0,COUNTIF(I2798,"41*")&gt;0,COUNTIF(J2798,"*41*")&gt;0,COUNTIF(I2798,"42*")&gt;0,COUNTIF(J2798,"*42*")&gt;0,COUNTIF(I2798,"43*")&gt;0,COUNTIF(J2798,"*43*")&gt;0,COUNTIF(I2798,"49*")&gt;0,COUNTIF(J2798,"*49*")&gt;0,COUNTIF(I2798,"52*")&gt;0,COUNTIF(J2798,"*52*")&gt;0,COUNTIF(I2798,"55*")&gt;0,COUNTIF(J2798,"*55*")&gt;0,COUNTIF(I2798,"56*")&gt;0,COUNTIF(J2798,"*56*")&gt;0,COUNTIF(I2798,"68*")&gt;0,COUNTIF(J2798,"*68*")&gt;0,COUNTIF(I2798,"78*")&gt;0,COUNTIF(J2798,"*78*")&gt;0,COUNTIF(I2798,"81*")&gt;0,COUNTIF(J2798,"*81*")&gt;0,COUNTIF(I2798,"82*")&gt;0,COUNTIF(J2798,"*82*")&gt;0,COUNTIF(I2798,"64*")&gt;0,COUNTIF(J2798,"*64*")&gt;0,COUNTIF(I2798,"65*")&gt;0,COUNTIF(J2798,"*65*")&gt;0,COUNTIF(I2798,"66*")&gt;0,COUNTIF(J2798,"*66*")&gt;0,COUNTIF(I2798,"61*")&gt;0,COUNTIF(J2798,"*61*")&gt;0,COUNTIF(I2798,"62*")&gt;0,COUNTIF(J2798,"*62*")&gt;0,COUNTIF(I2798,"63*")&gt;0,COUNTIF(J2798,"*63*")&gt;0,COUNTIF(I2798,"85*")&gt;0,COUNTIF(J2798,"*85*")&gt;0,COUNTIF(I2798,"86*")&gt;0,COUNTIF(J2798,"*86*")&gt;0),"Да","Нет"))</f>
        <v/>
      </c>
      <c r="M2798" s="13">
        <f>IF(OR(G2798="",L2798&lt;&gt;"Да"),"",IF(G2798&lt;=100,"До 100",IF(G2798&lt;=200,"До 200",IF(G2798&lt;=500,"До 500","Отдельное КП"))))</f>
        <v/>
      </c>
      <c r="N2798" s="15">
        <f>IF(OR(G2798="",L2798&lt;&gt;"Да"),"",IF(G2798&lt;=100,33600,IF(G2798&lt;=200,62400,IF(G2798&lt;=500,144000,""))))</f>
        <v/>
      </c>
      <c r="O2798" s="16">
        <f>IF(G2798="","",IF(G2798&lt;=15,"1–15",IF(G2798&lt;=30,"16–30",IF(G2798&lt;=50,"31–50",IF(G2798&lt;=100,"51–100",IF(G2798&lt;=150,"101–150",IF(G2798&lt;=200,"151–200",IF(G2798&lt;=500,"201–500","500+"))))))))</f>
        <v/>
      </c>
      <c r="P2798" s="16" t="inlineStr">
        <is>
          <t>Нет совпадения в предоставленной выгрузке ССЧР</t>
        </is>
      </c>
      <c r="Q2798" s="16" t="n"/>
      <c r="R2798" s="16">
        <f>HYPERLINK("https://checko.ru/search?query=3801001629","Чекко: проверить")</f>
        <v/>
      </c>
      <c r="S2798" t="n">
        <v>0</v>
      </c>
    </row>
    <row r="2799" ht="27.75" customHeight="1" s="24">
      <c r="A2799" s="13" t="n">
        <v>5000094418</v>
      </c>
      <c r="B2799" s="13" t="inlineStr">
        <is>
          <t>МОУ СОШ имени генерал-лейтенанта М.Т. Батырова с.п. Псыхурей</t>
        </is>
      </c>
      <c r="C2799" s="13" t="n">
        <v>701004525</v>
      </c>
      <c r="D2799" s="13" t="n"/>
      <c r="E2799" s="13" t="inlineStr">
        <is>
          <t>Не определён</t>
        </is>
      </c>
      <c r="F2799" s="13" t="inlineStr">
        <is>
          <t>701004525</t>
        </is>
      </c>
      <c r="G2799" s="14" t="n"/>
      <c r="H2799" s="14" t="n"/>
      <c r="I2799" s="14" t="n"/>
      <c r="J2799" s="14" t="n"/>
      <c r="K2799" s="13">
        <f>IF(G2799="","",IF(G2799&gt;=22,"Да","Нет"))</f>
        <v/>
      </c>
      <c r="L2799" s="13">
        <f>IF(OR(I2799="",J2799=""),"Не определено",IF(OR(COUNTIF(I2799,"45*")&gt;0,COUNTIF(J2799,"*45*")&gt;0,COUNTIF(I2799,"46*")&gt;0,COUNTIF(J2799,"*46*")&gt;0,COUNTIF(I2799,"47*")&gt;0,COUNTIF(J2799,"*47*")&gt;0,COUNTIF(I2799,"10*")&gt;0,COUNTIF(J2799,"*10*")&gt;0,COUNTIF(I2799,"11*")&gt;0,COUNTIF(J2799,"*11*")&gt;0,COUNTIF(I2799,"12*")&gt;0,COUNTIF(J2799,"*12*")&gt;0,COUNTIF(I2799,"13*")&gt;0,COUNTIF(J2799,"*13*")&gt;0,COUNTIF(I2799,"14*")&gt;0,COUNTIF(J2799,"*14*")&gt;0,COUNTIF(I2799,"15*")&gt;0,COUNTIF(J2799,"*15*")&gt;0,COUNTIF(I2799,"16*")&gt;0,COUNTIF(J2799,"*16*")&gt;0,COUNTIF(I2799,"17*")&gt;0,COUNTIF(J2799,"*17*")&gt;0,COUNTIF(I2799,"18*")&gt;0,COUNTIF(J2799,"*18*")&gt;0,COUNTIF(I2799,"19*")&gt;0,COUNTIF(J2799,"*19*")&gt;0,COUNTIF(I2799,"20*")&gt;0,COUNTIF(J2799,"*20*")&gt;0,COUNTIF(I2799,"21*")&gt;0,COUNTIF(J2799,"*21*")&gt;0,COUNTIF(I2799,"22*")&gt;0,COUNTIF(J2799,"*22*")&gt;0,COUNTIF(I2799,"23*")&gt;0,COUNTIF(J2799,"*23*")&gt;0,COUNTIF(I2799,"24*")&gt;0,COUNTIF(J2799,"*24*")&gt;0,COUNTIF(I2799,"25*")&gt;0,COUNTIF(J2799,"*25*")&gt;0,COUNTIF(I2799,"26*")&gt;0,COUNTIF(J2799,"*26*")&gt;0,COUNTIF(I2799,"27*")&gt;0,COUNTIF(J2799,"*27*")&gt;0,COUNTIF(I2799,"28*")&gt;0,COUNTIF(J2799,"*28*")&gt;0,COUNTIF(I2799,"29*")&gt;0,COUNTIF(J2799,"*29*")&gt;0,COUNTIF(I2799,"30*")&gt;0,COUNTIF(J2799,"*30*")&gt;0,COUNTIF(I2799,"31*")&gt;0,COUNTIF(J2799,"*31*")&gt;0,COUNTIF(I2799,"32*")&gt;0,COUNTIF(J2799,"*32*")&gt;0,COUNTIF(I2799,"33*")&gt;0,COUNTIF(J2799,"*33*")&gt;0,COUNTIF(I2799,"41*")&gt;0,COUNTIF(J2799,"*41*")&gt;0,COUNTIF(I2799,"42*")&gt;0,COUNTIF(J2799,"*42*")&gt;0,COUNTIF(I2799,"43*")&gt;0,COUNTIF(J2799,"*43*")&gt;0,COUNTIF(I2799,"49*")&gt;0,COUNTIF(J2799,"*49*")&gt;0,COUNTIF(I2799,"52*")&gt;0,COUNTIF(J2799,"*52*")&gt;0,COUNTIF(I2799,"55*")&gt;0,COUNTIF(J2799,"*55*")&gt;0,COUNTIF(I2799,"56*")&gt;0,COUNTIF(J2799,"*56*")&gt;0,COUNTIF(I2799,"68*")&gt;0,COUNTIF(J2799,"*68*")&gt;0,COUNTIF(I2799,"78*")&gt;0,COUNTIF(J2799,"*78*")&gt;0,COUNTIF(I2799,"81*")&gt;0,COUNTIF(J2799,"*81*")&gt;0,COUNTIF(I2799,"82*")&gt;0,COUNTIF(J2799,"*82*")&gt;0,COUNTIF(I2799,"64*")&gt;0,COUNTIF(J2799,"*64*")&gt;0,COUNTIF(I2799,"65*")&gt;0,COUNTIF(J2799,"*65*")&gt;0,COUNTIF(I2799,"66*")&gt;0,COUNTIF(J2799,"*66*")&gt;0,COUNTIF(I2799,"61*")&gt;0,COUNTIF(J2799,"*61*")&gt;0,COUNTIF(I2799,"62*")&gt;0,COUNTIF(J2799,"*62*")&gt;0,COUNTIF(I2799,"63*")&gt;0,COUNTIF(J2799,"*63*")&gt;0,COUNTIF(I2799,"85*")&gt;0,COUNTIF(J2799,"*85*")&gt;0,COUNTIF(I2799,"86*")&gt;0,COUNTIF(J2799,"*86*")&gt;0),"Да","Нет"))</f>
        <v/>
      </c>
      <c r="M2799" s="13">
        <f>IF(OR(G2799="",L2799&lt;&gt;"Да"),"",IF(G2799&lt;=100,"До 100",IF(G2799&lt;=200,"До 200",IF(G2799&lt;=500,"До 500","Отдельное КП"))))</f>
        <v/>
      </c>
      <c r="N2799" s="15">
        <f>IF(OR(G2799="",L2799&lt;&gt;"Да"),"",IF(G2799&lt;=100,33600,IF(G2799&lt;=200,62400,IF(G2799&lt;=500,144000,""))))</f>
        <v/>
      </c>
      <c r="O2799" s="16">
        <f>IF(G2799="","",IF(G2799&lt;=15,"1–15",IF(G2799&lt;=30,"16–30",IF(G2799&lt;=50,"31–50",IF(G2799&lt;=100,"51–100",IF(G2799&lt;=150,"101–150",IF(G2799&lt;=200,"151–200",IF(G2799&lt;=500,"201–500","500+"))))))))</f>
        <v/>
      </c>
      <c r="P2799" s="16" t="inlineStr">
        <is>
          <t>Нет совпадения в предоставленной выгрузке ССЧР</t>
        </is>
      </c>
      <c r="Q2799" s="16" t="n"/>
      <c r="R2799" s="16">
        <f>HYPERLINK("https://checko.ru/search?query=3801001629","Чекко: проверить")</f>
        <v/>
      </c>
      <c r="S2799" t="n">
        <v>0</v>
      </c>
    </row>
    <row r="2800" ht="41.25" customHeight="1" s="24">
      <c r="A2800" s="13" t="n">
        <v>5000094385</v>
      </c>
      <c r="B2800" s="13" t="inlineStr">
        <is>
          <t>МКДОУ "ПСЫНЭ" С.П.НАРТАН ЧЕГЕМСКОГО МУНИЦИПАЛЬНОГО РАЙОНА КАБАРДИНО-БАЛКАРСКОЙ РЕСПУБЛИКИ</t>
        </is>
      </c>
      <c r="C2800" s="13" t="n">
        <v>700004770</v>
      </c>
      <c r="D2800" s="13" t="n"/>
      <c r="E2800" s="13" t="inlineStr">
        <is>
          <t>Не определён</t>
        </is>
      </c>
      <c r="F2800" s="13" t="inlineStr">
        <is>
          <t>700004770</t>
        </is>
      </c>
      <c r="G2800" s="14" t="n"/>
      <c r="H2800" s="14" t="n"/>
      <c r="I2800" s="14" t="n"/>
      <c r="J2800" s="14" t="n"/>
      <c r="K2800" s="13">
        <f>IF(G2800="","",IF(G2800&gt;=22,"Да","Нет"))</f>
        <v/>
      </c>
      <c r="L2800" s="13">
        <f>IF(OR(I2800="",J2800=""),"Не определено",IF(OR(COUNTIF(I2800,"45*")&gt;0,COUNTIF(J2800,"*45*")&gt;0,COUNTIF(I2800,"46*")&gt;0,COUNTIF(J2800,"*46*")&gt;0,COUNTIF(I2800,"47*")&gt;0,COUNTIF(J2800,"*47*")&gt;0,COUNTIF(I2800,"10*")&gt;0,COUNTIF(J2800,"*10*")&gt;0,COUNTIF(I2800,"11*")&gt;0,COUNTIF(J2800,"*11*")&gt;0,COUNTIF(I2800,"12*")&gt;0,COUNTIF(J2800,"*12*")&gt;0,COUNTIF(I2800,"13*")&gt;0,COUNTIF(J2800,"*13*")&gt;0,COUNTIF(I2800,"14*")&gt;0,COUNTIF(J2800,"*14*")&gt;0,COUNTIF(I2800,"15*")&gt;0,COUNTIF(J2800,"*15*")&gt;0,COUNTIF(I2800,"16*")&gt;0,COUNTIF(J2800,"*16*")&gt;0,COUNTIF(I2800,"17*")&gt;0,COUNTIF(J2800,"*17*")&gt;0,COUNTIF(I2800,"18*")&gt;0,COUNTIF(J2800,"*18*")&gt;0,COUNTIF(I2800,"19*")&gt;0,COUNTIF(J2800,"*19*")&gt;0,COUNTIF(I2800,"20*")&gt;0,COUNTIF(J2800,"*20*")&gt;0,COUNTIF(I2800,"21*")&gt;0,COUNTIF(J2800,"*21*")&gt;0,COUNTIF(I2800,"22*")&gt;0,COUNTIF(J2800,"*22*")&gt;0,COUNTIF(I2800,"23*")&gt;0,COUNTIF(J2800,"*23*")&gt;0,COUNTIF(I2800,"24*")&gt;0,COUNTIF(J2800,"*24*")&gt;0,COUNTIF(I2800,"25*")&gt;0,COUNTIF(J2800,"*25*")&gt;0,COUNTIF(I2800,"26*")&gt;0,COUNTIF(J2800,"*26*")&gt;0,COUNTIF(I2800,"27*")&gt;0,COUNTIF(J2800,"*27*")&gt;0,COUNTIF(I2800,"28*")&gt;0,COUNTIF(J2800,"*28*")&gt;0,COUNTIF(I2800,"29*")&gt;0,COUNTIF(J2800,"*29*")&gt;0,COUNTIF(I2800,"30*")&gt;0,COUNTIF(J2800,"*30*")&gt;0,COUNTIF(I2800,"31*")&gt;0,COUNTIF(J2800,"*31*")&gt;0,COUNTIF(I2800,"32*")&gt;0,COUNTIF(J2800,"*32*")&gt;0,COUNTIF(I2800,"33*")&gt;0,COUNTIF(J2800,"*33*")&gt;0,COUNTIF(I2800,"41*")&gt;0,COUNTIF(J2800,"*41*")&gt;0,COUNTIF(I2800,"42*")&gt;0,COUNTIF(J2800,"*42*")&gt;0,COUNTIF(I2800,"43*")&gt;0,COUNTIF(J2800,"*43*")&gt;0,COUNTIF(I2800,"49*")&gt;0,COUNTIF(J2800,"*49*")&gt;0,COUNTIF(I2800,"52*")&gt;0,COUNTIF(J2800,"*52*")&gt;0,COUNTIF(I2800,"55*")&gt;0,COUNTIF(J2800,"*55*")&gt;0,COUNTIF(I2800,"56*")&gt;0,COUNTIF(J2800,"*56*")&gt;0,COUNTIF(I2800,"68*")&gt;0,COUNTIF(J2800,"*68*")&gt;0,COUNTIF(I2800,"78*")&gt;0,COUNTIF(J2800,"*78*")&gt;0,COUNTIF(I2800,"81*")&gt;0,COUNTIF(J2800,"*81*")&gt;0,COUNTIF(I2800,"82*")&gt;0,COUNTIF(J2800,"*82*")&gt;0,COUNTIF(I2800,"64*")&gt;0,COUNTIF(J2800,"*64*")&gt;0,COUNTIF(I2800,"65*")&gt;0,COUNTIF(J2800,"*65*")&gt;0,COUNTIF(I2800,"66*")&gt;0,COUNTIF(J2800,"*66*")&gt;0,COUNTIF(I2800,"61*")&gt;0,COUNTIF(J2800,"*61*")&gt;0,COUNTIF(I2800,"62*")&gt;0,COUNTIF(J2800,"*62*")&gt;0,COUNTIF(I2800,"63*")&gt;0,COUNTIF(J2800,"*63*")&gt;0,COUNTIF(I2800,"85*")&gt;0,COUNTIF(J2800,"*85*")&gt;0,COUNTIF(I2800,"86*")&gt;0,COUNTIF(J2800,"*86*")&gt;0),"Да","Нет"))</f>
        <v/>
      </c>
      <c r="M2800" s="13">
        <f>IF(OR(G2800="",L2800&lt;&gt;"Да"),"",IF(G2800&lt;=100,"До 100",IF(G2800&lt;=200,"До 200",IF(G2800&lt;=500,"До 500","Отдельное КП"))))</f>
        <v/>
      </c>
      <c r="N2800" s="15">
        <f>IF(OR(G2800="",L2800&lt;&gt;"Да"),"",IF(G2800&lt;=100,33600,IF(G2800&lt;=200,62400,IF(G2800&lt;=500,144000,""))))</f>
        <v/>
      </c>
      <c r="O2800" s="16">
        <f>IF(G2800="","",IF(G2800&lt;=15,"1–15",IF(G2800&lt;=30,"16–30",IF(G2800&lt;=50,"31–50",IF(G2800&lt;=100,"51–100",IF(G2800&lt;=150,"101–150",IF(G2800&lt;=200,"151–200",IF(G2800&lt;=500,"201–500","500+"))))))))</f>
        <v/>
      </c>
      <c r="P2800" s="16" t="inlineStr">
        <is>
          <t>Нет совпадения в предоставленной выгрузке ССЧР</t>
        </is>
      </c>
      <c r="Q2800" s="16" t="n"/>
      <c r="R2800" s="16">
        <f>HYPERLINK("https://checko.ru/search?query=3801001629","Чекко: проверить")</f>
        <v/>
      </c>
      <c r="S2800" t="n">
        <v>0</v>
      </c>
    </row>
    <row r="2801" ht="41.25" customHeight="1" s="24">
      <c r="A2801" s="13" t="n">
        <v>5000094386</v>
      </c>
      <c r="B2801" s="13" t="inlineStr">
        <is>
          <t>МКДОУ "УЛЫБКА" Г.П.ЧЕГЕМ ЧЕГЕМСКОГО МУНИЦИПАЛЬНОГО РАЙОНА КАБАРДИНО-БАЛКАРСКОЙ РЕСПУБЛИКИ</t>
        </is>
      </c>
      <c r="C2801" s="13" t="n">
        <v>700004787</v>
      </c>
      <c r="D2801" s="13" t="n"/>
      <c r="E2801" s="13" t="inlineStr">
        <is>
          <t>Не определён</t>
        </is>
      </c>
      <c r="F2801" s="13" t="inlineStr">
        <is>
          <t>700004787</t>
        </is>
      </c>
      <c r="G2801" s="14" t="n"/>
      <c r="H2801" s="14" t="n"/>
      <c r="I2801" s="14" t="n"/>
      <c r="J2801" s="14" t="n"/>
      <c r="K2801" s="13">
        <f>IF(G2801="","",IF(G2801&gt;=22,"Да","Нет"))</f>
        <v/>
      </c>
      <c r="L2801" s="13">
        <f>IF(OR(I2801="",J2801=""),"Не определено",IF(OR(COUNTIF(I2801,"45*")&gt;0,COUNTIF(J2801,"*45*")&gt;0,COUNTIF(I2801,"46*")&gt;0,COUNTIF(J2801,"*46*")&gt;0,COUNTIF(I2801,"47*")&gt;0,COUNTIF(J2801,"*47*")&gt;0,COUNTIF(I2801,"10*")&gt;0,COUNTIF(J2801,"*10*")&gt;0,COUNTIF(I2801,"11*")&gt;0,COUNTIF(J2801,"*11*")&gt;0,COUNTIF(I2801,"12*")&gt;0,COUNTIF(J2801,"*12*")&gt;0,COUNTIF(I2801,"13*")&gt;0,COUNTIF(J2801,"*13*")&gt;0,COUNTIF(I2801,"14*")&gt;0,COUNTIF(J2801,"*14*")&gt;0,COUNTIF(I2801,"15*")&gt;0,COUNTIF(J2801,"*15*")&gt;0,COUNTIF(I2801,"16*")&gt;0,COUNTIF(J2801,"*16*")&gt;0,COUNTIF(I2801,"17*")&gt;0,COUNTIF(J2801,"*17*")&gt;0,COUNTIF(I2801,"18*")&gt;0,COUNTIF(J2801,"*18*")&gt;0,COUNTIF(I2801,"19*")&gt;0,COUNTIF(J2801,"*19*")&gt;0,COUNTIF(I2801,"20*")&gt;0,COUNTIF(J2801,"*20*")&gt;0,COUNTIF(I2801,"21*")&gt;0,COUNTIF(J2801,"*21*")&gt;0,COUNTIF(I2801,"22*")&gt;0,COUNTIF(J2801,"*22*")&gt;0,COUNTIF(I2801,"23*")&gt;0,COUNTIF(J2801,"*23*")&gt;0,COUNTIF(I2801,"24*")&gt;0,COUNTIF(J2801,"*24*")&gt;0,COUNTIF(I2801,"25*")&gt;0,COUNTIF(J2801,"*25*")&gt;0,COUNTIF(I2801,"26*")&gt;0,COUNTIF(J2801,"*26*")&gt;0,COUNTIF(I2801,"27*")&gt;0,COUNTIF(J2801,"*27*")&gt;0,COUNTIF(I2801,"28*")&gt;0,COUNTIF(J2801,"*28*")&gt;0,COUNTIF(I2801,"29*")&gt;0,COUNTIF(J2801,"*29*")&gt;0,COUNTIF(I2801,"30*")&gt;0,COUNTIF(J2801,"*30*")&gt;0,COUNTIF(I2801,"31*")&gt;0,COUNTIF(J2801,"*31*")&gt;0,COUNTIF(I2801,"32*")&gt;0,COUNTIF(J2801,"*32*")&gt;0,COUNTIF(I2801,"33*")&gt;0,COUNTIF(J2801,"*33*")&gt;0,COUNTIF(I2801,"41*")&gt;0,COUNTIF(J2801,"*41*")&gt;0,COUNTIF(I2801,"42*")&gt;0,COUNTIF(J2801,"*42*")&gt;0,COUNTIF(I2801,"43*")&gt;0,COUNTIF(J2801,"*43*")&gt;0,COUNTIF(I2801,"49*")&gt;0,COUNTIF(J2801,"*49*")&gt;0,COUNTIF(I2801,"52*")&gt;0,COUNTIF(J2801,"*52*")&gt;0,COUNTIF(I2801,"55*")&gt;0,COUNTIF(J2801,"*55*")&gt;0,COUNTIF(I2801,"56*")&gt;0,COUNTIF(J2801,"*56*")&gt;0,COUNTIF(I2801,"68*")&gt;0,COUNTIF(J2801,"*68*")&gt;0,COUNTIF(I2801,"78*")&gt;0,COUNTIF(J2801,"*78*")&gt;0,COUNTIF(I2801,"81*")&gt;0,COUNTIF(J2801,"*81*")&gt;0,COUNTIF(I2801,"82*")&gt;0,COUNTIF(J2801,"*82*")&gt;0,COUNTIF(I2801,"64*")&gt;0,COUNTIF(J2801,"*64*")&gt;0,COUNTIF(I2801,"65*")&gt;0,COUNTIF(J2801,"*65*")&gt;0,COUNTIF(I2801,"66*")&gt;0,COUNTIF(J2801,"*66*")&gt;0,COUNTIF(I2801,"61*")&gt;0,COUNTIF(J2801,"*61*")&gt;0,COUNTIF(I2801,"62*")&gt;0,COUNTIF(J2801,"*62*")&gt;0,COUNTIF(I2801,"63*")&gt;0,COUNTIF(J2801,"*63*")&gt;0,COUNTIF(I2801,"85*")&gt;0,COUNTIF(J2801,"*85*")&gt;0,COUNTIF(I2801,"86*")&gt;0,COUNTIF(J2801,"*86*")&gt;0),"Да","Нет"))</f>
        <v/>
      </c>
      <c r="M2801" s="13">
        <f>IF(OR(G2801="",L2801&lt;&gt;"Да"),"",IF(G2801&lt;=100,"До 100",IF(G2801&lt;=200,"До 200",IF(G2801&lt;=500,"До 500","Отдельное КП"))))</f>
        <v/>
      </c>
      <c r="N2801" s="15">
        <f>IF(OR(G2801="",L2801&lt;&gt;"Да"),"",IF(G2801&lt;=100,33600,IF(G2801&lt;=200,62400,IF(G2801&lt;=500,144000,""))))</f>
        <v/>
      </c>
      <c r="O2801" s="16">
        <f>IF(G2801="","",IF(G2801&lt;=15,"1–15",IF(G2801&lt;=30,"16–30",IF(G2801&lt;=50,"31–50",IF(G2801&lt;=100,"51–100",IF(G2801&lt;=150,"101–150",IF(G2801&lt;=200,"151–200",IF(G2801&lt;=500,"201–500","500+"))))))))</f>
        <v/>
      </c>
      <c r="P2801" s="16" t="inlineStr">
        <is>
          <t>Нет совпадения в предоставленной выгрузке ССЧР</t>
        </is>
      </c>
      <c r="Q2801" s="16" t="n"/>
      <c r="R2801" s="16">
        <f>HYPERLINK("https://checko.ru/search?query=3801001629","Чекко: проверить")</f>
        <v/>
      </c>
      <c r="S2801" t="n">
        <v>0</v>
      </c>
    </row>
    <row r="2802" ht="41.25" customHeight="1" s="24">
      <c r="A2802" s="13" t="n">
        <v>5000094387</v>
      </c>
      <c r="B2802" s="13" t="inlineStr">
        <is>
          <t>МКДОУ "НАЛ ЦIЫКIУ" Г.П.ЧЕГЕМ ЧЕГЕМСКОГО МУНИЦИПАЛЬНОГО РАЙОНА КАБАРДИНО-БАЛКАРСКОЙ РЕСПУБЛИКИ</t>
        </is>
      </c>
      <c r="C2802" s="13" t="n">
        <v>700004794</v>
      </c>
      <c r="D2802" s="13" t="n"/>
      <c r="E2802" s="13" t="inlineStr">
        <is>
          <t>Не определён</t>
        </is>
      </c>
      <c r="F2802" s="13" t="inlineStr">
        <is>
          <t>700004794</t>
        </is>
      </c>
      <c r="G2802" s="14" t="n"/>
      <c r="H2802" s="14" t="n"/>
      <c r="I2802" s="14" t="n"/>
      <c r="J2802" s="14" t="n"/>
      <c r="K2802" s="13">
        <f>IF(G2802="","",IF(G2802&gt;=22,"Да","Нет"))</f>
        <v/>
      </c>
      <c r="L2802" s="13">
        <f>IF(OR(I2802="",J2802=""),"Не определено",IF(OR(COUNTIF(I2802,"45*")&gt;0,COUNTIF(J2802,"*45*")&gt;0,COUNTIF(I2802,"46*")&gt;0,COUNTIF(J2802,"*46*")&gt;0,COUNTIF(I2802,"47*")&gt;0,COUNTIF(J2802,"*47*")&gt;0,COUNTIF(I2802,"10*")&gt;0,COUNTIF(J2802,"*10*")&gt;0,COUNTIF(I2802,"11*")&gt;0,COUNTIF(J2802,"*11*")&gt;0,COUNTIF(I2802,"12*")&gt;0,COUNTIF(J2802,"*12*")&gt;0,COUNTIF(I2802,"13*")&gt;0,COUNTIF(J2802,"*13*")&gt;0,COUNTIF(I2802,"14*")&gt;0,COUNTIF(J2802,"*14*")&gt;0,COUNTIF(I2802,"15*")&gt;0,COUNTIF(J2802,"*15*")&gt;0,COUNTIF(I2802,"16*")&gt;0,COUNTIF(J2802,"*16*")&gt;0,COUNTIF(I2802,"17*")&gt;0,COUNTIF(J2802,"*17*")&gt;0,COUNTIF(I2802,"18*")&gt;0,COUNTIF(J2802,"*18*")&gt;0,COUNTIF(I2802,"19*")&gt;0,COUNTIF(J2802,"*19*")&gt;0,COUNTIF(I2802,"20*")&gt;0,COUNTIF(J2802,"*20*")&gt;0,COUNTIF(I2802,"21*")&gt;0,COUNTIF(J2802,"*21*")&gt;0,COUNTIF(I2802,"22*")&gt;0,COUNTIF(J2802,"*22*")&gt;0,COUNTIF(I2802,"23*")&gt;0,COUNTIF(J2802,"*23*")&gt;0,COUNTIF(I2802,"24*")&gt;0,COUNTIF(J2802,"*24*")&gt;0,COUNTIF(I2802,"25*")&gt;0,COUNTIF(J2802,"*25*")&gt;0,COUNTIF(I2802,"26*")&gt;0,COUNTIF(J2802,"*26*")&gt;0,COUNTIF(I2802,"27*")&gt;0,COUNTIF(J2802,"*27*")&gt;0,COUNTIF(I2802,"28*")&gt;0,COUNTIF(J2802,"*28*")&gt;0,COUNTIF(I2802,"29*")&gt;0,COUNTIF(J2802,"*29*")&gt;0,COUNTIF(I2802,"30*")&gt;0,COUNTIF(J2802,"*30*")&gt;0,COUNTIF(I2802,"31*")&gt;0,COUNTIF(J2802,"*31*")&gt;0,COUNTIF(I2802,"32*")&gt;0,COUNTIF(J2802,"*32*")&gt;0,COUNTIF(I2802,"33*")&gt;0,COUNTIF(J2802,"*33*")&gt;0,COUNTIF(I2802,"41*")&gt;0,COUNTIF(J2802,"*41*")&gt;0,COUNTIF(I2802,"42*")&gt;0,COUNTIF(J2802,"*42*")&gt;0,COUNTIF(I2802,"43*")&gt;0,COUNTIF(J2802,"*43*")&gt;0,COUNTIF(I2802,"49*")&gt;0,COUNTIF(J2802,"*49*")&gt;0,COUNTIF(I2802,"52*")&gt;0,COUNTIF(J2802,"*52*")&gt;0,COUNTIF(I2802,"55*")&gt;0,COUNTIF(J2802,"*55*")&gt;0,COUNTIF(I2802,"56*")&gt;0,COUNTIF(J2802,"*56*")&gt;0,COUNTIF(I2802,"68*")&gt;0,COUNTIF(J2802,"*68*")&gt;0,COUNTIF(I2802,"78*")&gt;0,COUNTIF(J2802,"*78*")&gt;0,COUNTIF(I2802,"81*")&gt;0,COUNTIF(J2802,"*81*")&gt;0,COUNTIF(I2802,"82*")&gt;0,COUNTIF(J2802,"*82*")&gt;0,COUNTIF(I2802,"64*")&gt;0,COUNTIF(J2802,"*64*")&gt;0,COUNTIF(I2802,"65*")&gt;0,COUNTIF(J2802,"*65*")&gt;0,COUNTIF(I2802,"66*")&gt;0,COUNTIF(J2802,"*66*")&gt;0,COUNTIF(I2802,"61*")&gt;0,COUNTIF(J2802,"*61*")&gt;0,COUNTIF(I2802,"62*")&gt;0,COUNTIF(J2802,"*62*")&gt;0,COUNTIF(I2802,"63*")&gt;0,COUNTIF(J2802,"*63*")&gt;0,COUNTIF(I2802,"85*")&gt;0,COUNTIF(J2802,"*85*")&gt;0,COUNTIF(I2802,"86*")&gt;0,COUNTIF(J2802,"*86*")&gt;0),"Да","Нет"))</f>
        <v/>
      </c>
      <c r="M2802" s="13">
        <f>IF(OR(G2802="",L2802&lt;&gt;"Да"),"",IF(G2802&lt;=100,"До 100",IF(G2802&lt;=200,"До 200",IF(G2802&lt;=500,"До 500","Отдельное КП"))))</f>
        <v/>
      </c>
      <c r="N2802" s="15">
        <f>IF(OR(G2802="",L2802&lt;&gt;"Да"),"",IF(G2802&lt;=100,33600,IF(G2802&lt;=200,62400,IF(G2802&lt;=500,144000,""))))</f>
        <v/>
      </c>
      <c r="O2802" s="16">
        <f>IF(G2802="","",IF(G2802&lt;=15,"1–15",IF(G2802&lt;=30,"16–30",IF(G2802&lt;=50,"31–50",IF(G2802&lt;=100,"51–100",IF(G2802&lt;=150,"101–150",IF(G2802&lt;=200,"151–200",IF(G2802&lt;=500,"201–500","500+"))))))))</f>
        <v/>
      </c>
      <c r="P2802" s="16" t="inlineStr">
        <is>
          <t>Нет совпадения в предоставленной выгрузке ССЧР</t>
        </is>
      </c>
      <c r="Q2802" s="16" t="n"/>
      <c r="R2802" s="16">
        <f>HYPERLINK("https://checko.ru/search?query=3801001629","Чекко: проверить")</f>
        <v/>
      </c>
      <c r="S2802" t="n">
        <v>0</v>
      </c>
    </row>
    <row r="2803" ht="27.75" customHeight="1" s="24">
      <c r="A2803" s="13" t="n">
        <v>5000094419</v>
      </c>
      <c r="B2803" s="13" t="inlineStr">
        <is>
          <t>МОУ "СОШ №1 им.Т.М.Курашинова" с.п.Атажукино</t>
        </is>
      </c>
      <c r="C2803" s="13" t="n">
        <v>701004564</v>
      </c>
      <c r="D2803" s="13" t="n"/>
      <c r="E2803" s="13" t="inlineStr">
        <is>
          <t>Не определён</t>
        </is>
      </c>
      <c r="F2803" s="13" t="inlineStr">
        <is>
          <t>701004564</t>
        </is>
      </c>
      <c r="G2803" s="14" t="n"/>
      <c r="H2803" s="14" t="n"/>
      <c r="I2803" s="14" t="n"/>
      <c r="J2803" s="14" t="n"/>
      <c r="K2803" s="13">
        <f>IF(G2803="","",IF(G2803&gt;=22,"Да","Нет"))</f>
        <v/>
      </c>
      <c r="L2803" s="13">
        <f>IF(OR(I2803="",J2803=""),"Не определено",IF(OR(COUNTIF(I2803,"45*")&gt;0,COUNTIF(J2803,"*45*")&gt;0,COUNTIF(I2803,"46*")&gt;0,COUNTIF(J2803,"*46*")&gt;0,COUNTIF(I2803,"47*")&gt;0,COUNTIF(J2803,"*47*")&gt;0,COUNTIF(I2803,"10*")&gt;0,COUNTIF(J2803,"*10*")&gt;0,COUNTIF(I2803,"11*")&gt;0,COUNTIF(J2803,"*11*")&gt;0,COUNTIF(I2803,"12*")&gt;0,COUNTIF(J2803,"*12*")&gt;0,COUNTIF(I2803,"13*")&gt;0,COUNTIF(J2803,"*13*")&gt;0,COUNTIF(I2803,"14*")&gt;0,COUNTIF(J2803,"*14*")&gt;0,COUNTIF(I2803,"15*")&gt;0,COUNTIF(J2803,"*15*")&gt;0,COUNTIF(I2803,"16*")&gt;0,COUNTIF(J2803,"*16*")&gt;0,COUNTIF(I2803,"17*")&gt;0,COUNTIF(J2803,"*17*")&gt;0,COUNTIF(I2803,"18*")&gt;0,COUNTIF(J2803,"*18*")&gt;0,COUNTIF(I2803,"19*")&gt;0,COUNTIF(J2803,"*19*")&gt;0,COUNTIF(I2803,"20*")&gt;0,COUNTIF(J2803,"*20*")&gt;0,COUNTIF(I2803,"21*")&gt;0,COUNTIF(J2803,"*21*")&gt;0,COUNTIF(I2803,"22*")&gt;0,COUNTIF(J2803,"*22*")&gt;0,COUNTIF(I2803,"23*")&gt;0,COUNTIF(J2803,"*23*")&gt;0,COUNTIF(I2803,"24*")&gt;0,COUNTIF(J2803,"*24*")&gt;0,COUNTIF(I2803,"25*")&gt;0,COUNTIF(J2803,"*25*")&gt;0,COUNTIF(I2803,"26*")&gt;0,COUNTIF(J2803,"*26*")&gt;0,COUNTIF(I2803,"27*")&gt;0,COUNTIF(J2803,"*27*")&gt;0,COUNTIF(I2803,"28*")&gt;0,COUNTIF(J2803,"*28*")&gt;0,COUNTIF(I2803,"29*")&gt;0,COUNTIF(J2803,"*29*")&gt;0,COUNTIF(I2803,"30*")&gt;0,COUNTIF(J2803,"*30*")&gt;0,COUNTIF(I2803,"31*")&gt;0,COUNTIF(J2803,"*31*")&gt;0,COUNTIF(I2803,"32*")&gt;0,COUNTIF(J2803,"*32*")&gt;0,COUNTIF(I2803,"33*")&gt;0,COUNTIF(J2803,"*33*")&gt;0,COUNTIF(I2803,"41*")&gt;0,COUNTIF(J2803,"*41*")&gt;0,COUNTIF(I2803,"42*")&gt;0,COUNTIF(J2803,"*42*")&gt;0,COUNTIF(I2803,"43*")&gt;0,COUNTIF(J2803,"*43*")&gt;0,COUNTIF(I2803,"49*")&gt;0,COUNTIF(J2803,"*49*")&gt;0,COUNTIF(I2803,"52*")&gt;0,COUNTIF(J2803,"*52*")&gt;0,COUNTIF(I2803,"55*")&gt;0,COUNTIF(J2803,"*55*")&gt;0,COUNTIF(I2803,"56*")&gt;0,COUNTIF(J2803,"*56*")&gt;0,COUNTIF(I2803,"68*")&gt;0,COUNTIF(J2803,"*68*")&gt;0,COUNTIF(I2803,"78*")&gt;0,COUNTIF(J2803,"*78*")&gt;0,COUNTIF(I2803,"81*")&gt;0,COUNTIF(J2803,"*81*")&gt;0,COUNTIF(I2803,"82*")&gt;0,COUNTIF(J2803,"*82*")&gt;0,COUNTIF(I2803,"64*")&gt;0,COUNTIF(J2803,"*64*")&gt;0,COUNTIF(I2803,"65*")&gt;0,COUNTIF(J2803,"*65*")&gt;0,COUNTIF(I2803,"66*")&gt;0,COUNTIF(J2803,"*66*")&gt;0,COUNTIF(I2803,"61*")&gt;0,COUNTIF(J2803,"*61*")&gt;0,COUNTIF(I2803,"62*")&gt;0,COUNTIF(J2803,"*62*")&gt;0,COUNTIF(I2803,"63*")&gt;0,COUNTIF(J2803,"*63*")&gt;0,COUNTIF(I2803,"85*")&gt;0,COUNTIF(J2803,"*85*")&gt;0,COUNTIF(I2803,"86*")&gt;0,COUNTIF(J2803,"*86*")&gt;0),"Да","Нет"))</f>
        <v/>
      </c>
      <c r="M2803" s="13">
        <f>IF(OR(G2803="",L2803&lt;&gt;"Да"),"",IF(G2803&lt;=100,"До 100",IF(G2803&lt;=200,"До 200",IF(G2803&lt;=500,"До 500","Отдельное КП"))))</f>
        <v/>
      </c>
      <c r="N2803" s="15">
        <f>IF(OR(G2803="",L2803&lt;&gt;"Да"),"",IF(G2803&lt;=100,33600,IF(G2803&lt;=200,62400,IF(G2803&lt;=500,144000,""))))</f>
        <v/>
      </c>
      <c r="O2803" s="16">
        <f>IF(G2803="","",IF(G2803&lt;=15,"1–15",IF(G2803&lt;=30,"16–30",IF(G2803&lt;=50,"31–50",IF(G2803&lt;=100,"51–100",IF(G2803&lt;=150,"101–150",IF(G2803&lt;=200,"151–200",IF(G2803&lt;=500,"201–500","500+"))))))))</f>
        <v/>
      </c>
      <c r="P2803" s="16" t="inlineStr">
        <is>
          <t>Нет совпадения в предоставленной выгрузке ССЧР</t>
        </is>
      </c>
      <c r="Q2803" s="16" t="n"/>
      <c r="R2803" s="16">
        <f>HYPERLINK("https://checko.ru/search?query=3801001629","Чекко: проверить")</f>
        <v/>
      </c>
      <c r="S2803" t="n">
        <v>0</v>
      </c>
    </row>
    <row r="2804" ht="15" customHeight="1" s="24">
      <c r="A2804" s="13" t="n">
        <v>5000094420</v>
      </c>
      <c r="B2804" s="13" t="inlineStr">
        <is>
          <t>Местная администрация с.п. Куба</t>
        </is>
      </c>
      <c r="C2804" s="13" t="n">
        <v>701004589</v>
      </c>
      <c r="D2804" s="13" t="n"/>
      <c r="E2804" s="13" t="inlineStr">
        <is>
          <t>Не определён</t>
        </is>
      </c>
      <c r="F2804" s="13" t="inlineStr">
        <is>
          <t>701004589</t>
        </is>
      </c>
      <c r="G2804" s="14" t="n"/>
      <c r="H2804" s="14" t="n"/>
      <c r="I2804" s="14" t="n"/>
      <c r="J2804" s="14" t="n"/>
      <c r="K2804" s="13">
        <f>IF(G2804="","",IF(G2804&gt;=22,"Да","Нет"))</f>
        <v/>
      </c>
      <c r="L2804" s="13">
        <f>IF(OR(I2804="",J2804=""),"Не определено",IF(OR(COUNTIF(I2804,"45*")&gt;0,COUNTIF(J2804,"*45*")&gt;0,COUNTIF(I2804,"46*")&gt;0,COUNTIF(J2804,"*46*")&gt;0,COUNTIF(I2804,"47*")&gt;0,COUNTIF(J2804,"*47*")&gt;0,COUNTIF(I2804,"10*")&gt;0,COUNTIF(J2804,"*10*")&gt;0,COUNTIF(I2804,"11*")&gt;0,COUNTIF(J2804,"*11*")&gt;0,COUNTIF(I2804,"12*")&gt;0,COUNTIF(J2804,"*12*")&gt;0,COUNTIF(I2804,"13*")&gt;0,COUNTIF(J2804,"*13*")&gt;0,COUNTIF(I2804,"14*")&gt;0,COUNTIF(J2804,"*14*")&gt;0,COUNTIF(I2804,"15*")&gt;0,COUNTIF(J2804,"*15*")&gt;0,COUNTIF(I2804,"16*")&gt;0,COUNTIF(J2804,"*16*")&gt;0,COUNTIF(I2804,"17*")&gt;0,COUNTIF(J2804,"*17*")&gt;0,COUNTIF(I2804,"18*")&gt;0,COUNTIF(J2804,"*18*")&gt;0,COUNTIF(I2804,"19*")&gt;0,COUNTIF(J2804,"*19*")&gt;0,COUNTIF(I2804,"20*")&gt;0,COUNTIF(J2804,"*20*")&gt;0,COUNTIF(I2804,"21*")&gt;0,COUNTIF(J2804,"*21*")&gt;0,COUNTIF(I2804,"22*")&gt;0,COUNTIF(J2804,"*22*")&gt;0,COUNTIF(I2804,"23*")&gt;0,COUNTIF(J2804,"*23*")&gt;0,COUNTIF(I2804,"24*")&gt;0,COUNTIF(J2804,"*24*")&gt;0,COUNTIF(I2804,"25*")&gt;0,COUNTIF(J2804,"*25*")&gt;0,COUNTIF(I2804,"26*")&gt;0,COUNTIF(J2804,"*26*")&gt;0,COUNTIF(I2804,"27*")&gt;0,COUNTIF(J2804,"*27*")&gt;0,COUNTIF(I2804,"28*")&gt;0,COUNTIF(J2804,"*28*")&gt;0,COUNTIF(I2804,"29*")&gt;0,COUNTIF(J2804,"*29*")&gt;0,COUNTIF(I2804,"30*")&gt;0,COUNTIF(J2804,"*30*")&gt;0,COUNTIF(I2804,"31*")&gt;0,COUNTIF(J2804,"*31*")&gt;0,COUNTIF(I2804,"32*")&gt;0,COUNTIF(J2804,"*32*")&gt;0,COUNTIF(I2804,"33*")&gt;0,COUNTIF(J2804,"*33*")&gt;0,COUNTIF(I2804,"41*")&gt;0,COUNTIF(J2804,"*41*")&gt;0,COUNTIF(I2804,"42*")&gt;0,COUNTIF(J2804,"*42*")&gt;0,COUNTIF(I2804,"43*")&gt;0,COUNTIF(J2804,"*43*")&gt;0,COUNTIF(I2804,"49*")&gt;0,COUNTIF(J2804,"*49*")&gt;0,COUNTIF(I2804,"52*")&gt;0,COUNTIF(J2804,"*52*")&gt;0,COUNTIF(I2804,"55*")&gt;0,COUNTIF(J2804,"*55*")&gt;0,COUNTIF(I2804,"56*")&gt;0,COUNTIF(J2804,"*56*")&gt;0,COUNTIF(I2804,"68*")&gt;0,COUNTIF(J2804,"*68*")&gt;0,COUNTIF(I2804,"78*")&gt;0,COUNTIF(J2804,"*78*")&gt;0,COUNTIF(I2804,"81*")&gt;0,COUNTIF(J2804,"*81*")&gt;0,COUNTIF(I2804,"82*")&gt;0,COUNTIF(J2804,"*82*")&gt;0,COUNTIF(I2804,"64*")&gt;0,COUNTIF(J2804,"*64*")&gt;0,COUNTIF(I2804,"65*")&gt;0,COUNTIF(J2804,"*65*")&gt;0,COUNTIF(I2804,"66*")&gt;0,COUNTIF(J2804,"*66*")&gt;0,COUNTIF(I2804,"61*")&gt;0,COUNTIF(J2804,"*61*")&gt;0,COUNTIF(I2804,"62*")&gt;0,COUNTIF(J2804,"*62*")&gt;0,COUNTIF(I2804,"63*")&gt;0,COUNTIF(J2804,"*63*")&gt;0,COUNTIF(I2804,"85*")&gt;0,COUNTIF(J2804,"*85*")&gt;0,COUNTIF(I2804,"86*")&gt;0,COUNTIF(J2804,"*86*")&gt;0),"Да","Нет"))</f>
        <v/>
      </c>
      <c r="M2804" s="13">
        <f>IF(OR(G2804="",L2804&lt;&gt;"Да"),"",IF(G2804&lt;=100,"До 100",IF(G2804&lt;=200,"До 200",IF(G2804&lt;=500,"До 500","Отдельное КП"))))</f>
        <v/>
      </c>
      <c r="N2804" s="15">
        <f>IF(OR(G2804="",L2804&lt;&gt;"Да"),"",IF(G2804&lt;=100,33600,IF(G2804&lt;=200,62400,IF(G2804&lt;=500,144000,""))))</f>
        <v/>
      </c>
      <c r="O2804" s="16">
        <f>IF(G2804="","",IF(G2804&lt;=15,"1–15",IF(G2804&lt;=30,"16–30",IF(G2804&lt;=50,"31–50",IF(G2804&lt;=100,"51–100",IF(G2804&lt;=150,"101–150",IF(G2804&lt;=200,"151–200",IF(G2804&lt;=500,"201–500","500+"))))))))</f>
        <v/>
      </c>
      <c r="P2804" s="16" t="inlineStr">
        <is>
          <t>Нет совпадения в предоставленной выгрузке ССЧР</t>
        </is>
      </c>
      <c r="Q2804" s="16" t="n"/>
      <c r="R2804" s="16">
        <f>HYPERLINK("https://checko.ru/search?query=3801001629","Чекко: проверить")</f>
        <v/>
      </c>
      <c r="S2804" t="n">
        <v>0</v>
      </c>
    </row>
    <row r="2805" ht="15" customHeight="1" s="24">
      <c r="A2805" s="13" t="n">
        <v>5000094430</v>
      </c>
      <c r="B2805" s="13" t="inlineStr">
        <is>
          <t>Местная администрация с.п. Заюково</t>
        </is>
      </c>
      <c r="C2805" s="13" t="n">
        <v>701004772</v>
      </c>
      <c r="D2805" s="13" t="n"/>
      <c r="E2805" s="13" t="inlineStr">
        <is>
          <t>Не определён</t>
        </is>
      </c>
      <c r="F2805" s="13" t="inlineStr">
        <is>
          <t>701004772</t>
        </is>
      </c>
      <c r="G2805" s="14" t="n"/>
      <c r="H2805" s="14" t="n"/>
      <c r="I2805" s="14" t="n"/>
      <c r="J2805" s="14" t="n"/>
      <c r="K2805" s="13">
        <f>IF(G2805="","",IF(G2805&gt;=22,"Да","Нет"))</f>
        <v/>
      </c>
      <c r="L2805" s="13">
        <f>IF(OR(I2805="",J2805=""),"Не определено",IF(OR(COUNTIF(I2805,"45*")&gt;0,COUNTIF(J2805,"*45*")&gt;0,COUNTIF(I2805,"46*")&gt;0,COUNTIF(J2805,"*46*")&gt;0,COUNTIF(I2805,"47*")&gt;0,COUNTIF(J2805,"*47*")&gt;0,COUNTIF(I2805,"10*")&gt;0,COUNTIF(J2805,"*10*")&gt;0,COUNTIF(I2805,"11*")&gt;0,COUNTIF(J2805,"*11*")&gt;0,COUNTIF(I2805,"12*")&gt;0,COUNTIF(J2805,"*12*")&gt;0,COUNTIF(I2805,"13*")&gt;0,COUNTIF(J2805,"*13*")&gt;0,COUNTIF(I2805,"14*")&gt;0,COUNTIF(J2805,"*14*")&gt;0,COUNTIF(I2805,"15*")&gt;0,COUNTIF(J2805,"*15*")&gt;0,COUNTIF(I2805,"16*")&gt;0,COUNTIF(J2805,"*16*")&gt;0,COUNTIF(I2805,"17*")&gt;0,COUNTIF(J2805,"*17*")&gt;0,COUNTIF(I2805,"18*")&gt;0,COUNTIF(J2805,"*18*")&gt;0,COUNTIF(I2805,"19*")&gt;0,COUNTIF(J2805,"*19*")&gt;0,COUNTIF(I2805,"20*")&gt;0,COUNTIF(J2805,"*20*")&gt;0,COUNTIF(I2805,"21*")&gt;0,COUNTIF(J2805,"*21*")&gt;0,COUNTIF(I2805,"22*")&gt;0,COUNTIF(J2805,"*22*")&gt;0,COUNTIF(I2805,"23*")&gt;0,COUNTIF(J2805,"*23*")&gt;0,COUNTIF(I2805,"24*")&gt;0,COUNTIF(J2805,"*24*")&gt;0,COUNTIF(I2805,"25*")&gt;0,COUNTIF(J2805,"*25*")&gt;0,COUNTIF(I2805,"26*")&gt;0,COUNTIF(J2805,"*26*")&gt;0,COUNTIF(I2805,"27*")&gt;0,COUNTIF(J2805,"*27*")&gt;0,COUNTIF(I2805,"28*")&gt;0,COUNTIF(J2805,"*28*")&gt;0,COUNTIF(I2805,"29*")&gt;0,COUNTIF(J2805,"*29*")&gt;0,COUNTIF(I2805,"30*")&gt;0,COUNTIF(J2805,"*30*")&gt;0,COUNTIF(I2805,"31*")&gt;0,COUNTIF(J2805,"*31*")&gt;0,COUNTIF(I2805,"32*")&gt;0,COUNTIF(J2805,"*32*")&gt;0,COUNTIF(I2805,"33*")&gt;0,COUNTIF(J2805,"*33*")&gt;0,COUNTIF(I2805,"41*")&gt;0,COUNTIF(J2805,"*41*")&gt;0,COUNTIF(I2805,"42*")&gt;0,COUNTIF(J2805,"*42*")&gt;0,COUNTIF(I2805,"43*")&gt;0,COUNTIF(J2805,"*43*")&gt;0,COUNTIF(I2805,"49*")&gt;0,COUNTIF(J2805,"*49*")&gt;0,COUNTIF(I2805,"52*")&gt;0,COUNTIF(J2805,"*52*")&gt;0,COUNTIF(I2805,"55*")&gt;0,COUNTIF(J2805,"*55*")&gt;0,COUNTIF(I2805,"56*")&gt;0,COUNTIF(J2805,"*56*")&gt;0,COUNTIF(I2805,"68*")&gt;0,COUNTIF(J2805,"*68*")&gt;0,COUNTIF(I2805,"78*")&gt;0,COUNTIF(J2805,"*78*")&gt;0,COUNTIF(I2805,"81*")&gt;0,COUNTIF(J2805,"*81*")&gt;0,COUNTIF(I2805,"82*")&gt;0,COUNTIF(J2805,"*82*")&gt;0,COUNTIF(I2805,"64*")&gt;0,COUNTIF(J2805,"*64*")&gt;0,COUNTIF(I2805,"65*")&gt;0,COUNTIF(J2805,"*65*")&gt;0,COUNTIF(I2805,"66*")&gt;0,COUNTIF(J2805,"*66*")&gt;0,COUNTIF(I2805,"61*")&gt;0,COUNTIF(J2805,"*61*")&gt;0,COUNTIF(I2805,"62*")&gt;0,COUNTIF(J2805,"*62*")&gt;0,COUNTIF(I2805,"63*")&gt;0,COUNTIF(J2805,"*63*")&gt;0,COUNTIF(I2805,"85*")&gt;0,COUNTIF(J2805,"*85*")&gt;0,COUNTIF(I2805,"86*")&gt;0,COUNTIF(J2805,"*86*")&gt;0),"Да","Нет"))</f>
        <v/>
      </c>
      <c r="M2805" s="13">
        <f>IF(OR(G2805="",L2805&lt;&gt;"Да"),"",IF(G2805&lt;=100,"До 100",IF(G2805&lt;=200,"До 200",IF(G2805&lt;=500,"До 500","Отдельное КП"))))</f>
        <v/>
      </c>
      <c r="N2805" s="15">
        <f>IF(OR(G2805="",L2805&lt;&gt;"Да"),"",IF(G2805&lt;=100,33600,IF(G2805&lt;=200,62400,IF(G2805&lt;=500,144000,""))))</f>
        <v/>
      </c>
      <c r="O2805" s="16">
        <f>IF(G2805="","",IF(G2805&lt;=15,"1–15",IF(G2805&lt;=30,"16–30",IF(G2805&lt;=50,"31–50",IF(G2805&lt;=100,"51–100",IF(G2805&lt;=150,"101–150",IF(G2805&lt;=200,"151–200",IF(G2805&lt;=500,"201–500","500+"))))))))</f>
        <v/>
      </c>
      <c r="P2805" s="16" t="inlineStr">
        <is>
          <t>Нет совпадения в предоставленной выгрузке ССЧР</t>
        </is>
      </c>
      <c r="Q2805" s="16" t="n"/>
      <c r="R2805" s="16">
        <f>HYPERLINK("https://checko.ru/search?query=3801001629","Чекко: проверить")</f>
        <v/>
      </c>
      <c r="S2805" t="n">
        <v>0</v>
      </c>
    </row>
    <row r="2806" ht="15" customHeight="1" s="24">
      <c r="A2806" s="13" t="n">
        <v>5000094475</v>
      </c>
      <c r="B2806" s="13" t="inlineStr">
        <is>
          <t>МОУ СОШ №1 с.п. Заюково</t>
        </is>
      </c>
      <c r="C2806" s="13" t="n">
        <v>701015693</v>
      </c>
      <c r="D2806" s="13" t="n"/>
      <c r="E2806" s="13" t="inlineStr">
        <is>
          <t>Не определён</t>
        </is>
      </c>
      <c r="F2806" s="13" t="inlineStr">
        <is>
          <t>701015693</t>
        </is>
      </c>
      <c r="G2806" s="14" t="n"/>
      <c r="H2806" s="14" t="n"/>
      <c r="I2806" s="14" t="n"/>
      <c r="J2806" s="14" t="n"/>
      <c r="K2806" s="13">
        <f>IF(G2806="","",IF(G2806&gt;=22,"Да","Нет"))</f>
        <v/>
      </c>
      <c r="L2806" s="13">
        <f>IF(OR(I2806="",J2806=""),"Не определено",IF(OR(COUNTIF(I2806,"45*")&gt;0,COUNTIF(J2806,"*45*")&gt;0,COUNTIF(I2806,"46*")&gt;0,COUNTIF(J2806,"*46*")&gt;0,COUNTIF(I2806,"47*")&gt;0,COUNTIF(J2806,"*47*")&gt;0,COUNTIF(I2806,"10*")&gt;0,COUNTIF(J2806,"*10*")&gt;0,COUNTIF(I2806,"11*")&gt;0,COUNTIF(J2806,"*11*")&gt;0,COUNTIF(I2806,"12*")&gt;0,COUNTIF(J2806,"*12*")&gt;0,COUNTIF(I2806,"13*")&gt;0,COUNTIF(J2806,"*13*")&gt;0,COUNTIF(I2806,"14*")&gt;0,COUNTIF(J2806,"*14*")&gt;0,COUNTIF(I2806,"15*")&gt;0,COUNTIF(J2806,"*15*")&gt;0,COUNTIF(I2806,"16*")&gt;0,COUNTIF(J2806,"*16*")&gt;0,COUNTIF(I2806,"17*")&gt;0,COUNTIF(J2806,"*17*")&gt;0,COUNTIF(I2806,"18*")&gt;0,COUNTIF(J2806,"*18*")&gt;0,COUNTIF(I2806,"19*")&gt;0,COUNTIF(J2806,"*19*")&gt;0,COUNTIF(I2806,"20*")&gt;0,COUNTIF(J2806,"*20*")&gt;0,COUNTIF(I2806,"21*")&gt;0,COUNTIF(J2806,"*21*")&gt;0,COUNTIF(I2806,"22*")&gt;0,COUNTIF(J2806,"*22*")&gt;0,COUNTIF(I2806,"23*")&gt;0,COUNTIF(J2806,"*23*")&gt;0,COUNTIF(I2806,"24*")&gt;0,COUNTIF(J2806,"*24*")&gt;0,COUNTIF(I2806,"25*")&gt;0,COUNTIF(J2806,"*25*")&gt;0,COUNTIF(I2806,"26*")&gt;0,COUNTIF(J2806,"*26*")&gt;0,COUNTIF(I2806,"27*")&gt;0,COUNTIF(J2806,"*27*")&gt;0,COUNTIF(I2806,"28*")&gt;0,COUNTIF(J2806,"*28*")&gt;0,COUNTIF(I2806,"29*")&gt;0,COUNTIF(J2806,"*29*")&gt;0,COUNTIF(I2806,"30*")&gt;0,COUNTIF(J2806,"*30*")&gt;0,COUNTIF(I2806,"31*")&gt;0,COUNTIF(J2806,"*31*")&gt;0,COUNTIF(I2806,"32*")&gt;0,COUNTIF(J2806,"*32*")&gt;0,COUNTIF(I2806,"33*")&gt;0,COUNTIF(J2806,"*33*")&gt;0,COUNTIF(I2806,"41*")&gt;0,COUNTIF(J2806,"*41*")&gt;0,COUNTIF(I2806,"42*")&gt;0,COUNTIF(J2806,"*42*")&gt;0,COUNTIF(I2806,"43*")&gt;0,COUNTIF(J2806,"*43*")&gt;0,COUNTIF(I2806,"49*")&gt;0,COUNTIF(J2806,"*49*")&gt;0,COUNTIF(I2806,"52*")&gt;0,COUNTIF(J2806,"*52*")&gt;0,COUNTIF(I2806,"55*")&gt;0,COUNTIF(J2806,"*55*")&gt;0,COUNTIF(I2806,"56*")&gt;0,COUNTIF(J2806,"*56*")&gt;0,COUNTIF(I2806,"68*")&gt;0,COUNTIF(J2806,"*68*")&gt;0,COUNTIF(I2806,"78*")&gt;0,COUNTIF(J2806,"*78*")&gt;0,COUNTIF(I2806,"81*")&gt;0,COUNTIF(J2806,"*81*")&gt;0,COUNTIF(I2806,"82*")&gt;0,COUNTIF(J2806,"*82*")&gt;0,COUNTIF(I2806,"64*")&gt;0,COUNTIF(J2806,"*64*")&gt;0,COUNTIF(I2806,"65*")&gt;0,COUNTIF(J2806,"*65*")&gt;0,COUNTIF(I2806,"66*")&gt;0,COUNTIF(J2806,"*66*")&gt;0,COUNTIF(I2806,"61*")&gt;0,COUNTIF(J2806,"*61*")&gt;0,COUNTIF(I2806,"62*")&gt;0,COUNTIF(J2806,"*62*")&gt;0,COUNTIF(I2806,"63*")&gt;0,COUNTIF(J2806,"*63*")&gt;0,COUNTIF(I2806,"85*")&gt;0,COUNTIF(J2806,"*85*")&gt;0,COUNTIF(I2806,"86*")&gt;0,COUNTIF(J2806,"*86*")&gt;0),"Да","Нет"))</f>
        <v/>
      </c>
      <c r="M2806" s="13">
        <f>IF(OR(G2806="",L2806&lt;&gt;"Да"),"",IF(G2806&lt;=100,"До 100",IF(G2806&lt;=200,"До 200",IF(G2806&lt;=500,"До 500","Отдельное КП"))))</f>
        <v/>
      </c>
      <c r="N2806" s="15">
        <f>IF(OR(G2806="",L2806&lt;&gt;"Да"),"",IF(G2806&lt;=100,33600,IF(G2806&lt;=200,62400,IF(G2806&lt;=500,144000,""))))</f>
        <v/>
      </c>
      <c r="O2806" s="16">
        <f>IF(G2806="","",IF(G2806&lt;=15,"1–15",IF(G2806&lt;=30,"16–30",IF(G2806&lt;=50,"31–50",IF(G2806&lt;=100,"51–100",IF(G2806&lt;=150,"101–150",IF(G2806&lt;=200,"151–200",IF(G2806&lt;=500,"201–500","500+"))))))))</f>
        <v/>
      </c>
      <c r="P2806" s="16" t="inlineStr">
        <is>
          <t>Нет совпадения в предоставленной выгрузке ССЧР</t>
        </is>
      </c>
      <c r="Q2806" s="16" t="n"/>
      <c r="R2806" s="16">
        <f>HYPERLINK("https://checko.ru/search?query=3801001629","Чекко: проверить")</f>
        <v/>
      </c>
      <c r="S2806" t="n">
        <v>0</v>
      </c>
    </row>
    <row r="2807" ht="15" customHeight="1" s="24">
      <c r="A2807" s="13" t="n">
        <v>5000094402</v>
      </c>
      <c r="B2807" s="13" t="inlineStr">
        <is>
          <t>Местная администрация с.п.Псычох</t>
        </is>
      </c>
      <c r="C2807" s="13" t="n">
        <v>701004275</v>
      </c>
      <c r="D2807" s="13" t="n"/>
      <c r="E2807" s="13" t="inlineStr">
        <is>
          <t>Не определён</t>
        </is>
      </c>
      <c r="F2807" s="13" t="inlineStr">
        <is>
          <t>701004275</t>
        </is>
      </c>
      <c r="G2807" s="14" t="n"/>
      <c r="H2807" s="14" t="n"/>
      <c r="I2807" s="14" t="n"/>
      <c r="J2807" s="14" t="n"/>
      <c r="K2807" s="13">
        <f>IF(G2807="","",IF(G2807&gt;=22,"Да","Нет"))</f>
        <v/>
      </c>
      <c r="L2807" s="13">
        <f>IF(OR(I2807="",J2807=""),"Не определено",IF(OR(COUNTIF(I2807,"45*")&gt;0,COUNTIF(J2807,"*45*")&gt;0,COUNTIF(I2807,"46*")&gt;0,COUNTIF(J2807,"*46*")&gt;0,COUNTIF(I2807,"47*")&gt;0,COUNTIF(J2807,"*47*")&gt;0,COUNTIF(I2807,"10*")&gt;0,COUNTIF(J2807,"*10*")&gt;0,COUNTIF(I2807,"11*")&gt;0,COUNTIF(J2807,"*11*")&gt;0,COUNTIF(I2807,"12*")&gt;0,COUNTIF(J2807,"*12*")&gt;0,COUNTIF(I2807,"13*")&gt;0,COUNTIF(J2807,"*13*")&gt;0,COUNTIF(I2807,"14*")&gt;0,COUNTIF(J2807,"*14*")&gt;0,COUNTIF(I2807,"15*")&gt;0,COUNTIF(J2807,"*15*")&gt;0,COUNTIF(I2807,"16*")&gt;0,COUNTIF(J2807,"*16*")&gt;0,COUNTIF(I2807,"17*")&gt;0,COUNTIF(J2807,"*17*")&gt;0,COUNTIF(I2807,"18*")&gt;0,COUNTIF(J2807,"*18*")&gt;0,COUNTIF(I2807,"19*")&gt;0,COUNTIF(J2807,"*19*")&gt;0,COUNTIF(I2807,"20*")&gt;0,COUNTIF(J2807,"*20*")&gt;0,COUNTIF(I2807,"21*")&gt;0,COUNTIF(J2807,"*21*")&gt;0,COUNTIF(I2807,"22*")&gt;0,COUNTIF(J2807,"*22*")&gt;0,COUNTIF(I2807,"23*")&gt;0,COUNTIF(J2807,"*23*")&gt;0,COUNTIF(I2807,"24*")&gt;0,COUNTIF(J2807,"*24*")&gt;0,COUNTIF(I2807,"25*")&gt;0,COUNTIF(J2807,"*25*")&gt;0,COUNTIF(I2807,"26*")&gt;0,COUNTIF(J2807,"*26*")&gt;0,COUNTIF(I2807,"27*")&gt;0,COUNTIF(J2807,"*27*")&gt;0,COUNTIF(I2807,"28*")&gt;0,COUNTIF(J2807,"*28*")&gt;0,COUNTIF(I2807,"29*")&gt;0,COUNTIF(J2807,"*29*")&gt;0,COUNTIF(I2807,"30*")&gt;0,COUNTIF(J2807,"*30*")&gt;0,COUNTIF(I2807,"31*")&gt;0,COUNTIF(J2807,"*31*")&gt;0,COUNTIF(I2807,"32*")&gt;0,COUNTIF(J2807,"*32*")&gt;0,COUNTIF(I2807,"33*")&gt;0,COUNTIF(J2807,"*33*")&gt;0,COUNTIF(I2807,"41*")&gt;0,COUNTIF(J2807,"*41*")&gt;0,COUNTIF(I2807,"42*")&gt;0,COUNTIF(J2807,"*42*")&gt;0,COUNTIF(I2807,"43*")&gt;0,COUNTIF(J2807,"*43*")&gt;0,COUNTIF(I2807,"49*")&gt;0,COUNTIF(J2807,"*49*")&gt;0,COUNTIF(I2807,"52*")&gt;0,COUNTIF(J2807,"*52*")&gt;0,COUNTIF(I2807,"55*")&gt;0,COUNTIF(J2807,"*55*")&gt;0,COUNTIF(I2807,"56*")&gt;0,COUNTIF(J2807,"*56*")&gt;0,COUNTIF(I2807,"68*")&gt;0,COUNTIF(J2807,"*68*")&gt;0,COUNTIF(I2807,"78*")&gt;0,COUNTIF(J2807,"*78*")&gt;0,COUNTIF(I2807,"81*")&gt;0,COUNTIF(J2807,"*81*")&gt;0,COUNTIF(I2807,"82*")&gt;0,COUNTIF(J2807,"*82*")&gt;0,COUNTIF(I2807,"64*")&gt;0,COUNTIF(J2807,"*64*")&gt;0,COUNTIF(I2807,"65*")&gt;0,COUNTIF(J2807,"*65*")&gt;0,COUNTIF(I2807,"66*")&gt;0,COUNTIF(J2807,"*66*")&gt;0,COUNTIF(I2807,"61*")&gt;0,COUNTIF(J2807,"*61*")&gt;0,COUNTIF(I2807,"62*")&gt;0,COUNTIF(J2807,"*62*")&gt;0,COUNTIF(I2807,"63*")&gt;0,COUNTIF(J2807,"*63*")&gt;0,COUNTIF(I2807,"85*")&gt;0,COUNTIF(J2807,"*85*")&gt;0,COUNTIF(I2807,"86*")&gt;0,COUNTIF(J2807,"*86*")&gt;0),"Да","Нет"))</f>
        <v/>
      </c>
      <c r="M2807" s="13">
        <f>IF(OR(G2807="",L2807&lt;&gt;"Да"),"",IF(G2807&lt;=100,"До 100",IF(G2807&lt;=200,"До 200",IF(G2807&lt;=500,"До 500","Отдельное КП"))))</f>
        <v/>
      </c>
      <c r="N2807" s="15">
        <f>IF(OR(G2807="",L2807&lt;&gt;"Да"),"",IF(G2807&lt;=100,33600,IF(G2807&lt;=200,62400,IF(G2807&lt;=500,144000,""))))</f>
        <v/>
      </c>
      <c r="O2807" s="16">
        <f>IF(G2807="","",IF(G2807&lt;=15,"1–15",IF(G2807&lt;=30,"16–30",IF(G2807&lt;=50,"31–50",IF(G2807&lt;=100,"51–100",IF(G2807&lt;=150,"101–150",IF(G2807&lt;=200,"151–200",IF(G2807&lt;=500,"201–500","500+"))))))))</f>
        <v/>
      </c>
      <c r="P2807" s="16" t="inlineStr">
        <is>
          <t>Нет совпадения в предоставленной выгрузке ССЧР</t>
        </is>
      </c>
      <c r="Q2807" s="16" t="n"/>
      <c r="R2807" s="16">
        <f>HYPERLINK("https://checko.ru/search?query=3801001629","Чекко: проверить")</f>
        <v/>
      </c>
      <c r="S2807" t="n">
        <v>0</v>
      </c>
    </row>
    <row r="2808" ht="15" customHeight="1" s="24">
      <c r="A2808" s="13" t="n">
        <v>5000094403</v>
      </c>
      <c r="B2808" s="13" t="inlineStr">
        <is>
          <t>МОУ "СОШ № 3 с.п.Исламей им.Маршенова Н.П."</t>
        </is>
      </c>
      <c r="C2808" s="13" t="n">
        <v>701004282</v>
      </c>
      <c r="D2808" s="13" t="n"/>
      <c r="E2808" s="13" t="inlineStr">
        <is>
          <t>Не определён</t>
        </is>
      </c>
      <c r="F2808" s="13" t="inlineStr">
        <is>
          <t>701004282</t>
        </is>
      </c>
      <c r="G2808" s="14" t="n"/>
      <c r="H2808" s="14" t="n"/>
      <c r="I2808" s="14" t="n"/>
      <c r="J2808" s="14" t="n"/>
      <c r="K2808" s="13">
        <f>IF(G2808="","",IF(G2808&gt;=22,"Да","Нет"))</f>
        <v/>
      </c>
      <c r="L2808" s="13">
        <f>IF(OR(I2808="",J2808=""),"Не определено",IF(OR(COUNTIF(I2808,"45*")&gt;0,COUNTIF(J2808,"*45*")&gt;0,COUNTIF(I2808,"46*")&gt;0,COUNTIF(J2808,"*46*")&gt;0,COUNTIF(I2808,"47*")&gt;0,COUNTIF(J2808,"*47*")&gt;0,COUNTIF(I2808,"10*")&gt;0,COUNTIF(J2808,"*10*")&gt;0,COUNTIF(I2808,"11*")&gt;0,COUNTIF(J2808,"*11*")&gt;0,COUNTIF(I2808,"12*")&gt;0,COUNTIF(J2808,"*12*")&gt;0,COUNTIF(I2808,"13*")&gt;0,COUNTIF(J2808,"*13*")&gt;0,COUNTIF(I2808,"14*")&gt;0,COUNTIF(J2808,"*14*")&gt;0,COUNTIF(I2808,"15*")&gt;0,COUNTIF(J2808,"*15*")&gt;0,COUNTIF(I2808,"16*")&gt;0,COUNTIF(J2808,"*16*")&gt;0,COUNTIF(I2808,"17*")&gt;0,COUNTIF(J2808,"*17*")&gt;0,COUNTIF(I2808,"18*")&gt;0,COUNTIF(J2808,"*18*")&gt;0,COUNTIF(I2808,"19*")&gt;0,COUNTIF(J2808,"*19*")&gt;0,COUNTIF(I2808,"20*")&gt;0,COUNTIF(J2808,"*20*")&gt;0,COUNTIF(I2808,"21*")&gt;0,COUNTIF(J2808,"*21*")&gt;0,COUNTIF(I2808,"22*")&gt;0,COUNTIF(J2808,"*22*")&gt;0,COUNTIF(I2808,"23*")&gt;0,COUNTIF(J2808,"*23*")&gt;0,COUNTIF(I2808,"24*")&gt;0,COUNTIF(J2808,"*24*")&gt;0,COUNTIF(I2808,"25*")&gt;0,COUNTIF(J2808,"*25*")&gt;0,COUNTIF(I2808,"26*")&gt;0,COUNTIF(J2808,"*26*")&gt;0,COUNTIF(I2808,"27*")&gt;0,COUNTIF(J2808,"*27*")&gt;0,COUNTIF(I2808,"28*")&gt;0,COUNTIF(J2808,"*28*")&gt;0,COUNTIF(I2808,"29*")&gt;0,COUNTIF(J2808,"*29*")&gt;0,COUNTIF(I2808,"30*")&gt;0,COUNTIF(J2808,"*30*")&gt;0,COUNTIF(I2808,"31*")&gt;0,COUNTIF(J2808,"*31*")&gt;0,COUNTIF(I2808,"32*")&gt;0,COUNTIF(J2808,"*32*")&gt;0,COUNTIF(I2808,"33*")&gt;0,COUNTIF(J2808,"*33*")&gt;0,COUNTIF(I2808,"41*")&gt;0,COUNTIF(J2808,"*41*")&gt;0,COUNTIF(I2808,"42*")&gt;0,COUNTIF(J2808,"*42*")&gt;0,COUNTIF(I2808,"43*")&gt;0,COUNTIF(J2808,"*43*")&gt;0,COUNTIF(I2808,"49*")&gt;0,COUNTIF(J2808,"*49*")&gt;0,COUNTIF(I2808,"52*")&gt;0,COUNTIF(J2808,"*52*")&gt;0,COUNTIF(I2808,"55*")&gt;0,COUNTIF(J2808,"*55*")&gt;0,COUNTIF(I2808,"56*")&gt;0,COUNTIF(J2808,"*56*")&gt;0,COUNTIF(I2808,"68*")&gt;0,COUNTIF(J2808,"*68*")&gt;0,COUNTIF(I2808,"78*")&gt;0,COUNTIF(J2808,"*78*")&gt;0,COUNTIF(I2808,"81*")&gt;0,COUNTIF(J2808,"*81*")&gt;0,COUNTIF(I2808,"82*")&gt;0,COUNTIF(J2808,"*82*")&gt;0,COUNTIF(I2808,"64*")&gt;0,COUNTIF(J2808,"*64*")&gt;0,COUNTIF(I2808,"65*")&gt;0,COUNTIF(J2808,"*65*")&gt;0,COUNTIF(I2808,"66*")&gt;0,COUNTIF(J2808,"*66*")&gt;0,COUNTIF(I2808,"61*")&gt;0,COUNTIF(J2808,"*61*")&gt;0,COUNTIF(I2808,"62*")&gt;0,COUNTIF(J2808,"*62*")&gt;0,COUNTIF(I2808,"63*")&gt;0,COUNTIF(J2808,"*63*")&gt;0,COUNTIF(I2808,"85*")&gt;0,COUNTIF(J2808,"*85*")&gt;0,COUNTIF(I2808,"86*")&gt;0,COUNTIF(J2808,"*86*")&gt;0),"Да","Нет"))</f>
        <v/>
      </c>
      <c r="M2808" s="13">
        <f>IF(OR(G2808="",L2808&lt;&gt;"Да"),"",IF(G2808&lt;=100,"До 100",IF(G2808&lt;=200,"До 200",IF(G2808&lt;=500,"До 500","Отдельное КП"))))</f>
        <v/>
      </c>
      <c r="N2808" s="15">
        <f>IF(OR(G2808="",L2808&lt;&gt;"Да"),"",IF(G2808&lt;=100,33600,IF(G2808&lt;=200,62400,IF(G2808&lt;=500,144000,""))))</f>
        <v/>
      </c>
      <c r="O2808" s="16">
        <f>IF(G2808="","",IF(G2808&lt;=15,"1–15",IF(G2808&lt;=30,"16–30",IF(G2808&lt;=50,"31–50",IF(G2808&lt;=100,"51–100",IF(G2808&lt;=150,"101–150",IF(G2808&lt;=200,"151–200",IF(G2808&lt;=500,"201–500","500+"))))))))</f>
        <v/>
      </c>
      <c r="P2808" s="16" t="inlineStr">
        <is>
          <t>Нет совпадения в предоставленной выгрузке ССЧР</t>
        </is>
      </c>
      <c r="Q2808" s="16" t="n"/>
      <c r="R2808" s="16">
        <f>HYPERLINK("https://checko.ru/search?query=3801001629","Чекко: проверить")</f>
        <v/>
      </c>
      <c r="S2808" t="n">
        <v>0</v>
      </c>
    </row>
    <row r="2809" ht="15" customHeight="1" s="24">
      <c r="A2809" s="13" t="n">
        <v>5000094404</v>
      </c>
      <c r="B2809" s="13" t="inlineStr">
        <is>
          <t>МКОУ "Прогимназия №1 г. Баксана"</t>
        </is>
      </c>
      <c r="C2809" s="13" t="n">
        <v>701004290</v>
      </c>
      <c r="D2809" s="13" t="n"/>
      <c r="E2809" s="13" t="inlineStr">
        <is>
          <t>Не определён</t>
        </is>
      </c>
      <c r="F2809" s="13" t="inlineStr">
        <is>
          <t>701004290</t>
        </is>
      </c>
      <c r="G2809" s="14" t="n"/>
      <c r="H2809" s="14" t="n"/>
      <c r="I2809" s="14" t="n"/>
      <c r="J2809" s="14" t="n"/>
      <c r="K2809" s="13">
        <f>IF(G2809="","",IF(G2809&gt;=22,"Да","Нет"))</f>
        <v/>
      </c>
      <c r="L2809" s="13">
        <f>IF(OR(I2809="",J2809=""),"Не определено",IF(OR(COUNTIF(I2809,"45*")&gt;0,COUNTIF(J2809,"*45*")&gt;0,COUNTIF(I2809,"46*")&gt;0,COUNTIF(J2809,"*46*")&gt;0,COUNTIF(I2809,"47*")&gt;0,COUNTIF(J2809,"*47*")&gt;0,COUNTIF(I2809,"10*")&gt;0,COUNTIF(J2809,"*10*")&gt;0,COUNTIF(I2809,"11*")&gt;0,COUNTIF(J2809,"*11*")&gt;0,COUNTIF(I2809,"12*")&gt;0,COUNTIF(J2809,"*12*")&gt;0,COUNTIF(I2809,"13*")&gt;0,COUNTIF(J2809,"*13*")&gt;0,COUNTIF(I2809,"14*")&gt;0,COUNTIF(J2809,"*14*")&gt;0,COUNTIF(I2809,"15*")&gt;0,COUNTIF(J2809,"*15*")&gt;0,COUNTIF(I2809,"16*")&gt;0,COUNTIF(J2809,"*16*")&gt;0,COUNTIF(I2809,"17*")&gt;0,COUNTIF(J2809,"*17*")&gt;0,COUNTIF(I2809,"18*")&gt;0,COUNTIF(J2809,"*18*")&gt;0,COUNTIF(I2809,"19*")&gt;0,COUNTIF(J2809,"*19*")&gt;0,COUNTIF(I2809,"20*")&gt;0,COUNTIF(J2809,"*20*")&gt;0,COUNTIF(I2809,"21*")&gt;0,COUNTIF(J2809,"*21*")&gt;0,COUNTIF(I2809,"22*")&gt;0,COUNTIF(J2809,"*22*")&gt;0,COUNTIF(I2809,"23*")&gt;0,COUNTIF(J2809,"*23*")&gt;0,COUNTIF(I2809,"24*")&gt;0,COUNTIF(J2809,"*24*")&gt;0,COUNTIF(I2809,"25*")&gt;0,COUNTIF(J2809,"*25*")&gt;0,COUNTIF(I2809,"26*")&gt;0,COUNTIF(J2809,"*26*")&gt;0,COUNTIF(I2809,"27*")&gt;0,COUNTIF(J2809,"*27*")&gt;0,COUNTIF(I2809,"28*")&gt;0,COUNTIF(J2809,"*28*")&gt;0,COUNTIF(I2809,"29*")&gt;0,COUNTIF(J2809,"*29*")&gt;0,COUNTIF(I2809,"30*")&gt;0,COUNTIF(J2809,"*30*")&gt;0,COUNTIF(I2809,"31*")&gt;0,COUNTIF(J2809,"*31*")&gt;0,COUNTIF(I2809,"32*")&gt;0,COUNTIF(J2809,"*32*")&gt;0,COUNTIF(I2809,"33*")&gt;0,COUNTIF(J2809,"*33*")&gt;0,COUNTIF(I2809,"41*")&gt;0,COUNTIF(J2809,"*41*")&gt;0,COUNTIF(I2809,"42*")&gt;0,COUNTIF(J2809,"*42*")&gt;0,COUNTIF(I2809,"43*")&gt;0,COUNTIF(J2809,"*43*")&gt;0,COUNTIF(I2809,"49*")&gt;0,COUNTIF(J2809,"*49*")&gt;0,COUNTIF(I2809,"52*")&gt;0,COUNTIF(J2809,"*52*")&gt;0,COUNTIF(I2809,"55*")&gt;0,COUNTIF(J2809,"*55*")&gt;0,COUNTIF(I2809,"56*")&gt;0,COUNTIF(J2809,"*56*")&gt;0,COUNTIF(I2809,"68*")&gt;0,COUNTIF(J2809,"*68*")&gt;0,COUNTIF(I2809,"78*")&gt;0,COUNTIF(J2809,"*78*")&gt;0,COUNTIF(I2809,"81*")&gt;0,COUNTIF(J2809,"*81*")&gt;0,COUNTIF(I2809,"82*")&gt;0,COUNTIF(J2809,"*82*")&gt;0,COUNTIF(I2809,"64*")&gt;0,COUNTIF(J2809,"*64*")&gt;0,COUNTIF(I2809,"65*")&gt;0,COUNTIF(J2809,"*65*")&gt;0,COUNTIF(I2809,"66*")&gt;0,COUNTIF(J2809,"*66*")&gt;0,COUNTIF(I2809,"61*")&gt;0,COUNTIF(J2809,"*61*")&gt;0,COUNTIF(I2809,"62*")&gt;0,COUNTIF(J2809,"*62*")&gt;0,COUNTIF(I2809,"63*")&gt;0,COUNTIF(J2809,"*63*")&gt;0,COUNTIF(I2809,"85*")&gt;0,COUNTIF(J2809,"*85*")&gt;0,COUNTIF(I2809,"86*")&gt;0,COUNTIF(J2809,"*86*")&gt;0),"Да","Нет"))</f>
        <v/>
      </c>
      <c r="M2809" s="13">
        <f>IF(OR(G2809="",L2809&lt;&gt;"Да"),"",IF(G2809&lt;=100,"До 100",IF(G2809&lt;=200,"До 200",IF(G2809&lt;=500,"До 500","Отдельное КП"))))</f>
        <v/>
      </c>
      <c r="N2809" s="15">
        <f>IF(OR(G2809="",L2809&lt;&gt;"Да"),"",IF(G2809&lt;=100,33600,IF(G2809&lt;=200,62400,IF(G2809&lt;=500,144000,""))))</f>
        <v/>
      </c>
      <c r="O2809" s="16">
        <f>IF(G2809="","",IF(G2809&lt;=15,"1–15",IF(G2809&lt;=30,"16–30",IF(G2809&lt;=50,"31–50",IF(G2809&lt;=100,"51–100",IF(G2809&lt;=150,"101–150",IF(G2809&lt;=200,"151–200",IF(G2809&lt;=500,"201–500","500+"))))))))</f>
        <v/>
      </c>
      <c r="P2809" s="16" t="inlineStr">
        <is>
          <t>Нет совпадения в предоставленной выгрузке ССЧР</t>
        </is>
      </c>
      <c r="Q2809" s="16" t="n"/>
      <c r="R2809" s="16">
        <f>HYPERLINK("https://checko.ru/search?query=3801001629","Чекко: проверить")</f>
        <v/>
      </c>
      <c r="S2809" t="n">
        <v>0</v>
      </c>
    </row>
    <row r="2810" ht="15" customHeight="1" s="24">
      <c r="A2810" s="13" t="n">
        <v>5000094405</v>
      </c>
      <c r="B2810" s="13" t="inlineStr">
        <is>
          <t>МКОУ "Прогимназия" с.п.Атажукино</t>
        </is>
      </c>
      <c r="C2810" s="13" t="n">
        <v>701004300</v>
      </c>
      <c r="D2810" s="13" t="n"/>
      <c r="E2810" s="13" t="inlineStr">
        <is>
          <t>Не определён</t>
        </is>
      </c>
      <c r="F2810" s="13" t="inlineStr">
        <is>
          <t>701004300</t>
        </is>
      </c>
      <c r="G2810" s="14" t="n"/>
      <c r="H2810" s="14" t="n"/>
      <c r="I2810" s="14" t="n"/>
      <c r="J2810" s="14" t="n"/>
      <c r="K2810" s="13">
        <f>IF(G2810="","",IF(G2810&gt;=22,"Да","Нет"))</f>
        <v/>
      </c>
      <c r="L2810" s="13">
        <f>IF(OR(I2810="",J2810=""),"Не определено",IF(OR(COUNTIF(I2810,"45*")&gt;0,COUNTIF(J2810,"*45*")&gt;0,COUNTIF(I2810,"46*")&gt;0,COUNTIF(J2810,"*46*")&gt;0,COUNTIF(I2810,"47*")&gt;0,COUNTIF(J2810,"*47*")&gt;0,COUNTIF(I2810,"10*")&gt;0,COUNTIF(J2810,"*10*")&gt;0,COUNTIF(I2810,"11*")&gt;0,COUNTIF(J2810,"*11*")&gt;0,COUNTIF(I2810,"12*")&gt;0,COUNTIF(J2810,"*12*")&gt;0,COUNTIF(I2810,"13*")&gt;0,COUNTIF(J2810,"*13*")&gt;0,COUNTIF(I2810,"14*")&gt;0,COUNTIF(J2810,"*14*")&gt;0,COUNTIF(I2810,"15*")&gt;0,COUNTIF(J2810,"*15*")&gt;0,COUNTIF(I2810,"16*")&gt;0,COUNTIF(J2810,"*16*")&gt;0,COUNTIF(I2810,"17*")&gt;0,COUNTIF(J2810,"*17*")&gt;0,COUNTIF(I2810,"18*")&gt;0,COUNTIF(J2810,"*18*")&gt;0,COUNTIF(I2810,"19*")&gt;0,COUNTIF(J2810,"*19*")&gt;0,COUNTIF(I2810,"20*")&gt;0,COUNTIF(J2810,"*20*")&gt;0,COUNTIF(I2810,"21*")&gt;0,COUNTIF(J2810,"*21*")&gt;0,COUNTIF(I2810,"22*")&gt;0,COUNTIF(J2810,"*22*")&gt;0,COUNTIF(I2810,"23*")&gt;0,COUNTIF(J2810,"*23*")&gt;0,COUNTIF(I2810,"24*")&gt;0,COUNTIF(J2810,"*24*")&gt;0,COUNTIF(I2810,"25*")&gt;0,COUNTIF(J2810,"*25*")&gt;0,COUNTIF(I2810,"26*")&gt;0,COUNTIF(J2810,"*26*")&gt;0,COUNTIF(I2810,"27*")&gt;0,COUNTIF(J2810,"*27*")&gt;0,COUNTIF(I2810,"28*")&gt;0,COUNTIF(J2810,"*28*")&gt;0,COUNTIF(I2810,"29*")&gt;0,COUNTIF(J2810,"*29*")&gt;0,COUNTIF(I2810,"30*")&gt;0,COUNTIF(J2810,"*30*")&gt;0,COUNTIF(I2810,"31*")&gt;0,COUNTIF(J2810,"*31*")&gt;0,COUNTIF(I2810,"32*")&gt;0,COUNTIF(J2810,"*32*")&gt;0,COUNTIF(I2810,"33*")&gt;0,COUNTIF(J2810,"*33*")&gt;0,COUNTIF(I2810,"41*")&gt;0,COUNTIF(J2810,"*41*")&gt;0,COUNTIF(I2810,"42*")&gt;0,COUNTIF(J2810,"*42*")&gt;0,COUNTIF(I2810,"43*")&gt;0,COUNTIF(J2810,"*43*")&gt;0,COUNTIF(I2810,"49*")&gt;0,COUNTIF(J2810,"*49*")&gt;0,COUNTIF(I2810,"52*")&gt;0,COUNTIF(J2810,"*52*")&gt;0,COUNTIF(I2810,"55*")&gt;0,COUNTIF(J2810,"*55*")&gt;0,COUNTIF(I2810,"56*")&gt;0,COUNTIF(J2810,"*56*")&gt;0,COUNTIF(I2810,"68*")&gt;0,COUNTIF(J2810,"*68*")&gt;0,COUNTIF(I2810,"78*")&gt;0,COUNTIF(J2810,"*78*")&gt;0,COUNTIF(I2810,"81*")&gt;0,COUNTIF(J2810,"*81*")&gt;0,COUNTIF(I2810,"82*")&gt;0,COUNTIF(J2810,"*82*")&gt;0,COUNTIF(I2810,"64*")&gt;0,COUNTIF(J2810,"*64*")&gt;0,COUNTIF(I2810,"65*")&gt;0,COUNTIF(J2810,"*65*")&gt;0,COUNTIF(I2810,"66*")&gt;0,COUNTIF(J2810,"*66*")&gt;0,COUNTIF(I2810,"61*")&gt;0,COUNTIF(J2810,"*61*")&gt;0,COUNTIF(I2810,"62*")&gt;0,COUNTIF(J2810,"*62*")&gt;0,COUNTIF(I2810,"63*")&gt;0,COUNTIF(J2810,"*63*")&gt;0,COUNTIF(I2810,"85*")&gt;0,COUNTIF(J2810,"*85*")&gt;0,COUNTIF(I2810,"86*")&gt;0,COUNTIF(J2810,"*86*")&gt;0),"Да","Нет"))</f>
        <v/>
      </c>
      <c r="M2810" s="13">
        <f>IF(OR(G2810="",L2810&lt;&gt;"Да"),"",IF(G2810&lt;=100,"До 100",IF(G2810&lt;=200,"До 200",IF(G2810&lt;=500,"До 500","Отдельное КП"))))</f>
        <v/>
      </c>
      <c r="N2810" s="15">
        <f>IF(OR(G2810="",L2810&lt;&gt;"Да"),"",IF(G2810&lt;=100,33600,IF(G2810&lt;=200,62400,IF(G2810&lt;=500,144000,""))))</f>
        <v/>
      </c>
      <c r="O2810" s="16">
        <f>IF(G2810="","",IF(G2810&lt;=15,"1–15",IF(G2810&lt;=30,"16–30",IF(G2810&lt;=50,"31–50",IF(G2810&lt;=100,"51–100",IF(G2810&lt;=150,"101–150",IF(G2810&lt;=200,"151–200",IF(G2810&lt;=500,"201–500","500+"))))))))</f>
        <v/>
      </c>
      <c r="P2810" s="16" t="inlineStr">
        <is>
          <t>Нет совпадения в предоставленной выгрузке ССЧР</t>
        </is>
      </c>
      <c r="Q2810" s="16" t="n"/>
      <c r="R2810" s="16">
        <f>HYPERLINK("https://checko.ru/search?query=3801001629","Чекко: проверить")</f>
        <v/>
      </c>
      <c r="S2810" t="n">
        <v>0</v>
      </c>
    </row>
    <row r="2811" ht="15" customHeight="1" s="24">
      <c r="A2811" s="13" t="n">
        <v>5000094406</v>
      </c>
      <c r="B2811" s="13" t="inlineStr">
        <is>
          <t>Местная администрация с.п.Псыхурей</t>
        </is>
      </c>
      <c r="C2811" s="13" t="n">
        <v>701004317</v>
      </c>
      <c r="D2811" s="13" t="n"/>
      <c r="E2811" s="13" t="inlineStr">
        <is>
          <t>Не определён</t>
        </is>
      </c>
      <c r="F2811" s="13" t="inlineStr">
        <is>
          <t>701004317</t>
        </is>
      </c>
      <c r="G2811" s="14" t="n"/>
      <c r="H2811" s="14" t="n"/>
      <c r="I2811" s="14" t="n"/>
      <c r="J2811" s="14" t="n"/>
      <c r="K2811" s="13">
        <f>IF(G2811="","",IF(G2811&gt;=22,"Да","Нет"))</f>
        <v/>
      </c>
      <c r="L2811" s="13">
        <f>IF(OR(I2811="",J2811=""),"Не определено",IF(OR(COUNTIF(I2811,"45*")&gt;0,COUNTIF(J2811,"*45*")&gt;0,COUNTIF(I2811,"46*")&gt;0,COUNTIF(J2811,"*46*")&gt;0,COUNTIF(I2811,"47*")&gt;0,COUNTIF(J2811,"*47*")&gt;0,COUNTIF(I2811,"10*")&gt;0,COUNTIF(J2811,"*10*")&gt;0,COUNTIF(I2811,"11*")&gt;0,COUNTIF(J2811,"*11*")&gt;0,COUNTIF(I2811,"12*")&gt;0,COUNTIF(J2811,"*12*")&gt;0,COUNTIF(I2811,"13*")&gt;0,COUNTIF(J2811,"*13*")&gt;0,COUNTIF(I2811,"14*")&gt;0,COUNTIF(J2811,"*14*")&gt;0,COUNTIF(I2811,"15*")&gt;0,COUNTIF(J2811,"*15*")&gt;0,COUNTIF(I2811,"16*")&gt;0,COUNTIF(J2811,"*16*")&gt;0,COUNTIF(I2811,"17*")&gt;0,COUNTIF(J2811,"*17*")&gt;0,COUNTIF(I2811,"18*")&gt;0,COUNTIF(J2811,"*18*")&gt;0,COUNTIF(I2811,"19*")&gt;0,COUNTIF(J2811,"*19*")&gt;0,COUNTIF(I2811,"20*")&gt;0,COUNTIF(J2811,"*20*")&gt;0,COUNTIF(I2811,"21*")&gt;0,COUNTIF(J2811,"*21*")&gt;0,COUNTIF(I2811,"22*")&gt;0,COUNTIF(J2811,"*22*")&gt;0,COUNTIF(I2811,"23*")&gt;0,COUNTIF(J2811,"*23*")&gt;0,COUNTIF(I2811,"24*")&gt;0,COUNTIF(J2811,"*24*")&gt;0,COUNTIF(I2811,"25*")&gt;0,COUNTIF(J2811,"*25*")&gt;0,COUNTIF(I2811,"26*")&gt;0,COUNTIF(J2811,"*26*")&gt;0,COUNTIF(I2811,"27*")&gt;0,COUNTIF(J2811,"*27*")&gt;0,COUNTIF(I2811,"28*")&gt;0,COUNTIF(J2811,"*28*")&gt;0,COUNTIF(I2811,"29*")&gt;0,COUNTIF(J2811,"*29*")&gt;0,COUNTIF(I2811,"30*")&gt;0,COUNTIF(J2811,"*30*")&gt;0,COUNTIF(I2811,"31*")&gt;0,COUNTIF(J2811,"*31*")&gt;0,COUNTIF(I2811,"32*")&gt;0,COUNTIF(J2811,"*32*")&gt;0,COUNTIF(I2811,"33*")&gt;0,COUNTIF(J2811,"*33*")&gt;0,COUNTIF(I2811,"41*")&gt;0,COUNTIF(J2811,"*41*")&gt;0,COUNTIF(I2811,"42*")&gt;0,COUNTIF(J2811,"*42*")&gt;0,COUNTIF(I2811,"43*")&gt;0,COUNTIF(J2811,"*43*")&gt;0,COUNTIF(I2811,"49*")&gt;0,COUNTIF(J2811,"*49*")&gt;0,COUNTIF(I2811,"52*")&gt;0,COUNTIF(J2811,"*52*")&gt;0,COUNTIF(I2811,"55*")&gt;0,COUNTIF(J2811,"*55*")&gt;0,COUNTIF(I2811,"56*")&gt;0,COUNTIF(J2811,"*56*")&gt;0,COUNTIF(I2811,"68*")&gt;0,COUNTIF(J2811,"*68*")&gt;0,COUNTIF(I2811,"78*")&gt;0,COUNTIF(J2811,"*78*")&gt;0,COUNTIF(I2811,"81*")&gt;0,COUNTIF(J2811,"*81*")&gt;0,COUNTIF(I2811,"82*")&gt;0,COUNTIF(J2811,"*82*")&gt;0,COUNTIF(I2811,"64*")&gt;0,COUNTIF(J2811,"*64*")&gt;0,COUNTIF(I2811,"65*")&gt;0,COUNTIF(J2811,"*65*")&gt;0,COUNTIF(I2811,"66*")&gt;0,COUNTIF(J2811,"*66*")&gt;0,COUNTIF(I2811,"61*")&gt;0,COUNTIF(J2811,"*61*")&gt;0,COUNTIF(I2811,"62*")&gt;0,COUNTIF(J2811,"*62*")&gt;0,COUNTIF(I2811,"63*")&gt;0,COUNTIF(J2811,"*63*")&gt;0,COUNTIF(I2811,"85*")&gt;0,COUNTIF(J2811,"*85*")&gt;0,COUNTIF(I2811,"86*")&gt;0,COUNTIF(J2811,"*86*")&gt;0),"Да","Нет"))</f>
        <v/>
      </c>
      <c r="M2811" s="13">
        <f>IF(OR(G2811="",L2811&lt;&gt;"Да"),"",IF(G2811&lt;=100,"До 100",IF(G2811&lt;=200,"До 200",IF(G2811&lt;=500,"До 500","Отдельное КП"))))</f>
        <v/>
      </c>
      <c r="N2811" s="15">
        <f>IF(OR(G2811="",L2811&lt;&gt;"Да"),"",IF(G2811&lt;=100,33600,IF(G2811&lt;=200,62400,IF(G2811&lt;=500,144000,""))))</f>
        <v/>
      </c>
      <c r="O2811" s="16">
        <f>IF(G2811="","",IF(G2811&lt;=15,"1–15",IF(G2811&lt;=30,"16–30",IF(G2811&lt;=50,"31–50",IF(G2811&lt;=100,"51–100",IF(G2811&lt;=150,"101–150",IF(G2811&lt;=200,"151–200",IF(G2811&lt;=500,"201–500","500+"))))))))</f>
        <v/>
      </c>
      <c r="P2811" s="16" t="inlineStr">
        <is>
          <t>Нет совпадения в предоставленной выгрузке ССЧР</t>
        </is>
      </c>
      <c r="Q2811" s="16" t="n"/>
      <c r="R2811" s="16">
        <f>HYPERLINK("https://checko.ru/search?query=3801001629","Чекко: проверить")</f>
        <v/>
      </c>
      <c r="S2811" t="n">
        <v>0</v>
      </c>
    </row>
    <row r="2812" ht="27.75" customHeight="1" s="24">
      <c r="A2812" s="13" t="n">
        <v>5000094379</v>
      </c>
      <c r="B2812" s="13" t="inlineStr">
        <is>
          <t>МКДОУ "Детский сад" с.п. Кишпек Баксанского района КБР</t>
        </is>
      </c>
      <c r="C2812" s="13" t="n">
        <v>700001183</v>
      </c>
      <c r="D2812" s="13" t="n"/>
      <c r="E2812" s="13" t="inlineStr">
        <is>
          <t>Не определён</t>
        </is>
      </c>
      <c r="F2812" s="13" t="inlineStr">
        <is>
          <t>700001183</t>
        </is>
      </c>
      <c r="G2812" s="14" t="n"/>
      <c r="H2812" s="14" t="n"/>
      <c r="I2812" s="14" t="n"/>
      <c r="J2812" s="14" t="n"/>
      <c r="K2812" s="13">
        <f>IF(G2812="","",IF(G2812&gt;=22,"Да","Нет"))</f>
        <v/>
      </c>
      <c r="L2812" s="13">
        <f>IF(OR(I2812="",J2812=""),"Не определено",IF(OR(COUNTIF(I2812,"45*")&gt;0,COUNTIF(J2812,"*45*")&gt;0,COUNTIF(I2812,"46*")&gt;0,COUNTIF(J2812,"*46*")&gt;0,COUNTIF(I2812,"47*")&gt;0,COUNTIF(J2812,"*47*")&gt;0,COUNTIF(I2812,"10*")&gt;0,COUNTIF(J2812,"*10*")&gt;0,COUNTIF(I2812,"11*")&gt;0,COUNTIF(J2812,"*11*")&gt;0,COUNTIF(I2812,"12*")&gt;0,COUNTIF(J2812,"*12*")&gt;0,COUNTIF(I2812,"13*")&gt;0,COUNTIF(J2812,"*13*")&gt;0,COUNTIF(I2812,"14*")&gt;0,COUNTIF(J2812,"*14*")&gt;0,COUNTIF(I2812,"15*")&gt;0,COUNTIF(J2812,"*15*")&gt;0,COUNTIF(I2812,"16*")&gt;0,COUNTIF(J2812,"*16*")&gt;0,COUNTIF(I2812,"17*")&gt;0,COUNTIF(J2812,"*17*")&gt;0,COUNTIF(I2812,"18*")&gt;0,COUNTIF(J2812,"*18*")&gt;0,COUNTIF(I2812,"19*")&gt;0,COUNTIF(J2812,"*19*")&gt;0,COUNTIF(I2812,"20*")&gt;0,COUNTIF(J2812,"*20*")&gt;0,COUNTIF(I2812,"21*")&gt;0,COUNTIF(J2812,"*21*")&gt;0,COUNTIF(I2812,"22*")&gt;0,COUNTIF(J2812,"*22*")&gt;0,COUNTIF(I2812,"23*")&gt;0,COUNTIF(J2812,"*23*")&gt;0,COUNTIF(I2812,"24*")&gt;0,COUNTIF(J2812,"*24*")&gt;0,COUNTIF(I2812,"25*")&gt;0,COUNTIF(J2812,"*25*")&gt;0,COUNTIF(I2812,"26*")&gt;0,COUNTIF(J2812,"*26*")&gt;0,COUNTIF(I2812,"27*")&gt;0,COUNTIF(J2812,"*27*")&gt;0,COUNTIF(I2812,"28*")&gt;0,COUNTIF(J2812,"*28*")&gt;0,COUNTIF(I2812,"29*")&gt;0,COUNTIF(J2812,"*29*")&gt;0,COUNTIF(I2812,"30*")&gt;0,COUNTIF(J2812,"*30*")&gt;0,COUNTIF(I2812,"31*")&gt;0,COUNTIF(J2812,"*31*")&gt;0,COUNTIF(I2812,"32*")&gt;0,COUNTIF(J2812,"*32*")&gt;0,COUNTIF(I2812,"33*")&gt;0,COUNTIF(J2812,"*33*")&gt;0,COUNTIF(I2812,"41*")&gt;0,COUNTIF(J2812,"*41*")&gt;0,COUNTIF(I2812,"42*")&gt;0,COUNTIF(J2812,"*42*")&gt;0,COUNTIF(I2812,"43*")&gt;0,COUNTIF(J2812,"*43*")&gt;0,COUNTIF(I2812,"49*")&gt;0,COUNTIF(J2812,"*49*")&gt;0,COUNTIF(I2812,"52*")&gt;0,COUNTIF(J2812,"*52*")&gt;0,COUNTIF(I2812,"55*")&gt;0,COUNTIF(J2812,"*55*")&gt;0,COUNTIF(I2812,"56*")&gt;0,COUNTIF(J2812,"*56*")&gt;0,COUNTIF(I2812,"68*")&gt;0,COUNTIF(J2812,"*68*")&gt;0,COUNTIF(I2812,"78*")&gt;0,COUNTIF(J2812,"*78*")&gt;0,COUNTIF(I2812,"81*")&gt;0,COUNTIF(J2812,"*81*")&gt;0,COUNTIF(I2812,"82*")&gt;0,COUNTIF(J2812,"*82*")&gt;0,COUNTIF(I2812,"64*")&gt;0,COUNTIF(J2812,"*64*")&gt;0,COUNTIF(I2812,"65*")&gt;0,COUNTIF(J2812,"*65*")&gt;0,COUNTIF(I2812,"66*")&gt;0,COUNTIF(J2812,"*66*")&gt;0,COUNTIF(I2812,"61*")&gt;0,COUNTIF(J2812,"*61*")&gt;0,COUNTIF(I2812,"62*")&gt;0,COUNTIF(J2812,"*62*")&gt;0,COUNTIF(I2812,"63*")&gt;0,COUNTIF(J2812,"*63*")&gt;0,COUNTIF(I2812,"85*")&gt;0,COUNTIF(J2812,"*85*")&gt;0,COUNTIF(I2812,"86*")&gt;0,COUNTIF(J2812,"*86*")&gt;0),"Да","Нет"))</f>
        <v/>
      </c>
      <c r="M2812" s="13">
        <f>IF(OR(G2812="",L2812&lt;&gt;"Да"),"",IF(G2812&lt;=100,"До 100",IF(G2812&lt;=200,"До 200",IF(G2812&lt;=500,"До 500","Отдельное КП"))))</f>
        <v/>
      </c>
      <c r="N2812" s="15">
        <f>IF(OR(G2812="",L2812&lt;&gt;"Да"),"",IF(G2812&lt;=100,33600,IF(G2812&lt;=200,62400,IF(G2812&lt;=500,144000,""))))</f>
        <v/>
      </c>
      <c r="O2812" s="16">
        <f>IF(G2812="","",IF(G2812&lt;=15,"1–15",IF(G2812&lt;=30,"16–30",IF(G2812&lt;=50,"31–50",IF(G2812&lt;=100,"51–100",IF(G2812&lt;=150,"101–150",IF(G2812&lt;=200,"151–200",IF(G2812&lt;=500,"201–500","500+"))))))))</f>
        <v/>
      </c>
      <c r="P2812" s="16" t="inlineStr">
        <is>
          <t>Нет совпадения в предоставленной выгрузке ССЧР</t>
        </is>
      </c>
      <c r="Q2812" s="16" t="n"/>
      <c r="R2812" s="16">
        <f>HYPERLINK("https://checko.ru/search?query=3801001629","Чекко: проверить")</f>
        <v/>
      </c>
      <c r="S2812" t="n">
        <v>0</v>
      </c>
    </row>
    <row r="2813" ht="27.75" customHeight="1" s="24">
      <c r="A2813" s="13" t="n">
        <v>5000094380</v>
      </c>
      <c r="B2813" s="13" t="inlineStr">
        <is>
          <t>МКУК "РАЙОННЫЙ ЦЕНТР НАЦИОНАЛЬНЫХ РЕМЕСЕЛ И ПРОМЫСЛОВ"</t>
        </is>
      </c>
      <c r="C2813" s="13" t="n">
        <v>700001828</v>
      </c>
      <c r="D2813" s="13" t="n"/>
      <c r="E2813" s="13" t="inlineStr">
        <is>
          <t>Не определён</t>
        </is>
      </c>
      <c r="F2813" s="13" t="inlineStr">
        <is>
          <t>700001828</t>
        </is>
      </c>
      <c r="G2813" s="14" t="n"/>
      <c r="H2813" s="14" t="n"/>
      <c r="I2813" s="14" t="n"/>
      <c r="J2813" s="14" t="n"/>
      <c r="K2813" s="13">
        <f>IF(G2813="","",IF(G2813&gt;=22,"Да","Нет"))</f>
        <v/>
      </c>
      <c r="L2813" s="13">
        <f>IF(OR(I2813="",J2813=""),"Не определено",IF(OR(COUNTIF(I2813,"45*")&gt;0,COUNTIF(J2813,"*45*")&gt;0,COUNTIF(I2813,"46*")&gt;0,COUNTIF(J2813,"*46*")&gt;0,COUNTIF(I2813,"47*")&gt;0,COUNTIF(J2813,"*47*")&gt;0,COUNTIF(I2813,"10*")&gt;0,COUNTIF(J2813,"*10*")&gt;0,COUNTIF(I2813,"11*")&gt;0,COUNTIF(J2813,"*11*")&gt;0,COUNTIF(I2813,"12*")&gt;0,COUNTIF(J2813,"*12*")&gt;0,COUNTIF(I2813,"13*")&gt;0,COUNTIF(J2813,"*13*")&gt;0,COUNTIF(I2813,"14*")&gt;0,COUNTIF(J2813,"*14*")&gt;0,COUNTIF(I2813,"15*")&gt;0,COUNTIF(J2813,"*15*")&gt;0,COUNTIF(I2813,"16*")&gt;0,COUNTIF(J2813,"*16*")&gt;0,COUNTIF(I2813,"17*")&gt;0,COUNTIF(J2813,"*17*")&gt;0,COUNTIF(I2813,"18*")&gt;0,COUNTIF(J2813,"*18*")&gt;0,COUNTIF(I2813,"19*")&gt;0,COUNTIF(J2813,"*19*")&gt;0,COUNTIF(I2813,"20*")&gt;0,COUNTIF(J2813,"*20*")&gt;0,COUNTIF(I2813,"21*")&gt;0,COUNTIF(J2813,"*21*")&gt;0,COUNTIF(I2813,"22*")&gt;0,COUNTIF(J2813,"*22*")&gt;0,COUNTIF(I2813,"23*")&gt;0,COUNTIF(J2813,"*23*")&gt;0,COUNTIF(I2813,"24*")&gt;0,COUNTIF(J2813,"*24*")&gt;0,COUNTIF(I2813,"25*")&gt;0,COUNTIF(J2813,"*25*")&gt;0,COUNTIF(I2813,"26*")&gt;0,COUNTIF(J2813,"*26*")&gt;0,COUNTIF(I2813,"27*")&gt;0,COUNTIF(J2813,"*27*")&gt;0,COUNTIF(I2813,"28*")&gt;0,COUNTIF(J2813,"*28*")&gt;0,COUNTIF(I2813,"29*")&gt;0,COUNTIF(J2813,"*29*")&gt;0,COUNTIF(I2813,"30*")&gt;0,COUNTIF(J2813,"*30*")&gt;0,COUNTIF(I2813,"31*")&gt;0,COUNTIF(J2813,"*31*")&gt;0,COUNTIF(I2813,"32*")&gt;0,COUNTIF(J2813,"*32*")&gt;0,COUNTIF(I2813,"33*")&gt;0,COUNTIF(J2813,"*33*")&gt;0,COUNTIF(I2813,"41*")&gt;0,COUNTIF(J2813,"*41*")&gt;0,COUNTIF(I2813,"42*")&gt;0,COUNTIF(J2813,"*42*")&gt;0,COUNTIF(I2813,"43*")&gt;0,COUNTIF(J2813,"*43*")&gt;0,COUNTIF(I2813,"49*")&gt;0,COUNTIF(J2813,"*49*")&gt;0,COUNTIF(I2813,"52*")&gt;0,COUNTIF(J2813,"*52*")&gt;0,COUNTIF(I2813,"55*")&gt;0,COUNTIF(J2813,"*55*")&gt;0,COUNTIF(I2813,"56*")&gt;0,COUNTIF(J2813,"*56*")&gt;0,COUNTIF(I2813,"68*")&gt;0,COUNTIF(J2813,"*68*")&gt;0,COUNTIF(I2813,"78*")&gt;0,COUNTIF(J2813,"*78*")&gt;0,COUNTIF(I2813,"81*")&gt;0,COUNTIF(J2813,"*81*")&gt;0,COUNTIF(I2813,"82*")&gt;0,COUNTIF(J2813,"*82*")&gt;0,COUNTIF(I2813,"64*")&gt;0,COUNTIF(J2813,"*64*")&gt;0,COUNTIF(I2813,"65*")&gt;0,COUNTIF(J2813,"*65*")&gt;0,COUNTIF(I2813,"66*")&gt;0,COUNTIF(J2813,"*66*")&gt;0,COUNTIF(I2813,"61*")&gt;0,COUNTIF(J2813,"*61*")&gt;0,COUNTIF(I2813,"62*")&gt;0,COUNTIF(J2813,"*62*")&gt;0,COUNTIF(I2813,"63*")&gt;0,COUNTIF(J2813,"*63*")&gt;0,COUNTIF(I2813,"85*")&gt;0,COUNTIF(J2813,"*85*")&gt;0,COUNTIF(I2813,"86*")&gt;0,COUNTIF(J2813,"*86*")&gt;0),"Да","Нет"))</f>
        <v/>
      </c>
      <c r="M2813" s="13">
        <f>IF(OR(G2813="",L2813&lt;&gt;"Да"),"",IF(G2813&lt;=100,"До 100",IF(G2813&lt;=200,"До 200",IF(G2813&lt;=500,"До 500","Отдельное КП"))))</f>
        <v/>
      </c>
      <c r="N2813" s="15">
        <f>IF(OR(G2813="",L2813&lt;&gt;"Да"),"",IF(G2813&lt;=100,33600,IF(G2813&lt;=200,62400,IF(G2813&lt;=500,144000,""))))</f>
        <v/>
      </c>
      <c r="O2813" s="16">
        <f>IF(G2813="","",IF(G2813&lt;=15,"1–15",IF(G2813&lt;=30,"16–30",IF(G2813&lt;=50,"31–50",IF(G2813&lt;=100,"51–100",IF(G2813&lt;=150,"101–150",IF(G2813&lt;=200,"151–200",IF(G2813&lt;=500,"201–500","500+"))))))))</f>
        <v/>
      </c>
      <c r="P2813" s="16" t="inlineStr">
        <is>
          <t>Нет совпадения в предоставленной выгрузке ССЧР</t>
        </is>
      </c>
      <c r="Q2813" s="16" t="n"/>
      <c r="R2813" s="16">
        <f>HYPERLINK("https://checko.ru/search?query=3801001629","Чекко: проверить")</f>
        <v/>
      </c>
      <c r="S2813" t="n">
        <v>0</v>
      </c>
    </row>
    <row r="2814" ht="15" customHeight="1" s="24">
      <c r="A2814" s="13" t="n">
        <v>5000094407</v>
      </c>
      <c r="B2814" s="13" t="inlineStr">
        <is>
          <t>МКОУ " СОШ №10 им. Б.М. Карданова г. Баксана"</t>
        </is>
      </c>
      <c r="C2814" s="13" t="n">
        <v>701004349</v>
      </c>
      <c r="D2814" s="13" t="n"/>
      <c r="E2814" s="13" t="inlineStr">
        <is>
          <t>Не определён</t>
        </is>
      </c>
      <c r="F2814" s="13" t="inlineStr">
        <is>
          <t>701004349</t>
        </is>
      </c>
      <c r="G2814" s="14" t="n"/>
      <c r="H2814" s="14" t="n"/>
      <c r="I2814" s="14" t="n"/>
      <c r="J2814" s="14" t="n"/>
      <c r="K2814" s="13">
        <f>IF(G2814="","",IF(G2814&gt;=22,"Да","Нет"))</f>
        <v/>
      </c>
      <c r="L2814" s="13">
        <f>IF(OR(I2814="",J2814=""),"Не определено",IF(OR(COUNTIF(I2814,"45*")&gt;0,COUNTIF(J2814,"*45*")&gt;0,COUNTIF(I2814,"46*")&gt;0,COUNTIF(J2814,"*46*")&gt;0,COUNTIF(I2814,"47*")&gt;0,COUNTIF(J2814,"*47*")&gt;0,COUNTIF(I2814,"10*")&gt;0,COUNTIF(J2814,"*10*")&gt;0,COUNTIF(I2814,"11*")&gt;0,COUNTIF(J2814,"*11*")&gt;0,COUNTIF(I2814,"12*")&gt;0,COUNTIF(J2814,"*12*")&gt;0,COUNTIF(I2814,"13*")&gt;0,COUNTIF(J2814,"*13*")&gt;0,COUNTIF(I2814,"14*")&gt;0,COUNTIF(J2814,"*14*")&gt;0,COUNTIF(I2814,"15*")&gt;0,COUNTIF(J2814,"*15*")&gt;0,COUNTIF(I2814,"16*")&gt;0,COUNTIF(J2814,"*16*")&gt;0,COUNTIF(I2814,"17*")&gt;0,COUNTIF(J2814,"*17*")&gt;0,COUNTIF(I2814,"18*")&gt;0,COUNTIF(J2814,"*18*")&gt;0,COUNTIF(I2814,"19*")&gt;0,COUNTIF(J2814,"*19*")&gt;0,COUNTIF(I2814,"20*")&gt;0,COUNTIF(J2814,"*20*")&gt;0,COUNTIF(I2814,"21*")&gt;0,COUNTIF(J2814,"*21*")&gt;0,COUNTIF(I2814,"22*")&gt;0,COUNTIF(J2814,"*22*")&gt;0,COUNTIF(I2814,"23*")&gt;0,COUNTIF(J2814,"*23*")&gt;0,COUNTIF(I2814,"24*")&gt;0,COUNTIF(J2814,"*24*")&gt;0,COUNTIF(I2814,"25*")&gt;0,COUNTIF(J2814,"*25*")&gt;0,COUNTIF(I2814,"26*")&gt;0,COUNTIF(J2814,"*26*")&gt;0,COUNTIF(I2814,"27*")&gt;0,COUNTIF(J2814,"*27*")&gt;0,COUNTIF(I2814,"28*")&gt;0,COUNTIF(J2814,"*28*")&gt;0,COUNTIF(I2814,"29*")&gt;0,COUNTIF(J2814,"*29*")&gt;0,COUNTIF(I2814,"30*")&gt;0,COUNTIF(J2814,"*30*")&gt;0,COUNTIF(I2814,"31*")&gt;0,COUNTIF(J2814,"*31*")&gt;0,COUNTIF(I2814,"32*")&gt;0,COUNTIF(J2814,"*32*")&gt;0,COUNTIF(I2814,"33*")&gt;0,COUNTIF(J2814,"*33*")&gt;0,COUNTIF(I2814,"41*")&gt;0,COUNTIF(J2814,"*41*")&gt;0,COUNTIF(I2814,"42*")&gt;0,COUNTIF(J2814,"*42*")&gt;0,COUNTIF(I2814,"43*")&gt;0,COUNTIF(J2814,"*43*")&gt;0,COUNTIF(I2814,"49*")&gt;0,COUNTIF(J2814,"*49*")&gt;0,COUNTIF(I2814,"52*")&gt;0,COUNTIF(J2814,"*52*")&gt;0,COUNTIF(I2814,"55*")&gt;0,COUNTIF(J2814,"*55*")&gt;0,COUNTIF(I2814,"56*")&gt;0,COUNTIF(J2814,"*56*")&gt;0,COUNTIF(I2814,"68*")&gt;0,COUNTIF(J2814,"*68*")&gt;0,COUNTIF(I2814,"78*")&gt;0,COUNTIF(J2814,"*78*")&gt;0,COUNTIF(I2814,"81*")&gt;0,COUNTIF(J2814,"*81*")&gt;0,COUNTIF(I2814,"82*")&gt;0,COUNTIF(J2814,"*82*")&gt;0,COUNTIF(I2814,"64*")&gt;0,COUNTIF(J2814,"*64*")&gt;0,COUNTIF(I2814,"65*")&gt;0,COUNTIF(J2814,"*65*")&gt;0,COUNTIF(I2814,"66*")&gt;0,COUNTIF(J2814,"*66*")&gt;0,COUNTIF(I2814,"61*")&gt;0,COUNTIF(J2814,"*61*")&gt;0,COUNTIF(I2814,"62*")&gt;0,COUNTIF(J2814,"*62*")&gt;0,COUNTIF(I2814,"63*")&gt;0,COUNTIF(J2814,"*63*")&gt;0,COUNTIF(I2814,"85*")&gt;0,COUNTIF(J2814,"*85*")&gt;0,COUNTIF(I2814,"86*")&gt;0,COUNTIF(J2814,"*86*")&gt;0),"Да","Нет"))</f>
        <v/>
      </c>
      <c r="M2814" s="13">
        <f>IF(OR(G2814="",L2814&lt;&gt;"Да"),"",IF(G2814&lt;=100,"До 100",IF(G2814&lt;=200,"До 200",IF(G2814&lt;=500,"До 500","Отдельное КП"))))</f>
        <v/>
      </c>
      <c r="N2814" s="15">
        <f>IF(OR(G2814="",L2814&lt;&gt;"Да"),"",IF(G2814&lt;=100,33600,IF(G2814&lt;=200,62400,IF(G2814&lt;=500,144000,""))))</f>
        <v/>
      </c>
      <c r="O2814" s="16">
        <f>IF(G2814="","",IF(G2814&lt;=15,"1–15",IF(G2814&lt;=30,"16–30",IF(G2814&lt;=50,"31–50",IF(G2814&lt;=100,"51–100",IF(G2814&lt;=150,"101–150",IF(G2814&lt;=200,"151–200",IF(G2814&lt;=500,"201–500","500+"))))))))</f>
        <v/>
      </c>
      <c r="P2814" s="16" t="inlineStr">
        <is>
          <t>Нет совпадения в предоставленной выгрузке ССЧР</t>
        </is>
      </c>
      <c r="Q2814" s="16" t="n"/>
      <c r="R2814" s="16">
        <f>HYPERLINK("https://checko.ru/search?query=3801001629","Чекко: проверить")</f>
        <v/>
      </c>
      <c r="S2814" t="n">
        <v>0</v>
      </c>
    </row>
    <row r="2815" ht="27.75" customHeight="1" s="24">
      <c r="A2815" s="13" t="n">
        <v>5000094408</v>
      </c>
      <c r="B2815" s="13" t="inlineStr">
        <is>
          <t>МУ "УО местной администрации Баксанского муниципального района"</t>
        </is>
      </c>
      <c r="C2815" s="13" t="n">
        <v>701004356</v>
      </c>
      <c r="D2815" s="13" t="n"/>
      <c r="E2815" s="13" t="inlineStr">
        <is>
          <t>Не определён</t>
        </is>
      </c>
      <c r="F2815" s="13" t="inlineStr">
        <is>
          <t>701004356</t>
        </is>
      </c>
      <c r="G2815" s="14" t="n"/>
      <c r="H2815" s="14" t="n"/>
      <c r="I2815" s="14" t="n"/>
      <c r="J2815" s="14" t="n"/>
      <c r="K2815" s="13">
        <f>IF(G2815="","",IF(G2815&gt;=22,"Да","Нет"))</f>
        <v/>
      </c>
      <c r="L2815" s="13">
        <f>IF(OR(I2815="",J2815=""),"Не определено",IF(OR(COUNTIF(I2815,"45*")&gt;0,COUNTIF(J2815,"*45*")&gt;0,COUNTIF(I2815,"46*")&gt;0,COUNTIF(J2815,"*46*")&gt;0,COUNTIF(I2815,"47*")&gt;0,COUNTIF(J2815,"*47*")&gt;0,COUNTIF(I2815,"10*")&gt;0,COUNTIF(J2815,"*10*")&gt;0,COUNTIF(I2815,"11*")&gt;0,COUNTIF(J2815,"*11*")&gt;0,COUNTIF(I2815,"12*")&gt;0,COUNTIF(J2815,"*12*")&gt;0,COUNTIF(I2815,"13*")&gt;0,COUNTIF(J2815,"*13*")&gt;0,COUNTIF(I2815,"14*")&gt;0,COUNTIF(J2815,"*14*")&gt;0,COUNTIF(I2815,"15*")&gt;0,COUNTIF(J2815,"*15*")&gt;0,COUNTIF(I2815,"16*")&gt;0,COUNTIF(J2815,"*16*")&gt;0,COUNTIF(I2815,"17*")&gt;0,COUNTIF(J2815,"*17*")&gt;0,COUNTIF(I2815,"18*")&gt;0,COUNTIF(J2815,"*18*")&gt;0,COUNTIF(I2815,"19*")&gt;0,COUNTIF(J2815,"*19*")&gt;0,COUNTIF(I2815,"20*")&gt;0,COUNTIF(J2815,"*20*")&gt;0,COUNTIF(I2815,"21*")&gt;0,COUNTIF(J2815,"*21*")&gt;0,COUNTIF(I2815,"22*")&gt;0,COUNTIF(J2815,"*22*")&gt;0,COUNTIF(I2815,"23*")&gt;0,COUNTIF(J2815,"*23*")&gt;0,COUNTIF(I2815,"24*")&gt;0,COUNTIF(J2815,"*24*")&gt;0,COUNTIF(I2815,"25*")&gt;0,COUNTIF(J2815,"*25*")&gt;0,COUNTIF(I2815,"26*")&gt;0,COUNTIF(J2815,"*26*")&gt;0,COUNTIF(I2815,"27*")&gt;0,COUNTIF(J2815,"*27*")&gt;0,COUNTIF(I2815,"28*")&gt;0,COUNTIF(J2815,"*28*")&gt;0,COUNTIF(I2815,"29*")&gt;0,COUNTIF(J2815,"*29*")&gt;0,COUNTIF(I2815,"30*")&gt;0,COUNTIF(J2815,"*30*")&gt;0,COUNTIF(I2815,"31*")&gt;0,COUNTIF(J2815,"*31*")&gt;0,COUNTIF(I2815,"32*")&gt;0,COUNTIF(J2815,"*32*")&gt;0,COUNTIF(I2815,"33*")&gt;0,COUNTIF(J2815,"*33*")&gt;0,COUNTIF(I2815,"41*")&gt;0,COUNTIF(J2815,"*41*")&gt;0,COUNTIF(I2815,"42*")&gt;0,COUNTIF(J2815,"*42*")&gt;0,COUNTIF(I2815,"43*")&gt;0,COUNTIF(J2815,"*43*")&gt;0,COUNTIF(I2815,"49*")&gt;0,COUNTIF(J2815,"*49*")&gt;0,COUNTIF(I2815,"52*")&gt;0,COUNTIF(J2815,"*52*")&gt;0,COUNTIF(I2815,"55*")&gt;0,COUNTIF(J2815,"*55*")&gt;0,COUNTIF(I2815,"56*")&gt;0,COUNTIF(J2815,"*56*")&gt;0,COUNTIF(I2815,"68*")&gt;0,COUNTIF(J2815,"*68*")&gt;0,COUNTIF(I2815,"78*")&gt;0,COUNTIF(J2815,"*78*")&gt;0,COUNTIF(I2815,"81*")&gt;0,COUNTIF(J2815,"*81*")&gt;0,COUNTIF(I2815,"82*")&gt;0,COUNTIF(J2815,"*82*")&gt;0,COUNTIF(I2815,"64*")&gt;0,COUNTIF(J2815,"*64*")&gt;0,COUNTIF(I2815,"65*")&gt;0,COUNTIF(J2815,"*65*")&gt;0,COUNTIF(I2815,"66*")&gt;0,COUNTIF(J2815,"*66*")&gt;0,COUNTIF(I2815,"61*")&gt;0,COUNTIF(J2815,"*61*")&gt;0,COUNTIF(I2815,"62*")&gt;0,COUNTIF(J2815,"*62*")&gt;0,COUNTIF(I2815,"63*")&gt;0,COUNTIF(J2815,"*63*")&gt;0,COUNTIF(I2815,"85*")&gt;0,COUNTIF(J2815,"*85*")&gt;0,COUNTIF(I2815,"86*")&gt;0,COUNTIF(J2815,"*86*")&gt;0),"Да","Нет"))</f>
        <v/>
      </c>
      <c r="M2815" s="13">
        <f>IF(OR(G2815="",L2815&lt;&gt;"Да"),"",IF(G2815&lt;=100,"До 100",IF(G2815&lt;=200,"До 200",IF(G2815&lt;=500,"До 500","Отдельное КП"))))</f>
        <v/>
      </c>
      <c r="N2815" s="15">
        <f>IF(OR(G2815="",L2815&lt;&gt;"Да"),"",IF(G2815&lt;=100,33600,IF(G2815&lt;=200,62400,IF(G2815&lt;=500,144000,""))))</f>
        <v/>
      </c>
      <c r="O2815" s="16">
        <f>IF(G2815="","",IF(G2815&lt;=15,"1–15",IF(G2815&lt;=30,"16–30",IF(G2815&lt;=50,"31–50",IF(G2815&lt;=100,"51–100",IF(G2815&lt;=150,"101–150",IF(G2815&lt;=200,"151–200",IF(G2815&lt;=500,"201–500","500+"))))))))</f>
        <v/>
      </c>
      <c r="P2815" s="16" t="inlineStr">
        <is>
          <t>Нет совпадения в предоставленной выгрузке ССЧР</t>
        </is>
      </c>
      <c r="Q2815" s="16" t="n"/>
      <c r="R2815" s="16">
        <f>HYPERLINK("https://checko.ru/search?query=3801001629","Чекко: проверить")</f>
        <v/>
      </c>
      <c r="S2815" t="n">
        <v>0</v>
      </c>
    </row>
    <row r="2816" ht="27.75" customHeight="1" s="24">
      <c r="A2816" s="13" t="n">
        <v>5000094421</v>
      </c>
      <c r="B2816" s="13" t="inlineStr">
        <is>
          <t>Местная администрация с.п. Крем-Константиновское</t>
        </is>
      </c>
      <c r="C2816" s="13" t="n">
        <v>701004613</v>
      </c>
      <c r="D2816" s="13" t="n"/>
      <c r="E2816" s="13" t="inlineStr">
        <is>
          <t>Не определён</t>
        </is>
      </c>
      <c r="F2816" s="13" t="inlineStr">
        <is>
          <t>701004613</t>
        </is>
      </c>
      <c r="G2816" s="14" t="n"/>
      <c r="H2816" s="14" t="n"/>
      <c r="I2816" s="14" t="n"/>
      <c r="J2816" s="14" t="n"/>
      <c r="K2816" s="13">
        <f>IF(G2816="","",IF(G2816&gt;=22,"Да","Нет"))</f>
        <v/>
      </c>
      <c r="L2816" s="13">
        <f>IF(OR(I2816="",J2816=""),"Не определено",IF(OR(COUNTIF(I2816,"45*")&gt;0,COUNTIF(J2816,"*45*")&gt;0,COUNTIF(I2816,"46*")&gt;0,COUNTIF(J2816,"*46*")&gt;0,COUNTIF(I2816,"47*")&gt;0,COUNTIF(J2816,"*47*")&gt;0,COUNTIF(I2816,"10*")&gt;0,COUNTIF(J2816,"*10*")&gt;0,COUNTIF(I2816,"11*")&gt;0,COUNTIF(J2816,"*11*")&gt;0,COUNTIF(I2816,"12*")&gt;0,COUNTIF(J2816,"*12*")&gt;0,COUNTIF(I2816,"13*")&gt;0,COUNTIF(J2816,"*13*")&gt;0,COUNTIF(I2816,"14*")&gt;0,COUNTIF(J2816,"*14*")&gt;0,COUNTIF(I2816,"15*")&gt;0,COUNTIF(J2816,"*15*")&gt;0,COUNTIF(I2816,"16*")&gt;0,COUNTIF(J2816,"*16*")&gt;0,COUNTIF(I2816,"17*")&gt;0,COUNTIF(J2816,"*17*")&gt;0,COUNTIF(I2816,"18*")&gt;0,COUNTIF(J2816,"*18*")&gt;0,COUNTIF(I2816,"19*")&gt;0,COUNTIF(J2816,"*19*")&gt;0,COUNTIF(I2816,"20*")&gt;0,COUNTIF(J2816,"*20*")&gt;0,COUNTIF(I2816,"21*")&gt;0,COUNTIF(J2816,"*21*")&gt;0,COUNTIF(I2816,"22*")&gt;0,COUNTIF(J2816,"*22*")&gt;0,COUNTIF(I2816,"23*")&gt;0,COUNTIF(J2816,"*23*")&gt;0,COUNTIF(I2816,"24*")&gt;0,COUNTIF(J2816,"*24*")&gt;0,COUNTIF(I2816,"25*")&gt;0,COUNTIF(J2816,"*25*")&gt;0,COUNTIF(I2816,"26*")&gt;0,COUNTIF(J2816,"*26*")&gt;0,COUNTIF(I2816,"27*")&gt;0,COUNTIF(J2816,"*27*")&gt;0,COUNTIF(I2816,"28*")&gt;0,COUNTIF(J2816,"*28*")&gt;0,COUNTIF(I2816,"29*")&gt;0,COUNTIF(J2816,"*29*")&gt;0,COUNTIF(I2816,"30*")&gt;0,COUNTIF(J2816,"*30*")&gt;0,COUNTIF(I2816,"31*")&gt;0,COUNTIF(J2816,"*31*")&gt;0,COUNTIF(I2816,"32*")&gt;0,COUNTIF(J2816,"*32*")&gt;0,COUNTIF(I2816,"33*")&gt;0,COUNTIF(J2816,"*33*")&gt;0,COUNTIF(I2816,"41*")&gt;0,COUNTIF(J2816,"*41*")&gt;0,COUNTIF(I2816,"42*")&gt;0,COUNTIF(J2816,"*42*")&gt;0,COUNTIF(I2816,"43*")&gt;0,COUNTIF(J2816,"*43*")&gt;0,COUNTIF(I2816,"49*")&gt;0,COUNTIF(J2816,"*49*")&gt;0,COUNTIF(I2816,"52*")&gt;0,COUNTIF(J2816,"*52*")&gt;0,COUNTIF(I2816,"55*")&gt;0,COUNTIF(J2816,"*55*")&gt;0,COUNTIF(I2816,"56*")&gt;0,COUNTIF(J2816,"*56*")&gt;0,COUNTIF(I2816,"68*")&gt;0,COUNTIF(J2816,"*68*")&gt;0,COUNTIF(I2816,"78*")&gt;0,COUNTIF(J2816,"*78*")&gt;0,COUNTIF(I2816,"81*")&gt;0,COUNTIF(J2816,"*81*")&gt;0,COUNTIF(I2816,"82*")&gt;0,COUNTIF(J2816,"*82*")&gt;0,COUNTIF(I2816,"64*")&gt;0,COUNTIF(J2816,"*64*")&gt;0,COUNTIF(I2816,"65*")&gt;0,COUNTIF(J2816,"*65*")&gt;0,COUNTIF(I2816,"66*")&gt;0,COUNTIF(J2816,"*66*")&gt;0,COUNTIF(I2816,"61*")&gt;0,COUNTIF(J2816,"*61*")&gt;0,COUNTIF(I2816,"62*")&gt;0,COUNTIF(J2816,"*62*")&gt;0,COUNTIF(I2816,"63*")&gt;0,COUNTIF(J2816,"*63*")&gt;0,COUNTIF(I2816,"85*")&gt;0,COUNTIF(J2816,"*85*")&gt;0,COUNTIF(I2816,"86*")&gt;0,COUNTIF(J2816,"*86*")&gt;0),"Да","Нет"))</f>
        <v/>
      </c>
      <c r="M2816" s="13">
        <f>IF(OR(G2816="",L2816&lt;&gt;"Да"),"",IF(G2816&lt;=100,"До 100",IF(G2816&lt;=200,"До 200",IF(G2816&lt;=500,"До 500","Отдельное КП"))))</f>
        <v/>
      </c>
      <c r="N2816" s="15">
        <f>IF(OR(G2816="",L2816&lt;&gt;"Да"),"",IF(G2816&lt;=100,33600,IF(G2816&lt;=200,62400,IF(G2816&lt;=500,144000,""))))</f>
        <v/>
      </c>
      <c r="O2816" s="16">
        <f>IF(G2816="","",IF(G2816&lt;=15,"1–15",IF(G2816&lt;=30,"16–30",IF(G2816&lt;=50,"31–50",IF(G2816&lt;=100,"51–100",IF(G2816&lt;=150,"101–150",IF(G2816&lt;=200,"151–200",IF(G2816&lt;=500,"201–500","500+"))))))))</f>
        <v/>
      </c>
      <c r="P2816" s="16" t="inlineStr">
        <is>
          <t>Нет совпадения в предоставленной выгрузке ССЧР</t>
        </is>
      </c>
      <c r="Q2816" s="16" t="n"/>
      <c r="R2816" s="16">
        <f>HYPERLINK("https://checko.ru/search?query=3801001629","Чекко: проверить")</f>
        <v/>
      </c>
      <c r="S2816" t="n">
        <v>0</v>
      </c>
    </row>
    <row r="2817" ht="15" customHeight="1" s="24">
      <c r="A2817" s="13" t="n">
        <v>5000095275</v>
      </c>
      <c r="B2817" s="13" t="inlineStr">
        <is>
          <t>ГКУ КБР "СШОР №3"</t>
        </is>
      </c>
      <c r="C2817" s="13" t="n">
        <v>726005143</v>
      </c>
      <c r="D2817" s="13" t="n"/>
      <c r="E2817" s="13" t="inlineStr">
        <is>
          <t>Не определён</t>
        </is>
      </c>
      <c r="F2817" s="13" t="inlineStr">
        <is>
          <t>726005143</t>
        </is>
      </c>
      <c r="G2817" s="14" t="n"/>
      <c r="H2817" s="14" t="n"/>
      <c r="I2817" s="14" t="n"/>
      <c r="J2817" s="14" t="n"/>
      <c r="K2817" s="13">
        <f>IF(G2817="","",IF(G2817&gt;=22,"Да","Нет"))</f>
        <v/>
      </c>
      <c r="L2817" s="13">
        <f>IF(OR(I2817="",J2817=""),"Не определено",IF(OR(COUNTIF(I2817,"45*")&gt;0,COUNTIF(J2817,"*45*")&gt;0,COUNTIF(I2817,"46*")&gt;0,COUNTIF(J2817,"*46*")&gt;0,COUNTIF(I2817,"47*")&gt;0,COUNTIF(J2817,"*47*")&gt;0,COUNTIF(I2817,"10*")&gt;0,COUNTIF(J2817,"*10*")&gt;0,COUNTIF(I2817,"11*")&gt;0,COUNTIF(J2817,"*11*")&gt;0,COUNTIF(I2817,"12*")&gt;0,COUNTIF(J2817,"*12*")&gt;0,COUNTIF(I2817,"13*")&gt;0,COUNTIF(J2817,"*13*")&gt;0,COUNTIF(I2817,"14*")&gt;0,COUNTIF(J2817,"*14*")&gt;0,COUNTIF(I2817,"15*")&gt;0,COUNTIF(J2817,"*15*")&gt;0,COUNTIF(I2817,"16*")&gt;0,COUNTIF(J2817,"*16*")&gt;0,COUNTIF(I2817,"17*")&gt;0,COUNTIF(J2817,"*17*")&gt;0,COUNTIF(I2817,"18*")&gt;0,COUNTIF(J2817,"*18*")&gt;0,COUNTIF(I2817,"19*")&gt;0,COUNTIF(J2817,"*19*")&gt;0,COUNTIF(I2817,"20*")&gt;0,COUNTIF(J2817,"*20*")&gt;0,COUNTIF(I2817,"21*")&gt;0,COUNTIF(J2817,"*21*")&gt;0,COUNTIF(I2817,"22*")&gt;0,COUNTIF(J2817,"*22*")&gt;0,COUNTIF(I2817,"23*")&gt;0,COUNTIF(J2817,"*23*")&gt;0,COUNTIF(I2817,"24*")&gt;0,COUNTIF(J2817,"*24*")&gt;0,COUNTIF(I2817,"25*")&gt;0,COUNTIF(J2817,"*25*")&gt;0,COUNTIF(I2817,"26*")&gt;0,COUNTIF(J2817,"*26*")&gt;0,COUNTIF(I2817,"27*")&gt;0,COUNTIF(J2817,"*27*")&gt;0,COUNTIF(I2817,"28*")&gt;0,COUNTIF(J2817,"*28*")&gt;0,COUNTIF(I2817,"29*")&gt;0,COUNTIF(J2817,"*29*")&gt;0,COUNTIF(I2817,"30*")&gt;0,COUNTIF(J2817,"*30*")&gt;0,COUNTIF(I2817,"31*")&gt;0,COUNTIF(J2817,"*31*")&gt;0,COUNTIF(I2817,"32*")&gt;0,COUNTIF(J2817,"*32*")&gt;0,COUNTIF(I2817,"33*")&gt;0,COUNTIF(J2817,"*33*")&gt;0,COUNTIF(I2817,"41*")&gt;0,COUNTIF(J2817,"*41*")&gt;0,COUNTIF(I2817,"42*")&gt;0,COUNTIF(J2817,"*42*")&gt;0,COUNTIF(I2817,"43*")&gt;0,COUNTIF(J2817,"*43*")&gt;0,COUNTIF(I2817,"49*")&gt;0,COUNTIF(J2817,"*49*")&gt;0,COUNTIF(I2817,"52*")&gt;0,COUNTIF(J2817,"*52*")&gt;0,COUNTIF(I2817,"55*")&gt;0,COUNTIF(J2817,"*55*")&gt;0,COUNTIF(I2817,"56*")&gt;0,COUNTIF(J2817,"*56*")&gt;0,COUNTIF(I2817,"68*")&gt;0,COUNTIF(J2817,"*68*")&gt;0,COUNTIF(I2817,"78*")&gt;0,COUNTIF(J2817,"*78*")&gt;0,COUNTIF(I2817,"81*")&gt;0,COUNTIF(J2817,"*81*")&gt;0,COUNTIF(I2817,"82*")&gt;0,COUNTIF(J2817,"*82*")&gt;0,COUNTIF(I2817,"64*")&gt;0,COUNTIF(J2817,"*64*")&gt;0,COUNTIF(I2817,"65*")&gt;0,COUNTIF(J2817,"*65*")&gt;0,COUNTIF(I2817,"66*")&gt;0,COUNTIF(J2817,"*66*")&gt;0,COUNTIF(I2817,"61*")&gt;0,COUNTIF(J2817,"*61*")&gt;0,COUNTIF(I2817,"62*")&gt;0,COUNTIF(J2817,"*62*")&gt;0,COUNTIF(I2817,"63*")&gt;0,COUNTIF(J2817,"*63*")&gt;0,COUNTIF(I2817,"85*")&gt;0,COUNTIF(J2817,"*85*")&gt;0,COUNTIF(I2817,"86*")&gt;0,COUNTIF(J2817,"*86*")&gt;0),"Да","Нет"))</f>
        <v/>
      </c>
      <c r="M2817" s="13">
        <f>IF(OR(G2817="",L2817&lt;&gt;"Да"),"",IF(G2817&lt;=100,"До 100",IF(G2817&lt;=200,"До 200",IF(G2817&lt;=500,"До 500","Отдельное КП"))))</f>
        <v/>
      </c>
      <c r="N2817" s="15">
        <f>IF(OR(G2817="",L2817&lt;&gt;"Да"),"",IF(G2817&lt;=100,33600,IF(G2817&lt;=200,62400,IF(G2817&lt;=500,144000,""))))</f>
        <v/>
      </c>
      <c r="O2817" s="16">
        <f>IF(G2817="","",IF(G2817&lt;=15,"1–15",IF(G2817&lt;=30,"16–30",IF(G2817&lt;=50,"31–50",IF(G2817&lt;=100,"51–100",IF(G2817&lt;=150,"101–150",IF(G2817&lt;=200,"151–200",IF(G2817&lt;=500,"201–500","500+"))))))))</f>
        <v/>
      </c>
      <c r="P2817" s="16" t="inlineStr">
        <is>
          <t>Нет совпадения в предоставленной выгрузке ССЧР</t>
        </is>
      </c>
      <c r="Q2817" s="16" t="n"/>
      <c r="R2817" s="16">
        <f>HYPERLINK("https://checko.ru/search?query=3801001629","Чекко: проверить")</f>
        <v/>
      </c>
      <c r="S2817" t="n">
        <v>0</v>
      </c>
    </row>
    <row r="2818" ht="27.75" customHeight="1" s="24">
      <c r="A2818" s="13" t="n">
        <v>5000095278</v>
      </c>
      <c r="B2818" s="13" t="inlineStr">
        <is>
          <t>ГБОУ "ДАТ "Солнечный город" Минпросвещения КБР</t>
        </is>
      </c>
      <c r="C2818" s="13" t="n">
        <v>726015007</v>
      </c>
      <c r="D2818" s="13" t="n"/>
      <c r="E2818" s="13" t="inlineStr">
        <is>
          <t>Не определён</t>
        </is>
      </c>
      <c r="F2818" s="13" t="inlineStr">
        <is>
          <t>726015007</t>
        </is>
      </c>
      <c r="G2818" s="14" t="n"/>
      <c r="H2818" s="14" t="n"/>
      <c r="I2818" s="14" t="n"/>
      <c r="J2818" s="14" t="n"/>
      <c r="K2818" s="13">
        <f>IF(G2818="","",IF(G2818&gt;=22,"Да","Нет"))</f>
        <v/>
      </c>
      <c r="L2818" s="13">
        <f>IF(OR(I2818="",J2818=""),"Не определено",IF(OR(COUNTIF(I2818,"45*")&gt;0,COUNTIF(J2818,"*45*")&gt;0,COUNTIF(I2818,"46*")&gt;0,COUNTIF(J2818,"*46*")&gt;0,COUNTIF(I2818,"47*")&gt;0,COUNTIF(J2818,"*47*")&gt;0,COUNTIF(I2818,"10*")&gt;0,COUNTIF(J2818,"*10*")&gt;0,COUNTIF(I2818,"11*")&gt;0,COUNTIF(J2818,"*11*")&gt;0,COUNTIF(I2818,"12*")&gt;0,COUNTIF(J2818,"*12*")&gt;0,COUNTIF(I2818,"13*")&gt;0,COUNTIF(J2818,"*13*")&gt;0,COUNTIF(I2818,"14*")&gt;0,COUNTIF(J2818,"*14*")&gt;0,COUNTIF(I2818,"15*")&gt;0,COUNTIF(J2818,"*15*")&gt;0,COUNTIF(I2818,"16*")&gt;0,COUNTIF(J2818,"*16*")&gt;0,COUNTIF(I2818,"17*")&gt;0,COUNTIF(J2818,"*17*")&gt;0,COUNTIF(I2818,"18*")&gt;0,COUNTIF(J2818,"*18*")&gt;0,COUNTIF(I2818,"19*")&gt;0,COUNTIF(J2818,"*19*")&gt;0,COUNTIF(I2818,"20*")&gt;0,COUNTIF(J2818,"*20*")&gt;0,COUNTIF(I2818,"21*")&gt;0,COUNTIF(J2818,"*21*")&gt;0,COUNTIF(I2818,"22*")&gt;0,COUNTIF(J2818,"*22*")&gt;0,COUNTIF(I2818,"23*")&gt;0,COUNTIF(J2818,"*23*")&gt;0,COUNTIF(I2818,"24*")&gt;0,COUNTIF(J2818,"*24*")&gt;0,COUNTIF(I2818,"25*")&gt;0,COUNTIF(J2818,"*25*")&gt;0,COUNTIF(I2818,"26*")&gt;0,COUNTIF(J2818,"*26*")&gt;0,COUNTIF(I2818,"27*")&gt;0,COUNTIF(J2818,"*27*")&gt;0,COUNTIF(I2818,"28*")&gt;0,COUNTIF(J2818,"*28*")&gt;0,COUNTIF(I2818,"29*")&gt;0,COUNTIF(J2818,"*29*")&gt;0,COUNTIF(I2818,"30*")&gt;0,COUNTIF(J2818,"*30*")&gt;0,COUNTIF(I2818,"31*")&gt;0,COUNTIF(J2818,"*31*")&gt;0,COUNTIF(I2818,"32*")&gt;0,COUNTIF(J2818,"*32*")&gt;0,COUNTIF(I2818,"33*")&gt;0,COUNTIF(J2818,"*33*")&gt;0,COUNTIF(I2818,"41*")&gt;0,COUNTIF(J2818,"*41*")&gt;0,COUNTIF(I2818,"42*")&gt;0,COUNTIF(J2818,"*42*")&gt;0,COUNTIF(I2818,"43*")&gt;0,COUNTIF(J2818,"*43*")&gt;0,COUNTIF(I2818,"49*")&gt;0,COUNTIF(J2818,"*49*")&gt;0,COUNTIF(I2818,"52*")&gt;0,COUNTIF(J2818,"*52*")&gt;0,COUNTIF(I2818,"55*")&gt;0,COUNTIF(J2818,"*55*")&gt;0,COUNTIF(I2818,"56*")&gt;0,COUNTIF(J2818,"*56*")&gt;0,COUNTIF(I2818,"68*")&gt;0,COUNTIF(J2818,"*68*")&gt;0,COUNTIF(I2818,"78*")&gt;0,COUNTIF(J2818,"*78*")&gt;0,COUNTIF(I2818,"81*")&gt;0,COUNTIF(J2818,"*81*")&gt;0,COUNTIF(I2818,"82*")&gt;0,COUNTIF(J2818,"*82*")&gt;0,COUNTIF(I2818,"64*")&gt;0,COUNTIF(J2818,"*64*")&gt;0,COUNTIF(I2818,"65*")&gt;0,COUNTIF(J2818,"*65*")&gt;0,COUNTIF(I2818,"66*")&gt;0,COUNTIF(J2818,"*66*")&gt;0,COUNTIF(I2818,"61*")&gt;0,COUNTIF(J2818,"*61*")&gt;0,COUNTIF(I2818,"62*")&gt;0,COUNTIF(J2818,"*62*")&gt;0,COUNTIF(I2818,"63*")&gt;0,COUNTIF(J2818,"*63*")&gt;0,COUNTIF(I2818,"85*")&gt;0,COUNTIF(J2818,"*85*")&gt;0,COUNTIF(I2818,"86*")&gt;0,COUNTIF(J2818,"*86*")&gt;0),"Да","Нет"))</f>
        <v/>
      </c>
      <c r="M2818" s="13">
        <f>IF(OR(G2818="",L2818&lt;&gt;"Да"),"",IF(G2818&lt;=100,"До 100",IF(G2818&lt;=200,"До 200",IF(G2818&lt;=500,"До 500","Отдельное КП"))))</f>
        <v/>
      </c>
      <c r="N2818" s="15">
        <f>IF(OR(G2818="",L2818&lt;&gt;"Да"),"",IF(G2818&lt;=100,33600,IF(G2818&lt;=200,62400,IF(G2818&lt;=500,144000,""))))</f>
        <v/>
      </c>
      <c r="O2818" s="16">
        <f>IF(G2818="","",IF(G2818&lt;=15,"1–15",IF(G2818&lt;=30,"16–30",IF(G2818&lt;=50,"31–50",IF(G2818&lt;=100,"51–100",IF(G2818&lt;=150,"101–150",IF(G2818&lt;=200,"151–200",IF(G2818&lt;=500,"201–500","500+"))))))))</f>
        <v/>
      </c>
      <c r="P2818" s="16" t="inlineStr">
        <is>
          <t>Нет совпадения в предоставленной выгрузке ССЧР</t>
        </is>
      </c>
      <c r="Q2818" s="16" t="n"/>
      <c r="R2818" s="16">
        <f>HYPERLINK("https://checko.ru/search?query=3801001629","Чекко: проверить")</f>
        <v/>
      </c>
      <c r="S2818" t="n">
        <v>0</v>
      </c>
    </row>
    <row r="2819" ht="15" customHeight="1" s="24">
      <c r="A2819" s="13" t="n">
        <v>5000095279</v>
      </c>
      <c r="B2819" s="13" t="inlineStr">
        <is>
          <t>ГБУЗ "Городская поликлиника №2" г.о. Нальчик</t>
        </is>
      </c>
      <c r="C2819" s="13" t="n">
        <v>726015984</v>
      </c>
      <c r="D2819" s="13" t="n"/>
      <c r="E2819" s="13" t="inlineStr">
        <is>
          <t>Не определён</t>
        </is>
      </c>
      <c r="F2819" s="13" t="inlineStr">
        <is>
          <t>726015984</t>
        </is>
      </c>
      <c r="G2819" s="14" t="n"/>
      <c r="H2819" s="14" t="n"/>
      <c r="I2819" s="14" t="n"/>
      <c r="J2819" s="14" t="n"/>
      <c r="K2819" s="13">
        <f>IF(G2819="","",IF(G2819&gt;=22,"Да","Нет"))</f>
        <v/>
      </c>
      <c r="L2819" s="13">
        <f>IF(OR(I2819="",J2819=""),"Не определено",IF(OR(COUNTIF(I2819,"45*")&gt;0,COUNTIF(J2819,"*45*")&gt;0,COUNTIF(I2819,"46*")&gt;0,COUNTIF(J2819,"*46*")&gt;0,COUNTIF(I2819,"47*")&gt;0,COUNTIF(J2819,"*47*")&gt;0,COUNTIF(I2819,"10*")&gt;0,COUNTIF(J2819,"*10*")&gt;0,COUNTIF(I2819,"11*")&gt;0,COUNTIF(J2819,"*11*")&gt;0,COUNTIF(I2819,"12*")&gt;0,COUNTIF(J2819,"*12*")&gt;0,COUNTIF(I2819,"13*")&gt;0,COUNTIF(J2819,"*13*")&gt;0,COUNTIF(I2819,"14*")&gt;0,COUNTIF(J2819,"*14*")&gt;0,COUNTIF(I2819,"15*")&gt;0,COUNTIF(J2819,"*15*")&gt;0,COUNTIF(I2819,"16*")&gt;0,COUNTIF(J2819,"*16*")&gt;0,COUNTIF(I2819,"17*")&gt;0,COUNTIF(J2819,"*17*")&gt;0,COUNTIF(I2819,"18*")&gt;0,COUNTIF(J2819,"*18*")&gt;0,COUNTIF(I2819,"19*")&gt;0,COUNTIF(J2819,"*19*")&gt;0,COUNTIF(I2819,"20*")&gt;0,COUNTIF(J2819,"*20*")&gt;0,COUNTIF(I2819,"21*")&gt;0,COUNTIF(J2819,"*21*")&gt;0,COUNTIF(I2819,"22*")&gt;0,COUNTIF(J2819,"*22*")&gt;0,COUNTIF(I2819,"23*")&gt;0,COUNTIF(J2819,"*23*")&gt;0,COUNTIF(I2819,"24*")&gt;0,COUNTIF(J2819,"*24*")&gt;0,COUNTIF(I2819,"25*")&gt;0,COUNTIF(J2819,"*25*")&gt;0,COUNTIF(I2819,"26*")&gt;0,COUNTIF(J2819,"*26*")&gt;0,COUNTIF(I2819,"27*")&gt;0,COUNTIF(J2819,"*27*")&gt;0,COUNTIF(I2819,"28*")&gt;0,COUNTIF(J2819,"*28*")&gt;0,COUNTIF(I2819,"29*")&gt;0,COUNTIF(J2819,"*29*")&gt;0,COUNTIF(I2819,"30*")&gt;0,COUNTIF(J2819,"*30*")&gt;0,COUNTIF(I2819,"31*")&gt;0,COUNTIF(J2819,"*31*")&gt;0,COUNTIF(I2819,"32*")&gt;0,COUNTIF(J2819,"*32*")&gt;0,COUNTIF(I2819,"33*")&gt;0,COUNTIF(J2819,"*33*")&gt;0,COUNTIF(I2819,"41*")&gt;0,COUNTIF(J2819,"*41*")&gt;0,COUNTIF(I2819,"42*")&gt;0,COUNTIF(J2819,"*42*")&gt;0,COUNTIF(I2819,"43*")&gt;0,COUNTIF(J2819,"*43*")&gt;0,COUNTIF(I2819,"49*")&gt;0,COUNTIF(J2819,"*49*")&gt;0,COUNTIF(I2819,"52*")&gt;0,COUNTIF(J2819,"*52*")&gt;0,COUNTIF(I2819,"55*")&gt;0,COUNTIF(J2819,"*55*")&gt;0,COUNTIF(I2819,"56*")&gt;0,COUNTIF(J2819,"*56*")&gt;0,COUNTIF(I2819,"68*")&gt;0,COUNTIF(J2819,"*68*")&gt;0,COUNTIF(I2819,"78*")&gt;0,COUNTIF(J2819,"*78*")&gt;0,COUNTIF(I2819,"81*")&gt;0,COUNTIF(J2819,"*81*")&gt;0,COUNTIF(I2819,"82*")&gt;0,COUNTIF(J2819,"*82*")&gt;0,COUNTIF(I2819,"64*")&gt;0,COUNTIF(J2819,"*64*")&gt;0,COUNTIF(I2819,"65*")&gt;0,COUNTIF(J2819,"*65*")&gt;0,COUNTIF(I2819,"66*")&gt;0,COUNTIF(J2819,"*66*")&gt;0,COUNTIF(I2819,"61*")&gt;0,COUNTIF(J2819,"*61*")&gt;0,COUNTIF(I2819,"62*")&gt;0,COUNTIF(J2819,"*62*")&gt;0,COUNTIF(I2819,"63*")&gt;0,COUNTIF(J2819,"*63*")&gt;0,COUNTIF(I2819,"85*")&gt;0,COUNTIF(J2819,"*85*")&gt;0,COUNTIF(I2819,"86*")&gt;0,COUNTIF(J2819,"*86*")&gt;0),"Да","Нет"))</f>
        <v/>
      </c>
      <c r="M2819" s="13">
        <f>IF(OR(G2819="",L2819&lt;&gt;"Да"),"",IF(G2819&lt;=100,"До 100",IF(G2819&lt;=200,"До 200",IF(G2819&lt;=500,"До 500","Отдельное КП"))))</f>
        <v/>
      </c>
      <c r="N2819" s="15">
        <f>IF(OR(G2819="",L2819&lt;&gt;"Да"),"",IF(G2819&lt;=100,33600,IF(G2819&lt;=200,62400,IF(G2819&lt;=500,144000,""))))</f>
        <v/>
      </c>
      <c r="O2819" s="16">
        <f>IF(G2819="","",IF(G2819&lt;=15,"1–15",IF(G2819&lt;=30,"16–30",IF(G2819&lt;=50,"31–50",IF(G2819&lt;=100,"51–100",IF(G2819&lt;=150,"101–150",IF(G2819&lt;=200,"151–200",IF(G2819&lt;=500,"201–500","500+"))))))))</f>
        <v/>
      </c>
      <c r="P2819" s="16" t="inlineStr">
        <is>
          <t>Нет совпадения в предоставленной выгрузке ССЧР</t>
        </is>
      </c>
      <c r="Q2819" s="16" t="n"/>
      <c r="R2819" s="16">
        <f>HYPERLINK("https://checko.ru/search?query=3801001629","Чекко: проверить")</f>
        <v/>
      </c>
      <c r="S2819" t="n">
        <v>0</v>
      </c>
    </row>
    <row r="2820" ht="15" customHeight="1" s="24">
      <c r="A2820" s="13" t="n">
        <v>5000095280</v>
      </c>
      <c r="B2820" s="13" t="inlineStr">
        <is>
          <t>ГБУ "ГКО"</t>
        </is>
      </c>
      <c r="C2820" s="13" t="n">
        <v>726017822</v>
      </c>
      <c r="D2820" s="13" t="n"/>
      <c r="E2820" s="13" t="inlineStr">
        <is>
          <t>Не определён</t>
        </is>
      </c>
      <c r="F2820" s="13" t="inlineStr">
        <is>
          <t>726017822</t>
        </is>
      </c>
      <c r="G2820" s="14" t="n"/>
      <c r="H2820" s="14" t="n"/>
      <c r="I2820" s="14" t="n"/>
      <c r="J2820" s="14" t="n"/>
      <c r="K2820" s="13">
        <f>IF(G2820="","",IF(G2820&gt;=22,"Да","Нет"))</f>
        <v/>
      </c>
      <c r="L2820" s="13">
        <f>IF(OR(I2820="",J2820=""),"Не определено",IF(OR(COUNTIF(I2820,"45*")&gt;0,COUNTIF(J2820,"*45*")&gt;0,COUNTIF(I2820,"46*")&gt;0,COUNTIF(J2820,"*46*")&gt;0,COUNTIF(I2820,"47*")&gt;0,COUNTIF(J2820,"*47*")&gt;0,COUNTIF(I2820,"10*")&gt;0,COUNTIF(J2820,"*10*")&gt;0,COUNTIF(I2820,"11*")&gt;0,COUNTIF(J2820,"*11*")&gt;0,COUNTIF(I2820,"12*")&gt;0,COUNTIF(J2820,"*12*")&gt;0,COUNTIF(I2820,"13*")&gt;0,COUNTIF(J2820,"*13*")&gt;0,COUNTIF(I2820,"14*")&gt;0,COUNTIF(J2820,"*14*")&gt;0,COUNTIF(I2820,"15*")&gt;0,COUNTIF(J2820,"*15*")&gt;0,COUNTIF(I2820,"16*")&gt;0,COUNTIF(J2820,"*16*")&gt;0,COUNTIF(I2820,"17*")&gt;0,COUNTIF(J2820,"*17*")&gt;0,COUNTIF(I2820,"18*")&gt;0,COUNTIF(J2820,"*18*")&gt;0,COUNTIF(I2820,"19*")&gt;0,COUNTIF(J2820,"*19*")&gt;0,COUNTIF(I2820,"20*")&gt;0,COUNTIF(J2820,"*20*")&gt;0,COUNTIF(I2820,"21*")&gt;0,COUNTIF(J2820,"*21*")&gt;0,COUNTIF(I2820,"22*")&gt;0,COUNTIF(J2820,"*22*")&gt;0,COUNTIF(I2820,"23*")&gt;0,COUNTIF(J2820,"*23*")&gt;0,COUNTIF(I2820,"24*")&gt;0,COUNTIF(J2820,"*24*")&gt;0,COUNTIF(I2820,"25*")&gt;0,COUNTIF(J2820,"*25*")&gt;0,COUNTIF(I2820,"26*")&gt;0,COUNTIF(J2820,"*26*")&gt;0,COUNTIF(I2820,"27*")&gt;0,COUNTIF(J2820,"*27*")&gt;0,COUNTIF(I2820,"28*")&gt;0,COUNTIF(J2820,"*28*")&gt;0,COUNTIF(I2820,"29*")&gt;0,COUNTIF(J2820,"*29*")&gt;0,COUNTIF(I2820,"30*")&gt;0,COUNTIF(J2820,"*30*")&gt;0,COUNTIF(I2820,"31*")&gt;0,COUNTIF(J2820,"*31*")&gt;0,COUNTIF(I2820,"32*")&gt;0,COUNTIF(J2820,"*32*")&gt;0,COUNTIF(I2820,"33*")&gt;0,COUNTIF(J2820,"*33*")&gt;0,COUNTIF(I2820,"41*")&gt;0,COUNTIF(J2820,"*41*")&gt;0,COUNTIF(I2820,"42*")&gt;0,COUNTIF(J2820,"*42*")&gt;0,COUNTIF(I2820,"43*")&gt;0,COUNTIF(J2820,"*43*")&gt;0,COUNTIF(I2820,"49*")&gt;0,COUNTIF(J2820,"*49*")&gt;0,COUNTIF(I2820,"52*")&gt;0,COUNTIF(J2820,"*52*")&gt;0,COUNTIF(I2820,"55*")&gt;0,COUNTIF(J2820,"*55*")&gt;0,COUNTIF(I2820,"56*")&gt;0,COUNTIF(J2820,"*56*")&gt;0,COUNTIF(I2820,"68*")&gt;0,COUNTIF(J2820,"*68*")&gt;0,COUNTIF(I2820,"78*")&gt;0,COUNTIF(J2820,"*78*")&gt;0,COUNTIF(I2820,"81*")&gt;0,COUNTIF(J2820,"*81*")&gt;0,COUNTIF(I2820,"82*")&gt;0,COUNTIF(J2820,"*82*")&gt;0,COUNTIF(I2820,"64*")&gt;0,COUNTIF(J2820,"*64*")&gt;0,COUNTIF(I2820,"65*")&gt;0,COUNTIF(J2820,"*65*")&gt;0,COUNTIF(I2820,"66*")&gt;0,COUNTIF(J2820,"*66*")&gt;0,COUNTIF(I2820,"61*")&gt;0,COUNTIF(J2820,"*61*")&gt;0,COUNTIF(I2820,"62*")&gt;0,COUNTIF(J2820,"*62*")&gt;0,COUNTIF(I2820,"63*")&gt;0,COUNTIF(J2820,"*63*")&gt;0,COUNTIF(I2820,"85*")&gt;0,COUNTIF(J2820,"*85*")&gt;0,COUNTIF(I2820,"86*")&gt;0,COUNTIF(J2820,"*86*")&gt;0),"Да","Нет"))</f>
        <v/>
      </c>
      <c r="M2820" s="13">
        <f>IF(OR(G2820="",L2820&lt;&gt;"Да"),"",IF(G2820&lt;=100,"До 100",IF(G2820&lt;=200,"До 200",IF(G2820&lt;=500,"До 500","Отдельное КП"))))</f>
        <v/>
      </c>
      <c r="N2820" s="15">
        <f>IF(OR(G2820="",L2820&lt;&gt;"Да"),"",IF(G2820&lt;=100,33600,IF(G2820&lt;=200,62400,IF(G2820&lt;=500,144000,""))))</f>
        <v/>
      </c>
      <c r="O2820" s="16">
        <f>IF(G2820="","",IF(G2820&lt;=15,"1–15",IF(G2820&lt;=30,"16–30",IF(G2820&lt;=50,"31–50",IF(G2820&lt;=100,"51–100",IF(G2820&lt;=150,"101–150",IF(G2820&lt;=200,"151–200",IF(G2820&lt;=500,"201–500","500+"))))))))</f>
        <v/>
      </c>
      <c r="P2820" s="16" t="inlineStr">
        <is>
          <t>Нет совпадения в предоставленной выгрузке ССЧР</t>
        </is>
      </c>
      <c r="Q2820" s="16" t="n"/>
      <c r="R2820" s="16">
        <f>HYPERLINK("https://checko.ru/search?query=3801001629","Чекко: проверить")</f>
        <v/>
      </c>
      <c r="S2820" t="n">
        <v>0</v>
      </c>
    </row>
    <row r="2821" ht="15" customHeight="1" s="24">
      <c r="A2821" s="13" t="n">
        <v>5000095281</v>
      </c>
      <c r="B2821" s="13" t="inlineStr">
        <is>
          <t>МКДОУ "ДС №38"</t>
        </is>
      </c>
      <c r="C2821" s="13" t="n">
        <v>726023745</v>
      </c>
      <c r="D2821" s="13" t="n"/>
      <c r="E2821" s="13" t="inlineStr">
        <is>
          <t>Не определён</t>
        </is>
      </c>
      <c r="F2821" s="13" t="inlineStr">
        <is>
          <t>726023745</t>
        </is>
      </c>
      <c r="G2821" s="14" t="n"/>
      <c r="H2821" s="14" t="n"/>
      <c r="I2821" s="14" t="n"/>
      <c r="J2821" s="14" t="n"/>
      <c r="K2821" s="13">
        <f>IF(G2821="","",IF(G2821&gt;=22,"Да","Нет"))</f>
        <v/>
      </c>
      <c r="L2821" s="13">
        <f>IF(OR(I2821="",J2821=""),"Не определено",IF(OR(COUNTIF(I2821,"45*")&gt;0,COUNTIF(J2821,"*45*")&gt;0,COUNTIF(I2821,"46*")&gt;0,COUNTIF(J2821,"*46*")&gt;0,COUNTIF(I2821,"47*")&gt;0,COUNTIF(J2821,"*47*")&gt;0,COUNTIF(I2821,"10*")&gt;0,COUNTIF(J2821,"*10*")&gt;0,COUNTIF(I2821,"11*")&gt;0,COUNTIF(J2821,"*11*")&gt;0,COUNTIF(I2821,"12*")&gt;0,COUNTIF(J2821,"*12*")&gt;0,COUNTIF(I2821,"13*")&gt;0,COUNTIF(J2821,"*13*")&gt;0,COUNTIF(I2821,"14*")&gt;0,COUNTIF(J2821,"*14*")&gt;0,COUNTIF(I2821,"15*")&gt;0,COUNTIF(J2821,"*15*")&gt;0,COUNTIF(I2821,"16*")&gt;0,COUNTIF(J2821,"*16*")&gt;0,COUNTIF(I2821,"17*")&gt;0,COUNTIF(J2821,"*17*")&gt;0,COUNTIF(I2821,"18*")&gt;0,COUNTIF(J2821,"*18*")&gt;0,COUNTIF(I2821,"19*")&gt;0,COUNTIF(J2821,"*19*")&gt;0,COUNTIF(I2821,"20*")&gt;0,COUNTIF(J2821,"*20*")&gt;0,COUNTIF(I2821,"21*")&gt;0,COUNTIF(J2821,"*21*")&gt;0,COUNTIF(I2821,"22*")&gt;0,COUNTIF(J2821,"*22*")&gt;0,COUNTIF(I2821,"23*")&gt;0,COUNTIF(J2821,"*23*")&gt;0,COUNTIF(I2821,"24*")&gt;0,COUNTIF(J2821,"*24*")&gt;0,COUNTIF(I2821,"25*")&gt;0,COUNTIF(J2821,"*25*")&gt;0,COUNTIF(I2821,"26*")&gt;0,COUNTIF(J2821,"*26*")&gt;0,COUNTIF(I2821,"27*")&gt;0,COUNTIF(J2821,"*27*")&gt;0,COUNTIF(I2821,"28*")&gt;0,COUNTIF(J2821,"*28*")&gt;0,COUNTIF(I2821,"29*")&gt;0,COUNTIF(J2821,"*29*")&gt;0,COUNTIF(I2821,"30*")&gt;0,COUNTIF(J2821,"*30*")&gt;0,COUNTIF(I2821,"31*")&gt;0,COUNTIF(J2821,"*31*")&gt;0,COUNTIF(I2821,"32*")&gt;0,COUNTIF(J2821,"*32*")&gt;0,COUNTIF(I2821,"33*")&gt;0,COUNTIF(J2821,"*33*")&gt;0,COUNTIF(I2821,"41*")&gt;0,COUNTIF(J2821,"*41*")&gt;0,COUNTIF(I2821,"42*")&gt;0,COUNTIF(J2821,"*42*")&gt;0,COUNTIF(I2821,"43*")&gt;0,COUNTIF(J2821,"*43*")&gt;0,COUNTIF(I2821,"49*")&gt;0,COUNTIF(J2821,"*49*")&gt;0,COUNTIF(I2821,"52*")&gt;0,COUNTIF(J2821,"*52*")&gt;0,COUNTIF(I2821,"55*")&gt;0,COUNTIF(J2821,"*55*")&gt;0,COUNTIF(I2821,"56*")&gt;0,COUNTIF(J2821,"*56*")&gt;0,COUNTIF(I2821,"68*")&gt;0,COUNTIF(J2821,"*68*")&gt;0,COUNTIF(I2821,"78*")&gt;0,COUNTIF(J2821,"*78*")&gt;0,COUNTIF(I2821,"81*")&gt;0,COUNTIF(J2821,"*81*")&gt;0,COUNTIF(I2821,"82*")&gt;0,COUNTIF(J2821,"*82*")&gt;0,COUNTIF(I2821,"64*")&gt;0,COUNTIF(J2821,"*64*")&gt;0,COUNTIF(I2821,"65*")&gt;0,COUNTIF(J2821,"*65*")&gt;0,COUNTIF(I2821,"66*")&gt;0,COUNTIF(J2821,"*66*")&gt;0,COUNTIF(I2821,"61*")&gt;0,COUNTIF(J2821,"*61*")&gt;0,COUNTIF(I2821,"62*")&gt;0,COUNTIF(J2821,"*62*")&gt;0,COUNTIF(I2821,"63*")&gt;0,COUNTIF(J2821,"*63*")&gt;0,COUNTIF(I2821,"85*")&gt;0,COUNTIF(J2821,"*85*")&gt;0,COUNTIF(I2821,"86*")&gt;0,COUNTIF(J2821,"*86*")&gt;0),"Да","Нет"))</f>
        <v/>
      </c>
      <c r="M2821" s="13">
        <f>IF(OR(G2821="",L2821&lt;&gt;"Да"),"",IF(G2821&lt;=100,"До 100",IF(G2821&lt;=200,"До 200",IF(G2821&lt;=500,"До 500","Отдельное КП"))))</f>
        <v/>
      </c>
      <c r="N2821" s="15">
        <f>IF(OR(G2821="",L2821&lt;&gt;"Да"),"",IF(G2821&lt;=100,33600,IF(G2821&lt;=200,62400,IF(G2821&lt;=500,144000,""))))</f>
        <v/>
      </c>
      <c r="O2821" s="16">
        <f>IF(G2821="","",IF(G2821&lt;=15,"1–15",IF(G2821&lt;=30,"16–30",IF(G2821&lt;=50,"31–50",IF(G2821&lt;=100,"51–100",IF(G2821&lt;=150,"101–150",IF(G2821&lt;=200,"151–200",IF(G2821&lt;=500,"201–500","500+"))))))))</f>
        <v/>
      </c>
      <c r="P2821" s="16" t="inlineStr">
        <is>
          <t>Нет совпадения в предоставленной выгрузке ССЧР</t>
        </is>
      </c>
      <c r="Q2821" s="16" t="n"/>
      <c r="R2821" s="16">
        <f>HYPERLINK("https://checko.ru/search?query=3801001629","Чекко: проверить")</f>
        <v/>
      </c>
      <c r="S2821" t="n">
        <v>0</v>
      </c>
    </row>
    <row r="2822" ht="15" customHeight="1" s="24">
      <c r="A2822" s="13" t="n">
        <v>5000095282</v>
      </c>
      <c r="B2822" s="13" t="inlineStr">
        <is>
          <t>МКДОУ "Детский сад №73" г.о. Нальчик КБР</t>
        </is>
      </c>
      <c r="C2822" s="13" t="n">
        <v>726023760</v>
      </c>
      <c r="D2822" s="13" t="n"/>
      <c r="E2822" s="13" t="inlineStr">
        <is>
          <t>Не определён</t>
        </is>
      </c>
      <c r="F2822" s="13" t="inlineStr">
        <is>
          <t>726023760</t>
        </is>
      </c>
      <c r="G2822" s="14" t="n"/>
      <c r="H2822" s="14" t="n"/>
      <c r="I2822" s="14" t="n"/>
      <c r="J2822" s="14" t="n"/>
      <c r="K2822" s="13">
        <f>IF(G2822="","",IF(G2822&gt;=22,"Да","Нет"))</f>
        <v/>
      </c>
      <c r="L2822" s="13">
        <f>IF(OR(I2822="",J2822=""),"Не определено",IF(OR(COUNTIF(I2822,"45*")&gt;0,COUNTIF(J2822,"*45*")&gt;0,COUNTIF(I2822,"46*")&gt;0,COUNTIF(J2822,"*46*")&gt;0,COUNTIF(I2822,"47*")&gt;0,COUNTIF(J2822,"*47*")&gt;0,COUNTIF(I2822,"10*")&gt;0,COUNTIF(J2822,"*10*")&gt;0,COUNTIF(I2822,"11*")&gt;0,COUNTIF(J2822,"*11*")&gt;0,COUNTIF(I2822,"12*")&gt;0,COUNTIF(J2822,"*12*")&gt;0,COUNTIF(I2822,"13*")&gt;0,COUNTIF(J2822,"*13*")&gt;0,COUNTIF(I2822,"14*")&gt;0,COUNTIF(J2822,"*14*")&gt;0,COUNTIF(I2822,"15*")&gt;0,COUNTIF(J2822,"*15*")&gt;0,COUNTIF(I2822,"16*")&gt;0,COUNTIF(J2822,"*16*")&gt;0,COUNTIF(I2822,"17*")&gt;0,COUNTIF(J2822,"*17*")&gt;0,COUNTIF(I2822,"18*")&gt;0,COUNTIF(J2822,"*18*")&gt;0,COUNTIF(I2822,"19*")&gt;0,COUNTIF(J2822,"*19*")&gt;0,COUNTIF(I2822,"20*")&gt;0,COUNTIF(J2822,"*20*")&gt;0,COUNTIF(I2822,"21*")&gt;0,COUNTIF(J2822,"*21*")&gt;0,COUNTIF(I2822,"22*")&gt;0,COUNTIF(J2822,"*22*")&gt;0,COUNTIF(I2822,"23*")&gt;0,COUNTIF(J2822,"*23*")&gt;0,COUNTIF(I2822,"24*")&gt;0,COUNTIF(J2822,"*24*")&gt;0,COUNTIF(I2822,"25*")&gt;0,COUNTIF(J2822,"*25*")&gt;0,COUNTIF(I2822,"26*")&gt;0,COUNTIF(J2822,"*26*")&gt;0,COUNTIF(I2822,"27*")&gt;0,COUNTIF(J2822,"*27*")&gt;0,COUNTIF(I2822,"28*")&gt;0,COUNTIF(J2822,"*28*")&gt;0,COUNTIF(I2822,"29*")&gt;0,COUNTIF(J2822,"*29*")&gt;0,COUNTIF(I2822,"30*")&gt;0,COUNTIF(J2822,"*30*")&gt;0,COUNTIF(I2822,"31*")&gt;0,COUNTIF(J2822,"*31*")&gt;0,COUNTIF(I2822,"32*")&gt;0,COUNTIF(J2822,"*32*")&gt;0,COUNTIF(I2822,"33*")&gt;0,COUNTIF(J2822,"*33*")&gt;0,COUNTIF(I2822,"41*")&gt;0,COUNTIF(J2822,"*41*")&gt;0,COUNTIF(I2822,"42*")&gt;0,COUNTIF(J2822,"*42*")&gt;0,COUNTIF(I2822,"43*")&gt;0,COUNTIF(J2822,"*43*")&gt;0,COUNTIF(I2822,"49*")&gt;0,COUNTIF(J2822,"*49*")&gt;0,COUNTIF(I2822,"52*")&gt;0,COUNTIF(J2822,"*52*")&gt;0,COUNTIF(I2822,"55*")&gt;0,COUNTIF(J2822,"*55*")&gt;0,COUNTIF(I2822,"56*")&gt;0,COUNTIF(J2822,"*56*")&gt;0,COUNTIF(I2822,"68*")&gt;0,COUNTIF(J2822,"*68*")&gt;0,COUNTIF(I2822,"78*")&gt;0,COUNTIF(J2822,"*78*")&gt;0,COUNTIF(I2822,"81*")&gt;0,COUNTIF(J2822,"*81*")&gt;0,COUNTIF(I2822,"82*")&gt;0,COUNTIF(J2822,"*82*")&gt;0,COUNTIF(I2822,"64*")&gt;0,COUNTIF(J2822,"*64*")&gt;0,COUNTIF(I2822,"65*")&gt;0,COUNTIF(J2822,"*65*")&gt;0,COUNTIF(I2822,"66*")&gt;0,COUNTIF(J2822,"*66*")&gt;0,COUNTIF(I2822,"61*")&gt;0,COUNTIF(J2822,"*61*")&gt;0,COUNTIF(I2822,"62*")&gt;0,COUNTIF(J2822,"*62*")&gt;0,COUNTIF(I2822,"63*")&gt;0,COUNTIF(J2822,"*63*")&gt;0,COUNTIF(I2822,"85*")&gt;0,COUNTIF(J2822,"*85*")&gt;0,COUNTIF(I2822,"86*")&gt;0,COUNTIF(J2822,"*86*")&gt;0),"Да","Нет"))</f>
        <v/>
      </c>
      <c r="M2822" s="13">
        <f>IF(OR(G2822="",L2822&lt;&gt;"Да"),"",IF(G2822&lt;=100,"До 100",IF(G2822&lt;=200,"До 200",IF(G2822&lt;=500,"До 500","Отдельное КП"))))</f>
        <v/>
      </c>
      <c r="N2822" s="15">
        <f>IF(OR(G2822="",L2822&lt;&gt;"Да"),"",IF(G2822&lt;=100,33600,IF(G2822&lt;=200,62400,IF(G2822&lt;=500,144000,""))))</f>
        <v/>
      </c>
      <c r="O2822" s="16">
        <f>IF(G2822="","",IF(G2822&lt;=15,"1–15",IF(G2822&lt;=30,"16–30",IF(G2822&lt;=50,"31–50",IF(G2822&lt;=100,"51–100",IF(G2822&lt;=150,"101–150",IF(G2822&lt;=200,"151–200",IF(G2822&lt;=500,"201–500","500+"))))))))</f>
        <v/>
      </c>
      <c r="P2822" s="16" t="inlineStr">
        <is>
          <t>Нет совпадения в предоставленной выгрузке ССЧР</t>
        </is>
      </c>
      <c r="Q2822" s="16" t="n"/>
      <c r="R2822" s="16">
        <f>HYPERLINK("https://checko.ru/search?query=3801001629","Чекко: проверить")</f>
        <v/>
      </c>
      <c r="S2822" t="n">
        <v>0</v>
      </c>
    </row>
    <row r="2823" ht="15" customHeight="1" s="24">
      <c r="A2823" s="13" t="n">
        <v>5000095283</v>
      </c>
      <c r="B2823" s="13" t="inlineStr">
        <is>
          <t>МКДОУ "ДС №29" г.о. Нальчик КБР</t>
        </is>
      </c>
      <c r="C2823" s="13" t="n">
        <v>726023777</v>
      </c>
      <c r="D2823" s="13" t="n"/>
      <c r="E2823" s="13" t="inlineStr">
        <is>
          <t>Не определён</t>
        </is>
      </c>
      <c r="F2823" s="13" t="inlineStr">
        <is>
          <t>726023777</t>
        </is>
      </c>
      <c r="G2823" s="14" t="n"/>
      <c r="H2823" s="14" t="n"/>
      <c r="I2823" s="14" t="n"/>
      <c r="J2823" s="14" t="n"/>
      <c r="K2823" s="13">
        <f>IF(G2823="","",IF(G2823&gt;=22,"Да","Нет"))</f>
        <v/>
      </c>
      <c r="L2823" s="13">
        <f>IF(OR(I2823="",J2823=""),"Не определено",IF(OR(COUNTIF(I2823,"45*")&gt;0,COUNTIF(J2823,"*45*")&gt;0,COUNTIF(I2823,"46*")&gt;0,COUNTIF(J2823,"*46*")&gt;0,COUNTIF(I2823,"47*")&gt;0,COUNTIF(J2823,"*47*")&gt;0,COUNTIF(I2823,"10*")&gt;0,COUNTIF(J2823,"*10*")&gt;0,COUNTIF(I2823,"11*")&gt;0,COUNTIF(J2823,"*11*")&gt;0,COUNTIF(I2823,"12*")&gt;0,COUNTIF(J2823,"*12*")&gt;0,COUNTIF(I2823,"13*")&gt;0,COUNTIF(J2823,"*13*")&gt;0,COUNTIF(I2823,"14*")&gt;0,COUNTIF(J2823,"*14*")&gt;0,COUNTIF(I2823,"15*")&gt;0,COUNTIF(J2823,"*15*")&gt;0,COUNTIF(I2823,"16*")&gt;0,COUNTIF(J2823,"*16*")&gt;0,COUNTIF(I2823,"17*")&gt;0,COUNTIF(J2823,"*17*")&gt;0,COUNTIF(I2823,"18*")&gt;0,COUNTIF(J2823,"*18*")&gt;0,COUNTIF(I2823,"19*")&gt;0,COUNTIF(J2823,"*19*")&gt;0,COUNTIF(I2823,"20*")&gt;0,COUNTIF(J2823,"*20*")&gt;0,COUNTIF(I2823,"21*")&gt;0,COUNTIF(J2823,"*21*")&gt;0,COUNTIF(I2823,"22*")&gt;0,COUNTIF(J2823,"*22*")&gt;0,COUNTIF(I2823,"23*")&gt;0,COUNTIF(J2823,"*23*")&gt;0,COUNTIF(I2823,"24*")&gt;0,COUNTIF(J2823,"*24*")&gt;0,COUNTIF(I2823,"25*")&gt;0,COUNTIF(J2823,"*25*")&gt;0,COUNTIF(I2823,"26*")&gt;0,COUNTIF(J2823,"*26*")&gt;0,COUNTIF(I2823,"27*")&gt;0,COUNTIF(J2823,"*27*")&gt;0,COUNTIF(I2823,"28*")&gt;0,COUNTIF(J2823,"*28*")&gt;0,COUNTIF(I2823,"29*")&gt;0,COUNTIF(J2823,"*29*")&gt;0,COUNTIF(I2823,"30*")&gt;0,COUNTIF(J2823,"*30*")&gt;0,COUNTIF(I2823,"31*")&gt;0,COUNTIF(J2823,"*31*")&gt;0,COUNTIF(I2823,"32*")&gt;0,COUNTIF(J2823,"*32*")&gt;0,COUNTIF(I2823,"33*")&gt;0,COUNTIF(J2823,"*33*")&gt;0,COUNTIF(I2823,"41*")&gt;0,COUNTIF(J2823,"*41*")&gt;0,COUNTIF(I2823,"42*")&gt;0,COUNTIF(J2823,"*42*")&gt;0,COUNTIF(I2823,"43*")&gt;0,COUNTIF(J2823,"*43*")&gt;0,COUNTIF(I2823,"49*")&gt;0,COUNTIF(J2823,"*49*")&gt;0,COUNTIF(I2823,"52*")&gt;0,COUNTIF(J2823,"*52*")&gt;0,COUNTIF(I2823,"55*")&gt;0,COUNTIF(J2823,"*55*")&gt;0,COUNTIF(I2823,"56*")&gt;0,COUNTIF(J2823,"*56*")&gt;0,COUNTIF(I2823,"68*")&gt;0,COUNTIF(J2823,"*68*")&gt;0,COUNTIF(I2823,"78*")&gt;0,COUNTIF(J2823,"*78*")&gt;0,COUNTIF(I2823,"81*")&gt;0,COUNTIF(J2823,"*81*")&gt;0,COUNTIF(I2823,"82*")&gt;0,COUNTIF(J2823,"*82*")&gt;0,COUNTIF(I2823,"64*")&gt;0,COUNTIF(J2823,"*64*")&gt;0,COUNTIF(I2823,"65*")&gt;0,COUNTIF(J2823,"*65*")&gt;0,COUNTIF(I2823,"66*")&gt;0,COUNTIF(J2823,"*66*")&gt;0,COUNTIF(I2823,"61*")&gt;0,COUNTIF(J2823,"*61*")&gt;0,COUNTIF(I2823,"62*")&gt;0,COUNTIF(J2823,"*62*")&gt;0,COUNTIF(I2823,"63*")&gt;0,COUNTIF(J2823,"*63*")&gt;0,COUNTIF(I2823,"85*")&gt;0,COUNTIF(J2823,"*85*")&gt;0,COUNTIF(I2823,"86*")&gt;0,COUNTIF(J2823,"*86*")&gt;0),"Да","Нет"))</f>
        <v/>
      </c>
      <c r="M2823" s="13">
        <f>IF(OR(G2823="",L2823&lt;&gt;"Да"),"",IF(G2823&lt;=100,"До 100",IF(G2823&lt;=200,"До 200",IF(G2823&lt;=500,"До 500","Отдельное КП"))))</f>
        <v/>
      </c>
      <c r="N2823" s="15">
        <f>IF(OR(G2823="",L2823&lt;&gt;"Да"),"",IF(G2823&lt;=100,33600,IF(G2823&lt;=200,62400,IF(G2823&lt;=500,144000,""))))</f>
        <v/>
      </c>
      <c r="O2823" s="16">
        <f>IF(G2823="","",IF(G2823&lt;=15,"1–15",IF(G2823&lt;=30,"16–30",IF(G2823&lt;=50,"31–50",IF(G2823&lt;=100,"51–100",IF(G2823&lt;=150,"101–150",IF(G2823&lt;=200,"151–200",IF(G2823&lt;=500,"201–500","500+"))))))))</f>
        <v/>
      </c>
      <c r="P2823" s="16" t="inlineStr">
        <is>
          <t>Нет совпадения в предоставленной выгрузке ССЧР</t>
        </is>
      </c>
      <c r="Q2823" s="16" t="n"/>
      <c r="R2823" s="16">
        <f>HYPERLINK("https://checko.ru/search?query=3801001629","Чекко: проверить")</f>
        <v/>
      </c>
      <c r="S2823" t="n">
        <v>0</v>
      </c>
    </row>
    <row r="2824" ht="15" customHeight="1" s="24">
      <c r="A2824" s="13" t="n">
        <v>5000095284</v>
      </c>
      <c r="B2824" s="13" t="inlineStr">
        <is>
          <t>МКДОУ "Детский сад №31" г.о. Нальчик КБР</t>
        </is>
      </c>
      <c r="C2824" s="13" t="n">
        <v>726023791</v>
      </c>
      <c r="D2824" s="13" t="n"/>
      <c r="E2824" s="13" t="inlineStr">
        <is>
          <t>Не определён</t>
        </is>
      </c>
      <c r="F2824" s="13" t="inlineStr">
        <is>
          <t>726023791</t>
        </is>
      </c>
      <c r="G2824" s="14" t="n"/>
      <c r="H2824" s="14" t="n"/>
      <c r="I2824" s="14" t="n"/>
      <c r="J2824" s="14" t="n"/>
      <c r="K2824" s="13">
        <f>IF(G2824="","",IF(G2824&gt;=22,"Да","Нет"))</f>
        <v/>
      </c>
      <c r="L2824" s="13">
        <f>IF(OR(I2824="",J2824=""),"Не определено",IF(OR(COUNTIF(I2824,"45*")&gt;0,COUNTIF(J2824,"*45*")&gt;0,COUNTIF(I2824,"46*")&gt;0,COUNTIF(J2824,"*46*")&gt;0,COUNTIF(I2824,"47*")&gt;0,COUNTIF(J2824,"*47*")&gt;0,COUNTIF(I2824,"10*")&gt;0,COUNTIF(J2824,"*10*")&gt;0,COUNTIF(I2824,"11*")&gt;0,COUNTIF(J2824,"*11*")&gt;0,COUNTIF(I2824,"12*")&gt;0,COUNTIF(J2824,"*12*")&gt;0,COUNTIF(I2824,"13*")&gt;0,COUNTIF(J2824,"*13*")&gt;0,COUNTIF(I2824,"14*")&gt;0,COUNTIF(J2824,"*14*")&gt;0,COUNTIF(I2824,"15*")&gt;0,COUNTIF(J2824,"*15*")&gt;0,COUNTIF(I2824,"16*")&gt;0,COUNTIF(J2824,"*16*")&gt;0,COUNTIF(I2824,"17*")&gt;0,COUNTIF(J2824,"*17*")&gt;0,COUNTIF(I2824,"18*")&gt;0,COUNTIF(J2824,"*18*")&gt;0,COUNTIF(I2824,"19*")&gt;0,COUNTIF(J2824,"*19*")&gt;0,COUNTIF(I2824,"20*")&gt;0,COUNTIF(J2824,"*20*")&gt;0,COUNTIF(I2824,"21*")&gt;0,COUNTIF(J2824,"*21*")&gt;0,COUNTIF(I2824,"22*")&gt;0,COUNTIF(J2824,"*22*")&gt;0,COUNTIF(I2824,"23*")&gt;0,COUNTIF(J2824,"*23*")&gt;0,COUNTIF(I2824,"24*")&gt;0,COUNTIF(J2824,"*24*")&gt;0,COUNTIF(I2824,"25*")&gt;0,COUNTIF(J2824,"*25*")&gt;0,COUNTIF(I2824,"26*")&gt;0,COUNTIF(J2824,"*26*")&gt;0,COUNTIF(I2824,"27*")&gt;0,COUNTIF(J2824,"*27*")&gt;0,COUNTIF(I2824,"28*")&gt;0,COUNTIF(J2824,"*28*")&gt;0,COUNTIF(I2824,"29*")&gt;0,COUNTIF(J2824,"*29*")&gt;0,COUNTIF(I2824,"30*")&gt;0,COUNTIF(J2824,"*30*")&gt;0,COUNTIF(I2824,"31*")&gt;0,COUNTIF(J2824,"*31*")&gt;0,COUNTIF(I2824,"32*")&gt;0,COUNTIF(J2824,"*32*")&gt;0,COUNTIF(I2824,"33*")&gt;0,COUNTIF(J2824,"*33*")&gt;0,COUNTIF(I2824,"41*")&gt;0,COUNTIF(J2824,"*41*")&gt;0,COUNTIF(I2824,"42*")&gt;0,COUNTIF(J2824,"*42*")&gt;0,COUNTIF(I2824,"43*")&gt;0,COUNTIF(J2824,"*43*")&gt;0,COUNTIF(I2824,"49*")&gt;0,COUNTIF(J2824,"*49*")&gt;0,COUNTIF(I2824,"52*")&gt;0,COUNTIF(J2824,"*52*")&gt;0,COUNTIF(I2824,"55*")&gt;0,COUNTIF(J2824,"*55*")&gt;0,COUNTIF(I2824,"56*")&gt;0,COUNTIF(J2824,"*56*")&gt;0,COUNTIF(I2824,"68*")&gt;0,COUNTIF(J2824,"*68*")&gt;0,COUNTIF(I2824,"78*")&gt;0,COUNTIF(J2824,"*78*")&gt;0,COUNTIF(I2824,"81*")&gt;0,COUNTIF(J2824,"*81*")&gt;0,COUNTIF(I2824,"82*")&gt;0,COUNTIF(J2824,"*82*")&gt;0,COUNTIF(I2824,"64*")&gt;0,COUNTIF(J2824,"*64*")&gt;0,COUNTIF(I2824,"65*")&gt;0,COUNTIF(J2824,"*65*")&gt;0,COUNTIF(I2824,"66*")&gt;0,COUNTIF(J2824,"*66*")&gt;0,COUNTIF(I2824,"61*")&gt;0,COUNTIF(J2824,"*61*")&gt;0,COUNTIF(I2824,"62*")&gt;0,COUNTIF(J2824,"*62*")&gt;0,COUNTIF(I2824,"63*")&gt;0,COUNTIF(J2824,"*63*")&gt;0,COUNTIF(I2824,"85*")&gt;0,COUNTIF(J2824,"*85*")&gt;0,COUNTIF(I2824,"86*")&gt;0,COUNTIF(J2824,"*86*")&gt;0),"Да","Нет"))</f>
        <v/>
      </c>
      <c r="M2824" s="13">
        <f>IF(OR(G2824="",L2824&lt;&gt;"Да"),"",IF(G2824&lt;=100,"До 100",IF(G2824&lt;=200,"До 200",IF(G2824&lt;=500,"До 500","Отдельное КП"))))</f>
        <v/>
      </c>
      <c r="N2824" s="15">
        <f>IF(OR(G2824="",L2824&lt;&gt;"Да"),"",IF(G2824&lt;=100,33600,IF(G2824&lt;=200,62400,IF(G2824&lt;=500,144000,""))))</f>
        <v/>
      </c>
      <c r="O2824" s="16">
        <f>IF(G2824="","",IF(G2824&lt;=15,"1–15",IF(G2824&lt;=30,"16–30",IF(G2824&lt;=50,"31–50",IF(G2824&lt;=100,"51–100",IF(G2824&lt;=150,"101–150",IF(G2824&lt;=200,"151–200",IF(G2824&lt;=500,"201–500","500+"))))))))</f>
        <v/>
      </c>
      <c r="P2824" s="16" t="inlineStr">
        <is>
          <t>Нет совпадения в предоставленной выгрузке ССЧР</t>
        </is>
      </c>
      <c r="Q2824" s="16" t="n"/>
      <c r="R2824" s="16">
        <f>HYPERLINK("https://checko.ru/search?query=3801001629","Чекко: проверить")</f>
        <v/>
      </c>
      <c r="S2824" t="n">
        <v>0</v>
      </c>
    </row>
    <row r="2825" ht="15" customHeight="1" s="24">
      <c r="A2825" s="13" t="n">
        <v>5000095285</v>
      </c>
      <c r="B2825" s="13" t="inlineStr">
        <is>
          <t>МКДОУ "Детский сад №72" г.о.Нальчик КБР</t>
        </is>
      </c>
      <c r="C2825" s="13" t="n">
        <v>726025485</v>
      </c>
      <c r="D2825" s="13" t="n"/>
      <c r="E2825" s="13" t="inlineStr">
        <is>
          <t>Не определён</t>
        </is>
      </c>
      <c r="F2825" s="13" t="inlineStr">
        <is>
          <t>726025485</t>
        </is>
      </c>
      <c r="G2825" s="14" t="n"/>
      <c r="H2825" s="14" t="n"/>
      <c r="I2825" s="14" t="n"/>
      <c r="J2825" s="14" t="n"/>
      <c r="K2825" s="13">
        <f>IF(G2825="","",IF(G2825&gt;=22,"Да","Нет"))</f>
        <v/>
      </c>
      <c r="L2825" s="13">
        <f>IF(OR(I2825="",J2825=""),"Не определено",IF(OR(COUNTIF(I2825,"45*")&gt;0,COUNTIF(J2825,"*45*")&gt;0,COUNTIF(I2825,"46*")&gt;0,COUNTIF(J2825,"*46*")&gt;0,COUNTIF(I2825,"47*")&gt;0,COUNTIF(J2825,"*47*")&gt;0,COUNTIF(I2825,"10*")&gt;0,COUNTIF(J2825,"*10*")&gt;0,COUNTIF(I2825,"11*")&gt;0,COUNTIF(J2825,"*11*")&gt;0,COUNTIF(I2825,"12*")&gt;0,COUNTIF(J2825,"*12*")&gt;0,COUNTIF(I2825,"13*")&gt;0,COUNTIF(J2825,"*13*")&gt;0,COUNTIF(I2825,"14*")&gt;0,COUNTIF(J2825,"*14*")&gt;0,COUNTIF(I2825,"15*")&gt;0,COUNTIF(J2825,"*15*")&gt;0,COUNTIF(I2825,"16*")&gt;0,COUNTIF(J2825,"*16*")&gt;0,COUNTIF(I2825,"17*")&gt;0,COUNTIF(J2825,"*17*")&gt;0,COUNTIF(I2825,"18*")&gt;0,COUNTIF(J2825,"*18*")&gt;0,COUNTIF(I2825,"19*")&gt;0,COUNTIF(J2825,"*19*")&gt;0,COUNTIF(I2825,"20*")&gt;0,COUNTIF(J2825,"*20*")&gt;0,COUNTIF(I2825,"21*")&gt;0,COUNTIF(J2825,"*21*")&gt;0,COUNTIF(I2825,"22*")&gt;0,COUNTIF(J2825,"*22*")&gt;0,COUNTIF(I2825,"23*")&gt;0,COUNTIF(J2825,"*23*")&gt;0,COUNTIF(I2825,"24*")&gt;0,COUNTIF(J2825,"*24*")&gt;0,COUNTIF(I2825,"25*")&gt;0,COUNTIF(J2825,"*25*")&gt;0,COUNTIF(I2825,"26*")&gt;0,COUNTIF(J2825,"*26*")&gt;0,COUNTIF(I2825,"27*")&gt;0,COUNTIF(J2825,"*27*")&gt;0,COUNTIF(I2825,"28*")&gt;0,COUNTIF(J2825,"*28*")&gt;0,COUNTIF(I2825,"29*")&gt;0,COUNTIF(J2825,"*29*")&gt;0,COUNTIF(I2825,"30*")&gt;0,COUNTIF(J2825,"*30*")&gt;0,COUNTIF(I2825,"31*")&gt;0,COUNTIF(J2825,"*31*")&gt;0,COUNTIF(I2825,"32*")&gt;0,COUNTIF(J2825,"*32*")&gt;0,COUNTIF(I2825,"33*")&gt;0,COUNTIF(J2825,"*33*")&gt;0,COUNTIF(I2825,"41*")&gt;0,COUNTIF(J2825,"*41*")&gt;0,COUNTIF(I2825,"42*")&gt;0,COUNTIF(J2825,"*42*")&gt;0,COUNTIF(I2825,"43*")&gt;0,COUNTIF(J2825,"*43*")&gt;0,COUNTIF(I2825,"49*")&gt;0,COUNTIF(J2825,"*49*")&gt;0,COUNTIF(I2825,"52*")&gt;0,COUNTIF(J2825,"*52*")&gt;0,COUNTIF(I2825,"55*")&gt;0,COUNTIF(J2825,"*55*")&gt;0,COUNTIF(I2825,"56*")&gt;0,COUNTIF(J2825,"*56*")&gt;0,COUNTIF(I2825,"68*")&gt;0,COUNTIF(J2825,"*68*")&gt;0,COUNTIF(I2825,"78*")&gt;0,COUNTIF(J2825,"*78*")&gt;0,COUNTIF(I2825,"81*")&gt;0,COUNTIF(J2825,"*81*")&gt;0,COUNTIF(I2825,"82*")&gt;0,COUNTIF(J2825,"*82*")&gt;0,COUNTIF(I2825,"64*")&gt;0,COUNTIF(J2825,"*64*")&gt;0,COUNTIF(I2825,"65*")&gt;0,COUNTIF(J2825,"*65*")&gt;0,COUNTIF(I2825,"66*")&gt;0,COUNTIF(J2825,"*66*")&gt;0,COUNTIF(I2825,"61*")&gt;0,COUNTIF(J2825,"*61*")&gt;0,COUNTIF(I2825,"62*")&gt;0,COUNTIF(J2825,"*62*")&gt;0,COUNTIF(I2825,"63*")&gt;0,COUNTIF(J2825,"*63*")&gt;0,COUNTIF(I2825,"85*")&gt;0,COUNTIF(J2825,"*85*")&gt;0,COUNTIF(I2825,"86*")&gt;0,COUNTIF(J2825,"*86*")&gt;0),"Да","Нет"))</f>
        <v/>
      </c>
      <c r="M2825" s="13">
        <f>IF(OR(G2825="",L2825&lt;&gt;"Да"),"",IF(G2825&lt;=100,"До 100",IF(G2825&lt;=200,"До 200",IF(G2825&lt;=500,"До 500","Отдельное КП"))))</f>
        <v/>
      </c>
      <c r="N2825" s="15">
        <f>IF(OR(G2825="",L2825&lt;&gt;"Да"),"",IF(G2825&lt;=100,33600,IF(G2825&lt;=200,62400,IF(G2825&lt;=500,144000,""))))</f>
        <v/>
      </c>
      <c r="O2825" s="16">
        <f>IF(G2825="","",IF(G2825&lt;=15,"1–15",IF(G2825&lt;=30,"16–30",IF(G2825&lt;=50,"31–50",IF(G2825&lt;=100,"51–100",IF(G2825&lt;=150,"101–150",IF(G2825&lt;=200,"151–200",IF(G2825&lt;=500,"201–500","500+"))))))))</f>
        <v/>
      </c>
      <c r="P2825" s="16" t="inlineStr">
        <is>
          <t>Нет совпадения в предоставленной выгрузке ССЧР</t>
        </is>
      </c>
      <c r="Q2825" s="16" t="n"/>
      <c r="R2825" s="16">
        <f>HYPERLINK("https://checko.ru/search?query=3801001629","Чекко: проверить")</f>
        <v/>
      </c>
      <c r="S2825" t="n">
        <v>0</v>
      </c>
    </row>
    <row r="2826" ht="15" customHeight="1" s="24">
      <c r="A2826" s="13" t="n">
        <v>5000095286</v>
      </c>
      <c r="B2826" s="13" t="inlineStr">
        <is>
          <t>МКДОУ "Детский сад №37" г.о.Нальчик КБР</t>
        </is>
      </c>
      <c r="C2826" s="13" t="n">
        <v>726025527</v>
      </c>
      <c r="D2826" s="13" t="n"/>
      <c r="E2826" s="13" t="inlineStr">
        <is>
          <t>Не определён</t>
        </is>
      </c>
      <c r="F2826" s="13" t="inlineStr">
        <is>
          <t>726025527</t>
        </is>
      </c>
      <c r="G2826" s="14" t="n"/>
      <c r="H2826" s="14" t="n"/>
      <c r="I2826" s="14" t="n"/>
      <c r="J2826" s="14" t="n"/>
      <c r="K2826" s="13">
        <f>IF(G2826="","",IF(G2826&gt;=22,"Да","Нет"))</f>
        <v/>
      </c>
      <c r="L2826" s="13">
        <f>IF(OR(I2826="",J2826=""),"Не определено",IF(OR(COUNTIF(I2826,"45*")&gt;0,COUNTIF(J2826,"*45*")&gt;0,COUNTIF(I2826,"46*")&gt;0,COUNTIF(J2826,"*46*")&gt;0,COUNTIF(I2826,"47*")&gt;0,COUNTIF(J2826,"*47*")&gt;0,COUNTIF(I2826,"10*")&gt;0,COUNTIF(J2826,"*10*")&gt;0,COUNTIF(I2826,"11*")&gt;0,COUNTIF(J2826,"*11*")&gt;0,COUNTIF(I2826,"12*")&gt;0,COUNTIF(J2826,"*12*")&gt;0,COUNTIF(I2826,"13*")&gt;0,COUNTIF(J2826,"*13*")&gt;0,COUNTIF(I2826,"14*")&gt;0,COUNTIF(J2826,"*14*")&gt;0,COUNTIF(I2826,"15*")&gt;0,COUNTIF(J2826,"*15*")&gt;0,COUNTIF(I2826,"16*")&gt;0,COUNTIF(J2826,"*16*")&gt;0,COUNTIF(I2826,"17*")&gt;0,COUNTIF(J2826,"*17*")&gt;0,COUNTIF(I2826,"18*")&gt;0,COUNTIF(J2826,"*18*")&gt;0,COUNTIF(I2826,"19*")&gt;0,COUNTIF(J2826,"*19*")&gt;0,COUNTIF(I2826,"20*")&gt;0,COUNTIF(J2826,"*20*")&gt;0,COUNTIF(I2826,"21*")&gt;0,COUNTIF(J2826,"*21*")&gt;0,COUNTIF(I2826,"22*")&gt;0,COUNTIF(J2826,"*22*")&gt;0,COUNTIF(I2826,"23*")&gt;0,COUNTIF(J2826,"*23*")&gt;0,COUNTIF(I2826,"24*")&gt;0,COUNTIF(J2826,"*24*")&gt;0,COUNTIF(I2826,"25*")&gt;0,COUNTIF(J2826,"*25*")&gt;0,COUNTIF(I2826,"26*")&gt;0,COUNTIF(J2826,"*26*")&gt;0,COUNTIF(I2826,"27*")&gt;0,COUNTIF(J2826,"*27*")&gt;0,COUNTIF(I2826,"28*")&gt;0,COUNTIF(J2826,"*28*")&gt;0,COUNTIF(I2826,"29*")&gt;0,COUNTIF(J2826,"*29*")&gt;0,COUNTIF(I2826,"30*")&gt;0,COUNTIF(J2826,"*30*")&gt;0,COUNTIF(I2826,"31*")&gt;0,COUNTIF(J2826,"*31*")&gt;0,COUNTIF(I2826,"32*")&gt;0,COUNTIF(J2826,"*32*")&gt;0,COUNTIF(I2826,"33*")&gt;0,COUNTIF(J2826,"*33*")&gt;0,COUNTIF(I2826,"41*")&gt;0,COUNTIF(J2826,"*41*")&gt;0,COUNTIF(I2826,"42*")&gt;0,COUNTIF(J2826,"*42*")&gt;0,COUNTIF(I2826,"43*")&gt;0,COUNTIF(J2826,"*43*")&gt;0,COUNTIF(I2826,"49*")&gt;0,COUNTIF(J2826,"*49*")&gt;0,COUNTIF(I2826,"52*")&gt;0,COUNTIF(J2826,"*52*")&gt;0,COUNTIF(I2826,"55*")&gt;0,COUNTIF(J2826,"*55*")&gt;0,COUNTIF(I2826,"56*")&gt;0,COUNTIF(J2826,"*56*")&gt;0,COUNTIF(I2826,"68*")&gt;0,COUNTIF(J2826,"*68*")&gt;0,COUNTIF(I2826,"78*")&gt;0,COUNTIF(J2826,"*78*")&gt;0,COUNTIF(I2826,"81*")&gt;0,COUNTIF(J2826,"*81*")&gt;0,COUNTIF(I2826,"82*")&gt;0,COUNTIF(J2826,"*82*")&gt;0,COUNTIF(I2826,"64*")&gt;0,COUNTIF(J2826,"*64*")&gt;0,COUNTIF(I2826,"65*")&gt;0,COUNTIF(J2826,"*65*")&gt;0,COUNTIF(I2826,"66*")&gt;0,COUNTIF(J2826,"*66*")&gt;0,COUNTIF(I2826,"61*")&gt;0,COUNTIF(J2826,"*61*")&gt;0,COUNTIF(I2826,"62*")&gt;0,COUNTIF(J2826,"*62*")&gt;0,COUNTIF(I2826,"63*")&gt;0,COUNTIF(J2826,"*63*")&gt;0,COUNTIF(I2826,"85*")&gt;0,COUNTIF(J2826,"*85*")&gt;0,COUNTIF(I2826,"86*")&gt;0,COUNTIF(J2826,"*86*")&gt;0),"Да","Нет"))</f>
        <v/>
      </c>
      <c r="M2826" s="13">
        <f>IF(OR(G2826="",L2826&lt;&gt;"Да"),"",IF(G2826&lt;=100,"До 100",IF(G2826&lt;=200,"До 200",IF(G2826&lt;=500,"До 500","Отдельное КП"))))</f>
        <v/>
      </c>
      <c r="N2826" s="15">
        <f>IF(OR(G2826="",L2826&lt;&gt;"Да"),"",IF(G2826&lt;=100,33600,IF(G2826&lt;=200,62400,IF(G2826&lt;=500,144000,""))))</f>
        <v/>
      </c>
      <c r="O2826" s="16">
        <f>IF(G2826="","",IF(G2826&lt;=15,"1–15",IF(G2826&lt;=30,"16–30",IF(G2826&lt;=50,"31–50",IF(G2826&lt;=100,"51–100",IF(G2826&lt;=150,"101–150",IF(G2826&lt;=200,"151–200",IF(G2826&lt;=500,"201–500","500+"))))))))</f>
        <v/>
      </c>
      <c r="P2826" s="16" t="inlineStr">
        <is>
          <t>Нет совпадения в предоставленной выгрузке ССЧР</t>
        </is>
      </c>
      <c r="Q2826" s="16" t="n"/>
      <c r="R2826" s="16">
        <f>HYPERLINK("https://checko.ru/search?query=3801001629","Чекко: проверить")</f>
        <v/>
      </c>
      <c r="S2826" t="n">
        <v>0</v>
      </c>
    </row>
    <row r="2827" ht="15" customHeight="1" s="24">
      <c r="A2827" s="13" t="n">
        <v>5000095287</v>
      </c>
      <c r="B2827" s="13" t="inlineStr">
        <is>
          <t>МКДОУ "Детский сад №51" г.о.Нальчик КБР</t>
        </is>
      </c>
      <c r="C2827" s="13" t="n">
        <v>726025534</v>
      </c>
      <c r="D2827" s="13" t="n"/>
      <c r="E2827" s="13" t="inlineStr">
        <is>
          <t>Не определён</t>
        </is>
      </c>
      <c r="F2827" s="13" t="inlineStr">
        <is>
          <t>726025534</t>
        </is>
      </c>
      <c r="G2827" s="14" t="n"/>
      <c r="H2827" s="14" t="n"/>
      <c r="I2827" s="14" t="n"/>
      <c r="J2827" s="14" t="n"/>
      <c r="K2827" s="13">
        <f>IF(G2827="","",IF(G2827&gt;=22,"Да","Нет"))</f>
        <v/>
      </c>
      <c r="L2827" s="13">
        <f>IF(OR(I2827="",J2827=""),"Не определено",IF(OR(COUNTIF(I2827,"45*")&gt;0,COUNTIF(J2827,"*45*")&gt;0,COUNTIF(I2827,"46*")&gt;0,COUNTIF(J2827,"*46*")&gt;0,COUNTIF(I2827,"47*")&gt;0,COUNTIF(J2827,"*47*")&gt;0,COUNTIF(I2827,"10*")&gt;0,COUNTIF(J2827,"*10*")&gt;0,COUNTIF(I2827,"11*")&gt;0,COUNTIF(J2827,"*11*")&gt;0,COUNTIF(I2827,"12*")&gt;0,COUNTIF(J2827,"*12*")&gt;0,COUNTIF(I2827,"13*")&gt;0,COUNTIF(J2827,"*13*")&gt;0,COUNTIF(I2827,"14*")&gt;0,COUNTIF(J2827,"*14*")&gt;0,COUNTIF(I2827,"15*")&gt;0,COUNTIF(J2827,"*15*")&gt;0,COUNTIF(I2827,"16*")&gt;0,COUNTIF(J2827,"*16*")&gt;0,COUNTIF(I2827,"17*")&gt;0,COUNTIF(J2827,"*17*")&gt;0,COUNTIF(I2827,"18*")&gt;0,COUNTIF(J2827,"*18*")&gt;0,COUNTIF(I2827,"19*")&gt;0,COUNTIF(J2827,"*19*")&gt;0,COUNTIF(I2827,"20*")&gt;0,COUNTIF(J2827,"*20*")&gt;0,COUNTIF(I2827,"21*")&gt;0,COUNTIF(J2827,"*21*")&gt;0,COUNTIF(I2827,"22*")&gt;0,COUNTIF(J2827,"*22*")&gt;0,COUNTIF(I2827,"23*")&gt;0,COUNTIF(J2827,"*23*")&gt;0,COUNTIF(I2827,"24*")&gt;0,COUNTIF(J2827,"*24*")&gt;0,COUNTIF(I2827,"25*")&gt;0,COUNTIF(J2827,"*25*")&gt;0,COUNTIF(I2827,"26*")&gt;0,COUNTIF(J2827,"*26*")&gt;0,COUNTIF(I2827,"27*")&gt;0,COUNTIF(J2827,"*27*")&gt;0,COUNTIF(I2827,"28*")&gt;0,COUNTIF(J2827,"*28*")&gt;0,COUNTIF(I2827,"29*")&gt;0,COUNTIF(J2827,"*29*")&gt;0,COUNTIF(I2827,"30*")&gt;0,COUNTIF(J2827,"*30*")&gt;0,COUNTIF(I2827,"31*")&gt;0,COUNTIF(J2827,"*31*")&gt;0,COUNTIF(I2827,"32*")&gt;0,COUNTIF(J2827,"*32*")&gt;0,COUNTIF(I2827,"33*")&gt;0,COUNTIF(J2827,"*33*")&gt;0,COUNTIF(I2827,"41*")&gt;0,COUNTIF(J2827,"*41*")&gt;0,COUNTIF(I2827,"42*")&gt;0,COUNTIF(J2827,"*42*")&gt;0,COUNTIF(I2827,"43*")&gt;0,COUNTIF(J2827,"*43*")&gt;0,COUNTIF(I2827,"49*")&gt;0,COUNTIF(J2827,"*49*")&gt;0,COUNTIF(I2827,"52*")&gt;0,COUNTIF(J2827,"*52*")&gt;0,COUNTIF(I2827,"55*")&gt;0,COUNTIF(J2827,"*55*")&gt;0,COUNTIF(I2827,"56*")&gt;0,COUNTIF(J2827,"*56*")&gt;0,COUNTIF(I2827,"68*")&gt;0,COUNTIF(J2827,"*68*")&gt;0,COUNTIF(I2827,"78*")&gt;0,COUNTIF(J2827,"*78*")&gt;0,COUNTIF(I2827,"81*")&gt;0,COUNTIF(J2827,"*81*")&gt;0,COUNTIF(I2827,"82*")&gt;0,COUNTIF(J2827,"*82*")&gt;0,COUNTIF(I2827,"64*")&gt;0,COUNTIF(J2827,"*64*")&gt;0,COUNTIF(I2827,"65*")&gt;0,COUNTIF(J2827,"*65*")&gt;0,COUNTIF(I2827,"66*")&gt;0,COUNTIF(J2827,"*66*")&gt;0,COUNTIF(I2827,"61*")&gt;0,COUNTIF(J2827,"*61*")&gt;0,COUNTIF(I2827,"62*")&gt;0,COUNTIF(J2827,"*62*")&gt;0,COUNTIF(I2827,"63*")&gt;0,COUNTIF(J2827,"*63*")&gt;0,COUNTIF(I2827,"85*")&gt;0,COUNTIF(J2827,"*85*")&gt;0,COUNTIF(I2827,"86*")&gt;0,COUNTIF(J2827,"*86*")&gt;0),"Да","Нет"))</f>
        <v/>
      </c>
      <c r="M2827" s="13">
        <f>IF(OR(G2827="",L2827&lt;&gt;"Да"),"",IF(G2827&lt;=100,"До 100",IF(G2827&lt;=200,"До 200",IF(G2827&lt;=500,"До 500","Отдельное КП"))))</f>
        <v/>
      </c>
      <c r="N2827" s="15">
        <f>IF(OR(G2827="",L2827&lt;&gt;"Да"),"",IF(G2827&lt;=100,33600,IF(G2827&lt;=200,62400,IF(G2827&lt;=500,144000,""))))</f>
        <v/>
      </c>
      <c r="O2827" s="16">
        <f>IF(G2827="","",IF(G2827&lt;=15,"1–15",IF(G2827&lt;=30,"16–30",IF(G2827&lt;=50,"31–50",IF(G2827&lt;=100,"51–100",IF(G2827&lt;=150,"101–150",IF(G2827&lt;=200,"151–200",IF(G2827&lt;=500,"201–500","500+"))))))))</f>
        <v/>
      </c>
      <c r="P2827" s="16" t="inlineStr">
        <is>
          <t>Нет совпадения в предоставленной выгрузке ССЧР</t>
        </is>
      </c>
      <c r="Q2827" s="16" t="n"/>
      <c r="R2827" s="16">
        <f>HYPERLINK("https://checko.ru/search?query=3801001629","Чекко: проверить")</f>
        <v/>
      </c>
      <c r="S2827" t="n">
        <v>0</v>
      </c>
    </row>
    <row r="2828" ht="15" customHeight="1" s="24">
      <c r="A2828" s="13" t="n">
        <v>5000095288</v>
      </c>
      <c r="B2828" s="13" t="inlineStr">
        <is>
          <t>МКДОУ "Детский сад №68 " г.о.Нальчик КБР</t>
        </is>
      </c>
      <c r="C2828" s="13" t="n">
        <v>726025541</v>
      </c>
      <c r="D2828" s="13" t="n"/>
      <c r="E2828" s="13" t="inlineStr">
        <is>
          <t>Не определён</t>
        </is>
      </c>
      <c r="F2828" s="13" t="inlineStr">
        <is>
          <t>726025541</t>
        </is>
      </c>
      <c r="G2828" s="14" t="n"/>
      <c r="H2828" s="14" t="n"/>
      <c r="I2828" s="14" t="n"/>
      <c r="J2828" s="14" t="n"/>
      <c r="K2828" s="13">
        <f>IF(G2828="","",IF(G2828&gt;=22,"Да","Нет"))</f>
        <v/>
      </c>
      <c r="L2828" s="13">
        <f>IF(OR(I2828="",J2828=""),"Не определено",IF(OR(COUNTIF(I2828,"45*")&gt;0,COUNTIF(J2828,"*45*")&gt;0,COUNTIF(I2828,"46*")&gt;0,COUNTIF(J2828,"*46*")&gt;0,COUNTIF(I2828,"47*")&gt;0,COUNTIF(J2828,"*47*")&gt;0,COUNTIF(I2828,"10*")&gt;0,COUNTIF(J2828,"*10*")&gt;0,COUNTIF(I2828,"11*")&gt;0,COUNTIF(J2828,"*11*")&gt;0,COUNTIF(I2828,"12*")&gt;0,COUNTIF(J2828,"*12*")&gt;0,COUNTIF(I2828,"13*")&gt;0,COUNTIF(J2828,"*13*")&gt;0,COUNTIF(I2828,"14*")&gt;0,COUNTIF(J2828,"*14*")&gt;0,COUNTIF(I2828,"15*")&gt;0,COUNTIF(J2828,"*15*")&gt;0,COUNTIF(I2828,"16*")&gt;0,COUNTIF(J2828,"*16*")&gt;0,COUNTIF(I2828,"17*")&gt;0,COUNTIF(J2828,"*17*")&gt;0,COUNTIF(I2828,"18*")&gt;0,COUNTIF(J2828,"*18*")&gt;0,COUNTIF(I2828,"19*")&gt;0,COUNTIF(J2828,"*19*")&gt;0,COUNTIF(I2828,"20*")&gt;0,COUNTIF(J2828,"*20*")&gt;0,COUNTIF(I2828,"21*")&gt;0,COUNTIF(J2828,"*21*")&gt;0,COUNTIF(I2828,"22*")&gt;0,COUNTIF(J2828,"*22*")&gt;0,COUNTIF(I2828,"23*")&gt;0,COUNTIF(J2828,"*23*")&gt;0,COUNTIF(I2828,"24*")&gt;0,COUNTIF(J2828,"*24*")&gt;0,COUNTIF(I2828,"25*")&gt;0,COUNTIF(J2828,"*25*")&gt;0,COUNTIF(I2828,"26*")&gt;0,COUNTIF(J2828,"*26*")&gt;0,COUNTIF(I2828,"27*")&gt;0,COUNTIF(J2828,"*27*")&gt;0,COUNTIF(I2828,"28*")&gt;0,COUNTIF(J2828,"*28*")&gt;0,COUNTIF(I2828,"29*")&gt;0,COUNTIF(J2828,"*29*")&gt;0,COUNTIF(I2828,"30*")&gt;0,COUNTIF(J2828,"*30*")&gt;0,COUNTIF(I2828,"31*")&gt;0,COUNTIF(J2828,"*31*")&gt;0,COUNTIF(I2828,"32*")&gt;0,COUNTIF(J2828,"*32*")&gt;0,COUNTIF(I2828,"33*")&gt;0,COUNTIF(J2828,"*33*")&gt;0,COUNTIF(I2828,"41*")&gt;0,COUNTIF(J2828,"*41*")&gt;0,COUNTIF(I2828,"42*")&gt;0,COUNTIF(J2828,"*42*")&gt;0,COUNTIF(I2828,"43*")&gt;0,COUNTIF(J2828,"*43*")&gt;0,COUNTIF(I2828,"49*")&gt;0,COUNTIF(J2828,"*49*")&gt;0,COUNTIF(I2828,"52*")&gt;0,COUNTIF(J2828,"*52*")&gt;0,COUNTIF(I2828,"55*")&gt;0,COUNTIF(J2828,"*55*")&gt;0,COUNTIF(I2828,"56*")&gt;0,COUNTIF(J2828,"*56*")&gt;0,COUNTIF(I2828,"68*")&gt;0,COUNTIF(J2828,"*68*")&gt;0,COUNTIF(I2828,"78*")&gt;0,COUNTIF(J2828,"*78*")&gt;0,COUNTIF(I2828,"81*")&gt;0,COUNTIF(J2828,"*81*")&gt;0,COUNTIF(I2828,"82*")&gt;0,COUNTIF(J2828,"*82*")&gt;0,COUNTIF(I2828,"64*")&gt;0,COUNTIF(J2828,"*64*")&gt;0,COUNTIF(I2828,"65*")&gt;0,COUNTIF(J2828,"*65*")&gt;0,COUNTIF(I2828,"66*")&gt;0,COUNTIF(J2828,"*66*")&gt;0,COUNTIF(I2828,"61*")&gt;0,COUNTIF(J2828,"*61*")&gt;0,COUNTIF(I2828,"62*")&gt;0,COUNTIF(J2828,"*62*")&gt;0,COUNTIF(I2828,"63*")&gt;0,COUNTIF(J2828,"*63*")&gt;0,COUNTIF(I2828,"85*")&gt;0,COUNTIF(J2828,"*85*")&gt;0,COUNTIF(I2828,"86*")&gt;0,COUNTIF(J2828,"*86*")&gt;0),"Да","Нет"))</f>
        <v/>
      </c>
      <c r="M2828" s="13">
        <f>IF(OR(G2828="",L2828&lt;&gt;"Да"),"",IF(G2828&lt;=100,"До 100",IF(G2828&lt;=200,"До 200",IF(G2828&lt;=500,"До 500","Отдельное КП"))))</f>
        <v/>
      </c>
      <c r="N2828" s="15">
        <f>IF(OR(G2828="",L2828&lt;&gt;"Да"),"",IF(G2828&lt;=100,33600,IF(G2828&lt;=200,62400,IF(G2828&lt;=500,144000,""))))</f>
        <v/>
      </c>
      <c r="O2828" s="16">
        <f>IF(G2828="","",IF(G2828&lt;=15,"1–15",IF(G2828&lt;=30,"16–30",IF(G2828&lt;=50,"31–50",IF(G2828&lt;=100,"51–100",IF(G2828&lt;=150,"101–150",IF(G2828&lt;=200,"151–200",IF(G2828&lt;=500,"201–500","500+"))))))))</f>
        <v/>
      </c>
      <c r="P2828" s="16" t="inlineStr">
        <is>
          <t>Нет совпадения в предоставленной выгрузке ССЧР</t>
        </is>
      </c>
      <c r="Q2828" s="16" t="n"/>
      <c r="R2828" s="16">
        <f>HYPERLINK("https://checko.ru/search?query=3801001629","Чекко: проверить")</f>
        <v/>
      </c>
      <c r="S2828" t="n">
        <v>0</v>
      </c>
    </row>
    <row r="2829" ht="15" customHeight="1" s="24">
      <c r="A2829" s="13" t="n">
        <v>5000095289</v>
      </c>
      <c r="B2829" s="13" t="inlineStr">
        <is>
          <t>МКДОУ "Детский сад №59 " г.о.Нальчик КБР</t>
        </is>
      </c>
      <c r="C2829" s="13" t="n">
        <v>726025559</v>
      </c>
      <c r="D2829" s="13" t="n"/>
      <c r="E2829" s="13" t="inlineStr">
        <is>
          <t>Не определён</t>
        </is>
      </c>
      <c r="F2829" s="13" t="inlineStr">
        <is>
          <t>726025559</t>
        </is>
      </c>
      <c r="G2829" s="14" t="n"/>
      <c r="H2829" s="14" t="n"/>
      <c r="I2829" s="14" t="n"/>
      <c r="J2829" s="14" t="n"/>
      <c r="K2829" s="13">
        <f>IF(G2829="","",IF(G2829&gt;=22,"Да","Нет"))</f>
        <v/>
      </c>
      <c r="L2829" s="13">
        <f>IF(OR(I2829="",J2829=""),"Не определено",IF(OR(COUNTIF(I2829,"45*")&gt;0,COUNTIF(J2829,"*45*")&gt;0,COUNTIF(I2829,"46*")&gt;0,COUNTIF(J2829,"*46*")&gt;0,COUNTIF(I2829,"47*")&gt;0,COUNTIF(J2829,"*47*")&gt;0,COUNTIF(I2829,"10*")&gt;0,COUNTIF(J2829,"*10*")&gt;0,COUNTIF(I2829,"11*")&gt;0,COUNTIF(J2829,"*11*")&gt;0,COUNTIF(I2829,"12*")&gt;0,COUNTIF(J2829,"*12*")&gt;0,COUNTIF(I2829,"13*")&gt;0,COUNTIF(J2829,"*13*")&gt;0,COUNTIF(I2829,"14*")&gt;0,COUNTIF(J2829,"*14*")&gt;0,COUNTIF(I2829,"15*")&gt;0,COUNTIF(J2829,"*15*")&gt;0,COUNTIF(I2829,"16*")&gt;0,COUNTIF(J2829,"*16*")&gt;0,COUNTIF(I2829,"17*")&gt;0,COUNTIF(J2829,"*17*")&gt;0,COUNTIF(I2829,"18*")&gt;0,COUNTIF(J2829,"*18*")&gt;0,COUNTIF(I2829,"19*")&gt;0,COUNTIF(J2829,"*19*")&gt;0,COUNTIF(I2829,"20*")&gt;0,COUNTIF(J2829,"*20*")&gt;0,COUNTIF(I2829,"21*")&gt;0,COUNTIF(J2829,"*21*")&gt;0,COUNTIF(I2829,"22*")&gt;0,COUNTIF(J2829,"*22*")&gt;0,COUNTIF(I2829,"23*")&gt;0,COUNTIF(J2829,"*23*")&gt;0,COUNTIF(I2829,"24*")&gt;0,COUNTIF(J2829,"*24*")&gt;0,COUNTIF(I2829,"25*")&gt;0,COUNTIF(J2829,"*25*")&gt;0,COUNTIF(I2829,"26*")&gt;0,COUNTIF(J2829,"*26*")&gt;0,COUNTIF(I2829,"27*")&gt;0,COUNTIF(J2829,"*27*")&gt;0,COUNTIF(I2829,"28*")&gt;0,COUNTIF(J2829,"*28*")&gt;0,COUNTIF(I2829,"29*")&gt;0,COUNTIF(J2829,"*29*")&gt;0,COUNTIF(I2829,"30*")&gt;0,COUNTIF(J2829,"*30*")&gt;0,COUNTIF(I2829,"31*")&gt;0,COUNTIF(J2829,"*31*")&gt;0,COUNTIF(I2829,"32*")&gt;0,COUNTIF(J2829,"*32*")&gt;0,COUNTIF(I2829,"33*")&gt;0,COUNTIF(J2829,"*33*")&gt;0,COUNTIF(I2829,"41*")&gt;0,COUNTIF(J2829,"*41*")&gt;0,COUNTIF(I2829,"42*")&gt;0,COUNTIF(J2829,"*42*")&gt;0,COUNTIF(I2829,"43*")&gt;0,COUNTIF(J2829,"*43*")&gt;0,COUNTIF(I2829,"49*")&gt;0,COUNTIF(J2829,"*49*")&gt;0,COUNTIF(I2829,"52*")&gt;0,COUNTIF(J2829,"*52*")&gt;0,COUNTIF(I2829,"55*")&gt;0,COUNTIF(J2829,"*55*")&gt;0,COUNTIF(I2829,"56*")&gt;0,COUNTIF(J2829,"*56*")&gt;0,COUNTIF(I2829,"68*")&gt;0,COUNTIF(J2829,"*68*")&gt;0,COUNTIF(I2829,"78*")&gt;0,COUNTIF(J2829,"*78*")&gt;0,COUNTIF(I2829,"81*")&gt;0,COUNTIF(J2829,"*81*")&gt;0,COUNTIF(I2829,"82*")&gt;0,COUNTIF(J2829,"*82*")&gt;0,COUNTIF(I2829,"64*")&gt;0,COUNTIF(J2829,"*64*")&gt;0,COUNTIF(I2829,"65*")&gt;0,COUNTIF(J2829,"*65*")&gt;0,COUNTIF(I2829,"66*")&gt;0,COUNTIF(J2829,"*66*")&gt;0,COUNTIF(I2829,"61*")&gt;0,COUNTIF(J2829,"*61*")&gt;0,COUNTIF(I2829,"62*")&gt;0,COUNTIF(J2829,"*62*")&gt;0,COUNTIF(I2829,"63*")&gt;0,COUNTIF(J2829,"*63*")&gt;0,COUNTIF(I2829,"85*")&gt;0,COUNTIF(J2829,"*85*")&gt;0,COUNTIF(I2829,"86*")&gt;0,COUNTIF(J2829,"*86*")&gt;0),"Да","Нет"))</f>
        <v/>
      </c>
      <c r="M2829" s="13">
        <f>IF(OR(G2829="",L2829&lt;&gt;"Да"),"",IF(G2829&lt;=100,"До 100",IF(G2829&lt;=200,"До 200",IF(G2829&lt;=500,"До 500","Отдельное КП"))))</f>
        <v/>
      </c>
      <c r="N2829" s="15">
        <f>IF(OR(G2829="",L2829&lt;&gt;"Да"),"",IF(G2829&lt;=100,33600,IF(G2829&lt;=200,62400,IF(G2829&lt;=500,144000,""))))</f>
        <v/>
      </c>
      <c r="O2829" s="16">
        <f>IF(G2829="","",IF(G2829&lt;=15,"1–15",IF(G2829&lt;=30,"16–30",IF(G2829&lt;=50,"31–50",IF(G2829&lt;=100,"51–100",IF(G2829&lt;=150,"101–150",IF(G2829&lt;=200,"151–200",IF(G2829&lt;=500,"201–500","500+"))))))))</f>
        <v/>
      </c>
      <c r="P2829" s="16" t="inlineStr">
        <is>
          <t>Нет совпадения в предоставленной выгрузке ССЧР</t>
        </is>
      </c>
      <c r="Q2829" s="16" t="n"/>
      <c r="R2829" s="16">
        <f>HYPERLINK("https://checko.ru/search?query=3801001629","Чекко: проверить")</f>
        <v/>
      </c>
      <c r="S2829" t="n">
        <v>0</v>
      </c>
    </row>
    <row r="2830" ht="15" customHeight="1" s="24">
      <c r="A2830" s="13" t="n">
        <v>5000095290</v>
      </c>
      <c r="B2830" s="13" t="inlineStr">
        <is>
          <t>МКДОУ "Детский сад №71"  г.о.Нальчик КБР</t>
        </is>
      </c>
      <c r="C2830" s="13" t="n">
        <v>726025566</v>
      </c>
      <c r="D2830" s="13" t="n"/>
      <c r="E2830" s="13" t="inlineStr">
        <is>
          <t>Не определён</t>
        </is>
      </c>
      <c r="F2830" s="13" t="inlineStr">
        <is>
          <t>726025566</t>
        </is>
      </c>
      <c r="G2830" s="14" t="n"/>
      <c r="H2830" s="14" t="n"/>
      <c r="I2830" s="14" t="n"/>
      <c r="J2830" s="14" t="n"/>
      <c r="K2830" s="13">
        <f>IF(G2830="","",IF(G2830&gt;=22,"Да","Нет"))</f>
        <v/>
      </c>
      <c r="L2830" s="13">
        <f>IF(OR(I2830="",J2830=""),"Не определено",IF(OR(COUNTIF(I2830,"45*")&gt;0,COUNTIF(J2830,"*45*")&gt;0,COUNTIF(I2830,"46*")&gt;0,COUNTIF(J2830,"*46*")&gt;0,COUNTIF(I2830,"47*")&gt;0,COUNTIF(J2830,"*47*")&gt;0,COUNTIF(I2830,"10*")&gt;0,COUNTIF(J2830,"*10*")&gt;0,COUNTIF(I2830,"11*")&gt;0,COUNTIF(J2830,"*11*")&gt;0,COUNTIF(I2830,"12*")&gt;0,COUNTIF(J2830,"*12*")&gt;0,COUNTIF(I2830,"13*")&gt;0,COUNTIF(J2830,"*13*")&gt;0,COUNTIF(I2830,"14*")&gt;0,COUNTIF(J2830,"*14*")&gt;0,COUNTIF(I2830,"15*")&gt;0,COUNTIF(J2830,"*15*")&gt;0,COUNTIF(I2830,"16*")&gt;0,COUNTIF(J2830,"*16*")&gt;0,COUNTIF(I2830,"17*")&gt;0,COUNTIF(J2830,"*17*")&gt;0,COUNTIF(I2830,"18*")&gt;0,COUNTIF(J2830,"*18*")&gt;0,COUNTIF(I2830,"19*")&gt;0,COUNTIF(J2830,"*19*")&gt;0,COUNTIF(I2830,"20*")&gt;0,COUNTIF(J2830,"*20*")&gt;0,COUNTIF(I2830,"21*")&gt;0,COUNTIF(J2830,"*21*")&gt;0,COUNTIF(I2830,"22*")&gt;0,COUNTIF(J2830,"*22*")&gt;0,COUNTIF(I2830,"23*")&gt;0,COUNTIF(J2830,"*23*")&gt;0,COUNTIF(I2830,"24*")&gt;0,COUNTIF(J2830,"*24*")&gt;0,COUNTIF(I2830,"25*")&gt;0,COUNTIF(J2830,"*25*")&gt;0,COUNTIF(I2830,"26*")&gt;0,COUNTIF(J2830,"*26*")&gt;0,COUNTIF(I2830,"27*")&gt;0,COUNTIF(J2830,"*27*")&gt;0,COUNTIF(I2830,"28*")&gt;0,COUNTIF(J2830,"*28*")&gt;0,COUNTIF(I2830,"29*")&gt;0,COUNTIF(J2830,"*29*")&gt;0,COUNTIF(I2830,"30*")&gt;0,COUNTIF(J2830,"*30*")&gt;0,COUNTIF(I2830,"31*")&gt;0,COUNTIF(J2830,"*31*")&gt;0,COUNTIF(I2830,"32*")&gt;0,COUNTIF(J2830,"*32*")&gt;0,COUNTIF(I2830,"33*")&gt;0,COUNTIF(J2830,"*33*")&gt;0,COUNTIF(I2830,"41*")&gt;0,COUNTIF(J2830,"*41*")&gt;0,COUNTIF(I2830,"42*")&gt;0,COUNTIF(J2830,"*42*")&gt;0,COUNTIF(I2830,"43*")&gt;0,COUNTIF(J2830,"*43*")&gt;0,COUNTIF(I2830,"49*")&gt;0,COUNTIF(J2830,"*49*")&gt;0,COUNTIF(I2830,"52*")&gt;0,COUNTIF(J2830,"*52*")&gt;0,COUNTIF(I2830,"55*")&gt;0,COUNTIF(J2830,"*55*")&gt;0,COUNTIF(I2830,"56*")&gt;0,COUNTIF(J2830,"*56*")&gt;0,COUNTIF(I2830,"68*")&gt;0,COUNTIF(J2830,"*68*")&gt;0,COUNTIF(I2830,"78*")&gt;0,COUNTIF(J2830,"*78*")&gt;0,COUNTIF(I2830,"81*")&gt;0,COUNTIF(J2830,"*81*")&gt;0,COUNTIF(I2830,"82*")&gt;0,COUNTIF(J2830,"*82*")&gt;0,COUNTIF(I2830,"64*")&gt;0,COUNTIF(J2830,"*64*")&gt;0,COUNTIF(I2830,"65*")&gt;0,COUNTIF(J2830,"*65*")&gt;0,COUNTIF(I2830,"66*")&gt;0,COUNTIF(J2830,"*66*")&gt;0,COUNTIF(I2830,"61*")&gt;0,COUNTIF(J2830,"*61*")&gt;0,COUNTIF(I2830,"62*")&gt;0,COUNTIF(J2830,"*62*")&gt;0,COUNTIF(I2830,"63*")&gt;0,COUNTIF(J2830,"*63*")&gt;0,COUNTIF(I2830,"85*")&gt;0,COUNTIF(J2830,"*85*")&gt;0,COUNTIF(I2830,"86*")&gt;0,COUNTIF(J2830,"*86*")&gt;0),"Да","Нет"))</f>
        <v/>
      </c>
      <c r="M2830" s="13">
        <f>IF(OR(G2830="",L2830&lt;&gt;"Да"),"",IF(G2830&lt;=100,"До 100",IF(G2830&lt;=200,"До 200",IF(G2830&lt;=500,"До 500","Отдельное КП"))))</f>
        <v/>
      </c>
      <c r="N2830" s="15">
        <f>IF(OR(G2830="",L2830&lt;&gt;"Да"),"",IF(G2830&lt;=100,33600,IF(G2830&lt;=200,62400,IF(G2830&lt;=500,144000,""))))</f>
        <v/>
      </c>
      <c r="O2830" s="16">
        <f>IF(G2830="","",IF(G2830&lt;=15,"1–15",IF(G2830&lt;=30,"16–30",IF(G2830&lt;=50,"31–50",IF(G2830&lt;=100,"51–100",IF(G2830&lt;=150,"101–150",IF(G2830&lt;=200,"151–200",IF(G2830&lt;=500,"201–500","500+"))))))))</f>
        <v/>
      </c>
      <c r="P2830" s="16" t="inlineStr">
        <is>
          <t>Нет совпадения в предоставленной выгрузке ССЧР</t>
        </is>
      </c>
      <c r="Q2830" s="16" t="n"/>
      <c r="R2830" s="16">
        <f>HYPERLINK("https://checko.ru/search?query=3801001629","Чекко: проверить")</f>
        <v/>
      </c>
      <c r="S2830" t="n">
        <v>0</v>
      </c>
    </row>
    <row r="2831" ht="15" customHeight="1" s="24">
      <c r="A2831" s="13" t="n">
        <v>5000095291</v>
      </c>
      <c r="B2831" s="13" t="inlineStr">
        <is>
          <t>МКДОУ "Детский сад №46" г.о.Нальчик КБР</t>
        </is>
      </c>
      <c r="C2831" s="13" t="n">
        <v>726025573</v>
      </c>
      <c r="D2831" s="13" t="n"/>
      <c r="E2831" s="13" t="inlineStr">
        <is>
          <t>Не определён</t>
        </is>
      </c>
      <c r="F2831" s="13" t="inlineStr">
        <is>
          <t>726025573</t>
        </is>
      </c>
      <c r="G2831" s="14" t="n"/>
      <c r="H2831" s="14" t="n"/>
      <c r="I2831" s="14" t="n"/>
      <c r="J2831" s="14" t="n"/>
      <c r="K2831" s="13">
        <f>IF(G2831="","",IF(G2831&gt;=22,"Да","Нет"))</f>
        <v/>
      </c>
      <c r="L2831" s="13">
        <f>IF(OR(I2831="",J2831=""),"Не определено",IF(OR(COUNTIF(I2831,"45*")&gt;0,COUNTIF(J2831,"*45*")&gt;0,COUNTIF(I2831,"46*")&gt;0,COUNTIF(J2831,"*46*")&gt;0,COUNTIF(I2831,"47*")&gt;0,COUNTIF(J2831,"*47*")&gt;0,COUNTIF(I2831,"10*")&gt;0,COUNTIF(J2831,"*10*")&gt;0,COUNTIF(I2831,"11*")&gt;0,COUNTIF(J2831,"*11*")&gt;0,COUNTIF(I2831,"12*")&gt;0,COUNTIF(J2831,"*12*")&gt;0,COUNTIF(I2831,"13*")&gt;0,COUNTIF(J2831,"*13*")&gt;0,COUNTIF(I2831,"14*")&gt;0,COUNTIF(J2831,"*14*")&gt;0,COUNTIF(I2831,"15*")&gt;0,COUNTIF(J2831,"*15*")&gt;0,COUNTIF(I2831,"16*")&gt;0,COUNTIF(J2831,"*16*")&gt;0,COUNTIF(I2831,"17*")&gt;0,COUNTIF(J2831,"*17*")&gt;0,COUNTIF(I2831,"18*")&gt;0,COUNTIF(J2831,"*18*")&gt;0,COUNTIF(I2831,"19*")&gt;0,COUNTIF(J2831,"*19*")&gt;0,COUNTIF(I2831,"20*")&gt;0,COUNTIF(J2831,"*20*")&gt;0,COUNTIF(I2831,"21*")&gt;0,COUNTIF(J2831,"*21*")&gt;0,COUNTIF(I2831,"22*")&gt;0,COUNTIF(J2831,"*22*")&gt;0,COUNTIF(I2831,"23*")&gt;0,COUNTIF(J2831,"*23*")&gt;0,COUNTIF(I2831,"24*")&gt;0,COUNTIF(J2831,"*24*")&gt;0,COUNTIF(I2831,"25*")&gt;0,COUNTIF(J2831,"*25*")&gt;0,COUNTIF(I2831,"26*")&gt;0,COUNTIF(J2831,"*26*")&gt;0,COUNTIF(I2831,"27*")&gt;0,COUNTIF(J2831,"*27*")&gt;0,COUNTIF(I2831,"28*")&gt;0,COUNTIF(J2831,"*28*")&gt;0,COUNTIF(I2831,"29*")&gt;0,COUNTIF(J2831,"*29*")&gt;0,COUNTIF(I2831,"30*")&gt;0,COUNTIF(J2831,"*30*")&gt;0,COUNTIF(I2831,"31*")&gt;0,COUNTIF(J2831,"*31*")&gt;0,COUNTIF(I2831,"32*")&gt;0,COUNTIF(J2831,"*32*")&gt;0,COUNTIF(I2831,"33*")&gt;0,COUNTIF(J2831,"*33*")&gt;0,COUNTIF(I2831,"41*")&gt;0,COUNTIF(J2831,"*41*")&gt;0,COUNTIF(I2831,"42*")&gt;0,COUNTIF(J2831,"*42*")&gt;0,COUNTIF(I2831,"43*")&gt;0,COUNTIF(J2831,"*43*")&gt;0,COUNTIF(I2831,"49*")&gt;0,COUNTIF(J2831,"*49*")&gt;0,COUNTIF(I2831,"52*")&gt;0,COUNTIF(J2831,"*52*")&gt;0,COUNTIF(I2831,"55*")&gt;0,COUNTIF(J2831,"*55*")&gt;0,COUNTIF(I2831,"56*")&gt;0,COUNTIF(J2831,"*56*")&gt;0,COUNTIF(I2831,"68*")&gt;0,COUNTIF(J2831,"*68*")&gt;0,COUNTIF(I2831,"78*")&gt;0,COUNTIF(J2831,"*78*")&gt;0,COUNTIF(I2831,"81*")&gt;0,COUNTIF(J2831,"*81*")&gt;0,COUNTIF(I2831,"82*")&gt;0,COUNTIF(J2831,"*82*")&gt;0,COUNTIF(I2831,"64*")&gt;0,COUNTIF(J2831,"*64*")&gt;0,COUNTIF(I2831,"65*")&gt;0,COUNTIF(J2831,"*65*")&gt;0,COUNTIF(I2831,"66*")&gt;0,COUNTIF(J2831,"*66*")&gt;0,COUNTIF(I2831,"61*")&gt;0,COUNTIF(J2831,"*61*")&gt;0,COUNTIF(I2831,"62*")&gt;0,COUNTIF(J2831,"*62*")&gt;0,COUNTIF(I2831,"63*")&gt;0,COUNTIF(J2831,"*63*")&gt;0,COUNTIF(I2831,"85*")&gt;0,COUNTIF(J2831,"*85*")&gt;0,COUNTIF(I2831,"86*")&gt;0,COUNTIF(J2831,"*86*")&gt;0),"Да","Нет"))</f>
        <v/>
      </c>
      <c r="M2831" s="13">
        <f>IF(OR(G2831="",L2831&lt;&gt;"Да"),"",IF(G2831&lt;=100,"До 100",IF(G2831&lt;=200,"До 200",IF(G2831&lt;=500,"До 500","Отдельное КП"))))</f>
        <v/>
      </c>
      <c r="N2831" s="15">
        <f>IF(OR(G2831="",L2831&lt;&gt;"Да"),"",IF(G2831&lt;=100,33600,IF(G2831&lt;=200,62400,IF(G2831&lt;=500,144000,""))))</f>
        <v/>
      </c>
      <c r="O2831" s="16">
        <f>IF(G2831="","",IF(G2831&lt;=15,"1–15",IF(G2831&lt;=30,"16–30",IF(G2831&lt;=50,"31–50",IF(G2831&lt;=100,"51–100",IF(G2831&lt;=150,"101–150",IF(G2831&lt;=200,"151–200",IF(G2831&lt;=500,"201–500","500+"))))))))</f>
        <v/>
      </c>
      <c r="P2831" s="16" t="inlineStr">
        <is>
          <t>Нет совпадения в предоставленной выгрузке ССЧР</t>
        </is>
      </c>
      <c r="Q2831" s="16" t="n"/>
      <c r="R2831" s="16">
        <f>HYPERLINK("https://checko.ru/search?query=3801001629","Чекко: проверить")</f>
        <v/>
      </c>
      <c r="S2831" t="n">
        <v>0</v>
      </c>
    </row>
    <row r="2832" ht="15" customHeight="1" s="24">
      <c r="A2832" s="13" t="n">
        <v>5000095292</v>
      </c>
      <c r="B2832" s="13" t="inlineStr">
        <is>
          <t>МКДОУ "Детский сад № 57"  г.о.Нальчик КБР</t>
        </is>
      </c>
      <c r="C2832" s="13" t="n">
        <v>726025580</v>
      </c>
      <c r="D2832" s="13" t="n"/>
      <c r="E2832" s="13" t="inlineStr">
        <is>
          <t>Не определён</t>
        </is>
      </c>
      <c r="F2832" s="13" t="inlineStr">
        <is>
          <t>726025580</t>
        </is>
      </c>
      <c r="G2832" s="14" t="n"/>
      <c r="H2832" s="14" t="n"/>
      <c r="I2832" s="14" t="n"/>
      <c r="J2832" s="14" t="n"/>
      <c r="K2832" s="13">
        <f>IF(G2832="","",IF(G2832&gt;=22,"Да","Нет"))</f>
        <v/>
      </c>
      <c r="L2832" s="13">
        <f>IF(OR(I2832="",J2832=""),"Не определено",IF(OR(COUNTIF(I2832,"45*")&gt;0,COUNTIF(J2832,"*45*")&gt;0,COUNTIF(I2832,"46*")&gt;0,COUNTIF(J2832,"*46*")&gt;0,COUNTIF(I2832,"47*")&gt;0,COUNTIF(J2832,"*47*")&gt;0,COUNTIF(I2832,"10*")&gt;0,COUNTIF(J2832,"*10*")&gt;0,COUNTIF(I2832,"11*")&gt;0,COUNTIF(J2832,"*11*")&gt;0,COUNTIF(I2832,"12*")&gt;0,COUNTIF(J2832,"*12*")&gt;0,COUNTIF(I2832,"13*")&gt;0,COUNTIF(J2832,"*13*")&gt;0,COUNTIF(I2832,"14*")&gt;0,COUNTIF(J2832,"*14*")&gt;0,COUNTIF(I2832,"15*")&gt;0,COUNTIF(J2832,"*15*")&gt;0,COUNTIF(I2832,"16*")&gt;0,COUNTIF(J2832,"*16*")&gt;0,COUNTIF(I2832,"17*")&gt;0,COUNTIF(J2832,"*17*")&gt;0,COUNTIF(I2832,"18*")&gt;0,COUNTIF(J2832,"*18*")&gt;0,COUNTIF(I2832,"19*")&gt;0,COUNTIF(J2832,"*19*")&gt;0,COUNTIF(I2832,"20*")&gt;0,COUNTIF(J2832,"*20*")&gt;0,COUNTIF(I2832,"21*")&gt;0,COUNTIF(J2832,"*21*")&gt;0,COUNTIF(I2832,"22*")&gt;0,COUNTIF(J2832,"*22*")&gt;0,COUNTIF(I2832,"23*")&gt;0,COUNTIF(J2832,"*23*")&gt;0,COUNTIF(I2832,"24*")&gt;0,COUNTIF(J2832,"*24*")&gt;0,COUNTIF(I2832,"25*")&gt;0,COUNTIF(J2832,"*25*")&gt;0,COUNTIF(I2832,"26*")&gt;0,COUNTIF(J2832,"*26*")&gt;0,COUNTIF(I2832,"27*")&gt;0,COUNTIF(J2832,"*27*")&gt;0,COUNTIF(I2832,"28*")&gt;0,COUNTIF(J2832,"*28*")&gt;0,COUNTIF(I2832,"29*")&gt;0,COUNTIF(J2832,"*29*")&gt;0,COUNTIF(I2832,"30*")&gt;0,COUNTIF(J2832,"*30*")&gt;0,COUNTIF(I2832,"31*")&gt;0,COUNTIF(J2832,"*31*")&gt;0,COUNTIF(I2832,"32*")&gt;0,COUNTIF(J2832,"*32*")&gt;0,COUNTIF(I2832,"33*")&gt;0,COUNTIF(J2832,"*33*")&gt;0,COUNTIF(I2832,"41*")&gt;0,COUNTIF(J2832,"*41*")&gt;0,COUNTIF(I2832,"42*")&gt;0,COUNTIF(J2832,"*42*")&gt;0,COUNTIF(I2832,"43*")&gt;0,COUNTIF(J2832,"*43*")&gt;0,COUNTIF(I2832,"49*")&gt;0,COUNTIF(J2832,"*49*")&gt;0,COUNTIF(I2832,"52*")&gt;0,COUNTIF(J2832,"*52*")&gt;0,COUNTIF(I2832,"55*")&gt;0,COUNTIF(J2832,"*55*")&gt;0,COUNTIF(I2832,"56*")&gt;0,COUNTIF(J2832,"*56*")&gt;0,COUNTIF(I2832,"68*")&gt;0,COUNTIF(J2832,"*68*")&gt;0,COUNTIF(I2832,"78*")&gt;0,COUNTIF(J2832,"*78*")&gt;0,COUNTIF(I2832,"81*")&gt;0,COUNTIF(J2832,"*81*")&gt;0,COUNTIF(I2832,"82*")&gt;0,COUNTIF(J2832,"*82*")&gt;0,COUNTIF(I2832,"64*")&gt;0,COUNTIF(J2832,"*64*")&gt;0,COUNTIF(I2832,"65*")&gt;0,COUNTIF(J2832,"*65*")&gt;0,COUNTIF(I2832,"66*")&gt;0,COUNTIF(J2832,"*66*")&gt;0,COUNTIF(I2832,"61*")&gt;0,COUNTIF(J2832,"*61*")&gt;0,COUNTIF(I2832,"62*")&gt;0,COUNTIF(J2832,"*62*")&gt;0,COUNTIF(I2832,"63*")&gt;0,COUNTIF(J2832,"*63*")&gt;0,COUNTIF(I2832,"85*")&gt;0,COUNTIF(J2832,"*85*")&gt;0,COUNTIF(I2832,"86*")&gt;0,COUNTIF(J2832,"*86*")&gt;0),"Да","Нет"))</f>
        <v/>
      </c>
      <c r="M2832" s="13">
        <f>IF(OR(G2832="",L2832&lt;&gt;"Да"),"",IF(G2832&lt;=100,"До 100",IF(G2832&lt;=200,"До 200",IF(G2832&lt;=500,"До 500","Отдельное КП"))))</f>
        <v/>
      </c>
      <c r="N2832" s="15">
        <f>IF(OR(G2832="",L2832&lt;&gt;"Да"),"",IF(G2832&lt;=100,33600,IF(G2832&lt;=200,62400,IF(G2832&lt;=500,144000,""))))</f>
        <v/>
      </c>
      <c r="O2832" s="16">
        <f>IF(G2832="","",IF(G2832&lt;=15,"1–15",IF(G2832&lt;=30,"16–30",IF(G2832&lt;=50,"31–50",IF(G2832&lt;=100,"51–100",IF(G2832&lt;=150,"101–150",IF(G2832&lt;=200,"151–200",IF(G2832&lt;=500,"201–500","500+"))))))))</f>
        <v/>
      </c>
      <c r="P2832" s="16" t="inlineStr">
        <is>
          <t>Нет совпадения в предоставленной выгрузке ССЧР</t>
        </is>
      </c>
      <c r="Q2832" s="16" t="n"/>
      <c r="R2832" s="16">
        <f>HYPERLINK("https://checko.ru/search?query=3801001629","Чекко: проверить")</f>
        <v/>
      </c>
      <c r="S2832" t="n">
        <v>0</v>
      </c>
    </row>
    <row r="2833" ht="15" customHeight="1" s="24">
      <c r="A2833" s="13" t="n">
        <v>5000095293</v>
      </c>
      <c r="B2833" s="13" t="inlineStr">
        <is>
          <t>МКДОУ "Детский сад № 64"  г.о.Нальчик КБР</t>
        </is>
      </c>
      <c r="C2833" s="13" t="n">
        <v>726025598</v>
      </c>
      <c r="D2833" s="13" t="n"/>
      <c r="E2833" s="13" t="inlineStr">
        <is>
          <t>Не определён</t>
        </is>
      </c>
      <c r="F2833" s="13" t="inlineStr">
        <is>
          <t>726025598</t>
        </is>
      </c>
      <c r="G2833" s="14" t="n"/>
      <c r="H2833" s="14" t="n"/>
      <c r="I2833" s="14" t="n"/>
      <c r="J2833" s="14" t="n"/>
      <c r="K2833" s="13">
        <f>IF(G2833="","",IF(G2833&gt;=22,"Да","Нет"))</f>
        <v/>
      </c>
      <c r="L2833" s="13">
        <f>IF(OR(I2833="",J2833=""),"Не определено",IF(OR(COUNTIF(I2833,"45*")&gt;0,COUNTIF(J2833,"*45*")&gt;0,COUNTIF(I2833,"46*")&gt;0,COUNTIF(J2833,"*46*")&gt;0,COUNTIF(I2833,"47*")&gt;0,COUNTIF(J2833,"*47*")&gt;0,COUNTIF(I2833,"10*")&gt;0,COUNTIF(J2833,"*10*")&gt;0,COUNTIF(I2833,"11*")&gt;0,COUNTIF(J2833,"*11*")&gt;0,COUNTIF(I2833,"12*")&gt;0,COUNTIF(J2833,"*12*")&gt;0,COUNTIF(I2833,"13*")&gt;0,COUNTIF(J2833,"*13*")&gt;0,COUNTIF(I2833,"14*")&gt;0,COUNTIF(J2833,"*14*")&gt;0,COUNTIF(I2833,"15*")&gt;0,COUNTIF(J2833,"*15*")&gt;0,COUNTIF(I2833,"16*")&gt;0,COUNTIF(J2833,"*16*")&gt;0,COUNTIF(I2833,"17*")&gt;0,COUNTIF(J2833,"*17*")&gt;0,COUNTIF(I2833,"18*")&gt;0,COUNTIF(J2833,"*18*")&gt;0,COUNTIF(I2833,"19*")&gt;0,COUNTIF(J2833,"*19*")&gt;0,COUNTIF(I2833,"20*")&gt;0,COUNTIF(J2833,"*20*")&gt;0,COUNTIF(I2833,"21*")&gt;0,COUNTIF(J2833,"*21*")&gt;0,COUNTIF(I2833,"22*")&gt;0,COUNTIF(J2833,"*22*")&gt;0,COUNTIF(I2833,"23*")&gt;0,COUNTIF(J2833,"*23*")&gt;0,COUNTIF(I2833,"24*")&gt;0,COUNTIF(J2833,"*24*")&gt;0,COUNTIF(I2833,"25*")&gt;0,COUNTIF(J2833,"*25*")&gt;0,COUNTIF(I2833,"26*")&gt;0,COUNTIF(J2833,"*26*")&gt;0,COUNTIF(I2833,"27*")&gt;0,COUNTIF(J2833,"*27*")&gt;0,COUNTIF(I2833,"28*")&gt;0,COUNTIF(J2833,"*28*")&gt;0,COUNTIF(I2833,"29*")&gt;0,COUNTIF(J2833,"*29*")&gt;0,COUNTIF(I2833,"30*")&gt;0,COUNTIF(J2833,"*30*")&gt;0,COUNTIF(I2833,"31*")&gt;0,COUNTIF(J2833,"*31*")&gt;0,COUNTIF(I2833,"32*")&gt;0,COUNTIF(J2833,"*32*")&gt;0,COUNTIF(I2833,"33*")&gt;0,COUNTIF(J2833,"*33*")&gt;0,COUNTIF(I2833,"41*")&gt;0,COUNTIF(J2833,"*41*")&gt;0,COUNTIF(I2833,"42*")&gt;0,COUNTIF(J2833,"*42*")&gt;0,COUNTIF(I2833,"43*")&gt;0,COUNTIF(J2833,"*43*")&gt;0,COUNTIF(I2833,"49*")&gt;0,COUNTIF(J2833,"*49*")&gt;0,COUNTIF(I2833,"52*")&gt;0,COUNTIF(J2833,"*52*")&gt;0,COUNTIF(I2833,"55*")&gt;0,COUNTIF(J2833,"*55*")&gt;0,COUNTIF(I2833,"56*")&gt;0,COUNTIF(J2833,"*56*")&gt;0,COUNTIF(I2833,"68*")&gt;0,COUNTIF(J2833,"*68*")&gt;0,COUNTIF(I2833,"78*")&gt;0,COUNTIF(J2833,"*78*")&gt;0,COUNTIF(I2833,"81*")&gt;0,COUNTIF(J2833,"*81*")&gt;0,COUNTIF(I2833,"82*")&gt;0,COUNTIF(J2833,"*82*")&gt;0,COUNTIF(I2833,"64*")&gt;0,COUNTIF(J2833,"*64*")&gt;0,COUNTIF(I2833,"65*")&gt;0,COUNTIF(J2833,"*65*")&gt;0,COUNTIF(I2833,"66*")&gt;0,COUNTIF(J2833,"*66*")&gt;0,COUNTIF(I2833,"61*")&gt;0,COUNTIF(J2833,"*61*")&gt;0,COUNTIF(I2833,"62*")&gt;0,COUNTIF(J2833,"*62*")&gt;0,COUNTIF(I2833,"63*")&gt;0,COUNTIF(J2833,"*63*")&gt;0,COUNTIF(I2833,"85*")&gt;0,COUNTIF(J2833,"*85*")&gt;0,COUNTIF(I2833,"86*")&gt;0,COUNTIF(J2833,"*86*")&gt;0),"Да","Нет"))</f>
        <v/>
      </c>
      <c r="M2833" s="13">
        <f>IF(OR(G2833="",L2833&lt;&gt;"Да"),"",IF(G2833&lt;=100,"До 100",IF(G2833&lt;=200,"До 200",IF(G2833&lt;=500,"До 500","Отдельное КП"))))</f>
        <v/>
      </c>
      <c r="N2833" s="15">
        <f>IF(OR(G2833="",L2833&lt;&gt;"Да"),"",IF(G2833&lt;=100,33600,IF(G2833&lt;=200,62400,IF(G2833&lt;=500,144000,""))))</f>
        <v/>
      </c>
      <c r="O2833" s="16">
        <f>IF(G2833="","",IF(G2833&lt;=15,"1–15",IF(G2833&lt;=30,"16–30",IF(G2833&lt;=50,"31–50",IF(G2833&lt;=100,"51–100",IF(G2833&lt;=150,"101–150",IF(G2833&lt;=200,"151–200",IF(G2833&lt;=500,"201–500","500+"))))))))</f>
        <v/>
      </c>
      <c r="P2833" s="16" t="inlineStr">
        <is>
          <t>Нет совпадения в предоставленной выгрузке ССЧР</t>
        </is>
      </c>
      <c r="Q2833" s="16" t="n"/>
      <c r="R2833" s="16">
        <f>HYPERLINK("https://checko.ru/search?query=3801001629","Чекко: проверить")</f>
        <v/>
      </c>
      <c r="S2833" t="n">
        <v>0</v>
      </c>
    </row>
    <row r="2834" ht="15" customHeight="1" s="24">
      <c r="A2834" s="13" t="n">
        <v>5000095294</v>
      </c>
      <c r="B2834" s="13" t="inlineStr">
        <is>
          <t>МКДОУ "Детский сад № 45"  г.о.Нальчик КБР</t>
        </is>
      </c>
      <c r="C2834" s="13" t="n">
        <v>726025615</v>
      </c>
      <c r="D2834" s="13" t="n"/>
      <c r="E2834" s="13" t="inlineStr">
        <is>
          <t>Не определён</t>
        </is>
      </c>
      <c r="F2834" s="13" t="inlineStr">
        <is>
          <t>726025615</t>
        </is>
      </c>
      <c r="G2834" s="14" t="n"/>
      <c r="H2834" s="14" t="n"/>
      <c r="I2834" s="14" t="n"/>
      <c r="J2834" s="14" t="n"/>
      <c r="K2834" s="13">
        <f>IF(G2834="","",IF(G2834&gt;=22,"Да","Нет"))</f>
        <v/>
      </c>
      <c r="L2834" s="13">
        <f>IF(OR(I2834="",J2834=""),"Не определено",IF(OR(COUNTIF(I2834,"45*")&gt;0,COUNTIF(J2834,"*45*")&gt;0,COUNTIF(I2834,"46*")&gt;0,COUNTIF(J2834,"*46*")&gt;0,COUNTIF(I2834,"47*")&gt;0,COUNTIF(J2834,"*47*")&gt;0,COUNTIF(I2834,"10*")&gt;0,COUNTIF(J2834,"*10*")&gt;0,COUNTIF(I2834,"11*")&gt;0,COUNTIF(J2834,"*11*")&gt;0,COUNTIF(I2834,"12*")&gt;0,COUNTIF(J2834,"*12*")&gt;0,COUNTIF(I2834,"13*")&gt;0,COUNTIF(J2834,"*13*")&gt;0,COUNTIF(I2834,"14*")&gt;0,COUNTIF(J2834,"*14*")&gt;0,COUNTIF(I2834,"15*")&gt;0,COUNTIF(J2834,"*15*")&gt;0,COUNTIF(I2834,"16*")&gt;0,COUNTIF(J2834,"*16*")&gt;0,COUNTIF(I2834,"17*")&gt;0,COUNTIF(J2834,"*17*")&gt;0,COUNTIF(I2834,"18*")&gt;0,COUNTIF(J2834,"*18*")&gt;0,COUNTIF(I2834,"19*")&gt;0,COUNTIF(J2834,"*19*")&gt;0,COUNTIF(I2834,"20*")&gt;0,COUNTIF(J2834,"*20*")&gt;0,COUNTIF(I2834,"21*")&gt;0,COUNTIF(J2834,"*21*")&gt;0,COUNTIF(I2834,"22*")&gt;0,COUNTIF(J2834,"*22*")&gt;0,COUNTIF(I2834,"23*")&gt;0,COUNTIF(J2834,"*23*")&gt;0,COUNTIF(I2834,"24*")&gt;0,COUNTIF(J2834,"*24*")&gt;0,COUNTIF(I2834,"25*")&gt;0,COUNTIF(J2834,"*25*")&gt;0,COUNTIF(I2834,"26*")&gt;0,COUNTIF(J2834,"*26*")&gt;0,COUNTIF(I2834,"27*")&gt;0,COUNTIF(J2834,"*27*")&gt;0,COUNTIF(I2834,"28*")&gt;0,COUNTIF(J2834,"*28*")&gt;0,COUNTIF(I2834,"29*")&gt;0,COUNTIF(J2834,"*29*")&gt;0,COUNTIF(I2834,"30*")&gt;0,COUNTIF(J2834,"*30*")&gt;0,COUNTIF(I2834,"31*")&gt;0,COUNTIF(J2834,"*31*")&gt;0,COUNTIF(I2834,"32*")&gt;0,COUNTIF(J2834,"*32*")&gt;0,COUNTIF(I2834,"33*")&gt;0,COUNTIF(J2834,"*33*")&gt;0,COUNTIF(I2834,"41*")&gt;0,COUNTIF(J2834,"*41*")&gt;0,COUNTIF(I2834,"42*")&gt;0,COUNTIF(J2834,"*42*")&gt;0,COUNTIF(I2834,"43*")&gt;0,COUNTIF(J2834,"*43*")&gt;0,COUNTIF(I2834,"49*")&gt;0,COUNTIF(J2834,"*49*")&gt;0,COUNTIF(I2834,"52*")&gt;0,COUNTIF(J2834,"*52*")&gt;0,COUNTIF(I2834,"55*")&gt;0,COUNTIF(J2834,"*55*")&gt;0,COUNTIF(I2834,"56*")&gt;0,COUNTIF(J2834,"*56*")&gt;0,COUNTIF(I2834,"68*")&gt;0,COUNTIF(J2834,"*68*")&gt;0,COUNTIF(I2834,"78*")&gt;0,COUNTIF(J2834,"*78*")&gt;0,COUNTIF(I2834,"81*")&gt;0,COUNTIF(J2834,"*81*")&gt;0,COUNTIF(I2834,"82*")&gt;0,COUNTIF(J2834,"*82*")&gt;0,COUNTIF(I2834,"64*")&gt;0,COUNTIF(J2834,"*64*")&gt;0,COUNTIF(I2834,"65*")&gt;0,COUNTIF(J2834,"*65*")&gt;0,COUNTIF(I2834,"66*")&gt;0,COUNTIF(J2834,"*66*")&gt;0,COUNTIF(I2834,"61*")&gt;0,COUNTIF(J2834,"*61*")&gt;0,COUNTIF(I2834,"62*")&gt;0,COUNTIF(J2834,"*62*")&gt;0,COUNTIF(I2834,"63*")&gt;0,COUNTIF(J2834,"*63*")&gt;0,COUNTIF(I2834,"85*")&gt;0,COUNTIF(J2834,"*85*")&gt;0,COUNTIF(I2834,"86*")&gt;0,COUNTIF(J2834,"*86*")&gt;0),"Да","Нет"))</f>
        <v/>
      </c>
      <c r="M2834" s="13">
        <f>IF(OR(G2834="",L2834&lt;&gt;"Да"),"",IF(G2834&lt;=100,"До 100",IF(G2834&lt;=200,"До 200",IF(G2834&lt;=500,"До 500","Отдельное КП"))))</f>
        <v/>
      </c>
      <c r="N2834" s="15">
        <f>IF(OR(G2834="",L2834&lt;&gt;"Да"),"",IF(G2834&lt;=100,33600,IF(G2834&lt;=200,62400,IF(G2834&lt;=500,144000,""))))</f>
        <v/>
      </c>
      <c r="O2834" s="16">
        <f>IF(G2834="","",IF(G2834&lt;=15,"1–15",IF(G2834&lt;=30,"16–30",IF(G2834&lt;=50,"31–50",IF(G2834&lt;=100,"51–100",IF(G2834&lt;=150,"101–150",IF(G2834&lt;=200,"151–200",IF(G2834&lt;=500,"201–500","500+"))))))))</f>
        <v/>
      </c>
      <c r="P2834" s="16" t="inlineStr">
        <is>
          <t>Нет совпадения в предоставленной выгрузке ССЧР</t>
        </is>
      </c>
      <c r="Q2834" s="16" t="n"/>
      <c r="R2834" s="16">
        <f>HYPERLINK("https://checko.ru/search?query=3801001629","Чекко: проверить")</f>
        <v/>
      </c>
      <c r="S2834" t="n">
        <v>0</v>
      </c>
    </row>
    <row r="2835" ht="15" customHeight="1" s="24">
      <c r="A2835" s="13" t="n">
        <v>5000095295</v>
      </c>
      <c r="B2835" s="13" t="inlineStr">
        <is>
          <t>МКДОУ "Детский сад № 4"  г.о.Нальчик КБР</t>
        </is>
      </c>
      <c r="C2835" s="13" t="n">
        <v>726025622</v>
      </c>
      <c r="D2835" s="13" t="n"/>
      <c r="E2835" s="13" t="inlineStr">
        <is>
          <t>Не определён</t>
        </is>
      </c>
      <c r="F2835" s="13" t="inlineStr">
        <is>
          <t>726025622</t>
        </is>
      </c>
      <c r="G2835" s="14" t="n"/>
      <c r="H2835" s="14" t="n"/>
      <c r="I2835" s="14" t="n"/>
      <c r="J2835" s="14" t="n"/>
      <c r="K2835" s="13">
        <f>IF(G2835="","",IF(G2835&gt;=22,"Да","Нет"))</f>
        <v/>
      </c>
      <c r="L2835" s="13">
        <f>IF(OR(I2835="",J2835=""),"Не определено",IF(OR(COUNTIF(I2835,"45*")&gt;0,COUNTIF(J2835,"*45*")&gt;0,COUNTIF(I2835,"46*")&gt;0,COUNTIF(J2835,"*46*")&gt;0,COUNTIF(I2835,"47*")&gt;0,COUNTIF(J2835,"*47*")&gt;0,COUNTIF(I2835,"10*")&gt;0,COUNTIF(J2835,"*10*")&gt;0,COUNTIF(I2835,"11*")&gt;0,COUNTIF(J2835,"*11*")&gt;0,COUNTIF(I2835,"12*")&gt;0,COUNTIF(J2835,"*12*")&gt;0,COUNTIF(I2835,"13*")&gt;0,COUNTIF(J2835,"*13*")&gt;0,COUNTIF(I2835,"14*")&gt;0,COUNTIF(J2835,"*14*")&gt;0,COUNTIF(I2835,"15*")&gt;0,COUNTIF(J2835,"*15*")&gt;0,COUNTIF(I2835,"16*")&gt;0,COUNTIF(J2835,"*16*")&gt;0,COUNTIF(I2835,"17*")&gt;0,COUNTIF(J2835,"*17*")&gt;0,COUNTIF(I2835,"18*")&gt;0,COUNTIF(J2835,"*18*")&gt;0,COUNTIF(I2835,"19*")&gt;0,COUNTIF(J2835,"*19*")&gt;0,COUNTIF(I2835,"20*")&gt;0,COUNTIF(J2835,"*20*")&gt;0,COUNTIF(I2835,"21*")&gt;0,COUNTIF(J2835,"*21*")&gt;0,COUNTIF(I2835,"22*")&gt;0,COUNTIF(J2835,"*22*")&gt;0,COUNTIF(I2835,"23*")&gt;0,COUNTIF(J2835,"*23*")&gt;0,COUNTIF(I2835,"24*")&gt;0,COUNTIF(J2835,"*24*")&gt;0,COUNTIF(I2835,"25*")&gt;0,COUNTIF(J2835,"*25*")&gt;0,COUNTIF(I2835,"26*")&gt;0,COUNTIF(J2835,"*26*")&gt;0,COUNTIF(I2835,"27*")&gt;0,COUNTIF(J2835,"*27*")&gt;0,COUNTIF(I2835,"28*")&gt;0,COUNTIF(J2835,"*28*")&gt;0,COUNTIF(I2835,"29*")&gt;0,COUNTIF(J2835,"*29*")&gt;0,COUNTIF(I2835,"30*")&gt;0,COUNTIF(J2835,"*30*")&gt;0,COUNTIF(I2835,"31*")&gt;0,COUNTIF(J2835,"*31*")&gt;0,COUNTIF(I2835,"32*")&gt;0,COUNTIF(J2835,"*32*")&gt;0,COUNTIF(I2835,"33*")&gt;0,COUNTIF(J2835,"*33*")&gt;0,COUNTIF(I2835,"41*")&gt;0,COUNTIF(J2835,"*41*")&gt;0,COUNTIF(I2835,"42*")&gt;0,COUNTIF(J2835,"*42*")&gt;0,COUNTIF(I2835,"43*")&gt;0,COUNTIF(J2835,"*43*")&gt;0,COUNTIF(I2835,"49*")&gt;0,COUNTIF(J2835,"*49*")&gt;0,COUNTIF(I2835,"52*")&gt;0,COUNTIF(J2835,"*52*")&gt;0,COUNTIF(I2835,"55*")&gt;0,COUNTIF(J2835,"*55*")&gt;0,COUNTIF(I2835,"56*")&gt;0,COUNTIF(J2835,"*56*")&gt;0,COUNTIF(I2835,"68*")&gt;0,COUNTIF(J2835,"*68*")&gt;0,COUNTIF(I2835,"78*")&gt;0,COUNTIF(J2835,"*78*")&gt;0,COUNTIF(I2835,"81*")&gt;0,COUNTIF(J2835,"*81*")&gt;0,COUNTIF(I2835,"82*")&gt;0,COUNTIF(J2835,"*82*")&gt;0,COUNTIF(I2835,"64*")&gt;0,COUNTIF(J2835,"*64*")&gt;0,COUNTIF(I2835,"65*")&gt;0,COUNTIF(J2835,"*65*")&gt;0,COUNTIF(I2835,"66*")&gt;0,COUNTIF(J2835,"*66*")&gt;0,COUNTIF(I2835,"61*")&gt;0,COUNTIF(J2835,"*61*")&gt;0,COUNTIF(I2835,"62*")&gt;0,COUNTIF(J2835,"*62*")&gt;0,COUNTIF(I2835,"63*")&gt;0,COUNTIF(J2835,"*63*")&gt;0,COUNTIF(I2835,"85*")&gt;0,COUNTIF(J2835,"*85*")&gt;0,COUNTIF(I2835,"86*")&gt;0,COUNTIF(J2835,"*86*")&gt;0),"Да","Нет"))</f>
        <v/>
      </c>
      <c r="M2835" s="13">
        <f>IF(OR(G2835="",L2835&lt;&gt;"Да"),"",IF(G2835&lt;=100,"До 100",IF(G2835&lt;=200,"До 200",IF(G2835&lt;=500,"До 500","Отдельное КП"))))</f>
        <v/>
      </c>
      <c r="N2835" s="15">
        <f>IF(OR(G2835="",L2835&lt;&gt;"Да"),"",IF(G2835&lt;=100,33600,IF(G2835&lt;=200,62400,IF(G2835&lt;=500,144000,""))))</f>
        <v/>
      </c>
      <c r="O2835" s="16">
        <f>IF(G2835="","",IF(G2835&lt;=15,"1–15",IF(G2835&lt;=30,"16–30",IF(G2835&lt;=50,"31–50",IF(G2835&lt;=100,"51–100",IF(G2835&lt;=150,"101–150",IF(G2835&lt;=200,"151–200",IF(G2835&lt;=500,"201–500","500+"))))))))</f>
        <v/>
      </c>
      <c r="P2835" s="16" t="inlineStr">
        <is>
          <t>Нет совпадения в предоставленной выгрузке ССЧР</t>
        </is>
      </c>
      <c r="Q2835" s="16" t="n"/>
      <c r="R2835" s="16">
        <f>HYPERLINK("https://checko.ru/search?query=3801001629","Чекко: проверить")</f>
        <v/>
      </c>
      <c r="S2835" t="n">
        <v>0</v>
      </c>
    </row>
    <row r="2836" ht="15" customHeight="1" s="24">
      <c r="A2836" s="13" t="n">
        <v>5000095194</v>
      </c>
      <c r="B2836" s="13" t="inlineStr">
        <is>
          <t>МКОУ СОШ с.п. с.п. Ташлы-Тала и Верхний Лескен</t>
        </is>
      </c>
      <c r="C2836" s="13" t="n">
        <v>724000862</v>
      </c>
      <c r="D2836" s="13" t="n"/>
      <c r="E2836" s="13" t="inlineStr">
        <is>
          <t>Не определён</t>
        </is>
      </c>
      <c r="F2836" s="13" t="inlineStr">
        <is>
          <t>724000862</t>
        </is>
      </c>
      <c r="G2836" s="14" t="n"/>
      <c r="H2836" s="14" t="n"/>
      <c r="I2836" s="14" t="n"/>
      <c r="J2836" s="14" t="n"/>
      <c r="K2836" s="13">
        <f>IF(G2836="","",IF(G2836&gt;=22,"Да","Нет"))</f>
        <v/>
      </c>
      <c r="L2836" s="13">
        <f>IF(OR(I2836="",J2836=""),"Не определено",IF(OR(COUNTIF(I2836,"45*")&gt;0,COUNTIF(J2836,"*45*")&gt;0,COUNTIF(I2836,"46*")&gt;0,COUNTIF(J2836,"*46*")&gt;0,COUNTIF(I2836,"47*")&gt;0,COUNTIF(J2836,"*47*")&gt;0,COUNTIF(I2836,"10*")&gt;0,COUNTIF(J2836,"*10*")&gt;0,COUNTIF(I2836,"11*")&gt;0,COUNTIF(J2836,"*11*")&gt;0,COUNTIF(I2836,"12*")&gt;0,COUNTIF(J2836,"*12*")&gt;0,COUNTIF(I2836,"13*")&gt;0,COUNTIF(J2836,"*13*")&gt;0,COUNTIF(I2836,"14*")&gt;0,COUNTIF(J2836,"*14*")&gt;0,COUNTIF(I2836,"15*")&gt;0,COUNTIF(J2836,"*15*")&gt;0,COUNTIF(I2836,"16*")&gt;0,COUNTIF(J2836,"*16*")&gt;0,COUNTIF(I2836,"17*")&gt;0,COUNTIF(J2836,"*17*")&gt;0,COUNTIF(I2836,"18*")&gt;0,COUNTIF(J2836,"*18*")&gt;0,COUNTIF(I2836,"19*")&gt;0,COUNTIF(J2836,"*19*")&gt;0,COUNTIF(I2836,"20*")&gt;0,COUNTIF(J2836,"*20*")&gt;0,COUNTIF(I2836,"21*")&gt;0,COUNTIF(J2836,"*21*")&gt;0,COUNTIF(I2836,"22*")&gt;0,COUNTIF(J2836,"*22*")&gt;0,COUNTIF(I2836,"23*")&gt;0,COUNTIF(J2836,"*23*")&gt;0,COUNTIF(I2836,"24*")&gt;0,COUNTIF(J2836,"*24*")&gt;0,COUNTIF(I2836,"25*")&gt;0,COUNTIF(J2836,"*25*")&gt;0,COUNTIF(I2836,"26*")&gt;0,COUNTIF(J2836,"*26*")&gt;0,COUNTIF(I2836,"27*")&gt;0,COUNTIF(J2836,"*27*")&gt;0,COUNTIF(I2836,"28*")&gt;0,COUNTIF(J2836,"*28*")&gt;0,COUNTIF(I2836,"29*")&gt;0,COUNTIF(J2836,"*29*")&gt;0,COUNTIF(I2836,"30*")&gt;0,COUNTIF(J2836,"*30*")&gt;0,COUNTIF(I2836,"31*")&gt;0,COUNTIF(J2836,"*31*")&gt;0,COUNTIF(I2836,"32*")&gt;0,COUNTIF(J2836,"*32*")&gt;0,COUNTIF(I2836,"33*")&gt;0,COUNTIF(J2836,"*33*")&gt;0,COUNTIF(I2836,"41*")&gt;0,COUNTIF(J2836,"*41*")&gt;0,COUNTIF(I2836,"42*")&gt;0,COUNTIF(J2836,"*42*")&gt;0,COUNTIF(I2836,"43*")&gt;0,COUNTIF(J2836,"*43*")&gt;0,COUNTIF(I2836,"49*")&gt;0,COUNTIF(J2836,"*49*")&gt;0,COUNTIF(I2836,"52*")&gt;0,COUNTIF(J2836,"*52*")&gt;0,COUNTIF(I2836,"55*")&gt;0,COUNTIF(J2836,"*55*")&gt;0,COUNTIF(I2836,"56*")&gt;0,COUNTIF(J2836,"*56*")&gt;0,COUNTIF(I2836,"68*")&gt;0,COUNTIF(J2836,"*68*")&gt;0,COUNTIF(I2836,"78*")&gt;0,COUNTIF(J2836,"*78*")&gt;0,COUNTIF(I2836,"81*")&gt;0,COUNTIF(J2836,"*81*")&gt;0,COUNTIF(I2836,"82*")&gt;0,COUNTIF(J2836,"*82*")&gt;0,COUNTIF(I2836,"64*")&gt;0,COUNTIF(J2836,"*64*")&gt;0,COUNTIF(I2836,"65*")&gt;0,COUNTIF(J2836,"*65*")&gt;0,COUNTIF(I2836,"66*")&gt;0,COUNTIF(J2836,"*66*")&gt;0,COUNTIF(I2836,"61*")&gt;0,COUNTIF(J2836,"*61*")&gt;0,COUNTIF(I2836,"62*")&gt;0,COUNTIF(J2836,"*62*")&gt;0,COUNTIF(I2836,"63*")&gt;0,COUNTIF(J2836,"*63*")&gt;0,COUNTIF(I2836,"85*")&gt;0,COUNTIF(J2836,"*85*")&gt;0,COUNTIF(I2836,"86*")&gt;0,COUNTIF(J2836,"*86*")&gt;0),"Да","Нет"))</f>
        <v/>
      </c>
      <c r="M2836" s="13">
        <f>IF(OR(G2836="",L2836&lt;&gt;"Да"),"",IF(G2836&lt;=100,"До 100",IF(G2836&lt;=200,"До 200",IF(G2836&lt;=500,"До 500","Отдельное КП"))))</f>
        <v/>
      </c>
      <c r="N2836" s="15">
        <f>IF(OR(G2836="",L2836&lt;&gt;"Да"),"",IF(G2836&lt;=100,33600,IF(G2836&lt;=200,62400,IF(G2836&lt;=500,144000,""))))</f>
        <v/>
      </c>
      <c r="O2836" s="16">
        <f>IF(G2836="","",IF(G2836&lt;=15,"1–15",IF(G2836&lt;=30,"16–30",IF(G2836&lt;=50,"31–50",IF(G2836&lt;=100,"51–100",IF(G2836&lt;=150,"101–150",IF(G2836&lt;=200,"151–200",IF(G2836&lt;=500,"201–500","500+"))))))))</f>
        <v/>
      </c>
      <c r="P2836" s="16" t="inlineStr">
        <is>
          <t>Нет совпадения в предоставленной выгрузке ССЧР</t>
        </is>
      </c>
      <c r="Q2836" s="16" t="n"/>
      <c r="R2836" s="16">
        <f>HYPERLINK("https://checko.ru/search?query=3801001629","Чекко: проверить")</f>
        <v/>
      </c>
      <c r="S2836" t="n">
        <v>0</v>
      </c>
    </row>
    <row r="2837" ht="15" customHeight="1" s="24">
      <c r="A2837" s="13" t="n">
        <v>5000095195</v>
      </c>
      <c r="B2837" s="13" t="inlineStr">
        <is>
          <t>МКДОУ "Детский сад №3" с.п. Аргудан</t>
        </is>
      </c>
      <c r="C2837" s="13" t="n">
        <v>724001231</v>
      </c>
      <c r="D2837" s="13" t="n"/>
      <c r="E2837" s="13" t="inlineStr">
        <is>
          <t>Не определён</t>
        </is>
      </c>
      <c r="F2837" s="13" t="inlineStr">
        <is>
          <t>724001231</t>
        </is>
      </c>
      <c r="G2837" s="14" t="n"/>
      <c r="H2837" s="14" t="n"/>
      <c r="I2837" s="14" t="n"/>
      <c r="J2837" s="14" t="n"/>
      <c r="K2837" s="13">
        <f>IF(G2837="","",IF(G2837&gt;=22,"Да","Нет"))</f>
        <v/>
      </c>
      <c r="L2837" s="13">
        <f>IF(OR(I2837="",J2837=""),"Не определено",IF(OR(COUNTIF(I2837,"45*")&gt;0,COUNTIF(J2837,"*45*")&gt;0,COUNTIF(I2837,"46*")&gt;0,COUNTIF(J2837,"*46*")&gt;0,COUNTIF(I2837,"47*")&gt;0,COUNTIF(J2837,"*47*")&gt;0,COUNTIF(I2837,"10*")&gt;0,COUNTIF(J2837,"*10*")&gt;0,COUNTIF(I2837,"11*")&gt;0,COUNTIF(J2837,"*11*")&gt;0,COUNTIF(I2837,"12*")&gt;0,COUNTIF(J2837,"*12*")&gt;0,COUNTIF(I2837,"13*")&gt;0,COUNTIF(J2837,"*13*")&gt;0,COUNTIF(I2837,"14*")&gt;0,COUNTIF(J2837,"*14*")&gt;0,COUNTIF(I2837,"15*")&gt;0,COUNTIF(J2837,"*15*")&gt;0,COUNTIF(I2837,"16*")&gt;0,COUNTIF(J2837,"*16*")&gt;0,COUNTIF(I2837,"17*")&gt;0,COUNTIF(J2837,"*17*")&gt;0,COUNTIF(I2837,"18*")&gt;0,COUNTIF(J2837,"*18*")&gt;0,COUNTIF(I2837,"19*")&gt;0,COUNTIF(J2837,"*19*")&gt;0,COUNTIF(I2837,"20*")&gt;0,COUNTIF(J2837,"*20*")&gt;0,COUNTIF(I2837,"21*")&gt;0,COUNTIF(J2837,"*21*")&gt;0,COUNTIF(I2837,"22*")&gt;0,COUNTIF(J2837,"*22*")&gt;0,COUNTIF(I2837,"23*")&gt;0,COUNTIF(J2837,"*23*")&gt;0,COUNTIF(I2837,"24*")&gt;0,COUNTIF(J2837,"*24*")&gt;0,COUNTIF(I2837,"25*")&gt;0,COUNTIF(J2837,"*25*")&gt;0,COUNTIF(I2837,"26*")&gt;0,COUNTIF(J2837,"*26*")&gt;0,COUNTIF(I2837,"27*")&gt;0,COUNTIF(J2837,"*27*")&gt;0,COUNTIF(I2837,"28*")&gt;0,COUNTIF(J2837,"*28*")&gt;0,COUNTIF(I2837,"29*")&gt;0,COUNTIF(J2837,"*29*")&gt;0,COUNTIF(I2837,"30*")&gt;0,COUNTIF(J2837,"*30*")&gt;0,COUNTIF(I2837,"31*")&gt;0,COUNTIF(J2837,"*31*")&gt;0,COUNTIF(I2837,"32*")&gt;0,COUNTIF(J2837,"*32*")&gt;0,COUNTIF(I2837,"33*")&gt;0,COUNTIF(J2837,"*33*")&gt;0,COUNTIF(I2837,"41*")&gt;0,COUNTIF(J2837,"*41*")&gt;0,COUNTIF(I2837,"42*")&gt;0,COUNTIF(J2837,"*42*")&gt;0,COUNTIF(I2837,"43*")&gt;0,COUNTIF(J2837,"*43*")&gt;0,COUNTIF(I2837,"49*")&gt;0,COUNTIF(J2837,"*49*")&gt;0,COUNTIF(I2837,"52*")&gt;0,COUNTIF(J2837,"*52*")&gt;0,COUNTIF(I2837,"55*")&gt;0,COUNTIF(J2837,"*55*")&gt;0,COUNTIF(I2837,"56*")&gt;0,COUNTIF(J2837,"*56*")&gt;0,COUNTIF(I2837,"68*")&gt;0,COUNTIF(J2837,"*68*")&gt;0,COUNTIF(I2837,"78*")&gt;0,COUNTIF(J2837,"*78*")&gt;0,COUNTIF(I2837,"81*")&gt;0,COUNTIF(J2837,"*81*")&gt;0,COUNTIF(I2837,"82*")&gt;0,COUNTIF(J2837,"*82*")&gt;0,COUNTIF(I2837,"64*")&gt;0,COUNTIF(J2837,"*64*")&gt;0,COUNTIF(I2837,"65*")&gt;0,COUNTIF(J2837,"*65*")&gt;0,COUNTIF(I2837,"66*")&gt;0,COUNTIF(J2837,"*66*")&gt;0,COUNTIF(I2837,"61*")&gt;0,COUNTIF(J2837,"*61*")&gt;0,COUNTIF(I2837,"62*")&gt;0,COUNTIF(J2837,"*62*")&gt;0,COUNTIF(I2837,"63*")&gt;0,COUNTIF(J2837,"*63*")&gt;0,COUNTIF(I2837,"85*")&gt;0,COUNTIF(J2837,"*85*")&gt;0,COUNTIF(I2837,"86*")&gt;0,COUNTIF(J2837,"*86*")&gt;0),"Да","Нет"))</f>
        <v/>
      </c>
      <c r="M2837" s="13">
        <f>IF(OR(G2837="",L2837&lt;&gt;"Да"),"",IF(G2837&lt;=100,"До 100",IF(G2837&lt;=200,"До 200",IF(G2837&lt;=500,"До 500","Отдельное КП"))))</f>
        <v/>
      </c>
      <c r="N2837" s="15">
        <f>IF(OR(G2837="",L2837&lt;&gt;"Да"),"",IF(G2837&lt;=100,33600,IF(G2837&lt;=200,62400,IF(G2837&lt;=500,144000,""))))</f>
        <v/>
      </c>
      <c r="O2837" s="16">
        <f>IF(G2837="","",IF(G2837&lt;=15,"1–15",IF(G2837&lt;=30,"16–30",IF(G2837&lt;=50,"31–50",IF(G2837&lt;=100,"51–100",IF(G2837&lt;=150,"101–150",IF(G2837&lt;=200,"151–200",IF(G2837&lt;=500,"201–500","500+"))))))))</f>
        <v/>
      </c>
      <c r="P2837" s="16" t="inlineStr">
        <is>
          <t>Нет совпадения в предоставленной выгрузке ССЧР</t>
        </is>
      </c>
      <c r="Q2837" s="16" t="n"/>
      <c r="R2837" s="16">
        <f>HYPERLINK("https://checko.ru/search?query=3801001629","Чекко: проверить")</f>
        <v/>
      </c>
      <c r="S2837" t="n">
        <v>0</v>
      </c>
    </row>
    <row r="2838" ht="15" customHeight="1" s="24">
      <c r="A2838" s="13" t="n">
        <v>5000095196</v>
      </c>
      <c r="B2838" s="13" t="inlineStr">
        <is>
          <t>МКДОУ "Детский сад №2" с.п. Анзорей</t>
        </is>
      </c>
      <c r="C2838" s="13" t="n">
        <v>724001249</v>
      </c>
      <c r="D2838" s="13" t="n"/>
      <c r="E2838" s="13" t="inlineStr">
        <is>
          <t>Не определён</t>
        </is>
      </c>
      <c r="F2838" s="13" t="inlineStr">
        <is>
          <t>724001249</t>
        </is>
      </c>
      <c r="G2838" s="14" t="n"/>
      <c r="H2838" s="14" t="n"/>
      <c r="I2838" s="14" t="n"/>
      <c r="J2838" s="14" t="n"/>
      <c r="K2838" s="13">
        <f>IF(G2838="","",IF(G2838&gt;=22,"Да","Нет"))</f>
        <v/>
      </c>
      <c r="L2838" s="13">
        <f>IF(OR(I2838="",J2838=""),"Не определено",IF(OR(COUNTIF(I2838,"45*")&gt;0,COUNTIF(J2838,"*45*")&gt;0,COUNTIF(I2838,"46*")&gt;0,COUNTIF(J2838,"*46*")&gt;0,COUNTIF(I2838,"47*")&gt;0,COUNTIF(J2838,"*47*")&gt;0,COUNTIF(I2838,"10*")&gt;0,COUNTIF(J2838,"*10*")&gt;0,COUNTIF(I2838,"11*")&gt;0,COUNTIF(J2838,"*11*")&gt;0,COUNTIF(I2838,"12*")&gt;0,COUNTIF(J2838,"*12*")&gt;0,COUNTIF(I2838,"13*")&gt;0,COUNTIF(J2838,"*13*")&gt;0,COUNTIF(I2838,"14*")&gt;0,COUNTIF(J2838,"*14*")&gt;0,COUNTIF(I2838,"15*")&gt;0,COUNTIF(J2838,"*15*")&gt;0,COUNTIF(I2838,"16*")&gt;0,COUNTIF(J2838,"*16*")&gt;0,COUNTIF(I2838,"17*")&gt;0,COUNTIF(J2838,"*17*")&gt;0,COUNTIF(I2838,"18*")&gt;0,COUNTIF(J2838,"*18*")&gt;0,COUNTIF(I2838,"19*")&gt;0,COUNTIF(J2838,"*19*")&gt;0,COUNTIF(I2838,"20*")&gt;0,COUNTIF(J2838,"*20*")&gt;0,COUNTIF(I2838,"21*")&gt;0,COUNTIF(J2838,"*21*")&gt;0,COUNTIF(I2838,"22*")&gt;0,COUNTIF(J2838,"*22*")&gt;0,COUNTIF(I2838,"23*")&gt;0,COUNTIF(J2838,"*23*")&gt;0,COUNTIF(I2838,"24*")&gt;0,COUNTIF(J2838,"*24*")&gt;0,COUNTIF(I2838,"25*")&gt;0,COUNTIF(J2838,"*25*")&gt;0,COUNTIF(I2838,"26*")&gt;0,COUNTIF(J2838,"*26*")&gt;0,COUNTIF(I2838,"27*")&gt;0,COUNTIF(J2838,"*27*")&gt;0,COUNTIF(I2838,"28*")&gt;0,COUNTIF(J2838,"*28*")&gt;0,COUNTIF(I2838,"29*")&gt;0,COUNTIF(J2838,"*29*")&gt;0,COUNTIF(I2838,"30*")&gt;0,COUNTIF(J2838,"*30*")&gt;0,COUNTIF(I2838,"31*")&gt;0,COUNTIF(J2838,"*31*")&gt;0,COUNTIF(I2838,"32*")&gt;0,COUNTIF(J2838,"*32*")&gt;0,COUNTIF(I2838,"33*")&gt;0,COUNTIF(J2838,"*33*")&gt;0,COUNTIF(I2838,"41*")&gt;0,COUNTIF(J2838,"*41*")&gt;0,COUNTIF(I2838,"42*")&gt;0,COUNTIF(J2838,"*42*")&gt;0,COUNTIF(I2838,"43*")&gt;0,COUNTIF(J2838,"*43*")&gt;0,COUNTIF(I2838,"49*")&gt;0,COUNTIF(J2838,"*49*")&gt;0,COUNTIF(I2838,"52*")&gt;0,COUNTIF(J2838,"*52*")&gt;0,COUNTIF(I2838,"55*")&gt;0,COUNTIF(J2838,"*55*")&gt;0,COUNTIF(I2838,"56*")&gt;0,COUNTIF(J2838,"*56*")&gt;0,COUNTIF(I2838,"68*")&gt;0,COUNTIF(J2838,"*68*")&gt;0,COUNTIF(I2838,"78*")&gt;0,COUNTIF(J2838,"*78*")&gt;0,COUNTIF(I2838,"81*")&gt;0,COUNTIF(J2838,"*81*")&gt;0,COUNTIF(I2838,"82*")&gt;0,COUNTIF(J2838,"*82*")&gt;0,COUNTIF(I2838,"64*")&gt;0,COUNTIF(J2838,"*64*")&gt;0,COUNTIF(I2838,"65*")&gt;0,COUNTIF(J2838,"*65*")&gt;0,COUNTIF(I2838,"66*")&gt;0,COUNTIF(J2838,"*66*")&gt;0,COUNTIF(I2838,"61*")&gt;0,COUNTIF(J2838,"*61*")&gt;0,COUNTIF(I2838,"62*")&gt;0,COUNTIF(J2838,"*62*")&gt;0,COUNTIF(I2838,"63*")&gt;0,COUNTIF(J2838,"*63*")&gt;0,COUNTIF(I2838,"85*")&gt;0,COUNTIF(J2838,"*85*")&gt;0,COUNTIF(I2838,"86*")&gt;0,COUNTIF(J2838,"*86*")&gt;0),"Да","Нет"))</f>
        <v/>
      </c>
      <c r="M2838" s="13">
        <f>IF(OR(G2838="",L2838&lt;&gt;"Да"),"",IF(G2838&lt;=100,"До 100",IF(G2838&lt;=200,"До 200",IF(G2838&lt;=500,"До 500","Отдельное КП"))))</f>
        <v/>
      </c>
      <c r="N2838" s="15">
        <f>IF(OR(G2838="",L2838&lt;&gt;"Да"),"",IF(G2838&lt;=100,33600,IF(G2838&lt;=200,62400,IF(G2838&lt;=500,144000,""))))</f>
        <v/>
      </c>
      <c r="O2838" s="16">
        <f>IF(G2838="","",IF(G2838&lt;=15,"1–15",IF(G2838&lt;=30,"16–30",IF(G2838&lt;=50,"31–50",IF(G2838&lt;=100,"51–100",IF(G2838&lt;=150,"101–150",IF(G2838&lt;=200,"151–200",IF(G2838&lt;=500,"201–500","500+"))))))))</f>
        <v/>
      </c>
      <c r="P2838" s="16" t="inlineStr">
        <is>
          <t>Нет совпадения в предоставленной выгрузке ССЧР</t>
        </is>
      </c>
      <c r="Q2838" s="16" t="n"/>
      <c r="R2838" s="16">
        <f>HYPERLINK("https://checko.ru/search?query=3801001629","Чекко: проверить")</f>
        <v/>
      </c>
      <c r="S2838" t="n">
        <v>0</v>
      </c>
    </row>
    <row r="2839" ht="27.75" customHeight="1" s="24">
      <c r="A2839" s="13" t="n">
        <v>5000095197</v>
      </c>
      <c r="B2839" s="13" t="inlineStr">
        <is>
          <t>МУ "КСП Лескенского муниципального района КБР"</t>
        </is>
      </c>
      <c r="C2839" s="13" t="n">
        <v>724002080</v>
      </c>
      <c r="D2839" s="13" t="n"/>
      <c r="E2839" s="13" t="inlineStr">
        <is>
          <t>Не определён</t>
        </is>
      </c>
      <c r="F2839" s="13" t="inlineStr">
        <is>
          <t>724002080</t>
        </is>
      </c>
      <c r="G2839" s="14" t="n"/>
      <c r="H2839" s="14" t="n"/>
      <c r="I2839" s="14" t="n"/>
      <c r="J2839" s="14" t="n"/>
      <c r="K2839" s="13">
        <f>IF(G2839="","",IF(G2839&gt;=22,"Да","Нет"))</f>
        <v/>
      </c>
      <c r="L2839" s="13">
        <f>IF(OR(I2839="",J2839=""),"Не определено",IF(OR(COUNTIF(I2839,"45*")&gt;0,COUNTIF(J2839,"*45*")&gt;0,COUNTIF(I2839,"46*")&gt;0,COUNTIF(J2839,"*46*")&gt;0,COUNTIF(I2839,"47*")&gt;0,COUNTIF(J2839,"*47*")&gt;0,COUNTIF(I2839,"10*")&gt;0,COUNTIF(J2839,"*10*")&gt;0,COUNTIF(I2839,"11*")&gt;0,COUNTIF(J2839,"*11*")&gt;0,COUNTIF(I2839,"12*")&gt;0,COUNTIF(J2839,"*12*")&gt;0,COUNTIF(I2839,"13*")&gt;0,COUNTIF(J2839,"*13*")&gt;0,COUNTIF(I2839,"14*")&gt;0,COUNTIF(J2839,"*14*")&gt;0,COUNTIF(I2839,"15*")&gt;0,COUNTIF(J2839,"*15*")&gt;0,COUNTIF(I2839,"16*")&gt;0,COUNTIF(J2839,"*16*")&gt;0,COUNTIF(I2839,"17*")&gt;0,COUNTIF(J2839,"*17*")&gt;0,COUNTIF(I2839,"18*")&gt;0,COUNTIF(J2839,"*18*")&gt;0,COUNTIF(I2839,"19*")&gt;0,COUNTIF(J2839,"*19*")&gt;0,COUNTIF(I2839,"20*")&gt;0,COUNTIF(J2839,"*20*")&gt;0,COUNTIF(I2839,"21*")&gt;0,COUNTIF(J2839,"*21*")&gt;0,COUNTIF(I2839,"22*")&gt;0,COUNTIF(J2839,"*22*")&gt;0,COUNTIF(I2839,"23*")&gt;0,COUNTIF(J2839,"*23*")&gt;0,COUNTIF(I2839,"24*")&gt;0,COUNTIF(J2839,"*24*")&gt;0,COUNTIF(I2839,"25*")&gt;0,COUNTIF(J2839,"*25*")&gt;0,COUNTIF(I2839,"26*")&gt;0,COUNTIF(J2839,"*26*")&gt;0,COUNTIF(I2839,"27*")&gt;0,COUNTIF(J2839,"*27*")&gt;0,COUNTIF(I2839,"28*")&gt;0,COUNTIF(J2839,"*28*")&gt;0,COUNTIF(I2839,"29*")&gt;0,COUNTIF(J2839,"*29*")&gt;0,COUNTIF(I2839,"30*")&gt;0,COUNTIF(J2839,"*30*")&gt;0,COUNTIF(I2839,"31*")&gt;0,COUNTIF(J2839,"*31*")&gt;0,COUNTIF(I2839,"32*")&gt;0,COUNTIF(J2839,"*32*")&gt;0,COUNTIF(I2839,"33*")&gt;0,COUNTIF(J2839,"*33*")&gt;0,COUNTIF(I2839,"41*")&gt;0,COUNTIF(J2839,"*41*")&gt;0,COUNTIF(I2839,"42*")&gt;0,COUNTIF(J2839,"*42*")&gt;0,COUNTIF(I2839,"43*")&gt;0,COUNTIF(J2839,"*43*")&gt;0,COUNTIF(I2839,"49*")&gt;0,COUNTIF(J2839,"*49*")&gt;0,COUNTIF(I2839,"52*")&gt;0,COUNTIF(J2839,"*52*")&gt;0,COUNTIF(I2839,"55*")&gt;0,COUNTIF(J2839,"*55*")&gt;0,COUNTIF(I2839,"56*")&gt;0,COUNTIF(J2839,"*56*")&gt;0,COUNTIF(I2839,"68*")&gt;0,COUNTIF(J2839,"*68*")&gt;0,COUNTIF(I2839,"78*")&gt;0,COUNTIF(J2839,"*78*")&gt;0,COUNTIF(I2839,"81*")&gt;0,COUNTIF(J2839,"*81*")&gt;0,COUNTIF(I2839,"82*")&gt;0,COUNTIF(J2839,"*82*")&gt;0,COUNTIF(I2839,"64*")&gt;0,COUNTIF(J2839,"*64*")&gt;0,COUNTIF(I2839,"65*")&gt;0,COUNTIF(J2839,"*65*")&gt;0,COUNTIF(I2839,"66*")&gt;0,COUNTIF(J2839,"*66*")&gt;0,COUNTIF(I2839,"61*")&gt;0,COUNTIF(J2839,"*61*")&gt;0,COUNTIF(I2839,"62*")&gt;0,COUNTIF(J2839,"*62*")&gt;0,COUNTIF(I2839,"63*")&gt;0,COUNTIF(J2839,"*63*")&gt;0,COUNTIF(I2839,"85*")&gt;0,COUNTIF(J2839,"*85*")&gt;0,COUNTIF(I2839,"86*")&gt;0,COUNTIF(J2839,"*86*")&gt;0),"Да","Нет"))</f>
        <v/>
      </c>
      <c r="M2839" s="13">
        <f>IF(OR(G2839="",L2839&lt;&gt;"Да"),"",IF(G2839&lt;=100,"До 100",IF(G2839&lt;=200,"До 200",IF(G2839&lt;=500,"До 500","Отдельное КП"))))</f>
        <v/>
      </c>
      <c r="N2839" s="15">
        <f>IF(OR(G2839="",L2839&lt;&gt;"Да"),"",IF(G2839&lt;=100,33600,IF(G2839&lt;=200,62400,IF(G2839&lt;=500,144000,""))))</f>
        <v/>
      </c>
      <c r="O2839" s="16">
        <f>IF(G2839="","",IF(G2839&lt;=15,"1–15",IF(G2839&lt;=30,"16–30",IF(G2839&lt;=50,"31–50",IF(G2839&lt;=100,"51–100",IF(G2839&lt;=150,"101–150",IF(G2839&lt;=200,"151–200",IF(G2839&lt;=500,"201–500","500+"))))))))</f>
        <v/>
      </c>
      <c r="P2839" s="16" t="inlineStr">
        <is>
          <t>Нет совпадения в предоставленной выгрузке ССЧР</t>
        </is>
      </c>
      <c r="Q2839" s="16" t="n"/>
      <c r="R2839" s="16">
        <f>HYPERLINK("https://checko.ru/search?query=3801001629","Чекко: проверить")</f>
        <v/>
      </c>
      <c r="S2839" t="n">
        <v>0</v>
      </c>
    </row>
    <row r="2840" ht="27.75" customHeight="1" s="24">
      <c r="A2840" s="13" t="n">
        <v>5000095198</v>
      </c>
      <c r="B2840" s="13" t="inlineStr">
        <is>
          <t>МКУ "КСП Урванского муниципального района КБР"</t>
        </is>
      </c>
      <c r="C2840" s="13" t="n">
        <v>724002108</v>
      </c>
      <c r="D2840" s="13" t="n"/>
      <c r="E2840" s="13" t="inlineStr">
        <is>
          <t>Не определён</t>
        </is>
      </c>
      <c r="F2840" s="13" t="inlineStr">
        <is>
          <t>724002108</t>
        </is>
      </c>
      <c r="G2840" s="14" t="n"/>
      <c r="H2840" s="14" t="n"/>
      <c r="I2840" s="14" t="n"/>
      <c r="J2840" s="14" t="n"/>
      <c r="K2840" s="13">
        <f>IF(G2840="","",IF(G2840&gt;=22,"Да","Нет"))</f>
        <v/>
      </c>
      <c r="L2840" s="13">
        <f>IF(OR(I2840="",J2840=""),"Не определено",IF(OR(COUNTIF(I2840,"45*")&gt;0,COUNTIF(J2840,"*45*")&gt;0,COUNTIF(I2840,"46*")&gt;0,COUNTIF(J2840,"*46*")&gt;0,COUNTIF(I2840,"47*")&gt;0,COUNTIF(J2840,"*47*")&gt;0,COUNTIF(I2840,"10*")&gt;0,COUNTIF(J2840,"*10*")&gt;0,COUNTIF(I2840,"11*")&gt;0,COUNTIF(J2840,"*11*")&gt;0,COUNTIF(I2840,"12*")&gt;0,COUNTIF(J2840,"*12*")&gt;0,COUNTIF(I2840,"13*")&gt;0,COUNTIF(J2840,"*13*")&gt;0,COUNTIF(I2840,"14*")&gt;0,COUNTIF(J2840,"*14*")&gt;0,COUNTIF(I2840,"15*")&gt;0,COUNTIF(J2840,"*15*")&gt;0,COUNTIF(I2840,"16*")&gt;0,COUNTIF(J2840,"*16*")&gt;0,COUNTIF(I2840,"17*")&gt;0,COUNTIF(J2840,"*17*")&gt;0,COUNTIF(I2840,"18*")&gt;0,COUNTIF(J2840,"*18*")&gt;0,COUNTIF(I2840,"19*")&gt;0,COUNTIF(J2840,"*19*")&gt;0,COUNTIF(I2840,"20*")&gt;0,COUNTIF(J2840,"*20*")&gt;0,COUNTIF(I2840,"21*")&gt;0,COUNTIF(J2840,"*21*")&gt;0,COUNTIF(I2840,"22*")&gt;0,COUNTIF(J2840,"*22*")&gt;0,COUNTIF(I2840,"23*")&gt;0,COUNTIF(J2840,"*23*")&gt;0,COUNTIF(I2840,"24*")&gt;0,COUNTIF(J2840,"*24*")&gt;0,COUNTIF(I2840,"25*")&gt;0,COUNTIF(J2840,"*25*")&gt;0,COUNTIF(I2840,"26*")&gt;0,COUNTIF(J2840,"*26*")&gt;0,COUNTIF(I2840,"27*")&gt;0,COUNTIF(J2840,"*27*")&gt;0,COUNTIF(I2840,"28*")&gt;0,COUNTIF(J2840,"*28*")&gt;0,COUNTIF(I2840,"29*")&gt;0,COUNTIF(J2840,"*29*")&gt;0,COUNTIF(I2840,"30*")&gt;0,COUNTIF(J2840,"*30*")&gt;0,COUNTIF(I2840,"31*")&gt;0,COUNTIF(J2840,"*31*")&gt;0,COUNTIF(I2840,"32*")&gt;0,COUNTIF(J2840,"*32*")&gt;0,COUNTIF(I2840,"33*")&gt;0,COUNTIF(J2840,"*33*")&gt;0,COUNTIF(I2840,"41*")&gt;0,COUNTIF(J2840,"*41*")&gt;0,COUNTIF(I2840,"42*")&gt;0,COUNTIF(J2840,"*42*")&gt;0,COUNTIF(I2840,"43*")&gt;0,COUNTIF(J2840,"*43*")&gt;0,COUNTIF(I2840,"49*")&gt;0,COUNTIF(J2840,"*49*")&gt;0,COUNTIF(I2840,"52*")&gt;0,COUNTIF(J2840,"*52*")&gt;0,COUNTIF(I2840,"55*")&gt;0,COUNTIF(J2840,"*55*")&gt;0,COUNTIF(I2840,"56*")&gt;0,COUNTIF(J2840,"*56*")&gt;0,COUNTIF(I2840,"68*")&gt;0,COUNTIF(J2840,"*68*")&gt;0,COUNTIF(I2840,"78*")&gt;0,COUNTIF(J2840,"*78*")&gt;0,COUNTIF(I2840,"81*")&gt;0,COUNTIF(J2840,"*81*")&gt;0,COUNTIF(I2840,"82*")&gt;0,COUNTIF(J2840,"*82*")&gt;0,COUNTIF(I2840,"64*")&gt;0,COUNTIF(J2840,"*64*")&gt;0,COUNTIF(I2840,"65*")&gt;0,COUNTIF(J2840,"*65*")&gt;0,COUNTIF(I2840,"66*")&gt;0,COUNTIF(J2840,"*66*")&gt;0,COUNTIF(I2840,"61*")&gt;0,COUNTIF(J2840,"*61*")&gt;0,COUNTIF(I2840,"62*")&gt;0,COUNTIF(J2840,"*62*")&gt;0,COUNTIF(I2840,"63*")&gt;0,COUNTIF(J2840,"*63*")&gt;0,COUNTIF(I2840,"85*")&gt;0,COUNTIF(J2840,"*85*")&gt;0,COUNTIF(I2840,"86*")&gt;0,COUNTIF(J2840,"*86*")&gt;0),"Да","Нет"))</f>
        <v/>
      </c>
      <c r="M2840" s="13">
        <f>IF(OR(G2840="",L2840&lt;&gt;"Да"),"",IF(G2840&lt;=100,"До 100",IF(G2840&lt;=200,"До 200",IF(G2840&lt;=500,"До 500","Отдельное КП"))))</f>
        <v/>
      </c>
      <c r="N2840" s="15">
        <f>IF(OR(G2840="",L2840&lt;&gt;"Да"),"",IF(G2840&lt;=100,33600,IF(G2840&lt;=200,62400,IF(G2840&lt;=500,144000,""))))</f>
        <v/>
      </c>
      <c r="O2840" s="16">
        <f>IF(G2840="","",IF(G2840&lt;=15,"1–15",IF(G2840&lt;=30,"16–30",IF(G2840&lt;=50,"31–50",IF(G2840&lt;=100,"51–100",IF(G2840&lt;=150,"101–150",IF(G2840&lt;=200,"151–200",IF(G2840&lt;=500,"201–500","500+"))))))))</f>
        <v/>
      </c>
      <c r="P2840" s="16" t="inlineStr">
        <is>
          <t>Нет совпадения в предоставленной выгрузке ССЧР</t>
        </is>
      </c>
      <c r="Q2840" s="16" t="n"/>
      <c r="R2840" s="16">
        <f>HYPERLINK("https://checko.ru/search?query=3801001629","Чекко: проверить")</f>
        <v/>
      </c>
      <c r="S2840" t="n">
        <v>0</v>
      </c>
    </row>
    <row r="2841" ht="15" customHeight="1" s="24">
      <c r="A2841" s="13" t="n">
        <v>5000095199</v>
      </c>
      <c r="B2841" s="13" t="inlineStr">
        <is>
          <t>ГБУ "Каббалклесопитомник"</t>
        </is>
      </c>
      <c r="C2841" s="13" t="n">
        <v>724002940</v>
      </c>
      <c r="D2841" s="13" t="n"/>
      <c r="E2841" s="13" t="inlineStr">
        <is>
          <t>Не определён</t>
        </is>
      </c>
      <c r="F2841" s="13" t="inlineStr">
        <is>
          <t>724002940</t>
        </is>
      </c>
      <c r="G2841" s="14" t="n"/>
      <c r="H2841" s="14" t="n"/>
      <c r="I2841" s="14" t="n"/>
      <c r="J2841" s="14" t="n"/>
      <c r="K2841" s="13">
        <f>IF(G2841="","",IF(G2841&gt;=22,"Да","Нет"))</f>
        <v/>
      </c>
      <c r="L2841" s="13">
        <f>IF(OR(I2841="",J2841=""),"Не определено",IF(OR(COUNTIF(I2841,"45*")&gt;0,COUNTIF(J2841,"*45*")&gt;0,COUNTIF(I2841,"46*")&gt;0,COUNTIF(J2841,"*46*")&gt;0,COUNTIF(I2841,"47*")&gt;0,COUNTIF(J2841,"*47*")&gt;0,COUNTIF(I2841,"10*")&gt;0,COUNTIF(J2841,"*10*")&gt;0,COUNTIF(I2841,"11*")&gt;0,COUNTIF(J2841,"*11*")&gt;0,COUNTIF(I2841,"12*")&gt;0,COUNTIF(J2841,"*12*")&gt;0,COUNTIF(I2841,"13*")&gt;0,COUNTIF(J2841,"*13*")&gt;0,COUNTIF(I2841,"14*")&gt;0,COUNTIF(J2841,"*14*")&gt;0,COUNTIF(I2841,"15*")&gt;0,COUNTIF(J2841,"*15*")&gt;0,COUNTIF(I2841,"16*")&gt;0,COUNTIF(J2841,"*16*")&gt;0,COUNTIF(I2841,"17*")&gt;0,COUNTIF(J2841,"*17*")&gt;0,COUNTIF(I2841,"18*")&gt;0,COUNTIF(J2841,"*18*")&gt;0,COUNTIF(I2841,"19*")&gt;0,COUNTIF(J2841,"*19*")&gt;0,COUNTIF(I2841,"20*")&gt;0,COUNTIF(J2841,"*20*")&gt;0,COUNTIF(I2841,"21*")&gt;0,COUNTIF(J2841,"*21*")&gt;0,COUNTIF(I2841,"22*")&gt;0,COUNTIF(J2841,"*22*")&gt;0,COUNTIF(I2841,"23*")&gt;0,COUNTIF(J2841,"*23*")&gt;0,COUNTIF(I2841,"24*")&gt;0,COUNTIF(J2841,"*24*")&gt;0,COUNTIF(I2841,"25*")&gt;0,COUNTIF(J2841,"*25*")&gt;0,COUNTIF(I2841,"26*")&gt;0,COUNTIF(J2841,"*26*")&gt;0,COUNTIF(I2841,"27*")&gt;0,COUNTIF(J2841,"*27*")&gt;0,COUNTIF(I2841,"28*")&gt;0,COUNTIF(J2841,"*28*")&gt;0,COUNTIF(I2841,"29*")&gt;0,COUNTIF(J2841,"*29*")&gt;0,COUNTIF(I2841,"30*")&gt;0,COUNTIF(J2841,"*30*")&gt;0,COUNTIF(I2841,"31*")&gt;0,COUNTIF(J2841,"*31*")&gt;0,COUNTIF(I2841,"32*")&gt;0,COUNTIF(J2841,"*32*")&gt;0,COUNTIF(I2841,"33*")&gt;0,COUNTIF(J2841,"*33*")&gt;0,COUNTIF(I2841,"41*")&gt;0,COUNTIF(J2841,"*41*")&gt;0,COUNTIF(I2841,"42*")&gt;0,COUNTIF(J2841,"*42*")&gt;0,COUNTIF(I2841,"43*")&gt;0,COUNTIF(J2841,"*43*")&gt;0,COUNTIF(I2841,"49*")&gt;0,COUNTIF(J2841,"*49*")&gt;0,COUNTIF(I2841,"52*")&gt;0,COUNTIF(J2841,"*52*")&gt;0,COUNTIF(I2841,"55*")&gt;0,COUNTIF(J2841,"*55*")&gt;0,COUNTIF(I2841,"56*")&gt;0,COUNTIF(J2841,"*56*")&gt;0,COUNTIF(I2841,"68*")&gt;0,COUNTIF(J2841,"*68*")&gt;0,COUNTIF(I2841,"78*")&gt;0,COUNTIF(J2841,"*78*")&gt;0,COUNTIF(I2841,"81*")&gt;0,COUNTIF(J2841,"*81*")&gt;0,COUNTIF(I2841,"82*")&gt;0,COUNTIF(J2841,"*82*")&gt;0,COUNTIF(I2841,"64*")&gt;0,COUNTIF(J2841,"*64*")&gt;0,COUNTIF(I2841,"65*")&gt;0,COUNTIF(J2841,"*65*")&gt;0,COUNTIF(I2841,"66*")&gt;0,COUNTIF(J2841,"*66*")&gt;0,COUNTIF(I2841,"61*")&gt;0,COUNTIF(J2841,"*61*")&gt;0,COUNTIF(I2841,"62*")&gt;0,COUNTIF(J2841,"*62*")&gt;0,COUNTIF(I2841,"63*")&gt;0,COUNTIF(J2841,"*63*")&gt;0,COUNTIF(I2841,"85*")&gt;0,COUNTIF(J2841,"*85*")&gt;0,COUNTIF(I2841,"86*")&gt;0,COUNTIF(J2841,"*86*")&gt;0),"Да","Нет"))</f>
        <v/>
      </c>
      <c r="M2841" s="13">
        <f>IF(OR(G2841="",L2841&lt;&gt;"Да"),"",IF(G2841&lt;=100,"До 100",IF(G2841&lt;=200,"До 200",IF(G2841&lt;=500,"До 500","Отдельное КП"))))</f>
        <v/>
      </c>
      <c r="N2841" s="15">
        <f>IF(OR(G2841="",L2841&lt;&gt;"Да"),"",IF(G2841&lt;=100,33600,IF(G2841&lt;=200,62400,IF(G2841&lt;=500,144000,""))))</f>
        <v/>
      </c>
      <c r="O2841" s="16">
        <f>IF(G2841="","",IF(G2841&lt;=15,"1–15",IF(G2841&lt;=30,"16–30",IF(G2841&lt;=50,"31–50",IF(G2841&lt;=100,"51–100",IF(G2841&lt;=150,"101–150",IF(G2841&lt;=200,"151–200",IF(G2841&lt;=500,"201–500","500+"))))))))</f>
        <v/>
      </c>
      <c r="P2841" s="16" t="inlineStr">
        <is>
          <t>Нет совпадения в предоставленной выгрузке ССЧР</t>
        </is>
      </c>
      <c r="Q2841" s="16" t="n"/>
      <c r="R2841" s="16">
        <f>HYPERLINK("https://checko.ru/search?query=3801001629","Чекко: проверить")</f>
        <v/>
      </c>
      <c r="S2841" t="n">
        <v>0</v>
      </c>
    </row>
    <row r="2842" ht="15" customHeight="1" s="24">
      <c r="A2842" s="13" t="n">
        <v>5000095201</v>
      </c>
      <c r="B2842" s="13" t="inlineStr">
        <is>
          <t>ГКУ "КБ ПСС"</t>
        </is>
      </c>
      <c r="C2842" s="13" t="n">
        <v>725000382</v>
      </c>
      <c r="D2842" s="13" t="n"/>
      <c r="E2842" s="13" t="inlineStr">
        <is>
          <t>Не определён</t>
        </is>
      </c>
      <c r="F2842" s="13" t="inlineStr">
        <is>
          <t>725000382</t>
        </is>
      </c>
      <c r="G2842" s="14" t="n"/>
      <c r="H2842" s="14" t="n"/>
      <c r="I2842" s="14" t="n"/>
      <c r="J2842" s="14" t="n"/>
      <c r="K2842" s="13">
        <f>IF(G2842="","",IF(G2842&gt;=22,"Да","Нет"))</f>
        <v/>
      </c>
      <c r="L2842" s="13">
        <f>IF(OR(I2842="",J2842=""),"Не определено",IF(OR(COUNTIF(I2842,"45*")&gt;0,COUNTIF(J2842,"*45*")&gt;0,COUNTIF(I2842,"46*")&gt;0,COUNTIF(J2842,"*46*")&gt;0,COUNTIF(I2842,"47*")&gt;0,COUNTIF(J2842,"*47*")&gt;0,COUNTIF(I2842,"10*")&gt;0,COUNTIF(J2842,"*10*")&gt;0,COUNTIF(I2842,"11*")&gt;0,COUNTIF(J2842,"*11*")&gt;0,COUNTIF(I2842,"12*")&gt;0,COUNTIF(J2842,"*12*")&gt;0,COUNTIF(I2842,"13*")&gt;0,COUNTIF(J2842,"*13*")&gt;0,COUNTIF(I2842,"14*")&gt;0,COUNTIF(J2842,"*14*")&gt;0,COUNTIF(I2842,"15*")&gt;0,COUNTIF(J2842,"*15*")&gt;0,COUNTIF(I2842,"16*")&gt;0,COUNTIF(J2842,"*16*")&gt;0,COUNTIF(I2842,"17*")&gt;0,COUNTIF(J2842,"*17*")&gt;0,COUNTIF(I2842,"18*")&gt;0,COUNTIF(J2842,"*18*")&gt;0,COUNTIF(I2842,"19*")&gt;0,COUNTIF(J2842,"*19*")&gt;0,COUNTIF(I2842,"20*")&gt;0,COUNTIF(J2842,"*20*")&gt;0,COUNTIF(I2842,"21*")&gt;0,COUNTIF(J2842,"*21*")&gt;0,COUNTIF(I2842,"22*")&gt;0,COUNTIF(J2842,"*22*")&gt;0,COUNTIF(I2842,"23*")&gt;0,COUNTIF(J2842,"*23*")&gt;0,COUNTIF(I2842,"24*")&gt;0,COUNTIF(J2842,"*24*")&gt;0,COUNTIF(I2842,"25*")&gt;0,COUNTIF(J2842,"*25*")&gt;0,COUNTIF(I2842,"26*")&gt;0,COUNTIF(J2842,"*26*")&gt;0,COUNTIF(I2842,"27*")&gt;0,COUNTIF(J2842,"*27*")&gt;0,COUNTIF(I2842,"28*")&gt;0,COUNTIF(J2842,"*28*")&gt;0,COUNTIF(I2842,"29*")&gt;0,COUNTIF(J2842,"*29*")&gt;0,COUNTIF(I2842,"30*")&gt;0,COUNTIF(J2842,"*30*")&gt;0,COUNTIF(I2842,"31*")&gt;0,COUNTIF(J2842,"*31*")&gt;0,COUNTIF(I2842,"32*")&gt;0,COUNTIF(J2842,"*32*")&gt;0,COUNTIF(I2842,"33*")&gt;0,COUNTIF(J2842,"*33*")&gt;0,COUNTIF(I2842,"41*")&gt;0,COUNTIF(J2842,"*41*")&gt;0,COUNTIF(I2842,"42*")&gt;0,COUNTIF(J2842,"*42*")&gt;0,COUNTIF(I2842,"43*")&gt;0,COUNTIF(J2842,"*43*")&gt;0,COUNTIF(I2842,"49*")&gt;0,COUNTIF(J2842,"*49*")&gt;0,COUNTIF(I2842,"52*")&gt;0,COUNTIF(J2842,"*52*")&gt;0,COUNTIF(I2842,"55*")&gt;0,COUNTIF(J2842,"*55*")&gt;0,COUNTIF(I2842,"56*")&gt;0,COUNTIF(J2842,"*56*")&gt;0,COUNTIF(I2842,"68*")&gt;0,COUNTIF(J2842,"*68*")&gt;0,COUNTIF(I2842,"78*")&gt;0,COUNTIF(J2842,"*78*")&gt;0,COUNTIF(I2842,"81*")&gt;0,COUNTIF(J2842,"*81*")&gt;0,COUNTIF(I2842,"82*")&gt;0,COUNTIF(J2842,"*82*")&gt;0,COUNTIF(I2842,"64*")&gt;0,COUNTIF(J2842,"*64*")&gt;0,COUNTIF(I2842,"65*")&gt;0,COUNTIF(J2842,"*65*")&gt;0,COUNTIF(I2842,"66*")&gt;0,COUNTIF(J2842,"*66*")&gt;0,COUNTIF(I2842,"61*")&gt;0,COUNTIF(J2842,"*61*")&gt;0,COUNTIF(I2842,"62*")&gt;0,COUNTIF(J2842,"*62*")&gt;0,COUNTIF(I2842,"63*")&gt;0,COUNTIF(J2842,"*63*")&gt;0,COUNTIF(I2842,"85*")&gt;0,COUNTIF(J2842,"*85*")&gt;0,COUNTIF(I2842,"86*")&gt;0,COUNTIF(J2842,"*86*")&gt;0),"Да","Нет"))</f>
        <v/>
      </c>
      <c r="M2842" s="13">
        <f>IF(OR(G2842="",L2842&lt;&gt;"Да"),"",IF(G2842&lt;=100,"До 100",IF(G2842&lt;=200,"До 200",IF(G2842&lt;=500,"До 500","Отдельное КП"))))</f>
        <v/>
      </c>
      <c r="N2842" s="15">
        <f>IF(OR(G2842="",L2842&lt;&gt;"Да"),"",IF(G2842&lt;=100,33600,IF(G2842&lt;=200,62400,IF(G2842&lt;=500,144000,""))))</f>
        <v/>
      </c>
      <c r="O2842" s="16">
        <f>IF(G2842="","",IF(G2842&lt;=15,"1–15",IF(G2842&lt;=30,"16–30",IF(G2842&lt;=50,"31–50",IF(G2842&lt;=100,"51–100",IF(G2842&lt;=150,"101–150",IF(G2842&lt;=200,"151–200",IF(G2842&lt;=500,"201–500","500+"))))))))</f>
        <v/>
      </c>
      <c r="P2842" s="16" t="inlineStr">
        <is>
          <t>Нет совпадения в предоставленной выгрузке ССЧР</t>
        </is>
      </c>
      <c r="Q2842" s="16" t="n"/>
      <c r="R2842" s="16">
        <f>HYPERLINK("https://checko.ru/search?query=3801001629","Чекко: проверить")</f>
        <v/>
      </c>
      <c r="S2842" t="n">
        <v>0</v>
      </c>
    </row>
    <row r="2843" ht="15" customHeight="1" s="24">
      <c r="A2843" s="13" t="n">
        <v>5000095202</v>
      </c>
      <c r="B2843" s="13" t="inlineStr">
        <is>
          <t>ГКУ "Автобаза УДГ и П КБР"</t>
        </is>
      </c>
      <c r="C2843" s="13" t="n">
        <v>725000424</v>
      </c>
      <c r="D2843" s="13" t="n"/>
      <c r="E2843" s="13" t="inlineStr">
        <is>
          <t>Не определён</t>
        </is>
      </c>
      <c r="F2843" s="13" t="inlineStr">
        <is>
          <t>725000424</t>
        </is>
      </c>
      <c r="G2843" s="14" t="n"/>
      <c r="H2843" s="14" t="n"/>
      <c r="I2843" s="14" t="n"/>
      <c r="J2843" s="14" t="n"/>
      <c r="K2843" s="13">
        <f>IF(G2843="","",IF(G2843&gt;=22,"Да","Нет"))</f>
        <v/>
      </c>
      <c r="L2843" s="13">
        <f>IF(OR(I2843="",J2843=""),"Не определено",IF(OR(COUNTIF(I2843,"45*")&gt;0,COUNTIF(J2843,"*45*")&gt;0,COUNTIF(I2843,"46*")&gt;0,COUNTIF(J2843,"*46*")&gt;0,COUNTIF(I2843,"47*")&gt;0,COUNTIF(J2843,"*47*")&gt;0,COUNTIF(I2843,"10*")&gt;0,COUNTIF(J2843,"*10*")&gt;0,COUNTIF(I2843,"11*")&gt;0,COUNTIF(J2843,"*11*")&gt;0,COUNTIF(I2843,"12*")&gt;0,COUNTIF(J2843,"*12*")&gt;0,COUNTIF(I2843,"13*")&gt;0,COUNTIF(J2843,"*13*")&gt;0,COUNTIF(I2843,"14*")&gt;0,COUNTIF(J2843,"*14*")&gt;0,COUNTIF(I2843,"15*")&gt;0,COUNTIF(J2843,"*15*")&gt;0,COUNTIF(I2843,"16*")&gt;0,COUNTIF(J2843,"*16*")&gt;0,COUNTIF(I2843,"17*")&gt;0,COUNTIF(J2843,"*17*")&gt;0,COUNTIF(I2843,"18*")&gt;0,COUNTIF(J2843,"*18*")&gt;0,COUNTIF(I2843,"19*")&gt;0,COUNTIF(J2843,"*19*")&gt;0,COUNTIF(I2843,"20*")&gt;0,COUNTIF(J2843,"*20*")&gt;0,COUNTIF(I2843,"21*")&gt;0,COUNTIF(J2843,"*21*")&gt;0,COUNTIF(I2843,"22*")&gt;0,COUNTIF(J2843,"*22*")&gt;0,COUNTIF(I2843,"23*")&gt;0,COUNTIF(J2843,"*23*")&gt;0,COUNTIF(I2843,"24*")&gt;0,COUNTIF(J2843,"*24*")&gt;0,COUNTIF(I2843,"25*")&gt;0,COUNTIF(J2843,"*25*")&gt;0,COUNTIF(I2843,"26*")&gt;0,COUNTIF(J2843,"*26*")&gt;0,COUNTIF(I2843,"27*")&gt;0,COUNTIF(J2843,"*27*")&gt;0,COUNTIF(I2843,"28*")&gt;0,COUNTIF(J2843,"*28*")&gt;0,COUNTIF(I2843,"29*")&gt;0,COUNTIF(J2843,"*29*")&gt;0,COUNTIF(I2843,"30*")&gt;0,COUNTIF(J2843,"*30*")&gt;0,COUNTIF(I2843,"31*")&gt;0,COUNTIF(J2843,"*31*")&gt;0,COUNTIF(I2843,"32*")&gt;0,COUNTIF(J2843,"*32*")&gt;0,COUNTIF(I2843,"33*")&gt;0,COUNTIF(J2843,"*33*")&gt;0,COUNTIF(I2843,"41*")&gt;0,COUNTIF(J2843,"*41*")&gt;0,COUNTIF(I2843,"42*")&gt;0,COUNTIF(J2843,"*42*")&gt;0,COUNTIF(I2843,"43*")&gt;0,COUNTIF(J2843,"*43*")&gt;0,COUNTIF(I2843,"49*")&gt;0,COUNTIF(J2843,"*49*")&gt;0,COUNTIF(I2843,"52*")&gt;0,COUNTIF(J2843,"*52*")&gt;0,COUNTIF(I2843,"55*")&gt;0,COUNTIF(J2843,"*55*")&gt;0,COUNTIF(I2843,"56*")&gt;0,COUNTIF(J2843,"*56*")&gt;0,COUNTIF(I2843,"68*")&gt;0,COUNTIF(J2843,"*68*")&gt;0,COUNTIF(I2843,"78*")&gt;0,COUNTIF(J2843,"*78*")&gt;0,COUNTIF(I2843,"81*")&gt;0,COUNTIF(J2843,"*81*")&gt;0,COUNTIF(I2843,"82*")&gt;0,COUNTIF(J2843,"*82*")&gt;0,COUNTIF(I2843,"64*")&gt;0,COUNTIF(J2843,"*64*")&gt;0,COUNTIF(I2843,"65*")&gt;0,COUNTIF(J2843,"*65*")&gt;0,COUNTIF(I2843,"66*")&gt;0,COUNTIF(J2843,"*66*")&gt;0,COUNTIF(I2843,"61*")&gt;0,COUNTIF(J2843,"*61*")&gt;0,COUNTIF(I2843,"62*")&gt;0,COUNTIF(J2843,"*62*")&gt;0,COUNTIF(I2843,"63*")&gt;0,COUNTIF(J2843,"*63*")&gt;0,COUNTIF(I2843,"85*")&gt;0,COUNTIF(J2843,"*85*")&gt;0,COUNTIF(I2843,"86*")&gt;0,COUNTIF(J2843,"*86*")&gt;0),"Да","Нет"))</f>
        <v/>
      </c>
      <c r="M2843" s="13">
        <f>IF(OR(G2843="",L2843&lt;&gt;"Да"),"",IF(G2843&lt;=100,"До 100",IF(G2843&lt;=200,"До 200",IF(G2843&lt;=500,"До 500","Отдельное КП"))))</f>
        <v/>
      </c>
      <c r="N2843" s="15">
        <f>IF(OR(G2843="",L2843&lt;&gt;"Да"),"",IF(G2843&lt;=100,33600,IF(G2843&lt;=200,62400,IF(G2843&lt;=500,144000,""))))</f>
        <v/>
      </c>
      <c r="O2843" s="16">
        <f>IF(G2843="","",IF(G2843&lt;=15,"1–15",IF(G2843&lt;=30,"16–30",IF(G2843&lt;=50,"31–50",IF(G2843&lt;=100,"51–100",IF(G2843&lt;=150,"101–150",IF(G2843&lt;=200,"151–200",IF(G2843&lt;=500,"201–500","500+"))))))))</f>
        <v/>
      </c>
      <c r="P2843" s="16" t="inlineStr">
        <is>
          <t>Нет совпадения в предоставленной выгрузке ССЧР</t>
        </is>
      </c>
      <c r="Q2843" s="16" t="n"/>
      <c r="R2843" s="16">
        <f>HYPERLINK("https://checko.ru/search?query=3801001629","Чекко: проверить")</f>
        <v/>
      </c>
      <c r="S2843" t="n">
        <v>0</v>
      </c>
    </row>
    <row r="2844" ht="15" customHeight="1" s="24">
      <c r="A2844" s="13" t="n">
        <v>5000095204</v>
      </c>
      <c r="B2844" s="13" t="inlineStr">
        <is>
          <t>ГКУ КБР "СШОР по вольной борьбе"</t>
        </is>
      </c>
      <c r="C2844" s="13" t="n">
        <v>725001650</v>
      </c>
      <c r="D2844" s="13" t="n"/>
      <c r="E2844" s="13" t="inlineStr">
        <is>
          <t>Не определён</t>
        </is>
      </c>
      <c r="F2844" s="13" t="inlineStr">
        <is>
          <t>725001650</t>
        </is>
      </c>
      <c r="G2844" s="14" t="n"/>
      <c r="H2844" s="14" t="n"/>
      <c r="I2844" s="14" t="n"/>
      <c r="J2844" s="14" t="n"/>
      <c r="K2844" s="13">
        <f>IF(G2844="","",IF(G2844&gt;=22,"Да","Нет"))</f>
        <v/>
      </c>
      <c r="L2844" s="13">
        <f>IF(OR(I2844="",J2844=""),"Не определено",IF(OR(COUNTIF(I2844,"45*")&gt;0,COUNTIF(J2844,"*45*")&gt;0,COUNTIF(I2844,"46*")&gt;0,COUNTIF(J2844,"*46*")&gt;0,COUNTIF(I2844,"47*")&gt;0,COUNTIF(J2844,"*47*")&gt;0,COUNTIF(I2844,"10*")&gt;0,COUNTIF(J2844,"*10*")&gt;0,COUNTIF(I2844,"11*")&gt;0,COUNTIF(J2844,"*11*")&gt;0,COUNTIF(I2844,"12*")&gt;0,COUNTIF(J2844,"*12*")&gt;0,COUNTIF(I2844,"13*")&gt;0,COUNTIF(J2844,"*13*")&gt;0,COUNTIF(I2844,"14*")&gt;0,COUNTIF(J2844,"*14*")&gt;0,COUNTIF(I2844,"15*")&gt;0,COUNTIF(J2844,"*15*")&gt;0,COUNTIF(I2844,"16*")&gt;0,COUNTIF(J2844,"*16*")&gt;0,COUNTIF(I2844,"17*")&gt;0,COUNTIF(J2844,"*17*")&gt;0,COUNTIF(I2844,"18*")&gt;0,COUNTIF(J2844,"*18*")&gt;0,COUNTIF(I2844,"19*")&gt;0,COUNTIF(J2844,"*19*")&gt;0,COUNTIF(I2844,"20*")&gt;0,COUNTIF(J2844,"*20*")&gt;0,COUNTIF(I2844,"21*")&gt;0,COUNTIF(J2844,"*21*")&gt;0,COUNTIF(I2844,"22*")&gt;0,COUNTIF(J2844,"*22*")&gt;0,COUNTIF(I2844,"23*")&gt;0,COUNTIF(J2844,"*23*")&gt;0,COUNTIF(I2844,"24*")&gt;0,COUNTIF(J2844,"*24*")&gt;0,COUNTIF(I2844,"25*")&gt;0,COUNTIF(J2844,"*25*")&gt;0,COUNTIF(I2844,"26*")&gt;0,COUNTIF(J2844,"*26*")&gt;0,COUNTIF(I2844,"27*")&gt;0,COUNTIF(J2844,"*27*")&gt;0,COUNTIF(I2844,"28*")&gt;0,COUNTIF(J2844,"*28*")&gt;0,COUNTIF(I2844,"29*")&gt;0,COUNTIF(J2844,"*29*")&gt;0,COUNTIF(I2844,"30*")&gt;0,COUNTIF(J2844,"*30*")&gt;0,COUNTIF(I2844,"31*")&gt;0,COUNTIF(J2844,"*31*")&gt;0,COUNTIF(I2844,"32*")&gt;0,COUNTIF(J2844,"*32*")&gt;0,COUNTIF(I2844,"33*")&gt;0,COUNTIF(J2844,"*33*")&gt;0,COUNTIF(I2844,"41*")&gt;0,COUNTIF(J2844,"*41*")&gt;0,COUNTIF(I2844,"42*")&gt;0,COUNTIF(J2844,"*42*")&gt;0,COUNTIF(I2844,"43*")&gt;0,COUNTIF(J2844,"*43*")&gt;0,COUNTIF(I2844,"49*")&gt;0,COUNTIF(J2844,"*49*")&gt;0,COUNTIF(I2844,"52*")&gt;0,COUNTIF(J2844,"*52*")&gt;0,COUNTIF(I2844,"55*")&gt;0,COUNTIF(J2844,"*55*")&gt;0,COUNTIF(I2844,"56*")&gt;0,COUNTIF(J2844,"*56*")&gt;0,COUNTIF(I2844,"68*")&gt;0,COUNTIF(J2844,"*68*")&gt;0,COUNTIF(I2844,"78*")&gt;0,COUNTIF(J2844,"*78*")&gt;0,COUNTIF(I2844,"81*")&gt;0,COUNTIF(J2844,"*81*")&gt;0,COUNTIF(I2844,"82*")&gt;0,COUNTIF(J2844,"*82*")&gt;0,COUNTIF(I2844,"64*")&gt;0,COUNTIF(J2844,"*64*")&gt;0,COUNTIF(I2844,"65*")&gt;0,COUNTIF(J2844,"*65*")&gt;0,COUNTIF(I2844,"66*")&gt;0,COUNTIF(J2844,"*66*")&gt;0,COUNTIF(I2844,"61*")&gt;0,COUNTIF(J2844,"*61*")&gt;0,COUNTIF(I2844,"62*")&gt;0,COUNTIF(J2844,"*62*")&gt;0,COUNTIF(I2844,"63*")&gt;0,COUNTIF(J2844,"*63*")&gt;0,COUNTIF(I2844,"85*")&gt;0,COUNTIF(J2844,"*85*")&gt;0,COUNTIF(I2844,"86*")&gt;0,COUNTIF(J2844,"*86*")&gt;0),"Да","Нет"))</f>
        <v/>
      </c>
      <c r="M2844" s="13">
        <f>IF(OR(G2844="",L2844&lt;&gt;"Да"),"",IF(G2844&lt;=100,"До 100",IF(G2844&lt;=200,"До 200",IF(G2844&lt;=500,"До 500","Отдельное КП"))))</f>
        <v/>
      </c>
      <c r="N2844" s="15">
        <f>IF(OR(G2844="",L2844&lt;&gt;"Да"),"",IF(G2844&lt;=100,33600,IF(G2844&lt;=200,62400,IF(G2844&lt;=500,144000,""))))</f>
        <v/>
      </c>
      <c r="O2844" s="16">
        <f>IF(G2844="","",IF(G2844&lt;=15,"1–15",IF(G2844&lt;=30,"16–30",IF(G2844&lt;=50,"31–50",IF(G2844&lt;=100,"51–100",IF(G2844&lt;=150,"101–150",IF(G2844&lt;=200,"151–200",IF(G2844&lt;=500,"201–500","500+"))))))))</f>
        <v/>
      </c>
      <c r="P2844" s="16" t="inlineStr">
        <is>
          <t>Нет совпадения в предоставленной выгрузке ССЧР</t>
        </is>
      </c>
      <c r="Q2844" s="16" t="n"/>
      <c r="R2844" s="16">
        <f>HYPERLINK("https://checko.ru/search?query=3801001629","Чекко: проверить")</f>
        <v/>
      </c>
      <c r="S2844" t="n">
        <v>0</v>
      </c>
    </row>
    <row r="2845" ht="15" customHeight="1" s="24">
      <c r="A2845" s="13" t="n">
        <v>5000095205</v>
      </c>
      <c r="B2845" s="13" t="inlineStr">
        <is>
          <t>ГКУ КБР "СШ по неолимпийским видам спорта"</t>
        </is>
      </c>
      <c r="C2845" s="13" t="n">
        <v>725002037</v>
      </c>
      <c r="D2845" s="13" t="n"/>
      <c r="E2845" s="13" t="inlineStr">
        <is>
          <t>Не определён</t>
        </is>
      </c>
      <c r="F2845" s="13" t="inlineStr">
        <is>
          <t>725002037</t>
        </is>
      </c>
      <c r="G2845" s="14" t="n"/>
      <c r="H2845" s="14" t="n"/>
      <c r="I2845" s="14" t="n"/>
      <c r="J2845" s="14" t="n"/>
      <c r="K2845" s="13">
        <f>IF(G2845="","",IF(G2845&gt;=22,"Да","Нет"))</f>
        <v/>
      </c>
      <c r="L2845" s="13">
        <f>IF(OR(I2845="",J2845=""),"Не определено",IF(OR(COUNTIF(I2845,"45*")&gt;0,COUNTIF(J2845,"*45*")&gt;0,COUNTIF(I2845,"46*")&gt;0,COUNTIF(J2845,"*46*")&gt;0,COUNTIF(I2845,"47*")&gt;0,COUNTIF(J2845,"*47*")&gt;0,COUNTIF(I2845,"10*")&gt;0,COUNTIF(J2845,"*10*")&gt;0,COUNTIF(I2845,"11*")&gt;0,COUNTIF(J2845,"*11*")&gt;0,COUNTIF(I2845,"12*")&gt;0,COUNTIF(J2845,"*12*")&gt;0,COUNTIF(I2845,"13*")&gt;0,COUNTIF(J2845,"*13*")&gt;0,COUNTIF(I2845,"14*")&gt;0,COUNTIF(J2845,"*14*")&gt;0,COUNTIF(I2845,"15*")&gt;0,COUNTIF(J2845,"*15*")&gt;0,COUNTIF(I2845,"16*")&gt;0,COUNTIF(J2845,"*16*")&gt;0,COUNTIF(I2845,"17*")&gt;0,COUNTIF(J2845,"*17*")&gt;0,COUNTIF(I2845,"18*")&gt;0,COUNTIF(J2845,"*18*")&gt;0,COUNTIF(I2845,"19*")&gt;0,COUNTIF(J2845,"*19*")&gt;0,COUNTIF(I2845,"20*")&gt;0,COUNTIF(J2845,"*20*")&gt;0,COUNTIF(I2845,"21*")&gt;0,COUNTIF(J2845,"*21*")&gt;0,COUNTIF(I2845,"22*")&gt;0,COUNTIF(J2845,"*22*")&gt;0,COUNTIF(I2845,"23*")&gt;0,COUNTIF(J2845,"*23*")&gt;0,COUNTIF(I2845,"24*")&gt;0,COUNTIF(J2845,"*24*")&gt;0,COUNTIF(I2845,"25*")&gt;0,COUNTIF(J2845,"*25*")&gt;0,COUNTIF(I2845,"26*")&gt;0,COUNTIF(J2845,"*26*")&gt;0,COUNTIF(I2845,"27*")&gt;0,COUNTIF(J2845,"*27*")&gt;0,COUNTIF(I2845,"28*")&gt;0,COUNTIF(J2845,"*28*")&gt;0,COUNTIF(I2845,"29*")&gt;0,COUNTIF(J2845,"*29*")&gt;0,COUNTIF(I2845,"30*")&gt;0,COUNTIF(J2845,"*30*")&gt;0,COUNTIF(I2845,"31*")&gt;0,COUNTIF(J2845,"*31*")&gt;0,COUNTIF(I2845,"32*")&gt;0,COUNTIF(J2845,"*32*")&gt;0,COUNTIF(I2845,"33*")&gt;0,COUNTIF(J2845,"*33*")&gt;0,COUNTIF(I2845,"41*")&gt;0,COUNTIF(J2845,"*41*")&gt;0,COUNTIF(I2845,"42*")&gt;0,COUNTIF(J2845,"*42*")&gt;0,COUNTIF(I2845,"43*")&gt;0,COUNTIF(J2845,"*43*")&gt;0,COUNTIF(I2845,"49*")&gt;0,COUNTIF(J2845,"*49*")&gt;0,COUNTIF(I2845,"52*")&gt;0,COUNTIF(J2845,"*52*")&gt;0,COUNTIF(I2845,"55*")&gt;0,COUNTIF(J2845,"*55*")&gt;0,COUNTIF(I2845,"56*")&gt;0,COUNTIF(J2845,"*56*")&gt;0,COUNTIF(I2845,"68*")&gt;0,COUNTIF(J2845,"*68*")&gt;0,COUNTIF(I2845,"78*")&gt;0,COUNTIF(J2845,"*78*")&gt;0,COUNTIF(I2845,"81*")&gt;0,COUNTIF(J2845,"*81*")&gt;0,COUNTIF(I2845,"82*")&gt;0,COUNTIF(J2845,"*82*")&gt;0,COUNTIF(I2845,"64*")&gt;0,COUNTIF(J2845,"*64*")&gt;0,COUNTIF(I2845,"65*")&gt;0,COUNTIF(J2845,"*65*")&gt;0,COUNTIF(I2845,"66*")&gt;0,COUNTIF(J2845,"*66*")&gt;0,COUNTIF(I2845,"61*")&gt;0,COUNTIF(J2845,"*61*")&gt;0,COUNTIF(I2845,"62*")&gt;0,COUNTIF(J2845,"*62*")&gt;0,COUNTIF(I2845,"63*")&gt;0,COUNTIF(J2845,"*63*")&gt;0,COUNTIF(I2845,"85*")&gt;0,COUNTIF(J2845,"*85*")&gt;0,COUNTIF(I2845,"86*")&gt;0,COUNTIF(J2845,"*86*")&gt;0),"Да","Нет"))</f>
        <v/>
      </c>
      <c r="M2845" s="13">
        <f>IF(OR(G2845="",L2845&lt;&gt;"Да"),"",IF(G2845&lt;=100,"До 100",IF(G2845&lt;=200,"До 200",IF(G2845&lt;=500,"До 500","Отдельное КП"))))</f>
        <v/>
      </c>
      <c r="N2845" s="15">
        <f>IF(OR(G2845="",L2845&lt;&gt;"Да"),"",IF(G2845&lt;=100,33600,IF(G2845&lt;=200,62400,IF(G2845&lt;=500,144000,""))))</f>
        <v/>
      </c>
      <c r="O2845" s="16">
        <f>IF(G2845="","",IF(G2845&lt;=15,"1–15",IF(G2845&lt;=30,"16–30",IF(G2845&lt;=50,"31–50",IF(G2845&lt;=100,"51–100",IF(G2845&lt;=150,"101–150",IF(G2845&lt;=200,"151–200",IF(G2845&lt;=500,"201–500","500+"))))))))</f>
        <v/>
      </c>
      <c r="P2845" s="16" t="inlineStr">
        <is>
          <t>Нет совпадения в предоставленной выгрузке ССЧР</t>
        </is>
      </c>
      <c r="Q2845" s="16" t="n"/>
      <c r="R2845" s="16">
        <f>HYPERLINK("https://checko.ru/search?query=3801001629","Чекко: проверить")</f>
        <v/>
      </c>
      <c r="S2845" t="n">
        <v>0</v>
      </c>
    </row>
    <row r="2846" ht="15" customHeight="1" s="24">
      <c r="A2846" s="13" t="n">
        <v>5000095211</v>
      </c>
      <c r="B2846" s="13" t="inlineStr">
        <is>
          <t>ГБУ "МФЦ КБР"</t>
        </is>
      </c>
      <c r="C2846" s="13" t="n">
        <v>725005479</v>
      </c>
      <c r="D2846" s="13" t="n"/>
      <c r="E2846" s="13" t="inlineStr">
        <is>
          <t>Не определён</t>
        </is>
      </c>
      <c r="F2846" s="13" t="inlineStr">
        <is>
          <t>725005479</t>
        </is>
      </c>
      <c r="G2846" s="14" t="n"/>
      <c r="H2846" s="14" t="n"/>
      <c r="I2846" s="14" t="n"/>
      <c r="J2846" s="14" t="n"/>
      <c r="K2846" s="13">
        <f>IF(G2846="","",IF(G2846&gt;=22,"Да","Нет"))</f>
        <v/>
      </c>
      <c r="L2846" s="13">
        <f>IF(OR(I2846="",J2846=""),"Не определено",IF(OR(COUNTIF(I2846,"45*")&gt;0,COUNTIF(J2846,"*45*")&gt;0,COUNTIF(I2846,"46*")&gt;0,COUNTIF(J2846,"*46*")&gt;0,COUNTIF(I2846,"47*")&gt;0,COUNTIF(J2846,"*47*")&gt;0,COUNTIF(I2846,"10*")&gt;0,COUNTIF(J2846,"*10*")&gt;0,COUNTIF(I2846,"11*")&gt;0,COUNTIF(J2846,"*11*")&gt;0,COUNTIF(I2846,"12*")&gt;0,COUNTIF(J2846,"*12*")&gt;0,COUNTIF(I2846,"13*")&gt;0,COUNTIF(J2846,"*13*")&gt;0,COUNTIF(I2846,"14*")&gt;0,COUNTIF(J2846,"*14*")&gt;0,COUNTIF(I2846,"15*")&gt;0,COUNTIF(J2846,"*15*")&gt;0,COUNTIF(I2846,"16*")&gt;0,COUNTIF(J2846,"*16*")&gt;0,COUNTIF(I2846,"17*")&gt;0,COUNTIF(J2846,"*17*")&gt;0,COUNTIF(I2846,"18*")&gt;0,COUNTIF(J2846,"*18*")&gt;0,COUNTIF(I2846,"19*")&gt;0,COUNTIF(J2846,"*19*")&gt;0,COUNTIF(I2846,"20*")&gt;0,COUNTIF(J2846,"*20*")&gt;0,COUNTIF(I2846,"21*")&gt;0,COUNTIF(J2846,"*21*")&gt;0,COUNTIF(I2846,"22*")&gt;0,COUNTIF(J2846,"*22*")&gt;0,COUNTIF(I2846,"23*")&gt;0,COUNTIF(J2846,"*23*")&gt;0,COUNTIF(I2846,"24*")&gt;0,COUNTIF(J2846,"*24*")&gt;0,COUNTIF(I2846,"25*")&gt;0,COUNTIF(J2846,"*25*")&gt;0,COUNTIF(I2846,"26*")&gt;0,COUNTIF(J2846,"*26*")&gt;0,COUNTIF(I2846,"27*")&gt;0,COUNTIF(J2846,"*27*")&gt;0,COUNTIF(I2846,"28*")&gt;0,COUNTIF(J2846,"*28*")&gt;0,COUNTIF(I2846,"29*")&gt;0,COUNTIF(J2846,"*29*")&gt;0,COUNTIF(I2846,"30*")&gt;0,COUNTIF(J2846,"*30*")&gt;0,COUNTIF(I2846,"31*")&gt;0,COUNTIF(J2846,"*31*")&gt;0,COUNTIF(I2846,"32*")&gt;0,COUNTIF(J2846,"*32*")&gt;0,COUNTIF(I2846,"33*")&gt;0,COUNTIF(J2846,"*33*")&gt;0,COUNTIF(I2846,"41*")&gt;0,COUNTIF(J2846,"*41*")&gt;0,COUNTIF(I2846,"42*")&gt;0,COUNTIF(J2846,"*42*")&gt;0,COUNTIF(I2846,"43*")&gt;0,COUNTIF(J2846,"*43*")&gt;0,COUNTIF(I2846,"49*")&gt;0,COUNTIF(J2846,"*49*")&gt;0,COUNTIF(I2846,"52*")&gt;0,COUNTIF(J2846,"*52*")&gt;0,COUNTIF(I2846,"55*")&gt;0,COUNTIF(J2846,"*55*")&gt;0,COUNTIF(I2846,"56*")&gt;0,COUNTIF(J2846,"*56*")&gt;0,COUNTIF(I2846,"68*")&gt;0,COUNTIF(J2846,"*68*")&gt;0,COUNTIF(I2846,"78*")&gt;0,COUNTIF(J2846,"*78*")&gt;0,COUNTIF(I2846,"81*")&gt;0,COUNTIF(J2846,"*81*")&gt;0,COUNTIF(I2846,"82*")&gt;0,COUNTIF(J2846,"*82*")&gt;0,COUNTIF(I2846,"64*")&gt;0,COUNTIF(J2846,"*64*")&gt;0,COUNTIF(I2846,"65*")&gt;0,COUNTIF(J2846,"*65*")&gt;0,COUNTIF(I2846,"66*")&gt;0,COUNTIF(J2846,"*66*")&gt;0,COUNTIF(I2846,"61*")&gt;0,COUNTIF(J2846,"*61*")&gt;0,COUNTIF(I2846,"62*")&gt;0,COUNTIF(J2846,"*62*")&gt;0,COUNTIF(I2846,"63*")&gt;0,COUNTIF(J2846,"*63*")&gt;0,COUNTIF(I2846,"85*")&gt;0,COUNTIF(J2846,"*85*")&gt;0,COUNTIF(I2846,"86*")&gt;0,COUNTIF(J2846,"*86*")&gt;0),"Да","Нет"))</f>
        <v/>
      </c>
      <c r="M2846" s="13">
        <f>IF(OR(G2846="",L2846&lt;&gt;"Да"),"",IF(G2846&lt;=100,"До 100",IF(G2846&lt;=200,"До 200",IF(G2846&lt;=500,"До 500","Отдельное КП"))))</f>
        <v/>
      </c>
      <c r="N2846" s="15">
        <f>IF(OR(G2846="",L2846&lt;&gt;"Да"),"",IF(G2846&lt;=100,33600,IF(G2846&lt;=200,62400,IF(G2846&lt;=500,144000,""))))</f>
        <v/>
      </c>
      <c r="O2846" s="16">
        <f>IF(G2846="","",IF(G2846&lt;=15,"1–15",IF(G2846&lt;=30,"16–30",IF(G2846&lt;=50,"31–50",IF(G2846&lt;=100,"51–100",IF(G2846&lt;=150,"101–150",IF(G2846&lt;=200,"151–200",IF(G2846&lt;=500,"201–500","500+"))))))))</f>
        <v/>
      </c>
      <c r="P2846" s="16" t="inlineStr">
        <is>
          <t>Нет совпадения в предоставленной выгрузке ССЧР</t>
        </is>
      </c>
      <c r="Q2846" s="16" t="n"/>
      <c r="R2846" s="16">
        <f>HYPERLINK("https://checko.ru/search?query=3801001629","Чекко: проверить")</f>
        <v/>
      </c>
      <c r="S2846" t="n">
        <v>0</v>
      </c>
    </row>
    <row r="2847" ht="15" customHeight="1" s="24">
      <c r="A2847" s="13" t="n">
        <v>5000095212</v>
      </c>
      <c r="B2847" s="13" t="inlineStr">
        <is>
          <t>МКОУ "СОШ № 8" г.о. Нальчик КБР</t>
        </is>
      </c>
      <c r="C2847" s="13" t="n">
        <v>725007606</v>
      </c>
      <c r="D2847" s="13" t="n"/>
      <c r="E2847" s="13" t="inlineStr">
        <is>
          <t>Не определён</t>
        </is>
      </c>
      <c r="F2847" s="13" t="inlineStr">
        <is>
          <t>725007606</t>
        </is>
      </c>
      <c r="G2847" s="14" t="n"/>
      <c r="H2847" s="14" t="n"/>
      <c r="I2847" s="14" t="n"/>
      <c r="J2847" s="14" t="n"/>
      <c r="K2847" s="13">
        <f>IF(G2847="","",IF(G2847&gt;=22,"Да","Нет"))</f>
        <v/>
      </c>
      <c r="L2847" s="13">
        <f>IF(OR(I2847="",J2847=""),"Не определено",IF(OR(COUNTIF(I2847,"45*")&gt;0,COUNTIF(J2847,"*45*")&gt;0,COUNTIF(I2847,"46*")&gt;0,COUNTIF(J2847,"*46*")&gt;0,COUNTIF(I2847,"47*")&gt;0,COUNTIF(J2847,"*47*")&gt;0,COUNTIF(I2847,"10*")&gt;0,COUNTIF(J2847,"*10*")&gt;0,COUNTIF(I2847,"11*")&gt;0,COUNTIF(J2847,"*11*")&gt;0,COUNTIF(I2847,"12*")&gt;0,COUNTIF(J2847,"*12*")&gt;0,COUNTIF(I2847,"13*")&gt;0,COUNTIF(J2847,"*13*")&gt;0,COUNTIF(I2847,"14*")&gt;0,COUNTIF(J2847,"*14*")&gt;0,COUNTIF(I2847,"15*")&gt;0,COUNTIF(J2847,"*15*")&gt;0,COUNTIF(I2847,"16*")&gt;0,COUNTIF(J2847,"*16*")&gt;0,COUNTIF(I2847,"17*")&gt;0,COUNTIF(J2847,"*17*")&gt;0,COUNTIF(I2847,"18*")&gt;0,COUNTIF(J2847,"*18*")&gt;0,COUNTIF(I2847,"19*")&gt;0,COUNTIF(J2847,"*19*")&gt;0,COUNTIF(I2847,"20*")&gt;0,COUNTIF(J2847,"*20*")&gt;0,COUNTIF(I2847,"21*")&gt;0,COUNTIF(J2847,"*21*")&gt;0,COUNTIF(I2847,"22*")&gt;0,COUNTIF(J2847,"*22*")&gt;0,COUNTIF(I2847,"23*")&gt;0,COUNTIF(J2847,"*23*")&gt;0,COUNTIF(I2847,"24*")&gt;0,COUNTIF(J2847,"*24*")&gt;0,COUNTIF(I2847,"25*")&gt;0,COUNTIF(J2847,"*25*")&gt;0,COUNTIF(I2847,"26*")&gt;0,COUNTIF(J2847,"*26*")&gt;0,COUNTIF(I2847,"27*")&gt;0,COUNTIF(J2847,"*27*")&gt;0,COUNTIF(I2847,"28*")&gt;0,COUNTIF(J2847,"*28*")&gt;0,COUNTIF(I2847,"29*")&gt;0,COUNTIF(J2847,"*29*")&gt;0,COUNTIF(I2847,"30*")&gt;0,COUNTIF(J2847,"*30*")&gt;0,COUNTIF(I2847,"31*")&gt;0,COUNTIF(J2847,"*31*")&gt;0,COUNTIF(I2847,"32*")&gt;0,COUNTIF(J2847,"*32*")&gt;0,COUNTIF(I2847,"33*")&gt;0,COUNTIF(J2847,"*33*")&gt;0,COUNTIF(I2847,"41*")&gt;0,COUNTIF(J2847,"*41*")&gt;0,COUNTIF(I2847,"42*")&gt;0,COUNTIF(J2847,"*42*")&gt;0,COUNTIF(I2847,"43*")&gt;0,COUNTIF(J2847,"*43*")&gt;0,COUNTIF(I2847,"49*")&gt;0,COUNTIF(J2847,"*49*")&gt;0,COUNTIF(I2847,"52*")&gt;0,COUNTIF(J2847,"*52*")&gt;0,COUNTIF(I2847,"55*")&gt;0,COUNTIF(J2847,"*55*")&gt;0,COUNTIF(I2847,"56*")&gt;0,COUNTIF(J2847,"*56*")&gt;0,COUNTIF(I2847,"68*")&gt;0,COUNTIF(J2847,"*68*")&gt;0,COUNTIF(I2847,"78*")&gt;0,COUNTIF(J2847,"*78*")&gt;0,COUNTIF(I2847,"81*")&gt;0,COUNTIF(J2847,"*81*")&gt;0,COUNTIF(I2847,"82*")&gt;0,COUNTIF(J2847,"*82*")&gt;0,COUNTIF(I2847,"64*")&gt;0,COUNTIF(J2847,"*64*")&gt;0,COUNTIF(I2847,"65*")&gt;0,COUNTIF(J2847,"*65*")&gt;0,COUNTIF(I2847,"66*")&gt;0,COUNTIF(J2847,"*66*")&gt;0,COUNTIF(I2847,"61*")&gt;0,COUNTIF(J2847,"*61*")&gt;0,COUNTIF(I2847,"62*")&gt;0,COUNTIF(J2847,"*62*")&gt;0,COUNTIF(I2847,"63*")&gt;0,COUNTIF(J2847,"*63*")&gt;0,COUNTIF(I2847,"85*")&gt;0,COUNTIF(J2847,"*85*")&gt;0,COUNTIF(I2847,"86*")&gt;0,COUNTIF(J2847,"*86*")&gt;0),"Да","Нет"))</f>
        <v/>
      </c>
      <c r="M2847" s="13">
        <f>IF(OR(G2847="",L2847&lt;&gt;"Да"),"",IF(G2847&lt;=100,"До 100",IF(G2847&lt;=200,"До 200",IF(G2847&lt;=500,"До 500","Отдельное КП"))))</f>
        <v/>
      </c>
      <c r="N2847" s="15">
        <f>IF(OR(G2847="",L2847&lt;&gt;"Да"),"",IF(G2847&lt;=100,33600,IF(G2847&lt;=200,62400,IF(G2847&lt;=500,144000,""))))</f>
        <v/>
      </c>
      <c r="O2847" s="16">
        <f>IF(G2847="","",IF(G2847&lt;=15,"1–15",IF(G2847&lt;=30,"16–30",IF(G2847&lt;=50,"31–50",IF(G2847&lt;=100,"51–100",IF(G2847&lt;=150,"101–150",IF(G2847&lt;=200,"151–200",IF(G2847&lt;=500,"201–500","500+"))))))))</f>
        <v/>
      </c>
      <c r="P2847" s="16" t="inlineStr">
        <is>
          <t>Нет совпадения в предоставленной выгрузке ССЧР</t>
        </is>
      </c>
      <c r="Q2847" s="16" t="n"/>
      <c r="R2847" s="16">
        <f>HYPERLINK("https://checko.ru/search?query=3801001629","Чекко: проверить")</f>
        <v/>
      </c>
      <c r="S2847" t="n">
        <v>0</v>
      </c>
    </row>
    <row r="2848" ht="15" customHeight="1" s="24">
      <c r="A2848" s="13" t="n">
        <v>5000095296</v>
      </c>
      <c r="B2848" s="13" t="inlineStr">
        <is>
          <t>МКДОУ "Детский сад № 36"  г.о.Нальчик КБР</t>
        </is>
      </c>
      <c r="C2848" s="13" t="n">
        <v>726025630</v>
      </c>
      <c r="D2848" s="13" t="n"/>
      <c r="E2848" s="13" t="inlineStr">
        <is>
          <t>Не определён</t>
        </is>
      </c>
      <c r="F2848" s="13" t="inlineStr">
        <is>
          <t>726025630</t>
        </is>
      </c>
      <c r="G2848" s="14" t="n"/>
      <c r="H2848" s="14" t="n"/>
      <c r="I2848" s="14" t="n"/>
      <c r="J2848" s="14" t="n"/>
      <c r="K2848" s="13">
        <f>IF(G2848="","",IF(G2848&gt;=22,"Да","Нет"))</f>
        <v/>
      </c>
      <c r="L2848" s="13">
        <f>IF(OR(I2848="",J2848=""),"Не определено",IF(OR(COUNTIF(I2848,"45*")&gt;0,COUNTIF(J2848,"*45*")&gt;0,COUNTIF(I2848,"46*")&gt;0,COUNTIF(J2848,"*46*")&gt;0,COUNTIF(I2848,"47*")&gt;0,COUNTIF(J2848,"*47*")&gt;0,COUNTIF(I2848,"10*")&gt;0,COUNTIF(J2848,"*10*")&gt;0,COUNTIF(I2848,"11*")&gt;0,COUNTIF(J2848,"*11*")&gt;0,COUNTIF(I2848,"12*")&gt;0,COUNTIF(J2848,"*12*")&gt;0,COUNTIF(I2848,"13*")&gt;0,COUNTIF(J2848,"*13*")&gt;0,COUNTIF(I2848,"14*")&gt;0,COUNTIF(J2848,"*14*")&gt;0,COUNTIF(I2848,"15*")&gt;0,COUNTIF(J2848,"*15*")&gt;0,COUNTIF(I2848,"16*")&gt;0,COUNTIF(J2848,"*16*")&gt;0,COUNTIF(I2848,"17*")&gt;0,COUNTIF(J2848,"*17*")&gt;0,COUNTIF(I2848,"18*")&gt;0,COUNTIF(J2848,"*18*")&gt;0,COUNTIF(I2848,"19*")&gt;0,COUNTIF(J2848,"*19*")&gt;0,COUNTIF(I2848,"20*")&gt;0,COUNTIF(J2848,"*20*")&gt;0,COUNTIF(I2848,"21*")&gt;0,COUNTIF(J2848,"*21*")&gt;0,COUNTIF(I2848,"22*")&gt;0,COUNTIF(J2848,"*22*")&gt;0,COUNTIF(I2848,"23*")&gt;0,COUNTIF(J2848,"*23*")&gt;0,COUNTIF(I2848,"24*")&gt;0,COUNTIF(J2848,"*24*")&gt;0,COUNTIF(I2848,"25*")&gt;0,COUNTIF(J2848,"*25*")&gt;0,COUNTIF(I2848,"26*")&gt;0,COUNTIF(J2848,"*26*")&gt;0,COUNTIF(I2848,"27*")&gt;0,COUNTIF(J2848,"*27*")&gt;0,COUNTIF(I2848,"28*")&gt;0,COUNTIF(J2848,"*28*")&gt;0,COUNTIF(I2848,"29*")&gt;0,COUNTIF(J2848,"*29*")&gt;0,COUNTIF(I2848,"30*")&gt;0,COUNTIF(J2848,"*30*")&gt;0,COUNTIF(I2848,"31*")&gt;0,COUNTIF(J2848,"*31*")&gt;0,COUNTIF(I2848,"32*")&gt;0,COUNTIF(J2848,"*32*")&gt;0,COUNTIF(I2848,"33*")&gt;0,COUNTIF(J2848,"*33*")&gt;0,COUNTIF(I2848,"41*")&gt;0,COUNTIF(J2848,"*41*")&gt;0,COUNTIF(I2848,"42*")&gt;0,COUNTIF(J2848,"*42*")&gt;0,COUNTIF(I2848,"43*")&gt;0,COUNTIF(J2848,"*43*")&gt;0,COUNTIF(I2848,"49*")&gt;0,COUNTIF(J2848,"*49*")&gt;0,COUNTIF(I2848,"52*")&gt;0,COUNTIF(J2848,"*52*")&gt;0,COUNTIF(I2848,"55*")&gt;0,COUNTIF(J2848,"*55*")&gt;0,COUNTIF(I2848,"56*")&gt;0,COUNTIF(J2848,"*56*")&gt;0,COUNTIF(I2848,"68*")&gt;0,COUNTIF(J2848,"*68*")&gt;0,COUNTIF(I2848,"78*")&gt;0,COUNTIF(J2848,"*78*")&gt;0,COUNTIF(I2848,"81*")&gt;0,COUNTIF(J2848,"*81*")&gt;0,COUNTIF(I2848,"82*")&gt;0,COUNTIF(J2848,"*82*")&gt;0,COUNTIF(I2848,"64*")&gt;0,COUNTIF(J2848,"*64*")&gt;0,COUNTIF(I2848,"65*")&gt;0,COUNTIF(J2848,"*65*")&gt;0,COUNTIF(I2848,"66*")&gt;0,COUNTIF(J2848,"*66*")&gt;0,COUNTIF(I2848,"61*")&gt;0,COUNTIF(J2848,"*61*")&gt;0,COUNTIF(I2848,"62*")&gt;0,COUNTIF(J2848,"*62*")&gt;0,COUNTIF(I2848,"63*")&gt;0,COUNTIF(J2848,"*63*")&gt;0,COUNTIF(I2848,"85*")&gt;0,COUNTIF(J2848,"*85*")&gt;0,COUNTIF(I2848,"86*")&gt;0,COUNTIF(J2848,"*86*")&gt;0),"Да","Нет"))</f>
        <v/>
      </c>
      <c r="M2848" s="13">
        <f>IF(OR(G2848="",L2848&lt;&gt;"Да"),"",IF(G2848&lt;=100,"До 100",IF(G2848&lt;=200,"До 200",IF(G2848&lt;=500,"До 500","Отдельное КП"))))</f>
        <v/>
      </c>
      <c r="N2848" s="15">
        <f>IF(OR(G2848="",L2848&lt;&gt;"Да"),"",IF(G2848&lt;=100,33600,IF(G2848&lt;=200,62400,IF(G2848&lt;=500,144000,""))))</f>
        <v/>
      </c>
      <c r="O2848" s="16">
        <f>IF(G2848="","",IF(G2848&lt;=15,"1–15",IF(G2848&lt;=30,"16–30",IF(G2848&lt;=50,"31–50",IF(G2848&lt;=100,"51–100",IF(G2848&lt;=150,"101–150",IF(G2848&lt;=200,"151–200",IF(G2848&lt;=500,"201–500","500+"))))))))</f>
        <v/>
      </c>
      <c r="P2848" s="16" t="inlineStr">
        <is>
          <t>Нет совпадения в предоставленной выгрузке ССЧР</t>
        </is>
      </c>
      <c r="Q2848" s="16" t="n"/>
      <c r="R2848" s="16">
        <f>HYPERLINK("https://checko.ru/search?query=3801001629","Чекко: проверить")</f>
        <v/>
      </c>
      <c r="S2848" t="n">
        <v>0</v>
      </c>
    </row>
    <row r="2849" ht="41.25" customHeight="1" s="24">
      <c r="A2849" s="13" t="n">
        <v>5000106108</v>
      </c>
      <c r="B2849" s="13" t="inlineStr">
        <is>
          <t>ГОСУДАРСТВЕННОЕ БЮДЖЕТНОЕ УЧРЕЖДЕНИЕ "СЕВЕРНОЕ РАЙОННОЕ УПРАВЛЕНИЕ ВЕТЕРИНАРИИ"</t>
        </is>
      </c>
      <c r="C2849" s="13" t="n">
        <v>5645000555</v>
      </c>
      <c r="D2849" s="13" t="inlineStr">
        <is>
          <t>5645000555</t>
        </is>
      </c>
      <c r="E2849" s="13" t="inlineStr">
        <is>
          <t>ЮЛ РФ</t>
        </is>
      </c>
      <c r="F2849" s="13" t="n"/>
      <c r="G2849" s="14" t="n"/>
      <c r="H2849" s="14" t="n"/>
      <c r="I2849" s="14" t="n"/>
      <c r="J2849" s="14" t="n"/>
      <c r="K2849" s="53" t="inlineStr"/>
      <c r="L2849" s="53" t="inlineStr">
        <is>
          <t>Не определено</t>
        </is>
      </c>
      <c r="M2849" s="53" t="inlineStr"/>
      <c r="N2849" s="54" t="inlineStr"/>
      <c r="O2849" s="55" t="inlineStr"/>
      <c r="P2849" s="16" t="inlineStr">
        <is>
          <t>Требует обогащения</t>
        </is>
      </c>
      <c r="Q2849" s="16">
        <f>HYPERLINK("https://pb.nalog.ru/search.html?query=5645000555","ФНС: проверить")</f>
        <v/>
      </c>
      <c r="R2849" s="16">
        <f>HYPERLINK("https://checko.ru/search?query=3801001629","Чекко: проверить")</f>
        <v/>
      </c>
      <c r="S2849" t="n">
        <v>1</v>
      </c>
      <c r="T2849" s="35" t="inlineStr">
        <is>
          <t>4 — Не обогащён</t>
        </is>
      </c>
      <c r="U2849" s="35" t="inlineStr">
        <is>
          <t>Нет ОКВЭД/ССЧР</t>
        </is>
      </c>
      <c r="V2849" s="35" t="inlineStr">
        <is>
          <t>Не определено</t>
        </is>
      </c>
      <c r="W2849" s="35" t="inlineStr"/>
      <c r="X2849" s="35" t="inlineStr"/>
    </row>
    <row r="2850" ht="15" customHeight="1" s="24">
      <c r="A2850" s="13" t="n">
        <v>5000094422</v>
      </c>
      <c r="B2850" s="13" t="inlineStr">
        <is>
          <t>МУ "УСХП и ЗО Баксанского района"</t>
        </is>
      </c>
      <c r="C2850" s="13" t="n">
        <v>701004638</v>
      </c>
      <c r="D2850" s="13" t="n"/>
      <c r="E2850" s="13" t="inlineStr">
        <is>
          <t>Не определён</t>
        </is>
      </c>
      <c r="F2850" s="13" t="inlineStr">
        <is>
          <t>701004638</t>
        </is>
      </c>
      <c r="G2850" s="14" t="n"/>
      <c r="H2850" s="14" t="n"/>
      <c r="I2850" s="14" t="n"/>
      <c r="J2850" s="14" t="n"/>
      <c r="K2850" s="13">
        <f>IF(G2850="","",IF(G2850&gt;=22,"Да","Нет"))</f>
        <v/>
      </c>
      <c r="L2850" s="13">
        <f>IF(OR(I2850="",J2850=""),"Не определено",IF(OR(COUNTIF(I2850,"45*")&gt;0,COUNTIF(J2850,"*45*")&gt;0,COUNTIF(I2850,"46*")&gt;0,COUNTIF(J2850,"*46*")&gt;0,COUNTIF(I2850,"47*")&gt;0,COUNTIF(J2850,"*47*")&gt;0,COUNTIF(I2850,"10*")&gt;0,COUNTIF(J2850,"*10*")&gt;0,COUNTIF(I2850,"11*")&gt;0,COUNTIF(J2850,"*11*")&gt;0,COUNTIF(I2850,"12*")&gt;0,COUNTIF(J2850,"*12*")&gt;0,COUNTIF(I2850,"13*")&gt;0,COUNTIF(J2850,"*13*")&gt;0,COUNTIF(I2850,"14*")&gt;0,COUNTIF(J2850,"*14*")&gt;0,COUNTIF(I2850,"15*")&gt;0,COUNTIF(J2850,"*15*")&gt;0,COUNTIF(I2850,"16*")&gt;0,COUNTIF(J2850,"*16*")&gt;0,COUNTIF(I2850,"17*")&gt;0,COUNTIF(J2850,"*17*")&gt;0,COUNTIF(I2850,"18*")&gt;0,COUNTIF(J2850,"*18*")&gt;0,COUNTIF(I2850,"19*")&gt;0,COUNTIF(J2850,"*19*")&gt;0,COUNTIF(I2850,"20*")&gt;0,COUNTIF(J2850,"*20*")&gt;0,COUNTIF(I2850,"21*")&gt;0,COUNTIF(J2850,"*21*")&gt;0,COUNTIF(I2850,"22*")&gt;0,COUNTIF(J2850,"*22*")&gt;0,COUNTIF(I2850,"23*")&gt;0,COUNTIF(J2850,"*23*")&gt;0,COUNTIF(I2850,"24*")&gt;0,COUNTIF(J2850,"*24*")&gt;0,COUNTIF(I2850,"25*")&gt;0,COUNTIF(J2850,"*25*")&gt;0,COUNTIF(I2850,"26*")&gt;0,COUNTIF(J2850,"*26*")&gt;0,COUNTIF(I2850,"27*")&gt;0,COUNTIF(J2850,"*27*")&gt;0,COUNTIF(I2850,"28*")&gt;0,COUNTIF(J2850,"*28*")&gt;0,COUNTIF(I2850,"29*")&gt;0,COUNTIF(J2850,"*29*")&gt;0,COUNTIF(I2850,"30*")&gt;0,COUNTIF(J2850,"*30*")&gt;0,COUNTIF(I2850,"31*")&gt;0,COUNTIF(J2850,"*31*")&gt;0,COUNTIF(I2850,"32*")&gt;0,COUNTIF(J2850,"*32*")&gt;0,COUNTIF(I2850,"33*")&gt;0,COUNTIF(J2850,"*33*")&gt;0,COUNTIF(I2850,"41*")&gt;0,COUNTIF(J2850,"*41*")&gt;0,COUNTIF(I2850,"42*")&gt;0,COUNTIF(J2850,"*42*")&gt;0,COUNTIF(I2850,"43*")&gt;0,COUNTIF(J2850,"*43*")&gt;0,COUNTIF(I2850,"49*")&gt;0,COUNTIF(J2850,"*49*")&gt;0,COUNTIF(I2850,"52*")&gt;0,COUNTIF(J2850,"*52*")&gt;0,COUNTIF(I2850,"55*")&gt;0,COUNTIF(J2850,"*55*")&gt;0,COUNTIF(I2850,"56*")&gt;0,COUNTIF(J2850,"*56*")&gt;0,COUNTIF(I2850,"68*")&gt;0,COUNTIF(J2850,"*68*")&gt;0,COUNTIF(I2850,"78*")&gt;0,COUNTIF(J2850,"*78*")&gt;0,COUNTIF(I2850,"81*")&gt;0,COUNTIF(J2850,"*81*")&gt;0,COUNTIF(I2850,"82*")&gt;0,COUNTIF(J2850,"*82*")&gt;0,COUNTIF(I2850,"64*")&gt;0,COUNTIF(J2850,"*64*")&gt;0,COUNTIF(I2850,"65*")&gt;0,COUNTIF(J2850,"*65*")&gt;0,COUNTIF(I2850,"66*")&gt;0,COUNTIF(J2850,"*66*")&gt;0,COUNTIF(I2850,"61*")&gt;0,COUNTIF(J2850,"*61*")&gt;0,COUNTIF(I2850,"62*")&gt;0,COUNTIF(J2850,"*62*")&gt;0,COUNTIF(I2850,"63*")&gt;0,COUNTIF(J2850,"*63*")&gt;0,COUNTIF(I2850,"85*")&gt;0,COUNTIF(J2850,"*85*")&gt;0,COUNTIF(I2850,"86*")&gt;0,COUNTIF(J2850,"*86*")&gt;0),"Да","Нет"))</f>
        <v/>
      </c>
      <c r="M2850" s="13">
        <f>IF(OR(G2850="",L2850&lt;&gt;"Да"),"",IF(G2850&lt;=100,"До 100",IF(G2850&lt;=200,"До 200",IF(G2850&lt;=500,"До 500","Отдельное КП"))))</f>
        <v/>
      </c>
      <c r="N2850" s="15">
        <f>IF(OR(G2850="",L2850&lt;&gt;"Да"),"",IF(G2850&lt;=100,33600,IF(G2850&lt;=200,62400,IF(G2850&lt;=500,144000,""))))</f>
        <v/>
      </c>
      <c r="O2850" s="16">
        <f>IF(G2850="","",IF(G2850&lt;=15,"1–15",IF(G2850&lt;=30,"16–30",IF(G2850&lt;=50,"31–50",IF(G2850&lt;=100,"51–100",IF(G2850&lt;=150,"101–150",IF(G2850&lt;=200,"151–200",IF(G2850&lt;=500,"201–500","500+"))))))))</f>
        <v/>
      </c>
      <c r="P2850" s="16" t="inlineStr">
        <is>
          <t>Нет совпадения в предоставленной выгрузке ССЧР</t>
        </is>
      </c>
      <c r="Q2850" s="16" t="n"/>
      <c r="R2850" s="16">
        <f>HYPERLINK("https://checko.ru/search?query=3801001629","Чекко: проверить")</f>
        <v/>
      </c>
      <c r="S2850" t="n">
        <v>0</v>
      </c>
    </row>
    <row r="2851" ht="27.75" customHeight="1" s="24">
      <c r="A2851" s="13" t="n">
        <v>5000094397</v>
      </c>
      <c r="B2851" s="13" t="inlineStr">
        <is>
          <t>МОУ "СОШ№3 им.генерала Нахушева Б.М." с.п. Заюково</t>
        </is>
      </c>
      <c r="C2851" s="13" t="n">
        <v>701004194</v>
      </c>
      <c r="D2851" s="13" t="n"/>
      <c r="E2851" s="13" t="inlineStr">
        <is>
          <t>Не определён</t>
        </is>
      </c>
      <c r="F2851" s="13" t="inlineStr">
        <is>
          <t>701004194</t>
        </is>
      </c>
      <c r="G2851" s="14" t="n"/>
      <c r="H2851" s="14" t="n"/>
      <c r="I2851" s="14" t="n"/>
      <c r="J2851" s="14" t="n"/>
      <c r="K2851" s="13">
        <f>IF(G2851="","",IF(G2851&gt;=22,"Да","Нет"))</f>
        <v/>
      </c>
      <c r="L2851" s="13">
        <f>IF(OR(I2851="",J2851=""),"Не определено",IF(OR(COUNTIF(I2851,"45*")&gt;0,COUNTIF(J2851,"*45*")&gt;0,COUNTIF(I2851,"46*")&gt;0,COUNTIF(J2851,"*46*")&gt;0,COUNTIF(I2851,"47*")&gt;0,COUNTIF(J2851,"*47*")&gt;0,COUNTIF(I2851,"10*")&gt;0,COUNTIF(J2851,"*10*")&gt;0,COUNTIF(I2851,"11*")&gt;0,COUNTIF(J2851,"*11*")&gt;0,COUNTIF(I2851,"12*")&gt;0,COUNTIF(J2851,"*12*")&gt;0,COUNTIF(I2851,"13*")&gt;0,COUNTIF(J2851,"*13*")&gt;0,COUNTIF(I2851,"14*")&gt;0,COUNTIF(J2851,"*14*")&gt;0,COUNTIF(I2851,"15*")&gt;0,COUNTIF(J2851,"*15*")&gt;0,COUNTIF(I2851,"16*")&gt;0,COUNTIF(J2851,"*16*")&gt;0,COUNTIF(I2851,"17*")&gt;0,COUNTIF(J2851,"*17*")&gt;0,COUNTIF(I2851,"18*")&gt;0,COUNTIF(J2851,"*18*")&gt;0,COUNTIF(I2851,"19*")&gt;0,COUNTIF(J2851,"*19*")&gt;0,COUNTIF(I2851,"20*")&gt;0,COUNTIF(J2851,"*20*")&gt;0,COUNTIF(I2851,"21*")&gt;0,COUNTIF(J2851,"*21*")&gt;0,COUNTIF(I2851,"22*")&gt;0,COUNTIF(J2851,"*22*")&gt;0,COUNTIF(I2851,"23*")&gt;0,COUNTIF(J2851,"*23*")&gt;0,COUNTIF(I2851,"24*")&gt;0,COUNTIF(J2851,"*24*")&gt;0,COUNTIF(I2851,"25*")&gt;0,COUNTIF(J2851,"*25*")&gt;0,COUNTIF(I2851,"26*")&gt;0,COUNTIF(J2851,"*26*")&gt;0,COUNTIF(I2851,"27*")&gt;0,COUNTIF(J2851,"*27*")&gt;0,COUNTIF(I2851,"28*")&gt;0,COUNTIF(J2851,"*28*")&gt;0,COUNTIF(I2851,"29*")&gt;0,COUNTIF(J2851,"*29*")&gt;0,COUNTIF(I2851,"30*")&gt;0,COUNTIF(J2851,"*30*")&gt;0,COUNTIF(I2851,"31*")&gt;0,COUNTIF(J2851,"*31*")&gt;0,COUNTIF(I2851,"32*")&gt;0,COUNTIF(J2851,"*32*")&gt;0,COUNTIF(I2851,"33*")&gt;0,COUNTIF(J2851,"*33*")&gt;0,COUNTIF(I2851,"41*")&gt;0,COUNTIF(J2851,"*41*")&gt;0,COUNTIF(I2851,"42*")&gt;0,COUNTIF(J2851,"*42*")&gt;0,COUNTIF(I2851,"43*")&gt;0,COUNTIF(J2851,"*43*")&gt;0,COUNTIF(I2851,"49*")&gt;0,COUNTIF(J2851,"*49*")&gt;0,COUNTIF(I2851,"52*")&gt;0,COUNTIF(J2851,"*52*")&gt;0,COUNTIF(I2851,"55*")&gt;0,COUNTIF(J2851,"*55*")&gt;0,COUNTIF(I2851,"56*")&gt;0,COUNTIF(J2851,"*56*")&gt;0,COUNTIF(I2851,"68*")&gt;0,COUNTIF(J2851,"*68*")&gt;0,COUNTIF(I2851,"78*")&gt;0,COUNTIF(J2851,"*78*")&gt;0,COUNTIF(I2851,"81*")&gt;0,COUNTIF(J2851,"*81*")&gt;0,COUNTIF(I2851,"82*")&gt;0,COUNTIF(J2851,"*82*")&gt;0,COUNTIF(I2851,"64*")&gt;0,COUNTIF(J2851,"*64*")&gt;0,COUNTIF(I2851,"65*")&gt;0,COUNTIF(J2851,"*65*")&gt;0,COUNTIF(I2851,"66*")&gt;0,COUNTIF(J2851,"*66*")&gt;0,COUNTIF(I2851,"61*")&gt;0,COUNTIF(J2851,"*61*")&gt;0,COUNTIF(I2851,"62*")&gt;0,COUNTIF(J2851,"*62*")&gt;0,COUNTIF(I2851,"63*")&gt;0,COUNTIF(J2851,"*63*")&gt;0,COUNTIF(I2851,"85*")&gt;0,COUNTIF(J2851,"*85*")&gt;0,COUNTIF(I2851,"86*")&gt;0,COUNTIF(J2851,"*86*")&gt;0),"Да","Нет"))</f>
        <v/>
      </c>
      <c r="M2851" s="13">
        <f>IF(OR(G2851="",L2851&lt;&gt;"Да"),"",IF(G2851&lt;=100,"До 100",IF(G2851&lt;=200,"До 200",IF(G2851&lt;=500,"До 500","Отдельное КП"))))</f>
        <v/>
      </c>
      <c r="N2851" s="15">
        <f>IF(OR(G2851="",L2851&lt;&gt;"Да"),"",IF(G2851&lt;=100,33600,IF(G2851&lt;=200,62400,IF(G2851&lt;=500,144000,""))))</f>
        <v/>
      </c>
      <c r="O2851" s="16">
        <f>IF(G2851="","",IF(G2851&lt;=15,"1–15",IF(G2851&lt;=30,"16–30",IF(G2851&lt;=50,"31–50",IF(G2851&lt;=100,"51–100",IF(G2851&lt;=150,"101–150",IF(G2851&lt;=200,"151–200",IF(G2851&lt;=500,"201–500","500+"))))))))</f>
        <v/>
      </c>
      <c r="P2851" s="16" t="inlineStr">
        <is>
          <t>Нет совпадения в предоставленной выгрузке ССЧР</t>
        </is>
      </c>
      <c r="Q2851" s="16" t="n"/>
      <c r="R2851" s="16">
        <f>HYPERLINK("https://checko.ru/search?query=3801001629","Чекко: проверить")</f>
        <v/>
      </c>
      <c r="S2851" t="n">
        <v>0</v>
      </c>
    </row>
    <row r="2852" ht="15" customHeight="1" s="24">
      <c r="A2852" s="13" t="n">
        <v>5000094398</v>
      </c>
      <c r="B2852" s="13" t="inlineStr">
        <is>
          <t>МОУ СОШ №1 с.п.В.Куркужин</t>
        </is>
      </c>
      <c r="C2852" s="13" t="n">
        <v>701004211</v>
      </c>
      <c r="D2852" s="13" t="n"/>
      <c r="E2852" s="13" t="inlineStr">
        <is>
          <t>Не определён</t>
        </is>
      </c>
      <c r="F2852" s="13" t="inlineStr">
        <is>
          <t>701004211</t>
        </is>
      </c>
      <c r="G2852" s="14" t="n"/>
      <c r="H2852" s="14" t="n"/>
      <c r="I2852" s="14" t="n"/>
      <c r="J2852" s="14" t="n"/>
      <c r="K2852" s="13">
        <f>IF(G2852="","",IF(G2852&gt;=22,"Да","Нет"))</f>
        <v/>
      </c>
      <c r="L2852" s="13">
        <f>IF(OR(I2852="",J2852=""),"Не определено",IF(OR(COUNTIF(I2852,"45*")&gt;0,COUNTIF(J2852,"*45*")&gt;0,COUNTIF(I2852,"46*")&gt;0,COUNTIF(J2852,"*46*")&gt;0,COUNTIF(I2852,"47*")&gt;0,COUNTIF(J2852,"*47*")&gt;0,COUNTIF(I2852,"10*")&gt;0,COUNTIF(J2852,"*10*")&gt;0,COUNTIF(I2852,"11*")&gt;0,COUNTIF(J2852,"*11*")&gt;0,COUNTIF(I2852,"12*")&gt;0,COUNTIF(J2852,"*12*")&gt;0,COUNTIF(I2852,"13*")&gt;0,COUNTIF(J2852,"*13*")&gt;0,COUNTIF(I2852,"14*")&gt;0,COUNTIF(J2852,"*14*")&gt;0,COUNTIF(I2852,"15*")&gt;0,COUNTIF(J2852,"*15*")&gt;0,COUNTIF(I2852,"16*")&gt;0,COUNTIF(J2852,"*16*")&gt;0,COUNTIF(I2852,"17*")&gt;0,COUNTIF(J2852,"*17*")&gt;0,COUNTIF(I2852,"18*")&gt;0,COUNTIF(J2852,"*18*")&gt;0,COUNTIF(I2852,"19*")&gt;0,COUNTIF(J2852,"*19*")&gt;0,COUNTIF(I2852,"20*")&gt;0,COUNTIF(J2852,"*20*")&gt;0,COUNTIF(I2852,"21*")&gt;0,COUNTIF(J2852,"*21*")&gt;0,COUNTIF(I2852,"22*")&gt;0,COUNTIF(J2852,"*22*")&gt;0,COUNTIF(I2852,"23*")&gt;0,COUNTIF(J2852,"*23*")&gt;0,COUNTIF(I2852,"24*")&gt;0,COUNTIF(J2852,"*24*")&gt;0,COUNTIF(I2852,"25*")&gt;0,COUNTIF(J2852,"*25*")&gt;0,COUNTIF(I2852,"26*")&gt;0,COUNTIF(J2852,"*26*")&gt;0,COUNTIF(I2852,"27*")&gt;0,COUNTIF(J2852,"*27*")&gt;0,COUNTIF(I2852,"28*")&gt;0,COUNTIF(J2852,"*28*")&gt;0,COUNTIF(I2852,"29*")&gt;0,COUNTIF(J2852,"*29*")&gt;0,COUNTIF(I2852,"30*")&gt;0,COUNTIF(J2852,"*30*")&gt;0,COUNTIF(I2852,"31*")&gt;0,COUNTIF(J2852,"*31*")&gt;0,COUNTIF(I2852,"32*")&gt;0,COUNTIF(J2852,"*32*")&gt;0,COUNTIF(I2852,"33*")&gt;0,COUNTIF(J2852,"*33*")&gt;0,COUNTIF(I2852,"41*")&gt;0,COUNTIF(J2852,"*41*")&gt;0,COUNTIF(I2852,"42*")&gt;0,COUNTIF(J2852,"*42*")&gt;0,COUNTIF(I2852,"43*")&gt;0,COUNTIF(J2852,"*43*")&gt;0,COUNTIF(I2852,"49*")&gt;0,COUNTIF(J2852,"*49*")&gt;0,COUNTIF(I2852,"52*")&gt;0,COUNTIF(J2852,"*52*")&gt;0,COUNTIF(I2852,"55*")&gt;0,COUNTIF(J2852,"*55*")&gt;0,COUNTIF(I2852,"56*")&gt;0,COUNTIF(J2852,"*56*")&gt;0,COUNTIF(I2852,"68*")&gt;0,COUNTIF(J2852,"*68*")&gt;0,COUNTIF(I2852,"78*")&gt;0,COUNTIF(J2852,"*78*")&gt;0,COUNTIF(I2852,"81*")&gt;0,COUNTIF(J2852,"*81*")&gt;0,COUNTIF(I2852,"82*")&gt;0,COUNTIF(J2852,"*82*")&gt;0,COUNTIF(I2852,"64*")&gt;0,COUNTIF(J2852,"*64*")&gt;0,COUNTIF(I2852,"65*")&gt;0,COUNTIF(J2852,"*65*")&gt;0,COUNTIF(I2852,"66*")&gt;0,COUNTIF(J2852,"*66*")&gt;0,COUNTIF(I2852,"61*")&gt;0,COUNTIF(J2852,"*61*")&gt;0,COUNTIF(I2852,"62*")&gt;0,COUNTIF(J2852,"*62*")&gt;0,COUNTIF(I2852,"63*")&gt;0,COUNTIF(J2852,"*63*")&gt;0,COUNTIF(I2852,"85*")&gt;0,COUNTIF(J2852,"*85*")&gt;0,COUNTIF(I2852,"86*")&gt;0,COUNTIF(J2852,"*86*")&gt;0),"Да","Нет"))</f>
        <v/>
      </c>
      <c r="M2852" s="13">
        <f>IF(OR(G2852="",L2852&lt;&gt;"Да"),"",IF(G2852&lt;=100,"До 100",IF(G2852&lt;=200,"До 200",IF(G2852&lt;=500,"До 500","Отдельное КП"))))</f>
        <v/>
      </c>
      <c r="N2852" s="15">
        <f>IF(OR(G2852="",L2852&lt;&gt;"Да"),"",IF(G2852&lt;=100,33600,IF(G2852&lt;=200,62400,IF(G2852&lt;=500,144000,""))))</f>
        <v/>
      </c>
      <c r="O2852" s="16">
        <f>IF(G2852="","",IF(G2852&lt;=15,"1–15",IF(G2852&lt;=30,"16–30",IF(G2852&lt;=50,"31–50",IF(G2852&lt;=100,"51–100",IF(G2852&lt;=150,"101–150",IF(G2852&lt;=200,"151–200",IF(G2852&lt;=500,"201–500","500+"))))))))</f>
        <v/>
      </c>
      <c r="P2852" s="16" t="inlineStr">
        <is>
          <t>Нет совпадения в предоставленной выгрузке ССЧР</t>
        </is>
      </c>
      <c r="Q2852" s="16" t="n"/>
      <c r="R2852" s="16">
        <f>HYPERLINK("https://checko.ru/search?query=3801001629","Чекко: проверить")</f>
        <v/>
      </c>
      <c r="S2852" t="n">
        <v>0</v>
      </c>
    </row>
    <row r="2853" ht="15" customHeight="1" s="24">
      <c r="A2853" s="13" t="n">
        <v>5000094400</v>
      </c>
      <c r="B2853" s="13" t="inlineStr">
        <is>
          <t>МОУ СОШ им.Малкарова Х.Ш. с.п. Жанхотеко</t>
        </is>
      </c>
      <c r="C2853" s="13" t="n">
        <v>701004250</v>
      </c>
      <c r="D2853" s="13" t="n"/>
      <c r="E2853" s="13" t="inlineStr">
        <is>
          <t>Не определён</t>
        </is>
      </c>
      <c r="F2853" s="13" t="inlineStr">
        <is>
          <t>701004250</t>
        </is>
      </c>
      <c r="G2853" s="14" t="n"/>
      <c r="H2853" s="14" t="n"/>
      <c r="I2853" s="14" t="n"/>
      <c r="J2853" s="14" t="n"/>
      <c r="K2853" s="13">
        <f>IF(G2853="","",IF(G2853&gt;=22,"Да","Нет"))</f>
        <v/>
      </c>
      <c r="L2853" s="13">
        <f>IF(OR(I2853="",J2853=""),"Не определено",IF(OR(COUNTIF(I2853,"45*")&gt;0,COUNTIF(J2853,"*45*")&gt;0,COUNTIF(I2853,"46*")&gt;0,COUNTIF(J2853,"*46*")&gt;0,COUNTIF(I2853,"47*")&gt;0,COUNTIF(J2853,"*47*")&gt;0,COUNTIF(I2853,"10*")&gt;0,COUNTIF(J2853,"*10*")&gt;0,COUNTIF(I2853,"11*")&gt;0,COUNTIF(J2853,"*11*")&gt;0,COUNTIF(I2853,"12*")&gt;0,COUNTIF(J2853,"*12*")&gt;0,COUNTIF(I2853,"13*")&gt;0,COUNTIF(J2853,"*13*")&gt;0,COUNTIF(I2853,"14*")&gt;0,COUNTIF(J2853,"*14*")&gt;0,COUNTIF(I2853,"15*")&gt;0,COUNTIF(J2853,"*15*")&gt;0,COUNTIF(I2853,"16*")&gt;0,COUNTIF(J2853,"*16*")&gt;0,COUNTIF(I2853,"17*")&gt;0,COUNTIF(J2853,"*17*")&gt;0,COUNTIF(I2853,"18*")&gt;0,COUNTIF(J2853,"*18*")&gt;0,COUNTIF(I2853,"19*")&gt;0,COUNTIF(J2853,"*19*")&gt;0,COUNTIF(I2853,"20*")&gt;0,COUNTIF(J2853,"*20*")&gt;0,COUNTIF(I2853,"21*")&gt;0,COUNTIF(J2853,"*21*")&gt;0,COUNTIF(I2853,"22*")&gt;0,COUNTIF(J2853,"*22*")&gt;0,COUNTIF(I2853,"23*")&gt;0,COUNTIF(J2853,"*23*")&gt;0,COUNTIF(I2853,"24*")&gt;0,COUNTIF(J2853,"*24*")&gt;0,COUNTIF(I2853,"25*")&gt;0,COUNTIF(J2853,"*25*")&gt;0,COUNTIF(I2853,"26*")&gt;0,COUNTIF(J2853,"*26*")&gt;0,COUNTIF(I2853,"27*")&gt;0,COUNTIF(J2853,"*27*")&gt;0,COUNTIF(I2853,"28*")&gt;0,COUNTIF(J2853,"*28*")&gt;0,COUNTIF(I2853,"29*")&gt;0,COUNTIF(J2853,"*29*")&gt;0,COUNTIF(I2853,"30*")&gt;0,COUNTIF(J2853,"*30*")&gt;0,COUNTIF(I2853,"31*")&gt;0,COUNTIF(J2853,"*31*")&gt;0,COUNTIF(I2853,"32*")&gt;0,COUNTIF(J2853,"*32*")&gt;0,COUNTIF(I2853,"33*")&gt;0,COUNTIF(J2853,"*33*")&gt;0,COUNTIF(I2853,"41*")&gt;0,COUNTIF(J2853,"*41*")&gt;0,COUNTIF(I2853,"42*")&gt;0,COUNTIF(J2853,"*42*")&gt;0,COUNTIF(I2853,"43*")&gt;0,COUNTIF(J2853,"*43*")&gt;0,COUNTIF(I2853,"49*")&gt;0,COUNTIF(J2853,"*49*")&gt;0,COUNTIF(I2853,"52*")&gt;0,COUNTIF(J2853,"*52*")&gt;0,COUNTIF(I2853,"55*")&gt;0,COUNTIF(J2853,"*55*")&gt;0,COUNTIF(I2853,"56*")&gt;0,COUNTIF(J2853,"*56*")&gt;0,COUNTIF(I2853,"68*")&gt;0,COUNTIF(J2853,"*68*")&gt;0,COUNTIF(I2853,"78*")&gt;0,COUNTIF(J2853,"*78*")&gt;0,COUNTIF(I2853,"81*")&gt;0,COUNTIF(J2853,"*81*")&gt;0,COUNTIF(I2853,"82*")&gt;0,COUNTIF(J2853,"*82*")&gt;0,COUNTIF(I2853,"64*")&gt;0,COUNTIF(J2853,"*64*")&gt;0,COUNTIF(I2853,"65*")&gt;0,COUNTIF(J2853,"*65*")&gt;0,COUNTIF(I2853,"66*")&gt;0,COUNTIF(J2853,"*66*")&gt;0,COUNTIF(I2853,"61*")&gt;0,COUNTIF(J2853,"*61*")&gt;0,COUNTIF(I2853,"62*")&gt;0,COUNTIF(J2853,"*62*")&gt;0,COUNTIF(I2853,"63*")&gt;0,COUNTIF(J2853,"*63*")&gt;0,COUNTIF(I2853,"85*")&gt;0,COUNTIF(J2853,"*85*")&gt;0,COUNTIF(I2853,"86*")&gt;0,COUNTIF(J2853,"*86*")&gt;0),"Да","Нет"))</f>
        <v/>
      </c>
      <c r="M2853" s="13">
        <f>IF(OR(G2853="",L2853&lt;&gt;"Да"),"",IF(G2853&lt;=100,"До 100",IF(G2853&lt;=200,"До 200",IF(G2853&lt;=500,"До 500","Отдельное КП"))))</f>
        <v/>
      </c>
      <c r="N2853" s="15">
        <f>IF(OR(G2853="",L2853&lt;&gt;"Да"),"",IF(G2853&lt;=100,33600,IF(G2853&lt;=200,62400,IF(G2853&lt;=500,144000,""))))</f>
        <v/>
      </c>
      <c r="O2853" s="16">
        <f>IF(G2853="","",IF(G2853&lt;=15,"1–15",IF(G2853&lt;=30,"16–30",IF(G2853&lt;=50,"31–50",IF(G2853&lt;=100,"51–100",IF(G2853&lt;=150,"101–150",IF(G2853&lt;=200,"151–200",IF(G2853&lt;=500,"201–500","500+"))))))))</f>
        <v/>
      </c>
      <c r="P2853" s="16" t="inlineStr">
        <is>
          <t>Нет совпадения в предоставленной выгрузке ССЧР</t>
        </is>
      </c>
      <c r="Q2853" s="16" t="n"/>
      <c r="R2853" s="16">
        <f>HYPERLINK("https://checko.ru/search?query=3801001629","Чекко: проверить")</f>
        <v/>
      </c>
      <c r="S2853" t="n">
        <v>0</v>
      </c>
    </row>
    <row r="2854" ht="15" customHeight="1" s="24">
      <c r="A2854" s="13" t="n">
        <v>5000094401</v>
      </c>
      <c r="B2854" s="13" t="inlineStr">
        <is>
          <t>МКОУ "СОШ №5 г.Баксана им.Н.И.Нагоева"</t>
        </is>
      </c>
      <c r="C2854" s="13" t="n">
        <v>701004268</v>
      </c>
      <c r="D2854" s="13" t="n"/>
      <c r="E2854" s="13" t="inlineStr">
        <is>
          <t>Не определён</t>
        </is>
      </c>
      <c r="F2854" s="13" t="inlineStr">
        <is>
          <t>701004268</t>
        </is>
      </c>
      <c r="G2854" s="14" t="n"/>
      <c r="H2854" s="14" t="n"/>
      <c r="I2854" s="14" t="n"/>
      <c r="J2854" s="14" t="n"/>
      <c r="K2854" s="13">
        <f>IF(G2854="","",IF(G2854&gt;=22,"Да","Нет"))</f>
        <v/>
      </c>
      <c r="L2854" s="13">
        <f>IF(OR(I2854="",J2854=""),"Не определено",IF(OR(COUNTIF(I2854,"45*")&gt;0,COUNTIF(J2854,"*45*")&gt;0,COUNTIF(I2854,"46*")&gt;0,COUNTIF(J2854,"*46*")&gt;0,COUNTIF(I2854,"47*")&gt;0,COUNTIF(J2854,"*47*")&gt;0,COUNTIF(I2854,"10*")&gt;0,COUNTIF(J2854,"*10*")&gt;0,COUNTIF(I2854,"11*")&gt;0,COUNTIF(J2854,"*11*")&gt;0,COUNTIF(I2854,"12*")&gt;0,COUNTIF(J2854,"*12*")&gt;0,COUNTIF(I2854,"13*")&gt;0,COUNTIF(J2854,"*13*")&gt;0,COUNTIF(I2854,"14*")&gt;0,COUNTIF(J2854,"*14*")&gt;0,COUNTIF(I2854,"15*")&gt;0,COUNTIF(J2854,"*15*")&gt;0,COUNTIF(I2854,"16*")&gt;0,COUNTIF(J2854,"*16*")&gt;0,COUNTIF(I2854,"17*")&gt;0,COUNTIF(J2854,"*17*")&gt;0,COUNTIF(I2854,"18*")&gt;0,COUNTIF(J2854,"*18*")&gt;0,COUNTIF(I2854,"19*")&gt;0,COUNTIF(J2854,"*19*")&gt;0,COUNTIF(I2854,"20*")&gt;0,COUNTIF(J2854,"*20*")&gt;0,COUNTIF(I2854,"21*")&gt;0,COUNTIF(J2854,"*21*")&gt;0,COUNTIF(I2854,"22*")&gt;0,COUNTIF(J2854,"*22*")&gt;0,COUNTIF(I2854,"23*")&gt;0,COUNTIF(J2854,"*23*")&gt;0,COUNTIF(I2854,"24*")&gt;0,COUNTIF(J2854,"*24*")&gt;0,COUNTIF(I2854,"25*")&gt;0,COUNTIF(J2854,"*25*")&gt;0,COUNTIF(I2854,"26*")&gt;0,COUNTIF(J2854,"*26*")&gt;0,COUNTIF(I2854,"27*")&gt;0,COUNTIF(J2854,"*27*")&gt;0,COUNTIF(I2854,"28*")&gt;0,COUNTIF(J2854,"*28*")&gt;0,COUNTIF(I2854,"29*")&gt;0,COUNTIF(J2854,"*29*")&gt;0,COUNTIF(I2854,"30*")&gt;0,COUNTIF(J2854,"*30*")&gt;0,COUNTIF(I2854,"31*")&gt;0,COUNTIF(J2854,"*31*")&gt;0,COUNTIF(I2854,"32*")&gt;0,COUNTIF(J2854,"*32*")&gt;0,COUNTIF(I2854,"33*")&gt;0,COUNTIF(J2854,"*33*")&gt;0,COUNTIF(I2854,"41*")&gt;0,COUNTIF(J2854,"*41*")&gt;0,COUNTIF(I2854,"42*")&gt;0,COUNTIF(J2854,"*42*")&gt;0,COUNTIF(I2854,"43*")&gt;0,COUNTIF(J2854,"*43*")&gt;0,COUNTIF(I2854,"49*")&gt;0,COUNTIF(J2854,"*49*")&gt;0,COUNTIF(I2854,"52*")&gt;0,COUNTIF(J2854,"*52*")&gt;0,COUNTIF(I2854,"55*")&gt;0,COUNTIF(J2854,"*55*")&gt;0,COUNTIF(I2854,"56*")&gt;0,COUNTIF(J2854,"*56*")&gt;0,COUNTIF(I2854,"68*")&gt;0,COUNTIF(J2854,"*68*")&gt;0,COUNTIF(I2854,"78*")&gt;0,COUNTIF(J2854,"*78*")&gt;0,COUNTIF(I2854,"81*")&gt;0,COUNTIF(J2854,"*81*")&gt;0,COUNTIF(I2854,"82*")&gt;0,COUNTIF(J2854,"*82*")&gt;0,COUNTIF(I2854,"64*")&gt;0,COUNTIF(J2854,"*64*")&gt;0,COUNTIF(I2854,"65*")&gt;0,COUNTIF(J2854,"*65*")&gt;0,COUNTIF(I2854,"66*")&gt;0,COUNTIF(J2854,"*66*")&gt;0,COUNTIF(I2854,"61*")&gt;0,COUNTIF(J2854,"*61*")&gt;0,COUNTIF(I2854,"62*")&gt;0,COUNTIF(J2854,"*62*")&gt;0,COUNTIF(I2854,"63*")&gt;0,COUNTIF(J2854,"*63*")&gt;0,COUNTIF(I2854,"85*")&gt;0,COUNTIF(J2854,"*85*")&gt;0,COUNTIF(I2854,"86*")&gt;0,COUNTIF(J2854,"*86*")&gt;0),"Да","Нет"))</f>
        <v/>
      </c>
      <c r="M2854" s="13">
        <f>IF(OR(G2854="",L2854&lt;&gt;"Да"),"",IF(G2854&lt;=100,"До 100",IF(G2854&lt;=200,"До 200",IF(G2854&lt;=500,"До 500","Отдельное КП"))))</f>
        <v/>
      </c>
      <c r="N2854" s="15">
        <f>IF(OR(G2854="",L2854&lt;&gt;"Да"),"",IF(G2854&lt;=100,33600,IF(G2854&lt;=200,62400,IF(G2854&lt;=500,144000,""))))</f>
        <v/>
      </c>
      <c r="O2854" s="16">
        <f>IF(G2854="","",IF(G2854&lt;=15,"1–15",IF(G2854&lt;=30,"16–30",IF(G2854&lt;=50,"31–50",IF(G2854&lt;=100,"51–100",IF(G2854&lt;=150,"101–150",IF(G2854&lt;=200,"151–200",IF(G2854&lt;=500,"201–500","500+"))))))))</f>
        <v/>
      </c>
      <c r="P2854" s="16" t="inlineStr">
        <is>
          <t>Нет совпадения в предоставленной выгрузке ССЧР</t>
        </is>
      </c>
      <c r="Q2854" s="16" t="n"/>
      <c r="R2854" s="16">
        <f>HYPERLINK("https://checko.ru/search?query=3801001629","Чекко: проверить")</f>
        <v/>
      </c>
      <c r="S2854" t="n">
        <v>0</v>
      </c>
    </row>
    <row r="2855" ht="27.75" customHeight="1" s="24">
      <c r="A2855" s="13" t="n">
        <v>5000089467</v>
      </c>
      <c r="B2855" s="13" t="inlineStr">
        <is>
          <t>Областное государственное бюджетное учреждение "Сервис-Загс"</t>
        </is>
      </c>
      <c r="C2855" s="13" t="n">
        <v>7300005549</v>
      </c>
      <c r="D2855" s="13" t="inlineStr">
        <is>
          <t>7300005549</t>
        </is>
      </c>
      <c r="E2855" s="13" t="inlineStr">
        <is>
          <t>ЮЛ РФ</t>
        </is>
      </c>
      <c r="F2855" s="13" t="n"/>
      <c r="G2855" s="14" t="n"/>
      <c r="H2855" s="14" t="n"/>
      <c r="I2855" s="14" t="n"/>
      <c r="J2855" s="14" t="n"/>
      <c r="K2855" s="53" t="inlineStr"/>
      <c r="L2855" s="53" t="inlineStr">
        <is>
          <t>Не определено</t>
        </is>
      </c>
      <c r="M2855" s="53" t="inlineStr"/>
      <c r="N2855" s="54" t="inlineStr"/>
      <c r="O2855" s="55" t="inlineStr"/>
      <c r="P2855" s="16" t="inlineStr">
        <is>
          <t>Требует обогащения</t>
        </is>
      </c>
      <c r="Q2855" s="16">
        <f>HYPERLINK("https://pb.nalog.ru/search.html?query=7300005549","ФНС: проверить")</f>
        <v/>
      </c>
      <c r="R2855" s="16">
        <f>HYPERLINK("https://checko.ru/search?query=3801001629","Чекко: проверить")</f>
        <v/>
      </c>
      <c r="S2855" t="n">
        <v>1</v>
      </c>
      <c r="T2855" s="35" t="inlineStr">
        <is>
          <t>4 — Не обогащён</t>
        </is>
      </c>
      <c r="U2855" s="35" t="inlineStr">
        <is>
          <t>Нет ОКВЭД/ССЧР</t>
        </is>
      </c>
      <c r="V2855" s="35" t="inlineStr">
        <is>
          <t>Не определено</t>
        </is>
      </c>
      <c r="W2855" s="35" t="inlineStr"/>
      <c r="X2855" s="35" t="inlineStr"/>
    </row>
    <row r="2856" ht="27.75" customHeight="1" s="24">
      <c r="A2856" s="13" t="n">
        <v>5000101668</v>
      </c>
      <c r="B2856" s="13" t="inlineStr">
        <is>
          <t>Государственное казенное учреждение Иркутской области "Бирюсинское лесничество"</t>
        </is>
      </c>
      <c r="C2856" s="13" t="n">
        <v>3816035420</v>
      </c>
      <c r="D2856" s="13" t="inlineStr">
        <is>
          <t>3816035420</t>
        </is>
      </c>
      <c r="E2856" s="13" t="inlineStr">
        <is>
          <t>ЮЛ РФ</t>
        </is>
      </c>
      <c r="F2856" s="13" t="n"/>
      <c r="G2856" s="14" t="n"/>
      <c r="H2856" s="14" t="n"/>
      <c r="I2856" s="14" t="n"/>
      <c r="J2856" s="14" t="n"/>
      <c r="K2856" s="53" t="inlineStr"/>
      <c r="L2856" s="53" t="inlineStr">
        <is>
          <t>Не определено</t>
        </is>
      </c>
      <c r="M2856" s="53" t="inlineStr"/>
      <c r="N2856" s="54" t="inlineStr"/>
      <c r="O2856" s="55" t="inlineStr"/>
      <c r="P2856" s="16" t="inlineStr">
        <is>
          <t>Требует обогащения</t>
        </is>
      </c>
      <c r="Q2856" s="16">
        <f>HYPERLINK("https://pb.nalog.ru/search.html?query=3816035420","ФНС: проверить")</f>
        <v/>
      </c>
      <c r="R2856" s="16">
        <f>HYPERLINK("https://checko.ru/search?query=3801001629","Чекко: проверить")</f>
        <v/>
      </c>
      <c r="S2856" t="n">
        <v>1</v>
      </c>
      <c r="T2856" s="35" t="inlineStr">
        <is>
          <t>4 — Не обогащён</t>
        </is>
      </c>
      <c r="U2856" s="35" t="inlineStr">
        <is>
          <t>Нет ОКВЭД/ССЧР</t>
        </is>
      </c>
      <c r="V2856" s="35" t="inlineStr">
        <is>
          <t>Не определено</t>
        </is>
      </c>
      <c r="W2856" s="35" t="inlineStr"/>
      <c r="X2856" s="35" t="inlineStr"/>
    </row>
    <row r="2857" ht="81.75" customHeight="1" s="24">
      <c r="A2857" s="13" t="n">
        <v>5000106147</v>
      </c>
      <c r="B2857" s="13" t="inlineStr">
        <is>
          <t>МУНИЦИПАЛЬНОЕ БЮДЖЕТНОЕ ОБЩЕОБРАЗОВАТЕЛЬНОЕ УЧРЕЖДЕНИЕ "НИКОЛАЕВСКАЯ СРЕДНЯЯ ОБЩЕОБРАЗОВАТЕЛЬНАЯ ШКОЛА" СОРОЧИНСКОГО ГОРОДСКОГО ОКРУГА ОРЕНБУРГСКОЙ ОБ</t>
        </is>
      </c>
      <c r="C2857" s="13" t="n">
        <v>5647005510</v>
      </c>
      <c r="D2857" s="13" t="inlineStr">
        <is>
          <t>5647005510</t>
        </is>
      </c>
      <c r="E2857" s="13" t="inlineStr">
        <is>
          <t>ЮЛ РФ</t>
        </is>
      </c>
      <c r="F2857" s="13" t="n"/>
      <c r="G2857" s="14" t="n"/>
      <c r="H2857" s="14" t="n"/>
      <c r="I2857" s="14" t="n"/>
      <c r="J2857" s="14" t="n"/>
      <c r="K2857" s="53" t="inlineStr"/>
      <c r="L2857" s="53" t="inlineStr">
        <is>
          <t>Не определено</t>
        </is>
      </c>
      <c r="M2857" s="53" t="inlineStr"/>
      <c r="N2857" s="54" t="inlineStr"/>
      <c r="O2857" s="55" t="inlineStr"/>
      <c r="P2857" s="16" t="inlineStr">
        <is>
          <t>Требует обогащения</t>
        </is>
      </c>
      <c r="Q2857" s="16">
        <f>HYPERLINK("https://pb.nalog.ru/search.html?query=5647005510","ФНС: проверить")</f>
        <v/>
      </c>
      <c r="R2857" s="16">
        <f>HYPERLINK("https://checko.ru/search?query=3801001629","Чекко: проверить")</f>
        <v/>
      </c>
      <c r="S2857" t="n">
        <v>1</v>
      </c>
      <c r="T2857" s="35" t="inlineStr">
        <is>
          <t>4 — Не обогащён</t>
        </is>
      </c>
      <c r="U2857" s="35" t="inlineStr">
        <is>
          <t>Нет ОКВЭД/ССЧР</t>
        </is>
      </c>
      <c r="V2857" s="35" t="inlineStr">
        <is>
          <t>Не определено</t>
        </is>
      </c>
      <c r="W2857" s="35" t="inlineStr"/>
      <c r="X2857" s="35" t="inlineStr"/>
    </row>
    <row r="2858" ht="27.75" customHeight="1" s="24">
      <c r="A2858" s="13" t="n">
        <v>5000098021</v>
      </c>
      <c r="B2858" s="13" t="inlineStr">
        <is>
          <t>Государственное казенное учреждение Иркутской области "Киренское лесничество"</t>
        </is>
      </c>
      <c r="C2858" s="13" t="n">
        <v>3808283570</v>
      </c>
      <c r="D2858" s="13" t="inlineStr">
        <is>
          <t>3808283570</t>
        </is>
      </c>
      <c r="E2858" s="13" t="inlineStr">
        <is>
          <t>ЮЛ РФ</t>
        </is>
      </c>
      <c r="F2858" s="13" t="n"/>
      <c r="G2858" s="14" t="n"/>
      <c r="H2858" s="14" t="n"/>
      <c r="I2858" s="14" t="n"/>
      <c r="J2858" s="14" t="n"/>
      <c r="K2858" s="53" t="inlineStr"/>
      <c r="L2858" s="53" t="inlineStr">
        <is>
          <t>Не определено</t>
        </is>
      </c>
      <c r="M2858" s="53" t="inlineStr"/>
      <c r="N2858" s="54" t="inlineStr"/>
      <c r="O2858" s="55" t="inlineStr"/>
      <c r="P2858" s="16" t="inlineStr">
        <is>
          <t>Требует обогащения</t>
        </is>
      </c>
      <c r="Q2858" s="16">
        <f>HYPERLINK("https://pb.nalog.ru/search.html?query=3808283570","ФНС: проверить")</f>
        <v/>
      </c>
      <c r="R2858" s="16">
        <f>HYPERLINK("https://checko.ru/search?query=3801001629","Чекко: проверить")</f>
        <v/>
      </c>
      <c r="S2858" t="n">
        <v>1</v>
      </c>
      <c r="T2858" s="35" t="inlineStr">
        <is>
          <t>4 — Не обогащён</t>
        </is>
      </c>
      <c r="U2858" s="35" t="inlineStr">
        <is>
          <t>Нет ОКВЭД/ССЧР</t>
        </is>
      </c>
      <c r="V2858" s="35" t="inlineStr">
        <is>
          <t>Не определено</t>
        </is>
      </c>
      <c r="W2858" s="35" t="inlineStr"/>
      <c r="X2858" s="35" t="inlineStr"/>
    </row>
    <row r="2859" ht="41.25" customHeight="1" s="24">
      <c r="A2859" s="13" t="n">
        <v>5000001661</v>
      </c>
      <c r="B2859" s="13" t="inlineStr">
        <is>
          <t>ОБЛАСТНОЕ ГОСУДАРСТВЕННОЕ АВТОНОМНОЕ УЧРЕЖДЕНИЕ СОЦИАЛЬНОГО ОБСЛУЖИВАНИЯ "КОМПЛЕКСНЫЙ ЦЕНТР СОЦИАЛЬН</t>
        </is>
      </c>
      <c r="C2859" s="13" t="n">
        <v>3809015990</v>
      </c>
      <c r="D2859" s="13" t="inlineStr">
        <is>
          <t>3809015990</t>
        </is>
      </c>
      <c r="E2859" s="13" t="inlineStr">
        <is>
          <t>ЮЛ РФ</t>
        </is>
      </c>
      <c r="F2859" s="13" t="n"/>
      <c r="G2859" s="14" t="n"/>
      <c r="H2859" s="14" t="n"/>
      <c r="I2859" s="14" t="n"/>
      <c r="J2859" s="14" t="n"/>
      <c r="K2859" s="53" t="inlineStr"/>
      <c r="L2859" s="53" t="inlineStr">
        <is>
          <t>Не определено</t>
        </is>
      </c>
      <c r="M2859" s="53" t="inlineStr"/>
      <c r="N2859" s="54" t="inlineStr"/>
      <c r="O2859" s="55" t="inlineStr"/>
      <c r="P2859" s="16" t="inlineStr">
        <is>
          <t>Требует обогащения</t>
        </is>
      </c>
      <c r="Q2859" s="16">
        <f>HYPERLINK("https://pb.nalog.ru/search.html?query=3809015990","ФНС: проверить")</f>
        <v/>
      </c>
      <c r="R2859" s="16">
        <f>HYPERLINK("https://checko.ru/search?query=3801001629","Чекко: проверить")</f>
        <v/>
      </c>
      <c r="S2859" t="n">
        <v>1</v>
      </c>
      <c r="T2859" s="35" t="inlineStr">
        <is>
          <t>4 — Не обогащён</t>
        </is>
      </c>
      <c r="U2859" s="35" t="inlineStr">
        <is>
          <t>Нет ОКВЭД/ССЧР</t>
        </is>
      </c>
      <c r="V2859" s="35" t="inlineStr">
        <is>
          <t>Не определено</t>
        </is>
      </c>
      <c r="W2859" s="35" t="inlineStr"/>
      <c r="X2859" s="35" t="inlineStr"/>
    </row>
    <row r="2860" ht="15" customHeight="1" s="24">
      <c r="A2860" s="13" t="n">
        <v>5000081930</v>
      </c>
      <c r="B2860" s="13" t="inlineStr">
        <is>
          <t>МКУ "УБУ ГО ПРОХЛАДНЫЙ КБР"</t>
        </is>
      </c>
      <c r="C2860" s="13" t="n">
        <v>716007310</v>
      </c>
      <c r="D2860" s="13" t="n"/>
      <c r="E2860" s="13" t="inlineStr">
        <is>
          <t>Не определён</t>
        </is>
      </c>
      <c r="F2860" s="13" t="inlineStr">
        <is>
          <t>716007310</t>
        </is>
      </c>
      <c r="G2860" s="14" t="n"/>
      <c r="H2860" s="14" t="n"/>
      <c r="I2860" s="14" t="n"/>
      <c r="J2860" s="14" t="n"/>
      <c r="K2860" s="13">
        <f>IF(G2860="","",IF(G2860&gt;=22,"Да","Нет"))</f>
        <v/>
      </c>
      <c r="L2860" s="13">
        <f>IF(OR(I2860="",J2860=""),"Не определено",IF(OR(COUNTIF(I2860,"45*")&gt;0,COUNTIF(J2860,"*45*")&gt;0,COUNTIF(I2860,"46*")&gt;0,COUNTIF(J2860,"*46*")&gt;0,COUNTIF(I2860,"47*")&gt;0,COUNTIF(J2860,"*47*")&gt;0,COUNTIF(I2860,"10*")&gt;0,COUNTIF(J2860,"*10*")&gt;0,COUNTIF(I2860,"11*")&gt;0,COUNTIF(J2860,"*11*")&gt;0,COUNTIF(I2860,"12*")&gt;0,COUNTIF(J2860,"*12*")&gt;0,COUNTIF(I2860,"13*")&gt;0,COUNTIF(J2860,"*13*")&gt;0,COUNTIF(I2860,"14*")&gt;0,COUNTIF(J2860,"*14*")&gt;0,COUNTIF(I2860,"15*")&gt;0,COUNTIF(J2860,"*15*")&gt;0,COUNTIF(I2860,"16*")&gt;0,COUNTIF(J2860,"*16*")&gt;0,COUNTIF(I2860,"17*")&gt;0,COUNTIF(J2860,"*17*")&gt;0,COUNTIF(I2860,"18*")&gt;0,COUNTIF(J2860,"*18*")&gt;0,COUNTIF(I2860,"19*")&gt;0,COUNTIF(J2860,"*19*")&gt;0,COUNTIF(I2860,"20*")&gt;0,COUNTIF(J2860,"*20*")&gt;0,COUNTIF(I2860,"21*")&gt;0,COUNTIF(J2860,"*21*")&gt;0,COUNTIF(I2860,"22*")&gt;0,COUNTIF(J2860,"*22*")&gt;0,COUNTIF(I2860,"23*")&gt;0,COUNTIF(J2860,"*23*")&gt;0,COUNTIF(I2860,"24*")&gt;0,COUNTIF(J2860,"*24*")&gt;0,COUNTIF(I2860,"25*")&gt;0,COUNTIF(J2860,"*25*")&gt;0,COUNTIF(I2860,"26*")&gt;0,COUNTIF(J2860,"*26*")&gt;0,COUNTIF(I2860,"27*")&gt;0,COUNTIF(J2860,"*27*")&gt;0,COUNTIF(I2860,"28*")&gt;0,COUNTIF(J2860,"*28*")&gt;0,COUNTIF(I2860,"29*")&gt;0,COUNTIF(J2860,"*29*")&gt;0,COUNTIF(I2860,"30*")&gt;0,COUNTIF(J2860,"*30*")&gt;0,COUNTIF(I2860,"31*")&gt;0,COUNTIF(J2860,"*31*")&gt;0,COUNTIF(I2860,"32*")&gt;0,COUNTIF(J2860,"*32*")&gt;0,COUNTIF(I2860,"33*")&gt;0,COUNTIF(J2860,"*33*")&gt;0,COUNTIF(I2860,"41*")&gt;0,COUNTIF(J2860,"*41*")&gt;0,COUNTIF(I2860,"42*")&gt;0,COUNTIF(J2860,"*42*")&gt;0,COUNTIF(I2860,"43*")&gt;0,COUNTIF(J2860,"*43*")&gt;0,COUNTIF(I2860,"49*")&gt;0,COUNTIF(J2860,"*49*")&gt;0,COUNTIF(I2860,"52*")&gt;0,COUNTIF(J2860,"*52*")&gt;0,COUNTIF(I2860,"55*")&gt;0,COUNTIF(J2860,"*55*")&gt;0,COUNTIF(I2860,"56*")&gt;0,COUNTIF(J2860,"*56*")&gt;0,COUNTIF(I2860,"68*")&gt;0,COUNTIF(J2860,"*68*")&gt;0,COUNTIF(I2860,"78*")&gt;0,COUNTIF(J2860,"*78*")&gt;0,COUNTIF(I2860,"81*")&gt;0,COUNTIF(J2860,"*81*")&gt;0,COUNTIF(I2860,"82*")&gt;0,COUNTIF(J2860,"*82*")&gt;0,COUNTIF(I2860,"64*")&gt;0,COUNTIF(J2860,"*64*")&gt;0,COUNTIF(I2860,"65*")&gt;0,COUNTIF(J2860,"*65*")&gt;0,COUNTIF(I2860,"66*")&gt;0,COUNTIF(J2860,"*66*")&gt;0,COUNTIF(I2860,"61*")&gt;0,COUNTIF(J2860,"*61*")&gt;0,COUNTIF(I2860,"62*")&gt;0,COUNTIF(J2860,"*62*")&gt;0,COUNTIF(I2860,"63*")&gt;0,COUNTIF(J2860,"*63*")&gt;0,COUNTIF(I2860,"85*")&gt;0,COUNTIF(J2860,"*85*")&gt;0,COUNTIF(I2860,"86*")&gt;0,COUNTIF(J2860,"*86*")&gt;0),"Да","Нет"))</f>
        <v/>
      </c>
      <c r="M2860" s="13">
        <f>IF(OR(G2860="",L2860&lt;&gt;"Да"),"",IF(G2860&lt;=100,"До 100",IF(G2860&lt;=200,"До 200",IF(G2860&lt;=500,"До 500","Отдельное КП"))))</f>
        <v/>
      </c>
      <c r="N2860" s="15">
        <f>IF(OR(G2860="",L2860&lt;&gt;"Да"),"",IF(G2860&lt;=100,33600,IF(G2860&lt;=200,62400,IF(G2860&lt;=500,144000,""))))</f>
        <v/>
      </c>
      <c r="O2860" s="16">
        <f>IF(G2860="","",IF(G2860&lt;=15,"1–15",IF(G2860&lt;=30,"16–30",IF(G2860&lt;=50,"31–50",IF(G2860&lt;=100,"51–100",IF(G2860&lt;=150,"101–150",IF(G2860&lt;=200,"151–200",IF(G2860&lt;=500,"201–500","500+"))))))))</f>
        <v/>
      </c>
      <c r="P2860" s="16" t="inlineStr">
        <is>
          <t>Нет совпадения в предоставленной выгрузке ССЧР</t>
        </is>
      </c>
      <c r="Q2860" s="16" t="n"/>
      <c r="R2860" s="16">
        <f>HYPERLINK("https://checko.ru/search?query=3801001629","Чекко: проверить")</f>
        <v/>
      </c>
      <c r="S2860" t="n">
        <v>0</v>
      </c>
    </row>
    <row r="2861" ht="27.75" customHeight="1" s="24">
      <c r="A2861" s="13" t="n">
        <v>5000038519</v>
      </c>
      <c r="B2861" s="13" t="inlineStr">
        <is>
          <t>ОГБУ "Спортивная школа по боксу имени Петрова Трофимовича Липатова"</t>
        </is>
      </c>
      <c r="C2861" s="13" t="n">
        <v>7326053603</v>
      </c>
      <c r="D2861" s="13" t="inlineStr">
        <is>
          <t>7326053603</t>
        </is>
      </c>
      <c r="E2861" s="13" t="inlineStr">
        <is>
          <t>ЮЛ РФ</t>
        </is>
      </c>
      <c r="F2861" s="13" t="n"/>
      <c r="G2861" s="14" t="n"/>
      <c r="H2861" s="14" t="n"/>
      <c r="I2861" s="14" t="n"/>
      <c r="J2861" s="14" t="n"/>
      <c r="K2861" s="53" t="inlineStr"/>
      <c r="L2861" s="53" t="inlineStr">
        <is>
          <t>Не определено</t>
        </is>
      </c>
      <c r="M2861" s="53" t="inlineStr"/>
      <c r="N2861" s="54" t="inlineStr"/>
      <c r="O2861" s="55" t="inlineStr"/>
      <c r="P2861" s="16" t="inlineStr">
        <is>
          <t>Требует обогащения</t>
        </is>
      </c>
      <c r="Q2861" s="16">
        <f>HYPERLINK("https://pb.nalog.ru/search.html?query=7326053603","ФНС: проверить")</f>
        <v/>
      </c>
      <c r="R2861" s="16">
        <f>HYPERLINK("https://checko.ru/search?query=3801001629","Чекко: проверить")</f>
        <v/>
      </c>
      <c r="S2861" t="n">
        <v>1</v>
      </c>
      <c r="T2861" s="35" t="inlineStr">
        <is>
          <t>4 — Не обогащён</t>
        </is>
      </c>
      <c r="U2861" s="35" t="inlineStr">
        <is>
          <t>Нет ОКВЭД/ССЧР</t>
        </is>
      </c>
      <c r="V2861" s="35" t="inlineStr">
        <is>
          <t>Не определено</t>
        </is>
      </c>
      <c r="W2861" s="35" t="inlineStr"/>
      <c r="X2861" s="35" t="inlineStr"/>
    </row>
    <row r="2862" ht="41.25" customHeight="1" s="24">
      <c r="A2862" s="13" t="n">
        <v>5000095012</v>
      </c>
      <c r="B2862" s="13" t="inlineStr">
        <is>
          <t>ГКОУ ДОД "Республиканский дворец творчества детей и молодежи" Министерства образования КБР</t>
        </is>
      </c>
      <c r="C2862" s="13" t="n">
        <v>711037840</v>
      </c>
      <c r="D2862" s="13" t="n"/>
      <c r="E2862" s="13" t="inlineStr">
        <is>
          <t>Не определён</t>
        </is>
      </c>
      <c r="F2862" s="13" t="inlineStr">
        <is>
          <t>711037840</t>
        </is>
      </c>
      <c r="G2862" s="14" t="n"/>
      <c r="H2862" s="14" t="n"/>
      <c r="I2862" s="14" t="n"/>
      <c r="J2862" s="14" t="n"/>
      <c r="K2862" s="13">
        <f>IF(G2862="","",IF(G2862&gt;=22,"Да","Нет"))</f>
        <v/>
      </c>
      <c r="L2862" s="13">
        <f>IF(OR(I2862="",J2862=""),"Не определено",IF(OR(COUNTIF(I2862,"45*")&gt;0,COUNTIF(J2862,"*45*")&gt;0,COUNTIF(I2862,"46*")&gt;0,COUNTIF(J2862,"*46*")&gt;0,COUNTIF(I2862,"47*")&gt;0,COUNTIF(J2862,"*47*")&gt;0,COUNTIF(I2862,"10*")&gt;0,COUNTIF(J2862,"*10*")&gt;0,COUNTIF(I2862,"11*")&gt;0,COUNTIF(J2862,"*11*")&gt;0,COUNTIF(I2862,"12*")&gt;0,COUNTIF(J2862,"*12*")&gt;0,COUNTIF(I2862,"13*")&gt;0,COUNTIF(J2862,"*13*")&gt;0,COUNTIF(I2862,"14*")&gt;0,COUNTIF(J2862,"*14*")&gt;0,COUNTIF(I2862,"15*")&gt;0,COUNTIF(J2862,"*15*")&gt;0,COUNTIF(I2862,"16*")&gt;0,COUNTIF(J2862,"*16*")&gt;0,COUNTIF(I2862,"17*")&gt;0,COUNTIF(J2862,"*17*")&gt;0,COUNTIF(I2862,"18*")&gt;0,COUNTIF(J2862,"*18*")&gt;0,COUNTIF(I2862,"19*")&gt;0,COUNTIF(J2862,"*19*")&gt;0,COUNTIF(I2862,"20*")&gt;0,COUNTIF(J2862,"*20*")&gt;0,COUNTIF(I2862,"21*")&gt;0,COUNTIF(J2862,"*21*")&gt;0,COUNTIF(I2862,"22*")&gt;0,COUNTIF(J2862,"*22*")&gt;0,COUNTIF(I2862,"23*")&gt;0,COUNTIF(J2862,"*23*")&gt;0,COUNTIF(I2862,"24*")&gt;0,COUNTIF(J2862,"*24*")&gt;0,COUNTIF(I2862,"25*")&gt;0,COUNTIF(J2862,"*25*")&gt;0,COUNTIF(I2862,"26*")&gt;0,COUNTIF(J2862,"*26*")&gt;0,COUNTIF(I2862,"27*")&gt;0,COUNTIF(J2862,"*27*")&gt;0,COUNTIF(I2862,"28*")&gt;0,COUNTIF(J2862,"*28*")&gt;0,COUNTIF(I2862,"29*")&gt;0,COUNTIF(J2862,"*29*")&gt;0,COUNTIF(I2862,"30*")&gt;0,COUNTIF(J2862,"*30*")&gt;0,COUNTIF(I2862,"31*")&gt;0,COUNTIF(J2862,"*31*")&gt;0,COUNTIF(I2862,"32*")&gt;0,COUNTIF(J2862,"*32*")&gt;0,COUNTIF(I2862,"33*")&gt;0,COUNTIF(J2862,"*33*")&gt;0,COUNTIF(I2862,"41*")&gt;0,COUNTIF(J2862,"*41*")&gt;0,COUNTIF(I2862,"42*")&gt;0,COUNTIF(J2862,"*42*")&gt;0,COUNTIF(I2862,"43*")&gt;0,COUNTIF(J2862,"*43*")&gt;0,COUNTIF(I2862,"49*")&gt;0,COUNTIF(J2862,"*49*")&gt;0,COUNTIF(I2862,"52*")&gt;0,COUNTIF(J2862,"*52*")&gt;0,COUNTIF(I2862,"55*")&gt;0,COUNTIF(J2862,"*55*")&gt;0,COUNTIF(I2862,"56*")&gt;0,COUNTIF(J2862,"*56*")&gt;0,COUNTIF(I2862,"68*")&gt;0,COUNTIF(J2862,"*68*")&gt;0,COUNTIF(I2862,"78*")&gt;0,COUNTIF(J2862,"*78*")&gt;0,COUNTIF(I2862,"81*")&gt;0,COUNTIF(J2862,"*81*")&gt;0,COUNTIF(I2862,"82*")&gt;0,COUNTIF(J2862,"*82*")&gt;0,COUNTIF(I2862,"64*")&gt;0,COUNTIF(J2862,"*64*")&gt;0,COUNTIF(I2862,"65*")&gt;0,COUNTIF(J2862,"*65*")&gt;0,COUNTIF(I2862,"66*")&gt;0,COUNTIF(J2862,"*66*")&gt;0,COUNTIF(I2862,"61*")&gt;0,COUNTIF(J2862,"*61*")&gt;0,COUNTIF(I2862,"62*")&gt;0,COUNTIF(J2862,"*62*")&gt;0,COUNTIF(I2862,"63*")&gt;0,COUNTIF(J2862,"*63*")&gt;0,COUNTIF(I2862,"85*")&gt;0,COUNTIF(J2862,"*85*")&gt;0,COUNTIF(I2862,"86*")&gt;0,COUNTIF(J2862,"*86*")&gt;0),"Да","Нет"))</f>
        <v/>
      </c>
      <c r="M2862" s="13">
        <f>IF(OR(G2862="",L2862&lt;&gt;"Да"),"",IF(G2862&lt;=100,"До 100",IF(G2862&lt;=200,"До 200",IF(G2862&lt;=500,"До 500","Отдельное КП"))))</f>
        <v/>
      </c>
      <c r="N2862" s="15">
        <f>IF(OR(G2862="",L2862&lt;&gt;"Да"),"",IF(G2862&lt;=100,33600,IF(G2862&lt;=200,62400,IF(G2862&lt;=500,144000,""))))</f>
        <v/>
      </c>
      <c r="O2862" s="16">
        <f>IF(G2862="","",IF(G2862&lt;=15,"1–15",IF(G2862&lt;=30,"16–30",IF(G2862&lt;=50,"31–50",IF(G2862&lt;=100,"51–100",IF(G2862&lt;=150,"101–150",IF(G2862&lt;=200,"151–200",IF(G2862&lt;=500,"201–500","500+"))))))))</f>
        <v/>
      </c>
      <c r="P2862" s="16" t="inlineStr">
        <is>
          <t>Нет совпадения в предоставленной выгрузке ССЧР</t>
        </is>
      </c>
      <c r="Q2862" s="16" t="n"/>
      <c r="R2862" s="16">
        <f>HYPERLINK("https://checko.ru/search?query=3801001629","Чекко: проверить")</f>
        <v/>
      </c>
      <c r="S2862" t="n">
        <v>0</v>
      </c>
    </row>
    <row r="2863" ht="41.25" customHeight="1" s="24">
      <c r="A2863" s="13" t="n">
        <v>5000001902</v>
      </c>
      <c r="B2863" s="13" t="inlineStr">
        <is>
          <t>ОГБОУ СПО "ИрПК" (ИРКУТСКИЙ КОЛЛЕДЖ АВТОМОБИЛЬНОГО ТРАНСПОРТА И ДОРОЖНОГО СТРОИТЕЛЬСТВА"</t>
        </is>
      </c>
      <c r="C2863" s="13" t="n">
        <v>3812014115</v>
      </c>
      <c r="D2863" s="13" t="inlineStr">
        <is>
          <t>3812014115</t>
        </is>
      </c>
      <c r="E2863" s="13" t="inlineStr">
        <is>
          <t>ЮЛ РФ</t>
        </is>
      </c>
      <c r="F2863" s="13" t="n"/>
      <c r="G2863" s="14" t="n"/>
      <c r="H2863" s="14" t="n"/>
      <c r="I2863" s="14" t="n"/>
      <c r="J2863" s="14" t="n"/>
      <c r="K2863" s="53" t="inlineStr"/>
      <c r="L2863" s="53" t="inlineStr">
        <is>
          <t>Не определено</t>
        </is>
      </c>
      <c r="M2863" s="53" t="inlineStr"/>
      <c r="N2863" s="54" t="inlineStr"/>
      <c r="O2863" s="55" t="inlineStr"/>
      <c r="P2863" s="16" t="inlineStr">
        <is>
          <t>Требует обогащения</t>
        </is>
      </c>
      <c r="Q2863" s="16">
        <f>HYPERLINK("https://pb.nalog.ru/search.html?query=3812014115","ФНС: проверить")</f>
        <v/>
      </c>
      <c r="R2863" s="16">
        <f>HYPERLINK("https://checko.ru/search?query=3801001629","Чекко: проверить")</f>
        <v/>
      </c>
      <c r="S2863" t="n">
        <v>1</v>
      </c>
      <c r="T2863" s="35" t="inlineStr">
        <is>
          <t>4 — Не обогащён</t>
        </is>
      </c>
      <c r="U2863" s="35" t="inlineStr">
        <is>
          <t>Нет ОКВЭД/ССЧР</t>
        </is>
      </c>
      <c r="V2863" s="35" t="inlineStr">
        <is>
          <t>Не определено</t>
        </is>
      </c>
      <c r="W2863" s="35" t="inlineStr"/>
      <c r="X2863" s="35" t="inlineStr"/>
    </row>
    <row r="2864" ht="27.75" customHeight="1" s="24">
      <c r="A2864" s="13" t="n">
        <v>5000101659</v>
      </c>
      <c r="B2864" s="13" t="inlineStr">
        <is>
          <t>Государственное казенное учреждение Иркутской области "Мамское лесничество"</t>
        </is>
      </c>
      <c r="C2864" s="13" t="n">
        <v>3808283588</v>
      </c>
      <c r="D2864" s="13" t="inlineStr">
        <is>
          <t>3808283588</t>
        </is>
      </c>
      <c r="E2864" s="13" t="inlineStr">
        <is>
          <t>ЮЛ РФ</t>
        </is>
      </c>
      <c r="F2864" s="13" t="n"/>
      <c r="G2864" s="14" t="n"/>
      <c r="H2864" s="14" t="n"/>
      <c r="I2864" s="14" t="n"/>
      <c r="J2864" s="14" t="n"/>
      <c r="K2864" s="53" t="inlineStr"/>
      <c r="L2864" s="53" t="inlineStr">
        <is>
          <t>Не определено</t>
        </is>
      </c>
      <c r="M2864" s="53" t="inlineStr"/>
      <c r="N2864" s="54" t="inlineStr"/>
      <c r="O2864" s="55" t="inlineStr"/>
      <c r="P2864" s="16" t="inlineStr">
        <is>
          <t>Требует обогащения</t>
        </is>
      </c>
      <c r="Q2864" s="16">
        <f>HYPERLINK("https://pb.nalog.ru/search.html?query=3808283588","ФНС: проверить")</f>
        <v/>
      </c>
      <c r="R2864" s="16">
        <f>HYPERLINK("https://checko.ru/search?query=3801001629","Чекко: проверить")</f>
        <v/>
      </c>
      <c r="S2864" t="n">
        <v>1</v>
      </c>
      <c r="T2864" s="35" t="inlineStr">
        <is>
          <t>4 — Не обогащён</t>
        </is>
      </c>
      <c r="U2864" s="35" t="inlineStr">
        <is>
          <t>Нет ОКВЭД/ССЧР</t>
        </is>
      </c>
      <c r="V2864" s="35" t="inlineStr">
        <is>
          <t>Не определено</t>
        </is>
      </c>
      <c r="W2864" s="35" t="inlineStr"/>
      <c r="X2864" s="35" t="inlineStr"/>
    </row>
    <row r="2865" ht="27.75" customHeight="1" s="24">
      <c r="A2865" s="13" t="n">
        <v>5000101667</v>
      </c>
      <c r="B2865" s="13" t="inlineStr">
        <is>
          <t>Государственное казенное учреждение Иркутской области "Бодайбинское лесничество"</t>
        </is>
      </c>
      <c r="C2865" s="13" t="n">
        <v>3808283524</v>
      </c>
      <c r="D2865" s="13" t="inlineStr">
        <is>
          <t>3808283524</t>
        </is>
      </c>
      <c r="E2865" s="13" t="inlineStr">
        <is>
          <t>ЮЛ РФ</t>
        </is>
      </c>
      <c r="F2865" s="13" t="n"/>
      <c r="G2865" s="14" t="n"/>
      <c r="H2865" s="14" t="n"/>
      <c r="I2865" s="14" t="n"/>
      <c r="J2865" s="14" t="n"/>
      <c r="K2865" s="53" t="inlineStr"/>
      <c r="L2865" s="53" t="inlineStr">
        <is>
          <t>Не определено</t>
        </is>
      </c>
      <c r="M2865" s="53" t="inlineStr"/>
      <c r="N2865" s="54" t="inlineStr"/>
      <c r="O2865" s="55" t="inlineStr"/>
      <c r="P2865" s="16" t="inlineStr">
        <is>
          <t>Требует обогащения</t>
        </is>
      </c>
      <c r="Q2865" s="16">
        <f>HYPERLINK("https://pb.nalog.ru/search.html?query=3808283524","ФНС: проверить")</f>
        <v/>
      </c>
      <c r="R2865" s="16">
        <f>HYPERLINK("https://checko.ru/search?query=3801001629","Чекко: проверить")</f>
        <v/>
      </c>
      <c r="S2865" t="n">
        <v>1</v>
      </c>
      <c r="T2865" s="35" t="inlineStr">
        <is>
          <t>4 — Не обогащён</t>
        </is>
      </c>
      <c r="U2865" s="35" t="inlineStr">
        <is>
          <t>Нет ОКВЭД/ССЧР</t>
        </is>
      </c>
      <c r="V2865" s="35" t="inlineStr">
        <is>
          <t>Не определено</t>
        </is>
      </c>
      <c r="W2865" s="35" t="inlineStr"/>
      <c r="X2865" s="35" t="inlineStr"/>
    </row>
    <row r="2866" ht="27.75" customHeight="1" s="24">
      <c r="A2866" s="13" t="n">
        <v>5000101685</v>
      </c>
      <c r="B2866" s="13" t="inlineStr">
        <is>
          <t>Государственное казенноне учреждение Иркутской области "Чунское лесничество"</t>
        </is>
      </c>
      <c r="C2866" s="13" t="n">
        <v>3816035483</v>
      </c>
      <c r="D2866" s="13" t="inlineStr">
        <is>
          <t>3816035483</t>
        </is>
      </c>
      <c r="E2866" s="13" t="inlineStr">
        <is>
          <t>ЮЛ РФ</t>
        </is>
      </c>
      <c r="F2866" s="13" t="n"/>
      <c r="G2866" s="14" t="n"/>
      <c r="H2866" s="14" t="n"/>
      <c r="I2866" s="14" t="n"/>
      <c r="J2866" s="14" t="n"/>
      <c r="K2866" s="53" t="inlineStr"/>
      <c r="L2866" s="53" t="inlineStr">
        <is>
          <t>Не определено</t>
        </is>
      </c>
      <c r="M2866" s="53" t="inlineStr"/>
      <c r="N2866" s="54" t="inlineStr"/>
      <c r="O2866" s="55" t="inlineStr"/>
      <c r="P2866" s="16" t="inlineStr">
        <is>
          <t>Требует обогащения</t>
        </is>
      </c>
      <c r="Q2866" s="16">
        <f>HYPERLINK("https://pb.nalog.ru/search.html?query=3816035483","ФНС: проверить")</f>
        <v/>
      </c>
      <c r="R2866" s="16">
        <f>HYPERLINK("https://checko.ru/search?query=3801001629","Чекко: проверить")</f>
        <v/>
      </c>
      <c r="S2866" t="n">
        <v>1</v>
      </c>
      <c r="T2866" s="35" t="inlineStr">
        <is>
          <t>4 — Не обогащён</t>
        </is>
      </c>
      <c r="U2866" s="35" t="inlineStr">
        <is>
          <t>Нет ОКВЭД/ССЧР</t>
        </is>
      </c>
      <c r="V2866" s="35" t="inlineStr">
        <is>
          <t>Не определено</t>
        </is>
      </c>
      <c r="W2866" s="35" t="inlineStr"/>
      <c r="X2866" s="35" t="inlineStr"/>
    </row>
    <row r="2867" ht="15" customHeight="1" s="24">
      <c r="A2867" s="13" t="n">
        <v>5000094519</v>
      </c>
      <c r="B2867" s="13" t="inlineStr">
        <is>
          <t>МКОУ "СОШ 2" с.п. Каменномостское</t>
        </is>
      </c>
      <c r="C2867" s="13" t="n">
        <v>702007021</v>
      </c>
      <c r="D2867" s="13" t="n"/>
      <c r="E2867" s="13" t="inlineStr">
        <is>
          <t>Не определён</t>
        </is>
      </c>
      <c r="F2867" s="13" t="inlineStr">
        <is>
          <t>702007021</t>
        </is>
      </c>
      <c r="G2867" s="14" t="n"/>
      <c r="H2867" s="14" t="n"/>
      <c r="I2867" s="14" t="n"/>
      <c r="J2867" s="14" t="n"/>
      <c r="K2867" s="13">
        <f>IF(G2867="","",IF(G2867&gt;=22,"Да","Нет"))</f>
        <v/>
      </c>
      <c r="L2867" s="13">
        <f>IF(OR(I2867="",J2867=""),"Не определено",IF(OR(COUNTIF(I2867,"45*")&gt;0,COUNTIF(J2867,"*45*")&gt;0,COUNTIF(I2867,"46*")&gt;0,COUNTIF(J2867,"*46*")&gt;0,COUNTIF(I2867,"47*")&gt;0,COUNTIF(J2867,"*47*")&gt;0,COUNTIF(I2867,"10*")&gt;0,COUNTIF(J2867,"*10*")&gt;0,COUNTIF(I2867,"11*")&gt;0,COUNTIF(J2867,"*11*")&gt;0,COUNTIF(I2867,"12*")&gt;0,COUNTIF(J2867,"*12*")&gt;0,COUNTIF(I2867,"13*")&gt;0,COUNTIF(J2867,"*13*")&gt;0,COUNTIF(I2867,"14*")&gt;0,COUNTIF(J2867,"*14*")&gt;0,COUNTIF(I2867,"15*")&gt;0,COUNTIF(J2867,"*15*")&gt;0,COUNTIF(I2867,"16*")&gt;0,COUNTIF(J2867,"*16*")&gt;0,COUNTIF(I2867,"17*")&gt;0,COUNTIF(J2867,"*17*")&gt;0,COUNTIF(I2867,"18*")&gt;0,COUNTIF(J2867,"*18*")&gt;0,COUNTIF(I2867,"19*")&gt;0,COUNTIF(J2867,"*19*")&gt;0,COUNTIF(I2867,"20*")&gt;0,COUNTIF(J2867,"*20*")&gt;0,COUNTIF(I2867,"21*")&gt;0,COUNTIF(J2867,"*21*")&gt;0,COUNTIF(I2867,"22*")&gt;0,COUNTIF(J2867,"*22*")&gt;0,COUNTIF(I2867,"23*")&gt;0,COUNTIF(J2867,"*23*")&gt;0,COUNTIF(I2867,"24*")&gt;0,COUNTIF(J2867,"*24*")&gt;0,COUNTIF(I2867,"25*")&gt;0,COUNTIF(J2867,"*25*")&gt;0,COUNTIF(I2867,"26*")&gt;0,COUNTIF(J2867,"*26*")&gt;0,COUNTIF(I2867,"27*")&gt;0,COUNTIF(J2867,"*27*")&gt;0,COUNTIF(I2867,"28*")&gt;0,COUNTIF(J2867,"*28*")&gt;0,COUNTIF(I2867,"29*")&gt;0,COUNTIF(J2867,"*29*")&gt;0,COUNTIF(I2867,"30*")&gt;0,COUNTIF(J2867,"*30*")&gt;0,COUNTIF(I2867,"31*")&gt;0,COUNTIF(J2867,"*31*")&gt;0,COUNTIF(I2867,"32*")&gt;0,COUNTIF(J2867,"*32*")&gt;0,COUNTIF(I2867,"33*")&gt;0,COUNTIF(J2867,"*33*")&gt;0,COUNTIF(I2867,"41*")&gt;0,COUNTIF(J2867,"*41*")&gt;0,COUNTIF(I2867,"42*")&gt;0,COUNTIF(J2867,"*42*")&gt;0,COUNTIF(I2867,"43*")&gt;0,COUNTIF(J2867,"*43*")&gt;0,COUNTIF(I2867,"49*")&gt;0,COUNTIF(J2867,"*49*")&gt;0,COUNTIF(I2867,"52*")&gt;0,COUNTIF(J2867,"*52*")&gt;0,COUNTIF(I2867,"55*")&gt;0,COUNTIF(J2867,"*55*")&gt;0,COUNTIF(I2867,"56*")&gt;0,COUNTIF(J2867,"*56*")&gt;0,COUNTIF(I2867,"68*")&gt;0,COUNTIF(J2867,"*68*")&gt;0,COUNTIF(I2867,"78*")&gt;0,COUNTIF(J2867,"*78*")&gt;0,COUNTIF(I2867,"81*")&gt;0,COUNTIF(J2867,"*81*")&gt;0,COUNTIF(I2867,"82*")&gt;0,COUNTIF(J2867,"*82*")&gt;0,COUNTIF(I2867,"64*")&gt;0,COUNTIF(J2867,"*64*")&gt;0,COUNTIF(I2867,"65*")&gt;0,COUNTIF(J2867,"*65*")&gt;0,COUNTIF(I2867,"66*")&gt;0,COUNTIF(J2867,"*66*")&gt;0,COUNTIF(I2867,"61*")&gt;0,COUNTIF(J2867,"*61*")&gt;0,COUNTIF(I2867,"62*")&gt;0,COUNTIF(J2867,"*62*")&gt;0,COUNTIF(I2867,"63*")&gt;0,COUNTIF(J2867,"*63*")&gt;0,COUNTIF(I2867,"85*")&gt;0,COUNTIF(J2867,"*85*")&gt;0,COUNTIF(I2867,"86*")&gt;0,COUNTIF(J2867,"*86*")&gt;0),"Да","Нет"))</f>
        <v/>
      </c>
      <c r="M2867" s="13">
        <f>IF(OR(G2867="",L2867&lt;&gt;"Да"),"",IF(G2867&lt;=100,"До 100",IF(G2867&lt;=200,"До 200",IF(G2867&lt;=500,"До 500","Отдельное КП"))))</f>
        <v/>
      </c>
      <c r="N2867" s="15">
        <f>IF(OR(G2867="",L2867&lt;&gt;"Да"),"",IF(G2867&lt;=100,33600,IF(G2867&lt;=200,62400,IF(G2867&lt;=500,144000,""))))</f>
        <v/>
      </c>
      <c r="O2867" s="16">
        <f>IF(G2867="","",IF(G2867&lt;=15,"1–15",IF(G2867&lt;=30,"16–30",IF(G2867&lt;=50,"31–50",IF(G2867&lt;=100,"51–100",IF(G2867&lt;=150,"101–150",IF(G2867&lt;=200,"151–200",IF(G2867&lt;=500,"201–500","500+"))))))))</f>
        <v/>
      </c>
      <c r="P2867" s="16" t="inlineStr">
        <is>
          <t>Нет совпадения в предоставленной выгрузке ССЧР</t>
        </is>
      </c>
      <c r="Q2867" s="16" t="n"/>
      <c r="R2867" s="16">
        <f>HYPERLINK("https://checko.ru/search?query=3801001629","Чекко: проверить")</f>
        <v/>
      </c>
      <c r="S2867" t="n">
        <v>0</v>
      </c>
    </row>
    <row r="2868" ht="15" customHeight="1" s="24">
      <c r="A2868" s="13" t="n">
        <v>5000001495</v>
      </c>
      <c r="B2868" s="13" t="inlineStr">
        <is>
          <t>Агентство лесного хозяйства Иркутской области</t>
        </is>
      </c>
      <c r="C2868" s="13" t="n">
        <v>3808170859</v>
      </c>
      <c r="D2868" s="13" t="inlineStr">
        <is>
          <t>3808170859</t>
        </is>
      </c>
      <c r="E2868" s="13" t="inlineStr">
        <is>
          <t>ЮЛ РФ</t>
        </is>
      </c>
      <c r="F2868" s="13" t="n"/>
      <c r="G2868" s="14" t="n"/>
      <c r="H2868" s="14" t="n"/>
      <c r="I2868" s="14" t="n"/>
      <c r="J2868" s="14" t="n"/>
      <c r="K2868" s="53" t="inlineStr"/>
      <c r="L2868" s="53" t="inlineStr">
        <is>
          <t>Не определено</t>
        </is>
      </c>
      <c r="M2868" s="53" t="inlineStr"/>
      <c r="N2868" s="54" t="inlineStr"/>
      <c r="O2868" s="55" t="inlineStr"/>
      <c r="P2868" s="16" t="inlineStr">
        <is>
          <t>Требует обогащения</t>
        </is>
      </c>
      <c r="Q2868" s="16">
        <f>HYPERLINK("https://pb.nalog.ru/search.html?query=3808170859","ФНС: проверить")</f>
        <v/>
      </c>
      <c r="R2868" s="16">
        <f>HYPERLINK("https://checko.ru/search?query=3801001629","Чекко: проверить")</f>
        <v/>
      </c>
      <c r="S2868" t="n">
        <v>1</v>
      </c>
      <c r="T2868" s="35" t="inlineStr">
        <is>
          <t>4 — Не обогащён</t>
        </is>
      </c>
      <c r="U2868" s="35" t="inlineStr">
        <is>
          <t>Нет ОКВЭД/ССЧР</t>
        </is>
      </c>
      <c r="V2868" s="35" t="inlineStr">
        <is>
          <t>Не определено</t>
        </is>
      </c>
      <c r="W2868" s="35" t="inlineStr"/>
      <c r="X2868" s="35" t="inlineStr"/>
    </row>
    <row r="2869" ht="27.75" customHeight="1" s="24">
      <c r="A2869" s="13" t="n">
        <v>5000101664</v>
      </c>
      <c r="B2869" s="13" t="inlineStr">
        <is>
          <t>Государственное казенное учреждение Иркутской области Ангарское лесничество</t>
        </is>
      </c>
      <c r="C2869" s="13" t="n">
        <v>3808283517</v>
      </c>
      <c r="D2869" s="13" t="inlineStr">
        <is>
          <t>3808283517</t>
        </is>
      </c>
      <c r="E2869" s="13" t="inlineStr">
        <is>
          <t>ЮЛ РФ</t>
        </is>
      </c>
      <c r="F2869" s="13" t="n"/>
      <c r="G2869" s="14" t="n"/>
      <c r="H2869" s="14" t="n"/>
      <c r="I2869" s="14" t="n"/>
      <c r="J2869" s="14" t="n"/>
      <c r="K2869" s="53" t="inlineStr"/>
      <c r="L2869" s="53" t="inlineStr">
        <is>
          <t>Не определено</t>
        </is>
      </c>
      <c r="M2869" s="53" t="inlineStr"/>
      <c r="N2869" s="54" t="inlineStr"/>
      <c r="O2869" s="55" t="inlineStr"/>
      <c r="P2869" s="16" t="inlineStr">
        <is>
          <t>Требует обогащения</t>
        </is>
      </c>
      <c r="Q2869" s="16">
        <f>HYPERLINK("https://pb.nalog.ru/search.html?query=3808283517","ФНС: проверить")</f>
        <v/>
      </c>
      <c r="R2869" s="16">
        <f>HYPERLINK("https://checko.ru/search?query=3801001629","Чекко: проверить")</f>
        <v/>
      </c>
      <c r="S2869" t="n">
        <v>1</v>
      </c>
      <c r="T2869" s="35" t="inlineStr">
        <is>
          <t>4 — Не обогащён</t>
        </is>
      </c>
      <c r="U2869" s="35" t="inlineStr">
        <is>
          <t>Нет ОКВЭД/ССЧР</t>
        </is>
      </c>
      <c r="V2869" s="35" t="inlineStr">
        <is>
          <t>Не определено</t>
        </is>
      </c>
      <c r="W2869" s="35" t="inlineStr"/>
      <c r="X2869" s="35" t="inlineStr"/>
    </row>
    <row r="2870" ht="27.75" customHeight="1" s="24">
      <c r="A2870" s="13" t="n">
        <v>5000094922</v>
      </c>
      <c r="B2870" s="13" t="inlineStr">
        <is>
          <t>Местная администрация Эльбрусского муниципального района</t>
        </is>
      </c>
      <c r="C2870" s="13" t="n">
        <v>710003599</v>
      </c>
      <c r="D2870" s="13" t="n"/>
      <c r="E2870" s="13" t="inlineStr">
        <is>
          <t>Не определён</t>
        </is>
      </c>
      <c r="F2870" s="13" t="inlineStr">
        <is>
          <t>710003599</t>
        </is>
      </c>
      <c r="G2870" s="14" t="n"/>
      <c r="H2870" s="14" t="n"/>
      <c r="I2870" s="14" t="n"/>
      <c r="J2870" s="14" t="n"/>
      <c r="K2870" s="13">
        <f>IF(G2870="","",IF(G2870&gt;=22,"Да","Нет"))</f>
        <v/>
      </c>
      <c r="L2870" s="13">
        <f>IF(OR(I2870="",J2870=""),"Не определено",IF(OR(COUNTIF(I2870,"45*")&gt;0,COUNTIF(J2870,"*45*")&gt;0,COUNTIF(I2870,"46*")&gt;0,COUNTIF(J2870,"*46*")&gt;0,COUNTIF(I2870,"47*")&gt;0,COUNTIF(J2870,"*47*")&gt;0,COUNTIF(I2870,"10*")&gt;0,COUNTIF(J2870,"*10*")&gt;0,COUNTIF(I2870,"11*")&gt;0,COUNTIF(J2870,"*11*")&gt;0,COUNTIF(I2870,"12*")&gt;0,COUNTIF(J2870,"*12*")&gt;0,COUNTIF(I2870,"13*")&gt;0,COUNTIF(J2870,"*13*")&gt;0,COUNTIF(I2870,"14*")&gt;0,COUNTIF(J2870,"*14*")&gt;0,COUNTIF(I2870,"15*")&gt;0,COUNTIF(J2870,"*15*")&gt;0,COUNTIF(I2870,"16*")&gt;0,COUNTIF(J2870,"*16*")&gt;0,COUNTIF(I2870,"17*")&gt;0,COUNTIF(J2870,"*17*")&gt;0,COUNTIF(I2870,"18*")&gt;0,COUNTIF(J2870,"*18*")&gt;0,COUNTIF(I2870,"19*")&gt;0,COUNTIF(J2870,"*19*")&gt;0,COUNTIF(I2870,"20*")&gt;0,COUNTIF(J2870,"*20*")&gt;0,COUNTIF(I2870,"21*")&gt;0,COUNTIF(J2870,"*21*")&gt;0,COUNTIF(I2870,"22*")&gt;0,COUNTIF(J2870,"*22*")&gt;0,COUNTIF(I2870,"23*")&gt;0,COUNTIF(J2870,"*23*")&gt;0,COUNTIF(I2870,"24*")&gt;0,COUNTIF(J2870,"*24*")&gt;0,COUNTIF(I2870,"25*")&gt;0,COUNTIF(J2870,"*25*")&gt;0,COUNTIF(I2870,"26*")&gt;0,COUNTIF(J2870,"*26*")&gt;0,COUNTIF(I2870,"27*")&gt;0,COUNTIF(J2870,"*27*")&gt;0,COUNTIF(I2870,"28*")&gt;0,COUNTIF(J2870,"*28*")&gt;0,COUNTIF(I2870,"29*")&gt;0,COUNTIF(J2870,"*29*")&gt;0,COUNTIF(I2870,"30*")&gt;0,COUNTIF(J2870,"*30*")&gt;0,COUNTIF(I2870,"31*")&gt;0,COUNTIF(J2870,"*31*")&gt;0,COUNTIF(I2870,"32*")&gt;0,COUNTIF(J2870,"*32*")&gt;0,COUNTIF(I2870,"33*")&gt;0,COUNTIF(J2870,"*33*")&gt;0,COUNTIF(I2870,"41*")&gt;0,COUNTIF(J2870,"*41*")&gt;0,COUNTIF(I2870,"42*")&gt;0,COUNTIF(J2870,"*42*")&gt;0,COUNTIF(I2870,"43*")&gt;0,COUNTIF(J2870,"*43*")&gt;0,COUNTIF(I2870,"49*")&gt;0,COUNTIF(J2870,"*49*")&gt;0,COUNTIF(I2870,"52*")&gt;0,COUNTIF(J2870,"*52*")&gt;0,COUNTIF(I2870,"55*")&gt;0,COUNTIF(J2870,"*55*")&gt;0,COUNTIF(I2870,"56*")&gt;0,COUNTIF(J2870,"*56*")&gt;0,COUNTIF(I2870,"68*")&gt;0,COUNTIF(J2870,"*68*")&gt;0,COUNTIF(I2870,"78*")&gt;0,COUNTIF(J2870,"*78*")&gt;0,COUNTIF(I2870,"81*")&gt;0,COUNTIF(J2870,"*81*")&gt;0,COUNTIF(I2870,"82*")&gt;0,COUNTIF(J2870,"*82*")&gt;0,COUNTIF(I2870,"64*")&gt;0,COUNTIF(J2870,"*64*")&gt;0,COUNTIF(I2870,"65*")&gt;0,COUNTIF(J2870,"*65*")&gt;0,COUNTIF(I2870,"66*")&gt;0,COUNTIF(J2870,"*66*")&gt;0,COUNTIF(I2870,"61*")&gt;0,COUNTIF(J2870,"*61*")&gt;0,COUNTIF(I2870,"62*")&gt;0,COUNTIF(J2870,"*62*")&gt;0,COUNTIF(I2870,"63*")&gt;0,COUNTIF(J2870,"*63*")&gt;0,COUNTIF(I2870,"85*")&gt;0,COUNTIF(J2870,"*85*")&gt;0,COUNTIF(I2870,"86*")&gt;0,COUNTIF(J2870,"*86*")&gt;0),"Да","Нет"))</f>
        <v/>
      </c>
      <c r="M2870" s="13">
        <f>IF(OR(G2870="",L2870&lt;&gt;"Да"),"",IF(G2870&lt;=100,"До 100",IF(G2870&lt;=200,"До 200",IF(G2870&lt;=500,"До 500","Отдельное КП"))))</f>
        <v/>
      </c>
      <c r="N2870" s="15">
        <f>IF(OR(G2870="",L2870&lt;&gt;"Да"),"",IF(G2870&lt;=100,33600,IF(G2870&lt;=200,62400,IF(G2870&lt;=500,144000,""))))</f>
        <v/>
      </c>
      <c r="O2870" s="16">
        <f>IF(G2870="","",IF(G2870&lt;=15,"1–15",IF(G2870&lt;=30,"16–30",IF(G2870&lt;=50,"31–50",IF(G2870&lt;=100,"51–100",IF(G2870&lt;=150,"101–150",IF(G2870&lt;=200,"151–200",IF(G2870&lt;=500,"201–500","500+"))))))))</f>
        <v/>
      </c>
      <c r="P2870" s="16" t="inlineStr">
        <is>
          <t>Нет совпадения в предоставленной выгрузке ССЧР</t>
        </is>
      </c>
      <c r="Q2870" s="16" t="n"/>
      <c r="R2870" s="16">
        <f>HYPERLINK("https://checko.ru/search?query=3801001629","Чекко: проверить")</f>
        <v/>
      </c>
      <c r="S2870" t="n">
        <v>0</v>
      </c>
    </row>
    <row r="2871" ht="27.75" customHeight="1" s="24">
      <c r="A2871" s="13" t="n">
        <v>5000094423</v>
      </c>
      <c r="B2871" s="13" t="inlineStr">
        <is>
          <t>Местная администрация сельского поселения Исламей Баксанского муниципального района</t>
        </is>
      </c>
      <c r="C2871" s="13" t="n">
        <v>701004645</v>
      </c>
      <c r="D2871" s="13" t="n"/>
      <c r="E2871" s="13" t="inlineStr">
        <is>
          <t>Не определён</t>
        </is>
      </c>
      <c r="F2871" s="13" t="inlineStr">
        <is>
          <t>701004645</t>
        </is>
      </c>
      <c r="G2871" s="14" t="n"/>
      <c r="H2871" s="14" t="n"/>
      <c r="I2871" s="14" t="n"/>
      <c r="J2871" s="14" t="n"/>
      <c r="K2871" s="13">
        <f>IF(G2871="","",IF(G2871&gt;=22,"Да","Нет"))</f>
        <v/>
      </c>
      <c r="L2871" s="13">
        <f>IF(OR(I2871="",J2871=""),"Не определено",IF(OR(COUNTIF(I2871,"45*")&gt;0,COUNTIF(J2871,"*45*")&gt;0,COUNTIF(I2871,"46*")&gt;0,COUNTIF(J2871,"*46*")&gt;0,COUNTIF(I2871,"47*")&gt;0,COUNTIF(J2871,"*47*")&gt;0,COUNTIF(I2871,"10*")&gt;0,COUNTIF(J2871,"*10*")&gt;0,COUNTIF(I2871,"11*")&gt;0,COUNTIF(J2871,"*11*")&gt;0,COUNTIF(I2871,"12*")&gt;0,COUNTIF(J2871,"*12*")&gt;0,COUNTIF(I2871,"13*")&gt;0,COUNTIF(J2871,"*13*")&gt;0,COUNTIF(I2871,"14*")&gt;0,COUNTIF(J2871,"*14*")&gt;0,COUNTIF(I2871,"15*")&gt;0,COUNTIF(J2871,"*15*")&gt;0,COUNTIF(I2871,"16*")&gt;0,COUNTIF(J2871,"*16*")&gt;0,COUNTIF(I2871,"17*")&gt;0,COUNTIF(J2871,"*17*")&gt;0,COUNTIF(I2871,"18*")&gt;0,COUNTIF(J2871,"*18*")&gt;0,COUNTIF(I2871,"19*")&gt;0,COUNTIF(J2871,"*19*")&gt;0,COUNTIF(I2871,"20*")&gt;0,COUNTIF(J2871,"*20*")&gt;0,COUNTIF(I2871,"21*")&gt;0,COUNTIF(J2871,"*21*")&gt;0,COUNTIF(I2871,"22*")&gt;0,COUNTIF(J2871,"*22*")&gt;0,COUNTIF(I2871,"23*")&gt;0,COUNTIF(J2871,"*23*")&gt;0,COUNTIF(I2871,"24*")&gt;0,COUNTIF(J2871,"*24*")&gt;0,COUNTIF(I2871,"25*")&gt;0,COUNTIF(J2871,"*25*")&gt;0,COUNTIF(I2871,"26*")&gt;0,COUNTIF(J2871,"*26*")&gt;0,COUNTIF(I2871,"27*")&gt;0,COUNTIF(J2871,"*27*")&gt;0,COUNTIF(I2871,"28*")&gt;0,COUNTIF(J2871,"*28*")&gt;0,COUNTIF(I2871,"29*")&gt;0,COUNTIF(J2871,"*29*")&gt;0,COUNTIF(I2871,"30*")&gt;0,COUNTIF(J2871,"*30*")&gt;0,COUNTIF(I2871,"31*")&gt;0,COUNTIF(J2871,"*31*")&gt;0,COUNTIF(I2871,"32*")&gt;0,COUNTIF(J2871,"*32*")&gt;0,COUNTIF(I2871,"33*")&gt;0,COUNTIF(J2871,"*33*")&gt;0,COUNTIF(I2871,"41*")&gt;0,COUNTIF(J2871,"*41*")&gt;0,COUNTIF(I2871,"42*")&gt;0,COUNTIF(J2871,"*42*")&gt;0,COUNTIF(I2871,"43*")&gt;0,COUNTIF(J2871,"*43*")&gt;0,COUNTIF(I2871,"49*")&gt;0,COUNTIF(J2871,"*49*")&gt;0,COUNTIF(I2871,"52*")&gt;0,COUNTIF(J2871,"*52*")&gt;0,COUNTIF(I2871,"55*")&gt;0,COUNTIF(J2871,"*55*")&gt;0,COUNTIF(I2871,"56*")&gt;0,COUNTIF(J2871,"*56*")&gt;0,COUNTIF(I2871,"68*")&gt;0,COUNTIF(J2871,"*68*")&gt;0,COUNTIF(I2871,"78*")&gt;0,COUNTIF(J2871,"*78*")&gt;0,COUNTIF(I2871,"81*")&gt;0,COUNTIF(J2871,"*81*")&gt;0,COUNTIF(I2871,"82*")&gt;0,COUNTIF(J2871,"*82*")&gt;0,COUNTIF(I2871,"64*")&gt;0,COUNTIF(J2871,"*64*")&gt;0,COUNTIF(I2871,"65*")&gt;0,COUNTIF(J2871,"*65*")&gt;0,COUNTIF(I2871,"66*")&gt;0,COUNTIF(J2871,"*66*")&gt;0,COUNTIF(I2871,"61*")&gt;0,COUNTIF(J2871,"*61*")&gt;0,COUNTIF(I2871,"62*")&gt;0,COUNTIF(J2871,"*62*")&gt;0,COUNTIF(I2871,"63*")&gt;0,COUNTIF(J2871,"*63*")&gt;0,COUNTIF(I2871,"85*")&gt;0,COUNTIF(J2871,"*85*")&gt;0,COUNTIF(I2871,"86*")&gt;0,COUNTIF(J2871,"*86*")&gt;0),"Да","Нет"))</f>
        <v/>
      </c>
      <c r="M2871" s="13">
        <f>IF(OR(G2871="",L2871&lt;&gt;"Да"),"",IF(G2871&lt;=100,"До 100",IF(G2871&lt;=200,"До 200",IF(G2871&lt;=500,"До 500","Отдельное КП"))))</f>
        <v/>
      </c>
      <c r="N2871" s="15">
        <f>IF(OR(G2871="",L2871&lt;&gt;"Да"),"",IF(G2871&lt;=100,33600,IF(G2871&lt;=200,62400,IF(G2871&lt;=500,144000,""))))</f>
        <v/>
      </c>
      <c r="O2871" s="16">
        <f>IF(G2871="","",IF(G2871&lt;=15,"1–15",IF(G2871&lt;=30,"16–30",IF(G2871&lt;=50,"31–50",IF(G2871&lt;=100,"51–100",IF(G2871&lt;=150,"101–150",IF(G2871&lt;=200,"151–200",IF(G2871&lt;=500,"201–500","500+"))))))))</f>
        <v/>
      </c>
      <c r="P2871" s="16" t="inlineStr">
        <is>
          <t>Нет совпадения в предоставленной выгрузке ССЧР</t>
        </is>
      </c>
      <c r="Q2871" s="16" t="n"/>
      <c r="R2871" s="16">
        <f>HYPERLINK("https://checko.ru/search?query=3801001629","Чекко: проверить")</f>
        <v/>
      </c>
      <c r="S2871" t="n">
        <v>0</v>
      </c>
    </row>
    <row r="2872" ht="41.25" customHeight="1" s="24">
      <c r="A2872" s="13" t="n">
        <v>5000106110</v>
      </c>
      <c r="B2872" s="13" t="inlineStr">
        <is>
          <t>ГОСУДАРСТВЕННОЕ БЮДЖЕТНОЕ УЧРЕЖДЕНИЕ "ТЮЛЬГАНСКОЕ РАЙОННОЕ УПРАВЛЕНИЕ ВЕТЕРИНАРИИ"</t>
        </is>
      </c>
      <c r="C2872" s="13" t="n">
        <v>5650001586</v>
      </c>
      <c r="D2872" s="13" t="inlineStr">
        <is>
          <t>5650001586</t>
        </is>
      </c>
      <c r="E2872" s="13" t="inlineStr">
        <is>
          <t>ЮЛ РФ</t>
        </is>
      </c>
      <c r="F2872" s="13" t="n"/>
      <c r="G2872" s="14" t="n"/>
      <c r="H2872" s="14" t="n"/>
      <c r="I2872" s="14" t="n"/>
      <c r="J2872" s="14" t="n"/>
      <c r="K2872" s="53" t="inlineStr"/>
      <c r="L2872" s="53" t="inlineStr">
        <is>
          <t>Не определено</t>
        </is>
      </c>
      <c r="M2872" s="53" t="inlineStr"/>
      <c r="N2872" s="54" t="inlineStr"/>
      <c r="O2872" s="55" t="inlineStr"/>
      <c r="P2872" s="16" t="inlineStr">
        <is>
          <t>Требует обогащения</t>
        </is>
      </c>
      <c r="Q2872" s="16">
        <f>HYPERLINK("https://pb.nalog.ru/search.html?query=5650001586","ФНС: проверить")</f>
        <v/>
      </c>
      <c r="R2872" s="16">
        <f>HYPERLINK("https://checko.ru/search?query=3801001629","Чекко: проверить")</f>
        <v/>
      </c>
      <c r="S2872" t="n">
        <v>1</v>
      </c>
      <c r="T2872" s="35" t="inlineStr">
        <is>
          <t>4 — Не обогащён</t>
        </is>
      </c>
      <c r="U2872" s="35" t="inlineStr">
        <is>
          <t>Нет ОКВЭД/ССЧР</t>
        </is>
      </c>
      <c r="V2872" s="35" t="inlineStr">
        <is>
          <t>Не определено</t>
        </is>
      </c>
      <c r="W2872" s="35" t="inlineStr"/>
      <c r="X2872" s="35" t="inlineStr"/>
    </row>
    <row r="2873" ht="15" customHeight="1" s="24">
      <c r="A2873" s="13" t="n">
        <v>5000095233</v>
      </c>
      <c r="B2873" s="13" t="inlineStr">
        <is>
          <t>Каббалкгражданнац</t>
        </is>
      </c>
      <c r="C2873" s="13" t="n">
        <v>725014755</v>
      </c>
      <c r="D2873" s="13" t="n"/>
      <c r="E2873" s="13" t="inlineStr">
        <is>
          <t>Не определён</t>
        </is>
      </c>
      <c r="F2873" s="13" t="inlineStr">
        <is>
          <t>725014755</t>
        </is>
      </c>
      <c r="G2873" s="14" t="n"/>
      <c r="H2873" s="14" t="n"/>
      <c r="I2873" s="14" t="n"/>
      <c r="J2873" s="14" t="n"/>
      <c r="K2873" s="13">
        <f>IF(G2873="","",IF(G2873&gt;=22,"Да","Нет"))</f>
        <v/>
      </c>
      <c r="L2873" s="13">
        <f>IF(OR(I2873="",J2873=""),"Не определено",IF(OR(COUNTIF(I2873,"45*")&gt;0,COUNTIF(J2873,"*45*")&gt;0,COUNTIF(I2873,"46*")&gt;0,COUNTIF(J2873,"*46*")&gt;0,COUNTIF(I2873,"47*")&gt;0,COUNTIF(J2873,"*47*")&gt;0,COUNTIF(I2873,"10*")&gt;0,COUNTIF(J2873,"*10*")&gt;0,COUNTIF(I2873,"11*")&gt;0,COUNTIF(J2873,"*11*")&gt;0,COUNTIF(I2873,"12*")&gt;0,COUNTIF(J2873,"*12*")&gt;0,COUNTIF(I2873,"13*")&gt;0,COUNTIF(J2873,"*13*")&gt;0,COUNTIF(I2873,"14*")&gt;0,COUNTIF(J2873,"*14*")&gt;0,COUNTIF(I2873,"15*")&gt;0,COUNTIF(J2873,"*15*")&gt;0,COUNTIF(I2873,"16*")&gt;0,COUNTIF(J2873,"*16*")&gt;0,COUNTIF(I2873,"17*")&gt;0,COUNTIF(J2873,"*17*")&gt;0,COUNTIF(I2873,"18*")&gt;0,COUNTIF(J2873,"*18*")&gt;0,COUNTIF(I2873,"19*")&gt;0,COUNTIF(J2873,"*19*")&gt;0,COUNTIF(I2873,"20*")&gt;0,COUNTIF(J2873,"*20*")&gt;0,COUNTIF(I2873,"21*")&gt;0,COUNTIF(J2873,"*21*")&gt;0,COUNTIF(I2873,"22*")&gt;0,COUNTIF(J2873,"*22*")&gt;0,COUNTIF(I2873,"23*")&gt;0,COUNTIF(J2873,"*23*")&gt;0,COUNTIF(I2873,"24*")&gt;0,COUNTIF(J2873,"*24*")&gt;0,COUNTIF(I2873,"25*")&gt;0,COUNTIF(J2873,"*25*")&gt;0,COUNTIF(I2873,"26*")&gt;0,COUNTIF(J2873,"*26*")&gt;0,COUNTIF(I2873,"27*")&gt;0,COUNTIF(J2873,"*27*")&gt;0,COUNTIF(I2873,"28*")&gt;0,COUNTIF(J2873,"*28*")&gt;0,COUNTIF(I2873,"29*")&gt;0,COUNTIF(J2873,"*29*")&gt;0,COUNTIF(I2873,"30*")&gt;0,COUNTIF(J2873,"*30*")&gt;0,COUNTIF(I2873,"31*")&gt;0,COUNTIF(J2873,"*31*")&gt;0,COUNTIF(I2873,"32*")&gt;0,COUNTIF(J2873,"*32*")&gt;0,COUNTIF(I2873,"33*")&gt;0,COUNTIF(J2873,"*33*")&gt;0,COUNTIF(I2873,"41*")&gt;0,COUNTIF(J2873,"*41*")&gt;0,COUNTIF(I2873,"42*")&gt;0,COUNTIF(J2873,"*42*")&gt;0,COUNTIF(I2873,"43*")&gt;0,COUNTIF(J2873,"*43*")&gt;0,COUNTIF(I2873,"49*")&gt;0,COUNTIF(J2873,"*49*")&gt;0,COUNTIF(I2873,"52*")&gt;0,COUNTIF(J2873,"*52*")&gt;0,COUNTIF(I2873,"55*")&gt;0,COUNTIF(J2873,"*55*")&gt;0,COUNTIF(I2873,"56*")&gt;0,COUNTIF(J2873,"*56*")&gt;0,COUNTIF(I2873,"68*")&gt;0,COUNTIF(J2873,"*68*")&gt;0,COUNTIF(I2873,"78*")&gt;0,COUNTIF(J2873,"*78*")&gt;0,COUNTIF(I2873,"81*")&gt;0,COUNTIF(J2873,"*81*")&gt;0,COUNTIF(I2873,"82*")&gt;0,COUNTIF(J2873,"*82*")&gt;0,COUNTIF(I2873,"64*")&gt;0,COUNTIF(J2873,"*64*")&gt;0,COUNTIF(I2873,"65*")&gt;0,COUNTIF(J2873,"*65*")&gt;0,COUNTIF(I2873,"66*")&gt;0,COUNTIF(J2873,"*66*")&gt;0,COUNTIF(I2873,"61*")&gt;0,COUNTIF(J2873,"*61*")&gt;0,COUNTIF(I2873,"62*")&gt;0,COUNTIF(J2873,"*62*")&gt;0,COUNTIF(I2873,"63*")&gt;0,COUNTIF(J2873,"*63*")&gt;0,COUNTIF(I2873,"85*")&gt;0,COUNTIF(J2873,"*85*")&gt;0,COUNTIF(I2873,"86*")&gt;0,COUNTIF(J2873,"*86*")&gt;0),"Да","Нет"))</f>
        <v/>
      </c>
      <c r="M2873" s="13">
        <f>IF(OR(G2873="",L2873&lt;&gt;"Да"),"",IF(G2873&lt;=100,"До 100",IF(G2873&lt;=200,"До 200",IF(G2873&lt;=500,"До 500","Отдельное КП"))))</f>
        <v/>
      </c>
      <c r="N2873" s="15">
        <f>IF(OR(G2873="",L2873&lt;&gt;"Да"),"",IF(G2873&lt;=100,33600,IF(G2873&lt;=200,62400,IF(G2873&lt;=500,144000,""))))</f>
        <v/>
      </c>
      <c r="O2873" s="16">
        <f>IF(G2873="","",IF(G2873&lt;=15,"1–15",IF(G2873&lt;=30,"16–30",IF(G2873&lt;=50,"31–50",IF(G2873&lt;=100,"51–100",IF(G2873&lt;=150,"101–150",IF(G2873&lt;=200,"151–200",IF(G2873&lt;=500,"201–500","500+"))))))))</f>
        <v/>
      </c>
      <c r="P2873" s="16" t="inlineStr">
        <is>
          <t>Нет совпадения в предоставленной выгрузке ССЧР</t>
        </is>
      </c>
      <c r="Q2873" s="16" t="n"/>
      <c r="R2873" s="16">
        <f>HYPERLINK("https://checko.ru/search?query=3801001629","Чекко: проверить")</f>
        <v/>
      </c>
      <c r="S2873" t="n">
        <v>0</v>
      </c>
    </row>
    <row r="2874" ht="27.75" customHeight="1" s="24">
      <c r="A2874" s="13" t="n">
        <v>5000001460</v>
      </c>
      <c r="B2874" s="13" t="inlineStr">
        <is>
          <t>ГОКУ ИРКУТСКОЙ ОБЛАСТИ "СПЕЦИАЛЬНАЯ (КОРРЕКЦИОННАЯ) ШКОЛА   1 Г. ИРКУТСКА"</t>
        </is>
      </c>
      <c r="C2874" s="13" t="n">
        <v>3808048601</v>
      </c>
      <c r="D2874" s="13" t="inlineStr">
        <is>
          <t>3808048601</t>
        </is>
      </c>
      <c r="E2874" s="13" t="inlineStr">
        <is>
          <t>ЮЛ РФ</t>
        </is>
      </c>
      <c r="F2874" s="13" t="n"/>
      <c r="G2874" s="14" t="n"/>
      <c r="H2874" s="14" t="n"/>
      <c r="I2874" s="14" t="n"/>
      <c r="J2874" s="14" t="n"/>
      <c r="K2874" s="53" t="inlineStr"/>
      <c r="L2874" s="53" t="inlineStr">
        <is>
          <t>Не определено</t>
        </is>
      </c>
      <c r="M2874" s="53" t="inlineStr"/>
      <c r="N2874" s="54" t="inlineStr"/>
      <c r="O2874" s="55" t="inlineStr"/>
      <c r="P2874" s="16" t="inlineStr">
        <is>
          <t>Требует обогащения</t>
        </is>
      </c>
      <c r="Q2874" s="16">
        <f>HYPERLINK("https://pb.nalog.ru/search.html?query=3808048601","ФНС: проверить")</f>
        <v/>
      </c>
      <c r="R2874" s="16">
        <f>HYPERLINK("https://checko.ru/search?query=3801001629","Чекко: проверить")</f>
        <v/>
      </c>
      <c r="S2874" t="n">
        <v>1</v>
      </c>
      <c r="T2874" s="35" t="inlineStr">
        <is>
          <t>4 — Не обогащён</t>
        </is>
      </c>
      <c r="U2874" s="35" t="inlineStr">
        <is>
          <t>Нет ОКВЭД/ССЧР</t>
        </is>
      </c>
      <c r="V2874" s="35" t="inlineStr">
        <is>
          <t>Не определено</t>
        </is>
      </c>
      <c r="W2874" s="35" t="inlineStr"/>
      <c r="X2874" s="35" t="inlineStr"/>
    </row>
    <row r="2875" ht="15" customHeight="1" s="24">
      <c r="A2875" s="13" t="n">
        <v>5000062527</v>
      </c>
      <c r="B2875" s="13" t="inlineStr">
        <is>
          <t>ОГБУ ДО ДООЦ "Светлячок"</t>
        </is>
      </c>
      <c r="C2875" s="13" t="n">
        <v>7313008434</v>
      </c>
      <c r="D2875" s="13" t="inlineStr">
        <is>
          <t>7313008434</t>
        </is>
      </c>
      <c r="E2875" s="13" t="inlineStr">
        <is>
          <t>ЮЛ РФ</t>
        </is>
      </c>
      <c r="F2875" s="13" t="n"/>
      <c r="G2875" s="14" t="n"/>
      <c r="H2875" s="14" t="n"/>
      <c r="I2875" s="14" t="n"/>
      <c r="J2875" s="14" t="n"/>
      <c r="K2875" s="53" t="inlineStr"/>
      <c r="L2875" s="53" t="inlineStr">
        <is>
          <t>Не определено</t>
        </is>
      </c>
      <c r="M2875" s="53" t="inlineStr"/>
      <c r="N2875" s="54" t="inlineStr"/>
      <c r="O2875" s="55" t="inlineStr"/>
      <c r="P2875" s="16" t="inlineStr">
        <is>
          <t>Требует обогащения</t>
        </is>
      </c>
      <c r="Q2875" s="16">
        <f>HYPERLINK("https://pb.nalog.ru/search.html?query=7313008434","ФНС: проверить")</f>
        <v/>
      </c>
      <c r="R2875" s="16">
        <f>HYPERLINK("https://checko.ru/search?query=3801001629","Чекко: проверить")</f>
        <v/>
      </c>
      <c r="S2875" t="n">
        <v>1</v>
      </c>
      <c r="T2875" s="35" t="inlineStr">
        <is>
          <t>4 — Не обогащён</t>
        </is>
      </c>
      <c r="U2875" s="35" t="inlineStr">
        <is>
          <t>Нет ОКВЭД/ССЧР</t>
        </is>
      </c>
      <c r="V2875" s="35" t="inlineStr">
        <is>
          <t>Не определено</t>
        </is>
      </c>
      <c r="W2875" s="35" t="inlineStr"/>
      <c r="X2875" s="35" t="inlineStr"/>
    </row>
    <row r="2876" ht="27.75" customHeight="1" s="24">
      <c r="A2876" s="13" t="n">
        <v>5000001707</v>
      </c>
      <c r="B2876" s="13" t="inlineStr">
        <is>
          <t>Областное ГБПОУ социального Обслуживания "Иркутский реабилитационный техникум"</t>
        </is>
      </c>
      <c r="C2876" s="13" t="n">
        <v>3808021769</v>
      </c>
      <c r="D2876" s="13" t="inlineStr">
        <is>
          <t>3808021769</t>
        </is>
      </c>
      <c r="E2876" s="13" t="inlineStr">
        <is>
          <t>ЮЛ РФ</t>
        </is>
      </c>
      <c r="F2876" s="13" t="n"/>
      <c r="G2876" s="14" t="n"/>
      <c r="H2876" s="14" t="n"/>
      <c r="I2876" s="14" t="n"/>
      <c r="J2876" s="14" t="n"/>
      <c r="K2876" s="53" t="inlineStr"/>
      <c r="L2876" s="53" t="inlineStr">
        <is>
          <t>Не определено</t>
        </is>
      </c>
      <c r="M2876" s="53" t="inlineStr"/>
      <c r="N2876" s="54" t="inlineStr"/>
      <c r="O2876" s="55" t="inlineStr"/>
      <c r="P2876" s="16" t="inlineStr">
        <is>
          <t>Требует обогащения</t>
        </is>
      </c>
      <c r="Q2876" s="16">
        <f>HYPERLINK("https://pb.nalog.ru/search.html?query=3808021769","ФНС: проверить")</f>
        <v/>
      </c>
      <c r="R2876" s="16">
        <f>HYPERLINK("https://checko.ru/search?query=3801001629","Чекко: проверить")</f>
        <v/>
      </c>
      <c r="S2876" t="n">
        <v>1</v>
      </c>
      <c r="T2876" s="35" t="inlineStr">
        <is>
          <t>4 — Не обогащён</t>
        </is>
      </c>
      <c r="U2876" s="35" t="inlineStr">
        <is>
          <t>Нет ОКВЭД/ССЧР</t>
        </is>
      </c>
      <c r="V2876" s="35" t="inlineStr">
        <is>
          <t>Не определено</t>
        </is>
      </c>
      <c r="W2876" s="35" t="inlineStr"/>
      <c r="X2876" s="35" t="inlineStr"/>
    </row>
    <row r="2877" ht="41.25" customHeight="1" s="24">
      <c r="A2877" s="13" t="n">
        <v>5000095301</v>
      </c>
      <c r="B2877" s="13" t="inlineStr">
        <is>
          <t>Постоянное представительство Кабардино-Балкарской Республики при Президенте Российской Федерации</t>
        </is>
      </c>
      <c r="C2877" s="13" t="n">
        <v>7704091374</v>
      </c>
      <c r="D2877" s="13" t="inlineStr">
        <is>
          <t>7704091374</t>
        </is>
      </c>
      <c r="E2877" s="13" t="inlineStr">
        <is>
          <t>ЮЛ РФ</t>
        </is>
      </c>
      <c r="F2877" s="13" t="n"/>
      <c r="G2877" s="14" t="n"/>
      <c r="H2877" s="14" t="n"/>
      <c r="I2877" s="14" t="n"/>
      <c r="J2877" s="14" t="n"/>
      <c r="K2877" s="53" t="inlineStr"/>
      <c r="L2877" s="53" t="inlineStr">
        <is>
          <t>Не определено</t>
        </is>
      </c>
      <c r="M2877" s="53" t="inlineStr"/>
      <c r="N2877" s="54" t="inlineStr"/>
      <c r="O2877" s="55" t="inlineStr"/>
      <c r="P2877" s="16" t="inlineStr">
        <is>
          <t>Требует обогащения</t>
        </is>
      </c>
      <c r="Q2877" s="16">
        <f>HYPERLINK("https://pb.nalog.ru/search.html?query=7704091374","ФНС: проверить")</f>
        <v/>
      </c>
      <c r="R2877" s="16">
        <f>HYPERLINK("https://checko.ru/search?query=3801001629","Чекко: проверить")</f>
        <v/>
      </c>
      <c r="S2877" t="n">
        <v>1</v>
      </c>
      <c r="T2877" s="35" t="inlineStr">
        <is>
          <t>4 — Не обогащён</t>
        </is>
      </c>
      <c r="U2877" s="35" t="inlineStr">
        <is>
          <t>Нет ОКВЭД/ССЧР</t>
        </is>
      </c>
      <c r="V2877" s="35" t="inlineStr">
        <is>
          <t>Не определено</t>
        </is>
      </c>
      <c r="W2877" s="35" t="inlineStr"/>
      <c r="X2877" s="35" t="inlineStr"/>
    </row>
    <row r="2878" ht="41.25" customHeight="1" s="24">
      <c r="A2878" s="13" t="n">
        <v>5000106089</v>
      </c>
      <c r="B2878" s="13" t="inlineStr">
        <is>
          <t>ГКОУ для детей-сирот и детей, оставшихся без попечения родителей "Чебеньковский детский дом Оренбургского района"</t>
        </is>
      </c>
      <c r="C2878" s="13" t="n">
        <v>5638014028</v>
      </c>
      <c r="D2878" s="13" t="inlineStr">
        <is>
          <t>5638014028</t>
        </is>
      </c>
      <c r="E2878" s="13" t="inlineStr">
        <is>
          <t>ЮЛ РФ</t>
        </is>
      </c>
      <c r="F2878" s="13" t="n"/>
      <c r="G2878" s="14" t="n"/>
      <c r="H2878" s="14" t="n"/>
      <c r="I2878" s="14" t="n"/>
      <c r="J2878" s="14" t="n"/>
      <c r="K2878" s="53" t="inlineStr"/>
      <c r="L2878" s="53" t="inlineStr">
        <is>
          <t>Не определено</t>
        </is>
      </c>
      <c r="M2878" s="53" t="inlineStr"/>
      <c r="N2878" s="54" t="inlineStr"/>
      <c r="O2878" s="55" t="inlineStr"/>
      <c r="P2878" s="16" t="inlineStr">
        <is>
          <t>Требует обогащения</t>
        </is>
      </c>
      <c r="Q2878" s="16">
        <f>HYPERLINK("https://pb.nalog.ru/search.html?query=5638014028","ФНС: проверить")</f>
        <v/>
      </c>
      <c r="R2878" s="16">
        <f>HYPERLINK("https://checko.ru/search?query=3801001629","Чекко: проверить")</f>
        <v/>
      </c>
      <c r="S2878" t="n">
        <v>1</v>
      </c>
      <c r="T2878" s="35" t="inlineStr">
        <is>
          <t>4 — Не обогащён</t>
        </is>
      </c>
      <c r="U2878" s="35" t="inlineStr">
        <is>
          <t>Нет ОКВЭД/ССЧР</t>
        </is>
      </c>
      <c r="V2878" s="35" t="inlineStr">
        <is>
          <t>Не определено</t>
        </is>
      </c>
      <c r="W2878" s="35" t="inlineStr"/>
      <c r="X2878" s="35" t="inlineStr"/>
    </row>
    <row r="2879" ht="15" customHeight="1" s="24">
      <c r="A2879" s="13" t="n">
        <v>5000002049</v>
      </c>
      <c r="B2879" s="13" t="inlineStr">
        <is>
          <t>ОбГБУЗ "Осинская районная больница"</t>
        </is>
      </c>
      <c r="C2879" s="13" t="n">
        <v>8505002903</v>
      </c>
      <c r="D2879" s="13" t="inlineStr">
        <is>
          <t>8505002903</t>
        </is>
      </c>
      <c r="E2879" s="13" t="inlineStr">
        <is>
          <t>ЮЛ РФ</t>
        </is>
      </c>
      <c r="F2879" s="13" t="n"/>
      <c r="G2879" s="14" t="n"/>
      <c r="H2879" s="14" t="n"/>
      <c r="I2879" s="14" t="n"/>
      <c r="J2879" s="14" t="n"/>
      <c r="K2879" s="53" t="inlineStr"/>
      <c r="L2879" s="53" t="inlineStr">
        <is>
          <t>Не определено</t>
        </is>
      </c>
      <c r="M2879" s="53" t="inlineStr"/>
      <c r="N2879" s="54" t="inlineStr"/>
      <c r="O2879" s="55" t="inlineStr"/>
      <c r="P2879" s="16" t="inlineStr">
        <is>
          <t>Требует обогащения</t>
        </is>
      </c>
      <c r="Q2879" s="16">
        <f>HYPERLINK("https://pb.nalog.ru/search.html?query=8505002903","ФНС: проверить")</f>
        <v/>
      </c>
      <c r="R2879" s="16">
        <f>HYPERLINK("https://checko.ru/search?query=3801001629","Чекко: проверить")</f>
        <v/>
      </c>
      <c r="S2879" t="n">
        <v>1</v>
      </c>
      <c r="T2879" s="35" t="inlineStr">
        <is>
          <t>4 — Не обогащён</t>
        </is>
      </c>
      <c r="U2879" s="35" t="inlineStr">
        <is>
          <t>Нет ОКВЭД/ССЧР</t>
        </is>
      </c>
      <c r="V2879" s="35" t="inlineStr">
        <is>
          <t>Не определено</t>
        </is>
      </c>
      <c r="W2879" s="35" t="inlineStr"/>
      <c r="X2879" s="35" t="inlineStr"/>
    </row>
    <row r="2880" ht="15" customHeight="1" s="24">
      <c r="A2880" s="13" t="n">
        <v>5000001564</v>
      </c>
      <c r="B2880" s="13" t="inlineStr">
        <is>
          <t>МАУЗ г. Иркутска Медико-санитарная часть № 2</t>
        </is>
      </c>
      <c r="C2880" s="13" t="n">
        <v>3811027143</v>
      </c>
      <c r="D2880" s="13" t="inlineStr">
        <is>
          <t>3811027143</t>
        </is>
      </c>
      <c r="E2880" s="13" t="inlineStr">
        <is>
          <t>ЮЛ РФ</t>
        </is>
      </c>
      <c r="F2880" s="13" t="n"/>
      <c r="G2880" s="14" t="n"/>
      <c r="H2880" s="14" t="n"/>
      <c r="I2880" s="14" t="n"/>
      <c r="J2880" s="14" t="n"/>
      <c r="K2880" s="53" t="inlineStr"/>
      <c r="L2880" s="53" t="inlineStr">
        <is>
          <t>Не определено</t>
        </is>
      </c>
      <c r="M2880" s="53" t="inlineStr"/>
      <c r="N2880" s="54" t="inlineStr"/>
      <c r="O2880" s="55" t="inlineStr"/>
      <c r="P2880" s="16" t="inlineStr">
        <is>
          <t>Требует обогащения</t>
        </is>
      </c>
      <c r="Q2880" s="16">
        <f>HYPERLINK("https://pb.nalog.ru/search.html?query=3811027143","ФНС: проверить")</f>
        <v/>
      </c>
      <c r="R2880" s="16">
        <f>HYPERLINK("https://checko.ru/search?query=3801001629","Чекко: проверить")</f>
        <v/>
      </c>
      <c r="S2880" t="n">
        <v>1</v>
      </c>
      <c r="T2880" s="35" t="inlineStr">
        <is>
          <t>4 — Не обогащён</t>
        </is>
      </c>
      <c r="U2880" s="35" t="inlineStr">
        <is>
          <t>Нет ОКВЭД/ССЧР</t>
        </is>
      </c>
      <c r="V2880" s="35" t="inlineStr">
        <is>
          <t>Не определено</t>
        </is>
      </c>
      <c r="W2880" s="35" t="inlineStr"/>
      <c r="X2880" s="35" t="inlineStr"/>
    </row>
    <row r="2881" ht="15" customHeight="1" s="24">
      <c r="A2881" s="13" t="n">
        <v>5000058990</v>
      </c>
      <c r="B2881" s="13" t="inlineStr">
        <is>
          <t>МАУ "Спортивный комплекс "Звезда"</t>
        </is>
      </c>
      <c r="C2881" s="13" t="n">
        <v>5015261445</v>
      </c>
      <c r="D2881" s="13" t="inlineStr">
        <is>
          <t>5015261445</t>
        </is>
      </c>
      <c r="E2881" s="13" t="inlineStr">
        <is>
          <t>ЮЛ РФ</t>
        </is>
      </c>
      <c r="F2881" s="13" t="n"/>
      <c r="G2881" s="14" t="n"/>
      <c r="H2881" s="14" t="n"/>
      <c r="I2881" s="14" t="n"/>
      <c r="J2881" s="14" t="n"/>
      <c r="K2881" s="53" t="inlineStr"/>
      <c r="L2881" s="53" t="inlineStr">
        <is>
          <t>Не определено</t>
        </is>
      </c>
      <c r="M2881" s="53" t="inlineStr"/>
      <c r="N2881" s="54" t="inlineStr"/>
      <c r="O2881" s="55" t="inlineStr"/>
      <c r="P2881" s="16" t="inlineStr">
        <is>
          <t>Требует обогащения</t>
        </is>
      </c>
      <c r="Q2881" s="16">
        <f>HYPERLINK("https://pb.nalog.ru/search.html?query=5015261445","ФНС: проверить")</f>
        <v/>
      </c>
      <c r="R2881" s="16">
        <f>HYPERLINK("https://checko.ru/search?query=3801001629","Чекко: проверить")</f>
        <v/>
      </c>
      <c r="S2881" t="n">
        <v>1</v>
      </c>
      <c r="T2881" s="35" t="inlineStr">
        <is>
          <t>4 — Не обогащён</t>
        </is>
      </c>
      <c r="U2881" s="35" t="inlineStr">
        <is>
          <t>Нет ОКВЭД/ССЧР</t>
        </is>
      </c>
      <c r="V2881" s="35" t="inlineStr">
        <is>
          <t>Не определено</t>
        </is>
      </c>
      <c r="W2881" s="35" t="inlineStr"/>
      <c r="X2881" s="35" t="inlineStr"/>
    </row>
    <row r="2882" ht="27.75" customHeight="1" s="24">
      <c r="A2882" s="13" t="n">
        <v>5000001677</v>
      </c>
      <c r="B2882" s="13" t="inlineStr">
        <is>
          <t>ОГАУСО "Ангарский психоневрологический  интернат"</t>
        </is>
      </c>
      <c r="C2882" s="13" t="n">
        <v>3801035995</v>
      </c>
      <c r="D2882" s="13" t="inlineStr">
        <is>
          <t>3801035995</t>
        </is>
      </c>
      <c r="E2882" s="13" t="inlineStr">
        <is>
          <t>ЮЛ РФ</t>
        </is>
      </c>
      <c r="F2882" s="13" t="n"/>
      <c r="G2882" s="14" t="n"/>
      <c r="H2882" s="14" t="n"/>
      <c r="I2882" s="14" t="n"/>
      <c r="J2882" s="14" t="n"/>
      <c r="K2882" s="53" t="inlineStr"/>
      <c r="L2882" s="53" t="inlineStr">
        <is>
          <t>Не определено</t>
        </is>
      </c>
      <c r="M2882" s="53" t="inlineStr"/>
      <c r="N2882" s="54" t="inlineStr"/>
      <c r="O2882" s="55" t="inlineStr"/>
      <c r="P2882" s="16" t="inlineStr">
        <is>
          <t>Требует обогащения</t>
        </is>
      </c>
      <c r="Q2882" s="16">
        <f>HYPERLINK("https://pb.nalog.ru/search.html?query=3801035995","ФНС: проверить")</f>
        <v/>
      </c>
      <c r="R2882" s="16">
        <f>HYPERLINK("https://checko.ru/search?query=3801001629","Чекко: проверить")</f>
        <v/>
      </c>
      <c r="S2882" t="n">
        <v>1</v>
      </c>
      <c r="T2882" s="35" t="inlineStr">
        <is>
          <t>4 — Не обогащён</t>
        </is>
      </c>
      <c r="U2882" s="35" t="inlineStr">
        <is>
          <t>Нет ОКВЭД/ССЧР</t>
        </is>
      </c>
      <c r="V2882" s="35" t="inlineStr">
        <is>
          <t>Не определено</t>
        </is>
      </c>
      <c r="W2882" s="35" t="inlineStr"/>
      <c r="X2882" s="35" t="inlineStr"/>
    </row>
    <row r="2883" ht="15" customHeight="1" s="24">
      <c r="A2883" s="13" t="n">
        <v>5000001434</v>
      </c>
      <c r="B2883" s="13" t="inlineStr">
        <is>
          <t>Архивное агентство Иркутской области</t>
        </is>
      </c>
      <c r="C2883" s="13" t="n">
        <v>3808015370</v>
      </c>
      <c r="D2883" s="13" t="inlineStr">
        <is>
          <t>3808015370</t>
        </is>
      </c>
      <c r="E2883" s="13" t="inlineStr">
        <is>
          <t>ЮЛ РФ</t>
        </is>
      </c>
      <c r="F2883" s="13" t="n"/>
      <c r="G2883" s="14" t="n"/>
      <c r="H2883" s="14" t="n"/>
      <c r="I2883" s="14" t="n"/>
      <c r="J2883" s="14" t="n"/>
      <c r="K2883" s="53" t="inlineStr"/>
      <c r="L2883" s="53" t="inlineStr">
        <is>
          <t>Не определено</t>
        </is>
      </c>
      <c r="M2883" s="53" t="inlineStr"/>
      <c r="N2883" s="54" t="inlineStr"/>
      <c r="O2883" s="55" t="inlineStr"/>
      <c r="P2883" s="16" t="inlineStr">
        <is>
          <t>Требует обогащения</t>
        </is>
      </c>
      <c r="Q2883" s="16">
        <f>HYPERLINK("https://pb.nalog.ru/search.html?query=3808015370","ФНС: проверить")</f>
        <v/>
      </c>
      <c r="R2883" s="16">
        <f>HYPERLINK("https://checko.ru/search?query=3801001629","Чекко: проверить")</f>
        <v/>
      </c>
      <c r="S2883" t="n">
        <v>1</v>
      </c>
      <c r="T2883" s="35" t="inlineStr">
        <is>
          <t>4 — Не обогащён</t>
        </is>
      </c>
      <c r="U2883" s="35" t="inlineStr">
        <is>
          <t>Нет ОКВЭД/ССЧР</t>
        </is>
      </c>
      <c r="V2883" s="35" t="inlineStr">
        <is>
          <t>Не определено</t>
        </is>
      </c>
      <c r="W2883" s="35" t="inlineStr"/>
      <c r="X2883" s="35" t="inlineStr"/>
    </row>
    <row r="2884" ht="27.75" customHeight="1" s="24">
      <c r="A2884" s="13" t="n">
        <v>5000001982</v>
      </c>
      <c r="B2884" s="13" t="inlineStr">
        <is>
          <t>ОбГУ СПО "Нижнеудинское медицинское училище"</t>
        </is>
      </c>
      <c r="C2884" s="13" t="n">
        <v>3813100208</v>
      </c>
      <c r="D2884" s="13" t="inlineStr">
        <is>
          <t>3813100208</t>
        </is>
      </c>
      <c r="E2884" s="13" t="inlineStr">
        <is>
          <t>ЮЛ РФ</t>
        </is>
      </c>
      <c r="F2884" s="13" t="n"/>
      <c r="G2884" s="14" t="n"/>
      <c r="H2884" s="14" t="n"/>
      <c r="I2884" s="14" t="n"/>
      <c r="J2884" s="14" t="n"/>
      <c r="K2884" s="53" t="inlineStr"/>
      <c r="L2884" s="53" t="inlineStr">
        <is>
          <t>Не определено</t>
        </is>
      </c>
      <c r="M2884" s="53" t="inlineStr"/>
      <c r="N2884" s="54" t="inlineStr"/>
      <c r="O2884" s="55" t="inlineStr"/>
      <c r="P2884" s="16" t="inlineStr">
        <is>
          <t>Требует обогащения</t>
        </is>
      </c>
      <c r="Q2884" s="16">
        <f>HYPERLINK("https://pb.nalog.ru/search.html?query=3813100208","ФНС: проверить")</f>
        <v/>
      </c>
      <c r="R2884" s="16">
        <f>HYPERLINK("https://checko.ru/search?query=3801001629","Чекко: проверить")</f>
        <v/>
      </c>
      <c r="S2884" t="n">
        <v>1</v>
      </c>
      <c r="T2884" s="35" t="inlineStr">
        <is>
          <t>4 — Не обогащён</t>
        </is>
      </c>
      <c r="U2884" s="35" t="inlineStr">
        <is>
          <t>Нет ОКВЭД/ССЧР</t>
        </is>
      </c>
      <c r="V2884" s="35" t="inlineStr">
        <is>
          <t>Не определено</t>
        </is>
      </c>
      <c r="W2884" s="35" t="inlineStr"/>
      <c r="X2884" s="35" t="inlineStr"/>
    </row>
    <row r="2885" ht="27.75" customHeight="1" s="24">
      <c r="A2885" s="13" t="n">
        <v>5000001679</v>
      </c>
      <c r="B2885" s="13" t="inlineStr">
        <is>
          <t>ОГОУ "Детский дом для детей с отклонениями в развитии г.Черемхово"</t>
        </is>
      </c>
      <c r="C2885" s="13" t="n">
        <v>3820005643</v>
      </c>
      <c r="D2885" s="13" t="inlineStr">
        <is>
          <t>3820005643</t>
        </is>
      </c>
      <c r="E2885" s="13" t="inlineStr">
        <is>
          <t>ЮЛ РФ</t>
        </is>
      </c>
      <c r="F2885" s="13" t="n"/>
      <c r="G2885" s="14" t="n"/>
      <c r="H2885" s="14" t="n"/>
      <c r="I2885" s="14" t="n"/>
      <c r="J2885" s="14" t="n"/>
      <c r="K2885" s="53" t="inlineStr"/>
      <c r="L2885" s="53" t="inlineStr">
        <is>
          <t>Не определено</t>
        </is>
      </c>
      <c r="M2885" s="53" t="inlineStr"/>
      <c r="N2885" s="54" t="inlineStr"/>
      <c r="O2885" s="55" t="inlineStr"/>
      <c r="P2885" s="16" t="inlineStr">
        <is>
          <t>Требует обогащения</t>
        </is>
      </c>
      <c r="Q2885" s="16">
        <f>HYPERLINK("https://pb.nalog.ru/search.html?query=3820005643","ФНС: проверить")</f>
        <v/>
      </c>
      <c r="R2885" s="16">
        <f>HYPERLINK("https://checko.ru/search?query=3801001629","Чекко: проверить")</f>
        <v/>
      </c>
      <c r="S2885" t="n">
        <v>1</v>
      </c>
      <c r="T2885" s="35" t="inlineStr">
        <is>
          <t>4 — Не обогащён</t>
        </is>
      </c>
      <c r="U2885" s="35" t="inlineStr">
        <is>
          <t>Нет ОКВЭД/ССЧР</t>
        </is>
      </c>
      <c r="V2885" s="35" t="inlineStr">
        <is>
          <t>Не определено</t>
        </is>
      </c>
      <c r="W2885" s="35" t="inlineStr"/>
      <c r="X2885" s="35" t="inlineStr"/>
    </row>
    <row r="2886" ht="27.75" customHeight="1" s="24">
      <c r="A2886" s="13" t="n">
        <v>5000001603</v>
      </c>
      <c r="B2886" s="13" t="inlineStr">
        <is>
          <t>ОГКУЗ Иркутский областной специализированный дом ребенка №3</t>
        </is>
      </c>
      <c r="C2886" s="13" t="n">
        <v>3812011805</v>
      </c>
      <c r="D2886" s="13" t="inlineStr">
        <is>
          <t>3812011805</t>
        </is>
      </c>
      <c r="E2886" s="13" t="inlineStr">
        <is>
          <t>ЮЛ РФ</t>
        </is>
      </c>
      <c r="F2886" s="13" t="n"/>
      <c r="G2886" s="14" t="n"/>
      <c r="H2886" s="14" t="n"/>
      <c r="I2886" s="14" t="n"/>
      <c r="J2886" s="14" t="n"/>
      <c r="K2886" s="53" t="inlineStr"/>
      <c r="L2886" s="53" t="inlineStr">
        <is>
          <t>Не определено</t>
        </is>
      </c>
      <c r="M2886" s="53" t="inlineStr"/>
      <c r="N2886" s="54" t="inlineStr"/>
      <c r="O2886" s="55" t="inlineStr"/>
      <c r="P2886" s="16" t="inlineStr">
        <is>
          <t>Требует обогащения</t>
        </is>
      </c>
      <c r="Q2886" s="16">
        <f>HYPERLINK("https://pb.nalog.ru/search.html?query=3812011805","ФНС: проверить")</f>
        <v/>
      </c>
      <c r="R2886" s="16">
        <f>HYPERLINK("https://checko.ru/search?query=3801001629","Чекко: проверить")</f>
        <v/>
      </c>
      <c r="S2886" t="n">
        <v>1</v>
      </c>
      <c r="T2886" s="35" t="inlineStr">
        <is>
          <t>4 — Не обогащён</t>
        </is>
      </c>
      <c r="U2886" s="35" t="inlineStr">
        <is>
          <t>Нет ОКВЭД/ССЧР</t>
        </is>
      </c>
      <c r="V2886" s="35" t="inlineStr">
        <is>
          <t>Не определено</t>
        </is>
      </c>
      <c r="W2886" s="35" t="inlineStr"/>
      <c r="X2886" s="35" t="inlineStr"/>
    </row>
    <row r="2887" ht="41.25" customHeight="1" s="24">
      <c r="A2887" s="13" t="n">
        <v>5000001724</v>
      </c>
      <c r="B2887" s="13" t="inlineStr">
        <is>
          <t>ГОУ системы социальной защиты "Областной учебно-методический Центр по переподготовке и повышению квалификации"</t>
        </is>
      </c>
      <c r="C2887" s="13" t="n">
        <v>3809019498</v>
      </c>
      <c r="D2887" s="13" t="inlineStr">
        <is>
          <t>3809019498</t>
        </is>
      </c>
      <c r="E2887" s="13" t="inlineStr">
        <is>
          <t>ЮЛ РФ</t>
        </is>
      </c>
      <c r="F2887" s="13" t="n"/>
      <c r="G2887" s="14" t="n"/>
      <c r="H2887" s="14" t="n"/>
      <c r="I2887" s="14" t="n"/>
      <c r="J2887" s="14" t="n"/>
      <c r="K2887" s="53" t="inlineStr"/>
      <c r="L2887" s="53" t="inlineStr">
        <is>
          <t>Не определено</t>
        </is>
      </c>
      <c r="M2887" s="53" t="inlineStr"/>
      <c r="N2887" s="54" t="inlineStr"/>
      <c r="O2887" s="55" t="inlineStr"/>
      <c r="P2887" s="16" t="inlineStr">
        <is>
          <t>Требует обогащения</t>
        </is>
      </c>
      <c r="Q2887" s="16">
        <f>HYPERLINK("https://pb.nalog.ru/search.html?query=3809019498","ФНС: проверить")</f>
        <v/>
      </c>
      <c r="R2887" s="16">
        <f>HYPERLINK("https://checko.ru/search?query=3801001629","Чекко: проверить")</f>
        <v/>
      </c>
      <c r="S2887" t="n">
        <v>1</v>
      </c>
      <c r="T2887" s="35" t="inlineStr">
        <is>
          <t>4 — Не обогащён</t>
        </is>
      </c>
      <c r="U2887" s="35" t="inlineStr">
        <is>
          <t>Нет ОКВЭД/ССЧР</t>
        </is>
      </c>
      <c r="V2887" s="35" t="inlineStr">
        <is>
          <t>Не определено</t>
        </is>
      </c>
      <c r="W2887" s="35" t="inlineStr"/>
      <c r="X2887" s="35" t="inlineStr"/>
    </row>
    <row r="2888" ht="27.75" customHeight="1" s="24">
      <c r="A2888" s="13" t="n">
        <v>5000062530</v>
      </c>
      <c r="B2888" s="13" t="inlineStr">
        <is>
          <t>ОбГКОУ "Кадетская  школа - интернат  имени генерал - полковника В.С. Чечеватова"</t>
        </is>
      </c>
      <c r="C2888" s="13" t="n">
        <v>7307000363</v>
      </c>
      <c r="D2888" s="13" t="inlineStr">
        <is>
          <t>7307000363</t>
        </is>
      </c>
      <c r="E2888" s="13" t="inlineStr">
        <is>
          <t>ЮЛ РФ</t>
        </is>
      </c>
      <c r="F2888" s="13" t="n"/>
      <c r="G2888" s="14" t="n"/>
      <c r="H2888" s="14" t="n"/>
      <c r="I2888" s="14" t="n"/>
      <c r="J2888" s="14" t="n"/>
      <c r="K2888" s="53" t="inlineStr"/>
      <c r="L2888" s="53" t="inlineStr">
        <is>
          <t>Не определено</t>
        </is>
      </c>
      <c r="M2888" s="53" t="inlineStr"/>
      <c r="N2888" s="54" t="inlineStr"/>
      <c r="O2888" s="55" t="inlineStr"/>
      <c r="P2888" s="16" t="inlineStr">
        <is>
          <t>Требует обогащения</t>
        </is>
      </c>
      <c r="Q2888" s="16">
        <f>HYPERLINK("https://pb.nalog.ru/search.html?query=7307000363","ФНС: проверить")</f>
        <v/>
      </c>
      <c r="R2888" s="16">
        <f>HYPERLINK("https://checko.ru/search?query=3801001629","Чекко: проверить")</f>
        <v/>
      </c>
      <c r="S2888" t="n">
        <v>1</v>
      </c>
      <c r="T2888" s="35" t="inlineStr">
        <is>
          <t>4 — Не обогащён</t>
        </is>
      </c>
      <c r="U2888" s="35" t="inlineStr">
        <is>
          <t>Нет ОКВЭД/ССЧР</t>
        </is>
      </c>
      <c r="V2888" s="35" t="inlineStr">
        <is>
          <t>Не определено</t>
        </is>
      </c>
      <c r="W2888" s="35" t="inlineStr"/>
      <c r="X2888" s="35" t="inlineStr"/>
    </row>
    <row r="2889" ht="15" customHeight="1" s="24">
      <c r="A2889" s="13" t="n">
        <v>5000038514</v>
      </c>
      <c r="B2889" s="13" t="inlineStr">
        <is>
          <t>ОГОУ ДОД СДЮСШОР ХМ</t>
        </is>
      </c>
      <c r="C2889" s="13" t="n">
        <v>7327040357</v>
      </c>
      <c r="D2889" s="13" t="inlineStr">
        <is>
          <t>7327040357</t>
        </is>
      </c>
      <c r="E2889" s="13" t="inlineStr">
        <is>
          <t>ЮЛ РФ</t>
        </is>
      </c>
      <c r="F2889" s="13" t="n"/>
      <c r="G2889" s="14" t="n"/>
      <c r="H2889" s="14" t="n"/>
      <c r="I2889" s="14" t="n"/>
      <c r="J2889" s="14" t="n"/>
      <c r="K2889" s="53" t="inlineStr"/>
      <c r="L2889" s="53" t="inlineStr">
        <is>
          <t>Не определено</t>
        </is>
      </c>
      <c r="M2889" s="53" t="inlineStr"/>
      <c r="N2889" s="54" t="inlineStr"/>
      <c r="O2889" s="55" t="inlineStr"/>
      <c r="P2889" s="16" t="inlineStr">
        <is>
          <t>Требует обогащения</t>
        </is>
      </c>
      <c r="Q2889" s="16">
        <f>HYPERLINK("https://pb.nalog.ru/search.html?query=7327040357","ФНС: проверить")</f>
        <v/>
      </c>
      <c r="R2889" s="16">
        <f>HYPERLINK("https://checko.ru/search?query=3801001629","Чекко: проверить")</f>
        <v/>
      </c>
      <c r="S2889" t="n">
        <v>1</v>
      </c>
      <c r="T2889" s="35" t="inlineStr">
        <is>
          <t>4 — Не обогащён</t>
        </is>
      </c>
      <c r="U2889" s="35" t="inlineStr">
        <is>
          <t>Нет ОКВЭД/ССЧР</t>
        </is>
      </c>
      <c r="V2889" s="35" t="inlineStr">
        <is>
          <t>Не определено</t>
        </is>
      </c>
      <c r="W2889" s="35" t="inlineStr"/>
      <c r="X2889" s="35" t="inlineStr"/>
    </row>
    <row r="2890" ht="15" customHeight="1" s="24">
      <c r="A2890" s="13" t="n">
        <v>5000001405</v>
      </c>
      <c r="B2890" s="13" t="inlineStr">
        <is>
          <t>Братский торгово-технологический техникум</t>
        </is>
      </c>
      <c r="C2890" s="13" t="n">
        <v>3805100290</v>
      </c>
      <c r="D2890" s="13" t="inlineStr">
        <is>
          <t>3805100290</t>
        </is>
      </c>
      <c r="E2890" s="13" t="inlineStr">
        <is>
          <t>ЮЛ РФ</t>
        </is>
      </c>
      <c r="F2890" s="13" t="n"/>
      <c r="G2890" s="14" t="n"/>
      <c r="H2890" s="14" t="n"/>
      <c r="I2890" s="14" t="n"/>
      <c r="J2890" s="14" t="n"/>
      <c r="K2890" s="53" t="inlineStr"/>
      <c r="L2890" s="53" t="inlineStr">
        <is>
          <t>Не определено</t>
        </is>
      </c>
      <c r="M2890" s="53" t="inlineStr"/>
      <c r="N2890" s="54" t="inlineStr"/>
      <c r="O2890" s="55" t="inlineStr"/>
      <c r="P2890" s="16" t="inlineStr">
        <is>
          <t>Требует обогащения</t>
        </is>
      </c>
      <c r="Q2890" s="16">
        <f>HYPERLINK("https://pb.nalog.ru/search.html?query=3805100290","ФНС: проверить")</f>
        <v/>
      </c>
      <c r="R2890" s="16">
        <f>HYPERLINK("https://checko.ru/search?query=3801001629","Чекко: проверить")</f>
        <v/>
      </c>
      <c r="S2890" t="n">
        <v>1</v>
      </c>
      <c r="T2890" s="35" t="inlineStr">
        <is>
          <t>4 — Не обогащён</t>
        </is>
      </c>
      <c r="U2890" s="35" t="inlineStr">
        <is>
          <t>Нет ОКВЭД/ССЧР</t>
        </is>
      </c>
      <c r="V2890" s="35" t="inlineStr">
        <is>
          <t>Не определено</t>
        </is>
      </c>
      <c r="W2890" s="35" t="inlineStr"/>
      <c r="X2890" s="35" t="inlineStr"/>
    </row>
    <row r="2891" ht="15" customHeight="1" s="24">
      <c r="A2891" s="13" t="n">
        <v>5000001390</v>
      </c>
      <c r="B2891" s="13" t="inlineStr">
        <is>
          <t>Братский политехнический колледж</t>
        </is>
      </c>
      <c r="C2891" s="13" t="n">
        <v>3804004755</v>
      </c>
      <c r="D2891" s="13" t="inlineStr">
        <is>
          <t>3804004755</t>
        </is>
      </c>
      <c r="E2891" s="13" t="inlineStr">
        <is>
          <t>ЮЛ РФ</t>
        </is>
      </c>
      <c r="F2891" s="13" t="n"/>
      <c r="G2891" s="14" t="n"/>
      <c r="H2891" s="14" t="n"/>
      <c r="I2891" s="14" t="n"/>
      <c r="J2891" s="14" t="n"/>
      <c r="K2891" s="53" t="inlineStr"/>
      <c r="L2891" s="53" t="inlineStr">
        <is>
          <t>Не определено</t>
        </is>
      </c>
      <c r="M2891" s="53" t="inlineStr"/>
      <c r="N2891" s="54" t="inlineStr"/>
      <c r="O2891" s="55" t="inlineStr"/>
      <c r="P2891" s="16" t="inlineStr">
        <is>
          <t>Требует обогащения</t>
        </is>
      </c>
      <c r="Q2891" s="16">
        <f>HYPERLINK("https://pb.nalog.ru/search.html?query=3804004755","ФНС: проверить")</f>
        <v/>
      </c>
      <c r="R2891" s="16">
        <f>HYPERLINK("https://checko.ru/search?query=3801001629","Чекко: проверить")</f>
        <v/>
      </c>
      <c r="S2891" t="n">
        <v>1</v>
      </c>
      <c r="T2891" s="35" t="inlineStr">
        <is>
          <t>4 — Не обогащён</t>
        </is>
      </c>
      <c r="U2891" s="35" t="inlineStr">
        <is>
          <t>Нет ОКВЭД/ССЧР</t>
        </is>
      </c>
      <c r="V2891" s="35" t="inlineStr">
        <is>
          <t>Не определено</t>
        </is>
      </c>
      <c r="W2891" s="35" t="inlineStr"/>
      <c r="X2891" s="35" t="inlineStr"/>
    </row>
    <row r="2892" ht="15" customHeight="1" s="24">
      <c r="A2892" s="13" t="n">
        <v>5000094876</v>
      </c>
      <c r="B2892" s="13" t="inlineStr">
        <is>
          <t>Местная администрация с.п.п. Звездный</t>
        </is>
      </c>
      <c r="C2892" s="13" t="n">
        <v>708008007</v>
      </c>
      <c r="D2892" s="13" t="n"/>
      <c r="E2892" s="13" t="inlineStr">
        <is>
          <t>Не определён</t>
        </is>
      </c>
      <c r="F2892" s="13" t="inlineStr">
        <is>
          <t>708008007</t>
        </is>
      </c>
      <c r="G2892" s="14" t="n"/>
      <c r="H2892" s="14" t="n"/>
      <c r="I2892" s="14" t="n"/>
      <c r="J2892" s="14" t="n"/>
      <c r="K2892" s="13">
        <f>IF(G2892="","",IF(G2892&gt;=22,"Да","Нет"))</f>
        <v/>
      </c>
      <c r="L2892" s="13">
        <f>IF(OR(I2892="",J2892=""),"Не определено",IF(OR(COUNTIF(I2892,"45*")&gt;0,COUNTIF(J2892,"*45*")&gt;0,COUNTIF(I2892,"46*")&gt;0,COUNTIF(J2892,"*46*")&gt;0,COUNTIF(I2892,"47*")&gt;0,COUNTIF(J2892,"*47*")&gt;0,COUNTIF(I2892,"10*")&gt;0,COUNTIF(J2892,"*10*")&gt;0,COUNTIF(I2892,"11*")&gt;0,COUNTIF(J2892,"*11*")&gt;0,COUNTIF(I2892,"12*")&gt;0,COUNTIF(J2892,"*12*")&gt;0,COUNTIF(I2892,"13*")&gt;0,COUNTIF(J2892,"*13*")&gt;0,COUNTIF(I2892,"14*")&gt;0,COUNTIF(J2892,"*14*")&gt;0,COUNTIF(I2892,"15*")&gt;0,COUNTIF(J2892,"*15*")&gt;0,COUNTIF(I2892,"16*")&gt;0,COUNTIF(J2892,"*16*")&gt;0,COUNTIF(I2892,"17*")&gt;0,COUNTIF(J2892,"*17*")&gt;0,COUNTIF(I2892,"18*")&gt;0,COUNTIF(J2892,"*18*")&gt;0,COUNTIF(I2892,"19*")&gt;0,COUNTIF(J2892,"*19*")&gt;0,COUNTIF(I2892,"20*")&gt;0,COUNTIF(J2892,"*20*")&gt;0,COUNTIF(I2892,"21*")&gt;0,COUNTIF(J2892,"*21*")&gt;0,COUNTIF(I2892,"22*")&gt;0,COUNTIF(J2892,"*22*")&gt;0,COUNTIF(I2892,"23*")&gt;0,COUNTIF(J2892,"*23*")&gt;0,COUNTIF(I2892,"24*")&gt;0,COUNTIF(J2892,"*24*")&gt;0,COUNTIF(I2892,"25*")&gt;0,COUNTIF(J2892,"*25*")&gt;0,COUNTIF(I2892,"26*")&gt;0,COUNTIF(J2892,"*26*")&gt;0,COUNTIF(I2892,"27*")&gt;0,COUNTIF(J2892,"*27*")&gt;0,COUNTIF(I2892,"28*")&gt;0,COUNTIF(J2892,"*28*")&gt;0,COUNTIF(I2892,"29*")&gt;0,COUNTIF(J2892,"*29*")&gt;0,COUNTIF(I2892,"30*")&gt;0,COUNTIF(J2892,"*30*")&gt;0,COUNTIF(I2892,"31*")&gt;0,COUNTIF(J2892,"*31*")&gt;0,COUNTIF(I2892,"32*")&gt;0,COUNTIF(J2892,"*32*")&gt;0,COUNTIF(I2892,"33*")&gt;0,COUNTIF(J2892,"*33*")&gt;0,COUNTIF(I2892,"41*")&gt;0,COUNTIF(J2892,"*41*")&gt;0,COUNTIF(I2892,"42*")&gt;0,COUNTIF(J2892,"*42*")&gt;0,COUNTIF(I2892,"43*")&gt;0,COUNTIF(J2892,"*43*")&gt;0,COUNTIF(I2892,"49*")&gt;0,COUNTIF(J2892,"*49*")&gt;0,COUNTIF(I2892,"52*")&gt;0,COUNTIF(J2892,"*52*")&gt;0,COUNTIF(I2892,"55*")&gt;0,COUNTIF(J2892,"*55*")&gt;0,COUNTIF(I2892,"56*")&gt;0,COUNTIF(J2892,"*56*")&gt;0,COUNTIF(I2892,"68*")&gt;0,COUNTIF(J2892,"*68*")&gt;0,COUNTIF(I2892,"78*")&gt;0,COUNTIF(J2892,"*78*")&gt;0,COUNTIF(I2892,"81*")&gt;0,COUNTIF(J2892,"*81*")&gt;0,COUNTIF(I2892,"82*")&gt;0,COUNTIF(J2892,"*82*")&gt;0,COUNTIF(I2892,"64*")&gt;0,COUNTIF(J2892,"*64*")&gt;0,COUNTIF(I2892,"65*")&gt;0,COUNTIF(J2892,"*65*")&gt;0,COUNTIF(I2892,"66*")&gt;0,COUNTIF(J2892,"*66*")&gt;0,COUNTIF(I2892,"61*")&gt;0,COUNTIF(J2892,"*61*")&gt;0,COUNTIF(I2892,"62*")&gt;0,COUNTIF(J2892,"*62*")&gt;0,COUNTIF(I2892,"63*")&gt;0,COUNTIF(J2892,"*63*")&gt;0,COUNTIF(I2892,"85*")&gt;0,COUNTIF(J2892,"*85*")&gt;0,COUNTIF(I2892,"86*")&gt;0,COUNTIF(J2892,"*86*")&gt;0),"Да","Нет"))</f>
        <v/>
      </c>
      <c r="M2892" s="13">
        <f>IF(OR(G2892="",L2892&lt;&gt;"Да"),"",IF(G2892&lt;=100,"До 100",IF(G2892&lt;=200,"До 200",IF(G2892&lt;=500,"До 500","Отдельное КП"))))</f>
        <v/>
      </c>
      <c r="N2892" s="15">
        <f>IF(OR(G2892="",L2892&lt;&gt;"Да"),"",IF(G2892&lt;=100,33600,IF(G2892&lt;=200,62400,IF(G2892&lt;=500,144000,""))))</f>
        <v/>
      </c>
      <c r="O2892" s="16">
        <f>IF(G2892="","",IF(G2892&lt;=15,"1–15",IF(G2892&lt;=30,"16–30",IF(G2892&lt;=50,"31–50",IF(G2892&lt;=100,"51–100",IF(G2892&lt;=150,"101–150",IF(G2892&lt;=200,"151–200",IF(G2892&lt;=500,"201–500","500+"))))))))</f>
        <v/>
      </c>
      <c r="P2892" s="16" t="inlineStr">
        <is>
          <t>Нет совпадения в предоставленной выгрузке ССЧР</t>
        </is>
      </c>
      <c r="Q2892" s="16" t="n"/>
      <c r="R2892" s="16">
        <f>HYPERLINK("https://checko.ru/search?query=3801001629","Чекко: проверить")</f>
        <v/>
      </c>
      <c r="S2892" t="n">
        <v>0</v>
      </c>
    </row>
    <row r="2893" ht="15" customHeight="1" s="24">
      <c r="A2893" s="13" t="n">
        <v>5000057645</v>
      </c>
      <c r="B2893" s="13" t="inlineStr">
        <is>
          <t>МАУ "ЦРСКП"</t>
        </is>
      </c>
      <c r="C2893" s="13" t="n">
        <v>5032315179</v>
      </c>
      <c r="D2893" s="13" t="inlineStr">
        <is>
          <t>5032315179</t>
        </is>
      </c>
      <c r="E2893" s="13" t="inlineStr">
        <is>
          <t>ЮЛ РФ</t>
        </is>
      </c>
      <c r="F2893" s="13" t="n"/>
      <c r="G2893" s="14" t="n"/>
      <c r="H2893" s="14" t="n"/>
      <c r="I2893" s="14" t="n"/>
      <c r="J2893" s="14" t="n"/>
      <c r="K2893" s="53" t="inlineStr"/>
      <c r="L2893" s="53" t="inlineStr">
        <is>
          <t>Не определено</t>
        </is>
      </c>
      <c r="M2893" s="53" t="inlineStr"/>
      <c r="N2893" s="54" t="inlineStr"/>
      <c r="O2893" s="55" t="inlineStr"/>
      <c r="P2893" s="16" t="inlineStr">
        <is>
          <t>Требует обогащения</t>
        </is>
      </c>
      <c r="Q2893" s="16">
        <f>HYPERLINK("https://pb.nalog.ru/search.html?query=5032315179","ФНС: проверить")</f>
        <v/>
      </c>
      <c r="R2893" s="16">
        <f>HYPERLINK("https://checko.ru/search?query=3801001629","Чекко: проверить")</f>
        <v/>
      </c>
      <c r="S2893" t="n">
        <v>1</v>
      </c>
      <c r="T2893" s="35" t="inlineStr">
        <is>
          <t>4 — Не обогащён</t>
        </is>
      </c>
      <c r="U2893" s="35" t="inlineStr">
        <is>
          <t>Нет ОКВЭД/ССЧР</t>
        </is>
      </c>
      <c r="V2893" s="35" t="inlineStr">
        <is>
          <t>Не определено</t>
        </is>
      </c>
      <c r="W2893" s="35" t="inlineStr"/>
      <c r="X2893" s="35" t="inlineStr"/>
    </row>
    <row r="2894" ht="15" customHeight="1" s="24">
      <c r="A2894" s="13" t="n">
        <v>5000057646</v>
      </c>
      <c r="B2894" s="13" t="inlineStr">
        <is>
          <t>МБУК "БИиМЦ ОГО"</t>
        </is>
      </c>
      <c r="C2894" s="13" t="n">
        <v>5032317063</v>
      </c>
      <c r="D2894" s="13" t="inlineStr">
        <is>
          <t>5032317063</t>
        </is>
      </c>
      <c r="E2894" s="13" t="inlineStr">
        <is>
          <t>ЮЛ РФ</t>
        </is>
      </c>
      <c r="F2894" s="13" t="n"/>
      <c r="G2894" s="14" t="n"/>
      <c r="H2894" s="14" t="n"/>
      <c r="I2894" s="14" t="n"/>
      <c r="J2894" s="14" t="n"/>
      <c r="K2894" s="53" t="inlineStr"/>
      <c r="L2894" s="53" t="inlineStr">
        <is>
          <t>Не определено</t>
        </is>
      </c>
      <c r="M2894" s="53" t="inlineStr"/>
      <c r="N2894" s="54" t="inlineStr"/>
      <c r="O2894" s="55" t="inlineStr"/>
      <c r="P2894" s="16" t="inlineStr">
        <is>
          <t>Требует обогащения</t>
        </is>
      </c>
      <c r="Q2894" s="16">
        <f>HYPERLINK("https://pb.nalog.ru/search.html?query=5032317063","ФНС: проверить")</f>
        <v/>
      </c>
      <c r="R2894" s="16">
        <f>HYPERLINK("https://checko.ru/search?query=3801001629","Чекко: проверить")</f>
        <v/>
      </c>
      <c r="S2894" t="n">
        <v>1</v>
      </c>
      <c r="T2894" s="35" t="inlineStr">
        <is>
          <t>4 — Не обогащён</t>
        </is>
      </c>
      <c r="U2894" s="35" t="inlineStr">
        <is>
          <t>Нет ОКВЭД/ССЧР</t>
        </is>
      </c>
      <c r="V2894" s="35" t="inlineStr">
        <is>
          <t>Не определено</t>
        </is>
      </c>
      <c r="W2894" s="35" t="inlineStr"/>
      <c r="X2894" s="35" t="inlineStr"/>
    </row>
    <row r="2895" ht="15" customHeight="1" s="24">
      <c r="A2895" s="13" t="n">
        <v>5000057647</v>
      </c>
      <c r="B2895" s="13" t="inlineStr">
        <is>
          <t>МБУК "ОИКМ"</t>
        </is>
      </c>
      <c r="C2895" s="13" t="n">
        <v>5032317151</v>
      </c>
      <c r="D2895" s="13" t="inlineStr">
        <is>
          <t>5032317151</t>
        </is>
      </c>
      <c r="E2895" s="13" t="inlineStr">
        <is>
          <t>ЮЛ РФ</t>
        </is>
      </c>
      <c r="F2895" s="13" t="n"/>
      <c r="G2895" s="14" t="n"/>
      <c r="H2895" s="14" t="n"/>
      <c r="I2895" s="14" t="n"/>
      <c r="J2895" s="14" t="n"/>
      <c r="K2895" s="53" t="inlineStr"/>
      <c r="L2895" s="53" t="inlineStr">
        <is>
          <t>Не определено</t>
        </is>
      </c>
      <c r="M2895" s="53" t="inlineStr"/>
      <c r="N2895" s="54" t="inlineStr"/>
      <c r="O2895" s="55" t="inlineStr"/>
      <c r="P2895" s="16" t="inlineStr">
        <is>
          <t>Требует обогащения</t>
        </is>
      </c>
      <c r="Q2895" s="16">
        <f>HYPERLINK("https://pb.nalog.ru/search.html?query=5032317151","ФНС: проверить")</f>
        <v/>
      </c>
      <c r="R2895" s="16">
        <f>HYPERLINK("https://checko.ru/search?query=3801001629","Чекко: проверить")</f>
        <v/>
      </c>
      <c r="S2895" t="n">
        <v>1</v>
      </c>
      <c r="T2895" s="35" t="inlineStr">
        <is>
          <t>4 — Не обогащён</t>
        </is>
      </c>
      <c r="U2895" s="35" t="inlineStr">
        <is>
          <t>Нет ОКВЭД/ССЧР</t>
        </is>
      </c>
      <c r="V2895" s="35" t="inlineStr">
        <is>
          <t>Не определено</t>
        </is>
      </c>
      <c r="W2895" s="35" t="inlineStr"/>
      <c r="X2895" s="35" t="inlineStr"/>
    </row>
    <row r="2896" ht="15" customHeight="1" s="24">
      <c r="A2896" s="13" t="n">
        <v>5000001455</v>
      </c>
      <c r="B2896" s="13" t="inlineStr">
        <is>
          <t>ОбГАУК "Иркутский областной кинофонд"</t>
        </is>
      </c>
      <c r="C2896" s="13" t="n">
        <v>3808029454</v>
      </c>
      <c r="D2896" s="13" t="inlineStr">
        <is>
          <t>3808029454</t>
        </is>
      </c>
      <c r="E2896" s="13" t="inlineStr">
        <is>
          <t>ЮЛ РФ</t>
        </is>
      </c>
      <c r="F2896" s="13" t="n"/>
      <c r="G2896" s="14" t="n"/>
      <c r="H2896" s="14" t="n"/>
      <c r="I2896" s="14" t="n"/>
      <c r="J2896" s="14" t="n"/>
      <c r="K2896" s="53" t="inlineStr"/>
      <c r="L2896" s="53" t="inlineStr">
        <is>
          <t>Не определено</t>
        </is>
      </c>
      <c r="M2896" s="53" t="inlineStr"/>
      <c r="N2896" s="54" t="inlineStr"/>
      <c r="O2896" s="55" t="inlineStr"/>
      <c r="P2896" s="16" t="inlineStr">
        <is>
          <t>Требует обогащения</t>
        </is>
      </c>
      <c r="Q2896" s="16">
        <f>HYPERLINK("https://pb.nalog.ru/search.html?query=3808029454","ФНС: проверить")</f>
        <v/>
      </c>
      <c r="R2896" s="16">
        <f>HYPERLINK("https://checko.ru/search?query=3801001629","Чекко: проверить")</f>
        <v/>
      </c>
      <c r="S2896" t="n">
        <v>1</v>
      </c>
      <c r="T2896" s="35" t="inlineStr">
        <is>
          <t>4 — Не обогащён</t>
        </is>
      </c>
      <c r="U2896" s="35" t="inlineStr">
        <is>
          <t>Нет ОКВЭД/ССЧР</t>
        </is>
      </c>
      <c r="V2896" s="35" t="inlineStr">
        <is>
          <t>Не определено</t>
        </is>
      </c>
      <c r="W2896" s="35" t="inlineStr"/>
      <c r="X2896" s="35" t="inlineStr"/>
    </row>
    <row r="2897" ht="54.75" customHeight="1" s="24">
      <c r="A2897" s="13" t="n">
        <v>5000057415</v>
      </c>
      <c r="B2897" s="13" t="inlineStr">
        <is>
          <t>МУНИЦИПАЛЬНОЕ БЮДЖЕТНОЕ УЧРЕЖДЕНИЕ КУЛЬТУРЫ "ОДИНЦОВСКИЙ ПАРК КУЛЬТУРЫ, СПОРТА И ОТДЫХА" ОДИНЦОВСКОГО ГОРОДСКОГО ОКРУГА МОСКОВСКОЙ ОБЛАСТИ</t>
        </is>
      </c>
      <c r="C2897" s="13" t="n">
        <v>5032258139</v>
      </c>
      <c r="D2897" s="13" t="inlineStr">
        <is>
          <t>5032258139</t>
        </is>
      </c>
      <c r="E2897" s="13" t="inlineStr">
        <is>
          <t>ЮЛ РФ</t>
        </is>
      </c>
      <c r="F2897" s="13" t="n"/>
      <c r="G2897" s="14" t="n"/>
      <c r="H2897" s="14" t="n"/>
      <c r="I2897" s="14" t="n"/>
      <c r="J2897" s="14" t="n"/>
      <c r="K2897" s="53" t="inlineStr"/>
      <c r="L2897" s="53" t="inlineStr">
        <is>
          <t>Не определено</t>
        </is>
      </c>
      <c r="M2897" s="53" t="inlineStr"/>
      <c r="N2897" s="54" t="inlineStr"/>
      <c r="O2897" s="55" t="inlineStr"/>
      <c r="P2897" s="16" t="inlineStr">
        <is>
          <t>Требует обогащения</t>
        </is>
      </c>
      <c r="Q2897" s="16">
        <f>HYPERLINK("https://pb.nalog.ru/search.html?query=5032258139","ФНС: проверить")</f>
        <v/>
      </c>
      <c r="R2897" s="16">
        <f>HYPERLINK("https://checko.ru/search?query=3801001629","Чекко: проверить")</f>
        <v/>
      </c>
      <c r="S2897" t="n">
        <v>1</v>
      </c>
      <c r="T2897" s="35" t="inlineStr">
        <is>
          <t>4 — Не обогащён</t>
        </is>
      </c>
      <c r="U2897" s="35" t="inlineStr">
        <is>
          <t>Нет ОКВЭД/ССЧР</t>
        </is>
      </c>
      <c r="V2897" s="35" t="inlineStr">
        <is>
          <t>Не определено</t>
        </is>
      </c>
      <c r="W2897" s="35" t="inlineStr"/>
      <c r="X2897" s="35" t="inlineStr"/>
    </row>
    <row r="2898" ht="27.75" customHeight="1" s="24">
      <c r="A2898" s="13" t="n">
        <v>5000106092</v>
      </c>
      <c r="B2898" s="13" t="inlineStr">
        <is>
          <t>ГАОУ СПО "Оренбургский автотранспортный колледж"</t>
        </is>
      </c>
      <c r="C2898" s="13" t="n">
        <v>5611004858</v>
      </c>
      <c r="D2898" s="13" t="inlineStr">
        <is>
          <t>5611004858</t>
        </is>
      </c>
      <c r="E2898" s="13" t="inlineStr">
        <is>
          <t>ЮЛ РФ</t>
        </is>
      </c>
      <c r="F2898" s="13" t="n"/>
      <c r="G2898" s="14" t="n"/>
      <c r="H2898" s="14" t="n"/>
      <c r="I2898" s="14" t="n"/>
      <c r="J2898" s="14" t="n"/>
      <c r="K2898" s="53" t="inlineStr"/>
      <c r="L2898" s="53" t="inlineStr">
        <is>
          <t>Не определено</t>
        </is>
      </c>
      <c r="M2898" s="53" t="inlineStr"/>
      <c r="N2898" s="54" t="inlineStr"/>
      <c r="O2898" s="55" t="inlineStr"/>
      <c r="P2898" s="16" t="inlineStr">
        <is>
          <t>Требует обогащения</t>
        </is>
      </c>
      <c r="Q2898" s="16">
        <f>HYPERLINK("https://pb.nalog.ru/search.html?query=5611004858","ФНС: проверить")</f>
        <v/>
      </c>
      <c r="R2898" s="16">
        <f>HYPERLINK("https://checko.ru/search?query=3801001629","Чекко: проверить")</f>
        <v/>
      </c>
      <c r="S2898" t="n">
        <v>1</v>
      </c>
      <c r="T2898" s="35" t="inlineStr">
        <is>
          <t>4 — Не обогащён</t>
        </is>
      </c>
      <c r="U2898" s="35" t="inlineStr">
        <is>
          <t>Нет ОКВЭД/ССЧР</t>
        </is>
      </c>
      <c r="V2898" s="35" t="inlineStr">
        <is>
          <t>Не определено</t>
        </is>
      </c>
      <c r="W2898" s="35" t="inlineStr"/>
      <c r="X2898" s="35" t="inlineStr"/>
    </row>
    <row r="2899" ht="15" customHeight="1" s="24">
      <c r="A2899" s="13" t="n">
        <v>5000094861</v>
      </c>
      <c r="B2899" s="13" t="inlineStr">
        <is>
          <t>Администрация с.п.Яникой</t>
        </is>
      </c>
      <c r="C2899" s="13" t="n">
        <v>708004429</v>
      </c>
      <c r="D2899" s="13" t="n"/>
      <c r="E2899" s="13" t="inlineStr">
        <is>
          <t>Не определён</t>
        </is>
      </c>
      <c r="F2899" s="13" t="inlineStr">
        <is>
          <t>708004429</t>
        </is>
      </c>
      <c r="G2899" s="14" t="n"/>
      <c r="H2899" s="14" t="n"/>
      <c r="I2899" s="14" t="n"/>
      <c r="J2899" s="14" t="n"/>
      <c r="K2899" s="13">
        <f>IF(G2899="","",IF(G2899&gt;=22,"Да","Нет"))</f>
        <v/>
      </c>
      <c r="L2899" s="13">
        <f>IF(OR(I2899="",J2899=""),"Не определено",IF(OR(COUNTIF(I2899,"45*")&gt;0,COUNTIF(J2899,"*45*")&gt;0,COUNTIF(I2899,"46*")&gt;0,COUNTIF(J2899,"*46*")&gt;0,COUNTIF(I2899,"47*")&gt;0,COUNTIF(J2899,"*47*")&gt;0,COUNTIF(I2899,"10*")&gt;0,COUNTIF(J2899,"*10*")&gt;0,COUNTIF(I2899,"11*")&gt;0,COUNTIF(J2899,"*11*")&gt;0,COUNTIF(I2899,"12*")&gt;0,COUNTIF(J2899,"*12*")&gt;0,COUNTIF(I2899,"13*")&gt;0,COUNTIF(J2899,"*13*")&gt;0,COUNTIF(I2899,"14*")&gt;0,COUNTIF(J2899,"*14*")&gt;0,COUNTIF(I2899,"15*")&gt;0,COUNTIF(J2899,"*15*")&gt;0,COUNTIF(I2899,"16*")&gt;0,COUNTIF(J2899,"*16*")&gt;0,COUNTIF(I2899,"17*")&gt;0,COUNTIF(J2899,"*17*")&gt;0,COUNTIF(I2899,"18*")&gt;0,COUNTIF(J2899,"*18*")&gt;0,COUNTIF(I2899,"19*")&gt;0,COUNTIF(J2899,"*19*")&gt;0,COUNTIF(I2899,"20*")&gt;0,COUNTIF(J2899,"*20*")&gt;0,COUNTIF(I2899,"21*")&gt;0,COUNTIF(J2899,"*21*")&gt;0,COUNTIF(I2899,"22*")&gt;0,COUNTIF(J2899,"*22*")&gt;0,COUNTIF(I2899,"23*")&gt;0,COUNTIF(J2899,"*23*")&gt;0,COUNTIF(I2899,"24*")&gt;0,COUNTIF(J2899,"*24*")&gt;0,COUNTIF(I2899,"25*")&gt;0,COUNTIF(J2899,"*25*")&gt;0,COUNTIF(I2899,"26*")&gt;0,COUNTIF(J2899,"*26*")&gt;0,COUNTIF(I2899,"27*")&gt;0,COUNTIF(J2899,"*27*")&gt;0,COUNTIF(I2899,"28*")&gt;0,COUNTIF(J2899,"*28*")&gt;0,COUNTIF(I2899,"29*")&gt;0,COUNTIF(J2899,"*29*")&gt;0,COUNTIF(I2899,"30*")&gt;0,COUNTIF(J2899,"*30*")&gt;0,COUNTIF(I2899,"31*")&gt;0,COUNTIF(J2899,"*31*")&gt;0,COUNTIF(I2899,"32*")&gt;0,COUNTIF(J2899,"*32*")&gt;0,COUNTIF(I2899,"33*")&gt;0,COUNTIF(J2899,"*33*")&gt;0,COUNTIF(I2899,"41*")&gt;0,COUNTIF(J2899,"*41*")&gt;0,COUNTIF(I2899,"42*")&gt;0,COUNTIF(J2899,"*42*")&gt;0,COUNTIF(I2899,"43*")&gt;0,COUNTIF(J2899,"*43*")&gt;0,COUNTIF(I2899,"49*")&gt;0,COUNTIF(J2899,"*49*")&gt;0,COUNTIF(I2899,"52*")&gt;0,COUNTIF(J2899,"*52*")&gt;0,COUNTIF(I2899,"55*")&gt;0,COUNTIF(J2899,"*55*")&gt;0,COUNTIF(I2899,"56*")&gt;0,COUNTIF(J2899,"*56*")&gt;0,COUNTIF(I2899,"68*")&gt;0,COUNTIF(J2899,"*68*")&gt;0,COUNTIF(I2899,"78*")&gt;0,COUNTIF(J2899,"*78*")&gt;0,COUNTIF(I2899,"81*")&gt;0,COUNTIF(J2899,"*81*")&gt;0,COUNTIF(I2899,"82*")&gt;0,COUNTIF(J2899,"*82*")&gt;0,COUNTIF(I2899,"64*")&gt;0,COUNTIF(J2899,"*64*")&gt;0,COUNTIF(I2899,"65*")&gt;0,COUNTIF(J2899,"*65*")&gt;0,COUNTIF(I2899,"66*")&gt;0,COUNTIF(J2899,"*66*")&gt;0,COUNTIF(I2899,"61*")&gt;0,COUNTIF(J2899,"*61*")&gt;0,COUNTIF(I2899,"62*")&gt;0,COUNTIF(J2899,"*62*")&gt;0,COUNTIF(I2899,"63*")&gt;0,COUNTIF(J2899,"*63*")&gt;0,COUNTIF(I2899,"85*")&gt;0,COUNTIF(J2899,"*85*")&gt;0,COUNTIF(I2899,"86*")&gt;0,COUNTIF(J2899,"*86*")&gt;0),"Да","Нет"))</f>
        <v/>
      </c>
      <c r="M2899" s="13">
        <f>IF(OR(G2899="",L2899&lt;&gt;"Да"),"",IF(G2899&lt;=100,"До 100",IF(G2899&lt;=200,"До 200",IF(G2899&lt;=500,"До 500","Отдельное КП"))))</f>
        <v/>
      </c>
      <c r="N2899" s="15">
        <f>IF(OR(G2899="",L2899&lt;&gt;"Да"),"",IF(G2899&lt;=100,33600,IF(G2899&lt;=200,62400,IF(G2899&lt;=500,144000,""))))</f>
        <v/>
      </c>
      <c r="O2899" s="16">
        <f>IF(G2899="","",IF(G2899&lt;=15,"1–15",IF(G2899&lt;=30,"16–30",IF(G2899&lt;=50,"31–50",IF(G2899&lt;=100,"51–100",IF(G2899&lt;=150,"101–150",IF(G2899&lt;=200,"151–200",IF(G2899&lt;=500,"201–500","500+"))))))))</f>
        <v/>
      </c>
      <c r="P2899" s="16" t="inlineStr">
        <is>
          <t>Нет совпадения в предоставленной выгрузке ССЧР</t>
        </is>
      </c>
      <c r="Q2899" s="16" t="n"/>
      <c r="R2899" s="16">
        <f>HYPERLINK("https://checko.ru/search?query=3801001629","Чекко: проверить")</f>
        <v/>
      </c>
      <c r="S2899" t="n">
        <v>0</v>
      </c>
    </row>
    <row r="2900" ht="27.75" customHeight="1" s="24">
      <c r="A2900" s="13" t="n">
        <v>5000094910</v>
      </c>
      <c r="B2900" s="13" t="inlineStr">
        <is>
          <t>ГКУК "КБ государственный фольклорный ансамбль песни и пляски терских казаков"</t>
        </is>
      </c>
      <c r="C2900" s="13" t="n">
        <v>709006771</v>
      </c>
      <c r="D2900" s="13" t="n"/>
      <c r="E2900" s="13" t="inlineStr">
        <is>
          <t>Не определён</t>
        </is>
      </c>
      <c r="F2900" s="13" t="inlineStr">
        <is>
          <t>709006771</t>
        </is>
      </c>
      <c r="G2900" s="14" t="n"/>
      <c r="H2900" s="14" t="n"/>
      <c r="I2900" s="14" t="n"/>
      <c r="J2900" s="14" t="n"/>
      <c r="K2900" s="13">
        <f>IF(G2900="","",IF(G2900&gt;=22,"Да","Нет"))</f>
        <v/>
      </c>
      <c r="L2900" s="13">
        <f>IF(OR(I2900="",J2900=""),"Не определено",IF(OR(COUNTIF(I2900,"45*")&gt;0,COUNTIF(J2900,"*45*")&gt;0,COUNTIF(I2900,"46*")&gt;0,COUNTIF(J2900,"*46*")&gt;0,COUNTIF(I2900,"47*")&gt;0,COUNTIF(J2900,"*47*")&gt;0,COUNTIF(I2900,"10*")&gt;0,COUNTIF(J2900,"*10*")&gt;0,COUNTIF(I2900,"11*")&gt;0,COUNTIF(J2900,"*11*")&gt;0,COUNTIF(I2900,"12*")&gt;0,COUNTIF(J2900,"*12*")&gt;0,COUNTIF(I2900,"13*")&gt;0,COUNTIF(J2900,"*13*")&gt;0,COUNTIF(I2900,"14*")&gt;0,COUNTIF(J2900,"*14*")&gt;0,COUNTIF(I2900,"15*")&gt;0,COUNTIF(J2900,"*15*")&gt;0,COUNTIF(I2900,"16*")&gt;0,COUNTIF(J2900,"*16*")&gt;0,COUNTIF(I2900,"17*")&gt;0,COUNTIF(J2900,"*17*")&gt;0,COUNTIF(I2900,"18*")&gt;0,COUNTIF(J2900,"*18*")&gt;0,COUNTIF(I2900,"19*")&gt;0,COUNTIF(J2900,"*19*")&gt;0,COUNTIF(I2900,"20*")&gt;0,COUNTIF(J2900,"*20*")&gt;0,COUNTIF(I2900,"21*")&gt;0,COUNTIF(J2900,"*21*")&gt;0,COUNTIF(I2900,"22*")&gt;0,COUNTIF(J2900,"*22*")&gt;0,COUNTIF(I2900,"23*")&gt;0,COUNTIF(J2900,"*23*")&gt;0,COUNTIF(I2900,"24*")&gt;0,COUNTIF(J2900,"*24*")&gt;0,COUNTIF(I2900,"25*")&gt;0,COUNTIF(J2900,"*25*")&gt;0,COUNTIF(I2900,"26*")&gt;0,COUNTIF(J2900,"*26*")&gt;0,COUNTIF(I2900,"27*")&gt;0,COUNTIF(J2900,"*27*")&gt;0,COUNTIF(I2900,"28*")&gt;0,COUNTIF(J2900,"*28*")&gt;0,COUNTIF(I2900,"29*")&gt;0,COUNTIF(J2900,"*29*")&gt;0,COUNTIF(I2900,"30*")&gt;0,COUNTIF(J2900,"*30*")&gt;0,COUNTIF(I2900,"31*")&gt;0,COUNTIF(J2900,"*31*")&gt;0,COUNTIF(I2900,"32*")&gt;0,COUNTIF(J2900,"*32*")&gt;0,COUNTIF(I2900,"33*")&gt;0,COUNTIF(J2900,"*33*")&gt;0,COUNTIF(I2900,"41*")&gt;0,COUNTIF(J2900,"*41*")&gt;0,COUNTIF(I2900,"42*")&gt;0,COUNTIF(J2900,"*42*")&gt;0,COUNTIF(I2900,"43*")&gt;0,COUNTIF(J2900,"*43*")&gt;0,COUNTIF(I2900,"49*")&gt;0,COUNTIF(J2900,"*49*")&gt;0,COUNTIF(I2900,"52*")&gt;0,COUNTIF(J2900,"*52*")&gt;0,COUNTIF(I2900,"55*")&gt;0,COUNTIF(J2900,"*55*")&gt;0,COUNTIF(I2900,"56*")&gt;0,COUNTIF(J2900,"*56*")&gt;0,COUNTIF(I2900,"68*")&gt;0,COUNTIF(J2900,"*68*")&gt;0,COUNTIF(I2900,"78*")&gt;0,COUNTIF(J2900,"*78*")&gt;0,COUNTIF(I2900,"81*")&gt;0,COUNTIF(J2900,"*81*")&gt;0,COUNTIF(I2900,"82*")&gt;0,COUNTIF(J2900,"*82*")&gt;0,COUNTIF(I2900,"64*")&gt;0,COUNTIF(J2900,"*64*")&gt;0,COUNTIF(I2900,"65*")&gt;0,COUNTIF(J2900,"*65*")&gt;0,COUNTIF(I2900,"66*")&gt;0,COUNTIF(J2900,"*66*")&gt;0,COUNTIF(I2900,"61*")&gt;0,COUNTIF(J2900,"*61*")&gt;0,COUNTIF(I2900,"62*")&gt;0,COUNTIF(J2900,"*62*")&gt;0,COUNTIF(I2900,"63*")&gt;0,COUNTIF(J2900,"*63*")&gt;0,COUNTIF(I2900,"85*")&gt;0,COUNTIF(J2900,"*85*")&gt;0,COUNTIF(I2900,"86*")&gt;0,COUNTIF(J2900,"*86*")&gt;0),"Да","Нет"))</f>
        <v/>
      </c>
      <c r="M2900" s="13">
        <f>IF(OR(G2900="",L2900&lt;&gt;"Да"),"",IF(G2900&lt;=100,"До 100",IF(G2900&lt;=200,"До 200",IF(G2900&lt;=500,"До 500","Отдельное КП"))))</f>
        <v/>
      </c>
      <c r="N2900" s="15">
        <f>IF(OR(G2900="",L2900&lt;&gt;"Да"),"",IF(G2900&lt;=100,33600,IF(G2900&lt;=200,62400,IF(G2900&lt;=500,144000,""))))</f>
        <v/>
      </c>
      <c r="O2900" s="16">
        <f>IF(G2900="","",IF(G2900&lt;=15,"1–15",IF(G2900&lt;=30,"16–30",IF(G2900&lt;=50,"31–50",IF(G2900&lt;=100,"51–100",IF(G2900&lt;=150,"101–150",IF(G2900&lt;=200,"151–200",IF(G2900&lt;=500,"201–500","500+"))))))))</f>
        <v/>
      </c>
      <c r="P2900" s="16" t="inlineStr">
        <is>
          <t>Нет совпадения в предоставленной выгрузке ССЧР</t>
        </is>
      </c>
      <c r="Q2900" s="16" t="n"/>
      <c r="R2900" s="16">
        <f>HYPERLINK("https://checko.ru/search?query=3801001629","Чекко: проверить")</f>
        <v/>
      </c>
      <c r="S2900" t="n">
        <v>0</v>
      </c>
    </row>
    <row r="2901" ht="41.25" customHeight="1" s="24">
      <c r="A2901" s="13" t="n">
        <v>5000116255</v>
      </c>
      <c r="B2901" s="13" t="inlineStr">
        <is>
          <t>Администрация сельского поселения Дединовское Луховицкого муниципального района Московской области</t>
        </is>
      </c>
      <c r="C2901" s="13" t="n">
        <v>5072722942</v>
      </c>
      <c r="D2901" s="13" t="inlineStr">
        <is>
          <t>5072722942</t>
        </is>
      </c>
      <c r="E2901" s="13" t="inlineStr">
        <is>
          <t>ЮЛ РФ</t>
        </is>
      </c>
      <c r="F2901" s="13" t="n"/>
      <c r="G2901" s="14" t="n"/>
      <c r="H2901" s="14" t="n"/>
      <c r="I2901" s="14" t="n"/>
      <c r="J2901" s="14" t="n"/>
      <c r="K2901" s="53" t="inlineStr"/>
      <c r="L2901" s="53" t="inlineStr">
        <is>
          <t>Не определено</t>
        </is>
      </c>
      <c r="M2901" s="53" t="inlineStr"/>
      <c r="N2901" s="54" t="inlineStr"/>
      <c r="O2901" s="55" t="inlineStr"/>
      <c r="P2901" s="16" t="inlineStr">
        <is>
          <t>Требует обогащения</t>
        </is>
      </c>
      <c r="Q2901" s="16">
        <f>HYPERLINK("https://pb.nalog.ru/search.html?query=5072722942","ФНС: проверить")</f>
        <v/>
      </c>
      <c r="R2901" s="16">
        <f>HYPERLINK("https://checko.ru/search?query=3801001629","Чекко: проверить")</f>
        <v/>
      </c>
      <c r="S2901" t="n">
        <v>1</v>
      </c>
      <c r="T2901" s="35" t="inlineStr">
        <is>
          <t>4 — Не обогащён</t>
        </is>
      </c>
      <c r="U2901" s="35" t="inlineStr">
        <is>
          <t>Нет ОКВЭД/ССЧР</t>
        </is>
      </c>
      <c r="V2901" s="35" t="inlineStr">
        <is>
          <t>Не определено</t>
        </is>
      </c>
      <c r="W2901" s="35" t="inlineStr"/>
      <c r="X2901" s="35" t="inlineStr"/>
    </row>
    <row r="2902" ht="15" customHeight="1" s="24">
      <c r="A2902" s="13" t="n">
        <v>5000095210</v>
      </c>
      <c r="B2902" s="13" t="inlineStr">
        <is>
          <t>ГУ "Аппарат Общественной палаты КБР"</t>
        </is>
      </c>
      <c r="C2902" s="13" t="n">
        <v>725005101</v>
      </c>
      <c r="D2902" s="13" t="n"/>
      <c r="E2902" s="13" t="inlineStr">
        <is>
          <t>Не определён</t>
        </is>
      </c>
      <c r="F2902" s="13" t="inlineStr">
        <is>
          <t>725005101</t>
        </is>
      </c>
      <c r="G2902" s="14" t="n"/>
      <c r="H2902" s="14" t="n"/>
      <c r="I2902" s="14" t="n"/>
      <c r="J2902" s="14" t="n"/>
      <c r="K2902" s="13">
        <f>IF(G2902="","",IF(G2902&gt;=22,"Да","Нет"))</f>
        <v/>
      </c>
      <c r="L2902" s="13">
        <f>IF(OR(I2902="",J2902=""),"Не определено",IF(OR(COUNTIF(I2902,"45*")&gt;0,COUNTIF(J2902,"*45*")&gt;0,COUNTIF(I2902,"46*")&gt;0,COUNTIF(J2902,"*46*")&gt;0,COUNTIF(I2902,"47*")&gt;0,COUNTIF(J2902,"*47*")&gt;0,COUNTIF(I2902,"10*")&gt;0,COUNTIF(J2902,"*10*")&gt;0,COUNTIF(I2902,"11*")&gt;0,COUNTIF(J2902,"*11*")&gt;0,COUNTIF(I2902,"12*")&gt;0,COUNTIF(J2902,"*12*")&gt;0,COUNTIF(I2902,"13*")&gt;0,COUNTIF(J2902,"*13*")&gt;0,COUNTIF(I2902,"14*")&gt;0,COUNTIF(J2902,"*14*")&gt;0,COUNTIF(I2902,"15*")&gt;0,COUNTIF(J2902,"*15*")&gt;0,COUNTIF(I2902,"16*")&gt;0,COUNTIF(J2902,"*16*")&gt;0,COUNTIF(I2902,"17*")&gt;0,COUNTIF(J2902,"*17*")&gt;0,COUNTIF(I2902,"18*")&gt;0,COUNTIF(J2902,"*18*")&gt;0,COUNTIF(I2902,"19*")&gt;0,COUNTIF(J2902,"*19*")&gt;0,COUNTIF(I2902,"20*")&gt;0,COUNTIF(J2902,"*20*")&gt;0,COUNTIF(I2902,"21*")&gt;0,COUNTIF(J2902,"*21*")&gt;0,COUNTIF(I2902,"22*")&gt;0,COUNTIF(J2902,"*22*")&gt;0,COUNTIF(I2902,"23*")&gt;0,COUNTIF(J2902,"*23*")&gt;0,COUNTIF(I2902,"24*")&gt;0,COUNTIF(J2902,"*24*")&gt;0,COUNTIF(I2902,"25*")&gt;0,COUNTIF(J2902,"*25*")&gt;0,COUNTIF(I2902,"26*")&gt;0,COUNTIF(J2902,"*26*")&gt;0,COUNTIF(I2902,"27*")&gt;0,COUNTIF(J2902,"*27*")&gt;0,COUNTIF(I2902,"28*")&gt;0,COUNTIF(J2902,"*28*")&gt;0,COUNTIF(I2902,"29*")&gt;0,COUNTIF(J2902,"*29*")&gt;0,COUNTIF(I2902,"30*")&gt;0,COUNTIF(J2902,"*30*")&gt;0,COUNTIF(I2902,"31*")&gt;0,COUNTIF(J2902,"*31*")&gt;0,COUNTIF(I2902,"32*")&gt;0,COUNTIF(J2902,"*32*")&gt;0,COUNTIF(I2902,"33*")&gt;0,COUNTIF(J2902,"*33*")&gt;0,COUNTIF(I2902,"41*")&gt;0,COUNTIF(J2902,"*41*")&gt;0,COUNTIF(I2902,"42*")&gt;0,COUNTIF(J2902,"*42*")&gt;0,COUNTIF(I2902,"43*")&gt;0,COUNTIF(J2902,"*43*")&gt;0,COUNTIF(I2902,"49*")&gt;0,COUNTIF(J2902,"*49*")&gt;0,COUNTIF(I2902,"52*")&gt;0,COUNTIF(J2902,"*52*")&gt;0,COUNTIF(I2902,"55*")&gt;0,COUNTIF(J2902,"*55*")&gt;0,COUNTIF(I2902,"56*")&gt;0,COUNTIF(J2902,"*56*")&gt;0,COUNTIF(I2902,"68*")&gt;0,COUNTIF(J2902,"*68*")&gt;0,COUNTIF(I2902,"78*")&gt;0,COUNTIF(J2902,"*78*")&gt;0,COUNTIF(I2902,"81*")&gt;0,COUNTIF(J2902,"*81*")&gt;0,COUNTIF(I2902,"82*")&gt;0,COUNTIF(J2902,"*82*")&gt;0,COUNTIF(I2902,"64*")&gt;0,COUNTIF(J2902,"*64*")&gt;0,COUNTIF(I2902,"65*")&gt;0,COUNTIF(J2902,"*65*")&gt;0,COUNTIF(I2902,"66*")&gt;0,COUNTIF(J2902,"*66*")&gt;0,COUNTIF(I2902,"61*")&gt;0,COUNTIF(J2902,"*61*")&gt;0,COUNTIF(I2902,"62*")&gt;0,COUNTIF(J2902,"*62*")&gt;0,COUNTIF(I2902,"63*")&gt;0,COUNTIF(J2902,"*63*")&gt;0,COUNTIF(I2902,"85*")&gt;0,COUNTIF(J2902,"*85*")&gt;0,COUNTIF(I2902,"86*")&gt;0,COUNTIF(J2902,"*86*")&gt;0),"Да","Нет"))</f>
        <v/>
      </c>
      <c r="M2902" s="13">
        <f>IF(OR(G2902="",L2902&lt;&gt;"Да"),"",IF(G2902&lt;=100,"До 100",IF(G2902&lt;=200,"До 200",IF(G2902&lt;=500,"До 500","Отдельное КП"))))</f>
        <v/>
      </c>
      <c r="N2902" s="15">
        <f>IF(OR(G2902="",L2902&lt;&gt;"Да"),"",IF(G2902&lt;=100,33600,IF(G2902&lt;=200,62400,IF(G2902&lt;=500,144000,""))))</f>
        <v/>
      </c>
      <c r="O2902" s="16">
        <f>IF(G2902="","",IF(G2902&lt;=15,"1–15",IF(G2902&lt;=30,"16–30",IF(G2902&lt;=50,"31–50",IF(G2902&lt;=100,"51–100",IF(G2902&lt;=150,"101–150",IF(G2902&lt;=200,"151–200",IF(G2902&lt;=500,"201–500","500+"))))))))</f>
        <v/>
      </c>
      <c r="P2902" s="16" t="inlineStr">
        <is>
          <t>Нет совпадения в предоставленной выгрузке ССЧР</t>
        </is>
      </c>
      <c r="Q2902" s="16" t="n"/>
      <c r="R2902" s="16">
        <f>HYPERLINK("https://checko.ru/search?query=3801001629","Чекко: проверить")</f>
        <v/>
      </c>
      <c r="S2902" t="n">
        <v>0</v>
      </c>
    </row>
    <row r="2903" ht="15" customHeight="1" s="24">
      <c r="A2903" s="13" t="n">
        <v>5000095208</v>
      </c>
      <c r="B2903" s="13" t="inlineStr">
        <is>
          <t>ГКОУ СПО "НКЛП"</t>
        </is>
      </c>
      <c r="C2903" s="13" t="n">
        <v>725003457</v>
      </c>
      <c r="D2903" s="13" t="n"/>
      <c r="E2903" s="13" t="inlineStr">
        <is>
          <t>Не определён</t>
        </is>
      </c>
      <c r="F2903" s="13" t="inlineStr">
        <is>
          <t>725003457</t>
        </is>
      </c>
      <c r="G2903" s="14" t="n"/>
      <c r="H2903" s="14" t="n"/>
      <c r="I2903" s="14" t="n"/>
      <c r="J2903" s="14" t="n"/>
      <c r="K2903" s="13">
        <f>IF(G2903="","",IF(G2903&gt;=22,"Да","Нет"))</f>
        <v/>
      </c>
      <c r="L2903" s="13">
        <f>IF(OR(I2903="",J2903=""),"Не определено",IF(OR(COUNTIF(I2903,"45*")&gt;0,COUNTIF(J2903,"*45*")&gt;0,COUNTIF(I2903,"46*")&gt;0,COUNTIF(J2903,"*46*")&gt;0,COUNTIF(I2903,"47*")&gt;0,COUNTIF(J2903,"*47*")&gt;0,COUNTIF(I2903,"10*")&gt;0,COUNTIF(J2903,"*10*")&gt;0,COUNTIF(I2903,"11*")&gt;0,COUNTIF(J2903,"*11*")&gt;0,COUNTIF(I2903,"12*")&gt;0,COUNTIF(J2903,"*12*")&gt;0,COUNTIF(I2903,"13*")&gt;0,COUNTIF(J2903,"*13*")&gt;0,COUNTIF(I2903,"14*")&gt;0,COUNTIF(J2903,"*14*")&gt;0,COUNTIF(I2903,"15*")&gt;0,COUNTIF(J2903,"*15*")&gt;0,COUNTIF(I2903,"16*")&gt;0,COUNTIF(J2903,"*16*")&gt;0,COUNTIF(I2903,"17*")&gt;0,COUNTIF(J2903,"*17*")&gt;0,COUNTIF(I2903,"18*")&gt;0,COUNTIF(J2903,"*18*")&gt;0,COUNTIF(I2903,"19*")&gt;0,COUNTIF(J2903,"*19*")&gt;0,COUNTIF(I2903,"20*")&gt;0,COUNTIF(J2903,"*20*")&gt;0,COUNTIF(I2903,"21*")&gt;0,COUNTIF(J2903,"*21*")&gt;0,COUNTIF(I2903,"22*")&gt;0,COUNTIF(J2903,"*22*")&gt;0,COUNTIF(I2903,"23*")&gt;0,COUNTIF(J2903,"*23*")&gt;0,COUNTIF(I2903,"24*")&gt;0,COUNTIF(J2903,"*24*")&gt;0,COUNTIF(I2903,"25*")&gt;0,COUNTIF(J2903,"*25*")&gt;0,COUNTIF(I2903,"26*")&gt;0,COUNTIF(J2903,"*26*")&gt;0,COUNTIF(I2903,"27*")&gt;0,COUNTIF(J2903,"*27*")&gt;0,COUNTIF(I2903,"28*")&gt;0,COUNTIF(J2903,"*28*")&gt;0,COUNTIF(I2903,"29*")&gt;0,COUNTIF(J2903,"*29*")&gt;0,COUNTIF(I2903,"30*")&gt;0,COUNTIF(J2903,"*30*")&gt;0,COUNTIF(I2903,"31*")&gt;0,COUNTIF(J2903,"*31*")&gt;0,COUNTIF(I2903,"32*")&gt;0,COUNTIF(J2903,"*32*")&gt;0,COUNTIF(I2903,"33*")&gt;0,COUNTIF(J2903,"*33*")&gt;0,COUNTIF(I2903,"41*")&gt;0,COUNTIF(J2903,"*41*")&gt;0,COUNTIF(I2903,"42*")&gt;0,COUNTIF(J2903,"*42*")&gt;0,COUNTIF(I2903,"43*")&gt;0,COUNTIF(J2903,"*43*")&gt;0,COUNTIF(I2903,"49*")&gt;0,COUNTIF(J2903,"*49*")&gt;0,COUNTIF(I2903,"52*")&gt;0,COUNTIF(J2903,"*52*")&gt;0,COUNTIF(I2903,"55*")&gt;0,COUNTIF(J2903,"*55*")&gt;0,COUNTIF(I2903,"56*")&gt;0,COUNTIF(J2903,"*56*")&gt;0,COUNTIF(I2903,"68*")&gt;0,COUNTIF(J2903,"*68*")&gt;0,COUNTIF(I2903,"78*")&gt;0,COUNTIF(J2903,"*78*")&gt;0,COUNTIF(I2903,"81*")&gt;0,COUNTIF(J2903,"*81*")&gt;0,COUNTIF(I2903,"82*")&gt;0,COUNTIF(J2903,"*82*")&gt;0,COUNTIF(I2903,"64*")&gt;0,COUNTIF(J2903,"*64*")&gt;0,COUNTIF(I2903,"65*")&gt;0,COUNTIF(J2903,"*65*")&gt;0,COUNTIF(I2903,"66*")&gt;0,COUNTIF(J2903,"*66*")&gt;0,COUNTIF(I2903,"61*")&gt;0,COUNTIF(J2903,"*61*")&gt;0,COUNTIF(I2903,"62*")&gt;0,COUNTIF(J2903,"*62*")&gt;0,COUNTIF(I2903,"63*")&gt;0,COUNTIF(J2903,"*63*")&gt;0,COUNTIF(I2903,"85*")&gt;0,COUNTIF(J2903,"*85*")&gt;0,COUNTIF(I2903,"86*")&gt;0,COUNTIF(J2903,"*86*")&gt;0),"Да","Нет"))</f>
        <v/>
      </c>
      <c r="M2903" s="13">
        <f>IF(OR(G2903="",L2903&lt;&gt;"Да"),"",IF(G2903&lt;=100,"До 100",IF(G2903&lt;=200,"До 200",IF(G2903&lt;=500,"До 500","Отдельное КП"))))</f>
        <v/>
      </c>
      <c r="N2903" s="15">
        <f>IF(OR(G2903="",L2903&lt;&gt;"Да"),"",IF(G2903&lt;=100,33600,IF(G2903&lt;=200,62400,IF(G2903&lt;=500,144000,""))))</f>
        <v/>
      </c>
      <c r="O2903" s="16">
        <f>IF(G2903="","",IF(G2903&lt;=15,"1–15",IF(G2903&lt;=30,"16–30",IF(G2903&lt;=50,"31–50",IF(G2903&lt;=100,"51–100",IF(G2903&lt;=150,"101–150",IF(G2903&lt;=200,"151–200",IF(G2903&lt;=500,"201–500","500+"))))))))</f>
        <v/>
      </c>
      <c r="P2903" s="16" t="inlineStr">
        <is>
          <t>Нет совпадения в предоставленной выгрузке ССЧР</t>
        </is>
      </c>
      <c r="Q2903" s="16" t="n"/>
      <c r="R2903" s="16">
        <f>HYPERLINK("https://checko.ru/search?query=3801001629","Чекко: проверить")</f>
        <v/>
      </c>
      <c r="S2903" t="n">
        <v>0</v>
      </c>
    </row>
    <row r="2904" ht="27.75" customHeight="1" s="24">
      <c r="A2904" s="13" t="n">
        <v>5000001500</v>
      </c>
      <c r="B2904" s="13" t="inlineStr">
        <is>
          <t>Министерство жилищной политики, энергетики, транспорта и связи Иркутской области</t>
        </is>
      </c>
      <c r="C2904" s="13" t="n">
        <v>3808171820</v>
      </c>
      <c r="D2904" s="13" t="inlineStr">
        <is>
          <t>3808171820</t>
        </is>
      </c>
      <c r="E2904" s="13" t="inlineStr">
        <is>
          <t>ЮЛ РФ</t>
        </is>
      </c>
      <c r="F2904" s="13" t="n"/>
      <c r="G2904" s="14" t="n"/>
      <c r="H2904" s="14" t="n"/>
      <c r="I2904" s="14" t="n"/>
      <c r="J2904" s="14" t="n"/>
      <c r="K2904" s="53" t="inlineStr"/>
      <c r="L2904" s="53" t="inlineStr">
        <is>
          <t>Не определено</t>
        </is>
      </c>
      <c r="M2904" s="53" t="inlineStr"/>
      <c r="N2904" s="54" t="inlineStr"/>
      <c r="O2904" s="55" t="inlineStr"/>
      <c r="P2904" s="16" t="inlineStr">
        <is>
          <t>Требует обогащения</t>
        </is>
      </c>
      <c r="Q2904" s="16">
        <f>HYPERLINK("https://pb.nalog.ru/search.html?query=3808171820","ФНС: проверить")</f>
        <v/>
      </c>
      <c r="R2904" s="16">
        <f>HYPERLINK("https://checko.ru/search?query=3801001629","Чекко: проверить")</f>
        <v/>
      </c>
      <c r="S2904" t="n">
        <v>1</v>
      </c>
      <c r="T2904" s="35" t="inlineStr">
        <is>
          <t>4 — Не обогащён</t>
        </is>
      </c>
      <c r="U2904" s="35" t="inlineStr">
        <is>
          <t>Нет ОКВЭД/ССЧР</t>
        </is>
      </c>
      <c r="V2904" s="35" t="inlineStr">
        <is>
          <t>Не определено</t>
        </is>
      </c>
      <c r="W2904" s="35" t="inlineStr"/>
      <c r="X2904" s="35" t="inlineStr"/>
    </row>
    <row r="2905" ht="15" customHeight="1" s="24">
      <c r="A2905" s="13" t="n">
        <v>5000095162</v>
      </c>
      <c r="B2905" s="13" t="inlineStr">
        <is>
          <t>Управление ЗАГС КБР</t>
        </is>
      </c>
      <c r="C2905" s="13" t="n">
        <v>721018741</v>
      </c>
      <c r="D2905" s="13" t="n"/>
      <c r="E2905" s="13" t="inlineStr">
        <is>
          <t>Не определён</t>
        </is>
      </c>
      <c r="F2905" s="13" t="inlineStr">
        <is>
          <t>721018741</t>
        </is>
      </c>
      <c r="G2905" s="14" t="n"/>
      <c r="H2905" s="14" t="n"/>
      <c r="I2905" s="14" t="n"/>
      <c r="J2905" s="14" t="n"/>
      <c r="K2905" s="13">
        <f>IF(G2905="","",IF(G2905&gt;=22,"Да","Нет"))</f>
        <v/>
      </c>
      <c r="L2905" s="13">
        <f>IF(OR(I2905="",J2905=""),"Не определено",IF(OR(COUNTIF(I2905,"45*")&gt;0,COUNTIF(J2905,"*45*")&gt;0,COUNTIF(I2905,"46*")&gt;0,COUNTIF(J2905,"*46*")&gt;0,COUNTIF(I2905,"47*")&gt;0,COUNTIF(J2905,"*47*")&gt;0,COUNTIF(I2905,"10*")&gt;0,COUNTIF(J2905,"*10*")&gt;0,COUNTIF(I2905,"11*")&gt;0,COUNTIF(J2905,"*11*")&gt;0,COUNTIF(I2905,"12*")&gt;0,COUNTIF(J2905,"*12*")&gt;0,COUNTIF(I2905,"13*")&gt;0,COUNTIF(J2905,"*13*")&gt;0,COUNTIF(I2905,"14*")&gt;0,COUNTIF(J2905,"*14*")&gt;0,COUNTIF(I2905,"15*")&gt;0,COUNTIF(J2905,"*15*")&gt;0,COUNTIF(I2905,"16*")&gt;0,COUNTIF(J2905,"*16*")&gt;0,COUNTIF(I2905,"17*")&gt;0,COUNTIF(J2905,"*17*")&gt;0,COUNTIF(I2905,"18*")&gt;0,COUNTIF(J2905,"*18*")&gt;0,COUNTIF(I2905,"19*")&gt;0,COUNTIF(J2905,"*19*")&gt;0,COUNTIF(I2905,"20*")&gt;0,COUNTIF(J2905,"*20*")&gt;0,COUNTIF(I2905,"21*")&gt;0,COUNTIF(J2905,"*21*")&gt;0,COUNTIF(I2905,"22*")&gt;0,COUNTIF(J2905,"*22*")&gt;0,COUNTIF(I2905,"23*")&gt;0,COUNTIF(J2905,"*23*")&gt;0,COUNTIF(I2905,"24*")&gt;0,COUNTIF(J2905,"*24*")&gt;0,COUNTIF(I2905,"25*")&gt;0,COUNTIF(J2905,"*25*")&gt;0,COUNTIF(I2905,"26*")&gt;0,COUNTIF(J2905,"*26*")&gt;0,COUNTIF(I2905,"27*")&gt;0,COUNTIF(J2905,"*27*")&gt;0,COUNTIF(I2905,"28*")&gt;0,COUNTIF(J2905,"*28*")&gt;0,COUNTIF(I2905,"29*")&gt;0,COUNTIF(J2905,"*29*")&gt;0,COUNTIF(I2905,"30*")&gt;0,COUNTIF(J2905,"*30*")&gt;0,COUNTIF(I2905,"31*")&gt;0,COUNTIF(J2905,"*31*")&gt;0,COUNTIF(I2905,"32*")&gt;0,COUNTIF(J2905,"*32*")&gt;0,COUNTIF(I2905,"33*")&gt;0,COUNTIF(J2905,"*33*")&gt;0,COUNTIF(I2905,"41*")&gt;0,COUNTIF(J2905,"*41*")&gt;0,COUNTIF(I2905,"42*")&gt;0,COUNTIF(J2905,"*42*")&gt;0,COUNTIF(I2905,"43*")&gt;0,COUNTIF(J2905,"*43*")&gt;0,COUNTIF(I2905,"49*")&gt;0,COUNTIF(J2905,"*49*")&gt;0,COUNTIF(I2905,"52*")&gt;0,COUNTIF(J2905,"*52*")&gt;0,COUNTIF(I2905,"55*")&gt;0,COUNTIF(J2905,"*55*")&gt;0,COUNTIF(I2905,"56*")&gt;0,COUNTIF(J2905,"*56*")&gt;0,COUNTIF(I2905,"68*")&gt;0,COUNTIF(J2905,"*68*")&gt;0,COUNTIF(I2905,"78*")&gt;0,COUNTIF(J2905,"*78*")&gt;0,COUNTIF(I2905,"81*")&gt;0,COUNTIF(J2905,"*81*")&gt;0,COUNTIF(I2905,"82*")&gt;0,COUNTIF(J2905,"*82*")&gt;0,COUNTIF(I2905,"64*")&gt;0,COUNTIF(J2905,"*64*")&gt;0,COUNTIF(I2905,"65*")&gt;0,COUNTIF(J2905,"*65*")&gt;0,COUNTIF(I2905,"66*")&gt;0,COUNTIF(J2905,"*66*")&gt;0,COUNTIF(I2905,"61*")&gt;0,COUNTIF(J2905,"*61*")&gt;0,COUNTIF(I2905,"62*")&gt;0,COUNTIF(J2905,"*62*")&gt;0,COUNTIF(I2905,"63*")&gt;0,COUNTIF(J2905,"*63*")&gt;0,COUNTIF(I2905,"85*")&gt;0,COUNTIF(J2905,"*85*")&gt;0,COUNTIF(I2905,"86*")&gt;0,COUNTIF(J2905,"*86*")&gt;0),"Да","Нет"))</f>
        <v/>
      </c>
      <c r="M2905" s="13">
        <f>IF(OR(G2905="",L2905&lt;&gt;"Да"),"",IF(G2905&lt;=100,"До 100",IF(G2905&lt;=200,"До 200",IF(G2905&lt;=500,"До 500","Отдельное КП"))))</f>
        <v/>
      </c>
      <c r="N2905" s="15">
        <f>IF(OR(G2905="",L2905&lt;&gt;"Да"),"",IF(G2905&lt;=100,33600,IF(G2905&lt;=200,62400,IF(G2905&lt;=500,144000,""))))</f>
        <v/>
      </c>
      <c r="O2905" s="16">
        <f>IF(G2905="","",IF(G2905&lt;=15,"1–15",IF(G2905&lt;=30,"16–30",IF(G2905&lt;=50,"31–50",IF(G2905&lt;=100,"51–100",IF(G2905&lt;=150,"101–150",IF(G2905&lt;=200,"151–200",IF(G2905&lt;=500,"201–500","500+"))))))))</f>
        <v/>
      </c>
      <c r="P2905" s="16" t="inlineStr">
        <is>
          <t>Нет совпадения в предоставленной выгрузке ССЧР</t>
        </is>
      </c>
      <c r="Q2905" s="16" t="n"/>
      <c r="R2905" s="16">
        <f>HYPERLINK("https://checko.ru/search?query=3801001629","Чекко: проверить")</f>
        <v/>
      </c>
      <c r="S2905" t="n">
        <v>0</v>
      </c>
    </row>
    <row r="2906" ht="15" customHeight="1" s="24">
      <c r="A2906" s="13" t="n">
        <v>5000008541</v>
      </c>
      <c r="B2906" s="13" t="inlineStr">
        <is>
          <t>УФССП России по Краснодарскому краю</t>
        </is>
      </c>
      <c r="C2906" s="13" t="n">
        <v>2309090532</v>
      </c>
      <c r="D2906" s="13" t="inlineStr">
        <is>
          <t>2309090532</t>
        </is>
      </c>
      <c r="E2906" s="13" t="inlineStr">
        <is>
          <t>ЮЛ РФ</t>
        </is>
      </c>
      <c r="F2906" s="13" t="n"/>
      <c r="G2906" s="14" t="n"/>
      <c r="H2906" s="14" t="n"/>
      <c r="I2906" s="14" t="n"/>
      <c r="J2906" s="14" t="n"/>
      <c r="K2906" s="53" t="inlineStr"/>
      <c r="L2906" s="53" t="inlineStr">
        <is>
          <t>Не определено</t>
        </is>
      </c>
      <c r="M2906" s="53" t="inlineStr"/>
      <c r="N2906" s="54" t="inlineStr"/>
      <c r="O2906" s="55" t="inlineStr"/>
      <c r="P2906" s="16" t="inlineStr">
        <is>
          <t>Требует обогащения</t>
        </is>
      </c>
      <c r="Q2906" s="16">
        <f>HYPERLINK("https://pb.nalog.ru/search.html?query=2309090532","ФНС: проверить")</f>
        <v/>
      </c>
      <c r="R2906" s="16">
        <f>HYPERLINK("https://checko.ru/search?query=3801001629","Чекко: проверить")</f>
        <v/>
      </c>
      <c r="S2906" t="n">
        <v>1</v>
      </c>
      <c r="T2906" s="35" t="inlineStr">
        <is>
          <t>4 — Не обогащён</t>
        </is>
      </c>
      <c r="U2906" s="35" t="inlineStr">
        <is>
          <t>Нет ОКВЭД/ССЧР</t>
        </is>
      </c>
      <c r="V2906" s="35" t="inlineStr">
        <is>
          <t>Не определено</t>
        </is>
      </c>
      <c r="W2906" s="35" t="inlineStr"/>
      <c r="X2906" s="35" t="inlineStr"/>
    </row>
    <row r="2907" ht="27.75" customHeight="1" s="24">
      <c r="A2907" s="13" t="n">
        <v>5000101683</v>
      </c>
      <c r="B2907" s="13" t="inlineStr">
        <is>
          <t>Государственное Казенное Учреждение Иркутской области "Усть-Кутское лесничество"</t>
        </is>
      </c>
      <c r="C2907" s="13" t="n">
        <v>3808283605</v>
      </c>
      <c r="D2907" s="13" t="inlineStr">
        <is>
          <t>3808283605</t>
        </is>
      </c>
      <c r="E2907" s="13" t="inlineStr">
        <is>
          <t>ЮЛ РФ</t>
        </is>
      </c>
      <c r="F2907" s="13" t="n"/>
      <c r="G2907" s="14" t="n"/>
      <c r="H2907" s="14" t="n"/>
      <c r="I2907" s="14" t="n"/>
      <c r="J2907" s="14" t="n"/>
      <c r="K2907" s="53" t="inlineStr"/>
      <c r="L2907" s="53" t="inlineStr">
        <is>
          <t>Не определено</t>
        </is>
      </c>
      <c r="M2907" s="53" t="inlineStr"/>
      <c r="N2907" s="54" t="inlineStr"/>
      <c r="O2907" s="55" t="inlineStr"/>
      <c r="P2907" s="16" t="inlineStr">
        <is>
          <t>Требует обогащения</t>
        </is>
      </c>
      <c r="Q2907" s="16">
        <f>HYPERLINK("https://pb.nalog.ru/search.html?query=3808283605","ФНС: проверить")</f>
        <v/>
      </c>
      <c r="R2907" s="16">
        <f>HYPERLINK("https://checko.ru/search?query=3801001629","Чекко: проверить")</f>
        <v/>
      </c>
      <c r="S2907" t="n">
        <v>1</v>
      </c>
      <c r="T2907" s="35" t="inlineStr">
        <is>
          <t>4 — Не обогащён</t>
        </is>
      </c>
      <c r="U2907" s="35" t="inlineStr">
        <is>
          <t>Нет ОКВЭД/ССЧР</t>
        </is>
      </c>
      <c r="V2907" s="35" t="inlineStr">
        <is>
          <t>Не определено</t>
        </is>
      </c>
      <c r="W2907" s="35" t="inlineStr"/>
      <c r="X2907" s="35" t="inlineStr"/>
    </row>
    <row r="2908" ht="41.25" customHeight="1" s="24">
      <c r="A2908" s="13" t="n">
        <v>5000034654</v>
      </c>
      <c r="B2908" s="13" t="inlineStr">
        <is>
          <t>Управление образования Администрации Одинцовского муниципального района Московской области</t>
        </is>
      </c>
      <c r="C2908" s="13" t="n">
        <v>5032004198</v>
      </c>
      <c r="D2908" s="13" t="inlineStr">
        <is>
          <t>5032004198</t>
        </is>
      </c>
      <c r="E2908" s="13" t="inlineStr">
        <is>
          <t>ЮЛ РФ</t>
        </is>
      </c>
      <c r="F2908" s="13" t="n"/>
      <c r="G2908" s="14" t="n"/>
      <c r="H2908" s="14" t="n"/>
      <c r="I2908" s="14" t="n"/>
      <c r="J2908" s="14" t="n"/>
      <c r="K2908" s="53" t="inlineStr"/>
      <c r="L2908" s="53" t="inlineStr">
        <is>
          <t>Не определено</t>
        </is>
      </c>
      <c r="M2908" s="53" t="inlineStr"/>
      <c r="N2908" s="54" t="inlineStr"/>
      <c r="O2908" s="55" t="inlineStr"/>
      <c r="P2908" s="16" t="inlineStr">
        <is>
          <t>Требует обогащения</t>
        </is>
      </c>
      <c r="Q2908" s="16">
        <f>HYPERLINK("https://pb.nalog.ru/search.html?query=5032004198","ФНС: проверить")</f>
        <v/>
      </c>
      <c r="R2908" s="16">
        <f>HYPERLINK("https://checko.ru/search?query=3801001629","Чекко: проверить")</f>
        <v/>
      </c>
      <c r="S2908" t="n">
        <v>1</v>
      </c>
      <c r="T2908" s="35" t="inlineStr">
        <is>
          <t>4 — Не обогащён</t>
        </is>
      </c>
      <c r="U2908" s="35" t="inlineStr">
        <is>
          <t>Нет ОКВЭД/ССЧР</t>
        </is>
      </c>
      <c r="V2908" s="35" t="inlineStr">
        <is>
          <t>Не определено</t>
        </is>
      </c>
      <c r="W2908" s="35" t="inlineStr"/>
      <c r="X2908" s="35" t="inlineStr"/>
    </row>
    <row r="2909" ht="41.25" customHeight="1" s="24">
      <c r="A2909" s="13" t="n">
        <v>5000094497</v>
      </c>
      <c r="B2909" s="13" t="inlineStr">
        <is>
          <t>МКУ "Управление образования" Зольского муниципального района Кабардино-Балкарской республики</t>
        </is>
      </c>
      <c r="C2909" s="13" t="n">
        <v>702002841</v>
      </c>
      <c r="D2909" s="13" t="n"/>
      <c r="E2909" s="13" t="inlineStr">
        <is>
          <t>Не определён</t>
        </is>
      </c>
      <c r="F2909" s="13" t="inlineStr">
        <is>
          <t>702002841</t>
        </is>
      </c>
      <c r="G2909" s="14" t="n"/>
      <c r="H2909" s="14" t="n"/>
      <c r="I2909" s="14" t="n"/>
      <c r="J2909" s="14" t="n"/>
      <c r="K2909" s="13">
        <f>IF(G2909="","",IF(G2909&gt;=22,"Да","Нет"))</f>
        <v/>
      </c>
      <c r="L2909" s="13">
        <f>IF(OR(I2909="",J2909=""),"Не определено",IF(OR(COUNTIF(I2909,"45*")&gt;0,COUNTIF(J2909,"*45*")&gt;0,COUNTIF(I2909,"46*")&gt;0,COUNTIF(J2909,"*46*")&gt;0,COUNTIF(I2909,"47*")&gt;0,COUNTIF(J2909,"*47*")&gt;0,COUNTIF(I2909,"10*")&gt;0,COUNTIF(J2909,"*10*")&gt;0,COUNTIF(I2909,"11*")&gt;0,COUNTIF(J2909,"*11*")&gt;0,COUNTIF(I2909,"12*")&gt;0,COUNTIF(J2909,"*12*")&gt;0,COUNTIF(I2909,"13*")&gt;0,COUNTIF(J2909,"*13*")&gt;0,COUNTIF(I2909,"14*")&gt;0,COUNTIF(J2909,"*14*")&gt;0,COUNTIF(I2909,"15*")&gt;0,COUNTIF(J2909,"*15*")&gt;0,COUNTIF(I2909,"16*")&gt;0,COUNTIF(J2909,"*16*")&gt;0,COUNTIF(I2909,"17*")&gt;0,COUNTIF(J2909,"*17*")&gt;0,COUNTIF(I2909,"18*")&gt;0,COUNTIF(J2909,"*18*")&gt;0,COUNTIF(I2909,"19*")&gt;0,COUNTIF(J2909,"*19*")&gt;0,COUNTIF(I2909,"20*")&gt;0,COUNTIF(J2909,"*20*")&gt;0,COUNTIF(I2909,"21*")&gt;0,COUNTIF(J2909,"*21*")&gt;0,COUNTIF(I2909,"22*")&gt;0,COUNTIF(J2909,"*22*")&gt;0,COUNTIF(I2909,"23*")&gt;0,COUNTIF(J2909,"*23*")&gt;0,COUNTIF(I2909,"24*")&gt;0,COUNTIF(J2909,"*24*")&gt;0,COUNTIF(I2909,"25*")&gt;0,COUNTIF(J2909,"*25*")&gt;0,COUNTIF(I2909,"26*")&gt;0,COUNTIF(J2909,"*26*")&gt;0,COUNTIF(I2909,"27*")&gt;0,COUNTIF(J2909,"*27*")&gt;0,COUNTIF(I2909,"28*")&gt;0,COUNTIF(J2909,"*28*")&gt;0,COUNTIF(I2909,"29*")&gt;0,COUNTIF(J2909,"*29*")&gt;0,COUNTIF(I2909,"30*")&gt;0,COUNTIF(J2909,"*30*")&gt;0,COUNTIF(I2909,"31*")&gt;0,COUNTIF(J2909,"*31*")&gt;0,COUNTIF(I2909,"32*")&gt;0,COUNTIF(J2909,"*32*")&gt;0,COUNTIF(I2909,"33*")&gt;0,COUNTIF(J2909,"*33*")&gt;0,COUNTIF(I2909,"41*")&gt;0,COUNTIF(J2909,"*41*")&gt;0,COUNTIF(I2909,"42*")&gt;0,COUNTIF(J2909,"*42*")&gt;0,COUNTIF(I2909,"43*")&gt;0,COUNTIF(J2909,"*43*")&gt;0,COUNTIF(I2909,"49*")&gt;0,COUNTIF(J2909,"*49*")&gt;0,COUNTIF(I2909,"52*")&gt;0,COUNTIF(J2909,"*52*")&gt;0,COUNTIF(I2909,"55*")&gt;0,COUNTIF(J2909,"*55*")&gt;0,COUNTIF(I2909,"56*")&gt;0,COUNTIF(J2909,"*56*")&gt;0,COUNTIF(I2909,"68*")&gt;0,COUNTIF(J2909,"*68*")&gt;0,COUNTIF(I2909,"78*")&gt;0,COUNTIF(J2909,"*78*")&gt;0,COUNTIF(I2909,"81*")&gt;0,COUNTIF(J2909,"*81*")&gt;0,COUNTIF(I2909,"82*")&gt;0,COUNTIF(J2909,"*82*")&gt;0,COUNTIF(I2909,"64*")&gt;0,COUNTIF(J2909,"*64*")&gt;0,COUNTIF(I2909,"65*")&gt;0,COUNTIF(J2909,"*65*")&gt;0,COUNTIF(I2909,"66*")&gt;0,COUNTIF(J2909,"*66*")&gt;0,COUNTIF(I2909,"61*")&gt;0,COUNTIF(J2909,"*61*")&gt;0,COUNTIF(I2909,"62*")&gt;0,COUNTIF(J2909,"*62*")&gt;0,COUNTIF(I2909,"63*")&gt;0,COUNTIF(J2909,"*63*")&gt;0,COUNTIF(I2909,"85*")&gt;0,COUNTIF(J2909,"*85*")&gt;0,COUNTIF(I2909,"86*")&gt;0,COUNTIF(J2909,"*86*")&gt;0),"Да","Нет"))</f>
        <v/>
      </c>
      <c r="M2909" s="13">
        <f>IF(OR(G2909="",L2909&lt;&gt;"Да"),"",IF(G2909&lt;=100,"До 100",IF(G2909&lt;=200,"До 200",IF(G2909&lt;=500,"До 500","Отдельное КП"))))</f>
        <v/>
      </c>
      <c r="N2909" s="15">
        <f>IF(OR(G2909="",L2909&lt;&gt;"Да"),"",IF(G2909&lt;=100,33600,IF(G2909&lt;=200,62400,IF(G2909&lt;=500,144000,""))))</f>
        <v/>
      </c>
      <c r="O2909" s="16">
        <f>IF(G2909="","",IF(G2909&lt;=15,"1–15",IF(G2909&lt;=30,"16–30",IF(G2909&lt;=50,"31–50",IF(G2909&lt;=100,"51–100",IF(G2909&lt;=150,"101–150",IF(G2909&lt;=200,"151–200",IF(G2909&lt;=500,"201–500","500+"))))))))</f>
        <v/>
      </c>
      <c r="P2909" s="16" t="inlineStr">
        <is>
          <t>Нет совпадения в предоставленной выгрузке ССЧР</t>
        </is>
      </c>
      <c r="Q2909" s="16" t="n"/>
      <c r="R2909" s="16">
        <f>HYPERLINK("https://checko.ru/search?query=3801001629","Чекко: проверить")</f>
        <v/>
      </c>
      <c r="S2909" t="n">
        <v>0</v>
      </c>
    </row>
    <row r="2910" ht="41.25" customHeight="1" s="24">
      <c r="A2910" s="13" t="n">
        <v>5000001873</v>
      </c>
      <c r="B2910" s="13" t="inlineStr">
        <is>
          <t>Межрайонное управление министерства социального развития, опеки и попечительства №4</t>
        </is>
      </c>
      <c r="C2910" s="13" t="n">
        <v>3820009535</v>
      </c>
      <c r="D2910" s="13" t="inlineStr">
        <is>
          <t>3820009535</t>
        </is>
      </c>
      <c r="E2910" s="13" t="inlineStr">
        <is>
          <t>ЮЛ РФ</t>
        </is>
      </c>
      <c r="F2910" s="13" t="n"/>
      <c r="G2910" s="14" t="n"/>
      <c r="H2910" s="14" t="n"/>
      <c r="I2910" s="14" t="n"/>
      <c r="J2910" s="14" t="n"/>
      <c r="K2910" s="53" t="inlineStr"/>
      <c r="L2910" s="53" t="inlineStr">
        <is>
          <t>Не определено</t>
        </is>
      </c>
      <c r="M2910" s="53" t="inlineStr"/>
      <c r="N2910" s="54" t="inlineStr"/>
      <c r="O2910" s="55" t="inlineStr"/>
      <c r="P2910" s="16" t="inlineStr">
        <is>
          <t>Требует обогащения</t>
        </is>
      </c>
      <c r="Q2910" s="16">
        <f>HYPERLINK("https://pb.nalog.ru/search.html?query=3820009535","ФНС: проверить")</f>
        <v/>
      </c>
      <c r="R2910" s="16">
        <f>HYPERLINK("https://checko.ru/search?query=3801001629","Чекко: проверить")</f>
        <v/>
      </c>
      <c r="S2910" t="n">
        <v>1</v>
      </c>
      <c r="T2910" s="35" t="inlineStr">
        <is>
          <t>4 — Не обогащён</t>
        </is>
      </c>
      <c r="U2910" s="35" t="inlineStr">
        <is>
          <t>Нет ОКВЭД/ССЧР</t>
        </is>
      </c>
      <c r="V2910" s="35" t="inlineStr">
        <is>
          <t>Не определено</t>
        </is>
      </c>
      <c r="W2910" s="35" t="inlineStr"/>
      <c r="X2910" s="35" t="inlineStr"/>
    </row>
    <row r="2911" ht="15" customHeight="1" s="24">
      <c r="A2911" s="13" t="n">
        <v>5000002008</v>
      </c>
      <c r="B2911" s="13" t="inlineStr">
        <is>
          <t>АУ "Балаганский лесхоз"</t>
        </is>
      </c>
      <c r="C2911" s="13" t="n">
        <v>3822000390</v>
      </c>
      <c r="D2911" s="13" t="inlineStr">
        <is>
          <t>3822000390</t>
        </is>
      </c>
      <c r="E2911" s="13" t="inlineStr">
        <is>
          <t>ЮЛ РФ</t>
        </is>
      </c>
      <c r="F2911" s="13" t="n"/>
      <c r="G2911" s="14" t="n"/>
      <c r="H2911" s="14" t="n"/>
      <c r="I2911" s="14" t="n"/>
      <c r="J2911" s="14" t="n"/>
      <c r="K2911" s="53" t="inlineStr"/>
      <c r="L2911" s="53" t="inlineStr">
        <is>
          <t>Не определено</t>
        </is>
      </c>
      <c r="M2911" s="53" t="inlineStr"/>
      <c r="N2911" s="54" t="inlineStr"/>
      <c r="O2911" s="55" t="inlineStr"/>
      <c r="P2911" s="16" t="inlineStr">
        <is>
          <t>Требует обогащения</t>
        </is>
      </c>
      <c r="Q2911" s="16">
        <f>HYPERLINK("https://pb.nalog.ru/search.html?query=3822000390","ФНС: проверить")</f>
        <v/>
      </c>
      <c r="R2911" s="16">
        <f>HYPERLINK("https://checko.ru/search?query=3801001629","Чекко: проверить")</f>
        <v/>
      </c>
      <c r="S2911" t="n">
        <v>1</v>
      </c>
      <c r="T2911" s="35" t="inlineStr">
        <is>
          <t>4 — Не обогащён</t>
        </is>
      </c>
      <c r="U2911" s="35" t="inlineStr">
        <is>
          <t>Нет ОКВЭД/ССЧР</t>
        </is>
      </c>
      <c r="V2911" s="35" t="inlineStr">
        <is>
          <t>Не определено</t>
        </is>
      </c>
      <c r="W2911" s="35" t="inlineStr"/>
      <c r="X2911" s="35" t="inlineStr"/>
    </row>
    <row r="2912" ht="15" customHeight="1" s="24">
      <c r="A2912" s="13" t="n">
        <v>5000002033</v>
      </c>
      <c r="B2912" s="13" t="inlineStr">
        <is>
          <t>ОГБУЗ Железногорская районная больница</t>
        </is>
      </c>
      <c r="C2912" s="13" t="n">
        <v>3834008940</v>
      </c>
      <c r="D2912" s="13" t="inlineStr">
        <is>
          <t>3834008940</t>
        </is>
      </c>
      <c r="E2912" s="13" t="inlineStr">
        <is>
          <t>ЮЛ РФ</t>
        </is>
      </c>
      <c r="F2912" s="13" t="n"/>
      <c r="G2912" s="14" t="n"/>
      <c r="H2912" s="14" t="n"/>
      <c r="I2912" s="14" t="n"/>
      <c r="J2912" s="14" t="n"/>
      <c r="K2912" s="53" t="inlineStr"/>
      <c r="L2912" s="53" t="inlineStr">
        <is>
          <t>Не определено</t>
        </is>
      </c>
      <c r="M2912" s="53" t="inlineStr"/>
      <c r="N2912" s="54" t="inlineStr"/>
      <c r="O2912" s="55" t="inlineStr"/>
      <c r="P2912" s="16" t="inlineStr">
        <is>
          <t>Требует обогащения</t>
        </is>
      </c>
      <c r="Q2912" s="16">
        <f>HYPERLINK("https://pb.nalog.ru/search.html?query=3834008940","ФНС: проверить")</f>
        <v/>
      </c>
      <c r="R2912" s="16">
        <f>HYPERLINK("https://checko.ru/search?query=3801001629","Чекко: проверить")</f>
        <v/>
      </c>
      <c r="S2912" t="n">
        <v>1</v>
      </c>
      <c r="T2912" s="35" t="inlineStr">
        <is>
          <t>4 — Не обогащён</t>
        </is>
      </c>
      <c r="U2912" s="35" t="inlineStr">
        <is>
          <t>Нет ОКВЭД/ССЧР</t>
        </is>
      </c>
      <c r="V2912" s="35" t="inlineStr">
        <is>
          <t>Не определено</t>
        </is>
      </c>
      <c r="W2912" s="35" t="inlineStr"/>
      <c r="X2912" s="35" t="inlineStr"/>
    </row>
    <row r="2913" ht="15" customHeight="1" s="24">
      <c r="A2913" s="13" t="n">
        <v>5000001900</v>
      </c>
      <c r="B2913" s="13" t="inlineStr">
        <is>
          <t>ГОКУ Санаторная школа-интернат №12 г.Иркутска</t>
        </is>
      </c>
      <c r="C2913" s="13" t="n">
        <v>3812009355</v>
      </c>
      <c r="D2913" s="13" t="inlineStr">
        <is>
          <t>3812009355</t>
        </is>
      </c>
      <c r="E2913" s="13" t="inlineStr">
        <is>
          <t>ЮЛ РФ</t>
        </is>
      </c>
      <c r="F2913" s="13" t="n"/>
      <c r="G2913" s="14" t="n"/>
      <c r="H2913" s="14" t="n"/>
      <c r="I2913" s="14" t="n"/>
      <c r="J2913" s="14" t="n"/>
      <c r="K2913" s="53" t="inlineStr"/>
      <c r="L2913" s="53" t="inlineStr">
        <is>
          <t>Не определено</t>
        </is>
      </c>
      <c r="M2913" s="53" t="inlineStr"/>
      <c r="N2913" s="54" t="inlineStr"/>
      <c r="O2913" s="55" t="inlineStr"/>
      <c r="P2913" s="16" t="inlineStr">
        <is>
          <t>Требует обогащения</t>
        </is>
      </c>
      <c r="Q2913" s="16">
        <f>HYPERLINK("https://pb.nalog.ru/search.html?query=3812009355","ФНС: проверить")</f>
        <v/>
      </c>
      <c r="R2913" s="16">
        <f>HYPERLINK("https://checko.ru/search?query=3801001629","Чекко: проверить")</f>
        <v/>
      </c>
      <c r="S2913" t="n">
        <v>1</v>
      </c>
      <c r="T2913" s="35" t="inlineStr">
        <is>
          <t>4 — Не обогащён</t>
        </is>
      </c>
      <c r="U2913" s="35" t="inlineStr">
        <is>
          <t>Нет ОКВЭД/ССЧР</t>
        </is>
      </c>
      <c r="V2913" s="35" t="inlineStr">
        <is>
          <t>Не определено</t>
        </is>
      </c>
      <c r="W2913" s="35" t="inlineStr"/>
      <c r="X2913" s="35" t="inlineStr"/>
    </row>
    <row r="2914" ht="15" customHeight="1" s="24">
      <c r="A2914" s="13" t="n">
        <v>5000001913</v>
      </c>
      <c r="B2914" s="13" t="inlineStr">
        <is>
          <t>ГОКУ СКШ № 3 г.Тулуна</t>
        </is>
      </c>
      <c r="C2914" s="13" t="n">
        <v>3816002424</v>
      </c>
      <c r="D2914" s="13" t="inlineStr">
        <is>
          <t>3816002424</t>
        </is>
      </c>
      <c r="E2914" s="13" t="inlineStr">
        <is>
          <t>ЮЛ РФ</t>
        </is>
      </c>
      <c r="F2914" s="13" t="n"/>
      <c r="G2914" s="14" t="n"/>
      <c r="H2914" s="14" t="n"/>
      <c r="I2914" s="14" t="n"/>
      <c r="J2914" s="14" t="n"/>
      <c r="K2914" s="53" t="inlineStr"/>
      <c r="L2914" s="53" t="inlineStr">
        <is>
          <t>Не определено</t>
        </is>
      </c>
      <c r="M2914" s="53" t="inlineStr"/>
      <c r="N2914" s="54" t="inlineStr"/>
      <c r="O2914" s="55" t="inlineStr"/>
      <c r="P2914" s="16" t="inlineStr">
        <is>
          <t>Требует обогащения</t>
        </is>
      </c>
      <c r="Q2914" s="16">
        <f>HYPERLINK("https://pb.nalog.ru/search.html?query=3816002424","ФНС: проверить")</f>
        <v/>
      </c>
      <c r="R2914" s="16">
        <f>HYPERLINK("https://checko.ru/search?query=3801001629","Чекко: проверить")</f>
        <v/>
      </c>
      <c r="S2914" t="n">
        <v>1</v>
      </c>
      <c r="T2914" s="35" t="inlineStr">
        <is>
          <t>4 — Не обогащён</t>
        </is>
      </c>
      <c r="U2914" s="35" t="inlineStr">
        <is>
          <t>Нет ОКВЭД/ССЧР</t>
        </is>
      </c>
      <c r="V2914" s="35" t="inlineStr">
        <is>
          <t>Не определено</t>
        </is>
      </c>
      <c r="W2914" s="35" t="inlineStr"/>
      <c r="X2914" s="35" t="inlineStr"/>
    </row>
    <row r="2915" ht="54.75" customHeight="1" s="24">
      <c r="A2915" s="13" t="n">
        <v>5000001931</v>
      </c>
      <c r="B2915" s="13" t="inlineStr">
        <is>
          <t>ГООКУ Иркутской Области длядетей-сирот и детей, оставшихся без попечения родителей "Специальная (коррекционная) школа - интернат №2 г. Черемхово"</t>
        </is>
      </c>
      <c r="C2915" s="13" t="n">
        <v>3820005717</v>
      </c>
      <c r="D2915" s="13" t="inlineStr">
        <is>
          <t>3820005717</t>
        </is>
      </c>
      <c r="E2915" s="13" t="inlineStr">
        <is>
          <t>ЮЛ РФ</t>
        </is>
      </c>
      <c r="F2915" s="13" t="n"/>
      <c r="G2915" s="14" t="n"/>
      <c r="H2915" s="14" t="n"/>
      <c r="I2915" s="14" t="n"/>
      <c r="J2915" s="14" t="n"/>
      <c r="K2915" s="53" t="inlineStr"/>
      <c r="L2915" s="53" t="inlineStr">
        <is>
          <t>Не определено</t>
        </is>
      </c>
      <c r="M2915" s="53" t="inlineStr"/>
      <c r="N2915" s="54" t="inlineStr"/>
      <c r="O2915" s="55" t="inlineStr"/>
      <c r="P2915" s="16" t="inlineStr">
        <is>
          <t>Требует обогащения</t>
        </is>
      </c>
      <c r="Q2915" s="16">
        <f>HYPERLINK("https://pb.nalog.ru/search.html?query=3820005717","ФНС: проверить")</f>
        <v/>
      </c>
      <c r="R2915" s="16">
        <f>HYPERLINK("https://checko.ru/search?query=3801001629","Чекко: проверить")</f>
        <v/>
      </c>
      <c r="S2915" t="n">
        <v>1</v>
      </c>
      <c r="T2915" s="35" t="inlineStr">
        <is>
          <t>4 — Не обогащён</t>
        </is>
      </c>
      <c r="U2915" s="35" t="inlineStr">
        <is>
          <t>Нет ОКВЭД/ССЧР</t>
        </is>
      </c>
      <c r="V2915" s="35" t="inlineStr">
        <is>
          <t>Не определено</t>
        </is>
      </c>
      <c r="W2915" s="35" t="inlineStr"/>
      <c r="X2915" s="35" t="inlineStr"/>
    </row>
    <row r="2916" ht="15" customHeight="1" s="24">
      <c r="A2916" s="13" t="n">
        <v>5000001947</v>
      </c>
      <c r="B2916" s="13" t="inlineStr">
        <is>
          <t>ГБПОУ ПУ №58 р.п. Юрты</t>
        </is>
      </c>
      <c r="C2916" s="13" t="n">
        <v>3838002280</v>
      </c>
      <c r="D2916" s="13" t="inlineStr">
        <is>
          <t>3838002280</t>
        </is>
      </c>
      <c r="E2916" s="13" t="inlineStr">
        <is>
          <t>ЮЛ РФ</t>
        </is>
      </c>
      <c r="F2916" s="13" t="n"/>
      <c r="G2916" s="14" t="n"/>
      <c r="H2916" s="14" t="n"/>
      <c r="I2916" s="14" t="n"/>
      <c r="J2916" s="14" t="n"/>
      <c r="K2916" s="53" t="inlineStr"/>
      <c r="L2916" s="53" t="inlineStr">
        <is>
          <t>Не определено</t>
        </is>
      </c>
      <c r="M2916" s="53" t="inlineStr"/>
      <c r="N2916" s="54" t="inlineStr"/>
      <c r="O2916" s="55" t="inlineStr"/>
      <c r="P2916" s="16" t="inlineStr">
        <is>
          <t>Требует обогащения</t>
        </is>
      </c>
      <c r="Q2916" s="16">
        <f>HYPERLINK("https://pb.nalog.ru/search.html?query=3838002280","ФНС: проверить")</f>
        <v/>
      </c>
      <c r="R2916" s="16">
        <f>HYPERLINK("https://checko.ru/search?query=3801001629","Чекко: проверить")</f>
        <v/>
      </c>
      <c r="S2916" t="n">
        <v>1</v>
      </c>
      <c r="T2916" s="35" t="inlineStr">
        <is>
          <t>4 — Не обогащён</t>
        </is>
      </c>
      <c r="U2916" s="35" t="inlineStr">
        <is>
          <t>Нет ОКВЭД/ССЧР</t>
        </is>
      </c>
      <c r="V2916" s="35" t="inlineStr">
        <is>
          <t>Не определено</t>
        </is>
      </c>
      <c r="W2916" s="35" t="inlineStr"/>
      <c r="X2916" s="35" t="inlineStr"/>
    </row>
    <row r="2917" ht="27.75" customHeight="1" s="24">
      <c r="A2917" s="13" t="n">
        <v>5000001963</v>
      </c>
      <c r="B2917" s="13" t="inlineStr">
        <is>
          <t>ГБУ ДО "Центр Дополнительного Образования Детей"</t>
        </is>
      </c>
      <c r="C2917" s="13" t="n">
        <v>8506007647</v>
      </c>
      <c r="D2917" s="13" t="inlineStr">
        <is>
          <t>8506007647</t>
        </is>
      </c>
      <c r="E2917" s="13" t="inlineStr">
        <is>
          <t>ЮЛ РФ</t>
        </is>
      </c>
      <c r="F2917" s="13" t="n"/>
      <c r="G2917" s="14" t="n"/>
      <c r="H2917" s="14" t="n"/>
      <c r="I2917" s="14" t="n"/>
      <c r="J2917" s="14" t="n"/>
      <c r="K2917" s="53" t="inlineStr"/>
      <c r="L2917" s="53" t="inlineStr">
        <is>
          <t>Не определено</t>
        </is>
      </c>
      <c r="M2917" s="53" t="inlineStr"/>
      <c r="N2917" s="54" t="inlineStr"/>
      <c r="O2917" s="55" t="inlineStr"/>
      <c r="P2917" s="16" t="inlineStr">
        <is>
          <t>Требует обогащения</t>
        </is>
      </c>
      <c r="Q2917" s="16">
        <f>HYPERLINK("https://pb.nalog.ru/search.html?query=8506007647","ФНС: проверить")</f>
        <v/>
      </c>
      <c r="R2917" s="16">
        <f>HYPERLINK("https://checko.ru/search?query=3801001629","Чекко: проверить")</f>
        <v/>
      </c>
      <c r="S2917" t="n">
        <v>1</v>
      </c>
      <c r="T2917" s="35" t="inlineStr">
        <is>
          <t>4 — Не обогащён</t>
        </is>
      </c>
      <c r="U2917" s="35" t="inlineStr">
        <is>
          <t>Нет ОКВЭД/ССЧР</t>
        </is>
      </c>
      <c r="V2917" s="35" t="inlineStr">
        <is>
          <t>Не определено</t>
        </is>
      </c>
      <c r="W2917" s="35" t="inlineStr"/>
      <c r="X2917" s="35" t="inlineStr"/>
    </row>
    <row r="2918" ht="27.75" customHeight="1" s="24">
      <c r="A2918" s="13" t="n">
        <v>5000001967</v>
      </c>
      <c r="B2918" s="13" t="inlineStr">
        <is>
          <t>Министерство культуры и архивов Иркутской области</t>
        </is>
      </c>
      <c r="C2918" s="13" t="n">
        <v>3811117260</v>
      </c>
      <c r="D2918" s="13" t="inlineStr">
        <is>
          <t>3811117260</t>
        </is>
      </c>
      <c r="E2918" s="13" t="inlineStr">
        <is>
          <t>ЮЛ РФ</t>
        </is>
      </c>
      <c r="F2918" s="13" t="n"/>
      <c r="G2918" s="14" t="n"/>
      <c r="H2918" s="14" t="n"/>
      <c r="I2918" s="14" t="n"/>
      <c r="J2918" s="14" t="n"/>
      <c r="K2918" s="53" t="inlineStr"/>
      <c r="L2918" s="53" t="inlineStr">
        <is>
          <t>Не определено</t>
        </is>
      </c>
      <c r="M2918" s="53" t="inlineStr"/>
      <c r="N2918" s="54" t="inlineStr"/>
      <c r="O2918" s="55" t="inlineStr"/>
      <c r="P2918" s="16" t="inlineStr">
        <is>
          <t>Требует обогащения</t>
        </is>
      </c>
      <c r="Q2918" s="16">
        <f>HYPERLINK("https://pb.nalog.ru/search.html?query=3811117260","ФНС: проверить")</f>
        <v/>
      </c>
      <c r="R2918" s="16">
        <f>HYPERLINK("https://checko.ru/search?query=3801001629","Чекко: проверить")</f>
        <v/>
      </c>
      <c r="S2918" t="n">
        <v>1</v>
      </c>
      <c r="T2918" s="35" t="inlineStr">
        <is>
          <t>4 — Не обогащён</t>
        </is>
      </c>
      <c r="U2918" s="35" t="inlineStr">
        <is>
          <t>Нет ОКВЭД/ССЧР</t>
        </is>
      </c>
      <c r="V2918" s="35" t="inlineStr">
        <is>
          <t>Не определено</t>
        </is>
      </c>
      <c r="W2918" s="35" t="inlineStr"/>
      <c r="X2918" s="35" t="inlineStr"/>
    </row>
    <row r="2919" ht="27.75" customHeight="1" s="24">
      <c r="A2919" s="13" t="n">
        <v>5000002015</v>
      </c>
      <c r="B2919" s="13" t="inlineStr">
        <is>
          <t>Иркутское Областное ГАУ культуры Архитектурно - этнографический музей "Тальцы"</t>
        </is>
      </c>
      <c r="C2919" s="13" t="n">
        <v>3827000443</v>
      </c>
      <c r="D2919" s="13" t="inlineStr">
        <is>
          <t>3827000443</t>
        </is>
      </c>
      <c r="E2919" s="13" t="inlineStr">
        <is>
          <t>ЮЛ РФ</t>
        </is>
      </c>
      <c r="F2919" s="13" t="n"/>
      <c r="G2919" s="14" t="n"/>
      <c r="H2919" s="14" t="n"/>
      <c r="I2919" s="14" t="n"/>
      <c r="J2919" s="14" t="n"/>
      <c r="K2919" s="53" t="inlineStr"/>
      <c r="L2919" s="53" t="inlineStr">
        <is>
          <t>Не определено</t>
        </is>
      </c>
      <c r="M2919" s="53" t="inlineStr"/>
      <c r="N2919" s="54" t="inlineStr"/>
      <c r="O2919" s="55" t="inlineStr"/>
      <c r="P2919" s="16" t="inlineStr">
        <is>
          <t>Требует обогащения</t>
        </is>
      </c>
      <c r="Q2919" s="16">
        <f>HYPERLINK("https://pb.nalog.ru/search.html?query=3827000443","ФНС: проверить")</f>
        <v/>
      </c>
      <c r="R2919" s="16">
        <f>HYPERLINK("https://checko.ru/search?query=3801001629","Чекко: проверить")</f>
        <v/>
      </c>
      <c r="S2919" t="n">
        <v>1</v>
      </c>
      <c r="T2919" s="35" t="inlineStr">
        <is>
          <t>4 — Не обогащён</t>
        </is>
      </c>
      <c r="U2919" s="35" t="inlineStr">
        <is>
          <t>Нет ОКВЭД/ССЧР</t>
        </is>
      </c>
      <c r="V2919" s="35" t="inlineStr">
        <is>
          <t>Не определено</t>
        </is>
      </c>
      <c r="W2919" s="35" t="inlineStr"/>
      <c r="X2919" s="35" t="inlineStr"/>
    </row>
    <row r="2920" ht="27.75" customHeight="1" s="24">
      <c r="A2920" s="13" t="n">
        <v>5000002052</v>
      </c>
      <c r="B2920" s="13" t="inlineStr">
        <is>
          <t>ОбГБУК "Усть-Ордынский Национальный центр художественных народных промыслов"</t>
        </is>
      </c>
      <c r="C2920" s="13" t="n">
        <v>8506004597</v>
      </c>
      <c r="D2920" s="13" t="inlineStr">
        <is>
          <t>8506004597</t>
        </is>
      </c>
      <c r="E2920" s="13" t="inlineStr">
        <is>
          <t>ЮЛ РФ</t>
        </is>
      </c>
      <c r="F2920" s="13" t="n"/>
      <c r="G2920" s="14" t="n"/>
      <c r="H2920" s="14" t="n"/>
      <c r="I2920" s="14" t="n"/>
      <c r="J2920" s="14" t="n"/>
      <c r="K2920" s="53" t="inlineStr"/>
      <c r="L2920" s="53" t="inlineStr">
        <is>
          <t>Не определено</t>
        </is>
      </c>
      <c r="M2920" s="53" t="inlineStr"/>
      <c r="N2920" s="54" t="inlineStr"/>
      <c r="O2920" s="55" t="inlineStr"/>
      <c r="P2920" s="16" t="inlineStr">
        <is>
          <t>Требует обогащения</t>
        </is>
      </c>
      <c r="Q2920" s="16">
        <f>HYPERLINK("https://pb.nalog.ru/search.html?query=8506004597","ФНС: проверить")</f>
        <v/>
      </c>
      <c r="R2920" s="16">
        <f>HYPERLINK("https://checko.ru/search?query=3801001629","Чекко: проверить")</f>
        <v/>
      </c>
      <c r="S2920" t="n">
        <v>1</v>
      </c>
      <c r="T2920" s="35" t="inlineStr">
        <is>
          <t>4 — Не обогащён</t>
        </is>
      </c>
      <c r="U2920" s="35" t="inlineStr">
        <is>
          <t>Нет ОКВЭД/ССЧР</t>
        </is>
      </c>
      <c r="V2920" s="35" t="inlineStr">
        <is>
          <t>Не определено</t>
        </is>
      </c>
      <c r="W2920" s="35" t="inlineStr"/>
      <c r="X2920" s="35" t="inlineStr"/>
    </row>
    <row r="2921" ht="27.75" customHeight="1" s="24">
      <c r="A2921" s="13" t="n">
        <v>5000029861</v>
      </c>
      <c r="B2921" s="13" t="inlineStr">
        <is>
          <t>Администрация Жигаловского муниципального образования</t>
        </is>
      </c>
      <c r="C2921" s="13" t="n">
        <v>3824002178</v>
      </c>
      <c r="D2921" s="13" t="inlineStr">
        <is>
          <t>3824002178</t>
        </is>
      </c>
      <c r="E2921" s="13" t="inlineStr">
        <is>
          <t>ЮЛ РФ</t>
        </is>
      </c>
      <c r="F2921" s="13" t="n"/>
      <c r="G2921" s="14" t="n"/>
      <c r="H2921" s="14" t="n"/>
      <c r="I2921" s="14" t="n"/>
      <c r="J2921" s="14" t="n"/>
      <c r="K2921" s="53" t="inlineStr"/>
      <c r="L2921" s="53" t="inlineStr">
        <is>
          <t>Не определено</t>
        </is>
      </c>
      <c r="M2921" s="53" t="inlineStr"/>
      <c r="N2921" s="54" t="inlineStr"/>
      <c r="O2921" s="55" t="inlineStr"/>
      <c r="P2921" s="16" t="inlineStr">
        <is>
          <t>Требует обогащения</t>
        </is>
      </c>
      <c r="Q2921" s="16">
        <f>HYPERLINK("https://pb.nalog.ru/search.html?query=3824002178","ФНС: проверить")</f>
        <v/>
      </c>
      <c r="R2921" s="16">
        <f>HYPERLINK("https://checko.ru/search?query=3801001629","Чекко: проверить")</f>
        <v/>
      </c>
      <c r="S2921" t="n">
        <v>1</v>
      </c>
      <c r="T2921" s="35" t="inlineStr">
        <is>
          <t>4 — Не обогащён</t>
        </is>
      </c>
      <c r="U2921" s="35" t="inlineStr">
        <is>
          <t>Нет ОКВЭД/ССЧР</t>
        </is>
      </c>
      <c r="V2921" s="35" t="inlineStr">
        <is>
          <t>Не определено</t>
        </is>
      </c>
      <c r="W2921" s="35" t="inlineStr"/>
      <c r="X2921" s="35" t="inlineStr"/>
    </row>
    <row r="2922" ht="15" customHeight="1" s="24">
      <c r="A2922" s="13" t="n">
        <v>5000001428</v>
      </c>
      <c r="B2922" s="13" t="inlineStr">
        <is>
          <t>ГАУК Иркутский областной краеведческий музей</t>
        </is>
      </c>
      <c r="C2922" s="13" t="n">
        <v>3808010654</v>
      </c>
      <c r="D2922" s="13" t="inlineStr">
        <is>
          <t>3808010654</t>
        </is>
      </c>
      <c r="E2922" s="13" t="inlineStr">
        <is>
          <t>ЮЛ РФ</t>
        </is>
      </c>
      <c r="F2922" s="13" t="n"/>
      <c r="G2922" s="14" t="n"/>
      <c r="H2922" s="14" t="n"/>
      <c r="I2922" s="14" t="n"/>
      <c r="J2922" s="14" t="n"/>
      <c r="K2922" s="53" t="inlineStr"/>
      <c r="L2922" s="53" t="inlineStr">
        <is>
          <t>Не определено</t>
        </is>
      </c>
      <c r="M2922" s="53" t="inlineStr"/>
      <c r="N2922" s="54" t="inlineStr"/>
      <c r="O2922" s="55" t="inlineStr"/>
      <c r="P2922" s="16" t="inlineStr">
        <is>
          <t>Требует обогащения</t>
        </is>
      </c>
      <c r="Q2922" s="16">
        <f>HYPERLINK("https://pb.nalog.ru/search.html?query=3808010654","ФНС: проверить")</f>
        <v/>
      </c>
      <c r="R2922" s="16">
        <f>HYPERLINK("https://checko.ru/search?query=3801001629","Чекко: проверить")</f>
        <v/>
      </c>
      <c r="S2922" t="n">
        <v>1</v>
      </c>
      <c r="T2922" s="35" t="inlineStr">
        <is>
          <t>4 — Не обогащён</t>
        </is>
      </c>
      <c r="U2922" s="35" t="inlineStr">
        <is>
          <t>Нет ОКВЭД/ССЧР</t>
        </is>
      </c>
      <c r="V2922" s="35" t="inlineStr">
        <is>
          <t>Не определено</t>
        </is>
      </c>
      <c r="W2922" s="35" t="inlineStr"/>
      <c r="X2922" s="35" t="inlineStr"/>
    </row>
    <row r="2923" ht="54.75" customHeight="1" s="24">
      <c r="A2923" s="13" t="n">
        <v>5000101694</v>
      </c>
      <c r="B2923" s="13" t="inlineStr">
        <is>
          <t>Областное государственное бюджетное учреждение «Управление социальной защиты и социального обслуживания населения по Усть-Удинскому району»</t>
        </is>
      </c>
      <c r="C2923" s="13" t="n">
        <v>3849098785</v>
      </c>
      <c r="D2923" s="13" t="inlineStr">
        <is>
          <t>3849098785</t>
        </is>
      </c>
      <c r="E2923" s="13" t="inlineStr">
        <is>
          <t>ЮЛ РФ</t>
        </is>
      </c>
      <c r="F2923" s="13" t="n"/>
      <c r="G2923" s="14" t="n"/>
      <c r="H2923" s="14" t="n"/>
      <c r="I2923" s="14" t="n"/>
      <c r="J2923" s="14" t="n"/>
      <c r="K2923" s="53" t="inlineStr"/>
      <c r="L2923" s="53" t="inlineStr">
        <is>
          <t>Не определено</t>
        </is>
      </c>
      <c r="M2923" s="53" t="inlineStr"/>
      <c r="N2923" s="54" t="inlineStr"/>
      <c r="O2923" s="55" t="inlineStr"/>
      <c r="P2923" s="16" t="inlineStr">
        <is>
          <t>Требует обогащения</t>
        </is>
      </c>
      <c r="Q2923" s="16">
        <f>HYPERLINK("https://pb.nalog.ru/search.html?query=3849098785","ФНС: проверить")</f>
        <v/>
      </c>
      <c r="R2923" s="16">
        <f>HYPERLINK("https://checko.ru/search?query=3801001629","Чекко: проверить")</f>
        <v/>
      </c>
      <c r="S2923" t="n">
        <v>1</v>
      </c>
      <c r="T2923" s="35" t="inlineStr">
        <is>
          <t>4 — Не обогащён</t>
        </is>
      </c>
      <c r="U2923" s="35" t="inlineStr">
        <is>
          <t>Нет ОКВЭД/ССЧР</t>
        </is>
      </c>
      <c r="V2923" s="35" t="inlineStr">
        <is>
          <t>Не определено</t>
        </is>
      </c>
      <c r="W2923" s="35" t="inlineStr"/>
      <c r="X2923" s="35" t="inlineStr"/>
    </row>
    <row r="2924" ht="15" customHeight="1" s="24">
      <c r="A2924" s="13" t="n">
        <v>5000077473</v>
      </c>
      <c r="B2924" s="13" t="inlineStr">
        <is>
          <t>ОГАУ "Южное лесопожарное объединение"</t>
        </is>
      </c>
      <c r="C2924" s="13" t="n">
        <v>3833001090</v>
      </c>
      <c r="D2924" s="13" t="inlineStr">
        <is>
          <t>3833001090</t>
        </is>
      </c>
      <c r="E2924" s="13" t="inlineStr">
        <is>
          <t>ЮЛ РФ</t>
        </is>
      </c>
      <c r="F2924" s="13" t="n"/>
      <c r="G2924" s="14" t="n"/>
      <c r="H2924" s="14" t="n"/>
      <c r="I2924" s="14" t="n"/>
      <c r="J2924" s="14" t="n"/>
      <c r="K2924" s="53" t="inlineStr"/>
      <c r="L2924" s="53" t="inlineStr">
        <is>
          <t>Не определено</t>
        </is>
      </c>
      <c r="M2924" s="53" t="inlineStr"/>
      <c r="N2924" s="54" t="inlineStr"/>
      <c r="O2924" s="55" t="inlineStr"/>
      <c r="P2924" s="16" t="inlineStr">
        <is>
          <t>Требует обогащения</t>
        </is>
      </c>
      <c r="Q2924" s="16">
        <f>HYPERLINK("https://pb.nalog.ru/search.html?query=3833001090","ФНС: проверить")</f>
        <v/>
      </c>
      <c r="R2924" s="16">
        <f>HYPERLINK("https://checko.ru/search?query=3801001629","Чекко: проверить")</f>
        <v/>
      </c>
      <c r="S2924" t="n">
        <v>1</v>
      </c>
      <c r="T2924" s="35" t="inlineStr">
        <is>
          <t>4 — Не обогащён</t>
        </is>
      </c>
      <c r="U2924" s="35" t="inlineStr">
        <is>
          <t>Нет ОКВЭД/ССЧР</t>
        </is>
      </c>
      <c r="V2924" s="35" t="inlineStr">
        <is>
          <t>Не определено</t>
        </is>
      </c>
      <c r="W2924" s="35" t="inlineStr"/>
      <c r="X2924" s="35" t="inlineStr"/>
    </row>
    <row r="2925" ht="15" customHeight="1" s="24">
      <c r="A2925" s="13" t="n">
        <v>5000008561</v>
      </c>
      <c r="B2925" s="13" t="inlineStr">
        <is>
          <t>УФССП России по Республике Мордовия</t>
        </is>
      </c>
      <c r="C2925" s="13" t="n">
        <v>1326192290</v>
      </c>
      <c r="D2925" s="13" t="inlineStr">
        <is>
          <t>1326192290</t>
        </is>
      </c>
      <c r="E2925" s="13" t="inlineStr">
        <is>
          <t>ЮЛ РФ</t>
        </is>
      </c>
      <c r="F2925" s="13" t="n"/>
      <c r="G2925" s="14" t="n"/>
      <c r="H2925" s="14" t="n"/>
      <c r="I2925" s="14" t="n"/>
      <c r="J2925" s="14" t="n"/>
      <c r="K2925" s="53" t="inlineStr"/>
      <c r="L2925" s="53" t="inlineStr">
        <is>
          <t>Не определено</t>
        </is>
      </c>
      <c r="M2925" s="53" t="inlineStr"/>
      <c r="N2925" s="54" t="inlineStr"/>
      <c r="O2925" s="55" t="inlineStr"/>
      <c r="P2925" s="16" t="inlineStr">
        <is>
          <t>Требует обогащения</t>
        </is>
      </c>
      <c r="Q2925" s="16">
        <f>HYPERLINK("https://pb.nalog.ru/search.html?query=1326192290","ФНС: проверить")</f>
        <v/>
      </c>
      <c r="R2925" s="16">
        <f>HYPERLINK("https://checko.ru/search?query=3801001629","Чекко: проверить")</f>
        <v/>
      </c>
      <c r="S2925" t="n">
        <v>1</v>
      </c>
      <c r="T2925" s="35" t="inlineStr">
        <is>
          <t>4 — Не обогащён</t>
        </is>
      </c>
      <c r="U2925" s="35" t="inlineStr">
        <is>
          <t>Нет ОКВЭД/ССЧР</t>
        </is>
      </c>
      <c r="V2925" s="35" t="inlineStr">
        <is>
          <t>Не определено</t>
        </is>
      </c>
      <c r="W2925" s="35" t="inlineStr"/>
      <c r="X2925" s="35" t="inlineStr"/>
    </row>
    <row r="2926" ht="15" customHeight="1" s="24">
      <c r="A2926" s="13" t="n">
        <v>5000062639</v>
      </c>
      <c r="B2926" s="13" t="inlineStr">
        <is>
          <t>ГУ "УЛЬЯНОВСКАЯ ГОСУДАРСТВЕННАЯ АПТЕКА"</t>
        </is>
      </c>
      <c r="C2926" s="13" t="n">
        <v>7321007924</v>
      </c>
      <c r="D2926" s="13" t="inlineStr">
        <is>
          <t>7321007924</t>
        </is>
      </c>
      <c r="E2926" s="13" t="inlineStr">
        <is>
          <t>ЮЛ РФ</t>
        </is>
      </c>
      <c r="F2926" s="13" t="n"/>
      <c r="G2926" s="14" t="n"/>
      <c r="H2926" s="14" t="n"/>
      <c r="I2926" s="14" t="n"/>
      <c r="J2926" s="14" t="n"/>
      <c r="K2926" s="53" t="inlineStr"/>
      <c r="L2926" s="53" t="inlineStr">
        <is>
          <t>Не определено</t>
        </is>
      </c>
      <c r="M2926" s="53" t="inlineStr"/>
      <c r="N2926" s="54" t="inlineStr"/>
      <c r="O2926" s="55" t="inlineStr"/>
      <c r="P2926" s="16" t="inlineStr">
        <is>
          <t>Требует обогащения</t>
        </is>
      </c>
      <c r="Q2926" s="16">
        <f>HYPERLINK("https://pb.nalog.ru/search.html?query=7321007924","ФНС: проверить")</f>
        <v/>
      </c>
      <c r="R2926" s="16">
        <f>HYPERLINK("https://checko.ru/search?query=3801001629","Чекко: проверить")</f>
        <v/>
      </c>
      <c r="S2926" t="n">
        <v>1</v>
      </c>
      <c r="T2926" s="35" t="inlineStr">
        <is>
          <t>4 — Не обогащён</t>
        </is>
      </c>
      <c r="U2926" s="35" t="inlineStr">
        <is>
          <t>Нет ОКВЭД/ССЧР</t>
        </is>
      </c>
      <c r="V2926" s="35" t="inlineStr">
        <is>
          <t>Не определено</t>
        </is>
      </c>
      <c r="W2926" s="35" t="inlineStr"/>
      <c r="X2926" s="35" t="inlineStr"/>
    </row>
    <row r="2927" ht="41.25" customHeight="1" s="24">
      <c r="A2927" s="13" t="n">
        <v>5000101669</v>
      </c>
      <c r="B2927" s="13" t="inlineStr">
        <is>
          <t>ГОСУДАРСТВЕННОЕ КАЗЕННОЕ УЧРЕЖДЕНИЕ ИРКУТСКОЙ ОБЛАСТИ "ЖИГАЛОВСКОЕ ЛЕСНИЧЕСТВО"</t>
        </is>
      </c>
      <c r="C2927" s="13" t="n">
        <v>3808283549</v>
      </c>
      <c r="D2927" s="13" t="inlineStr">
        <is>
          <t>3808283549</t>
        </is>
      </c>
      <c r="E2927" s="13" t="inlineStr">
        <is>
          <t>ЮЛ РФ</t>
        </is>
      </c>
      <c r="F2927" s="13" t="n"/>
      <c r="G2927" s="14" t="n"/>
      <c r="H2927" s="14" t="n"/>
      <c r="I2927" s="14" t="n"/>
      <c r="J2927" s="14" t="n"/>
      <c r="K2927" s="53" t="inlineStr"/>
      <c r="L2927" s="53" t="inlineStr">
        <is>
          <t>Не определено</t>
        </is>
      </c>
      <c r="M2927" s="53" t="inlineStr"/>
      <c r="N2927" s="54" t="inlineStr"/>
      <c r="O2927" s="55" t="inlineStr"/>
      <c r="P2927" s="16" t="inlineStr">
        <is>
          <t>Требует обогащения</t>
        </is>
      </c>
      <c r="Q2927" s="16">
        <f>HYPERLINK("https://pb.nalog.ru/search.html?query=3808283549","ФНС: проверить")</f>
        <v/>
      </c>
      <c r="R2927" s="16">
        <f>HYPERLINK("https://checko.ru/search?query=3801001629","Чекко: проверить")</f>
        <v/>
      </c>
      <c r="S2927" t="n">
        <v>1</v>
      </c>
      <c r="T2927" s="35" t="inlineStr">
        <is>
          <t>4 — Не обогащён</t>
        </is>
      </c>
      <c r="U2927" s="35" t="inlineStr">
        <is>
          <t>Нет ОКВЭД/ССЧР</t>
        </is>
      </c>
      <c r="V2927" s="35" t="inlineStr">
        <is>
          <t>Не определено</t>
        </is>
      </c>
      <c r="W2927" s="35" t="inlineStr"/>
      <c r="X2927" s="35" t="inlineStr"/>
    </row>
    <row r="2928" ht="54.75" customHeight="1" s="24">
      <c r="A2928" s="13" t="n">
        <v>5000062529</v>
      </c>
      <c r="B2928" s="13" t="inlineStr">
        <is>
          <t>Областное государственное казённое образовательное учреждение для детей-сирот и детей, оставшихся без попечения родителей- Барановская специальная (ко</t>
        </is>
      </c>
      <c r="C2928" s="13" t="n">
        <v>7311002405</v>
      </c>
      <c r="D2928" s="13" t="inlineStr">
        <is>
          <t>7311002405</t>
        </is>
      </c>
      <c r="E2928" s="13" t="inlineStr">
        <is>
          <t>ЮЛ РФ</t>
        </is>
      </c>
      <c r="F2928" s="13" t="n"/>
      <c r="G2928" s="14" t="n"/>
      <c r="H2928" s="14" t="n"/>
      <c r="I2928" s="14" t="n"/>
      <c r="J2928" s="14" t="n"/>
      <c r="K2928" s="53" t="inlineStr"/>
      <c r="L2928" s="53" t="inlineStr">
        <is>
          <t>Не определено</t>
        </is>
      </c>
      <c r="M2928" s="53" t="inlineStr"/>
      <c r="N2928" s="54" t="inlineStr"/>
      <c r="O2928" s="55" t="inlineStr"/>
      <c r="P2928" s="16" t="inlineStr">
        <is>
          <t>Требует обогащения</t>
        </is>
      </c>
      <c r="Q2928" s="16">
        <f>HYPERLINK("https://pb.nalog.ru/search.html?query=7311002405","ФНС: проверить")</f>
        <v/>
      </c>
      <c r="R2928" s="16">
        <f>HYPERLINK("https://checko.ru/search?query=3801001629","Чекко: проверить")</f>
        <v/>
      </c>
      <c r="S2928" t="n">
        <v>1</v>
      </c>
      <c r="T2928" s="35" t="inlineStr">
        <is>
          <t>4 — Не обогащён</t>
        </is>
      </c>
      <c r="U2928" s="35" t="inlineStr">
        <is>
          <t>Нет ОКВЭД/ССЧР</t>
        </is>
      </c>
      <c r="V2928" s="35" t="inlineStr">
        <is>
          <t>Не определено</t>
        </is>
      </c>
      <c r="W2928" s="35" t="inlineStr"/>
      <c r="X2928" s="35" t="inlineStr"/>
    </row>
    <row r="2929" ht="15" customHeight="1" s="24">
      <c r="A2929" s="13" t="n">
        <v>5000001955</v>
      </c>
      <c r="B2929" s="13" t="inlineStr">
        <is>
          <t>ОГОУ "Школа-интернат №11" п. Лесогорск</t>
        </is>
      </c>
      <c r="C2929" s="13" t="n">
        <v>3844004960</v>
      </c>
      <c r="D2929" s="13" t="inlineStr">
        <is>
          <t>3844004960</t>
        </is>
      </c>
      <c r="E2929" s="13" t="inlineStr">
        <is>
          <t>ЮЛ РФ</t>
        </is>
      </c>
      <c r="F2929" s="13" t="n"/>
      <c r="G2929" s="14" t="n"/>
      <c r="H2929" s="14" t="n"/>
      <c r="I2929" s="14" t="n"/>
      <c r="J2929" s="14" t="n"/>
      <c r="K2929" s="53" t="inlineStr"/>
      <c r="L2929" s="53" t="inlineStr">
        <is>
          <t>Не определено</t>
        </is>
      </c>
      <c r="M2929" s="53" t="inlineStr"/>
      <c r="N2929" s="54" t="inlineStr"/>
      <c r="O2929" s="55" t="inlineStr"/>
      <c r="P2929" s="16" t="inlineStr">
        <is>
          <t>Требует обогащения</t>
        </is>
      </c>
      <c r="Q2929" s="16">
        <f>HYPERLINK("https://pb.nalog.ru/search.html?query=3844004960","ФНС: проверить")</f>
        <v/>
      </c>
      <c r="R2929" s="16">
        <f>HYPERLINK("https://checko.ru/search?query=3801001629","Чекко: проверить")</f>
        <v/>
      </c>
      <c r="S2929" t="n">
        <v>1</v>
      </c>
      <c r="T2929" s="35" t="inlineStr">
        <is>
          <t>4 — Не обогащён</t>
        </is>
      </c>
      <c r="U2929" s="35" t="inlineStr">
        <is>
          <t>Нет ОКВЭД/ССЧР</t>
        </is>
      </c>
      <c r="V2929" s="35" t="inlineStr">
        <is>
          <t>Не определено</t>
        </is>
      </c>
      <c r="W2929" s="35" t="inlineStr"/>
      <c r="X2929" s="35" t="inlineStr"/>
    </row>
    <row r="2930" ht="15" customHeight="1" s="24">
      <c r="A2930" s="13" t="n">
        <v>5000002057</v>
      </c>
      <c r="B2930" s="13" t="inlineStr">
        <is>
          <t>ОГБУК "УНЦНТ"</t>
        </is>
      </c>
      <c r="C2930" s="13" t="n">
        <v>8506007679</v>
      </c>
      <c r="D2930" s="13" t="inlineStr">
        <is>
          <t>8506007679</t>
        </is>
      </c>
      <c r="E2930" s="13" t="inlineStr">
        <is>
          <t>ЮЛ РФ</t>
        </is>
      </c>
      <c r="F2930" s="13" t="n"/>
      <c r="G2930" s="14" t="n"/>
      <c r="H2930" s="14" t="n"/>
      <c r="I2930" s="14" t="n"/>
      <c r="J2930" s="14" t="n"/>
      <c r="K2930" s="53" t="inlineStr"/>
      <c r="L2930" s="53" t="inlineStr">
        <is>
          <t>Не определено</t>
        </is>
      </c>
      <c r="M2930" s="53" t="inlineStr"/>
      <c r="N2930" s="54" t="inlineStr"/>
      <c r="O2930" s="55" t="inlineStr"/>
      <c r="P2930" s="16" t="inlineStr">
        <is>
          <t>Требует обогащения</t>
        </is>
      </c>
      <c r="Q2930" s="16">
        <f>HYPERLINK("https://pb.nalog.ru/search.html?query=8506007679","ФНС: проверить")</f>
        <v/>
      </c>
      <c r="R2930" s="16">
        <f>HYPERLINK("https://checko.ru/search?query=3801001629","Чекко: проверить")</f>
        <v/>
      </c>
      <c r="S2930" t="n">
        <v>1</v>
      </c>
      <c r="T2930" s="35" t="inlineStr">
        <is>
          <t>4 — Не обогащён</t>
        </is>
      </c>
      <c r="U2930" s="35" t="inlineStr">
        <is>
          <t>Нет ОКВЭД/ССЧР</t>
        </is>
      </c>
      <c r="V2930" s="35" t="inlineStr">
        <is>
          <t>Не определено</t>
        </is>
      </c>
      <c r="W2930" s="35" t="inlineStr"/>
      <c r="X2930" s="35" t="inlineStr"/>
    </row>
    <row r="2931" ht="41.25" customHeight="1" s="24">
      <c r="A2931" s="13" t="n">
        <v>5000062533</v>
      </c>
      <c r="B2931" s="13" t="inlineStr">
        <is>
          <t>ОБЛАСТНОЕ ГОСУДАРСТВЕННОЕ КАЗЁННОЕ ОБЩЕОБРАЗОВАТЕЛЬНОЕ УЧРЕЖДЕНИЕ "ШКОЛА ДЛЯ ОБУЧАЮЩИХСЯ С ОГРАНИЧЕН</t>
        </is>
      </c>
      <c r="C2931" s="13" t="n">
        <v>7328042639</v>
      </c>
      <c r="D2931" s="13" t="inlineStr">
        <is>
          <t>7328042639</t>
        </is>
      </c>
      <c r="E2931" s="13" t="inlineStr">
        <is>
          <t>ЮЛ РФ</t>
        </is>
      </c>
      <c r="F2931" s="13" t="n"/>
      <c r="G2931" s="14" t="n"/>
      <c r="H2931" s="14" t="n"/>
      <c r="I2931" s="14" t="n"/>
      <c r="J2931" s="14" t="n"/>
      <c r="K2931" s="53" t="inlineStr"/>
      <c r="L2931" s="53" t="inlineStr">
        <is>
          <t>Не определено</t>
        </is>
      </c>
      <c r="M2931" s="53" t="inlineStr"/>
      <c r="N2931" s="54" t="inlineStr"/>
      <c r="O2931" s="55" t="inlineStr"/>
      <c r="P2931" s="16" t="inlineStr">
        <is>
          <t>Требует обогащения</t>
        </is>
      </c>
      <c r="Q2931" s="16">
        <f>HYPERLINK("https://pb.nalog.ru/search.html?query=7328042639","ФНС: проверить")</f>
        <v/>
      </c>
      <c r="R2931" s="16">
        <f>HYPERLINK("https://checko.ru/search?query=3801001629","Чекко: проверить")</f>
        <v/>
      </c>
      <c r="S2931" t="n">
        <v>1</v>
      </c>
      <c r="T2931" s="35" t="inlineStr">
        <is>
          <t>4 — Не обогащён</t>
        </is>
      </c>
      <c r="U2931" s="35" t="inlineStr">
        <is>
          <t>Нет ОКВЭД/ССЧР</t>
        </is>
      </c>
      <c r="V2931" s="35" t="inlineStr">
        <is>
          <t>Не определено</t>
        </is>
      </c>
      <c r="W2931" s="35" t="inlineStr"/>
      <c r="X2931" s="35" t="inlineStr"/>
    </row>
    <row r="2932" ht="27.75" customHeight="1" s="24">
      <c r="A2932" s="13" t="n">
        <v>5000116256</v>
      </c>
      <c r="B2932" s="13" t="inlineStr">
        <is>
          <t>Контрольно-счетная палата муниципального окрга Луховицы Московской области</t>
        </is>
      </c>
      <c r="C2932" s="13" t="n">
        <v>5072002969</v>
      </c>
      <c r="D2932" s="13" t="inlineStr">
        <is>
          <t>5072002969</t>
        </is>
      </c>
      <c r="E2932" s="13" t="inlineStr">
        <is>
          <t>ЮЛ РФ</t>
        </is>
      </c>
      <c r="F2932" s="13" t="n"/>
      <c r="G2932" s="14" t="n"/>
      <c r="H2932" s="14" t="n"/>
      <c r="I2932" s="14" t="n"/>
      <c r="J2932" s="14" t="n"/>
      <c r="K2932" s="53" t="inlineStr"/>
      <c r="L2932" s="53" t="inlineStr">
        <is>
          <t>Не определено</t>
        </is>
      </c>
      <c r="M2932" s="53" t="inlineStr"/>
      <c r="N2932" s="54" t="inlineStr"/>
      <c r="O2932" s="55" t="inlineStr"/>
      <c r="P2932" s="16" t="inlineStr">
        <is>
          <t>Требует обогащения</t>
        </is>
      </c>
      <c r="Q2932" s="16">
        <f>HYPERLINK("https://pb.nalog.ru/search.html?query=5072002969","ФНС: проверить")</f>
        <v/>
      </c>
      <c r="R2932" s="16">
        <f>HYPERLINK("https://checko.ru/search?query=3801001629","Чекко: проверить")</f>
        <v/>
      </c>
      <c r="S2932" t="n">
        <v>1</v>
      </c>
      <c r="T2932" s="35" t="inlineStr">
        <is>
          <t>4 — Не обогащён</t>
        </is>
      </c>
      <c r="U2932" s="35" t="inlineStr">
        <is>
          <t>Нет ОКВЭД/ССЧР</t>
        </is>
      </c>
      <c r="V2932" s="35" t="inlineStr">
        <is>
          <t>Не определено</t>
        </is>
      </c>
      <c r="W2932" s="35" t="inlineStr"/>
      <c r="X2932" s="35" t="inlineStr"/>
    </row>
    <row r="2933" ht="41.25" customHeight="1" s="24">
      <c r="A2933" s="13" t="n">
        <v>5000116257</v>
      </c>
      <c r="B2933" s="13" t="inlineStr">
        <is>
          <t>Комитет по социальным вопросам администрации муниципального округа Луховицы Московской области</t>
        </is>
      </c>
      <c r="C2933" s="13" t="n">
        <v>5072002630</v>
      </c>
      <c r="D2933" s="13" t="inlineStr">
        <is>
          <t>5072002630</t>
        </is>
      </c>
      <c r="E2933" s="13" t="inlineStr">
        <is>
          <t>ЮЛ РФ</t>
        </is>
      </c>
      <c r="F2933" s="13" t="n"/>
      <c r="G2933" s="14" t="n"/>
      <c r="H2933" s="14" t="n"/>
      <c r="I2933" s="14" t="n"/>
      <c r="J2933" s="14" t="n"/>
      <c r="K2933" s="53" t="inlineStr"/>
      <c r="L2933" s="53" t="inlineStr">
        <is>
          <t>Не определено</t>
        </is>
      </c>
      <c r="M2933" s="53" t="inlineStr"/>
      <c r="N2933" s="54" t="inlineStr"/>
      <c r="O2933" s="55" t="inlineStr"/>
      <c r="P2933" s="16" t="inlineStr">
        <is>
          <t>Требует обогащения</t>
        </is>
      </c>
      <c r="Q2933" s="16">
        <f>HYPERLINK("https://pb.nalog.ru/search.html?query=5072002630","ФНС: проверить")</f>
        <v/>
      </c>
      <c r="R2933" s="16">
        <f>HYPERLINK("https://checko.ru/search?query=3801001629","Чекко: проверить")</f>
        <v/>
      </c>
      <c r="S2933" t="n">
        <v>1</v>
      </c>
      <c r="T2933" s="35" t="inlineStr">
        <is>
          <t>4 — Не обогащён</t>
        </is>
      </c>
      <c r="U2933" s="35" t="inlineStr">
        <is>
          <t>Нет ОКВЭД/ССЧР</t>
        </is>
      </c>
      <c r="V2933" s="35" t="inlineStr">
        <is>
          <t>Не определено</t>
        </is>
      </c>
      <c r="W2933" s="35" t="inlineStr"/>
      <c r="X2933" s="35" t="inlineStr"/>
    </row>
    <row r="2934" ht="27.75" customHeight="1" s="24">
      <c r="A2934" s="13" t="n">
        <v>5000116258</v>
      </c>
      <c r="B2934" s="13" t="inlineStr">
        <is>
          <t>Совет Депутатов муниципального округа Луховицы Московской области</t>
        </is>
      </c>
      <c r="C2934" s="13" t="n">
        <v>5072723008</v>
      </c>
      <c r="D2934" s="13" t="inlineStr">
        <is>
          <t>5072723008</t>
        </is>
      </c>
      <c r="E2934" s="13" t="inlineStr">
        <is>
          <t>ЮЛ РФ</t>
        </is>
      </c>
      <c r="F2934" s="13" t="n"/>
      <c r="G2934" s="14" t="n"/>
      <c r="H2934" s="14" t="n"/>
      <c r="I2934" s="14" t="n"/>
      <c r="J2934" s="14" t="n"/>
      <c r="K2934" s="53" t="inlineStr"/>
      <c r="L2934" s="53" t="inlineStr">
        <is>
          <t>Не определено</t>
        </is>
      </c>
      <c r="M2934" s="53" t="inlineStr"/>
      <c r="N2934" s="54" t="inlineStr"/>
      <c r="O2934" s="55" t="inlineStr"/>
      <c r="P2934" s="16" t="inlineStr">
        <is>
          <t>Требует обогащения</t>
        </is>
      </c>
      <c r="Q2934" s="16">
        <f>HYPERLINK("https://pb.nalog.ru/search.html?query=5072723008","ФНС: проверить")</f>
        <v/>
      </c>
      <c r="R2934" s="16">
        <f>HYPERLINK("https://checko.ru/search?query=3801001629","Чекко: проверить")</f>
        <v/>
      </c>
      <c r="S2934" t="n">
        <v>1</v>
      </c>
      <c r="T2934" s="35" t="inlineStr">
        <is>
          <t>4 — Не обогащён</t>
        </is>
      </c>
      <c r="U2934" s="35" t="inlineStr">
        <is>
          <t>Нет ОКВЭД/ССЧР</t>
        </is>
      </c>
      <c r="V2934" s="35" t="inlineStr">
        <is>
          <t>Не определено</t>
        </is>
      </c>
      <c r="W2934" s="35" t="inlineStr"/>
      <c r="X2934" s="35" t="inlineStr"/>
    </row>
    <row r="2935" ht="41.25" customHeight="1" s="24">
      <c r="A2935" s="13" t="n">
        <v>5000116259</v>
      </c>
      <c r="B2935" s="13" t="inlineStr">
        <is>
          <t>МКУ Муниципального округа Луховицы Московской области "Экссплуатационное управление"</t>
        </is>
      </c>
      <c r="C2935" s="13" t="n">
        <v>5072003190</v>
      </c>
      <c r="D2935" s="13" t="inlineStr">
        <is>
          <t>5072003190</t>
        </is>
      </c>
      <c r="E2935" s="13" t="inlineStr">
        <is>
          <t>ЮЛ РФ</t>
        </is>
      </c>
      <c r="F2935" s="13" t="n"/>
      <c r="G2935" s="14" t="n"/>
      <c r="H2935" s="14" t="n"/>
      <c r="I2935" s="14" t="n"/>
      <c r="J2935" s="14" t="n"/>
      <c r="K2935" s="53" t="inlineStr"/>
      <c r="L2935" s="53" t="inlineStr">
        <is>
          <t>Не определено</t>
        </is>
      </c>
      <c r="M2935" s="53" t="inlineStr"/>
      <c r="N2935" s="54" t="inlineStr"/>
      <c r="O2935" s="55" t="inlineStr"/>
      <c r="P2935" s="16" t="inlineStr">
        <is>
          <t>Требует обогащения</t>
        </is>
      </c>
      <c r="Q2935" s="16">
        <f>HYPERLINK("https://pb.nalog.ru/search.html?query=5072003190","ФНС: проверить")</f>
        <v/>
      </c>
      <c r="R2935" s="16">
        <f>HYPERLINK("https://checko.ru/search?query=3801001629","Чекко: проверить")</f>
        <v/>
      </c>
      <c r="S2935" t="n">
        <v>1</v>
      </c>
      <c r="T2935" s="35" t="inlineStr">
        <is>
          <t>4 — Не обогащён</t>
        </is>
      </c>
      <c r="U2935" s="35" t="inlineStr">
        <is>
          <t>Нет ОКВЭД/ССЧР</t>
        </is>
      </c>
      <c r="V2935" s="35" t="inlineStr">
        <is>
          <t>Не определено</t>
        </is>
      </c>
      <c r="W2935" s="35" t="inlineStr"/>
      <c r="X2935" s="35" t="inlineStr"/>
    </row>
    <row r="2936" ht="41.25" customHeight="1" s="24">
      <c r="A2936" s="13" t="n">
        <v>5000112318</v>
      </c>
      <c r="B2936" s="13" t="inlineStr">
        <is>
          <t>Областное государственное бюджетное учреждение "Служба Обеспечения Общественного Питания"</t>
        </is>
      </c>
      <c r="C2936" s="13" t="n">
        <v>7300040102</v>
      </c>
      <c r="D2936" s="13" t="inlineStr">
        <is>
          <t>7300040102</t>
        </is>
      </c>
      <c r="E2936" s="13" t="inlineStr">
        <is>
          <t>ЮЛ РФ</t>
        </is>
      </c>
      <c r="F2936" s="13" t="n"/>
      <c r="G2936" s="14" t="n"/>
      <c r="H2936" s="14" t="n"/>
      <c r="I2936" s="14" t="n"/>
      <c r="J2936" s="14" t="n"/>
      <c r="K2936" s="53" t="inlineStr"/>
      <c r="L2936" s="53" t="inlineStr">
        <is>
          <t>Не определено</t>
        </is>
      </c>
      <c r="M2936" s="53" t="inlineStr"/>
      <c r="N2936" s="54" t="inlineStr"/>
      <c r="O2936" s="55" t="inlineStr"/>
      <c r="P2936" s="16" t="inlineStr">
        <is>
          <t>Требует обогащения</t>
        </is>
      </c>
      <c r="Q2936" s="16">
        <f>HYPERLINK("https://pb.nalog.ru/search.html?query=7300040102","ФНС: проверить")</f>
        <v/>
      </c>
      <c r="R2936" s="16">
        <f>HYPERLINK("https://checko.ru/search?query=3801001629","Чекко: проверить")</f>
        <v/>
      </c>
      <c r="S2936" t="n">
        <v>1</v>
      </c>
      <c r="T2936" s="35" t="inlineStr">
        <is>
          <t>4 — Не обогащён</t>
        </is>
      </c>
      <c r="U2936" s="35" t="inlineStr">
        <is>
          <t>Нет ОКВЭД/ССЧР</t>
        </is>
      </c>
      <c r="V2936" s="35" t="inlineStr">
        <is>
          <t>Не определено</t>
        </is>
      </c>
      <c r="W2936" s="35" t="inlineStr"/>
      <c r="X2936" s="35" t="inlineStr"/>
    </row>
    <row r="2937" ht="15" customHeight="1" s="24">
      <c r="A2937" s="13" t="n">
        <v>5000001645</v>
      </c>
      <c r="B2937" s="13" t="inlineStr">
        <is>
          <t>МБУЗ г. Иркутска Городская больница №7</t>
        </is>
      </c>
      <c r="C2937" s="13" t="n">
        <v>3809017268</v>
      </c>
      <c r="D2937" s="13" t="inlineStr">
        <is>
          <t>3809017268</t>
        </is>
      </c>
      <c r="E2937" s="13" t="inlineStr">
        <is>
          <t>ЮЛ РФ</t>
        </is>
      </c>
      <c r="F2937" s="13" t="n"/>
      <c r="G2937" s="14" t="n"/>
      <c r="H2937" s="14" t="n"/>
      <c r="I2937" s="14" t="n"/>
      <c r="J2937" s="14" t="n"/>
      <c r="K2937" s="53" t="inlineStr"/>
      <c r="L2937" s="53" t="inlineStr">
        <is>
          <t>Не определено</t>
        </is>
      </c>
      <c r="M2937" s="53" t="inlineStr"/>
      <c r="N2937" s="54" t="inlineStr"/>
      <c r="O2937" s="55" t="inlineStr"/>
      <c r="P2937" s="16" t="inlineStr">
        <is>
          <t>Требует обогащения</t>
        </is>
      </c>
      <c r="Q2937" s="16">
        <f>HYPERLINK("https://pb.nalog.ru/search.html?query=3809017268","ФНС: проверить")</f>
        <v/>
      </c>
      <c r="R2937" s="16">
        <f>HYPERLINK("https://checko.ru/search?query=3801001629","Чекко: проверить")</f>
        <v/>
      </c>
      <c r="S2937" t="n">
        <v>1</v>
      </c>
      <c r="T2937" s="35" t="inlineStr">
        <is>
          <t>4 — Не обогащён</t>
        </is>
      </c>
      <c r="U2937" s="35" t="inlineStr">
        <is>
          <t>Нет ОКВЭД/ССЧР</t>
        </is>
      </c>
      <c r="V2937" s="35" t="inlineStr">
        <is>
          <t>Не определено</t>
        </is>
      </c>
      <c r="W2937" s="35" t="inlineStr"/>
      <c r="X2937" s="35" t="inlineStr"/>
    </row>
    <row r="2938" ht="15" customHeight="1" s="24">
      <c r="A2938" s="13" t="n">
        <v>5000038509</v>
      </c>
      <c r="B2938" s="13" t="inlineStr">
        <is>
          <t>ОГАУК "Ульяновский Театр юного зрителя"</t>
        </is>
      </c>
      <c r="C2938" s="13" t="n">
        <v>7326017806</v>
      </c>
      <c r="D2938" s="13" t="inlineStr">
        <is>
          <t>7326017806</t>
        </is>
      </c>
      <c r="E2938" s="13" t="inlineStr">
        <is>
          <t>ЮЛ РФ</t>
        </is>
      </c>
      <c r="F2938" s="13" t="n"/>
      <c r="G2938" s="14" t="n"/>
      <c r="H2938" s="14" t="n"/>
      <c r="I2938" s="14" t="n"/>
      <c r="J2938" s="14" t="n"/>
      <c r="K2938" s="53" t="inlineStr"/>
      <c r="L2938" s="53" t="inlineStr">
        <is>
          <t>Не определено</t>
        </is>
      </c>
      <c r="M2938" s="53" t="inlineStr"/>
      <c r="N2938" s="54" t="inlineStr"/>
      <c r="O2938" s="55" t="inlineStr"/>
      <c r="P2938" s="16" t="inlineStr">
        <is>
          <t>Требует обогащения</t>
        </is>
      </c>
      <c r="Q2938" s="16">
        <f>HYPERLINK("https://pb.nalog.ru/search.html?query=7326017806","ФНС: проверить")</f>
        <v/>
      </c>
      <c r="R2938" s="16">
        <f>HYPERLINK("https://checko.ru/search?query=3801001629","Чекко: проверить")</f>
        <v/>
      </c>
      <c r="S2938" t="n">
        <v>1</v>
      </c>
      <c r="T2938" s="35" t="inlineStr">
        <is>
          <t>4 — Не обогащён</t>
        </is>
      </c>
      <c r="U2938" s="35" t="inlineStr">
        <is>
          <t>Нет ОКВЭД/ССЧР</t>
        </is>
      </c>
      <c r="V2938" s="35" t="inlineStr">
        <is>
          <t>Не определено</t>
        </is>
      </c>
      <c r="W2938" s="35" t="inlineStr"/>
      <c r="X2938" s="35" t="inlineStr"/>
    </row>
    <row r="2939" ht="15" customHeight="1" s="24">
      <c r="A2939" s="13" t="n">
        <v>5000094920</v>
      </c>
      <c r="B2939" s="13" t="inlineStr">
        <is>
          <t>ГКОУ СПО "ЭРК"</t>
        </is>
      </c>
      <c r="C2939" s="13" t="n">
        <v>710003260</v>
      </c>
      <c r="D2939" s="13" t="n"/>
      <c r="E2939" s="13" t="inlineStr">
        <is>
          <t>Не определён</t>
        </is>
      </c>
      <c r="F2939" s="13" t="inlineStr">
        <is>
          <t>710003260</t>
        </is>
      </c>
      <c r="G2939" s="14" t="n"/>
      <c r="H2939" s="14" t="n"/>
      <c r="I2939" s="14" t="n"/>
      <c r="J2939" s="14" t="n"/>
      <c r="K2939" s="13">
        <f>IF(G2939="","",IF(G2939&gt;=22,"Да","Нет"))</f>
        <v/>
      </c>
      <c r="L2939" s="13">
        <f>IF(OR(I2939="",J2939=""),"Не определено",IF(OR(COUNTIF(I2939,"45*")&gt;0,COUNTIF(J2939,"*45*")&gt;0,COUNTIF(I2939,"46*")&gt;0,COUNTIF(J2939,"*46*")&gt;0,COUNTIF(I2939,"47*")&gt;0,COUNTIF(J2939,"*47*")&gt;0,COUNTIF(I2939,"10*")&gt;0,COUNTIF(J2939,"*10*")&gt;0,COUNTIF(I2939,"11*")&gt;0,COUNTIF(J2939,"*11*")&gt;0,COUNTIF(I2939,"12*")&gt;0,COUNTIF(J2939,"*12*")&gt;0,COUNTIF(I2939,"13*")&gt;0,COUNTIF(J2939,"*13*")&gt;0,COUNTIF(I2939,"14*")&gt;0,COUNTIF(J2939,"*14*")&gt;0,COUNTIF(I2939,"15*")&gt;0,COUNTIF(J2939,"*15*")&gt;0,COUNTIF(I2939,"16*")&gt;0,COUNTIF(J2939,"*16*")&gt;0,COUNTIF(I2939,"17*")&gt;0,COUNTIF(J2939,"*17*")&gt;0,COUNTIF(I2939,"18*")&gt;0,COUNTIF(J2939,"*18*")&gt;0,COUNTIF(I2939,"19*")&gt;0,COUNTIF(J2939,"*19*")&gt;0,COUNTIF(I2939,"20*")&gt;0,COUNTIF(J2939,"*20*")&gt;0,COUNTIF(I2939,"21*")&gt;0,COUNTIF(J2939,"*21*")&gt;0,COUNTIF(I2939,"22*")&gt;0,COUNTIF(J2939,"*22*")&gt;0,COUNTIF(I2939,"23*")&gt;0,COUNTIF(J2939,"*23*")&gt;0,COUNTIF(I2939,"24*")&gt;0,COUNTIF(J2939,"*24*")&gt;0,COUNTIF(I2939,"25*")&gt;0,COUNTIF(J2939,"*25*")&gt;0,COUNTIF(I2939,"26*")&gt;0,COUNTIF(J2939,"*26*")&gt;0,COUNTIF(I2939,"27*")&gt;0,COUNTIF(J2939,"*27*")&gt;0,COUNTIF(I2939,"28*")&gt;0,COUNTIF(J2939,"*28*")&gt;0,COUNTIF(I2939,"29*")&gt;0,COUNTIF(J2939,"*29*")&gt;0,COUNTIF(I2939,"30*")&gt;0,COUNTIF(J2939,"*30*")&gt;0,COUNTIF(I2939,"31*")&gt;0,COUNTIF(J2939,"*31*")&gt;0,COUNTIF(I2939,"32*")&gt;0,COUNTIF(J2939,"*32*")&gt;0,COUNTIF(I2939,"33*")&gt;0,COUNTIF(J2939,"*33*")&gt;0,COUNTIF(I2939,"41*")&gt;0,COUNTIF(J2939,"*41*")&gt;0,COUNTIF(I2939,"42*")&gt;0,COUNTIF(J2939,"*42*")&gt;0,COUNTIF(I2939,"43*")&gt;0,COUNTIF(J2939,"*43*")&gt;0,COUNTIF(I2939,"49*")&gt;0,COUNTIF(J2939,"*49*")&gt;0,COUNTIF(I2939,"52*")&gt;0,COUNTIF(J2939,"*52*")&gt;0,COUNTIF(I2939,"55*")&gt;0,COUNTIF(J2939,"*55*")&gt;0,COUNTIF(I2939,"56*")&gt;0,COUNTIF(J2939,"*56*")&gt;0,COUNTIF(I2939,"68*")&gt;0,COUNTIF(J2939,"*68*")&gt;0,COUNTIF(I2939,"78*")&gt;0,COUNTIF(J2939,"*78*")&gt;0,COUNTIF(I2939,"81*")&gt;0,COUNTIF(J2939,"*81*")&gt;0,COUNTIF(I2939,"82*")&gt;0,COUNTIF(J2939,"*82*")&gt;0,COUNTIF(I2939,"64*")&gt;0,COUNTIF(J2939,"*64*")&gt;0,COUNTIF(I2939,"65*")&gt;0,COUNTIF(J2939,"*65*")&gt;0,COUNTIF(I2939,"66*")&gt;0,COUNTIF(J2939,"*66*")&gt;0,COUNTIF(I2939,"61*")&gt;0,COUNTIF(J2939,"*61*")&gt;0,COUNTIF(I2939,"62*")&gt;0,COUNTIF(J2939,"*62*")&gt;0,COUNTIF(I2939,"63*")&gt;0,COUNTIF(J2939,"*63*")&gt;0,COUNTIF(I2939,"85*")&gt;0,COUNTIF(J2939,"*85*")&gt;0,COUNTIF(I2939,"86*")&gt;0,COUNTIF(J2939,"*86*")&gt;0),"Да","Нет"))</f>
        <v/>
      </c>
      <c r="M2939" s="13">
        <f>IF(OR(G2939="",L2939&lt;&gt;"Да"),"",IF(G2939&lt;=100,"До 100",IF(G2939&lt;=200,"До 200",IF(G2939&lt;=500,"До 500","Отдельное КП"))))</f>
        <v/>
      </c>
      <c r="N2939" s="15">
        <f>IF(OR(G2939="",L2939&lt;&gt;"Да"),"",IF(G2939&lt;=100,33600,IF(G2939&lt;=200,62400,IF(G2939&lt;=500,144000,""))))</f>
        <v/>
      </c>
      <c r="O2939" s="16">
        <f>IF(G2939="","",IF(G2939&lt;=15,"1–15",IF(G2939&lt;=30,"16–30",IF(G2939&lt;=50,"31–50",IF(G2939&lt;=100,"51–100",IF(G2939&lt;=150,"101–150",IF(G2939&lt;=200,"151–200",IF(G2939&lt;=500,"201–500","500+"))))))))</f>
        <v/>
      </c>
      <c r="P2939" s="16" t="inlineStr">
        <is>
          <t>Нет совпадения в предоставленной выгрузке ССЧР</t>
        </is>
      </c>
      <c r="Q2939" s="16" t="n"/>
      <c r="R2939" s="16">
        <f>HYPERLINK("https://checko.ru/search?query=3801001629","Чекко: проверить")</f>
        <v/>
      </c>
      <c r="S2939" t="n">
        <v>0</v>
      </c>
    </row>
    <row r="2940" ht="54.75" customHeight="1" s="24">
      <c r="A2940" s="13" t="n">
        <v>5000106094</v>
      </c>
      <c r="B2940" s="13" t="inlineStr">
        <is>
          <t>ГОСУДАРСТВЕННОЕ АВТОНОМНОЕ ПРОФЕССИОНАЛЬНОЕ ОБРАЗОВАТЕЛЬНОЕ УЧРЕЖДЕНИЕ "ПЕДАГОГИЧЕСКИЙ КОЛЛЕДЖ" Г. БУГУРУСЛАНА</t>
        </is>
      </c>
      <c r="C2940" s="13" t="n">
        <v>5602001321</v>
      </c>
      <c r="D2940" s="13" t="inlineStr">
        <is>
          <t>5602001321</t>
        </is>
      </c>
      <c r="E2940" s="13" t="inlineStr">
        <is>
          <t>ЮЛ РФ</t>
        </is>
      </c>
      <c r="F2940" s="13" t="n"/>
      <c r="G2940" s="14" t="n"/>
      <c r="H2940" s="14" t="n"/>
      <c r="I2940" s="14" t="n"/>
      <c r="J2940" s="14" t="n"/>
      <c r="K2940" s="53" t="inlineStr"/>
      <c r="L2940" s="53" t="inlineStr">
        <is>
          <t>Не определено</t>
        </is>
      </c>
      <c r="M2940" s="53" t="inlineStr"/>
      <c r="N2940" s="54" t="inlineStr"/>
      <c r="O2940" s="55" t="inlineStr"/>
      <c r="P2940" s="16" t="inlineStr">
        <is>
          <t>Требует обогащения</t>
        </is>
      </c>
      <c r="Q2940" s="16">
        <f>HYPERLINK("https://pb.nalog.ru/search.html?query=5602001321","ФНС: проверить")</f>
        <v/>
      </c>
      <c r="R2940" s="16">
        <f>HYPERLINK("https://checko.ru/search?query=3801001629","Чекко: проверить")</f>
        <v/>
      </c>
      <c r="S2940" t="n">
        <v>1</v>
      </c>
      <c r="T2940" s="35" t="inlineStr">
        <is>
          <t>4 — Не обогащён</t>
        </is>
      </c>
      <c r="U2940" s="35" t="inlineStr">
        <is>
          <t>Нет ОКВЭД/ССЧР</t>
        </is>
      </c>
      <c r="V2940" s="35" t="inlineStr">
        <is>
          <t>Не определено</t>
        </is>
      </c>
      <c r="W2940" s="35" t="inlineStr"/>
      <c r="X2940" s="35" t="inlineStr"/>
    </row>
    <row r="2941" ht="41.25" customHeight="1" s="24">
      <c r="A2941" s="13" t="n">
        <v>5000101681</v>
      </c>
      <c r="B2941" s="13" t="inlineStr">
        <is>
          <t>ГОСУДАРСТВЕННОЕ КАЗЕННОЕ УЧРЕЖДЕНИЕ ИРКУТСКОЙ ОБЛАСТИ "ТАЙШЕТСКОЕ ЛЕСНИЧЕСТВО"</t>
        </is>
      </c>
      <c r="C2941" s="13" t="n">
        <v>3816035490</v>
      </c>
      <c r="D2941" s="13" t="inlineStr">
        <is>
          <t>3816035490</t>
        </is>
      </c>
      <c r="E2941" s="13" t="inlineStr">
        <is>
          <t>ЮЛ РФ</t>
        </is>
      </c>
      <c r="F2941" s="13" t="n"/>
      <c r="G2941" s="14" t="n"/>
      <c r="H2941" s="14" t="n"/>
      <c r="I2941" s="14" t="n"/>
      <c r="J2941" s="14" t="n"/>
      <c r="K2941" s="53" t="inlineStr"/>
      <c r="L2941" s="53" t="inlineStr">
        <is>
          <t>Не определено</t>
        </is>
      </c>
      <c r="M2941" s="53" t="inlineStr"/>
      <c r="N2941" s="54" t="inlineStr"/>
      <c r="O2941" s="55" t="inlineStr"/>
      <c r="P2941" s="16" t="inlineStr">
        <is>
          <t>Требует обогащения</t>
        </is>
      </c>
      <c r="Q2941" s="16">
        <f>HYPERLINK("https://pb.nalog.ru/search.html?query=3816035490","ФНС: проверить")</f>
        <v/>
      </c>
      <c r="R2941" s="16">
        <f>HYPERLINK("https://checko.ru/search?query=3801001629","Чекко: проверить")</f>
        <v/>
      </c>
      <c r="S2941" t="n">
        <v>1</v>
      </c>
      <c r="T2941" s="35" t="inlineStr">
        <is>
          <t>4 — Не обогащён</t>
        </is>
      </c>
      <c r="U2941" s="35" t="inlineStr">
        <is>
          <t>Нет ОКВЭД/ССЧР</t>
        </is>
      </c>
      <c r="V2941" s="35" t="inlineStr">
        <is>
          <t>Не определено</t>
        </is>
      </c>
      <c r="W2941" s="35" t="inlineStr"/>
      <c r="X2941" s="35" t="inlineStr"/>
    </row>
    <row r="2942" ht="27.75" customHeight="1" s="24">
      <c r="A2942" s="13" t="n">
        <v>5000101688</v>
      </c>
      <c r="B2942" s="13" t="inlineStr">
        <is>
          <t>Государственное казенное учреждение Иркутской области "Нижнеилимское лесничество"</t>
        </is>
      </c>
      <c r="C2942" s="13" t="n">
        <v>3804119160</v>
      </c>
      <c r="D2942" s="13" t="inlineStr">
        <is>
          <t>3804119160</t>
        </is>
      </c>
      <c r="E2942" s="13" t="inlineStr">
        <is>
          <t>ЮЛ РФ</t>
        </is>
      </c>
      <c r="F2942" s="13" t="n"/>
      <c r="G2942" s="14" t="n"/>
      <c r="H2942" s="14" t="n"/>
      <c r="I2942" s="14" t="n"/>
      <c r="J2942" s="14" t="n"/>
      <c r="K2942" s="53" t="inlineStr"/>
      <c r="L2942" s="53" t="inlineStr">
        <is>
          <t>Не определено</t>
        </is>
      </c>
      <c r="M2942" s="53" t="inlineStr"/>
      <c r="N2942" s="54" t="inlineStr"/>
      <c r="O2942" s="55" t="inlineStr"/>
      <c r="P2942" s="16" t="inlineStr">
        <is>
          <t>Требует обогащения</t>
        </is>
      </c>
      <c r="Q2942" s="16">
        <f>HYPERLINK("https://pb.nalog.ru/search.html?query=3804119160","ФНС: проверить")</f>
        <v/>
      </c>
      <c r="R2942" s="16">
        <f>HYPERLINK("https://checko.ru/search?query=3801001629","Чекко: проверить")</f>
        <v/>
      </c>
      <c r="S2942" t="n">
        <v>1</v>
      </c>
      <c r="T2942" s="35" t="inlineStr">
        <is>
          <t>4 — Не обогащён</t>
        </is>
      </c>
      <c r="U2942" s="35" t="inlineStr">
        <is>
          <t>Нет ОКВЭД/ССЧР</t>
        </is>
      </c>
      <c r="V2942" s="35" t="inlineStr">
        <is>
          <t>Не определено</t>
        </is>
      </c>
      <c r="W2942" s="35" t="inlineStr"/>
      <c r="X2942" s="35" t="inlineStr"/>
    </row>
    <row r="2943" ht="15" customHeight="1" s="24">
      <c r="A2943" s="13" t="n">
        <v>5000062534</v>
      </c>
      <c r="B2943" s="13" t="inlineStr">
        <is>
          <t>ОГОУ СКОШ №23 8 вида</t>
        </is>
      </c>
      <c r="C2943" s="13" t="n">
        <v>7327020463</v>
      </c>
      <c r="D2943" s="13" t="inlineStr">
        <is>
          <t>7327020463</t>
        </is>
      </c>
      <c r="E2943" s="13" t="inlineStr">
        <is>
          <t>ЮЛ РФ</t>
        </is>
      </c>
      <c r="F2943" s="13" t="n"/>
      <c r="G2943" s="14" t="n"/>
      <c r="H2943" s="14" t="n"/>
      <c r="I2943" s="14" t="n"/>
      <c r="J2943" s="14" t="n"/>
      <c r="K2943" s="53" t="inlineStr"/>
      <c r="L2943" s="53" t="inlineStr">
        <is>
          <t>Не определено</t>
        </is>
      </c>
      <c r="M2943" s="53" t="inlineStr"/>
      <c r="N2943" s="54" t="inlineStr"/>
      <c r="O2943" s="55" t="inlineStr"/>
      <c r="P2943" s="16" t="inlineStr">
        <is>
          <t>Требует обогащения</t>
        </is>
      </c>
      <c r="Q2943" s="16">
        <f>HYPERLINK("https://pb.nalog.ru/search.html?query=7327020463","ФНС: проверить")</f>
        <v/>
      </c>
      <c r="R2943" s="16">
        <f>HYPERLINK("https://checko.ru/search?query=3801001629","Чекко: проверить")</f>
        <v/>
      </c>
      <c r="S2943" t="n">
        <v>1</v>
      </c>
      <c r="T2943" s="35" t="inlineStr">
        <is>
          <t>4 — Не обогащён</t>
        </is>
      </c>
      <c r="U2943" s="35" t="inlineStr">
        <is>
          <t>Нет ОКВЭД/ССЧР</t>
        </is>
      </c>
      <c r="V2943" s="35" t="inlineStr">
        <is>
          <t>Не определено</t>
        </is>
      </c>
      <c r="W2943" s="35" t="inlineStr"/>
      <c r="X2943" s="35" t="inlineStr"/>
    </row>
    <row r="2944" ht="15" customHeight="1" s="24">
      <c r="A2944" s="13" t="n">
        <v>5000062535</v>
      </c>
      <c r="B2944" s="13" t="inlineStr">
        <is>
          <t>ОГОУ СКОШ №39 VIII вида</t>
        </is>
      </c>
      <c r="C2944" s="13" t="n">
        <v>7326011635</v>
      </c>
      <c r="D2944" s="13" t="inlineStr">
        <is>
          <t>7326011635</t>
        </is>
      </c>
      <c r="E2944" s="13" t="inlineStr">
        <is>
          <t>ЮЛ РФ</t>
        </is>
      </c>
      <c r="F2944" s="13" t="n"/>
      <c r="G2944" s="14" t="n"/>
      <c r="H2944" s="14" t="n"/>
      <c r="I2944" s="14" t="n"/>
      <c r="J2944" s="14" t="n"/>
      <c r="K2944" s="53" t="inlineStr"/>
      <c r="L2944" s="53" t="inlineStr">
        <is>
          <t>Не определено</t>
        </is>
      </c>
      <c r="M2944" s="53" t="inlineStr"/>
      <c r="N2944" s="54" t="inlineStr"/>
      <c r="O2944" s="55" t="inlineStr"/>
      <c r="P2944" s="16" t="inlineStr">
        <is>
          <t>Требует обогащения</t>
        </is>
      </c>
      <c r="Q2944" s="16">
        <f>HYPERLINK("https://pb.nalog.ru/search.html?query=7326011635","ФНС: проверить")</f>
        <v/>
      </c>
      <c r="R2944" s="16">
        <f>HYPERLINK("https://checko.ru/search?query=3801001629","Чекко: проверить")</f>
        <v/>
      </c>
      <c r="S2944" t="n">
        <v>1</v>
      </c>
      <c r="T2944" s="35" t="inlineStr">
        <is>
          <t>4 — Не обогащён</t>
        </is>
      </c>
      <c r="U2944" s="35" t="inlineStr">
        <is>
          <t>Нет ОКВЭД/ССЧР</t>
        </is>
      </c>
      <c r="V2944" s="35" t="inlineStr">
        <is>
          <t>Не определено</t>
        </is>
      </c>
      <c r="W2944" s="35" t="inlineStr"/>
      <c r="X2944" s="35" t="inlineStr"/>
    </row>
    <row r="2945" ht="27.75" customHeight="1" s="24">
      <c r="A2945" s="13" t="n">
        <v>5000001604</v>
      </c>
      <c r="B2945" s="13" t="inlineStr">
        <is>
          <t>ГУЗ Иркутский областной противотуберкулезный диспансер</t>
        </is>
      </c>
      <c r="C2945" s="13" t="n">
        <v>3812014330</v>
      </c>
      <c r="D2945" s="13" t="inlineStr">
        <is>
          <t>3812014330</t>
        </is>
      </c>
      <c r="E2945" s="13" t="inlineStr">
        <is>
          <t>ЮЛ РФ</t>
        </is>
      </c>
      <c r="F2945" s="13" t="n"/>
      <c r="G2945" s="14" t="n"/>
      <c r="H2945" s="14" t="n"/>
      <c r="I2945" s="14" t="n"/>
      <c r="J2945" s="14" t="n"/>
      <c r="K2945" s="53" t="inlineStr"/>
      <c r="L2945" s="53" t="inlineStr">
        <is>
          <t>Не определено</t>
        </is>
      </c>
      <c r="M2945" s="53" t="inlineStr"/>
      <c r="N2945" s="54" t="inlineStr"/>
      <c r="O2945" s="55" t="inlineStr"/>
      <c r="P2945" s="16" t="inlineStr">
        <is>
          <t>Требует обогащения</t>
        </is>
      </c>
      <c r="Q2945" s="16">
        <f>HYPERLINK("https://pb.nalog.ru/search.html?query=3812014330","ФНС: проверить")</f>
        <v/>
      </c>
      <c r="R2945" s="16">
        <f>HYPERLINK("https://checko.ru/search?query=3801001629","Чекко: проверить")</f>
        <v/>
      </c>
      <c r="S2945" t="n">
        <v>1</v>
      </c>
      <c r="T2945" s="35" t="inlineStr">
        <is>
          <t>4 — Не обогащён</t>
        </is>
      </c>
      <c r="U2945" s="35" t="inlineStr">
        <is>
          <t>Нет ОКВЭД/ССЧР</t>
        </is>
      </c>
      <c r="V2945" s="35" t="inlineStr">
        <is>
          <t>Не определено</t>
        </is>
      </c>
      <c r="W2945" s="35" t="inlineStr"/>
      <c r="X2945" s="35" t="inlineStr"/>
    </row>
    <row r="2946" ht="54.75" customHeight="1" s="24">
      <c r="A2946" s="13" t="n">
        <v>5000062641</v>
      </c>
      <c r="B2946" s="13" t="inlineStr">
        <is>
          <t>ГУЗ "Областной специализированный дом ребенка для детей с органическим поражением центральной нервной системы с нарушением психики"</t>
        </is>
      </c>
      <c r="C2946" s="13" t="n">
        <v>7303022165</v>
      </c>
      <c r="D2946" s="13" t="inlineStr">
        <is>
          <t>7303022165</t>
        </is>
      </c>
      <c r="E2946" s="13" t="inlineStr">
        <is>
          <t>ЮЛ РФ</t>
        </is>
      </c>
      <c r="F2946" s="13" t="n"/>
      <c r="G2946" s="14" t="n"/>
      <c r="H2946" s="14" t="n"/>
      <c r="I2946" s="14" t="n"/>
      <c r="J2946" s="14" t="n"/>
      <c r="K2946" s="53" t="inlineStr"/>
      <c r="L2946" s="53" t="inlineStr">
        <is>
          <t>Не определено</t>
        </is>
      </c>
      <c r="M2946" s="53" t="inlineStr"/>
      <c r="N2946" s="54" t="inlineStr"/>
      <c r="O2946" s="55" t="inlineStr"/>
      <c r="P2946" s="16" t="inlineStr">
        <is>
          <t>Требует обогащения</t>
        </is>
      </c>
      <c r="Q2946" s="16">
        <f>HYPERLINK("https://pb.nalog.ru/search.html?query=7303022165","ФНС: проверить")</f>
        <v/>
      </c>
      <c r="R2946" s="16">
        <f>HYPERLINK("https://checko.ru/search?query=3801001629","Чекко: проверить")</f>
        <v/>
      </c>
      <c r="S2946" t="n">
        <v>1</v>
      </c>
      <c r="T2946" s="35" t="inlineStr">
        <is>
          <t>4 — Не обогащён</t>
        </is>
      </c>
      <c r="U2946" s="35" t="inlineStr">
        <is>
          <t>Нет ОКВЭД/ССЧР</t>
        </is>
      </c>
      <c r="V2946" s="35" t="inlineStr">
        <is>
          <t>Не определено</t>
        </is>
      </c>
      <c r="W2946" s="35" t="inlineStr"/>
      <c r="X2946" s="35" t="inlineStr"/>
    </row>
    <row r="2947" ht="27.75" customHeight="1" s="24">
      <c r="A2947" s="13" t="n">
        <v>5000101665</v>
      </c>
      <c r="B2947" s="13" t="inlineStr">
        <is>
          <t>Государственное казенное учреждение Иркутской области "Баяндаевское лесничество"</t>
        </is>
      </c>
      <c r="C2947" s="13" t="n">
        <v>3849096611</v>
      </c>
      <c r="D2947" s="13" t="inlineStr">
        <is>
          <t>3849096611</t>
        </is>
      </c>
      <c r="E2947" s="13" t="inlineStr">
        <is>
          <t>ЮЛ РФ</t>
        </is>
      </c>
      <c r="F2947" s="13" t="n"/>
      <c r="G2947" s="14" t="n"/>
      <c r="H2947" s="14" t="n"/>
      <c r="I2947" s="14" t="n"/>
      <c r="J2947" s="14" t="n"/>
      <c r="K2947" s="53" t="inlineStr"/>
      <c r="L2947" s="53" t="inlineStr">
        <is>
          <t>Не определено</t>
        </is>
      </c>
      <c r="M2947" s="53" t="inlineStr"/>
      <c r="N2947" s="54" t="inlineStr"/>
      <c r="O2947" s="55" t="inlineStr"/>
      <c r="P2947" s="16" t="inlineStr">
        <is>
          <t>Требует обогащения</t>
        </is>
      </c>
      <c r="Q2947" s="16">
        <f>HYPERLINK("https://pb.nalog.ru/search.html?query=3849096611","ФНС: проверить")</f>
        <v/>
      </c>
      <c r="R2947" s="16">
        <f>HYPERLINK("https://checko.ru/search?query=3801001629","Чекко: проверить")</f>
        <v/>
      </c>
      <c r="S2947" t="n">
        <v>1</v>
      </c>
      <c r="T2947" s="35" t="inlineStr">
        <is>
          <t>4 — Не обогащён</t>
        </is>
      </c>
      <c r="U2947" s="35" t="inlineStr">
        <is>
          <t>Нет ОКВЭД/ССЧР</t>
        </is>
      </c>
      <c r="V2947" s="35" t="inlineStr">
        <is>
          <t>Не определено</t>
        </is>
      </c>
      <c r="W2947" s="35" t="inlineStr"/>
      <c r="X2947" s="35" t="inlineStr"/>
    </row>
    <row r="2948" ht="15" customHeight="1" s="24">
      <c r="A2948" s="13" t="n">
        <v>5000095027</v>
      </c>
      <c r="B2948" s="13" t="inlineStr">
        <is>
          <t>Русский драмм.театр им.М. Горького</t>
        </is>
      </c>
      <c r="C2948" s="13" t="n">
        <v>711039372</v>
      </c>
      <c r="D2948" s="13" t="n"/>
      <c r="E2948" s="13" t="inlineStr">
        <is>
          <t>Не определён</t>
        </is>
      </c>
      <c r="F2948" s="13" t="inlineStr">
        <is>
          <t>711039372</t>
        </is>
      </c>
      <c r="G2948" s="14" t="n"/>
      <c r="H2948" s="14" t="n"/>
      <c r="I2948" s="14" t="n"/>
      <c r="J2948" s="14" t="n"/>
      <c r="K2948" s="13">
        <f>IF(G2948="","",IF(G2948&gt;=22,"Да","Нет"))</f>
        <v/>
      </c>
      <c r="L2948" s="13">
        <f>IF(OR(I2948="",J2948=""),"Не определено",IF(OR(COUNTIF(I2948,"45*")&gt;0,COUNTIF(J2948,"*45*")&gt;0,COUNTIF(I2948,"46*")&gt;0,COUNTIF(J2948,"*46*")&gt;0,COUNTIF(I2948,"47*")&gt;0,COUNTIF(J2948,"*47*")&gt;0,COUNTIF(I2948,"10*")&gt;0,COUNTIF(J2948,"*10*")&gt;0,COUNTIF(I2948,"11*")&gt;0,COUNTIF(J2948,"*11*")&gt;0,COUNTIF(I2948,"12*")&gt;0,COUNTIF(J2948,"*12*")&gt;0,COUNTIF(I2948,"13*")&gt;0,COUNTIF(J2948,"*13*")&gt;0,COUNTIF(I2948,"14*")&gt;0,COUNTIF(J2948,"*14*")&gt;0,COUNTIF(I2948,"15*")&gt;0,COUNTIF(J2948,"*15*")&gt;0,COUNTIF(I2948,"16*")&gt;0,COUNTIF(J2948,"*16*")&gt;0,COUNTIF(I2948,"17*")&gt;0,COUNTIF(J2948,"*17*")&gt;0,COUNTIF(I2948,"18*")&gt;0,COUNTIF(J2948,"*18*")&gt;0,COUNTIF(I2948,"19*")&gt;0,COUNTIF(J2948,"*19*")&gt;0,COUNTIF(I2948,"20*")&gt;0,COUNTIF(J2948,"*20*")&gt;0,COUNTIF(I2948,"21*")&gt;0,COUNTIF(J2948,"*21*")&gt;0,COUNTIF(I2948,"22*")&gt;0,COUNTIF(J2948,"*22*")&gt;0,COUNTIF(I2948,"23*")&gt;0,COUNTIF(J2948,"*23*")&gt;0,COUNTIF(I2948,"24*")&gt;0,COUNTIF(J2948,"*24*")&gt;0,COUNTIF(I2948,"25*")&gt;0,COUNTIF(J2948,"*25*")&gt;0,COUNTIF(I2948,"26*")&gt;0,COUNTIF(J2948,"*26*")&gt;0,COUNTIF(I2948,"27*")&gt;0,COUNTIF(J2948,"*27*")&gt;0,COUNTIF(I2948,"28*")&gt;0,COUNTIF(J2948,"*28*")&gt;0,COUNTIF(I2948,"29*")&gt;0,COUNTIF(J2948,"*29*")&gt;0,COUNTIF(I2948,"30*")&gt;0,COUNTIF(J2948,"*30*")&gt;0,COUNTIF(I2948,"31*")&gt;0,COUNTIF(J2948,"*31*")&gt;0,COUNTIF(I2948,"32*")&gt;0,COUNTIF(J2948,"*32*")&gt;0,COUNTIF(I2948,"33*")&gt;0,COUNTIF(J2948,"*33*")&gt;0,COUNTIF(I2948,"41*")&gt;0,COUNTIF(J2948,"*41*")&gt;0,COUNTIF(I2948,"42*")&gt;0,COUNTIF(J2948,"*42*")&gt;0,COUNTIF(I2948,"43*")&gt;0,COUNTIF(J2948,"*43*")&gt;0,COUNTIF(I2948,"49*")&gt;0,COUNTIF(J2948,"*49*")&gt;0,COUNTIF(I2948,"52*")&gt;0,COUNTIF(J2948,"*52*")&gt;0,COUNTIF(I2948,"55*")&gt;0,COUNTIF(J2948,"*55*")&gt;0,COUNTIF(I2948,"56*")&gt;0,COUNTIF(J2948,"*56*")&gt;0,COUNTIF(I2948,"68*")&gt;0,COUNTIF(J2948,"*68*")&gt;0,COUNTIF(I2948,"78*")&gt;0,COUNTIF(J2948,"*78*")&gt;0,COUNTIF(I2948,"81*")&gt;0,COUNTIF(J2948,"*81*")&gt;0,COUNTIF(I2948,"82*")&gt;0,COUNTIF(J2948,"*82*")&gt;0,COUNTIF(I2948,"64*")&gt;0,COUNTIF(J2948,"*64*")&gt;0,COUNTIF(I2948,"65*")&gt;0,COUNTIF(J2948,"*65*")&gt;0,COUNTIF(I2948,"66*")&gt;0,COUNTIF(J2948,"*66*")&gt;0,COUNTIF(I2948,"61*")&gt;0,COUNTIF(J2948,"*61*")&gt;0,COUNTIF(I2948,"62*")&gt;0,COUNTIF(J2948,"*62*")&gt;0,COUNTIF(I2948,"63*")&gt;0,COUNTIF(J2948,"*63*")&gt;0,COUNTIF(I2948,"85*")&gt;0,COUNTIF(J2948,"*85*")&gt;0,COUNTIF(I2948,"86*")&gt;0,COUNTIF(J2948,"*86*")&gt;0),"Да","Нет"))</f>
        <v/>
      </c>
      <c r="M2948" s="13">
        <f>IF(OR(G2948="",L2948&lt;&gt;"Да"),"",IF(G2948&lt;=100,"До 100",IF(G2948&lt;=200,"До 200",IF(G2948&lt;=500,"До 500","Отдельное КП"))))</f>
        <v/>
      </c>
      <c r="N2948" s="15">
        <f>IF(OR(G2948="",L2948&lt;&gt;"Да"),"",IF(G2948&lt;=100,33600,IF(G2948&lt;=200,62400,IF(G2948&lt;=500,144000,""))))</f>
        <v/>
      </c>
      <c r="O2948" s="16">
        <f>IF(G2948="","",IF(G2948&lt;=15,"1–15",IF(G2948&lt;=30,"16–30",IF(G2948&lt;=50,"31–50",IF(G2948&lt;=100,"51–100",IF(G2948&lt;=150,"101–150",IF(G2948&lt;=200,"151–200",IF(G2948&lt;=500,"201–500","500+"))))))))</f>
        <v/>
      </c>
      <c r="P2948" s="16" t="inlineStr">
        <is>
          <t>Нет совпадения в предоставленной выгрузке ССЧР</t>
        </is>
      </c>
      <c r="Q2948" s="16" t="n"/>
      <c r="R2948" s="16">
        <f>HYPERLINK("https://checko.ru/search?query=3801001629","Чекко: проверить")</f>
        <v/>
      </c>
      <c r="S2948" t="n">
        <v>0</v>
      </c>
    </row>
    <row r="2949" ht="27.75" customHeight="1" s="24">
      <c r="A2949" s="13" t="n">
        <v>5000001979</v>
      </c>
      <c r="B2949" s="13" t="inlineStr">
        <is>
          <t>ОбГАУ «Региональный центр инвестиционных исследований и развития новых технологий»</t>
        </is>
      </c>
      <c r="C2949" s="13" t="n">
        <v>3812140367</v>
      </c>
      <c r="D2949" s="13" t="inlineStr">
        <is>
          <t>3812140367</t>
        </is>
      </c>
      <c r="E2949" s="13" t="inlineStr">
        <is>
          <t>ЮЛ РФ</t>
        </is>
      </c>
      <c r="F2949" s="13" t="n"/>
      <c r="G2949" s="14" t="n"/>
      <c r="H2949" s="14" t="n"/>
      <c r="I2949" s="14" t="n"/>
      <c r="J2949" s="14" t="n"/>
      <c r="K2949" s="53" t="inlineStr"/>
      <c r="L2949" s="53" t="inlineStr">
        <is>
          <t>Не определено</t>
        </is>
      </c>
      <c r="M2949" s="53" t="inlineStr"/>
      <c r="N2949" s="54" t="inlineStr"/>
      <c r="O2949" s="55" t="inlineStr"/>
      <c r="P2949" s="16" t="inlineStr">
        <is>
          <t>Требует обогащения</t>
        </is>
      </c>
      <c r="Q2949" s="16">
        <f>HYPERLINK("https://pb.nalog.ru/search.html?query=3812140367","ФНС: проверить")</f>
        <v/>
      </c>
      <c r="R2949" s="16">
        <f>HYPERLINK("https://checko.ru/search?query=3801001629","Чекко: проверить")</f>
        <v/>
      </c>
      <c r="S2949" t="n">
        <v>1</v>
      </c>
      <c r="T2949" s="35" t="inlineStr">
        <is>
          <t>4 — Не обогащён</t>
        </is>
      </c>
      <c r="U2949" s="35" t="inlineStr">
        <is>
          <t>Нет ОКВЭД/ССЧР</t>
        </is>
      </c>
      <c r="V2949" s="35" t="inlineStr">
        <is>
          <t>Не определено</t>
        </is>
      </c>
      <c r="W2949" s="35" t="inlineStr"/>
      <c r="X2949" s="35" t="inlineStr"/>
    </row>
    <row r="2950" ht="27.75" customHeight="1" s="24">
      <c r="A2950" s="13" t="n">
        <v>5000062560</v>
      </c>
      <c r="B2950" s="13" t="inlineStr">
        <is>
          <t>ОбГАУ Социального обслуживания "Дом-интернат для престарелых и инвалидов в г. Димитровграде"</t>
        </is>
      </c>
      <c r="C2950" s="13" t="n">
        <v>7302011964</v>
      </c>
      <c r="D2950" s="13" t="inlineStr">
        <is>
          <t>7302011964</t>
        </is>
      </c>
      <c r="E2950" s="13" t="inlineStr">
        <is>
          <t>ЮЛ РФ</t>
        </is>
      </c>
      <c r="F2950" s="13" t="n"/>
      <c r="G2950" s="14" t="n"/>
      <c r="H2950" s="14" t="n"/>
      <c r="I2950" s="14" t="n"/>
      <c r="J2950" s="14" t="n"/>
      <c r="K2950" s="53" t="inlineStr"/>
      <c r="L2950" s="53" t="inlineStr">
        <is>
          <t>Не определено</t>
        </is>
      </c>
      <c r="M2950" s="53" t="inlineStr"/>
      <c r="N2950" s="54" t="inlineStr"/>
      <c r="O2950" s="55" t="inlineStr"/>
      <c r="P2950" s="16" t="inlineStr">
        <is>
          <t>Требует обогащения</t>
        </is>
      </c>
      <c r="Q2950" s="16">
        <f>HYPERLINK("https://pb.nalog.ru/search.html?query=7302011964","ФНС: проверить")</f>
        <v/>
      </c>
      <c r="R2950" s="16">
        <f>HYPERLINK("https://checko.ru/search?query=3801001629","Чекко: проверить")</f>
        <v/>
      </c>
      <c r="S2950" t="n">
        <v>1</v>
      </c>
      <c r="T2950" s="35" t="inlineStr">
        <is>
          <t>4 — Не обогащён</t>
        </is>
      </c>
      <c r="U2950" s="35" t="inlineStr">
        <is>
          <t>Нет ОКВЭД/ССЧР</t>
        </is>
      </c>
      <c r="V2950" s="35" t="inlineStr">
        <is>
          <t>Не определено</t>
        </is>
      </c>
      <c r="W2950" s="35" t="inlineStr"/>
      <c r="X2950" s="35" t="inlineStr"/>
    </row>
    <row r="2951" ht="54.75" customHeight="1" s="24">
      <c r="A2951" s="13" t="n">
        <v>5000094527</v>
      </c>
      <c r="B2951" s="13" t="inlineStr">
        <is>
          <t>МКУ "Централизованная бухгалтерия муниципальных учреждений" Зольского муниципального района Кабардино-Балкарской Республ</t>
        </is>
      </c>
      <c r="C2951" s="13" t="n">
        <v>702009879</v>
      </c>
      <c r="D2951" s="13" t="n"/>
      <c r="E2951" s="13" t="inlineStr">
        <is>
          <t>Не определён</t>
        </is>
      </c>
      <c r="F2951" s="13" t="inlineStr">
        <is>
          <t>702009879</t>
        </is>
      </c>
      <c r="G2951" s="14" t="n"/>
      <c r="H2951" s="14" t="n"/>
      <c r="I2951" s="14" t="n"/>
      <c r="J2951" s="14" t="n"/>
      <c r="K2951" s="13">
        <f>IF(G2951="","",IF(G2951&gt;=22,"Да","Нет"))</f>
        <v/>
      </c>
      <c r="L2951" s="13">
        <f>IF(OR(I2951="",J2951=""),"Не определено",IF(OR(COUNTIF(I2951,"45*")&gt;0,COUNTIF(J2951,"*45*")&gt;0,COUNTIF(I2951,"46*")&gt;0,COUNTIF(J2951,"*46*")&gt;0,COUNTIF(I2951,"47*")&gt;0,COUNTIF(J2951,"*47*")&gt;0,COUNTIF(I2951,"10*")&gt;0,COUNTIF(J2951,"*10*")&gt;0,COUNTIF(I2951,"11*")&gt;0,COUNTIF(J2951,"*11*")&gt;0,COUNTIF(I2951,"12*")&gt;0,COUNTIF(J2951,"*12*")&gt;0,COUNTIF(I2951,"13*")&gt;0,COUNTIF(J2951,"*13*")&gt;0,COUNTIF(I2951,"14*")&gt;0,COUNTIF(J2951,"*14*")&gt;0,COUNTIF(I2951,"15*")&gt;0,COUNTIF(J2951,"*15*")&gt;0,COUNTIF(I2951,"16*")&gt;0,COUNTIF(J2951,"*16*")&gt;0,COUNTIF(I2951,"17*")&gt;0,COUNTIF(J2951,"*17*")&gt;0,COUNTIF(I2951,"18*")&gt;0,COUNTIF(J2951,"*18*")&gt;0,COUNTIF(I2951,"19*")&gt;0,COUNTIF(J2951,"*19*")&gt;0,COUNTIF(I2951,"20*")&gt;0,COUNTIF(J2951,"*20*")&gt;0,COUNTIF(I2951,"21*")&gt;0,COUNTIF(J2951,"*21*")&gt;0,COUNTIF(I2951,"22*")&gt;0,COUNTIF(J2951,"*22*")&gt;0,COUNTIF(I2951,"23*")&gt;0,COUNTIF(J2951,"*23*")&gt;0,COUNTIF(I2951,"24*")&gt;0,COUNTIF(J2951,"*24*")&gt;0,COUNTIF(I2951,"25*")&gt;0,COUNTIF(J2951,"*25*")&gt;0,COUNTIF(I2951,"26*")&gt;0,COUNTIF(J2951,"*26*")&gt;0,COUNTIF(I2951,"27*")&gt;0,COUNTIF(J2951,"*27*")&gt;0,COUNTIF(I2951,"28*")&gt;0,COUNTIF(J2951,"*28*")&gt;0,COUNTIF(I2951,"29*")&gt;0,COUNTIF(J2951,"*29*")&gt;0,COUNTIF(I2951,"30*")&gt;0,COUNTIF(J2951,"*30*")&gt;0,COUNTIF(I2951,"31*")&gt;0,COUNTIF(J2951,"*31*")&gt;0,COUNTIF(I2951,"32*")&gt;0,COUNTIF(J2951,"*32*")&gt;0,COUNTIF(I2951,"33*")&gt;0,COUNTIF(J2951,"*33*")&gt;0,COUNTIF(I2951,"41*")&gt;0,COUNTIF(J2951,"*41*")&gt;0,COUNTIF(I2951,"42*")&gt;0,COUNTIF(J2951,"*42*")&gt;0,COUNTIF(I2951,"43*")&gt;0,COUNTIF(J2951,"*43*")&gt;0,COUNTIF(I2951,"49*")&gt;0,COUNTIF(J2951,"*49*")&gt;0,COUNTIF(I2951,"52*")&gt;0,COUNTIF(J2951,"*52*")&gt;0,COUNTIF(I2951,"55*")&gt;0,COUNTIF(J2951,"*55*")&gt;0,COUNTIF(I2951,"56*")&gt;0,COUNTIF(J2951,"*56*")&gt;0,COUNTIF(I2951,"68*")&gt;0,COUNTIF(J2951,"*68*")&gt;0,COUNTIF(I2951,"78*")&gt;0,COUNTIF(J2951,"*78*")&gt;0,COUNTIF(I2951,"81*")&gt;0,COUNTIF(J2951,"*81*")&gt;0,COUNTIF(I2951,"82*")&gt;0,COUNTIF(J2951,"*82*")&gt;0,COUNTIF(I2951,"64*")&gt;0,COUNTIF(J2951,"*64*")&gt;0,COUNTIF(I2951,"65*")&gt;0,COUNTIF(J2951,"*65*")&gt;0,COUNTIF(I2951,"66*")&gt;0,COUNTIF(J2951,"*66*")&gt;0,COUNTIF(I2951,"61*")&gt;0,COUNTIF(J2951,"*61*")&gt;0,COUNTIF(I2951,"62*")&gt;0,COUNTIF(J2951,"*62*")&gt;0,COUNTIF(I2951,"63*")&gt;0,COUNTIF(J2951,"*63*")&gt;0,COUNTIF(I2951,"85*")&gt;0,COUNTIF(J2951,"*85*")&gt;0,COUNTIF(I2951,"86*")&gt;0,COUNTIF(J2951,"*86*")&gt;0),"Да","Нет"))</f>
        <v/>
      </c>
      <c r="M2951" s="13">
        <f>IF(OR(G2951="",L2951&lt;&gt;"Да"),"",IF(G2951&lt;=100,"До 100",IF(G2951&lt;=200,"До 200",IF(G2951&lt;=500,"До 500","Отдельное КП"))))</f>
        <v/>
      </c>
      <c r="N2951" s="15">
        <f>IF(OR(G2951="",L2951&lt;&gt;"Да"),"",IF(G2951&lt;=100,33600,IF(G2951&lt;=200,62400,IF(G2951&lt;=500,144000,""))))</f>
        <v/>
      </c>
      <c r="O2951" s="16">
        <f>IF(G2951="","",IF(G2951&lt;=15,"1–15",IF(G2951&lt;=30,"16–30",IF(G2951&lt;=50,"31–50",IF(G2951&lt;=100,"51–100",IF(G2951&lt;=150,"101–150",IF(G2951&lt;=200,"151–200",IF(G2951&lt;=500,"201–500","500+"))))))))</f>
        <v/>
      </c>
      <c r="P2951" s="16" t="inlineStr">
        <is>
          <t>Нет совпадения в предоставленной выгрузке ССЧР</t>
        </is>
      </c>
      <c r="Q2951" s="16" t="n"/>
      <c r="R2951" s="16">
        <f>HYPERLINK("https://checko.ru/search?query=3801001629","Чекко: проверить")</f>
        <v/>
      </c>
      <c r="S2951" t="n">
        <v>0</v>
      </c>
    </row>
    <row r="2952" ht="54.75" customHeight="1" s="24">
      <c r="A2952" s="13" t="n">
        <v>5000101701</v>
      </c>
      <c r="B2952" s="13" t="inlineStr">
        <is>
          <t>Областное государственное бюджетное учреждение «Управление социальной защиты и социального обслуживания населения по Нижнеудинскому району»</t>
        </is>
      </c>
      <c r="C2952" s="13" t="n">
        <v>3816035860</v>
      </c>
      <c r="D2952" s="13" t="inlineStr">
        <is>
          <t>3816035860</t>
        </is>
      </c>
      <c r="E2952" s="13" t="inlineStr">
        <is>
          <t>ЮЛ РФ</t>
        </is>
      </c>
      <c r="F2952" s="13" t="n"/>
      <c r="G2952" s="14" t="n"/>
      <c r="H2952" s="14" t="n"/>
      <c r="I2952" s="14" t="n"/>
      <c r="J2952" s="14" t="n"/>
      <c r="K2952" s="53" t="inlineStr"/>
      <c r="L2952" s="53" t="inlineStr">
        <is>
          <t>Не определено</t>
        </is>
      </c>
      <c r="M2952" s="53" t="inlineStr"/>
      <c r="N2952" s="54" t="inlineStr"/>
      <c r="O2952" s="55" t="inlineStr"/>
      <c r="P2952" s="16" t="inlineStr">
        <is>
          <t>Требует обогащения</t>
        </is>
      </c>
      <c r="Q2952" s="16">
        <f>HYPERLINK("https://pb.nalog.ru/search.html?query=3816035860","ФНС: проверить")</f>
        <v/>
      </c>
      <c r="R2952" s="16">
        <f>HYPERLINK("https://checko.ru/search?query=3801001629","Чекко: проверить")</f>
        <v/>
      </c>
      <c r="S2952" t="n">
        <v>1</v>
      </c>
      <c r="T2952" s="35" t="inlineStr">
        <is>
          <t>4 — Не обогащён</t>
        </is>
      </c>
      <c r="U2952" s="35" t="inlineStr">
        <is>
          <t>Нет ОКВЭД/ССЧР</t>
        </is>
      </c>
      <c r="V2952" s="35" t="inlineStr">
        <is>
          <t>Не определено</t>
        </is>
      </c>
      <c r="W2952" s="35" t="inlineStr"/>
      <c r="X2952" s="35" t="inlineStr"/>
    </row>
    <row r="2953" ht="41.25" customHeight="1" s="24">
      <c r="A2953" s="13" t="n">
        <v>5000106079</v>
      </c>
      <c r="B2953" s="13" t="inlineStr">
        <is>
          <t>ОСУДАРСТВЕННОЕ АВТОНОМНОЕ УЧРЕЖДЕНИЕ ЗДРАВООХРАНЕНИЯ «ГОРОДСКАЯ БОЛЬНИЦА» ГОРОДА ОРСКА</t>
        </is>
      </c>
      <c r="C2953" s="13" t="n">
        <v>5614088133</v>
      </c>
      <c r="D2953" s="13" t="inlineStr">
        <is>
          <t>5614088133</t>
        </is>
      </c>
      <c r="E2953" s="13" t="inlineStr">
        <is>
          <t>ЮЛ РФ</t>
        </is>
      </c>
      <c r="F2953" s="13" t="n"/>
      <c r="G2953" s="14" t="n"/>
      <c r="H2953" s="14" t="n"/>
      <c r="I2953" s="14" t="n"/>
      <c r="J2953" s="14" t="n"/>
      <c r="K2953" s="53" t="inlineStr"/>
      <c r="L2953" s="53" t="inlineStr">
        <is>
          <t>Не определено</t>
        </is>
      </c>
      <c r="M2953" s="53" t="inlineStr"/>
      <c r="N2953" s="54" t="inlineStr"/>
      <c r="O2953" s="55" t="inlineStr"/>
      <c r="P2953" s="16" t="inlineStr">
        <is>
          <t>Требует обогащения</t>
        </is>
      </c>
      <c r="Q2953" s="16">
        <f>HYPERLINK("https://pb.nalog.ru/search.html?query=5614088133","ФНС: проверить")</f>
        <v/>
      </c>
      <c r="R2953" s="16">
        <f>HYPERLINK("https://checko.ru/search?query=3801001629","Чекко: проверить")</f>
        <v/>
      </c>
      <c r="S2953" t="n">
        <v>1</v>
      </c>
      <c r="T2953" s="35" t="inlineStr">
        <is>
          <t>4 — Не обогащён</t>
        </is>
      </c>
      <c r="U2953" s="35" t="inlineStr">
        <is>
          <t>Нет ОКВЭД/ССЧР</t>
        </is>
      </c>
      <c r="V2953" s="35" t="inlineStr">
        <is>
          <t>Не определено</t>
        </is>
      </c>
      <c r="W2953" s="35" t="inlineStr"/>
      <c r="X2953" s="35" t="inlineStr"/>
    </row>
    <row r="2954" ht="27.75" customHeight="1" s="24">
      <c r="A2954" s="13" t="n">
        <v>5000101687</v>
      </c>
      <c r="B2954" s="13" t="inlineStr">
        <is>
          <t>Государственное казенное учреждение Иркутской области "Усть-Удинское лесничество"</t>
        </is>
      </c>
      <c r="C2954" s="13" t="n">
        <v>3849096682</v>
      </c>
      <c r="D2954" s="13" t="inlineStr">
        <is>
          <t>3849096682</t>
        </is>
      </c>
      <c r="E2954" s="13" t="inlineStr">
        <is>
          <t>ЮЛ РФ</t>
        </is>
      </c>
      <c r="F2954" s="13" t="n"/>
      <c r="G2954" s="14" t="n"/>
      <c r="H2954" s="14" t="n"/>
      <c r="I2954" s="14" t="n"/>
      <c r="J2954" s="14" t="n"/>
      <c r="K2954" s="53" t="inlineStr"/>
      <c r="L2954" s="53" t="inlineStr">
        <is>
          <t>Не определено</t>
        </is>
      </c>
      <c r="M2954" s="53" t="inlineStr"/>
      <c r="N2954" s="54" t="inlineStr"/>
      <c r="O2954" s="55" t="inlineStr"/>
      <c r="P2954" s="16" t="inlineStr">
        <is>
          <t>Требует обогащения</t>
        </is>
      </c>
      <c r="Q2954" s="16">
        <f>HYPERLINK("https://pb.nalog.ru/search.html?query=3849096682","ФНС: проверить")</f>
        <v/>
      </c>
      <c r="R2954" s="16">
        <f>HYPERLINK("https://checko.ru/search?query=3801001629","Чекко: проверить")</f>
        <v/>
      </c>
      <c r="S2954" t="n">
        <v>1</v>
      </c>
      <c r="T2954" s="35" t="inlineStr">
        <is>
          <t>4 — Не обогащён</t>
        </is>
      </c>
      <c r="U2954" s="35" t="inlineStr">
        <is>
          <t>Нет ОКВЭД/ССЧР</t>
        </is>
      </c>
      <c r="V2954" s="35" t="inlineStr">
        <is>
          <t>Не определено</t>
        </is>
      </c>
      <c r="W2954" s="35" t="inlineStr"/>
      <c r="X2954" s="35" t="inlineStr"/>
    </row>
    <row r="2955" ht="41.25" customHeight="1" s="24">
      <c r="A2955" s="13" t="n">
        <v>5000094750</v>
      </c>
      <c r="B2955" s="13" t="inlineStr">
        <is>
          <t>МКУ "Управление образования местной администрации Урванского муниципального района КБР"</t>
        </is>
      </c>
      <c r="C2955" s="13" t="n">
        <v>707005067</v>
      </c>
      <c r="D2955" s="13" t="n"/>
      <c r="E2955" s="13" t="inlineStr">
        <is>
          <t>Не определён</t>
        </is>
      </c>
      <c r="F2955" s="13" t="inlineStr">
        <is>
          <t>707005067</t>
        </is>
      </c>
      <c r="G2955" s="14" t="n"/>
      <c r="H2955" s="14" t="n"/>
      <c r="I2955" s="14" t="n"/>
      <c r="J2955" s="14" t="n"/>
      <c r="K2955" s="13">
        <f>IF(G2955="","",IF(G2955&gt;=22,"Да","Нет"))</f>
        <v/>
      </c>
      <c r="L2955" s="13">
        <f>IF(OR(I2955="",J2955=""),"Не определено",IF(OR(COUNTIF(I2955,"45*")&gt;0,COUNTIF(J2955,"*45*")&gt;0,COUNTIF(I2955,"46*")&gt;0,COUNTIF(J2955,"*46*")&gt;0,COUNTIF(I2955,"47*")&gt;0,COUNTIF(J2955,"*47*")&gt;0,COUNTIF(I2955,"10*")&gt;0,COUNTIF(J2955,"*10*")&gt;0,COUNTIF(I2955,"11*")&gt;0,COUNTIF(J2955,"*11*")&gt;0,COUNTIF(I2955,"12*")&gt;0,COUNTIF(J2955,"*12*")&gt;0,COUNTIF(I2955,"13*")&gt;0,COUNTIF(J2955,"*13*")&gt;0,COUNTIF(I2955,"14*")&gt;0,COUNTIF(J2955,"*14*")&gt;0,COUNTIF(I2955,"15*")&gt;0,COUNTIF(J2955,"*15*")&gt;0,COUNTIF(I2955,"16*")&gt;0,COUNTIF(J2955,"*16*")&gt;0,COUNTIF(I2955,"17*")&gt;0,COUNTIF(J2955,"*17*")&gt;0,COUNTIF(I2955,"18*")&gt;0,COUNTIF(J2955,"*18*")&gt;0,COUNTIF(I2955,"19*")&gt;0,COUNTIF(J2955,"*19*")&gt;0,COUNTIF(I2955,"20*")&gt;0,COUNTIF(J2955,"*20*")&gt;0,COUNTIF(I2955,"21*")&gt;0,COUNTIF(J2955,"*21*")&gt;0,COUNTIF(I2955,"22*")&gt;0,COUNTIF(J2955,"*22*")&gt;0,COUNTIF(I2955,"23*")&gt;0,COUNTIF(J2955,"*23*")&gt;0,COUNTIF(I2955,"24*")&gt;0,COUNTIF(J2955,"*24*")&gt;0,COUNTIF(I2955,"25*")&gt;0,COUNTIF(J2955,"*25*")&gt;0,COUNTIF(I2955,"26*")&gt;0,COUNTIF(J2955,"*26*")&gt;0,COUNTIF(I2955,"27*")&gt;0,COUNTIF(J2955,"*27*")&gt;0,COUNTIF(I2955,"28*")&gt;0,COUNTIF(J2955,"*28*")&gt;0,COUNTIF(I2955,"29*")&gt;0,COUNTIF(J2955,"*29*")&gt;0,COUNTIF(I2955,"30*")&gt;0,COUNTIF(J2955,"*30*")&gt;0,COUNTIF(I2955,"31*")&gt;0,COUNTIF(J2955,"*31*")&gt;0,COUNTIF(I2955,"32*")&gt;0,COUNTIF(J2955,"*32*")&gt;0,COUNTIF(I2955,"33*")&gt;0,COUNTIF(J2955,"*33*")&gt;0,COUNTIF(I2955,"41*")&gt;0,COUNTIF(J2955,"*41*")&gt;0,COUNTIF(I2955,"42*")&gt;0,COUNTIF(J2955,"*42*")&gt;0,COUNTIF(I2955,"43*")&gt;0,COUNTIF(J2955,"*43*")&gt;0,COUNTIF(I2955,"49*")&gt;0,COUNTIF(J2955,"*49*")&gt;0,COUNTIF(I2955,"52*")&gt;0,COUNTIF(J2955,"*52*")&gt;0,COUNTIF(I2955,"55*")&gt;0,COUNTIF(J2955,"*55*")&gt;0,COUNTIF(I2955,"56*")&gt;0,COUNTIF(J2955,"*56*")&gt;0,COUNTIF(I2955,"68*")&gt;0,COUNTIF(J2955,"*68*")&gt;0,COUNTIF(I2955,"78*")&gt;0,COUNTIF(J2955,"*78*")&gt;0,COUNTIF(I2955,"81*")&gt;0,COUNTIF(J2955,"*81*")&gt;0,COUNTIF(I2955,"82*")&gt;0,COUNTIF(J2955,"*82*")&gt;0,COUNTIF(I2955,"64*")&gt;0,COUNTIF(J2955,"*64*")&gt;0,COUNTIF(I2955,"65*")&gt;0,COUNTIF(J2955,"*65*")&gt;0,COUNTIF(I2955,"66*")&gt;0,COUNTIF(J2955,"*66*")&gt;0,COUNTIF(I2955,"61*")&gt;0,COUNTIF(J2955,"*61*")&gt;0,COUNTIF(I2955,"62*")&gt;0,COUNTIF(J2955,"*62*")&gt;0,COUNTIF(I2955,"63*")&gt;0,COUNTIF(J2955,"*63*")&gt;0,COUNTIF(I2955,"85*")&gt;0,COUNTIF(J2955,"*85*")&gt;0,COUNTIF(I2955,"86*")&gt;0,COUNTIF(J2955,"*86*")&gt;0),"Да","Нет"))</f>
        <v/>
      </c>
      <c r="M2955" s="13">
        <f>IF(OR(G2955="",L2955&lt;&gt;"Да"),"",IF(G2955&lt;=100,"До 100",IF(G2955&lt;=200,"До 200",IF(G2955&lt;=500,"До 500","Отдельное КП"))))</f>
        <v/>
      </c>
      <c r="N2955" s="15">
        <f>IF(OR(G2955="",L2955&lt;&gt;"Да"),"",IF(G2955&lt;=100,33600,IF(G2955&lt;=200,62400,IF(G2955&lt;=500,144000,""))))</f>
        <v/>
      </c>
      <c r="O2955" s="16">
        <f>IF(G2955="","",IF(G2955&lt;=15,"1–15",IF(G2955&lt;=30,"16–30",IF(G2955&lt;=50,"31–50",IF(G2955&lt;=100,"51–100",IF(G2955&lt;=150,"101–150",IF(G2955&lt;=200,"151–200",IF(G2955&lt;=500,"201–500","500+"))))))))</f>
        <v/>
      </c>
      <c r="P2955" s="16" t="inlineStr">
        <is>
          <t>Нет совпадения в предоставленной выгрузке ССЧР</t>
        </is>
      </c>
      <c r="Q2955" s="16" t="n"/>
      <c r="R2955" s="16">
        <f>HYPERLINK("https://checko.ru/search?query=3801001629","Чекко: проверить")</f>
        <v/>
      </c>
      <c r="S2955" t="n">
        <v>0</v>
      </c>
    </row>
    <row r="2956" ht="15" customHeight="1" s="24">
      <c r="A2956" s="13" t="n">
        <v>5000094932</v>
      </c>
      <c r="B2956" s="13" t="inlineStr">
        <is>
          <t>МОУ "СОШ № 3" г.Тырныауз</t>
        </is>
      </c>
      <c r="C2956" s="13" t="n">
        <v>710005564</v>
      </c>
      <c r="D2956" s="13" t="n"/>
      <c r="E2956" s="13" t="inlineStr">
        <is>
          <t>Не определён</t>
        </is>
      </c>
      <c r="F2956" s="13" t="inlineStr">
        <is>
          <t>710005564</t>
        </is>
      </c>
      <c r="G2956" s="14" t="n"/>
      <c r="H2956" s="14" t="n"/>
      <c r="I2956" s="14" t="n"/>
      <c r="J2956" s="14" t="n"/>
      <c r="K2956" s="13">
        <f>IF(G2956="","",IF(G2956&gt;=22,"Да","Нет"))</f>
        <v/>
      </c>
      <c r="L2956" s="13">
        <f>IF(OR(I2956="",J2956=""),"Не определено",IF(OR(COUNTIF(I2956,"45*")&gt;0,COUNTIF(J2956,"*45*")&gt;0,COUNTIF(I2956,"46*")&gt;0,COUNTIF(J2956,"*46*")&gt;0,COUNTIF(I2956,"47*")&gt;0,COUNTIF(J2956,"*47*")&gt;0,COUNTIF(I2956,"10*")&gt;0,COUNTIF(J2956,"*10*")&gt;0,COUNTIF(I2956,"11*")&gt;0,COUNTIF(J2956,"*11*")&gt;0,COUNTIF(I2956,"12*")&gt;0,COUNTIF(J2956,"*12*")&gt;0,COUNTIF(I2956,"13*")&gt;0,COUNTIF(J2956,"*13*")&gt;0,COUNTIF(I2956,"14*")&gt;0,COUNTIF(J2956,"*14*")&gt;0,COUNTIF(I2956,"15*")&gt;0,COUNTIF(J2956,"*15*")&gt;0,COUNTIF(I2956,"16*")&gt;0,COUNTIF(J2956,"*16*")&gt;0,COUNTIF(I2956,"17*")&gt;0,COUNTIF(J2956,"*17*")&gt;0,COUNTIF(I2956,"18*")&gt;0,COUNTIF(J2956,"*18*")&gt;0,COUNTIF(I2956,"19*")&gt;0,COUNTIF(J2956,"*19*")&gt;0,COUNTIF(I2956,"20*")&gt;0,COUNTIF(J2956,"*20*")&gt;0,COUNTIF(I2956,"21*")&gt;0,COUNTIF(J2956,"*21*")&gt;0,COUNTIF(I2956,"22*")&gt;0,COUNTIF(J2956,"*22*")&gt;0,COUNTIF(I2956,"23*")&gt;0,COUNTIF(J2956,"*23*")&gt;0,COUNTIF(I2956,"24*")&gt;0,COUNTIF(J2956,"*24*")&gt;0,COUNTIF(I2956,"25*")&gt;0,COUNTIF(J2956,"*25*")&gt;0,COUNTIF(I2956,"26*")&gt;0,COUNTIF(J2956,"*26*")&gt;0,COUNTIF(I2956,"27*")&gt;0,COUNTIF(J2956,"*27*")&gt;0,COUNTIF(I2956,"28*")&gt;0,COUNTIF(J2956,"*28*")&gt;0,COUNTIF(I2956,"29*")&gt;0,COUNTIF(J2956,"*29*")&gt;0,COUNTIF(I2956,"30*")&gt;0,COUNTIF(J2956,"*30*")&gt;0,COUNTIF(I2956,"31*")&gt;0,COUNTIF(J2956,"*31*")&gt;0,COUNTIF(I2956,"32*")&gt;0,COUNTIF(J2956,"*32*")&gt;0,COUNTIF(I2956,"33*")&gt;0,COUNTIF(J2956,"*33*")&gt;0,COUNTIF(I2956,"41*")&gt;0,COUNTIF(J2956,"*41*")&gt;0,COUNTIF(I2956,"42*")&gt;0,COUNTIF(J2956,"*42*")&gt;0,COUNTIF(I2956,"43*")&gt;0,COUNTIF(J2956,"*43*")&gt;0,COUNTIF(I2956,"49*")&gt;0,COUNTIF(J2956,"*49*")&gt;0,COUNTIF(I2956,"52*")&gt;0,COUNTIF(J2956,"*52*")&gt;0,COUNTIF(I2956,"55*")&gt;0,COUNTIF(J2956,"*55*")&gt;0,COUNTIF(I2956,"56*")&gt;0,COUNTIF(J2956,"*56*")&gt;0,COUNTIF(I2956,"68*")&gt;0,COUNTIF(J2956,"*68*")&gt;0,COUNTIF(I2956,"78*")&gt;0,COUNTIF(J2956,"*78*")&gt;0,COUNTIF(I2956,"81*")&gt;0,COUNTIF(J2956,"*81*")&gt;0,COUNTIF(I2956,"82*")&gt;0,COUNTIF(J2956,"*82*")&gt;0,COUNTIF(I2956,"64*")&gt;0,COUNTIF(J2956,"*64*")&gt;0,COUNTIF(I2956,"65*")&gt;0,COUNTIF(J2956,"*65*")&gt;0,COUNTIF(I2956,"66*")&gt;0,COUNTIF(J2956,"*66*")&gt;0,COUNTIF(I2956,"61*")&gt;0,COUNTIF(J2956,"*61*")&gt;0,COUNTIF(I2956,"62*")&gt;0,COUNTIF(J2956,"*62*")&gt;0,COUNTIF(I2956,"63*")&gt;0,COUNTIF(J2956,"*63*")&gt;0,COUNTIF(I2956,"85*")&gt;0,COUNTIF(J2956,"*85*")&gt;0,COUNTIF(I2956,"86*")&gt;0,COUNTIF(J2956,"*86*")&gt;0),"Да","Нет"))</f>
        <v/>
      </c>
      <c r="M2956" s="13">
        <f>IF(OR(G2956="",L2956&lt;&gt;"Да"),"",IF(G2956&lt;=100,"До 100",IF(G2956&lt;=200,"До 200",IF(G2956&lt;=500,"До 500","Отдельное КП"))))</f>
        <v/>
      </c>
      <c r="N2956" s="15">
        <f>IF(OR(G2956="",L2956&lt;&gt;"Да"),"",IF(G2956&lt;=100,33600,IF(G2956&lt;=200,62400,IF(G2956&lt;=500,144000,""))))</f>
        <v/>
      </c>
      <c r="O2956" s="16">
        <f>IF(G2956="","",IF(G2956&lt;=15,"1–15",IF(G2956&lt;=30,"16–30",IF(G2956&lt;=50,"31–50",IF(G2956&lt;=100,"51–100",IF(G2956&lt;=150,"101–150",IF(G2956&lt;=200,"151–200",IF(G2956&lt;=500,"201–500","500+"))))))))</f>
        <v/>
      </c>
      <c r="P2956" s="16" t="inlineStr">
        <is>
          <t>Нет совпадения в предоставленной выгрузке ССЧР</t>
        </is>
      </c>
      <c r="Q2956" s="16" t="n"/>
      <c r="R2956" s="16">
        <f>HYPERLINK("https://checko.ru/search?query=3801001629","Чекко: проверить")</f>
        <v/>
      </c>
      <c r="S2956" t="n">
        <v>0</v>
      </c>
    </row>
    <row r="2957" ht="15" customHeight="1" s="24">
      <c r="A2957" s="13" t="n">
        <v>5000001600</v>
      </c>
      <c r="B2957" s="13" t="inlineStr">
        <is>
          <t>МУЗ "Станция скорой медицинской помощи"</t>
        </is>
      </c>
      <c r="C2957" s="13" t="n">
        <v>3804002204</v>
      </c>
      <c r="D2957" s="13" t="inlineStr">
        <is>
          <t>3804002204</t>
        </is>
      </c>
      <c r="E2957" s="13" t="inlineStr">
        <is>
          <t>ЮЛ РФ</t>
        </is>
      </c>
      <c r="F2957" s="13" t="n"/>
      <c r="G2957" s="14" t="n"/>
      <c r="H2957" s="14" t="n"/>
      <c r="I2957" s="14" t="n"/>
      <c r="J2957" s="14" t="n"/>
      <c r="K2957" s="53" t="inlineStr"/>
      <c r="L2957" s="53" t="inlineStr">
        <is>
          <t>Не определено</t>
        </is>
      </c>
      <c r="M2957" s="53" t="inlineStr"/>
      <c r="N2957" s="54" t="inlineStr"/>
      <c r="O2957" s="55" t="inlineStr"/>
      <c r="P2957" s="16" t="inlineStr">
        <is>
          <t>Требует обогащения</t>
        </is>
      </c>
      <c r="Q2957" s="16">
        <f>HYPERLINK("https://pb.nalog.ru/search.html?query=3804002204","ФНС: проверить")</f>
        <v/>
      </c>
      <c r="R2957" s="16">
        <f>HYPERLINK("https://checko.ru/search?query=3801001629","Чекко: проверить")</f>
        <v/>
      </c>
      <c r="S2957" t="n">
        <v>1</v>
      </c>
      <c r="T2957" s="35" t="inlineStr">
        <is>
          <t>4 — Не обогащён</t>
        </is>
      </c>
      <c r="U2957" s="35" t="inlineStr">
        <is>
          <t>Нет ОКВЭД/ССЧР</t>
        </is>
      </c>
      <c r="V2957" s="35" t="inlineStr">
        <is>
          <t>Не определено</t>
        </is>
      </c>
      <c r="W2957" s="35" t="inlineStr"/>
      <c r="X2957" s="35" t="inlineStr"/>
    </row>
    <row r="2958" ht="27.75" customHeight="1" s="24">
      <c r="A2958" s="13" t="n">
        <v>5000001450</v>
      </c>
      <c r="B2958" s="13" t="inlineStr">
        <is>
          <t>ОГОБУ СПО "Иркутское театральное училище" (колледж)</t>
        </is>
      </c>
      <c r="C2958" s="13" t="n">
        <v>3808024985</v>
      </c>
      <c r="D2958" s="13" t="inlineStr">
        <is>
          <t>3808024985</t>
        </is>
      </c>
      <c r="E2958" s="13" t="inlineStr">
        <is>
          <t>ЮЛ РФ</t>
        </is>
      </c>
      <c r="F2958" s="13" t="n"/>
      <c r="G2958" s="14" t="n"/>
      <c r="H2958" s="14" t="n"/>
      <c r="I2958" s="14" t="n"/>
      <c r="J2958" s="14" t="n"/>
      <c r="K2958" s="53" t="inlineStr"/>
      <c r="L2958" s="53" t="inlineStr">
        <is>
          <t>Не определено</t>
        </is>
      </c>
      <c r="M2958" s="53" t="inlineStr"/>
      <c r="N2958" s="54" t="inlineStr"/>
      <c r="O2958" s="55" t="inlineStr"/>
      <c r="P2958" s="16" t="inlineStr">
        <is>
          <t>Требует обогащения</t>
        </is>
      </c>
      <c r="Q2958" s="16">
        <f>HYPERLINK("https://pb.nalog.ru/search.html?query=3808024985","ФНС: проверить")</f>
        <v/>
      </c>
      <c r="R2958" s="16">
        <f>HYPERLINK("https://checko.ru/search?query=3801001629","Чекко: проверить")</f>
        <v/>
      </c>
      <c r="S2958" t="n">
        <v>1</v>
      </c>
      <c r="T2958" s="35" t="inlineStr">
        <is>
          <t>4 — Не обогащён</t>
        </is>
      </c>
      <c r="U2958" s="35" t="inlineStr">
        <is>
          <t>Нет ОКВЭД/ССЧР</t>
        </is>
      </c>
      <c r="V2958" s="35" t="inlineStr">
        <is>
          <t>Не определено</t>
        </is>
      </c>
      <c r="W2958" s="35" t="inlineStr"/>
      <c r="X2958" s="35" t="inlineStr"/>
    </row>
    <row r="2959" ht="41.25" customHeight="1" s="24">
      <c r="A2959" s="13" t="n">
        <v>5000106065</v>
      </c>
      <c r="B2959" s="13" t="inlineStr">
        <is>
          <t>КОМИТЕТ ВНУТРЕННЕГО ГОСУДАРСТВЕННОГО ФИНАНСОВОГО КОНТРОЛЯ ОРЕНБУРГСКОЙ ОБЛАСТИ</t>
        </is>
      </c>
      <c r="C2959" s="13" t="n">
        <v>5610158245</v>
      </c>
      <c r="D2959" s="13" t="inlineStr">
        <is>
          <t>5610158245</t>
        </is>
      </c>
      <c r="E2959" s="13" t="inlineStr">
        <is>
          <t>ЮЛ РФ</t>
        </is>
      </c>
      <c r="F2959" s="13" t="n"/>
      <c r="G2959" s="14" t="n"/>
      <c r="H2959" s="14" t="n"/>
      <c r="I2959" s="14" t="n"/>
      <c r="J2959" s="14" t="n"/>
      <c r="K2959" s="53" t="inlineStr"/>
      <c r="L2959" s="53" t="inlineStr">
        <is>
          <t>Не определено</t>
        </is>
      </c>
      <c r="M2959" s="53" t="inlineStr"/>
      <c r="N2959" s="54" t="inlineStr"/>
      <c r="O2959" s="55" t="inlineStr"/>
      <c r="P2959" s="16" t="inlineStr">
        <is>
          <t>Требует обогащения</t>
        </is>
      </c>
      <c r="Q2959" s="16">
        <f>HYPERLINK("https://pb.nalog.ru/search.html?query=5610158245","ФНС: проверить")</f>
        <v/>
      </c>
      <c r="R2959" s="16">
        <f>HYPERLINK("https://checko.ru/search?query=3801001629","Чекко: проверить")</f>
        <v/>
      </c>
      <c r="S2959" t="n">
        <v>1</v>
      </c>
      <c r="T2959" s="35" t="inlineStr">
        <is>
          <t>4 — Не обогащён</t>
        </is>
      </c>
      <c r="U2959" s="35" t="inlineStr">
        <is>
          <t>Нет ОКВЭД/ССЧР</t>
        </is>
      </c>
      <c r="V2959" s="35" t="inlineStr">
        <is>
          <t>Не определено</t>
        </is>
      </c>
      <c r="W2959" s="35" t="inlineStr"/>
      <c r="X2959" s="35" t="inlineStr"/>
    </row>
    <row r="2960" ht="27.75" customHeight="1" s="24">
      <c r="A2960" s="13" t="n">
        <v>5000001869</v>
      </c>
      <c r="B2960" s="13" t="inlineStr">
        <is>
          <t>ОГКУСО "Социально-реабилитационный центр для несовершеннолетних г. Усть-Илимска"</t>
        </is>
      </c>
      <c r="C2960" s="13" t="n">
        <v>3817025456</v>
      </c>
      <c r="D2960" s="13" t="inlineStr">
        <is>
          <t>3817025456</t>
        </is>
      </c>
      <c r="E2960" s="13" t="inlineStr">
        <is>
          <t>ЮЛ РФ</t>
        </is>
      </c>
      <c r="F2960" s="13" t="n"/>
      <c r="G2960" s="14" t="n"/>
      <c r="H2960" s="14" t="n"/>
      <c r="I2960" s="14" t="n"/>
      <c r="J2960" s="14" t="n"/>
      <c r="K2960" s="53" t="inlineStr"/>
      <c r="L2960" s="53" t="inlineStr">
        <is>
          <t>Не определено</t>
        </is>
      </c>
      <c r="M2960" s="53" t="inlineStr"/>
      <c r="N2960" s="54" t="inlineStr"/>
      <c r="O2960" s="55" t="inlineStr"/>
      <c r="P2960" s="16" t="inlineStr">
        <is>
          <t>Требует обогащения</t>
        </is>
      </c>
      <c r="Q2960" s="16">
        <f>HYPERLINK("https://pb.nalog.ru/search.html?query=3817025456","ФНС: проверить")</f>
        <v/>
      </c>
      <c r="R2960" s="16">
        <f>HYPERLINK("https://checko.ru/search?query=3801001629","Чекко: проверить")</f>
        <v/>
      </c>
      <c r="S2960" t="n">
        <v>1</v>
      </c>
      <c r="T2960" s="35" t="inlineStr">
        <is>
          <t>4 — Не обогащён</t>
        </is>
      </c>
      <c r="U2960" s="35" t="inlineStr">
        <is>
          <t>Нет ОКВЭД/ССЧР</t>
        </is>
      </c>
      <c r="V2960" s="35" t="inlineStr">
        <is>
          <t>Не определено</t>
        </is>
      </c>
      <c r="W2960" s="35" t="inlineStr"/>
      <c r="X2960" s="35" t="inlineStr"/>
    </row>
    <row r="2961" ht="27.75" customHeight="1" s="24">
      <c r="A2961" s="13" t="n">
        <v>5000038495</v>
      </c>
      <c r="B2961" s="13" t="inlineStr">
        <is>
          <t>ОГБУК "Ульяновская областная специализированная библиотека для слепых"</t>
        </is>
      </c>
      <c r="C2961" s="13" t="n">
        <v>7325030392</v>
      </c>
      <c r="D2961" s="13" t="inlineStr">
        <is>
          <t>7325030392</t>
        </is>
      </c>
      <c r="E2961" s="13" t="inlineStr">
        <is>
          <t>ЮЛ РФ</t>
        </is>
      </c>
      <c r="F2961" s="13" t="n"/>
      <c r="G2961" s="14" t="n"/>
      <c r="H2961" s="14" t="n"/>
      <c r="I2961" s="14" t="n"/>
      <c r="J2961" s="14" t="n"/>
      <c r="K2961" s="53" t="inlineStr"/>
      <c r="L2961" s="53" t="inlineStr">
        <is>
          <t>Не определено</t>
        </is>
      </c>
      <c r="M2961" s="53" t="inlineStr"/>
      <c r="N2961" s="54" t="inlineStr"/>
      <c r="O2961" s="55" t="inlineStr"/>
      <c r="P2961" s="16" t="inlineStr">
        <is>
          <t>Требует обогащения</t>
        </is>
      </c>
      <c r="Q2961" s="16">
        <f>HYPERLINK("https://pb.nalog.ru/search.html?query=7325030392","ФНС: проверить")</f>
        <v/>
      </c>
      <c r="R2961" s="16">
        <f>HYPERLINK("https://checko.ru/search?query=3801001629","Чекко: проверить")</f>
        <v/>
      </c>
      <c r="S2961" t="n">
        <v>1</v>
      </c>
      <c r="T2961" s="35" t="inlineStr">
        <is>
          <t>4 — Не обогащён</t>
        </is>
      </c>
      <c r="U2961" s="35" t="inlineStr">
        <is>
          <t>Нет ОКВЭД/ССЧР</t>
        </is>
      </c>
      <c r="V2961" s="35" t="inlineStr">
        <is>
          <t>Не определено</t>
        </is>
      </c>
      <c r="W2961" s="35" t="inlineStr"/>
      <c r="X2961" s="35" t="inlineStr"/>
    </row>
    <row r="2962" ht="27.75" customHeight="1" s="24">
      <c r="A2962" s="13" t="n">
        <v>5000062577</v>
      </c>
      <c r="B2962" s="13" t="inlineStr">
        <is>
          <t>ОГБПОУ "Ульяновский многопрофильный техникум"</t>
        </is>
      </c>
      <c r="C2962" s="13" t="n">
        <v>7327012448</v>
      </c>
      <c r="D2962" s="13" t="inlineStr">
        <is>
          <t>7327012448</t>
        </is>
      </c>
      <c r="E2962" s="13" t="inlineStr">
        <is>
          <t>ЮЛ РФ</t>
        </is>
      </c>
      <c r="F2962" s="13" t="n"/>
      <c r="G2962" s="14" t="n"/>
      <c r="H2962" s="14" t="n"/>
      <c r="I2962" s="14" t="n"/>
      <c r="J2962" s="14" t="n"/>
      <c r="K2962" s="53" t="inlineStr"/>
      <c r="L2962" s="53" t="inlineStr">
        <is>
          <t>Не определено</t>
        </is>
      </c>
      <c r="M2962" s="53" t="inlineStr"/>
      <c r="N2962" s="54" t="inlineStr"/>
      <c r="O2962" s="55" t="inlineStr"/>
      <c r="P2962" s="16" t="inlineStr">
        <is>
          <t>Требует обогащения</t>
        </is>
      </c>
      <c r="Q2962" s="16">
        <f>HYPERLINK("https://pb.nalog.ru/search.html?query=7327012448","ФНС: проверить")</f>
        <v/>
      </c>
      <c r="R2962" s="16">
        <f>HYPERLINK("https://checko.ru/search?query=3801001629","Чекко: проверить")</f>
        <v/>
      </c>
      <c r="S2962" t="n">
        <v>1</v>
      </c>
      <c r="T2962" s="35" t="inlineStr">
        <is>
          <t>4 — Не обогащён</t>
        </is>
      </c>
      <c r="U2962" s="35" t="inlineStr">
        <is>
          <t>Нет ОКВЭД/ССЧР</t>
        </is>
      </c>
      <c r="V2962" s="35" t="inlineStr">
        <is>
          <t>Не определено</t>
        </is>
      </c>
      <c r="W2962" s="35" t="inlineStr"/>
      <c r="X2962" s="35" t="inlineStr"/>
    </row>
    <row r="2963" ht="27.75" customHeight="1" s="24">
      <c r="A2963" s="13" t="n">
        <v>5000001962</v>
      </c>
      <c r="B2963" s="13" t="inlineStr">
        <is>
          <t>ОГОУ НПО Профессиональное училище №59 п. Усть-Ордынский</t>
        </is>
      </c>
      <c r="C2963" s="13" t="n">
        <v>8506003434</v>
      </c>
      <c r="D2963" s="13" t="inlineStr">
        <is>
          <t>8506003434</t>
        </is>
      </c>
      <c r="E2963" s="13" t="inlineStr">
        <is>
          <t>ЮЛ РФ</t>
        </is>
      </c>
      <c r="F2963" s="13" t="n"/>
      <c r="G2963" s="14" t="n"/>
      <c r="H2963" s="14" t="n"/>
      <c r="I2963" s="14" t="n"/>
      <c r="J2963" s="14" t="n"/>
      <c r="K2963" s="53" t="inlineStr"/>
      <c r="L2963" s="53" t="inlineStr">
        <is>
          <t>Не определено</t>
        </is>
      </c>
      <c r="M2963" s="53" t="inlineStr"/>
      <c r="N2963" s="54" t="inlineStr"/>
      <c r="O2963" s="55" t="inlineStr"/>
      <c r="P2963" s="16" t="inlineStr">
        <is>
          <t>Требует обогащения</t>
        </is>
      </c>
      <c r="Q2963" s="16">
        <f>HYPERLINK("https://pb.nalog.ru/search.html?query=8506003434","ФНС: проверить")</f>
        <v/>
      </c>
      <c r="R2963" s="16">
        <f>HYPERLINK("https://checko.ru/search?query=3801001629","Чекко: проверить")</f>
        <v/>
      </c>
      <c r="S2963" t="n">
        <v>1</v>
      </c>
      <c r="T2963" s="35" t="inlineStr">
        <is>
          <t>4 — Не обогащён</t>
        </is>
      </c>
      <c r="U2963" s="35" t="inlineStr">
        <is>
          <t>Нет ОКВЭД/ССЧР</t>
        </is>
      </c>
      <c r="V2963" s="35" t="inlineStr">
        <is>
          <t>Не определено</t>
        </is>
      </c>
      <c r="W2963" s="35" t="inlineStr"/>
      <c r="X2963" s="35" t="inlineStr"/>
    </row>
    <row r="2964" ht="27.75" customHeight="1" s="24">
      <c r="A2964" s="13" t="n">
        <v>5000002058</v>
      </c>
      <c r="B2964" s="13" t="inlineStr">
        <is>
          <t>ОГУК "Усть-Ордынская Национальная библиотека им. И.М. Хангалова"</t>
        </is>
      </c>
      <c r="C2964" s="13" t="n">
        <v>8506007693</v>
      </c>
      <c r="D2964" s="13" t="inlineStr">
        <is>
          <t>8506007693</t>
        </is>
      </c>
      <c r="E2964" s="13" t="inlineStr">
        <is>
          <t>ЮЛ РФ</t>
        </is>
      </c>
      <c r="F2964" s="13" t="n"/>
      <c r="G2964" s="14" t="n"/>
      <c r="H2964" s="14" t="n"/>
      <c r="I2964" s="14" t="n"/>
      <c r="J2964" s="14" t="n"/>
      <c r="K2964" s="53" t="inlineStr"/>
      <c r="L2964" s="53" t="inlineStr">
        <is>
          <t>Не определено</t>
        </is>
      </c>
      <c r="M2964" s="53" t="inlineStr"/>
      <c r="N2964" s="54" t="inlineStr"/>
      <c r="O2964" s="55" t="inlineStr"/>
      <c r="P2964" s="16" t="inlineStr">
        <is>
          <t>Требует обогащения</t>
        </is>
      </c>
      <c r="Q2964" s="16">
        <f>HYPERLINK("https://pb.nalog.ru/search.html?query=8506007693","ФНС: проверить")</f>
        <v/>
      </c>
      <c r="R2964" s="16">
        <f>HYPERLINK("https://checko.ru/search?query=3801001629","Чекко: проверить")</f>
        <v/>
      </c>
      <c r="S2964" t="n">
        <v>1</v>
      </c>
      <c r="T2964" s="35" t="inlineStr">
        <is>
          <t>4 — Не обогащён</t>
        </is>
      </c>
      <c r="U2964" s="35" t="inlineStr">
        <is>
          <t>Нет ОКВЭД/ССЧР</t>
        </is>
      </c>
      <c r="V2964" s="35" t="inlineStr">
        <is>
          <t>Не определено</t>
        </is>
      </c>
      <c r="W2964" s="35" t="inlineStr"/>
      <c r="X2964" s="35" t="inlineStr"/>
    </row>
    <row r="2965" ht="27.75" customHeight="1" s="24">
      <c r="A2965" s="13" t="n">
        <v>5000001706</v>
      </c>
      <c r="B2965" s="13" t="inlineStr">
        <is>
          <t>ОбГКУ СО "Социальный приют для детей и подростков "Надежда" п. Улькан"</t>
        </is>
      </c>
      <c r="C2965" s="13" t="n">
        <v>3828005010</v>
      </c>
      <c r="D2965" s="13" t="inlineStr">
        <is>
          <t>3828005010</t>
        </is>
      </c>
      <c r="E2965" s="13" t="inlineStr">
        <is>
          <t>ЮЛ РФ</t>
        </is>
      </c>
      <c r="F2965" s="13" t="n"/>
      <c r="G2965" s="14" t="n"/>
      <c r="H2965" s="14" t="n"/>
      <c r="I2965" s="14" t="n"/>
      <c r="J2965" s="14" t="n"/>
      <c r="K2965" s="53" t="inlineStr"/>
      <c r="L2965" s="53" t="inlineStr">
        <is>
          <t>Не определено</t>
        </is>
      </c>
      <c r="M2965" s="53" t="inlineStr"/>
      <c r="N2965" s="54" t="inlineStr"/>
      <c r="O2965" s="55" t="inlineStr"/>
      <c r="P2965" s="16" t="inlineStr">
        <is>
          <t>Требует обогащения</t>
        </is>
      </c>
      <c r="Q2965" s="16">
        <f>HYPERLINK("https://pb.nalog.ru/search.html?query=3828005010","ФНС: проверить")</f>
        <v/>
      </c>
      <c r="R2965" s="16">
        <f>HYPERLINK("https://checko.ru/search?query=3801001629","Чекко: проверить")</f>
        <v/>
      </c>
      <c r="S2965" t="n">
        <v>1</v>
      </c>
      <c r="T2965" s="35" t="inlineStr">
        <is>
          <t>4 — Не обогащён</t>
        </is>
      </c>
      <c r="U2965" s="35" t="inlineStr">
        <is>
          <t>Нет ОКВЭД/ССЧР</t>
        </is>
      </c>
      <c r="V2965" s="35" t="inlineStr">
        <is>
          <t>Не определено</t>
        </is>
      </c>
      <c r="W2965" s="35" t="inlineStr"/>
      <c r="X2965" s="35" t="inlineStr"/>
    </row>
    <row r="2966" ht="41.25" customHeight="1" s="24">
      <c r="A2966" s="13" t="n">
        <v>5000034579</v>
      </c>
      <c r="B2966" s="13" t="inlineStr">
        <is>
          <t>МУ "Централизованная  бухгалтерия Муниципальных учреждений  Одинцовского муниципального района Московской области"</t>
        </is>
      </c>
      <c r="C2966" s="13" t="n">
        <v>5032196429</v>
      </c>
      <c r="D2966" s="13" t="inlineStr">
        <is>
          <t>5032196429</t>
        </is>
      </c>
      <c r="E2966" s="13" t="inlineStr">
        <is>
          <t>ЮЛ РФ</t>
        </is>
      </c>
      <c r="F2966" s="13" t="n"/>
      <c r="G2966" s="14" t="n"/>
      <c r="H2966" s="14" t="n"/>
      <c r="I2966" s="14" t="n"/>
      <c r="J2966" s="14" t="n"/>
      <c r="K2966" s="53" t="inlineStr"/>
      <c r="L2966" s="53" t="inlineStr">
        <is>
          <t>Не определено</t>
        </is>
      </c>
      <c r="M2966" s="53" t="inlineStr"/>
      <c r="N2966" s="54" t="inlineStr"/>
      <c r="O2966" s="55" t="inlineStr"/>
      <c r="P2966" s="16" t="inlineStr">
        <is>
          <t>Требует обогащения</t>
        </is>
      </c>
      <c r="Q2966" s="16">
        <f>HYPERLINK("https://pb.nalog.ru/search.html?query=5032196429","ФНС: проверить")</f>
        <v/>
      </c>
      <c r="R2966" s="16">
        <f>HYPERLINK("https://checko.ru/search?query=3801001629","Чекко: проверить")</f>
        <v/>
      </c>
      <c r="S2966" t="n">
        <v>1</v>
      </c>
      <c r="T2966" s="35" t="inlineStr">
        <is>
          <t>4 — Не обогащён</t>
        </is>
      </c>
      <c r="U2966" s="35" t="inlineStr">
        <is>
          <t>Нет ОКВЭД/ССЧР</t>
        </is>
      </c>
      <c r="V2966" s="35" t="inlineStr">
        <is>
          <t>Не определено</t>
        </is>
      </c>
      <c r="W2966" s="35" t="inlineStr"/>
      <c r="X2966" s="35" t="inlineStr"/>
    </row>
    <row r="2967" ht="27.75" customHeight="1" s="24">
      <c r="A2967" s="13" t="n">
        <v>5000062544</v>
      </c>
      <c r="B2967" s="13" t="inlineStr">
        <is>
          <t>Социально-реабилитационный центр имени Е.М.Чучкалова</t>
        </is>
      </c>
      <c r="C2967" s="13" t="n">
        <v>7321020403</v>
      </c>
      <c r="D2967" s="13" t="inlineStr">
        <is>
          <t>7321020403</t>
        </is>
      </c>
      <c r="E2967" s="13" t="inlineStr">
        <is>
          <t>ЮЛ РФ</t>
        </is>
      </c>
      <c r="F2967" s="13" t="n"/>
      <c r="G2967" s="14" t="n"/>
      <c r="H2967" s="14" t="n"/>
      <c r="I2967" s="14" t="n"/>
      <c r="J2967" s="14" t="n"/>
      <c r="K2967" s="53" t="inlineStr"/>
      <c r="L2967" s="53" t="inlineStr">
        <is>
          <t>Не определено</t>
        </is>
      </c>
      <c r="M2967" s="53" t="inlineStr"/>
      <c r="N2967" s="54" t="inlineStr"/>
      <c r="O2967" s="55" t="inlineStr"/>
      <c r="P2967" s="16" t="inlineStr">
        <is>
          <t>Требует обогащения</t>
        </is>
      </c>
      <c r="Q2967" s="16">
        <f>HYPERLINK("https://pb.nalog.ru/search.html?query=7321020403","ФНС: проверить")</f>
        <v/>
      </c>
      <c r="R2967" s="16">
        <f>HYPERLINK("https://checko.ru/search?query=3801001629","Чекко: проверить")</f>
        <v/>
      </c>
      <c r="S2967" t="n">
        <v>1</v>
      </c>
      <c r="T2967" s="35" t="inlineStr">
        <is>
          <t>4 — Не обогащён</t>
        </is>
      </c>
      <c r="U2967" s="35" t="inlineStr">
        <is>
          <t>Нет ОКВЭД/ССЧР</t>
        </is>
      </c>
      <c r="V2967" s="35" t="inlineStr">
        <is>
          <t>Не определено</t>
        </is>
      </c>
      <c r="W2967" s="35" t="inlineStr"/>
      <c r="X2967" s="35" t="inlineStr"/>
    </row>
    <row r="2968" ht="27.75" customHeight="1" s="24">
      <c r="A2968" s="13" t="n">
        <v>5000001601</v>
      </c>
      <c r="B2968" s="13" t="inlineStr">
        <is>
          <t>ОГБУ здравоохранения "Иркутская городская детская поликлиника №6"</t>
        </is>
      </c>
      <c r="C2968" s="13" t="n">
        <v>3812014563</v>
      </c>
      <c r="D2968" s="13" t="inlineStr">
        <is>
          <t>3812014563</t>
        </is>
      </c>
      <c r="E2968" s="13" t="inlineStr">
        <is>
          <t>ЮЛ РФ</t>
        </is>
      </c>
      <c r="F2968" s="13" t="n"/>
      <c r="G2968" s="14" t="n"/>
      <c r="H2968" s="14" t="n"/>
      <c r="I2968" s="14" t="n"/>
      <c r="J2968" s="14" t="n"/>
      <c r="K2968" s="53" t="inlineStr"/>
      <c r="L2968" s="53" t="inlineStr">
        <is>
          <t>Не определено</t>
        </is>
      </c>
      <c r="M2968" s="53" t="inlineStr"/>
      <c r="N2968" s="54" t="inlineStr"/>
      <c r="O2968" s="55" t="inlineStr"/>
      <c r="P2968" s="16" t="inlineStr">
        <is>
          <t>Требует обогащения</t>
        </is>
      </c>
      <c r="Q2968" s="16">
        <f>HYPERLINK("https://pb.nalog.ru/search.html?query=3812014563","ФНС: проверить")</f>
        <v/>
      </c>
      <c r="R2968" s="16">
        <f>HYPERLINK("https://checko.ru/search?query=3801001629","Чекко: проверить")</f>
        <v/>
      </c>
      <c r="S2968" t="n">
        <v>1</v>
      </c>
      <c r="T2968" s="35" t="inlineStr">
        <is>
          <t>4 — Не обогащён</t>
        </is>
      </c>
      <c r="U2968" s="35" t="inlineStr">
        <is>
          <t>Нет ОКВЭД/ССЧР</t>
        </is>
      </c>
      <c r="V2968" s="35" t="inlineStr">
        <is>
          <t>Не определено</t>
        </is>
      </c>
      <c r="W2968" s="35" t="inlineStr"/>
      <c r="X2968" s="35" t="inlineStr"/>
    </row>
    <row r="2969" ht="15" customHeight="1" s="24">
      <c r="A2969" s="13" t="n">
        <v>5000107496</v>
      </c>
      <c r="B2969" s="13" t="inlineStr">
        <is>
          <t>МБОУ ОЦ "ЛОГОС"</t>
        </is>
      </c>
      <c r="C2969" s="13" t="n">
        <v>5032380474</v>
      </c>
      <c r="D2969" s="13" t="inlineStr">
        <is>
          <t>5032380474</t>
        </is>
      </c>
      <c r="E2969" s="13" t="inlineStr">
        <is>
          <t>ЮЛ РФ</t>
        </is>
      </c>
      <c r="F2969" s="13" t="n"/>
      <c r="G2969" s="14" t="n"/>
      <c r="H2969" s="14" t="n"/>
      <c r="I2969" s="14" t="n"/>
      <c r="J2969" s="14" t="n"/>
      <c r="K2969" s="53" t="inlineStr"/>
      <c r="L2969" s="53" t="inlineStr">
        <is>
          <t>Не определено</t>
        </is>
      </c>
      <c r="M2969" s="53" t="inlineStr"/>
      <c r="N2969" s="54" t="inlineStr"/>
      <c r="O2969" s="55" t="inlineStr"/>
      <c r="P2969" s="16" t="inlineStr">
        <is>
          <t>Требует обогащения</t>
        </is>
      </c>
      <c r="Q2969" s="16">
        <f>HYPERLINK("https://pb.nalog.ru/search.html?query=5032380474","ФНС: проверить")</f>
        <v/>
      </c>
      <c r="R2969" s="16">
        <f>HYPERLINK("https://checko.ru/search?query=3801001629","Чекко: проверить")</f>
        <v/>
      </c>
      <c r="S2969" t="n">
        <v>1</v>
      </c>
      <c r="T2969" s="35" t="inlineStr">
        <is>
          <t>4 — Не обогащён</t>
        </is>
      </c>
      <c r="U2969" s="35" t="inlineStr">
        <is>
          <t>Нет ОКВЭД/ССЧР</t>
        </is>
      </c>
      <c r="V2969" s="35" t="inlineStr">
        <is>
          <t>Не определено</t>
        </is>
      </c>
      <c r="W2969" s="35" t="inlineStr"/>
      <c r="X2969" s="35" t="inlineStr"/>
    </row>
    <row r="2970" ht="27.75" customHeight="1" s="24">
      <c r="A2970" s="13" t="n">
        <v>5000095310</v>
      </c>
      <c r="B2970" s="13" t="inlineStr">
        <is>
          <t>МУНИЦИПАЛЬНОЕ БЮДЖЕТНОЕ УЧРЕЖДЕНИЕ "ГОРЗЕЛЕНХОЗ"</t>
        </is>
      </c>
      <c r="C2970" s="13" t="n">
        <v>700009930</v>
      </c>
      <c r="D2970" s="13" t="n"/>
      <c r="E2970" s="13" t="inlineStr">
        <is>
          <t>Не определён</t>
        </is>
      </c>
      <c r="F2970" s="13" t="inlineStr">
        <is>
          <t>700009930</t>
        </is>
      </c>
      <c r="G2970" s="14" t="n"/>
      <c r="H2970" s="14" t="n"/>
      <c r="I2970" s="14" t="n"/>
      <c r="J2970" s="14" t="n"/>
      <c r="K2970" s="13">
        <f>IF(G2970="","",IF(G2970&gt;=22,"Да","Нет"))</f>
        <v/>
      </c>
      <c r="L2970" s="13">
        <f>IF(OR(I2970="",J2970=""),"Не определено",IF(OR(COUNTIF(I2970,"45*")&gt;0,COUNTIF(J2970,"*45*")&gt;0,COUNTIF(I2970,"46*")&gt;0,COUNTIF(J2970,"*46*")&gt;0,COUNTIF(I2970,"47*")&gt;0,COUNTIF(J2970,"*47*")&gt;0,COUNTIF(I2970,"10*")&gt;0,COUNTIF(J2970,"*10*")&gt;0,COUNTIF(I2970,"11*")&gt;0,COUNTIF(J2970,"*11*")&gt;0,COUNTIF(I2970,"12*")&gt;0,COUNTIF(J2970,"*12*")&gt;0,COUNTIF(I2970,"13*")&gt;0,COUNTIF(J2970,"*13*")&gt;0,COUNTIF(I2970,"14*")&gt;0,COUNTIF(J2970,"*14*")&gt;0,COUNTIF(I2970,"15*")&gt;0,COUNTIF(J2970,"*15*")&gt;0,COUNTIF(I2970,"16*")&gt;0,COUNTIF(J2970,"*16*")&gt;0,COUNTIF(I2970,"17*")&gt;0,COUNTIF(J2970,"*17*")&gt;0,COUNTIF(I2970,"18*")&gt;0,COUNTIF(J2970,"*18*")&gt;0,COUNTIF(I2970,"19*")&gt;0,COUNTIF(J2970,"*19*")&gt;0,COUNTIF(I2970,"20*")&gt;0,COUNTIF(J2970,"*20*")&gt;0,COUNTIF(I2970,"21*")&gt;0,COUNTIF(J2970,"*21*")&gt;0,COUNTIF(I2970,"22*")&gt;0,COUNTIF(J2970,"*22*")&gt;0,COUNTIF(I2970,"23*")&gt;0,COUNTIF(J2970,"*23*")&gt;0,COUNTIF(I2970,"24*")&gt;0,COUNTIF(J2970,"*24*")&gt;0,COUNTIF(I2970,"25*")&gt;0,COUNTIF(J2970,"*25*")&gt;0,COUNTIF(I2970,"26*")&gt;0,COUNTIF(J2970,"*26*")&gt;0,COUNTIF(I2970,"27*")&gt;0,COUNTIF(J2970,"*27*")&gt;0,COUNTIF(I2970,"28*")&gt;0,COUNTIF(J2970,"*28*")&gt;0,COUNTIF(I2970,"29*")&gt;0,COUNTIF(J2970,"*29*")&gt;0,COUNTIF(I2970,"30*")&gt;0,COUNTIF(J2970,"*30*")&gt;0,COUNTIF(I2970,"31*")&gt;0,COUNTIF(J2970,"*31*")&gt;0,COUNTIF(I2970,"32*")&gt;0,COUNTIF(J2970,"*32*")&gt;0,COUNTIF(I2970,"33*")&gt;0,COUNTIF(J2970,"*33*")&gt;0,COUNTIF(I2970,"41*")&gt;0,COUNTIF(J2970,"*41*")&gt;0,COUNTIF(I2970,"42*")&gt;0,COUNTIF(J2970,"*42*")&gt;0,COUNTIF(I2970,"43*")&gt;0,COUNTIF(J2970,"*43*")&gt;0,COUNTIF(I2970,"49*")&gt;0,COUNTIF(J2970,"*49*")&gt;0,COUNTIF(I2970,"52*")&gt;0,COUNTIF(J2970,"*52*")&gt;0,COUNTIF(I2970,"55*")&gt;0,COUNTIF(J2970,"*55*")&gt;0,COUNTIF(I2970,"56*")&gt;0,COUNTIF(J2970,"*56*")&gt;0,COUNTIF(I2970,"68*")&gt;0,COUNTIF(J2970,"*68*")&gt;0,COUNTIF(I2970,"78*")&gt;0,COUNTIF(J2970,"*78*")&gt;0,COUNTIF(I2970,"81*")&gt;0,COUNTIF(J2970,"*81*")&gt;0,COUNTIF(I2970,"82*")&gt;0,COUNTIF(J2970,"*82*")&gt;0,COUNTIF(I2970,"64*")&gt;0,COUNTIF(J2970,"*64*")&gt;0,COUNTIF(I2970,"65*")&gt;0,COUNTIF(J2970,"*65*")&gt;0,COUNTIF(I2970,"66*")&gt;0,COUNTIF(J2970,"*66*")&gt;0,COUNTIF(I2970,"61*")&gt;0,COUNTIF(J2970,"*61*")&gt;0,COUNTIF(I2970,"62*")&gt;0,COUNTIF(J2970,"*62*")&gt;0,COUNTIF(I2970,"63*")&gt;0,COUNTIF(J2970,"*63*")&gt;0,COUNTIF(I2970,"85*")&gt;0,COUNTIF(J2970,"*85*")&gt;0,COUNTIF(I2970,"86*")&gt;0,COUNTIF(J2970,"*86*")&gt;0),"Да","Нет"))</f>
        <v/>
      </c>
      <c r="M2970" s="13">
        <f>IF(OR(G2970="",L2970&lt;&gt;"Да"),"",IF(G2970&lt;=100,"До 100",IF(G2970&lt;=200,"До 200",IF(G2970&lt;=500,"До 500","Отдельное КП"))))</f>
        <v/>
      </c>
      <c r="N2970" s="15">
        <f>IF(OR(G2970="",L2970&lt;&gt;"Да"),"",IF(G2970&lt;=100,33600,IF(G2970&lt;=200,62400,IF(G2970&lt;=500,144000,""))))</f>
        <v/>
      </c>
      <c r="O2970" s="16">
        <f>IF(G2970="","",IF(G2970&lt;=15,"1–15",IF(G2970&lt;=30,"16–30",IF(G2970&lt;=50,"31–50",IF(G2970&lt;=100,"51–100",IF(G2970&lt;=150,"101–150",IF(G2970&lt;=200,"151–200",IF(G2970&lt;=500,"201–500","500+"))))))))</f>
        <v/>
      </c>
      <c r="P2970" s="16" t="inlineStr">
        <is>
          <t>Нет совпадения в предоставленной выгрузке ССЧР</t>
        </is>
      </c>
      <c r="Q2970" s="16" t="n"/>
      <c r="R2970" s="16">
        <f>HYPERLINK("https://checko.ru/search?query=3801001629","Чекко: проверить")</f>
        <v/>
      </c>
      <c r="S2970" t="n">
        <v>0</v>
      </c>
    </row>
    <row r="2971" ht="41.25" customHeight="1" s="24">
      <c r="A2971" s="13" t="n">
        <v>5000116918</v>
      </c>
      <c r="B2971" s="13" t="inlineStr">
        <is>
          <t>Областное государственное казенное учреждение "Центр организации дорожного движения Иркутской области"</t>
        </is>
      </c>
      <c r="C2971" s="13" t="n">
        <v>3808291420</v>
      </c>
      <c r="D2971" s="13" t="inlineStr">
        <is>
          <t>3808291420</t>
        </is>
      </c>
      <c r="E2971" s="13" t="inlineStr">
        <is>
          <t>ЮЛ РФ</t>
        </is>
      </c>
      <c r="F2971" s="13" t="n"/>
      <c r="G2971" s="14" t="n"/>
      <c r="H2971" s="14" t="n"/>
      <c r="I2971" s="14" t="n"/>
      <c r="J2971" s="14" t="n"/>
      <c r="K2971" s="53" t="inlineStr"/>
      <c r="L2971" s="53" t="inlineStr">
        <is>
          <t>Не определено</t>
        </is>
      </c>
      <c r="M2971" s="53" t="inlineStr"/>
      <c r="N2971" s="54" t="inlineStr"/>
      <c r="O2971" s="55" t="inlineStr"/>
      <c r="P2971" s="16" t="inlineStr">
        <is>
          <t>Требует обогащения</t>
        </is>
      </c>
      <c r="Q2971" s="16">
        <f>HYPERLINK("https://pb.nalog.ru/search.html?query=3808291420","ФНС: проверить")</f>
        <v/>
      </c>
      <c r="R2971" s="16">
        <f>HYPERLINK("https://checko.ru/search?query=3801001629","Чекко: проверить")</f>
        <v/>
      </c>
      <c r="S2971" t="n">
        <v>1</v>
      </c>
      <c r="T2971" s="35" t="inlineStr">
        <is>
          <t>4 — Не обогащён</t>
        </is>
      </c>
      <c r="U2971" s="35" t="inlineStr">
        <is>
          <t>Нет ОКВЭД/ССЧР</t>
        </is>
      </c>
      <c r="V2971" s="35" t="inlineStr">
        <is>
          <t>Не определено</t>
        </is>
      </c>
      <c r="W2971" s="35" t="inlineStr"/>
      <c r="X2971" s="35" t="inlineStr"/>
    </row>
    <row r="2972" ht="41.25" customHeight="1" s="24">
      <c r="A2972" s="13" t="n">
        <v>5000116679</v>
      </c>
      <c r="B2972" s="13" t="inlineStr">
        <is>
          <t>МАОУ "Православная гимназия во имя преподобного Саввы Сторожевского" города Звенигорода</t>
        </is>
      </c>
      <c r="C2972" s="13" t="n">
        <v>5015250524</v>
      </c>
      <c r="D2972" s="13" t="inlineStr">
        <is>
          <t>5015250524</t>
        </is>
      </c>
      <c r="E2972" s="13" t="inlineStr">
        <is>
          <t>ЮЛ РФ</t>
        </is>
      </c>
      <c r="F2972" s="13" t="n"/>
      <c r="G2972" s="14" t="n"/>
      <c r="H2972" s="14" t="n"/>
      <c r="I2972" s="14" t="n"/>
      <c r="J2972" s="14" t="n"/>
      <c r="K2972" s="53" t="inlineStr"/>
      <c r="L2972" s="53" t="inlineStr">
        <is>
          <t>Не определено</t>
        </is>
      </c>
      <c r="M2972" s="53" t="inlineStr"/>
      <c r="N2972" s="54" t="inlineStr"/>
      <c r="O2972" s="55" t="inlineStr"/>
      <c r="P2972" s="16" t="inlineStr">
        <is>
          <t>Требует обогащения</t>
        </is>
      </c>
      <c r="Q2972" s="16">
        <f>HYPERLINK("https://pb.nalog.ru/search.html?query=5015250524","ФНС: проверить")</f>
        <v/>
      </c>
      <c r="R2972" s="16">
        <f>HYPERLINK("https://checko.ru/search?query=3801001629","Чекко: проверить")</f>
        <v/>
      </c>
      <c r="S2972" t="n">
        <v>1</v>
      </c>
      <c r="T2972" s="35" t="inlineStr">
        <is>
          <t>4 — Не обогащён</t>
        </is>
      </c>
      <c r="U2972" s="35" t="inlineStr">
        <is>
          <t>Нет ОКВЭД/ССЧР</t>
        </is>
      </c>
      <c r="V2972" s="35" t="inlineStr">
        <is>
          <t>Не определено</t>
        </is>
      </c>
      <c r="W2972" s="35" t="inlineStr"/>
      <c r="X2972" s="35" t="inlineStr"/>
    </row>
    <row r="2973" ht="15" customHeight="1" s="24">
      <c r="A2973" s="13" t="n">
        <v>5000116680</v>
      </c>
      <c r="B2973" s="13" t="inlineStr">
        <is>
          <t>МАУС "ОСЗК"</t>
        </is>
      </c>
      <c r="C2973" s="13" t="n">
        <v>5032153792</v>
      </c>
      <c r="D2973" s="13" t="inlineStr">
        <is>
          <t>5032153792</t>
        </is>
      </c>
      <c r="E2973" s="13" t="inlineStr">
        <is>
          <t>ЮЛ РФ</t>
        </is>
      </c>
      <c r="F2973" s="13" t="n"/>
      <c r="G2973" s="14" t="n"/>
      <c r="H2973" s="14" t="n"/>
      <c r="I2973" s="14" t="n"/>
      <c r="J2973" s="14" t="n"/>
      <c r="K2973" s="53" t="inlineStr"/>
      <c r="L2973" s="53" t="inlineStr">
        <is>
          <t>Не определено</t>
        </is>
      </c>
      <c r="M2973" s="53" t="inlineStr"/>
      <c r="N2973" s="54" t="inlineStr"/>
      <c r="O2973" s="55" t="inlineStr"/>
      <c r="P2973" s="16" t="inlineStr">
        <is>
          <t>Требует обогащения</t>
        </is>
      </c>
      <c r="Q2973" s="16">
        <f>HYPERLINK("https://pb.nalog.ru/search.html?query=5032153792","ФНС: проверить")</f>
        <v/>
      </c>
      <c r="R2973" s="16">
        <f>HYPERLINK("https://checko.ru/search?query=3801001629","Чекко: проверить")</f>
        <v/>
      </c>
      <c r="S2973" t="n">
        <v>1</v>
      </c>
      <c r="T2973" s="35" t="inlineStr">
        <is>
          <t>4 — Не обогащён</t>
        </is>
      </c>
      <c r="U2973" s="35" t="inlineStr">
        <is>
          <t>Нет ОКВЭД/ССЧР</t>
        </is>
      </c>
      <c r="V2973" s="35" t="inlineStr">
        <is>
          <t>Не определено</t>
        </is>
      </c>
      <c r="W2973" s="35" t="inlineStr"/>
      <c r="X2973" s="35" t="inlineStr"/>
    </row>
    <row r="2974" ht="41.25" customHeight="1" s="24">
      <c r="A2974" s="13" t="n">
        <v>5000116682</v>
      </c>
      <c r="B2974" s="13" t="inlineStr">
        <is>
          <t>Комитет по управлению муниципальным имуществом Администрации Одинцовского городского округа Московской области</t>
        </is>
      </c>
      <c r="C2974" s="13" t="n">
        <v>5032000299</v>
      </c>
      <c r="D2974" s="13" t="inlineStr">
        <is>
          <t>5032000299</t>
        </is>
      </c>
      <c r="E2974" s="13" t="inlineStr">
        <is>
          <t>ЮЛ РФ</t>
        </is>
      </c>
      <c r="F2974" s="13" t="n"/>
      <c r="G2974" s="14" t="n"/>
      <c r="H2974" s="14" t="n"/>
      <c r="I2974" s="14" t="n"/>
      <c r="J2974" s="14" t="n"/>
      <c r="K2974" s="53" t="inlineStr"/>
      <c r="L2974" s="53" t="inlineStr">
        <is>
          <t>Не определено</t>
        </is>
      </c>
      <c r="M2974" s="53" t="inlineStr"/>
      <c r="N2974" s="54" t="inlineStr"/>
      <c r="O2974" s="55" t="inlineStr"/>
      <c r="P2974" s="16" t="inlineStr">
        <is>
          <t>Требует обогащения</t>
        </is>
      </c>
      <c r="Q2974" s="16">
        <f>HYPERLINK("https://pb.nalog.ru/search.html?query=5032000299","ФНС: проверить")</f>
        <v/>
      </c>
      <c r="R2974" s="16">
        <f>HYPERLINK("https://checko.ru/search?query=3801001629","Чекко: проверить")</f>
        <v/>
      </c>
      <c r="S2974" t="n">
        <v>1</v>
      </c>
      <c r="T2974" s="35" t="inlineStr">
        <is>
          <t>4 — Не обогащён</t>
        </is>
      </c>
      <c r="U2974" s="35" t="inlineStr">
        <is>
          <t>Нет ОКВЭД/ССЧР</t>
        </is>
      </c>
      <c r="V2974" s="35" t="inlineStr">
        <is>
          <t>Не определено</t>
        </is>
      </c>
      <c r="W2974" s="35" t="inlineStr"/>
      <c r="X2974" s="35" t="inlineStr"/>
    </row>
    <row r="2975" ht="15" customHeight="1" s="24">
      <c r="A2975" s="13" t="n">
        <v>5000116687</v>
      </c>
      <c r="B2975" s="13" t="inlineStr">
        <is>
          <t>МБУ Специализированная служба "Успенское"</t>
        </is>
      </c>
      <c r="C2975" s="13" t="n">
        <v>5032258347</v>
      </c>
      <c r="D2975" s="13" t="inlineStr">
        <is>
          <t>5032258347</t>
        </is>
      </c>
      <c r="E2975" s="13" t="inlineStr">
        <is>
          <t>ЮЛ РФ</t>
        </is>
      </c>
      <c r="F2975" s="13" t="n"/>
      <c r="G2975" s="14" t="n"/>
      <c r="H2975" s="14" t="n"/>
      <c r="I2975" s="14" t="n"/>
      <c r="J2975" s="14" t="n"/>
      <c r="K2975" s="53" t="inlineStr"/>
      <c r="L2975" s="53" t="inlineStr">
        <is>
          <t>Не определено</t>
        </is>
      </c>
      <c r="M2975" s="53" t="inlineStr"/>
      <c r="N2975" s="54" t="inlineStr"/>
      <c r="O2975" s="55" t="inlineStr"/>
      <c r="P2975" s="16" t="inlineStr">
        <is>
          <t>Требует обогащения</t>
        </is>
      </c>
      <c r="Q2975" s="16">
        <f>HYPERLINK("https://pb.nalog.ru/search.html?query=5032258347","ФНС: проверить")</f>
        <v/>
      </c>
      <c r="R2975" s="16">
        <f>HYPERLINK("https://checko.ru/search?query=3801001629","Чекко: проверить")</f>
        <v/>
      </c>
      <c r="S2975" t="n">
        <v>1</v>
      </c>
      <c r="T2975" s="35" t="inlineStr">
        <is>
          <t>4 — Не обогащён</t>
        </is>
      </c>
      <c r="U2975" s="35" t="inlineStr">
        <is>
          <t>Нет ОКВЭД/ССЧР</t>
        </is>
      </c>
      <c r="V2975" s="35" t="inlineStr">
        <is>
          <t>Не определено</t>
        </is>
      </c>
      <c r="W2975" s="35" t="inlineStr"/>
      <c r="X2975" s="35" t="inlineStr"/>
    </row>
    <row r="2976" ht="15" customHeight="1" s="24">
      <c r="A2976" s="13" t="n">
        <v>5000116688</v>
      </c>
      <c r="B2976" s="13" t="inlineStr">
        <is>
          <t>МБУ "Одинцовский информационный центр"</t>
        </is>
      </c>
      <c r="C2976" s="13" t="n">
        <v>5032325233</v>
      </c>
      <c r="D2976" s="13" t="inlineStr">
        <is>
          <t>5032325233</t>
        </is>
      </c>
      <c r="E2976" s="13" t="inlineStr">
        <is>
          <t>ЮЛ РФ</t>
        </is>
      </c>
      <c r="F2976" s="13" t="n"/>
      <c r="G2976" s="14" t="n"/>
      <c r="H2976" s="14" t="n"/>
      <c r="I2976" s="14" t="n"/>
      <c r="J2976" s="14" t="n"/>
      <c r="K2976" s="53" t="inlineStr"/>
      <c r="L2976" s="53" t="inlineStr">
        <is>
          <t>Не определено</t>
        </is>
      </c>
      <c r="M2976" s="53" t="inlineStr"/>
      <c r="N2976" s="54" t="inlineStr"/>
      <c r="O2976" s="55" t="inlineStr"/>
      <c r="P2976" s="16" t="inlineStr">
        <is>
          <t>Требует обогащения</t>
        </is>
      </c>
      <c r="Q2976" s="16">
        <f>HYPERLINK("https://pb.nalog.ru/search.html?query=5032325233","ФНС: проверить")</f>
        <v/>
      </c>
      <c r="R2976" s="16">
        <f>HYPERLINK("https://checko.ru/search?query=3801001629","Чекко: проверить")</f>
        <v/>
      </c>
      <c r="S2976" t="n">
        <v>1</v>
      </c>
      <c r="T2976" s="35" t="inlineStr">
        <is>
          <t>4 — Не обогащён</t>
        </is>
      </c>
      <c r="U2976" s="35" t="inlineStr">
        <is>
          <t>Нет ОКВЭД/ССЧР</t>
        </is>
      </c>
      <c r="V2976" s="35" t="inlineStr">
        <is>
          <t>Не определено</t>
        </is>
      </c>
      <c r="W2976" s="35" t="inlineStr"/>
      <c r="X2976" s="35" t="inlineStr"/>
    </row>
    <row r="2977" ht="68.25" customHeight="1" s="24">
      <c r="A2977" s="13" t="n">
        <v>5000001932</v>
      </c>
      <c r="B2977" s="13" t="inlineStr">
        <is>
          <t>ГОСУДАРСТВЕННОЕ АВТОНОМНОЕ ПРОФЕССИОНАЛЬНОЕ ОБРАЗОВАТЕЛЬНОЕ УЧРЕЖДЕНИЕ ИРКУТСКОЙ ОБЛАСТИ "БАЛАГАНСКИЙ АГРАРНО-ТЕХНОЛОГИЧЕСКИЙ ТЕХНИКУМ</t>
        </is>
      </c>
      <c r="C2977" s="13" t="n">
        <v>3822000640</v>
      </c>
      <c r="D2977" s="13" t="inlineStr">
        <is>
          <t>3822000640</t>
        </is>
      </c>
      <c r="E2977" s="13" t="inlineStr">
        <is>
          <t>ЮЛ РФ</t>
        </is>
      </c>
      <c r="F2977" s="13" t="n"/>
      <c r="G2977" s="14" t="n"/>
      <c r="H2977" s="14" t="n"/>
      <c r="I2977" s="14" t="n"/>
      <c r="J2977" s="14" t="n"/>
      <c r="K2977" s="53" t="inlineStr"/>
      <c r="L2977" s="53" t="inlineStr">
        <is>
          <t>Не определено</t>
        </is>
      </c>
      <c r="M2977" s="53" t="inlineStr"/>
      <c r="N2977" s="54" t="inlineStr"/>
      <c r="O2977" s="55" t="inlineStr"/>
      <c r="P2977" s="16" t="inlineStr">
        <is>
          <t>Требует обогащения</t>
        </is>
      </c>
      <c r="Q2977" s="16">
        <f>HYPERLINK("https://pb.nalog.ru/search.html?query=3822000640","ФНС: проверить")</f>
        <v/>
      </c>
      <c r="R2977" s="16">
        <f>HYPERLINK("https://checko.ru/search?query=3801001629","Чекко: проверить")</f>
        <v/>
      </c>
      <c r="S2977" t="n">
        <v>1</v>
      </c>
      <c r="T2977" s="35" t="inlineStr">
        <is>
          <t>4 — Не обогащён</t>
        </is>
      </c>
      <c r="U2977" s="35" t="inlineStr">
        <is>
          <t>Нет ОКВЭД/ССЧР</t>
        </is>
      </c>
      <c r="V2977" s="35" t="inlineStr">
        <is>
          <t>Не определено</t>
        </is>
      </c>
      <c r="W2977" s="35" t="inlineStr"/>
      <c r="X2977" s="35" t="inlineStr"/>
    </row>
    <row r="2978" ht="41.25" customHeight="1" s="24">
      <c r="A2978" s="13" t="n">
        <v>5000101703</v>
      </c>
      <c r="B2978" s="13" t="inlineStr">
        <is>
          <t>Областное государственное казенное учреждение «Центр назначения мер социальной поддержки Иркутской области»</t>
        </is>
      </c>
      <c r="C2978" s="13" t="n">
        <v>3849103315</v>
      </c>
      <c r="D2978" s="13" t="inlineStr">
        <is>
          <t>3849103315</t>
        </is>
      </c>
      <c r="E2978" s="13" t="inlineStr">
        <is>
          <t>ЮЛ РФ</t>
        </is>
      </c>
      <c r="F2978" s="13" t="n"/>
      <c r="G2978" s="14" t="n"/>
      <c r="H2978" s="14" t="n"/>
      <c r="I2978" s="14" t="n"/>
      <c r="J2978" s="14" t="n"/>
      <c r="K2978" s="53" t="inlineStr"/>
      <c r="L2978" s="53" t="inlineStr">
        <is>
          <t>Не определено</t>
        </is>
      </c>
      <c r="M2978" s="53" t="inlineStr"/>
      <c r="N2978" s="54" t="inlineStr"/>
      <c r="O2978" s="55" t="inlineStr"/>
      <c r="P2978" s="16" t="inlineStr">
        <is>
          <t>Требует обогащения</t>
        </is>
      </c>
      <c r="Q2978" s="16">
        <f>HYPERLINK("https://pb.nalog.ru/search.html?query=3849103315","ФНС: проверить")</f>
        <v/>
      </c>
      <c r="R2978" s="16">
        <f>HYPERLINK("https://checko.ru/search?query=3801001629","Чекко: проверить")</f>
        <v/>
      </c>
      <c r="S2978" t="n">
        <v>1</v>
      </c>
      <c r="T2978" s="35" t="inlineStr">
        <is>
          <t>4 — Не обогащён</t>
        </is>
      </c>
      <c r="U2978" s="35" t="inlineStr">
        <is>
          <t>Нет ОКВЭД/ССЧР</t>
        </is>
      </c>
      <c r="V2978" s="35" t="inlineStr">
        <is>
          <t>Не определено</t>
        </is>
      </c>
      <c r="W2978" s="35" t="inlineStr"/>
      <c r="X2978" s="35" t="inlineStr"/>
    </row>
    <row r="2979" ht="41.25" customHeight="1" s="24">
      <c r="A2979" s="13" t="n">
        <v>5000101704</v>
      </c>
      <c r="B2979" s="13" t="inlineStr">
        <is>
          <t>Государственное общеобразовательное бюджетное учреждение Иркутской области «Ангарский казачий кадетский корпус»</t>
        </is>
      </c>
      <c r="C2979" s="13" t="n">
        <v>3801162288</v>
      </c>
      <c r="D2979" s="13" t="inlineStr">
        <is>
          <t>3801162288</t>
        </is>
      </c>
      <c r="E2979" s="13" t="inlineStr">
        <is>
          <t>ЮЛ РФ</t>
        </is>
      </c>
      <c r="F2979" s="13" t="n"/>
      <c r="G2979" s="14" t="n"/>
      <c r="H2979" s="14" t="n"/>
      <c r="I2979" s="14" t="n"/>
      <c r="J2979" s="14" t="n"/>
      <c r="K2979" s="53" t="inlineStr"/>
      <c r="L2979" s="53" t="inlineStr">
        <is>
          <t>Не определено</t>
        </is>
      </c>
      <c r="M2979" s="53" t="inlineStr"/>
      <c r="N2979" s="54" t="inlineStr"/>
      <c r="O2979" s="55" t="inlineStr"/>
      <c r="P2979" s="16" t="inlineStr">
        <is>
          <t>Требует обогащения</t>
        </is>
      </c>
      <c r="Q2979" s="16">
        <f>HYPERLINK("https://pb.nalog.ru/search.html?query=3801162288","ФНС: проверить")</f>
        <v/>
      </c>
      <c r="R2979" s="16">
        <f>HYPERLINK("https://checko.ru/search?query=3801001629","Чекко: проверить")</f>
        <v/>
      </c>
      <c r="S2979" t="n">
        <v>1</v>
      </c>
      <c r="T2979" s="35" t="inlineStr">
        <is>
          <t>4 — Не обогащён</t>
        </is>
      </c>
      <c r="U2979" s="35" t="inlineStr">
        <is>
          <t>Нет ОКВЭД/ССЧР</t>
        </is>
      </c>
      <c r="V2979" s="35" t="inlineStr">
        <is>
          <t>Не определено</t>
        </is>
      </c>
      <c r="W2979" s="35" t="inlineStr"/>
      <c r="X2979" s="35" t="inlineStr"/>
    </row>
    <row r="2980" ht="54.75" customHeight="1" s="24">
      <c r="A2980" s="13" t="n">
        <v>5000107918</v>
      </c>
      <c r="B2980" s="13" t="inlineStr">
        <is>
          <t>ОБЛАСТНОЕ ГОСУДАРСТВЕННОЕ БЮДЖЕТНОЕ УЧРЕЖДЕНИЕ "УПРАВЛЕНИЕ СОЦИАЛЬНОЙ ЗАЩИТЫ И СОЦИАЛЬНОГО ОБСЛУЖИВАНИЯ НАСЕЛЕНИЯ ПО ГОРОДУ ТУЛУНУ И ТУЛУНСКОМУ</t>
        </is>
      </c>
      <c r="C2980" s="13" t="n">
        <v>3816036462</v>
      </c>
      <c r="D2980" s="13" t="inlineStr">
        <is>
          <t>3816036462</t>
        </is>
      </c>
      <c r="E2980" s="13" t="inlineStr">
        <is>
          <t>ЮЛ РФ</t>
        </is>
      </c>
      <c r="F2980" s="13" t="n"/>
      <c r="G2980" s="14" t="n"/>
      <c r="H2980" s="14" t="n"/>
      <c r="I2980" s="14" t="n"/>
      <c r="J2980" s="14" t="n"/>
      <c r="K2980" s="53" t="inlineStr"/>
      <c r="L2980" s="53" t="inlineStr">
        <is>
          <t>Не определено</t>
        </is>
      </c>
      <c r="M2980" s="53" t="inlineStr"/>
      <c r="N2980" s="54" t="inlineStr"/>
      <c r="O2980" s="55" t="inlineStr"/>
      <c r="P2980" s="16" t="inlineStr">
        <is>
          <t>Требует обогащения</t>
        </is>
      </c>
      <c r="Q2980" s="16">
        <f>HYPERLINK("https://pb.nalog.ru/search.html?query=3816036462","ФНС: проверить")</f>
        <v/>
      </c>
      <c r="R2980" s="16">
        <f>HYPERLINK("https://checko.ru/search?query=3801001629","Чекко: проверить")</f>
        <v/>
      </c>
      <c r="S2980" t="n">
        <v>1</v>
      </c>
      <c r="T2980" s="35" t="inlineStr">
        <is>
          <t>4 — Не обогащён</t>
        </is>
      </c>
      <c r="U2980" s="35" t="inlineStr">
        <is>
          <t>Нет ОКВЭД/ССЧР</t>
        </is>
      </c>
      <c r="V2980" s="35" t="inlineStr">
        <is>
          <t>Не определено</t>
        </is>
      </c>
      <c r="W2980" s="35" t="inlineStr"/>
      <c r="X2980" s="35" t="inlineStr"/>
    </row>
    <row r="2981" ht="68.25" customHeight="1" s="24">
      <c r="A2981" s="13" t="n">
        <v>5000107919</v>
      </c>
      <c r="B2981" s="13" t="inlineStr">
        <is>
          <t>ОБЛАСТНОЕ ГОСУДАРСТВЕННОЕ БЮДЖЕТНОЕ УЧРЕЖДЕНИЕ "УПРАВЛЕНИЕ СОЦИАЛЬНОЙ ЗАЩИТЫ И СОЦИАЛЬНОГО ОБСЛУЖИВАНИЯ НАСЕЛЕНИЯ ПО ГОРОДУ УСОЛЬЕ-СИБИРСКОЕ И УСОЛЬСК</t>
        </is>
      </c>
      <c r="C2981" s="13" t="n">
        <v>3801162753</v>
      </c>
      <c r="D2981" s="13" t="inlineStr">
        <is>
          <t>3801162753</t>
        </is>
      </c>
      <c r="E2981" s="13" t="inlineStr">
        <is>
          <t>ЮЛ РФ</t>
        </is>
      </c>
      <c r="F2981" s="13" t="n"/>
      <c r="G2981" s="14" t="n"/>
      <c r="H2981" s="14" t="n"/>
      <c r="I2981" s="14" t="n"/>
      <c r="J2981" s="14" t="n"/>
      <c r="K2981" s="53" t="inlineStr"/>
      <c r="L2981" s="53" t="inlineStr">
        <is>
          <t>Не определено</t>
        </is>
      </c>
      <c r="M2981" s="53" t="inlineStr"/>
      <c r="N2981" s="54" t="inlineStr"/>
      <c r="O2981" s="55" t="inlineStr"/>
      <c r="P2981" s="16" t="inlineStr">
        <is>
          <t>Требует обогащения</t>
        </is>
      </c>
      <c r="Q2981" s="16">
        <f>HYPERLINK("https://pb.nalog.ru/search.html?query=3801162753","ФНС: проверить")</f>
        <v/>
      </c>
      <c r="R2981" s="16">
        <f>HYPERLINK("https://checko.ru/search?query=3801001629","Чекко: проверить")</f>
        <v/>
      </c>
      <c r="S2981" t="n">
        <v>1</v>
      </c>
      <c r="T2981" s="35" t="inlineStr">
        <is>
          <t>4 — Не обогащён</t>
        </is>
      </c>
      <c r="U2981" s="35" t="inlineStr">
        <is>
          <t>Нет ОКВЭД/ССЧР</t>
        </is>
      </c>
      <c r="V2981" s="35" t="inlineStr">
        <is>
          <t>Не определено</t>
        </is>
      </c>
      <c r="W2981" s="35" t="inlineStr"/>
      <c r="X2981" s="35" t="inlineStr"/>
    </row>
    <row r="2982" ht="54.75" customHeight="1" s="24">
      <c r="A2982" s="13" t="n">
        <v>5000107920</v>
      </c>
      <c r="B2982" s="13" t="inlineStr">
        <is>
          <t>ОБЛАСТНОЕ ГОСУДАРСТВЕННОЕ БЮДЖЕТНОЕ УЧРЕЖДЕНИЕ "УПРАВЛЕНИЕ СОЦИАЛЬНОЙ ЗАЩИТЫ И СОЦИАЛЬНОГО ОБСЛУЖИВАНИЯ НАСЕЛЕНИЯ ПО ТАЙШЕТСКОМУ РАЙОНУ"</t>
        </is>
      </c>
      <c r="C2982" s="13" t="n">
        <v>3816036470</v>
      </c>
      <c r="D2982" s="13" t="inlineStr">
        <is>
          <t>3816036470</t>
        </is>
      </c>
      <c r="E2982" s="13" t="inlineStr">
        <is>
          <t>ЮЛ РФ</t>
        </is>
      </c>
      <c r="F2982" s="13" t="n"/>
      <c r="G2982" s="14" t="n"/>
      <c r="H2982" s="14" t="n"/>
      <c r="I2982" s="14" t="n"/>
      <c r="J2982" s="14" t="n"/>
      <c r="K2982" s="53" t="inlineStr"/>
      <c r="L2982" s="53" t="inlineStr">
        <is>
          <t>Не определено</t>
        </is>
      </c>
      <c r="M2982" s="53" t="inlineStr"/>
      <c r="N2982" s="54" t="inlineStr"/>
      <c r="O2982" s="55" t="inlineStr"/>
      <c r="P2982" s="16" t="inlineStr">
        <is>
          <t>Требует обогащения</t>
        </is>
      </c>
      <c r="Q2982" s="16">
        <f>HYPERLINK("https://pb.nalog.ru/search.html?query=3816036470","ФНС: проверить")</f>
        <v/>
      </c>
      <c r="R2982" s="16">
        <f>HYPERLINK("https://checko.ru/search?query=3801001629","Чекко: проверить")</f>
        <v/>
      </c>
      <c r="S2982" t="n">
        <v>1</v>
      </c>
      <c r="T2982" s="35" t="inlineStr">
        <is>
          <t>4 — Не обогащён</t>
        </is>
      </c>
      <c r="U2982" s="35" t="inlineStr">
        <is>
          <t>Нет ОКВЭД/ССЧР</t>
        </is>
      </c>
      <c r="V2982" s="35" t="inlineStr">
        <is>
          <t>Не определено</t>
        </is>
      </c>
      <c r="W2982" s="35" t="inlineStr"/>
      <c r="X2982" s="35" t="inlineStr"/>
    </row>
    <row r="2983" ht="54.75" customHeight="1" s="24">
      <c r="A2983" s="13" t="n">
        <v>5000107915</v>
      </c>
      <c r="B2983" s="13" t="inlineStr">
        <is>
          <t>ОБЛАСТНОЕ ГОСУДАРСТВЕННОЕ БЮДЖЕТНОЕ УЧРЕЖДЕНИЕ "УПРАВЛЕНИЕ СОЦИАЛЬНОЙ ЗАЩИТЫ И СОЦИАЛЬНОГО ОБСЛУЖИВАНИЯ НАСЕЛЕНИЯ ПО ИРКУТСКОМУ РАЙОНУ"</t>
        </is>
      </c>
      <c r="C2983" s="13" t="n">
        <v>3812162152</v>
      </c>
      <c r="D2983" s="13" t="inlineStr">
        <is>
          <t>3812162152</t>
        </is>
      </c>
      <c r="E2983" s="13" t="inlineStr">
        <is>
          <t>ЮЛ РФ</t>
        </is>
      </c>
      <c r="F2983" s="13" t="n"/>
      <c r="G2983" s="14" t="n"/>
      <c r="H2983" s="14" t="n"/>
      <c r="I2983" s="14" t="n"/>
      <c r="J2983" s="14" t="n"/>
      <c r="K2983" s="53" t="inlineStr"/>
      <c r="L2983" s="53" t="inlineStr">
        <is>
          <t>Не определено</t>
        </is>
      </c>
      <c r="M2983" s="53" t="inlineStr"/>
      <c r="N2983" s="54" t="inlineStr"/>
      <c r="O2983" s="55" t="inlineStr"/>
      <c r="P2983" s="16" t="inlineStr">
        <is>
          <t>Требует обогащения</t>
        </is>
      </c>
      <c r="Q2983" s="16">
        <f>HYPERLINK("https://pb.nalog.ru/search.html?query=3812162152","ФНС: проверить")</f>
        <v/>
      </c>
      <c r="R2983" s="16">
        <f>HYPERLINK("https://checko.ru/search?query=3801001629","Чекко: проверить")</f>
        <v/>
      </c>
      <c r="S2983" t="n">
        <v>1</v>
      </c>
      <c r="T2983" s="35" t="inlineStr">
        <is>
          <t>4 — Не обогащён</t>
        </is>
      </c>
      <c r="U2983" s="35" t="inlineStr">
        <is>
          <t>Нет ОКВЭД/ССЧР</t>
        </is>
      </c>
      <c r="V2983" s="35" t="inlineStr">
        <is>
          <t>Не определено</t>
        </is>
      </c>
      <c r="W2983" s="35" t="inlineStr"/>
      <c r="X2983" s="35" t="inlineStr"/>
    </row>
    <row r="2984" ht="54.75" customHeight="1" s="24">
      <c r="A2984" s="13" t="n">
        <v>5000107916</v>
      </c>
      <c r="B2984" s="13" t="inlineStr">
        <is>
          <t>ОБЛАСТНОЕ ГОСУДАРСТВЕННОЕ БЮДЖЕТНОЕ УЧРЕЖДЕНИЕ "УПРАВЛЕНИЕ СОЦИАЛЬНОЙ ЗАЩИТЫ И СОЦИАЛЬНОГО ОБСЛУЖИВАНИЯ НАСЕЛЕНИЯ ПО ГОРОДУ САЯНСКУ"</t>
        </is>
      </c>
      <c r="C2984" s="13" t="n">
        <v>3816036423</v>
      </c>
      <c r="D2984" s="13" t="inlineStr">
        <is>
          <t>3816036423</t>
        </is>
      </c>
      <c r="E2984" s="13" t="inlineStr">
        <is>
          <t>ЮЛ РФ</t>
        </is>
      </c>
      <c r="F2984" s="13" t="n"/>
      <c r="G2984" s="14" t="n"/>
      <c r="H2984" s="14" t="n"/>
      <c r="I2984" s="14" t="n"/>
      <c r="J2984" s="14" t="n"/>
      <c r="K2984" s="53" t="inlineStr"/>
      <c r="L2984" s="53" t="inlineStr">
        <is>
          <t>Не определено</t>
        </is>
      </c>
      <c r="M2984" s="53" t="inlineStr"/>
      <c r="N2984" s="54" t="inlineStr"/>
      <c r="O2984" s="55" t="inlineStr"/>
      <c r="P2984" s="16" t="inlineStr">
        <is>
          <t>Требует обогащения</t>
        </is>
      </c>
      <c r="Q2984" s="16">
        <f>HYPERLINK("https://pb.nalog.ru/search.html?query=3816036423","ФНС: проверить")</f>
        <v/>
      </c>
      <c r="R2984" s="16">
        <f>HYPERLINK("https://checko.ru/search?query=3801001629","Чекко: проверить")</f>
        <v/>
      </c>
      <c r="S2984" t="n">
        <v>1</v>
      </c>
      <c r="T2984" s="35" t="inlineStr">
        <is>
          <t>4 — Не обогащён</t>
        </is>
      </c>
      <c r="U2984" s="35" t="inlineStr">
        <is>
          <t>Нет ОКВЭД/ССЧР</t>
        </is>
      </c>
      <c r="V2984" s="35" t="inlineStr">
        <is>
          <t>Не определено</t>
        </is>
      </c>
      <c r="W2984" s="35" t="inlineStr"/>
      <c r="X2984" s="35" t="inlineStr"/>
    </row>
    <row r="2985" ht="54.75" customHeight="1" s="24">
      <c r="A2985" s="13" t="n">
        <v>5000107917</v>
      </c>
      <c r="B2985" s="13" t="inlineStr">
        <is>
          <t>ОБЛАСТНОЕ ГОСУДАРСТВЕННОЕ БЮДЖЕТНОЕ УЧРЕЖДЕНИЕ "УПРАВЛЕНИЕ СОЦИАЛЬНОЙ ЗАЩИТЫ И СОЦИАЛЬНОГО ОБСЛУЖИВАНИЯ НАСЕЛЕНИЯ ПО ГОРОДУ БРАТСКУ"</t>
        </is>
      </c>
      <c r="C2985" s="13" t="n">
        <v>3804121057</v>
      </c>
      <c r="D2985" s="13" t="inlineStr">
        <is>
          <t>3804121057</t>
        </is>
      </c>
      <c r="E2985" s="13" t="inlineStr">
        <is>
          <t>ЮЛ РФ</t>
        </is>
      </c>
      <c r="F2985" s="13" t="n"/>
      <c r="G2985" s="14" t="n"/>
      <c r="H2985" s="14" t="n"/>
      <c r="I2985" s="14" t="n"/>
      <c r="J2985" s="14" t="n"/>
      <c r="K2985" s="53" t="inlineStr"/>
      <c r="L2985" s="53" t="inlineStr">
        <is>
          <t>Не определено</t>
        </is>
      </c>
      <c r="M2985" s="53" t="inlineStr"/>
      <c r="N2985" s="54" t="inlineStr"/>
      <c r="O2985" s="55" t="inlineStr"/>
      <c r="P2985" s="16" t="inlineStr">
        <is>
          <t>Требует обогащения</t>
        </is>
      </c>
      <c r="Q2985" s="16">
        <f>HYPERLINK("https://pb.nalog.ru/search.html?query=3804121057","ФНС: проверить")</f>
        <v/>
      </c>
      <c r="R2985" s="16">
        <f>HYPERLINK("https://checko.ru/search?query=3801001629","Чекко: проверить")</f>
        <v/>
      </c>
      <c r="S2985" t="n">
        <v>1</v>
      </c>
      <c r="T2985" s="35" t="inlineStr">
        <is>
          <t>4 — Не обогащён</t>
        </is>
      </c>
      <c r="U2985" s="35" t="inlineStr">
        <is>
          <t>Нет ОКВЭД/ССЧР</t>
        </is>
      </c>
      <c r="V2985" s="35" t="inlineStr">
        <is>
          <t>Не определено</t>
        </is>
      </c>
      <c r="W2985" s="35" t="inlineStr"/>
      <c r="X2985" s="35" t="inlineStr"/>
    </row>
    <row r="2986" ht="27.75" customHeight="1" s="24">
      <c r="A2986" s="13" t="n">
        <v>5000097473</v>
      </c>
      <c r="B2986" s="13" t="inlineStr">
        <is>
          <t>Финансовый отдел администрации муниципального образования "Усть-Алтан"</t>
        </is>
      </c>
      <c r="C2986" s="13" t="n">
        <v>8505003791</v>
      </c>
      <c r="D2986" s="13" t="inlineStr">
        <is>
          <t>8505003791</t>
        </is>
      </c>
      <c r="E2986" s="13" t="inlineStr">
        <is>
          <t>ЮЛ РФ</t>
        </is>
      </c>
      <c r="F2986" s="13" t="n"/>
      <c r="G2986" s="14" t="n"/>
      <c r="H2986" s="14" t="n"/>
      <c r="I2986" s="14" t="n"/>
      <c r="J2986" s="14" t="n"/>
      <c r="K2986" s="53" t="inlineStr"/>
      <c r="L2986" s="53" t="inlineStr">
        <is>
          <t>Не определено</t>
        </is>
      </c>
      <c r="M2986" s="53" t="inlineStr"/>
      <c r="N2986" s="54" t="inlineStr"/>
      <c r="O2986" s="55" t="inlineStr"/>
      <c r="P2986" s="16" t="inlineStr">
        <is>
          <t>Требует обогащения</t>
        </is>
      </c>
      <c r="Q2986" s="16">
        <f>HYPERLINK("https://pb.nalog.ru/search.html?query=8505003791","ФНС: проверить")</f>
        <v/>
      </c>
      <c r="R2986" s="16">
        <f>HYPERLINK("https://checko.ru/search?query=3801001629","Чекко: проверить")</f>
        <v/>
      </c>
      <c r="S2986" t="n">
        <v>1</v>
      </c>
      <c r="T2986" s="35" t="inlineStr">
        <is>
          <t>4 — Не обогащён</t>
        </is>
      </c>
      <c r="U2986" s="35" t="inlineStr">
        <is>
          <t>Нет ОКВЭД/ССЧР</t>
        </is>
      </c>
      <c r="V2986" s="35" t="inlineStr">
        <is>
          <t>Не определено</t>
        </is>
      </c>
      <c r="W2986" s="35" t="inlineStr"/>
      <c r="X2986" s="35" t="inlineStr"/>
    </row>
    <row r="2987" ht="15" customHeight="1" s="24">
      <c r="A2987" s="13" t="n">
        <v>5000117685</v>
      </c>
      <c r="B2987" s="13" t="inlineStr">
        <is>
          <t>МКДОУ "СОЛНЫШКО" С.П. ЧЕГЕМ ВТОРОЙ</t>
        </is>
      </c>
      <c r="C2987" s="13" t="n">
        <v>700025000</v>
      </c>
      <c r="D2987" s="13" t="n"/>
      <c r="E2987" s="13" t="inlineStr">
        <is>
          <t>Не определён</t>
        </is>
      </c>
      <c r="F2987" s="13" t="inlineStr">
        <is>
          <t>700025000</t>
        </is>
      </c>
      <c r="G2987" s="14" t="n"/>
      <c r="H2987" s="14" t="n"/>
      <c r="I2987" s="14" t="n"/>
      <c r="J2987" s="14" t="n"/>
      <c r="K2987" s="13">
        <f>IF(G2987="","",IF(G2987&gt;=22,"Да","Нет"))</f>
        <v/>
      </c>
      <c r="L2987" s="13">
        <f>IF(OR(I2987="",J2987=""),"Не определено",IF(OR(COUNTIF(I2987,"45*")&gt;0,COUNTIF(J2987,"*45*")&gt;0,COUNTIF(I2987,"46*")&gt;0,COUNTIF(J2987,"*46*")&gt;0,COUNTIF(I2987,"47*")&gt;0,COUNTIF(J2987,"*47*")&gt;0,COUNTIF(I2987,"10*")&gt;0,COUNTIF(J2987,"*10*")&gt;0,COUNTIF(I2987,"11*")&gt;0,COUNTIF(J2987,"*11*")&gt;0,COUNTIF(I2987,"12*")&gt;0,COUNTIF(J2987,"*12*")&gt;0,COUNTIF(I2987,"13*")&gt;0,COUNTIF(J2987,"*13*")&gt;0,COUNTIF(I2987,"14*")&gt;0,COUNTIF(J2987,"*14*")&gt;0,COUNTIF(I2987,"15*")&gt;0,COUNTIF(J2987,"*15*")&gt;0,COUNTIF(I2987,"16*")&gt;0,COUNTIF(J2987,"*16*")&gt;0,COUNTIF(I2987,"17*")&gt;0,COUNTIF(J2987,"*17*")&gt;0,COUNTIF(I2987,"18*")&gt;0,COUNTIF(J2987,"*18*")&gt;0,COUNTIF(I2987,"19*")&gt;0,COUNTIF(J2987,"*19*")&gt;0,COUNTIF(I2987,"20*")&gt;0,COUNTIF(J2987,"*20*")&gt;0,COUNTIF(I2987,"21*")&gt;0,COUNTIF(J2987,"*21*")&gt;0,COUNTIF(I2987,"22*")&gt;0,COUNTIF(J2987,"*22*")&gt;0,COUNTIF(I2987,"23*")&gt;0,COUNTIF(J2987,"*23*")&gt;0,COUNTIF(I2987,"24*")&gt;0,COUNTIF(J2987,"*24*")&gt;0,COUNTIF(I2987,"25*")&gt;0,COUNTIF(J2987,"*25*")&gt;0,COUNTIF(I2987,"26*")&gt;0,COUNTIF(J2987,"*26*")&gt;0,COUNTIF(I2987,"27*")&gt;0,COUNTIF(J2987,"*27*")&gt;0,COUNTIF(I2987,"28*")&gt;0,COUNTIF(J2987,"*28*")&gt;0,COUNTIF(I2987,"29*")&gt;0,COUNTIF(J2987,"*29*")&gt;0,COUNTIF(I2987,"30*")&gt;0,COUNTIF(J2987,"*30*")&gt;0,COUNTIF(I2987,"31*")&gt;0,COUNTIF(J2987,"*31*")&gt;0,COUNTIF(I2987,"32*")&gt;0,COUNTIF(J2987,"*32*")&gt;0,COUNTIF(I2987,"33*")&gt;0,COUNTIF(J2987,"*33*")&gt;0,COUNTIF(I2987,"41*")&gt;0,COUNTIF(J2987,"*41*")&gt;0,COUNTIF(I2987,"42*")&gt;0,COUNTIF(J2987,"*42*")&gt;0,COUNTIF(I2987,"43*")&gt;0,COUNTIF(J2987,"*43*")&gt;0,COUNTIF(I2987,"49*")&gt;0,COUNTIF(J2987,"*49*")&gt;0,COUNTIF(I2987,"52*")&gt;0,COUNTIF(J2987,"*52*")&gt;0,COUNTIF(I2987,"55*")&gt;0,COUNTIF(J2987,"*55*")&gt;0,COUNTIF(I2987,"56*")&gt;0,COUNTIF(J2987,"*56*")&gt;0,COUNTIF(I2987,"68*")&gt;0,COUNTIF(J2987,"*68*")&gt;0,COUNTIF(I2987,"78*")&gt;0,COUNTIF(J2987,"*78*")&gt;0,COUNTIF(I2987,"81*")&gt;0,COUNTIF(J2987,"*81*")&gt;0,COUNTIF(I2987,"82*")&gt;0,COUNTIF(J2987,"*82*")&gt;0,COUNTIF(I2987,"64*")&gt;0,COUNTIF(J2987,"*64*")&gt;0,COUNTIF(I2987,"65*")&gt;0,COUNTIF(J2987,"*65*")&gt;0,COUNTIF(I2987,"66*")&gt;0,COUNTIF(J2987,"*66*")&gt;0,COUNTIF(I2987,"61*")&gt;0,COUNTIF(J2987,"*61*")&gt;0,COUNTIF(I2987,"62*")&gt;0,COUNTIF(J2987,"*62*")&gt;0,COUNTIF(I2987,"63*")&gt;0,COUNTIF(J2987,"*63*")&gt;0,COUNTIF(I2987,"85*")&gt;0,COUNTIF(J2987,"*85*")&gt;0,COUNTIF(I2987,"86*")&gt;0,COUNTIF(J2987,"*86*")&gt;0),"Да","Нет"))</f>
        <v/>
      </c>
      <c r="M2987" s="13">
        <f>IF(OR(G2987="",L2987&lt;&gt;"Да"),"",IF(G2987&lt;=100,"До 100",IF(G2987&lt;=200,"До 200",IF(G2987&lt;=500,"До 500","Отдельное КП"))))</f>
        <v/>
      </c>
      <c r="N2987" s="15">
        <f>IF(OR(G2987="",L2987&lt;&gt;"Да"),"",IF(G2987&lt;=100,33600,IF(G2987&lt;=200,62400,IF(G2987&lt;=500,144000,""))))</f>
        <v/>
      </c>
      <c r="O2987" s="16">
        <f>IF(G2987="","",IF(G2987&lt;=15,"1–15",IF(G2987&lt;=30,"16–30",IF(G2987&lt;=50,"31–50",IF(G2987&lt;=100,"51–100",IF(G2987&lt;=150,"101–150",IF(G2987&lt;=200,"151–200",IF(G2987&lt;=500,"201–500","500+"))))))))</f>
        <v/>
      </c>
      <c r="P2987" s="16" t="inlineStr">
        <is>
          <t>Нет совпадения в предоставленной выгрузке ССЧР</t>
        </is>
      </c>
      <c r="Q2987" s="16" t="n"/>
      <c r="R2987" s="16">
        <f>HYPERLINK("https://checko.ru/search?query=3801001629","Чекко: проверить")</f>
        <v/>
      </c>
      <c r="S2987" t="n">
        <v>0</v>
      </c>
    </row>
    <row r="2988" ht="15" customHeight="1" s="24">
      <c r="A2988" s="13" t="n">
        <v>5000117686</v>
      </c>
      <c r="B2988" s="13" t="inlineStr">
        <is>
          <t>МКДОУ "РАДУГА" Г.П. ЧЕГЕМ</t>
        </is>
      </c>
      <c r="C2988" s="13" t="n">
        <v>700024984</v>
      </c>
      <c r="D2988" s="13" t="n"/>
      <c r="E2988" s="13" t="inlineStr">
        <is>
          <t>Не определён</t>
        </is>
      </c>
      <c r="F2988" s="13" t="inlineStr">
        <is>
          <t>700024984</t>
        </is>
      </c>
      <c r="G2988" s="14" t="n"/>
      <c r="H2988" s="14" t="n"/>
      <c r="I2988" s="14" t="n"/>
      <c r="J2988" s="14" t="n"/>
      <c r="K2988" s="13">
        <f>IF(G2988="","",IF(G2988&gt;=22,"Да","Нет"))</f>
        <v/>
      </c>
      <c r="L2988" s="13">
        <f>IF(OR(I2988="",J2988=""),"Не определено",IF(OR(COUNTIF(I2988,"45*")&gt;0,COUNTIF(J2988,"*45*")&gt;0,COUNTIF(I2988,"46*")&gt;0,COUNTIF(J2988,"*46*")&gt;0,COUNTIF(I2988,"47*")&gt;0,COUNTIF(J2988,"*47*")&gt;0,COUNTIF(I2988,"10*")&gt;0,COUNTIF(J2988,"*10*")&gt;0,COUNTIF(I2988,"11*")&gt;0,COUNTIF(J2988,"*11*")&gt;0,COUNTIF(I2988,"12*")&gt;0,COUNTIF(J2988,"*12*")&gt;0,COUNTIF(I2988,"13*")&gt;0,COUNTIF(J2988,"*13*")&gt;0,COUNTIF(I2988,"14*")&gt;0,COUNTIF(J2988,"*14*")&gt;0,COUNTIF(I2988,"15*")&gt;0,COUNTIF(J2988,"*15*")&gt;0,COUNTIF(I2988,"16*")&gt;0,COUNTIF(J2988,"*16*")&gt;0,COUNTIF(I2988,"17*")&gt;0,COUNTIF(J2988,"*17*")&gt;0,COUNTIF(I2988,"18*")&gt;0,COUNTIF(J2988,"*18*")&gt;0,COUNTIF(I2988,"19*")&gt;0,COUNTIF(J2988,"*19*")&gt;0,COUNTIF(I2988,"20*")&gt;0,COUNTIF(J2988,"*20*")&gt;0,COUNTIF(I2988,"21*")&gt;0,COUNTIF(J2988,"*21*")&gt;0,COUNTIF(I2988,"22*")&gt;0,COUNTIF(J2988,"*22*")&gt;0,COUNTIF(I2988,"23*")&gt;0,COUNTIF(J2988,"*23*")&gt;0,COUNTIF(I2988,"24*")&gt;0,COUNTIF(J2988,"*24*")&gt;0,COUNTIF(I2988,"25*")&gt;0,COUNTIF(J2988,"*25*")&gt;0,COUNTIF(I2988,"26*")&gt;0,COUNTIF(J2988,"*26*")&gt;0,COUNTIF(I2988,"27*")&gt;0,COUNTIF(J2988,"*27*")&gt;0,COUNTIF(I2988,"28*")&gt;0,COUNTIF(J2988,"*28*")&gt;0,COUNTIF(I2988,"29*")&gt;0,COUNTIF(J2988,"*29*")&gt;0,COUNTIF(I2988,"30*")&gt;0,COUNTIF(J2988,"*30*")&gt;0,COUNTIF(I2988,"31*")&gt;0,COUNTIF(J2988,"*31*")&gt;0,COUNTIF(I2988,"32*")&gt;0,COUNTIF(J2988,"*32*")&gt;0,COUNTIF(I2988,"33*")&gt;0,COUNTIF(J2988,"*33*")&gt;0,COUNTIF(I2988,"41*")&gt;0,COUNTIF(J2988,"*41*")&gt;0,COUNTIF(I2988,"42*")&gt;0,COUNTIF(J2988,"*42*")&gt;0,COUNTIF(I2988,"43*")&gt;0,COUNTIF(J2988,"*43*")&gt;0,COUNTIF(I2988,"49*")&gt;0,COUNTIF(J2988,"*49*")&gt;0,COUNTIF(I2988,"52*")&gt;0,COUNTIF(J2988,"*52*")&gt;0,COUNTIF(I2988,"55*")&gt;0,COUNTIF(J2988,"*55*")&gt;0,COUNTIF(I2988,"56*")&gt;0,COUNTIF(J2988,"*56*")&gt;0,COUNTIF(I2988,"68*")&gt;0,COUNTIF(J2988,"*68*")&gt;0,COUNTIF(I2988,"78*")&gt;0,COUNTIF(J2988,"*78*")&gt;0,COUNTIF(I2988,"81*")&gt;0,COUNTIF(J2988,"*81*")&gt;0,COUNTIF(I2988,"82*")&gt;0,COUNTIF(J2988,"*82*")&gt;0,COUNTIF(I2988,"64*")&gt;0,COUNTIF(J2988,"*64*")&gt;0,COUNTIF(I2988,"65*")&gt;0,COUNTIF(J2988,"*65*")&gt;0,COUNTIF(I2988,"66*")&gt;0,COUNTIF(J2988,"*66*")&gt;0,COUNTIF(I2988,"61*")&gt;0,COUNTIF(J2988,"*61*")&gt;0,COUNTIF(I2988,"62*")&gt;0,COUNTIF(J2988,"*62*")&gt;0,COUNTIF(I2988,"63*")&gt;0,COUNTIF(J2988,"*63*")&gt;0,COUNTIF(I2988,"85*")&gt;0,COUNTIF(J2988,"*85*")&gt;0,COUNTIF(I2988,"86*")&gt;0,COUNTIF(J2988,"*86*")&gt;0),"Да","Нет"))</f>
        <v/>
      </c>
      <c r="M2988" s="13">
        <f>IF(OR(G2988="",L2988&lt;&gt;"Да"),"",IF(G2988&lt;=100,"До 100",IF(G2988&lt;=200,"До 200",IF(G2988&lt;=500,"До 500","Отдельное КП"))))</f>
        <v/>
      </c>
      <c r="N2988" s="15">
        <f>IF(OR(G2988="",L2988&lt;&gt;"Да"),"",IF(G2988&lt;=100,33600,IF(G2988&lt;=200,62400,IF(G2988&lt;=500,144000,""))))</f>
        <v/>
      </c>
      <c r="O2988" s="16">
        <f>IF(G2988="","",IF(G2988&lt;=15,"1–15",IF(G2988&lt;=30,"16–30",IF(G2988&lt;=50,"31–50",IF(G2988&lt;=100,"51–100",IF(G2988&lt;=150,"101–150",IF(G2988&lt;=200,"151–200",IF(G2988&lt;=500,"201–500","500+"))))))))</f>
        <v/>
      </c>
      <c r="P2988" s="16" t="inlineStr">
        <is>
          <t>Нет совпадения в предоставленной выгрузке ССЧР</t>
        </is>
      </c>
      <c r="Q2988" s="16" t="n"/>
      <c r="R2988" s="16">
        <f>HYPERLINK("https://checko.ru/search?query=3801001629","Чекко: проверить")</f>
        <v/>
      </c>
      <c r="S2988" t="n">
        <v>0</v>
      </c>
    </row>
    <row r="2989" ht="27.75" customHeight="1" s="24">
      <c r="A2989" s="13" t="n">
        <v>5000119245</v>
      </c>
      <c r="B2989" s="13" t="inlineStr">
        <is>
          <t>МКУ ДО "СПОРТИВНАЯ ШКОЛА С.П. ШАЛУШКА" ЧМР КБР</t>
        </is>
      </c>
      <c r="C2989" s="13" t="n">
        <v>700025900</v>
      </c>
      <c r="D2989" s="13" t="n"/>
      <c r="E2989" s="13" t="inlineStr">
        <is>
          <t>Не определён</t>
        </is>
      </c>
      <c r="F2989" s="13" t="inlineStr">
        <is>
          <t>700025900</t>
        </is>
      </c>
      <c r="G2989" s="14" t="n"/>
      <c r="H2989" s="14" t="n"/>
      <c r="I2989" s="14" t="n"/>
      <c r="J2989" s="14" t="n"/>
      <c r="K2989" s="13">
        <f>IF(G2989="","",IF(G2989&gt;=22,"Да","Нет"))</f>
        <v/>
      </c>
      <c r="L2989" s="13">
        <f>IF(OR(I2989="",J2989=""),"Не определено",IF(OR(COUNTIF(I2989,"45*")&gt;0,COUNTIF(J2989,"*45*")&gt;0,COUNTIF(I2989,"46*")&gt;0,COUNTIF(J2989,"*46*")&gt;0,COUNTIF(I2989,"47*")&gt;0,COUNTIF(J2989,"*47*")&gt;0,COUNTIF(I2989,"10*")&gt;0,COUNTIF(J2989,"*10*")&gt;0,COUNTIF(I2989,"11*")&gt;0,COUNTIF(J2989,"*11*")&gt;0,COUNTIF(I2989,"12*")&gt;0,COUNTIF(J2989,"*12*")&gt;0,COUNTIF(I2989,"13*")&gt;0,COUNTIF(J2989,"*13*")&gt;0,COUNTIF(I2989,"14*")&gt;0,COUNTIF(J2989,"*14*")&gt;0,COUNTIF(I2989,"15*")&gt;0,COUNTIF(J2989,"*15*")&gt;0,COUNTIF(I2989,"16*")&gt;0,COUNTIF(J2989,"*16*")&gt;0,COUNTIF(I2989,"17*")&gt;0,COUNTIF(J2989,"*17*")&gt;0,COUNTIF(I2989,"18*")&gt;0,COUNTIF(J2989,"*18*")&gt;0,COUNTIF(I2989,"19*")&gt;0,COUNTIF(J2989,"*19*")&gt;0,COUNTIF(I2989,"20*")&gt;0,COUNTIF(J2989,"*20*")&gt;0,COUNTIF(I2989,"21*")&gt;0,COUNTIF(J2989,"*21*")&gt;0,COUNTIF(I2989,"22*")&gt;0,COUNTIF(J2989,"*22*")&gt;0,COUNTIF(I2989,"23*")&gt;0,COUNTIF(J2989,"*23*")&gt;0,COUNTIF(I2989,"24*")&gt;0,COUNTIF(J2989,"*24*")&gt;0,COUNTIF(I2989,"25*")&gt;0,COUNTIF(J2989,"*25*")&gt;0,COUNTIF(I2989,"26*")&gt;0,COUNTIF(J2989,"*26*")&gt;0,COUNTIF(I2989,"27*")&gt;0,COUNTIF(J2989,"*27*")&gt;0,COUNTIF(I2989,"28*")&gt;0,COUNTIF(J2989,"*28*")&gt;0,COUNTIF(I2989,"29*")&gt;0,COUNTIF(J2989,"*29*")&gt;0,COUNTIF(I2989,"30*")&gt;0,COUNTIF(J2989,"*30*")&gt;0,COUNTIF(I2989,"31*")&gt;0,COUNTIF(J2989,"*31*")&gt;0,COUNTIF(I2989,"32*")&gt;0,COUNTIF(J2989,"*32*")&gt;0,COUNTIF(I2989,"33*")&gt;0,COUNTIF(J2989,"*33*")&gt;0,COUNTIF(I2989,"41*")&gt;0,COUNTIF(J2989,"*41*")&gt;0,COUNTIF(I2989,"42*")&gt;0,COUNTIF(J2989,"*42*")&gt;0,COUNTIF(I2989,"43*")&gt;0,COUNTIF(J2989,"*43*")&gt;0,COUNTIF(I2989,"49*")&gt;0,COUNTIF(J2989,"*49*")&gt;0,COUNTIF(I2989,"52*")&gt;0,COUNTIF(J2989,"*52*")&gt;0,COUNTIF(I2989,"55*")&gt;0,COUNTIF(J2989,"*55*")&gt;0,COUNTIF(I2989,"56*")&gt;0,COUNTIF(J2989,"*56*")&gt;0,COUNTIF(I2989,"68*")&gt;0,COUNTIF(J2989,"*68*")&gt;0,COUNTIF(I2989,"78*")&gt;0,COUNTIF(J2989,"*78*")&gt;0,COUNTIF(I2989,"81*")&gt;0,COUNTIF(J2989,"*81*")&gt;0,COUNTIF(I2989,"82*")&gt;0,COUNTIF(J2989,"*82*")&gt;0,COUNTIF(I2989,"64*")&gt;0,COUNTIF(J2989,"*64*")&gt;0,COUNTIF(I2989,"65*")&gt;0,COUNTIF(J2989,"*65*")&gt;0,COUNTIF(I2989,"66*")&gt;0,COUNTIF(J2989,"*66*")&gt;0,COUNTIF(I2989,"61*")&gt;0,COUNTIF(J2989,"*61*")&gt;0,COUNTIF(I2989,"62*")&gt;0,COUNTIF(J2989,"*62*")&gt;0,COUNTIF(I2989,"63*")&gt;0,COUNTIF(J2989,"*63*")&gt;0,COUNTIF(I2989,"85*")&gt;0,COUNTIF(J2989,"*85*")&gt;0,COUNTIF(I2989,"86*")&gt;0,COUNTIF(J2989,"*86*")&gt;0),"Да","Нет"))</f>
        <v/>
      </c>
      <c r="M2989" s="13">
        <f>IF(OR(G2989="",L2989&lt;&gt;"Да"),"",IF(G2989&lt;=100,"До 100",IF(G2989&lt;=200,"До 200",IF(G2989&lt;=500,"До 500","Отдельное КП"))))</f>
        <v/>
      </c>
      <c r="N2989" s="15">
        <f>IF(OR(G2989="",L2989&lt;&gt;"Да"),"",IF(G2989&lt;=100,33600,IF(G2989&lt;=200,62400,IF(G2989&lt;=500,144000,""))))</f>
        <v/>
      </c>
      <c r="O2989" s="16">
        <f>IF(G2989="","",IF(G2989&lt;=15,"1–15",IF(G2989&lt;=30,"16–30",IF(G2989&lt;=50,"31–50",IF(G2989&lt;=100,"51–100",IF(G2989&lt;=150,"101–150",IF(G2989&lt;=200,"151–200",IF(G2989&lt;=500,"201–500","500+"))))))))</f>
        <v/>
      </c>
      <c r="P2989" s="16" t="inlineStr">
        <is>
          <t>Нет совпадения в предоставленной выгрузке ССЧР</t>
        </is>
      </c>
      <c r="Q2989" s="16" t="n"/>
      <c r="R2989" s="16">
        <f>HYPERLINK("https://checko.ru/search?query=3801001629","Чекко: проверить")</f>
        <v/>
      </c>
      <c r="S2989" t="n">
        <v>0</v>
      </c>
    </row>
    <row r="2990" ht="15" customHeight="1" s="24">
      <c r="A2990" s="13" t="n">
        <v>5000117688</v>
      </c>
      <c r="B2990" s="13" t="inlineStr">
        <is>
          <t>МКОУ СОШ №5 Г.П. ТЕРЕК</t>
        </is>
      </c>
      <c r="C2990" s="13" t="n">
        <v>700026068</v>
      </c>
      <c r="D2990" s="13" t="n"/>
      <c r="E2990" s="13" t="inlineStr">
        <is>
          <t>Не определён</t>
        </is>
      </c>
      <c r="F2990" s="13" t="inlineStr">
        <is>
          <t>700026068</t>
        </is>
      </c>
      <c r="G2990" s="14" t="n"/>
      <c r="H2990" s="14" t="n"/>
      <c r="I2990" s="14" t="n"/>
      <c r="J2990" s="14" t="n"/>
      <c r="K2990" s="13">
        <f>IF(G2990="","",IF(G2990&gt;=22,"Да","Нет"))</f>
        <v/>
      </c>
      <c r="L2990" s="13">
        <f>IF(OR(I2990="",J2990=""),"Не определено",IF(OR(COUNTIF(I2990,"45*")&gt;0,COUNTIF(J2990,"*45*")&gt;0,COUNTIF(I2990,"46*")&gt;0,COUNTIF(J2990,"*46*")&gt;0,COUNTIF(I2990,"47*")&gt;0,COUNTIF(J2990,"*47*")&gt;0,COUNTIF(I2990,"10*")&gt;0,COUNTIF(J2990,"*10*")&gt;0,COUNTIF(I2990,"11*")&gt;0,COUNTIF(J2990,"*11*")&gt;0,COUNTIF(I2990,"12*")&gt;0,COUNTIF(J2990,"*12*")&gt;0,COUNTIF(I2990,"13*")&gt;0,COUNTIF(J2990,"*13*")&gt;0,COUNTIF(I2990,"14*")&gt;0,COUNTIF(J2990,"*14*")&gt;0,COUNTIF(I2990,"15*")&gt;0,COUNTIF(J2990,"*15*")&gt;0,COUNTIF(I2990,"16*")&gt;0,COUNTIF(J2990,"*16*")&gt;0,COUNTIF(I2990,"17*")&gt;0,COUNTIF(J2990,"*17*")&gt;0,COUNTIF(I2990,"18*")&gt;0,COUNTIF(J2990,"*18*")&gt;0,COUNTIF(I2990,"19*")&gt;0,COUNTIF(J2990,"*19*")&gt;0,COUNTIF(I2990,"20*")&gt;0,COUNTIF(J2990,"*20*")&gt;0,COUNTIF(I2990,"21*")&gt;0,COUNTIF(J2990,"*21*")&gt;0,COUNTIF(I2990,"22*")&gt;0,COUNTIF(J2990,"*22*")&gt;0,COUNTIF(I2990,"23*")&gt;0,COUNTIF(J2990,"*23*")&gt;0,COUNTIF(I2990,"24*")&gt;0,COUNTIF(J2990,"*24*")&gt;0,COUNTIF(I2990,"25*")&gt;0,COUNTIF(J2990,"*25*")&gt;0,COUNTIF(I2990,"26*")&gt;0,COUNTIF(J2990,"*26*")&gt;0,COUNTIF(I2990,"27*")&gt;0,COUNTIF(J2990,"*27*")&gt;0,COUNTIF(I2990,"28*")&gt;0,COUNTIF(J2990,"*28*")&gt;0,COUNTIF(I2990,"29*")&gt;0,COUNTIF(J2990,"*29*")&gt;0,COUNTIF(I2990,"30*")&gt;0,COUNTIF(J2990,"*30*")&gt;0,COUNTIF(I2990,"31*")&gt;0,COUNTIF(J2990,"*31*")&gt;0,COUNTIF(I2990,"32*")&gt;0,COUNTIF(J2990,"*32*")&gt;0,COUNTIF(I2990,"33*")&gt;0,COUNTIF(J2990,"*33*")&gt;0,COUNTIF(I2990,"41*")&gt;0,COUNTIF(J2990,"*41*")&gt;0,COUNTIF(I2990,"42*")&gt;0,COUNTIF(J2990,"*42*")&gt;0,COUNTIF(I2990,"43*")&gt;0,COUNTIF(J2990,"*43*")&gt;0,COUNTIF(I2990,"49*")&gt;0,COUNTIF(J2990,"*49*")&gt;0,COUNTIF(I2990,"52*")&gt;0,COUNTIF(J2990,"*52*")&gt;0,COUNTIF(I2990,"55*")&gt;0,COUNTIF(J2990,"*55*")&gt;0,COUNTIF(I2990,"56*")&gt;0,COUNTIF(J2990,"*56*")&gt;0,COUNTIF(I2990,"68*")&gt;0,COUNTIF(J2990,"*68*")&gt;0,COUNTIF(I2990,"78*")&gt;0,COUNTIF(J2990,"*78*")&gt;0,COUNTIF(I2990,"81*")&gt;0,COUNTIF(J2990,"*81*")&gt;0,COUNTIF(I2990,"82*")&gt;0,COUNTIF(J2990,"*82*")&gt;0,COUNTIF(I2990,"64*")&gt;0,COUNTIF(J2990,"*64*")&gt;0,COUNTIF(I2990,"65*")&gt;0,COUNTIF(J2990,"*65*")&gt;0,COUNTIF(I2990,"66*")&gt;0,COUNTIF(J2990,"*66*")&gt;0,COUNTIF(I2990,"61*")&gt;0,COUNTIF(J2990,"*61*")&gt;0,COUNTIF(I2990,"62*")&gt;0,COUNTIF(J2990,"*62*")&gt;0,COUNTIF(I2990,"63*")&gt;0,COUNTIF(J2990,"*63*")&gt;0,COUNTIF(I2990,"85*")&gt;0,COUNTIF(J2990,"*85*")&gt;0,COUNTIF(I2990,"86*")&gt;0,COUNTIF(J2990,"*86*")&gt;0),"Да","Нет"))</f>
        <v/>
      </c>
      <c r="M2990" s="13">
        <f>IF(OR(G2990="",L2990&lt;&gt;"Да"),"",IF(G2990&lt;=100,"До 100",IF(G2990&lt;=200,"До 200",IF(G2990&lt;=500,"До 500","Отдельное КП"))))</f>
        <v/>
      </c>
      <c r="N2990" s="15">
        <f>IF(OR(G2990="",L2990&lt;&gt;"Да"),"",IF(G2990&lt;=100,33600,IF(G2990&lt;=200,62400,IF(G2990&lt;=500,144000,""))))</f>
        <v/>
      </c>
      <c r="O2990" s="16">
        <f>IF(G2990="","",IF(G2990&lt;=15,"1–15",IF(G2990&lt;=30,"16–30",IF(G2990&lt;=50,"31–50",IF(G2990&lt;=100,"51–100",IF(G2990&lt;=150,"101–150",IF(G2990&lt;=200,"151–200",IF(G2990&lt;=500,"201–500","500+"))))))))</f>
        <v/>
      </c>
      <c r="P2990" s="16" t="inlineStr">
        <is>
          <t>Нет совпадения в предоставленной выгрузке ССЧР</t>
        </is>
      </c>
      <c r="Q2990" s="16" t="n"/>
      <c r="R2990" s="16">
        <f>HYPERLINK("https://checko.ru/search?query=3801001629","Чекко: проверить")</f>
        <v/>
      </c>
      <c r="S2990" t="n">
        <v>0</v>
      </c>
    </row>
    <row r="2991" ht="41.25" customHeight="1" s="24">
      <c r="A2991" s="13" t="n">
        <v>5000108342</v>
      </c>
      <c r="B2991" s="13" t="inlineStr">
        <is>
          <t>Областное государственное учреждение здравоохранения  "Усть-Илимская районная больница"</t>
        </is>
      </c>
      <c r="C2991" s="13" t="n">
        <v>3804121392</v>
      </c>
      <c r="D2991" s="13" t="inlineStr">
        <is>
          <t>3804121392</t>
        </is>
      </c>
      <c r="E2991" s="13" t="inlineStr">
        <is>
          <t>ЮЛ РФ</t>
        </is>
      </c>
      <c r="F2991" s="13" t="n"/>
      <c r="G2991" s="14" t="n"/>
      <c r="H2991" s="14" t="n"/>
      <c r="I2991" s="14" t="n"/>
      <c r="J2991" s="14" t="n"/>
      <c r="K2991" s="53" t="inlineStr"/>
      <c r="L2991" s="53" t="inlineStr">
        <is>
          <t>Не определено</t>
        </is>
      </c>
      <c r="M2991" s="53" t="inlineStr"/>
      <c r="N2991" s="54" t="inlineStr"/>
      <c r="O2991" s="55" t="inlineStr"/>
      <c r="P2991" s="16" t="inlineStr">
        <is>
          <t>Требует обогащения</t>
        </is>
      </c>
      <c r="Q2991" s="16">
        <f>HYPERLINK("https://pb.nalog.ru/search.html?query=3804121392","ФНС: проверить")</f>
        <v/>
      </c>
      <c r="R2991" s="16">
        <f>HYPERLINK("https://checko.ru/search?query=3801001629","Чекко: проверить")</f>
        <v/>
      </c>
      <c r="S2991" t="n">
        <v>1</v>
      </c>
      <c r="T2991" s="35" t="inlineStr">
        <is>
          <t>4 — Не обогащён</t>
        </is>
      </c>
      <c r="U2991" s="35" t="inlineStr">
        <is>
          <t>Нет ОКВЭД/ССЧР</t>
        </is>
      </c>
      <c r="V2991" s="35" t="inlineStr">
        <is>
          <t>Не определено</t>
        </is>
      </c>
      <c r="W2991" s="35" t="inlineStr"/>
      <c r="X2991" s="35" t="inlineStr"/>
    </row>
    <row r="2992" ht="41.25" customHeight="1" s="24">
      <c r="A2992" s="13" t="n">
        <v>5000108343</v>
      </c>
      <c r="B2992" s="13" t="inlineStr">
        <is>
          <t>Областное государственное бюджетное учреждение «Областной центр технической инвентаризации – Областное БТИ»</t>
        </is>
      </c>
      <c r="C2992" s="13" t="n">
        <v>3808289124</v>
      </c>
      <c r="D2992" s="13" t="inlineStr">
        <is>
          <t>3808289124</t>
        </is>
      </c>
      <c r="E2992" s="13" t="inlineStr">
        <is>
          <t>ЮЛ РФ</t>
        </is>
      </c>
      <c r="F2992" s="13" t="n"/>
      <c r="G2992" s="14" t="n"/>
      <c r="H2992" s="14" t="n"/>
      <c r="I2992" s="14" t="n"/>
      <c r="J2992" s="14" t="n"/>
      <c r="K2992" s="53" t="inlineStr"/>
      <c r="L2992" s="53" t="inlineStr">
        <is>
          <t>Не определено</t>
        </is>
      </c>
      <c r="M2992" s="53" t="inlineStr"/>
      <c r="N2992" s="54" t="inlineStr"/>
      <c r="O2992" s="55" t="inlineStr"/>
      <c r="P2992" s="16" t="inlineStr">
        <is>
          <t>Требует обогащения</t>
        </is>
      </c>
      <c r="Q2992" s="16">
        <f>HYPERLINK("https://pb.nalog.ru/search.html?query=3808289124","ФНС: проверить")</f>
        <v/>
      </c>
      <c r="R2992" s="16">
        <f>HYPERLINK("https://checko.ru/search?query=3801001629","Чекко: проверить")</f>
        <v/>
      </c>
      <c r="S2992" t="n">
        <v>1</v>
      </c>
      <c r="T2992" s="35" t="inlineStr">
        <is>
          <t>4 — Не обогащён</t>
        </is>
      </c>
      <c r="U2992" s="35" t="inlineStr">
        <is>
          <t>Нет ОКВЭД/ССЧР</t>
        </is>
      </c>
      <c r="V2992" s="35" t="inlineStr">
        <is>
          <t>Не определено</t>
        </is>
      </c>
      <c r="W2992" s="35" t="inlineStr"/>
      <c r="X2992" s="35" t="inlineStr"/>
    </row>
    <row r="2993" ht="27.75" customHeight="1" s="24">
      <c r="A2993" s="13" t="n">
        <v>5000093550</v>
      </c>
      <c r="B2993" s="13" t="inlineStr">
        <is>
          <t>МДОУ детский сад  № 63 Усть-Кутского муниципального образования Иркутской области</t>
        </is>
      </c>
      <c r="C2993" s="13" t="n">
        <v>3818015500</v>
      </c>
      <c r="D2993" s="13" t="inlineStr">
        <is>
          <t>3818015500</t>
        </is>
      </c>
      <c r="E2993" s="13" t="inlineStr">
        <is>
          <t>ЮЛ РФ</t>
        </is>
      </c>
      <c r="F2993" s="13" t="n"/>
      <c r="G2993" s="14" t="n"/>
      <c r="H2993" s="14" t="n"/>
      <c r="I2993" s="14" t="n"/>
      <c r="J2993" s="14" t="n"/>
      <c r="K2993" s="53" t="inlineStr"/>
      <c r="L2993" s="53" t="inlineStr">
        <is>
          <t>Не определено</t>
        </is>
      </c>
      <c r="M2993" s="53" t="inlineStr"/>
      <c r="N2993" s="54" t="inlineStr"/>
      <c r="O2993" s="55" t="inlineStr"/>
      <c r="P2993" s="16" t="inlineStr">
        <is>
          <t>Требует обогащения</t>
        </is>
      </c>
      <c r="Q2993" s="16">
        <f>HYPERLINK("https://pb.nalog.ru/search.html?query=3818015500","ФНС: проверить")</f>
        <v/>
      </c>
      <c r="R2993" s="16">
        <f>HYPERLINK("https://checko.ru/search?query=3801001629","Чекко: проверить")</f>
        <v/>
      </c>
      <c r="S2993" t="n">
        <v>1</v>
      </c>
      <c r="T2993" s="35" t="inlineStr">
        <is>
          <t>4 — Не обогащён</t>
        </is>
      </c>
      <c r="U2993" s="35" t="inlineStr">
        <is>
          <t>Нет ОКВЭД/ССЧР</t>
        </is>
      </c>
      <c r="V2993" s="35" t="inlineStr">
        <is>
          <t>Не определено</t>
        </is>
      </c>
      <c r="W2993" s="35" t="inlineStr"/>
      <c r="X2993" s="35" t="inlineStr"/>
    </row>
    <row r="2994" ht="27.75" customHeight="1" s="24">
      <c r="A2994" s="13" t="n">
        <v>5000093525</v>
      </c>
      <c r="B2994" s="13" t="inlineStr">
        <is>
          <t>МДОУ детский сад общеразвивающего вида № 48 Усть-Кутского муниципального образования</t>
        </is>
      </c>
      <c r="C2994" s="13" t="n">
        <v>3818015411</v>
      </c>
      <c r="D2994" s="13" t="inlineStr">
        <is>
          <t>3818015411</t>
        </is>
      </c>
      <c r="E2994" s="13" t="inlineStr">
        <is>
          <t>ЮЛ РФ</t>
        </is>
      </c>
      <c r="F2994" s="13" t="n"/>
      <c r="G2994" s="14" t="n"/>
      <c r="H2994" s="14" t="n"/>
      <c r="I2994" s="14" t="n"/>
      <c r="J2994" s="14" t="n"/>
      <c r="K2994" s="53" t="inlineStr"/>
      <c r="L2994" s="53" t="inlineStr">
        <is>
          <t>Не определено</t>
        </is>
      </c>
      <c r="M2994" s="53" t="inlineStr"/>
      <c r="N2994" s="54" t="inlineStr"/>
      <c r="O2994" s="55" t="inlineStr"/>
      <c r="P2994" s="16" t="inlineStr">
        <is>
          <t>Требует обогащения</t>
        </is>
      </c>
      <c r="Q2994" s="16">
        <f>HYPERLINK("https://pb.nalog.ru/search.html?query=3818015411","ФНС: проверить")</f>
        <v/>
      </c>
      <c r="R2994" s="16">
        <f>HYPERLINK("https://checko.ru/search?query=3801001629","Чекко: проверить")</f>
        <v/>
      </c>
      <c r="S2994" t="n">
        <v>1</v>
      </c>
      <c r="T2994" s="35" t="inlineStr">
        <is>
          <t>4 — Не обогащён</t>
        </is>
      </c>
      <c r="U2994" s="35" t="inlineStr">
        <is>
          <t>Нет ОКВЭД/ССЧР</t>
        </is>
      </c>
      <c r="V2994" s="35" t="inlineStr">
        <is>
          <t>Не определено</t>
        </is>
      </c>
      <c r="W2994" s="35" t="inlineStr"/>
      <c r="X2994" s="35" t="inlineStr"/>
    </row>
    <row r="2995" ht="54.75" customHeight="1" s="24">
      <c r="A2995" s="13" t="n">
        <v>5000093546</v>
      </c>
      <c r="B2995" s="13" t="inlineStr">
        <is>
          <t>Муниципальное общеобразовательное учреждение средняя общеобразовательная школа п. Звездный  Усть-Кутского муниципального образования Иркутской области</t>
        </is>
      </c>
      <c r="C2995" s="13" t="n">
        <v>3818015570</v>
      </c>
      <c r="D2995" s="13" t="inlineStr">
        <is>
          <t>3818015570</t>
        </is>
      </c>
      <c r="E2995" s="13" t="inlineStr">
        <is>
          <t>ЮЛ РФ</t>
        </is>
      </c>
      <c r="F2995" s="13" t="n"/>
      <c r="G2995" s="14" t="n"/>
      <c r="H2995" s="14" t="n"/>
      <c r="I2995" s="14" t="n"/>
      <c r="J2995" s="14" t="n"/>
      <c r="K2995" s="53" t="inlineStr"/>
      <c r="L2995" s="53" t="inlineStr">
        <is>
          <t>Не определено</t>
        </is>
      </c>
      <c r="M2995" s="53" t="inlineStr"/>
      <c r="N2995" s="54" t="inlineStr"/>
      <c r="O2995" s="55" t="inlineStr"/>
      <c r="P2995" s="16" t="inlineStr">
        <is>
          <t>Требует обогащения</t>
        </is>
      </c>
      <c r="Q2995" s="16">
        <f>HYPERLINK("https://pb.nalog.ru/search.html?query=3818015570","ФНС: проверить")</f>
        <v/>
      </c>
      <c r="R2995" s="16">
        <f>HYPERLINK("https://checko.ru/search?query=3801001629","Чекко: проверить")</f>
        <v/>
      </c>
      <c r="S2995" t="n">
        <v>1</v>
      </c>
      <c r="T2995" s="35" t="inlineStr">
        <is>
          <t>4 — Не обогащён</t>
        </is>
      </c>
      <c r="U2995" s="35" t="inlineStr">
        <is>
          <t>Нет ОКВЭД/ССЧР</t>
        </is>
      </c>
      <c r="V2995" s="35" t="inlineStr">
        <is>
          <t>Не определено</t>
        </is>
      </c>
      <c r="W2995" s="35" t="inlineStr"/>
      <c r="X2995" s="35" t="inlineStr"/>
    </row>
    <row r="2996" ht="54.75" customHeight="1" s="24">
      <c r="A2996" s="13" t="n">
        <v>5000093547</v>
      </c>
      <c r="B2996" s="13" t="inlineStr">
        <is>
          <t>Муниципальное общеобразовательное учреждение средняя общеобразовательная школа п. Ручей  Усть-Кутского муниципального образования Иркутской области</t>
        </is>
      </c>
      <c r="C2996" s="13" t="n">
        <v>3818014619</v>
      </c>
      <c r="D2996" s="13" t="inlineStr">
        <is>
          <t>3818014619</t>
        </is>
      </c>
      <c r="E2996" s="13" t="inlineStr">
        <is>
          <t>ЮЛ РФ</t>
        </is>
      </c>
      <c r="F2996" s="13" t="n"/>
      <c r="G2996" s="14" t="n"/>
      <c r="H2996" s="14" t="n"/>
      <c r="I2996" s="14" t="n"/>
      <c r="J2996" s="14" t="n"/>
      <c r="K2996" s="53" t="inlineStr"/>
      <c r="L2996" s="53" t="inlineStr">
        <is>
          <t>Не определено</t>
        </is>
      </c>
      <c r="M2996" s="53" t="inlineStr"/>
      <c r="N2996" s="54" t="inlineStr"/>
      <c r="O2996" s="55" t="inlineStr"/>
      <c r="P2996" s="16" t="inlineStr">
        <is>
          <t>Требует обогащения</t>
        </is>
      </c>
      <c r="Q2996" s="16">
        <f>HYPERLINK("https://pb.nalog.ru/search.html?query=3818014619","ФНС: проверить")</f>
        <v/>
      </c>
      <c r="R2996" s="16">
        <f>HYPERLINK("https://checko.ru/search?query=3801001629","Чекко: проверить")</f>
        <v/>
      </c>
      <c r="S2996" t="n">
        <v>1</v>
      </c>
      <c r="T2996" s="35" t="inlineStr">
        <is>
          <t>4 — Не обогащён</t>
        </is>
      </c>
      <c r="U2996" s="35" t="inlineStr">
        <is>
          <t>Нет ОКВЭД/ССЧР</t>
        </is>
      </c>
      <c r="V2996" s="35" t="inlineStr">
        <is>
          <t>Не определено</t>
        </is>
      </c>
      <c r="W2996" s="35" t="inlineStr"/>
      <c r="X2996" s="35" t="inlineStr"/>
    </row>
    <row r="2997" ht="54.75" customHeight="1" s="24">
      <c r="A2997" s="13" t="n">
        <v>5000093548</v>
      </c>
      <c r="B2997" s="13" t="inlineStr">
        <is>
          <t>Муниципальное общеобразовательное учреждение средняя общеобразовательная школа п. Янталь Усть-Кутского муниципального образования Иркутской области</t>
        </is>
      </c>
      <c r="C2997" s="13" t="n">
        <v>3818014601</v>
      </c>
      <c r="D2997" s="13" t="inlineStr">
        <is>
          <t>3818014601</t>
        </is>
      </c>
      <c r="E2997" s="13" t="inlineStr">
        <is>
          <t>ЮЛ РФ</t>
        </is>
      </c>
      <c r="F2997" s="13" t="n"/>
      <c r="G2997" s="14" t="n"/>
      <c r="H2997" s="14" t="n"/>
      <c r="I2997" s="14" t="n"/>
      <c r="J2997" s="14" t="n"/>
      <c r="K2997" s="53" t="inlineStr"/>
      <c r="L2997" s="53" t="inlineStr">
        <is>
          <t>Не определено</t>
        </is>
      </c>
      <c r="M2997" s="53" t="inlineStr"/>
      <c r="N2997" s="54" t="inlineStr"/>
      <c r="O2997" s="55" t="inlineStr"/>
      <c r="P2997" s="16" t="inlineStr">
        <is>
          <t>Требует обогащения</t>
        </is>
      </c>
      <c r="Q2997" s="16">
        <f>HYPERLINK("https://pb.nalog.ru/search.html?query=3818014601","ФНС: проверить")</f>
        <v/>
      </c>
      <c r="R2997" s="16">
        <f>HYPERLINK("https://checko.ru/search?query=3801001629","Чекко: проверить")</f>
        <v/>
      </c>
      <c r="S2997" t="n">
        <v>1</v>
      </c>
      <c r="T2997" s="35" t="inlineStr">
        <is>
          <t>4 — Не обогащён</t>
        </is>
      </c>
      <c r="U2997" s="35" t="inlineStr">
        <is>
          <t>Нет ОКВЭД/ССЧР</t>
        </is>
      </c>
      <c r="V2997" s="35" t="inlineStr">
        <is>
          <t>Не определено</t>
        </is>
      </c>
      <c r="W2997" s="35" t="inlineStr"/>
      <c r="X2997" s="35" t="inlineStr"/>
    </row>
    <row r="2998" ht="41.25" customHeight="1" s="24">
      <c r="A2998" s="13" t="n">
        <v>5000093549</v>
      </c>
      <c r="B2998" s="13" t="inlineStr">
        <is>
          <t>МОУ средняя общеобразовательная школа с. Подымахино имени Героя Советского Союза Антипина Ивана Николаевича</t>
        </is>
      </c>
      <c r="C2998" s="13" t="n">
        <v>3818014665</v>
      </c>
      <c r="D2998" s="13" t="inlineStr">
        <is>
          <t>3818014665</t>
        </is>
      </c>
      <c r="E2998" s="13" t="inlineStr">
        <is>
          <t>ЮЛ РФ</t>
        </is>
      </c>
      <c r="F2998" s="13" t="n"/>
      <c r="G2998" s="14" t="n"/>
      <c r="H2998" s="14" t="n"/>
      <c r="I2998" s="14" t="n"/>
      <c r="J2998" s="14" t="n"/>
      <c r="K2998" s="53" t="inlineStr"/>
      <c r="L2998" s="53" t="inlineStr">
        <is>
          <t>Не определено</t>
        </is>
      </c>
      <c r="M2998" s="53" t="inlineStr"/>
      <c r="N2998" s="54" t="inlineStr"/>
      <c r="O2998" s="55" t="inlineStr"/>
      <c r="P2998" s="16" t="inlineStr">
        <is>
          <t>Требует обогащения</t>
        </is>
      </c>
      <c r="Q2998" s="16">
        <f>HYPERLINK("https://pb.nalog.ru/search.html?query=3818014665","ФНС: проверить")</f>
        <v/>
      </c>
      <c r="R2998" s="16">
        <f>HYPERLINK("https://checko.ru/search?query=3801001629","Чекко: проверить")</f>
        <v/>
      </c>
      <c r="S2998" t="n">
        <v>1</v>
      </c>
      <c r="T2998" s="35" t="inlineStr">
        <is>
          <t>4 — Не обогащён</t>
        </is>
      </c>
      <c r="U2998" s="35" t="inlineStr">
        <is>
          <t>Нет ОКВЭД/ССЧР</t>
        </is>
      </c>
      <c r="V2998" s="35" t="inlineStr">
        <is>
          <t>Не определено</t>
        </is>
      </c>
      <c r="W2998" s="35" t="inlineStr"/>
      <c r="X2998" s="35" t="inlineStr"/>
    </row>
    <row r="2999" ht="41.25" customHeight="1" s="24">
      <c r="A2999" s="13" t="n">
        <v>5000093526</v>
      </c>
      <c r="B2999" s="13" t="inlineStr">
        <is>
          <t>Муниципальное дошкольное образовательное учреждение детский сад № 49 Усть-Кутского муниципального образования</t>
        </is>
      </c>
      <c r="C2999" s="13" t="n">
        <v>3818014714</v>
      </c>
      <c r="D2999" s="13" t="inlineStr">
        <is>
          <t>3818014714</t>
        </is>
      </c>
      <c r="E2999" s="13" t="inlineStr">
        <is>
          <t>ЮЛ РФ</t>
        </is>
      </c>
      <c r="F2999" s="13" t="n"/>
      <c r="G2999" s="14" t="n"/>
      <c r="H2999" s="14" t="n"/>
      <c r="I2999" s="14" t="n"/>
      <c r="J2999" s="14" t="n"/>
      <c r="K2999" s="53" t="inlineStr"/>
      <c r="L2999" s="53" t="inlineStr">
        <is>
          <t>Не определено</t>
        </is>
      </c>
      <c r="M2999" s="53" t="inlineStr"/>
      <c r="N2999" s="54" t="inlineStr"/>
      <c r="O2999" s="55" t="inlineStr"/>
      <c r="P2999" s="16" t="inlineStr">
        <is>
          <t>Требует обогащения</t>
        </is>
      </c>
      <c r="Q2999" s="16">
        <f>HYPERLINK("https://pb.nalog.ru/search.html?query=3818014714","ФНС: проверить")</f>
        <v/>
      </c>
      <c r="R2999" s="16">
        <f>HYPERLINK("https://checko.ru/search?query=3801001629","Чекко: проверить")</f>
        <v/>
      </c>
      <c r="S2999" t="n">
        <v>1</v>
      </c>
      <c r="T2999" s="35" t="inlineStr">
        <is>
          <t>4 — Не обогащён</t>
        </is>
      </c>
      <c r="U2999" s="35" t="inlineStr">
        <is>
          <t>Нет ОКВЭД/ССЧР</t>
        </is>
      </c>
      <c r="V2999" s="35" t="inlineStr">
        <is>
          <t>Не определено</t>
        </is>
      </c>
      <c r="W2999" s="35" t="inlineStr"/>
      <c r="X2999" s="35" t="inlineStr"/>
    </row>
    <row r="3000" ht="27.75" customHeight="1" s="24">
      <c r="A3000" s="13" t="n">
        <v>5000093527</v>
      </c>
      <c r="B3000" s="13" t="inlineStr">
        <is>
          <t>МДОУ детский сад общеразвивающего вида № 50 Усть-Кутского муниципального образования</t>
        </is>
      </c>
      <c r="C3000" s="13" t="n">
        <v>3818014721</v>
      </c>
      <c r="D3000" s="13" t="inlineStr">
        <is>
          <t>3818014721</t>
        </is>
      </c>
      <c r="E3000" s="13" t="inlineStr">
        <is>
          <t>ЮЛ РФ</t>
        </is>
      </c>
      <c r="F3000" s="13" t="n"/>
      <c r="G3000" s="14" t="n"/>
      <c r="H3000" s="14" t="n"/>
      <c r="I3000" s="14" t="n"/>
      <c r="J3000" s="14" t="n"/>
      <c r="K3000" s="53" t="inlineStr"/>
      <c r="L3000" s="53" t="inlineStr">
        <is>
          <t>Не определено</t>
        </is>
      </c>
      <c r="M3000" s="53" t="inlineStr"/>
      <c r="N3000" s="54" t="inlineStr"/>
      <c r="O3000" s="55" t="inlineStr"/>
      <c r="P3000" s="16" t="inlineStr">
        <is>
          <t>Требует обогащения</t>
        </is>
      </c>
      <c r="Q3000" s="16">
        <f>HYPERLINK("https://pb.nalog.ru/search.html?query=3818014721","ФНС: проверить")</f>
        <v/>
      </c>
      <c r="R3000" s="16">
        <f>HYPERLINK("https://checko.ru/search?query=3801001629","Чекко: проверить")</f>
        <v/>
      </c>
      <c r="S3000" t="n">
        <v>1</v>
      </c>
      <c r="T3000" s="35" t="inlineStr">
        <is>
          <t>4 — Не обогащён</t>
        </is>
      </c>
      <c r="U3000" s="35" t="inlineStr">
        <is>
          <t>Нет ОКВЭД/ССЧР</t>
        </is>
      </c>
      <c r="V3000" s="35" t="inlineStr">
        <is>
          <t>Не определено</t>
        </is>
      </c>
      <c r="W3000" s="35" t="inlineStr"/>
      <c r="X3000" s="35" t="inlineStr"/>
    </row>
    <row r="3001" ht="27.75" customHeight="1" s="24">
      <c r="A3001" s="13" t="n">
        <v>5000093528</v>
      </c>
      <c r="B3001" s="13" t="inlineStr">
        <is>
          <t>МКДОУ детский сад № 54 Усть-Кутского муниципального образования</t>
        </is>
      </c>
      <c r="C3001" s="13" t="n">
        <v>3818048103</v>
      </c>
      <c r="D3001" s="13" t="inlineStr">
        <is>
          <t>3818048103</t>
        </is>
      </c>
      <c r="E3001" s="13" t="inlineStr">
        <is>
          <t>ЮЛ РФ</t>
        </is>
      </c>
      <c r="F3001" s="13" t="n"/>
      <c r="G3001" s="14" t="n"/>
      <c r="H3001" s="14" t="n"/>
      <c r="I3001" s="14" t="n"/>
      <c r="J3001" s="14" t="n"/>
      <c r="K3001" s="53" t="inlineStr"/>
      <c r="L3001" s="53" t="inlineStr">
        <is>
          <t>Не определено</t>
        </is>
      </c>
      <c r="M3001" s="53" t="inlineStr"/>
      <c r="N3001" s="54" t="inlineStr"/>
      <c r="O3001" s="55" t="inlineStr"/>
      <c r="P3001" s="16" t="inlineStr">
        <is>
          <t>Требует обогащения</t>
        </is>
      </c>
      <c r="Q3001" s="16">
        <f>HYPERLINK("https://pb.nalog.ru/search.html?query=3818048103","ФНС: проверить")</f>
        <v/>
      </c>
      <c r="R3001" s="16">
        <f>HYPERLINK("https://checko.ru/search?query=3801001629","Чекко: проверить")</f>
        <v/>
      </c>
      <c r="S3001" t="n">
        <v>1</v>
      </c>
      <c r="T3001" s="35" t="inlineStr">
        <is>
          <t>4 — Не обогащён</t>
        </is>
      </c>
      <c r="U3001" s="35" t="inlineStr">
        <is>
          <t>Нет ОКВЭД/ССЧР</t>
        </is>
      </c>
      <c r="V3001" s="35" t="inlineStr">
        <is>
          <t>Не определено</t>
        </is>
      </c>
      <c r="W3001" s="35" t="inlineStr"/>
      <c r="X3001" s="35" t="inlineStr"/>
    </row>
    <row r="3002" ht="41.25" customHeight="1" s="24">
      <c r="A3002" s="13" t="n">
        <v>5000093530</v>
      </c>
      <c r="B3002" s="13" t="inlineStr">
        <is>
          <t>МОУ средняя общеобразовательная школа п. Верхнемарково Усть-Кутского муниципального образования Иркутской об</t>
        </is>
      </c>
      <c r="C3002" s="13" t="n">
        <v>3818014633</v>
      </c>
      <c r="D3002" s="13" t="inlineStr">
        <is>
          <t>3818014633</t>
        </is>
      </c>
      <c r="E3002" s="13" t="inlineStr">
        <is>
          <t>ЮЛ РФ</t>
        </is>
      </c>
      <c r="F3002" s="13" t="n"/>
      <c r="G3002" s="14" t="n"/>
      <c r="H3002" s="14" t="n"/>
      <c r="I3002" s="14" t="n"/>
      <c r="J3002" s="14" t="n"/>
      <c r="K3002" s="53" t="inlineStr"/>
      <c r="L3002" s="53" t="inlineStr">
        <is>
          <t>Не определено</t>
        </is>
      </c>
      <c r="M3002" s="53" t="inlineStr"/>
      <c r="N3002" s="54" t="inlineStr"/>
      <c r="O3002" s="55" t="inlineStr"/>
      <c r="P3002" s="16" t="inlineStr">
        <is>
          <t>Требует обогащения</t>
        </is>
      </c>
      <c r="Q3002" s="16">
        <f>HYPERLINK("https://pb.nalog.ru/search.html?query=3818014633","ФНС: проверить")</f>
        <v/>
      </c>
      <c r="R3002" s="16">
        <f>HYPERLINK("https://checko.ru/search?query=3801001629","Чекко: проверить")</f>
        <v/>
      </c>
      <c r="S3002" t="n">
        <v>1</v>
      </c>
      <c r="T3002" s="35" t="inlineStr">
        <is>
          <t>4 — Не обогащён</t>
        </is>
      </c>
      <c r="U3002" s="35" t="inlineStr">
        <is>
          <t>Нет ОКВЭД/ССЧР</t>
        </is>
      </c>
      <c r="V3002" s="35" t="inlineStr">
        <is>
          <t>Не определено</t>
        </is>
      </c>
      <c r="W3002" s="35" t="inlineStr"/>
      <c r="X3002" s="35" t="inlineStr"/>
    </row>
    <row r="3003" ht="41.25" customHeight="1" s="24">
      <c r="A3003" s="13" t="n">
        <v>5000093531</v>
      </c>
      <c r="B3003" s="13" t="inlineStr">
        <is>
          <t>МОУ средняя общеобразовательная школа с. Ния Усть-Кутского муниципального образования Иркутской области</t>
        </is>
      </c>
      <c r="C3003" s="13" t="n">
        <v>3818015563</v>
      </c>
      <c r="D3003" s="13" t="inlineStr">
        <is>
          <t>3818015563</t>
        </is>
      </c>
      <c r="E3003" s="13" t="inlineStr">
        <is>
          <t>ЮЛ РФ</t>
        </is>
      </c>
      <c r="F3003" s="13" t="n"/>
      <c r="G3003" s="14" t="n"/>
      <c r="H3003" s="14" t="n"/>
      <c r="I3003" s="14" t="n"/>
      <c r="J3003" s="14" t="n"/>
      <c r="K3003" s="53" t="inlineStr"/>
      <c r="L3003" s="53" t="inlineStr">
        <is>
          <t>Не определено</t>
        </is>
      </c>
      <c r="M3003" s="53" t="inlineStr"/>
      <c r="N3003" s="54" t="inlineStr"/>
      <c r="O3003" s="55" t="inlineStr"/>
      <c r="P3003" s="16" t="inlineStr">
        <is>
          <t>Требует обогащения</t>
        </is>
      </c>
      <c r="Q3003" s="16">
        <f>HYPERLINK("https://pb.nalog.ru/search.html?query=3818015563","ФНС: проверить")</f>
        <v/>
      </c>
      <c r="R3003" s="16">
        <f>HYPERLINK("https://checko.ru/search?query=3801001629","Чекко: проверить")</f>
        <v/>
      </c>
      <c r="S3003" t="n">
        <v>1</v>
      </c>
      <c r="T3003" s="35" t="inlineStr">
        <is>
          <t>4 — Не обогащён</t>
        </is>
      </c>
      <c r="U3003" s="35" t="inlineStr">
        <is>
          <t>Нет ОКВЭД/ССЧР</t>
        </is>
      </c>
      <c r="V3003" s="35" t="inlineStr">
        <is>
          <t>Не определено</t>
        </is>
      </c>
      <c r="W3003" s="35" t="inlineStr"/>
      <c r="X3003" s="35" t="inlineStr"/>
    </row>
    <row r="3004" ht="54.75" customHeight="1" s="24">
      <c r="A3004" s="13" t="n">
        <v>5000093533</v>
      </c>
      <c r="B3004" s="13" t="inlineStr">
        <is>
          <t>Муниципальное учреждение Загородный стационарный многопрофильный лагерь отдыха и оздоровления детей «Рассвет» Усть-Кутского муниципального образования</t>
        </is>
      </c>
      <c r="C3004" s="13" t="n">
        <v>3818018444</v>
      </c>
      <c r="D3004" s="13" t="inlineStr">
        <is>
          <t>3818018444</t>
        </is>
      </c>
      <c r="E3004" s="13" t="inlineStr">
        <is>
          <t>ЮЛ РФ</t>
        </is>
      </c>
      <c r="F3004" s="13" t="n"/>
      <c r="G3004" s="14" t="n"/>
      <c r="H3004" s="14" t="n"/>
      <c r="I3004" s="14" t="n"/>
      <c r="J3004" s="14" t="n"/>
      <c r="K3004" s="53" t="inlineStr"/>
      <c r="L3004" s="53" t="inlineStr">
        <is>
          <t>Не определено</t>
        </is>
      </c>
      <c r="M3004" s="53" t="inlineStr"/>
      <c r="N3004" s="54" t="inlineStr"/>
      <c r="O3004" s="55" t="inlineStr"/>
      <c r="P3004" s="16" t="inlineStr">
        <is>
          <t>Требует обогащения</t>
        </is>
      </c>
      <c r="Q3004" s="16">
        <f>HYPERLINK("https://pb.nalog.ru/search.html?query=3818018444","ФНС: проверить")</f>
        <v/>
      </c>
      <c r="R3004" s="16">
        <f>HYPERLINK("https://checko.ru/search?query=3801001629","Чекко: проверить")</f>
        <v/>
      </c>
      <c r="S3004" t="n">
        <v>1</v>
      </c>
      <c r="T3004" s="35" t="inlineStr">
        <is>
          <t>4 — Не обогащён</t>
        </is>
      </c>
      <c r="U3004" s="35" t="inlineStr">
        <is>
          <t>Нет ОКВЭД/ССЧР</t>
        </is>
      </c>
      <c r="V3004" s="35" t="inlineStr">
        <is>
          <t>Не определено</t>
        </is>
      </c>
      <c r="W3004" s="35" t="inlineStr"/>
      <c r="X3004" s="35" t="inlineStr"/>
    </row>
    <row r="3005" ht="27.75" customHeight="1" s="24">
      <c r="A3005" s="13" t="n">
        <v>5000093534</v>
      </c>
      <c r="B3005" s="13" t="inlineStr">
        <is>
          <t>Управление образованием  Усть-Кутского муниципального образования</t>
        </is>
      </c>
      <c r="C3005" s="13" t="n">
        <v>3818001754</v>
      </c>
      <c r="D3005" s="13" t="inlineStr">
        <is>
          <t>3818001754</t>
        </is>
      </c>
      <c r="E3005" s="13" t="inlineStr">
        <is>
          <t>ЮЛ РФ</t>
        </is>
      </c>
      <c r="F3005" s="13" t="n"/>
      <c r="G3005" s="14" t="n"/>
      <c r="H3005" s="14" t="n"/>
      <c r="I3005" s="14" t="n"/>
      <c r="J3005" s="14" t="n"/>
      <c r="K3005" s="53" t="inlineStr"/>
      <c r="L3005" s="53" t="inlineStr">
        <is>
          <t>Не определено</t>
        </is>
      </c>
      <c r="M3005" s="53" t="inlineStr"/>
      <c r="N3005" s="54" t="inlineStr"/>
      <c r="O3005" s="55" t="inlineStr"/>
      <c r="P3005" s="16" t="inlineStr">
        <is>
          <t>Требует обогащения</t>
        </is>
      </c>
      <c r="Q3005" s="16">
        <f>HYPERLINK("https://pb.nalog.ru/search.html?query=3818001754","ФНС: проверить")</f>
        <v/>
      </c>
      <c r="R3005" s="16">
        <f>HYPERLINK("https://checko.ru/search?query=3801001629","Чекко: проверить")</f>
        <v/>
      </c>
      <c r="S3005" t="n">
        <v>1</v>
      </c>
      <c r="T3005" s="35" t="inlineStr">
        <is>
          <t>4 — Не обогащён</t>
        </is>
      </c>
      <c r="U3005" s="35" t="inlineStr">
        <is>
          <t>Нет ОКВЭД/ССЧР</t>
        </is>
      </c>
      <c r="V3005" s="35" t="inlineStr">
        <is>
          <t>Не определено</t>
        </is>
      </c>
      <c r="W3005" s="35" t="inlineStr"/>
      <c r="X3005" s="35" t="inlineStr"/>
    </row>
    <row r="3006" ht="54.75" customHeight="1" s="24">
      <c r="A3006" s="13" t="n">
        <v>5000093535</v>
      </c>
      <c r="B3006" s="13" t="inlineStr">
        <is>
          <t>Муниципальное бюджетное учреждение дополнительного образования Центр дополнительного образования Усть-Кутского муниципального образования</t>
        </is>
      </c>
      <c r="C3006" s="13" t="n">
        <v>3818015612</v>
      </c>
      <c r="D3006" s="13" t="inlineStr">
        <is>
          <t>3818015612</t>
        </is>
      </c>
      <c r="E3006" s="13" t="inlineStr">
        <is>
          <t>ЮЛ РФ</t>
        </is>
      </c>
      <c r="F3006" s="13" t="n"/>
      <c r="G3006" s="14" t="n"/>
      <c r="H3006" s="14" t="n"/>
      <c r="I3006" s="14" t="n"/>
      <c r="J3006" s="14" t="n"/>
      <c r="K3006" s="53" t="inlineStr"/>
      <c r="L3006" s="53" t="inlineStr">
        <is>
          <t>Не определено</t>
        </is>
      </c>
      <c r="M3006" s="53" t="inlineStr"/>
      <c r="N3006" s="54" t="inlineStr"/>
      <c r="O3006" s="55" t="inlineStr"/>
      <c r="P3006" s="16" t="inlineStr">
        <is>
          <t>Требует обогащения</t>
        </is>
      </c>
      <c r="Q3006" s="16">
        <f>HYPERLINK("https://pb.nalog.ru/search.html?query=3818015612","ФНС: проверить")</f>
        <v/>
      </c>
      <c r="R3006" s="16">
        <f>HYPERLINK("https://checko.ru/search?query=3801001629","Чекко: проверить")</f>
        <v/>
      </c>
      <c r="S3006" t="n">
        <v>1</v>
      </c>
      <c r="T3006" s="35" t="inlineStr">
        <is>
          <t>4 — Не обогащён</t>
        </is>
      </c>
      <c r="U3006" s="35" t="inlineStr">
        <is>
          <t>Нет ОКВЭД/ССЧР</t>
        </is>
      </c>
      <c r="V3006" s="35" t="inlineStr">
        <is>
          <t>Не определено</t>
        </is>
      </c>
      <c r="W3006" s="35" t="inlineStr"/>
      <c r="X3006" s="35" t="inlineStr"/>
    </row>
    <row r="3007" ht="41.25" customHeight="1" s="24">
      <c r="A3007" s="13" t="n">
        <v>5000093536</v>
      </c>
      <c r="B3007" s="13" t="inlineStr">
        <is>
          <t>Муниципальное общеобразовательное учреждение средняя общеобразовательная школа № 1 Усть-Кутского муниципального образования</t>
        </is>
      </c>
      <c r="C3007" s="13" t="n">
        <v>3818015820</v>
      </c>
      <c r="D3007" s="13" t="inlineStr">
        <is>
          <t>3818015820</t>
        </is>
      </c>
      <c r="E3007" s="13" t="inlineStr">
        <is>
          <t>ЮЛ РФ</t>
        </is>
      </c>
      <c r="F3007" s="13" t="n"/>
      <c r="G3007" s="14" t="n"/>
      <c r="H3007" s="14" t="n"/>
      <c r="I3007" s="14" t="n"/>
      <c r="J3007" s="14" t="n"/>
      <c r="K3007" s="53" t="inlineStr"/>
      <c r="L3007" s="53" t="inlineStr">
        <is>
          <t>Не определено</t>
        </is>
      </c>
      <c r="M3007" s="53" t="inlineStr"/>
      <c r="N3007" s="54" t="inlineStr"/>
      <c r="O3007" s="55" t="inlineStr"/>
      <c r="P3007" s="16" t="inlineStr">
        <is>
          <t>Требует обогащения</t>
        </is>
      </c>
      <c r="Q3007" s="16">
        <f>HYPERLINK("https://pb.nalog.ru/search.html?query=3818015820","ФНС: проверить")</f>
        <v/>
      </c>
      <c r="R3007" s="16">
        <f>HYPERLINK("https://checko.ru/search?query=3801001629","Чекко: проверить")</f>
        <v/>
      </c>
      <c r="S3007" t="n">
        <v>1</v>
      </c>
      <c r="T3007" s="35" t="inlineStr">
        <is>
          <t>4 — Не обогащён</t>
        </is>
      </c>
      <c r="U3007" s="35" t="inlineStr">
        <is>
          <t>Нет ОКВЭД/ССЧР</t>
        </is>
      </c>
      <c r="V3007" s="35" t="inlineStr">
        <is>
          <t>Не определено</t>
        </is>
      </c>
      <c r="W3007" s="35" t="inlineStr"/>
      <c r="X3007" s="35" t="inlineStr"/>
    </row>
    <row r="3008" ht="41.25" customHeight="1" s="24">
      <c r="A3008" s="13" t="n">
        <v>5000093537</v>
      </c>
      <c r="B3008" s="13" t="inlineStr">
        <is>
          <t>Муниципальное общеобразовательное учреждение средняя общеобразовательная школа № 2  Усть-Кутского муниципального образования</t>
        </is>
      </c>
      <c r="C3008" s="13" t="n">
        <v>3818015764</v>
      </c>
      <c r="D3008" s="13" t="inlineStr">
        <is>
          <t>3818015764</t>
        </is>
      </c>
      <c r="E3008" s="13" t="inlineStr">
        <is>
          <t>ЮЛ РФ</t>
        </is>
      </c>
      <c r="F3008" s="13" t="n"/>
      <c r="G3008" s="14" t="n"/>
      <c r="H3008" s="14" t="n"/>
      <c r="I3008" s="14" t="n"/>
      <c r="J3008" s="14" t="n"/>
      <c r="K3008" s="53" t="inlineStr"/>
      <c r="L3008" s="53" t="inlineStr">
        <is>
          <t>Не определено</t>
        </is>
      </c>
      <c r="M3008" s="53" t="inlineStr"/>
      <c r="N3008" s="54" t="inlineStr"/>
      <c r="O3008" s="55" t="inlineStr"/>
      <c r="P3008" s="16" t="inlineStr">
        <is>
          <t>Требует обогащения</t>
        </is>
      </c>
      <c r="Q3008" s="16">
        <f>HYPERLINK("https://pb.nalog.ru/search.html?query=3818015764","ФНС: проверить")</f>
        <v/>
      </c>
      <c r="R3008" s="16">
        <f>HYPERLINK("https://checko.ru/search?query=3801001629","Чекко: проверить")</f>
        <v/>
      </c>
      <c r="S3008" t="n">
        <v>1</v>
      </c>
      <c r="T3008" s="35" t="inlineStr">
        <is>
          <t>4 — Не обогащён</t>
        </is>
      </c>
      <c r="U3008" s="35" t="inlineStr">
        <is>
          <t>Нет ОКВЭД/ССЧР</t>
        </is>
      </c>
      <c r="V3008" s="35" t="inlineStr">
        <is>
          <t>Не определено</t>
        </is>
      </c>
      <c r="W3008" s="35" t="inlineStr"/>
      <c r="X3008" s="35" t="inlineStr"/>
    </row>
    <row r="3009" ht="41.25" customHeight="1" s="24">
      <c r="A3009" s="13" t="n">
        <v>5000093538</v>
      </c>
      <c r="B3009" s="13" t="inlineStr">
        <is>
          <t>МОУ средняя общеобразовательная школа № 3 Усть-Кутского муниципального образования Иркутской области</t>
        </is>
      </c>
      <c r="C3009" s="13" t="n">
        <v>3818014640</v>
      </c>
      <c r="D3009" s="13" t="inlineStr">
        <is>
          <t>3818014640</t>
        </is>
      </c>
      <c r="E3009" s="13" t="inlineStr">
        <is>
          <t>ЮЛ РФ</t>
        </is>
      </c>
      <c r="F3009" s="13" t="n"/>
      <c r="G3009" s="14" t="n"/>
      <c r="H3009" s="14" t="n"/>
      <c r="I3009" s="14" t="n"/>
      <c r="J3009" s="14" t="n"/>
      <c r="K3009" s="53" t="inlineStr"/>
      <c r="L3009" s="53" t="inlineStr">
        <is>
          <t>Не определено</t>
        </is>
      </c>
      <c r="M3009" s="53" t="inlineStr"/>
      <c r="N3009" s="54" t="inlineStr"/>
      <c r="O3009" s="55" t="inlineStr"/>
      <c r="P3009" s="16" t="inlineStr">
        <is>
          <t>Требует обогащения</t>
        </is>
      </c>
      <c r="Q3009" s="16">
        <f>HYPERLINK("https://pb.nalog.ru/search.html?query=3818014640","ФНС: проверить")</f>
        <v/>
      </c>
      <c r="R3009" s="16">
        <f>HYPERLINK("https://checko.ru/search?query=3801001629","Чекко: проверить")</f>
        <v/>
      </c>
      <c r="S3009" t="n">
        <v>1</v>
      </c>
      <c r="T3009" s="35" t="inlineStr">
        <is>
          <t>4 — Не обогащён</t>
        </is>
      </c>
      <c r="U3009" s="35" t="inlineStr">
        <is>
          <t>Нет ОКВЭД/ССЧР</t>
        </is>
      </c>
      <c r="V3009" s="35" t="inlineStr">
        <is>
          <t>Не определено</t>
        </is>
      </c>
      <c r="W3009" s="35" t="inlineStr"/>
      <c r="X3009" s="35" t="inlineStr"/>
    </row>
    <row r="3010" ht="54.75" customHeight="1" s="24">
      <c r="A3010" s="13" t="n">
        <v>5000093539</v>
      </c>
      <c r="B3010" s="13" t="inlineStr">
        <is>
          <t>Муниципальное  общеобразовательное учреждение средняя общеобразовательная школа № 4 Усть-Кутского муниципального образования Иркутской области</t>
        </is>
      </c>
      <c r="C3010" s="13" t="n">
        <v>3818014626</v>
      </c>
      <c r="D3010" s="13" t="inlineStr">
        <is>
          <t>3818014626</t>
        </is>
      </c>
      <c r="E3010" s="13" t="inlineStr">
        <is>
          <t>ЮЛ РФ</t>
        </is>
      </c>
      <c r="F3010" s="13" t="n"/>
      <c r="G3010" s="14" t="n"/>
      <c r="H3010" s="14" t="n"/>
      <c r="I3010" s="14" t="n"/>
      <c r="J3010" s="14" t="n"/>
      <c r="K3010" s="53" t="inlineStr"/>
      <c r="L3010" s="53" t="inlineStr">
        <is>
          <t>Не определено</t>
        </is>
      </c>
      <c r="M3010" s="53" t="inlineStr"/>
      <c r="N3010" s="54" t="inlineStr"/>
      <c r="O3010" s="55" t="inlineStr"/>
      <c r="P3010" s="16" t="inlineStr">
        <is>
          <t>Требует обогащения</t>
        </is>
      </c>
      <c r="Q3010" s="16">
        <f>HYPERLINK("https://pb.nalog.ru/search.html?query=3818014626","ФНС: проверить")</f>
        <v/>
      </c>
      <c r="R3010" s="16">
        <f>HYPERLINK("https://checko.ru/search?query=3801001629","Чекко: проверить")</f>
        <v/>
      </c>
      <c r="S3010" t="n">
        <v>1</v>
      </c>
      <c r="T3010" s="35" t="inlineStr">
        <is>
          <t>4 — Не обогащён</t>
        </is>
      </c>
      <c r="U3010" s="35" t="inlineStr">
        <is>
          <t>Нет ОКВЭД/ССЧР</t>
        </is>
      </c>
      <c r="V3010" s="35" t="inlineStr">
        <is>
          <t>Не определено</t>
        </is>
      </c>
      <c r="W3010" s="35" t="inlineStr"/>
      <c r="X3010" s="35" t="inlineStr"/>
    </row>
    <row r="3011" ht="54.75" customHeight="1" s="24">
      <c r="A3011" s="13" t="n">
        <v>5000093540</v>
      </c>
      <c r="B3011" s="13" t="inlineStr">
        <is>
          <t>Муниципальное общеобразовательное учреждение средняя общеобразовательная школа № 5 Усть-Кутского муниципального образования Иркутской области</t>
        </is>
      </c>
      <c r="C3011" s="13" t="n">
        <v>3818014658</v>
      </c>
      <c r="D3011" s="13" t="inlineStr">
        <is>
          <t>3818014658</t>
        </is>
      </c>
      <c r="E3011" s="13" t="inlineStr">
        <is>
          <t>ЮЛ РФ</t>
        </is>
      </c>
      <c r="F3011" s="13" t="n"/>
      <c r="G3011" s="14" t="n"/>
      <c r="H3011" s="14" t="n"/>
      <c r="I3011" s="14" t="n"/>
      <c r="J3011" s="14" t="n"/>
      <c r="K3011" s="53" t="inlineStr"/>
      <c r="L3011" s="53" t="inlineStr">
        <is>
          <t>Не определено</t>
        </is>
      </c>
      <c r="M3011" s="53" t="inlineStr"/>
      <c r="N3011" s="54" t="inlineStr"/>
      <c r="O3011" s="55" t="inlineStr"/>
      <c r="P3011" s="16" t="inlineStr">
        <is>
          <t>Требует обогащения</t>
        </is>
      </c>
      <c r="Q3011" s="16">
        <f>HYPERLINK("https://pb.nalog.ru/search.html?query=3818014658","ФНС: проверить")</f>
        <v/>
      </c>
      <c r="R3011" s="16">
        <f>HYPERLINK("https://checko.ru/search?query=3801001629","Чекко: проверить")</f>
        <v/>
      </c>
      <c r="S3011" t="n">
        <v>1</v>
      </c>
      <c r="T3011" s="35" t="inlineStr">
        <is>
          <t>4 — Не обогащён</t>
        </is>
      </c>
      <c r="U3011" s="35" t="inlineStr">
        <is>
          <t>Нет ОКВЭД/ССЧР</t>
        </is>
      </c>
      <c r="V3011" s="35" t="inlineStr">
        <is>
          <t>Не определено</t>
        </is>
      </c>
      <c r="W3011" s="35" t="inlineStr"/>
      <c r="X3011" s="35" t="inlineStr"/>
    </row>
    <row r="3012" ht="54.75" customHeight="1" s="24">
      <c r="A3012" s="13" t="n">
        <v>5000093541</v>
      </c>
      <c r="B3012" s="13" t="inlineStr">
        <is>
          <t>Муниципальное казённое общеобразовательное учреждение средняя общеобразовательная школа № 6 имени Героя России Шерстянникова Андрея Николаевича Усть-К</t>
        </is>
      </c>
      <c r="C3012" s="13" t="n">
        <v>3818015757</v>
      </c>
      <c r="D3012" s="13" t="inlineStr">
        <is>
          <t>3818015757</t>
        </is>
      </c>
      <c r="E3012" s="13" t="inlineStr">
        <is>
          <t>ЮЛ РФ</t>
        </is>
      </c>
      <c r="F3012" s="13" t="n"/>
      <c r="G3012" s="14" t="n"/>
      <c r="H3012" s="14" t="n"/>
      <c r="I3012" s="14" t="n"/>
      <c r="J3012" s="14" t="n"/>
      <c r="K3012" s="53" t="inlineStr"/>
      <c r="L3012" s="53" t="inlineStr">
        <is>
          <t>Не определено</t>
        </is>
      </c>
      <c r="M3012" s="53" t="inlineStr"/>
      <c r="N3012" s="54" t="inlineStr"/>
      <c r="O3012" s="55" t="inlineStr"/>
      <c r="P3012" s="16" t="inlineStr">
        <is>
          <t>Требует обогащения</t>
        </is>
      </c>
      <c r="Q3012" s="16">
        <f>HYPERLINK("https://pb.nalog.ru/search.html?query=3818015757","ФНС: проверить")</f>
        <v/>
      </c>
      <c r="R3012" s="16">
        <f>HYPERLINK("https://checko.ru/search?query=3801001629","Чекко: проверить")</f>
        <v/>
      </c>
      <c r="S3012" t="n">
        <v>1</v>
      </c>
      <c r="T3012" s="35" t="inlineStr">
        <is>
          <t>4 — Не обогащён</t>
        </is>
      </c>
      <c r="U3012" s="35" t="inlineStr">
        <is>
          <t>Нет ОКВЭД/ССЧР</t>
        </is>
      </c>
      <c r="V3012" s="35" t="inlineStr">
        <is>
          <t>Не определено</t>
        </is>
      </c>
      <c r="W3012" s="35" t="inlineStr"/>
      <c r="X3012" s="35" t="inlineStr"/>
    </row>
    <row r="3013" ht="41.25" customHeight="1" s="24">
      <c r="A3013" s="13" t="n">
        <v>5000093542</v>
      </c>
      <c r="B3013" s="13" t="inlineStr">
        <is>
          <t>Муниципальное общеобразовательное учреждение средняя общеобразовательная школа № 7  Усть-Кутского муниципального образования</t>
        </is>
      </c>
      <c r="C3013" s="13" t="n">
        <v>3818015644</v>
      </c>
      <c r="D3013" s="13" t="inlineStr">
        <is>
          <t>3818015644</t>
        </is>
      </c>
      <c r="E3013" s="13" t="inlineStr">
        <is>
          <t>ЮЛ РФ</t>
        </is>
      </c>
      <c r="F3013" s="13" t="n"/>
      <c r="G3013" s="14" t="n"/>
      <c r="H3013" s="14" t="n"/>
      <c r="I3013" s="14" t="n"/>
      <c r="J3013" s="14" t="n"/>
      <c r="K3013" s="53" t="inlineStr"/>
      <c r="L3013" s="53" t="inlineStr">
        <is>
          <t>Не определено</t>
        </is>
      </c>
      <c r="M3013" s="53" t="inlineStr"/>
      <c r="N3013" s="54" t="inlineStr"/>
      <c r="O3013" s="55" t="inlineStr"/>
      <c r="P3013" s="16" t="inlineStr">
        <is>
          <t>Требует обогащения</t>
        </is>
      </c>
      <c r="Q3013" s="16">
        <f>HYPERLINK("https://pb.nalog.ru/search.html?query=3818015644","ФНС: проверить")</f>
        <v/>
      </c>
      <c r="R3013" s="16">
        <f>HYPERLINK("https://checko.ru/search?query=3801001629","Чекко: проверить")</f>
        <v/>
      </c>
      <c r="S3013" t="n">
        <v>1</v>
      </c>
      <c r="T3013" s="35" t="inlineStr">
        <is>
          <t>4 — Не обогащён</t>
        </is>
      </c>
      <c r="U3013" s="35" t="inlineStr">
        <is>
          <t>Нет ОКВЭД/ССЧР</t>
        </is>
      </c>
      <c r="V3013" s="35" t="inlineStr">
        <is>
          <t>Не определено</t>
        </is>
      </c>
      <c r="W3013" s="35" t="inlineStr"/>
      <c r="X3013" s="35" t="inlineStr"/>
    </row>
    <row r="3014" ht="41.25" customHeight="1" s="24">
      <c r="A3014" s="13" t="n">
        <v>5000093543</v>
      </c>
      <c r="B3014" s="13" t="inlineStr">
        <is>
          <t>Муниципальное общеобразовательное учреждение средняя общеобразовательная школа № 8 Усть-Кутского муниципального образования</t>
        </is>
      </c>
      <c r="C3014" s="13" t="n">
        <v>3818015651</v>
      </c>
      <c r="D3014" s="13" t="inlineStr">
        <is>
          <t>3818015651</t>
        </is>
      </c>
      <c r="E3014" s="13" t="inlineStr">
        <is>
          <t>ЮЛ РФ</t>
        </is>
      </c>
      <c r="F3014" s="13" t="n"/>
      <c r="G3014" s="14" t="n"/>
      <c r="H3014" s="14" t="n"/>
      <c r="I3014" s="14" t="n"/>
      <c r="J3014" s="14" t="n"/>
      <c r="K3014" s="53" t="inlineStr"/>
      <c r="L3014" s="53" t="inlineStr">
        <is>
          <t>Не определено</t>
        </is>
      </c>
      <c r="M3014" s="53" t="inlineStr"/>
      <c r="N3014" s="54" t="inlineStr"/>
      <c r="O3014" s="55" t="inlineStr"/>
      <c r="P3014" s="16" t="inlineStr">
        <is>
          <t>Требует обогащения</t>
        </is>
      </c>
      <c r="Q3014" s="16">
        <f>HYPERLINK("https://pb.nalog.ru/search.html?query=3818015651","ФНС: проверить")</f>
        <v/>
      </c>
      <c r="R3014" s="16">
        <f>HYPERLINK("https://checko.ru/search?query=3801001629","Чекко: проверить")</f>
        <v/>
      </c>
      <c r="S3014" t="n">
        <v>1</v>
      </c>
      <c r="T3014" s="35" t="inlineStr">
        <is>
          <t>4 — Не обогащён</t>
        </is>
      </c>
      <c r="U3014" s="35" t="inlineStr">
        <is>
          <t>Нет ОКВЭД/ССЧР</t>
        </is>
      </c>
      <c r="V3014" s="35" t="inlineStr">
        <is>
          <t>Не определено</t>
        </is>
      </c>
      <c r="W3014" s="35" t="inlineStr"/>
      <c r="X3014" s="35" t="inlineStr"/>
    </row>
    <row r="3015" ht="54.75" customHeight="1" s="24">
      <c r="A3015" s="13" t="n">
        <v>5000093544</v>
      </c>
      <c r="B3015" s="13" t="inlineStr">
        <is>
          <t>Муниципальное общеобразовательное учреждение средняя общеобразовательная школа № 9  Усть-Кутского муниципального образования Иркутской области</t>
        </is>
      </c>
      <c r="C3015" s="13" t="n">
        <v>3818015718</v>
      </c>
      <c r="D3015" s="13" t="inlineStr">
        <is>
          <t>3818015718</t>
        </is>
      </c>
      <c r="E3015" s="13" t="inlineStr">
        <is>
          <t>ЮЛ РФ</t>
        </is>
      </c>
      <c r="F3015" s="13" t="n"/>
      <c r="G3015" s="14" t="n"/>
      <c r="H3015" s="14" t="n"/>
      <c r="I3015" s="14" t="n"/>
      <c r="J3015" s="14" t="n"/>
      <c r="K3015" s="53" t="inlineStr"/>
      <c r="L3015" s="53" t="inlineStr">
        <is>
          <t>Не определено</t>
        </is>
      </c>
      <c r="M3015" s="53" t="inlineStr"/>
      <c r="N3015" s="54" t="inlineStr"/>
      <c r="O3015" s="55" t="inlineStr"/>
      <c r="P3015" s="16" t="inlineStr">
        <is>
          <t>Требует обогащения</t>
        </is>
      </c>
      <c r="Q3015" s="16">
        <f>HYPERLINK("https://pb.nalog.ru/search.html?query=3818015718","ФНС: проверить")</f>
        <v/>
      </c>
      <c r="R3015" s="16">
        <f>HYPERLINK("https://checko.ru/search?query=3801001629","Чекко: проверить")</f>
        <v/>
      </c>
      <c r="S3015" t="n">
        <v>1</v>
      </c>
      <c r="T3015" s="35" t="inlineStr">
        <is>
          <t>4 — Не обогащён</t>
        </is>
      </c>
      <c r="U3015" s="35" t="inlineStr">
        <is>
          <t>Нет ОКВЭД/ССЧР</t>
        </is>
      </c>
      <c r="V3015" s="35" t="inlineStr">
        <is>
          <t>Не определено</t>
        </is>
      </c>
      <c r="W3015" s="35" t="inlineStr"/>
      <c r="X3015" s="35" t="inlineStr"/>
    </row>
    <row r="3016" ht="54.75" customHeight="1" s="24">
      <c r="A3016" s="13" t="n">
        <v>5000093545</v>
      </c>
      <c r="B3016" s="13" t="inlineStr">
        <is>
          <t>Муниципальное  общеобразовательное учреждение средняя общеобразовательная школа № 10 Усть-Кутского муниципального образования Иркутской области</t>
        </is>
      </c>
      <c r="C3016" s="13" t="n">
        <v>3818014457</v>
      </c>
      <c r="D3016" s="13" t="inlineStr">
        <is>
          <t>3818014457</t>
        </is>
      </c>
      <c r="E3016" s="13" t="inlineStr">
        <is>
          <t>ЮЛ РФ</t>
        </is>
      </c>
      <c r="F3016" s="13" t="n"/>
      <c r="G3016" s="14" t="n"/>
      <c r="H3016" s="14" t="n"/>
      <c r="I3016" s="14" t="n"/>
      <c r="J3016" s="14" t="n"/>
      <c r="K3016" s="53" t="inlineStr"/>
      <c r="L3016" s="53" t="inlineStr">
        <is>
          <t>Не определено</t>
        </is>
      </c>
      <c r="M3016" s="53" t="inlineStr"/>
      <c r="N3016" s="54" t="inlineStr"/>
      <c r="O3016" s="55" t="inlineStr"/>
      <c r="P3016" s="16" t="inlineStr">
        <is>
          <t>Требует обогащения</t>
        </is>
      </c>
      <c r="Q3016" s="16">
        <f>HYPERLINK("https://pb.nalog.ru/search.html?query=3818014457","ФНС: проверить")</f>
        <v/>
      </c>
      <c r="R3016" s="16">
        <f>HYPERLINK("https://checko.ru/search?query=3801001629","Чекко: проверить")</f>
        <v/>
      </c>
      <c r="S3016" t="n">
        <v>1</v>
      </c>
      <c r="T3016" s="35" t="inlineStr">
        <is>
          <t>4 — Не обогащён</t>
        </is>
      </c>
      <c r="U3016" s="35" t="inlineStr">
        <is>
          <t>Нет ОКВЭД/ССЧР</t>
        </is>
      </c>
      <c r="V3016" s="35" t="inlineStr">
        <is>
          <t>Не определено</t>
        </is>
      </c>
      <c r="W3016" s="35" t="inlineStr"/>
      <c r="X3016" s="35" t="inlineStr"/>
    </row>
    <row r="3017" ht="41.25" customHeight="1" s="24">
      <c r="A3017" s="13" t="n">
        <v>5000093517</v>
      </c>
      <c r="B3017" s="13" t="inlineStr">
        <is>
          <t>Муниципальное дошкольное образовательное учреждение детский сад № 27 Усть-Кутского муниципального образования</t>
        </is>
      </c>
      <c r="C3017" s="13" t="n">
        <v>3818014680</v>
      </c>
      <c r="D3017" s="13" t="inlineStr">
        <is>
          <t>3818014680</t>
        </is>
      </c>
      <c r="E3017" s="13" t="inlineStr">
        <is>
          <t>ЮЛ РФ</t>
        </is>
      </c>
      <c r="F3017" s="13" t="n"/>
      <c r="G3017" s="14" t="n"/>
      <c r="H3017" s="14" t="n"/>
      <c r="I3017" s="14" t="n"/>
      <c r="J3017" s="14" t="n"/>
      <c r="K3017" s="53" t="inlineStr"/>
      <c r="L3017" s="53" t="inlineStr">
        <is>
          <t>Не определено</t>
        </is>
      </c>
      <c r="M3017" s="53" t="inlineStr"/>
      <c r="N3017" s="54" t="inlineStr"/>
      <c r="O3017" s="55" t="inlineStr"/>
      <c r="P3017" s="16" t="inlineStr">
        <is>
          <t>Требует обогащения</t>
        </is>
      </c>
      <c r="Q3017" s="16">
        <f>HYPERLINK("https://pb.nalog.ru/search.html?query=3818014680","ФНС: проверить")</f>
        <v/>
      </c>
      <c r="R3017" s="16">
        <f>HYPERLINK("https://checko.ru/search?query=3801001629","Чекко: проверить")</f>
        <v/>
      </c>
      <c r="S3017" t="n">
        <v>1</v>
      </c>
      <c r="T3017" s="35" t="inlineStr">
        <is>
          <t>4 — Не обогащён</t>
        </is>
      </c>
      <c r="U3017" s="35" t="inlineStr">
        <is>
          <t>Нет ОКВЭД/ССЧР</t>
        </is>
      </c>
      <c r="V3017" s="35" t="inlineStr">
        <is>
          <t>Не определено</t>
        </is>
      </c>
      <c r="W3017" s="35" t="inlineStr"/>
      <c r="X3017" s="35" t="inlineStr"/>
    </row>
    <row r="3018" ht="27.75" customHeight="1" s="24">
      <c r="A3018" s="13" t="n">
        <v>5000093518</v>
      </c>
      <c r="B3018" s="13" t="inlineStr">
        <is>
          <t>МДОУ детский сад № 30 Усть-Кутского муниципального образования</t>
        </is>
      </c>
      <c r="C3018" s="13" t="n">
        <v>3818015475</v>
      </c>
      <c r="D3018" s="13" t="inlineStr">
        <is>
          <t>3818015475</t>
        </is>
      </c>
      <c r="E3018" s="13" t="inlineStr">
        <is>
          <t>ЮЛ РФ</t>
        </is>
      </c>
      <c r="F3018" s="13" t="n"/>
      <c r="G3018" s="14" t="n"/>
      <c r="H3018" s="14" t="n"/>
      <c r="I3018" s="14" t="n"/>
      <c r="J3018" s="14" t="n"/>
      <c r="K3018" s="53" t="inlineStr"/>
      <c r="L3018" s="53" t="inlineStr">
        <is>
          <t>Не определено</t>
        </is>
      </c>
      <c r="M3018" s="53" t="inlineStr"/>
      <c r="N3018" s="54" t="inlineStr"/>
      <c r="O3018" s="55" t="inlineStr"/>
      <c r="P3018" s="16" t="inlineStr">
        <is>
          <t>Требует обогащения</t>
        </is>
      </c>
      <c r="Q3018" s="16">
        <f>HYPERLINK("https://pb.nalog.ru/search.html?query=3818015475","ФНС: проверить")</f>
        <v/>
      </c>
      <c r="R3018" s="16">
        <f>HYPERLINK("https://checko.ru/search?query=3801001629","Чекко: проверить")</f>
        <v/>
      </c>
      <c r="S3018" t="n">
        <v>1</v>
      </c>
      <c r="T3018" s="35" t="inlineStr">
        <is>
          <t>4 — Не обогащён</t>
        </is>
      </c>
      <c r="U3018" s="35" t="inlineStr">
        <is>
          <t>Нет ОКВЭД/ССЧР</t>
        </is>
      </c>
      <c r="V3018" s="35" t="inlineStr">
        <is>
          <t>Не определено</t>
        </is>
      </c>
      <c r="W3018" s="35" t="inlineStr"/>
      <c r="X3018" s="35" t="inlineStr"/>
    </row>
    <row r="3019" ht="27.75" customHeight="1" s="24">
      <c r="A3019" s="13" t="n">
        <v>5000093520</v>
      </c>
      <c r="B3019" s="13" t="inlineStr">
        <is>
          <t>МДОУ детский сад общеразвивающего вида № 39 Усть-Кутского муниципального образования</t>
        </is>
      </c>
      <c r="C3019" s="13" t="n">
        <v>3818015394</v>
      </c>
      <c r="D3019" s="13" t="inlineStr">
        <is>
          <t>3818015394</t>
        </is>
      </c>
      <c r="E3019" s="13" t="inlineStr">
        <is>
          <t>ЮЛ РФ</t>
        </is>
      </c>
      <c r="F3019" s="13" t="n"/>
      <c r="G3019" s="14" t="n"/>
      <c r="H3019" s="14" t="n"/>
      <c r="I3019" s="14" t="n"/>
      <c r="J3019" s="14" t="n"/>
      <c r="K3019" s="53" t="inlineStr"/>
      <c r="L3019" s="53" t="inlineStr">
        <is>
          <t>Не определено</t>
        </is>
      </c>
      <c r="M3019" s="53" t="inlineStr"/>
      <c r="N3019" s="54" t="inlineStr"/>
      <c r="O3019" s="55" t="inlineStr"/>
      <c r="P3019" s="16" t="inlineStr">
        <is>
          <t>Требует обогащения</t>
        </is>
      </c>
      <c r="Q3019" s="16">
        <f>HYPERLINK("https://pb.nalog.ru/search.html?query=3818015394","ФНС: проверить")</f>
        <v/>
      </c>
      <c r="R3019" s="16">
        <f>HYPERLINK("https://checko.ru/search?query=3801001629","Чекко: проверить")</f>
        <v/>
      </c>
      <c r="S3019" t="n">
        <v>1</v>
      </c>
      <c r="T3019" s="35" t="inlineStr">
        <is>
          <t>4 — Не обогащён</t>
        </is>
      </c>
      <c r="U3019" s="35" t="inlineStr">
        <is>
          <t>Нет ОКВЭД/ССЧР</t>
        </is>
      </c>
      <c r="V3019" s="35" t="inlineStr">
        <is>
          <t>Не определено</t>
        </is>
      </c>
      <c r="W3019" s="35" t="inlineStr"/>
      <c r="X3019" s="35" t="inlineStr"/>
    </row>
    <row r="3020" ht="27.75" customHeight="1" s="24">
      <c r="A3020" s="13" t="n">
        <v>5000093522</v>
      </c>
      <c r="B3020" s="13" t="inlineStr">
        <is>
          <t>МДОУ детский сад  № 42 Усть-Кутского муниципального образования</t>
        </is>
      </c>
      <c r="C3020" s="13" t="n">
        <v>3818014707</v>
      </c>
      <c r="D3020" s="13" t="inlineStr">
        <is>
          <t>3818014707</t>
        </is>
      </c>
      <c r="E3020" s="13" t="inlineStr">
        <is>
          <t>ЮЛ РФ</t>
        </is>
      </c>
      <c r="F3020" s="13" t="n"/>
      <c r="G3020" s="14" t="n"/>
      <c r="H3020" s="14" t="n"/>
      <c r="I3020" s="14" t="n"/>
      <c r="J3020" s="14" t="n"/>
      <c r="K3020" s="53" t="inlineStr"/>
      <c r="L3020" s="53" t="inlineStr">
        <is>
          <t>Не определено</t>
        </is>
      </c>
      <c r="M3020" s="53" t="inlineStr"/>
      <c r="N3020" s="54" t="inlineStr"/>
      <c r="O3020" s="55" t="inlineStr"/>
      <c r="P3020" s="16" t="inlineStr">
        <is>
          <t>Требует обогащения</t>
        </is>
      </c>
      <c r="Q3020" s="16">
        <f>HYPERLINK("https://pb.nalog.ru/search.html?query=3818014707","ФНС: проверить")</f>
        <v/>
      </c>
      <c r="R3020" s="16">
        <f>HYPERLINK("https://checko.ru/search?query=3801001629","Чекко: проверить")</f>
        <v/>
      </c>
      <c r="S3020" t="n">
        <v>1</v>
      </c>
      <c r="T3020" s="35" t="inlineStr">
        <is>
          <t>4 — Не обогащён</t>
        </is>
      </c>
      <c r="U3020" s="35" t="inlineStr">
        <is>
          <t>Нет ОКВЭД/ССЧР</t>
        </is>
      </c>
      <c r="V3020" s="35" t="inlineStr">
        <is>
          <t>Не определено</t>
        </is>
      </c>
      <c r="W3020" s="35" t="inlineStr"/>
      <c r="X3020" s="35" t="inlineStr"/>
    </row>
    <row r="3021" ht="41.25" customHeight="1" s="24">
      <c r="A3021" s="13" t="n">
        <v>5000093524</v>
      </c>
      <c r="B3021" s="13" t="inlineStr">
        <is>
          <t>Муниципальное дошкольное образовательное учреждение Центр развития ребенка Детский сад № 46 Усть-Кутского муниципального образования</t>
        </is>
      </c>
      <c r="C3021" s="13" t="n">
        <v>3818015387</v>
      </c>
      <c r="D3021" s="13" t="inlineStr">
        <is>
          <t>3818015387</t>
        </is>
      </c>
      <c r="E3021" s="13" t="inlineStr">
        <is>
          <t>ЮЛ РФ</t>
        </is>
      </c>
      <c r="F3021" s="13" t="n"/>
      <c r="G3021" s="14" t="n"/>
      <c r="H3021" s="14" t="n"/>
      <c r="I3021" s="14" t="n"/>
      <c r="J3021" s="14" t="n"/>
      <c r="K3021" s="53" t="inlineStr"/>
      <c r="L3021" s="53" t="inlineStr">
        <is>
          <t>Не определено</t>
        </is>
      </c>
      <c r="M3021" s="53" t="inlineStr"/>
      <c r="N3021" s="54" t="inlineStr"/>
      <c r="O3021" s="55" t="inlineStr"/>
      <c r="P3021" s="16" t="inlineStr">
        <is>
          <t>Требует обогащения</t>
        </is>
      </c>
      <c r="Q3021" s="16">
        <f>HYPERLINK("https://pb.nalog.ru/search.html?query=3818015387","ФНС: проверить")</f>
        <v/>
      </c>
      <c r="R3021" s="16">
        <f>HYPERLINK("https://checko.ru/search?query=3801001629","Чекко: проверить")</f>
        <v/>
      </c>
      <c r="S3021" t="n">
        <v>1</v>
      </c>
      <c r="T3021" s="35" t="inlineStr">
        <is>
          <t>4 — Не обогащён</t>
        </is>
      </c>
      <c r="U3021" s="35" t="inlineStr">
        <is>
          <t>Нет ОКВЭД/ССЧР</t>
        </is>
      </c>
      <c r="V3021" s="35" t="inlineStr">
        <is>
          <t>Не определено</t>
        </is>
      </c>
      <c r="W3021" s="35" t="inlineStr"/>
      <c r="X3021" s="35" t="inlineStr"/>
    </row>
    <row r="3022" ht="27.75" customHeight="1" s="24">
      <c r="A3022" s="13" t="n">
        <v>5000093508</v>
      </c>
      <c r="B3022" s="13" t="inlineStr">
        <is>
          <t>МДОУ детский сад № 1 Усть-Кутского муниципального образования Иркутской области</t>
        </is>
      </c>
      <c r="C3022" s="13" t="n">
        <v>3818015429</v>
      </c>
      <c r="D3022" s="13" t="inlineStr">
        <is>
          <t>3818015429</t>
        </is>
      </c>
      <c r="E3022" s="13" t="inlineStr">
        <is>
          <t>ЮЛ РФ</t>
        </is>
      </c>
      <c r="F3022" s="13" t="n"/>
      <c r="G3022" s="14" t="n"/>
      <c r="H3022" s="14" t="n"/>
      <c r="I3022" s="14" t="n"/>
      <c r="J3022" s="14" t="n"/>
      <c r="K3022" s="53" t="inlineStr"/>
      <c r="L3022" s="53" t="inlineStr">
        <is>
          <t>Не определено</t>
        </is>
      </c>
      <c r="M3022" s="53" t="inlineStr"/>
      <c r="N3022" s="54" t="inlineStr"/>
      <c r="O3022" s="55" t="inlineStr"/>
      <c r="P3022" s="16" t="inlineStr">
        <is>
          <t>Требует обогащения</t>
        </is>
      </c>
      <c r="Q3022" s="16">
        <f>HYPERLINK("https://pb.nalog.ru/search.html?query=3818015429","ФНС: проверить")</f>
        <v/>
      </c>
      <c r="R3022" s="16">
        <f>HYPERLINK("https://checko.ru/search?query=3801001629","Чекко: проверить")</f>
        <v/>
      </c>
      <c r="S3022" t="n">
        <v>1</v>
      </c>
      <c r="T3022" s="35" t="inlineStr">
        <is>
          <t>4 — Не обогащён</t>
        </is>
      </c>
      <c r="U3022" s="35" t="inlineStr">
        <is>
          <t>Нет ОКВЭД/ССЧР</t>
        </is>
      </c>
      <c r="V3022" s="35" t="inlineStr">
        <is>
          <t>Не определено</t>
        </is>
      </c>
      <c r="W3022" s="35" t="inlineStr"/>
      <c r="X3022" s="35" t="inlineStr"/>
    </row>
    <row r="3023" ht="27.75" customHeight="1" s="24">
      <c r="A3023" s="13" t="n">
        <v>5000093509</v>
      </c>
      <c r="B3023" s="13" t="inlineStr">
        <is>
          <t>МДОУ детский сад № 3 Усть-Кутского муниципального образования Иркутской области</t>
        </is>
      </c>
      <c r="C3023" s="13" t="n">
        <v>3818015436</v>
      </c>
      <c r="D3023" s="13" t="inlineStr">
        <is>
          <t>3818015436</t>
        </is>
      </c>
      <c r="E3023" s="13" t="inlineStr">
        <is>
          <t>ЮЛ РФ</t>
        </is>
      </c>
      <c r="F3023" s="13" t="n"/>
      <c r="G3023" s="14" t="n"/>
      <c r="H3023" s="14" t="n"/>
      <c r="I3023" s="14" t="n"/>
      <c r="J3023" s="14" t="n"/>
      <c r="K3023" s="53" t="inlineStr"/>
      <c r="L3023" s="53" t="inlineStr">
        <is>
          <t>Не определено</t>
        </is>
      </c>
      <c r="M3023" s="53" t="inlineStr"/>
      <c r="N3023" s="54" t="inlineStr"/>
      <c r="O3023" s="55" t="inlineStr"/>
      <c r="P3023" s="16" t="inlineStr">
        <is>
          <t>Требует обогащения</t>
        </is>
      </c>
      <c r="Q3023" s="16">
        <f>HYPERLINK("https://pb.nalog.ru/search.html?query=3818015436","ФНС: проверить")</f>
        <v/>
      </c>
      <c r="R3023" s="16">
        <f>HYPERLINK("https://checko.ru/search?query=3801001629","Чекко: проверить")</f>
        <v/>
      </c>
      <c r="S3023" t="n">
        <v>1</v>
      </c>
      <c r="T3023" s="35" t="inlineStr">
        <is>
          <t>4 — Не обогащён</t>
        </is>
      </c>
      <c r="U3023" s="35" t="inlineStr">
        <is>
          <t>Нет ОКВЭД/ССЧР</t>
        </is>
      </c>
      <c r="V3023" s="35" t="inlineStr">
        <is>
          <t>Не определено</t>
        </is>
      </c>
      <c r="W3023" s="35" t="inlineStr"/>
      <c r="X3023" s="35" t="inlineStr"/>
    </row>
    <row r="3024" ht="27.75" customHeight="1" s="24">
      <c r="A3024" s="13" t="n">
        <v>5000093510</v>
      </c>
      <c r="B3024" s="13" t="inlineStr">
        <is>
          <t>МДОУ детский сад общеразвивающего вида № 8 Усть-Кутского муниципального образования</t>
        </is>
      </c>
      <c r="C3024" s="13" t="n">
        <v>3818015443</v>
      </c>
      <c r="D3024" s="13" t="inlineStr">
        <is>
          <t>3818015443</t>
        </is>
      </c>
      <c r="E3024" s="13" t="inlineStr">
        <is>
          <t>ЮЛ РФ</t>
        </is>
      </c>
      <c r="F3024" s="13" t="n"/>
      <c r="G3024" s="14" t="n"/>
      <c r="H3024" s="14" t="n"/>
      <c r="I3024" s="14" t="n"/>
      <c r="J3024" s="14" t="n"/>
      <c r="K3024" s="53" t="inlineStr"/>
      <c r="L3024" s="53" t="inlineStr">
        <is>
          <t>Не определено</t>
        </is>
      </c>
      <c r="M3024" s="53" t="inlineStr"/>
      <c r="N3024" s="54" t="inlineStr"/>
      <c r="O3024" s="55" t="inlineStr"/>
      <c r="P3024" s="16" t="inlineStr">
        <is>
          <t>Требует обогащения</t>
        </is>
      </c>
      <c r="Q3024" s="16">
        <f>HYPERLINK("https://pb.nalog.ru/search.html?query=3818015443","ФНС: проверить")</f>
        <v/>
      </c>
      <c r="R3024" s="16">
        <f>HYPERLINK("https://checko.ru/search?query=3801001629","Чекко: проверить")</f>
        <v/>
      </c>
      <c r="S3024" t="n">
        <v>1</v>
      </c>
      <c r="T3024" s="35" t="inlineStr">
        <is>
          <t>4 — Не обогащён</t>
        </is>
      </c>
      <c r="U3024" s="35" t="inlineStr">
        <is>
          <t>Нет ОКВЭД/ССЧР</t>
        </is>
      </c>
      <c r="V3024" s="35" t="inlineStr">
        <is>
          <t>Не определено</t>
        </is>
      </c>
      <c r="W3024" s="35" t="inlineStr"/>
      <c r="X3024" s="35" t="inlineStr"/>
    </row>
    <row r="3025" ht="27.75" customHeight="1" s="24">
      <c r="A3025" s="13" t="n">
        <v>5000093511</v>
      </c>
      <c r="B3025" s="13" t="inlineStr">
        <is>
          <t>МДОУ детский сад № 13 Усть-Кутского муниципального образования Иркутской области</t>
        </is>
      </c>
      <c r="C3025" s="13" t="n">
        <v>3818015468</v>
      </c>
      <c r="D3025" s="13" t="inlineStr">
        <is>
          <t>3818015468</t>
        </is>
      </c>
      <c r="E3025" s="13" t="inlineStr">
        <is>
          <t>ЮЛ РФ</t>
        </is>
      </c>
      <c r="F3025" s="13" t="n"/>
      <c r="G3025" s="14" t="n"/>
      <c r="H3025" s="14" t="n"/>
      <c r="I3025" s="14" t="n"/>
      <c r="J3025" s="14" t="n"/>
      <c r="K3025" s="53" t="inlineStr"/>
      <c r="L3025" s="53" t="inlineStr">
        <is>
          <t>Не определено</t>
        </is>
      </c>
      <c r="M3025" s="53" t="inlineStr"/>
      <c r="N3025" s="54" t="inlineStr"/>
      <c r="O3025" s="55" t="inlineStr"/>
      <c r="P3025" s="16" t="inlineStr">
        <is>
          <t>Требует обогащения</t>
        </is>
      </c>
      <c r="Q3025" s="16">
        <f>HYPERLINK("https://pb.nalog.ru/search.html?query=3818015468","ФНС: проверить")</f>
        <v/>
      </c>
      <c r="R3025" s="16">
        <f>HYPERLINK("https://checko.ru/search?query=3801001629","Чекко: проверить")</f>
        <v/>
      </c>
      <c r="S3025" t="n">
        <v>1</v>
      </c>
      <c r="T3025" s="35" t="inlineStr">
        <is>
          <t>4 — Не обогащён</t>
        </is>
      </c>
      <c r="U3025" s="35" t="inlineStr">
        <is>
          <t>Нет ОКВЭД/ССЧР</t>
        </is>
      </c>
      <c r="V3025" s="35" t="inlineStr">
        <is>
          <t>Не определено</t>
        </is>
      </c>
      <c r="W3025" s="35" t="inlineStr"/>
      <c r="X3025" s="35" t="inlineStr"/>
    </row>
    <row r="3026" ht="27.75" customHeight="1" s="24">
      <c r="A3026" s="13" t="n">
        <v>5000093512</v>
      </c>
      <c r="B3026" s="13" t="inlineStr">
        <is>
          <t>МДОУ детский сад № 15 Усть-Кутского муниципального образования</t>
        </is>
      </c>
      <c r="C3026" s="13" t="n">
        <v>3818014672</v>
      </c>
      <c r="D3026" s="13" t="inlineStr">
        <is>
          <t>3818014672</t>
        </is>
      </c>
      <c r="E3026" s="13" t="inlineStr">
        <is>
          <t>ЮЛ РФ</t>
        </is>
      </c>
      <c r="F3026" s="13" t="n"/>
      <c r="G3026" s="14" t="n"/>
      <c r="H3026" s="14" t="n"/>
      <c r="I3026" s="14" t="n"/>
      <c r="J3026" s="14" t="n"/>
      <c r="K3026" s="53" t="inlineStr"/>
      <c r="L3026" s="53" t="inlineStr">
        <is>
          <t>Не определено</t>
        </is>
      </c>
      <c r="M3026" s="53" t="inlineStr"/>
      <c r="N3026" s="54" t="inlineStr"/>
      <c r="O3026" s="55" t="inlineStr"/>
      <c r="P3026" s="16" t="inlineStr">
        <is>
          <t>Требует обогащения</t>
        </is>
      </c>
      <c r="Q3026" s="16">
        <f>HYPERLINK("https://pb.nalog.ru/search.html?query=3818014672","ФНС: проверить")</f>
        <v/>
      </c>
      <c r="R3026" s="16">
        <f>HYPERLINK("https://checko.ru/search?query=3801001629","Чекко: проверить")</f>
        <v/>
      </c>
      <c r="S3026" t="n">
        <v>1</v>
      </c>
      <c r="T3026" s="35" t="inlineStr">
        <is>
          <t>4 — Не обогащён</t>
        </is>
      </c>
      <c r="U3026" s="35" t="inlineStr">
        <is>
          <t>Нет ОКВЭД/ССЧР</t>
        </is>
      </c>
      <c r="V3026" s="35" t="inlineStr">
        <is>
          <t>Не определено</t>
        </is>
      </c>
      <c r="W3026" s="35" t="inlineStr"/>
      <c r="X3026" s="35" t="inlineStr"/>
    </row>
    <row r="3027" ht="27.75" customHeight="1" s="24">
      <c r="A3027" s="13" t="n">
        <v>5000093513</v>
      </c>
      <c r="B3027" s="13" t="inlineStr">
        <is>
          <t>МДОУ детский сад  № 20 Усть-Кутского муниципального образования Иркутской области</t>
        </is>
      </c>
      <c r="C3027" s="13" t="n">
        <v>3818015362</v>
      </c>
      <c r="D3027" s="13" t="inlineStr">
        <is>
          <t>3818015362</t>
        </is>
      </c>
      <c r="E3027" s="13" t="inlineStr">
        <is>
          <t>ЮЛ РФ</t>
        </is>
      </c>
      <c r="F3027" s="13" t="n"/>
      <c r="G3027" s="14" t="n"/>
      <c r="H3027" s="14" t="n"/>
      <c r="I3027" s="14" t="n"/>
      <c r="J3027" s="14" t="n"/>
      <c r="K3027" s="53" t="inlineStr"/>
      <c r="L3027" s="53" t="inlineStr">
        <is>
          <t>Не определено</t>
        </is>
      </c>
      <c r="M3027" s="53" t="inlineStr"/>
      <c r="N3027" s="54" t="inlineStr"/>
      <c r="O3027" s="55" t="inlineStr"/>
      <c r="P3027" s="16" t="inlineStr">
        <is>
          <t>Требует обогащения</t>
        </is>
      </c>
      <c r="Q3027" s="16">
        <f>HYPERLINK("https://pb.nalog.ru/search.html?query=3818015362","ФНС: проверить")</f>
        <v/>
      </c>
      <c r="R3027" s="16">
        <f>HYPERLINK("https://checko.ru/search?query=3801001629","Чекко: проверить")</f>
        <v/>
      </c>
      <c r="S3027" t="n">
        <v>1</v>
      </c>
      <c r="T3027" s="35" t="inlineStr">
        <is>
          <t>4 — Не обогащён</t>
        </is>
      </c>
      <c r="U3027" s="35" t="inlineStr">
        <is>
          <t>Нет ОКВЭД/ССЧР</t>
        </is>
      </c>
      <c r="V3027" s="35" t="inlineStr">
        <is>
          <t>Не определено</t>
        </is>
      </c>
      <c r="W3027" s="35" t="inlineStr"/>
      <c r="X3027" s="35" t="inlineStr"/>
    </row>
    <row r="3028" ht="27.75" customHeight="1" s="24">
      <c r="A3028" s="13" t="n">
        <v>5000093514</v>
      </c>
      <c r="B3028" s="13" t="inlineStr">
        <is>
          <t>МДОУ детский сад общеразвивающего вида № 22 Усть-Кутского муниципального образования</t>
        </is>
      </c>
      <c r="C3028" s="13" t="n">
        <v>3818015370</v>
      </c>
      <c r="D3028" s="13" t="inlineStr">
        <is>
          <t>3818015370</t>
        </is>
      </c>
      <c r="E3028" s="13" t="inlineStr">
        <is>
          <t>ЮЛ РФ</t>
        </is>
      </c>
      <c r="F3028" s="13" t="n"/>
      <c r="G3028" s="14" t="n"/>
      <c r="H3028" s="14" t="n"/>
      <c r="I3028" s="14" t="n"/>
      <c r="J3028" s="14" t="n"/>
      <c r="K3028" s="53" t="inlineStr"/>
      <c r="L3028" s="53" t="inlineStr">
        <is>
          <t>Не определено</t>
        </is>
      </c>
      <c r="M3028" s="53" t="inlineStr"/>
      <c r="N3028" s="54" t="inlineStr"/>
      <c r="O3028" s="55" t="inlineStr"/>
      <c r="P3028" s="16" t="inlineStr">
        <is>
          <t>Требует обогащения</t>
        </is>
      </c>
      <c r="Q3028" s="16">
        <f>HYPERLINK("https://pb.nalog.ru/search.html?query=3818015370","ФНС: проверить")</f>
        <v/>
      </c>
      <c r="R3028" s="16">
        <f>HYPERLINK("https://checko.ru/search?query=3801001629","Чекко: проверить")</f>
        <v/>
      </c>
      <c r="S3028" t="n">
        <v>1</v>
      </c>
      <c r="T3028" s="35" t="inlineStr">
        <is>
          <t>4 — Не обогащён</t>
        </is>
      </c>
      <c r="U3028" s="35" t="inlineStr">
        <is>
          <t>Нет ОКВЭД/ССЧР</t>
        </is>
      </c>
      <c r="V3028" s="35" t="inlineStr">
        <is>
          <t>Не определено</t>
        </is>
      </c>
      <c r="W3028" s="35" t="inlineStr"/>
      <c r="X3028" s="35" t="inlineStr"/>
    </row>
    <row r="3029" ht="27.75" customHeight="1" s="24">
      <c r="A3029" s="13" t="n">
        <v>5000093515</v>
      </c>
      <c r="B3029" s="13" t="inlineStr">
        <is>
          <t>МКДОУ детский сад № 23 Усть-Кутского муниципального образования</t>
        </is>
      </c>
      <c r="C3029" s="13" t="n">
        <v>3818042493</v>
      </c>
      <c r="D3029" s="13" t="inlineStr">
        <is>
          <t>3818042493</t>
        </is>
      </c>
      <c r="E3029" s="13" t="inlineStr">
        <is>
          <t>ЮЛ РФ</t>
        </is>
      </c>
      <c r="F3029" s="13" t="n"/>
      <c r="G3029" s="14" t="n"/>
      <c r="H3029" s="14" t="n"/>
      <c r="I3029" s="14" t="n"/>
      <c r="J3029" s="14" t="n"/>
      <c r="K3029" s="53" t="inlineStr"/>
      <c r="L3029" s="53" t="inlineStr">
        <is>
          <t>Не определено</t>
        </is>
      </c>
      <c r="M3029" s="53" t="inlineStr"/>
      <c r="N3029" s="54" t="inlineStr"/>
      <c r="O3029" s="55" t="inlineStr"/>
      <c r="P3029" s="16" t="inlineStr">
        <is>
          <t>Требует обогащения</t>
        </is>
      </c>
      <c r="Q3029" s="16">
        <f>HYPERLINK("https://pb.nalog.ru/search.html?query=3818042493","ФНС: проверить")</f>
        <v/>
      </c>
      <c r="R3029" s="16">
        <f>HYPERLINK("https://checko.ru/search?query=3801001629","Чекко: проверить")</f>
        <v/>
      </c>
      <c r="S3029" t="n">
        <v>1</v>
      </c>
      <c r="T3029" s="35" t="inlineStr">
        <is>
          <t>4 — Не обогащён</t>
        </is>
      </c>
      <c r="U3029" s="35" t="inlineStr">
        <is>
          <t>Нет ОКВЭД/ССЧР</t>
        </is>
      </c>
      <c r="V3029" s="35" t="inlineStr">
        <is>
          <t>Не определено</t>
        </is>
      </c>
      <c r="W3029" s="35" t="inlineStr"/>
      <c r="X3029" s="35" t="inlineStr"/>
    </row>
    <row r="3030" ht="27.75" customHeight="1" s="24">
      <c r="A3030" s="13" t="n">
        <v>5000093516</v>
      </c>
      <c r="B3030" s="13" t="inlineStr">
        <is>
          <t>МДОУ Центр развития ребенка детский сад № 24 Усть-Кутского муниципального образования</t>
        </is>
      </c>
      <c r="C3030" s="13" t="n">
        <v>3818015517</v>
      </c>
      <c r="D3030" s="13" t="inlineStr">
        <is>
          <t>3818015517</t>
        </is>
      </c>
      <c r="E3030" s="13" t="inlineStr">
        <is>
          <t>ЮЛ РФ</t>
        </is>
      </c>
      <c r="F3030" s="13" t="n"/>
      <c r="G3030" s="14" t="n"/>
      <c r="H3030" s="14" t="n"/>
      <c r="I3030" s="14" t="n"/>
      <c r="J3030" s="14" t="n"/>
      <c r="K3030" s="53" t="inlineStr"/>
      <c r="L3030" s="53" t="inlineStr">
        <is>
          <t>Не определено</t>
        </is>
      </c>
      <c r="M3030" s="53" t="inlineStr"/>
      <c r="N3030" s="54" t="inlineStr"/>
      <c r="O3030" s="55" t="inlineStr"/>
      <c r="P3030" s="16" t="inlineStr">
        <is>
          <t>Требует обогащения</t>
        </is>
      </c>
      <c r="Q3030" s="16">
        <f>HYPERLINK("https://pb.nalog.ru/search.html?query=3818015517","ФНС: проверить")</f>
        <v/>
      </c>
      <c r="R3030" s="16">
        <f>HYPERLINK("https://checko.ru/search?query=3801001629","Чекко: проверить")</f>
        <v/>
      </c>
      <c r="S3030" t="n">
        <v>1</v>
      </c>
      <c r="T3030" s="35" t="inlineStr">
        <is>
          <t>4 — Не обогащён</t>
        </is>
      </c>
      <c r="U3030" s="35" t="inlineStr">
        <is>
          <t>Нет ОКВЭД/ССЧР</t>
        </is>
      </c>
      <c r="V3030" s="35" t="inlineStr">
        <is>
          <t>Не определено</t>
        </is>
      </c>
      <c r="W3030" s="35" t="inlineStr"/>
      <c r="X3030" s="35" t="inlineStr"/>
    </row>
    <row r="3031" ht="15" customHeight="1" s="24">
      <c r="A3031" s="13" t="n">
        <v>5000093521</v>
      </c>
      <c r="B3031" s="13" t="inlineStr">
        <is>
          <t>Детский сад №41 Усть-Кут</t>
        </is>
      </c>
      <c r="C3031" s="13" t="n">
        <v>3818015404</v>
      </c>
      <c r="D3031" s="13" t="inlineStr">
        <is>
          <t>3818015404</t>
        </is>
      </c>
      <c r="E3031" s="13" t="inlineStr">
        <is>
          <t>ЮЛ РФ</t>
        </is>
      </c>
      <c r="F3031" s="13" t="n"/>
      <c r="G3031" s="14" t="n"/>
      <c r="H3031" s="14" t="n"/>
      <c r="I3031" s="14" t="n"/>
      <c r="J3031" s="14" t="n"/>
      <c r="K3031" s="53" t="inlineStr"/>
      <c r="L3031" s="53" t="inlineStr">
        <is>
          <t>Не определено</t>
        </is>
      </c>
      <c r="M3031" s="53" t="inlineStr"/>
      <c r="N3031" s="54" t="inlineStr"/>
      <c r="O3031" s="55" t="inlineStr"/>
      <c r="P3031" s="16" t="inlineStr">
        <is>
          <t>Требует обогащения</t>
        </is>
      </c>
      <c r="Q3031" s="16">
        <f>HYPERLINK("https://pb.nalog.ru/search.html?query=3818015404","ФНС: проверить")</f>
        <v/>
      </c>
      <c r="R3031" s="16">
        <f>HYPERLINK("https://checko.ru/search?query=3801001629","Чекко: проверить")</f>
        <v/>
      </c>
      <c r="S3031" t="n">
        <v>1</v>
      </c>
      <c r="T3031" s="35" t="inlineStr">
        <is>
          <t>4 — Не обогащён</t>
        </is>
      </c>
      <c r="U3031" s="35" t="inlineStr">
        <is>
          <t>Нет ОКВЭД/ССЧР</t>
        </is>
      </c>
      <c r="V3031" s="35" t="inlineStr">
        <is>
          <t>Не определено</t>
        </is>
      </c>
      <c r="W3031" s="35" t="inlineStr"/>
      <c r="X3031" s="35" t="inlineStr"/>
    </row>
    <row r="3032" ht="15" customHeight="1" s="24">
      <c r="A3032" s="13" t="n">
        <v>5000093529</v>
      </c>
      <c r="B3032" s="13" t="inlineStr">
        <is>
          <t>МОУ Лицей УКМО</t>
        </is>
      </c>
      <c r="C3032" s="13" t="n">
        <v>3818010283</v>
      </c>
      <c r="D3032" s="13" t="inlineStr">
        <is>
          <t>3818010283</t>
        </is>
      </c>
      <c r="E3032" s="13" t="inlineStr">
        <is>
          <t>ЮЛ РФ</t>
        </is>
      </c>
      <c r="F3032" s="13" t="n"/>
      <c r="G3032" s="14" t="n"/>
      <c r="H3032" s="14" t="n"/>
      <c r="I3032" s="14" t="n"/>
      <c r="J3032" s="14" t="n"/>
      <c r="K3032" s="53" t="inlineStr"/>
      <c r="L3032" s="53" t="inlineStr">
        <is>
          <t>Не определено</t>
        </is>
      </c>
      <c r="M3032" s="53" t="inlineStr"/>
      <c r="N3032" s="54" t="inlineStr"/>
      <c r="O3032" s="55" t="inlineStr"/>
      <c r="P3032" s="16" t="inlineStr">
        <is>
          <t>Требует обогащения</t>
        </is>
      </c>
      <c r="Q3032" s="16">
        <f>HYPERLINK("https://pb.nalog.ru/search.html?query=3818010283","ФНС: проверить")</f>
        <v/>
      </c>
      <c r="R3032" s="16">
        <f>HYPERLINK("https://checko.ru/search?query=3801001629","Чекко: проверить")</f>
        <v/>
      </c>
      <c r="S3032" t="n">
        <v>1</v>
      </c>
      <c r="T3032" s="35" t="inlineStr">
        <is>
          <t>4 — Не обогащён</t>
        </is>
      </c>
      <c r="U3032" s="35" t="inlineStr">
        <is>
          <t>Нет ОКВЭД/ССЧР</t>
        </is>
      </c>
      <c r="V3032" s="35" t="inlineStr">
        <is>
          <t>Не определено</t>
        </is>
      </c>
      <c r="W3032" s="35" t="inlineStr"/>
      <c r="X3032" s="35" t="inlineStr"/>
    </row>
    <row r="3033" ht="41.25" customHeight="1" s="24">
      <c r="A3033" s="13" t="n">
        <v>5000030385</v>
      </c>
      <c r="B3033" s="13" t="inlineStr">
        <is>
          <t>Администрация Максимовского муниципального образования - Администрация сельского поселения</t>
        </is>
      </c>
      <c r="C3033" s="13" t="n">
        <v>3827020560</v>
      </c>
      <c r="D3033" s="13" t="inlineStr">
        <is>
          <t>3827020560</t>
        </is>
      </c>
      <c r="E3033" s="13" t="inlineStr">
        <is>
          <t>ЮЛ РФ</t>
        </is>
      </c>
      <c r="F3033" s="13" t="n"/>
      <c r="G3033" s="14" t="n"/>
      <c r="H3033" s="14" t="n"/>
      <c r="I3033" s="14" t="n"/>
      <c r="J3033" s="14" t="n"/>
      <c r="K3033" s="53" t="inlineStr"/>
      <c r="L3033" s="53" t="inlineStr">
        <is>
          <t>Не определено</t>
        </is>
      </c>
      <c r="M3033" s="53" t="inlineStr"/>
      <c r="N3033" s="54" t="inlineStr"/>
      <c r="O3033" s="55" t="inlineStr"/>
      <c r="P3033" s="16" t="inlineStr">
        <is>
          <t>Требует обогащения</t>
        </is>
      </c>
      <c r="Q3033" s="16">
        <f>HYPERLINK("https://pb.nalog.ru/search.html?query=3827020560","ФНС: проверить")</f>
        <v/>
      </c>
      <c r="R3033" s="16">
        <f>HYPERLINK("https://checko.ru/search?query=3801001629","Чекко: проверить")</f>
        <v/>
      </c>
      <c r="S3033" t="n">
        <v>1</v>
      </c>
      <c r="T3033" s="35" t="inlineStr">
        <is>
          <t>4 — Не обогащён</t>
        </is>
      </c>
      <c r="U3033" s="35" t="inlineStr">
        <is>
          <t>Нет ОКВЭД/ССЧР</t>
        </is>
      </c>
      <c r="V3033" s="35" t="inlineStr">
        <is>
          <t>Не определено</t>
        </is>
      </c>
      <c r="W3033" s="35" t="inlineStr"/>
      <c r="X3033" s="35" t="inlineStr"/>
    </row>
    <row r="3034" ht="15" customHeight="1" s="24">
      <c r="A3034" s="13" t="n">
        <v>5000121932</v>
      </c>
      <c r="B3034" s="13" t="inlineStr">
        <is>
          <t>КСП РАМЕНСКОГО ГОРОДСКОГО ОКРУГА</t>
        </is>
      </c>
      <c r="C3034" s="13" t="n">
        <v>5040164607</v>
      </c>
      <c r="D3034" s="13" t="inlineStr">
        <is>
          <t>5040164607</t>
        </is>
      </c>
      <c r="E3034" s="13" t="inlineStr">
        <is>
          <t>ЮЛ РФ</t>
        </is>
      </c>
      <c r="F3034" s="13" t="n"/>
      <c r="G3034" s="14" t="n"/>
      <c r="H3034" s="14" t="n"/>
      <c r="I3034" s="14" t="n"/>
      <c r="J3034" s="14" t="n"/>
      <c r="K3034" s="53" t="inlineStr"/>
      <c r="L3034" s="53" t="inlineStr">
        <is>
          <t>Не определено</t>
        </is>
      </c>
      <c r="M3034" s="53" t="inlineStr"/>
      <c r="N3034" s="54" t="inlineStr"/>
      <c r="O3034" s="55" t="inlineStr"/>
      <c r="P3034" s="16" t="inlineStr">
        <is>
          <t>Требует обогащения</t>
        </is>
      </c>
      <c r="Q3034" s="16">
        <f>HYPERLINK("https://pb.nalog.ru/search.html?query=5040164607","ФНС: проверить")</f>
        <v/>
      </c>
      <c r="R3034" s="16">
        <f>HYPERLINK("https://checko.ru/search?query=3801001629","Чекко: проверить")</f>
        <v/>
      </c>
      <c r="S3034" t="n">
        <v>1</v>
      </c>
      <c r="T3034" s="35" t="inlineStr">
        <is>
          <t>4 — Не обогащён</t>
        </is>
      </c>
      <c r="U3034" s="35" t="inlineStr">
        <is>
          <t>Нет ОКВЭД/ССЧР</t>
        </is>
      </c>
      <c r="V3034" s="35" t="inlineStr">
        <is>
          <t>Не определено</t>
        </is>
      </c>
      <c r="W3034" s="35" t="inlineStr"/>
      <c r="X3034" s="35" t="inlineStr"/>
    </row>
    <row r="3035" ht="27.75" customHeight="1" s="24">
      <c r="A3035" s="13" t="n">
        <v>5000121994</v>
      </c>
      <c r="B3035" s="13" t="inlineStr">
        <is>
          <t>РАМЕНСКИЙ ГОРОДСКОЙ ПАРК КУЛЬТУРЫ И ОТДЫХА МАУ</t>
        </is>
      </c>
      <c r="C3035" s="13" t="n">
        <v>5040151125</v>
      </c>
      <c r="D3035" s="13" t="inlineStr">
        <is>
          <t>5040151125</t>
        </is>
      </c>
      <c r="E3035" s="13" t="inlineStr">
        <is>
          <t>ЮЛ РФ</t>
        </is>
      </c>
      <c r="F3035" s="13" t="n"/>
      <c r="G3035" s="14" t="n"/>
      <c r="H3035" s="14" t="n"/>
      <c r="I3035" s="14" t="n"/>
      <c r="J3035" s="14" t="n"/>
      <c r="K3035" s="53" t="inlineStr"/>
      <c r="L3035" s="53" t="inlineStr">
        <is>
          <t>Не определено</t>
        </is>
      </c>
      <c r="M3035" s="53" t="inlineStr"/>
      <c r="N3035" s="54" t="inlineStr"/>
      <c r="O3035" s="55" t="inlineStr"/>
      <c r="P3035" s="16" t="inlineStr">
        <is>
          <t>Требует обогащения</t>
        </is>
      </c>
      <c r="Q3035" s="16">
        <f>HYPERLINK("https://pb.nalog.ru/search.html?query=5040151125","ФНС: проверить")</f>
        <v/>
      </c>
      <c r="R3035" s="16">
        <f>HYPERLINK("https://checko.ru/search?query=3801001629","Чекко: проверить")</f>
        <v/>
      </c>
      <c r="S3035" t="n">
        <v>1</v>
      </c>
      <c r="T3035" s="35" t="inlineStr">
        <is>
          <t>4 — Не обогащён</t>
        </is>
      </c>
      <c r="U3035" s="35" t="inlineStr">
        <is>
          <t>Нет ОКВЭД/ССЧР</t>
        </is>
      </c>
      <c r="V3035" s="35" t="inlineStr">
        <is>
          <t>Не определено</t>
        </is>
      </c>
      <c r="W3035" s="35" t="inlineStr"/>
      <c r="X3035" s="35" t="inlineStr"/>
    </row>
    <row r="3036" ht="15" customHeight="1" s="24">
      <c r="A3036" s="13" t="n">
        <v>5000047008</v>
      </c>
      <c r="B3036" s="13" t="inlineStr">
        <is>
          <t>ДШИ №9</t>
        </is>
      </c>
      <c r="C3036" s="13" t="n">
        <v>3808057130</v>
      </c>
      <c r="D3036" s="13" t="inlineStr">
        <is>
          <t>3808057130</t>
        </is>
      </c>
      <c r="E3036" s="13" t="inlineStr">
        <is>
          <t>ЮЛ РФ</t>
        </is>
      </c>
      <c r="F3036" s="13" t="n"/>
      <c r="G3036" s="14" t="n"/>
      <c r="H3036" s="14" t="n"/>
      <c r="I3036" s="14" t="n"/>
      <c r="J3036" s="14" t="n"/>
      <c r="K3036" s="53" t="inlineStr"/>
      <c r="L3036" s="53" t="inlineStr">
        <is>
          <t>Не определено</t>
        </is>
      </c>
      <c r="M3036" s="53" t="inlineStr"/>
      <c r="N3036" s="54" t="inlineStr"/>
      <c r="O3036" s="55" t="inlineStr"/>
      <c r="P3036" s="16" t="inlineStr">
        <is>
          <t>Требует обогащения</t>
        </is>
      </c>
      <c r="Q3036" s="16">
        <f>HYPERLINK("https://pb.nalog.ru/search.html?query=3808057130","ФНС: проверить")</f>
        <v/>
      </c>
      <c r="R3036" s="16">
        <f>HYPERLINK("https://checko.ru/search?query=3801001629","Чекко: проверить")</f>
        <v/>
      </c>
      <c r="S3036" t="n">
        <v>1</v>
      </c>
      <c r="T3036" s="35" t="inlineStr">
        <is>
          <t>4 — Не обогащён</t>
        </is>
      </c>
      <c r="U3036" s="35" t="inlineStr">
        <is>
          <t>Нет ОКВЭД/ССЧР</t>
        </is>
      </c>
      <c r="V3036" s="35" t="inlineStr">
        <is>
          <t>Не определено</t>
        </is>
      </c>
      <c r="W3036" s="35" t="inlineStr"/>
      <c r="X3036" s="35" t="inlineStr"/>
    </row>
    <row r="3037" ht="15" customHeight="1" s="24">
      <c r="A3037" s="13" t="n">
        <v>5000047005</v>
      </c>
      <c r="B3037" s="13" t="inlineStr">
        <is>
          <t>ДШИ №4</t>
        </is>
      </c>
      <c r="C3037" s="13" t="n">
        <v>3810026637</v>
      </c>
      <c r="D3037" s="13" t="inlineStr">
        <is>
          <t>3810026637</t>
        </is>
      </c>
      <c r="E3037" s="13" t="inlineStr">
        <is>
          <t>ЮЛ РФ</t>
        </is>
      </c>
      <c r="F3037" s="13" t="n"/>
      <c r="G3037" s="14" t="n"/>
      <c r="H3037" s="14" t="n"/>
      <c r="I3037" s="14" t="n"/>
      <c r="J3037" s="14" t="n"/>
      <c r="K3037" s="53" t="inlineStr"/>
      <c r="L3037" s="53" t="inlineStr">
        <is>
          <t>Не определено</t>
        </is>
      </c>
      <c r="M3037" s="53" t="inlineStr"/>
      <c r="N3037" s="54" t="inlineStr"/>
      <c r="O3037" s="55" t="inlineStr"/>
      <c r="P3037" s="16" t="inlineStr">
        <is>
          <t>Требует обогащения</t>
        </is>
      </c>
      <c r="Q3037" s="16">
        <f>HYPERLINK("https://pb.nalog.ru/search.html?query=3810026637","ФНС: проверить")</f>
        <v/>
      </c>
      <c r="R3037" s="16">
        <f>HYPERLINK("https://checko.ru/search?query=3801001629","Чекко: проверить")</f>
        <v/>
      </c>
      <c r="S3037" t="n">
        <v>1</v>
      </c>
      <c r="T3037" s="35" t="inlineStr">
        <is>
          <t>4 — Не обогащён</t>
        </is>
      </c>
      <c r="U3037" s="35" t="inlineStr">
        <is>
          <t>Нет ОКВЭД/ССЧР</t>
        </is>
      </c>
      <c r="V3037" s="35" t="inlineStr">
        <is>
          <t>Не определено</t>
        </is>
      </c>
      <c r="W3037" s="35" t="inlineStr"/>
      <c r="X3037" s="35" t="inlineStr"/>
    </row>
    <row r="3038" ht="15" customHeight="1" s="24">
      <c r="A3038" s="13" t="n">
        <v>5000047004</v>
      </c>
      <c r="B3038" s="13" t="inlineStr">
        <is>
          <t>ДХШ №1</t>
        </is>
      </c>
      <c r="C3038" s="13" t="n">
        <v>3808055535</v>
      </c>
      <c r="D3038" s="13" t="inlineStr">
        <is>
          <t>3808055535</t>
        </is>
      </c>
      <c r="E3038" s="13" t="inlineStr">
        <is>
          <t>ЮЛ РФ</t>
        </is>
      </c>
      <c r="F3038" s="13" t="n"/>
      <c r="G3038" s="14" t="n"/>
      <c r="H3038" s="14" t="n"/>
      <c r="I3038" s="14" t="n"/>
      <c r="J3038" s="14" t="n"/>
      <c r="K3038" s="53" t="inlineStr"/>
      <c r="L3038" s="53" t="inlineStr">
        <is>
          <t>Не определено</t>
        </is>
      </c>
      <c r="M3038" s="53" t="inlineStr"/>
      <c r="N3038" s="54" t="inlineStr"/>
      <c r="O3038" s="55" t="inlineStr"/>
      <c r="P3038" s="16" t="inlineStr">
        <is>
          <t>Требует обогащения</t>
        </is>
      </c>
      <c r="Q3038" s="16">
        <f>HYPERLINK("https://pb.nalog.ru/search.html?query=3808055535","ФНС: проверить")</f>
        <v/>
      </c>
      <c r="R3038" s="16">
        <f>HYPERLINK("https://checko.ru/search?query=3801001629","Чекко: проверить")</f>
        <v/>
      </c>
      <c r="S3038" t="n">
        <v>1</v>
      </c>
      <c r="T3038" s="35" t="inlineStr">
        <is>
          <t>4 — Не обогащён</t>
        </is>
      </c>
      <c r="U3038" s="35" t="inlineStr">
        <is>
          <t>Нет ОКВЭД/ССЧР</t>
        </is>
      </c>
      <c r="V3038" s="35" t="inlineStr">
        <is>
          <t>Не определено</t>
        </is>
      </c>
      <c r="W3038" s="35" t="inlineStr"/>
      <c r="X3038" s="35" t="inlineStr"/>
    </row>
    <row r="3039" ht="15" customHeight="1" s="24">
      <c r="A3039" s="13" t="n">
        <v>5000047009</v>
      </c>
      <c r="B3039" s="13" t="inlineStr">
        <is>
          <t>ДШИ №8</t>
        </is>
      </c>
      <c r="C3039" s="13" t="n">
        <v>3808055662</v>
      </c>
      <c r="D3039" s="13" t="inlineStr">
        <is>
          <t>3808055662</t>
        </is>
      </c>
      <c r="E3039" s="13" t="inlineStr">
        <is>
          <t>ЮЛ РФ</t>
        </is>
      </c>
      <c r="F3039" s="13" t="n"/>
      <c r="G3039" s="14" t="n"/>
      <c r="H3039" s="14" t="n"/>
      <c r="I3039" s="14" t="n"/>
      <c r="J3039" s="14" t="n"/>
      <c r="K3039" s="53" t="inlineStr"/>
      <c r="L3039" s="53" t="inlineStr">
        <is>
          <t>Не определено</t>
        </is>
      </c>
      <c r="M3039" s="53" t="inlineStr"/>
      <c r="N3039" s="54" t="inlineStr"/>
      <c r="O3039" s="55" t="inlineStr"/>
      <c r="P3039" s="16" t="inlineStr">
        <is>
          <t>Требует обогащения</t>
        </is>
      </c>
      <c r="Q3039" s="16">
        <f>HYPERLINK("https://pb.nalog.ru/search.html?query=3808055662","ФНС: проверить")</f>
        <v/>
      </c>
      <c r="R3039" s="16">
        <f>HYPERLINK("https://checko.ru/search?query=3801001629","Чекко: проверить")</f>
        <v/>
      </c>
      <c r="S3039" t="n">
        <v>1</v>
      </c>
      <c r="T3039" s="35" t="inlineStr">
        <is>
          <t>4 — Не обогащён</t>
        </is>
      </c>
      <c r="U3039" s="35" t="inlineStr">
        <is>
          <t>Нет ОКВЭД/ССЧР</t>
        </is>
      </c>
      <c r="V3039" s="35" t="inlineStr">
        <is>
          <t>Не определено</t>
        </is>
      </c>
      <c r="W3039" s="35" t="inlineStr"/>
      <c r="X3039" s="35" t="inlineStr"/>
    </row>
    <row r="3040" ht="41.25" customHeight="1" s="24">
      <c r="A3040" s="13" t="n">
        <v>5000111686</v>
      </c>
      <c r="B3040" s="13" t="inlineStr">
        <is>
          <t>МУНИЦИПАЛЬНОЕ КАЗЕННОЕ УЧРЕЖДЕНИЕ "ЕДИНАЯ ДЕЖУРНО-ДИСПЕТЧЕРСКАЯ СЛУЖБА ЧУНСКОГО РАЙОНА"</t>
        </is>
      </c>
      <c r="C3040" s="13" t="n">
        <v>3816030326</v>
      </c>
      <c r="D3040" s="13" t="inlineStr">
        <is>
          <t>3816030326</t>
        </is>
      </c>
      <c r="E3040" s="13" t="inlineStr">
        <is>
          <t>ЮЛ РФ</t>
        </is>
      </c>
      <c r="F3040" s="13" t="n"/>
      <c r="G3040" s="14" t="n"/>
      <c r="H3040" s="14" t="n"/>
      <c r="I3040" s="14" t="n"/>
      <c r="J3040" s="14" t="n"/>
      <c r="K3040" s="53" t="inlineStr"/>
      <c r="L3040" s="53" t="inlineStr">
        <is>
          <t>Не определено</t>
        </is>
      </c>
      <c r="M3040" s="53" t="inlineStr"/>
      <c r="N3040" s="54" t="inlineStr"/>
      <c r="O3040" s="55" t="inlineStr"/>
      <c r="P3040" s="16" t="inlineStr">
        <is>
          <t>Требует обогащения</t>
        </is>
      </c>
      <c r="Q3040" s="16">
        <f>HYPERLINK("https://pb.nalog.ru/search.html?query=3816030326","ФНС: проверить")</f>
        <v/>
      </c>
      <c r="R3040" s="16">
        <f>HYPERLINK("https://checko.ru/search?query=3801001629","Чекко: проверить")</f>
        <v/>
      </c>
      <c r="S3040" t="n">
        <v>1</v>
      </c>
      <c r="T3040" s="35" t="inlineStr">
        <is>
          <t>4 — Не обогащён</t>
        </is>
      </c>
      <c r="U3040" s="35" t="inlineStr">
        <is>
          <t>Нет ОКВЭД/ССЧР</t>
        </is>
      </c>
      <c r="V3040" s="35" t="inlineStr">
        <is>
          <t>Не определено</t>
        </is>
      </c>
      <c r="W3040" s="35" t="inlineStr"/>
      <c r="X3040" s="35" t="inlineStr"/>
    </row>
    <row r="3041" ht="15" customHeight="1" s="24">
      <c r="A3041" s="13" t="n">
        <v>5000017082</v>
      </c>
      <c r="B3041" s="13" t="inlineStr">
        <is>
          <t>МКУК Центр Культуры Хужирского МО</t>
        </is>
      </c>
      <c r="C3041" s="13" t="n">
        <v>3827053928</v>
      </c>
      <c r="D3041" s="13" t="inlineStr">
        <is>
          <t>3827053928</t>
        </is>
      </c>
      <c r="E3041" s="13" t="inlineStr">
        <is>
          <t>ЮЛ РФ</t>
        </is>
      </c>
      <c r="F3041" s="13" t="n"/>
      <c r="G3041" s="14" t="n"/>
      <c r="H3041" s="14" t="n"/>
      <c r="I3041" s="14" t="n"/>
      <c r="J3041" s="14" t="n"/>
      <c r="K3041" s="53" t="inlineStr"/>
      <c r="L3041" s="53" t="inlineStr">
        <is>
          <t>Не определено</t>
        </is>
      </c>
      <c r="M3041" s="53" t="inlineStr"/>
      <c r="N3041" s="54" t="inlineStr"/>
      <c r="O3041" s="55" t="inlineStr"/>
      <c r="P3041" s="16" t="inlineStr">
        <is>
          <t>Требует обогащения</t>
        </is>
      </c>
      <c r="Q3041" s="16">
        <f>HYPERLINK("https://pb.nalog.ru/search.html?query=3827053928","ФНС: проверить")</f>
        <v/>
      </c>
      <c r="R3041" s="16">
        <f>HYPERLINK("https://checko.ru/search?query=3801001629","Чекко: проверить")</f>
        <v/>
      </c>
      <c r="S3041" t="n">
        <v>1</v>
      </c>
      <c r="T3041" s="35" t="inlineStr">
        <is>
          <t>4 — Не обогащён</t>
        </is>
      </c>
      <c r="U3041" s="35" t="inlineStr">
        <is>
          <t>Нет ОКВЭД/ССЧР</t>
        </is>
      </c>
      <c r="V3041" s="35" t="inlineStr">
        <is>
          <t>Не определено</t>
        </is>
      </c>
      <c r="W3041" s="35" t="inlineStr"/>
      <c r="X3041" s="35" t="inlineStr"/>
    </row>
    <row r="3042" ht="15" customHeight="1" s="24">
      <c r="A3042" s="13" t="n">
        <v>5000121954</v>
      </c>
      <c r="B3042" s="13" t="inlineStr">
        <is>
          <t>МБУС "ИЛЬИНСКАЯ СШ "АВАНГАРД"</t>
        </is>
      </c>
      <c r="C3042" s="13" t="n">
        <v>5040056506</v>
      </c>
      <c r="D3042" s="13" t="inlineStr">
        <is>
          <t>5040056506</t>
        </is>
      </c>
      <c r="E3042" s="13" t="inlineStr">
        <is>
          <t>ЮЛ РФ</t>
        </is>
      </c>
      <c r="F3042" s="13" t="n"/>
      <c r="G3042" s="14" t="n"/>
      <c r="H3042" s="14" t="n"/>
      <c r="I3042" s="14" t="n"/>
      <c r="J3042" s="14" t="n"/>
      <c r="K3042" s="53" t="inlineStr"/>
      <c r="L3042" s="53" t="inlineStr">
        <is>
          <t>Не определено</t>
        </is>
      </c>
      <c r="M3042" s="53" t="inlineStr"/>
      <c r="N3042" s="54" t="inlineStr"/>
      <c r="O3042" s="55" t="inlineStr"/>
      <c r="P3042" s="16" t="inlineStr">
        <is>
          <t>Требует обогащения</t>
        </is>
      </c>
      <c r="Q3042" s="16">
        <f>HYPERLINK("https://pb.nalog.ru/search.html?query=5040056506","ФНС: проверить")</f>
        <v/>
      </c>
      <c r="R3042" s="16">
        <f>HYPERLINK("https://checko.ru/search?query=3801001629","Чекко: проверить")</f>
        <v/>
      </c>
      <c r="S3042" t="n">
        <v>1</v>
      </c>
      <c r="T3042" s="35" t="inlineStr">
        <is>
          <t>4 — Не обогащён</t>
        </is>
      </c>
      <c r="U3042" s="35" t="inlineStr">
        <is>
          <t>Нет ОКВЭД/ССЧР</t>
        </is>
      </c>
      <c r="V3042" s="35" t="inlineStr">
        <is>
          <t>Не определено</t>
        </is>
      </c>
      <c r="W3042" s="35" t="inlineStr"/>
      <c r="X3042" s="35" t="inlineStr"/>
    </row>
    <row r="3043" ht="27.75" customHeight="1" s="24">
      <c r="A3043" s="13" t="n">
        <v>5000121925</v>
      </c>
      <c r="B3043" s="13" t="inlineStr">
        <is>
          <t>Комитет социального развития спорта и молодежной политике</t>
        </is>
      </c>
      <c r="C3043" s="13" t="n">
        <v>5040137360</v>
      </c>
      <c r="D3043" s="13" t="inlineStr">
        <is>
          <t>5040137360</t>
        </is>
      </c>
      <c r="E3043" s="13" t="inlineStr">
        <is>
          <t>ЮЛ РФ</t>
        </is>
      </c>
      <c r="F3043" s="13" t="n"/>
      <c r="G3043" s="14" t="n"/>
      <c r="H3043" s="14" t="n"/>
      <c r="I3043" s="14" t="n"/>
      <c r="J3043" s="14" t="n"/>
      <c r="K3043" s="53" t="inlineStr"/>
      <c r="L3043" s="53" t="inlineStr">
        <is>
          <t>Не определено</t>
        </is>
      </c>
      <c r="M3043" s="53" t="inlineStr"/>
      <c r="N3043" s="54" t="inlineStr"/>
      <c r="O3043" s="55" t="inlineStr"/>
      <c r="P3043" s="16" t="inlineStr">
        <is>
          <t>Требует обогащения</t>
        </is>
      </c>
      <c r="Q3043" s="16">
        <f>HYPERLINK("https://pb.nalog.ru/search.html?query=5040137360","ФНС: проверить")</f>
        <v/>
      </c>
      <c r="R3043" s="16">
        <f>HYPERLINK("https://checko.ru/search?query=3801001629","Чекко: проверить")</f>
        <v/>
      </c>
      <c r="S3043" t="n">
        <v>1</v>
      </c>
      <c r="T3043" s="35" t="inlineStr">
        <is>
          <t>4 — Не обогащён</t>
        </is>
      </c>
      <c r="U3043" s="35" t="inlineStr">
        <is>
          <t>Нет ОКВЭД/ССЧР</t>
        </is>
      </c>
      <c r="V3043" s="35" t="inlineStr">
        <is>
          <t>Не определено</t>
        </is>
      </c>
      <c r="W3043" s="35" t="inlineStr"/>
      <c r="X3043" s="35" t="inlineStr"/>
    </row>
    <row r="3044" ht="41.25" customHeight="1" s="24">
      <c r="A3044" s="13" t="n">
        <v>5000122017</v>
      </c>
      <c r="B3044" s="13" t="inlineStr">
        <is>
          <t>МУНИЦИПАЛЬНОЕ УЧРЕЖДЕНИЕ РАМЕНСКОГО ГОРОДСКОГО ОКРУГА "РАМЕНСКИЙ МОЛОДЕЖНЫЙ ЦЕНТР"</t>
        </is>
      </c>
      <c r="C3044" s="13" t="n">
        <v>5040060252</v>
      </c>
      <c r="D3044" s="13" t="inlineStr">
        <is>
          <t>5040060252</t>
        </is>
      </c>
      <c r="E3044" s="13" t="inlineStr">
        <is>
          <t>ЮЛ РФ</t>
        </is>
      </c>
      <c r="F3044" s="13" t="n"/>
      <c r="G3044" s="14" t="n"/>
      <c r="H3044" s="14" t="n"/>
      <c r="I3044" s="14" t="n"/>
      <c r="J3044" s="14" t="n"/>
      <c r="K3044" s="53" t="inlineStr"/>
      <c r="L3044" s="53" t="inlineStr">
        <is>
          <t>Не определено</t>
        </is>
      </c>
      <c r="M3044" s="53" t="inlineStr"/>
      <c r="N3044" s="54" t="inlineStr"/>
      <c r="O3044" s="55" t="inlineStr"/>
      <c r="P3044" s="16" t="inlineStr">
        <is>
          <t>Требует обогащения</t>
        </is>
      </c>
      <c r="Q3044" s="16">
        <f>HYPERLINK("https://pb.nalog.ru/search.html?query=5040060252","ФНС: проверить")</f>
        <v/>
      </c>
      <c r="R3044" s="16">
        <f>HYPERLINK("https://checko.ru/search?query=3801001629","Чекко: проверить")</f>
        <v/>
      </c>
      <c r="S3044" t="n">
        <v>1</v>
      </c>
      <c r="T3044" s="35" t="inlineStr">
        <is>
          <t>4 — Не обогащён</t>
        </is>
      </c>
      <c r="U3044" s="35" t="inlineStr">
        <is>
          <t>Нет ОКВЭД/ССЧР</t>
        </is>
      </c>
      <c r="V3044" s="35" t="inlineStr">
        <is>
          <t>Не определено</t>
        </is>
      </c>
      <c r="W3044" s="35" t="inlineStr"/>
      <c r="X3044" s="35" t="inlineStr"/>
    </row>
    <row r="3045" ht="15" customHeight="1" s="24">
      <c r="A3045" s="13" t="n">
        <v>5000047007</v>
      </c>
      <c r="B3045" s="13" t="inlineStr">
        <is>
          <t>МОУ ДОД "Детская школа искусств № 10"</t>
        </is>
      </c>
      <c r="C3045" s="13" t="n">
        <v>3812052248</v>
      </c>
      <c r="D3045" s="13" t="inlineStr">
        <is>
          <t>3812052248</t>
        </is>
      </c>
      <c r="E3045" s="13" t="inlineStr">
        <is>
          <t>ЮЛ РФ</t>
        </is>
      </c>
      <c r="F3045" s="13" t="n"/>
      <c r="G3045" s="14" t="n"/>
      <c r="H3045" s="14" t="n"/>
      <c r="I3045" s="14" t="n"/>
      <c r="J3045" s="14" t="n"/>
      <c r="K3045" s="53" t="inlineStr"/>
      <c r="L3045" s="53" t="inlineStr">
        <is>
          <t>Не определено</t>
        </is>
      </c>
      <c r="M3045" s="53" t="inlineStr"/>
      <c r="N3045" s="54" t="inlineStr"/>
      <c r="O3045" s="55" t="inlineStr"/>
      <c r="P3045" s="16" t="inlineStr">
        <is>
          <t>Требует обогащения</t>
        </is>
      </c>
      <c r="Q3045" s="16">
        <f>HYPERLINK("https://pb.nalog.ru/search.html?query=3812052248","ФНС: проверить")</f>
        <v/>
      </c>
      <c r="R3045" s="16">
        <f>HYPERLINK("https://checko.ru/search?query=3801001629","Чекко: проверить")</f>
        <v/>
      </c>
      <c r="S3045" t="n">
        <v>1</v>
      </c>
      <c r="T3045" s="35" t="inlineStr">
        <is>
          <t>4 — Не обогащён</t>
        </is>
      </c>
      <c r="U3045" s="35" t="inlineStr">
        <is>
          <t>Нет ОКВЭД/ССЧР</t>
        </is>
      </c>
      <c r="V3045" s="35" t="inlineStr">
        <is>
          <t>Не определено</t>
        </is>
      </c>
      <c r="W3045" s="35" t="inlineStr"/>
      <c r="X3045" s="35" t="inlineStr"/>
    </row>
    <row r="3046" ht="27.75" customHeight="1" s="24">
      <c r="A3046" s="13" t="n">
        <v>5000047006</v>
      </c>
      <c r="B3046" s="13" t="inlineStr">
        <is>
          <t>МОУ ДОД "Детская школа искусств № 5" г. Иркутска</t>
        </is>
      </c>
      <c r="C3046" s="13" t="n">
        <v>3812014475</v>
      </c>
      <c r="D3046" s="13" t="inlineStr">
        <is>
          <t>3812014475</t>
        </is>
      </c>
      <c r="E3046" s="13" t="inlineStr">
        <is>
          <t>ЮЛ РФ</t>
        </is>
      </c>
      <c r="F3046" s="13" t="n"/>
      <c r="G3046" s="14" t="n"/>
      <c r="H3046" s="14" t="n"/>
      <c r="I3046" s="14" t="n"/>
      <c r="J3046" s="14" t="n"/>
      <c r="K3046" s="53" t="inlineStr"/>
      <c r="L3046" s="53" t="inlineStr">
        <is>
          <t>Не определено</t>
        </is>
      </c>
      <c r="M3046" s="53" t="inlineStr"/>
      <c r="N3046" s="54" t="inlineStr"/>
      <c r="O3046" s="55" t="inlineStr"/>
      <c r="P3046" s="16" t="inlineStr">
        <is>
          <t>Требует обогащения</t>
        </is>
      </c>
      <c r="Q3046" s="16">
        <f>HYPERLINK("https://pb.nalog.ru/search.html?query=3812014475","ФНС: проверить")</f>
        <v/>
      </c>
      <c r="R3046" s="16">
        <f>HYPERLINK("https://checko.ru/search?query=3801001629","Чекко: проверить")</f>
        <v/>
      </c>
      <c r="S3046" t="n">
        <v>1</v>
      </c>
      <c r="T3046" s="35" t="inlineStr">
        <is>
          <t>4 — Не обогащён</t>
        </is>
      </c>
      <c r="U3046" s="35" t="inlineStr">
        <is>
          <t>Нет ОКВЭД/ССЧР</t>
        </is>
      </c>
      <c r="V3046" s="35" t="inlineStr">
        <is>
          <t>Не определено</t>
        </is>
      </c>
      <c r="W3046" s="35" t="inlineStr"/>
      <c r="X3046" s="35" t="inlineStr"/>
    </row>
    <row r="3047" ht="15" customHeight="1" s="24">
      <c r="A3047" s="13" t="n">
        <v>5000047011</v>
      </c>
      <c r="B3047" s="13" t="inlineStr">
        <is>
          <t>МОУ ДОД Детская музыкальная школа № 3</t>
        </is>
      </c>
      <c r="C3047" s="13" t="n">
        <v>3812014468</v>
      </c>
      <c r="D3047" s="13" t="inlineStr">
        <is>
          <t>3812014468</t>
        </is>
      </c>
      <c r="E3047" s="13" t="inlineStr">
        <is>
          <t>ЮЛ РФ</t>
        </is>
      </c>
      <c r="F3047" s="13" t="n"/>
      <c r="G3047" s="14" t="n"/>
      <c r="H3047" s="14" t="n"/>
      <c r="I3047" s="14" t="n"/>
      <c r="J3047" s="14" t="n"/>
      <c r="K3047" s="53" t="inlineStr"/>
      <c r="L3047" s="53" t="inlineStr">
        <is>
          <t>Не определено</t>
        </is>
      </c>
      <c r="M3047" s="53" t="inlineStr"/>
      <c r="N3047" s="54" t="inlineStr"/>
      <c r="O3047" s="55" t="inlineStr"/>
      <c r="P3047" s="16" t="inlineStr">
        <is>
          <t>Требует обогащения</t>
        </is>
      </c>
      <c r="Q3047" s="16">
        <f>HYPERLINK("https://pb.nalog.ru/search.html?query=3812014468","ФНС: проверить")</f>
        <v/>
      </c>
      <c r="R3047" s="16">
        <f>HYPERLINK("https://checko.ru/search?query=3801001629","Чекко: проверить")</f>
        <v/>
      </c>
      <c r="S3047" t="n">
        <v>1</v>
      </c>
      <c r="T3047" s="35" t="inlineStr">
        <is>
          <t>4 — Не обогащён</t>
        </is>
      </c>
      <c r="U3047" s="35" t="inlineStr">
        <is>
          <t>Нет ОКВЭД/ССЧР</t>
        </is>
      </c>
      <c r="V3047" s="35" t="inlineStr">
        <is>
          <t>Не определено</t>
        </is>
      </c>
      <c r="W3047" s="35" t="inlineStr"/>
      <c r="X3047" s="35" t="inlineStr"/>
    </row>
    <row r="3048" ht="15" customHeight="1" s="24">
      <c r="A3048" s="13" t="n">
        <v>5000047010</v>
      </c>
      <c r="B3048" s="13" t="inlineStr">
        <is>
          <t>МОУ ДОД ДМШ № 7</t>
        </is>
      </c>
      <c r="C3048" s="13" t="n">
        <v>3811059843</v>
      </c>
      <c r="D3048" s="13" t="inlineStr">
        <is>
          <t>3811059843</t>
        </is>
      </c>
      <c r="E3048" s="13" t="inlineStr">
        <is>
          <t>ЮЛ РФ</t>
        </is>
      </c>
      <c r="F3048" s="13" t="n"/>
      <c r="G3048" s="14" t="n"/>
      <c r="H3048" s="14" t="n"/>
      <c r="I3048" s="14" t="n"/>
      <c r="J3048" s="14" t="n"/>
      <c r="K3048" s="53" t="inlineStr"/>
      <c r="L3048" s="53" t="inlineStr">
        <is>
          <t>Не определено</t>
        </is>
      </c>
      <c r="M3048" s="53" t="inlineStr"/>
      <c r="N3048" s="54" t="inlineStr"/>
      <c r="O3048" s="55" t="inlineStr"/>
      <c r="P3048" s="16" t="inlineStr">
        <is>
          <t>Требует обогащения</t>
        </is>
      </c>
      <c r="Q3048" s="16">
        <f>HYPERLINK("https://pb.nalog.ru/search.html?query=3811059843","ФНС: проверить")</f>
        <v/>
      </c>
      <c r="R3048" s="16">
        <f>HYPERLINK("https://checko.ru/search?query=3801001629","Чекко: проверить")</f>
        <v/>
      </c>
      <c r="S3048" t="n">
        <v>1</v>
      </c>
      <c r="T3048" s="35" t="inlineStr">
        <is>
          <t>4 — Не обогащён</t>
        </is>
      </c>
      <c r="U3048" s="35" t="inlineStr">
        <is>
          <t>Нет ОКВЭД/ССЧР</t>
        </is>
      </c>
      <c r="V3048" s="35" t="inlineStr">
        <is>
          <t>Не определено</t>
        </is>
      </c>
      <c r="W3048" s="35" t="inlineStr"/>
      <c r="X3048" s="35" t="inlineStr"/>
    </row>
    <row r="3049" ht="27.75" customHeight="1" s="24">
      <c r="A3049" s="13" t="n">
        <v>5000018427</v>
      </c>
      <c r="B3049" s="13" t="inlineStr">
        <is>
          <t>МОУ "Средняя Общеобразовательная Школа №1 г.Бодайбо"</t>
        </is>
      </c>
      <c r="C3049" s="13" t="n">
        <v>3802003410</v>
      </c>
      <c r="D3049" s="13" t="inlineStr">
        <is>
          <t>3802003410</t>
        </is>
      </c>
      <c r="E3049" s="13" t="inlineStr">
        <is>
          <t>ЮЛ РФ</t>
        </is>
      </c>
      <c r="F3049" s="13" t="n"/>
      <c r="G3049" s="14" t="n"/>
      <c r="H3049" s="14" t="n"/>
      <c r="I3049" s="14" t="n"/>
      <c r="J3049" s="14" t="n"/>
      <c r="K3049" s="53" t="inlineStr"/>
      <c r="L3049" s="53" t="inlineStr">
        <is>
          <t>Не определено</t>
        </is>
      </c>
      <c r="M3049" s="53" t="inlineStr"/>
      <c r="N3049" s="54" t="inlineStr"/>
      <c r="O3049" s="55" t="inlineStr"/>
      <c r="P3049" s="16" t="inlineStr">
        <is>
          <t>Требует обогащения</t>
        </is>
      </c>
      <c r="Q3049" s="16">
        <f>HYPERLINK("https://pb.nalog.ru/search.html?query=3802003410","ФНС: проверить")</f>
        <v/>
      </c>
      <c r="R3049" s="16">
        <f>HYPERLINK("https://checko.ru/search?query=3801001629","Чекко: проверить")</f>
        <v/>
      </c>
      <c r="S3049" t="n">
        <v>1</v>
      </c>
      <c r="T3049" s="35" t="inlineStr">
        <is>
          <t>4 — Не обогащён</t>
        </is>
      </c>
      <c r="U3049" s="35" t="inlineStr">
        <is>
          <t>Нет ОКВЭД/ССЧР</t>
        </is>
      </c>
      <c r="V3049" s="35" t="inlineStr">
        <is>
          <t>Не определено</t>
        </is>
      </c>
      <c r="W3049" s="35" t="inlineStr"/>
      <c r="X3049" s="35" t="inlineStr"/>
    </row>
    <row r="3050" ht="41.25" customHeight="1" s="24">
      <c r="A3050" s="13" t="n">
        <v>5000018428</v>
      </c>
      <c r="B3050" s="13" t="inlineStr">
        <is>
          <t>Муниципальное Казённое Дошкольное Образовательное учреждение Детский Сад № 1 "Золотой Ключик"</t>
        </is>
      </c>
      <c r="C3050" s="13" t="n">
        <v>3802009282</v>
      </c>
      <c r="D3050" s="13" t="inlineStr">
        <is>
          <t>3802009282</t>
        </is>
      </c>
      <c r="E3050" s="13" t="inlineStr">
        <is>
          <t>ЮЛ РФ</t>
        </is>
      </c>
      <c r="F3050" s="13" t="n"/>
      <c r="G3050" s="14" t="n"/>
      <c r="H3050" s="14" t="n"/>
      <c r="I3050" s="14" t="n"/>
      <c r="J3050" s="14" t="n"/>
      <c r="K3050" s="53" t="inlineStr"/>
      <c r="L3050" s="53" t="inlineStr">
        <is>
          <t>Не определено</t>
        </is>
      </c>
      <c r="M3050" s="53" t="inlineStr"/>
      <c r="N3050" s="54" t="inlineStr"/>
      <c r="O3050" s="55" t="inlineStr"/>
      <c r="P3050" s="16" t="inlineStr">
        <is>
          <t>Требует обогащения</t>
        </is>
      </c>
      <c r="Q3050" s="16">
        <f>HYPERLINK("https://pb.nalog.ru/search.html?query=3802009282","ФНС: проверить")</f>
        <v/>
      </c>
      <c r="R3050" s="16">
        <f>HYPERLINK("https://checko.ru/search?query=3801001629","Чекко: проверить")</f>
        <v/>
      </c>
      <c r="S3050" t="n">
        <v>1</v>
      </c>
      <c r="T3050" s="35" t="inlineStr">
        <is>
          <t>4 — Не обогащён</t>
        </is>
      </c>
      <c r="U3050" s="35" t="inlineStr">
        <is>
          <t>Нет ОКВЭД/ССЧР</t>
        </is>
      </c>
      <c r="V3050" s="35" t="inlineStr">
        <is>
          <t>Не определено</t>
        </is>
      </c>
      <c r="W3050" s="35" t="inlineStr"/>
      <c r="X3050" s="35" t="inlineStr"/>
    </row>
    <row r="3051" ht="41.25" customHeight="1" s="24">
      <c r="A3051" s="13" t="n">
        <v>5000018430</v>
      </c>
      <c r="B3051" s="13" t="inlineStr">
        <is>
          <t>Муниципальное Казённое Дошкольное Образовательное учреждение Детский Сад № 20 "Родничок"</t>
        </is>
      </c>
      <c r="C3051" s="13" t="n">
        <v>3802007278</v>
      </c>
      <c r="D3051" s="13" t="inlineStr">
        <is>
          <t>3802007278</t>
        </is>
      </c>
      <c r="E3051" s="13" t="inlineStr">
        <is>
          <t>ЮЛ РФ</t>
        </is>
      </c>
      <c r="F3051" s="13" t="n"/>
      <c r="G3051" s="14" t="n"/>
      <c r="H3051" s="14" t="n"/>
      <c r="I3051" s="14" t="n"/>
      <c r="J3051" s="14" t="n"/>
      <c r="K3051" s="53" t="inlineStr"/>
      <c r="L3051" s="53" t="inlineStr">
        <is>
          <t>Не определено</t>
        </is>
      </c>
      <c r="M3051" s="53" t="inlineStr"/>
      <c r="N3051" s="54" t="inlineStr"/>
      <c r="O3051" s="55" t="inlineStr"/>
      <c r="P3051" s="16" t="inlineStr">
        <is>
          <t>Требует обогащения</t>
        </is>
      </c>
      <c r="Q3051" s="16">
        <f>HYPERLINK("https://pb.nalog.ru/search.html?query=3802007278","ФНС: проверить")</f>
        <v/>
      </c>
      <c r="R3051" s="16">
        <f>HYPERLINK("https://checko.ru/search?query=3801001629","Чекко: проверить")</f>
        <v/>
      </c>
      <c r="S3051" t="n">
        <v>1</v>
      </c>
      <c r="T3051" s="35" t="inlineStr">
        <is>
          <t>4 — Не обогащён</t>
        </is>
      </c>
      <c r="U3051" s="35" t="inlineStr">
        <is>
          <t>Нет ОКВЭД/ССЧР</t>
        </is>
      </c>
      <c r="V3051" s="35" t="inlineStr">
        <is>
          <t>Не определено</t>
        </is>
      </c>
      <c r="W3051" s="35" t="inlineStr"/>
      <c r="X3051" s="35" t="inlineStr"/>
    </row>
    <row r="3052" ht="41.25" customHeight="1" s="24">
      <c r="A3052" s="13" t="n">
        <v>5000018431</v>
      </c>
      <c r="B3052" s="13" t="inlineStr">
        <is>
          <t>Муниципальное Казённое Дошкольное Образовательное учреждение Детский Сад № 22 "Улыбка"</t>
        </is>
      </c>
      <c r="C3052" s="13" t="n">
        <v>3802007172</v>
      </c>
      <c r="D3052" s="13" t="inlineStr">
        <is>
          <t>3802007172</t>
        </is>
      </c>
      <c r="E3052" s="13" t="inlineStr">
        <is>
          <t>ЮЛ РФ</t>
        </is>
      </c>
      <c r="F3052" s="13" t="n"/>
      <c r="G3052" s="14" t="n"/>
      <c r="H3052" s="14" t="n"/>
      <c r="I3052" s="14" t="n"/>
      <c r="J3052" s="14" t="n"/>
      <c r="K3052" s="53" t="inlineStr"/>
      <c r="L3052" s="53" t="inlineStr">
        <is>
          <t>Не определено</t>
        </is>
      </c>
      <c r="M3052" s="53" t="inlineStr"/>
      <c r="N3052" s="54" t="inlineStr"/>
      <c r="O3052" s="55" t="inlineStr"/>
      <c r="P3052" s="16" t="inlineStr">
        <is>
          <t>Требует обогащения</t>
        </is>
      </c>
      <c r="Q3052" s="16">
        <f>HYPERLINK("https://pb.nalog.ru/search.html?query=3802007172","ФНС: проверить")</f>
        <v/>
      </c>
      <c r="R3052" s="16">
        <f>HYPERLINK("https://checko.ru/search?query=3801001629","Чекко: проверить")</f>
        <v/>
      </c>
      <c r="S3052" t="n">
        <v>1</v>
      </c>
      <c r="T3052" s="35" t="inlineStr">
        <is>
          <t>4 — Не обогащён</t>
        </is>
      </c>
      <c r="U3052" s="35" t="inlineStr">
        <is>
          <t>Нет ОКВЭД/ССЧР</t>
        </is>
      </c>
      <c r="V3052" s="35" t="inlineStr">
        <is>
          <t>Не определено</t>
        </is>
      </c>
      <c r="W3052" s="35" t="inlineStr"/>
      <c r="X3052" s="35" t="inlineStr"/>
    </row>
    <row r="3053" ht="15" customHeight="1" s="24">
      <c r="A3053" s="13" t="n">
        <v>5000018432</v>
      </c>
      <c r="B3053" s="13" t="inlineStr">
        <is>
          <t>МКДОУ Детский Сад № 32 "Сказка"</t>
        </is>
      </c>
      <c r="C3053" s="13" t="n">
        <v>3802001325</v>
      </c>
      <c r="D3053" s="13" t="inlineStr">
        <is>
          <t>3802001325</t>
        </is>
      </c>
      <c r="E3053" s="13" t="inlineStr">
        <is>
          <t>ЮЛ РФ</t>
        </is>
      </c>
      <c r="F3053" s="13" t="n"/>
      <c r="G3053" s="14" t="n"/>
      <c r="H3053" s="14" t="n"/>
      <c r="I3053" s="14" t="n"/>
      <c r="J3053" s="14" t="n"/>
      <c r="K3053" s="53" t="inlineStr"/>
      <c r="L3053" s="53" t="inlineStr">
        <is>
          <t>Не определено</t>
        </is>
      </c>
      <c r="M3053" s="53" t="inlineStr"/>
      <c r="N3053" s="54" t="inlineStr"/>
      <c r="O3053" s="55" t="inlineStr"/>
      <c r="P3053" s="16" t="inlineStr">
        <is>
          <t>Требует обогащения</t>
        </is>
      </c>
      <c r="Q3053" s="16">
        <f>HYPERLINK("https://pb.nalog.ru/search.html?query=3802001325","ФНС: проверить")</f>
        <v/>
      </c>
      <c r="R3053" s="16">
        <f>HYPERLINK("https://checko.ru/search?query=3801001629","Чекко: проверить")</f>
        <v/>
      </c>
      <c r="S3053" t="n">
        <v>1</v>
      </c>
      <c r="T3053" s="35" t="inlineStr">
        <is>
          <t>4 — Не обогащён</t>
        </is>
      </c>
      <c r="U3053" s="35" t="inlineStr">
        <is>
          <t>Нет ОКВЭД/ССЧР</t>
        </is>
      </c>
      <c r="V3053" s="35" t="inlineStr">
        <is>
          <t>Не определено</t>
        </is>
      </c>
      <c r="W3053" s="35" t="inlineStr"/>
      <c r="X3053" s="35" t="inlineStr"/>
    </row>
    <row r="3054" ht="41.25" customHeight="1" s="24">
      <c r="A3054" s="13" t="n">
        <v>5000018433</v>
      </c>
      <c r="B3054" s="13" t="inlineStr">
        <is>
          <t>Муниципальное Казённое Дошкольное Образовательное учреждение Детский Сад № 5 "Брусничка"</t>
        </is>
      </c>
      <c r="C3054" s="13" t="n">
        <v>3802003403</v>
      </c>
      <c r="D3054" s="13" t="inlineStr">
        <is>
          <t>3802003403</t>
        </is>
      </c>
      <c r="E3054" s="13" t="inlineStr">
        <is>
          <t>ЮЛ РФ</t>
        </is>
      </c>
      <c r="F3054" s="13" t="n"/>
      <c r="G3054" s="14" t="n"/>
      <c r="H3054" s="14" t="n"/>
      <c r="I3054" s="14" t="n"/>
      <c r="J3054" s="14" t="n"/>
      <c r="K3054" s="53" t="inlineStr"/>
      <c r="L3054" s="53" t="inlineStr">
        <is>
          <t>Не определено</t>
        </is>
      </c>
      <c r="M3054" s="53" t="inlineStr"/>
      <c r="N3054" s="54" t="inlineStr"/>
      <c r="O3054" s="55" t="inlineStr"/>
      <c r="P3054" s="16" t="inlineStr">
        <is>
          <t>Требует обогащения</t>
        </is>
      </c>
      <c r="Q3054" s="16">
        <f>HYPERLINK("https://pb.nalog.ru/search.html?query=3802003403","ФНС: проверить")</f>
        <v/>
      </c>
      <c r="R3054" s="16">
        <f>HYPERLINK("https://checko.ru/search?query=3801001629","Чекко: проверить")</f>
        <v/>
      </c>
      <c r="S3054" t="n">
        <v>1</v>
      </c>
      <c r="T3054" s="35" t="inlineStr">
        <is>
          <t>4 — Не обогащён</t>
        </is>
      </c>
      <c r="U3054" s="35" t="inlineStr">
        <is>
          <t>Нет ОКВЭД/ССЧР</t>
        </is>
      </c>
      <c r="V3054" s="35" t="inlineStr">
        <is>
          <t>Не определено</t>
        </is>
      </c>
      <c r="W3054" s="35" t="inlineStr"/>
      <c r="X3054" s="35" t="inlineStr"/>
    </row>
    <row r="3055" ht="41.25" customHeight="1" s="24">
      <c r="A3055" s="13" t="n">
        <v>5000018434</v>
      </c>
      <c r="B3055" s="13" t="inlineStr">
        <is>
          <t>Муниципальное Казённое Дошкольное Образовательное учреждение Детский Сад № 8 "Буратино"</t>
        </is>
      </c>
      <c r="C3055" s="13" t="n">
        <v>3802007567</v>
      </c>
      <c r="D3055" s="13" t="inlineStr">
        <is>
          <t>3802007567</t>
        </is>
      </c>
      <c r="E3055" s="13" t="inlineStr">
        <is>
          <t>ЮЛ РФ</t>
        </is>
      </c>
      <c r="F3055" s="13" t="n"/>
      <c r="G3055" s="14" t="n"/>
      <c r="H3055" s="14" t="n"/>
      <c r="I3055" s="14" t="n"/>
      <c r="J3055" s="14" t="n"/>
      <c r="K3055" s="53" t="inlineStr"/>
      <c r="L3055" s="53" t="inlineStr">
        <is>
          <t>Не определено</t>
        </is>
      </c>
      <c r="M3055" s="53" t="inlineStr"/>
      <c r="N3055" s="54" t="inlineStr"/>
      <c r="O3055" s="55" t="inlineStr"/>
      <c r="P3055" s="16" t="inlineStr">
        <is>
          <t>Требует обогащения</t>
        </is>
      </c>
      <c r="Q3055" s="16">
        <f>HYPERLINK("https://pb.nalog.ru/search.html?query=3802007567","ФНС: проверить")</f>
        <v/>
      </c>
      <c r="R3055" s="16">
        <f>HYPERLINK("https://checko.ru/search?query=3801001629","Чекко: проверить")</f>
        <v/>
      </c>
      <c r="S3055" t="n">
        <v>1</v>
      </c>
      <c r="T3055" s="35" t="inlineStr">
        <is>
          <t>4 — Не обогащён</t>
        </is>
      </c>
      <c r="U3055" s="35" t="inlineStr">
        <is>
          <t>Нет ОКВЭД/ССЧР</t>
        </is>
      </c>
      <c r="V3055" s="35" t="inlineStr">
        <is>
          <t>Не определено</t>
        </is>
      </c>
      <c r="W3055" s="35" t="inlineStr"/>
      <c r="X3055" s="35" t="inlineStr"/>
    </row>
    <row r="3056" ht="41.25" customHeight="1" s="24">
      <c r="A3056" s="13" t="n">
        <v>5000018436</v>
      </c>
      <c r="B3056" s="13" t="inlineStr">
        <is>
          <t>Муниципальное Казённое Дошкольное Образовательное учреждение Детский Сад №13 "Берёзка"</t>
        </is>
      </c>
      <c r="C3056" s="13" t="n">
        <v>3802007158</v>
      </c>
      <c r="D3056" s="13" t="inlineStr">
        <is>
          <t>3802007158</t>
        </is>
      </c>
      <c r="E3056" s="13" t="inlineStr">
        <is>
          <t>ЮЛ РФ</t>
        </is>
      </c>
      <c r="F3056" s="13" t="n"/>
      <c r="G3056" s="14" t="n"/>
      <c r="H3056" s="14" t="n"/>
      <c r="I3056" s="14" t="n"/>
      <c r="J3056" s="14" t="n"/>
      <c r="K3056" s="53" t="inlineStr"/>
      <c r="L3056" s="53" t="inlineStr">
        <is>
          <t>Не определено</t>
        </is>
      </c>
      <c r="M3056" s="53" t="inlineStr"/>
      <c r="N3056" s="54" t="inlineStr"/>
      <c r="O3056" s="55" t="inlineStr"/>
      <c r="P3056" s="16" t="inlineStr">
        <is>
          <t>Требует обогащения</t>
        </is>
      </c>
      <c r="Q3056" s="16">
        <f>HYPERLINK("https://pb.nalog.ru/search.html?query=3802007158","ФНС: проверить")</f>
        <v/>
      </c>
      <c r="R3056" s="16">
        <f>HYPERLINK("https://checko.ru/search?query=3801001629","Чекко: проверить")</f>
        <v/>
      </c>
      <c r="S3056" t="n">
        <v>1</v>
      </c>
      <c r="T3056" s="35" t="inlineStr">
        <is>
          <t>4 — Не обогащён</t>
        </is>
      </c>
      <c r="U3056" s="35" t="inlineStr">
        <is>
          <t>Нет ОКВЭД/ССЧР</t>
        </is>
      </c>
      <c r="V3056" s="35" t="inlineStr">
        <is>
          <t>Не определено</t>
        </is>
      </c>
      <c r="W3056" s="35" t="inlineStr"/>
      <c r="X3056" s="35" t="inlineStr"/>
    </row>
    <row r="3057" ht="41.25" customHeight="1" s="24">
      <c r="A3057" s="13" t="n">
        <v>5000018437</v>
      </c>
      <c r="B3057" s="13" t="inlineStr">
        <is>
          <t>Муниципальное Казённое Общеобразовательное учреждение "Артемовская Средняя Общеобразовательная Школа"</t>
        </is>
      </c>
      <c r="C3057" s="13" t="n">
        <v>3802002054</v>
      </c>
      <c r="D3057" s="13" t="inlineStr">
        <is>
          <t>3802002054</t>
        </is>
      </c>
      <c r="E3057" s="13" t="inlineStr">
        <is>
          <t>ЮЛ РФ</t>
        </is>
      </c>
      <c r="F3057" s="13" t="n"/>
      <c r="G3057" s="14" t="n"/>
      <c r="H3057" s="14" t="n"/>
      <c r="I3057" s="14" t="n"/>
      <c r="J3057" s="14" t="n"/>
      <c r="K3057" s="53" t="inlineStr"/>
      <c r="L3057" s="53" t="inlineStr">
        <is>
          <t>Не определено</t>
        </is>
      </c>
      <c r="M3057" s="53" t="inlineStr"/>
      <c r="N3057" s="54" t="inlineStr"/>
      <c r="O3057" s="55" t="inlineStr"/>
      <c r="P3057" s="16" t="inlineStr">
        <is>
          <t>Требует обогащения</t>
        </is>
      </c>
      <c r="Q3057" s="16">
        <f>HYPERLINK("https://pb.nalog.ru/search.html?query=3802002054","ФНС: проверить")</f>
        <v/>
      </c>
      <c r="R3057" s="16">
        <f>HYPERLINK("https://checko.ru/search?query=3801001629","Чекко: проверить")</f>
        <v/>
      </c>
      <c r="S3057" t="n">
        <v>1</v>
      </c>
      <c r="T3057" s="35" t="inlineStr">
        <is>
          <t>4 — Не обогащён</t>
        </is>
      </c>
      <c r="U3057" s="35" t="inlineStr">
        <is>
          <t>Нет ОКВЭД/ССЧР</t>
        </is>
      </c>
      <c r="V3057" s="35" t="inlineStr">
        <is>
          <t>Не определено</t>
        </is>
      </c>
      <c r="W3057" s="35" t="inlineStr"/>
      <c r="X3057" s="35" t="inlineStr"/>
    </row>
    <row r="3058" ht="27.75" customHeight="1" s="24">
      <c r="A3058" s="13" t="n">
        <v>5000018438</v>
      </c>
      <c r="B3058" s="13" t="inlineStr">
        <is>
          <t>МКОУ "Балахнинская Средняя Общеобразовательная Школа"</t>
        </is>
      </c>
      <c r="C3058" s="13" t="n">
        <v>3802009081</v>
      </c>
      <c r="D3058" s="13" t="inlineStr">
        <is>
          <t>3802009081</t>
        </is>
      </c>
      <c r="E3058" s="13" t="inlineStr">
        <is>
          <t>ЮЛ РФ</t>
        </is>
      </c>
      <c r="F3058" s="13" t="n"/>
      <c r="G3058" s="14" t="n"/>
      <c r="H3058" s="14" t="n"/>
      <c r="I3058" s="14" t="n"/>
      <c r="J3058" s="14" t="n"/>
      <c r="K3058" s="53" t="inlineStr"/>
      <c r="L3058" s="53" t="inlineStr">
        <is>
          <t>Не определено</t>
        </is>
      </c>
      <c r="M3058" s="53" t="inlineStr"/>
      <c r="N3058" s="54" t="inlineStr"/>
      <c r="O3058" s="55" t="inlineStr"/>
      <c r="P3058" s="16" t="inlineStr">
        <is>
          <t>Требует обогащения</t>
        </is>
      </c>
      <c r="Q3058" s="16">
        <f>HYPERLINK("https://pb.nalog.ru/search.html?query=3802009081","ФНС: проверить")</f>
        <v/>
      </c>
      <c r="R3058" s="16">
        <f>HYPERLINK("https://checko.ru/search?query=3801001629","Чекко: проверить")</f>
        <v/>
      </c>
      <c r="S3058" t="n">
        <v>1</v>
      </c>
      <c r="T3058" s="35" t="inlineStr">
        <is>
          <t>4 — Не обогащён</t>
        </is>
      </c>
      <c r="U3058" s="35" t="inlineStr">
        <is>
          <t>Нет ОКВЭД/ССЧР</t>
        </is>
      </c>
      <c r="V3058" s="35" t="inlineStr">
        <is>
          <t>Не определено</t>
        </is>
      </c>
      <c r="W3058" s="35" t="inlineStr"/>
      <c r="X3058" s="35" t="inlineStr"/>
    </row>
    <row r="3059" ht="41.25" customHeight="1" s="24">
      <c r="A3059" s="13" t="n">
        <v>5000018439</v>
      </c>
      <c r="B3059" s="13" t="inlineStr">
        <is>
          <t>Муниципальное Казённое Общеобразовательное учреждение "Кропоткинская Средняя Общеобразовательная Школа"</t>
        </is>
      </c>
      <c r="C3059" s="13" t="n">
        <v>3802003717</v>
      </c>
      <c r="D3059" s="13" t="inlineStr">
        <is>
          <t>3802003717</t>
        </is>
      </c>
      <c r="E3059" s="13" t="inlineStr">
        <is>
          <t>ЮЛ РФ</t>
        </is>
      </c>
      <c r="F3059" s="13" t="n"/>
      <c r="G3059" s="14" t="n"/>
      <c r="H3059" s="14" t="n"/>
      <c r="I3059" s="14" t="n"/>
      <c r="J3059" s="14" t="n"/>
      <c r="K3059" s="53" t="inlineStr"/>
      <c r="L3059" s="53" t="inlineStr">
        <is>
          <t>Не определено</t>
        </is>
      </c>
      <c r="M3059" s="53" t="inlineStr"/>
      <c r="N3059" s="54" t="inlineStr"/>
      <c r="O3059" s="55" t="inlineStr"/>
      <c r="P3059" s="16" t="inlineStr">
        <is>
          <t>Требует обогащения</t>
        </is>
      </c>
      <c r="Q3059" s="16">
        <f>HYPERLINK("https://pb.nalog.ru/search.html?query=3802003717","ФНС: проверить")</f>
        <v/>
      </c>
      <c r="R3059" s="16">
        <f>HYPERLINK("https://checko.ru/search?query=3801001629","Чекко: проверить")</f>
        <v/>
      </c>
      <c r="S3059" t="n">
        <v>1</v>
      </c>
      <c r="T3059" s="35" t="inlineStr">
        <is>
          <t>4 — Не обогащён</t>
        </is>
      </c>
      <c r="U3059" s="35" t="inlineStr">
        <is>
          <t>Нет ОКВЭД/ССЧР</t>
        </is>
      </c>
      <c r="V3059" s="35" t="inlineStr">
        <is>
          <t>Не определено</t>
        </is>
      </c>
      <c r="W3059" s="35" t="inlineStr"/>
      <c r="X3059" s="35" t="inlineStr"/>
    </row>
    <row r="3060" ht="41.25" customHeight="1" s="24">
      <c r="A3060" s="13" t="n">
        <v>5000018440</v>
      </c>
      <c r="B3060" s="13" t="inlineStr">
        <is>
          <t>Муниципальное Казённое Общеобразовательное учреждение "Мамаканская Средняя Общеобразовательная Школа"</t>
        </is>
      </c>
      <c r="C3060" s="13" t="n">
        <v>3802003379</v>
      </c>
      <c r="D3060" s="13" t="inlineStr">
        <is>
          <t>3802003379</t>
        </is>
      </c>
      <c r="E3060" s="13" t="inlineStr">
        <is>
          <t>ЮЛ РФ</t>
        </is>
      </c>
      <c r="F3060" s="13" t="n"/>
      <c r="G3060" s="14" t="n"/>
      <c r="H3060" s="14" t="n"/>
      <c r="I3060" s="14" t="n"/>
      <c r="J3060" s="14" t="n"/>
      <c r="K3060" s="53" t="inlineStr"/>
      <c r="L3060" s="53" t="inlineStr">
        <is>
          <t>Не определено</t>
        </is>
      </c>
      <c r="M3060" s="53" t="inlineStr"/>
      <c r="N3060" s="54" t="inlineStr"/>
      <c r="O3060" s="55" t="inlineStr"/>
      <c r="P3060" s="16" t="inlineStr">
        <is>
          <t>Требует обогащения</t>
        </is>
      </c>
      <c r="Q3060" s="16">
        <f>HYPERLINK("https://pb.nalog.ru/search.html?query=3802003379","ФНС: проверить")</f>
        <v/>
      </c>
      <c r="R3060" s="16">
        <f>HYPERLINK("https://checko.ru/search?query=3801001629","Чекко: проверить")</f>
        <v/>
      </c>
      <c r="S3060" t="n">
        <v>1</v>
      </c>
      <c r="T3060" s="35" t="inlineStr">
        <is>
          <t>4 — Не обогащён</t>
        </is>
      </c>
      <c r="U3060" s="35" t="inlineStr">
        <is>
          <t>Нет ОКВЭД/ССЧР</t>
        </is>
      </c>
      <c r="V3060" s="35" t="inlineStr">
        <is>
          <t>Не определено</t>
        </is>
      </c>
      <c r="W3060" s="35" t="inlineStr"/>
      <c r="X3060" s="35" t="inlineStr"/>
    </row>
    <row r="3061" ht="27.75" customHeight="1" s="24">
      <c r="A3061" s="13" t="n">
        <v>5000018441</v>
      </c>
      <c r="B3061" s="13" t="inlineStr">
        <is>
          <t>МКОУ "Начальная Общеобразовательная Школа г. Бодайбо"</t>
        </is>
      </c>
      <c r="C3061" s="13" t="n">
        <v>3802001477</v>
      </c>
      <c r="D3061" s="13" t="inlineStr">
        <is>
          <t>3802001477</t>
        </is>
      </c>
      <c r="E3061" s="13" t="inlineStr">
        <is>
          <t>ЮЛ РФ</t>
        </is>
      </c>
      <c r="F3061" s="13" t="n"/>
      <c r="G3061" s="14" t="n"/>
      <c r="H3061" s="14" t="n"/>
      <c r="I3061" s="14" t="n"/>
      <c r="J3061" s="14" t="n"/>
      <c r="K3061" s="53" t="inlineStr"/>
      <c r="L3061" s="53" t="inlineStr">
        <is>
          <t>Не определено</t>
        </is>
      </c>
      <c r="M3061" s="53" t="inlineStr"/>
      <c r="N3061" s="54" t="inlineStr"/>
      <c r="O3061" s="55" t="inlineStr"/>
      <c r="P3061" s="16" t="inlineStr">
        <is>
          <t>Требует обогащения</t>
        </is>
      </c>
      <c r="Q3061" s="16">
        <f>HYPERLINK("https://pb.nalog.ru/search.html?query=3802001477","ФНС: проверить")</f>
        <v/>
      </c>
      <c r="R3061" s="16">
        <f>HYPERLINK("https://checko.ru/search?query=3801001629","Чекко: проверить")</f>
        <v/>
      </c>
      <c r="S3061" t="n">
        <v>1</v>
      </c>
      <c r="T3061" s="35" t="inlineStr">
        <is>
          <t>4 — Не обогащён</t>
        </is>
      </c>
      <c r="U3061" s="35" t="inlineStr">
        <is>
          <t>Нет ОКВЭД/ССЧР</t>
        </is>
      </c>
      <c r="V3061" s="35" t="inlineStr">
        <is>
          <t>Не определено</t>
        </is>
      </c>
      <c r="W3061" s="35" t="inlineStr"/>
      <c r="X3061" s="35" t="inlineStr"/>
    </row>
    <row r="3062" ht="41.25" customHeight="1" s="24">
      <c r="A3062" s="13" t="n">
        <v>5000018443</v>
      </c>
      <c r="B3062" s="13" t="inlineStr">
        <is>
          <t>Муниципальное Казённое Общеобразовательное учреждение "Перевозовская Средняя Общеобразовательная Школа"</t>
        </is>
      </c>
      <c r="C3062" s="13" t="n">
        <v>3802003347</v>
      </c>
      <c r="D3062" s="13" t="inlineStr">
        <is>
          <t>3802003347</t>
        </is>
      </c>
      <c r="E3062" s="13" t="inlineStr">
        <is>
          <t>ЮЛ РФ</t>
        </is>
      </c>
      <c r="F3062" s="13" t="n"/>
      <c r="G3062" s="14" t="n"/>
      <c r="H3062" s="14" t="n"/>
      <c r="I3062" s="14" t="n"/>
      <c r="J3062" s="14" t="n"/>
      <c r="K3062" s="53" t="inlineStr"/>
      <c r="L3062" s="53" t="inlineStr">
        <is>
          <t>Не определено</t>
        </is>
      </c>
      <c r="M3062" s="53" t="inlineStr"/>
      <c r="N3062" s="54" t="inlineStr"/>
      <c r="O3062" s="55" t="inlineStr"/>
      <c r="P3062" s="16" t="inlineStr">
        <is>
          <t>Требует обогащения</t>
        </is>
      </c>
      <c r="Q3062" s="16">
        <f>HYPERLINK("https://pb.nalog.ru/search.html?query=3802003347","ФНС: проверить")</f>
        <v/>
      </c>
      <c r="R3062" s="16">
        <f>HYPERLINK("https://checko.ru/search?query=3801001629","Чекко: проверить")</f>
        <v/>
      </c>
      <c r="S3062" t="n">
        <v>1</v>
      </c>
      <c r="T3062" s="35" t="inlineStr">
        <is>
          <t>4 — Не обогащён</t>
        </is>
      </c>
      <c r="U3062" s="35" t="inlineStr">
        <is>
          <t>Нет ОКВЭД/ССЧР</t>
        </is>
      </c>
      <c r="V3062" s="35" t="inlineStr">
        <is>
          <t>Не определено</t>
        </is>
      </c>
      <c r="W3062" s="35" t="inlineStr"/>
      <c r="X3062" s="35" t="inlineStr"/>
    </row>
    <row r="3063" ht="27.75" customHeight="1" s="24">
      <c r="A3063" s="13" t="n">
        <v>5000018444</v>
      </c>
      <c r="B3063" s="13" t="inlineStr">
        <is>
          <t>МКОУ "Средняя Общеобразовательная Школа №3 г.Бодайбо"</t>
        </is>
      </c>
      <c r="C3063" s="13" t="n">
        <v>3802003481</v>
      </c>
      <c r="D3063" s="13" t="inlineStr">
        <is>
          <t>3802003481</t>
        </is>
      </c>
      <c r="E3063" s="13" t="inlineStr">
        <is>
          <t>ЮЛ РФ</t>
        </is>
      </c>
      <c r="F3063" s="13" t="n"/>
      <c r="G3063" s="14" t="n"/>
      <c r="H3063" s="14" t="n"/>
      <c r="I3063" s="14" t="n"/>
      <c r="J3063" s="14" t="n"/>
      <c r="K3063" s="53" t="inlineStr"/>
      <c r="L3063" s="53" t="inlineStr">
        <is>
          <t>Не определено</t>
        </is>
      </c>
      <c r="M3063" s="53" t="inlineStr"/>
      <c r="N3063" s="54" t="inlineStr"/>
      <c r="O3063" s="55" t="inlineStr"/>
      <c r="P3063" s="16" t="inlineStr">
        <is>
          <t>Требует обогащения</t>
        </is>
      </c>
      <c r="Q3063" s="16">
        <f>HYPERLINK("https://pb.nalog.ru/search.html?query=3802003481","ФНС: проверить")</f>
        <v/>
      </c>
      <c r="R3063" s="16">
        <f>HYPERLINK("https://checko.ru/search?query=3801001629","Чекко: проверить")</f>
        <v/>
      </c>
      <c r="S3063" t="n">
        <v>1</v>
      </c>
      <c r="T3063" s="35" t="inlineStr">
        <is>
          <t>4 — Не обогащён</t>
        </is>
      </c>
      <c r="U3063" s="35" t="inlineStr">
        <is>
          <t>Нет ОКВЭД/ССЧР</t>
        </is>
      </c>
      <c r="V3063" s="35" t="inlineStr">
        <is>
          <t>Не определено</t>
        </is>
      </c>
      <c r="W3063" s="35" t="inlineStr"/>
      <c r="X3063" s="35" t="inlineStr"/>
    </row>
    <row r="3064" ht="27.75" customHeight="1" s="24">
      <c r="A3064" s="13" t="n">
        <v>5000018445</v>
      </c>
      <c r="B3064" s="13" t="inlineStr">
        <is>
          <t>Муниципальное Казённое учреждение "Ресурсный Центр г. Бодайбо и Района"</t>
        </is>
      </c>
      <c r="C3064" s="13" t="n">
        <v>3802012013</v>
      </c>
      <c r="D3064" s="13" t="inlineStr">
        <is>
          <t>3802012013</t>
        </is>
      </c>
      <c r="E3064" s="13" t="inlineStr">
        <is>
          <t>ЮЛ РФ</t>
        </is>
      </c>
      <c r="F3064" s="13" t="n"/>
      <c r="G3064" s="14" t="n"/>
      <c r="H3064" s="14" t="n"/>
      <c r="I3064" s="14" t="n"/>
      <c r="J3064" s="14" t="n"/>
      <c r="K3064" s="53" t="inlineStr"/>
      <c r="L3064" s="53" t="inlineStr">
        <is>
          <t>Не определено</t>
        </is>
      </c>
      <c r="M3064" s="53" t="inlineStr"/>
      <c r="N3064" s="54" t="inlineStr"/>
      <c r="O3064" s="55" t="inlineStr"/>
      <c r="P3064" s="16" t="inlineStr">
        <is>
          <t>Требует обогащения</t>
        </is>
      </c>
      <c r="Q3064" s="16">
        <f>HYPERLINK("https://pb.nalog.ru/search.html?query=3802012013","ФНС: проверить")</f>
        <v/>
      </c>
      <c r="R3064" s="16">
        <f>HYPERLINK("https://checko.ru/search?query=3801001629","Чекко: проверить")</f>
        <v/>
      </c>
      <c r="S3064" t="n">
        <v>1</v>
      </c>
      <c r="T3064" s="35" t="inlineStr">
        <is>
          <t>4 — Не обогащён</t>
        </is>
      </c>
      <c r="U3064" s="35" t="inlineStr">
        <is>
          <t>Нет ОКВЭД/ССЧР</t>
        </is>
      </c>
      <c r="V3064" s="35" t="inlineStr">
        <is>
          <t>Не определено</t>
        </is>
      </c>
      <c r="W3064" s="35" t="inlineStr"/>
      <c r="X3064" s="35" t="inlineStr"/>
    </row>
    <row r="3065" ht="27.75" customHeight="1" s="24">
      <c r="A3065" s="13" t="n">
        <v>5000018446</v>
      </c>
      <c r="B3065" s="13" t="inlineStr">
        <is>
          <t>Муниципальное Казённое учреждение Дополнительного Образования "Дом Творчества"</t>
        </is>
      </c>
      <c r="C3065" s="13" t="n">
        <v>3802003386</v>
      </c>
      <c r="D3065" s="13" t="inlineStr">
        <is>
          <t>3802003386</t>
        </is>
      </c>
      <c r="E3065" s="13" t="inlineStr">
        <is>
          <t>ЮЛ РФ</t>
        </is>
      </c>
      <c r="F3065" s="13" t="n"/>
      <c r="G3065" s="14" t="n"/>
      <c r="H3065" s="14" t="n"/>
      <c r="I3065" s="14" t="n"/>
      <c r="J3065" s="14" t="n"/>
      <c r="K3065" s="53" t="inlineStr"/>
      <c r="L3065" s="53" t="inlineStr">
        <is>
          <t>Не определено</t>
        </is>
      </c>
      <c r="M3065" s="53" t="inlineStr"/>
      <c r="N3065" s="54" t="inlineStr"/>
      <c r="O3065" s="55" t="inlineStr"/>
      <c r="P3065" s="16" t="inlineStr">
        <is>
          <t>Требует обогащения</t>
        </is>
      </c>
      <c r="Q3065" s="16">
        <f>HYPERLINK("https://pb.nalog.ru/search.html?query=3802003386","ФНС: проверить")</f>
        <v/>
      </c>
      <c r="R3065" s="16">
        <f>HYPERLINK("https://checko.ru/search?query=3801001629","Чекко: проверить")</f>
        <v/>
      </c>
      <c r="S3065" t="n">
        <v>1</v>
      </c>
      <c r="T3065" s="35" t="inlineStr">
        <is>
          <t>4 — Не обогащён</t>
        </is>
      </c>
      <c r="U3065" s="35" t="inlineStr">
        <is>
          <t>Нет ОКВЭД/ССЧР</t>
        </is>
      </c>
      <c r="V3065" s="35" t="inlineStr">
        <is>
          <t>Не определено</t>
        </is>
      </c>
      <c r="W3065" s="35" t="inlineStr"/>
      <c r="X3065" s="35" t="inlineStr"/>
    </row>
    <row r="3066" ht="41.25" customHeight="1" s="24">
      <c r="A3066" s="13" t="n">
        <v>5000018447</v>
      </c>
      <c r="B3066" s="13" t="inlineStr">
        <is>
          <t>Муниципальное Казённое учреждение Дополнительного Образования "Детский Оздоровительно-Образовательный Центр"</t>
        </is>
      </c>
      <c r="C3066" s="13" t="n">
        <v>3802007341</v>
      </c>
      <c r="D3066" s="13" t="inlineStr">
        <is>
          <t>3802007341</t>
        </is>
      </c>
      <c r="E3066" s="13" t="inlineStr">
        <is>
          <t>ЮЛ РФ</t>
        </is>
      </c>
      <c r="F3066" s="13" t="n"/>
      <c r="G3066" s="14" t="n"/>
      <c r="H3066" s="14" t="n"/>
      <c r="I3066" s="14" t="n"/>
      <c r="J3066" s="14" t="n"/>
      <c r="K3066" s="53" t="inlineStr"/>
      <c r="L3066" s="53" t="inlineStr">
        <is>
          <t>Не определено</t>
        </is>
      </c>
      <c r="M3066" s="53" t="inlineStr"/>
      <c r="N3066" s="54" t="inlineStr"/>
      <c r="O3066" s="55" t="inlineStr"/>
      <c r="P3066" s="16" t="inlineStr">
        <is>
          <t>Требует обогащения</t>
        </is>
      </c>
      <c r="Q3066" s="16">
        <f>HYPERLINK("https://pb.nalog.ru/search.html?query=3802007341","ФНС: проверить")</f>
        <v/>
      </c>
      <c r="R3066" s="16">
        <f>HYPERLINK("https://checko.ru/search?query=3801001629","Чекко: проверить")</f>
        <v/>
      </c>
      <c r="S3066" t="n">
        <v>1</v>
      </c>
      <c r="T3066" s="35" t="inlineStr">
        <is>
          <t>4 — Не обогащён</t>
        </is>
      </c>
      <c r="U3066" s="35" t="inlineStr">
        <is>
          <t>Нет ОКВЭД/ССЧР</t>
        </is>
      </c>
      <c r="V3066" s="35" t="inlineStr">
        <is>
          <t>Не определено</t>
        </is>
      </c>
      <c r="W3066" s="35" t="inlineStr"/>
      <c r="X3066" s="35" t="inlineStr"/>
    </row>
    <row r="3067" ht="41.25" customHeight="1" s="24">
      <c r="A3067" s="13" t="n">
        <v>5000018448</v>
      </c>
      <c r="B3067" s="13" t="inlineStr">
        <is>
          <t>Муниципальное Казённое учреждение Дополнительного Образования "Станция Юных Натуралистов"</t>
        </is>
      </c>
      <c r="C3067" s="13" t="n">
        <v>3802002287</v>
      </c>
      <c r="D3067" s="13" t="inlineStr">
        <is>
          <t>3802002287</t>
        </is>
      </c>
      <c r="E3067" s="13" t="inlineStr">
        <is>
          <t>ЮЛ РФ</t>
        </is>
      </c>
      <c r="F3067" s="13" t="n"/>
      <c r="G3067" s="14" t="n"/>
      <c r="H3067" s="14" t="n"/>
      <c r="I3067" s="14" t="n"/>
      <c r="J3067" s="14" t="n"/>
      <c r="K3067" s="53" t="inlineStr"/>
      <c r="L3067" s="53" t="inlineStr">
        <is>
          <t>Не определено</t>
        </is>
      </c>
      <c r="M3067" s="53" t="inlineStr"/>
      <c r="N3067" s="54" t="inlineStr"/>
      <c r="O3067" s="55" t="inlineStr"/>
      <c r="P3067" s="16" t="inlineStr">
        <is>
          <t>Требует обогащения</t>
        </is>
      </c>
      <c r="Q3067" s="16">
        <f>HYPERLINK("https://pb.nalog.ru/search.html?query=3802002287","ФНС: проверить")</f>
        <v/>
      </c>
      <c r="R3067" s="16">
        <f>HYPERLINK("https://checko.ru/search?query=3801001629","Чекко: проверить")</f>
        <v/>
      </c>
      <c r="S3067" t="n">
        <v>1</v>
      </c>
      <c r="T3067" s="35" t="inlineStr">
        <is>
          <t>4 — Не обогащён</t>
        </is>
      </c>
      <c r="U3067" s="35" t="inlineStr">
        <is>
          <t>Нет ОКВЭД/ССЧР</t>
        </is>
      </c>
      <c r="V3067" s="35" t="inlineStr">
        <is>
          <t>Не определено</t>
        </is>
      </c>
      <c r="W3067" s="35" t="inlineStr"/>
      <c r="X3067" s="35" t="inlineStr"/>
    </row>
    <row r="3068" ht="41.25" customHeight="1" s="24">
      <c r="A3068" s="13" t="n">
        <v>5000018449</v>
      </c>
      <c r="B3068" s="13" t="inlineStr">
        <is>
          <t>МУ "Ремонтно-Эксплуатационная Служба Образовательных Учреждений г.Бодайбо и Района"</t>
        </is>
      </c>
      <c r="C3068" s="13" t="n">
        <v>3802012285</v>
      </c>
      <c r="D3068" s="13" t="inlineStr">
        <is>
          <t>3802012285</t>
        </is>
      </c>
      <c r="E3068" s="13" t="inlineStr">
        <is>
          <t>ЮЛ РФ</t>
        </is>
      </c>
      <c r="F3068" s="13" t="n"/>
      <c r="G3068" s="14" t="n"/>
      <c r="H3068" s="14" t="n"/>
      <c r="I3068" s="14" t="n"/>
      <c r="J3068" s="14" t="n"/>
      <c r="K3068" s="53" t="inlineStr"/>
      <c r="L3068" s="53" t="inlineStr">
        <is>
          <t>Не определено</t>
        </is>
      </c>
      <c r="M3068" s="53" t="inlineStr"/>
      <c r="N3068" s="54" t="inlineStr"/>
      <c r="O3068" s="55" t="inlineStr"/>
      <c r="P3068" s="16" t="inlineStr">
        <is>
          <t>Требует обогащения</t>
        </is>
      </c>
      <c r="Q3068" s="16">
        <f>HYPERLINK("https://pb.nalog.ru/search.html?query=3802012285","ФНС: проверить")</f>
        <v/>
      </c>
      <c r="R3068" s="16">
        <f>HYPERLINK("https://checko.ru/search?query=3801001629","Чекко: проверить")</f>
        <v/>
      </c>
      <c r="S3068" t="n">
        <v>1</v>
      </c>
      <c r="T3068" s="35" t="inlineStr">
        <is>
          <t>4 — Не обогащён</t>
        </is>
      </c>
      <c r="U3068" s="35" t="inlineStr">
        <is>
          <t>Нет ОКВЭД/ССЧР</t>
        </is>
      </c>
      <c r="V3068" s="35" t="inlineStr">
        <is>
          <t>Не определено</t>
        </is>
      </c>
      <c r="W3068" s="35" t="inlineStr"/>
      <c r="X3068" s="35" t="inlineStr"/>
    </row>
    <row r="3069" ht="27.75" customHeight="1" s="24">
      <c r="A3069" s="13" t="n">
        <v>5000018450</v>
      </c>
      <c r="B3069" s="13" t="inlineStr">
        <is>
          <t>Управление образования администрации муниципального образования г. Бодайбо и района</t>
        </is>
      </c>
      <c r="C3069" s="13" t="n">
        <v>3802001999</v>
      </c>
      <c r="D3069" s="13" t="inlineStr">
        <is>
          <t>3802001999</t>
        </is>
      </c>
      <c r="E3069" s="13" t="inlineStr">
        <is>
          <t>ЮЛ РФ</t>
        </is>
      </c>
      <c r="F3069" s="13" t="n"/>
      <c r="G3069" s="14" t="n"/>
      <c r="H3069" s="14" t="n"/>
      <c r="I3069" s="14" t="n"/>
      <c r="J3069" s="14" t="n"/>
      <c r="K3069" s="53" t="inlineStr"/>
      <c r="L3069" s="53" t="inlineStr">
        <is>
          <t>Не определено</t>
        </is>
      </c>
      <c r="M3069" s="53" t="inlineStr"/>
      <c r="N3069" s="54" t="inlineStr"/>
      <c r="O3069" s="55" t="inlineStr"/>
      <c r="P3069" s="16" t="inlineStr">
        <is>
          <t>Требует обогащения</t>
        </is>
      </c>
      <c r="Q3069" s="16">
        <f>HYPERLINK("https://pb.nalog.ru/search.html?query=3802001999","ФНС: проверить")</f>
        <v/>
      </c>
      <c r="R3069" s="16">
        <f>HYPERLINK("https://checko.ru/search?query=3801001629","Чекко: проверить")</f>
        <v/>
      </c>
      <c r="S3069" t="n">
        <v>1</v>
      </c>
      <c r="T3069" s="35" t="inlineStr">
        <is>
          <t>4 — Не обогащён</t>
        </is>
      </c>
      <c r="U3069" s="35" t="inlineStr">
        <is>
          <t>Нет ОКВЭД/ССЧР</t>
        </is>
      </c>
      <c r="V3069" s="35" t="inlineStr">
        <is>
          <t>Не определено</t>
        </is>
      </c>
      <c r="W3069" s="35" t="inlineStr"/>
      <c r="X3069" s="35" t="inlineStr"/>
    </row>
    <row r="3070" ht="27.75" customHeight="1" s="24">
      <c r="A3070" s="13" t="n">
        <v>5000121931</v>
      </c>
      <c r="B3070" s="13" t="inlineStr">
        <is>
          <t>УПРАВЛЕНИЕ ЗЕМЕЛЬНЫХ ОТНОШЕНИЙ РАМЕНСКОГО МУНИЦИПАЛЬНОГО РАЙОНА</t>
        </is>
      </c>
      <c r="C3070" s="13" t="n">
        <v>5040087166</v>
      </c>
      <c r="D3070" s="13" t="inlineStr">
        <is>
          <t>5040087166</t>
        </is>
      </c>
      <c r="E3070" s="13" t="inlineStr">
        <is>
          <t>ЮЛ РФ</t>
        </is>
      </c>
      <c r="F3070" s="13" t="n"/>
      <c r="G3070" s="14" t="n"/>
      <c r="H3070" s="14" t="n"/>
      <c r="I3070" s="14" t="n"/>
      <c r="J3070" s="14" t="n"/>
      <c r="K3070" s="53" t="inlineStr"/>
      <c r="L3070" s="53" t="inlineStr">
        <is>
          <t>Не определено</t>
        </is>
      </c>
      <c r="M3070" s="53" t="inlineStr"/>
      <c r="N3070" s="54" t="inlineStr"/>
      <c r="O3070" s="55" t="inlineStr"/>
      <c r="P3070" s="16" t="inlineStr">
        <is>
          <t>Требует обогащения</t>
        </is>
      </c>
      <c r="Q3070" s="16">
        <f>HYPERLINK("https://pb.nalog.ru/search.html?query=5040087166","ФНС: проверить")</f>
        <v/>
      </c>
      <c r="R3070" s="16">
        <f>HYPERLINK("https://checko.ru/search?query=3801001629","Чекко: проверить")</f>
        <v/>
      </c>
      <c r="S3070" t="n">
        <v>1</v>
      </c>
      <c r="T3070" s="35" t="inlineStr">
        <is>
          <t>4 — Не обогащён</t>
        </is>
      </c>
      <c r="U3070" s="35" t="inlineStr">
        <is>
          <t>Нет ОКВЭД/ССЧР</t>
        </is>
      </c>
      <c r="V3070" s="35" t="inlineStr">
        <is>
          <t>Не определено</t>
        </is>
      </c>
      <c r="W3070" s="35" t="inlineStr"/>
      <c r="X3070" s="35" t="inlineStr"/>
    </row>
    <row r="3071" ht="27.75" customHeight="1" s="24">
      <c r="A3071" s="13" t="n">
        <v>5000121926</v>
      </c>
      <c r="B3071" s="13" t="inlineStr">
        <is>
          <t>МАУ  Раменского городского округа «МФСК «Борисоглебский»</t>
        </is>
      </c>
      <c r="C3071" s="13" t="n">
        <v>5040083725</v>
      </c>
      <c r="D3071" s="13" t="inlineStr">
        <is>
          <t>5040083725</t>
        </is>
      </c>
      <c r="E3071" s="13" t="inlineStr">
        <is>
          <t>ЮЛ РФ</t>
        </is>
      </c>
      <c r="F3071" s="13" t="n"/>
      <c r="G3071" s="14" t="n"/>
      <c r="H3071" s="14" t="n"/>
      <c r="I3071" s="14" t="n"/>
      <c r="J3071" s="14" t="n"/>
      <c r="K3071" s="53" t="inlineStr"/>
      <c r="L3071" s="53" t="inlineStr">
        <is>
          <t>Не определено</t>
        </is>
      </c>
      <c r="M3071" s="53" t="inlineStr"/>
      <c r="N3071" s="54" t="inlineStr"/>
      <c r="O3071" s="55" t="inlineStr"/>
      <c r="P3071" s="16" t="inlineStr">
        <is>
          <t>Требует обогащения</t>
        </is>
      </c>
      <c r="Q3071" s="16">
        <f>HYPERLINK("https://pb.nalog.ru/search.html?query=5040083725","ФНС: проверить")</f>
        <v/>
      </c>
      <c r="R3071" s="16">
        <f>HYPERLINK("https://checko.ru/search?query=3801001629","Чекко: проверить")</f>
        <v/>
      </c>
      <c r="S3071" t="n">
        <v>1</v>
      </c>
      <c r="T3071" s="35" t="inlineStr">
        <is>
          <t>4 — Не обогащён</t>
        </is>
      </c>
      <c r="U3071" s="35" t="inlineStr">
        <is>
          <t>Нет ОКВЭД/ССЧР</t>
        </is>
      </c>
      <c r="V3071" s="35" t="inlineStr">
        <is>
          <t>Не определено</t>
        </is>
      </c>
      <c r="W3071" s="35" t="inlineStr"/>
      <c r="X3071" s="35" t="inlineStr"/>
    </row>
    <row r="3072" ht="15" customHeight="1" s="24">
      <c r="A3072" s="13" t="n">
        <v>5000121927</v>
      </c>
      <c r="B3072" s="13" t="inlineStr">
        <is>
          <t>МБУ ДО "СШ "Олимп Раменское"</t>
        </is>
      </c>
      <c r="C3072" s="13" t="n">
        <v>5040143290</v>
      </c>
      <c r="D3072" s="13" t="inlineStr">
        <is>
          <t>5040143290</t>
        </is>
      </c>
      <c r="E3072" s="13" t="inlineStr">
        <is>
          <t>ЮЛ РФ</t>
        </is>
      </c>
      <c r="F3072" s="13" t="n"/>
      <c r="G3072" s="14" t="n"/>
      <c r="H3072" s="14" t="n"/>
      <c r="I3072" s="14" t="n"/>
      <c r="J3072" s="14" t="n"/>
      <c r="K3072" s="53" t="inlineStr"/>
      <c r="L3072" s="53" t="inlineStr">
        <is>
          <t>Не определено</t>
        </is>
      </c>
      <c r="M3072" s="53" t="inlineStr"/>
      <c r="N3072" s="54" t="inlineStr"/>
      <c r="O3072" s="55" t="inlineStr"/>
      <c r="P3072" s="16" t="inlineStr">
        <is>
          <t>Требует обогащения</t>
        </is>
      </c>
      <c r="Q3072" s="16">
        <f>HYPERLINK("https://pb.nalog.ru/search.html?query=5040143290","ФНС: проверить")</f>
        <v/>
      </c>
      <c r="R3072" s="16">
        <f>HYPERLINK("https://checko.ru/search?query=3801001629","Чекко: проверить")</f>
        <v/>
      </c>
      <c r="S3072" t="n">
        <v>1</v>
      </c>
      <c r="T3072" s="35" t="inlineStr">
        <is>
          <t>4 — Не обогащён</t>
        </is>
      </c>
      <c r="U3072" s="35" t="inlineStr">
        <is>
          <t>Нет ОКВЭД/ССЧР</t>
        </is>
      </c>
      <c r="V3072" s="35" t="inlineStr">
        <is>
          <t>Не определено</t>
        </is>
      </c>
      <c r="W3072" s="35" t="inlineStr"/>
      <c r="X3072" s="35" t="inlineStr"/>
    </row>
    <row r="3073" ht="15" customHeight="1" s="24">
      <c r="A3073" s="13" t="n">
        <v>5000121928</v>
      </c>
      <c r="B3073" s="13" t="inlineStr">
        <is>
          <t>МБУС СШ "Сатурн"</t>
        </is>
      </c>
      <c r="C3073" s="13" t="n">
        <v>5040053470</v>
      </c>
      <c r="D3073" s="13" t="inlineStr">
        <is>
          <t>5040053470</t>
        </is>
      </c>
      <c r="E3073" s="13" t="inlineStr">
        <is>
          <t>ЮЛ РФ</t>
        </is>
      </c>
      <c r="F3073" s="13" t="n"/>
      <c r="G3073" s="14" t="n"/>
      <c r="H3073" s="14" t="n"/>
      <c r="I3073" s="14" t="n"/>
      <c r="J3073" s="14" t="n"/>
      <c r="K3073" s="53" t="inlineStr"/>
      <c r="L3073" s="53" t="inlineStr">
        <is>
          <t>Не определено</t>
        </is>
      </c>
      <c r="M3073" s="53" t="inlineStr"/>
      <c r="N3073" s="54" t="inlineStr"/>
      <c r="O3073" s="55" t="inlineStr"/>
      <c r="P3073" s="16" t="inlineStr">
        <is>
          <t>Требует обогащения</t>
        </is>
      </c>
      <c r="Q3073" s="16">
        <f>HYPERLINK("https://pb.nalog.ru/search.html?query=5040053470","ФНС: проверить")</f>
        <v/>
      </c>
      <c r="R3073" s="16">
        <f>HYPERLINK("https://checko.ru/search?query=3801001629","Чекко: проверить")</f>
        <v/>
      </c>
      <c r="S3073" t="n">
        <v>1</v>
      </c>
      <c r="T3073" s="35" t="inlineStr">
        <is>
          <t>4 — Не обогащён</t>
        </is>
      </c>
      <c r="U3073" s="35" t="inlineStr">
        <is>
          <t>Нет ОКВЭД/ССЧР</t>
        </is>
      </c>
      <c r="V3073" s="35" t="inlineStr">
        <is>
          <t>Не определено</t>
        </is>
      </c>
      <c r="W3073" s="35" t="inlineStr"/>
      <c r="X3073" s="35" t="inlineStr"/>
    </row>
    <row r="3074" ht="15" customHeight="1" s="24">
      <c r="A3074" s="13" t="n">
        <v>5000047001</v>
      </c>
      <c r="B3074" s="13" t="inlineStr">
        <is>
          <t>МОУ ДОД "Детская художественная школа № 4</t>
        </is>
      </c>
      <c r="C3074" s="13" t="n">
        <v>3812077355</v>
      </c>
      <c r="D3074" s="13" t="inlineStr">
        <is>
          <t>3812077355</t>
        </is>
      </c>
      <c r="E3074" s="13" t="inlineStr">
        <is>
          <t>ЮЛ РФ</t>
        </is>
      </c>
      <c r="F3074" s="13" t="n"/>
      <c r="G3074" s="14" t="n"/>
      <c r="H3074" s="14" t="n"/>
      <c r="I3074" s="14" t="n"/>
      <c r="J3074" s="14" t="n"/>
      <c r="K3074" s="53" t="inlineStr"/>
      <c r="L3074" s="53" t="inlineStr">
        <is>
          <t>Не определено</t>
        </is>
      </c>
      <c r="M3074" s="53" t="inlineStr"/>
      <c r="N3074" s="54" t="inlineStr"/>
      <c r="O3074" s="55" t="inlineStr"/>
      <c r="P3074" s="16" t="inlineStr">
        <is>
          <t>Требует обогащения</t>
        </is>
      </c>
      <c r="Q3074" s="16">
        <f>HYPERLINK("https://pb.nalog.ru/search.html?query=3812077355","ФНС: проверить")</f>
        <v/>
      </c>
      <c r="R3074" s="16">
        <f>HYPERLINK("https://checko.ru/search?query=3801001629","Чекко: проверить")</f>
        <v/>
      </c>
      <c r="S3074" t="n">
        <v>1</v>
      </c>
      <c r="T3074" s="35" t="inlineStr">
        <is>
          <t>4 — Не обогащён</t>
        </is>
      </c>
      <c r="U3074" s="35" t="inlineStr">
        <is>
          <t>Нет ОКВЭД/ССЧР</t>
        </is>
      </c>
      <c r="V3074" s="35" t="inlineStr">
        <is>
          <t>Не определено</t>
        </is>
      </c>
      <c r="W3074" s="35" t="inlineStr"/>
      <c r="X3074" s="35" t="inlineStr"/>
    </row>
    <row r="3075" ht="15" customHeight="1" s="24">
      <c r="A3075" s="13" t="n">
        <v>5000121999</v>
      </c>
      <c r="B3075" s="13" t="inlineStr">
        <is>
          <t>МКУ "РАМСПАС и ПЧС</t>
        </is>
      </c>
      <c r="C3075" s="13" t="n">
        <v>5040164935</v>
      </c>
      <c r="D3075" s="13" t="inlineStr">
        <is>
          <t>5040164935</t>
        </is>
      </c>
      <c r="E3075" s="13" t="inlineStr">
        <is>
          <t>ЮЛ РФ</t>
        </is>
      </c>
      <c r="F3075" s="13" t="n"/>
      <c r="G3075" s="14" t="n"/>
      <c r="H3075" s="14" t="n"/>
      <c r="I3075" s="14" t="n"/>
      <c r="J3075" s="14" t="n"/>
      <c r="K3075" s="53" t="inlineStr"/>
      <c r="L3075" s="53" t="inlineStr">
        <is>
          <t>Не определено</t>
        </is>
      </c>
      <c r="M3075" s="53" t="inlineStr"/>
      <c r="N3075" s="54" t="inlineStr"/>
      <c r="O3075" s="55" t="inlineStr"/>
      <c r="P3075" s="16" t="inlineStr">
        <is>
          <t>Требует обогащения</t>
        </is>
      </c>
      <c r="Q3075" s="16">
        <f>HYPERLINK("https://pb.nalog.ru/search.html?query=5040164935","ФНС: проверить")</f>
        <v/>
      </c>
      <c r="R3075" s="16">
        <f>HYPERLINK("https://checko.ru/search?query=3801001629","Чекко: проверить")</f>
        <v/>
      </c>
      <c r="S3075" t="n">
        <v>1</v>
      </c>
      <c r="T3075" s="35" t="inlineStr">
        <is>
          <t>4 — Не обогащён</t>
        </is>
      </c>
      <c r="U3075" s="35" t="inlineStr">
        <is>
          <t>Нет ОКВЭД/ССЧР</t>
        </is>
      </c>
      <c r="V3075" s="35" t="inlineStr">
        <is>
          <t>Не определено</t>
        </is>
      </c>
      <c r="W3075" s="35" t="inlineStr"/>
      <c r="X3075" s="35" t="inlineStr"/>
    </row>
    <row r="3076" ht="27.75" customHeight="1" s="24">
      <c r="A3076" s="13" t="n">
        <v>5000063805</v>
      </c>
      <c r="B3076" s="13" t="inlineStr">
        <is>
          <t>Администрация Сосновоборского муниципального образования</t>
        </is>
      </c>
      <c r="C3076" s="13" t="n">
        <v>3827020390</v>
      </c>
      <c r="D3076" s="13" t="inlineStr">
        <is>
          <t>3827020390</t>
        </is>
      </c>
      <c r="E3076" s="13" t="inlineStr">
        <is>
          <t>ЮЛ РФ</t>
        </is>
      </c>
      <c r="F3076" s="13" t="n"/>
      <c r="G3076" s="14" t="n"/>
      <c r="H3076" s="14" t="n"/>
      <c r="I3076" s="14" t="n"/>
      <c r="J3076" s="14" t="n"/>
      <c r="K3076" s="53" t="inlineStr"/>
      <c r="L3076" s="53" t="inlineStr">
        <is>
          <t>Не определено</t>
        </is>
      </c>
      <c r="M3076" s="53" t="inlineStr"/>
      <c r="N3076" s="54" t="inlineStr"/>
      <c r="O3076" s="55" t="inlineStr"/>
      <c r="P3076" s="16" t="inlineStr">
        <is>
          <t>Требует обогащения</t>
        </is>
      </c>
      <c r="Q3076" s="16">
        <f>HYPERLINK("https://pb.nalog.ru/search.html?query=3827020390","ФНС: проверить")</f>
        <v/>
      </c>
      <c r="R3076" s="16">
        <f>HYPERLINK("https://checko.ru/search?query=3801001629","Чекко: проверить")</f>
        <v/>
      </c>
      <c r="S3076" t="n">
        <v>1</v>
      </c>
      <c r="T3076" s="35" t="inlineStr">
        <is>
          <t>4 — Не обогащён</t>
        </is>
      </c>
      <c r="U3076" s="35" t="inlineStr">
        <is>
          <t>Нет ОКВЭД/ССЧР</t>
        </is>
      </c>
      <c r="V3076" s="35" t="inlineStr">
        <is>
          <t>Не определено</t>
        </is>
      </c>
      <c r="W3076" s="35" t="inlineStr"/>
      <c r="X3076" s="35" t="inlineStr"/>
    </row>
    <row r="3077" ht="27.75" customHeight="1" s="24">
      <c r="A3077" s="13" t="n">
        <v>5000121993</v>
      </c>
      <c r="B3077" s="13" t="inlineStr">
        <is>
          <t>АДМИНИСТРАЦИЯ РАМЕНСКОГО ГОРОДСКОГО ОКРУГА</t>
        </is>
      </c>
      <c r="C3077" s="13" t="n">
        <v>5040164477</v>
      </c>
      <c r="D3077" s="13" t="inlineStr">
        <is>
          <t>5040164477</t>
        </is>
      </c>
      <c r="E3077" s="13" t="inlineStr">
        <is>
          <t>ЮЛ РФ</t>
        </is>
      </c>
      <c r="F3077" s="13" t="n"/>
      <c r="G3077" s="14" t="n"/>
      <c r="H3077" s="14" t="n"/>
      <c r="I3077" s="14" t="n"/>
      <c r="J3077" s="14" t="n"/>
      <c r="K3077" s="53" t="inlineStr"/>
      <c r="L3077" s="53" t="inlineStr">
        <is>
          <t>Не определено</t>
        </is>
      </c>
      <c r="M3077" s="53" t="inlineStr"/>
      <c r="N3077" s="54" t="inlineStr"/>
      <c r="O3077" s="55" t="inlineStr"/>
      <c r="P3077" s="16" t="inlineStr">
        <is>
          <t>Требует обогащения</t>
        </is>
      </c>
      <c r="Q3077" s="16">
        <f>HYPERLINK("https://pb.nalog.ru/search.html?query=5040164477","ФНС: проверить")</f>
        <v/>
      </c>
      <c r="R3077" s="16">
        <f>HYPERLINK("https://checko.ru/search?query=3801001629","Чекко: проверить")</f>
        <v/>
      </c>
      <c r="S3077" t="n">
        <v>1</v>
      </c>
      <c r="T3077" s="35" t="inlineStr">
        <is>
          <t>4 — Не обогащён</t>
        </is>
      </c>
      <c r="U3077" s="35" t="inlineStr">
        <is>
          <t>Нет ОКВЭД/ССЧР</t>
        </is>
      </c>
      <c r="V3077" s="35" t="inlineStr">
        <is>
          <t>Не определено</t>
        </is>
      </c>
      <c r="W3077" s="35" t="inlineStr"/>
      <c r="X3077" s="35" t="inlineStr"/>
    </row>
    <row r="3078" ht="27.75" customHeight="1" s="24">
      <c r="A3078" s="13" t="n">
        <v>5000104408</v>
      </c>
      <c r="B3078" s="13" t="inlineStr">
        <is>
          <t>КОМИТЕТ ПО УПРАВЛЕНИЮ СВЕРДЛОВСКИМ ОКРУГОМ АДМИНИСТРАЦИИ ГОРОДА ИРКУТСКА</t>
        </is>
      </c>
      <c r="C3078" s="13" t="n">
        <v>3812989295</v>
      </c>
      <c r="D3078" s="13" t="inlineStr">
        <is>
          <t>3812989295</t>
        </is>
      </c>
      <c r="E3078" s="13" t="inlineStr">
        <is>
          <t>ЮЛ РФ</t>
        </is>
      </c>
      <c r="F3078" s="13" t="n"/>
      <c r="G3078" s="14" t="n"/>
      <c r="H3078" s="14" t="n"/>
      <c r="I3078" s="14" t="n"/>
      <c r="J3078" s="14" t="n"/>
      <c r="K3078" s="53" t="inlineStr"/>
      <c r="L3078" s="53" t="inlineStr">
        <is>
          <t>Не определено</t>
        </is>
      </c>
      <c r="M3078" s="53" t="inlineStr"/>
      <c r="N3078" s="54" t="inlineStr"/>
      <c r="O3078" s="55" t="inlineStr"/>
      <c r="P3078" s="16" t="inlineStr">
        <is>
          <t>Требует обогащения</t>
        </is>
      </c>
      <c r="Q3078" s="16">
        <f>HYPERLINK("https://pb.nalog.ru/search.html?query=3812989295","ФНС: проверить")</f>
        <v/>
      </c>
      <c r="R3078" s="16">
        <f>HYPERLINK("https://checko.ru/search?query=3801001629","Чекко: проверить")</f>
        <v/>
      </c>
      <c r="S3078" t="n">
        <v>1</v>
      </c>
      <c r="T3078" s="35" t="inlineStr">
        <is>
          <t>4 — Не обогащён</t>
        </is>
      </c>
      <c r="U3078" s="35" t="inlineStr">
        <is>
          <t>Нет ОКВЭД/ССЧР</t>
        </is>
      </c>
      <c r="V3078" s="35" t="inlineStr">
        <is>
          <t>Не определено</t>
        </is>
      </c>
      <c r="W3078" s="35" t="inlineStr"/>
      <c r="X3078" s="35" t="inlineStr"/>
    </row>
    <row r="3079" ht="15" customHeight="1" s="24">
      <c r="A3079" s="13" t="n">
        <v>5000122008</v>
      </c>
      <c r="B3079" s="13" t="inlineStr">
        <is>
          <t>МКУ ТУ Сафоновское</t>
        </is>
      </c>
      <c r="C3079" s="13" t="n">
        <v>5040163674</v>
      </c>
      <c r="D3079" s="13" t="inlineStr">
        <is>
          <t>5040163674</t>
        </is>
      </c>
      <c r="E3079" s="13" t="inlineStr">
        <is>
          <t>ЮЛ РФ</t>
        </is>
      </c>
      <c r="F3079" s="13" t="n"/>
      <c r="G3079" s="14" t="n"/>
      <c r="H3079" s="14" t="n"/>
      <c r="I3079" s="14" t="n"/>
      <c r="J3079" s="14" t="n"/>
      <c r="K3079" s="53" t="inlineStr"/>
      <c r="L3079" s="53" t="inlineStr">
        <is>
          <t>Не определено</t>
        </is>
      </c>
      <c r="M3079" s="53" t="inlineStr"/>
      <c r="N3079" s="54" t="inlineStr"/>
      <c r="O3079" s="55" t="inlineStr"/>
      <c r="P3079" s="16" t="inlineStr">
        <is>
          <t>Требует обогащения</t>
        </is>
      </c>
      <c r="Q3079" s="16">
        <f>HYPERLINK("https://pb.nalog.ru/search.html?query=5040163674","ФНС: проверить")</f>
        <v/>
      </c>
      <c r="R3079" s="16">
        <f>HYPERLINK("https://checko.ru/search?query=3801001629","Чекко: проверить")</f>
        <v/>
      </c>
      <c r="S3079" t="n">
        <v>1</v>
      </c>
      <c r="T3079" s="35" t="inlineStr">
        <is>
          <t>4 — Не обогащён</t>
        </is>
      </c>
      <c r="U3079" s="35" t="inlineStr">
        <is>
          <t>Нет ОКВЭД/ССЧР</t>
        </is>
      </c>
      <c r="V3079" s="35" t="inlineStr">
        <is>
          <t>Не определено</t>
        </is>
      </c>
      <c r="W3079" s="35" t="inlineStr"/>
      <c r="X3079" s="35" t="inlineStr"/>
    </row>
    <row r="3080" ht="15" customHeight="1" s="24">
      <c r="A3080" s="13" t="n">
        <v>5000030386</v>
      </c>
      <c r="B3080" s="13" t="inlineStr">
        <is>
          <t>МУК КСЦ</t>
        </is>
      </c>
      <c r="C3080" s="13" t="n">
        <v>3827021041</v>
      </c>
      <c r="D3080" s="13" t="inlineStr">
        <is>
          <t>3827021041</t>
        </is>
      </c>
      <c r="E3080" s="13" t="inlineStr">
        <is>
          <t>ЮЛ РФ</t>
        </is>
      </c>
      <c r="F3080" s="13" t="n"/>
      <c r="G3080" s="14" t="n"/>
      <c r="H3080" s="14" t="n"/>
      <c r="I3080" s="14" t="n"/>
      <c r="J3080" s="14" t="n"/>
      <c r="K3080" s="53" t="inlineStr"/>
      <c r="L3080" s="53" t="inlineStr">
        <is>
          <t>Не определено</t>
        </is>
      </c>
      <c r="M3080" s="53" t="inlineStr"/>
      <c r="N3080" s="54" t="inlineStr"/>
      <c r="O3080" s="55" t="inlineStr"/>
      <c r="P3080" s="16" t="inlineStr">
        <is>
          <t>Требует обогащения</t>
        </is>
      </c>
      <c r="Q3080" s="16">
        <f>HYPERLINK("https://pb.nalog.ru/search.html?query=3827021041","ФНС: проверить")</f>
        <v/>
      </c>
      <c r="R3080" s="16">
        <f>HYPERLINK("https://checko.ru/search?query=3801001629","Чекко: проверить")</f>
        <v/>
      </c>
      <c r="S3080" t="n">
        <v>1</v>
      </c>
      <c r="T3080" s="35" t="inlineStr">
        <is>
          <t>4 — Не обогащён</t>
        </is>
      </c>
      <c r="U3080" s="35" t="inlineStr">
        <is>
          <t>Нет ОКВЭД/ССЧР</t>
        </is>
      </c>
      <c r="V3080" s="35" t="inlineStr">
        <is>
          <t>Не определено</t>
        </is>
      </c>
      <c r="W3080" s="35" t="inlineStr"/>
      <c r="X3080" s="35" t="inlineStr"/>
    </row>
    <row r="3081" ht="15" customHeight="1" s="24">
      <c r="A3081" s="13" t="n">
        <v>5000047003</v>
      </c>
      <c r="B3081" s="13" t="inlineStr">
        <is>
          <t>МОУ ДОД "Детская художественная школа №2"</t>
        </is>
      </c>
      <c r="C3081" s="13" t="n">
        <v>3810026700</v>
      </c>
      <c r="D3081" s="13" t="inlineStr">
        <is>
          <t>3810026700</t>
        </is>
      </c>
      <c r="E3081" s="13" t="inlineStr">
        <is>
          <t>ЮЛ РФ</t>
        </is>
      </c>
      <c r="F3081" s="13" t="n"/>
      <c r="G3081" s="14" t="n"/>
      <c r="H3081" s="14" t="n"/>
      <c r="I3081" s="14" t="n"/>
      <c r="J3081" s="14" t="n"/>
      <c r="K3081" s="53" t="inlineStr"/>
      <c r="L3081" s="53" t="inlineStr">
        <is>
          <t>Не определено</t>
        </is>
      </c>
      <c r="M3081" s="53" t="inlineStr"/>
      <c r="N3081" s="54" t="inlineStr"/>
      <c r="O3081" s="55" t="inlineStr"/>
      <c r="P3081" s="16" t="inlineStr">
        <is>
          <t>Требует обогащения</t>
        </is>
      </c>
      <c r="Q3081" s="16">
        <f>HYPERLINK("https://pb.nalog.ru/search.html?query=3810026700","ФНС: проверить")</f>
        <v/>
      </c>
      <c r="R3081" s="16">
        <f>HYPERLINK("https://checko.ru/search?query=3801001629","Чекко: проверить")</f>
        <v/>
      </c>
      <c r="S3081" t="n">
        <v>1</v>
      </c>
      <c r="T3081" s="35" t="inlineStr">
        <is>
          <t>4 — Не обогащён</t>
        </is>
      </c>
      <c r="U3081" s="35" t="inlineStr">
        <is>
          <t>Нет ОКВЭД/ССЧР</t>
        </is>
      </c>
      <c r="V3081" s="35" t="inlineStr">
        <is>
          <t>Не определено</t>
        </is>
      </c>
      <c r="W3081" s="35" t="inlineStr"/>
      <c r="X3081" s="35" t="inlineStr"/>
    </row>
    <row r="3082" ht="15" customHeight="1" s="24">
      <c r="A3082" s="13" t="n">
        <v>5000047002</v>
      </c>
      <c r="B3082" s="13" t="inlineStr">
        <is>
          <t>МОУ ДОД "Детская художественная школа № 3"</t>
        </is>
      </c>
      <c r="C3082" s="13" t="n">
        <v>3810026556</v>
      </c>
      <c r="D3082" s="13" t="inlineStr">
        <is>
          <t>3810026556</t>
        </is>
      </c>
      <c r="E3082" s="13" t="inlineStr">
        <is>
          <t>ЮЛ РФ</t>
        </is>
      </c>
      <c r="F3082" s="13" t="n"/>
      <c r="G3082" s="14" t="n"/>
      <c r="H3082" s="14" t="n"/>
      <c r="I3082" s="14" t="n"/>
      <c r="J3082" s="14" t="n"/>
      <c r="K3082" s="53" t="inlineStr"/>
      <c r="L3082" s="53" t="inlineStr">
        <is>
          <t>Не определено</t>
        </is>
      </c>
      <c r="M3082" s="53" t="inlineStr"/>
      <c r="N3082" s="54" t="inlineStr"/>
      <c r="O3082" s="55" t="inlineStr"/>
      <c r="P3082" s="16" t="inlineStr">
        <is>
          <t>Требует обогащения</t>
        </is>
      </c>
      <c r="Q3082" s="16">
        <f>HYPERLINK("https://pb.nalog.ru/search.html?query=3810026556","ФНС: проверить")</f>
        <v/>
      </c>
      <c r="R3082" s="16">
        <f>HYPERLINK("https://checko.ru/search?query=3801001629","Чекко: проверить")</f>
        <v/>
      </c>
      <c r="S3082" t="n">
        <v>1</v>
      </c>
      <c r="T3082" s="35" t="inlineStr">
        <is>
          <t>4 — Не обогащён</t>
        </is>
      </c>
      <c r="U3082" s="35" t="inlineStr">
        <is>
          <t>Нет ОКВЭД/ССЧР</t>
        </is>
      </c>
      <c r="V3082" s="35" t="inlineStr">
        <is>
          <t>Не определено</t>
        </is>
      </c>
      <c r="W3082" s="35" t="inlineStr"/>
      <c r="X3082" s="35" t="inlineStr"/>
    </row>
    <row r="3083" ht="27.75" customHeight="1" s="24">
      <c r="A3083" s="13" t="n">
        <v>5000047012</v>
      </c>
      <c r="B3083" s="13" t="inlineStr">
        <is>
          <t>МОУ ДОД "Детская музыкальная школа № 2" г. Иркутска</t>
        </is>
      </c>
      <c r="C3083" s="13" t="n">
        <v>3812014130</v>
      </c>
      <c r="D3083" s="13" t="inlineStr">
        <is>
          <t>3812014130</t>
        </is>
      </c>
      <c r="E3083" s="13" t="inlineStr">
        <is>
          <t>ЮЛ РФ</t>
        </is>
      </c>
      <c r="F3083" s="13" t="n"/>
      <c r="G3083" s="14" t="n"/>
      <c r="H3083" s="14" t="n"/>
      <c r="I3083" s="14" t="n"/>
      <c r="J3083" s="14" t="n"/>
      <c r="K3083" s="53" t="inlineStr"/>
      <c r="L3083" s="53" t="inlineStr">
        <is>
          <t>Не определено</t>
        </is>
      </c>
      <c r="M3083" s="53" t="inlineStr"/>
      <c r="N3083" s="54" t="inlineStr"/>
      <c r="O3083" s="55" t="inlineStr"/>
      <c r="P3083" s="16" t="inlineStr">
        <is>
          <t>Требует обогащения</t>
        </is>
      </c>
      <c r="Q3083" s="16">
        <f>HYPERLINK("https://pb.nalog.ru/search.html?query=3812014130","ФНС: проверить")</f>
        <v/>
      </c>
      <c r="R3083" s="16">
        <f>HYPERLINK("https://checko.ru/search?query=3801001629","Чекко: проверить")</f>
        <v/>
      </c>
      <c r="S3083" t="n">
        <v>1</v>
      </c>
      <c r="T3083" s="35" t="inlineStr">
        <is>
          <t>4 — Не обогащён</t>
        </is>
      </c>
      <c r="U3083" s="35" t="inlineStr">
        <is>
          <t>Нет ОКВЭД/ССЧР</t>
        </is>
      </c>
      <c r="V3083" s="35" t="inlineStr">
        <is>
          <t>Не определено</t>
        </is>
      </c>
      <c r="W3083" s="35" t="inlineStr"/>
      <c r="X3083" s="35" t="inlineStr"/>
    </row>
    <row r="3084" ht="15" customHeight="1" s="24">
      <c r="A3084" s="13" t="n">
        <v>5000047013</v>
      </c>
      <c r="B3084" s="13" t="inlineStr">
        <is>
          <t>МОУ ДОД "Детская музыкальная школа №1"</t>
        </is>
      </c>
      <c r="C3084" s="13" t="n">
        <v>3810006831</v>
      </c>
      <c r="D3084" s="13" t="inlineStr">
        <is>
          <t>3810006831</t>
        </is>
      </c>
      <c r="E3084" s="13" t="inlineStr">
        <is>
          <t>ЮЛ РФ</t>
        </is>
      </c>
      <c r="F3084" s="13" t="n"/>
      <c r="G3084" s="14" t="n"/>
      <c r="H3084" s="14" t="n"/>
      <c r="I3084" s="14" t="n"/>
      <c r="J3084" s="14" t="n"/>
      <c r="K3084" s="53" t="inlineStr"/>
      <c r="L3084" s="53" t="inlineStr">
        <is>
          <t>Не определено</t>
        </is>
      </c>
      <c r="M3084" s="53" t="inlineStr"/>
      <c r="N3084" s="54" t="inlineStr"/>
      <c r="O3084" s="55" t="inlineStr"/>
      <c r="P3084" s="16" t="inlineStr">
        <is>
          <t>Требует обогащения</t>
        </is>
      </c>
      <c r="Q3084" s="16">
        <f>HYPERLINK("https://pb.nalog.ru/search.html?query=3810006831","ФНС: проверить")</f>
        <v/>
      </c>
      <c r="R3084" s="16">
        <f>HYPERLINK("https://checko.ru/search?query=3801001629","Чекко: проверить")</f>
        <v/>
      </c>
      <c r="S3084" t="n">
        <v>1</v>
      </c>
      <c r="T3084" s="35" t="inlineStr">
        <is>
          <t>4 — Не обогащён</t>
        </is>
      </c>
      <c r="U3084" s="35" t="inlineStr">
        <is>
          <t>Нет ОКВЭД/ССЧР</t>
        </is>
      </c>
      <c r="V3084" s="35" t="inlineStr">
        <is>
          <t>Не определено</t>
        </is>
      </c>
      <c r="W3084" s="35" t="inlineStr"/>
      <c r="X3084" s="35" t="inlineStr"/>
    </row>
    <row r="3085" ht="15" customHeight="1" s="24">
      <c r="A3085" s="13" t="n">
        <v>5000121929</v>
      </c>
      <c r="B3085" s="13" t="inlineStr">
        <is>
          <t>МБУС Раменского городского округа "ФК "Сатурн"</t>
        </is>
      </c>
      <c r="C3085" s="13" t="n">
        <v>5040120663</v>
      </c>
      <c r="D3085" s="13" t="inlineStr">
        <is>
          <t>5040120663</t>
        </is>
      </c>
      <c r="E3085" s="13" t="inlineStr">
        <is>
          <t>ЮЛ РФ</t>
        </is>
      </c>
      <c r="F3085" s="13" t="n"/>
      <c r="G3085" s="14" t="n"/>
      <c r="H3085" s="14" t="n"/>
      <c r="I3085" s="14" t="n"/>
      <c r="J3085" s="14" t="n"/>
      <c r="K3085" s="53" t="inlineStr"/>
      <c r="L3085" s="53" t="inlineStr">
        <is>
          <t>Не определено</t>
        </is>
      </c>
      <c r="M3085" s="53" t="inlineStr"/>
      <c r="N3085" s="54" t="inlineStr"/>
      <c r="O3085" s="55" t="inlineStr"/>
      <c r="P3085" s="16" t="inlineStr">
        <is>
          <t>Требует обогащения</t>
        </is>
      </c>
      <c r="Q3085" s="16">
        <f>HYPERLINK("https://pb.nalog.ru/search.html?query=5040120663","ФНС: проверить")</f>
        <v/>
      </c>
      <c r="R3085" s="16">
        <f>HYPERLINK("https://checko.ru/search?query=3801001629","Чекко: проверить")</f>
        <v/>
      </c>
      <c r="S3085" t="n">
        <v>1</v>
      </c>
      <c r="T3085" s="35" t="inlineStr">
        <is>
          <t>4 — Не обогащён</t>
        </is>
      </c>
      <c r="U3085" s="35" t="inlineStr">
        <is>
          <t>Нет ОКВЭД/ССЧР</t>
        </is>
      </c>
      <c r="V3085" s="35" t="inlineStr">
        <is>
          <t>Не определено</t>
        </is>
      </c>
      <c r="W3085" s="35" t="inlineStr"/>
      <c r="X3085" s="35" t="inlineStr"/>
    </row>
    <row r="3086" ht="27.75" customHeight="1" s="24">
      <c r="A3086" s="13" t="n">
        <v>5000104407</v>
      </c>
      <c r="B3086" s="13" t="inlineStr">
        <is>
          <t>КОМИТЕТ ПО УПРАВЛЕНИЮ ПРАВОБЕРЕЖНЫМ ОКРУГОМ АДМИНИСТРАЦИИ ГОРОДА ИРКУТСКА</t>
        </is>
      </c>
      <c r="C3086" s="13" t="n">
        <v>3808276478</v>
      </c>
      <c r="D3086" s="13" t="inlineStr">
        <is>
          <t>3808276478</t>
        </is>
      </c>
      <c r="E3086" s="13" t="inlineStr">
        <is>
          <t>ЮЛ РФ</t>
        </is>
      </c>
      <c r="F3086" s="13" t="n"/>
      <c r="G3086" s="14" t="n"/>
      <c r="H3086" s="14" t="n"/>
      <c r="I3086" s="14" t="n"/>
      <c r="J3086" s="14" t="n"/>
      <c r="K3086" s="53" t="inlineStr"/>
      <c r="L3086" s="53" t="inlineStr">
        <is>
          <t>Не определено</t>
        </is>
      </c>
      <c r="M3086" s="53" t="inlineStr"/>
      <c r="N3086" s="54" t="inlineStr"/>
      <c r="O3086" s="55" t="inlineStr"/>
      <c r="P3086" s="16" t="inlineStr">
        <is>
          <t>Требует обогащения</t>
        </is>
      </c>
      <c r="Q3086" s="16">
        <f>HYPERLINK("https://pb.nalog.ru/search.html?query=3808276478","ФНС: проверить")</f>
        <v/>
      </c>
      <c r="R3086" s="16">
        <f>HYPERLINK("https://checko.ru/search?query=3801001629","Чекко: проверить")</f>
        <v/>
      </c>
      <c r="S3086" t="n">
        <v>1</v>
      </c>
      <c r="T3086" s="35" t="inlineStr">
        <is>
          <t>4 — Не обогащён</t>
        </is>
      </c>
      <c r="U3086" s="35" t="inlineStr">
        <is>
          <t>Нет ОКВЭД/ССЧР</t>
        </is>
      </c>
      <c r="V3086" s="35" t="inlineStr">
        <is>
          <t>Не определено</t>
        </is>
      </c>
      <c r="W3086" s="35" t="inlineStr"/>
      <c r="X3086" s="35" t="inlineStr"/>
    </row>
    <row r="3087" ht="27.75" customHeight="1" s="24">
      <c r="A3087" s="13" t="n">
        <v>5000104409</v>
      </c>
      <c r="B3087" s="13" t="inlineStr">
        <is>
          <t>КОМИТЕТ ПО УПРАВЛЕНИЮ ЛЕНИНСКИМ ОКРУГОМ АДМИНИСТРАЦИИ ГОРОДА ИРКУТСКА</t>
        </is>
      </c>
      <c r="C3087" s="13" t="n">
        <v>3812989305</v>
      </c>
      <c r="D3087" s="13" t="inlineStr">
        <is>
          <t>3812989305</t>
        </is>
      </c>
      <c r="E3087" s="13" t="inlineStr">
        <is>
          <t>ЮЛ РФ</t>
        </is>
      </c>
      <c r="F3087" s="13" t="n"/>
      <c r="G3087" s="14" t="n"/>
      <c r="H3087" s="14" t="n"/>
      <c r="I3087" s="14" t="n"/>
      <c r="J3087" s="14" t="n"/>
      <c r="K3087" s="53" t="inlineStr"/>
      <c r="L3087" s="53" t="inlineStr">
        <is>
          <t>Не определено</t>
        </is>
      </c>
      <c r="M3087" s="53" t="inlineStr"/>
      <c r="N3087" s="54" t="inlineStr"/>
      <c r="O3087" s="55" t="inlineStr"/>
      <c r="P3087" s="16" t="inlineStr">
        <is>
          <t>Требует обогащения</t>
        </is>
      </c>
      <c r="Q3087" s="16">
        <f>HYPERLINK("https://pb.nalog.ru/search.html?query=3812989305","ФНС: проверить")</f>
        <v/>
      </c>
      <c r="R3087" s="16">
        <f>HYPERLINK("https://checko.ru/search?query=3801001629","Чекко: проверить")</f>
        <v/>
      </c>
      <c r="S3087" t="n">
        <v>1</v>
      </c>
      <c r="T3087" s="35" t="inlineStr">
        <is>
          <t>4 — Не обогащён</t>
        </is>
      </c>
      <c r="U3087" s="35" t="inlineStr">
        <is>
          <t>Нет ОКВЭД/ССЧР</t>
        </is>
      </c>
      <c r="V3087" s="35" t="inlineStr">
        <is>
          <t>Не определено</t>
        </is>
      </c>
      <c r="W3087" s="35" t="inlineStr"/>
      <c r="X3087" s="35" t="inlineStr"/>
    </row>
    <row r="3088" ht="15" customHeight="1" s="24">
      <c r="A3088" s="13" t="n">
        <v>5000122000</v>
      </c>
      <c r="B3088" s="13" t="inlineStr">
        <is>
          <t>МКУ «РАМЕНСКАЯ РИТУАЛЬНАЯ СЛУЖБА»</t>
        </is>
      </c>
      <c r="C3088" s="13" t="n">
        <v>5040152802</v>
      </c>
      <c r="D3088" s="13" t="inlineStr">
        <is>
          <t>5040152802</t>
        </is>
      </c>
      <c r="E3088" s="13" t="inlineStr">
        <is>
          <t>ЮЛ РФ</t>
        </is>
      </c>
      <c r="F3088" s="13" t="n"/>
      <c r="G3088" s="14" t="n"/>
      <c r="H3088" s="14" t="n"/>
      <c r="I3088" s="14" t="n"/>
      <c r="J3088" s="14" t="n"/>
      <c r="K3088" s="53" t="inlineStr"/>
      <c r="L3088" s="53" t="inlineStr">
        <is>
          <t>Не определено</t>
        </is>
      </c>
      <c r="M3088" s="53" t="inlineStr"/>
      <c r="N3088" s="54" t="inlineStr"/>
      <c r="O3088" s="55" t="inlineStr"/>
      <c r="P3088" s="16" t="inlineStr">
        <is>
          <t>Требует обогащения</t>
        </is>
      </c>
      <c r="Q3088" s="16">
        <f>HYPERLINK("https://pb.nalog.ru/search.html?query=5040152802","ФНС: проверить")</f>
        <v/>
      </c>
      <c r="R3088" s="16">
        <f>HYPERLINK("https://checko.ru/search?query=3801001629","Чекко: проверить")</f>
        <v/>
      </c>
      <c r="S3088" t="n">
        <v>1</v>
      </c>
      <c r="T3088" s="35" t="inlineStr">
        <is>
          <t>4 — Не обогащён</t>
        </is>
      </c>
      <c r="U3088" s="35" t="inlineStr">
        <is>
          <t>Нет ОКВЭД/ССЧР</t>
        </is>
      </c>
      <c r="V3088" s="35" t="inlineStr">
        <is>
          <t>Не определено</t>
        </is>
      </c>
      <c r="W3088" s="35" t="inlineStr"/>
      <c r="X3088" s="35" t="inlineStr"/>
    </row>
    <row r="3089" ht="27.75" customHeight="1" s="24">
      <c r="A3089" s="13" t="n">
        <v>5000122001</v>
      </c>
      <c r="B3089" s="13" t="inlineStr">
        <is>
          <t>МКУ "СОДЕРЖАНИЕ МУНИЦИПАЛЬНОГО ИМУЩЕСТВА РАМЕНСКОГО ГОРОДСКОГО ОКРУГА"</t>
        </is>
      </c>
      <c r="C3089" s="13" t="n">
        <v>5040176708</v>
      </c>
      <c r="D3089" s="13" t="inlineStr">
        <is>
          <t>5040176708</t>
        </is>
      </c>
      <c r="E3089" s="13" t="inlineStr">
        <is>
          <t>ЮЛ РФ</t>
        </is>
      </c>
      <c r="F3089" s="13" t="n"/>
      <c r="G3089" s="14" t="n"/>
      <c r="H3089" s="14" t="n"/>
      <c r="I3089" s="14" t="n"/>
      <c r="J3089" s="14" t="n"/>
      <c r="K3089" s="53" t="inlineStr"/>
      <c r="L3089" s="53" t="inlineStr">
        <is>
          <t>Не определено</t>
        </is>
      </c>
      <c r="M3089" s="53" t="inlineStr"/>
      <c r="N3089" s="54" t="inlineStr"/>
      <c r="O3089" s="55" t="inlineStr"/>
      <c r="P3089" s="16" t="inlineStr">
        <is>
          <t>Требует обогащения</t>
        </is>
      </c>
      <c r="Q3089" s="16">
        <f>HYPERLINK("https://pb.nalog.ru/search.html?query=5040176708","ФНС: проверить")</f>
        <v/>
      </c>
      <c r="R3089" s="16">
        <f>HYPERLINK("https://checko.ru/search?query=3801001629","Чекко: проверить")</f>
        <v/>
      </c>
      <c r="S3089" t="n">
        <v>1</v>
      </c>
      <c r="T3089" s="35" t="inlineStr">
        <is>
          <t>4 — Не обогащён</t>
        </is>
      </c>
      <c r="U3089" s="35" t="inlineStr">
        <is>
          <t>Нет ОКВЭД/ССЧР</t>
        </is>
      </c>
      <c r="V3089" s="35" t="inlineStr">
        <is>
          <t>Не определено</t>
        </is>
      </c>
      <c r="W3089" s="35" t="inlineStr"/>
      <c r="X3089" s="35" t="inlineStr"/>
    </row>
    <row r="3090" ht="41.25" customHeight="1" s="24">
      <c r="A3090" s="13" t="n">
        <v>5000080340</v>
      </c>
      <c r="B3090" s="13" t="inlineStr">
        <is>
          <t>МКУ "ХОЗЯЙСТВЕННО-ЭКСПЛУАТАЦИОННАЯ СЛУЖБА" СОСНОВОБОРСКОГО МУНИЦИПАЛЬНОГО ОБРАЗОВАНИЯ</t>
        </is>
      </c>
      <c r="C3090" s="13" t="n">
        <v>3827063429</v>
      </c>
      <c r="D3090" s="13" t="inlineStr">
        <is>
          <t>3827063429</t>
        </is>
      </c>
      <c r="E3090" s="13" t="inlineStr">
        <is>
          <t>ЮЛ РФ</t>
        </is>
      </c>
      <c r="F3090" s="13" t="n"/>
      <c r="G3090" s="14" t="n"/>
      <c r="H3090" s="14" t="n"/>
      <c r="I3090" s="14" t="n"/>
      <c r="J3090" s="14" t="n"/>
      <c r="K3090" s="53" t="inlineStr"/>
      <c r="L3090" s="53" t="inlineStr">
        <is>
          <t>Не определено</t>
        </is>
      </c>
      <c r="M3090" s="53" t="inlineStr"/>
      <c r="N3090" s="54" t="inlineStr"/>
      <c r="O3090" s="55" t="inlineStr"/>
      <c r="P3090" s="16" t="inlineStr">
        <is>
          <t>Требует обогащения</t>
        </is>
      </c>
      <c r="Q3090" s="16">
        <f>HYPERLINK("https://pb.nalog.ru/search.html?query=3827063429","ФНС: проверить")</f>
        <v/>
      </c>
      <c r="R3090" s="16">
        <f>HYPERLINK("https://checko.ru/search?query=3801001629","Чекко: проверить")</f>
        <v/>
      </c>
      <c r="S3090" t="n">
        <v>1</v>
      </c>
      <c r="T3090" s="35" t="inlineStr">
        <is>
          <t>4 — Не обогащён</t>
        </is>
      </c>
      <c r="U3090" s="35" t="inlineStr">
        <is>
          <t>Нет ОКВЭД/ССЧР</t>
        </is>
      </c>
      <c r="V3090" s="35" t="inlineStr">
        <is>
          <t>Не определено</t>
        </is>
      </c>
      <c r="W3090" s="35" t="inlineStr"/>
      <c r="X3090" s="35" t="inlineStr"/>
    </row>
    <row r="3091" ht="41.25" customHeight="1" s="24">
      <c r="A3091" s="13" t="n">
        <v>5000121930</v>
      </c>
      <c r="B3091" s="13" t="inlineStr">
        <is>
          <t>Комитет финансов, налоговой политики и казначейства Администрации Раменского городского округа</t>
        </is>
      </c>
      <c r="C3091" s="13" t="n">
        <v>5040037013</v>
      </c>
      <c r="D3091" s="13" t="inlineStr">
        <is>
          <t>5040037013</t>
        </is>
      </c>
      <c r="E3091" s="13" t="inlineStr">
        <is>
          <t>ЮЛ РФ</t>
        </is>
      </c>
      <c r="F3091" s="13" t="n"/>
      <c r="G3091" s="14" t="n"/>
      <c r="H3091" s="14" t="n"/>
      <c r="I3091" s="14" t="n"/>
      <c r="J3091" s="14" t="n"/>
      <c r="K3091" s="53" t="inlineStr"/>
      <c r="L3091" s="53" t="inlineStr">
        <is>
          <t>Не определено</t>
        </is>
      </c>
      <c r="M3091" s="53" t="inlineStr"/>
      <c r="N3091" s="54" t="inlineStr"/>
      <c r="O3091" s="55" t="inlineStr"/>
      <c r="P3091" s="16" t="inlineStr">
        <is>
          <t>Требует обогащения</t>
        </is>
      </c>
      <c r="Q3091" s="16">
        <f>HYPERLINK("https://pb.nalog.ru/search.html?query=5040037013","ФНС: проверить")</f>
        <v/>
      </c>
      <c r="R3091" s="16">
        <f>HYPERLINK("https://checko.ru/search?query=3801001629","Чекко: проверить")</f>
        <v/>
      </c>
      <c r="S3091" t="n">
        <v>1</v>
      </c>
      <c r="T3091" s="35" t="inlineStr">
        <is>
          <t>4 — Не обогащён</t>
        </is>
      </c>
      <c r="U3091" s="35" t="inlineStr">
        <is>
          <t>Нет ОКВЭД/ССЧР</t>
        </is>
      </c>
      <c r="V3091" s="35" t="inlineStr">
        <is>
          <t>Не определено</t>
        </is>
      </c>
      <c r="W3091" s="35" t="inlineStr"/>
      <c r="X3091" s="35" t="inlineStr"/>
    </row>
    <row r="3092" ht="15" customHeight="1" s="24">
      <c r="A3092" s="13" t="n">
        <v>5000072253</v>
      </c>
      <c r="B3092" s="13" t="inlineStr">
        <is>
          <t>УП КБПиФ г Иркутска</t>
        </is>
      </c>
      <c r="C3092" s="13" t="n">
        <v>3808193750</v>
      </c>
      <c r="D3092" s="13" t="inlineStr">
        <is>
          <t>3808193750</t>
        </is>
      </c>
      <c r="E3092" s="13" t="inlineStr">
        <is>
          <t>ЮЛ РФ</t>
        </is>
      </c>
      <c r="F3092" s="13" t="n"/>
      <c r="G3092" s="14" t="n"/>
      <c r="H3092" s="14" t="n"/>
      <c r="I3092" s="14" t="n"/>
      <c r="J3092" s="14" t="n"/>
      <c r="K3092" s="53" t="inlineStr"/>
      <c r="L3092" s="53" t="inlineStr">
        <is>
          <t>Не определено</t>
        </is>
      </c>
      <c r="M3092" s="53" t="inlineStr"/>
      <c r="N3092" s="54" t="inlineStr"/>
      <c r="O3092" s="55" t="inlineStr"/>
      <c r="P3092" s="16" t="inlineStr">
        <is>
          <t>Требует обогащения</t>
        </is>
      </c>
      <c r="Q3092" s="16">
        <f>HYPERLINK("https://pb.nalog.ru/search.html?query=3808193750","ФНС: проверить")</f>
        <v/>
      </c>
      <c r="R3092" s="16">
        <f>HYPERLINK("https://checko.ru/search?query=3801001629","Чекко: проверить")</f>
        <v/>
      </c>
      <c r="S3092" t="n">
        <v>1</v>
      </c>
      <c r="T3092" s="35" t="inlineStr">
        <is>
          <t>4 — Не обогащён</t>
        </is>
      </c>
      <c r="U3092" s="35" t="inlineStr">
        <is>
          <t>Нет ОКВЭД/ССЧР</t>
        </is>
      </c>
      <c r="V3092" s="35" t="inlineStr">
        <is>
          <t>Не определено</t>
        </is>
      </c>
      <c r="W3092" s="35" t="inlineStr"/>
      <c r="X3092" s="35" t="inlineStr"/>
    </row>
    <row r="3093" ht="15" customHeight="1" s="24">
      <c r="A3093" s="13" t="n">
        <v>5000072254</v>
      </c>
      <c r="B3093" s="13" t="inlineStr">
        <is>
          <t>УФКС КСПК  г. Иркутска</t>
        </is>
      </c>
      <c r="C3093" s="13" t="n">
        <v>3808219416</v>
      </c>
      <c r="D3093" s="13" t="inlineStr">
        <is>
          <t>3808219416</t>
        </is>
      </c>
      <c r="E3093" s="13" t="inlineStr">
        <is>
          <t>ЮЛ РФ</t>
        </is>
      </c>
      <c r="F3093" s="13" t="n"/>
      <c r="G3093" s="14" t="n"/>
      <c r="H3093" s="14" t="n"/>
      <c r="I3093" s="14" t="n"/>
      <c r="J3093" s="14" t="n"/>
      <c r="K3093" s="53" t="inlineStr"/>
      <c r="L3093" s="53" t="inlineStr">
        <is>
          <t>Не определено</t>
        </is>
      </c>
      <c r="M3093" s="53" t="inlineStr"/>
      <c r="N3093" s="54" t="inlineStr"/>
      <c r="O3093" s="55" t="inlineStr"/>
      <c r="P3093" s="16" t="inlineStr">
        <is>
          <t>Требует обогащения</t>
        </is>
      </c>
      <c r="Q3093" s="16">
        <f>HYPERLINK("https://pb.nalog.ru/search.html?query=3808219416","ФНС: проверить")</f>
        <v/>
      </c>
      <c r="R3093" s="16">
        <f>HYPERLINK("https://checko.ru/search?query=3801001629","Чекко: проверить")</f>
        <v/>
      </c>
      <c r="S3093" t="n">
        <v>1</v>
      </c>
      <c r="T3093" s="35" t="inlineStr">
        <is>
          <t>4 — Не обогащён</t>
        </is>
      </c>
      <c r="U3093" s="35" t="inlineStr">
        <is>
          <t>Нет ОКВЭД/ССЧР</t>
        </is>
      </c>
      <c r="V3093" s="35" t="inlineStr">
        <is>
          <t>Не определено</t>
        </is>
      </c>
      <c r="W3093" s="35" t="inlineStr"/>
      <c r="X3093" s="35" t="inlineStr"/>
    </row>
    <row r="3094" ht="15" customHeight="1" s="24">
      <c r="A3094" s="13" t="n">
        <v>5000072255</v>
      </c>
      <c r="B3094" s="13" t="inlineStr">
        <is>
          <t>Дума г. Иркутска</t>
        </is>
      </c>
      <c r="C3094" s="13" t="n">
        <v>3808224350</v>
      </c>
      <c r="D3094" s="13" t="inlineStr">
        <is>
          <t>3808224350</t>
        </is>
      </c>
      <c r="E3094" s="13" t="inlineStr">
        <is>
          <t>ЮЛ РФ</t>
        </is>
      </c>
      <c r="F3094" s="13" t="n"/>
      <c r="G3094" s="14" t="n"/>
      <c r="H3094" s="14" t="n"/>
      <c r="I3094" s="14" t="n"/>
      <c r="J3094" s="14" t="n"/>
      <c r="K3094" s="53" t="inlineStr"/>
      <c r="L3094" s="53" t="inlineStr">
        <is>
          <t>Не определено</t>
        </is>
      </c>
      <c r="M3094" s="53" t="inlineStr"/>
      <c r="N3094" s="54" t="inlineStr"/>
      <c r="O3094" s="55" t="inlineStr"/>
      <c r="P3094" s="16" t="inlineStr">
        <is>
          <t>Требует обогащения</t>
        </is>
      </c>
      <c r="Q3094" s="16">
        <f>HYPERLINK("https://pb.nalog.ru/search.html?query=3808224350","ФНС: проверить")</f>
        <v/>
      </c>
      <c r="R3094" s="16">
        <f>HYPERLINK("https://checko.ru/search?query=3801001629","Чекко: проверить")</f>
        <v/>
      </c>
      <c r="S3094" t="n">
        <v>1</v>
      </c>
      <c r="T3094" s="35" t="inlineStr">
        <is>
          <t>4 — Не обогащён</t>
        </is>
      </c>
      <c r="U3094" s="35" t="inlineStr">
        <is>
          <t>Нет ОКВЭД/ССЧР</t>
        </is>
      </c>
      <c r="V3094" s="35" t="inlineStr">
        <is>
          <t>Не определено</t>
        </is>
      </c>
      <c r="W3094" s="35" t="inlineStr"/>
      <c r="X3094" s="35" t="inlineStr"/>
    </row>
    <row r="3095" ht="15" customHeight="1" s="24">
      <c r="A3095" s="13" t="n">
        <v>5000072256</v>
      </c>
      <c r="B3095" s="13" t="inlineStr">
        <is>
          <t>КСП г. Иркутска</t>
        </is>
      </c>
      <c r="C3095" s="13" t="n">
        <v>3808142570</v>
      </c>
      <c r="D3095" s="13" t="inlineStr">
        <is>
          <t>3808142570</t>
        </is>
      </c>
      <c r="E3095" s="13" t="inlineStr">
        <is>
          <t>ЮЛ РФ</t>
        </is>
      </c>
      <c r="F3095" s="13" t="n"/>
      <c r="G3095" s="14" t="n"/>
      <c r="H3095" s="14" t="n"/>
      <c r="I3095" s="14" t="n"/>
      <c r="J3095" s="14" t="n"/>
      <c r="K3095" s="53" t="inlineStr"/>
      <c r="L3095" s="53" t="inlineStr">
        <is>
          <t>Не определено</t>
        </is>
      </c>
      <c r="M3095" s="53" t="inlineStr"/>
      <c r="N3095" s="54" t="inlineStr"/>
      <c r="O3095" s="55" t="inlineStr"/>
      <c r="P3095" s="16" t="inlineStr">
        <is>
          <t>Требует обогащения</t>
        </is>
      </c>
      <c r="Q3095" s="16">
        <f>HYPERLINK("https://pb.nalog.ru/search.html?query=3808142570","ФНС: проверить")</f>
        <v/>
      </c>
      <c r="R3095" s="16">
        <f>HYPERLINK("https://checko.ru/search?query=3801001629","Чекко: проверить")</f>
        <v/>
      </c>
      <c r="S3095" t="n">
        <v>1</v>
      </c>
      <c r="T3095" s="35" t="inlineStr">
        <is>
          <t>4 — Не обогащён</t>
        </is>
      </c>
      <c r="U3095" s="35" t="inlineStr">
        <is>
          <t>Нет ОКВЭД/ССЧР</t>
        </is>
      </c>
      <c r="V3095" s="35" t="inlineStr">
        <is>
          <t>Не определено</t>
        </is>
      </c>
      <c r="W3095" s="35" t="inlineStr"/>
      <c r="X3095" s="35" t="inlineStr"/>
    </row>
    <row r="3096" ht="15" customHeight="1" s="24">
      <c r="A3096" s="13" t="n">
        <v>5000072258</v>
      </c>
      <c r="B3096" s="13" t="inlineStr">
        <is>
          <t>МКУ "Транспортно-эксплуатационная служба"</t>
        </is>
      </c>
      <c r="C3096" s="13" t="n">
        <v>3849081485</v>
      </c>
      <c r="D3096" s="13" t="inlineStr">
        <is>
          <t>3849081485</t>
        </is>
      </c>
      <c r="E3096" s="13" t="inlineStr">
        <is>
          <t>ЮЛ РФ</t>
        </is>
      </c>
      <c r="F3096" s="13" t="n"/>
      <c r="G3096" s="14" t="n"/>
      <c r="H3096" s="14" t="n"/>
      <c r="I3096" s="14" t="n"/>
      <c r="J3096" s="14" t="n"/>
      <c r="K3096" s="53" t="inlineStr"/>
      <c r="L3096" s="53" t="inlineStr">
        <is>
          <t>Не определено</t>
        </is>
      </c>
      <c r="M3096" s="53" t="inlineStr"/>
      <c r="N3096" s="54" t="inlineStr"/>
      <c r="O3096" s="55" t="inlineStr"/>
      <c r="P3096" s="16" t="inlineStr">
        <is>
          <t>Требует обогащения</t>
        </is>
      </c>
      <c r="Q3096" s="16">
        <f>HYPERLINK("https://pb.nalog.ru/search.html?query=3849081485","ФНС: проверить")</f>
        <v/>
      </c>
      <c r="R3096" s="16">
        <f>HYPERLINK("https://checko.ru/search?query=3801001629","Чекко: проверить")</f>
        <v/>
      </c>
      <c r="S3096" t="n">
        <v>1</v>
      </c>
      <c r="T3096" s="35" t="inlineStr">
        <is>
          <t>4 — Не обогащён</t>
        </is>
      </c>
      <c r="U3096" s="35" t="inlineStr">
        <is>
          <t>Нет ОКВЭД/ССЧР</t>
        </is>
      </c>
      <c r="V3096" s="35" t="inlineStr">
        <is>
          <t>Не определено</t>
        </is>
      </c>
      <c r="W3096" s="35" t="inlineStr"/>
      <c r="X3096" s="35" t="inlineStr"/>
    </row>
    <row r="3097" ht="27.75" customHeight="1" s="24">
      <c r="A3097" s="13" t="n">
        <v>5000072247</v>
      </c>
      <c r="B3097" s="13" t="inlineStr">
        <is>
          <t>Департамент финансов КБПиФ администрации г Иркутска</t>
        </is>
      </c>
      <c r="C3097" s="13" t="n">
        <v>3808193119</v>
      </c>
      <c r="D3097" s="13" t="inlineStr">
        <is>
          <t>3808193119</t>
        </is>
      </c>
      <c r="E3097" s="13" t="inlineStr">
        <is>
          <t>ЮЛ РФ</t>
        </is>
      </c>
      <c r="F3097" s="13" t="n"/>
      <c r="G3097" s="14" t="n"/>
      <c r="H3097" s="14" t="n"/>
      <c r="I3097" s="14" t="n"/>
      <c r="J3097" s="14" t="n"/>
      <c r="K3097" s="53" t="inlineStr"/>
      <c r="L3097" s="53" t="inlineStr">
        <is>
          <t>Не определено</t>
        </is>
      </c>
      <c r="M3097" s="53" t="inlineStr"/>
      <c r="N3097" s="54" t="inlineStr"/>
      <c r="O3097" s="55" t="inlineStr"/>
      <c r="P3097" s="16" t="inlineStr">
        <is>
          <t>Требует обогащения</t>
        </is>
      </c>
      <c r="Q3097" s="16">
        <f>HYPERLINK("https://pb.nalog.ru/search.html?query=3808193119","ФНС: проверить")</f>
        <v/>
      </c>
      <c r="R3097" s="16">
        <f>HYPERLINK("https://checko.ru/search?query=3801001629","Чекко: проверить")</f>
        <v/>
      </c>
      <c r="S3097" t="n">
        <v>1</v>
      </c>
      <c r="T3097" s="35" t="inlineStr">
        <is>
          <t>4 — Не обогащён</t>
        </is>
      </c>
      <c r="U3097" s="35" t="inlineStr">
        <is>
          <t>Нет ОКВЭД/ССЧР</t>
        </is>
      </c>
      <c r="V3097" s="35" t="inlineStr">
        <is>
          <t>Не определено</t>
        </is>
      </c>
      <c r="W3097" s="35" t="inlineStr"/>
      <c r="X3097" s="35" t="inlineStr"/>
    </row>
    <row r="3098" ht="15" customHeight="1" s="24">
      <c r="A3098" s="13" t="n">
        <v>5000072248</v>
      </c>
      <c r="B3098" s="13" t="inlineStr">
        <is>
          <t>ДЗИСПН КСПК г. Иркутска</t>
        </is>
      </c>
      <c r="C3098" s="13" t="n">
        <v>3808219430</v>
      </c>
      <c r="D3098" s="13" t="inlineStr">
        <is>
          <t>3808219430</t>
        </is>
      </c>
      <c r="E3098" s="13" t="inlineStr">
        <is>
          <t>ЮЛ РФ</t>
        </is>
      </c>
      <c r="F3098" s="13" t="n"/>
      <c r="G3098" s="14" t="n"/>
      <c r="H3098" s="14" t="n"/>
      <c r="I3098" s="14" t="n"/>
      <c r="J3098" s="14" t="n"/>
      <c r="K3098" s="53" t="inlineStr"/>
      <c r="L3098" s="53" t="inlineStr">
        <is>
          <t>Не определено</t>
        </is>
      </c>
      <c r="M3098" s="53" t="inlineStr"/>
      <c r="N3098" s="54" t="inlineStr"/>
      <c r="O3098" s="55" t="inlineStr"/>
      <c r="P3098" s="16" t="inlineStr">
        <is>
          <t>Требует обогащения</t>
        </is>
      </c>
      <c r="Q3098" s="16">
        <f>HYPERLINK("https://pb.nalog.ru/search.html?query=3808219430","ФНС: проверить")</f>
        <v/>
      </c>
      <c r="R3098" s="16">
        <f>HYPERLINK("https://checko.ru/search?query=3801001629","Чекко: проверить")</f>
        <v/>
      </c>
      <c r="S3098" t="n">
        <v>1</v>
      </c>
      <c r="T3098" s="35" t="inlineStr">
        <is>
          <t>4 — Не обогащён</t>
        </is>
      </c>
      <c r="U3098" s="35" t="inlineStr">
        <is>
          <t>Нет ОКВЭД/ССЧР</t>
        </is>
      </c>
      <c r="V3098" s="35" t="inlineStr">
        <is>
          <t>Не определено</t>
        </is>
      </c>
      <c r="W3098" s="35" t="inlineStr"/>
      <c r="X3098" s="35" t="inlineStr"/>
    </row>
    <row r="3099" ht="15" customHeight="1" s="24">
      <c r="A3099" s="13" t="n">
        <v>5000072249</v>
      </c>
      <c r="B3099" s="13" t="inlineStr">
        <is>
          <t>ДО КСПК администрации г.Иркутска</t>
        </is>
      </c>
      <c r="C3099" s="13" t="n">
        <v>3849016479</v>
      </c>
      <c r="D3099" s="13" t="inlineStr">
        <is>
          <t>3849016479</t>
        </is>
      </c>
      <c r="E3099" s="13" t="inlineStr">
        <is>
          <t>ЮЛ РФ</t>
        </is>
      </c>
      <c r="F3099" s="13" t="n"/>
      <c r="G3099" s="14" t="n"/>
      <c r="H3099" s="14" t="n"/>
      <c r="I3099" s="14" t="n"/>
      <c r="J3099" s="14" t="n"/>
      <c r="K3099" s="53" t="inlineStr"/>
      <c r="L3099" s="53" t="inlineStr">
        <is>
          <t>Не определено</t>
        </is>
      </c>
      <c r="M3099" s="53" t="inlineStr"/>
      <c r="N3099" s="54" t="inlineStr"/>
      <c r="O3099" s="55" t="inlineStr"/>
      <c r="P3099" s="16" t="inlineStr">
        <is>
          <t>Требует обогащения</t>
        </is>
      </c>
      <c r="Q3099" s="16">
        <f>HYPERLINK("https://pb.nalog.ru/search.html?query=3849016479","ФНС: проверить")</f>
        <v/>
      </c>
      <c r="R3099" s="16">
        <f>HYPERLINK("https://checko.ru/search?query=3801001629","Чекко: проверить")</f>
        <v/>
      </c>
      <c r="S3099" t="n">
        <v>1</v>
      </c>
      <c r="T3099" s="35" t="inlineStr">
        <is>
          <t>4 — Не обогащён</t>
        </is>
      </c>
      <c r="U3099" s="35" t="inlineStr">
        <is>
          <t>Нет ОКВЭД/ССЧР</t>
        </is>
      </c>
      <c r="V3099" s="35" t="inlineStr">
        <is>
          <t>Не определено</t>
        </is>
      </c>
      <c r="W3099" s="35" t="inlineStr"/>
      <c r="X3099" s="35" t="inlineStr"/>
    </row>
    <row r="3100" ht="15" customHeight="1" s="24">
      <c r="A3100" s="13" t="n">
        <v>5000072250</v>
      </c>
      <c r="B3100" s="13" t="inlineStr">
        <is>
          <t>КГО администрации г. Иркутска</t>
        </is>
      </c>
      <c r="C3100" s="13" t="n">
        <v>3808219423</v>
      </c>
      <c r="D3100" s="13" t="inlineStr">
        <is>
          <t>3808219423</t>
        </is>
      </c>
      <c r="E3100" s="13" t="inlineStr">
        <is>
          <t>ЮЛ РФ</t>
        </is>
      </c>
      <c r="F3100" s="13" t="n"/>
      <c r="G3100" s="14" t="n"/>
      <c r="H3100" s="14" t="n"/>
      <c r="I3100" s="14" t="n"/>
      <c r="J3100" s="14" t="n"/>
      <c r="K3100" s="53" t="inlineStr"/>
      <c r="L3100" s="53" t="inlineStr">
        <is>
          <t>Не определено</t>
        </is>
      </c>
      <c r="M3100" s="53" t="inlineStr"/>
      <c r="N3100" s="54" t="inlineStr"/>
      <c r="O3100" s="55" t="inlineStr"/>
      <c r="P3100" s="16" t="inlineStr">
        <is>
          <t>Требует обогащения</t>
        </is>
      </c>
      <c r="Q3100" s="16">
        <f>HYPERLINK("https://pb.nalog.ru/search.html?query=3808219423","ФНС: проверить")</f>
        <v/>
      </c>
      <c r="R3100" s="16">
        <f>HYPERLINK("https://checko.ru/search?query=3801001629","Чекко: проверить")</f>
        <v/>
      </c>
      <c r="S3100" t="n">
        <v>1</v>
      </c>
      <c r="T3100" s="35" t="inlineStr">
        <is>
          <t>4 — Не обогащён</t>
        </is>
      </c>
      <c r="U3100" s="35" t="inlineStr">
        <is>
          <t>Нет ОКВЭД/ССЧР</t>
        </is>
      </c>
      <c r="V3100" s="35" t="inlineStr">
        <is>
          <t>Не определено</t>
        </is>
      </c>
      <c r="W3100" s="35" t="inlineStr"/>
      <c r="X3100" s="35" t="inlineStr"/>
    </row>
    <row r="3101" ht="15" customHeight="1" s="24">
      <c r="A3101" s="13" t="n">
        <v>5000072251</v>
      </c>
      <c r="B3101" s="13" t="inlineStr">
        <is>
          <t>КУМИ г. Иркутска</t>
        </is>
      </c>
      <c r="C3101" s="13" t="n">
        <v>3849057115</v>
      </c>
      <c r="D3101" s="13" t="inlineStr">
        <is>
          <t>3849057115</t>
        </is>
      </c>
      <c r="E3101" s="13" t="inlineStr">
        <is>
          <t>ЮЛ РФ</t>
        </is>
      </c>
      <c r="F3101" s="13" t="n"/>
      <c r="G3101" s="14" t="n"/>
      <c r="H3101" s="14" t="n"/>
      <c r="I3101" s="14" t="n"/>
      <c r="J3101" s="14" t="n"/>
      <c r="K3101" s="53" t="inlineStr"/>
      <c r="L3101" s="53" t="inlineStr">
        <is>
          <t>Не определено</t>
        </is>
      </c>
      <c r="M3101" s="53" t="inlineStr"/>
      <c r="N3101" s="54" t="inlineStr"/>
      <c r="O3101" s="55" t="inlineStr"/>
      <c r="P3101" s="16" t="inlineStr">
        <is>
          <t>Требует обогащения</t>
        </is>
      </c>
      <c r="Q3101" s="16">
        <f>HYPERLINK("https://pb.nalog.ru/search.html?query=3849057115","ФНС: проверить")</f>
        <v/>
      </c>
      <c r="R3101" s="16">
        <f>HYPERLINK("https://checko.ru/search?query=3801001629","Чекко: проверить")</f>
        <v/>
      </c>
      <c r="S3101" t="n">
        <v>1</v>
      </c>
      <c r="T3101" s="35" t="inlineStr">
        <is>
          <t>4 — Не обогащён</t>
        </is>
      </c>
      <c r="U3101" s="35" t="inlineStr">
        <is>
          <t>Нет ОКВЭД/ССЧР</t>
        </is>
      </c>
      <c r="V3101" s="35" t="inlineStr">
        <is>
          <t>Не определено</t>
        </is>
      </c>
      <c r="W3101" s="35" t="inlineStr"/>
      <c r="X3101" s="35" t="inlineStr"/>
    </row>
    <row r="3102" ht="15" customHeight="1" s="24">
      <c r="A3102" s="13" t="n">
        <v>5000072252</v>
      </c>
      <c r="B3102" s="13" t="inlineStr">
        <is>
          <t>УКТМП КСПК г. Иркутска</t>
        </is>
      </c>
      <c r="C3102" s="13" t="n">
        <v>3849057080</v>
      </c>
      <c r="D3102" s="13" t="inlineStr">
        <is>
          <t>3849057080</t>
        </is>
      </c>
      <c r="E3102" s="13" t="inlineStr">
        <is>
          <t>ЮЛ РФ</t>
        </is>
      </c>
      <c r="F3102" s="13" t="n"/>
      <c r="G3102" s="14" t="n"/>
      <c r="H3102" s="14" t="n"/>
      <c r="I3102" s="14" t="n"/>
      <c r="J3102" s="14" t="n"/>
      <c r="K3102" s="53" t="inlineStr"/>
      <c r="L3102" s="53" t="inlineStr">
        <is>
          <t>Не определено</t>
        </is>
      </c>
      <c r="M3102" s="53" t="inlineStr"/>
      <c r="N3102" s="54" t="inlineStr"/>
      <c r="O3102" s="55" t="inlineStr"/>
      <c r="P3102" s="16" t="inlineStr">
        <is>
          <t>Требует обогащения</t>
        </is>
      </c>
      <c r="Q3102" s="16">
        <f>HYPERLINK("https://pb.nalog.ru/search.html?query=3849057080","ФНС: проверить")</f>
        <v/>
      </c>
      <c r="R3102" s="16">
        <f>HYPERLINK("https://checko.ru/search?query=3801001629","Чекко: проверить")</f>
        <v/>
      </c>
      <c r="S3102" t="n">
        <v>1</v>
      </c>
      <c r="T3102" s="35" t="inlineStr">
        <is>
          <t>4 — Не обогащён</t>
        </is>
      </c>
      <c r="U3102" s="35" t="inlineStr">
        <is>
          <t>Нет ОКВЭД/ССЧР</t>
        </is>
      </c>
      <c r="V3102" s="35" t="inlineStr">
        <is>
          <t>Не определено</t>
        </is>
      </c>
      <c r="W3102" s="35" t="inlineStr"/>
      <c r="X3102" s="35" t="inlineStr"/>
    </row>
    <row r="3103" ht="27.75" customHeight="1" s="24">
      <c r="A3103" s="13" t="n">
        <v>5000048972</v>
      </c>
      <c r="B3103" s="13" t="inlineStr">
        <is>
          <t>БУ "Администрация Мамаканского городского поселения"</t>
        </is>
      </c>
      <c r="C3103" s="13" t="n">
        <v>3802010506</v>
      </c>
      <c r="D3103" s="13" t="inlineStr">
        <is>
          <t>3802010506</t>
        </is>
      </c>
      <c r="E3103" s="13" t="inlineStr">
        <is>
          <t>ЮЛ РФ</t>
        </is>
      </c>
      <c r="F3103" s="13" t="n"/>
      <c r="G3103" s="14" t="n"/>
      <c r="H3103" s="14" t="n"/>
      <c r="I3103" s="14" t="n"/>
      <c r="J3103" s="14" t="n"/>
      <c r="K3103" s="53" t="inlineStr"/>
      <c r="L3103" s="53" t="inlineStr">
        <is>
          <t>Не определено</t>
        </is>
      </c>
      <c r="M3103" s="53" t="inlineStr"/>
      <c r="N3103" s="54" t="inlineStr"/>
      <c r="O3103" s="55" t="inlineStr"/>
      <c r="P3103" s="16" t="inlineStr">
        <is>
          <t>Требует обогащения</t>
        </is>
      </c>
      <c r="Q3103" s="16">
        <f>HYPERLINK("https://pb.nalog.ru/search.html?query=3802010506","ФНС: проверить")</f>
        <v/>
      </c>
      <c r="R3103" s="16">
        <f>HYPERLINK("https://checko.ru/search?query=3801001629","Чекко: проверить")</f>
        <v/>
      </c>
      <c r="S3103" t="n">
        <v>1</v>
      </c>
      <c r="T3103" s="35" t="inlineStr">
        <is>
          <t>4 — Не обогащён</t>
        </is>
      </c>
      <c r="U3103" s="35" t="inlineStr">
        <is>
          <t>Нет ОКВЭД/ССЧР</t>
        </is>
      </c>
      <c r="V3103" s="35" t="inlineStr">
        <is>
          <t>Не определено</t>
        </is>
      </c>
      <c r="W3103" s="35" t="inlineStr"/>
      <c r="X3103" s="35" t="inlineStr"/>
    </row>
    <row r="3104" ht="41.25" customHeight="1" s="24">
      <c r="A3104" s="13" t="n">
        <v>5000121975</v>
      </c>
      <c r="B3104" s="13" t="inlineStr">
        <is>
          <t>МУНИЦИПАЛЬНОЕ ОБЩЕОБРАЗОВАТЕЛЬНОЕ УЧРЕЖДЕНИЕ РОДНИКОВСКАЯ СРЕДНЯЯ ОБЩЕОБРАЗОВАТЕЛЬНАЯ ШКОЛА № 32</t>
        </is>
      </c>
      <c r="C3104" s="13" t="n">
        <v>5040040802</v>
      </c>
      <c r="D3104" s="13" t="inlineStr">
        <is>
          <t>5040040802</t>
        </is>
      </c>
      <c r="E3104" s="13" t="inlineStr">
        <is>
          <t>ЮЛ РФ</t>
        </is>
      </c>
      <c r="F3104" s="13" t="n"/>
      <c r="G3104" s="14" t="n"/>
      <c r="H3104" s="14" t="n"/>
      <c r="I3104" s="14" t="n"/>
      <c r="J3104" s="14" t="n"/>
      <c r="K3104" s="53" t="inlineStr"/>
      <c r="L3104" s="53" t="inlineStr">
        <is>
          <t>Не определено</t>
        </is>
      </c>
      <c r="M3104" s="53" t="inlineStr"/>
      <c r="N3104" s="54" t="inlineStr"/>
      <c r="O3104" s="55" t="inlineStr"/>
      <c r="P3104" s="16" t="inlineStr">
        <is>
          <t>Требует обогащения</t>
        </is>
      </c>
      <c r="Q3104" s="16">
        <f>HYPERLINK("https://pb.nalog.ru/search.html?query=5040040802","ФНС: проверить")</f>
        <v/>
      </c>
      <c r="R3104" s="16">
        <f>HYPERLINK("https://checko.ru/search?query=3801001629","Чекко: проверить")</f>
        <v/>
      </c>
      <c r="S3104" t="n">
        <v>1</v>
      </c>
      <c r="T3104" s="35" t="inlineStr">
        <is>
          <t>4 — Не обогащён</t>
        </is>
      </c>
      <c r="U3104" s="35" t="inlineStr">
        <is>
          <t>Нет ОКВЭД/ССЧР</t>
        </is>
      </c>
      <c r="V3104" s="35" t="inlineStr">
        <is>
          <t>Не определено</t>
        </is>
      </c>
      <c r="W3104" s="35" t="inlineStr"/>
      <c r="X3104" s="35" t="inlineStr"/>
    </row>
    <row r="3105" ht="41.25" customHeight="1" s="24">
      <c r="A3105" s="13" t="n">
        <v>5000111684</v>
      </c>
      <c r="B3105" s="13" t="inlineStr">
        <is>
          <t>Муниципальное казенное учреждение "Пожарная Охрана Чунского Муниципального Округа Иркутской Области"</t>
        </is>
      </c>
      <c r="C3105" s="13" t="n">
        <v>3816037184</v>
      </c>
      <c r="D3105" s="13" t="inlineStr">
        <is>
          <t>3816037184</t>
        </is>
      </c>
      <c r="E3105" s="13" t="inlineStr">
        <is>
          <t>ЮЛ РФ</t>
        </is>
      </c>
      <c r="F3105" s="13" t="n"/>
      <c r="G3105" s="14" t="n"/>
      <c r="H3105" s="14" t="n"/>
      <c r="I3105" s="14" t="n"/>
      <c r="J3105" s="14" t="n"/>
      <c r="K3105" s="53" t="inlineStr"/>
      <c r="L3105" s="53" t="inlineStr">
        <is>
          <t>Не определено</t>
        </is>
      </c>
      <c r="M3105" s="53" t="inlineStr"/>
      <c r="N3105" s="54" t="inlineStr"/>
      <c r="O3105" s="55" t="inlineStr"/>
      <c r="P3105" s="16" t="inlineStr">
        <is>
          <t>Требует обогащения</t>
        </is>
      </c>
      <c r="Q3105" s="16">
        <f>HYPERLINK("https://pb.nalog.ru/search.html?query=3816037184","ФНС: проверить")</f>
        <v/>
      </c>
      <c r="R3105" s="16">
        <f>HYPERLINK("https://checko.ru/search?query=3801001629","Чекко: проверить")</f>
        <v/>
      </c>
      <c r="S3105" t="n">
        <v>1</v>
      </c>
      <c r="T3105" s="35" t="inlineStr">
        <is>
          <t>4 — Не обогащён</t>
        </is>
      </c>
      <c r="U3105" s="35" t="inlineStr">
        <is>
          <t>Нет ОКВЭД/ССЧР</t>
        </is>
      </c>
      <c r="V3105" s="35" t="inlineStr">
        <is>
          <t>Не определено</t>
        </is>
      </c>
      <c r="W3105" s="35" t="inlineStr"/>
      <c r="X3105" s="35" t="inlineStr"/>
    </row>
    <row r="3106" ht="27.75" customHeight="1" s="24">
      <c r="A3106" s="13" t="n">
        <v>5000111685</v>
      </c>
      <c r="B3106" s="13" t="inlineStr">
        <is>
          <t>Червянский Территориальный Отдел Администрации Чунского Муниципального Округа</t>
        </is>
      </c>
      <c r="C3106" s="13" t="n">
        <v>3816037265</v>
      </c>
      <c r="D3106" s="13" t="inlineStr">
        <is>
          <t>3816037265</t>
        </is>
      </c>
      <c r="E3106" s="13" t="inlineStr">
        <is>
          <t>ЮЛ РФ</t>
        </is>
      </c>
      <c r="F3106" s="13" t="n"/>
      <c r="G3106" s="14" t="n"/>
      <c r="H3106" s="14" t="n"/>
      <c r="I3106" s="14" t="n"/>
      <c r="J3106" s="14" t="n"/>
      <c r="K3106" s="53" t="inlineStr"/>
      <c r="L3106" s="53" t="inlineStr">
        <is>
          <t>Не определено</t>
        </is>
      </c>
      <c r="M3106" s="53" t="inlineStr"/>
      <c r="N3106" s="54" t="inlineStr"/>
      <c r="O3106" s="55" t="inlineStr"/>
      <c r="P3106" s="16" t="inlineStr">
        <is>
          <t>Требует обогащения</t>
        </is>
      </c>
      <c r="Q3106" s="16">
        <f>HYPERLINK("https://pb.nalog.ru/search.html?query=3816037265","ФНС: проверить")</f>
        <v/>
      </c>
      <c r="R3106" s="16">
        <f>HYPERLINK("https://checko.ru/search?query=3801001629","Чекко: проверить")</f>
        <v/>
      </c>
      <c r="S3106" t="n">
        <v>1</v>
      </c>
      <c r="T3106" s="35" t="inlineStr">
        <is>
          <t>4 — Не обогащён</t>
        </is>
      </c>
      <c r="U3106" s="35" t="inlineStr">
        <is>
          <t>Нет ОКВЭД/ССЧР</t>
        </is>
      </c>
      <c r="V3106" s="35" t="inlineStr">
        <is>
          <t>Не определено</t>
        </is>
      </c>
      <c r="W3106" s="35" t="inlineStr"/>
      <c r="X3106" s="35" t="inlineStr"/>
    </row>
    <row r="3107" ht="27.75" customHeight="1" s="24">
      <c r="A3107" s="13" t="n">
        <v>5000089715</v>
      </c>
      <c r="B3107" s="13" t="inlineStr">
        <is>
          <t>Контрольно-Счетная Палата Муниципального Образования "Аларский Район"</t>
        </is>
      </c>
      <c r="C3107" s="13" t="n">
        <v>3851004664</v>
      </c>
      <c r="D3107" s="13" t="inlineStr">
        <is>
          <t>3851004664</t>
        </is>
      </c>
      <c r="E3107" s="13" t="inlineStr">
        <is>
          <t>ЮЛ РФ</t>
        </is>
      </c>
      <c r="F3107" s="13" t="n"/>
      <c r="G3107" s="14" t="n"/>
      <c r="H3107" s="14" t="n"/>
      <c r="I3107" s="14" t="n"/>
      <c r="J3107" s="14" t="n"/>
      <c r="K3107" s="53" t="inlineStr"/>
      <c r="L3107" s="53" t="inlineStr">
        <is>
          <t>Не определено</t>
        </is>
      </c>
      <c r="M3107" s="53" t="inlineStr"/>
      <c r="N3107" s="54" t="inlineStr"/>
      <c r="O3107" s="55" t="inlineStr"/>
      <c r="P3107" s="16" t="inlineStr">
        <is>
          <t>Требует обогащения</t>
        </is>
      </c>
      <c r="Q3107" s="16">
        <f>HYPERLINK("https://pb.nalog.ru/search.html?query=3851004664","ФНС: проверить")</f>
        <v/>
      </c>
      <c r="R3107" s="16">
        <f>HYPERLINK("https://checko.ru/search?query=3801001629","Чекко: проверить")</f>
        <v/>
      </c>
      <c r="S3107" t="n">
        <v>1</v>
      </c>
      <c r="T3107" s="35" t="inlineStr">
        <is>
          <t>4 — Не обогащён</t>
        </is>
      </c>
      <c r="U3107" s="35" t="inlineStr">
        <is>
          <t>Нет ОКВЭД/ССЧР</t>
        </is>
      </c>
      <c r="V3107" s="35" t="inlineStr">
        <is>
          <t>Не определено</t>
        </is>
      </c>
      <c r="W3107" s="35" t="inlineStr"/>
      <c r="X3107" s="35" t="inlineStr"/>
    </row>
    <row r="3108" ht="27.75" customHeight="1" s="24">
      <c r="A3108" s="13" t="n">
        <v>5000104406</v>
      </c>
      <c r="B3108" s="13" t="inlineStr">
        <is>
          <t>КОМИТЕТ ПО УПРАВЛЕНИЮ ОКТЯБРЬСКИМ ОКРУГОМ АДМИНИСТРАЦИИ ГОРОДА ИРКУТСКА</t>
        </is>
      </c>
      <c r="C3108" s="13" t="n">
        <v>3849087198</v>
      </c>
      <c r="D3108" s="13" t="inlineStr">
        <is>
          <t>3849087198</t>
        </is>
      </c>
      <c r="E3108" s="13" t="inlineStr">
        <is>
          <t>ЮЛ РФ</t>
        </is>
      </c>
      <c r="F3108" s="13" t="n"/>
      <c r="G3108" s="14" t="n"/>
      <c r="H3108" s="14" t="n"/>
      <c r="I3108" s="14" t="n"/>
      <c r="J3108" s="14" t="n"/>
      <c r="K3108" s="53" t="inlineStr"/>
      <c r="L3108" s="53" t="inlineStr">
        <is>
          <t>Не определено</t>
        </is>
      </c>
      <c r="M3108" s="53" t="inlineStr"/>
      <c r="N3108" s="54" t="inlineStr"/>
      <c r="O3108" s="55" t="inlineStr"/>
      <c r="P3108" s="16" t="inlineStr">
        <is>
          <t>Требует обогащения</t>
        </is>
      </c>
      <c r="Q3108" s="16">
        <f>HYPERLINK("https://pb.nalog.ru/search.html?query=3849087198","ФНС: проверить")</f>
        <v/>
      </c>
      <c r="R3108" s="16">
        <f>HYPERLINK("https://checko.ru/search?query=3801001629","Чекко: проверить")</f>
        <v/>
      </c>
      <c r="S3108" t="n">
        <v>1</v>
      </c>
      <c r="T3108" s="35" t="inlineStr">
        <is>
          <t>4 — Не обогащён</t>
        </is>
      </c>
      <c r="U3108" s="35" t="inlineStr">
        <is>
          <t>Нет ОКВЭД/ССЧР</t>
        </is>
      </c>
      <c r="V3108" s="35" t="inlineStr">
        <is>
          <t>Не определено</t>
        </is>
      </c>
      <c r="W3108" s="35" t="inlineStr"/>
      <c r="X3108" s="35" t="inlineStr"/>
    </row>
    <row r="3109" ht="27.75" customHeight="1" s="24">
      <c r="A3109" s="13" t="n">
        <v>5000045935</v>
      </c>
      <c r="B3109" s="13" t="inlineStr">
        <is>
          <t>Дума муниципального образования "Аларский район"</t>
        </is>
      </c>
      <c r="C3109" s="13" t="n">
        <v>8501006456</v>
      </c>
      <c r="D3109" s="13" t="inlineStr">
        <is>
          <t>8501006456</t>
        </is>
      </c>
      <c r="E3109" s="13" t="inlineStr">
        <is>
          <t>ЮЛ РФ</t>
        </is>
      </c>
      <c r="F3109" s="13" t="n"/>
      <c r="G3109" s="14" t="n"/>
      <c r="H3109" s="14" t="n"/>
      <c r="I3109" s="14" t="n"/>
      <c r="J3109" s="14" t="n"/>
      <c r="K3109" s="53" t="inlineStr"/>
      <c r="L3109" s="53" t="inlineStr">
        <is>
          <t>Не определено</t>
        </is>
      </c>
      <c r="M3109" s="53" t="inlineStr"/>
      <c r="N3109" s="54" t="inlineStr"/>
      <c r="O3109" s="55" t="inlineStr"/>
      <c r="P3109" s="16" t="inlineStr">
        <is>
          <t>Требует обогащения</t>
        </is>
      </c>
      <c r="Q3109" s="16">
        <f>HYPERLINK("https://pb.nalog.ru/search.html?query=8501006456","ФНС: проверить")</f>
        <v/>
      </c>
      <c r="R3109" s="16">
        <f>HYPERLINK("https://checko.ru/search?query=3801001629","Чекко: проверить")</f>
        <v/>
      </c>
      <c r="S3109" t="n">
        <v>1</v>
      </c>
      <c r="T3109" s="35" t="inlineStr">
        <is>
          <t>4 — Не обогащён</t>
        </is>
      </c>
      <c r="U3109" s="35" t="inlineStr">
        <is>
          <t>Нет ОКВЭД/ССЧР</t>
        </is>
      </c>
      <c r="V3109" s="35" t="inlineStr">
        <is>
          <t>Не определено</t>
        </is>
      </c>
      <c r="W3109" s="35" t="inlineStr"/>
      <c r="X3109" s="35" t="inlineStr"/>
    </row>
    <row r="3110" ht="15" customHeight="1" s="24">
      <c r="A3110" s="13" t="n">
        <v>5000121955</v>
      </c>
      <c r="B3110" s="13" t="inlineStr">
        <is>
          <t>МБУ спорта СШ «Раменское»</t>
        </is>
      </c>
      <c r="C3110" s="13" t="n">
        <v>5040137603</v>
      </c>
      <c r="D3110" s="13" t="inlineStr">
        <is>
          <t>5040137603</t>
        </is>
      </c>
      <c r="E3110" s="13" t="inlineStr">
        <is>
          <t>ЮЛ РФ</t>
        </is>
      </c>
      <c r="F3110" s="13" t="n"/>
      <c r="G3110" s="14" t="n"/>
      <c r="H3110" s="14" t="n"/>
      <c r="I3110" s="14" t="n"/>
      <c r="J3110" s="14" t="n"/>
      <c r="K3110" s="53" t="inlineStr"/>
      <c r="L3110" s="53" t="inlineStr">
        <is>
          <t>Не определено</t>
        </is>
      </c>
      <c r="M3110" s="53" t="inlineStr"/>
      <c r="N3110" s="54" t="inlineStr"/>
      <c r="O3110" s="55" t="inlineStr"/>
      <c r="P3110" s="16" t="inlineStr">
        <is>
          <t>Требует обогащения</t>
        </is>
      </c>
      <c r="Q3110" s="16">
        <f>HYPERLINK("https://pb.nalog.ru/search.html?query=5040137603","ФНС: проверить")</f>
        <v/>
      </c>
      <c r="R3110" s="16">
        <f>HYPERLINK("https://checko.ru/search?query=3801001629","Чекко: проверить")</f>
        <v/>
      </c>
      <c r="S3110" t="n">
        <v>1</v>
      </c>
      <c r="T3110" s="35" t="inlineStr">
        <is>
          <t>4 — Не обогащён</t>
        </is>
      </c>
      <c r="U3110" s="35" t="inlineStr">
        <is>
          <t>Нет ОКВЭД/ССЧР</t>
        </is>
      </c>
      <c r="V3110" s="35" t="inlineStr">
        <is>
          <t>Не определено</t>
        </is>
      </c>
      <c r="W3110" s="35" t="inlineStr"/>
      <c r="X3110" s="35" t="inlineStr"/>
    </row>
    <row r="3111" ht="15" customHeight="1" s="24">
      <c r="A3111" s="13" t="n">
        <v>5000063806</v>
      </c>
      <c r="B3111" s="13" t="inlineStr">
        <is>
          <t>ДОСУГОВЫЙ ЦЕНТР СОСНОВОБОРСКОГО МО МУК</t>
        </is>
      </c>
      <c r="C3111" s="13" t="n">
        <v>3827034178</v>
      </c>
      <c r="D3111" s="13" t="inlineStr">
        <is>
          <t>3827034178</t>
        </is>
      </c>
      <c r="E3111" s="13" t="inlineStr">
        <is>
          <t>ЮЛ РФ</t>
        </is>
      </c>
      <c r="F3111" s="13" t="n"/>
      <c r="G3111" s="14" t="n"/>
      <c r="H3111" s="14" t="n"/>
      <c r="I3111" s="14" t="n"/>
      <c r="J3111" s="14" t="n"/>
      <c r="K3111" s="53" t="inlineStr"/>
      <c r="L3111" s="53" t="inlineStr">
        <is>
          <t>Не определено</t>
        </is>
      </c>
      <c r="M3111" s="53" t="inlineStr"/>
      <c r="N3111" s="54" t="inlineStr"/>
      <c r="O3111" s="55" t="inlineStr"/>
      <c r="P3111" s="16" t="inlineStr">
        <is>
          <t>Требует обогащения</t>
        </is>
      </c>
      <c r="Q3111" s="16">
        <f>HYPERLINK("https://pb.nalog.ru/search.html?query=3827034178","ФНС: проверить")</f>
        <v/>
      </c>
      <c r="R3111" s="16">
        <f>HYPERLINK("https://checko.ru/search?query=3801001629","Чекко: проверить")</f>
        <v/>
      </c>
      <c r="S3111" t="n">
        <v>1</v>
      </c>
      <c r="T3111" s="35" t="inlineStr">
        <is>
          <t>4 — Не обогащён</t>
        </is>
      </c>
      <c r="U3111" s="35" t="inlineStr">
        <is>
          <t>Нет ОКВЭД/ССЧР</t>
        </is>
      </c>
      <c r="V3111" s="35" t="inlineStr">
        <is>
          <t>Не определено</t>
        </is>
      </c>
      <c r="W3111" s="35" t="inlineStr"/>
      <c r="X3111" s="35" t="inlineStr"/>
    </row>
    <row r="3112" ht="27.75" customHeight="1" s="24">
      <c r="A3112" s="13" t="n">
        <v>5000121995</v>
      </c>
      <c r="B3112" s="13" t="inlineStr">
        <is>
          <t>МАУ "МФЦ РАМЕНСКОГО МУНИЦИПАЛЬНОГО ОКРУГА"</t>
        </is>
      </c>
      <c r="C3112" s="13" t="n">
        <v>5040127122</v>
      </c>
      <c r="D3112" s="13" t="inlineStr">
        <is>
          <t>5040127122</t>
        </is>
      </c>
      <c r="E3112" s="13" t="inlineStr">
        <is>
          <t>ЮЛ РФ</t>
        </is>
      </c>
      <c r="F3112" s="13" t="n"/>
      <c r="G3112" s="14" t="n"/>
      <c r="H3112" s="14" t="n"/>
      <c r="I3112" s="14" t="n"/>
      <c r="J3112" s="14" t="n"/>
      <c r="K3112" s="53" t="inlineStr"/>
      <c r="L3112" s="53" t="inlineStr">
        <is>
          <t>Не определено</t>
        </is>
      </c>
      <c r="M3112" s="53" t="inlineStr"/>
      <c r="N3112" s="54" t="inlineStr"/>
      <c r="O3112" s="55" t="inlineStr"/>
      <c r="P3112" s="16" t="inlineStr">
        <is>
          <t>Требует обогащения</t>
        </is>
      </c>
      <c r="Q3112" s="16">
        <f>HYPERLINK("https://pb.nalog.ru/search.html?query=5040127122","ФНС: проверить")</f>
        <v/>
      </c>
      <c r="R3112" s="16">
        <f>HYPERLINK("https://checko.ru/search?query=3801001629","Чекко: проверить")</f>
        <v/>
      </c>
      <c r="S3112" t="n">
        <v>1</v>
      </c>
      <c r="T3112" s="35" t="inlineStr">
        <is>
          <t>4 — Не обогащён</t>
        </is>
      </c>
      <c r="U3112" s="35" t="inlineStr">
        <is>
          <t>Нет ОКВЭД/ССЧР</t>
        </is>
      </c>
      <c r="V3112" s="35" t="inlineStr">
        <is>
          <t>Не определено</t>
        </is>
      </c>
      <c r="W3112" s="35" t="inlineStr"/>
      <c r="X3112" s="35" t="inlineStr"/>
    </row>
    <row r="3113" ht="41.25" customHeight="1" s="24">
      <c r="A3113" s="13" t="n">
        <v>5000120040</v>
      </c>
      <c r="B3113" s="13" t="inlineStr">
        <is>
          <t>Территориальное управление Апрелевка Администрации Наро-Фоминского городского округа</t>
        </is>
      </c>
      <c r="C3113" s="13" t="n">
        <v>5030092819</v>
      </c>
      <c r="D3113" s="13" t="inlineStr">
        <is>
          <t>5030092819</t>
        </is>
      </c>
      <c r="E3113" s="13" t="inlineStr">
        <is>
          <t>ЮЛ РФ</t>
        </is>
      </c>
      <c r="F3113" s="13" t="n"/>
      <c r="G3113" s="14" t="n"/>
      <c r="H3113" s="14" t="n"/>
      <c r="I3113" s="14" t="n"/>
      <c r="J3113" s="14" t="n"/>
      <c r="K3113" s="53" t="inlineStr"/>
      <c r="L3113" s="53" t="inlineStr">
        <is>
          <t>Не определено</t>
        </is>
      </c>
      <c r="M3113" s="53" t="inlineStr"/>
      <c r="N3113" s="54" t="inlineStr"/>
      <c r="O3113" s="55" t="inlineStr"/>
      <c r="P3113" s="16" t="inlineStr">
        <is>
          <t>Требует обогащения</t>
        </is>
      </c>
      <c r="Q3113" s="16">
        <f>HYPERLINK("https://pb.nalog.ru/search.html?query=5030092819","ФНС: проверить")</f>
        <v/>
      </c>
      <c r="R3113" s="16">
        <f>HYPERLINK("https://checko.ru/search?query=3801001629","Чекко: проверить")</f>
        <v/>
      </c>
      <c r="S3113" t="n">
        <v>1</v>
      </c>
      <c r="T3113" s="35" t="inlineStr">
        <is>
          <t>4 — Не обогащён</t>
        </is>
      </c>
      <c r="U3113" s="35" t="inlineStr">
        <is>
          <t>Нет ОКВЭД/ССЧР</t>
        </is>
      </c>
      <c r="V3113" s="35" t="inlineStr">
        <is>
          <t>Не определено</t>
        </is>
      </c>
      <c r="W3113" s="35" t="inlineStr"/>
      <c r="X3113" s="35" t="inlineStr"/>
    </row>
    <row r="3114" ht="27.75" customHeight="1" s="24">
      <c r="A3114" s="13" t="n">
        <v>5000122663</v>
      </c>
      <c r="B3114" s="13" t="inlineStr">
        <is>
          <t>Финансовое управление администрации городского округа "поселок Палана"</t>
        </is>
      </c>
      <c r="C3114" s="13" t="n">
        <v>8200001951</v>
      </c>
      <c r="D3114" s="13" t="inlineStr">
        <is>
          <t>8200001951</t>
        </is>
      </c>
      <c r="E3114" s="13" t="inlineStr">
        <is>
          <t>ЮЛ РФ</t>
        </is>
      </c>
      <c r="F3114" s="13" t="n"/>
      <c r="G3114" s="14" t="n"/>
      <c r="H3114" s="14" t="n"/>
      <c r="I3114" s="14" t="n"/>
      <c r="J3114" s="14" t="n"/>
      <c r="K3114" s="53" t="inlineStr"/>
      <c r="L3114" s="53" t="inlineStr">
        <is>
          <t>Не определено</t>
        </is>
      </c>
      <c r="M3114" s="53" t="inlineStr"/>
      <c r="N3114" s="54" t="inlineStr"/>
      <c r="O3114" s="55" t="inlineStr"/>
      <c r="P3114" s="16" t="inlineStr">
        <is>
          <t>Требует обогащения</t>
        </is>
      </c>
      <c r="Q3114" s="16">
        <f>HYPERLINK("https://pb.nalog.ru/search.html?query=8200001951","ФНС: проверить")</f>
        <v/>
      </c>
      <c r="R3114" s="16">
        <f>HYPERLINK("https://checko.ru/search?query=3801001629","Чекко: проверить")</f>
        <v/>
      </c>
      <c r="S3114" t="n">
        <v>1</v>
      </c>
      <c r="T3114" s="35" t="inlineStr">
        <is>
          <t>4 — Не обогащён</t>
        </is>
      </c>
      <c r="U3114" s="35" t="inlineStr">
        <is>
          <t>Нет ОКВЭД/ССЧР</t>
        </is>
      </c>
      <c r="V3114" s="35" t="inlineStr">
        <is>
          <t>Не определено</t>
        </is>
      </c>
      <c r="W3114" s="35" t="inlineStr"/>
      <c r="X3114" s="35" t="inlineStr"/>
    </row>
    <row r="3115" ht="41.25" customHeight="1" s="24">
      <c r="A3115" s="13" t="n">
        <v>5000029828</v>
      </c>
      <c r="B3115" s="13" t="inlineStr">
        <is>
          <t>МБОУ  Вышегородская  школа-интернат для обучающихся с ограниченными возможностями здоровья</t>
        </is>
      </c>
      <c r="C3115" s="13" t="n">
        <v>5030034623</v>
      </c>
      <c r="D3115" s="13" t="inlineStr">
        <is>
          <t>5030034623</t>
        </is>
      </c>
      <c r="E3115" s="13" t="inlineStr">
        <is>
          <t>ЮЛ РФ</t>
        </is>
      </c>
      <c r="F3115" s="13" t="n"/>
      <c r="G3115" s="14" t="n"/>
      <c r="H3115" s="14" t="n"/>
      <c r="I3115" s="14" t="n"/>
      <c r="J3115" s="14" t="n"/>
      <c r="K3115" s="53" t="inlineStr"/>
      <c r="L3115" s="53" t="inlineStr">
        <is>
          <t>Не определено</t>
        </is>
      </c>
      <c r="M3115" s="53" t="inlineStr"/>
      <c r="N3115" s="54" t="inlineStr"/>
      <c r="O3115" s="55" t="inlineStr"/>
      <c r="P3115" s="16" t="inlineStr">
        <is>
          <t>Требует обогащения</t>
        </is>
      </c>
      <c r="Q3115" s="16">
        <f>HYPERLINK("https://pb.nalog.ru/search.html?query=5030034623","ФНС: проверить")</f>
        <v/>
      </c>
      <c r="R3115" s="16">
        <f>HYPERLINK("https://checko.ru/search?query=3801001629","Чекко: проверить")</f>
        <v/>
      </c>
      <c r="S3115" t="n">
        <v>1</v>
      </c>
      <c r="T3115" s="35" t="inlineStr">
        <is>
          <t>4 — Не обогащён</t>
        </is>
      </c>
      <c r="U3115" s="35" t="inlineStr">
        <is>
          <t>Нет ОКВЭД/ССЧР</t>
        </is>
      </c>
      <c r="V3115" s="35" t="inlineStr">
        <is>
          <t>Не определено</t>
        </is>
      </c>
      <c r="W3115" s="35" t="inlineStr"/>
      <c r="X3115" s="35" t="inlineStr"/>
    </row>
    <row r="3116" ht="15" customHeight="1" s="24">
      <c r="A3116" s="13" t="n">
        <v>5000029851</v>
      </c>
      <c r="B3116" s="13" t="inlineStr">
        <is>
          <t>МБОУ Атепцевская СОШ</t>
        </is>
      </c>
      <c r="C3116" s="13" t="n">
        <v>5030032030</v>
      </c>
      <c r="D3116" s="13" t="inlineStr">
        <is>
          <t>5030032030</t>
        </is>
      </c>
      <c r="E3116" s="13" t="inlineStr">
        <is>
          <t>ЮЛ РФ</t>
        </is>
      </c>
      <c r="F3116" s="13" t="n"/>
      <c r="G3116" s="14" t="n"/>
      <c r="H3116" s="14" t="n"/>
      <c r="I3116" s="14" t="n"/>
      <c r="J3116" s="14" t="n"/>
      <c r="K3116" s="53" t="inlineStr"/>
      <c r="L3116" s="53" t="inlineStr">
        <is>
          <t>Не определено</t>
        </is>
      </c>
      <c r="M3116" s="53" t="inlineStr"/>
      <c r="N3116" s="54" t="inlineStr"/>
      <c r="O3116" s="55" t="inlineStr"/>
      <c r="P3116" s="16" t="inlineStr">
        <is>
          <t>Требует обогащения</t>
        </is>
      </c>
      <c r="Q3116" s="16">
        <f>HYPERLINK("https://pb.nalog.ru/search.html?query=5030032030","ФНС: проверить")</f>
        <v/>
      </c>
      <c r="R3116" s="16">
        <f>HYPERLINK("https://checko.ru/search?query=3801001629","Чекко: проверить")</f>
        <v/>
      </c>
      <c r="S3116" t="n">
        <v>1</v>
      </c>
      <c r="T3116" s="35" t="inlineStr">
        <is>
          <t>4 — Не обогащён</t>
        </is>
      </c>
      <c r="U3116" s="35" t="inlineStr">
        <is>
          <t>Нет ОКВЭД/ССЧР</t>
        </is>
      </c>
      <c r="V3116" s="35" t="inlineStr">
        <is>
          <t>Не определено</t>
        </is>
      </c>
      <c r="W3116" s="35" t="inlineStr"/>
      <c r="X3116" s="35" t="inlineStr"/>
    </row>
    <row r="3117" ht="15" customHeight="1" s="24">
      <c r="A3117" s="13" t="n">
        <v>5000029853</v>
      </c>
      <c r="B3117" s="13" t="inlineStr">
        <is>
          <t>МБОУ Ново-Ольховская СОШ</t>
        </is>
      </c>
      <c r="C3117" s="13" t="n">
        <v>5030032217</v>
      </c>
      <c r="D3117" s="13" t="inlineStr">
        <is>
          <t>5030032217</t>
        </is>
      </c>
      <c r="E3117" s="13" t="inlineStr">
        <is>
          <t>ЮЛ РФ</t>
        </is>
      </c>
      <c r="F3117" s="13" t="n"/>
      <c r="G3117" s="14" t="n"/>
      <c r="H3117" s="14" t="n"/>
      <c r="I3117" s="14" t="n"/>
      <c r="J3117" s="14" t="n"/>
      <c r="K3117" s="53" t="inlineStr"/>
      <c r="L3117" s="53" t="inlineStr">
        <is>
          <t>Не определено</t>
        </is>
      </c>
      <c r="M3117" s="53" t="inlineStr"/>
      <c r="N3117" s="54" t="inlineStr"/>
      <c r="O3117" s="55" t="inlineStr"/>
      <c r="P3117" s="16" t="inlineStr">
        <is>
          <t>Требует обогащения</t>
        </is>
      </c>
      <c r="Q3117" s="16">
        <f>HYPERLINK("https://pb.nalog.ru/search.html?query=5030032217","ФНС: проверить")</f>
        <v/>
      </c>
      <c r="R3117" s="16">
        <f>HYPERLINK("https://checko.ru/search?query=3801001629","Чекко: проверить")</f>
        <v/>
      </c>
      <c r="S3117" t="n">
        <v>1</v>
      </c>
      <c r="T3117" s="35" t="inlineStr">
        <is>
          <t>4 — Не обогащён</t>
        </is>
      </c>
      <c r="U3117" s="35" t="inlineStr">
        <is>
          <t>Нет ОКВЭД/ССЧР</t>
        </is>
      </c>
      <c r="V3117" s="35" t="inlineStr">
        <is>
          <t>Не определено</t>
        </is>
      </c>
      <c r="W3117" s="35" t="inlineStr"/>
      <c r="X3117" s="35" t="inlineStr"/>
    </row>
    <row r="3118" ht="15" customHeight="1" s="24">
      <c r="A3118" s="13" t="n">
        <v>5000029854</v>
      </c>
      <c r="B3118" s="13" t="inlineStr">
        <is>
          <t>МБОУ Наро-Фоминская СОШ №9</t>
        </is>
      </c>
      <c r="C3118" s="13" t="n">
        <v>5030031943</v>
      </c>
      <c r="D3118" s="13" t="inlineStr">
        <is>
          <t>5030031943</t>
        </is>
      </c>
      <c r="E3118" s="13" t="inlineStr">
        <is>
          <t>ЮЛ РФ</t>
        </is>
      </c>
      <c r="F3118" s="13" t="n"/>
      <c r="G3118" s="14" t="n"/>
      <c r="H3118" s="14" t="n"/>
      <c r="I3118" s="14" t="n"/>
      <c r="J3118" s="14" t="n"/>
      <c r="K3118" s="53" t="inlineStr"/>
      <c r="L3118" s="53" t="inlineStr">
        <is>
          <t>Не определено</t>
        </is>
      </c>
      <c r="M3118" s="53" t="inlineStr"/>
      <c r="N3118" s="54" t="inlineStr"/>
      <c r="O3118" s="55" t="inlineStr"/>
      <c r="P3118" s="16" t="inlineStr">
        <is>
          <t>Требует обогащения</t>
        </is>
      </c>
      <c r="Q3118" s="16">
        <f>HYPERLINK("https://pb.nalog.ru/search.html?query=5030031943","ФНС: проверить")</f>
        <v/>
      </c>
      <c r="R3118" s="16">
        <f>HYPERLINK("https://checko.ru/search?query=3801001629","Чекко: проверить")</f>
        <v/>
      </c>
      <c r="S3118" t="n">
        <v>1</v>
      </c>
      <c r="T3118" s="35" t="inlineStr">
        <is>
          <t>4 — Не обогащён</t>
        </is>
      </c>
      <c r="U3118" s="35" t="inlineStr">
        <is>
          <t>Нет ОКВЭД/ССЧР</t>
        </is>
      </c>
      <c r="V3118" s="35" t="inlineStr">
        <is>
          <t>Не определено</t>
        </is>
      </c>
      <c r="W3118" s="35" t="inlineStr"/>
      <c r="X3118" s="35" t="inlineStr"/>
    </row>
    <row r="3119" ht="15" customHeight="1" s="24">
      <c r="A3119" s="13" t="n">
        <v>5000029856</v>
      </c>
      <c r="B3119" s="13" t="inlineStr">
        <is>
          <t>МБОУ Наро-Фоминская СОШ №6</t>
        </is>
      </c>
      <c r="C3119" s="13" t="n">
        <v>5030031911</v>
      </c>
      <c r="D3119" s="13" t="inlineStr">
        <is>
          <t>5030031911</t>
        </is>
      </c>
      <c r="E3119" s="13" t="inlineStr">
        <is>
          <t>ЮЛ РФ</t>
        </is>
      </c>
      <c r="F3119" s="13" t="n"/>
      <c r="G3119" s="14" t="n"/>
      <c r="H3119" s="14" t="n"/>
      <c r="I3119" s="14" t="n"/>
      <c r="J3119" s="14" t="n"/>
      <c r="K3119" s="53" t="inlineStr"/>
      <c r="L3119" s="53" t="inlineStr">
        <is>
          <t>Не определено</t>
        </is>
      </c>
      <c r="M3119" s="53" t="inlineStr"/>
      <c r="N3119" s="54" t="inlineStr"/>
      <c r="O3119" s="55" t="inlineStr"/>
      <c r="P3119" s="16" t="inlineStr">
        <is>
          <t>Требует обогащения</t>
        </is>
      </c>
      <c r="Q3119" s="16">
        <f>HYPERLINK("https://pb.nalog.ru/search.html?query=5030031911","ФНС: проверить")</f>
        <v/>
      </c>
      <c r="R3119" s="16">
        <f>HYPERLINK("https://checko.ru/search?query=3801001629","Чекко: проверить")</f>
        <v/>
      </c>
      <c r="S3119" t="n">
        <v>1</v>
      </c>
      <c r="T3119" s="35" t="inlineStr">
        <is>
          <t>4 — Не обогащён</t>
        </is>
      </c>
      <c r="U3119" s="35" t="inlineStr">
        <is>
          <t>Нет ОКВЭД/ССЧР</t>
        </is>
      </c>
      <c r="V3119" s="35" t="inlineStr">
        <is>
          <t>Не определено</t>
        </is>
      </c>
      <c r="W3119" s="35" t="inlineStr"/>
      <c r="X3119" s="35" t="inlineStr"/>
    </row>
    <row r="3120" ht="15" customHeight="1" s="24">
      <c r="A3120" s="13" t="n">
        <v>5000029857</v>
      </c>
      <c r="B3120" s="13" t="inlineStr">
        <is>
          <t>МБОУ Наро-Фоминская СОШ №5</t>
        </is>
      </c>
      <c r="C3120" s="13" t="n">
        <v>5030031904</v>
      </c>
      <c r="D3120" s="13" t="inlineStr">
        <is>
          <t>5030031904</t>
        </is>
      </c>
      <c r="E3120" s="13" t="inlineStr">
        <is>
          <t>ЮЛ РФ</t>
        </is>
      </c>
      <c r="F3120" s="13" t="n"/>
      <c r="G3120" s="14" t="n"/>
      <c r="H3120" s="14" t="n"/>
      <c r="I3120" s="14" t="n"/>
      <c r="J3120" s="14" t="n"/>
      <c r="K3120" s="53" t="inlineStr"/>
      <c r="L3120" s="53" t="inlineStr">
        <is>
          <t>Не определено</t>
        </is>
      </c>
      <c r="M3120" s="53" t="inlineStr"/>
      <c r="N3120" s="54" t="inlineStr"/>
      <c r="O3120" s="55" t="inlineStr"/>
      <c r="P3120" s="16" t="inlineStr">
        <is>
          <t>Требует обогащения</t>
        </is>
      </c>
      <c r="Q3120" s="16">
        <f>HYPERLINK("https://pb.nalog.ru/search.html?query=5030031904","ФНС: проверить")</f>
        <v/>
      </c>
      <c r="R3120" s="16">
        <f>HYPERLINK("https://checko.ru/search?query=3801001629","Чекко: проверить")</f>
        <v/>
      </c>
      <c r="S3120" t="n">
        <v>1</v>
      </c>
      <c r="T3120" s="35" t="inlineStr">
        <is>
          <t>4 — Не обогащён</t>
        </is>
      </c>
      <c r="U3120" s="35" t="inlineStr">
        <is>
          <t>Нет ОКВЭД/ССЧР</t>
        </is>
      </c>
      <c r="V3120" s="35" t="inlineStr">
        <is>
          <t>Не определено</t>
        </is>
      </c>
      <c r="W3120" s="35" t="inlineStr"/>
      <c r="X3120" s="35" t="inlineStr"/>
    </row>
    <row r="3121" ht="15" customHeight="1" s="24">
      <c r="A3121" s="13" t="n">
        <v>5000029858</v>
      </c>
      <c r="B3121" s="13" t="inlineStr">
        <is>
          <t>МБОУ Наро-Фоминская СОШ №4</t>
        </is>
      </c>
      <c r="C3121" s="13" t="n">
        <v>5030031894</v>
      </c>
      <c r="D3121" s="13" t="inlineStr">
        <is>
          <t>5030031894</t>
        </is>
      </c>
      <c r="E3121" s="13" t="inlineStr">
        <is>
          <t>ЮЛ РФ</t>
        </is>
      </c>
      <c r="F3121" s="13" t="n"/>
      <c r="G3121" s="14" t="n"/>
      <c r="H3121" s="14" t="n"/>
      <c r="I3121" s="14" t="n"/>
      <c r="J3121" s="14" t="n"/>
      <c r="K3121" s="53" t="inlineStr"/>
      <c r="L3121" s="53" t="inlineStr">
        <is>
          <t>Не определено</t>
        </is>
      </c>
      <c r="M3121" s="53" t="inlineStr"/>
      <c r="N3121" s="54" t="inlineStr"/>
      <c r="O3121" s="55" t="inlineStr"/>
      <c r="P3121" s="16" t="inlineStr">
        <is>
          <t>Требует обогащения</t>
        </is>
      </c>
      <c r="Q3121" s="16">
        <f>HYPERLINK("https://pb.nalog.ru/search.html?query=5030031894","ФНС: проверить")</f>
        <v/>
      </c>
      <c r="R3121" s="16">
        <f>HYPERLINK("https://checko.ru/search?query=3801001629","Чекко: проверить")</f>
        <v/>
      </c>
      <c r="S3121" t="n">
        <v>1</v>
      </c>
      <c r="T3121" s="35" t="inlineStr">
        <is>
          <t>4 — Не обогащён</t>
        </is>
      </c>
      <c r="U3121" s="35" t="inlineStr">
        <is>
          <t>Нет ОКВЭД/ССЧР</t>
        </is>
      </c>
      <c r="V3121" s="35" t="inlineStr">
        <is>
          <t>Не определено</t>
        </is>
      </c>
      <c r="W3121" s="35" t="inlineStr"/>
      <c r="X3121" s="35" t="inlineStr"/>
    </row>
    <row r="3122" ht="27.75" customHeight="1" s="24">
      <c r="A3122" s="13" t="n">
        <v>5000029860</v>
      </c>
      <c r="B3122" s="13" t="inlineStr">
        <is>
          <t>Управление по образованию Администрации Наро-Фоминского муниципального района</t>
        </is>
      </c>
      <c r="C3122" s="13" t="n">
        <v>5030010990</v>
      </c>
      <c r="D3122" s="13" t="inlineStr">
        <is>
          <t>5030010990</t>
        </is>
      </c>
      <c r="E3122" s="13" t="inlineStr">
        <is>
          <t>ЮЛ РФ</t>
        </is>
      </c>
      <c r="F3122" s="13" t="n"/>
      <c r="G3122" s="14" t="n"/>
      <c r="H3122" s="14" t="n"/>
      <c r="I3122" s="14" t="n"/>
      <c r="J3122" s="14" t="n"/>
      <c r="K3122" s="53" t="inlineStr"/>
      <c r="L3122" s="53" t="inlineStr">
        <is>
          <t>Не определено</t>
        </is>
      </c>
      <c r="M3122" s="53" t="inlineStr"/>
      <c r="N3122" s="54" t="inlineStr"/>
      <c r="O3122" s="55" t="inlineStr"/>
      <c r="P3122" s="16" t="inlineStr">
        <is>
          <t>Требует обогащения</t>
        </is>
      </c>
      <c r="Q3122" s="16">
        <f>HYPERLINK("https://pb.nalog.ru/search.html?query=5030010990","ФНС: проверить")</f>
        <v/>
      </c>
      <c r="R3122" s="16">
        <f>HYPERLINK("https://checko.ru/search?query=3801001629","Чекко: проверить")</f>
        <v/>
      </c>
      <c r="S3122" t="n">
        <v>1</v>
      </c>
      <c r="T3122" s="35" t="inlineStr">
        <is>
          <t>4 — Не обогащён</t>
        </is>
      </c>
      <c r="U3122" s="35" t="inlineStr">
        <is>
          <t>Нет ОКВЭД/ССЧР</t>
        </is>
      </c>
      <c r="V3122" s="35" t="inlineStr">
        <is>
          <t>Не определено</t>
        </is>
      </c>
      <c r="W3122" s="35" t="inlineStr"/>
      <c r="X3122" s="35" t="inlineStr"/>
    </row>
    <row r="3123" ht="15" customHeight="1" s="24">
      <c r="A3123" s="13" t="n">
        <v>5000117350</v>
      </c>
      <c r="B3123" s="13" t="inlineStr">
        <is>
          <t>МАОУ Наро-Фоминская СОШ № 3 СУИОП</t>
        </is>
      </c>
      <c r="C3123" s="13" t="n">
        <v>5030031887</v>
      </c>
      <c r="D3123" s="13" t="inlineStr">
        <is>
          <t>5030031887</t>
        </is>
      </c>
      <c r="E3123" s="13" t="inlineStr">
        <is>
          <t>ЮЛ РФ</t>
        </is>
      </c>
      <c r="F3123" s="13" t="n"/>
      <c r="G3123" s="14" t="n"/>
      <c r="H3123" s="14" t="n"/>
      <c r="I3123" s="14" t="n"/>
      <c r="J3123" s="14" t="n"/>
      <c r="K3123" s="53" t="inlineStr"/>
      <c r="L3123" s="53" t="inlineStr">
        <is>
          <t>Не определено</t>
        </is>
      </c>
      <c r="M3123" s="53" t="inlineStr"/>
      <c r="N3123" s="54" t="inlineStr"/>
      <c r="O3123" s="55" t="inlineStr"/>
      <c r="P3123" s="16" t="inlineStr">
        <is>
          <t>Требует обогащения</t>
        </is>
      </c>
      <c r="Q3123" s="16">
        <f>HYPERLINK("https://pb.nalog.ru/search.html?query=5030031887","ФНС: проверить")</f>
        <v/>
      </c>
      <c r="R3123" s="16">
        <f>HYPERLINK("https://checko.ru/search?query=3801001629","Чекко: проверить")</f>
        <v/>
      </c>
      <c r="S3123" t="n">
        <v>1</v>
      </c>
      <c r="T3123" s="35" t="inlineStr">
        <is>
          <t>4 — Не обогащён</t>
        </is>
      </c>
      <c r="U3123" s="35" t="inlineStr">
        <is>
          <t>Нет ОКВЭД/ССЧР</t>
        </is>
      </c>
      <c r="V3123" s="35" t="inlineStr">
        <is>
          <t>Не определено</t>
        </is>
      </c>
      <c r="W3123" s="35" t="inlineStr"/>
      <c r="X3123" s="35" t="inlineStr"/>
    </row>
    <row r="3124" ht="27.75" customHeight="1" s="24">
      <c r="A3124" s="13" t="n">
        <v>5000076491</v>
      </c>
      <c r="B3124" s="13" t="inlineStr">
        <is>
          <t>МАОУ Лицей имени Героя России Веры Волошиной</t>
        </is>
      </c>
      <c r="C3124" s="13" t="n">
        <v>5030032249</v>
      </c>
      <c r="D3124" s="13" t="inlineStr">
        <is>
          <t>5030032249</t>
        </is>
      </c>
      <c r="E3124" s="13" t="inlineStr">
        <is>
          <t>ЮЛ РФ</t>
        </is>
      </c>
      <c r="F3124" s="13" t="n"/>
      <c r="G3124" s="14" t="n"/>
      <c r="H3124" s="14" t="n"/>
      <c r="I3124" s="14" t="n"/>
      <c r="J3124" s="14" t="n"/>
      <c r="K3124" s="53" t="inlineStr"/>
      <c r="L3124" s="53" t="inlineStr">
        <is>
          <t>Не определено</t>
        </is>
      </c>
      <c r="M3124" s="53" t="inlineStr"/>
      <c r="N3124" s="54" t="inlineStr"/>
      <c r="O3124" s="55" t="inlineStr"/>
      <c r="P3124" s="16" t="inlineStr">
        <is>
          <t>Требует обогащения</t>
        </is>
      </c>
      <c r="Q3124" s="16">
        <f>HYPERLINK("https://pb.nalog.ru/search.html?query=5030032249","ФНС: проверить")</f>
        <v/>
      </c>
      <c r="R3124" s="16">
        <f>HYPERLINK("https://checko.ru/search?query=3801001629","Чекко: проверить")</f>
        <v/>
      </c>
      <c r="S3124" t="n">
        <v>1</v>
      </c>
      <c r="T3124" s="35" t="inlineStr">
        <is>
          <t>4 — Не обогащён</t>
        </is>
      </c>
      <c r="U3124" s="35" t="inlineStr">
        <is>
          <t>Нет ОКВЭД/ССЧР</t>
        </is>
      </c>
      <c r="V3124" s="35" t="inlineStr">
        <is>
          <t>Не определено</t>
        </is>
      </c>
      <c r="W3124" s="35" t="inlineStr"/>
      <c r="X3124" s="35" t="inlineStr"/>
    </row>
    <row r="3125" ht="15" customHeight="1" s="24">
      <c r="A3125" s="13" t="n">
        <v>5000122541</v>
      </c>
      <c r="B3125" s="13" t="inlineStr">
        <is>
          <t>КГАУ "Камчатский театр драмы и комедии"</t>
        </is>
      </c>
      <c r="C3125" s="13" t="n">
        <v>4100000509</v>
      </c>
      <c r="D3125" s="13" t="inlineStr">
        <is>
          <t>4100000509</t>
        </is>
      </c>
      <c r="E3125" s="13" t="inlineStr">
        <is>
          <t>ЮЛ РФ</t>
        </is>
      </c>
      <c r="F3125" s="13" t="n"/>
      <c r="G3125" s="14" t="n"/>
      <c r="H3125" s="14" t="n"/>
      <c r="I3125" s="14" t="n"/>
      <c r="J3125" s="14" t="n"/>
      <c r="K3125" s="53" t="inlineStr"/>
      <c r="L3125" s="53" t="inlineStr">
        <is>
          <t>Не определено</t>
        </is>
      </c>
      <c r="M3125" s="53" t="inlineStr"/>
      <c r="N3125" s="54" t="inlineStr"/>
      <c r="O3125" s="55" t="inlineStr"/>
      <c r="P3125" s="16" t="inlineStr">
        <is>
          <t>Требует обогащения</t>
        </is>
      </c>
      <c r="Q3125" s="16">
        <f>HYPERLINK("https://pb.nalog.ru/search.html?query=4100000509","ФНС: проверить")</f>
        <v/>
      </c>
      <c r="R3125" s="16">
        <f>HYPERLINK("https://checko.ru/search?query=3801001629","Чекко: проверить")</f>
        <v/>
      </c>
      <c r="S3125" t="n">
        <v>1</v>
      </c>
      <c r="T3125" s="35" t="inlineStr">
        <is>
          <t>4 — Не обогащён</t>
        </is>
      </c>
      <c r="U3125" s="35" t="inlineStr">
        <is>
          <t>Нет ОКВЭД/ССЧР</t>
        </is>
      </c>
      <c r="V3125" s="35" t="inlineStr">
        <is>
          <t>Не определено</t>
        </is>
      </c>
      <c r="W3125" s="35" t="inlineStr"/>
      <c r="X3125" s="35" t="inlineStr"/>
    </row>
    <row r="3126" ht="27.75" customHeight="1" s="24">
      <c r="A3126" s="13" t="n">
        <v>5000122600</v>
      </c>
      <c r="B3126" s="13" t="inlineStr">
        <is>
          <t>Администрация Начикинского сельского поселения</t>
        </is>
      </c>
      <c r="C3126" s="13" t="n">
        <v>4105030031</v>
      </c>
      <c r="D3126" s="13" t="inlineStr">
        <is>
          <t>4105030031</t>
        </is>
      </c>
      <c r="E3126" s="13" t="inlineStr">
        <is>
          <t>ЮЛ РФ</t>
        </is>
      </c>
      <c r="F3126" s="13" t="n"/>
      <c r="G3126" s="14" t="n"/>
      <c r="H3126" s="14" t="n"/>
      <c r="I3126" s="14" t="n"/>
      <c r="J3126" s="14" t="n"/>
      <c r="K3126" s="53" t="inlineStr"/>
      <c r="L3126" s="53" t="inlineStr">
        <is>
          <t>Не определено</t>
        </is>
      </c>
      <c r="M3126" s="53" t="inlineStr"/>
      <c r="N3126" s="54" t="inlineStr"/>
      <c r="O3126" s="55" t="inlineStr"/>
      <c r="P3126" s="16" t="inlineStr">
        <is>
          <t>Требует обогащения</t>
        </is>
      </c>
      <c r="Q3126" s="16">
        <f>HYPERLINK("https://pb.nalog.ru/search.html?query=4105030031","ФНС: проверить")</f>
        <v/>
      </c>
      <c r="R3126" s="16">
        <f>HYPERLINK("https://checko.ru/search?query=3801001629","Чекко: проверить")</f>
        <v/>
      </c>
      <c r="S3126" t="n">
        <v>1</v>
      </c>
      <c r="T3126" s="35" t="inlineStr">
        <is>
          <t>4 — Не обогащён</t>
        </is>
      </c>
      <c r="U3126" s="35" t="inlineStr">
        <is>
          <t>Нет ОКВЭД/ССЧР</t>
        </is>
      </c>
      <c r="V3126" s="35" t="inlineStr">
        <is>
          <t>Не определено</t>
        </is>
      </c>
      <c r="W3126" s="35" t="inlineStr"/>
      <c r="X3126" s="35" t="inlineStr"/>
    </row>
    <row r="3127" ht="27.75" customHeight="1" s="24">
      <c r="A3127" s="13" t="n">
        <v>5000122612</v>
      </c>
      <c r="B3127" s="13" t="inlineStr">
        <is>
          <t>АДМИНИСТРАЦИЯ УСТЬ-БОЛЬШЕРЕЦКОГО МУНИЦИПАЛЬНОГО РАЙОНА</t>
        </is>
      </c>
      <c r="C3127" s="13" t="n">
        <v>4108001529</v>
      </c>
      <c r="D3127" s="13" t="inlineStr">
        <is>
          <t>4108001529</t>
        </is>
      </c>
      <c r="E3127" s="13" t="inlineStr">
        <is>
          <t>ЮЛ РФ</t>
        </is>
      </c>
      <c r="F3127" s="13" t="n"/>
      <c r="G3127" s="14" t="n"/>
      <c r="H3127" s="14" t="n"/>
      <c r="I3127" s="14" t="n"/>
      <c r="J3127" s="14" t="n"/>
      <c r="K3127" s="53" t="inlineStr"/>
      <c r="L3127" s="53" t="inlineStr">
        <is>
          <t>Не определено</t>
        </is>
      </c>
      <c r="M3127" s="53" t="inlineStr"/>
      <c r="N3127" s="54" t="inlineStr"/>
      <c r="O3127" s="55" t="inlineStr"/>
      <c r="P3127" s="16" t="inlineStr">
        <is>
          <t>Требует обогащения</t>
        </is>
      </c>
      <c r="Q3127" s="16">
        <f>HYPERLINK("https://pb.nalog.ru/search.html?query=4108001529","ФНС: проверить")</f>
        <v/>
      </c>
      <c r="R3127" s="16">
        <f>HYPERLINK("https://checko.ru/search?query=3801001629","Чекко: проверить")</f>
        <v/>
      </c>
      <c r="S3127" t="n">
        <v>1</v>
      </c>
      <c r="T3127" s="35" t="inlineStr">
        <is>
          <t>4 — Не обогащён</t>
        </is>
      </c>
      <c r="U3127" s="35" t="inlineStr">
        <is>
          <t>Нет ОКВЭД/ССЧР</t>
        </is>
      </c>
      <c r="V3127" s="35" t="inlineStr">
        <is>
          <t>Не определено</t>
        </is>
      </c>
      <c r="W3127" s="35" t="inlineStr"/>
      <c r="X3127" s="35" t="inlineStr"/>
    </row>
    <row r="3128" ht="15" customHeight="1" s="24">
      <c r="A3128" s="13" t="n">
        <v>5000120031</v>
      </c>
      <c r="B3128" s="13" t="inlineStr">
        <is>
          <t>МАУС "Спорткомбинат "Строитель"</t>
        </is>
      </c>
      <c r="C3128" s="13" t="n">
        <v>5030009240</v>
      </c>
      <c r="D3128" s="13" t="inlineStr">
        <is>
          <t>5030009240</t>
        </is>
      </c>
      <c r="E3128" s="13" t="inlineStr">
        <is>
          <t>ЮЛ РФ</t>
        </is>
      </c>
      <c r="F3128" s="13" t="n"/>
      <c r="G3128" s="14" t="n"/>
      <c r="H3128" s="14" t="n"/>
      <c r="I3128" s="14" t="n"/>
      <c r="J3128" s="14" t="n"/>
      <c r="K3128" s="53" t="inlineStr"/>
      <c r="L3128" s="53" t="inlineStr">
        <is>
          <t>Не определено</t>
        </is>
      </c>
      <c r="M3128" s="53" t="inlineStr"/>
      <c r="N3128" s="54" t="inlineStr"/>
      <c r="O3128" s="55" t="inlineStr"/>
      <c r="P3128" s="16" t="inlineStr">
        <is>
          <t>Требует обогащения</t>
        </is>
      </c>
      <c r="Q3128" s="16">
        <f>HYPERLINK("https://pb.nalog.ru/search.html?query=5030009240","ФНС: проверить")</f>
        <v/>
      </c>
      <c r="R3128" s="16">
        <f>HYPERLINK("https://checko.ru/search?query=3801001629","Чекко: проверить")</f>
        <v/>
      </c>
      <c r="S3128" t="n">
        <v>1</v>
      </c>
      <c r="T3128" s="35" t="inlineStr">
        <is>
          <t>4 — Не обогащён</t>
        </is>
      </c>
      <c r="U3128" s="35" t="inlineStr">
        <is>
          <t>Нет ОКВЭД/ССЧР</t>
        </is>
      </c>
      <c r="V3128" s="35" t="inlineStr">
        <is>
          <t>Не определено</t>
        </is>
      </c>
      <c r="W3128" s="35" t="inlineStr"/>
      <c r="X3128" s="35" t="inlineStr"/>
    </row>
    <row r="3129" ht="15" customHeight="1" s="24">
      <c r="A3129" s="13" t="n">
        <v>5000122587</v>
      </c>
      <c r="B3129" s="13" t="inlineStr">
        <is>
          <t>МБУ "Благоустройство города Елизово"</t>
        </is>
      </c>
      <c r="C3129" s="13" t="n">
        <v>4105040167</v>
      </c>
      <c r="D3129" s="13" t="inlineStr">
        <is>
          <t>4105040167</t>
        </is>
      </c>
      <c r="E3129" s="13" t="inlineStr">
        <is>
          <t>ЮЛ РФ</t>
        </is>
      </c>
      <c r="F3129" s="13" t="n"/>
      <c r="G3129" s="14" t="n"/>
      <c r="H3129" s="14" t="n"/>
      <c r="I3129" s="14" t="n"/>
      <c r="J3129" s="14" t="n"/>
      <c r="K3129" s="53" t="inlineStr"/>
      <c r="L3129" s="53" t="inlineStr">
        <is>
          <t>Не определено</t>
        </is>
      </c>
      <c r="M3129" s="53" t="inlineStr"/>
      <c r="N3129" s="54" t="inlineStr"/>
      <c r="O3129" s="55" t="inlineStr"/>
      <c r="P3129" s="16" t="inlineStr">
        <is>
          <t>Требует обогащения</t>
        </is>
      </c>
      <c r="Q3129" s="16">
        <f>HYPERLINK("https://pb.nalog.ru/search.html?query=4105040167","ФНС: проверить")</f>
        <v/>
      </c>
      <c r="R3129" s="16">
        <f>HYPERLINK("https://checko.ru/search?query=3801001629","Чекко: проверить")</f>
        <v/>
      </c>
      <c r="S3129" t="n">
        <v>1</v>
      </c>
      <c r="T3129" s="35" t="inlineStr">
        <is>
          <t>4 — Не обогащён</t>
        </is>
      </c>
      <c r="U3129" s="35" t="inlineStr">
        <is>
          <t>Нет ОКВЭД/ССЧР</t>
        </is>
      </c>
      <c r="V3129" s="35" t="inlineStr">
        <is>
          <t>Не определено</t>
        </is>
      </c>
      <c r="W3129" s="35" t="inlineStr"/>
      <c r="X3129" s="35" t="inlineStr"/>
    </row>
    <row r="3130" ht="27.75" customHeight="1" s="24">
      <c r="A3130" s="13" t="n">
        <v>5000088814</v>
      </c>
      <c r="B3130" s="13" t="inlineStr">
        <is>
          <t>МБОУ "Усть-Алтанская средняя общеобразовательная школа"</t>
        </is>
      </c>
      <c r="C3130" s="13" t="n">
        <v>8505001307</v>
      </c>
      <c r="D3130" s="13" t="inlineStr">
        <is>
          <t>8505001307</t>
        </is>
      </c>
      <c r="E3130" s="13" t="inlineStr">
        <is>
          <t>ЮЛ РФ</t>
        </is>
      </c>
      <c r="F3130" s="13" t="n"/>
      <c r="G3130" s="14" t="n"/>
      <c r="H3130" s="14" t="n"/>
      <c r="I3130" s="14" t="n"/>
      <c r="J3130" s="14" t="n"/>
      <c r="K3130" s="53" t="inlineStr"/>
      <c r="L3130" s="53" t="inlineStr">
        <is>
          <t>Не определено</t>
        </is>
      </c>
      <c r="M3130" s="53" t="inlineStr"/>
      <c r="N3130" s="54" t="inlineStr"/>
      <c r="O3130" s="55" t="inlineStr"/>
      <c r="P3130" s="16" t="inlineStr">
        <is>
          <t>Требует обогащения</t>
        </is>
      </c>
      <c r="Q3130" s="16">
        <f>HYPERLINK("https://pb.nalog.ru/search.html?query=8505001307","ФНС: проверить")</f>
        <v/>
      </c>
      <c r="R3130" s="16">
        <f>HYPERLINK("https://checko.ru/search?query=3801001629","Чекко: проверить")</f>
        <v/>
      </c>
      <c r="S3130" t="n">
        <v>1</v>
      </c>
      <c r="T3130" s="35" t="inlineStr">
        <is>
          <t>4 — Не обогащён</t>
        </is>
      </c>
      <c r="U3130" s="35" t="inlineStr">
        <is>
          <t>Нет ОКВЭД/ССЧР</t>
        </is>
      </c>
      <c r="V3130" s="35" t="inlineStr">
        <is>
          <t>Не определено</t>
        </is>
      </c>
      <c r="W3130" s="35" t="inlineStr"/>
      <c r="X3130" s="35" t="inlineStr"/>
    </row>
    <row r="3131" ht="41.25" customHeight="1" s="24">
      <c r="A3131" s="13" t="n">
        <v>5000122574</v>
      </c>
      <c r="B3131" s="13" t="inlineStr">
        <is>
          <t>Управление финансов и имущественных отношений- муниципальное казенное учреждение</t>
        </is>
      </c>
      <c r="C3131" s="13" t="n">
        <v>4105014706</v>
      </c>
      <c r="D3131" s="13" t="inlineStr">
        <is>
          <t>4105014706</t>
        </is>
      </c>
      <c r="E3131" s="13" t="inlineStr">
        <is>
          <t>ЮЛ РФ</t>
        </is>
      </c>
      <c r="F3131" s="13" t="n"/>
      <c r="G3131" s="14" t="n"/>
      <c r="H3131" s="14" t="n"/>
      <c r="I3131" s="14" t="n"/>
      <c r="J3131" s="14" t="n"/>
      <c r="K3131" s="53" t="inlineStr"/>
      <c r="L3131" s="53" t="inlineStr">
        <is>
          <t>Не определено</t>
        </is>
      </c>
      <c r="M3131" s="53" t="inlineStr"/>
      <c r="N3131" s="54" t="inlineStr"/>
      <c r="O3131" s="55" t="inlineStr"/>
      <c r="P3131" s="16" t="inlineStr">
        <is>
          <t>Требует обогащения</t>
        </is>
      </c>
      <c r="Q3131" s="16">
        <f>HYPERLINK("https://pb.nalog.ru/search.html?query=4105014706","ФНС: проверить")</f>
        <v/>
      </c>
      <c r="R3131" s="16">
        <f>HYPERLINK("https://checko.ru/search?query=3801001629","Чекко: проверить")</f>
        <v/>
      </c>
      <c r="S3131" t="n">
        <v>1</v>
      </c>
      <c r="T3131" s="35" t="inlineStr">
        <is>
          <t>4 — Не обогащён</t>
        </is>
      </c>
      <c r="U3131" s="35" t="inlineStr">
        <is>
          <t>Нет ОКВЭД/ССЧР</t>
        </is>
      </c>
      <c r="V3131" s="35" t="inlineStr">
        <is>
          <t>Не определено</t>
        </is>
      </c>
      <c r="W3131" s="35" t="inlineStr"/>
      <c r="X3131" s="35" t="inlineStr"/>
    </row>
    <row r="3132" ht="15" customHeight="1" s="24">
      <c r="A3132" s="13" t="n">
        <v>5000123030</v>
      </c>
      <c r="B3132" s="13" t="inlineStr">
        <is>
          <t>КСО города Котельники</t>
        </is>
      </c>
      <c r="C3132" s="13" t="n">
        <v>5027187620</v>
      </c>
      <c r="D3132" s="13" t="inlineStr">
        <is>
          <t>5027187620</t>
        </is>
      </c>
      <c r="E3132" s="13" t="inlineStr">
        <is>
          <t>ЮЛ РФ</t>
        </is>
      </c>
      <c r="F3132" s="13" t="n"/>
      <c r="G3132" s="14" t="n"/>
      <c r="H3132" s="14" t="n"/>
      <c r="I3132" s="14" t="n"/>
      <c r="J3132" s="14" t="n"/>
      <c r="K3132" s="53" t="inlineStr"/>
      <c r="L3132" s="53" t="inlineStr">
        <is>
          <t>Не определено</t>
        </is>
      </c>
      <c r="M3132" s="53" t="inlineStr"/>
      <c r="N3132" s="54" t="inlineStr"/>
      <c r="O3132" s="55" t="inlineStr"/>
      <c r="P3132" s="16" t="inlineStr">
        <is>
          <t>Требует обогащения</t>
        </is>
      </c>
      <c r="Q3132" s="16">
        <f>HYPERLINK("https://pb.nalog.ru/search.html?query=5027187620","ФНС: проверить")</f>
        <v/>
      </c>
      <c r="R3132" s="16">
        <f>HYPERLINK("https://checko.ru/search?query=3801001629","Чекко: проверить")</f>
        <v/>
      </c>
      <c r="S3132" t="n">
        <v>1</v>
      </c>
      <c r="T3132" s="35" t="inlineStr">
        <is>
          <t>4 — Не обогащён</t>
        </is>
      </c>
      <c r="U3132" s="35" t="inlineStr">
        <is>
          <t>Нет ОКВЭД/ССЧР</t>
        </is>
      </c>
      <c r="V3132" s="35" t="inlineStr">
        <is>
          <t>Не определено</t>
        </is>
      </c>
      <c r="W3132" s="35" t="inlineStr"/>
      <c r="X3132" s="35" t="inlineStr"/>
    </row>
    <row r="3133" ht="27.75" customHeight="1" s="24">
      <c r="A3133" s="13" t="n">
        <v>5000122385</v>
      </c>
      <c r="B3133" s="13" t="inlineStr">
        <is>
          <t>МБОУ "СРЕДНЯЯ ОБЩЕОБРАЗОВАТЕЛЬНАЯ ШКОЛА № 26"</t>
        </is>
      </c>
      <c r="C3133" s="13" t="n">
        <v>5042068472</v>
      </c>
      <c r="D3133" s="13" t="inlineStr">
        <is>
          <t>5042068472</t>
        </is>
      </c>
      <c r="E3133" s="13" t="inlineStr">
        <is>
          <t>ЮЛ РФ</t>
        </is>
      </c>
      <c r="F3133" s="13" t="n"/>
      <c r="G3133" s="14" t="n"/>
      <c r="H3133" s="14" t="n"/>
      <c r="I3133" s="14" t="n"/>
      <c r="J3133" s="14" t="n"/>
      <c r="K3133" s="53" t="inlineStr"/>
      <c r="L3133" s="53" t="inlineStr">
        <is>
          <t>Не определено</t>
        </is>
      </c>
      <c r="M3133" s="53" t="inlineStr"/>
      <c r="N3133" s="54" t="inlineStr"/>
      <c r="O3133" s="55" t="inlineStr"/>
      <c r="P3133" s="16" t="inlineStr">
        <is>
          <t>Требует обогащения</t>
        </is>
      </c>
      <c r="Q3133" s="16">
        <f>HYPERLINK("https://pb.nalog.ru/search.html?query=5042068472","ФНС: проверить")</f>
        <v/>
      </c>
      <c r="R3133" s="16">
        <f>HYPERLINK("https://checko.ru/search?query=3801001629","Чекко: проверить")</f>
        <v/>
      </c>
      <c r="S3133" t="n">
        <v>1</v>
      </c>
      <c r="T3133" s="35" t="inlineStr">
        <is>
          <t>4 — Не обогащён</t>
        </is>
      </c>
      <c r="U3133" s="35" t="inlineStr">
        <is>
          <t>Нет ОКВЭД/ССЧР</t>
        </is>
      </c>
      <c r="V3133" s="35" t="inlineStr">
        <is>
          <t>Не определено</t>
        </is>
      </c>
      <c r="W3133" s="35" t="inlineStr"/>
      <c r="X3133" s="35" t="inlineStr"/>
    </row>
    <row r="3134" ht="15" customHeight="1" s="24">
      <c r="A3134" s="13" t="n">
        <v>5000117348</v>
      </c>
      <c r="B3134" s="13" t="inlineStr">
        <is>
          <t>МАОУ Селятинская СОШ № 2</t>
        </is>
      </c>
      <c r="C3134" s="13" t="n">
        <v>5030032464</v>
      </c>
      <c r="D3134" s="13" t="inlineStr">
        <is>
          <t>5030032464</t>
        </is>
      </c>
      <c r="E3134" s="13" t="inlineStr">
        <is>
          <t>ЮЛ РФ</t>
        </is>
      </c>
      <c r="F3134" s="13" t="n"/>
      <c r="G3134" s="14" t="n"/>
      <c r="H3134" s="14" t="n"/>
      <c r="I3134" s="14" t="n"/>
      <c r="J3134" s="14" t="n"/>
      <c r="K3134" s="53" t="inlineStr"/>
      <c r="L3134" s="53" t="inlineStr">
        <is>
          <t>Не определено</t>
        </is>
      </c>
      <c r="M3134" s="53" t="inlineStr"/>
      <c r="N3134" s="54" t="inlineStr"/>
      <c r="O3134" s="55" t="inlineStr"/>
      <c r="P3134" s="16" t="inlineStr">
        <is>
          <t>Требует обогащения</t>
        </is>
      </c>
      <c r="Q3134" s="16">
        <f>HYPERLINK("https://pb.nalog.ru/search.html?query=5030032464","ФНС: проверить")</f>
        <v/>
      </c>
      <c r="R3134" s="16">
        <f>HYPERLINK("https://checko.ru/search?query=3801001629","Чекко: проверить")</f>
        <v/>
      </c>
      <c r="S3134" t="n">
        <v>1</v>
      </c>
      <c r="T3134" s="35" t="inlineStr">
        <is>
          <t>4 — Не обогащён</t>
        </is>
      </c>
      <c r="U3134" s="35" t="inlineStr">
        <is>
          <t>Нет ОКВЭД/ССЧР</t>
        </is>
      </c>
      <c r="V3134" s="35" t="inlineStr">
        <is>
          <t>Не определено</t>
        </is>
      </c>
      <c r="W3134" s="35" t="inlineStr"/>
      <c r="X3134" s="35" t="inlineStr"/>
    </row>
    <row r="3135" ht="15" customHeight="1" s="24">
      <c r="A3135" s="13" t="n">
        <v>5000117356</v>
      </c>
      <c r="B3135" s="13" t="inlineStr">
        <is>
          <t>МАОУ Селятинская СОШ № 1</t>
        </is>
      </c>
      <c r="C3135" s="13" t="n">
        <v>5030032457</v>
      </c>
      <c r="D3135" s="13" t="inlineStr">
        <is>
          <t>5030032457</t>
        </is>
      </c>
      <c r="E3135" s="13" t="inlineStr">
        <is>
          <t>ЮЛ РФ</t>
        </is>
      </c>
      <c r="F3135" s="13" t="n"/>
      <c r="G3135" s="14" t="n"/>
      <c r="H3135" s="14" t="n"/>
      <c r="I3135" s="14" t="n"/>
      <c r="J3135" s="14" t="n"/>
      <c r="K3135" s="53" t="inlineStr"/>
      <c r="L3135" s="53" t="inlineStr">
        <is>
          <t>Не определено</t>
        </is>
      </c>
      <c r="M3135" s="53" t="inlineStr"/>
      <c r="N3135" s="54" t="inlineStr"/>
      <c r="O3135" s="55" t="inlineStr"/>
      <c r="P3135" s="16" t="inlineStr">
        <is>
          <t>Требует обогащения</t>
        </is>
      </c>
      <c r="Q3135" s="16">
        <f>HYPERLINK("https://pb.nalog.ru/search.html?query=5030032457","ФНС: проверить")</f>
        <v/>
      </c>
      <c r="R3135" s="16">
        <f>HYPERLINK("https://checko.ru/search?query=3801001629","Чекко: проверить")</f>
        <v/>
      </c>
      <c r="S3135" t="n">
        <v>1</v>
      </c>
      <c r="T3135" s="35" t="inlineStr">
        <is>
          <t>4 — Не обогащён</t>
        </is>
      </c>
      <c r="U3135" s="35" t="inlineStr">
        <is>
          <t>Нет ОКВЭД/ССЧР</t>
        </is>
      </c>
      <c r="V3135" s="35" t="inlineStr">
        <is>
          <t>Не определено</t>
        </is>
      </c>
      <c r="W3135" s="35" t="inlineStr"/>
      <c r="X3135" s="35" t="inlineStr"/>
    </row>
    <row r="3136" ht="27.75" customHeight="1" s="24">
      <c r="A3136" s="13" t="n">
        <v>5000122669</v>
      </c>
      <c r="B3136" s="13" t="inlineStr">
        <is>
          <t>Администрация Пенжинского муниципального района</t>
        </is>
      </c>
      <c r="C3136" s="13" t="n">
        <v>8204000469</v>
      </c>
      <c r="D3136" s="13" t="inlineStr">
        <is>
          <t>8204000469</t>
        </is>
      </c>
      <c r="E3136" s="13" t="inlineStr">
        <is>
          <t>ЮЛ РФ</t>
        </is>
      </c>
      <c r="F3136" s="13" t="n"/>
      <c r="G3136" s="14" t="n"/>
      <c r="H3136" s="14" t="n"/>
      <c r="I3136" s="14" t="n"/>
      <c r="J3136" s="14" t="n"/>
      <c r="K3136" s="53" t="inlineStr"/>
      <c r="L3136" s="53" t="inlineStr">
        <is>
          <t>Не определено</t>
        </is>
      </c>
      <c r="M3136" s="53" t="inlineStr"/>
      <c r="N3136" s="54" t="inlineStr"/>
      <c r="O3136" s="55" t="inlineStr"/>
      <c r="P3136" s="16" t="inlineStr">
        <is>
          <t>Требует обогащения</t>
        </is>
      </c>
      <c r="Q3136" s="16">
        <f>HYPERLINK("https://pb.nalog.ru/search.html?query=8204000469","ФНС: проверить")</f>
        <v/>
      </c>
      <c r="R3136" s="16">
        <f>HYPERLINK("https://checko.ru/search?query=3801001629","Чекко: проверить")</f>
        <v/>
      </c>
      <c r="S3136" t="n">
        <v>1</v>
      </c>
      <c r="T3136" s="35" t="inlineStr">
        <is>
          <t>4 — Не обогащён</t>
        </is>
      </c>
      <c r="U3136" s="35" t="inlineStr">
        <is>
          <t>Нет ОКВЭД/ССЧР</t>
        </is>
      </c>
      <c r="V3136" s="35" t="inlineStr">
        <is>
          <t>Не определено</t>
        </is>
      </c>
      <c r="W3136" s="35" t="inlineStr"/>
      <c r="X3136" s="35" t="inlineStr"/>
    </row>
    <row r="3137" ht="41.25" customHeight="1" s="24">
      <c r="A3137" s="13" t="n">
        <v>5000122697</v>
      </c>
      <c r="B3137" s="13" t="inlineStr">
        <is>
          <t>Комитет по управлению имуществом администрации Наро-Фоминского муниципального района</t>
        </is>
      </c>
      <c r="C3137" s="13" t="n">
        <v>5030011263</v>
      </c>
      <c r="D3137" s="13" t="inlineStr">
        <is>
          <t>5030011263</t>
        </is>
      </c>
      <c r="E3137" s="13" t="inlineStr">
        <is>
          <t>ЮЛ РФ</t>
        </is>
      </c>
      <c r="F3137" s="13" t="n"/>
      <c r="G3137" s="14" t="n"/>
      <c r="H3137" s="14" t="n"/>
      <c r="I3137" s="14" t="n"/>
      <c r="J3137" s="14" t="n"/>
      <c r="K3137" s="53" t="inlineStr"/>
      <c r="L3137" s="53" t="inlineStr">
        <is>
          <t>Не определено</t>
        </is>
      </c>
      <c r="M3137" s="53" t="inlineStr"/>
      <c r="N3137" s="54" t="inlineStr"/>
      <c r="O3137" s="55" t="inlineStr"/>
      <c r="P3137" s="16" t="inlineStr">
        <is>
          <t>Требует обогащения</t>
        </is>
      </c>
      <c r="Q3137" s="16">
        <f>HYPERLINK("https://pb.nalog.ru/search.html?query=5030011263","ФНС: проверить")</f>
        <v/>
      </c>
      <c r="R3137" s="16">
        <f>HYPERLINK("https://checko.ru/search?query=3801001629","Чекко: проверить")</f>
        <v/>
      </c>
      <c r="S3137" t="n">
        <v>1</v>
      </c>
      <c r="T3137" s="35" t="inlineStr">
        <is>
          <t>4 — Не обогащён</t>
        </is>
      </c>
      <c r="U3137" s="35" t="inlineStr">
        <is>
          <t>Нет ОКВЭД/ССЧР</t>
        </is>
      </c>
      <c r="V3137" s="35" t="inlineStr">
        <is>
          <t>Не определено</t>
        </is>
      </c>
      <c r="W3137" s="35" t="inlineStr"/>
      <c r="X3137" s="35" t="inlineStr"/>
    </row>
    <row r="3138" ht="27.75" customHeight="1" s="24">
      <c r="A3138" s="13" t="n">
        <v>5000122616</v>
      </c>
      <c r="B3138" s="13" t="inlineStr">
        <is>
          <t>Дума Усть-Большерецкого муниципального района</t>
        </is>
      </c>
      <c r="C3138" s="13" t="n">
        <v>4108006252</v>
      </c>
      <c r="D3138" s="13" t="inlineStr">
        <is>
          <t>4108006252</t>
        </is>
      </c>
      <c r="E3138" s="13" t="inlineStr">
        <is>
          <t>ЮЛ РФ</t>
        </is>
      </c>
      <c r="F3138" s="13" t="n"/>
      <c r="G3138" s="14" t="n"/>
      <c r="H3138" s="14" t="n"/>
      <c r="I3138" s="14" t="n"/>
      <c r="J3138" s="14" t="n"/>
      <c r="K3138" s="53" t="inlineStr"/>
      <c r="L3138" s="53" t="inlineStr">
        <is>
          <t>Не определено</t>
        </is>
      </c>
      <c r="M3138" s="53" t="inlineStr"/>
      <c r="N3138" s="54" t="inlineStr"/>
      <c r="O3138" s="55" t="inlineStr"/>
      <c r="P3138" s="16" t="inlineStr">
        <is>
          <t>Требует обогащения</t>
        </is>
      </c>
      <c r="Q3138" s="16">
        <f>HYPERLINK("https://pb.nalog.ru/search.html?query=4108006252","ФНС: проверить")</f>
        <v/>
      </c>
      <c r="R3138" s="16">
        <f>HYPERLINK("https://checko.ru/search?query=3801001629","Чекко: проверить")</f>
        <v/>
      </c>
      <c r="S3138" t="n">
        <v>1</v>
      </c>
      <c r="T3138" s="35" t="inlineStr">
        <is>
          <t>4 — Не обогащён</t>
        </is>
      </c>
      <c r="U3138" s="35" t="inlineStr">
        <is>
          <t>Нет ОКВЭД/ССЧР</t>
        </is>
      </c>
      <c r="V3138" s="35" t="inlineStr">
        <is>
          <t>Не определено</t>
        </is>
      </c>
      <c r="W3138" s="35" t="inlineStr"/>
      <c r="X3138" s="35" t="inlineStr"/>
    </row>
    <row r="3139" ht="41.25" customHeight="1" s="24">
      <c r="A3139" s="13" t="n">
        <v>5000016039</v>
      </c>
      <c r="B3139" s="13" t="inlineStr">
        <is>
          <t>МКУ Сергиево- Посадского муниципального района " Централизованная бухгалтерия муниципальных учреждений образования"</t>
        </is>
      </c>
      <c r="C3139" s="13" t="n">
        <v>5042091954</v>
      </c>
      <c r="D3139" s="13" t="inlineStr">
        <is>
          <t>5042091954</t>
        </is>
      </c>
      <c r="E3139" s="13" t="inlineStr">
        <is>
          <t>ЮЛ РФ</t>
        </is>
      </c>
      <c r="F3139" s="13" t="n"/>
      <c r="G3139" s="14" t="n"/>
      <c r="H3139" s="14" t="n"/>
      <c r="I3139" s="14" t="n"/>
      <c r="J3139" s="14" t="n"/>
      <c r="K3139" s="53" t="inlineStr"/>
      <c r="L3139" s="53" t="inlineStr">
        <is>
          <t>Не определено</t>
        </is>
      </c>
      <c r="M3139" s="53" t="inlineStr"/>
      <c r="N3139" s="54" t="inlineStr"/>
      <c r="O3139" s="55" t="inlineStr"/>
      <c r="P3139" s="16" t="inlineStr">
        <is>
          <t>Требует обогащения</t>
        </is>
      </c>
      <c r="Q3139" s="16">
        <f>HYPERLINK("https://pb.nalog.ru/search.html?query=5042091954","ФНС: проверить")</f>
        <v/>
      </c>
      <c r="R3139" s="16">
        <f>HYPERLINK("https://checko.ru/search?query=3801001629","Чекко: проверить")</f>
        <v/>
      </c>
      <c r="S3139" t="n">
        <v>1</v>
      </c>
      <c r="T3139" s="35" t="inlineStr">
        <is>
          <t>4 — Не обогащён</t>
        </is>
      </c>
      <c r="U3139" s="35" t="inlineStr">
        <is>
          <t>Нет ОКВЭД/ССЧР</t>
        </is>
      </c>
      <c r="V3139" s="35" t="inlineStr">
        <is>
          <t>Не определено</t>
        </is>
      </c>
      <c r="W3139" s="35" t="inlineStr"/>
      <c r="X3139" s="35" t="inlineStr"/>
    </row>
    <row r="3140" ht="15" customHeight="1" s="24">
      <c r="A3140" s="13" t="n">
        <v>5000122629</v>
      </c>
      <c r="B3140" s="13" t="inlineStr">
        <is>
          <t>МКУК "СОБОЛЕВСКАЯ БИБЛИОТЕКА"</t>
        </is>
      </c>
      <c r="C3140" s="13" t="n">
        <v>4107001974</v>
      </c>
      <c r="D3140" s="13" t="inlineStr">
        <is>
          <t>4107001974</t>
        </is>
      </c>
      <c r="E3140" s="13" t="inlineStr">
        <is>
          <t>ЮЛ РФ</t>
        </is>
      </c>
      <c r="F3140" s="13" t="n"/>
      <c r="G3140" s="14" t="n"/>
      <c r="H3140" s="14" t="n"/>
      <c r="I3140" s="14" t="n"/>
      <c r="J3140" s="14" t="n"/>
      <c r="K3140" s="53" t="inlineStr"/>
      <c r="L3140" s="53" t="inlineStr">
        <is>
          <t>Не определено</t>
        </is>
      </c>
      <c r="M3140" s="53" t="inlineStr"/>
      <c r="N3140" s="54" t="inlineStr"/>
      <c r="O3140" s="55" t="inlineStr"/>
      <c r="P3140" s="16" t="inlineStr">
        <is>
          <t>Требует обогащения</t>
        </is>
      </c>
      <c r="Q3140" s="16">
        <f>HYPERLINK("https://pb.nalog.ru/search.html?query=4107001974","ФНС: проверить")</f>
        <v/>
      </c>
      <c r="R3140" s="16">
        <f>HYPERLINK("https://checko.ru/search?query=3801001629","Чекко: проверить")</f>
        <v/>
      </c>
      <c r="S3140" t="n">
        <v>1</v>
      </c>
      <c r="T3140" s="35" t="inlineStr">
        <is>
          <t>4 — Не обогащён</t>
        </is>
      </c>
      <c r="U3140" s="35" t="inlineStr">
        <is>
          <t>Нет ОКВЭД/ССЧР</t>
        </is>
      </c>
      <c r="V3140" s="35" t="inlineStr">
        <is>
          <t>Не определено</t>
        </is>
      </c>
      <c r="W3140" s="35" t="inlineStr"/>
      <c r="X3140" s="35" t="inlineStr"/>
    </row>
    <row r="3141" ht="15" customHeight="1" s="24">
      <c r="A3141" s="13" t="n">
        <v>5000122599</v>
      </c>
      <c r="B3141" s="13" t="inlineStr">
        <is>
          <t>Администрация Вулканного городского поселения</t>
        </is>
      </c>
      <c r="C3141" s="13" t="n">
        <v>4105011832</v>
      </c>
      <c r="D3141" s="13" t="inlineStr">
        <is>
          <t>4105011832</t>
        </is>
      </c>
      <c r="E3141" s="13" t="inlineStr">
        <is>
          <t>ЮЛ РФ</t>
        </is>
      </c>
      <c r="F3141" s="13" t="n"/>
      <c r="G3141" s="14" t="n"/>
      <c r="H3141" s="14" t="n"/>
      <c r="I3141" s="14" t="n"/>
      <c r="J3141" s="14" t="n"/>
      <c r="K3141" s="53" t="inlineStr"/>
      <c r="L3141" s="53" t="inlineStr">
        <is>
          <t>Не определено</t>
        </is>
      </c>
      <c r="M3141" s="53" t="inlineStr"/>
      <c r="N3141" s="54" t="inlineStr"/>
      <c r="O3141" s="55" t="inlineStr"/>
      <c r="P3141" s="16" t="inlineStr">
        <is>
          <t>Требует обогащения</t>
        </is>
      </c>
      <c r="Q3141" s="16">
        <f>HYPERLINK("https://pb.nalog.ru/search.html?query=4105011832","ФНС: проверить")</f>
        <v/>
      </c>
      <c r="R3141" s="16">
        <f>HYPERLINK("https://checko.ru/search?query=3801001629","Чекко: проверить")</f>
        <v/>
      </c>
      <c r="S3141" t="n">
        <v>1</v>
      </c>
      <c r="T3141" s="35" t="inlineStr">
        <is>
          <t>4 — Не обогащён</t>
        </is>
      </c>
      <c r="U3141" s="35" t="inlineStr">
        <is>
          <t>Нет ОКВЭД/ССЧР</t>
        </is>
      </c>
      <c r="V3141" s="35" t="inlineStr">
        <is>
          <t>Не определено</t>
        </is>
      </c>
      <c r="W3141" s="35" t="inlineStr"/>
      <c r="X3141" s="35" t="inlineStr"/>
    </row>
    <row r="3142" ht="27.75" customHeight="1" s="24">
      <c r="A3142" s="13" t="n">
        <v>5000122627</v>
      </c>
      <c r="B3142" s="13" t="inlineStr">
        <is>
          <t>Администрация Соболевского муниципального района Камчатского края"</t>
        </is>
      </c>
      <c r="C3142" s="13" t="n">
        <v>4107000402</v>
      </c>
      <c r="D3142" s="13" t="inlineStr">
        <is>
          <t>4107000402</t>
        </is>
      </c>
      <c r="E3142" s="13" t="inlineStr">
        <is>
          <t>ЮЛ РФ</t>
        </is>
      </c>
      <c r="F3142" s="13" t="n"/>
      <c r="G3142" s="14" t="n"/>
      <c r="H3142" s="14" t="n"/>
      <c r="I3142" s="14" t="n"/>
      <c r="J3142" s="14" t="n"/>
      <c r="K3142" s="53" t="inlineStr"/>
      <c r="L3142" s="53" t="inlineStr">
        <is>
          <t>Не определено</t>
        </is>
      </c>
      <c r="M3142" s="53" t="inlineStr"/>
      <c r="N3142" s="54" t="inlineStr"/>
      <c r="O3142" s="55" t="inlineStr"/>
      <c r="P3142" s="16" t="inlineStr">
        <is>
          <t>Требует обогащения</t>
        </is>
      </c>
      <c r="Q3142" s="16">
        <f>HYPERLINK("https://pb.nalog.ru/search.html?query=4107000402","ФНС: проверить")</f>
        <v/>
      </c>
      <c r="R3142" s="16">
        <f>HYPERLINK("https://checko.ru/search?query=3801001629","Чекко: проверить")</f>
        <v/>
      </c>
      <c r="S3142" t="n">
        <v>1</v>
      </c>
      <c r="T3142" s="35" t="inlineStr">
        <is>
          <t>4 — Не обогащён</t>
        </is>
      </c>
      <c r="U3142" s="35" t="inlineStr">
        <is>
          <t>Нет ОКВЭД/ССЧР</t>
        </is>
      </c>
      <c r="V3142" s="35" t="inlineStr">
        <is>
          <t>Не определено</t>
        </is>
      </c>
      <c r="W3142" s="35" t="inlineStr"/>
      <c r="X3142" s="35" t="inlineStr"/>
    </row>
    <row r="3143" ht="15" customHeight="1" s="24">
      <c r="A3143" s="13" t="n">
        <v>5000122628</v>
      </c>
      <c r="B3143" s="13" t="inlineStr">
        <is>
          <t>МКУК КДЦ "РОДНИК"</t>
        </is>
      </c>
      <c r="C3143" s="13" t="n">
        <v>4107001597</v>
      </c>
      <c r="D3143" s="13" t="inlineStr">
        <is>
          <t>4107001597</t>
        </is>
      </c>
      <c r="E3143" s="13" t="inlineStr">
        <is>
          <t>ЮЛ РФ</t>
        </is>
      </c>
      <c r="F3143" s="13" t="n"/>
      <c r="G3143" s="14" t="n"/>
      <c r="H3143" s="14" t="n"/>
      <c r="I3143" s="14" t="n"/>
      <c r="J3143" s="14" t="n"/>
      <c r="K3143" s="53" t="inlineStr"/>
      <c r="L3143" s="53" t="inlineStr">
        <is>
          <t>Не определено</t>
        </is>
      </c>
      <c r="M3143" s="53" t="inlineStr"/>
      <c r="N3143" s="54" t="inlineStr"/>
      <c r="O3143" s="55" t="inlineStr"/>
      <c r="P3143" s="16" t="inlineStr">
        <is>
          <t>Требует обогащения</t>
        </is>
      </c>
      <c r="Q3143" s="16">
        <f>HYPERLINK("https://pb.nalog.ru/search.html?query=4107001597","ФНС: проверить")</f>
        <v/>
      </c>
      <c r="R3143" s="16">
        <f>HYPERLINK("https://checko.ru/search?query=3801001629","Чекко: проверить")</f>
        <v/>
      </c>
      <c r="S3143" t="n">
        <v>1</v>
      </c>
      <c r="T3143" s="35" t="inlineStr">
        <is>
          <t>4 — Не обогащён</t>
        </is>
      </c>
      <c r="U3143" s="35" t="inlineStr">
        <is>
          <t>Нет ОКВЭД/ССЧР</t>
        </is>
      </c>
      <c r="V3143" s="35" t="inlineStr">
        <is>
          <t>Не определено</t>
        </is>
      </c>
      <c r="W3143" s="35" t="inlineStr"/>
      <c r="X3143" s="35" t="inlineStr"/>
    </row>
    <row r="3144" ht="27.75" customHeight="1" s="24">
      <c r="A3144" s="13" t="n">
        <v>5000047342</v>
      </c>
      <c r="B3144" s="13" t="inlineStr">
        <is>
          <t>Совет депутатов Наро-Фоминского городского округа</t>
        </is>
      </c>
      <c r="C3144" s="13" t="n">
        <v>5030053400</v>
      </c>
      <c r="D3144" s="13" t="inlineStr">
        <is>
          <t>5030053400</t>
        </is>
      </c>
      <c r="E3144" s="13" t="inlineStr">
        <is>
          <t>ЮЛ РФ</t>
        </is>
      </c>
      <c r="F3144" s="13" t="n"/>
      <c r="G3144" s="14" t="n"/>
      <c r="H3144" s="14" t="n"/>
      <c r="I3144" s="14" t="n"/>
      <c r="J3144" s="14" t="n"/>
      <c r="K3144" s="53" t="inlineStr"/>
      <c r="L3144" s="53" t="inlineStr">
        <is>
          <t>Не определено</t>
        </is>
      </c>
      <c r="M3144" s="53" t="inlineStr"/>
      <c r="N3144" s="54" t="inlineStr"/>
      <c r="O3144" s="55" t="inlineStr"/>
      <c r="P3144" s="16" t="inlineStr">
        <is>
          <t>Требует обогащения</t>
        </is>
      </c>
      <c r="Q3144" s="16">
        <f>HYPERLINK("https://pb.nalog.ru/search.html?query=5030053400","ФНС: проверить")</f>
        <v/>
      </c>
      <c r="R3144" s="16">
        <f>HYPERLINK("https://checko.ru/search?query=3801001629","Чекко: проверить")</f>
        <v/>
      </c>
      <c r="S3144" t="n">
        <v>1</v>
      </c>
      <c r="T3144" s="35" t="inlineStr">
        <is>
          <t>4 — Не обогащён</t>
        </is>
      </c>
      <c r="U3144" s="35" t="inlineStr">
        <is>
          <t>Нет ОКВЭД/ССЧР</t>
        </is>
      </c>
      <c r="V3144" s="35" t="inlineStr">
        <is>
          <t>Не определено</t>
        </is>
      </c>
      <c r="W3144" s="35" t="inlineStr"/>
      <c r="X3144" s="35" t="inlineStr"/>
    </row>
    <row r="3145" ht="27.75" customHeight="1" s="24">
      <c r="A3145" s="13" t="n">
        <v>5000047343</v>
      </c>
      <c r="B3145" s="13" t="inlineStr">
        <is>
          <t>Контрольно-счетная палата Наро-Фоминского городского округа</t>
        </is>
      </c>
      <c r="C3145" s="13" t="n">
        <v>5030077320</v>
      </c>
      <c r="D3145" s="13" t="inlineStr">
        <is>
          <t>5030077320</t>
        </is>
      </c>
      <c r="E3145" s="13" t="inlineStr">
        <is>
          <t>ЮЛ РФ</t>
        </is>
      </c>
      <c r="F3145" s="13" t="n"/>
      <c r="G3145" s="14" t="n"/>
      <c r="H3145" s="14" t="n"/>
      <c r="I3145" s="14" t="n"/>
      <c r="J3145" s="14" t="n"/>
      <c r="K3145" s="53" t="inlineStr"/>
      <c r="L3145" s="53" t="inlineStr">
        <is>
          <t>Не определено</t>
        </is>
      </c>
      <c r="M3145" s="53" t="inlineStr"/>
      <c r="N3145" s="54" t="inlineStr"/>
      <c r="O3145" s="55" t="inlineStr"/>
      <c r="P3145" s="16" t="inlineStr">
        <is>
          <t>Требует обогащения</t>
        </is>
      </c>
      <c r="Q3145" s="16">
        <f>HYPERLINK("https://pb.nalog.ru/search.html?query=5030077320","ФНС: проверить")</f>
        <v/>
      </c>
      <c r="R3145" s="16">
        <f>HYPERLINK("https://checko.ru/search?query=3801001629","Чекко: проверить")</f>
        <v/>
      </c>
      <c r="S3145" t="n">
        <v>1</v>
      </c>
      <c r="T3145" s="35" t="inlineStr">
        <is>
          <t>4 — Не обогащён</t>
        </is>
      </c>
      <c r="U3145" s="35" t="inlineStr">
        <is>
          <t>Нет ОКВЭД/ССЧР</t>
        </is>
      </c>
      <c r="V3145" s="35" t="inlineStr">
        <is>
          <t>Не определено</t>
        </is>
      </c>
      <c r="W3145" s="35" t="inlineStr"/>
      <c r="X3145" s="35" t="inlineStr"/>
    </row>
    <row r="3146" ht="27.75" customHeight="1" s="24">
      <c r="A3146" s="13" t="n">
        <v>5000122642</v>
      </c>
      <c r="B3146" s="13" t="inlineStr">
        <is>
          <t>МБОУ "Быстринская средняя общеобразовательная школа"</t>
        </is>
      </c>
      <c r="C3146" s="13" t="n">
        <v>4104001084</v>
      </c>
      <c r="D3146" s="13" t="inlineStr">
        <is>
          <t>4104001084</t>
        </is>
      </c>
      <c r="E3146" s="13" t="inlineStr">
        <is>
          <t>ЮЛ РФ</t>
        </is>
      </c>
      <c r="F3146" s="13" t="n"/>
      <c r="G3146" s="14" t="n"/>
      <c r="H3146" s="14" t="n"/>
      <c r="I3146" s="14" t="n"/>
      <c r="J3146" s="14" t="n"/>
      <c r="K3146" s="53" t="inlineStr"/>
      <c r="L3146" s="53" t="inlineStr">
        <is>
          <t>Не определено</t>
        </is>
      </c>
      <c r="M3146" s="53" t="inlineStr"/>
      <c r="N3146" s="54" t="inlineStr"/>
      <c r="O3146" s="55" t="inlineStr"/>
      <c r="P3146" s="16" t="inlineStr">
        <is>
          <t>Требует обогащения</t>
        </is>
      </c>
      <c r="Q3146" s="16">
        <f>HYPERLINK("https://pb.nalog.ru/search.html?query=4104001084","ФНС: проверить")</f>
        <v/>
      </c>
      <c r="R3146" s="16">
        <f>HYPERLINK("https://checko.ru/search?query=3801001629","Чекко: проверить")</f>
        <v/>
      </c>
      <c r="S3146" t="n">
        <v>1</v>
      </c>
      <c r="T3146" s="35" t="inlineStr">
        <is>
          <t>4 — Не обогащён</t>
        </is>
      </c>
      <c r="U3146" s="35" t="inlineStr">
        <is>
          <t>Нет ОКВЭД/ССЧР</t>
        </is>
      </c>
      <c r="V3146" s="35" t="inlineStr">
        <is>
          <t>Не определено</t>
        </is>
      </c>
      <c r="W3146" s="35" t="inlineStr"/>
      <c r="X3146" s="35" t="inlineStr"/>
    </row>
    <row r="3147" ht="27.75" customHeight="1" s="24">
      <c r="A3147" s="13" t="n">
        <v>5000047344</v>
      </c>
      <c r="B3147" s="13" t="inlineStr">
        <is>
          <t>МКУ "Управление делами Наро-Фоминскогогородского округа"</t>
        </is>
      </c>
      <c r="C3147" s="13" t="n">
        <v>5030086558</v>
      </c>
      <c r="D3147" s="13" t="inlineStr">
        <is>
          <t>5030086558</t>
        </is>
      </c>
      <c r="E3147" s="13" t="inlineStr">
        <is>
          <t>ЮЛ РФ</t>
        </is>
      </c>
      <c r="F3147" s="13" t="n"/>
      <c r="G3147" s="14" t="n"/>
      <c r="H3147" s="14" t="n"/>
      <c r="I3147" s="14" t="n"/>
      <c r="J3147" s="14" t="n"/>
      <c r="K3147" s="53" t="inlineStr"/>
      <c r="L3147" s="53" t="inlineStr">
        <is>
          <t>Не определено</t>
        </is>
      </c>
      <c r="M3147" s="53" t="inlineStr"/>
      <c r="N3147" s="54" t="inlineStr"/>
      <c r="O3147" s="55" t="inlineStr"/>
      <c r="P3147" s="16" t="inlineStr">
        <is>
          <t>Требует обогащения</t>
        </is>
      </c>
      <c r="Q3147" s="16">
        <f>HYPERLINK("https://pb.nalog.ru/search.html?query=5030086558","ФНС: проверить")</f>
        <v/>
      </c>
      <c r="R3147" s="16">
        <f>HYPERLINK("https://checko.ru/search?query=3801001629","Чекко: проверить")</f>
        <v/>
      </c>
      <c r="S3147" t="n">
        <v>1</v>
      </c>
      <c r="T3147" s="35" t="inlineStr">
        <is>
          <t>4 — Не обогащён</t>
        </is>
      </c>
      <c r="U3147" s="35" t="inlineStr">
        <is>
          <t>Нет ОКВЭД/ССЧР</t>
        </is>
      </c>
      <c r="V3147" s="35" t="inlineStr">
        <is>
          <t>Не определено</t>
        </is>
      </c>
      <c r="W3147" s="35" t="inlineStr"/>
      <c r="X3147" s="35" t="inlineStr"/>
    </row>
    <row r="3148" ht="27.75" customHeight="1" s="24">
      <c r="A3148" s="13" t="n">
        <v>5000047345</v>
      </c>
      <c r="B3148" s="13" t="inlineStr">
        <is>
          <t>МКУ "Центр торгов Наро-Фоминского городского округа"</t>
        </is>
      </c>
      <c r="C3148" s="13" t="n">
        <v>5030083109</v>
      </c>
      <c r="D3148" s="13" t="inlineStr">
        <is>
          <t>5030083109</t>
        </is>
      </c>
      <c r="E3148" s="13" t="inlineStr">
        <is>
          <t>ЮЛ РФ</t>
        </is>
      </c>
      <c r="F3148" s="13" t="n"/>
      <c r="G3148" s="14" t="n"/>
      <c r="H3148" s="14" t="n"/>
      <c r="I3148" s="14" t="n"/>
      <c r="J3148" s="14" t="n"/>
      <c r="K3148" s="53" t="inlineStr"/>
      <c r="L3148" s="53" t="inlineStr">
        <is>
          <t>Не определено</t>
        </is>
      </c>
      <c r="M3148" s="53" t="inlineStr"/>
      <c r="N3148" s="54" t="inlineStr"/>
      <c r="O3148" s="55" t="inlineStr"/>
      <c r="P3148" s="16" t="inlineStr">
        <is>
          <t>Требует обогащения</t>
        </is>
      </c>
      <c r="Q3148" s="16">
        <f>HYPERLINK("https://pb.nalog.ru/search.html?query=5030083109","ФНС: проверить")</f>
        <v/>
      </c>
      <c r="R3148" s="16">
        <f>HYPERLINK("https://checko.ru/search?query=3801001629","Чекко: проверить")</f>
        <v/>
      </c>
      <c r="S3148" t="n">
        <v>1</v>
      </c>
      <c r="T3148" s="35" t="inlineStr">
        <is>
          <t>4 — Не обогащён</t>
        </is>
      </c>
      <c r="U3148" s="35" t="inlineStr">
        <is>
          <t>Нет ОКВЭД/ССЧР</t>
        </is>
      </c>
      <c r="V3148" s="35" t="inlineStr">
        <is>
          <t>Не определено</t>
        </is>
      </c>
      <c r="W3148" s="35" t="inlineStr"/>
      <c r="X3148" s="35" t="inlineStr"/>
    </row>
    <row r="3149" ht="41.25" customHeight="1" s="24">
      <c r="A3149" s="13" t="n">
        <v>5000047346</v>
      </c>
      <c r="B3149" s="13" t="inlineStr">
        <is>
          <t>Территориальное управление Наро-Фоминск Администрации Наро-Фоминского городского округа</t>
        </is>
      </c>
      <c r="C3149" s="13" t="n">
        <v>5030092921</v>
      </c>
      <c r="D3149" s="13" t="inlineStr">
        <is>
          <t>5030092921</t>
        </is>
      </c>
      <c r="E3149" s="13" t="inlineStr">
        <is>
          <t>ЮЛ РФ</t>
        </is>
      </c>
      <c r="F3149" s="13" t="n"/>
      <c r="G3149" s="14" t="n"/>
      <c r="H3149" s="14" t="n"/>
      <c r="I3149" s="14" t="n"/>
      <c r="J3149" s="14" t="n"/>
      <c r="K3149" s="53" t="inlineStr"/>
      <c r="L3149" s="53" t="inlineStr">
        <is>
          <t>Не определено</t>
        </is>
      </c>
      <c r="M3149" s="53" t="inlineStr"/>
      <c r="N3149" s="54" t="inlineStr"/>
      <c r="O3149" s="55" t="inlineStr"/>
      <c r="P3149" s="16" t="inlineStr">
        <is>
          <t>Требует обогащения</t>
        </is>
      </c>
      <c r="Q3149" s="16">
        <f>HYPERLINK("https://pb.nalog.ru/search.html?query=5030092921","ФНС: проверить")</f>
        <v/>
      </c>
      <c r="R3149" s="16">
        <f>HYPERLINK("https://checko.ru/search?query=3801001629","Чекко: проверить")</f>
        <v/>
      </c>
      <c r="S3149" t="n">
        <v>1</v>
      </c>
      <c r="T3149" s="35" t="inlineStr">
        <is>
          <t>4 — Не обогащён</t>
        </is>
      </c>
      <c r="U3149" s="35" t="inlineStr">
        <is>
          <t>Нет ОКВЭД/ССЧР</t>
        </is>
      </c>
      <c r="V3149" s="35" t="inlineStr">
        <is>
          <t>Не определено</t>
        </is>
      </c>
      <c r="W3149" s="35" t="inlineStr"/>
      <c r="X3149" s="35" t="inlineStr"/>
    </row>
    <row r="3150" ht="27.75" customHeight="1" s="24">
      <c r="A3150" s="13" t="n">
        <v>5000029830</v>
      </c>
      <c r="B3150" s="13" t="inlineStr">
        <is>
          <t>МБОУ Шустиковская средняя общеобразовательная школа</t>
        </is>
      </c>
      <c r="C3150" s="13" t="n">
        <v>5030032224</v>
      </c>
      <c r="D3150" s="13" t="inlineStr">
        <is>
          <t>5030032224</t>
        </is>
      </c>
      <c r="E3150" s="13" t="inlineStr">
        <is>
          <t>ЮЛ РФ</t>
        </is>
      </c>
      <c r="F3150" s="13" t="n"/>
      <c r="G3150" s="14" t="n"/>
      <c r="H3150" s="14" t="n"/>
      <c r="I3150" s="14" t="n"/>
      <c r="J3150" s="14" t="n"/>
      <c r="K3150" s="53" t="inlineStr"/>
      <c r="L3150" s="53" t="inlineStr">
        <is>
          <t>Не определено</t>
        </is>
      </c>
      <c r="M3150" s="53" t="inlineStr"/>
      <c r="N3150" s="54" t="inlineStr"/>
      <c r="O3150" s="55" t="inlineStr"/>
      <c r="P3150" s="16" t="inlineStr">
        <is>
          <t>Требует обогащения</t>
        </is>
      </c>
      <c r="Q3150" s="16">
        <f>HYPERLINK("https://pb.nalog.ru/search.html?query=5030032224","ФНС: проверить")</f>
        <v/>
      </c>
      <c r="R3150" s="16">
        <f>HYPERLINK("https://checko.ru/search?query=3801001629","Чекко: проверить")</f>
        <v/>
      </c>
      <c r="S3150" t="n">
        <v>1</v>
      </c>
      <c r="T3150" s="35" t="inlineStr">
        <is>
          <t>4 — Не обогащён</t>
        </is>
      </c>
      <c r="U3150" s="35" t="inlineStr">
        <is>
          <t>Нет ОКВЭД/ССЧР</t>
        </is>
      </c>
      <c r="V3150" s="35" t="inlineStr">
        <is>
          <t>Не определено</t>
        </is>
      </c>
      <c r="W3150" s="35" t="inlineStr"/>
      <c r="X3150" s="35" t="inlineStr"/>
    </row>
    <row r="3151" ht="27.75" customHeight="1" s="24">
      <c r="A3151" s="13" t="n">
        <v>5000029832</v>
      </c>
      <c r="B3151" s="13" t="inlineStr">
        <is>
          <t>МБОУ Назарьевская средняя общеобразовательная школа</t>
        </is>
      </c>
      <c r="C3151" s="13" t="n">
        <v>5030032288</v>
      </c>
      <c r="D3151" s="13" t="inlineStr">
        <is>
          <t>5030032288</t>
        </is>
      </c>
      <c r="E3151" s="13" t="inlineStr">
        <is>
          <t>ЮЛ РФ</t>
        </is>
      </c>
      <c r="F3151" s="13" t="n"/>
      <c r="G3151" s="14" t="n"/>
      <c r="H3151" s="14" t="n"/>
      <c r="I3151" s="14" t="n"/>
      <c r="J3151" s="14" t="n"/>
      <c r="K3151" s="53" t="inlineStr"/>
      <c r="L3151" s="53" t="inlineStr">
        <is>
          <t>Не определено</t>
        </is>
      </c>
      <c r="M3151" s="53" t="inlineStr"/>
      <c r="N3151" s="54" t="inlineStr"/>
      <c r="O3151" s="55" t="inlineStr"/>
      <c r="P3151" s="16" t="inlineStr">
        <is>
          <t>Требует обогащения</t>
        </is>
      </c>
      <c r="Q3151" s="16">
        <f>HYPERLINK("https://pb.nalog.ru/search.html?query=5030032288","ФНС: проверить")</f>
        <v/>
      </c>
      <c r="R3151" s="16">
        <f>HYPERLINK("https://checko.ru/search?query=3801001629","Чекко: проверить")</f>
        <v/>
      </c>
      <c r="S3151" t="n">
        <v>1</v>
      </c>
      <c r="T3151" s="35" t="inlineStr">
        <is>
          <t>4 — Не обогащён</t>
        </is>
      </c>
      <c r="U3151" s="35" t="inlineStr">
        <is>
          <t>Нет ОКВЭД/ССЧР</t>
        </is>
      </c>
      <c r="V3151" s="35" t="inlineStr">
        <is>
          <t>Не определено</t>
        </is>
      </c>
      <c r="W3151" s="35" t="inlineStr"/>
      <c r="X3151" s="35" t="inlineStr"/>
    </row>
    <row r="3152" ht="27.75" customHeight="1" s="24">
      <c r="A3152" s="13" t="n">
        <v>5000029834</v>
      </c>
      <c r="B3152" s="13" t="inlineStr">
        <is>
          <t>МБОУ Веселёвская средняя общеобразовательная школа</t>
        </is>
      </c>
      <c r="C3152" s="13" t="n">
        <v>5030032094</v>
      </c>
      <c r="D3152" s="13" t="inlineStr">
        <is>
          <t>5030032094</t>
        </is>
      </c>
      <c r="E3152" s="13" t="inlineStr">
        <is>
          <t>ЮЛ РФ</t>
        </is>
      </c>
      <c r="F3152" s="13" t="n"/>
      <c r="G3152" s="14" t="n"/>
      <c r="H3152" s="14" t="n"/>
      <c r="I3152" s="14" t="n"/>
      <c r="J3152" s="14" t="n"/>
      <c r="K3152" s="53" t="inlineStr"/>
      <c r="L3152" s="53" t="inlineStr">
        <is>
          <t>Не определено</t>
        </is>
      </c>
      <c r="M3152" s="53" t="inlineStr"/>
      <c r="N3152" s="54" t="inlineStr"/>
      <c r="O3152" s="55" t="inlineStr"/>
      <c r="P3152" s="16" t="inlineStr">
        <is>
          <t>Требует обогащения</t>
        </is>
      </c>
      <c r="Q3152" s="16">
        <f>HYPERLINK("https://pb.nalog.ru/search.html?query=5030032094","ФНС: проверить")</f>
        <v/>
      </c>
      <c r="R3152" s="16">
        <f>HYPERLINK("https://checko.ru/search?query=3801001629","Чекко: проверить")</f>
        <v/>
      </c>
      <c r="S3152" t="n">
        <v>1</v>
      </c>
      <c r="T3152" s="35" t="inlineStr">
        <is>
          <t>4 — Не обогащён</t>
        </is>
      </c>
      <c r="U3152" s="35" t="inlineStr">
        <is>
          <t>Нет ОКВЭД/ССЧР</t>
        </is>
      </c>
      <c r="V3152" s="35" t="inlineStr">
        <is>
          <t>Не определено</t>
        </is>
      </c>
      <c r="W3152" s="35" t="inlineStr"/>
      <c r="X3152" s="35" t="inlineStr"/>
    </row>
    <row r="3153" ht="27.75" customHeight="1" s="24">
      <c r="A3153" s="13" t="n">
        <v>5000029835</v>
      </c>
      <c r="B3153" s="13" t="inlineStr">
        <is>
          <t>МБОУ Верейская средняя общеобразовательная школа №1</t>
        </is>
      </c>
      <c r="C3153" s="13" t="n">
        <v>5030034006</v>
      </c>
      <c r="D3153" s="13" t="inlineStr">
        <is>
          <t>5030034006</t>
        </is>
      </c>
      <c r="E3153" s="13" t="inlineStr">
        <is>
          <t>ЮЛ РФ</t>
        </is>
      </c>
      <c r="F3153" s="13" t="n"/>
      <c r="G3153" s="14" t="n"/>
      <c r="H3153" s="14" t="n"/>
      <c r="I3153" s="14" t="n"/>
      <c r="J3153" s="14" t="n"/>
      <c r="K3153" s="53" t="inlineStr"/>
      <c r="L3153" s="53" t="inlineStr">
        <is>
          <t>Не определено</t>
        </is>
      </c>
      <c r="M3153" s="53" t="inlineStr"/>
      <c r="N3153" s="54" t="inlineStr"/>
      <c r="O3153" s="55" t="inlineStr"/>
      <c r="P3153" s="16" t="inlineStr">
        <is>
          <t>Требует обогащения</t>
        </is>
      </c>
      <c r="Q3153" s="16">
        <f>HYPERLINK("https://pb.nalog.ru/search.html?query=5030034006","ФНС: проверить")</f>
        <v/>
      </c>
      <c r="R3153" s="16">
        <f>HYPERLINK("https://checko.ru/search?query=3801001629","Чекко: проверить")</f>
        <v/>
      </c>
      <c r="S3153" t="n">
        <v>1</v>
      </c>
      <c r="T3153" s="35" t="inlineStr">
        <is>
          <t>4 — Не обогащён</t>
        </is>
      </c>
      <c r="U3153" s="35" t="inlineStr">
        <is>
          <t>Нет ОКВЭД/ССЧР</t>
        </is>
      </c>
      <c r="V3153" s="35" t="inlineStr">
        <is>
          <t>Не определено</t>
        </is>
      </c>
      <c r="W3153" s="35" t="inlineStr"/>
      <c r="X3153" s="35" t="inlineStr"/>
    </row>
    <row r="3154" ht="27.75" customHeight="1" s="24">
      <c r="A3154" s="13" t="n">
        <v>5000029836</v>
      </c>
      <c r="B3154" s="13" t="inlineStr">
        <is>
          <t>МБОУ Васильчиновская средняя общеобразовательная школа</t>
        </is>
      </c>
      <c r="C3154" s="13" t="n">
        <v>5030032263</v>
      </c>
      <c r="D3154" s="13" t="inlineStr">
        <is>
          <t>5030032263</t>
        </is>
      </c>
      <c r="E3154" s="13" t="inlineStr">
        <is>
          <t>ЮЛ РФ</t>
        </is>
      </c>
      <c r="F3154" s="13" t="n"/>
      <c r="G3154" s="14" t="n"/>
      <c r="H3154" s="14" t="n"/>
      <c r="I3154" s="14" t="n"/>
      <c r="J3154" s="14" t="n"/>
      <c r="K3154" s="53" t="inlineStr"/>
      <c r="L3154" s="53" t="inlineStr">
        <is>
          <t>Не определено</t>
        </is>
      </c>
      <c r="M3154" s="53" t="inlineStr"/>
      <c r="N3154" s="54" t="inlineStr"/>
      <c r="O3154" s="55" t="inlineStr"/>
      <c r="P3154" s="16" t="inlineStr">
        <is>
          <t>Требует обогащения</t>
        </is>
      </c>
      <c r="Q3154" s="16">
        <f>HYPERLINK("https://pb.nalog.ru/search.html?query=5030032263","ФНС: проверить")</f>
        <v/>
      </c>
      <c r="R3154" s="16">
        <f>HYPERLINK("https://checko.ru/search?query=3801001629","Чекко: проверить")</f>
        <v/>
      </c>
      <c r="S3154" t="n">
        <v>1</v>
      </c>
      <c r="T3154" s="35" t="inlineStr">
        <is>
          <t>4 — Не обогащён</t>
        </is>
      </c>
      <c r="U3154" s="35" t="inlineStr">
        <is>
          <t>Нет ОКВЭД/ССЧР</t>
        </is>
      </c>
      <c r="V3154" s="35" t="inlineStr">
        <is>
          <t>Не определено</t>
        </is>
      </c>
      <c r="W3154" s="35" t="inlineStr"/>
      <c r="X3154" s="35" t="inlineStr"/>
    </row>
    <row r="3155" ht="15" customHeight="1" s="24">
      <c r="A3155" s="13" t="n">
        <v>5000029844</v>
      </c>
      <c r="B3155" s="13" t="inlineStr">
        <is>
          <t>МБОУ Софьинская СОШ</t>
        </is>
      </c>
      <c r="C3155" s="13" t="n">
        <v>5030032150</v>
      </c>
      <c r="D3155" s="13" t="inlineStr">
        <is>
          <t>5030032150</t>
        </is>
      </c>
      <c r="E3155" s="13" t="inlineStr">
        <is>
          <t>ЮЛ РФ</t>
        </is>
      </c>
      <c r="F3155" s="13" t="n"/>
      <c r="G3155" s="14" t="n"/>
      <c r="H3155" s="14" t="n"/>
      <c r="I3155" s="14" t="n"/>
      <c r="J3155" s="14" t="n"/>
      <c r="K3155" s="53" t="inlineStr"/>
      <c r="L3155" s="53" t="inlineStr">
        <is>
          <t>Не определено</t>
        </is>
      </c>
      <c r="M3155" s="53" t="inlineStr"/>
      <c r="N3155" s="54" t="inlineStr"/>
      <c r="O3155" s="55" t="inlineStr"/>
      <c r="P3155" s="16" t="inlineStr">
        <is>
          <t>Требует обогащения</t>
        </is>
      </c>
      <c r="Q3155" s="16">
        <f>HYPERLINK("https://pb.nalog.ru/search.html?query=5030032150","ФНС: проверить")</f>
        <v/>
      </c>
      <c r="R3155" s="16">
        <f>HYPERLINK("https://checko.ru/search?query=3801001629","Чекко: проверить")</f>
        <v/>
      </c>
      <c r="S3155" t="n">
        <v>1</v>
      </c>
      <c r="T3155" s="35" t="inlineStr">
        <is>
          <t>4 — Не обогащён</t>
        </is>
      </c>
      <c r="U3155" s="35" t="inlineStr">
        <is>
          <t>Нет ОКВЭД/ССЧР</t>
        </is>
      </c>
      <c r="V3155" s="35" t="inlineStr">
        <is>
          <t>Не определено</t>
        </is>
      </c>
      <c r="W3155" s="35" t="inlineStr"/>
      <c r="X3155" s="35" t="inlineStr"/>
    </row>
    <row r="3156" ht="27.75" customHeight="1" s="24">
      <c r="A3156" s="13" t="n">
        <v>5000029846</v>
      </c>
      <c r="B3156" s="13" t="inlineStr">
        <is>
          <t>МБОУ Наро-Фоминская школа для обучающихся с ОВЗ</t>
        </is>
      </c>
      <c r="C3156" s="13" t="n">
        <v>5030033027</v>
      </c>
      <c r="D3156" s="13" t="inlineStr">
        <is>
          <t>5030033027</t>
        </is>
      </c>
      <c r="E3156" s="13" t="inlineStr">
        <is>
          <t>ЮЛ РФ</t>
        </is>
      </c>
      <c r="F3156" s="13" t="n"/>
      <c r="G3156" s="14" t="n"/>
      <c r="H3156" s="14" t="n"/>
      <c r="I3156" s="14" t="n"/>
      <c r="J3156" s="14" t="n"/>
      <c r="K3156" s="53" t="inlineStr"/>
      <c r="L3156" s="53" t="inlineStr">
        <is>
          <t>Не определено</t>
        </is>
      </c>
      <c r="M3156" s="53" t="inlineStr"/>
      <c r="N3156" s="54" t="inlineStr"/>
      <c r="O3156" s="55" t="inlineStr"/>
      <c r="P3156" s="16" t="inlineStr">
        <is>
          <t>Требует обогащения</t>
        </is>
      </c>
      <c r="Q3156" s="16">
        <f>HYPERLINK("https://pb.nalog.ru/search.html?query=5030033027","ФНС: проверить")</f>
        <v/>
      </c>
      <c r="R3156" s="16">
        <f>HYPERLINK("https://checko.ru/search?query=3801001629","Чекко: проверить")</f>
        <v/>
      </c>
      <c r="S3156" t="n">
        <v>1</v>
      </c>
      <c r="T3156" s="35" t="inlineStr">
        <is>
          <t>4 — Не обогащён</t>
        </is>
      </c>
      <c r="U3156" s="35" t="inlineStr">
        <is>
          <t>Нет ОКВЭД/ССЧР</t>
        </is>
      </c>
      <c r="V3156" s="35" t="inlineStr">
        <is>
          <t>Не определено</t>
        </is>
      </c>
      <c r="W3156" s="35" t="inlineStr"/>
      <c r="X3156" s="35" t="inlineStr"/>
    </row>
    <row r="3157" ht="27.75" customHeight="1" s="24">
      <c r="A3157" s="13" t="n">
        <v>5000029847</v>
      </c>
      <c r="B3157" s="13" t="inlineStr">
        <is>
          <t>МБУ доп. образования детей дом детского творчества №1 им. В. Волошиной</t>
        </is>
      </c>
      <c r="C3157" s="13" t="n">
        <v>5030032383</v>
      </c>
      <c r="D3157" s="13" t="inlineStr">
        <is>
          <t>5030032383</t>
        </is>
      </c>
      <c r="E3157" s="13" t="inlineStr">
        <is>
          <t>ЮЛ РФ</t>
        </is>
      </c>
      <c r="F3157" s="13" t="n"/>
      <c r="G3157" s="14" t="n"/>
      <c r="H3157" s="14" t="n"/>
      <c r="I3157" s="14" t="n"/>
      <c r="J3157" s="14" t="n"/>
      <c r="K3157" s="53" t="inlineStr"/>
      <c r="L3157" s="53" t="inlineStr">
        <is>
          <t>Не определено</t>
        </is>
      </c>
      <c r="M3157" s="53" t="inlineStr"/>
      <c r="N3157" s="54" t="inlineStr"/>
      <c r="O3157" s="55" t="inlineStr"/>
      <c r="P3157" s="16" t="inlineStr">
        <is>
          <t>Требует обогащения</t>
        </is>
      </c>
      <c r="Q3157" s="16">
        <f>HYPERLINK("https://pb.nalog.ru/search.html?query=5030032383","ФНС: проверить")</f>
        <v/>
      </c>
      <c r="R3157" s="16">
        <f>HYPERLINK("https://checko.ru/search?query=3801001629","Чекко: проверить")</f>
        <v/>
      </c>
      <c r="S3157" t="n">
        <v>1</v>
      </c>
      <c r="T3157" s="35" t="inlineStr">
        <is>
          <t>4 — Не обогащён</t>
        </is>
      </c>
      <c r="U3157" s="35" t="inlineStr">
        <is>
          <t>Нет ОКВЭД/ССЧР</t>
        </is>
      </c>
      <c r="V3157" s="35" t="inlineStr">
        <is>
          <t>Не определено</t>
        </is>
      </c>
      <c r="W3157" s="35" t="inlineStr"/>
      <c r="X3157" s="35" t="inlineStr"/>
    </row>
    <row r="3158" ht="15" customHeight="1" s="24">
      <c r="A3158" s="13" t="n">
        <v>5000120033</v>
      </c>
      <c r="B3158" s="13" t="inlineStr">
        <is>
          <t>МАУК "ЦДК "ЗВЕЗДА"</t>
        </is>
      </c>
      <c r="C3158" s="13" t="n">
        <v>5030033718</v>
      </c>
      <c r="D3158" s="13" t="inlineStr">
        <is>
          <t>5030033718</t>
        </is>
      </c>
      <c r="E3158" s="13" t="inlineStr">
        <is>
          <t>ЮЛ РФ</t>
        </is>
      </c>
      <c r="F3158" s="13" t="n"/>
      <c r="G3158" s="14" t="n"/>
      <c r="H3158" s="14" t="n"/>
      <c r="I3158" s="14" t="n"/>
      <c r="J3158" s="14" t="n"/>
      <c r="K3158" s="53" t="inlineStr"/>
      <c r="L3158" s="53" t="inlineStr">
        <is>
          <t>Не определено</t>
        </is>
      </c>
      <c r="M3158" s="53" t="inlineStr"/>
      <c r="N3158" s="54" t="inlineStr"/>
      <c r="O3158" s="55" t="inlineStr"/>
      <c r="P3158" s="16" t="inlineStr">
        <is>
          <t>Требует обогащения</t>
        </is>
      </c>
      <c r="Q3158" s="16">
        <f>HYPERLINK("https://pb.nalog.ru/search.html?query=5030033718","ФНС: проверить")</f>
        <v/>
      </c>
      <c r="R3158" s="16">
        <f>HYPERLINK("https://checko.ru/search?query=3801001629","Чекко: проверить")</f>
        <v/>
      </c>
      <c r="S3158" t="n">
        <v>1</v>
      </c>
      <c r="T3158" s="35" t="inlineStr">
        <is>
          <t>4 — Не обогащён</t>
        </is>
      </c>
      <c r="U3158" s="35" t="inlineStr">
        <is>
          <t>Нет ОКВЭД/ССЧР</t>
        </is>
      </c>
      <c r="V3158" s="35" t="inlineStr">
        <is>
          <t>Не определено</t>
        </is>
      </c>
      <c r="W3158" s="35" t="inlineStr"/>
      <c r="X3158" s="35" t="inlineStr"/>
    </row>
    <row r="3159" ht="41.25" customHeight="1" s="24">
      <c r="A3159" s="13" t="n">
        <v>5000122610</v>
      </c>
      <c r="B3159" s="13" t="inlineStr">
        <is>
          <t>УПРАВЛЕНИЕ ФИНАНСОВ АДМИНИСТРАЦИИ УСТЬ-КАМЧАТСКОГО МУНИЦИПАЛЬНОГО РАЙОНА-МУНИЦИПАЛЬНОЕ КАЗЕННОЕ УЧРЕЖДЕНИЕ</t>
        </is>
      </c>
      <c r="C3159" s="13" t="n">
        <v>4109001899</v>
      </c>
      <c r="D3159" s="13" t="inlineStr">
        <is>
          <t>4109001899</t>
        </is>
      </c>
      <c r="E3159" s="13" t="inlineStr">
        <is>
          <t>ЮЛ РФ</t>
        </is>
      </c>
      <c r="F3159" s="13" t="n"/>
      <c r="G3159" s="14" t="n"/>
      <c r="H3159" s="14" t="n"/>
      <c r="I3159" s="14" t="n"/>
      <c r="J3159" s="14" t="n"/>
      <c r="K3159" s="53" t="inlineStr"/>
      <c r="L3159" s="53" t="inlineStr">
        <is>
          <t>Не определено</t>
        </is>
      </c>
      <c r="M3159" s="53" t="inlineStr"/>
      <c r="N3159" s="54" t="inlineStr"/>
      <c r="O3159" s="55" t="inlineStr"/>
      <c r="P3159" s="16" t="inlineStr">
        <is>
          <t>Требует обогащения</t>
        </is>
      </c>
      <c r="Q3159" s="16">
        <f>HYPERLINK("https://pb.nalog.ru/search.html?query=4109001899","ФНС: проверить")</f>
        <v/>
      </c>
      <c r="R3159" s="16">
        <f>HYPERLINK("https://checko.ru/search?query=3801001629","Чекко: проверить")</f>
        <v/>
      </c>
      <c r="S3159" t="n">
        <v>1</v>
      </c>
      <c r="T3159" s="35" t="inlineStr">
        <is>
          <t>4 — Не обогащён</t>
        </is>
      </c>
      <c r="U3159" s="35" t="inlineStr">
        <is>
          <t>Нет ОКВЭД/ССЧР</t>
        </is>
      </c>
      <c r="V3159" s="35" t="inlineStr">
        <is>
          <t>Не определено</t>
        </is>
      </c>
      <c r="W3159" s="35" t="inlineStr"/>
      <c r="X3159" s="35" t="inlineStr"/>
    </row>
    <row r="3160" ht="54.75" customHeight="1" s="24">
      <c r="A3160" s="13" t="n">
        <v>5000122608</v>
      </c>
      <c r="B3160" s="13" t="inlineStr">
        <is>
          <t>УПРАВЛЕНИЕ ИМУЩЕСТВЕННЫХ И ЗЕМЕЛЬНЫХ ОТНОШЕНИЙ АДМИНИСТРАЦИИ УСТЬ-КАМЧАТСКОГО МУНИЦИПАЛЬНОГО РАЙОНА - МУНИЦИПАЛЬНОЕ КАЗЕННОЕ УЧРЕЖДЕНИЕ</t>
        </is>
      </c>
      <c r="C3160" s="13" t="n">
        <v>4109001225</v>
      </c>
      <c r="D3160" s="13" t="inlineStr">
        <is>
          <t>4109001225</t>
        </is>
      </c>
      <c r="E3160" s="13" t="inlineStr">
        <is>
          <t>ЮЛ РФ</t>
        </is>
      </c>
      <c r="F3160" s="13" t="n"/>
      <c r="G3160" s="14" t="n"/>
      <c r="H3160" s="14" t="n"/>
      <c r="I3160" s="14" t="n"/>
      <c r="J3160" s="14" t="n"/>
      <c r="K3160" s="53" t="inlineStr"/>
      <c r="L3160" s="53" t="inlineStr">
        <is>
          <t>Не определено</t>
        </is>
      </c>
      <c r="M3160" s="53" t="inlineStr"/>
      <c r="N3160" s="54" t="inlineStr"/>
      <c r="O3160" s="55" t="inlineStr"/>
      <c r="P3160" s="16" t="inlineStr">
        <is>
          <t>Требует обогащения</t>
        </is>
      </c>
      <c r="Q3160" s="16">
        <f>HYPERLINK("https://pb.nalog.ru/search.html?query=4109001225","ФНС: проверить")</f>
        <v/>
      </c>
      <c r="R3160" s="16">
        <f>HYPERLINK("https://checko.ru/search?query=3801001629","Чекко: проверить")</f>
        <v/>
      </c>
      <c r="S3160" t="n">
        <v>1</v>
      </c>
      <c r="T3160" s="35" t="inlineStr">
        <is>
          <t>4 — Не обогащён</t>
        </is>
      </c>
      <c r="U3160" s="35" t="inlineStr">
        <is>
          <t>Нет ОКВЭД/ССЧР</t>
        </is>
      </c>
      <c r="V3160" s="35" t="inlineStr">
        <is>
          <t>Не определено</t>
        </is>
      </c>
      <c r="W3160" s="35" t="inlineStr"/>
      <c r="X3160" s="35" t="inlineStr"/>
    </row>
    <row r="3161" ht="68.25" customHeight="1" s="24">
      <c r="A3161" s="13" t="n">
        <v>5000122607</v>
      </c>
      <c r="B3161" s="13" t="inlineStr">
        <is>
          <t>УПРАВЛЕНИЕ СТРОИТЕЛЬСТВА, БЛАГОУСТРОЙСТВА,ДОРОЖНО-ТРАНСПОРТНОГО И ЖИЛИЩНО-КОММУНАЛЬНОГО ХОЗЯЙСТВА АДМИНИСТРАЦИИ УСТЬ-КАМЧАТСКОГО МУНИЦИПАЛЬНОГО РАЙОНА</t>
        </is>
      </c>
      <c r="C3161" s="13" t="n">
        <v>4109005036</v>
      </c>
      <c r="D3161" s="13" t="inlineStr">
        <is>
          <t>4109005036</t>
        </is>
      </c>
      <c r="E3161" s="13" t="inlineStr">
        <is>
          <t>ЮЛ РФ</t>
        </is>
      </c>
      <c r="F3161" s="13" t="n"/>
      <c r="G3161" s="14" t="n"/>
      <c r="H3161" s="14" t="n"/>
      <c r="I3161" s="14" t="n"/>
      <c r="J3161" s="14" t="n"/>
      <c r="K3161" s="53" t="inlineStr"/>
      <c r="L3161" s="53" t="inlineStr">
        <is>
          <t>Не определено</t>
        </is>
      </c>
      <c r="M3161" s="53" t="inlineStr"/>
      <c r="N3161" s="54" t="inlineStr"/>
      <c r="O3161" s="55" t="inlineStr"/>
      <c r="P3161" s="16" t="inlineStr">
        <is>
          <t>Требует обогащения</t>
        </is>
      </c>
      <c r="Q3161" s="16">
        <f>HYPERLINK("https://pb.nalog.ru/search.html?query=4109005036","ФНС: проверить")</f>
        <v/>
      </c>
      <c r="R3161" s="16">
        <f>HYPERLINK("https://checko.ru/search?query=3801001629","Чекко: проверить")</f>
        <v/>
      </c>
      <c r="S3161" t="n">
        <v>1</v>
      </c>
      <c r="T3161" s="35" t="inlineStr">
        <is>
          <t>4 — Не обогащён</t>
        </is>
      </c>
      <c r="U3161" s="35" t="inlineStr">
        <is>
          <t>Нет ОКВЭД/ССЧР</t>
        </is>
      </c>
      <c r="V3161" s="35" t="inlineStr">
        <is>
          <t>Не определено</t>
        </is>
      </c>
      <c r="W3161" s="35" t="inlineStr"/>
      <c r="X3161" s="35" t="inlineStr"/>
    </row>
    <row r="3162" ht="27.75" customHeight="1" s="24">
      <c r="A3162" s="13" t="n">
        <v>5000122606</v>
      </c>
      <c r="B3162" s="13" t="inlineStr">
        <is>
          <t>СОВЕТ НАРОДНЫХ ДЕПУТАТОВ УСТЬ-КАМЧАТСКОГО МУНИЦИПАЛЬНОГО РАЙОНА</t>
        </is>
      </c>
      <c r="C3162" s="13" t="n">
        <v>4109002807</v>
      </c>
      <c r="D3162" s="13" t="inlineStr">
        <is>
          <t>4109002807</t>
        </is>
      </c>
      <c r="E3162" s="13" t="inlineStr">
        <is>
          <t>ЮЛ РФ</t>
        </is>
      </c>
      <c r="F3162" s="13" t="n"/>
      <c r="G3162" s="14" t="n"/>
      <c r="H3162" s="14" t="n"/>
      <c r="I3162" s="14" t="n"/>
      <c r="J3162" s="14" t="n"/>
      <c r="K3162" s="53" t="inlineStr"/>
      <c r="L3162" s="53" t="inlineStr">
        <is>
          <t>Не определено</t>
        </is>
      </c>
      <c r="M3162" s="53" t="inlineStr"/>
      <c r="N3162" s="54" t="inlineStr"/>
      <c r="O3162" s="55" t="inlineStr"/>
      <c r="P3162" s="16" t="inlineStr">
        <is>
          <t>Требует обогащения</t>
        </is>
      </c>
      <c r="Q3162" s="16">
        <f>HYPERLINK("https://pb.nalog.ru/search.html?query=4109002807","ФНС: проверить")</f>
        <v/>
      </c>
      <c r="R3162" s="16">
        <f>HYPERLINK("https://checko.ru/search?query=3801001629","Чекко: проверить")</f>
        <v/>
      </c>
      <c r="S3162" t="n">
        <v>1</v>
      </c>
      <c r="T3162" s="35" t="inlineStr">
        <is>
          <t>4 — Не обогащён</t>
        </is>
      </c>
      <c r="U3162" s="35" t="inlineStr">
        <is>
          <t>Нет ОКВЭД/ССЧР</t>
        </is>
      </c>
      <c r="V3162" s="35" t="inlineStr">
        <is>
          <t>Не определено</t>
        </is>
      </c>
      <c r="W3162" s="35" t="inlineStr"/>
      <c r="X3162" s="35" t="inlineStr"/>
    </row>
    <row r="3163" ht="27.75" customHeight="1" s="24">
      <c r="A3163" s="13" t="n">
        <v>5000122570</v>
      </c>
      <c r="B3163" s="13" t="inlineStr">
        <is>
          <t>ПЕТРОПАВЛОВСК-КАМЧАТСКАЯ ГОРОДСКАЯ ТЕРРИТОРИАЛЬНАЯ ИЗБИРАТЕЛЬНАЯ КОМИССИЯ</t>
        </is>
      </c>
      <c r="C3163" s="13" t="n">
        <v>4101089348</v>
      </c>
      <c r="D3163" s="13" t="inlineStr">
        <is>
          <t>4101089348</t>
        </is>
      </c>
      <c r="E3163" s="13" t="inlineStr">
        <is>
          <t>ЮЛ РФ</t>
        </is>
      </c>
      <c r="F3163" s="13" t="n"/>
      <c r="G3163" s="14" t="n"/>
      <c r="H3163" s="14" t="n"/>
      <c r="I3163" s="14" t="n"/>
      <c r="J3163" s="14" t="n"/>
      <c r="K3163" s="53" t="inlineStr"/>
      <c r="L3163" s="53" t="inlineStr">
        <is>
          <t>Не определено</t>
        </is>
      </c>
      <c r="M3163" s="53" t="inlineStr"/>
      <c r="N3163" s="54" t="inlineStr"/>
      <c r="O3163" s="55" t="inlineStr"/>
      <c r="P3163" s="16" t="inlineStr">
        <is>
          <t>Требует обогащения</t>
        </is>
      </c>
      <c r="Q3163" s="16">
        <f>HYPERLINK("https://pb.nalog.ru/search.html?query=4101089348","ФНС: проверить")</f>
        <v/>
      </c>
      <c r="R3163" s="16">
        <f>HYPERLINK("https://checko.ru/search?query=3801001629","Чекко: проверить")</f>
        <v/>
      </c>
      <c r="S3163" t="n">
        <v>1</v>
      </c>
      <c r="T3163" s="35" t="inlineStr">
        <is>
          <t>4 — Не обогащён</t>
        </is>
      </c>
      <c r="U3163" s="35" t="inlineStr">
        <is>
          <t>Нет ОКВЭД/ССЧР</t>
        </is>
      </c>
      <c r="V3163" s="35" t="inlineStr">
        <is>
          <t>Не определено</t>
        </is>
      </c>
      <c r="W3163" s="35" t="inlineStr"/>
      <c r="X3163" s="35" t="inlineStr"/>
    </row>
    <row r="3164" ht="68.25" customHeight="1" s="24">
      <c r="A3164" s="13" t="n">
        <v>5000122609</v>
      </c>
      <c r="B3164" s="13" t="inlineStr">
        <is>
          <t>УПРАВЛЕНИЕ ОБРАЗОВАНИЯ,КУЛЬТУРЫ,СПОРТА,МОЛОДЕЖНОЙ ПОЛИТИКИ И ТУРИЗМА АДМИНИСТРАЦИИ УСТЬ-КАМЧАТСКОГО МУНИЦИПАЛЬНОГО РАЙОНА-МУНИЦИПАЛЬНОЕ КАЗЕННОЕ УЧРЕЖ</t>
        </is>
      </c>
      <c r="C3164" s="13" t="n">
        <v>4109004561</v>
      </c>
      <c r="D3164" s="13" t="inlineStr">
        <is>
          <t>4109004561</t>
        </is>
      </c>
      <c r="E3164" s="13" t="inlineStr">
        <is>
          <t>ЮЛ РФ</t>
        </is>
      </c>
      <c r="F3164" s="13" t="n"/>
      <c r="G3164" s="14" t="n"/>
      <c r="H3164" s="14" t="n"/>
      <c r="I3164" s="14" t="n"/>
      <c r="J3164" s="14" t="n"/>
      <c r="K3164" s="53" t="inlineStr"/>
      <c r="L3164" s="53" t="inlineStr">
        <is>
          <t>Не определено</t>
        </is>
      </c>
      <c r="M3164" s="53" t="inlineStr"/>
      <c r="N3164" s="54" t="inlineStr"/>
      <c r="O3164" s="55" t="inlineStr"/>
      <c r="P3164" s="16" t="inlineStr">
        <is>
          <t>Требует обогащения</t>
        </is>
      </c>
      <c r="Q3164" s="16">
        <f>HYPERLINK("https://pb.nalog.ru/search.html?query=4109004561","ФНС: проверить")</f>
        <v/>
      </c>
      <c r="R3164" s="16">
        <f>HYPERLINK("https://checko.ru/search?query=3801001629","Чекко: проверить")</f>
        <v/>
      </c>
      <c r="S3164" t="n">
        <v>1</v>
      </c>
      <c r="T3164" s="35" t="inlineStr">
        <is>
          <t>4 — Не обогащён</t>
        </is>
      </c>
      <c r="U3164" s="35" t="inlineStr">
        <is>
          <t>Нет ОКВЭД/ССЧР</t>
        </is>
      </c>
      <c r="V3164" s="35" t="inlineStr">
        <is>
          <t>Не определено</t>
        </is>
      </c>
      <c r="W3164" s="35" t="inlineStr"/>
      <c r="X3164" s="35" t="inlineStr"/>
    </row>
    <row r="3165" ht="54.75" customHeight="1" s="24">
      <c r="A3165" s="13" t="n">
        <v>5000051194</v>
      </c>
      <c r="B3165" s="13" t="inlineStr">
        <is>
          <t>МУНИЦИПАЛЬНОЕ БЮДЖЕТНОЕ МНОГОФУНКЦИОНАЛЬНОЕ УЧРЕЖДЕНИЕ КУЛЬТУРЫ "СОЦИАЛЬНО-КУЛЬТУРНЫЙ ЦЕНТР КАДИНСКИЙ"</t>
        </is>
      </c>
      <c r="C3165" s="13" t="n">
        <v>3814010388</v>
      </c>
      <c r="D3165" s="13" t="inlineStr">
        <is>
          <t>3814010388</t>
        </is>
      </c>
      <c r="E3165" s="13" t="inlineStr">
        <is>
          <t>ЮЛ РФ</t>
        </is>
      </c>
      <c r="F3165" s="13" t="n"/>
      <c r="G3165" s="14" t="n"/>
      <c r="H3165" s="14" t="n"/>
      <c r="I3165" s="14" t="n"/>
      <c r="J3165" s="14" t="n"/>
      <c r="K3165" s="53" t="inlineStr"/>
      <c r="L3165" s="53" t="inlineStr">
        <is>
          <t>Не определено</t>
        </is>
      </c>
      <c r="M3165" s="53" t="inlineStr"/>
      <c r="N3165" s="54" t="inlineStr"/>
      <c r="O3165" s="55" t="inlineStr"/>
      <c r="P3165" s="16" t="inlineStr">
        <is>
          <t>Требует обогащения</t>
        </is>
      </c>
      <c r="Q3165" s="16">
        <f>HYPERLINK("https://pb.nalog.ru/search.html?query=3814010388","ФНС: проверить")</f>
        <v/>
      </c>
      <c r="R3165" s="16">
        <f>HYPERLINK("https://checko.ru/search?query=3801001629","Чекко: проверить")</f>
        <v/>
      </c>
      <c r="S3165" t="n">
        <v>1</v>
      </c>
      <c r="T3165" s="35" t="inlineStr">
        <is>
          <t>4 — Не обогащён</t>
        </is>
      </c>
      <c r="U3165" s="35" t="inlineStr">
        <is>
          <t>Нет ОКВЭД/ССЧР</t>
        </is>
      </c>
      <c r="V3165" s="35" t="inlineStr">
        <is>
          <t>Не определено</t>
        </is>
      </c>
      <c r="W3165" s="35" t="inlineStr"/>
      <c r="X3165" s="35" t="inlineStr"/>
    </row>
    <row r="3166" ht="15" customHeight="1" s="24">
      <c r="A3166" s="13" t="n">
        <v>5000120028</v>
      </c>
      <c r="B3166" s="13" t="inlineStr">
        <is>
          <t>МАУС "СК"ТРУДОВЫЕ РЕЗЕРВЫ"</t>
        </is>
      </c>
      <c r="C3166" s="13" t="n">
        <v>5030102640</v>
      </c>
      <c r="D3166" s="13" t="inlineStr">
        <is>
          <t>5030102640</t>
        </is>
      </c>
      <c r="E3166" s="13" t="inlineStr">
        <is>
          <t>ЮЛ РФ</t>
        </is>
      </c>
      <c r="F3166" s="13" t="n"/>
      <c r="G3166" s="14" t="n"/>
      <c r="H3166" s="14" t="n"/>
      <c r="I3166" s="14" t="n"/>
      <c r="J3166" s="14" t="n"/>
      <c r="K3166" s="53" t="inlineStr"/>
      <c r="L3166" s="53" t="inlineStr">
        <is>
          <t>Не определено</t>
        </is>
      </c>
      <c r="M3166" s="53" t="inlineStr"/>
      <c r="N3166" s="54" t="inlineStr"/>
      <c r="O3166" s="55" t="inlineStr"/>
      <c r="P3166" s="16" t="inlineStr">
        <is>
          <t>Требует обогащения</t>
        </is>
      </c>
      <c r="Q3166" s="16">
        <f>HYPERLINK("https://pb.nalog.ru/search.html?query=5030102640","ФНС: проверить")</f>
        <v/>
      </c>
      <c r="R3166" s="16">
        <f>HYPERLINK("https://checko.ru/search?query=3801001629","Чекко: проверить")</f>
        <v/>
      </c>
      <c r="S3166" t="n">
        <v>1</v>
      </c>
      <c r="T3166" s="35" t="inlineStr">
        <is>
          <t>4 — Не обогащён</t>
        </is>
      </c>
      <c r="U3166" s="35" t="inlineStr">
        <is>
          <t>Нет ОКВЭД/ССЧР</t>
        </is>
      </c>
      <c r="V3166" s="35" t="inlineStr">
        <is>
          <t>Не определено</t>
        </is>
      </c>
      <c r="W3166" s="35" t="inlineStr"/>
      <c r="X3166" s="35" t="inlineStr"/>
    </row>
    <row r="3167" ht="15" customHeight="1" s="24">
      <c r="A3167" s="13" t="n">
        <v>5000122648</v>
      </c>
      <c r="B3167" s="13" t="inlineStr">
        <is>
          <t>АНАВГАЙСКИЙ ТЕРРИТОРИАЛЬНЫЙ ОТДЕЛ АБМО</t>
        </is>
      </c>
      <c r="C3167" s="13" t="n">
        <v>4100053885</v>
      </c>
      <c r="D3167" s="13" t="inlineStr">
        <is>
          <t>4100053885</t>
        </is>
      </c>
      <c r="E3167" s="13" t="inlineStr">
        <is>
          <t>ЮЛ РФ</t>
        </is>
      </c>
      <c r="F3167" s="13" t="n"/>
      <c r="G3167" s="14" t="n"/>
      <c r="H3167" s="14" t="n"/>
      <c r="I3167" s="14" t="n"/>
      <c r="J3167" s="14" t="n"/>
      <c r="K3167" s="53" t="inlineStr"/>
      <c r="L3167" s="53" t="inlineStr">
        <is>
          <t>Не определено</t>
        </is>
      </c>
      <c r="M3167" s="53" t="inlineStr"/>
      <c r="N3167" s="54" t="inlineStr"/>
      <c r="O3167" s="55" t="inlineStr"/>
      <c r="P3167" s="16" t="inlineStr">
        <is>
          <t>Требует обогащения</t>
        </is>
      </c>
      <c r="Q3167" s="16">
        <f>HYPERLINK("https://pb.nalog.ru/search.html?query=4100053885","ФНС: проверить")</f>
        <v/>
      </c>
      <c r="R3167" s="16">
        <f>HYPERLINK("https://checko.ru/search?query=3801001629","Чекко: проверить")</f>
        <v/>
      </c>
      <c r="S3167" t="n">
        <v>1</v>
      </c>
      <c r="T3167" s="35" t="inlineStr">
        <is>
          <t>4 — Не обогащён</t>
        </is>
      </c>
      <c r="U3167" s="35" t="inlineStr">
        <is>
          <t>Нет ОКВЭД/ССЧР</t>
        </is>
      </c>
      <c r="V3167" s="35" t="inlineStr">
        <is>
          <t>Не определено</t>
        </is>
      </c>
      <c r="W3167" s="35" t="inlineStr"/>
      <c r="X3167" s="35" t="inlineStr"/>
    </row>
    <row r="3168" ht="41.25" customHeight="1" s="24">
      <c r="A3168" s="13" t="n">
        <v>5000120036</v>
      </c>
      <c r="B3168" s="13" t="inlineStr">
        <is>
          <t>МУНИЦИПАЛЬНОЕ БЮДЖЕТНОЕ УЧРЕЖДЕНИЕ КУЛЬТУРЫ "ВЕРЕЙСКИЙ ИСТОРИКО-КРАЕВЕДЧЕСКИЙ МУЗЕЙ"</t>
        </is>
      </c>
      <c r="C3168" s="13" t="n">
        <v>5030033676</v>
      </c>
      <c r="D3168" s="13" t="inlineStr">
        <is>
          <t>5030033676</t>
        </is>
      </c>
      <c r="E3168" s="13" t="inlineStr">
        <is>
          <t>ЮЛ РФ</t>
        </is>
      </c>
      <c r="F3168" s="13" t="n"/>
      <c r="G3168" s="14" t="n"/>
      <c r="H3168" s="14" t="n"/>
      <c r="I3168" s="14" t="n"/>
      <c r="J3168" s="14" t="n"/>
      <c r="K3168" s="53" t="inlineStr"/>
      <c r="L3168" s="53" t="inlineStr">
        <is>
          <t>Не определено</t>
        </is>
      </c>
      <c r="M3168" s="53" t="inlineStr"/>
      <c r="N3168" s="54" t="inlineStr"/>
      <c r="O3168" s="55" t="inlineStr"/>
      <c r="P3168" s="16" t="inlineStr">
        <is>
          <t>Требует обогащения</t>
        </is>
      </c>
      <c r="Q3168" s="16">
        <f>HYPERLINK("https://pb.nalog.ru/search.html?query=5030033676","ФНС: проверить")</f>
        <v/>
      </c>
      <c r="R3168" s="16">
        <f>HYPERLINK("https://checko.ru/search?query=3801001629","Чекко: проверить")</f>
        <v/>
      </c>
      <c r="S3168" t="n">
        <v>1</v>
      </c>
      <c r="T3168" s="35" t="inlineStr">
        <is>
          <t>4 — Не обогащён</t>
        </is>
      </c>
      <c r="U3168" s="35" t="inlineStr">
        <is>
          <t>Нет ОКВЭД/ССЧР</t>
        </is>
      </c>
      <c r="V3168" s="35" t="inlineStr">
        <is>
          <t>Не определено</t>
        </is>
      </c>
      <c r="W3168" s="35" t="inlineStr"/>
      <c r="X3168" s="35" t="inlineStr"/>
    </row>
    <row r="3169" ht="41.25" customHeight="1" s="24">
      <c r="A3169" s="13" t="n">
        <v>5000120018</v>
      </c>
      <c r="B3169" s="13" t="inlineStr">
        <is>
          <t>Муниципальное бюджетное учреждение дополнительного образования «Верейская детская школа искусств»</t>
        </is>
      </c>
      <c r="C3169" s="13" t="n">
        <v>5030046594</v>
      </c>
      <c r="D3169" s="13" t="inlineStr">
        <is>
          <t>5030046594</t>
        </is>
      </c>
      <c r="E3169" s="13" t="inlineStr">
        <is>
          <t>ЮЛ РФ</t>
        </is>
      </c>
      <c r="F3169" s="13" t="n"/>
      <c r="G3169" s="14" t="n"/>
      <c r="H3169" s="14" t="n"/>
      <c r="I3169" s="14" t="n"/>
      <c r="J3169" s="14" t="n"/>
      <c r="K3169" s="53" t="inlineStr"/>
      <c r="L3169" s="53" t="inlineStr">
        <is>
          <t>Не определено</t>
        </is>
      </c>
      <c r="M3169" s="53" t="inlineStr"/>
      <c r="N3169" s="54" t="inlineStr"/>
      <c r="O3169" s="55" t="inlineStr"/>
      <c r="P3169" s="16" t="inlineStr">
        <is>
          <t>Требует обогащения</t>
        </is>
      </c>
      <c r="Q3169" s="16">
        <f>HYPERLINK("https://pb.nalog.ru/search.html?query=5030046594","ФНС: проверить")</f>
        <v/>
      </c>
      <c r="R3169" s="16">
        <f>HYPERLINK("https://checko.ru/search?query=3801001629","Чекко: проверить")</f>
        <v/>
      </c>
      <c r="S3169" t="n">
        <v>1</v>
      </c>
      <c r="T3169" s="35" t="inlineStr">
        <is>
          <t>4 — Не обогащён</t>
        </is>
      </c>
      <c r="U3169" s="35" t="inlineStr">
        <is>
          <t>Нет ОКВЭД/ССЧР</t>
        </is>
      </c>
      <c r="V3169" s="35" t="inlineStr">
        <is>
          <t>Не определено</t>
        </is>
      </c>
      <c r="W3169" s="35" t="inlineStr"/>
      <c r="X3169" s="35" t="inlineStr"/>
    </row>
    <row r="3170" ht="41.25" customHeight="1" s="24">
      <c r="A3170" s="13" t="n">
        <v>5000120019</v>
      </c>
      <c r="B3170" s="13" t="inlineStr">
        <is>
          <t>Муниципальное бюджетное учреждение дополнительного образования «Апрелевская детская школа искусств»</t>
        </is>
      </c>
      <c r="C3170" s="13" t="n">
        <v>5030029912</v>
      </c>
      <c r="D3170" s="13" t="inlineStr">
        <is>
          <t>5030029912</t>
        </is>
      </c>
      <c r="E3170" s="13" t="inlineStr">
        <is>
          <t>ЮЛ РФ</t>
        </is>
      </c>
      <c r="F3170" s="13" t="n"/>
      <c r="G3170" s="14" t="n"/>
      <c r="H3170" s="14" t="n"/>
      <c r="I3170" s="14" t="n"/>
      <c r="J3170" s="14" t="n"/>
      <c r="K3170" s="53" t="inlineStr"/>
      <c r="L3170" s="53" t="inlineStr">
        <is>
          <t>Не определено</t>
        </is>
      </c>
      <c r="M3170" s="53" t="inlineStr"/>
      <c r="N3170" s="54" t="inlineStr"/>
      <c r="O3170" s="55" t="inlineStr"/>
      <c r="P3170" s="16" t="inlineStr">
        <is>
          <t>Требует обогащения</t>
        </is>
      </c>
      <c r="Q3170" s="16">
        <f>HYPERLINK("https://pb.nalog.ru/search.html?query=5030029912","ФНС: проверить")</f>
        <v/>
      </c>
      <c r="R3170" s="16">
        <f>HYPERLINK("https://checko.ru/search?query=3801001629","Чекко: проверить")</f>
        <v/>
      </c>
      <c r="S3170" t="n">
        <v>1</v>
      </c>
      <c r="T3170" s="35" t="inlineStr">
        <is>
          <t>4 — Не обогащён</t>
        </is>
      </c>
      <c r="U3170" s="35" t="inlineStr">
        <is>
          <t>Нет ОКВЭД/ССЧР</t>
        </is>
      </c>
      <c r="V3170" s="35" t="inlineStr">
        <is>
          <t>Не определено</t>
        </is>
      </c>
      <c r="W3170" s="35" t="inlineStr"/>
      <c r="X3170" s="35" t="inlineStr"/>
    </row>
    <row r="3171" ht="41.25" customHeight="1" s="24">
      <c r="A3171" s="13" t="n">
        <v>5000120020</v>
      </c>
      <c r="B3171" s="13" t="inlineStr">
        <is>
          <t>Муниципальное бюджетное учреждение дополнительного образования «Детская школа искусств «Классика»</t>
        </is>
      </c>
      <c r="C3171" s="13" t="n">
        <v>5030033838</v>
      </c>
      <c r="D3171" s="13" t="inlineStr">
        <is>
          <t>5030033838</t>
        </is>
      </c>
      <c r="E3171" s="13" t="inlineStr">
        <is>
          <t>ЮЛ РФ</t>
        </is>
      </c>
      <c r="F3171" s="13" t="n"/>
      <c r="G3171" s="14" t="n"/>
      <c r="H3171" s="14" t="n"/>
      <c r="I3171" s="14" t="n"/>
      <c r="J3171" s="14" t="n"/>
      <c r="K3171" s="53" t="inlineStr"/>
      <c r="L3171" s="53" t="inlineStr">
        <is>
          <t>Не определено</t>
        </is>
      </c>
      <c r="M3171" s="53" t="inlineStr"/>
      <c r="N3171" s="54" t="inlineStr"/>
      <c r="O3171" s="55" t="inlineStr"/>
      <c r="P3171" s="16" t="inlineStr">
        <is>
          <t>Требует обогащения</t>
        </is>
      </c>
      <c r="Q3171" s="16">
        <f>HYPERLINK("https://pb.nalog.ru/search.html?query=5030033838","ФНС: проверить")</f>
        <v/>
      </c>
      <c r="R3171" s="16">
        <f>HYPERLINK("https://checko.ru/search?query=3801001629","Чекко: проверить")</f>
        <v/>
      </c>
      <c r="S3171" t="n">
        <v>1</v>
      </c>
      <c r="T3171" s="35" t="inlineStr">
        <is>
          <t>4 — Не обогащён</t>
        </is>
      </c>
      <c r="U3171" s="35" t="inlineStr">
        <is>
          <t>Нет ОКВЭД/ССЧР</t>
        </is>
      </c>
      <c r="V3171" s="35" t="inlineStr">
        <is>
          <t>Не определено</t>
        </is>
      </c>
      <c r="W3171" s="35" t="inlineStr"/>
      <c r="X3171" s="35" t="inlineStr"/>
    </row>
    <row r="3172" ht="41.25" customHeight="1" s="24">
      <c r="A3172" s="13" t="n">
        <v>5000120022</v>
      </c>
      <c r="B3172" s="13" t="inlineStr">
        <is>
          <t>Муниципальное автономное учреждение дополнительного образования «Детская школа искусств «Элегия»</t>
        </is>
      </c>
      <c r="C3172" s="13" t="n">
        <v>5030033820</v>
      </c>
      <c r="D3172" s="13" t="inlineStr">
        <is>
          <t>5030033820</t>
        </is>
      </c>
      <c r="E3172" s="13" t="inlineStr">
        <is>
          <t>ЮЛ РФ</t>
        </is>
      </c>
      <c r="F3172" s="13" t="n"/>
      <c r="G3172" s="14" t="n"/>
      <c r="H3172" s="14" t="n"/>
      <c r="I3172" s="14" t="n"/>
      <c r="J3172" s="14" t="n"/>
      <c r="K3172" s="53" t="inlineStr"/>
      <c r="L3172" s="53" t="inlineStr">
        <is>
          <t>Не определено</t>
        </is>
      </c>
      <c r="M3172" s="53" t="inlineStr"/>
      <c r="N3172" s="54" t="inlineStr"/>
      <c r="O3172" s="55" t="inlineStr"/>
      <c r="P3172" s="16" t="inlineStr">
        <is>
          <t>Требует обогащения</t>
        </is>
      </c>
      <c r="Q3172" s="16">
        <f>HYPERLINK("https://pb.nalog.ru/search.html?query=5030033820","ФНС: проверить")</f>
        <v/>
      </c>
      <c r="R3172" s="16">
        <f>HYPERLINK("https://checko.ru/search?query=3801001629","Чекко: проверить")</f>
        <v/>
      </c>
      <c r="S3172" t="n">
        <v>1</v>
      </c>
      <c r="T3172" s="35" t="inlineStr">
        <is>
          <t>4 — Не обогащён</t>
        </is>
      </c>
      <c r="U3172" s="35" t="inlineStr">
        <is>
          <t>Нет ОКВЭД/ССЧР</t>
        </is>
      </c>
      <c r="V3172" s="35" t="inlineStr">
        <is>
          <t>Не определено</t>
        </is>
      </c>
      <c r="W3172" s="35" t="inlineStr"/>
      <c r="X3172" s="35" t="inlineStr"/>
    </row>
    <row r="3173" ht="41.25" customHeight="1" s="24">
      <c r="A3173" s="13" t="n">
        <v>5000120024</v>
      </c>
      <c r="B3173" s="13" t="inlineStr">
        <is>
          <t>Муниципальное бюджетное учреждение культуры «Центральная библиотека Наро-Фоминского городского округа»</t>
        </is>
      </c>
      <c r="C3173" s="13" t="n">
        <v>5030033891</v>
      </c>
      <c r="D3173" s="13" t="inlineStr">
        <is>
          <t>5030033891</t>
        </is>
      </c>
      <c r="E3173" s="13" t="inlineStr">
        <is>
          <t>ЮЛ РФ</t>
        </is>
      </c>
      <c r="F3173" s="13" t="n"/>
      <c r="G3173" s="14" t="n"/>
      <c r="H3173" s="14" t="n"/>
      <c r="I3173" s="14" t="n"/>
      <c r="J3173" s="14" t="n"/>
      <c r="K3173" s="53" t="inlineStr"/>
      <c r="L3173" s="53" t="inlineStr">
        <is>
          <t>Не определено</t>
        </is>
      </c>
      <c r="M3173" s="53" t="inlineStr"/>
      <c r="N3173" s="54" t="inlineStr"/>
      <c r="O3173" s="55" t="inlineStr"/>
      <c r="P3173" s="16" t="inlineStr">
        <is>
          <t>Требует обогащения</t>
        </is>
      </c>
      <c r="Q3173" s="16">
        <f>HYPERLINK("https://pb.nalog.ru/search.html?query=5030033891","ФНС: проверить")</f>
        <v/>
      </c>
      <c r="R3173" s="16">
        <f>HYPERLINK("https://checko.ru/search?query=3801001629","Чекко: проверить")</f>
        <v/>
      </c>
      <c r="S3173" t="n">
        <v>1</v>
      </c>
      <c r="T3173" s="35" t="inlineStr">
        <is>
          <t>4 — Не обогащён</t>
        </is>
      </c>
      <c r="U3173" s="35" t="inlineStr">
        <is>
          <t>Нет ОКВЭД/ССЧР</t>
        </is>
      </c>
      <c r="V3173" s="35" t="inlineStr">
        <is>
          <t>Не определено</t>
        </is>
      </c>
      <c r="W3173" s="35" t="inlineStr"/>
      <c r="X3173" s="35" t="inlineStr"/>
    </row>
    <row r="3174" ht="41.25" customHeight="1" s="24">
      <c r="A3174" s="13" t="n">
        <v>5000120025</v>
      </c>
      <c r="B3174" s="13" t="inlineStr">
        <is>
          <t>Муниципальное бюджетное учреждение культуры «Наро-Фоминский историко-краеведческий музей»</t>
        </is>
      </c>
      <c r="C3174" s="13" t="n">
        <v>5030031510</v>
      </c>
      <c r="D3174" s="13" t="inlineStr">
        <is>
          <t>5030031510</t>
        </is>
      </c>
      <c r="E3174" s="13" t="inlineStr">
        <is>
          <t>ЮЛ РФ</t>
        </is>
      </c>
      <c r="F3174" s="13" t="n"/>
      <c r="G3174" s="14" t="n"/>
      <c r="H3174" s="14" t="n"/>
      <c r="I3174" s="14" t="n"/>
      <c r="J3174" s="14" t="n"/>
      <c r="K3174" s="53" t="inlineStr"/>
      <c r="L3174" s="53" t="inlineStr">
        <is>
          <t>Не определено</t>
        </is>
      </c>
      <c r="M3174" s="53" t="inlineStr"/>
      <c r="N3174" s="54" t="inlineStr"/>
      <c r="O3174" s="55" t="inlineStr"/>
      <c r="P3174" s="16" t="inlineStr">
        <is>
          <t>Требует обогащения</t>
        </is>
      </c>
      <c r="Q3174" s="16">
        <f>HYPERLINK("https://pb.nalog.ru/search.html?query=5030031510","ФНС: проверить")</f>
        <v/>
      </c>
      <c r="R3174" s="16">
        <f>HYPERLINK("https://checko.ru/search?query=3801001629","Чекко: проверить")</f>
        <v/>
      </c>
      <c r="S3174" t="n">
        <v>1</v>
      </c>
      <c r="T3174" s="35" t="inlineStr">
        <is>
          <t>4 — Не обогащён</t>
        </is>
      </c>
      <c r="U3174" s="35" t="inlineStr">
        <is>
          <t>Нет ОКВЭД/ССЧР</t>
        </is>
      </c>
      <c r="V3174" s="35" t="inlineStr">
        <is>
          <t>Не определено</t>
        </is>
      </c>
      <c r="W3174" s="35" t="inlineStr"/>
      <c r="X3174" s="35" t="inlineStr"/>
    </row>
    <row r="3175" ht="41.25" customHeight="1" s="24">
      <c r="A3175" s="13" t="n">
        <v>5000120026</v>
      </c>
      <c r="B3175" s="13" t="inlineStr">
        <is>
          <t>Комитет по культуре, спорту и работе с молодежью администрации Наро-Фоминского городского округа</t>
        </is>
      </c>
      <c r="C3175" s="13" t="n">
        <v>5030067001</v>
      </c>
      <c r="D3175" s="13" t="inlineStr">
        <is>
          <t>5030067001</t>
        </is>
      </c>
      <c r="E3175" s="13" t="inlineStr">
        <is>
          <t>ЮЛ РФ</t>
        </is>
      </c>
      <c r="F3175" s="13" t="n"/>
      <c r="G3175" s="14" t="n"/>
      <c r="H3175" s="14" t="n"/>
      <c r="I3175" s="14" t="n"/>
      <c r="J3175" s="14" t="n"/>
      <c r="K3175" s="53" t="inlineStr"/>
      <c r="L3175" s="53" t="inlineStr">
        <is>
          <t>Не определено</t>
        </is>
      </c>
      <c r="M3175" s="53" t="inlineStr"/>
      <c r="N3175" s="54" t="inlineStr"/>
      <c r="O3175" s="55" t="inlineStr"/>
      <c r="P3175" s="16" t="inlineStr">
        <is>
          <t>Требует обогащения</t>
        </is>
      </c>
      <c r="Q3175" s="16">
        <f>HYPERLINK("https://pb.nalog.ru/search.html?query=5030067001","ФНС: проверить")</f>
        <v/>
      </c>
      <c r="R3175" s="16">
        <f>HYPERLINK("https://checko.ru/search?query=3801001629","Чекко: проверить")</f>
        <v/>
      </c>
      <c r="S3175" t="n">
        <v>1</v>
      </c>
      <c r="T3175" s="35" t="inlineStr">
        <is>
          <t>4 — Не обогащён</t>
        </is>
      </c>
      <c r="U3175" s="35" t="inlineStr">
        <is>
          <t>Нет ОКВЭД/ССЧР</t>
        </is>
      </c>
      <c r="V3175" s="35" t="inlineStr">
        <is>
          <t>Не определено</t>
        </is>
      </c>
      <c r="W3175" s="35" t="inlineStr"/>
      <c r="X3175" s="35" t="inlineStr"/>
    </row>
    <row r="3176" ht="27.75" customHeight="1" s="24">
      <c r="A3176" s="13" t="n">
        <v>5000120035</v>
      </c>
      <c r="B3176" s="13" t="inlineStr">
        <is>
          <t>Муниципальное бюджетное учреждение культуры городской дом культуры «Верея»</t>
        </is>
      </c>
      <c r="C3176" s="13" t="n">
        <v>5030033806</v>
      </c>
      <c r="D3176" s="13" t="inlineStr">
        <is>
          <t>5030033806</t>
        </is>
      </c>
      <c r="E3176" s="13" t="inlineStr">
        <is>
          <t>ЮЛ РФ</t>
        </is>
      </c>
      <c r="F3176" s="13" t="n"/>
      <c r="G3176" s="14" t="n"/>
      <c r="H3176" s="14" t="n"/>
      <c r="I3176" s="14" t="n"/>
      <c r="J3176" s="14" t="n"/>
      <c r="K3176" s="53" t="inlineStr"/>
      <c r="L3176" s="53" t="inlineStr">
        <is>
          <t>Не определено</t>
        </is>
      </c>
      <c r="M3176" s="53" t="inlineStr"/>
      <c r="N3176" s="54" t="inlineStr"/>
      <c r="O3176" s="55" t="inlineStr"/>
      <c r="P3176" s="16" t="inlineStr">
        <is>
          <t>Требует обогащения</t>
        </is>
      </c>
      <c r="Q3176" s="16">
        <f>HYPERLINK("https://pb.nalog.ru/search.html?query=5030033806","ФНС: проверить")</f>
        <v/>
      </c>
      <c r="R3176" s="16">
        <f>HYPERLINK("https://checko.ru/search?query=3801001629","Чекко: проверить")</f>
        <v/>
      </c>
      <c r="S3176" t="n">
        <v>1</v>
      </c>
      <c r="T3176" s="35" t="inlineStr">
        <is>
          <t>4 — Не обогащён</t>
        </is>
      </c>
      <c r="U3176" s="35" t="inlineStr">
        <is>
          <t>Нет ОКВЭД/ССЧР</t>
        </is>
      </c>
      <c r="V3176" s="35" t="inlineStr">
        <is>
          <t>Не определено</t>
        </is>
      </c>
      <c r="W3176" s="35" t="inlineStr"/>
      <c r="X3176" s="35" t="inlineStr"/>
    </row>
    <row r="3177" ht="27.75" customHeight="1" s="24">
      <c r="A3177" s="13" t="n">
        <v>5000120037</v>
      </c>
      <c r="B3177" s="13" t="inlineStr">
        <is>
          <t>Муниципальное бюджетное учреждение культуры «Верейская библиотека»</t>
        </is>
      </c>
      <c r="C3177" s="13" t="n">
        <v>5030067266</v>
      </c>
      <c r="D3177" s="13" t="inlineStr">
        <is>
          <t>5030067266</t>
        </is>
      </c>
      <c r="E3177" s="13" t="inlineStr">
        <is>
          <t>ЮЛ РФ</t>
        </is>
      </c>
      <c r="F3177" s="13" t="n"/>
      <c r="G3177" s="14" t="n"/>
      <c r="H3177" s="14" t="n"/>
      <c r="I3177" s="14" t="n"/>
      <c r="J3177" s="14" t="n"/>
      <c r="K3177" s="53" t="inlineStr"/>
      <c r="L3177" s="53" t="inlineStr">
        <is>
          <t>Не определено</t>
        </is>
      </c>
      <c r="M3177" s="53" t="inlineStr"/>
      <c r="N3177" s="54" t="inlineStr"/>
      <c r="O3177" s="55" t="inlineStr"/>
      <c r="P3177" s="16" t="inlineStr">
        <is>
          <t>Требует обогащения</t>
        </is>
      </c>
      <c r="Q3177" s="16">
        <f>HYPERLINK("https://pb.nalog.ru/search.html?query=5030067266","ФНС: проверить")</f>
        <v/>
      </c>
      <c r="R3177" s="16">
        <f>HYPERLINK("https://checko.ru/search?query=3801001629","Чекко: проверить")</f>
        <v/>
      </c>
      <c r="S3177" t="n">
        <v>1</v>
      </c>
      <c r="T3177" s="35" t="inlineStr">
        <is>
          <t>4 — Не обогащён</t>
        </is>
      </c>
      <c r="U3177" s="35" t="inlineStr">
        <is>
          <t>Нет ОКВЭД/ССЧР</t>
        </is>
      </c>
      <c r="V3177" s="35" t="inlineStr">
        <is>
          <t>Не определено</t>
        </is>
      </c>
      <c r="W3177" s="35" t="inlineStr"/>
      <c r="X3177" s="35" t="inlineStr"/>
    </row>
    <row r="3178" ht="41.25" customHeight="1" s="24">
      <c r="A3178" s="13" t="n">
        <v>5000120016</v>
      </c>
      <c r="B3178" s="13" t="inlineStr">
        <is>
          <t>Муниципальное казенное учреждение «Единая дежурно-диспетчерская служба-112 Наро-Фоминского городского округа»</t>
        </is>
      </c>
      <c r="C3178" s="13" t="n">
        <v>5030086639</v>
      </c>
      <c r="D3178" s="13" t="inlineStr">
        <is>
          <t>5030086639</t>
        </is>
      </c>
      <c r="E3178" s="13" t="inlineStr">
        <is>
          <t>ЮЛ РФ</t>
        </is>
      </c>
      <c r="F3178" s="13" t="n"/>
      <c r="G3178" s="14" t="n"/>
      <c r="H3178" s="14" t="n"/>
      <c r="I3178" s="14" t="n"/>
      <c r="J3178" s="14" t="n"/>
      <c r="K3178" s="53" t="inlineStr"/>
      <c r="L3178" s="53" t="inlineStr">
        <is>
          <t>Не определено</t>
        </is>
      </c>
      <c r="M3178" s="53" t="inlineStr"/>
      <c r="N3178" s="54" t="inlineStr"/>
      <c r="O3178" s="55" t="inlineStr"/>
      <c r="P3178" s="16" t="inlineStr">
        <is>
          <t>Требует обогащения</t>
        </is>
      </c>
      <c r="Q3178" s="16">
        <f>HYPERLINK("https://pb.nalog.ru/search.html?query=5030086639","ФНС: проверить")</f>
        <v/>
      </c>
      <c r="R3178" s="16">
        <f>HYPERLINK("https://checko.ru/search?query=3801001629","Чекко: проверить")</f>
        <v/>
      </c>
      <c r="S3178" t="n">
        <v>1</v>
      </c>
      <c r="T3178" s="35" t="inlineStr">
        <is>
          <t>4 — Не обогащён</t>
        </is>
      </c>
      <c r="U3178" s="35" t="inlineStr">
        <is>
          <t>Нет ОКВЭД/ССЧР</t>
        </is>
      </c>
      <c r="V3178" s="35" t="inlineStr">
        <is>
          <t>Не определено</t>
        </is>
      </c>
      <c r="W3178" s="35" t="inlineStr"/>
      <c r="X3178" s="35" t="inlineStr"/>
    </row>
    <row r="3179" ht="41.25" customHeight="1" s="24">
      <c r="A3179" s="13" t="n">
        <v>5000120013</v>
      </c>
      <c r="B3179" s="13" t="inlineStr">
        <is>
          <t>МУНИЦИПАЛЬНОЕ БЮДЖЕТНОЕ УЧРЕЖДЕНИЕ "БЛАГОУСТРОЙСТВО И ДОРОЖНОЕ ХОЗЯЙСТВО ВЕРЕЯ"</t>
        </is>
      </c>
      <c r="C3179" s="13" t="n">
        <v>5030090956</v>
      </c>
      <c r="D3179" s="13" t="inlineStr">
        <is>
          <t>5030090956</t>
        </is>
      </c>
      <c r="E3179" s="13" t="inlineStr">
        <is>
          <t>ЮЛ РФ</t>
        </is>
      </c>
      <c r="F3179" s="13" t="n"/>
      <c r="G3179" s="14" t="n"/>
      <c r="H3179" s="14" t="n"/>
      <c r="I3179" s="14" t="n"/>
      <c r="J3179" s="14" t="n"/>
      <c r="K3179" s="53" t="inlineStr"/>
      <c r="L3179" s="53" t="inlineStr">
        <is>
          <t>Не определено</t>
        </is>
      </c>
      <c r="M3179" s="53" t="inlineStr"/>
      <c r="N3179" s="54" t="inlineStr"/>
      <c r="O3179" s="55" t="inlineStr"/>
      <c r="P3179" s="16" t="inlineStr">
        <is>
          <t>Требует обогащения</t>
        </is>
      </c>
      <c r="Q3179" s="16">
        <f>HYPERLINK("https://pb.nalog.ru/search.html?query=5030090956","ФНС: проверить")</f>
        <v/>
      </c>
      <c r="R3179" s="16">
        <f>HYPERLINK("https://checko.ru/search?query=3801001629","Чекко: проверить")</f>
        <v/>
      </c>
      <c r="S3179" t="n">
        <v>1</v>
      </c>
      <c r="T3179" s="35" t="inlineStr">
        <is>
          <t>4 — Не обогащён</t>
        </is>
      </c>
      <c r="U3179" s="35" t="inlineStr">
        <is>
          <t>Нет ОКВЭД/ССЧР</t>
        </is>
      </c>
      <c r="V3179" s="35" t="inlineStr">
        <is>
          <t>Не определено</t>
        </is>
      </c>
      <c r="W3179" s="35" t="inlineStr"/>
      <c r="X3179" s="35" t="inlineStr"/>
    </row>
    <row r="3180" ht="41.25" customHeight="1" s="24">
      <c r="A3180" s="13" t="n">
        <v>5000122356</v>
      </c>
      <c r="B3180" s="13" t="inlineStr">
        <is>
          <t>МУНИЦИПАЛЬНОЕ КАЗЕННОЕ УЧРЕЖДЕНИЕ "ЦЕНТР МУНИЦИПАЛЬНЫХ ЗАКУПОК СЕРГИЕВО-ПОСАДСКОГО ГОРОДСКОГО ОКРУГА"</t>
        </is>
      </c>
      <c r="C3180" s="13" t="n">
        <v>5042138345</v>
      </c>
      <c r="D3180" s="13" t="inlineStr">
        <is>
          <t>5042138345</t>
        </is>
      </c>
      <c r="E3180" s="13" t="inlineStr">
        <is>
          <t>ЮЛ РФ</t>
        </is>
      </c>
      <c r="F3180" s="13" t="n"/>
      <c r="G3180" s="14" t="n"/>
      <c r="H3180" s="14" t="n"/>
      <c r="I3180" s="14" t="n"/>
      <c r="J3180" s="14" t="n"/>
      <c r="K3180" s="53" t="inlineStr"/>
      <c r="L3180" s="53" t="inlineStr">
        <is>
          <t>Не определено</t>
        </is>
      </c>
      <c r="M3180" s="53" t="inlineStr"/>
      <c r="N3180" s="54" t="inlineStr"/>
      <c r="O3180" s="55" t="inlineStr"/>
      <c r="P3180" s="16" t="inlineStr">
        <is>
          <t>Требует обогащения</t>
        </is>
      </c>
      <c r="Q3180" s="16">
        <f>HYPERLINK("https://pb.nalog.ru/search.html?query=5042138345","ФНС: проверить")</f>
        <v/>
      </c>
      <c r="R3180" s="16">
        <f>HYPERLINK("https://checko.ru/search?query=3801001629","Чекко: проверить")</f>
        <v/>
      </c>
      <c r="S3180" t="n">
        <v>1</v>
      </c>
      <c r="T3180" s="35" t="inlineStr">
        <is>
          <t>4 — Не обогащён</t>
        </is>
      </c>
      <c r="U3180" s="35" t="inlineStr">
        <is>
          <t>Нет ОКВЭД/ССЧР</t>
        </is>
      </c>
      <c r="V3180" s="35" t="inlineStr">
        <is>
          <t>Не определено</t>
        </is>
      </c>
      <c r="W3180" s="35" t="inlineStr"/>
      <c r="X3180" s="35" t="inlineStr"/>
    </row>
    <row r="3181" ht="27.75" customHeight="1" s="24">
      <c r="A3181" s="13" t="n">
        <v>5000122535</v>
      </c>
      <c r="B3181" s="13" t="inlineStr">
        <is>
          <t>КГКУ "ДИРЕКЦИЯ ПО СТРОИТЕЛЬСТВУ КОМПЛЕКСА СПГ"</t>
        </is>
      </c>
      <c r="C3181" s="13" t="n">
        <v>4100054896</v>
      </c>
      <c r="D3181" s="13" t="inlineStr">
        <is>
          <t>4100054896</t>
        </is>
      </c>
      <c r="E3181" s="13" t="inlineStr">
        <is>
          <t>ЮЛ РФ</t>
        </is>
      </c>
      <c r="F3181" s="13" t="n"/>
      <c r="G3181" s="14" t="n"/>
      <c r="H3181" s="14" t="n"/>
      <c r="I3181" s="14" t="n"/>
      <c r="J3181" s="14" t="n"/>
      <c r="K3181" s="53" t="inlineStr"/>
      <c r="L3181" s="53" t="inlineStr">
        <is>
          <t>Не определено</t>
        </is>
      </c>
      <c r="M3181" s="53" t="inlineStr"/>
      <c r="N3181" s="54" t="inlineStr"/>
      <c r="O3181" s="55" t="inlineStr"/>
      <c r="P3181" s="16" t="inlineStr">
        <is>
          <t>Требует обогащения</t>
        </is>
      </c>
      <c r="Q3181" s="16">
        <f>HYPERLINK("https://pb.nalog.ru/search.html?query=4100054896","ФНС: проверить")</f>
        <v/>
      </c>
      <c r="R3181" s="16">
        <f>HYPERLINK("https://checko.ru/search?query=3801001629","Чекко: проверить")</f>
        <v/>
      </c>
      <c r="S3181" t="n">
        <v>1</v>
      </c>
      <c r="T3181" s="35" t="inlineStr">
        <is>
          <t>4 — Не обогащён</t>
        </is>
      </c>
      <c r="U3181" s="35" t="inlineStr">
        <is>
          <t>Нет ОКВЭД/ССЧР</t>
        </is>
      </c>
      <c r="V3181" s="35" t="inlineStr">
        <is>
          <t>Не определено</t>
        </is>
      </c>
      <c r="W3181" s="35" t="inlineStr"/>
      <c r="X3181" s="35" t="inlineStr"/>
    </row>
    <row r="3182" ht="15" customHeight="1" s="24">
      <c r="A3182" s="13" t="n">
        <v>5000122384</v>
      </c>
      <c r="B3182" s="13" t="inlineStr">
        <is>
          <t>Школа №25 Сергиев Посад</t>
        </is>
      </c>
      <c r="C3182" s="13" t="n">
        <v>5042067905</v>
      </c>
      <c r="D3182" s="13" t="inlineStr">
        <is>
          <t>5042067905</t>
        </is>
      </c>
      <c r="E3182" s="13" t="inlineStr">
        <is>
          <t>ЮЛ РФ</t>
        </is>
      </c>
      <c r="F3182" s="13" t="n"/>
      <c r="G3182" s="14" t="n"/>
      <c r="H3182" s="14" t="n"/>
      <c r="I3182" s="14" t="n"/>
      <c r="J3182" s="14" t="n"/>
      <c r="K3182" s="53" t="inlineStr"/>
      <c r="L3182" s="53" t="inlineStr">
        <is>
          <t>Не определено</t>
        </is>
      </c>
      <c r="M3182" s="53" t="inlineStr"/>
      <c r="N3182" s="54" t="inlineStr"/>
      <c r="O3182" s="55" t="inlineStr"/>
      <c r="P3182" s="16" t="inlineStr">
        <is>
          <t>Требует обогащения</t>
        </is>
      </c>
      <c r="Q3182" s="16">
        <f>HYPERLINK("https://pb.nalog.ru/search.html?query=5042067905","ФНС: проверить")</f>
        <v/>
      </c>
      <c r="R3182" s="16">
        <f>HYPERLINK("https://checko.ru/search?query=3801001629","Чекко: проверить")</f>
        <v/>
      </c>
      <c r="S3182" t="n">
        <v>1</v>
      </c>
      <c r="T3182" s="35" t="inlineStr">
        <is>
          <t>4 — Не обогащён</t>
        </is>
      </c>
      <c r="U3182" s="35" t="inlineStr">
        <is>
          <t>Нет ОКВЭД/ССЧР</t>
        </is>
      </c>
      <c r="V3182" s="35" t="inlineStr">
        <is>
          <t>Не определено</t>
        </is>
      </c>
      <c r="W3182" s="35" t="inlineStr"/>
      <c r="X3182" s="35" t="inlineStr"/>
    </row>
    <row r="3183" ht="15" customHeight="1" s="24">
      <c r="A3183" s="13" t="n">
        <v>5000088788</v>
      </c>
      <c r="B3183" s="13" t="inlineStr">
        <is>
          <t>Дума Осинского муниципального  района</t>
        </is>
      </c>
      <c r="C3183" s="13" t="n">
        <v>8505006400</v>
      </c>
      <c r="D3183" s="13" t="inlineStr">
        <is>
          <t>8505006400</t>
        </is>
      </c>
      <c r="E3183" s="13" t="inlineStr">
        <is>
          <t>ЮЛ РФ</t>
        </is>
      </c>
      <c r="F3183" s="13" t="n"/>
      <c r="G3183" s="14" t="n"/>
      <c r="H3183" s="14" t="n"/>
      <c r="I3183" s="14" t="n"/>
      <c r="J3183" s="14" t="n"/>
      <c r="K3183" s="53" t="inlineStr"/>
      <c r="L3183" s="53" t="inlineStr">
        <is>
          <t>Не определено</t>
        </is>
      </c>
      <c r="M3183" s="53" t="inlineStr"/>
      <c r="N3183" s="54" t="inlineStr"/>
      <c r="O3183" s="55" t="inlineStr"/>
      <c r="P3183" s="16" t="inlineStr">
        <is>
          <t>Требует обогащения</t>
        </is>
      </c>
      <c r="Q3183" s="16">
        <f>HYPERLINK("https://pb.nalog.ru/search.html?query=8505006400","ФНС: проверить")</f>
        <v/>
      </c>
      <c r="R3183" s="16">
        <f>HYPERLINK("https://checko.ru/search?query=3801001629","Чекко: проверить")</f>
        <v/>
      </c>
      <c r="S3183" t="n">
        <v>1</v>
      </c>
      <c r="T3183" s="35" t="inlineStr">
        <is>
          <t>4 — Не обогащён</t>
        </is>
      </c>
      <c r="U3183" s="35" t="inlineStr">
        <is>
          <t>Нет ОКВЭД/ССЧР</t>
        </is>
      </c>
      <c r="V3183" s="35" t="inlineStr">
        <is>
          <t>Не определено</t>
        </is>
      </c>
      <c r="W3183" s="35" t="inlineStr"/>
      <c r="X3183" s="35" t="inlineStr"/>
    </row>
    <row r="3184" ht="27.75" customHeight="1" s="24">
      <c r="A3184" s="13" t="n">
        <v>5000088789</v>
      </c>
      <c r="B3184" s="13" t="inlineStr">
        <is>
          <t>Отдел по управлению имуществом Осинского муниципального района</t>
        </is>
      </c>
      <c r="C3184" s="13" t="n">
        <v>8505003304</v>
      </c>
      <c r="D3184" s="13" t="inlineStr">
        <is>
          <t>8505003304</t>
        </is>
      </c>
      <c r="E3184" s="13" t="inlineStr">
        <is>
          <t>ЮЛ РФ</t>
        </is>
      </c>
      <c r="F3184" s="13" t="n"/>
      <c r="G3184" s="14" t="n"/>
      <c r="H3184" s="14" t="n"/>
      <c r="I3184" s="14" t="n"/>
      <c r="J3184" s="14" t="n"/>
      <c r="K3184" s="53" t="inlineStr"/>
      <c r="L3184" s="53" t="inlineStr">
        <is>
          <t>Не определено</t>
        </is>
      </c>
      <c r="M3184" s="53" t="inlineStr"/>
      <c r="N3184" s="54" t="inlineStr"/>
      <c r="O3184" s="55" t="inlineStr"/>
      <c r="P3184" s="16" t="inlineStr">
        <is>
          <t>Требует обогащения</t>
        </is>
      </c>
      <c r="Q3184" s="16">
        <f>HYPERLINK("https://pb.nalog.ru/search.html?query=8505003304","ФНС: проверить")</f>
        <v/>
      </c>
      <c r="R3184" s="16">
        <f>HYPERLINK("https://checko.ru/search?query=3801001629","Чекко: проверить")</f>
        <v/>
      </c>
      <c r="S3184" t="n">
        <v>1</v>
      </c>
      <c r="T3184" s="35" t="inlineStr">
        <is>
          <t>4 — Не обогащён</t>
        </is>
      </c>
      <c r="U3184" s="35" t="inlineStr">
        <is>
          <t>Нет ОКВЭД/ССЧР</t>
        </is>
      </c>
      <c r="V3184" s="35" t="inlineStr">
        <is>
          <t>Не определено</t>
        </is>
      </c>
      <c r="W3184" s="35" t="inlineStr"/>
      <c r="X3184" s="35" t="inlineStr"/>
    </row>
    <row r="3185" ht="27.75" customHeight="1" s="24">
      <c r="A3185" s="13" t="n">
        <v>5000088790</v>
      </c>
      <c r="B3185" s="13" t="inlineStr">
        <is>
          <t>Контрольно-счетная палата Осинского муниципального района</t>
        </is>
      </c>
      <c r="C3185" s="13" t="n">
        <v>3849080361</v>
      </c>
      <c r="D3185" s="13" t="inlineStr">
        <is>
          <t>3849080361</t>
        </is>
      </c>
      <c r="E3185" s="13" t="inlineStr">
        <is>
          <t>ЮЛ РФ</t>
        </is>
      </c>
      <c r="F3185" s="13" t="n"/>
      <c r="G3185" s="14" t="n"/>
      <c r="H3185" s="14" t="n"/>
      <c r="I3185" s="14" t="n"/>
      <c r="J3185" s="14" t="n"/>
      <c r="K3185" s="53" t="inlineStr"/>
      <c r="L3185" s="53" t="inlineStr">
        <is>
          <t>Не определено</t>
        </is>
      </c>
      <c r="M3185" s="53" t="inlineStr"/>
      <c r="N3185" s="54" t="inlineStr"/>
      <c r="O3185" s="55" t="inlineStr"/>
      <c r="P3185" s="16" t="inlineStr">
        <is>
          <t>Требует обогащения</t>
        </is>
      </c>
      <c r="Q3185" s="16">
        <f>HYPERLINK("https://pb.nalog.ru/search.html?query=3849080361","ФНС: проверить")</f>
        <v/>
      </c>
      <c r="R3185" s="16">
        <f>HYPERLINK("https://checko.ru/search?query=3801001629","Чекко: проверить")</f>
        <v/>
      </c>
      <c r="S3185" t="n">
        <v>1</v>
      </c>
      <c r="T3185" s="35" t="inlineStr">
        <is>
          <t>4 — Не обогащён</t>
        </is>
      </c>
      <c r="U3185" s="35" t="inlineStr">
        <is>
          <t>Нет ОКВЭД/ССЧР</t>
        </is>
      </c>
      <c r="V3185" s="35" t="inlineStr">
        <is>
          <t>Не определено</t>
        </is>
      </c>
      <c r="W3185" s="35" t="inlineStr"/>
      <c r="X3185" s="35" t="inlineStr"/>
    </row>
    <row r="3186" ht="27.75" customHeight="1" s="24">
      <c r="A3186" s="13" t="n">
        <v>5000088791</v>
      </c>
      <c r="B3186" s="13" t="inlineStr">
        <is>
          <t>МКУ "Управление культуры Осинского муниципального района</t>
        </is>
      </c>
      <c r="C3186" s="13" t="n">
        <v>8505000776</v>
      </c>
      <c r="D3186" s="13" t="inlineStr">
        <is>
          <t>8505000776</t>
        </is>
      </c>
      <c r="E3186" s="13" t="inlineStr">
        <is>
          <t>ЮЛ РФ</t>
        </is>
      </c>
      <c r="F3186" s="13" t="n"/>
      <c r="G3186" s="14" t="n"/>
      <c r="H3186" s="14" t="n"/>
      <c r="I3186" s="14" t="n"/>
      <c r="J3186" s="14" t="n"/>
      <c r="K3186" s="53" t="inlineStr"/>
      <c r="L3186" s="53" t="inlineStr">
        <is>
          <t>Не определено</t>
        </is>
      </c>
      <c r="M3186" s="53" t="inlineStr"/>
      <c r="N3186" s="54" t="inlineStr"/>
      <c r="O3186" s="55" t="inlineStr"/>
      <c r="P3186" s="16" t="inlineStr">
        <is>
          <t>Требует обогащения</t>
        </is>
      </c>
      <c r="Q3186" s="16">
        <f>HYPERLINK("https://pb.nalog.ru/search.html?query=8505000776","ФНС: проверить")</f>
        <v/>
      </c>
      <c r="R3186" s="16">
        <f>HYPERLINK("https://checko.ru/search?query=3801001629","Чекко: проверить")</f>
        <v/>
      </c>
      <c r="S3186" t="n">
        <v>1</v>
      </c>
      <c r="T3186" s="35" t="inlineStr">
        <is>
          <t>4 — Не обогащён</t>
        </is>
      </c>
      <c r="U3186" s="35" t="inlineStr">
        <is>
          <t>Нет ОКВЭД/ССЧР</t>
        </is>
      </c>
      <c r="V3186" s="35" t="inlineStr">
        <is>
          <t>Не определено</t>
        </is>
      </c>
      <c r="W3186" s="35" t="inlineStr"/>
      <c r="X3186" s="35" t="inlineStr"/>
    </row>
    <row r="3187" ht="15" customHeight="1" s="24">
      <c r="A3187" s="13" t="n">
        <v>5000088793</v>
      </c>
      <c r="B3187" s="13" t="inlineStr">
        <is>
          <t>МКУ "Межпоселенческая библиотека"</t>
        </is>
      </c>
      <c r="C3187" s="13" t="n">
        <v>8505006880</v>
      </c>
      <c r="D3187" s="13" t="inlineStr">
        <is>
          <t>8505006880</t>
        </is>
      </c>
      <c r="E3187" s="13" t="inlineStr">
        <is>
          <t>ЮЛ РФ</t>
        </is>
      </c>
      <c r="F3187" s="13" t="n"/>
      <c r="G3187" s="14" t="n"/>
      <c r="H3187" s="14" t="n"/>
      <c r="I3187" s="14" t="n"/>
      <c r="J3187" s="14" t="n"/>
      <c r="K3187" s="53" t="inlineStr"/>
      <c r="L3187" s="53" t="inlineStr">
        <is>
          <t>Не определено</t>
        </is>
      </c>
      <c r="M3187" s="53" t="inlineStr"/>
      <c r="N3187" s="54" t="inlineStr"/>
      <c r="O3187" s="55" t="inlineStr"/>
      <c r="P3187" s="16" t="inlineStr">
        <is>
          <t>Требует обогащения</t>
        </is>
      </c>
      <c r="Q3187" s="16">
        <f>HYPERLINK("https://pb.nalog.ru/search.html?query=8505006880","ФНС: проверить")</f>
        <v/>
      </c>
      <c r="R3187" s="16">
        <f>HYPERLINK("https://checko.ru/search?query=3801001629","Чекко: проверить")</f>
        <v/>
      </c>
      <c r="S3187" t="n">
        <v>1</v>
      </c>
      <c r="T3187" s="35" t="inlineStr">
        <is>
          <t>4 — Не обогащён</t>
        </is>
      </c>
      <c r="U3187" s="35" t="inlineStr">
        <is>
          <t>Нет ОКВЭД/ССЧР</t>
        </is>
      </c>
      <c r="V3187" s="35" t="inlineStr">
        <is>
          <t>Не определено</t>
        </is>
      </c>
      <c r="W3187" s="35" t="inlineStr"/>
      <c r="X3187" s="35" t="inlineStr"/>
    </row>
    <row r="3188" ht="15" customHeight="1" s="24">
      <c r="A3188" s="13" t="n">
        <v>5000088794</v>
      </c>
      <c r="B3188" s="13" t="inlineStr">
        <is>
          <t>МБУК "Осинский МПДК"</t>
        </is>
      </c>
      <c r="C3188" s="13" t="n">
        <v>3849010710</v>
      </c>
      <c r="D3188" s="13" t="inlineStr">
        <is>
          <t>3849010710</t>
        </is>
      </c>
      <c r="E3188" s="13" t="inlineStr">
        <is>
          <t>ЮЛ РФ</t>
        </is>
      </c>
      <c r="F3188" s="13" t="n"/>
      <c r="G3188" s="14" t="n"/>
      <c r="H3188" s="14" t="n"/>
      <c r="I3188" s="14" t="n"/>
      <c r="J3188" s="14" t="n"/>
      <c r="K3188" s="53" t="inlineStr"/>
      <c r="L3188" s="53" t="inlineStr">
        <is>
          <t>Не определено</t>
        </is>
      </c>
      <c r="M3188" s="53" t="inlineStr"/>
      <c r="N3188" s="54" t="inlineStr"/>
      <c r="O3188" s="55" t="inlineStr"/>
      <c r="P3188" s="16" t="inlineStr">
        <is>
          <t>Требует обогащения</t>
        </is>
      </c>
      <c r="Q3188" s="16">
        <f>HYPERLINK("https://pb.nalog.ru/search.html?query=3849010710","ФНС: проверить")</f>
        <v/>
      </c>
      <c r="R3188" s="16">
        <f>HYPERLINK("https://checko.ru/search?query=3801001629","Чекко: проверить")</f>
        <v/>
      </c>
      <c r="S3188" t="n">
        <v>1</v>
      </c>
      <c r="T3188" s="35" t="inlineStr">
        <is>
          <t>4 — Не обогащён</t>
        </is>
      </c>
      <c r="U3188" s="35" t="inlineStr">
        <is>
          <t>Нет ОКВЭД/ССЧР</t>
        </is>
      </c>
      <c r="V3188" s="35" t="inlineStr">
        <is>
          <t>Не определено</t>
        </is>
      </c>
      <c r="W3188" s="35" t="inlineStr"/>
      <c r="X3188" s="35" t="inlineStr"/>
    </row>
    <row r="3189" ht="15" customHeight="1" s="24">
      <c r="A3189" s="13" t="n">
        <v>5000088795</v>
      </c>
      <c r="B3189" s="13" t="inlineStr">
        <is>
          <t>МБУ ДО "Осинская школа искусств"</t>
        </is>
      </c>
      <c r="C3189" s="13" t="n">
        <v>8505003456</v>
      </c>
      <c r="D3189" s="13" t="inlineStr">
        <is>
          <t>8505003456</t>
        </is>
      </c>
      <c r="E3189" s="13" t="inlineStr">
        <is>
          <t>ЮЛ РФ</t>
        </is>
      </c>
      <c r="F3189" s="13" t="n"/>
      <c r="G3189" s="14" t="n"/>
      <c r="H3189" s="14" t="n"/>
      <c r="I3189" s="14" t="n"/>
      <c r="J3189" s="14" t="n"/>
      <c r="K3189" s="53" t="inlineStr"/>
      <c r="L3189" s="53" t="inlineStr">
        <is>
          <t>Не определено</t>
        </is>
      </c>
      <c r="M3189" s="53" t="inlineStr"/>
      <c r="N3189" s="54" t="inlineStr"/>
      <c r="O3189" s="55" t="inlineStr"/>
      <c r="P3189" s="16" t="inlineStr">
        <is>
          <t>Требует обогащения</t>
        </is>
      </c>
      <c r="Q3189" s="16">
        <f>HYPERLINK("https://pb.nalog.ru/search.html?query=8505003456","ФНС: проверить")</f>
        <v/>
      </c>
      <c r="R3189" s="16">
        <f>HYPERLINK("https://checko.ru/search?query=3801001629","Чекко: проверить")</f>
        <v/>
      </c>
      <c r="S3189" t="n">
        <v>1</v>
      </c>
      <c r="T3189" s="35" t="inlineStr">
        <is>
          <t>4 — Не обогащён</t>
        </is>
      </c>
      <c r="U3189" s="35" t="inlineStr">
        <is>
          <t>Нет ОКВЭД/ССЧР</t>
        </is>
      </c>
      <c r="V3189" s="35" t="inlineStr">
        <is>
          <t>Не определено</t>
        </is>
      </c>
      <c r="W3189" s="35" t="inlineStr"/>
      <c r="X3189" s="35" t="inlineStr"/>
    </row>
    <row r="3190" ht="15" customHeight="1" s="24">
      <c r="A3190" s="13" t="n">
        <v>5000088796</v>
      </c>
      <c r="B3190" s="13" t="inlineStr">
        <is>
          <t>Отдел капитального строительства</t>
        </is>
      </c>
      <c r="C3190" s="13" t="n">
        <v>8505006658</v>
      </c>
      <c r="D3190" s="13" t="inlineStr">
        <is>
          <t>8505006658</t>
        </is>
      </c>
      <c r="E3190" s="13" t="inlineStr">
        <is>
          <t>ЮЛ РФ</t>
        </is>
      </c>
      <c r="F3190" s="13" t="n"/>
      <c r="G3190" s="14" t="n"/>
      <c r="H3190" s="14" t="n"/>
      <c r="I3190" s="14" t="n"/>
      <c r="J3190" s="14" t="n"/>
      <c r="K3190" s="53" t="inlineStr"/>
      <c r="L3190" s="53" t="inlineStr">
        <is>
          <t>Не определено</t>
        </is>
      </c>
      <c r="M3190" s="53" t="inlineStr"/>
      <c r="N3190" s="54" t="inlineStr"/>
      <c r="O3190" s="55" t="inlineStr"/>
      <c r="P3190" s="16" t="inlineStr">
        <is>
          <t>Требует обогащения</t>
        </is>
      </c>
      <c r="Q3190" s="16">
        <f>HYPERLINK("https://pb.nalog.ru/search.html?query=8505006658","ФНС: проверить")</f>
        <v/>
      </c>
      <c r="R3190" s="16">
        <f>HYPERLINK("https://checko.ru/search?query=3801001629","Чекко: проверить")</f>
        <v/>
      </c>
      <c r="S3190" t="n">
        <v>1</v>
      </c>
      <c r="T3190" s="35" t="inlineStr">
        <is>
          <t>4 — Не обогащён</t>
        </is>
      </c>
      <c r="U3190" s="35" t="inlineStr">
        <is>
          <t>Нет ОКВЭД/ССЧР</t>
        </is>
      </c>
      <c r="V3190" s="35" t="inlineStr">
        <is>
          <t>Не определено</t>
        </is>
      </c>
      <c r="W3190" s="35" t="inlineStr"/>
      <c r="X3190" s="35" t="inlineStr"/>
    </row>
    <row r="3191" ht="15" customHeight="1" s="24">
      <c r="A3191" s="13" t="n">
        <v>5000088797</v>
      </c>
      <c r="B3191" s="13" t="inlineStr">
        <is>
          <t>Редакция газеты "Знамя Труда"</t>
        </is>
      </c>
      <c r="C3191" s="13" t="n">
        <v>8505000695</v>
      </c>
      <c r="D3191" s="13" t="inlineStr">
        <is>
          <t>8505000695</t>
        </is>
      </c>
      <c r="E3191" s="13" t="inlineStr">
        <is>
          <t>ЮЛ РФ</t>
        </is>
      </c>
      <c r="F3191" s="13" t="n"/>
      <c r="G3191" s="14" t="n"/>
      <c r="H3191" s="14" t="n"/>
      <c r="I3191" s="14" t="n"/>
      <c r="J3191" s="14" t="n"/>
      <c r="K3191" s="53" t="inlineStr"/>
      <c r="L3191" s="53" t="inlineStr">
        <is>
          <t>Не определено</t>
        </is>
      </c>
      <c r="M3191" s="53" t="inlineStr"/>
      <c r="N3191" s="54" t="inlineStr"/>
      <c r="O3191" s="55" t="inlineStr"/>
      <c r="P3191" s="16" t="inlineStr">
        <is>
          <t>Требует обогащения</t>
        </is>
      </c>
      <c r="Q3191" s="16">
        <f>HYPERLINK("https://pb.nalog.ru/search.html?query=8505000695","ФНС: проверить")</f>
        <v/>
      </c>
      <c r="R3191" s="16">
        <f>HYPERLINK("https://checko.ru/search?query=3801001629","Чекко: проверить")</f>
        <v/>
      </c>
      <c r="S3191" t="n">
        <v>1</v>
      </c>
      <c r="T3191" s="35" t="inlineStr">
        <is>
          <t>4 — Не обогащён</t>
        </is>
      </c>
      <c r="U3191" s="35" t="inlineStr">
        <is>
          <t>Нет ОКВЭД/ССЧР</t>
        </is>
      </c>
      <c r="V3191" s="35" t="inlineStr">
        <is>
          <t>Не определено</t>
        </is>
      </c>
      <c r="W3191" s="35" t="inlineStr"/>
      <c r="X3191" s="35" t="inlineStr"/>
    </row>
    <row r="3192" ht="15" customHeight="1" s="24">
      <c r="A3192" s="13" t="n">
        <v>5000088799</v>
      </c>
      <c r="B3192" s="13" t="inlineStr">
        <is>
          <t>МБОУ "Бильчирская СОШ</t>
        </is>
      </c>
      <c r="C3192" s="13" t="n">
        <v>8505001427</v>
      </c>
      <c r="D3192" s="13" t="inlineStr">
        <is>
          <t>8505001427</t>
        </is>
      </c>
      <c r="E3192" s="13" t="inlineStr">
        <is>
          <t>ЮЛ РФ</t>
        </is>
      </c>
      <c r="F3192" s="13" t="n"/>
      <c r="G3192" s="14" t="n"/>
      <c r="H3192" s="14" t="n"/>
      <c r="I3192" s="14" t="n"/>
      <c r="J3192" s="14" t="n"/>
      <c r="K3192" s="53" t="inlineStr"/>
      <c r="L3192" s="53" t="inlineStr">
        <is>
          <t>Не определено</t>
        </is>
      </c>
      <c r="M3192" s="53" t="inlineStr"/>
      <c r="N3192" s="54" t="inlineStr"/>
      <c r="O3192" s="55" t="inlineStr"/>
      <c r="P3192" s="16" t="inlineStr">
        <is>
          <t>Требует обогащения</t>
        </is>
      </c>
      <c r="Q3192" s="16">
        <f>HYPERLINK("https://pb.nalog.ru/search.html?query=8505001427","ФНС: проверить")</f>
        <v/>
      </c>
      <c r="R3192" s="16">
        <f>HYPERLINK("https://checko.ru/search?query=3801001629","Чекко: проверить")</f>
        <v/>
      </c>
      <c r="S3192" t="n">
        <v>1</v>
      </c>
      <c r="T3192" s="35" t="inlineStr">
        <is>
          <t>4 — Не обогащён</t>
        </is>
      </c>
      <c r="U3192" s="35" t="inlineStr">
        <is>
          <t>Нет ОКВЭД/ССЧР</t>
        </is>
      </c>
      <c r="V3192" s="35" t="inlineStr">
        <is>
          <t>Не определено</t>
        </is>
      </c>
      <c r="W3192" s="35" t="inlineStr"/>
      <c r="X3192" s="35" t="inlineStr"/>
    </row>
    <row r="3193" ht="15" customHeight="1" s="24">
      <c r="A3193" s="13" t="n">
        <v>5000088800</v>
      </c>
      <c r="B3193" s="13" t="inlineStr">
        <is>
          <t>МБОУ "Бурят-Янгутская СОШ"</t>
        </is>
      </c>
      <c r="C3193" s="13" t="n">
        <v>8505001385</v>
      </c>
      <c r="D3193" s="13" t="inlineStr">
        <is>
          <t>8505001385</t>
        </is>
      </c>
      <c r="E3193" s="13" t="inlineStr">
        <is>
          <t>ЮЛ РФ</t>
        </is>
      </c>
      <c r="F3193" s="13" t="n"/>
      <c r="G3193" s="14" t="n"/>
      <c r="H3193" s="14" t="n"/>
      <c r="I3193" s="14" t="n"/>
      <c r="J3193" s="14" t="n"/>
      <c r="K3193" s="53" t="inlineStr"/>
      <c r="L3193" s="53" t="inlineStr">
        <is>
          <t>Не определено</t>
        </is>
      </c>
      <c r="M3193" s="53" t="inlineStr"/>
      <c r="N3193" s="54" t="inlineStr"/>
      <c r="O3193" s="55" t="inlineStr"/>
      <c r="P3193" s="16" t="inlineStr">
        <is>
          <t>Требует обогащения</t>
        </is>
      </c>
      <c r="Q3193" s="16">
        <f>HYPERLINK("https://pb.nalog.ru/search.html?query=8505001385","ФНС: проверить")</f>
        <v/>
      </c>
      <c r="R3193" s="16">
        <f>HYPERLINK("https://checko.ru/search?query=3801001629","Чекко: проверить")</f>
        <v/>
      </c>
      <c r="S3193" t="n">
        <v>1</v>
      </c>
      <c r="T3193" s="35" t="inlineStr">
        <is>
          <t>4 — Не обогащён</t>
        </is>
      </c>
      <c r="U3193" s="35" t="inlineStr">
        <is>
          <t>Нет ОКВЭД/ССЧР</t>
        </is>
      </c>
      <c r="V3193" s="35" t="inlineStr">
        <is>
          <t>Не определено</t>
        </is>
      </c>
      <c r="W3193" s="35" t="inlineStr"/>
      <c r="X3193" s="35" t="inlineStr"/>
    </row>
    <row r="3194" ht="15" customHeight="1" s="24">
      <c r="A3194" s="13" t="n">
        <v>5000088801</v>
      </c>
      <c r="B3194" s="13" t="inlineStr">
        <is>
          <t>МБОУ "Ирхидейская СОШ"</t>
        </is>
      </c>
      <c r="C3194" s="13" t="n">
        <v>8505001378</v>
      </c>
      <c r="D3194" s="13" t="inlineStr">
        <is>
          <t>8505001378</t>
        </is>
      </c>
      <c r="E3194" s="13" t="inlineStr">
        <is>
          <t>ЮЛ РФ</t>
        </is>
      </c>
      <c r="F3194" s="13" t="n"/>
      <c r="G3194" s="14" t="n"/>
      <c r="H3194" s="14" t="n"/>
      <c r="I3194" s="14" t="n"/>
      <c r="J3194" s="14" t="n"/>
      <c r="K3194" s="53" t="inlineStr"/>
      <c r="L3194" s="53" t="inlineStr">
        <is>
          <t>Не определено</t>
        </is>
      </c>
      <c r="M3194" s="53" t="inlineStr"/>
      <c r="N3194" s="54" t="inlineStr"/>
      <c r="O3194" s="55" t="inlineStr"/>
      <c r="P3194" s="16" t="inlineStr">
        <is>
          <t>Требует обогащения</t>
        </is>
      </c>
      <c r="Q3194" s="16">
        <f>HYPERLINK("https://pb.nalog.ru/search.html?query=8505001378","ФНС: проверить")</f>
        <v/>
      </c>
      <c r="R3194" s="16">
        <f>HYPERLINK("https://checko.ru/search?query=3801001629","Чекко: проверить")</f>
        <v/>
      </c>
      <c r="S3194" t="n">
        <v>1</v>
      </c>
      <c r="T3194" s="35" t="inlineStr">
        <is>
          <t>4 — Не обогащён</t>
        </is>
      </c>
      <c r="U3194" s="35" t="inlineStr">
        <is>
          <t>Нет ОКВЭД/ССЧР</t>
        </is>
      </c>
      <c r="V3194" s="35" t="inlineStr">
        <is>
          <t>Не определено</t>
        </is>
      </c>
      <c r="W3194" s="35" t="inlineStr"/>
      <c r="X3194" s="35" t="inlineStr"/>
    </row>
    <row r="3195" ht="15" customHeight="1" s="24">
      <c r="A3195" s="13" t="n">
        <v>5000088802</v>
      </c>
      <c r="B3195" s="13" t="inlineStr">
        <is>
          <t>МБОУ "Кахинская СОШ"</t>
        </is>
      </c>
      <c r="C3195" s="13" t="n">
        <v>8505001360</v>
      </c>
      <c r="D3195" s="13" t="inlineStr">
        <is>
          <t>8505001360</t>
        </is>
      </c>
      <c r="E3195" s="13" t="inlineStr">
        <is>
          <t>ЮЛ РФ</t>
        </is>
      </c>
      <c r="F3195" s="13" t="n"/>
      <c r="G3195" s="14" t="n"/>
      <c r="H3195" s="14" t="n"/>
      <c r="I3195" s="14" t="n"/>
      <c r="J3195" s="14" t="n"/>
      <c r="K3195" s="53" t="inlineStr"/>
      <c r="L3195" s="53" t="inlineStr">
        <is>
          <t>Не определено</t>
        </is>
      </c>
      <c r="M3195" s="53" t="inlineStr"/>
      <c r="N3195" s="54" t="inlineStr"/>
      <c r="O3195" s="55" t="inlineStr"/>
      <c r="P3195" s="16" t="inlineStr">
        <is>
          <t>Требует обогащения</t>
        </is>
      </c>
      <c r="Q3195" s="16">
        <f>HYPERLINK("https://pb.nalog.ru/search.html?query=8505001360","ФНС: проверить")</f>
        <v/>
      </c>
      <c r="R3195" s="16">
        <f>HYPERLINK("https://checko.ru/search?query=3801001629","Чекко: проверить")</f>
        <v/>
      </c>
      <c r="S3195" t="n">
        <v>1</v>
      </c>
      <c r="T3195" s="35" t="inlineStr">
        <is>
          <t>4 — Не обогащён</t>
        </is>
      </c>
      <c r="U3195" s="35" t="inlineStr">
        <is>
          <t>Нет ОКВЭД/ССЧР</t>
        </is>
      </c>
      <c r="V3195" s="35" t="inlineStr">
        <is>
          <t>Не определено</t>
        </is>
      </c>
      <c r="W3195" s="35" t="inlineStr"/>
      <c r="X3195" s="35" t="inlineStr"/>
    </row>
    <row r="3196" ht="15" customHeight="1" s="24">
      <c r="A3196" s="13" t="n">
        <v>5000088804</v>
      </c>
      <c r="B3196" s="13" t="inlineStr">
        <is>
          <t>МБОУ "Майская СОШ"</t>
        </is>
      </c>
      <c r="C3196" s="13" t="n">
        <v>8505001321</v>
      </c>
      <c r="D3196" s="13" t="inlineStr">
        <is>
          <t>8505001321</t>
        </is>
      </c>
      <c r="E3196" s="13" t="inlineStr">
        <is>
          <t>ЮЛ РФ</t>
        </is>
      </c>
      <c r="F3196" s="13" t="n"/>
      <c r="G3196" s="14" t="n"/>
      <c r="H3196" s="14" t="n"/>
      <c r="I3196" s="14" t="n"/>
      <c r="J3196" s="14" t="n"/>
      <c r="K3196" s="53" t="inlineStr"/>
      <c r="L3196" s="53" t="inlineStr">
        <is>
          <t>Не определено</t>
        </is>
      </c>
      <c r="M3196" s="53" t="inlineStr"/>
      <c r="N3196" s="54" t="inlineStr"/>
      <c r="O3196" s="55" t="inlineStr"/>
      <c r="P3196" s="16" t="inlineStr">
        <is>
          <t>Требует обогащения</t>
        </is>
      </c>
      <c r="Q3196" s="16">
        <f>HYPERLINK("https://pb.nalog.ru/search.html?query=8505001321","ФНС: проверить")</f>
        <v/>
      </c>
      <c r="R3196" s="16">
        <f>HYPERLINK("https://checko.ru/search?query=3801001629","Чекко: проверить")</f>
        <v/>
      </c>
      <c r="S3196" t="n">
        <v>1</v>
      </c>
      <c r="T3196" s="35" t="inlineStr">
        <is>
          <t>4 — Не обогащён</t>
        </is>
      </c>
      <c r="U3196" s="35" t="inlineStr">
        <is>
          <t>Нет ОКВЭД/ССЧР</t>
        </is>
      </c>
      <c r="V3196" s="35" t="inlineStr">
        <is>
          <t>Не определено</t>
        </is>
      </c>
      <c r="W3196" s="35" t="inlineStr"/>
      <c r="X3196" s="35" t="inlineStr"/>
    </row>
    <row r="3197" ht="15" customHeight="1" s="24">
      <c r="A3197" s="13" t="n">
        <v>5000088805</v>
      </c>
      <c r="B3197" s="13" t="inlineStr">
        <is>
          <t>МБОУ "Мольтинская ООШ"</t>
        </is>
      </c>
      <c r="C3197" s="13" t="n">
        <v>8505002244</v>
      </c>
      <c r="D3197" s="13" t="inlineStr">
        <is>
          <t>8505002244</t>
        </is>
      </c>
      <c r="E3197" s="13" t="inlineStr">
        <is>
          <t>ЮЛ РФ</t>
        </is>
      </c>
      <c r="F3197" s="13" t="n"/>
      <c r="G3197" s="14" t="n"/>
      <c r="H3197" s="14" t="n"/>
      <c r="I3197" s="14" t="n"/>
      <c r="J3197" s="14" t="n"/>
      <c r="K3197" s="53" t="inlineStr"/>
      <c r="L3197" s="53" t="inlineStr">
        <is>
          <t>Не определено</t>
        </is>
      </c>
      <c r="M3197" s="53" t="inlineStr"/>
      <c r="N3197" s="54" t="inlineStr"/>
      <c r="O3197" s="55" t="inlineStr"/>
      <c r="P3197" s="16" t="inlineStr">
        <is>
          <t>Требует обогащения</t>
        </is>
      </c>
      <c r="Q3197" s="16">
        <f>HYPERLINK("https://pb.nalog.ru/search.html?query=8505002244","ФНС: проверить")</f>
        <v/>
      </c>
      <c r="R3197" s="16">
        <f>HYPERLINK("https://checko.ru/search?query=3801001629","Чекко: проверить")</f>
        <v/>
      </c>
      <c r="S3197" t="n">
        <v>1</v>
      </c>
      <c r="T3197" s="35" t="inlineStr">
        <is>
          <t>4 — Не обогащён</t>
        </is>
      </c>
      <c r="U3197" s="35" t="inlineStr">
        <is>
          <t>Нет ОКВЭД/ССЧР</t>
        </is>
      </c>
      <c r="V3197" s="35" t="inlineStr">
        <is>
          <t>Не определено</t>
        </is>
      </c>
      <c r="W3197" s="35" t="inlineStr"/>
      <c r="X3197" s="35" t="inlineStr"/>
    </row>
    <row r="3198" ht="15" customHeight="1" s="24">
      <c r="A3198" s="13" t="n">
        <v>5000088806</v>
      </c>
      <c r="B3198" s="13" t="inlineStr">
        <is>
          <t>МБОУ "Ново-Ленинская СОШ"</t>
        </is>
      </c>
      <c r="C3198" s="13" t="n">
        <v>8505001346</v>
      </c>
      <c r="D3198" s="13" t="inlineStr">
        <is>
          <t>8505001346</t>
        </is>
      </c>
      <c r="E3198" s="13" t="inlineStr">
        <is>
          <t>ЮЛ РФ</t>
        </is>
      </c>
      <c r="F3198" s="13" t="n"/>
      <c r="G3198" s="14" t="n"/>
      <c r="H3198" s="14" t="n"/>
      <c r="I3198" s="14" t="n"/>
      <c r="J3198" s="14" t="n"/>
      <c r="K3198" s="53" t="inlineStr"/>
      <c r="L3198" s="53" t="inlineStr">
        <is>
          <t>Не определено</t>
        </is>
      </c>
      <c r="M3198" s="53" t="inlineStr"/>
      <c r="N3198" s="54" t="inlineStr"/>
      <c r="O3198" s="55" t="inlineStr"/>
      <c r="P3198" s="16" t="inlineStr">
        <is>
          <t>Требует обогащения</t>
        </is>
      </c>
      <c r="Q3198" s="16">
        <f>HYPERLINK("https://pb.nalog.ru/search.html?query=8505001346","ФНС: проверить")</f>
        <v/>
      </c>
      <c r="R3198" s="16">
        <f>HYPERLINK("https://checko.ru/search?query=3801001629","Чекко: проверить")</f>
        <v/>
      </c>
      <c r="S3198" t="n">
        <v>1</v>
      </c>
      <c r="T3198" s="35" t="inlineStr">
        <is>
          <t>4 — Не обогащён</t>
        </is>
      </c>
      <c r="U3198" s="35" t="inlineStr">
        <is>
          <t>Нет ОКВЭД/ССЧР</t>
        </is>
      </c>
      <c r="V3198" s="35" t="inlineStr">
        <is>
          <t>Не определено</t>
        </is>
      </c>
      <c r="W3198" s="35" t="inlineStr"/>
      <c r="X3198" s="35" t="inlineStr"/>
    </row>
    <row r="3199" ht="15" customHeight="1" s="24">
      <c r="A3199" s="13" t="n">
        <v>5000088807</v>
      </c>
      <c r="B3199" s="13" t="inlineStr">
        <is>
          <t>МБОУ "Обусинская СОШ"</t>
        </is>
      </c>
      <c r="C3199" s="13" t="n">
        <v>8505001402</v>
      </c>
      <c r="D3199" s="13" t="inlineStr">
        <is>
          <t>8505001402</t>
        </is>
      </c>
      <c r="E3199" s="13" t="inlineStr">
        <is>
          <t>ЮЛ РФ</t>
        </is>
      </c>
      <c r="F3199" s="13" t="n"/>
      <c r="G3199" s="14" t="n"/>
      <c r="H3199" s="14" t="n"/>
      <c r="I3199" s="14" t="n"/>
      <c r="J3199" s="14" t="n"/>
      <c r="K3199" s="53" t="inlineStr"/>
      <c r="L3199" s="53" t="inlineStr">
        <is>
          <t>Не определено</t>
        </is>
      </c>
      <c r="M3199" s="53" t="inlineStr"/>
      <c r="N3199" s="54" t="inlineStr"/>
      <c r="O3199" s="55" t="inlineStr"/>
      <c r="P3199" s="16" t="inlineStr">
        <is>
          <t>Требует обогащения</t>
        </is>
      </c>
      <c r="Q3199" s="16">
        <f>HYPERLINK("https://pb.nalog.ru/search.html?query=8505001402","ФНС: проверить")</f>
        <v/>
      </c>
      <c r="R3199" s="16">
        <f>HYPERLINK("https://checko.ru/search?query=3801001629","Чекко: проверить")</f>
        <v/>
      </c>
      <c r="S3199" t="n">
        <v>1</v>
      </c>
      <c r="T3199" s="35" t="inlineStr">
        <is>
          <t>4 — Не обогащён</t>
        </is>
      </c>
      <c r="U3199" s="35" t="inlineStr">
        <is>
          <t>Нет ОКВЭД/ССЧР</t>
        </is>
      </c>
      <c r="V3199" s="35" t="inlineStr">
        <is>
          <t>Не определено</t>
        </is>
      </c>
      <c r="W3199" s="35" t="inlineStr"/>
      <c r="X3199" s="35" t="inlineStr"/>
    </row>
    <row r="3200" ht="15" customHeight="1" s="24">
      <c r="A3200" s="13" t="n">
        <v>5000088808</v>
      </c>
      <c r="B3200" s="13" t="inlineStr">
        <is>
          <t>МБОУ "Осинская СОШ № 1"</t>
        </is>
      </c>
      <c r="C3200" s="13" t="n">
        <v>8505001515</v>
      </c>
      <c r="D3200" s="13" t="inlineStr">
        <is>
          <t>8505001515</t>
        </is>
      </c>
      <c r="E3200" s="13" t="inlineStr">
        <is>
          <t>ЮЛ РФ</t>
        </is>
      </c>
      <c r="F3200" s="13" t="n"/>
      <c r="G3200" s="14" t="n"/>
      <c r="H3200" s="14" t="n"/>
      <c r="I3200" s="14" t="n"/>
      <c r="J3200" s="14" t="n"/>
      <c r="K3200" s="53" t="inlineStr"/>
      <c r="L3200" s="53" t="inlineStr">
        <is>
          <t>Не определено</t>
        </is>
      </c>
      <c r="M3200" s="53" t="inlineStr"/>
      <c r="N3200" s="54" t="inlineStr"/>
      <c r="O3200" s="55" t="inlineStr"/>
      <c r="P3200" s="16" t="inlineStr">
        <is>
          <t>Требует обогащения</t>
        </is>
      </c>
      <c r="Q3200" s="16">
        <f>HYPERLINK("https://pb.nalog.ru/search.html?query=8505001515","ФНС: проверить")</f>
        <v/>
      </c>
      <c r="R3200" s="16">
        <f>HYPERLINK("https://checko.ru/search?query=3801001629","Чекко: проверить")</f>
        <v/>
      </c>
      <c r="S3200" t="n">
        <v>1</v>
      </c>
      <c r="T3200" s="35" t="inlineStr">
        <is>
          <t>4 — Не обогащён</t>
        </is>
      </c>
      <c r="U3200" s="35" t="inlineStr">
        <is>
          <t>Нет ОКВЭД/ССЧР</t>
        </is>
      </c>
      <c r="V3200" s="35" t="inlineStr">
        <is>
          <t>Не определено</t>
        </is>
      </c>
      <c r="W3200" s="35" t="inlineStr"/>
      <c r="X3200" s="35" t="inlineStr"/>
    </row>
    <row r="3201" ht="15" customHeight="1" s="24">
      <c r="A3201" s="13" t="n">
        <v>5000088809</v>
      </c>
      <c r="B3201" s="13" t="inlineStr">
        <is>
          <t>МБОУ "Осинская СОШ № 2"</t>
        </is>
      </c>
      <c r="C3201" s="13" t="n">
        <v>8505001339</v>
      </c>
      <c r="D3201" s="13" t="inlineStr">
        <is>
          <t>8505001339</t>
        </is>
      </c>
      <c r="E3201" s="13" t="inlineStr">
        <is>
          <t>ЮЛ РФ</t>
        </is>
      </c>
      <c r="F3201" s="13" t="n"/>
      <c r="G3201" s="14" t="n"/>
      <c r="H3201" s="14" t="n"/>
      <c r="I3201" s="14" t="n"/>
      <c r="J3201" s="14" t="n"/>
      <c r="K3201" s="53" t="inlineStr"/>
      <c r="L3201" s="53" t="inlineStr">
        <is>
          <t>Не определено</t>
        </is>
      </c>
      <c r="M3201" s="53" t="inlineStr"/>
      <c r="N3201" s="54" t="inlineStr"/>
      <c r="O3201" s="55" t="inlineStr"/>
      <c r="P3201" s="16" t="inlineStr">
        <is>
          <t>Требует обогащения</t>
        </is>
      </c>
      <c r="Q3201" s="16">
        <f>HYPERLINK("https://pb.nalog.ru/search.html?query=8505001339","ФНС: проверить")</f>
        <v/>
      </c>
      <c r="R3201" s="16">
        <f>HYPERLINK("https://checko.ru/search?query=3801001629","Чекко: проверить")</f>
        <v/>
      </c>
      <c r="S3201" t="n">
        <v>1</v>
      </c>
      <c r="T3201" s="35" t="inlineStr">
        <is>
          <t>4 — Не обогащён</t>
        </is>
      </c>
      <c r="U3201" s="35" t="inlineStr">
        <is>
          <t>Нет ОКВЭД/ССЧР</t>
        </is>
      </c>
      <c r="V3201" s="35" t="inlineStr">
        <is>
          <t>Не определено</t>
        </is>
      </c>
      <c r="W3201" s="35" t="inlineStr"/>
      <c r="X3201" s="35" t="inlineStr"/>
    </row>
    <row r="3202" ht="15" customHeight="1" s="24">
      <c r="A3202" s="13" t="n">
        <v>5000088810</v>
      </c>
      <c r="B3202" s="13" t="inlineStr">
        <is>
          <t>МБОУ "Приморская СОШ"</t>
        </is>
      </c>
      <c r="C3202" s="13" t="n">
        <v>8505001314</v>
      </c>
      <c r="D3202" s="13" t="inlineStr">
        <is>
          <t>8505001314</t>
        </is>
      </c>
      <c r="E3202" s="13" t="inlineStr">
        <is>
          <t>ЮЛ РФ</t>
        </is>
      </c>
      <c r="F3202" s="13" t="n"/>
      <c r="G3202" s="14" t="n"/>
      <c r="H3202" s="14" t="n"/>
      <c r="I3202" s="14" t="n"/>
      <c r="J3202" s="14" t="n"/>
      <c r="K3202" s="53" t="inlineStr"/>
      <c r="L3202" s="53" t="inlineStr">
        <is>
          <t>Не определено</t>
        </is>
      </c>
      <c r="M3202" s="53" t="inlineStr"/>
      <c r="N3202" s="54" t="inlineStr"/>
      <c r="O3202" s="55" t="inlineStr"/>
      <c r="P3202" s="16" t="inlineStr">
        <is>
          <t>Требует обогащения</t>
        </is>
      </c>
      <c r="Q3202" s="16">
        <f>HYPERLINK("https://pb.nalog.ru/search.html?query=8505001314","ФНС: проверить")</f>
        <v/>
      </c>
      <c r="R3202" s="16">
        <f>HYPERLINK("https://checko.ru/search?query=3801001629","Чекко: проверить")</f>
        <v/>
      </c>
      <c r="S3202" t="n">
        <v>1</v>
      </c>
      <c r="T3202" s="35" t="inlineStr">
        <is>
          <t>4 — Не обогащён</t>
        </is>
      </c>
      <c r="U3202" s="35" t="inlineStr">
        <is>
          <t>Нет ОКВЭД/ССЧР</t>
        </is>
      </c>
      <c r="V3202" s="35" t="inlineStr">
        <is>
          <t>Не определено</t>
        </is>
      </c>
      <c r="W3202" s="35" t="inlineStr"/>
      <c r="X3202" s="35" t="inlineStr"/>
    </row>
    <row r="3203" ht="15" customHeight="1" s="24">
      <c r="A3203" s="13" t="n">
        <v>5000088811</v>
      </c>
      <c r="B3203" s="13" t="inlineStr">
        <is>
          <t>МБОУ "Рассветская ООШ"</t>
        </is>
      </c>
      <c r="C3203" s="13" t="n">
        <v>8505002950</v>
      </c>
      <c r="D3203" s="13" t="inlineStr">
        <is>
          <t>8505002950</t>
        </is>
      </c>
      <c r="E3203" s="13" t="inlineStr">
        <is>
          <t>ЮЛ РФ</t>
        </is>
      </c>
      <c r="F3203" s="13" t="n"/>
      <c r="G3203" s="14" t="n"/>
      <c r="H3203" s="14" t="n"/>
      <c r="I3203" s="14" t="n"/>
      <c r="J3203" s="14" t="n"/>
      <c r="K3203" s="53" t="inlineStr"/>
      <c r="L3203" s="53" t="inlineStr">
        <is>
          <t>Не определено</t>
        </is>
      </c>
      <c r="M3203" s="53" t="inlineStr"/>
      <c r="N3203" s="54" t="inlineStr"/>
      <c r="O3203" s="55" t="inlineStr"/>
      <c r="P3203" s="16" t="inlineStr">
        <is>
          <t>Требует обогащения</t>
        </is>
      </c>
      <c r="Q3203" s="16">
        <f>HYPERLINK("https://pb.nalog.ru/search.html?query=8505002950","ФНС: проверить")</f>
        <v/>
      </c>
      <c r="R3203" s="16">
        <f>HYPERLINK("https://checko.ru/search?query=3801001629","Чекко: проверить")</f>
        <v/>
      </c>
      <c r="S3203" t="n">
        <v>1</v>
      </c>
      <c r="T3203" s="35" t="inlineStr">
        <is>
          <t>4 — Не обогащён</t>
        </is>
      </c>
      <c r="U3203" s="35" t="inlineStr">
        <is>
          <t>Нет ОКВЭД/ССЧР</t>
        </is>
      </c>
      <c r="V3203" s="35" t="inlineStr">
        <is>
          <t>Не определено</t>
        </is>
      </c>
      <c r="W3203" s="35" t="inlineStr"/>
      <c r="X3203" s="35" t="inlineStr"/>
    </row>
    <row r="3204" ht="15" customHeight="1" s="24">
      <c r="A3204" s="13" t="n">
        <v>5000088812</v>
      </c>
      <c r="B3204" s="13" t="inlineStr">
        <is>
          <t>МБОУ "Русско-Янгутская СОШ"</t>
        </is>
      </c>
      <c r="C3204" s="13" t="n">
        <v>8505001434</v>
      </c>
      <c r="D3204" s="13" t="inlineStr">
        <is>
          <t>8505001434</t>
        </is>
      </c>
      <c r="E3204" s="13" t="inlineStr">
        <is>
          <t>ЮЛ РФ</t>
        </is>
      </c>
      <c r="F3204" s="13" t="n"/>
      <c r="G3204" s="14" t="n"/>
      <c r="H3204" s="14" t="n"/>
      <c r="I3204" s="14" t="n"/>
      <c r="J3204" s="14" t="n"/>
      <c r="K3204" s="53" t="inlineStr"/>
      <c r="L3204" s="53" t="inlineStr">
        <is>
          <t>Не определено</t>
        </is>
      </c>
      <c r="M3204" s="53" t="inlineStr"/>
      <c r="N3204" s="54" t="inlineStr"/>
      <c r="O3204" s="55" t="inlineStr"/>
      <c r="P3204" s="16" t="inlineStr">
        <is>
          <t>Требует обогащения</t>
        </is>
      </c>
      <c r="Q3204" s="16">
        <f>HYPERLINK("https://pb.nalog.ru/search.html?query=8505001434","ФНС: проверить")</f>
        <v/>
      </c>
      <c r="R3204" s="16">
        <f>HYPERLINK("https://checko.ru/search?query=3801001629","Чекко: проверить")</f>
        <v/>
      </c>
      <c r="S3204" t="n">
        <v>1</v>
      </c>
      <c r="T3204" s="35" t="inlineStr">
        <is>
          <t>4 — Не обогащён</t>
        </is>
      </c>
      <c r="U3204" s="35" t="inlineStr">
        <is>
          <t>Нет ОКВЭД/ССЧР</t>
        </is>
      </c>
      <c r="V3204" s="35" t="inlineStr">
        <is>
          <t>Не определено</t>
        </is>
      </c>
      <c r="W3204" s="35" t="inlineStr"/>
      <c r="X3204" s="35" t="inlineStr"/>
    </row>
    <row r="3205" ht="15" customHeight="1" s="24">
      <c r="A3205" s="13" t="n">
        <v>5000088813</v>
      </c>
      <c r="B3205" s="13" t="inlineStr">
        <is>
          <t>МБОУ "Улейская СОШ"</t>
        </is>
      </c>
      <c r="C3205" s="13" t="n">
        <v>8505001353</v>
      </c>
      <c r="D3205" s="13" t="inlineStr">
        <is>
          <t>8505001353</t>
        </is>
      </c>
      <c r="E3205" s="13" t="inlineStr">
        <is>
          <t>ЮЛ РФ</t>
        </is>
      </c>
      <c r="F3205" s="13" t="n"/>
      <c r="G3205" s="14" t="n"/>
      <c r="H3205" s="14" t="n"/>
      <c r="I3205" s="14" t="n"/>
      <c r="J3205" s="14" t="n"/>
      <c r="K3205" s="53" t="inlineStr"/>
      <c r="L3205" s="53" t="inlineStr">
        <is>
          <t>Не определено</t>
        </is>
      </c>
      <c r="M3205" s="53" t="inlineStr"/>
      <c r="N3205" s="54" t="inlineStr"/>
      <c r="O3205" s="55" t="inlineStr"/>
      <c r="P3205" s="16" t="inlineStr">
        <is>
          <t>Требует обогащения</t>
        </is>
      </c>
      <c r="Q3205" s="16">
        <f>HYPERLINK("https://pb.nalog.ru/search.html?query=8505001353","ФНС: проверить")</f>
        <v/>
      </c>
      <c r="R3205" s="16">
        <f>HYPERLINK("https://checko.ru/search?query=3801001629","Чекко: проверить")</f>
        <v/>
      </c>
      <c r="S3205" t="n">
        <v>1</v>
      </c>
      <c r="T3205" s="35" t="inlineStr">
        <is>
          <t>4 — Не обогащён</t>
        </is>
      </c>
      <c r="U3205" s="35" t="inlineStr">
        <is>
          <t>Нет ОКВЭД/ССЧР</t>
        </is>
      </c>
      <c r="V3205" s="35" t="inlineStr">
        <is>
          <t>Не определено</t>
        </is>
      </c>
      <c r="W3205" s="35" t="inlineStr"/>
      <c r="X3205" s="35" t="inlineStr"/>
    </row>
    <row r="3206" ht="15" customHeight="1" s="24">
      <c r="A3206" s="13" t="n">
        <v>5000088815</v>
      </c>
      <c r="B3206" s="13" t="inlineStr">
        <is>
          <t>МБДОУ "Бильчирский детский сад"</t>
        </is>
      </c>
      <c r="C3206" s="13" t="n">
        <v>8505003150</v>
      </c>
      <c r="D3206" s="13" t="inlineStr">
        <is>
          <t>8505003150</t>
        </is>
      </c>
      <c r="E3206" s="13" t="inlineStr">
        <is>
          <t>ЮЛ РФ</t>
        </is>
      </c>
      <c r="F3206" s="13" t="n"/>
      <c r="G3206" s="14" t="n"/>
      <c r="H3206" s="14" t="n"/>
      <c r="I3206" s="14" t="n"/>
      <c r="J3206" s="14" t="n"/>
      <c r="K3206" s="53" t="inlineStr"/>
      <c r="L3206" s="53" t="inlineStr">
        <is>
          <t>Не определено</t>
        </is>
      </c>
      <c r="M3206" s="53" t="inlineStr"/>
      <c r="N3206" s="54" t="inlineStr"/>
      <c r="O3206" s="55" t="inlineStr"/>
      <c r="P3206" s="16" t="inlineStr">
        <is>
          <t>Требует обогащения</t>
        </is>
      </c>
      <c r="Q3206" s="16">
        <f>HYPERLINK("https://pb.nalog.ru/search.html?query=8505003150","ФНС: проверить")</f>
        <v/>
      </c>
      <c r="R3206" s="16">
        <f>HYPERLINK("https://checko.ru/search?query=3801001629","Чекко: проверить")</f>
        <v/>
      </c>
      <c r="S3206" t="n">
        <v>1</v>
      </c>
      <c r="T3206" s="35" t="inlineStr">
        <is>
          <t>4 — Не обогащён</t>
        </is>
      </c>
      <c r="U3206" s="35" t="inlineStr">
        <is>
          <t>Нет ОКВЭД/ССЧР</t>
        </is>
      </c>
      <c r="V3206" s="35" t="inlineStr">
        <is>
          <t>Не определено</t>
        </is>
      </c>
      <c r="W3206" s="35" t="inlineStr"/>
      <c r="X3206" s="35" t="inlineStr"/>
    </row>
    <row r="3207" ht="15" customHeight="1" s="24">
      <c r="A3207" s="13" t="n">
        <v>5000088816</v>
      </c>
      <c r="B3207" s="13" t="inlineStr">
        <is>
          <t>МБДОУ "Бурят-Янгутский детский сад"</t>
        </is>
      </c>
      <c r="C3207" s="13" t="n">
        <v>8505003079</v>
      </c>
      <c r="D3207" s="13" t="inlineStr">
        <is>
          <t>8505003079</t>
        </is>
      </c>
      <c r="E3207" s="13" t="inlineStr">
        <is>
          <t>ЮЛ РФ</t>
        </is>
      </c>
      <c r="F3207" s="13" t="n"/>
      <c r="G3207" s="14" t="n"/>
      <c r="H3207" s="14" t="n"/>
      <c r="I3207" s="14" t="n"/>
      <c r="J3207" s="14" t="n"/>
      <c r="K3207" s="53" t="inlineStr"/>
      <c r="L3207" s="53" t="inlineStr">
        <is>
          <t>Не определено</t>
        </is>
      </c>
      <c r="M3207" s="53" t="inlineStr"/>
      <c r="N3207" s="54" t="inlineStr"/>
      <c r="O3207" s="55" t="inlineStr"/>
      <c r="P3207" s="16" t="inlineStr">
        <is>
          <t>Требует обогащения</t>
        </is>
      </c>
      <c r="Q3207" s="16">
        <f>HYPERLINK("https://pb.nalog.ru/search.html?query=8505003079","ФНС: проверить")</f>
        <v/>
      </c>
      <c r="R3207" s="16">
        <f>HYPERLINK("https://checko.ru/search?query=3801001629","Чекко: проверить")</f>
        <v/>
      </c>
      <c r="S3207" t="n">
        <v>1</v>
      </c>
      <c r="T3207" s="35" t="inlineStr">
        <is>
          <t>4 — Не обогащён</t>
        </is>
      </c>
      <c r="U3207" s="35" t="inlineStr">
        <is>
          <t>Нет ОКВЭД/ССЧР</t>
        </is>
      </c>
      <c r="V3207" s="35" t="inlineStr">
        <is>
          <t>Не определено</t>
        </is>
      </c>
      <c r="W3207" s="35" t="inlineStr"/>
      <c r="X3207" s="35" t="inlineStr"/>
    </row>
    <row r="3208" ht="15" customHeight="1" s="24">
      <c r="A3208" s="13" t="n">
        <v>5000088817</v>
      </c>
      <c r="B3208" s="13" t="inlineStr">
        <is>
          <t>МБДОУ "Лузгиновский детский сад"</t>
        </is>
      </c>
      <c r="C3208" s="13" t="n">
        <v>3849013750</v>
      </c>
      <c r="D3208" s="13" t="inlineStr">
        <is>
          <t>3849013750</t>
        </is>
      </c>
      <c r="E3208" s="13" t="inlineStr">
        <is>
          <t>ЮЛ РФ</t>
        </is>
      </c>
      <c r="F3208" s="13" t="n"/>
      <c r="G3208" s="14" t="n"/>
      <c r="H3208" s="14" t="n"/>
      <c r="I3208" s="14" t="n"/>
      <c r="J3208" s="14" t="n"/>
      <c r="K3208" s="53" t="inlineStr"/>
      <c r="L3208" s="53" t="inlineStr">
        <is>
          <t>Не определено</t>
        </is>
      </c>
      <c r="M3208" s="53" t="inlineStr"/>
      <c r="N3208" s="54" t="inlineStr"/>
      <c r="O3208" s="55" t="inlineStr"/>
      <c r="P3208" s="16" t="inlineStr">
        <is>
          <t>Требует обогащения</t>
        </is>
      </c>
      <c r="Q3208" s="16">
        <f>HYPERLINK("https://pb.nalog.ru/search.html?query=3849013750","ФНС: проверить")</f>
        <v/>
      </c>
      <c r="R3208" s="16">
        <f>HYPERLINK("https://checko.ru/search?query=3801001629","Чекко: проверить")</f>
        <v/>
      </c>
      <c r="S3208" t="n">
        <v>1</v>
      </c>
      <c r="T3208" s="35" t="inlineStr">
        <is>
          <t>4 — Не обогащён</t>
        </is>
      </c>
      <c r="U3208" s="35" t="inlineStr">
        <is>
          <t>Нет ОКВЭД/ССЧР</t>
        </is>
      </c>
      <c r="V3208" s="35" t="inlineStr">
        <is>
          <t>Не определено</t>
        </is>
      </c>
      <c r="W3208" s="35" t="inlineStr"/>
      <c r="X3208" s="35" t="inlineStr"/>
    </row>
    <row r="3209" ht="15" customHeight="1" s="24">
      <c r="A3209" s="13" t="n">
        <v>5000088818</v>
      </c>
      <c r="B3209" s="13" t="inlineStr">
        <is>
          <t>МБДОУ "Майский детский сад"</t>
        </is>
      </c>
      <c r="C3209" s="13" t="n">
        <v>8505003022</v>
      </c>
      <c r="D3209" s="13" t="inlineStr">
        <is>
          <t>8505003022</t>
        </is>
      </c>
      <c r="E3209" s="13" t="inlineStr">
        <is>
          <t>ЮЛ РФ</t>
        </is>
      </c>
      <c r="F3209" s="13" t="n"/>
      <c r="G3209" s="14" t="n"/>
      <c r="H3209" s="14" t="n"/>
      <c r="I3209" s="14" t="n"/>
      <c r="J3209" s="14" t="n"/>
      <c r="K3209" s="53" t="inlineStr"/>
      <c r="L3209" s="53" t="inlineStr">
        <is>
          <t>Не определено</t>
        </is>
      </c>
      <c r="M3209" s="53" t="inlineStr"/>
      <c r="N3209" s="54" t="inlineStr"/>
      <c r="O3209" s="55" t="inlineStr"/>
      <c r="P3209" s="16" t="inlineStr">
        <is>
          <t>Требует обогащения</t>
        </is>
      </c>
      <c r="Q3209" s="16">
        <f>HYPERLINK("https://pb.nalog.ru/search.html?query=8505003022","ФНС: проверить")</f>
        <v/>
      </c>
      <c r="R3209" s="16">
        <f>HYPERLINK("https://checko.ru/search?query=3801001629","Чекко: проверить")</f>
        <v/>
      </c>
      <c r="S3209" t="n">
        <v>1</v>
      </c>
      <c r="T3209" s="35" t="inlineStr">
        <is>
          <t>4 — Не обогащён</t>
        </is>
      </c>
      <c r="U3209" s="35" t="inlineStr">
        <is>
          <t>Нет ОКВЭД/ССЧР</t>
        </is>
      </c>
      <c r="V3209" s="35" t="inlineStr">
        <is>
          <t>Не определено</t>
        </is>
      </c>
      <c r="W3209" s="35" t="inlineStr"/>
      <c r="X3209" s="35" t="inlineStr"/>
    </row>
    <row r="3210" ht="15" customHeight="1" s="24">
      <c r="A3210" s="13" t="n">
        <v>5000088819</v>
      </c>
      <c r="B3210" s="13" t="inlineStr">
        <is>
          <t>МБДОУ "Ново-Ленинский детский сад"</t>
        </is>
      </c>
      <c r="C3210" s="13" t="n">
        <v>8505003209</v>
      </c>
      <c r="D3210" s="13" t="inlineStr">
        <is>
          <t>8505003209</t>
        </is>
      </c>
      <c r="E3210" s="13" t="inlineStr">
        <is>
          <t>ЮЛ РФ</t>
        </is>
      </c>
      <c r="F3210" s="13" t="n"/>
      <c r="G3210" s="14" t="n"/>
      <c r="H3210" s="14" t="n"/>
      <c r="I3210" s="14" t="n"/>
      <c r="J3210" s="14" t="n"/>
      <c r="K3210" s="53" t="inlineStr"/>
      <c r="L3210" s="53" t="inlineStr">
        <is>
          <t>Не определено</t>
        </is>
      </c>
      <c r="M3210" s="53" t="inlineStr"/>
      <c r="N3210" s="54" t="inlineStr"/>
      <c r="O3210" s="55" t="inlineStr"/>
      <c r="P3210" s="16" t="inlineStr">
        <is>
          <t>Требует обогащения</t>
        </is>
      </c>
      <c r="Q3210" s="16">
        <f>HYPERLINK("https://pb.nalog.ru/search.html?query=8505003209","ФНС: проверить")</f>
        <v/>
      </c>
      <c r="R3210" s="16">
        <f>HYPERLINK("https://checko.ru/search?query=3801001629","Чекко: проверить")</f>
        <v/>
      </c>
      <c r="S3210" t="n">
        <v>1</v>
      </c>
      <c r="T3210" s="35" t="inlineStr">
        <is>
          <t>4 — Не обогащён</t>
        </is>
      </c>
      <c r="U3210" s="35" t="inlineStr">
        <is>
          <t>Нет ОКВЭД/ССЧР</t>
        </is>
      </c>
      <c r="V3210" s="35" t="inlineStr">
        <is>
          <t>Не определено</t>
        </is>
      </c>
      <c r="W3210" s="35" t="inlineStr"/>
      <c r="X3210" s="35" t="inlineStr"/>
    </row>
    <row r="3211" ht="15" customHeight="1" s="24">
      <c r="A3211" s="13" t="n">
        <v>5000088820</v>
      </c>
      <c r="B3211" s="13" t="inlineStr">
        <is>
          <t>МБДОУ "Осинский детский сад № 1"</t>
        </is>
      </c>
      <c r="C3211" s="13" t="n">
        <v>8505003128</v>
      </c>
      <c r="D3211" s="13" t="inlineStr">
        <is>
          <t>8505003128</t>
        </is>
      </c>
      <c r="E3211" s="13" t="inlineStr">
        <is>
          <t>ЮЛ РФ</t>
        </is>
      </c>
      <c r="F3211" s="13" t="n"/>
      <c r="G3211" s="14" t="n"/>
      <c r="H3211" s="14" t="n"/>
      <c r="I3211" s="14" t="n"/>
      <c r="J3211" s="14" t="n"/>
      <c r="K3211" s="53" t="inlineStr"/>
      <c r="L3211" s="53" t="inlineStr">
        <is>
          <t>Не определено</t>
        </is>
      </c>
      <c r="M3211" s="53" t="inlineStr"/>
      <c r="N3211" s="54" t="inlineStr"/>
      <c r="O3211" s="55" t="inlineStr"/>
      <c r="P3211" s="16" t="inlineStr">
        <is>
          <t>Требует обогащения</t>
        </is>
      </c>
      <c r="Q3211" s="16">
        <f>HYPERLINK("https://pb.nalog.ru/search.html?query=8505003128","ФНС: проверить")</f>
        <v/>
      </c>
      <c r="R3211" s="16">
        <f>HYPERLINK("https://checko.ru/search?query=3801001629","Чекко: проверить")</f>
        <v/>
      </c>
      <c r="S3211" t="n">
        <v>1</v>
      </c>
      <c r="T3211" s="35" t="inlineStr">
        <is>
          <t>4 — Не обогащён</t>
        </is>
      </c>
      <c r="U3211" s="35" t="inlineStr">
        <is>
          <t>Нет ОКВЭД/ССЧР</t>
        </is>
      </c>
      <c r="V3211" s="35" t="inlineStr">
        <is>
          <t>Не определено</t>
        </is>
      </c>
      <c r="W3211" s="35" t="inlineStr"/>
      <c r="X3211" s="35" t="inlineStr"/>
    </row>
    <row r="3212" ht="15" customHeight="1" s="24">
      <c r="A3212" s="13" t="n">
        <v>5000088821</v>
      </c>
      <c r="B3212" s="13" t="inlineStr">
        <is>
          <t>МБДОУ "Осинский детский сад № 2"</t>
        </is>
      </c>
      <c r="C3212" s="13" t="n">
        <v>8505003135</v>
      </c>
      <c r="D3212" s="13" t="inlineStr">
        <is>
          <t>8505003135</t>
        </is>
      </c>
      <c r="E3212" s="13" t="inlineStr">
        <is>
          <t>ЮЛ РФ</t>
        </is>
      </c>
      <c r="F3212" s="13" t="n"/>
      <c r="G3212" s="14" t="n"/>
      <c r="H3212" s="14" t="n"/>
      <c r="I3212" s="14" t="n"/>
      <c r="J3212" s="14" t="n"/>
      <c r="K3212" s="53" t="inlineStr"/>
      <c r="L3212" s="53" t="inlineStr">
        <is>
          <t>Не определено</t>
        </is>
      </c>
      <c r="M3212" s="53" t="inlineStr"/>
      <c r="N3212" s="54" t="inlineStr"/>
      <c r="O3212" s="55" t="inlineStr"/>
      <c r="P3212" s="16" t="inlineStr">
        <is>
          <t>Требует обогащения</t>
        </is>
      </c>
      <c r="Q3212" s="16">
        <f>HYPERLINK("https://pb.nalog.ru/search.html?query=8505003135","ФНС: проверить")</f>
        <v/>
      </c>
      <c r="R3212" s="16">
        <f>HYPERLINK("https://checko.ru/search?query=3801001629","Чекко: проверить")</f>
        <v/>
      </c>
      <c r="S3212" t="n">
        <v>1</v>
      </c>
      <c r="T3212" s="35" t="inlineStr">
        <is>
          <t>4 — Не обогащён</t>
        </is>
      </c>
      <c r="U3212" s="35" t="inlineStr">
        <is>
          <t>Нет ОКВЭД/ССЧР</t>
        </is>
      </c>
      <c r="V3212" s="35" t="inlineStr">
        <is>
          <t>Не определено</t>
        </is>
      </c>
      <c r="W3212" s="35" t="inlineStr"/>
      <c r="X3212" s="35" t="inlineStr"/>
    </row>
    <row r="3213" ht="15" customHeight="1" s="24">
      <c r="A3213" s="13" t="n">
        <v>5000088822</v>
      </c>
      <c r="B3213" s="13" t="inlineStr">
        <is>
          <t>МБДОУ "Осинский детский сад № 3"</t>
        </is>
      </c>
      <c r="C3213" s="13" t="n">
        <v>3849038881</v>
      </c>
      <c r="D3213" s="13" t="inlineStr">
        <is>
          <t>3849038881</t>
        </is>
      </c>
      <c r="E3213" s="13" t="inlineStr">
        <is>
          <t>ЮЛ РФ</t>
        </is>
      </c>
      <c r="F3213" s="13" t="n"/>
      <c r="G3213" s="14" t="n"/>
      <c r="H3213" s="14" t="n"/>
      <c r="I3213" s="14" t="n"/>
      <c r="J3213" s="14" t="n"/>
      <c r="K3213" s="53" t="inlineStr"/>
      <c r="L3213" s="53" t="inlineStr">
        <is>
          <t>Не определено</t>
        </is>
      </c>
      <c r="M3213" s="53" t="inlineStr"/>
      <c r="N3213" s="54" t="inlineStr"/>
      <c r="O3213" s="55" t="inlineStr"/>
      <c r="P3213" s="16" t="inlineStr">
        <is>
          <t>Требует обогащения</t>
        </is>
      </c>
      <c r="Q3213" s="16">
        <f>HYPERLINK("https://pb.nalog.ru/search.html?query=3849038881","ФНС: проверить")</f>
        <v/>
      </c>
      <c r="R3213" s="16">
        <f>HYPERLINK("https://checko.ru/search?query=3801001629","Чекко: проверить")</f>
        <v/>
      </c>
      <c r="S3213" t="n">
        <v>1</v>
      </c>
      <c r="T3213" s="35" t="inlineStr">
        <is>
          <t>4 — Не обогащён</t>
        </is>
      </c>
      <c r="U3213" s="35" t="inlineStr">
        <is>
          <t>Нет ОКВЭД/ССЧР</t>
        </is>
      </c>
      <c r="V3213" s="35" t="inlineStr">
        <is>
          <t>Не определено</t>
        </is>
      </c>
      <c r="W3213" s="35" t="inlineStr"/>
      <c r="X3213" s="35" t="inlineStr"/>
    </row>
    <row r="3214" ht="15" customHeight="1" s="24">
      <c r="A3214" s="13" t="n">
        <v>5000088823</v>
      </c>
      <c r="B3214" s="13" t="inlineStr">
        <is>
          <t>МБДОУ "Приморский детский сад"</t>
        </is>
      </c>
      <c r="C3214" s="13" t="n">
        <v>8505003167</v>
      </c>
      <c r="D3214" s="13" t="inlineStr">
        <is>
          <t>8505003167</t>
        </is>
      </c>
      <c r="E3214" s="13" t="inlineStr">
        <is>
          <t>ЮЛ РФ</t>
        </is>
      </c>
      <c r="F3214" s="13" t="n"/>
      <c r="G3214" s="14" t="n"/>
      <c r="H3214" s="14" t="n"/>
      <c r="I3214" s="14" t="n"/>
      <c r="J3214" s="14" t="n"/>
      <c r="K3214" s="53" t="inlineStr"/>
      <c r="L3214" s="53" t="inlineStr">
        <is>
          <t>Не определено</t>
        </is>
      </c>
      <c r="M3214" s="53" t="inlineStr"/>
      <c r="N3214" s="54" t="inlineStr"/>
      <c r="O3214" s="55" t="inlineStr"/>
      <c r="P3214" s="16" t="inlineStr">
        <is>
          <t>Требует обогащения</t>
        </is>
      </c>
      <c r="Q3214" s="16">
        <f>HYPERLINK("https://pb.nalog.ru/search.html?query=8505003167","ФНС: проверить")</f>
        <v/>
      </c>
      <c r="R3214" s="16">
        <f>HYPERLINK("https://checko.ru/search?query=3801001629","Чекко: проверить")</f>
        <v/>
      </c>
      <c r="S3214" t="n">
        <v>1</v>
      </c>
      <c r="T3214" s="35" t="inlineStr">
        <is>
          <t>4 — Не обогащён</t>
        </is>
      </c>
      <c r="U3214" s="35" t="inlineStr">
        <is>
          <t>Нет ОКВЭД/ССЧР</t>
        </is>
      </c>
      <c r="V3214" s="35" t="inlineStr">
        <is>
          <t>Не определено</t>
        </is>
      </c>
      <c r="W3214" s="35" t="inlineStr"/>
      <c r="X3214" s="35" t="inlineStr"/>
    </row>
    <row r="3215" ht="15" customHeight="1" s="24">
      <c r="A3215" s="13" t="n">
        <v>5000088824</v>
      </c>
      <c r="B3215" s="13" t="inlineStr">
        <is>
          <t>МБДОУ "Улейский детский сад"</t>
        </is>
      </c>
      <c r="C3215" s="13" t="n">
        <v>8505002999</v>
      </c>
      <c r="D3215" s="13" t="inlineStr">
        <is>
          <t>8505002999</t>
        </is>
      </c>
      <c r="E3215" s="13" t="inlineStr">
        <is>
          <t>ЮЛ РФ</t>
        </is>
      </c>
      <c r="F3215" s="13" t="n"/>
      <c r="G3215" s="14" t="n"/>
      <c r="H3215" s="14" t="n"/>
      <c r="I3215" s="14" t="n"/>
      <c r="J3215" s="14" t="n"/>
      <c r="K3215" s="53" t="inlineStr"/>
      <c r="L3215" s="53" t="inlineStr">
        <is>
          <t>Не определено</t>
        </is>
      </c>
      <c r="M3215" s="53" t="inlineStr"/>
      <c r="N3215" s="54" t="inlineStr"/>
      <c r="O3215" s="55" t="inlineStr"/>
      <c r="P3215" s="16" t="inlineStr">
        <is>
          <t>Требует обогащения</t>
        </is>
      </c>
      <c r="Q3215" s="16">
        <f>HYPERLINK("https://pb.nalog.ru/search.html?query=8505002999","ФНС: проверить")</f>
        <v/>
      </c>
      <c r="R3215" s="16">
        <f>HYPERLINK("https://checko.ru/search?query=3801001629","Чекко: проверить")</f>
        <v/>
      </c>
      <c r="S3215" t="n">
        <v>1</v>
      </c>
      <c r="T3215" s="35" t="inlineStr">
        <is>
          <t>4 — Не обогащён</t>
        </is>
      </c>
      <c r="U3215" s="35" t="inlineStr">
        <is>
          <t>Нет ОКВЭД/ССЧР</t>
        </is>
      </c>
      <c r="V3215" s="35" t="inlineStr">
        <is>
          <t>Не определено</t>
        </is>
      </c>
      <c r="W3215" s="35" t="inlineStr"/>
      <c r="X3215" s="35" t="inlineStr"/>
    </row>
    <row r="3216" ht="15" customHeight="1" s="24">
      <c r="A3216" s="13" t="n">
        <v>5000088825</v>
      </c>
      <c r="B3216" s="13" t="inlineStr">
        <is>
          <t>МБДОУ "Усть-Алтанский детский сад"</t>
        </is>
      </c>
      <c r="C3216" s="13" t="n">
        <v>8505003061</v>
      </c>
      <c r="D3216" s="13" t="inlineStr">
        <is>
          <t>8505003061</t>
        </is>
      </c>
      <c r="E3216" s="13" t="inlineStr">
        <is>
          <t>ЮЛ РФ</t>
        </is>
      </c>
      <c r="F3216" s="13" t="n"/>
      <c r="G3216" s="14" t="n"/>
      <c r="H3216" s="14" t="n"/>
      <c r="I3216" s="14" t="n"/>
      <c r="J3216" s="14" t="n"/>
      <c r="K3216" s="53" t="inlineStr"/>
      <c r="L3216" s="53" t="inlineStr">
        <is>
          <t>Не определено</t>
        </is>
      </c>
      <c r="M3216" s="53" t="inlineStr"/>
      <c r="N3216" s="54" t="inlineStr"/>
      <c r="O3216" s="55" t="inlineStr"/>
      <c r="P3216" s="16" t="inlineStr">
        <is>
          <t>Требует обогащения</t>
        </is>
      </c>
      <c r="Q3216" s="16">
        <f>HYPERLINK("https://pb.nalog.ru/search.html?query=8505003061","ФНС: проверить")</f>
        <v/>
      </c>
      <c r="R3216" s="16">
        <f>HYPERLINK("https://checko.ru/search?query=3801001629","Чекко: проверить")</f>
        <v/>
      </c>
      <c r="S3216" t="n">
        <v>1</v>
      </c>
      <c r="T3216" s="35" t="inlineStr">
        <is>
          <t>4 — Не обогащён</t>
        </is>
      </c>
      <c r="U3216" s="35" t="inlineStr">
        <is>
          <t>Нет ОКВЭД/ССЧР</t>
        </is>
      </c>
      <c r="V3216" s="35" t="inlineStr">
        <is>
          <t>Не определено</t>
        </is>
      </c>
      <c r="W3216" s="35" t="inlineStr"/>
      <c r="X3216" s="35" t="inlineStr"/>
    </row>
    <row r="3217" ht="15" customHeight="1" s="24">
      <c r="A3217" s="13" t="n">
        <v>5000088826</v>
      </c>
      <c r="B3217" s="13" t="inlineStr">
        <is>
          <t>МБДОУ д.Лузгина "Детский  сад "Аистенок"</t>
        </is>
      </c>
      <c r="C3217" s="13" t="n">
        <v>3849038183</v>
      </c>
      <c r="D3217" s="13" t="inlineStr">
        <is>
          <t>3849038183</t>
        </is>
      </c>
      <c r="E3217" s="13" t="inlineStr">
        <is>
          <t>ЮЛ РФ</t>
        </is>
      </c>
      <c r="F3217" s="13" t="n"/>
      <c r="G3217" s="14" t="n"/>
      <c r="H3217" s="14" t="n"/>
      <c r="I3217" s="14" t="n"/>
      <c r="J3217" s="14" t="n"/>
      <c r="K3217" s="53" t="inlineStr"/>
      <c r="L3217" s="53" t="inlineStr">
        <is>
          <t>Не определено</t>
        </is>
      </c>
      <c r="M3217" s="53" t="inlineStr"/>
      <c r="N3217" s="54" t="inlineStr"/>
      <c r="O3217" s="55" t="inlineStr"/>
      <c r="P3217" s="16" t="inlineStr">
        <is>
          <t>Требует обогащения</t>
        </is>
      </c>
      <c r="Q3217" s="16">
        <f>HYPERLINK("https://pb.nalog.ru/search.html?query=3849038183","ФНС: проверить")</f>
        <v/>
      </c>
      <c r="R3217" s="16">
        <f>HYPERLINK("https://checko.ru/search?query=3801001629","Чекко: проверить")</f>
        <v/>
      </c>
      <c r="S3217" t="n">
        <v>1</v>
      </c>
      <c r="T3217" s="35" t="inlineStr">
        <is>
          <t>4 — Не обогащён</t>
        </is>
      </c>
      <c r="U3217" s="35" t="inlineStr">
        <is>
          <t>Нет ОКВЭД/ССЧР</t>
        </is>
      </c>
      <c r="V3217" s="35" t="inlineStr">
        <is>
          <t>Не определено</t>
        </is>
      </c>
      <c r="W3217" s="35" t="inlineStr"/>
      <c r="X3217" s="35" t="inlineStr"/>
    </row>
    <row r="3218" ht="15" customHeight="1" s="24">
      <c r="A3218" s="13" t="n">
        <v>5000088827</v>
      </c>
      <c r="B3218" s="13" t="inlineStr">
        <is>
          <t>МБУ ДО "Осинский детский дом творчества"</t>
        </is>
      </c>
      <c r="C3218" s="13" t="n">
        <v>8505003375</v>
      </c>
      <c r="D3218" s="13" t="inlineStr">
        <is>
          <t>8505003375</t>
        </is>
      </c>
      <c r="E3218" s="13" t="inlineStr">
        <is>
          <t>ЮЛ РФ</t>
        </is>
      </c>
      <c r="F3218" s="13" t="n"/>
      <c r="G3218" s="14" t="n"/>
      <c r="H3218" s="14" t="n"/>
      <c r="I3218" s="14" t="n"/>
      <c r="J3218" s="14" t="n"/>
      <c r="K3218" s="53" t="inlineStr"/>
      <c r="L3218" s="53" t="inlineStr">
        <is>
          <t>Не определено</t>
        </is>
      </c>
      <c r="M3218" s="53" t="inlineStr"/>
      <c r="N3218" s="54" t="inlineStr"/>
      <c r="O3218" s="55" t="inlineStr"/>
      <c r="P3218" s="16" t="inlineStr">
        <is>
          <t>Требует обогащения</t>
        </is>
      </c>
      <c r="Q3218" s="16">
        <f>HYPERLINK("https://pb.nalog.ru/search.html?query=8505003375","ФНС: проверить")</f>
        <v/>
      </c>
      <c r="R3218" s="16">
        <f>HYPERLINK("https://checko.ru/search?query=3801001629","Чекко: проверить")</f>
        <v/>
      </c>
      <c r="S3218" t="n">
        <v>1</v>
      </c>
      <c r="T3218" s="35" t="inlineStr">
        <is>
          <t>4 — Не обогащён</t>
        </is>
      </c>
      <c r="U3218" s="35" t="inlineStr">
        <is>
          <t>Нет ОКВЭД/ССЧР</t>
        </is>
      </c>
      <c r="V3218" s="35" t="inlineStr">
        <is>
          <t>Не определено</t>
        </is>
      </c>
      <c r="W3218" s="35" t="inlineStr"/>
      <c r="X3218" s="35" t="inlineStr"/>
    </row>
    <row r="3219" ht="15" customHeight="1" s="24">
      <c r="A3219" s="13" t="n">
        <v>5000088828</v>
      </c>
      <c r="B3219" s="13" t="inlineStr">
        <is>
          <t>МБУ ДО "Осинская ДЮСШ им.В.В.Кузина"</t>
        </is>
      </c>
      <c r="C3219" s="13" t="n">
        <v>8505003174</v>
      </c>
      <c r="D3219" s="13" t="inlineStr">
        <is>
          <t>8505003174</t>
        </is>
      </c>
      <c r="E3219" s="13" t="inlineStr">
        <is>
          <t>ЮЛ РФ</t>
        </is>
      </c>
      <c r="F3219" s="13" t="n"/>
      <c r="G3219" s="14" t="n"/>
      <c r="H3219" s="14" t="n"/>
      <c r="I3219" s="14" t="n"/>
      <c r="J3219" s="14" t="n"/>
      <c r="K3219" s="53" t="inlineStr"/>
      <c r="L3219" s="53" t="inlineStr">
        <is>
          <t>Не определено</t>
        </is>
      </c>
      <c r="M3219" s="53" t="inlineStr"/>
      <c r="N3219" s="54" t="inlineStr"/>
      <c r="O3219" s="55" t="inlineStr"/>
      <c r="P3219" s="16" t="inlineStr">
        <is>
          <t>Требует обогащения</t>
        </is>
      </c>
      <c r="Q3219" s="16">
        <f>HYPERLINK("https://pb.nalog.ru/search.html?query=8505003174","ФНС: проверить")</f>
        <v/>
      </c>
      <c r="R3219" s="16">
        <f>HYPERLINK("https://checko.ru/search?query=3801001629","Чекко: проверить")</f>
        <v/>
      </c>
      <c r="S3219" t="n">
        <v>1</v>
      </c>
      <c r="T3219" s="35" t="inlineStr">
        <is>
          <t>4 — Не обогащён</t>
        </is>
      </c>
      <c r="U3219" s="35" t="inlineStr">
        <is>
          <t>Нет ОКВЭД/ССЧР</t>
        </is>
      </c>
      <c r="V3219" s="35" t="inlineStr">
        <is>
          <t>Не определено</t>
        </is>
      </c>
      <c r="W3219" s="35" t="inlineStr"/>
      <c r="X3219" s="35" t="inlineStr"/>
    </row>
    <row r="3220" ht="15" customHeight="1" s="24">
      <c r="A3220" s="13" t="n">
        <v>5000088829</v>
      </c>
      <c r="B3220" s="13" t="inlineStr">
        <is>
          <t>МБУ ДЛ   "Дружба"</t>
        </is>
      </c>
      <c r="C3220" s="13" t="n">
        <v>8505006601</v>
      </c>
      <c r="D3220" s="13" t="inlineStr">
        <is>
          <t>8505006601</t>
        </is>
      </c>
      <c r="E3220" s="13" t="inlineStr">
        <is>
          <t>ЮЛ РФ</t>
        </is>
      </c>
      <c r="F3220" s="13" t="n"/>
      <c r="G3220" s="14" t="n"/>
      <c r="H3220" s="14" t="n"/>
      <c r="I3220" s="14" t="n"/>
      <c r="J3220" s="14" t="n"/>
      <c r="K3220" s="53" t="inlineStr"/>
      <c r="L3220" s="53" t="inlineStr">
        <is>
          <t>Не определено</t>
        </is>
      </c>
      <c r="M3220" s="53" t="inlineStr"/>
      <c r="N3220" s="54" t="inlineStr"/>
      <c r="O3220" s="55" t="inlineStr"/>
      <c r="P3220" s="16" t="inlineStr">
        <is>
          <t>Требует обогащения</t>
        </is>
      </c>
      <c r="Q3220" s="16">
        <f>HYPERLINK("https://pb.nalog.ru/search.html?query=8505006601","ФНС: проверить")</f>
        <v/>
      </c>
      <c r="R3220" s="16">
        <f>HYPERLINK("https://checko.ru/search?query=3801001629","Чекко: проверить")</f>
        <v/>
      </c>
      <c r="S3220" t="n">
        <v>1</v>
      </c>
      <c r="T3220" s="35" t="inlineStr">
        <is>
          <t>4 — Не обогащён</t>
        </is>
      </c>
      <c r="U3220" s="35" t="inlineStr">
        <is>
          <t>Нет ОКВЭД/ССЧР</t>
        </is>
      </c>
      <c r="V3220" s="35" t="inlineStr">
        <is>
          <t>Не определено</t>
        </is>
      </c>
      <c r="W3220" s="35" t="inlineStr"/>
      <c r="X3220" s="35" t="inlineStr"/>
    </row>
    <row r="3221" ht="27.75" customHeight="1" s="24">
      <c r="A3221" s="13" t="n">
        <v>5000120009</v>
      </c>
      <c r="B3221" s="13" t="inlineStr">
        <is>
          <t>МКУ "ПАРК "ПАТРИОТ" НАРО-ФОМИНСКОГО ГОРОДСКОГО ОКРУГА"</t>
        </is>
      </c>
      <c r="C3221" s="13" t="n">
        <v>5030102224</v>
      </c>
      <c r="D3221" s="13" t="inlineStr">
        <is>
          <t>5030102224</t>
        </is>
      </c>
      <c r="E3221" s="13" t="inlineStr">
        <is>
          <t>ЮЛ РФ</t>
        </is>
      </c>
      <c r="F3221" s="13" t="n"/>
      <c r="G3221" s="14" t="n"/>
      <c r="H3221" s="14" t="n"/>
      <c r="I3221" s="14" t="n"/>
      <c r="J3221" s="14" t="n"/>
      <c r="K3221" s="53" t="inlineStr"/>
      <c r="L3221" s="53" t="inlineStr">
        <is>
          <t>Не определено</t>
        </is>
      </c>
      <c r="M3221" s="53" t="inlineStr"/>
      <c r="N3221" s="54" t="inlineStr"/>
      <c r="O3221" s="55" t="inlineStr"/>
      <c r="P3221" s="16" t="inlineStr">
        <is>
          <t>Требует обогащения</t>
        </is>
      </c>
      <c r="Q3221" s="16">
        <f>HYPERLINK("https://pb.nalog.ru/search.html?query=5030102224","ФНС: проверить")</f>
        <v/>
      </c>
      <c r="R3221" s="16">
        <f>HYPERLINK("https://checko.ru/search?query=3801001629","Чекко: проверить")</f>
        <v/>
      </c>
      <c r="S3221" t="n">
        <v>1</v>
      </c>
      <c r="T3221" s="35" t="inlineStr">
        <is>
          <t>4 — Не обогащён</t>
        </is>
      </c>
      <c r="U3221" s="35" t="inlineStr">
        <is>
          <t>Нет ОКВЭД/ССЧР</t>
        </is>
      </c>
      <c r="V3221" s="35" t="inlineStr">
        <is>
          <t>Не определено</t>
        </is>
      </c>
      <c r="W3221" s="35" t="inlineStr"/>
      <c r="X3221" s="35" t="inlineStr"/>
    </row>
    <row r="3222" ht="27.75" customHeight="1" s="24">
      <c r="A3222" s="13" t="n">
        <v>5000122531</v>
      </c>
      <c r="B3222" s="13" t="inlineStr">
        <is>
          <t>ЕЛИЗОВСКАЯ ТЕРРИТОРИАЛЬНАЯ ИЗБИРАТЕЛЬНАЯ КОМИССИЯ</t>
        </is>
      </c>
      <c r="C3222" s="13" t="n">
        <v>4100044295</v>
      </c>
      <c r="D3222" s="13" t="inlineStr">
        <is>
          <t>4100044295</t>
        </is>
      </c>
      <c r="E3222" s="13" t="inlineStr">
        <is>
          <t>ЮЛ РФ</t>
        </is>
      </c>
      <c r="F3222" s="13" t="n"/>
      <c r="G3222" s="14" t="n"/>
      <c r="H3222" s="14" t="n"/>
      <c r="I3222" s="14" t="n"/>
      <c r="J3222" s="14" t="n"/>
      <c r="K3222" s="53" t="inlineStr"/>
      <c r="L3222" s="53" t="inlineStr">
        <is>
          <t>Не определено</t>
        </is>
      </c>
      <c r="M3222" s="53" t="inlineStr"/>
      <c r="N3222" s="54" t="inlineStr"/>
      <c r="O3222" s="55" t="inlineStr"/>
      <c r="P3222" s="16" t="inlineStr">
        <is>
          <t>Требует обогащения</t>
        </is>
      </c>
      <c r="Q3222" s="16">
        <f>HYPERLINK("https://pb.nalog.ru/search.html?query=4100044295","ФНС: проверить")</f>
        <v/>
      </c>
      <c r="R3222" s="16">
        <f>HYPERLINK("https://checko.ru/search?query=3801001629","Чекко: проверить")</f>
        <v/>
      </c>
      <c r="S3222" t="n">
        <v>1</v>
      </c>
      <c r="T3222" s="35" t="inlineStr">
        <is>
          <t>4 — Не обогащён</t>
        </is>
      </c>
      <c r="U3222" s="35" t="inlineStr">
        <is>
          <t>Нет ОКВЭД/ССЧР</t>
        </is>
      </c>
      <c r="V3222" s="35" t="inlineStr">
        <is>
          <t>Не определено</t>
        </is>
      </c>
      <c r="W3222" s="35" t="inlineStr"/>
      <c r="X3222" s="35" t="inlineStr"/>
    </row>
    <row r="3223" ht="27.75" customHeight="1" s="24">
      <c r="A3223" s="13" t="n">
        <v>5000122383</v>
      </c>
      <c r="B3223" s="13" t="inlineStr">
        <is>
          <t>МОУ «Лицей №24 имени Героя Советского Союза А.В.Корявина»</t>
        </is>
      </c>
      <c r="C3223" s="13" t="n">
        <v>5042067976</v>
      </c>
      <c r="D3223" s="13" t="inlineStr">
        <is>
          <t>5042067976</t>
        </is>
      </c>
      <c r="E3223" s="13" t="inlineStr">
        <is>
          <t>ЮЛ РФ</t>
        </is>
      </c>
      <c r="F3223" s="13" t="n"/>
      <c r="G3223" s="14" t="n"/>
      <c r="H3223" s="14" t="n"/>
      <c r="I3223" s="14" t="n"/>
      <c r="J3223" s="14" t="n"/>
      <c r="K3223" s="53" t="inlineStr"/>
      <c r="L3223" s="53" t="inlineStr">
        <is>
          <t>Не определено</t>
        </is>
      </c>
      <c r="M3223" s="53" t="inlineStr"/>
      <c r="N3223" s="54" t="inlineStr"/>
      <c r="O3223" s="55" t="inlineStr"/>
      <c r="P3223" s="16" t="inlineStr">
        <is>
          <t>Требует обогащения</t>
        </is>
      </c>
      <c r="Q3223" s="16">
        <f>HYPERLINK("https://pb.nalog.ru/search.html?query=5042067976","ФНС: проверить")</f>
        <v/>
      </c>
      <c r="R3223" s="16">
        <f>HYPERLINK("https://checko.ru/search?query=3801001629","Чекко: проверить")</f>
        <v/>
      </c>
      <c r="S3223" t="n">
        <v>1</v>
      </c>
      <c r="T3223" s="35" t="inlineStr">
        <is>
          <t>4 — Не обогащён</t>
        </is>
      </c>
      <c r="U3223" s="35" t="inlineStr">
        <is>
          <t>Нет ОКВЭД/ССЧР</t>
        </is>
      </c>
      <c r="V3223" s="35" t="inlineStr">
        <is>
          <t>Не определено</t>
        </is>
      </c>
      <c r="W3223" s="35" t="inlineStr"/>
      <c r="X3223" s="35" t="inlineStr"/>
    </row>
    <row r="3224" ht="27.75" customHeight="1" s="24">
      <c r="A3224" s="13" t="n">
        <v>5000122645</v>
      </c>
      <c r="B3224" s="13" t="inlineStr">
        <is>
          <t>МБОУ "Анавгайская средняя общеобразовательная школа"</t>
        </is>
      </c>
      <c r="C3224" s="13" t="n">
        <v>4104001775</v>
      </c>
      <c r="D3224" s="13" t="inlineStr">
        <is>
          <t>4104001775</t>
        </is>
      </c>
      <c r="E3224" s="13" t="inlineStr">
        <is>
          <t>ЮЛ РФ</t>
        </is>
      </c>
      <c r="F3224" s="13" t="n"/>
      <c r="G3224" s="14" t="n"/>
      <c r="H3224" s="14" t="n"/>
      <c r="I3224" s="14" t="n"/>
      <c r="J3224" s="14" t="n"/>
      <c r="K3224" s="53" t="inlineStr"/>
      <c r="L3224" s="53" t="inlineStr">
        <is>
          <t>Не определено</t>
        </is>
      </c>
      <c r="M3224" s="53" t="inlineStr"/>
      <c r="N3224" s="54" t="inlineStr"/>
      <c r="O3224" s="55" t="inlineStr"/>
      <c r="P3224" s="16" t="inlineStr">
        <is>
          <t>Требует обогащения</t>
        </is>
      </c>
      <c r="Q3224" s="16">
        <f>HYPERLINK("https://pb.nalog.ru/search.html?query=4104001775","ФНС: проверить")</f>
        <v/>
      </c>
      <c r="R3224" s="16">
        <f>HYPERLINK("https://checko.ru/search?query=3801001629","Чекко: проверить")</f>
        <v/>
      </c>
      <c r="S3224" t="n">
        <v>1</v>
      </c>
      <c r="T3224" s="35" t="inlineStr">
        <is>
          <t>4 — Не обогащён</t>
        </is>
      </c>
      <c r="U3224" s="35" t="inlineStr">
        <is>
          <t>Нет ОКВЭД/ССЧР</t>
        </is>
      </c>
      <c r="V3224" s="35" t="inlineStr">
        <is>
          <t>Не определено</t>
        </is>
      </c>
      <c r="W3224" s="35" t="inlineStr"/>
      <c r="X3224" s="35" t="inlineStr"/>
    </row>
    <row r="3225" ht="41.25" customHeight="1" s="24">
      <c r="A3225" s="13" t="n">
        <v>5000122636</v>
      </c>
      <c r="B3225" s="13" t="inlineStr">
        <is>
          <t>Администрация Крутогоровского сельского поселения Соболевского муниципального района Камчатского края</t>
        </is>
      </c>
      <c r="C3225" s="13" t="n">
        <v>4107001727</v>
      </c>
      <c r="D3225" s="13" t="inlineStr">
        <is>
          <t>4107001727</t>
        </is>
      </c>
      <c r="E3225" s="13" t="inlineStr">
        <is>
          <t>ЮЛ РФ</t>
        </is>
      </c>
      <c r="F3225" s="13" t="n"/>
      <c r="G3225" s="14" t="n"/>
      <c r="H3225" s="14" t="n"/>
      <c r="I3225" s="14" t="n"/>
      <c r="J3225" s="14" t="n"/>
      <c r="K3225" s="53" t="inlineStr"/>
      <c r="L3225" s="53" t="inlineStr">
        <is>
          <t>Не определено</t>
        </is>
      </c>
      <c r="M3225" s="53" t="inlineStr"/>
      <c r="N3225" s="54" t="inlineStr"/>
      <c r="O3225" s="55" t="inlineStr"/>
      <c r="P3225" s="16" t="inlineStr">
        <is>
          <t>Требует обогащения</t>
        </is>
      </c>
      <c r="Q3225" s="16">
        <f>HYPERLINK("https://pb.nalog.ru/search.html?query=4107001727","ФНС: проверить")</f>
        <v/>
      </c>
      <c r="R3225" s="16">
        <f>HYPERLINK("https://checko.ru/search?query=3801001629","Чекко: проверить")</f>
        <v/>
      </c>
      <c r="S3225" t="n">
        <v>1</v>
      </c>
      <c r="T3225" s="35" t="inlineStr">
        <is>
          <t>4 — Не обогащён</t>
        </is>
      </c>
      <c r="U3225" s="35" t="inlineStr">
        <is>
          <t>Нет ОКВЭД/ССЧР</t>
        </is>
      </c>
      <c r="V3225" s="35" t="inlineStr">
        <is>
          <t>Не определено</t>
        </is>
      </c>
      <c r="W3225" s="35" t="inlineStr"/>
      <c r="X3225" s="35" t="inlineStr"/>
    </row>
    <row r="3226" ht="15" customHeight="1" s="24">
      <c r="A3226" s="13" t="n">
        <v>5000122537</v>
      </c>
      <c r="B3226" s="13" t="inlineStr">
        <is>
          <t>ГКУ КК ФАЦ</t>
        </is>
      </c>
      <c r="C3226" s="13" t="n">
        <v>4101173350</v>
      </c>
      <c r="D3226" s="13" t="inlineStr">
        <is>
          <t>4101173350</t>
        </is>
      </c>
      <c r="E3226" s="13" t="inlineStr">
        <is>
          <t>ЮЛ РФ</t>
        </is>
      </c>
      <c r="F3226" s="13" t="n"/>
      <c r="G3226" s="14" t="n"/>
      <c r="H3226" s="14" t="n"/>
      <c r="I3226" s="14" t="n"/>
      <c r="J3226" s="14" t="n"/>
      <c r="K3226" s="53" t="inlineStr"/>
      <c r="L3226" s="53" t="inlineStr">
        <is>
          <t>Не определено</t>
        </is>
      </c>
      <c r="M3226" s="53" t="inlineStr"/>
      <c r="N3226" s="54" t="inlineStr"/>
      <c r="O3226" s="55" t="inlineStr"/>
      <c r="P3226" s="16" t="inlineStr">
        <is>
          <t>Требует обогащения</t>
        </is>
      </c>
      <c r="Q3226" s="16">
        <f>HYPERLINK("https://pb.nalog.ru/search.html?query=4101173350","ФНС: проверить")</f>
        <v/>
      </c>
      <c r="R3226" s="16">
        <f>HYPERLINK("https://checko.ru/search?query=3801001629","Чекко: проверить")</f>
        <v/>
      </c>
      <c r="S3226" t="n">
        <v>1</v>
      </c>
      <c r="T3226" s="35" t="inlineStr">
        <is>
          <t>4 — Не обогащён</t>
        </is>
      </c>
      <c r="U3226" s="35" t="inlineStr">
        <is>
          <t>Нет ОКВЭД/ССЧР</t>
        </is>
      </c>
      <c r="V3226" s="35" t="inlineStr">
        <is>
          <t>Не определено</t>
        </is>
      </c>
      <c r="W3226" s="35" t="inlineStr"/>
      <c r="X3226" s="35" t="inlineStr"/>
    </row>
    <row r="3227" ht="27.75" customHeight="1" s="24">
      <c r="A3227" s="13" t="n">
        <v>5000122565</v>
      </c>
      <c r="B3227" s="13" t="inlineStr">
        <is>
          <t>Краевое государственное казенное учреждение "КамчатТурСервис"</t>
        </is>
      </c>
      <c r="C3227" s="13" t="n">
        <v>8202016488</v>
      </c>
      <c r="D3227" s="13" t="inlineStr">
        <is>
          <t>8202016488</t>
        </is>
      </c>
      <c r="E3227" s="13" t="inlineStr">
        <is>
          <t>ЮЛ РФ</t>
        </is>
      </c>
      <c r="F3227" s="13" t="n"/>
      <c r="G3227" s="14" t="n"/>
      <c r="H3227" s="14" t="n"/>
      <c r="I3227" s="14" t="n"/>
      <c r="J3227" s="14" t="n"/>
      <c r="K3227" s="53" t="inlineStr"/>
      <c r="L3227" s="53" t="inlineStr">
        <is>
          <t>Не определено</t>
        </is>
      </c>
      <c r="M3227" s="53" t="inlineStr"/>
      <c r="N3227" s="54" t="inlineStr"/>
      <c r="O3227" s="55" t="inlineStr"/>
      <c r="P3227" s="16" t="inlineStr">
        <is>
          <t>Требует обогащения</t>
        </is>
      </c>
      <c r="Q3227" s="16">
        <f>HYPERLINK("https://pb.nalog.ru/search.html?query=8202016488","ФНС: проверить")</f>
        <v/>
      </c>
      <c r="R3227" s="16">
        <f>HYPERLINK("https://checko.ru/search?query=3801001629","Чекко: проверить")</f>
        <v/>
      </c>
      <c r="S3227" t="n">
        <v>1</v>
      </c>
      <c r="T3227" s="35" t="inlineStr">
        <is>
          <t>4 — Не обогащён</t>
        </is>
      </c>
      <c r="U3227" s="35" t="inlineStr">
        <is>
          <t>Нет ОКВЭД/ССЧР</t>
        </is>
      </c>
      <c r="V3227" s="35" t="inlineStr">
        <is>
          <t>Не определено</t>
        </is>
      </c>
      <c r="W3227" s="35" t="inlineStr"/>
      <c r="X3227" s="35" t="inlineStr"/>
    </row>
    <row r="3228" ht="27.75" customHeight="1" s="24">
      <c r="A3228" s="13" t="n">
        <v>5000120039</v>
      </c>
      <c r="B3228" s="13" t="inlineStr">
        <is>
          <t>МАУК "ДВОРЕЦ КУЛЬТУРЫ И СПОРТА "ТАМАНЬ" ГОРОДСКОГО ПОСЕЛЕНИЯ КАЛИНИНЕЦ</t>
        </is>
      </c>
      <c r="C3228" s="13" t="n">
        <v>5030077810</v>
      </c>
      <c r="D3228" s="13" t="inlineStr">
        <is>
          <t>5030077810</t>
        </is>
      </c>
      <c r="E3228" s="13" t="inlineStr">
        <is>
          <t>ЮЛ РФ</t>
        </is>
      </c>
      <c r="F3228" s="13" t="n"/>
      <c r="G3228" s="14" t="n"/>
      <c r="H3228" s="14" t="n"/>
      <c r="I3228" s="14" t="n"/>
      <c r="J3228" s="14" t="n"/>
      <c r="K3228" s="53" t="inlineStr"/>
      <c r="L3228" s="53" t="inlineStr">
        <is>
          <t>Не определено</t>
        </is>
      </c>
      <c r="M3228" s="53" t="inlineStr"/>
      <c r="N3228" s="54" t="inlineStr"/>
      <c r="O3228" s="55" t="inlineStr"/>
      <c r="P3228" s="16" t="inlineStr">
        <is>
          <t>Требует обогащения</t>
        </is>
      </c>
      <c r="Q3228" s="16">
        <f>HYPERLINK("https://pb.nalog.ru/search.html?query=5030077810","ФНС: проверить")</f>
        <v/>
      </c>
      <c r="R3228" s="16">
        <f>HYPERLINK("https://checko.ru/search?query=3801001629","Чекко: проверить")</f>
        <v/>
      </c>
      <c r="S3228" t="n">
        <v>1</v>
      </c>
      <c r="T3228" s="35" t="inlineStr">
        <is>
          <t>4 — Не обогащён</t>
        </is>
      </c>
      <c r="U3228" s="35" t="inlineStr">
        <is>
          <t>Нет ОКВЭД/ССЧР</t>
        </is>
      </c>
      <c r="V3228" s="35" t="inlineStr">
        <is>
          <t>Не определено</t>
        </is>
      </c>
      <c r="W3228" s="35" t="inlineStr"/>
      <c r="X3228" s="35" t="inlineStr"/>
    </row>
    <row r="3229" ht="27.75" customHeight="1" s="24">
      <c r="A3229" s="13" t="n">
        <v>5000122654</v>
      </c>
      <c r="B3229" s="13" t="inlineStr">
        <is>
          <t>Администрация городского округа "поселок Палана"</t>
        </is>
      </c>
      <c r="C3229" s="13" t="n">
        <v>8200000789</v>
      </c>
      <c r="D3229" s="13" t="inlineStr">
        <is>
          <t>8200000789</t>
        </is>
      </c>
      <c r="E3229" s="13" t="inlineStr">
        <is>
          <t>ЮЛ РФ</t>
        </is>
      </c>
      <c r="F3229" s="13" t="n"/>
      <c r="G3229" s="14" t="n"/>
      <c r="H3229" s="14" t="n"/>
      <c r="I3229" s="14" t="n"/>
      <c r="J3229" s="14" t="n"/>
      <c r="K3229" s="53" t="inlineStr"/>
      <c r="L3229" s="53" t="inlineStr">
        <is>
          <t>Не определено</t>
        </is>
      </c>
      <c r="M3229" s="53" t="inlineStr"/>
      <c r="N3229" s="54" t="inlineStr"/>
      <c r="O3229" s="55" t="inlineStr"/>
      <c r="P3229" s="16" t="inlineStr">
        <is>
          <t>Требует обогащения</t>
        </is>
      </c>
      <c r="Q3229" s="16">
        <f>HYPERLINK("https://pb.nalog.ru/search.html?query=8200000789","ФНС: проверить")</f>
        <v/>
      </c>
      <c r="R3229" s="16">
        <f>HYPERLINK("https://checko.ru/search?query=3801001629","Чекко: проверить")</f>
        <v/>
      </c>
      <c r="S3229" t="n">
        <v>1</v>
      </c>
      <c r="T3229" s="35" t="inlineStr">
        <is>
          <t>4 — Не обогащён</t>
        </is>
      </c>
      <c r="U3229" s="35" t="inlineStr">
        <is>
          <t>Нет ОКВЭД/ССЧР</t>
        </is>
      </c>
      <c r="V3229" s="35" t="inlineStr">
        <is>
          <t>Не определено</t>
        </is>
      </c>
      <c r="W3229" s="35" t="inlineStr"/>
      <c r="X3229" s="35" t="inlineStr"/>
    </row>
    <row r="3230" ht="15" customHeight="1" s="24">
      <c r="A3230" s="13" t="n">
        <v>5000120021</v>
      </c>
      <c r="B3230" s="13" t="inlineStr">
        <is>
          <t>МБОУ ДОД ЦДШИ "Гармония"</t>
        </is>
      </c>
      <c r="C3230" s="13" t="n">
        <v>5030067107</v>
      </c>
      <c r="D3230" s="13" t="inlineStr">
        <is>
          <t>5030067107</t>
        </is>
      </c>
      <c r="E3230" s="13" t="inlineStr">
        <is>
          <t>ЮЛ РФ</t>
        </is>
      </c>
      <c r="F3230" s="13" t="n"/>
      <c r="G3230" s="14" t="n"/>
      <c r="H3230" s="14" t="n"/>
      <c r="I3230" s="14" t="n"/>
      <c r="J3230" s="14" t="n"/>
      <c r="K3230" s="53" t="inlineStr"/>
      <c r="L3230" s="53" t="inlineStr">
        <is>
          <t>Не определено</t>
        </is>
      </c>
      <c r="M3230" s="53" t="inlineStr"/>
      <c r="N3230" s="54" t="inlineStr"/>
      <c r="O3230" s="55" t="inlineStr"/>
      <c r="P3230" s="16" t="inlineStr">
        <is>
          <t>Требует обогащения</t>
        </is>
      </c>
      <c r="Q3230" s="16">
        <f>HYPERLINK("https://pb.nalog.ru/search.html?query=5030067107","ФНС: проверить")</f>
        <v/>
      </c>
      <c r="R3230" s="16">
        <f>HYPERLINK("https://checko.ru/search?query=3801001629","Чекко: проверить")</f>
        <v/>
      </c>
      <c r="S3230" t="n">
        <v>1</v>
      </c>
      <c r="T3230" s="35" t="inlineStr">
        <is>
          <t>4 — Не обогащён</t>
        </is>
      </c>
      <c r="U3230" s="35" t="inlineStr">
        <is>
          <t>Нет ОКВЭД/ССЧР</t>
        </is>
      </c>
      <c r="V3230" s="35" t="inlineStr">
        <is>
          <t>Не определено</t>
        </is>
      </c>
      <c r="W3230" s="35" t="inlineStr"/>
      <c r="X3230" s="35" t="inlineStr"/>
    </row>
    <row r="3231" ht="27.75" customHeight="1" s="24">
      <c r="A3231" s="13" t="n">
        <v>5000122641</v>
      </c>
      <c r="B3231" s="13" t="inlineStr">
        <is>
          <t>Администрация Быстринского муниципального округа Камчатского края</t>
        </is>
      </c>
      <c r="C3231" s="13" t="n">
        <v>4100053677</v>
      </c>
      <c r="D3231" s="13" t="inlineStr">
        <is>
          <t>4100053677</t>
        </is>
      </c>
      <c r="E3231" s="13" t="inlineStr">
        <is>
          <t>ЮЛ РФ</t>
        </is>
      </c>
      <c r="F3231" s="13" t="n"/>
      <c r="G3231" s="14" t="n"/>
      <c r="H3231" s="14" t="n"/>
      <c r="I3231" s="14" t="n"/>
      <c r="J3231" s="14" t="n"/>
      <c r="K3231" s="53" t="inlineStr"/>
      <c r="L3231" s="53" t="inlineStr">
        <is>
          <t>Не определено</t>
        </is>
      </c>
      <c r="M3231" s="53" t="inlineStr"/>
      <c r="N3231" s="54" t="inlineStr"/>
      <c r="O3231" s="55" t="inlineStr"/>
      <c r="P3231" s="16" t="inlineStr">
        <is>
          <t>Требует обогащения</t>
        </is>
      </c>
      <c r="Q3231" s="16">
        <f>HYPERLINK("https://pb.nalog.ru/search.html?query=4100053677","ФНС: проверить")</f>
        <v/>
      </c>
      <c r="R3231" s="16">
        <f>HYPERLINK("https://checko.ru/search?query=3801001629","Чекко: проверить")</f>
        <v/>
      </c>
      <c r="S3231" t="n">
        <v>1</v>
      </c>
      <c r="T3231" s="35" t="inlineStr">
        <is>
          <t>4 — Не обогащён</t>
        </is>
      </c>
      <c r="U3231" s="35" t="inlineStr">
        <is>
          <t>Нет ОКВЭД/ССЧР</t>
        </is>
      </c>
      <c r="V3231" s="35" t="inlineStr">
        <is>
          <t>Не определено</t>
        </is>
      </c>
      <c r="W3231" s="35" t="inlineStr"/>
      <c r="X3231" s="35" t="inlineStr"/>
    </row>
    <row r="3232" ht="41.25" customHeight="1" s="24">
      <c r="A3232" s="13" t="n">
        <v>5000120043</v>
      </c>
      <c r="B3232" s="13" t="inlineStr">
        <is>
          <t>ТЕРРИТОРИАЛЬНОЕ УПРАВЛЕНИЕ АТЕПЦЕВО АДМИНИСТРАЦИИ НАРО-ФОМИНСКОГО ГОРОДСКОГО ОКРУГА</t>
        </is>
      </c>
      <c r="C3232" s="13" t="n">
        <v>5030092833</v>
      </c>
      <c r="D3232" s="13" t="inlineStr">
        <is>
          <t>5030092833</t>
        </is>
      </c>
      <c r="E3232" s="13" t="inlineStr">
        <is>
          <t>ЮЛ РФ</t>
        </is>
      </c>
      <c r="F3232" s="13" t="n"/>
      <c r="G3232" s="14" t="n"/>
      <c r="H3232" s="14" t="n"/>
      <c r="I3232" s="14" t="n"/>
      <c r="J3232" s="14" t="n"/>
      <c r="K3232" s="53" t="inlineStr"/>
      <c r="L3232" s="53" t="inlineStr">
        <is>
          <t>Не определено</t>
        </is>
      </c>
      <c r="M3232" s="53" t="inlineStr"/>
      <c r="N3232" s="54" t="inlineStr"/>
      <c r="O3232" s="55" t="inlineStr"/>
      <c r="P3232" s="16" t="inlineStr">
        <is>
          <t>Требует обогащения</t>
        </is>
      </c>
      <c r="Q3232" s="16">
        <f>HYPERLINK("https://pb.nalog.ru/search.html?query=5030092833","ФНС: проверить")</f>
        <v/>
      </c>
      <c r="R3232" s="16">
        <f>HYPERLINK("https://checko.ru/search?query=3801001629","Чекко: проверить")</f>
        <v/>
      </c>
      <c r="S3232" t="n">
        <v>1</v>
      </c>
      <c r="T3232" s="35" t="inlineStr">
        <is>
          <t>4 — Не обогащён</t>
        </is>
      </c>
      <c r="U3232" s="35" t="inlineStr">
        <is>
          <t>Нет ОКВЭД/ССЧР</t>
        </is>
      </c>
      <c r="V3232" s="35" t="inlineStr">
        <is>
          <t>Не определено</t>
        </is>
      </c>
      <c r="W3232" s="35" t="inlineStr"/>
      <c r="X3232" s="35" t="inlineStr"/>
    </row>
    <row r="3233" ht="41.25" customHeight="1" s="24">
      <c r="A3233" s="13" t="n">
        <v>5000120041</v>
      </c>
      <c r="B3233" s="13" t="inlineStr">
        <is>
          <t>ТЕРРИТОРИАЛЬНОЕ УПРАВЛЕНИЕ ТАШИРОВО АДМИНИСТРАЦИИ НАРО-ФОМИНСКОГО ГОРОДСКОГО ОКРУГА</t>
        </is>
      </c>
      <c r="C3233" s="13" t="n">
        <v>5030092791</v>
      </c>
      <c r="D3233" s="13" t="inlineStr">
        <is>
          <t>5030092791</t>
        </is>
      </c>
      <c r="E3233" s="13" t="inlineStr">
        <is>
          <t>ЮЛ РФ</t>
        </is>
      </c>
      <c r="F3233" s="13" t="n"/>
      <c r="G3233" s="14" t="n"/>
      <c r="H3233" s="14" t="n"/>
      <c r="I3233" s="14" t="n"/>
      <c r="J3233" s="14" t="n"/>
      <c r="K3233" s="53" t="inlineStr"/>
      <c r="L3233" s="53" t="inlineStr">
        <is>
          <t>Не определено</t>
        </is>
      </c>
      <c r="M3233" s="53" t="inlineStr"/>
      <c r="N3233" s="54" t="inlineStr"/>
      <c r="O3233" s="55" t="inlineStr"/>
      <c r="P3233" s="16" t="inlineStr">
        <is>
          <t>Требует обогащения</t>
        </is>
      </c>
      <c r="Q3233" s="16">
        <f>HYPERLINK("https://pb.nalog.ru/search.html?query=5030092791","ФНС: проверить")</f>
        <v/>
      </c>
      <c r="R3233" s="16">
        <f>HYPERLINK("https://checko.ru/search?query=3801001629","Чекко: проверить")</f>
        <v/>
      </c>
      <c r="S3233" t="n">
        <v>1</v>
      </c>
      <c r="T3233" s="35" t="inlineStr">
        <is>
          <t>4 — Не обогащён</t>
        </is>
      </c>
      <c r="U3233" s="35" t="inlineStr">
        <is>
          <t>Нет ОКВЭД/ССЧР</t>
        </is>
      </c>
      <c r="V3233" s="35" t="inlineStr">
        <is>
          <t>Не определено</t>
        </is>
      </c>
      <c r="W3233" s="35" t="inlineStr"/>
      <c r="X3233" s="35" t="inlineStr"/>
    </row>
    <row r="3234" ht="27.75" customHeight="1" s="24">
      <c r="A3234" s="13" t="n">
        <v>5000112075</v>
      </c>
      <c r="B3234" s="13" t="inlineStr">
        <is>
          <t>ФИНАНСОВЫЙ ОТДЕЛ   АДМИНИСТРАЦИИ МУНИЦИПАЛЬНОГО ОБРАЗОВАНИЯ "ЕГОРОВСК"</t>
        </is>
      </c>
      <c r="C3234" s="13" t="n">
        <v>8501005124</v>
      </c>
      <c r="D3234" s="13" t="inlineStr">
        <is>
          <t>8501005124</t>
        </is>
      </c>
      <c r="E3234" s="13" t="inlineStr">
        <is>
          <t>ЮЛ РФ</t>
        </is>
      </c>
      <c r="F3234" s="13" t="n"/>
      <c r="G3234" s="14" t="n"/>
      <c r="H3234" s="14" t="n"/>
      <c r="I3234" s="14" t="n"/>
      <c r="J3234" s="14" t="n"/>
      <c r="K3234" s="53" t="inlineStr"/>
      <c r="L3234" s="53" t="inlineStr">
        <is>
          <t>Не определено</t>
        </is>
      </c>
      <c r="M3234" s="53" t="inlineStr"/>
      <c r="N3234" s="54" t="inlineStr"/>
      <c r="O3234" s="55" t="inlineStr"/>
      <c r="P3234" s="16" t="inlineStr">
        <is>
          <t>Требует обогащения</t>
        </is>
      </c>
      <c r="Q3234" s="16">
        <f>HYPERLINK("https://pb.nalog.ru/search.html?query=8501005124","ФНС: проверить")</f>
        <v/>
      </c>
      <c r="R3234" s="16">
        <f>HYPERLINK("https://checko.ru/search?query=3801001629","Чекко: проверить")</f>
        <v/>
      </c>
      <c r="S3234" t="n">
        <v>1</v>
      </c>
      <c r="T3234" s="35" t="inlineStr">
        <is>
          <t>4 — Не обогащён</t>
        </is>
      </c>
      <c r="U3234" s="35" t="inlineStr">
        <is>
          <t>Нет ОКВЭД/ССЧР</t>
        </is>
      </c>
      <c r="V3234" s="35" t="inlineStr">
        <is>
          <t>Не определено</t>
        </is>
      </c>
      <c r="W3234" s="35" t="inlineStr"/>
      <c r="X3234" s="35" t="inlineStr"/>
    </row>
    <row r="3235" ht="27.75" customHeight="1" s="24">
      <c r="A3235" s="13" t="n">
        <v>5000122638</v>
      </c>
      <c r="B3235" s="13" t="inlineStr">
        <is>
          <t>Муниципальное казенное учреждение культуры 
«Центр досуга  п. Крутогоровский»</t>
        </is>
      </c>
      <c r="C3235" s="13" t="n">
        <v>4107001565</v>
      </c>
      <c r="D3235" s="13" t="inlineStr">
        <is>
          <t>4107001565</t>
        </is>
      </c>
      <c r="E3235" s="13" t="inlineStr">
        <is>
          <t>ЮЛ РФ</t>
        </is>
      </c>
      <c r="F3235" s="13" t="n"/>
      <c r="G3235" s="14" t="n"/>
      <c r="H3235" s="14" t="n"/>
      <c r="I3235" s="14" t="n"/>
      <c r="J3235" s="14" t="n"/>
      <c r="K3235" s="53" t="inlineStr"/>
      <c r="L3235" s="53" t="inlineStr">
        <is>
          <t>Не определено</t>
        </is>
      </c>
      <c r="M3235" s="53" t="inlineStr"/>
      <c r="N3235" s="54" t="inlineStr"/>
      <c r="O3235" s="55" t="inlineStr"/>
      <c r="P3235" s="16" t="inlineStr">
        <is>
          <t>Требует обогащения</t>
        </is>
      </c>
      <c r="Q3235" s="16">
        <f>HYPERLINK("https://pb.nalog.ru/search.html?query=4107001565","ФНС: проверить")</f>
        <v/>
      </c>
      <c r="R3235" s="16">
        <f>HYPERLINK("https://checko.ru/search?query=3801001629","Чекко: проверить")</f>
        <v/>
      </c>
      <c r="S3235" t="n">
        <v>1</v>
      </c>
      <c r="T3235" s="35" t="inlineStr">
        <is>
          <t>4 — Не обогащён</t>
        </is>
      </c>
      <c r="U3235" s="35" t="inlineStr">
        <is>
          <t>Нет ОКВЭД/ССЧР</t>
        </is>
      </c>
      <c r="V3235" s="35" t="inlineStr">
        <is>
          <t>Не определено</t>
        </is>
      </c>
      <c r="W3235" s="35" t="inlineStr"/>
      <c r="X3235" s="35" t="inlineStr"/>
    </row>
    <row r="3236" ht="41.25" customHeight="1" s="24">
      <c r="A3236" s="13" t="n">
        <v>5000122619</v>
      </c>
      <c r="B3236" s="13" t="inlineStr">
        <is>
          <t>ОТДЕЛ СОЦИАЛЬНОЙ ПОДДЕРЖКИ НАСЕЛЕНИЯ АДМИНИСТРАЦИИ УСТЬ-БОЛЬШЕРЕЦКОГО МУНИЦИПАЛЬНОГО РАЙОНА</t>
        </is>
      </c>
      <c r="C3236" s="13" t="n">
        <v>4108001631</v>
      </c>
      <c r="D3236" s="13" t="inlineStr">
        <is>
          <t>4108001631</t>
        </is>
      </c>
      <c r="E3236" s="13" t="inlineStr">
        <is>
          <t>ЮЛ РФ</t>
        </is>
      </c>
      <c r="F3236" s="13" t="n"/>
      <c r="G3236" s="14" t="n"/>
      <c r="H3236" s="14" t="n"/>
      <c r="I3236" s="14" t="n"/>
      <c r="J3236" s="14" t="n"/>
      <c r="K3236" s="53" t="inlineStr"/>
      <c r="L3236" s="53" t="inlineStr">
        <is>
          <t>Не определено</t>
        </is>
      </c>
      <c r="M3236" s="53" t="inlineStr"/>
      <c r="N3236" s="54" t="inlineStr"/>
      <c r="O3236" s="55" t="inlineStr"/>
      <c r="P3236" s="16" t="inlineStr">
        <is>
          <t>Требует обогащения</t>
        </is>
      </c>
      <c r="Q3236" s="16">
        <f>HYPERLINK("https://pb.nalog.ru/search.html?query=4108001631","ФНС: проверить")</f>
        <v/>
      </c>
      <c r="R3236" s="16">
        <f>HYPERLINK("https://checko.ru/search?query=3801001629","Чекко: проверить")</f>
        <v/>
      </c>
      <c r="S3236" t="n">
        <v>1</v>
      </c>
      <c r="T3236" s="35" t="inlineStr">
        <is>
          <t>4 — Не обогащён</t>
        </is>
      </c>
      <c r="U3236" s="35" t="inlineStr">
        <is>
          <t>Нет ОКВЭД/ССЧР</t>
        </is>
      </c>
      <c r="V3236" s="35" t="inlineStr">
        <is>
          <t>Не определено</t>
        </is>
      </c>
      <c r="W3236" s="35" t="inlineStr"/>
      <c r="X3236" s="35" t="inlineStr"/>
    </row>
    <row r="3237" ht="68.25" customHeight="1" s="24">
      <c r="A3237" s="13" t="n">
        <v>5000117352</v>
      </c>
      <c r="B3237" s="13" t="inlineStr">
        <is>
          <t>Муниципальное автономное общеобразовательное учреждение Алабинская средняя общеобразовательная школа с углубленным изучением отдельных предметов имени</t>
        </is>
      </c>
      <c r="C3237" s="13" t="n">
        <v>5030032143</v>
      </c>
      <c r="D3237" s="13" t="inlineStr">
        <is>
          <t>5030032143</t>
        </is>
      </c>
      <c r="E3237" s="13" t="inlineStr">
        <is>
          <t>ЮЛ РФ</t>
        </is>
      </c>
      <c r="F3237" s="13" t="n"/>
      <c r="G3237" s="14" t="n"/>
      <c r="H3237" s="14" t="n"/>
      <c r="I3237" s="14" t="n"/>
      <c r="J3237" s="14" t="n"/>
      <c r="K3237" s="53" t="inlineStr"/>
      <c r="L3237" s="53" t="inlineStr">
        <is>
          <t>Не определено</t>
        </is>
      </c>
      <c r="M3237" s="53" t="inlineStr"/>
      <c r="N3237" s="54" t="inlineStr"/>
      <c r="O3237" s="55" t="inlineStr"/>
      <c r="P3237" s="16" t="inlineStr">
        <is>
          <t>Требует обогащения</t>
        </is>
      </c>
      <c r="Q3237" s="16">
        <f>HYPERLINK("https://pb.nalog.ru/search.html?query=5030032143","ФНС: проверить")</f>
        <v/>
      </c>
      <c r="R3237" s="16">
        <f>HYPERLINK("https://checko.ru/search?query=3801001629","Чекко: проверить")</f>
        <v/>
      </c>
      <c r="S3237" t="n">
        <v>1</v>
      </c>
      <c r="T3237" s="35" t="inlineStr">
        <is>
          <t>4 — Не обогащён</t>
        </is>
      </c>
      <c r="U3237" s="35" t="inlineStr">
        <is>
          <t>Нет ОКВЭД/ССЧР</t>
        </is>
      </c>
      <c r="V3237" s="35" t="inlineStr">
        <is>
          <t>Не определено</t>
        </is>
      </c>
      <c r="W3237" s="35" t="inlineStr"/>
      <c r="X3237" s="35" t="inlineStr"/>
    </row>
    <row r="3238" ht="54.75" customHeight="1" s="24">
      <c r="A3238" s="13" t="n">
        <v>5000117355</v>
      </c>
      <c r="B3238" s="13" t="inlineStr">
        <is>
          <t>Муниципальное автономное общеобразовательное учреждение Апрелевская средняя общеобразовательная школа №3 с углубленным изучением отдельных предметов</t>
        </is>
      </c>
      <c r="C3238" s="13" t="n">
        <v>5030032506</v>
      </c>
      <c r="D3238" s="13" t="inlineStr">
        <is>
          <t>5030032506</t>
        </is>
      </c>
      <c r="E3238" s="13" t="inlineStr">
        <is>
          <t>ЮЛ РФ</t>
        </is>
      </c>
      <c r="F3238" s="13" t="n"/>
      <c r="G3238" s="14" t="n"/>
      <c r="H3238" s="14" t="n"/>
      <c r="I3238" s="14" t="n"/>
      <c r="J3238" s="14" t="n"/>
      <c r="K3238" s="53" t="inlineStr"/>
      <c r="L3238" s="53" t="inlineStr">
        <is>
          <t>Не определено</t>
        </is>
      </c>
      <c r="M3238" s="53" t="inlineStr"/>
      <c r="N3238" s="54" t="inlineStr"/>
      <c r="O3238" s="55" t="inlineStr"/>
      <c r="P3238" s="16" t="inlineStr">
        <is>
          <t>Требует обогащения</t>
        </is>
      </c>
      <c r="Q3238" s="16">
        <f>HYPERLINK("https://pb.nalog.ru/search.html?query=5030032506","ФНС: проверить")</f>
        <v/>
      </c>
      <c r="R3238" s="16">
        <f>HYPERLINK("https://checko.ru/search?query=3801001629","Чекко: проверить")</f>
        <v/>
      </c>
      <c r="S3238" t="n">
        <v>1</v>
      </c>
      <c r="T3238" s="35" t="inlineStr">
        <is>
          <t>4 — Не обогащён</t>
        </is>
      </c>
      <c r="U3238" s="35" t="inlineStr">
        <is>
          <t>Нет ОКВЭД/ССЧР</t>
        </is>
      </c>
      <c r="V3238" s="35" t="inlineStr">
        <is>
          <t>Не определено</t>
        </is>
      </c>
      <c r="W3238" s="35" t="inlineStr"/>
      <c r="X3238" s="35" t="inlineStr"/>
    </row>
    <row r="3239" ht="27.75" customHeight="1" s="24">
      <c r="A3239" s="13" t="n">
        <v>5000122677</v>
      </c>
      <c r="B3239" s="13" t="inlineStr">
        <is>
          <t>Управление Архитектуры и городского Хозяйства Администрации Вилючинского городского округа</t>
        </is>
      </c>
      <c r="C3239" s="13" t="n">
        <v>4100041833</v>
      </c>
      <c r="D3239" s="13" t="inlineStr">
        <is>
          <t>4100041833</t>
        </is>
      </c>
      <c r="E3239" s="13" t="inlineStr">
        <is>
          <t>ЮЛ РФ</t>
        </is>
      </c>
      <c r="F3239" s="13" t="n"/>
      <c r="G3239" s="14" t="n"/>
      <c r="H3239" s="14" t="n"/>
      <c r="I3239" s="14" t="n"/>
      <c r="J3239" s="14" t="n"/>
      <c r="K3239" s="53" t="inlineStr"/>
      <c r="L3239" s="53" t="inlineStr">
        <is>
          <t>Не определено</t>
        </is>
      </c>
      <c r="M3239" s="53" t="inlineStr"/>
      <c r="N3239" s="54" t="inlineStr"/>
      <c r="O3239" s="55" t="inlineStr"/>
      <c r="P3239" s="16" t="inlineStr">
        <is>
          <t>Требует обогащения</t>
        </is>
      </c>
      <c r="Q3239" s="16">
        <f>HYPERLINK("https://pb.nalog.ru/search.html?query=4100041833","ФНС: проверить")</f>
        <v/>
      </c>
      <c r="R3239" s="16">
        <f>HYPERLINK("https://checko.ru/search?query=3801001629","Чекко: проверить")</f>
        <v/>
      </c>
      <c r="S3239" t="n">
        <v>1</v>
      </c>
      <c r="T3239" s="35" t="inlineStr">
        <is>
          <t>4 — Не обогащён</t>
        </is>
      </c>
      <c r="U3239" s="35" t="inlineStr">
        <is>
          <t>Нет ОКВЭД/ССЧР</t>
        </is>
      </c>
      <c r="V3239" s="35" t="inlineStr">
        <is>
          <t>Не определено</t>
        </is>
      </c>
      <c r="W3239" s="35" t="inlineStr"/>
      <c r="X3239" s="35" t="inlineStr"/>
    </row>
    <row r="3240" ht="54.75" customHeight="1" s="24">
      <c r="A3240" s="13" t="n">
        <v>5000122673</v>
      </c>
      <c r="B3240" s="13" t="inlineStr">
        <is>
          <t>Дума Вилючинского городского округа Закрытого Административно-Территориального Образования Города Вилючинска Камчатского края</t>
        </is>
      </c>
      <c r="C3240" s="13" t="n">
        <v>4102008454</v>
      </c>
      <c r="D3240" s="13" t="inlineStr">
        <is>
          <t>4102008454</t>
        </is>
      </c>
      <c r="E3240" s="13" t="inlineStr">
        <is>
          <t>ЮЛ РФ</t>
        </is>
      </c>
      <c r="F3240" s="13" t="n"/>
      <c r="G3240" s="14" t="n"/>
      <c r="H3240" s="14" t="n"/>
      <c r="I3240" s="14" t="n"/>
      <c r="J3240" s="14" t="n"/>
      <c r="K3240" s="53" t="inlineStr"/>
      <c r="L3240" s="53" t="inlineStr">
        <is>
          <t>Не определено</t>
        </is>
      </c>
      <c r="M3240" s="53" t="inlineStr"/>
      <c r="N3240" s="54" t="inlineStr"/>
      <c r="O3240" s="55" t="inlineStr"/>
      <c r="P3240" s="16" t="inlineStr">
        <is>
          <t>Требует обогащения</t>
        </is>
      </c>
      <c r="Q3240" s="16">
        <f>HYPERLINK("https://pb.nalog.ru/search.html?query=4102008454","ФНС: проверить")</f>
        <v/>
      </c>
      <c r="R3240" s="16">
        <f>HYPERLINK("https://checko.ru/search?query=3801001629","Чекко: проверить")</f>
        <v/>
      </c>
      <c r="S3240" t="n">
        <v>1</v>
      </c>
      <c r="T3240" s="35" t="inlineStr">
        <is>
          <t>4 — Не обогащён</t>
        </is>
      </c>
      <c r="U3240" s="35" t="inlineStr">
        <is>
          <t>Нет ОКВЭД/ССЧР</t>
        </is>
      </c>
      <c r="V3240" s="35" t="inlineStr">
        <is>
          <t>Не определено</t>
        </is>
      </c>
      <c r="W3240" s="35" t="inlineStr"/>
      <c r="X3240" s="35" t="inlineStr"/>
    </row>
    <row r="3241" ht="15" customHeight="1" s="24">
      <c r="A3241" s="13" t="n">
        <v>5000122376</v>
      </c>
      <c r="B3241" s="13" t="inlineStr">
        <is>
          <t>МБУК СДК "ЮНОСТЬ"</t>
        </is>
      </c>
      <c r="C3241" s="13" t="n">
        <v>5042043157</v>
      </c>
      <c r="D3241" s="13" t="inlineStr">
        <is>
          <t>5042043157</t>
        </is>
      </c>
      <c r="E3241" s="13" t="inlineStr">
        <is>
          <t>ЮЛ РФ</t>
        </is>
      </c>
      <c r="F3241" s="13" t="n"/>
      <c r="G3241" s="14" t="n"/>
      <c r="H3241" s="14" t="n"/>
      <c r="I3241" s="14" t="n"/>
      <c r="J3241" s="14" t="n"/>
      <c r="K3241" s="53" t="inlineStr"/>
      <c r="L3241" s="53" t="inlineStr">
        <is>
          <t>Не определено</t>
        </is>
      </c>
      <c r="M3241" s="53" t="inlineStr"/>
      <c r="N3241" s="54" t="inlineStr"/>
      <c r="O3241" s="55" t="inlineStr"/>
      <c r="P3241" s="16" t="inlineStr">
        <is>
          <t>Требует обогащения</t>
        </is>
      </c>
      <c r="Q3241" s="16">
        <f>HYPERLINK("https://pb.nalog.ru/search.html?query=5042043157","ФНС: проверить")</f>
        <v/>
      </c>
      <c r="R3241" s="16">
        <f>HYPERLINK("https://checko.ru/search?query=3801001629","Чекко: проверить")</f>
        <v/>
      </c>
      <c r="S3241" t="n">
        <v>1</v>
      </c>
      <c r="T3241" s="35" t="inlineStr">
        <is>
          <t>4 — Не обогащён</t>
        </is>
      </c>
      <c r="U3241" s="35" t="inlineStr">
        <is>
          <t>Нет ОКВЭД/ССЧР</t>
        </is>
      </c>
      <c r="V3241" s="35" t="inlineStr">
        <is>
          <t>Не определено</t>
        </is>
      </c>
      <c r="W3241" s="35" t="inlineStr"/>
      <c r="X3241" s="35" t="inlineStr"/>
    </row>
    <row r="3242" ht="15" customHeight="1" s="24">
      <c r="A3242" s="13" t="n">
        <v>5000122533</v>
      </c>
      <c r="B3242" s="13" t="inlineStr">
        <is>
          <t>Избирательная комиссия КАМЧАТСКОГО края</t>
        </is>
      </c>
      <c r="C3242" s="13" t="n">
        <v>4101124715</v>
      </c>
      <c r="D3242" s="13" t="inlineStr">
        <is>
          <t>4101124715</t>
        </is>
      </c>
      <c r="E3242" s="13" t="inlineStr">
        <is>
          <t>ЮЛ РФ</t>
        </is>
      </c>
      <c r="F3242" s="13" t="n"/>
      <c r="G3242" s="14" t="n"/>
      <c r="H3242" s="14" t="n"/>
      <c r="I3242" s="14" t="n"/>
      <c r="J3242" s="14" t="n"/>
      <c r="K3242" s="53" t="inlineStr"/>
      <c r="L3242" s="53" t="inlineStr">
        <is>
          <t>Не определено</t>
        </is>
      </c>
      <c r="M3242" s="53" t="inlineStr"/>
      <c r="N3242" s="54" t="inlineStr"/>
      <c r="O3242" s="55" t="inlineStr"/>
      <c r="P3242" s="16" t="inlineStr">
        <is>
          <t>Требует обогащения</t>
        </is>
      </c>
      <c r="Q3242" s="16">
        <f>HYPERLINK("https://pb.nalog.ru/search.html?query=4101124715","ФНС: проверить")</f>
        <v/>
      </c>
      <c r="R3242" s="16">
        <f>HYPERLINK("https://checko.ru/search?query=3801001629","Чекко: проверить")</f>
        <v/>
      </c>
      <c r="S3242" t="n">
        <v>1</v>
      </c>
      <c r="T3242" s="35" t="inlineStr">
        <is>
          <t>4 — Не обогащён</t>
        </is>
      </c>
      <c r="U3242" s="35" t="inlineStr">
        <is>
          <t>Нет ОКВЭД/ССЧР</t>
        </is>
      </c>
      <c r="V3242" s="35" t="inlineStr">
        <is>
          <t>Не определено</t>
        </is>
      </c>
      <c r="W3242" s="35" t="inlineStr"/>
      <c r="X3242" s="35" t="inlineStr"/>
    </row>
    <row r="3243" ht="27.75" customHeight="1" s="24">
      <c r="A3243" s="13" t="n">
        <v>5000110085</v>
      </c>
      <c r="B3243" s="13" t="inlineStr">
        <is>
          <t>Комитет по Экономике Администрации Наро-Фоминского городского округа</t>
        </is>
      </c>
      <c r="C3243" s="13" t="n">
        <v>5030106420</v>
      </c>
      <c r="D3243" s="13" t="inlineStr">
        <is>
          <t>5030106420</t>
        </is>
      </c>
      <c r="E3243" s="13" t="inlineStr">
        <is>
          <t>ЮЛ РФ</t>
        </is>
      </c>
      <c r="F3243" s="13" t="n"/>
      <c r="G3243" s="14" t="n"/>
      <c r="H3243" s="14" t="n"/>
      <c r="I3243" s="14" t="n"/>
      <c r="J3243" s="14" t="n"/>
      <c r="K3243" s="53" t="inlineStr"/>
      <c r="L3243" s="53" t="inlineStr">
        <is>
          <t>Не определено</t>
        </is>
      </c>
      <c r="M3243" s="53" t="inlineStr"/>
      <c r="N3243" s="54" t="inlineStr"/>
      <c r="O3243" s="55" t="inlineStr"/>
      <c r="P3243" s="16" t="inlineStr">
        <is>
          <t>Требует обогащения</t>
        </is>
      </c>
      <c r="Q3243" s="16">
        <f>HYPERLINK("https://pb.nalog.ru/search.html?query=5030106420","ФНС: проверить")</f>
        <v/>
      </c>
      <c r="R3243" s="16">
        <f>HYPERLINK("https://checko.ru/search?query=3801001629","Чекко: проверить")</f>
        <v/>
      </c>
      <c r="S3243" t="n">
        <v>1</v>
      </c>
      <c r="T3243" s="35" t="inlineStr">
        <is>
          <t>4 — Не обогащён</t>
        </is>
      </c>
      <c r="U3243" s="35" t="inlineStr">
        <is>
          <t>Нет ОКВЭД/ССЧР</t>
        </is>
      </c>
      <c r="V3243" s="35" t="inlineStr">
        <is>
          <t>Не определено</t>
        </is>
      </c>
      <c r="W3243" s="35" t="inlineStr"/>
      <c r="X3243" s="35" t="inlineStr"/>
    </row>
    <row r="3244" ht="27.75" customHeight="1" s="24">
      <c r="A3244" s="13" t="n">
        <v>5000122536</v>
      </c>
      <c r="B3244" s="13" t="inlineStr">
        <is>
          <t>КГБУ "Региональный центр развития энергетики и энергоснабжения"</t>
        </is>
      </c>
      <c r="C3244" s="13" t="n">
        <v>4101154269</v>
      </c>
      <c r="D3244" s="13" t="inlineStr">
        <is>
          <t>4101154269</t>
        </is>
      </c>
      <c r="E3244" s="13" t="inlineStr">
        <is>
          <t>ЮЛ РФ</t>
        </is>
      </c>
      <c r="F3244" s="13" t="n"/>
      <c r="G3244" s="14" t="n"/>
      <c r="H3244" s="14" t="n"/>
      <c r="I3244" s="14" t="n"/>
      <c r="J3244" s="14" t="n"/>
      <c r="K3244" s="53" t="inlineStr"/>
      <c r="L3244" s="53" t="inlineStr">
        <is>
          <t>Не определено</t>
        </is>
      </c>
      <c r="M3244" s="53" t="inlineStr"/>
      <c r="N3244" s="54" t="inlineStr"/>
      <c r="O3244" s="55" t="inlineStr"/>
      <c r="P3244" s="16" t="inlineStr">
        <is>
          <t>Требует обогащения</t>
        </is>
      </c>
      <c r="Q3244" s="16">
        <f>HYPERLINK("https://pb.nalog.ru/search.html?query=4101154269","ФНС: проверить")</f>
        <v/>
      </c>
      <c r="R3244" s="16">
        <f>HYPERLINK("https://checko.ru/search?query=3801001629","Чекко: проверить")</f>
        <v/>
      </c>
      <c r="S3244" t="n">
        <v>1</v>
      </c>
      <c r="T3244" s="35" t="inlineStr">
        <is>
          <t>4 — Не обогащён</t>
        </is>
      </c>
      <c r="U3244" s="35" t="inlineStr">
        <is>
          <t>Нет ОКВЭД/ССЧР</t>
        </is>
      </c>
      <c r="V3244" s="35" t="inlineStr">
        <is>
          <t>Не определено</t>
        </is>
      </c>
      <c r="W3244" s="35" t="inlineStr"/>
      <c r="X3244" s="35" t="inlineStr"/>
    </row>
    <row r="3245" ht="27.75" customHeight="1" s="24">
      <c r="A3245" s="13" t="n">
        <v>5000122623</v>
      </c>
      <c r="B3245" s="13" t="inlineStr">
        <is>
          <t>Администрация Октябрьского городского поселения</t>
        </is>
      </c>
      <c r="C3245" s="13" t="n">
        <v>4108006372</v>
      </c>
      <c r="D3245" s="13" t="inlineStr">
        <is>
          <t>4108006372</t>
        </is>
      </c>
      <c r="E3245" s="13" t="inlineStr">
        <is>
          <t>ЮЛ РФ</t>
        </is>
      </c>
      <c r="F3245" s="13" t="n"/>
      <c r="G3245" s="14" t="n"/>
      <c r="H3245" s="14" t="n"/>
      <c r="I3245" s="14" t="n"/>
      <c r="J3245" s="14" t="n"/>
      <c r="K3245" s="53" t="inlineStr"/>
      <c r="L3245" s="53" t="inlineStr">
        <is>
          <t>Не определено</t>
        </is>
      </c>
      <c r="M3245" s="53" t="inlineStr"/>
      <c r="N3245" s="54" t="inlineStr"/>
      <c r="O3245" s="55" t="inlineStr"/>
      <c r="P3245" s="16" t="inlineStr">
        <is>
          <t>Требует обогащения</t>
        </is>
      </c>
      <c r="Q3245" s="16">
        <f>HYPERLINK("https://pb.nalog.ru/search.html?query=4108006372","ФНС: проверить")</f>
        <v/>
      </c>
      <c r="R3245" s="16">
        <f>HYPERLINK("https://checko.ru/search?query=3801001629","Чекко: проверить")</f>
        <v/>
      </c>
      <c r="S3245" t="n">
        <v>1</v>
      </c>
      <c r="T3245" s="35" t="inlineStr">
        <is>
          <t>4 — Не обогащён</t>
        </is>
      </c>
      <c r="U3245" s="35" t="inlineStr">
        <is>
          <t>Нет ОКВЭД/ССЧР</t>
        </is>
      </c>
      <c r="V3245" s="35" t="inlineStr">
        <is>
          <t>Не определено</t>
        </is>
      </c>
      <c r="W3245" s="35" t="inlineStr"/>
      <c r="X3245" s="35" t="inlineStr"/>
    </row>
    <row r="3246" ht="27.75" customHeight="1" s="24">
      <c r="A3246" s="13" t="n">
        <v>5000122573</v>
      </c>
      <c r="B3246" s="13" t="inlineStr">
        <is>
          <t>АДМИНИСТРАЦИЯ ПЕТРОПАВЛОВСК-КАМЧАТСКОГО ГОРОДСКОГО ОКРУГА</t>
        </is>
      </c>
      <c r="C3246" s="13" t="n">
        <v>4101036106</v>
      </c>
      <c r="D3246" s="13" t="inlineStr">
        <is>
          <t>4101036106</t>
        </is>
      </c>
      <c r="E3246" s="13" t="inlineStr">
        <is>
          <t>ЮЛ РФ</t>
        </is>
      </c>
      <c r="F3246" s="13" t="n"/>
      <c r="G3246" s="14" t="n"/>
      <c r="H3246" s="14" t="n"/>
      <c r="I3246" s="14" t="n"/>
      <c r="J3246" s="14" t="n"/>
      <c r="K3246" s="53" t="inlineStr"/>
      <c r="L3246" s="53" t="inlineStr">
        <is>
          <t>Не определено</t>
        </is>
      </c>
      <c r="M3246" s="53" t="inlineStr"/>
      <c r="N3246" s="54" t="inlineStr"/>
      <c r="O3246" s="55" t="inlineStr"/>
      <c r="P3246" s="16" t="inlineStr">
        <is>
          <t>Требует обогащения</t>
        </is>
      </c>
      <c r="Q3246" s="16">
        <f>HYPERLINK("https://pb.nalog.ru/search.html?query=4101036106","ФНС: проверить")</f>
        <v/>
      </c>
      <c r="R3246" s="16">
        <f>HYPERLINK("https://checko.ru/search?query=3801001629","Чекко: проверить")</f>
        <v/>
      </c>
      <c r="S3246" t="n">
        <v>1</v>
      </c>
      <c r="T3246" s="35" t="inlineStr">
        <is>
          <t>4 — Не обогащён</t>
        </is>
      </c>
      <c r="U3246" s="35" t="inlineStr">
        <is>
          <t>Нет ОКВЭД/ССЧР</t>
        </is>
      </c>
      <c r="V3246" s="35" t="inlineStr">
        <is>
          <t>Не определено</t>
        </is>
      </c>
      <c r="W3246" s="35" t="inlineStr"/>
      <c r="X3246" s="35" t="inlineStr"/>
    </row>
    <row r="3247" ht="15" customHeight="1" s="24">
      <c r="A3247" s="13" t="n">
        <v>5000122561</v>
      </c>
      <c r="B3247" s="13" t="inlineStr">
        <is>
          <t>КГКУ ЕДС "КАМЧАТСКАЯ КРАЕВАЯ БОЛЬНИЦА"</t>
        </is>
      </c>
      <c r="C3247" s="13" t="n">
        <v>4101192962</v>
      </c>
      <c r="D3247" s="13" t="inlineStr">
        <is>
          <t>4101192962</t>
        </is>
      </c>
      <c r="E3247" s="13" t="inlineStr">
        <is>
          <t>ЮЛ РФ</t>
        </is>
      </c>
      <c r="F3247" s="13" t="n"/>
      <c r="G3247" s="14" t="n"/>
      <c r="H3247" s="14" t="n"/>
      <c r="I3247" s="14" t="n"/>
      <c r="J3247" s="14" t="n"/>
      <c r="K3247" s="53" t="inlineStr"/>
      <c r="L3247" s="53" t="inlineStr">
        <is>
          <t>Не определено</t>
        </is>
      </c>
      <c r="M3247" s="53" t="inlineStr"/>
      <c r="N3247" s="54" t="inlineStr"/>
      <c r="O3247" s="55" t="inlineStr"/>
      <c r="P3247" s="16" t="inlineStr">
        <is>
          <t>Требует обогащения</t>
        </is>
      </c>
      <c r="Q3247" s="16">
        <f>HYPERLINK("https://pb.nalog.ru/search.html?query=4101192962","ФНС: проверить")</f>
        <v/>
      </c>
      <c r="R3247" s="16">
        <f>HYPERLINK("https://checko.ru/search?query=3801001629","Чекко: проверить")</f>
        <v/>
      </c>
      <c r="S3247" t="n">
        <v>1</v>
      </c>
      <c r="T3247" s="35" t="inlineStr">
        <is>
          <t>4 — Не обогащён</t>
        </is>
      </c>
      <c r="U3247" s="35" t="inlineStr">
        <is>
          <t>Нет ОКВЭД/ССЧР</t>
        </is>
      </c>
      <c r="V3247" s="35" t="inlineStr">
        <is>
          <t>Не определено</t>
        </is>
      </c>
      <c r="W3247" s="35" t="inlineStr"/>
      <c r="X3247" s="35" t="inlineStr"/>
    </row>
    <row r="3248" ht="41.25" customHeight="1" s="24">
      <c r="A3248" s="13" t="n">
        <v>5000122605</v>
      </c>
      <c r="B3248" s="13" t="inlineStr">
        <is>
          <t>Отдел социальной поддержки населения администрации Усть-Камчатского муниципального района</t>
        </is>
      </c>
      <c r="C3248" s="13" t="n">
        <v>4109004226</v>
      </c>
      <c r="D3248" s="13" t="inlineStr">
        <is>
          <t>4109004226</t>
        </is>
      </c>
      <c r="E3248" s="13" t="inlineStr">
        <is>
          <t>ЮЛ РФ</t>
        </is>
      </c>
      <c r="F3248" s="13" t="n"/>
      <c r="G3248" s="14" t="n"/>
      <c r="H3248" s="14" t="n"/>
      <c r="I3248" s="14" t="n"/>
      <c r="J3248" s="14" t="n"/>
      <c r="K3248" s="53" t="inlineStr"/>
      <c r="L3248" s="53" t="inlineStr">
        <is>
          <t>Не определено</t>
        </is>
      </c>
      <c r="M3248" s="53" t="inlineStr"/>
      <c r="N3248" s="54" t="inlineStr"/>
      <c r="O3248" s="55" t="inlineStr"/>
      <c r="P3248" s="16" t="inlineStr">
        <is>
          <t>Требует обогащения</t>
        </is>
      </c>
      <c r="Q3248" s="16">
        <f>HYPERLINK("https://pb.nalog.ru/search.html?query=4109004226","ФНС: проверить")</f>
        <v/>
      </c>
      <c r="R3248" s="16">
        <f>HYPERLINK("https://checko.ru/search?query=3801001629","Чекко: проверить")</f>
        <v/>
      </c>
      <c r="S3248" t="n">
        <v>1</v>
      </c>
      <c r="T3248" s="35" t="inlineStr">
        <is>
          <t>4 — Не обогащён</t>
        </is>
      </c>
      <c r="U3248" s="35" t="inlineStr">
        <is>
          <t>Нет ОКВЭД/ССЧР</t>
        </is>
      </c>
      <c r="V3248" s="35" t="inlineStr">
        <is>
          <t>Не определено</t>
        </is>
      </c>
      <c r="W3248" s="35" t="inlineStr"/>
      <c r="X3248" s="35" t="inlineStr"/>
    </row>
    <row r="3249" ht="27.75" customHeight="1" s="24">
      <c r="A3249" s="13" t="n">
        <v>5000122656</v>
      </c>
      <c r="B3249" s="13" t="inlineStr">
        <is>
          <t>КГБУ "Корякская централизованная библиотечная система имени Кеккетына"</t>
        </is>
      </c>
      <c r="C3249" s="13" t="n">
        <v>8202010158</v>
      </c>
      <c r="D3249" s="13" t="inlineStr">
        <is>
          <t>8202010158</t>
        </is>
      </c>
      <c r="E3249" s="13" t="inlineStr">
        <is>
          <t>ЮЛ РФ</t>
        </is>
      </c>
      <c r="F3249" s="13" t="n"/>
      <c r="G3249" s="14" t="n"/>
      <c r="H3249" s="14" t="n"/>
      <c r="I3249" s="14" t="n"/>
      <c r="J3249" s="14" t="n"/>
      <c r="K3249" s="53" t="inlineStr"/>
      <c r="L3249" s="53" t="inlineStr">
        <is>
          <t>Не определено</t>
        </is>
      </c>
      <c r="M3249" s="53" t="inlineStr"/>
      <c r="N3249" s="54" t="inlineStr"/>
      <c r="O3249" s="55" t="inlineStr"/>
      <c r="P3249" s="16" t="inlineStr">
        <is>
          <t>Требует обогащения</t>
        </is>
      </c>
      <c r="Q3249" s="16">
        <f>HYPERLINK("https://pb.nalog.ru/search.html?query=8202010158","ФНС: проверить")</f>
        <v/>
      </c>
      <c r="R3249" s="16">
        <f>HYPERLINK("https://checko.ru/search?query=3801001629","Чекко: проверить")</f>
        <v/>
      </c>
      <c r="S3249" t="n">
        <v>1</v>
      </c>
      <c r="T3249" s="35" t="inlineStr">
        <is>
          <t>4 — Не обогащён</t>
        </is>
      </c>
      <c r="U3249" s="35" t="inlineStr">
        <is>
          <t>Нет ОКВЭД/ССЧР</t>
        </is>
      </c>
      <c r="V3249" s="35" t="inlineStr">
        <is>
          <t>Не определено</t>
        </is>
      </c>
      <c r="W3249" s="35" t="inlineStr"/>
      <c r="X3249" s="35" t="inlineStr"/>
    </row>
    <row r="3250" ht="27.75" customHeight="1" s="24">
      <c r="A3250" s="13" t="n">
        <v>5000122564</v>
      </c>
      <c r="B3250" s="13" t="inlineStr">
        <is>
          <t>Краевое государственное учреждение  "Камчатский центр охраны труда"</t>
        </is>
      </c>
      <c r="C3250" s="13" t="n">
        <v>4101067094</v>
      </c>
      <c r="D3250" s="13" t="inlineStr">
        <is>
          <t>4101067094</t>
        </is>
      </c>
      <c r="E3250" s="13" t="inlineStr">
        <is>
          <t>ЮЛ РФ</t>
        </is>
      </c>
      <c r="F3250" s="13" t="n"/>
      <c r="G3250" s="14" t="n"/>
      <c r="H3250" s="14" t="n"/>
      <c r="I3250" s="14" t="n"/>
      <c r="J3250" s="14" t="n"/>
      <c r="K3250" s="53" t="inlineStr"/>
      <c r="L3250" s="53" t="inlineStr">
        <is>
          <t>Не определено</t>
        </is>
      </c>
      <c r="M3250" s="53" t="inlineStr"/>
      <c r="N3250" s="54" t="inlineStr"/>
      <c r="O3250" s="55" t="inlineStr"/>
      <c r="P3250" s="16" t="inlineStr">
        <is>
          <t>Требует обогащения</t>
        </is>
      </c>
      <c r="Q3250" s="16">
        <f>HYPERLINK("https://pb.nalog.ru/search.html?query=4101067094","ФНС: проверить")</f>
        <v/>
      </c>
      <c r="R3250" s="16">
        <f>HYPERLINK("https://checko.ru/search?query=3801001629","Чекко: проверить")</f>
        <v/>
      </c>
      <c r="S3250" t="n">
        <v>1</v>
      </c>
      <c r="T3250" s="35" t="inlineStr">
        <is>
          <t>4 — Не обогащён</t>
        </is>
      </c>
      <c r="U3250" s="35" t="inlineStr">
        <is>
          <t>Нет ОКВЭД/ССЧР</t>
        </is>
      </c>
      <c r="V3250" s="35" t="inlineStr">
        <is>
          <t>Не определено</t>
        </is>
      </c>
      <c r="W3250" s="35" t="inlineStr"/>
      <c r="X3250" s="35" t="inlineStr"/>
    </row>
    <row r="3251" ht="15" customHeight="1" s="24">
      <c r="A3251" s="13" t="n">
        <v>5000120023</v>
      </c>
      <c r="B3251" s="13" t="inlineStr">
        <is>
          <t>МАОУ ДОД ДЮСШ №1</t>
        </is>
      </c>
      <c r="C3251" s="13" t="n">
        <v>5030032520</v>
      </c>
      <c r="D3251" s="13" t="inlineStr">
        <is>
          <t>5030032520</t>
        </is>
      </c>
      <c r="E3251" s="13" t="inlineStr">
        <is>
          <t>ЮЛ РФ</t>
        </is>
      </c>
      <c r="F3251" s="13" t="n"/>
      <c r="G3251" s="14" t="n"/>
      <c r="H3251" s="14" t="n"/>
      <c r="I3251" s="14" t="n"/>
      <c r="J3251" s="14" t="n"/>
      <c r="K3251" s="53" t="inlineStr"/>
      <c r="L3251" s="53" t="inlineStr">
        <is>
          <t>Не определено</t>
        </is>
      </c>
      <c r="M3251" s="53" t="inlineStr"/>
      <c r="N3251" s="54" t="inlineStr"/>
      <c r="O3251" s="55" t="inlineStr"/>
      <c r="P3251" s="16" t="inlineStr">
        <is>
          <t>Требует обогащения</t>
        </is>
      </c>
      <c r="Q3251" s="16">
        <f>HYPERLINK("https://pb.nalog.ru/search.html?query=5030032520","ФНС: проверить")</f>
        <v/>
      </c>
      <c r="R3251" s="16">
        <f>HYPERLINK("https://checko.ru/search?query=3801001629","Чекко: проверить")</f>
        <v/>
      </c>
      <c r="S3251" t="n">
        <v>1</v>
      </c>
      <c r="T3251" s="35" t="inlineStr">
        <is>
          <t>4 — Не обогащён</t>
        </is>
      </c>
      <c r="U3251" s="35" t="inlineStr">
        <is>
          <t>Нет ОКВЭД/ССЧР</t>
        </is>
      </c>
      <c r="V3251" s="35" t="inlineStr">
        <is>
          <t>Не определено</t>
        </is>
      </c>
      <c r="W3251" s="35" t="inlineStr"/>
      <c r="X3251" s="35" t="inlineStr"/>
    </row>
    <row r="3252" ht="15" customHeight="1" s="24">
      <c r="A3252" s="13" t="n">
        <v>5000122346</v>
      </c>
      <c r="B3252" s="13" t="inlineStr">
        <is>
          <t>МУ Спортивно-оздоровительный центр "Луч"</t>
        </is>
      </c>
      <c r="C3252" s="13" t="n">
        <v>5042056124</v>
      </c>
      <c r="D3252" s="13" t="inlineStr">
        <is>
          <t>5042056124</t>
        </is>
      </c>
      <c r="E3252" s="13" t="inlineStr">
        <is>
          <t>ЮЛ РФ</t>
        </is>
      </c>
      <c r="F3252" s="13" t="n"/>
      <c r="G3252" s="14" t="n"/>
      <c r="H3252" s="14" t="n"/>
      <c r="I3252" s="14" t="n"/>
      <c r="J3252" s="14" t="n"/>
      <c r="K3252" s="53" t="inlineStr"/>
      <c r="L3252" s="53" t="inlineStr">
        <is>
          <t>Не определено</t>
        </is>
      </c>
      <c r="M3252" s="53" t="inlineStr"/>
      <c r="N3252" s="54" t="inlineStr"/>
      <c r="O3252" s="55" t="inlineStr"/>
      <c r="P3252" s="16" t="inlineStr">
        <is>
          <t>Требует обогащения</t>
        </is>
      </c>
      <c r="Q3252" s="16">
        <f>HYPERLINK("https://pb.nalog.ru/search.html?query=5042056124","ФНС: проверить")</f>
        <v/>
      </c>
      <c r="R3252" s="16">
        <f>HYPERLINK("https://checko.ru/search?query=3801001629","Чекко: проверить")</f>
        <v/>
      </c>
      <c r="S3252" t="n">
        <v>1</v>
      </c>
      <c r="T3252" s="35" t="inlineStr">
        <is>
          <t>4 — Не обогащён</t>
        </is>
      </c>
      <c r="U3252" s="35" t="inlineStr">
        <is>
          <t>Нет ОКВЭД/ССЧР</t>
        </is>
      </c>
      <c r="V3252" s="35" t="inlineStr">
        <is>
          <t>Не определено</t>
        </is>
      </c>
      <c r="W3252" s="35" t="inlineStr"/>
      <c r="X3252" s="35" t="inlineStr"/>
    </row>
    <row r="3253" ht="15" customHeight="1" s="24">
      <c r="A3253" s="13" t="n">
        <v>5000122554</v>
      </c>
      <c r="B3253" s="13" t="inlineStr">
        <is>
          <t>КГАУ "Дворец молодежи"</t>
        </is>
      </c>
      <c r="C3253" s="13" t="n">
        <v>4101182330</v>
      </c>
      <c r="D3253" s="13" t="inlineStr">
        <is>
          <t>4101182330</t>
        </is>
      </c>
      <c r="E3253" s="13" t="inlineStr">
        <is>
          <t>ЮЛ РФ</t>
        </is>
      </c>
      <c r="F3253" s="13" t="n"/>
      <c r="G3253" s="14" t="n"/>
      <c r="H3253" s="14" t="n"/>
      <c r="I3253" s="14" t="n"/>
      <c r="J3253" s="14" t="n"/>
      <c r="K3253" s="53" t="inlineStr"/>
      <c r="L3253" s="53" t="inlineStr">
        <is>
          <t>Не определено</t>
        </is>
      </c>
      <c r="M3253" s="53" t="inlineStr"/>
      <c r="N3253" s="54" t="inlineStr"/>
      <c r="O3253" s="55" t="inlineStr"/>
      <c r="P3253" s="16" t="inlineStr">
        <is>
          <t>Требует обогащения</t>
        </is>
      </c>
      <c r="Q3253" s="16">
        <f>HYPERLINK("https://pb.nalog.ru/search.html?query=4101182330","ФНС: проверить")</f>
        <v/>
      </c>
      <c r="R3253" s="16">
        <f>HYPERLINK("https://checko.ru/search?query=3801001629","Чекко: проверить")</f>
        <v/>
      </c>
      <c r="S3253" t="n">
        <v>1</v>
      </c>
      <c r="T3253" s="35" t="inlineStr">
        <is>
          <t>4 — Не обогащён</t>
        </is>
      </c>
      <c r="U3253" s="35" t="inlineStr">
        <is>
          <t>Нет ОКВЭД/ССЧР</t>
        </is>
      </c>
      <c r="V3253" s="35" t="inlineStr">
        <is>
          <t>Не определено</t>
        </is>
      </c>
      <c r="W3253" s="35" t="inlineStr"/>
      <c r="X3253" s="35" t="inlineStr"/>
    </row>
    <row r="3254" ht="27.75" customHeight="1" s="24">
      <c r="A3254" s="13" t="n">
        <v>5000122633</v>
      </c>
      <c r="B3254" s="13" t="inlineStr">
        <is>
          <t>ДУМА СОБОЛЕВСКОГО МУНИЦИПАЛЬНОГО РАЙОНА КАМЧАТСКОГО КРАЯ</t>
        </is>
      </c>
      <c r="C3254" s="13" t="n">
        <v>4107000650</v>
      </c>
      <c r="D3254" s="13" t="inlineStr">
        <is>
          <t>4107000650</t>
        </is>
      </c>
      <c r="E3254" s="13" t="inlineStr">
        <is>
          <t>ЮЛ РФ</t>
        </is>
      </c>
      <c r="F3254" s="13" t="n"/>
      <c r="G3254" s="14" t="n"/>
      <c r="H3254" s="14" t="n"/>
      <c r="I3254" s="14" t="n"/>
      <c r="J3254" s="14" t="n"/>
      <c r="K3254" s="53" t="inlineStr"/>
      <c r="L3254" s="53" t="inlineStr">
        <is>
          <t>Не определено</t>
        </is>
      </c>
      <c r="M3254" s="53" t="inlineStr"/>
      <c r="N3254" s="54" t="inlineStr"/>
      <c r="O3254" s="55" t="inlineStr"/>
      <c r="P3254" s="16" t="inlineStr">
        <is>
          <t>Требует обогащения</t>
        </is>
      </c>
      <c r="Q3254" s="16">
        <f>HYPERLINK("https://pb.nalog.ru/search.html?query=4107000650","ФНС: проверить")</f>
        <v/>
      </c>
      <c r="R3254" s="16">
        <f>HYPERLINK("https://checko.ru/search?query=3801001629","Чекко: проверить")</f>
        <v/>
      </c>
      <c r="S3254" t="n">
        <v>1</v>
      </c>
      <c r="T3254" s="35" t="inlineStr">
        <is>
          <t>4 — Не обогащён</t>
        </is>
      </c>
      <c r="U3254" s="35" t="inlineStr">
        <is>
          <t>Нет ОКВЭД/ССЧР</t>
        </is>
      </c>
      <c r="V3254" s="35" t="inlineStr">
        <is>
          <t>Не определено</t>
        </is>
      </c>
      <c r="W3254" s="35" t="inlineStr"/>
      <c r="X3254" s="35" t="inlineStr"/>
    </row>
    <row r="3255" ht="27.75" customHeight="1" s="24">
      <c r="A3255" s="13" t="n">
        <v>5000122586</v>
      </c>
      <c r="B3255" s="13" t="inlineStr">
        <is>
          <t>УПРАВЛЕНИЕ ЖКХ АДМИНИСТРАЦИИ ЕЛИЗОВСКОГО ГОРОДСКОГО ПОСЕЛЕНИЯ</t>
        </is>
      </c>
      <c r="C3255" s="13" t="n">
        <v>4105031525</v>
      </c>
      <c r="D3255" s="13" t="inlineStr">
        <is>
          <t>4105031525</t>
        </is>
      </c>
      <c r="E3255" s="13" t="inlineStr">
        <is>
          <t>ЮЛ РФ</t>
        </is>
      </c>
      <c r="F3255" s="13" t="n"/>
      <c r="G3255" s="14" t="n"/>
      <c r="H3255" s="14" t="n"/>
      <c r="I3255" s="14" t="n"/>
      <c r="J3255" s="14" t="n"/>
      <c r="K3255" s="53" t="inlineStr"/>
      <c r="L3255" s="53" t="inlineStr">
        <is>
          <t>Не определено</t>
        </is>
      </c>
      <c r="M3255" s="53" t="inlineStr"/>
      <c r="N3255" s="54" t="inlineStr"/>
      <c r="O3255" s="55" t="inlineStr"/>
      <c r="P3255" s="16" t="inlineStr">
        <is>
          <t>Требует обогащения</t>
        </is>
      </c>
      <c r="Q3255" s="16">
        <f>HYPERLINK("https://pb.nalog.ru/search.html?query=4105031525","ФНС: проверить")</f>
        <v/>
      </c>
      <c r="R3255" s="16">
        <f>HYPERLINK("https://checko.ru/search?query=3801001629","Чекко: проверить")</f>
        <v/>
      </c>
      <c r="S3255" t="n">
        <v>1</v>
      </c>
      <c r="T3255" s="35" t="inlineStr">
        <is>
          <t>4 — Не обогащён</t>
        </is>
      </c>
      <c r="U3255" s="35" t="inlineStr">
        <is>
          <t>Нет ОКВЭД/ССЧР</t>
        </is>
      </c>
      <c r="V3255" s="35" t="inlineStr">
        <is>
          <t>Не определено</t>
        </is>
      </c>
      <c r="W3255" s="35" t="inlineStr"/>
      <c r="X3255" s="35" t="inlineStr"/>
    </row>
    <row r="3256" ht="15" customHeight="1" s="24">
      <c r="A3256" s="13" t="n">
        <v>5000122579</v>
      </c>
      <c r="B3256" s="13" t="inlineStr">
        <is>
          <t>РАЙОННАЯ ДУМА</t>
        </is>
      </c>
      <c r="C3256" s="13" t="n">
        <v>4105021502</v>
      </c>
      <c r="D3256" s="13" t="inlineStr">
        <is>
          <t>4105021502</t>
        </is>
      </c>
      <c r="E3256" s="13" t="inlineStr">
        <is>
          <t>ЮЛ РФ</t>
        </is>
      </c>
      <c r="F3256" s="13" t="n"/>
      <c r="G3256" s="14" t="n"/>
      <c r="H3256" s="14" t="n"/>
      <c r="I3256" s="14" t="n"/>
      <c r="J3256" s="14" t="n"/>
      <c r="K3256" s="53" t="inlineStr"/>
      <c r="L3256" s="53" t="inlineStr">
        <is>
          <t>Не определено</t>
        </is>
      </c>
      <c r="M3256" s="53" t="inlineStr"/>
      <c r="N3256" s="54" t="inlineStr"/>
      <c r="O3256" s="55" t="inlineStr"/>
      <c r="P3256" s="16" t="inlineStr">
        <is>
          <t>Требует обогащения</t>
        </is>
      </c>
      <c r="Q3256" s="16">
        <f>HYPERLINK("https://pb.nalog.ru/search.html?query=4105021502","ФНС: проверить")</f>
        <v/>
      </c>
      <c r="R3256" s="16">
        <f>HYPERLINK("https://checko.ru/search?query=3801001629","Чекко: проверить")</f>
        <v/>
      </c>
      <c r="S3256" t="n">
        <v>1</v>
      </c>
      <c r="T3256" s="35" t="inlineStr">
        <is>
          <t>4 — Не обогащён</t>
        </is>
      </c>
      <c r="U3256" s="35" t="inlineStr">
        <is>
          <t>Нет ОКВЭД/ССЧР</t>
        </is>
      </c>
      <c r="V3256" s="35" t="inlineStr">
        <is>
          <t>Не определено</t>
        </is>
      </c>
      <c r="W3256" s="35" t="inlineStr"/>
      <c r="X3256" s="35" t="inlineStr"/>
    </row>
    <row r="3257" ht="41.25" customHeight="1" s="24">
      <c r="A3257" s="13" t="n">
        <v>5000122377</v>
      </c>
      <c r="B3257" s="13" t="inlineStr">
        <is>
          <t>МУНИЦИПАЛЬНОЕ БЮДЖЕТНОЕ УЧРЕЖДЕНИЕ КУЛЬТУРЫ ОБРАЗОВАТЕЛЬНО-ДОСУГОВЫЙ ЦЕНТР "ОКТЯБРЬ" СЕРГИЕВО-ПОСАДС</t>
        </is>
      </c>
      <c r="C3257" s="13" t="n">
        <v>5042047507</v>
      </c>
      <c r="D3257" s="13" t="inlineStr">
        <is>
          <t>5042047507</t>
        </is>
      </c>
      <c r="E3257" s="13" t="inlineStr">
        <is>
          <t>ЮЛ РФ</t>
        </is>
      </c>
      <c r="F3257" s="13" t="n"/>
      <c r="G3257" s="14" t="n"/>
      <c r="H3257" s="14" t="n"/>
      <c r="I3257" s="14" t="n"/>
      <c r="J3257" s="14" t="n"/>
      <c r="K3257" s="53" t="inlineStr"/>
      <c r="L3257" s="53" t="inlineStr">
        <is>
          <t>Не определено</t>
        </is>
      </c>
      <c r="M3257" s="53" t="inlineStr"/>
      <c r="N3257" s="54" t="inlineStr"/>
      <c r="O3257" s="55" t="inlineStr"/>
      <c r="P3257" s="16" t="inlineStr">
        <is>
          <t>Требует обогащения</t>
        </is>
      </c>
      <c r="Q3257" s="16">
        <f>HYPERLINK("https://pb.nalog.ru/search.html?query=5042047507","ФНС: проверить")</f>
        <v/>
      </c>
      <c r="R3257" s="16">
        <f>HYPERLINK("https://checko.ru/search?query=3801001629","Чекко: проверить")</f>
        <v/>
      </c>
      <c r="S3257" t="n">
        <v>1</v>
      </c>
      <c r="T3257" s="35" t="inlineStr">
        <is>
          <t>4 — Не обогащён</t>
        </is>
      </c>
      <c r="U3257" s="35" t="inlineStr">
        <is>
          <t>Нет ОКВЭД/ССЧР</t>
        </is>
      </c>
      <c r="V3257" s="35" t="inlineStr">
        <is>
          <t>Не определено</t>
        </is>
      </c>
      <c r="W3257" s="35" t="inlineStr"/>
      <c r="X3257" s="35" t="inlineStr"/>
    </row>
    <row r="3258" ht="15" customHeight="1" s="24">
      <c r="A3258" s="13" t="n">
        <v>5000120027</v>
      </c>
      <c r="B3258" s="13" t="inlineStr">
        <is>
          <t>МАУ "МКЦ" (Молодежный Комплексный Центр)</t>
        </is>
      </c>
      <c r="C3258" s="13" t="n">
        <v>5030045946</v>
      </c>
      <c r="D3258" s="13" t="inlineStr">
        <is>
          <t>5030045946</t>
        </is>
      </c>
      <c r="E3258" s="13" t="inlineStr">
        <is>
          <t>ЮЛ РФ</t>
        </is>
      </c>
      <c r="F3258" s="13" t="n"/>
      <c r="G3258" s="14" t="n"/>
      <c r="H3258" s="14" t="n"/>
      <c r="I3258" s="14" t="n"/>
      <c r="J3258" s="14" t="n"/>
      <c r="K3258" s="53" t="inlineStr"/>
      <c r="L3258" s="53" t="inlineStr">
        <is>
          <t>Не определено</t>
        </is>
      </c>
      <c r="M3258" s="53" t="inlineStr"/>
      <c r="N3258" s="54" t="inlineStr"/>
      <c r="O3258" s="55" t="inlineStr"/>
      <c r="P3258" s="16" t="inlineStr">
        <is>
          <t>Требует обогащения</t>
        </is>
      </c>
      <c r="Q3258" s="16">
        <f>HYPERLINK("https://pb.nalog.ru/search.html?query=5030045946","ФНС: проверить")</f>
        <v/>
      </c>
      <c r="R3258" s="16">
        <f>HYPERLINK("https://checko.ru/search?query=3801001629","Чекко: проверить")</f>
        <v/>
      </c>
      <c r="S3258" t="n">
        <v>1</v>
      </c>
      <c r="T3258" s="35" t="inlineStr">
        <is>
          <t>4 — Не обогащён</t>
        </is>
      </c>
      <c r="U3258" s="35" t="inlineStr">
        <is>
          <t>Нет ОКВЭД/ССЧР</t>
        </is>
      </c>
      <c r="V3258" s="35" t="inlineStr">
        <is>
          <t>Не определено</t>
        </is>
      </c>
      <c r="W3258" s="35" t="inlineStr"/>
      <c r="X3258" s="35" t="inlineStr"/>
    </row>
    <row r="3259" ht="15" customHeight="1" s="24">
      <c r="A3259" s="13" t="n">
        <v>5000122632</v>
      </c>
      <c r="B3259" s="13" t="inlineStr">
        <is>
          <t>МДОКУ "ДЕТСКИЙ САД "СОЛНЫШКО"</t>
        </is>
      </c>
      <c r="C3259" s="13" t="n">
        <v>4107001068</v>
      </c>
      <c r="D3259" s="13" t="inlineStr">
        <is>
          <t>4107001068</t>
        </is>
      </c>
      <c r="E3259" s="13" t="inlineStr">
        <is>
          <t>ЮЛ РФ</t>
        </is>
      </c>
      <c r="F3259" s="13" t="n"/>
      <c r="G3259" s="14" t="n"/>
      <c r="H3259" s="14" t="n"/>
      <c r="I3259" s="14" t="n"/>
      <c r="J3259" s="14" t="n"/>
      <c r="K3259" s="53" t="inlineStr"/>
      <c r="L3259" s="53" t="inlineStr">
        <is>
          <t>Не определено</t>
        </is>
      </c>
      <c r="M3259" s="53" t="inlineStr"/>
      <c r="N3259" s="54" t="inlineStr"/>
      <c r="O3259" s="55" t="inlineStr"/>
      <c r="P3259" s="16" t="inlineStr">
        <is>
          <t>Требует обогащения</t>
        </is>
      </c>
      <c r="Q3259" s="16">
        <f>HYPERLINK("https://pb.nalog.ru/search.html?query=4107001068","ФНС: проверить")</f>
        <v/>
      </c>
      <c r="R3259" s="16">
        <f>HYPERLINK("https://checko.ru/search?query=3801001629","Чекко: проверить")</f>
        <v/>
      </c>
      <c r="S3259" t="n">
        <v>1</v>
      </c>
      <c r="T3259" s="35" t="inlineStr">
        <is>
          <t>4 — Не обогащён</t>
        </is>
      </c>
      <c r="U3259" s="35" t="inlineStr">
        <is>
          <t>Нет ОКВЭД/ССЧР</t>
        </is>
      </c>
      <c r="V3259" s="35" t="inlineStr">
        <is>
          <t>Не определено</t>
        </is>
      </c>
      <c r="W3259" s="35" t="inlineStr"/>
      <c r="X3259" s="35" t="inlineStr"/>
    </row>
    <row r="3260" ht="15" customHeight="1" s="24">
      <c r="A3260" s="13" t="n">
        <v>5000122549</v>
      </c>
      <c r="B3260" s="13" t="inlineStr">
        <is>
          <t>КГУ "ЦКД "Сероглазка"</t>
        </is>
      </c>
      <c r="C3260" s="13" t="n">
        <v>4101017858</v>
      </c>
      <c r="D3260" s="13" t="inlineStr">
        <is>
          <t>4101017858</t>
        </is>
      </c>
      <c r="E3260" s="13" t="inlineStr">
        <is>
          <t>ЮЛ РФ</t>
        </is>
      </c>
      <c r="F3260" s="13" t="n"/>
      <c r="G3260" s="14" t="n"/>
      <c r="H3260" s="14" t="n"/>
      <c r="I3260" s="14" t="n"/>
      <c r="J3260" s="14" t="n"/>
      <c r="K3260" s="53" t="inlineStr"/>
      <c r="L3260" s="53" t="inlineStr">
        <is>
          <t>Не определено</t>
        </is>
      </c>
      <c r="M3260" s="53" t="inlineStr"/>
      <c r="N3260" s="54" t="inlineStr"/>
      <c r="O3260" s="55" t="inlineStr"/>
      <c r="P3260" s="16" t="inlineStr">
        <is>
          <t>Требует обогащения</t>
        </is>
      </c>
      <c r="Q3260" s="16">
        <f>HYPERLINK("https://pb.nalog.ru/search.html?query=4101017858","ФНС: проверить")</f>
        <v/>
      </c>
      <c r="R3260" s="16">
        <f>HYPERLINK("https://checko.ru/search?query=3801001629","Чекко: проверить")</f>
        <v/>
      </c>
      <c r="S3260" t="n">
        <v>1</v>
      </c>
      <c r="T3260" s="35" t="inlineStr">
        <is>
          <t>4 — Не обогащён</t>
        </is>
      </c>
      <c r="U3260" s="35" t="inlineStr">
        <is>
          <t>Нет ОКВЭД/ССЧР</t>
        </is>
      </c>
      <c r="V3260" s="35" t="inlineStr">
        <is>
          <t>Не определено</t>
        </is>
      </c>
      <c r="W3260" s="35" t="inlineStr"/>
      <c r="X3260" s="35" t="inlineStr"/>
    </row>
    <row r="3261" ht="27.75" customHeight="1" s="24">
      <c r="A3261" s="13" t="n">
        <v>5000122696</v>
      </c>
      <c r="B3261" s="13" t="inlineStr">
        <is>
          <t>Финансовое управление администрации Наро-Фоминского муниципальног</t>
        </is>
      </c>
      <c r="C3261" s="13" t="n">
        <v>5030039075</v>
      </c>
      <c r="D3261" s="13" t="inlineStr">
        <is>
          <t>5030039075</t>
        </is>
      </c>
      <c r="E3261" s="13" t="inlineStr">
        <is>
          <t>ЮЛ РФ</t>
        </is>
      </c>
      <c r="F3261" s="13" t="n"/>
      <c r="G3261" s="14" t="n"/>
      <c r="H3261" s="14" t="n"/>
      <c r="I3261" s="14" t="n"/>
      <c r="J3261" s="14" t="n"/>
      <c r="K3261" s="53" t="inlineStr"/>
      <c r="L3261" s="53" t="inlineStr">
        <is>
          <t>Не определено</t>
        </is>
      </c>
      <c r="M3261" s="53" t="inlineStr"/>
      <c r="N3261" s="54" t="inlineStr"/>
      <c r="O3261" s="55" t="inlineStr"/>
      <c r="P3261" s="16" t="inlineStr">
        <is>
          <t>Требует обогащения</t>
        </is>
      </c>
      <c r="Q3261" s="16">
        <f>HYPERLINK("https://pb.nalog.ru/search.html?query=5030039075","ФНС: проверить")</f>
        <v/>
      </c>
      <c r="R3261" s="16">
        <f>HYPERLINK("https://checko.ru/search?query=3801001629","Чекко: проверить")</f>
        <v/>
      </c>
      <c r="S3261" t="n">
        <v>1</v>
      </c>
      <c r="T3261" s="35" t="inlineStr">
        <is>
          <t>4 — Не обогащён</t>
        </is>
      </c>
      <c r="U3261" s="35" t="inlineStr">
        <is>
          <t>Нет ОКВЭД/ССЧР</t>
        </is>
      </c>
      <c r="V3261" s="35" t="inlineStr">
        <is>
          <t>Не определено</t>
        </is>
      </c>
      <c r="W3261" s="35" t="inlineStr"/>
      <c r="X3261" s="35" t="inlineStr"/>
    </row>
    <row r="3262" ht="27.75" customHeight="1" s="24">
      <c r="A3262" s="13" t="n">
        <v>5000122530</v>
      </c>
      <c r="B3262" s="13" t="inlineStr">
        <is>
          <t>Аппарат Губернатора и Правительства Камчатского края</t>
        </is>
      </c>
      <c r="C3262" s="13" t="n">
        <v>4101120950</v>
      </c>
      <c r="D3262" s="13" t="inlineStr">
        <is>
          <t>4101120950</t>
        </is>
      </c>
      <c r="E3262" s="13" t="inlineStr">
        <is>
          <t>ЮЛ РФ</t>
        </is>
      </c>
      <c r="F3262" s="13" t="n"/>
      <c r="G3262" s="14" t="n"/>
      <c r="H3262" s="14" t="n"/>
      <c r="I3262" s="14" t="n"/>
      <c r="J3262" s="14" t="n"/>
      <c r="K3262" s="53" t="inlineStr"/>
      <c r="L3262" s="53" t="inlineStr">
        <is>
          <t>Не определено</t>
        </is>
      </c>
      <c r="M3262" s="53" t="inlineStr"/>
      <c r="N3262" s="54" t="inlineStr"/>
      <c r="O3262" s="55" t="inlineStr"/>
      <c r="P3262" s="16" t="inlineStr">
        <is>
          <t>Требует обогащения</t>
        </is>
      </c>
      <c r="Q3262" s="16">
        <f>HYPERLINK("https://pb.nalog.ru/search.html?query=4101120950","ФНС: проверить")</f>
        <v/>
      </c>
      <c r="R3262" s="16">
        <f>HYPERLINK("https://checko.ru/search?query=3801001629","Чекко: проверить")</f>
        <v/>
      </c>
      <c r="S3262" t="n">
        <v>1</v>
      </c>
      <c r="T3262" s="35" t="inlineStr">
        <is>
          <t>4 — Не обогащён</t>
        </is>
      </c>
      <c r="U3262" s="35" t="inlineStr">
        <is>
          <t>Нет ОКВЭД/ССЧР</t>
        </is>
      </c>
      <c r="V3262" s="35" t="inlineStr">
        <is>
          <t>Не определено</t>
        </is>
      </c>
      <c r="W3262" s="35" t="inlineStr"/>
      <c r="X3262" s="35" t="inlineStr"/>
    </row>
    <row r="3263" ht="15" customHeight="1" s="24">
      <c r="A3263" s="13" t="n">
        <v>5000122354</v>
      </c>
      <c r="B3263" s="13" t="inlineStr">
        <is>
          <t>МБУ "БЛАГОУСТРОЙСТВО СП"</t>
        </is>
      </c>
      <c r="C3263" s="13" t="n">
        <v>5042134510</v>
      </c>
      <c r="D3263" s="13" t="inlineStr">
        <is>
          <t>5042134510</t>
        </is>
      </c>
      <c r="E3263" s="13" t="inlineStr">
        <is>
          <t>ЮЛ РФ</t>
        </is>
      </c>
      <c r="F3263" s="13" t="n"/>
      <c r="G3263" s="14" t="n"/>
      <c r="H3263" s="14" t="n"/>
      <c r="I3263" s="14" t="n"/>
      <c r="J3263" s="14" t="n"/>
      <c r="K3263" s="53" t="inlineStr"/>
      <c r="L3263" s="53" t="inlineStr">
        <is>
          <t>Не определено</t>
        </is>
      </c>
      <c r="M3263" s="53" t="inlineStr"/>
      <c r="N3263" s="54" t="inlineStr"/>
      <c r="O3263" s="55" t="inlineStr"/>
      <c r="P3263" s="16" t="inlineStr">
        <is>
          <t>Требует обогащения</t>
        </is>
      </c>
      <c r="Q3263" s="16">
        <f>HYPERLINK("https://pb.nalog.ru/search.html?query=5042134510","ФНС: проверить")</f>
        <v/>
      </c>
      <c r="R3263" s="16">
        <f>HYPERLINK("https://checko.ru/search?query=3801001629","Чекко: проверить")</f>
        <v/>
      </c>
      <c r="S3263" t="n">
        <v>1</v>
      </c>
      <c r="T3263" s="35" t="inlineStr">
        <is>
          <t>4 — Не обогащён</t>
        </is>
      </c>
      <c r="U3263" s="35" t="inlineStr">
        <is>
          <t>Нет ОКВЭД/ССЧР</t>
        </is>
      </c>
      <c r="V3263" s="35" t="inlineStr">
        <is>
          <t>Не определено</t>
        </is>
      </c>
      <c r="W3263" s="35" t="inlineStr"/>
      <c r="X3263" s="35" t="inlineStr"/>
    </row>
    <row r="3264" ht="27.75" customHeight="1" s="24">
      <c r="A3264" s="13" t="n">
        <v>5000122674</v>
      </c>
      <c r="B3264" s="13" t="inlineStr">
        <is>
          <t>Контрольно-счетная палата Вилючинского городского округа</t>
        </is>
      </c>
      <c r="C3264" s="13" t="n">
        <v>4102010260</v>
      </c>
      <c r="D3264" s="13" t="inlineStr">
        <is>
          <t>4102010260</t>
        </is>
      </c>
      <c r="E3264" s="13" t="inlineStr">
        <is>
          <t>ЮЛ РФ</t>
        </is>
      </c>
      <c r="F3264" s="13" t="n"/>
      <c r="G3264" s="14" t="n"/>
      <c r="H3264" s="14" t="n"/>
      <c r="I3264" s="14" t="n"/>
      <c r="J3264" s="14" t="n"/>
      <c r="K3264" s="53" t="inlineStr"/>
      <c r="L3264" s="53" t="inlineStr">
        <is>
          <t>Не определено</t>
        </is>
      </c>
      <c r="M3264" s="53" t="inlineStr"/>
      <c r="N3264" s="54" t="inlineStr"/>
      <c r="O3264" s="55" t="inlineStr"/>
      <c r="P3264" s="16" t="inlineStr">
        <is>
          <t>Требует обогащения</t>
        </is>
      </c>
      <c r="Q3264" s="16">
        <f>HYPERLINK("https://pb.nalog.ru/search.html?query=4102010260","ФНС: проверить")</f>
        <v/>
      </c>
      <c r="R3264" s="16">
        <f>HYPERLINK("https://checko.ru/search?query=3801001629","Чекко: проверить")</f>
        <v/>
      </c>
      <c r="S3264" t="n">
        <v>1</v>
      </c>
      <c r="T3264" s="35" t="inlineStr">
        <is>
          <t>4 — Не обогащён</t>
        </is>
      </c>
      <c r="U3264" s="35" t="inlineStr">
        <is>
          <t>Нет ОКВЭД/ССЧР</t>
        </is>
      </c>
      <c r="V3264" s="35" t="inlineStr">
        <is>
          <t>Не определено</t>
        </is>
      </c>
      <c r="W3264" s="35" t="inlineStr"/>
      <c r="X3264" s="35" t="inlineStr"/>
    </row>
    <row r="3265" ht="27.75" customHeight="1" s="24">
      <c r="A3265" s="13" t="n">
        <v>5000122547</v>
      </c>
      <c r="B3265" s="13" t="inlineStr">
        <is>
          <t>Краевое государственное бюджетное учреждение "Корякский фольклорный ансамбль танца "Ангт"</t>
        </is>
      </c>
      <c r="C3265" s="13" t="n">
        <v>8202010415</v>
      </c>
      <c r="D3265" s="13" t="inlineStr">
        <is>
          <t>8202010415</t>
        </is>
      </c>
      <c r="E3265" s="13" t="inlineStr">
        <is>
          <t>ЮЛ РФ</t>
        </is>
      </c>
      <c r="F3265" s="13" t="n"/>
      <c r="G3265" s="14" t="n"/>
      <c r="H3265" s="14" t="n"/>
      <c r="I3265" s="14" t="n"/>
      <c r="J3265" s="14" t="n"/>
      <c r="K3265" s="53" t="inlineStr"/>
      <c r="L3265" s="53" t="inlineStr">
        <is>
          <t>Не определено</t>
        </is>
      </c>
      <c r="M3265" s="53" t="inlineStr"/>
      <c r="N3265" s="54" t="inlineStr"/>
      <c r="O3265" s="55" t="inlineStr"/>
      <c r="P3265" s="16" t="inlineStr">
        <is>
          <t>Требует обогащения</t>
        </is>
      </c>
      <c r="Q3265" s="16">
        <f>HYPERLINK("https://pb.nalog.ru/search.html?query=8202010415","ФНС: проверить")</f>
        <v/>
      </c>
      <c r="R3265" s="16">
        <f>HYPERLINK("https://checko.ru/search?query=3801001629","Чекко: проверить")</f>
        <v/>
      </c>
      <c r="S3265" t="n">
        <v>1</v>
      </c>
      <c r="T3265" s="35" t="inlineStr">
        <is>
          <t>4 — Не обогащён</t>
        </is>
      </c>
      <c r="U3265" s="35" t="inlineStr">
        <is>
          <t>Нет ОКВЭД/ССЧР</t>
        </is>
      </c>
      <c r="V3265" s="35" t="inlineStr">
        <is>
          <t>Не определено</t>
        </is>
      </c>
      <c r="W3265" s="35" t="inlineStr"/>
      <c r="X3265" s="35" t="inlineStr"/>
    </row>
    <row r="3266" ht="41.25" customHeight="1" s="24">
      <c r="A3266" s="13" t="n">
        <v>5000123028</v>
      </c>
      <c r="B3266" s="13" t="inlineStr">
        <is>
          <t>МУНИЦИПАЛЬНОЕ АВТОНОМНОЕ УЧРЕЖДЕНИЕ КУЛЬТУРЫ ГОРОДСКОГО ОКРУГА КОТЕЛЬНИКИ МОСКОВСКОЙ ОБЛАСТИ "КУЛЬТУ</t>
        </is>
      </c>
      <c r="C3266" s="13" t="n">
        <v>5027077240</v>
      </c>
      <c r="D3266" s="13" t="inlineStr">
        <is>
          <t>5027077240</t>
        </is>
      </c>
      <c r="E3266" s="13" t="inlineStr">
        <is>
          <t>ЮЛ РФ</t>
        </is>
      </c>
      <c r="F3266" s="13" t="n"/>
      <c r="G3266" s="14" t="n"/>
      <c r="H3266" s="14" t="n"/>
      <c r="I3266" s="14" t="n"/>
      <c r="J3266" s="14" t="n"/>
      <c r="K3266" s="53" t="inlineStr"/>
      <c r="L3266" s="53" t="inlineStr">
        <is>
          <t>Не определено</t>
        </is>
      </c>
      <c r="M3266" s="53" t="inlineStr"/>
      <c r="N3266" s="54" t="inlineStr"/>
      <c r="O3266" s="55" t="inlineStr"/>
      <c r="P3266" s="16" t="inlineStr">
        <is>
          <t>Требует обогащения</t>
        </is>
      </c>
      <c r="Q3266" s="16">
        <f>HYPERLINK("https://pb.nalog.ru/search.html?query=5027077240","ФНС: проверить")</f>
        <v/>
      </c>
      <c r="R3266" s="16">
        <f>HYPERLINK("https://checko.ru/search?query=3801001629","Чекко: проверить")</f>
        <v/>
      </c>
      <c r="S3266" t="n">
        <v>1</v>
      </c>
      <c r="T3266" s="35" t="inlineStr">
        <is>
          <t>4 — Не обогащён</t>
        </is>
      </c>
      <c r="U3266" s="35" t="inlineStr">
        <is>
          <t>Нет ОКВЭД/ССЧР</t>
        </is>
      </c>
      <c r="V3266" s="35" t="inlineStr">
        <is>
          <t>Не определено</t>
        </is>
      </c>
      <c r="W3266" s="35" t="inlineStr"/>
      <c r="X3266" s="35" t="inlineStr"/>
    </row>
    <row r="3267" ht="27.75" customHeight="1" s="24">
      <c r="A3267" s="13" t="n">
        <v>5000122558</v>
      </c>
      <c r="B3267" s="13" t="inlineStr">
        <is>
          <t>Краевое государственное учреждение "Природный парк "Вулканы Камча</t>
        </is>
      </c>
      <c r="C3267" s="13" t="n">
        <v>4105037284</v>
      </c>
      <c r="D3267" s="13" t="inlineStr">
        <is>
          <t>4105037284</t>
        </is>
      </c>
      <c r="E3267" s="13" t="inlineStr">
        <is>
          <t>ЮЛ РФ</t>
        </is>
      </c>
      <c r="F3267" s="13" t="n"/>
      <c r="G3267" s="14" t="n"/>
      <c r="H3267" s="14" t="n"/>
      <c r="I3267" s="14" t="n"/>
      <c r="J3267" s="14" t="n"/>
      <c r="K3267" s="53" t="inlineStr"/>
      <c r="L3267" s="53" t="inlineStr">
        <is>
          <t>Не определено</t>
        </is>
      </c>
      <c r="M3267" s="53" t="inlineStr"/>
      <c r="N3267" s="54" t="inlineStr"/>
      <c r="O3267" s="55" t="inlineStr"/>
      <c r="P3267" s="16" t="inlineStr">
        <is>
          <t>Требует обогащения</t>
        </is>
      </c>
      <c r="Q3267" s="16">
        <f>HYPERLINK("https://pb.nalog.ru/search.html?query=4105037284","ФНС: проверить")</f>
        <v/>
      </c>
      <c r="R3267" s="16">
        <f>HYPERLINK("https://checko.ru/search?query=3801001629","Чекко: проверить")</f>
        <v/>
      </c>
      <c r="S3267" t="n">
        <v>1</v>
      </c>
      <c r="T3267" s="35" t="inlineStr">
        <is>
          <t>4 — Не обогащён</t>
        </is>
      </c>
      <c r="U3267" s="35" t="inlineStr">
        <is>
          <t>Нет ОКВЭД/ССЧР</t>
        </is>
      </c>
      <c r="V3267" s="35" t="inlineStr">
        <is>
          <t>Не определено</t>
        </is>
      </c>
      <c r="W3267" s="35" t="inlineStr"/>
      <c r="X3267" s="35" t="inlineStr"/>
    </row>
    <row r="3268" ht="27.75" customHeight="1" s="24">
      <c r="A3268" s="13" t="n">
        <v>5000122664</v>
      </c>
      <c r="B3268" s="13" t="inlineStr">
        <is>
          <t>Администрация Олюторского муниципального района</t>
        </is>
      </c>
      <c r="C3268" s="13" t="n">
        <v>8201001231</v>
      </c>
      <c r="D3268" s="13" t="inlineStr">
        <is>
          <t>8201001231</t>
        </is>
      </c>
      <c r="E3268" s="13" t="inlineStr">
        <is>
          <t>ЮЛ РФ</t>
        </is>
      </c>
      <c r="F3268" s="13" t="n"/>
      <c r="G3268" s="14" t="n"/>
      <c r="H3268" s="14" t="n"/>
      <c r="I3268" s="14" t="n"/>
      <c r="J3268" s="14" t="n"/>
      <c r="K3268" s="53" t="inlineStr"/>
      <c r="L3268" s="53" t="inlineStr">
        <is>
          <t>Не определено</t>
        </is>
      </c>
      <c r="M3268" s="53" t="inlineStr"/>
      <c r="N3268" s="54" t="inlineStr"/>
      <c r="O3268" s="55" t="inlineStr"/>
      <c r="P3268" s="16" t="inlineStr">
        <is>
          <t>Требует обогащения</t>
        </is>
      </c>
      <c r="Q3268" s="16">
        <f>HYPERLINK("https://pb.nalog.ru/search.html?query=8201001231","ФНС: проверить")</f>
        <v/>
      </c>
      <c r="R3268" s="16">
        <f>HYPERLINK("https://checko.ru/search?query=3801001629","Чекко: проверить")</f>
        <v/>
      </c>
      <c r="S3268" t="n">
        <v>1</v>
      </c>
      <c r="T3268" s="35" t="inlineStr">
        <is>
          <t>4 — Не обогащён</t>
        </is>
      </c>
      <c r="U3268" s="35" t="inlineStr">
        <is>
          <t>Нет ОКВЭД/ССЧР</t>
        </is>
      </c>
      <c r="V3268" s="35" t="inlineStr">
        <is>
          <t>Не определено</t>
        </is>
      </c>
      <c r="W3268" s="35" t="inlineStr"/>
      <c r="X3268" s="35" t="inlineStr"/>
    </row>
    <row r="3269" ht="27.75" customHeight="1" s="24">
      <c r="A3269" s="13" t="n">
        <v>5000122357</v>
      </c>
      <c r="B3269" s="13" t="inlineStr">
        <is>
          <t>МКУ "ЦЕНТР МУНИЦИПАЛЬНЫХ УСЛУГ В СФЕРЕ ПОХОРОННОГО ДЕЛА"</t>
        </is>
      </c>
      <c r="C3269" s="13" t="n">
        <v>5042140425</v>
      </c>
      <c r="D3269" s="13" t="inlineStr">
        <is>
          <t>5042140425</t>
        </is>
      </c>
      <c r="E3269" s="13" t="inlineStr">
        <is>
          <t>ЮЛ РФ</t>
        </is>
      </c>
      <c r="F3269" s="13" t="n"/>
      <c r="G3269" s="14" t="n"/>
      <c r="H3269" s="14" t="n"/>
      <c r="I3269" s="14" t="n"/>
      <c r="J3269" s="14" t="n"/>
      <c r="K3269" s="53" t="inlineStr"/>
      <c r="L3269" s="53" t="inlineStr">
        <is>
          <t>Не определено</t>
        </is>
      </c>
      <c r="M3269" s="53" t="inlineStr"/>
      <c r="N3269" s="54" t="inlineStr"/>
      <c r="O3269" s="55" t="inlineStr"/>
      <c r="P3269" s="16" t="inlineStr">
        <is>
          <t>Требует обогащения</t>
        </is>
      </c>
      <c r="Q3269" s="16">
        <f>HYPERLINK("https://pb.nalog.ru/search.html?query=5042140425","ФНС: проверить")</f>
        <v/>
      </c>
      <c r="R3269" s="16">
        <f>HYPERLINK("https://checko.ru/search?query=3801001629","Чекко: проверить")</f>
        <v/>
      </c>
      <c r="S3269" t="n">
        <v>1</v>
      </c>
      <c r="T3269" s="35" t="inlineStr">
        <is>
          <t>4 — Не обогащён</t>
        </is>
      </c>
      <c r="U3269" s="35" t="inlineStr">
        <is>
          <t>Нет ОКВЭД/ССЧР</t>
        </is>
      </c>
      <c r="V3269" s="35" t="inlineStr">
        <is>
          <t>Не определено</t>
        </is>
      </c>
      <c r="W3269" s="35" t="inlineStr"/>
      <c r="X3269" s="35" t="inlineStr"/>
    </row>
    <row r="3270" ht="15" customHeight="1" s="24">
      <c r="A3270" s="13" t="n">
        <v>5000122382</v>
      </c>
      <c r="B3270" s="13" t="inlineStr">
        <is>
          <t>МБОУ "Хотьковская СОШ №5"</t>
        </is>
      </c>
      <c r="C3270" s="13" t="n">
        <v>5042068793</v>
      </c>
      <c r="D3270" s="13" t="inlineStr">
        <is>
          <t>5042068793</t>
        </is>
      </c>
      <c r="E3270" s="13" t="inlineStr">
        <is>
          <t>ЮЛ РФ</t>
        </is>
      </c>
      <c r="F3270" s="13" t="n"/>
      <c r="G3270" s="14" t="n"/>
      <c r="H3270" s="14" t="n"/>
      <c r="I3270" s="14" t="n"/>
      <c r="J3270" s="14" t="n"/>
      <c r="K3270" s="53" t="inlineStr"/>
      <c r="L3270" s="53" t="inlineStr">
        <is>
          <t>Не определено</t>
        </is>
      </c>
      <c r="M3270" s="53" t="inlineStr"/>
      <c r="N3270" s="54" t="inlineStr"/>
      <c r="O3270" s="55" t="inlineStr"/>
      <c r="P3270" s="16" t="inlineStr">
        <is>
          <t>Требует обогащения</t>
        </is>
      </c>
      <c r="Q3270" s="16">
        <f>HYPERLINK("https://pb.nalog.ru/search.html?query=5042068793","ФНС: проверить")</f>
        <v/>
      </c>
      <c r="R3270" s="16">
        <f>HYPERLINK("https://checko.ru/search?query=3801001629","Чекко: проверить")</f>
        <v/>
      </c>
      <c r="S3270" t="n">
        <v>1</v>
      </c>
      <c r="T3270" s="35" t="inlineStr">
        <is>
          <t>4 — Не обогащён</t>
        </is>
      </c>
      <c r="U3270" s="35" t="inlineStr">
        <is>
          <t>Нет ОКВЭД/ССЧР</t>
        </is>
      </c>
      <c r="V3270" s="35" t="inlineStr">
        <is>
          <t>Не определено</t>
        </is>
      </c>
      <c r="W3270" s="35" t="inlineStr"/>
      <c r="X3270" s="35" t="inlineStr"/>
    </row>
    <row r="3271" ht="15" customHeight="1" s="24">
      <c r="A3271" s="13" t="n">
        <v>5000122386</v>
      </c>
      <c r="B3271" s="13" t="inlineStr">
        <is>
          <t>МБОУ "СОШ №28"</t>
        </is>
      </c>
      <c r="C3271" s="13" t="n">
        <v>5042068810</v>
      </c>
      <c r="D3271" s="13" t="inlineStr">
        <is>
          <t>5042068810</t>
        </is>
      </c>
      <c r="E3271" s="13" t="inlineStr">
        <is>
          <t>ЮЛ РФ</t>
        </is>
      </c>
      <c r="F3271" s="13" t="n"/>
      <c r="G3271" s="14" t="n"/>
      <c r="H3271" s="14" t="n"/>
      <c r="I3271" s="14" t="n"/>
      <c r="J3271" s="14" t="n"/>
      <c r="K3271" s="53" t="inlineStr"/>
      <c r="L3271" s="53" t="inlineStr">
        <is>
          <t>Не определено</t>
        </is>
      </c>
      <c r="M3271" s="53" t="inlineStr"/>
      <c r="N3271" s="54" t="inlineStr"/>
      <c r="O3271" s="55" t="inlineStr"/>
      <c r="P3271" s="16" t="inlineStr">
        <is>
          <t>Требует обогащения</t>
        </is>
      </c>
      <c r="Q3271" s="16">
        <f>HYPERLINK("https://pb.nalog.ru/search.html?query=5042068810","ФНС: проверить")</f>
        <v/>
      </c>
      <c r="R3271" s="16">
        <f>HYPERLINK("https://checko.ru/search?query=3801001629","Чекко: проверить")</f>
        <v/>
      </c>
      <c r="S3271" t="n">
        <v>1</v>
      </c>
      <c r="T3271" s="35" t="inlineStr">
        <is>
          <t>4 — Не обогащён</t>
        </is>
      </c>
      <c r="U3271" s="35" t="inlineStr">
        <is>
          <t>Нет ОКВЭД/ССЧР</t>
        </is>
      </c>
      <c r="V3271" s="35" t="inlineStr">
        <is>
          <t>Не определено</t>
        </is>
      </c>
      <c r="W3271" s="35" t="inlineStr"/>
      <c r="X3271" s="35" t="inlineStr"/>
    </row>
    <row r="3272" ht="41.25" customHeight="1" s="24">
      <c r="A3272" s="13" t="n">
        <v>5000122556</v>
      </c>
      <c r="B3272" s="13" t="inlineStr">
        <is>
          <t>КГБУ ДПО "Камчатский учебно-методический центр по гражданской обороне, чрезвычайным ситуациям и пожарной безопасности"</t>
        </is>
      </c>
      <c r="C3272" s="13" t="n">
        <v>4101078924</v>
      </c>
      <c r="D3272" s="13" t="inlineStr">
        <is>
          <t>4101078924</t>
        </is>
      </c>
      <c r="E3272" s="13" t="inlineStr">
        <is>
          <t>ЮЛ РФ</t>
        </is>
      </c>
      <c r="F3272" s="13" t="n"/>
      <c r="G3272" s="14" t="n"/>
      <c r="H3272" s="14" t="n"/>
      <c r="I3272" s="14" t="n"/>
      <c r="J3272" s="14" t="n"/>
      <c r="K3272" s="53" t="inlineStr"/>
      <c r="L3272" s="53" t="inlineStr">
        <is>
          <t>Не определено</t>
        </is>
      </c>
      <c r="M3272" s="53" t="inlineStr"/>
      <c r="N3272" s="54" t="inlineStr"/>
      <c r="O3272" s="55" t="inlineStr"/>
      <c r="P3272" s="16" t="inlineStr">
        <is>
          <t>Требует обогащения</t>
        </is>
      </c>
      <c r="Q3272" s="16">
        <f>HYPERLINK("https://pb.nalog.ru/search.html?query=4101078924","ФНС: проверить")</f>
        <v/>
      </c>
      <c r="R3272" s="16">
        <f>HYPERLINK("https://checko.ru/search?query=3801001629","Чекко: проверить")</f>
        <v/>
      </c>
      <c r="S3272" t="n">
        <v>1</v>
      </c>
      <c r="T3272" s="35" t="inlineStr">
        <is>
          <t>4 — Не обогащён</t>
        </is>
      </c>
      <c r="U3272" s="35" t="inlineStr">
        <is>
          <t>Нет ОКВЭД/ССЧР</t>
        </is>
      </c>
      <c r="V3272" s="35" t="inlineStr">
        <is>
          <t>Не определено</t>
        </is>
      </c>
      <c r="W3272" s="35" t="inlineStr"/>
      <c r="X3272" s="35" t="inlineStr"/>
    </row>
    <row r="3273" ht="27.75" customHeight="1" s="24">
      <c r="A3273" s="13" t="n">
        <v>5000122659</v>
      </c>
      <c r="B3273" s="13" t="inlineStr">
        <is>
          <t>МКОУ "Средняя общеобразовательная школа №1 пгт Палана"</t>
        </is>
      </c>
      <c r="C3273" s="13" t="n">
        <v>8202010253</v>
      </c>
      <c r="D3273" s="13" t="inlineStr">
        <is>
          <t>8202010253</t>
        </is>
      </c>
      <c r="E3273" s="13" t="inlineStr">
        <is>
          <t>ЮЛ РФ</t>
        </is>
      </c>
      <c r="F3273" s="13" t="n"/>
      <c r="G3273" s="14" t="n"/>
      <c r="H3273" s="14" t="n"/>
      <c r="I3273" s="14" t="n"/>
      <c r="J3273" s="14" t="n"/>
      <c r="K3273" s="53" t="inlineStr"/>
      <c r="L3273" s="53" t="inlineStr">
        <is>
          <t>Не определено</t>
        </is>
      </c>
      <c r="M3273" s="53" t="inlineStr"/>
      <c r="N3273" s="54" t="inlineStr"/>
      <c r="O3273" s="55" t="inlineStr"/>
      <c r="P3273" s="16" t="inlineStr">
        <is>
          <t>Требует обогащения</t>
        </is>
      </c>
      <c r="Q3273" s="16">
        <f>HYPERLINK("https://pb.nalog.ru/search.html?query=8202010253","ФНС: проверить")</f>
        <v/>
      </c>
      <c r="R3273" s="16">
        <f>HYPERLINK("https://checko.ru/search?query=3801001629","Чекко: проверить")</f>
        <v/>
      </c>
      <c r="S3273" t="n">
        <v>1</v>
      </c>
      <c r="T3273" s="35" t="inlineStr">
        <is>
          <t>4 — Не обогащён</t>
        </is>
      </c>
      <c r="U3273" s="35" t="inlineStr">
        <is>
          <t>Нет ОКВЭД/ССЧР</t>
        </is>
      </c>
      <c r="V3273" s="35" t="inlineStr">
        <is>
          <t>Не определено</t>
        </is>
      </c>
      <c r="W3273" s="35" t="inlineStr"/>
      <c r="X3273" s="35" t="inlineStr"/>
    </row>
    <row r="3274" ht="27.75" customHeight="1" s="24">
      <c r="A3274" s="13" t="n">
        <v>5000122560</v>
      </c>
      <c r="B3274" s="13" t="inlineStr">
        <is>
          <t>ГАУ "Государственная экспертиза проектной документации Камчатского края"</t>
        </is>
      </c>
      <c r="C3274" s="13" t="n">
        <v>4101123969</v>
      </c>
      <c r="D3274" s="13" t="inlineStr">
        <is>
          <t>4101123969</t>
        </is>
      </c>
      <c r="E3274" s="13" t="inlineStr">
        <is>
          <t>ЮЛ РФ</t>
        </is>
      </c>
      <c r="F3274" s="13" t="n"/>
      <c r="G3274" s="14" t="n"/>
      <c r="H3274" s="14" t="n"/>
      <c r="I3274" s="14" t="n"/>
      <c r="J3274" s="14" t="n"/>
      <c r="K3274" s="53" t="inlineStr"/>
      <c r="L3274" s="53" t="inlineStr">
        <is>
          <t>Не определено</t>
        </is>
      </c>
      <c r="M3274" s="53" t="inlineStr"/>
      <c r="N3274" s="54" t="inlineStr"/>
      <c r="O3274" s="55" t="inlineStr"/>
      <c r="P3274" s="16" t="inlineStr">
        <is>
          <t>Требует обогащения</t>
        </is>
      </c>
      <c r="Q3274" s="16">
        <f>HYPERLINK("https://pb.nalog.ru/search.html?query=4101123969","ФНС: проверить")</f>
        <v/>
      </c>
      <c r="R3274" s="16">
        <f>HYPERLINK("https://checko.ru/search?query=3801001629","Чекко: проверить")</f>
        <v/>
      </c>
      <c r="S3274" t="n">
        <v>1</v>
      </c>
      <c r="T3274" s="35" t="inlineStr">
        <is>
          <t>4 — Не обогащён</t>
        </is>
      </c>
      <c r="U3274" s="35" t="inlineStr">
        <is>
          <t>Нет ОКВЭД/ССЧР</t>
        </is>
      </c>
      <c r="V3274" s="35" t="inlineStr">
        <is>
          <t>Не определено</t>
        </is>
      </c>
      <c r="W3274" s="35" t="inlineStr"/>
      <c r="X3274" s="35" t="inlineStr"/>
    </row>
    <row r="3275" ht="27.75" customHeight="1" s="24">
      <c r="A3275" s="13" t="n">
        <v>5000122566</v>
      </c>
      <c r="B3275" s="13" t="inlineStr">
        <is>
          <t>КГАУ "Информационно-технологический центр Камчатского края"</t>
        </is>
      </c>
      <c r="C3275" s="13" t="n">
        <v>4101147350</v>
      </c>
      <c r="D3275" s="13" t="inlineStr">
        <is>
          <t>4101147350</t>
        </is>
      </c>
      <c r="E3275" s="13" t="inlineStr">
        <is>
          <t>ЮЛ РФ</t>
        </is>
      </c>
      <c r="F3275" s="13" t="n"/>
      <c r="G3275" s="14" t="n"/>
      <c r="H3275" s="14" t="n"/>
      <c r="I3275" s="14" t="n"/>
      <c r="J3275" s="14" t="n"/>
      <c r="K3275" s="53" t="inlineStr"/>
      <c r="L3275" s="53" t="inlineStr">
        <is>
          <t>Не определено</t>
        </is>
      </c>
      <c r="M3275" s="53" t="inlineStr"/>
      <c r="N3275" s="54" t="inlineStr"/>
      <c r="O3275" s="55" t="inlineStr"/>
      <c r="P3275" s="16" t="inlineStr">
        <is>
          <t>Требует обогащения</t>
        </is>
      </c>
      <c r="Q3275" s="16">
        <f>HYPERLINK("https://pb.nalog.ru/search.html?query=4101147350","ФНС: проверить")</f>
        <v/>
      </c>
      <c r="R3275" s="16">
        <f>HYPERLINK("https://checko.ru/search?query=3801001629","Чекко: проверить")</f>
        <v/>
      </c>
      <c r="S3275" t="n">
        <v>1</v>
      </c>
      <c r="T3275" s="35" t="inlineStr">
        <is>
          <t>4 — Не обогащён</t>
        </is>
      </c>
      <c r="U3275" s="35" t="inlineStr">
        <is>
          <t>Нет ОКВЭД/ССЧР</t>
        </is>
      </c>
      <c r="V3275" s="35" t="inlineStr">
        <is>
          <t>Не определено</t>
        </is>
      </c>
      <c r="W3275" s="35" t="inlineStr"/>
      <c r="X3275" s="35" t="inlineStr"/>
    </row>
    <row r="3276" ht="27.75" customHeight="1" s="24">
      <c r="A3276" s="13" t="n">
        <v>5000122578</v>
      </c>
      <c r="B3276" s="13" t="inlineStr">
        <is>
          <t>Контрольно-счетная палата Елизовского муниципального района</t>
        </is>
      </c>
      <c r="C3276" s="13" t="n">
        <v>4105031331</v>
      </c>
      <c r="D3276" s="13" t="inlineStr">
        <is>
          <t>4105031331</t>
        </is>
      </c>
      <c r="E3276" s="13" t="inlineStr">
        <is>
          <t>ЮЛ РФ</t>
        </is>
      </c>
      <c r="F3276" s="13" t="n"/>
      <c r="G3276" s="14" t="n"/>
      <c r="H3276" s="14" t="n"/>
      <c r="I3276" s="14" t="n"/>
      <c r="J3276" s="14" t="n"/>
      <c r="K3276" s="53" t="inlineStr"/>
      <c r="L3276" s="53" t="inlineStr">
        <is>
          <t>Не определено</t>
        </is>
      </c>
      <c r="M3276" s="53" t="inlineStr"/>
      <c r="N3276" s="54" t="inlineStr"/>
      <c r="O3276" s="55" t="inlineStr"/>
      <c r="P3276" s="16" t="inlineStr">
        <is>
          <t>Требует обогащения</t>
        </is>
      </c>
      <c r="Q3276" s="16">
        <f>HYPERLINK("https://pb.nalog.ru/search.html?query=4105031331","ФНС: проверить")</f>
        <v/>
      </c>
      <c r="R3276" s="16">
        <f>HYPERLINK("https://checko.ru/search?query=3801001629","Чекко: проверить")</f>
        <v/>
      </c>
      <c r="S3276" t="n">
        <v>1</v>
      </c>
      <c r="T3276" s="35" t="inlineStr">
        <is>
          <t>4 — Не обогащён</t>
        </is>
      </c>
      <c r="U3276" s="35" t="inlineStr">
        <is>
          <t>Нет ОКВЭД/ССЧР</t>
        </is>
      </c>
      <c r="V3276" s="35" t="inlineStr">
        <is>
          <t>Не определено</t>
        </is>
      </c>
      <c r="W3276" s="35" t="inlineStr"/>
      <c r="X3276" s="35" t="inlineStr"/>
    </row>
    <row r="3277" ht="15" customHeight="1" s="24">
      <c r="A3277" s="13" t="n">
        <v>5000122391</v>
      </c>
      <c r="B3277" s="13" t="inlineStr">
        <is>
          <t>МОУ "СОШ №14 с УИОП"</t>
        </is>
      </c>
      <c r="C3277" s="13" t="n">
        <v>5042068190</v>
      </c>
      <c r="D3277" s="13" t="inlineStr">
        <is>
          <t>5042068190</t>
        </is>
      </c>
      <c r="E3277" s="13" t="inlineStr">
        <is>
          <t>ЮЛ РФ</t>
        </is>
      </c>
      <c r="F3277" s="13" t="n"/>
      <c r="G3277" s="14" t="n"/>
      <c r="H3277" s="14" t="n"/>
      <c r="I3277" s="14" t="n"/>
      <c r="J3277" s="14" t="n"/>
      <c r="K3277" s="53" t="inlineStr"/>
      <c r="L3277" s="53" t="inlineStr">
        <is>
          <t>Не определено</t>
        </is>
      </c>
      <c r="M3277" s="53" t="inlineStr"/>
      <c r="N3277" s="54" t="inlineStr"/>
      <c r="O3277" s="55" t="inlineStr"/>
      <c r="P3277" s="16" t="inlineStr">
        <is>
          <t>Требует обогащения</t>
        </is>
      </c>
      <c r="Q3277" s="16">
        <f>HYPERLINK("https://pb.nalog.ru/search.html?query=5042068190","ФНС: проверить")</f>
        <v/>
      </c>
      <c r="R3277" s="16">
        <f>HYPERLINK("https://checko.ru/search?query=3801001629","Чекко: проверить")</f>
        <v/>
      </c>
      <c r="S3277" t="n">
        <v>1</v>
      </c>
      <c r="T3277" s="35" t="inlineStr">
        <is>
          <t>4 — Не обогащён</t>
        </is>
      </c>
      <c r="U3277" s="35" t="inlineStr">
        <is>
          <t>Нет ОКВЭД/ССЧР</t>
        </is>
      </c>
      <c r="V3277" s="35" t="inlineStr">
        <is>
          <t>Не определено</t>
        </is>
      </c>
      <c r="W3277" s="35" t="inlineStr"/>
      <c r="X3277" s="35" t="inlineStr"/>
    </row>
    <row r="3278" ht="15" customHeight="1" s="24">
      <c r="A3278" s="13" t="n">
        <v>5000122548</v>
      </c>
      <c r="B3278" s="13" t="inlineStr">
        <is>
          <t>КГУ "Корякский центр народного творчества"</t>
        </is>
      </c>
      <c r="C3278" s="13" t="n">
        <v>8202010165</v>
      </c>
      <c r="D3278" s="13" t="inlineStr">
        <is>
          <t>8202010165</t>
        </is>
      </c>
      <c r="E3278" s="13" t="inlineStr">
        <is>
          <t>ЮЛ РФ</t>
        </is>
      </c>
      <c r="F3278" s="13" t="n"/>
      <c r="G3278" s="14" t="n"/>
      <c r="H3278" s="14" t="n"/>
      <c r="I3278" s="14" t="n"/>
      <c r="J3278" s="14" t="n"/>
      <c r="K3278" s="53" t="inlineStr"/>
      <c r="L3278" s="53" t="inlineStr">
        <is>
          <t>Не определено</t>
        </is>
      </c>
      <c r="M3278" s="53" t="inlineStr"/>
      <c r="N3278" s="54" t="inlineStr"/>
      <c r="O3278" s="55" t="inlineStr"/>
      <c r="P3278" s="16" t="inlineStr">
        <is>
          <t>Требует обогащения</t>
        </is>
      </c>
      <c r="Q3278" s="16">
        <f>HYPERLINK("https://pb.nalog.ru/search.html?query=8202010165","ФНС: проверить")</f>
        <v/>
      </c>
      <c r="R3278" s="16">
        <f>HYPERLINK("https://checko.ru/search?query=3801001629","Чекко: проверить")</f>
        <v/>
      </c>
      <c r="S3278" t="n">
        <v>1</v>
      </c>
      <c r="T3278" s="35" t="inlineStr">
        <is>
          <t>4 — Не обогащён</t>
        </is>
      </c>
      <c r="U3278" s="35" t="inlineStr">
        <is>
          <t>Нет ОКВЭД/ССЧР</t>
        </is>
      </c>
      <c r="V3278" s="35" t="inlineStr">
        <is>
          <t>Не определено</t>
        </is>
      </c>
      <c r="W3278" s="35" t="inlineStr"/>
      <c r="X3278" s="35" t="inlineStr"/>
    </row>
    <row r="3279" ht="41.25" customHeight="1" s="24">
      <c r="A3279" s="13" t="n">
        <v>5000122618</v>
      </c>
      <c r="B3279" s="13" t="inlineStr">
        <is>
          <t>КОМИТЕТ ПО УПРАВЛЕНИЮ МУНИЦИПАЛЬНЫМ ИМУЩЕСТВОМ АДМИНИСТРАЦИИ УСТЬ-БОЛЬШЕРЕЦКОГО МУНИЦИПАЛЬНОГО РАЙОНА</t>
        </is>
      </c>
      <c r="C3279" s="13" t="n">
        <v>4108001617</v>
      </c>
      <c r="D3279" s="13" t="inlineStr">
        <is>
          <t>4108001617</t>
        </is>
      </c>
      <c r="E3279" s="13" t="inlineStr">
        <is>
          <t>ЮЛ РФ</t>
        </is>
      </c>
      <c r="F3279" s="13" t="n"/>
      <c r="G3279" s="14" t="n"/>
      <c r="H3279" s="14" t="n"/>
      <c r="I3279" s="14" t="n"/>
      <c r="J3279" s="14" t="n"/>
      <c r="K3279" s="53" t="inlineStr"/>
      <c r="L3279" s="53" t="inlineStr">
        <is>
          <t>Не определено</t>
        </is>
      </c>
      <c r="M3279" s="53" t="inlineStr"/>
      <c r="N3279" s="54" t="inlineStr"/>
      <c r="O3279" s="55" t="inlineStr"/>
      <c r="P3279" s="16" t="inlineStr">
        <is>
          <t>Требует обогащения</t>
        </is>
      </c>
      <c r="Q3279" s="16">
        <f>HYPERLINK("https://pb.nalog.ru/search.html?query=4108001617","ФНС: проверить")</f>
        <v/>
      </c>
      <c r="R3279" s="16">
        <f>HYPERLINK("https://checko.ru/search?query=3801001629","Чекко: проверить")</f>
        <v/>
      </c>
      <c r="S3279" t="n">
        <v>1</v>
      </c>
      <c r="T3279" s="35" t="inlineStr">
        <is>
          <t>4 — Не обогащён</t>
        </is>
      </c>
      <c r="U3279" s="35" t="inlineStr">
        <is>
          <t>Нет ОКВЭД/ССЧР</t>
        </is>
      </c>
      <c r="V3279" s="35" t="inlineStr">
        <is>
          <t>Не определено</t>
        </is>
      </c>
      <c r="W3279" s="35" t="inlineStr"/>
      <c r="X3279" s="35" t="inlineStr"/>
    </row>
    <row r="3280" ht="15" customHeight="1" s="24">
      <c r="A3280" s="13" t="n">
        <v>5000122567</v>
      </c>
      <c r="B3280" s="13" t="inlineStr">
        <is>
          <t>КГКУ "МФЦ КАМЧАТСКОГО КРАЯ"</t>
        </is>
      </c>
      <c r="C3280" s="13" t="n">
        <v>4101137295</v>
      </c>
      <c r="D3280" s="13" t="inlineStr">
        <is>
          <t>4101137295</t>
        </is>
      </c>
      <c r="E3280" s="13" t="inlineStr">
        <is>
          <t>ЮЛ РФ</t>
        </is>
      </c>
      <c r="F3280" s="13" t="n"/>
      <c r="G3280" s="14" t="n"/>
      <c r="H3280" s="14" t="n"/>
      <c r="I3280" s="14" t="n"/>
      <c r="J3280" s="14" t="n"/>
      <c r="K3280" s="53" t="inlineStr"/>
      <c r="L3280" s="53" t="inlineStr">
        <is>
          <t>Не определено</t>
        </is>
      </c>
      <c r="M3280" s="53" t="inlineStr"/>
      <c r="N3280" s="54" t="inlineStr"/>
      <c r="O3280" s="55" t="inlineStr"/>
      <c r="P3280" s="16" t="inlineStr">
        <is>
          <t>Требует обогащения</t>
        </is>
      </c>
      <c r="Q3280" s="16">
        <f>HYPERLINK("https://pb.nalog.ru/search.html?query=4101137295","ФНС: проверить")</f>
        <v/>
      </c>
      <c r="R3280" s="16">
        <f>HYPERLINK("https://checko.ru/search?query=3801001629","Чекко: проверить")</f>
        <v/>
      </c>
      <c r="S3280" t="n">
        <v>1</v>
      </c>
      <c r="T3280" s="35" t="inlineStr">
        <is>
          <t>4 — Не обогащён</t>
        </is>
      </c>
      <c r="U3280" s="35" t="inlineStr">
        <is>
          <t>Нет ОКВЭД/ССЧР</t>
        </is>
      </c>
      <c r="V3280" s="35" t="inlineStr">
        <is>
          <t>Не определено</t>
        </is>
      </c>
      <c r="W3280" s="35" t="inlineStr"/>
      <c r="X3280" s="35" t="inlineStr"/>
    </row>
    <row r="3281" ht="27.75" customHeight="1" s="24">
      <c r="A3281" s="13" t="n">
        <v>5000122371</v>
      </c>
      <c r="B3281" s="13" t="inlineStr">
        <is>
          <t>МУК "Сергиево-Посадский драматический театр-студия "Театральный ковчег"</t>
        </is>
      </c>
      <c r="C3281" s="13" t="n">
        <v>5042075504</v>
      </c>
      <c r="D3281" s="13" t="inlineStr">
        <is>
          <t>5042075504</t>
        </is>
      </c>
      <c r="E3281" s="13" t="inlineStr">
        <is>
          <t>ЮЛ РФ</t>
        </is>
      </c>
      <c r="F3281" s="13" t="n"/>
      <c r="G3281" s="14" t="n"/>
      <c r="H3281" s="14" t="n"/>
      <c r="I3281" s="14" t="n"/>
      <c r="J3281" s="14" t="n"/>
      <c r="K3281" s="53" t="inlineStr"/>
      <c r="L3281" s="53" t="inlineStr">
        <is>
          <t>Не определено</t>
        </is>
      </c>
      <c r="M3281" s="53" t="inlineStr"/>
      <c r="N3281" s="54" t="inlineStr"/>
      <c r="O3281" s="55" t="inlineStr"/>
      <c r="P3281" s="16" t="inlineStr">
        <is>
          <t>Требует обогащения</t>
        </is>
      </c>
      <c r="Q3281" s="16">
        <f>HYPERLINK("https://pb.nalog.ru/search.html?query=5042075504","ФНС: проверить")</f>
        <v/>
      </c>
      <c r="R3281" s="16">
        <f>HYPERLINK("https://checko.ru/search?query=3801001629","Чекко: проверить")</f>
        <v/>
      </c>
      <c r="S3281" t="n">
        <v>1</v>
      </c>
      <c r="T3281" s="35" t="inlineStr">
        <is>
          <t>4 — Не обогащён</t>
        </is>
      </c>
      <c r="U3281" s="35" t="inlineStr">
        <is>
          <t>Нет ОКВЭД/ССЧР</t>
        </is>
      </c>
      <c r="V3281" s="35" t="inlineStr">
        <is>
          <t>Не определено</t>
        </is>
      </c>
      <c r="W3281" s="35" t="inlineStr"/>
      <c r="X3281" s="35" t="inlineStr"/>
    </row>
    <row r="3282" ht="27.75" customHeight="1" s="24">
      <c r="A3282" s="13" t="n">
        <v>5000119826</v>
      </c>
      <c r="B3282" s="13" t="inlineStr">
        <is>
          <t>МБОУ "СРЕДНЯЯ ОБЩЕОБРАЗОВАТЕЛЬНАЯ ШКОЛА №5 г. ПЕРЕСВЕТА"</t>
        </is>
      </c>
      <c r="C3282" s="13" t="n">
        <v>5042069211</v>
      </c>
      <c r="D3282" s="13" t="inlineStr">
        <is>
          <t>5042069211</t>
        </is>
      </c>
      <c r="E3282" s="13" t="inlineStr">
        <is>
          <t>ЮЛ РФ</t>
        </is>
      </c>
      <c r="F3282" s="13" t="n"/>
      <c r="G3282" s="14" t="n"/>
      <c r="H3282" s="14" t="n"/>
      <c r="I3282" s="14" t="n"/>
      <c r="J3282" s="14" t="n"/>
      <c r="K3282" s="53" t="inlineStr"/>
      <c r="L3282" s="53" t="inlineStr">
        <is>
          <t>Не определено</t>
        </is>
      </c>
      <c r="M3282" s="53" t="inlineStr"/>
      <c r="N3282" s="54" t="inlineStr"/>
      <c r="O3282" s="55" t="inlineStr"/>
      <c r="P3282" s="16" t="inlineStr">
        <is>
          <t>Требует обогащения</t>
        </is>
      </c>
      <c r="Q3282" s="16">
        <f>HYPERLINK("https://pb.nalog.ru/search.html?query=5042069211","ФНС: проверить")</f>
        <v/>
      </c>
      <c r="R3282" s="16">
        <f>HYPERLINK("https://checko.ru/search?query=3801001629","Чекко: проверить")</f>
        <v/>
      </c>
      <c r="S3282" t="n">
        <v>1</v>
      </c>
      <c r="T3282" s="35" t="inlineStr">
        <is>
          <t>4 — Не обогащён</t>
        </is>
      </c>
      <c r="U3282" s="35" t="inlineStr">
        <is>
          <t>Нет ОКВЭД/ССЧР</t>
        </is>
      </c>
      <c r="V3282" s="35" t="inlineStr">
        <is>
          <t>Не определено</t>
        </is>
      </c>
      <c r="W3282" s="35" t="inlineStr"/>
      <c r="X3282" s="35" t="inlineStr"/>
    </row>
    <row r="3283" ht="27.75" customHeight="1" s="24">
      <c r="A3283" s="13" t="n">
        <v>5000120017</v>
      </c>
      <c r="B3283" s="13" t="inlineStr">
        <is>
          <t>Комитет Градостроительства Администрации Наро-фоминского района</t>
        </is>
      </c>
      <c r="C3283" s="13" t="n">
        <v>5030058046</v>
      </c>
      <c r="D3283" s="13" t="inlineStr">
        <is>
          <t>5030058046</t>
        </is>
      </c>
      <c r="E3283" s="13" t="inlineStr">
        <is>
          <t>ЮЛ РФ</t>
        </is>
      </c>
      <c r="F3283" s="13" t="n"/>
      <c r="G3283" s="14" t="n"/>
      <c r="H3283" s="14" t="n"/>
      <c r="I3283" s="14" t="n"/>
      <c r="J3283" s="14" t="n"/>
      <c r="K3283" s="53" t="inlineStr"/>
      <c r="L3283" s="53" t="inlineStr">
        <is>
          <t>Не определено</t>
        </is>
      </c>
      <c r="M3283" s="53" t="inlineStr"/>
      <c r="N3283" s="54" t="inlineStr"/>
      <c r="O3283" s="55" t="inlineStr"/>
      <c r="P3283" s="16" t="inlineStr">
        <is>
          <t>Требует обогащения</t>
        </is>
      </c>
      <c r="Q3283" s="16">
        <f>HYPERLINK("https://pb.nalog.ru/search.html?query=5030058046","ФНС: проверить")</f>
        <v/>
      </c>
      <c r="R3283" s="16">
        <f>HYPERLINK("https://checko.ru/search?query=3801001629","Чекко: проверить")</f>
        <v/>
      </c>
      <c r="S3283" t="n">
        <v>1</v>
      </c>
      <c r="T3283" s="35" t="inlineStr">
        <is>
          <t>4 — Не обогащён</t>
        </is>
      </c>
      <c r="U3283" s="35" t="inlineStr">
        <is>
          <t>Нет ОКВЭД/ССЧР</t>
        </is>
      </c>
      <c r="V3283" s="35" t="inlineStr">
        <is>
          <t>Не определено</t>
        </is>
      </c>
      <c r="W3283" s="35" t="inlineStr"/>
      <c r="X3283" s="35" t="inlineStr"/>
    </row>
    <row r="3284" ht="15" customHeight="1" s="24">
      <c r="A3284" s="13" t="n">
        <v>5000120010</v>
      </c>
      <c r="B3284" s="13" t="inlineStr">
        <is>
          <t>МКУ МФЦ Наро-фоминского р-на</t>
        </is>
      </c>
      <c r="C3284" s="13" t="n">
        <v>5030083388</v>
      </c>
      <c r="D3284" s="13" t="inlineStr">
        <is>
          <t>5030083388</t>
        </is>
      </c>
      <c r="E3284" s="13" t="inlineStr">
        <is>
          <t>ЮЛ РФ</t>
        </is>
      </c>
      <c r="F3284" s="13" t="n"/>
      <c r="G3284" s="14" t="n"/>
      <c r="H3284" s="14" t="n"/>
      <c r="I3284" s="14" t="n"/>
      <c r="J3284" s="14" t="n"/>
      <c r="K3284" s="53" t="inlineStr"/>
      <c r="L3284" s="53" t="inlineStr">
        <is>
          <t>Не определено</t>
        </is>
      </c>
      <c r="M3284" s="53" t="inlineStr"/>
      <c r="N3284" s="54" t="inlineStr"/>
      <c r="O3284" s="55" t="inlineStr"/>
      <c r="P3284" s="16" t="inlineStr">
        <is>
          <t>Требует обогащения</t>
        </is>
      </c>
      <c r="Q3284" s="16">
        <f>HYPERLINK("https://pb.nalog.ru/search.html?query=5030083388","ФНС: проверить")</f>
        <v/>
      </c>
      <c r="R3284" s="16">
        <f>HYPERLINK("https://checko.ru/search?query=3801001629","Чекко: проверить")</f>
        <v/>
      </c>
      <c r="S3284" t="n">
        <v>1</v>
      </c>
      <c r="T3284" s="35" t="inlineStr">
        <is>
          <t>4 — Не обогащён</t>
        </is>
      </c>
      <c r="U3284" s="35" t="inlineStr">
        <is>
          <t>Нет ОКВЭД/ССЧР</t>
        </is>
      </c>
      <c r="V3284" s="35" t="inlineStr">
        <is>
          <t>Не определено</t>
        </is>
      </c>
      <c r="W3284" s="35" t="inlineStr"/>
      <c r="X3284" s="35" t="inlineStr"/>
    </row>
    <row r="3285" ht="41.25" customHeight="1" s="24">
      <c r="A3285" s="13" t="n">
        <v>5000122620</v>
      </c>
      <c r="B3285" s="13" t="inlineStr">
        <is>
          <t>Управление культуры, молодежи и спорта администрации Усть-Большерецкого муниципального района</t>
        </is>
      </c>
      <c r="C3285" s="13" t="n">
        <v>4108001550</v>
      </c>
      <c r="D3285" s="13" t="inlineStr">
        <is>
          <t>4108001550</t>
        </is>
      </c>
      <c r="E3285" s="13" t="inlineStr">
        <is>
          <t>ЮЛ РФ</t>
        </is>
      </c>
      <c r="F3285" s="13" t="n"/>
      <c r="G3285" s="14" t="n"/>
      <c r="H3285" s="14" t="n"/>
      <c r="I3285" s="14" t="n"/>
      <c r="J3285" s="14" t="n"/>
      <c r="K3285" s="53" t="inlineStr"/>
      <c r="L3285" s="53" t="inlineStr">
        <is>
          <t>Не определено</t>
        </is>
      </c>
      <c r="M3285" s="53" t="inlineStr"/>
      <c r="N3285" s="54" t="inlineStr"/>
      <c r="O3285" s="55" t="inlineStr"/>
      <c r="P3285" s="16" t="inlineStr">
        <is>
          <t>Требует обогащения</t>
        </is>
      </c>
      <c r="Q3285" s="16">
        <f>HYPERLINK("https://pb.nalog.ru/search.html?query=4108001550","ФНС: проверить")</f>
        <v/>
      </c>
      <c r="R3285" s="16">
        <f>HYPERLINK("https://checko.ru/search?query=3801001629","Чекко: проверить")</f>
        <v/>
      </c>
      <c r="S3285" t="n">
        <v>1</v>
      </c>
      <c r="T3285" s="35" t="inlineStr">
        <is>
          <t>4 — Не обогащён</t>
        </is>
      </c>
      <c r="U3285" s="35" t="inlineStr">
        <is>
          <t>Нет ОКВЭД/ССЧР</t>
        </is>
      </c>
      <c r="V3285" s="35" t="inlineStr">
        <is>
          <t>Не определено</t>
        </is>
      </c>
      <c r="W3285" s="35" t="inlineStr"/>
      <c r="X3285" s="35" t="inlineStr"/>
    </row>
    <row r="3286" ht="27.75" customHeight="1" s="24">
      <c r="A3286" s="13" t="n">
        <v>5000020992</v>
      </c>
      <c r="B3286" s="13" t="inlineStr">
        <is>
          <t>МБУК "Социально-культурный центр Муниципального образования "Каменка"</t>
        </is>
      </c>
      <c r="C3286" s="13" t="n">
        <v>3849012996</v>
      </c>
      <c r="D3286" s="13" t="inlineStr">
        <is>
          <t>3849012996</t>
        </is>
      </c>
      <c r="E3286" s="13" t="inlineStr">
        <is>
          <t>ЮЛ РФ</t>
        </is>
      </c>
      <c r="F3286" s="13" t="n"/>
      <c r="G3286" s="14" t="n"/>
      <c r="H3286" s="14" t="n"/>
      <c r="I3286" s="14" t="n"/>
      <c r="J3286" s="14" t="n"/>
      <c r="K3286" s="53" t="inlineStr"/>
      <c r="L3286" s="53" t="inlineStr">
        <is>
          <t>Не определено</t>
        </is>
      </c>
      <c r="M3286" s="53" t="inlineStr"/>
      <c r="N3286" s="54" t="inlineStr"/>
      <c r="O3286" s="55" t="inlineStr"/>
      <c r="P3286" s="16" t="inlineStr">
        <is>
          <t>Требует обогащения</t>
        </is>
      </c>
      <c r="Q3286" s="16">
        <f>HYPERLINK("https://pb.nalog.ru/search.html?query=3849012996","ФНС: проверить")</f>
        <v/>
      </c>
      <c r="R3286" s="16">
        <f>HYPERLINK("https://checko.ru/search?query=3801001629","Чекко: проверить")</f>
        <v/>
      </c>
      <c r="S3286" t="n">
        <v>1</v>
      </c>
      <c r="T3286" s="35" t="inlineStr">
        <is>
          <t>4 — Не обогащён</t>
        </is>
      </c>
      <c r="U3286" s="35" t="inlineStr">
        <is>
          <t>Нет ОКВЭД/ССЧР</t>
        </is>
      </c>
      <c r="V3286" s="35" t="inlineStr">
        <is>
          <t>Не определено</t>
        </is>
      </c>
      <c r="W3286" s="35" t="inlineStr"/>
      <c r="X3286" s="35" t="inlineStr"/>
    </row>
    <row r="3287" ht="15" customHeight="1" s="24">
      <c r="A3287" s="13" t="n">
        <v>5000122553</v>
      </c>
      <c r="B3287" s="13" t="inlineStr">
        <is>
          <t>КГКУ "Камчатские лесничества"</t>
        </is>
      </c>
      <c r="C3287" s="13" t="n">
        <v>4105087052</v>
      </c>
      <c r="D3287" s="13" t="inlineStr">
        <is>
          <t>4105087052</t>
        </is>
      </c>
      <c r="E3287" s="13" t="inlineStr">
        <is>
          <t>ЮЛ РФ</t>
        </is>
      </c>
      <c r="F3287" s="13" t="n"/>
      <c r="G3287" s="14" t="n"/>
      <c r="H3287" s="14" t="n"/>
      <c r="I3287" s="14" t="n"/>
      <c r="J3287" s="14" t="n"/>
      <c r="K3287" s="53" t="inlineStr"/>
      <c r="L3287" s="53" t="inlineStr">
        <is>
          <t>Не определено</t>
        </is>
      </c>
      <c r="M3287" s="53" t="inlineStr"/>
      <c r="N3287" s="54" t="inlineStr"/>
      <c r="O3287" s="55" t="inlineStr"/>
      <c r="P3287" s="16" t="inlineStr">
        <is>
          <t>Требует обогащения</t>
        </is>
      </c>
      <c r="Q3287" s="16">
        <f>HYPERLINK("https://pb.nalog.ru/search.html?query=4105087052","ФНС: проверить")</f>
        <v/>
      </c>
      <c r="R3287" s="16">
        <f>HYPERLINK("https://checko.ru/search?query=3801001629","Чекко: проверить")</f>
        <v/>
      </c>
      <c r="S3287" t="n">
        <v>1</v>
      </c>
      <c r="T3287" s="35" t="inlineStr">
        <is>
          <t>4 — Не обогащён</t>
        </is>
      </c>
      <c r="U3287" s="35" t="inlineStr">
        <is>
          <t>Нет ОКВЭД/ССЧР</t>
        </is>
      </c>
      <c r="V3287" s="35" t="inlineStr">
        <is>
          <t>Не определено</t>
        </is>
      </c>
      <c r="W3287" s="35" t="inlineStr"/>
      <c r="X3287" s="35" t="inlineStr"/>
    </row>
    <row r="3288" ht="15" customHeight="1" s="24">
      <c r="A3288" s="13" t="n">
        <v>5000088798</v>
      </c>
      <c r="B3288" s="13" t="inlineStr">
        <is>
          <t>ОСИНСКОЕ МУО</t>
        </is>
      </c>
      <c r="C3288" s="13" t="n">
        <v>8505002188</v>
      </c>
      <c r="D3288" s="13" t="inlineStr">
        <is>
          <t>8505002188</t>
        </is>
      </c>
      <c r="E3288" s="13" t="inlineStr">
        <is>
          <t>ЮЛ РФ</t>
        </is>
      </c>
      <c r="F3288" s="13" t="n"/>
      <c r="G3288" s="14" t="n"/>
      <c r="H3288" s="14" t="n"/>
      <c r="I3288" s="14" t="n"/>
      <c r="J3288" s="14" t="n"/>
      <c r="K3288" s="53" t="inlineStr"/>
      <c r="L3288" s="53" t="inlineStr">
        <is>
          <t>Не определено</t>
        </is>
      </c>
      <c r="M3288" s="53" t="inlineStr"/>
      <c r="N3288" s="54" t="inlineStr"/>
      <c r="O3288" s="55" t="inlineStr"/>
      <c r="P3288" s="16" t="inlineStr">
        <is>
          <t>Требует обогащения</t>
        </is>
      </c>
      <c r="Q3288" s="16">
        <f>HYPERLINK("https://pb.nalog.ru/search.html?query=8505002188","ФНС: проверить")</f>
        <v/>
      </c>
      <c r="R3288" s="16">
        <f>HYPERLINK("https://checko.ru/search?query=3801001629","Чекко: проверить")</f>
        <v/>
      </c>
      <c r="S3288" t="n">
        <v>1</v>
      </c>
      <c r="T3288" s="35" t="inlineStr">
        <is>
          <t>4 — Не обогащён</t>
        </is>
      </c>
      <c r="U3288" s="35" t="inlineStr">
        <is>
          <t>Нет ОКВЭД/ССЧР</t>
        </is>
      </c>
      <c r="V3288" s="35" t="inlineStr">
        <is>
          <t>Не определено</t>
        </is>
      </c>
      <c r="W3288" s="35" t="inlineStr"/>
      <c r="X3288" s="35" t="inlineStr"/>
    </row>
    <row r="3289" ht="27.75" customHeight="1" s="24">
      <c r="A3289" s="13" t="n">
        <v>5000122602</v>
      </c>
      <c r="B3289" s="13" t="inlineStr">
        <is>
          <t>Администрация Пионерского сельского поселения Елизовского муниципального района</t>
        </is>
      </c>
      <c r="C3289" s="13" t="n">
        <v>4105029741</v>
      </c>
      <c r="D3289" s="13" t="inlineStr">
        <is>
          <t>4105029741</t>
        </is>
      </c>
      <c r="E3289" s="13" t="inlineStr">
        <is>
          <t>ЮЛ РФ</t>
        </is>
      </c>
      <c r="F3289" s="13" t="n"/>
      <c r="G3289" s="14" t="n"/>
      <c r="H3289" s="14" t="n"/>
      <c r="I3289" s="14" t="n"/>
      <c r="J3289" s="14" t="n"/>
      <c r="K3289" s="53" t="inlineStr"/>
      <c r="L3289" s="53" t="inlineStr">
        <is>
          <t>Не определено</t>
        </is>
      </c>
      <c r="M3289" s="53" t="inlineStr"/>
      <c r="N3289" s="54" t="inlineStr"/>
      <c r="O3289" s="55" t="inlineStr"/>
      <c r="P3289" s="16" t="inlineStr">
        <is>
          <t>Требует обогащения</t>
        </is>
      </c>
      <c r="Q3289" s="16">
        <f>HYPERLINK("https://pb.nalog.ru/search.html?query=4105029741","ФНС: проверить")</f>
        <v/>
      </c>
      <c r="R3289" s="16">
        <f>HYPERLINK("https://checko.ru/search?query=3801001629","Чекко: проверить")</f>
        <v/>
      </c>
      <c r="S3289" t="n">
        <v>1</v>
      </c>
      <c r="T3289" s="35" t="inlineStr">
        <is>
          <t>4 — Не обогащён</t>
        </is>
      </c>
      <c r="U3289" s="35" t="inlineStr">
        <is>
          <t>Нет ОКВЭД/ССЧР</t>
        </is>
      </c>
      <c r="V3289" s="35" t="inlineStr">
        <is>
          <t>Не определено</t>
        </is>
      </c>
      <c r="W3289" s="35" t="inlineStr"/>
      <c r="X3289" s="35" t="inlineStr"/>
    </row>
    <row r="3290" ht="27.75" customHeight="1" s="24">
      <c r="A3290" s="13" t="n">
        <v>5000122593</v>
      </c>
      <c r="B3290" s="13" t="inlineStr">
        <is>
          <t>СОБРАНИЕ ДЕПУТАТОВ ЕЛИЗОВСКОГО ГОРОДСКОГО ПОСЕЛЕНИЯ</t>
        </is>
      </c>
      <c r="C3290" s="13" t="n">
        <v>4105030553</v>
      </c>
      <c r="D3290" s="13" t="inlineStr">
        <is>
          <t>4105030553</t>
        </is>
      </c>
      <c r="E3290" s="13" t="inlineStr">
        <is>
          <t>ЮЛ РФ</t>
        </is>
      </c>
      <c r="F3290" s="13" t="n"/>
      <c r="G3290" s="14" t="n"/>
      <c r="H3290" s="14" t="n"/>
      <c r="I3290" s="14" t="n"/>
      <c r="J3290" s="14" t="n"/>
      <c r="K3290" s="53" t="inlineStr"/>
      <c r="L3290" s="53" t="inlineStr">
        <is>
          <t>Не определено</t>
        </is>
      </c>
      <c r="M3290" s="53" t="inlineStr"/>
      <c r="N3290" s="54" t="inlineStr"/>
      <c r="O3290" s="55" t="inlineStr"/>
      <c r="P3290" s="16" t="inlineStr">
        <is>
          <t>Требует обогащения</t>
        </is>
      </c>
      <c r="Q3290" s="16">
        <f>HYPERLINK("https://pb.nalog.ru/search.html?query=4105030553","ФНС: проверить")</f>
        <v/>
      </c>
      <c r="R3290" s="16">
        <f>HYPERLINK("https://checko.ru/search?query=3801001629","Чекко: проверить")</f>
        <v/>
      </c>
      <c r="S3290" t="n">
        <v>1</v>
      </c>
      <c r="T3290" s="35" t="inlineStr">
        <is>
          <t>4 — Не обогащён</t>
        </is>
      </c>
      <c r="U3290" s="35" t="inlineStr">
        <is>
          <t>Нет ОКВЭД/ССЧР</t>
        </is>
      </c>
      <c r="V3290" s="35" t="inlineStr">
        <is>
          <t>Не определено</t>
        </is>
      </c>
      <c r="W3290" s="35" t="inlineStr"/>
      <c r="X3290" s="35" t="inlineStr"/>
    </row>
    <row r="3291" ht="27.75" customHeight="1" s="24">
      <c r="A3291" s="13" t="n">
        <v>5000122576</v>
      </c>
      <c r="B3291" s="13" t="inlineStr">
        <is>
          <t>Управление дорожно-транспортного  хозяйства и развития коммунальн</t>
        </is>
      </c>
      <c r="C3291" s="13" t="n">
        <v>4105037728</v>
      </c>
      <c r="D3291" s="13" t="inlineStr">
        <is>
          <t>4105037728</t>
        </is>
      </c>
      <c r="E3291" s="13" t="inlineStr">
        <is>
          <t>ЮЛ РФ</t>
        </is>
      </c>
      <c r="F3291" s="13" t="n"/>
      <c r="G3291" s="14" t="n"/>
      <c r="H3291" s="14" t="n"/>
      <c r="I3291" s="14" t="n"/>
      <c r="J3291" s="14" t="n"/>
      <c r="K3291" s="53" t="inlineStr"/>
      <c r="L3291" s="53" t="inlineStr">
        <is>
          <t>Не определено</t>
        </is>
      </c>
      <c r="M3291" s="53" t="inlineStr"/>
      <c r="N3291" s="54" t="inlineStr"/>
      <c r="O3291" s="55" t="inlineStr"/>
      <c r="P3291" s="16" t="inlineStr">
        <is>
          <t>Требует обогащения</t>
        </is>
      </c>
      <c r="Q3291" s="16">
        <f>HYPERLINK("https://pb.nalog.ru/search.html?query=4105037728","ФНС: проверить")</f>
        <v/>
      </c>
      <c r="R3291" s="16">
        <f>HYPERLINK("https://checko.ru/search?query=3801001629","Чекко: проверить")</f>
        <v/>
      </c>
      <c r="S3291" t="n">
        <v>1</v>
      </c>
      <c r="T3291" s="35" t="inlineStr">
        <is>
          <t>4 — Не обогащён</t>
        </is>
      </c>
      <c r="U3291" s="35" t="inlineStr">
        <is>
          <t>Нет ОКВЭД/ССЧР</t>
        </is>
      </c>
      <c r="V3291" s="35" t="inlineStr">
        <is>
          <t>Не определено</t>
        </is>
      </c>
      <c r="W3291" s="35" t="inlineStr"/>
      <c r="X3291" s="35" t="inlineStr"/>
    </row>
    <row r="3292" ht="41.25" customHeight="1" s="24">
      <c r="A3292" s="13" t="n">
        <v>5000122631</v>
      </c>
      <c r="B3292" s="13" t="inlineStr">
        <is>
          <t>УПРАВЛЕНИЕ ОБРАЗОВАНИЯ И МОЛОДЕЖНОЙ ПОЛИТИКИ АДМИНИСТРАЦИИ СОБОЛЕВСКОГО МУНИЦИПАЛЬНОГО РАЙОНА КАМЧАТСКОГО КРАЯ</t>
        </is>
      </c>
      <c r="C3292" s="13" t="n">
        <v>4107000466</v>
      </c>
      <c r="D3292" s="13" t="inlineStr">
        <is>
          <t>4107000466</t>
        </is>
      </c>
      <c r="E3292" s="13" t="inlineStr">
        <is>
          <t>ЮЛ РФ</t>
        </is>
      </c>
      <c r="F3292" s="13" t="n"/>
      <c r="G3292" s="14" t="n"/>
      <c r="H3292" s="14" t="n"/>
      <c r="I3292" s="14" t="n"/>
      <c r="J3292" s="14" t="n"/>
      <c r="K3292" s="53" t="inlineStr"/>
      <c r="L3292" s="53" t="inlineStr">
        <is>
          <t>Не определено</t>
        </is>
      </c>
      <c r="M3292" s="53" t="inlineStr"/>
      <c r="N3292" s="54" t="inlineStr"/>
      <c r="O3292" s="55" t="inlineStr"/>
      <c r="P3292" s="16" t="inlineStr">
        <is>
          <t>Требует обогащения</t>
        </is>
      </c>
      <c r="Q3292" s="16">
        <f>HYPERLINK("https://pb.nalog.ru/search.html?query=4107000466","ФНС: проверить")</f>
        <v/>
      </c>
      <c r="R3292" s="16">
        <f>HYPERLINK("https://checko.ru/search?query=3801001629","Чекко: проверить")</f>
        <v/>
      </c>
      <c r="S3292" t="n">
        <v>1</v>
      </c>
      <c r="T3292" s="35" t="inlineStr">
        <is>
          <t>4 — Не обогащён</t>
        </is>
      </c>
      <c r="U3292" s="35" t="inlineStr">
        <is>
          <t>Нет ОКВЭД/ССЧР</t>
        </is>
      </c>
      <c r="V3292" s="35" t="inlineStr">
        <is>
          <t>Не определено</t>
        </is>
      </c>
      <c r="W3292" s="35" t="inlineStr"/>
      <c r="X3292" s="35" t="inlineStr"/>
    </row>
    <row r="3293" ht="27.75" customHeight="1" s="24">
      <c r="A3293" s="13" t="n">
        <v>5000122670</v>
      </c>
      <c r="B3293" s="13" t="inlineStr">
        <is>
          <t>Администрация сельского поселения "Село Аянка"</t>
        </is>
      </c>
      <c r="C3293" s="13" t="n">
        <v>8204007496</v>
      </c>
      <c r="D3293" s="13" t="inlineStr">
        <is>
          <t>8204007496</t>
        </is>
      </c>
      <c r="E3293" s="13" t="inlineStr">
        <is>
          <t>ЮЛ РФ</t>
        </is>
      </c>
      <c r="F3293" s="13" t="n"/>
      <c r="G3293" s="14" t="n"/>
      <c r="H3293" s="14" t="n"/>
      <c r="I3293" s="14" t="n"/>
      <c r="J3293" s="14" t="n"/>
      <c r="K3293" s="53" t="inlineStr"/>
      <c r="L3293" s="53" t="inlineStr">
        <is>
          <t>Не определено</t>
        </is>
      </c>
      <c r="M3293" s="53" t="inlineStr"/>
      <c r="N3293" s="54" t="inlineStr"/>
      <c r="O3293" s="55" t="inlineStr"/>
      <c r="P3293" s="16" t="inlineStr">
        <is>
          <t>Требует обогащения</t>
        </is>
      </c>
      <c r="Q3293" s="16">
        <f>HYPERLINK("https://pb.nalog.ru/search.html?query=8204007496","ФНС: проверить")</f>
        <v/>
      </c>
      <c r="R3293" s="16">
        <f>HYPERLINK("https://checko.ru/search?query=3801001629","Чекко: проверить")</f>
        <v/>
      </c>
      <c r="S3293" t="n">
        <v>1</v>
      </c>
      <c r="T3293" s="35" t="inlineStr">
        <is>
          <t>4 — Не обогащён</t>
        </is>
      </c>
      <c r="U3293" s="35" t="inlineStr">
        <is>
          <t>Нет ОКВЭД/ССЧР</t>
        </is>
      </c>
      <c r="V3293" s="35" t="inlineStr">
        <is>
          <t>Не определено</t>
        </is>
      </c>
      <c r="W3293" s="35" t="inlineStr"/>
      <c r="X3293" s="35" t="inlineStr"/>
    </row>
    <row r="3294" ht="15" customHeight="1" s="24">
      <c r="A3294" s="13" t="n">
        <v>5000122643</v>
      </c>
      <c r="B3294" s="13" t="inlineStr">
        <is>
          <t>МБДОУ "Детский сад "Брусничка"</t>
        </is>
      </c>
      <c r="C3294" s="13" t="n">
        <v>4104001052</v>
      </c>
      <c r="D3294" s="13" t="inlineStr">
        <is>
          <t>4104001052</t>
        </is>
      </c>
      <c r="E3294" s="13" t="inlineStr">
        <is>
          <t>ЮЛ РФ</t>
        </is>
      </c>
      <c r="F3294" s="13" t="n"/>
      <c r="G3294" s="14" t="n"/>
      <c r="H3294" s="14" t="n"/>
      <c r="I3294" s="14" t="n"/>
      <c r="J3294" s="14" t="n"/>
      <c r="K3294" s="53" t="inlineStr"/>
      <c r="L3294" s="53" t="inlineStr">
        <is>
          <t>Не определено</t>
        </is>
      </c>
      <c r="M3294" s="53" t="inlineStr"/>
      <c r="N3294" s="54" t="inlineStr"/>
      <c r="O3294" s="55" t="inlineStr"/>
      <c r="P3294" s="16" t="inlineStr">
        <is>
          <t>Требует обогащения</t>
        </is>
      </c>
      <c r="Q3294" s="16">
        <f>HYPERLINK("https://pb.nalog.ru/search.html?query=4104001052","ФНС: проверить")</f>
        <v/>
      </c>
      <c r="R3294" s="16">
        <f>HYPERLINK("https://checko.ru/search?query=3801001629","Чекко: проверить")</f>
        <v/>
      </c>
      <c r="S3294" t="n">
        <v>1</v>
      </c>
      <c r="T3294" s="35" t="inlineStr">
        <is>
          <t>4 — Не обогащён</t>
        </is>
      </c>
      <c r="U3294" s="35" t="inlineStr">
        <is>
          <t>Нет ОКВЭД/ССЧР</t>
        </is>
      </c>
      <c r="V3294" s="35" t="inlineStr">
        <is>
          <t>Не определено</t>
        </is>
      </c>
      <c r="W3294" s="35" t="inlineStr"/>
      <c r="X3294" s="35" t="inlineStr"/>
    </row>
    <row r="3295" ht="15" customHeight="1" s="24">
      <c r="A3295" s="13" t="n">
        <v>5000122543</v>
      </c>
      <c r="B3295" s="13" t="inlineStr">
        <is>
          <t>КГОУ СПО Камчатский колледж искусств</t>
        </is>
      </c>
      <c r="C3295" s="13" t="n">
        <v>4101035494</v>
      </c>
      <c r="D3295" s="13" t="inlineStr">
        <is>
          <t>4101035494</t>
        </is>
      </c>
      <c r="E3295" s="13" t="inlineStr">
        <is>
          <t>ЮЛ РФ</t>
        </is>
      </c>
      <c r="F3295" s="13" t="n"/>
      <c r="G3295" s="14" t="n"/>
      <c r="H3295" s="14" t="n"/>
      <c r="I3295" s="14" t="n"/>
      <c r="J3295" s="14" t="n"/>
      <c r="K3295" s="53" t="inlineStr"/>
      <c r="L3295" s="53" t="inlineStr">
        <is>
          <t>Не определено</t>
        </is>
      </c>
      <c r="M3295" s="53" t="inlineStr"/>
      <c r="N3295" s="54" t="inlineStr"/>
      <c r="O3295" s="55" t="inlineStr"/>
      <c r="P3295" s="16" t="inlineStr">
        <is>
          <t>Требует обогащения</t>
        </is>
      </c>
      <c r="Q3295" s="16">
        <f>HYPERLINK("https://pb.nalog.ru/search.html?query=4101035494","ФНС: проверить")</f>
        <v/>
      </c>
      <c r="R3295" s="16">
        <f>HYPERLINK("https://checko.ru/search?query=3801001629","Чекко: проверить")</f>
        <v/>
      </c>
      <c r="S3295" t="n">
        <v>1</v>
      </c>
      <c r="T3295" s="35" t="inlineStr">
        <is>
          <t>4 — Не обогащён</t>
        </is>
      </c>
      <c r="U3295" s="35" t="inlineStr">
        <is>
          <t>Нет ОКВЭД/ССЧР</t>
        </is>
      </c>
      <c r="V3295" s="35" t="inlineStr">
        <is>
          <t>Не определено</t>
        </is>
      </c>
      <c r="W3295" s="35" t="inlineStr"/>
      <c r="X3295" s="35" t="inlineStr"/>
    </row>
    <row r="3296" ht="27.75" customHeight="1" s="24">
      <c r="A3296" s="13" t="n">
        <v>5000122397</v>
      </c>
      <c r="B3296" s="13" t="inlineStr">
        <is>
          <t>МБОУ "Сергиево - Посадская гимназия имени И.Б. Ольбинского"</t>
        </is>
      </c>
      <c r="C3296" s="13" t="n">
        <v>5042071154</v>
      </c>
      <c r="D3296" s="13" t="inlineStr">
        <is>
          <t>5042071154</t>
        </is>
      </c>
      <c r="E3296" s="13" t="inlineStr">
        <is>
          <t>ЮЛ РФ</t>
        </is>
      </c>
      <c r="F3296" s="13" t="n"/>
      <c r="G3296" s="14" t="n"/>
      <c r="H3296" s="14" t="n"/>
      <c r="I3296" s="14" t="n"/>
      <c r="J3296" s="14" t="n"/>
      <c r="K3296" s="53" t="inlineStr"/>
      <c r="L3296" s="53" t="inlineStr">
        <is>
          <t>Не определено</t>
        </is>
      </c>
      <c r="M3296" s="53" t="inlineStr"/>
      <c r="N3296" s="54" t="inlineStr"/>
      <c r="O3296" s="55" t="inlineStr"/>
      <c r="P3296" s="16" t="inlineStr">
        <is>
          <t>Требует обогащения</t>
        </is>
      </c>
      <c r="Q3296" s="16">
        <f>HYPERLINK("https://pb.nalog.ru/search.html?query=5042071154","ФНС: проверить")</f>
        <v/>
      </c>
      <c r="R3296" s="16">
        <f>HYPERLINK("https://checko.ru/search?query=3801001629","Чекко: проверить")</f>
        <v/>
      </c>
      <c r="S3296" t="n">
        <v>1</v>
      </c>
      <c r="T3296" s="35" t="inlineStr">
        <is>
          <t>4 — Не обогащён</t>
        </is>
      </c>
      <c r="U3296" s="35" t="inlineStr">
        <is>
          <t>Нет ОКВЭД/ССЧР</t>
        </is>
      </c>
      <c r="V3296" s="35" t="inlineStr">
        <is>
          <t>Не определено</t>
        </is>
      </c>
      <c r="W3296" s="35" t="inlineStr"/>
      <c r="X3296" s="35" t="inlineStr"/>
    </row>
    <row r="3297" ht="54.75" customHeight="1" s="24">
      <c r="A3297" s="13" t="n">
        <v>5000122351</v>
      </c>
      <c r="B3297" s="13" t="inlineStr">
        <is>
          <t>МБУ «Многофункциональный центр предоставления государственных и муниципальных услуг Сергиево-Посадского муниципального</t>
        </is>
      </c>
      <c r="C3297" s="13" t="n">
        <v>5042133548</v>
      </c>
      <c r="D3297" s="13" t="inlineStr">
        <is>
          <t>5042133548</t>
        </is>
      </c>
      <c r="E3297" s="13" t="inlineStr">
        <is>
          <t>ЮЛ РФ</t>
        </is>
      </c>
      <c r="F3297" s="13" t="n"/>
      <c r="G3297" s="14" t="n"/>
      <c r="H3297" s="14" t="n"/>
      <c r="I3297" s="14" t="n"/>
      <c r="J3297" s="14" t="n"/>
      <c r="K3297" s="53" t="inlineStr"/>
      <c r="L3297" s="53" t="inlineStr">
        <is>
          <t>Не определено</t>
        </is>
      </c>
      <c r="M3297" s="53" t="inlineStr"/>
      <c r="N3297" s="54" t="inlineStr"/>
      <c r="O3297" s="55" t="inlineStr"/>
      <c r="P3297" s="16" t="inlineStr">
        <is>
          <t>Требует обогащения</t>
        </is>
      </c>
      <c r="Q3297" s="16">
        <f>HYPERLINK("https://pb.nalog.ru/search.html?query=5042133548","ФНС: проверить")</f>
        <v/>
      </c>
      <c r="R3297" s="16">
        <f>HYPERLINK("https://checko.ru/search?query=3801001629","Чекко: проверить")</f>
        <v/>
      </c>
      <c r="S3297" t="n">
        <v>1</v>
      </c>
      <c r="T3297" s="35" t="inlineStr">
        <is>
          <t>4 — Не обогащён</t>
        </is>
      </c>
      <c r="U3297" s="35" t="inlineStr">
        <is>
          <t>Нет ОКВЭД/ССЧР</t>
        </is>
      </c>
      <c r="V3297" s="35" t="inlineStr">
        <is>
          <t>Не определено</t>
        </is>
      </c>
      <c r="W3297" s="35" t="inlineStr"/>
      <c r="X3297" s="35" t="inlineStr"/>
    </row>
    <row r="3298" ht="41.25" customHeight="1" s="24">
      <c r="A3298" s="13" t="n">
        <v>5000120044</v>
      </c>
      <c r="B3298" s="13" t="inlineStr">
        <is>
          <t>Территориальное управление Калининец Администрации Наро-Фоминского городского округа</t>
        </is>
      </c>
      <c r="C3298" s="13" t="n">
        <v>5030092840</v>
      </c>
      <c r="D3298" s="13" t="inlineStr">
        <is>
          <t>5030092840</t>
        </is>
      </c>
      <c r="E3298" s="13" t="inlineStr">
        <is>
          <t>ЮЛ РФ</t>
        </is>
      </c>
      <c r="F3298" s="13" t="n"/>
      <c r="G3298" s="14" t="n"/>
      <c r="H3298" s="14" t="n"/>
      <c r="I3298" s="14" t="n"/>
      <c r="J3298" s="14" t="n"/>
      <c r="K3298" s="53" t="inlineStr"/>
      <c r="L3298" s="53" t="inlineStr">
        <is>
          <t>Не определено</t>
        </is>
      </c>
      <c r="M3298" s="53" t="inlineStr"/>
      <c r="N3298" s="54" t="inlineStr"/>
      <c r="O3298" s="55" t="inlineStr"/>
      <c r="P3298" s="16" t="inlineStr">
        <is>
          <t>Требует обогащения</t>
        </is>
      </c>
      <c r="Q3298" s="16">
        <f>HYPERLINK("https://pb.nalog.ru/search.html?query=5030092840","ФНС: проверить")</f>
        <v/>
      </c>
      <c r="R3298" s="16">
        <f>HYPERLINK("https://checko.ru/search?query=3801001629","Чекко: проверить")</f>
        <v/>
      </c>
      <c r="S3298" t="n">
        <v>1</v>
      </c>
      <c r="T3298" s="35" t="inlineStr">
        <is>
          <t>4 — Не обогащён</t>
        </is>
      </c>
      <c r="U3298" s="35" t="inlineStr">
        <is>
          <t>Нет ОКВЭД/ССЧР</t>
        </is>
      </c>
      <c r="V3298" s="35" t="inlineStr">
        <is>
          <t>Не определено</t>
        </is>
      </c>
      <c r="W3298" s="35" t="inlineStr"/>
      <c r="X3298" s="35" t="inlineStr"/>
    </row>
    <row r="3299" ht="41.25" customHeight="1" s="24">
      <c r="A3299" s="13" t="n">
        <v>5000120042</v>
      </c>
      <c r="B3299" s="13" t="inlineStr">
        <is>
          <t>Территориальное управление Селятино Администрации Наро-Фоминского городского округа</t>
        </is>
      </c>
      <c r="C3299" s="13" t="n">
        <v>5030092858</v>
      </c>
      <c r="D3299" s="13" t="inlineStr">
        <is>
          <t>5030092858</t>
        </is>
      </c>
      <c r="E3299" s="13" t="inlineStr">
        <is>
          <t>ЮЛ РФ</t>
        </is>
      </c>
      <c r="F3299" s="13" t="n"/>
      <c r="G3299" s="14" t="n"/>
      <c r="H3299" s="14" t="n"/>
      <c r="I3299" s="14" t="n"/>
      <c r="J3299" s="14" t="n"/>
      <c r="K3299" s="53" t="inlineStr"/>
      <c r="L3299" s="53" t="inlineStr">
        <is>
          <t>Не определено</t>
        </is>
      </c>
      <c r="M3299" s="53" t="inlineStr"/>
      <c r="N3299" s="54" t="inlineStr"/>
      <c r="O3299" s="55" t="inlineStr"/>
      <c r="P3299" s="16" t="inlineStr">
        <is>
          <t>Требует обогащения</t>
        </is>
      </c>
      <c r="Q3299" s="16">
        <f>HYPERLINK("https://pb.nalog.ru/search.html?query=5030092858","ФНС: проверить")</f>
        <v/>
      </c>
      <c r="R3299" s="16">
        <f>HYPERLINK("https://checko.ru/search?query=3801001629","Чекко: проверить")</f>
        <v/>
      </c>
      <c r="S3299" t="n">
        <v>1</v>
      </c>
      <c r="T3299" s="35" t="inlineStr">
        <is>
          <t>4 — Не обогащён</t>
        </is>
      </c>
      <c r="U3299" s="35" t="inlineStr">
        <is>
          <t>Нет ОКВЭД/ССЧР</t>
        </is>
      </c>
      <c r="V3299" s="35" t="inlineStr">
        <is>
          <t>Не определено</t>
        </is>
      </c>
      <c r="W3299" s="35" t="inlineStr"/>
      <c r="X3299" s="35" t="inlineStr"/>
    </row>
    <row r="3300" ht="27.75" customHeight="1" s="24">
      <c r="A3300" s="13" t="n">
        <v>5000120030</v>
      </c>
      <c r="B3300" s="13" t="inlineStr">
        <is>
          <t>МУ Спорта "Культурно-спортивнай комплекс "Нара"</t>
        </is>
      </c>
      <c r="C3300" s="13" t="n">
        <v>5030034870</v>
      </c>
      <c r="D3300" s="13" t="inlineStr">
        <is>
          <t>5030034870</t>
        </is>
      </c>
      <c r="E3300" s="13" t="inlineStr">
        <is>
          <t>ЮЛ РФ</t>
        </is>
      </c>
      <c r="F3300" s="13" t="n"/>
      <c r="G3300" s="14" t="n"/>
      <c r="H3300" s="14" t="n"/>
      <c r="I3300" s="14" t="n"/>
      <c r="J3300" s="14" t="n"/>
      <c r="K3300" s="53" t="inlineStr"/>
      <c r="L3300" s="53" t="inlineStr">
        <is>
          <t>Не определено</t>
        </is>
      </c>
      <c r="M3300" s="53" t="inlineStr"/>
      <c r="N3300" s="54" t="inlineStr"/>
      <c r="O3300" s="55" t="inlineStr"/>
      <c r="P3300" s="16" t="inlineStr">
        <is>
          <t>Требует обогащения</t>
        </is>
      </c>
      <c r="Q3300" s="16">
        <f>HYPERLINK("https://pb.nalog.ru/search.html?query=5030034870","ФНС: проверить")</f>
        <v/>
      </c>
      <c r="R3300" s="16">
        <f>HYPERLINK("https://checko.ru/search?query=3801001629","Чекко: проверить")</f>
        <v/>
      </c>
      <c r="S3300" t="n">
        <v>1</v>
      </c>
      <c r="T3300" s="35" t="inlineStr">
        <is>
          <t>4 — Не обогащён</t>
        </is>
      </c>
      <c r="U3300" s="35" t="inlineStr">
        <is>
          <t>Нет ОКВЭД/ССЧР</t>
        </is>
      </c>
      <c r="V3300" s="35" t="inlineStr">
        <is>
          <t>Не определено</t>
        </is>
      </c>
      <c r="W3300" s="35" t="inlineStr"/>
      <c r="X3300" s="35" t="inlineStr"/>
    </row>
    <row r="3301" ht="15" customHeight="1" s="24">
      <c r="A3301" s="13" t="n">
        <v>5000120032</v>
      </c>
      <c r="B3301" s="13" t="inlineStr">
        <is>
          <t>МУС "ФОК"Мелодия"</t>
        </is>
      </c>
      <c r="C3301" s="13" t="n">
        <v>5030060800</v>
      </c>
      <c r="D3301" s="13" t="inlineStr">
        <is>
          <t>5030060800</t>
        </is>
      </c>
      <c r="E3301" s="13" t="inlineStr">
        <is>
          <t>ЮЛ РФ</t>
        </is>
      </c>
      <c r="F3301" s="13" t="n"/>
      <c r="G3301" s="14" t="n"/>
      <c r="H3301" s="14" t="n"/>
      <c r="I3301" s="14" t="n"/>
      <c r="J3301" s="14" t="n"/>
      <c r="K3301" s="53" t="inlineStr"/>
      <c r="L3301" s="53" t="inlineStr">
        <is>
          <t>Не определено</t>
        </is>
      </c>
      <c r="M3301" s="53" t="inlineStr"/>
      <c r="N3301" s="54" t="inlineStr"/>
      <c r="O3301" s="55" t="inlineStr"/>
      <c r="P3301" s="16" t="inlineStr">
        <is>
          <t>Требует обогащения</t>
        </is>
      </c>
      <c r="Q3301" s="16">
        <f>HYPERLINK("https://pb.nalog.ru/search.html?query=5030060800","ФНС: проверить")</f>
        <v/>
      </c>
      <c r="R3301" s="16">
        <f>HYPERLINK("https://checko.ru/search?query=3801001629","Чекко: проверить")</f>
        <v/>
      </c>
      <c r="S3301" t="n">
        <v>1</v>
      </c>
      <c r="T3301" s="35" t="inlineStr">
        <is>
          <t>4 — Не обогащён</t>
        </is>
      </c>
      <c r="U3301" s="35" t="inlineStr">
        <is>
          <t>Нет ОКВЭД/ССЧР</t>
        </is>
      </c>
      <c r="V3301" s="35" t="inlineStr">
        <is>
          <t>Не определено</t>
        </is>
      </c>
      <c r="W3301" s="35" t="inlineStr"/>
      <c r="X3301" s="35" t="inlineStr"/>
    </row>
    <row r="3302" ht="15" customHeight="1" s="24">
      <c r="A3302" s="13" t="n">
        <v>5000119827</v>
      </c>
      <c r="B3302" s="13" t="inlineStr">
        <is>
          <t>МБОУ СОШ № 16</t>
        </is>
      </c>
      <c r="C3302" s="13" t="n">
        <v>5042010610</v>
      </c>
      <c r="D3302" s="13" t="inlineStr">
        <is>
          <t>5042010610</t>
        </is>
      </c>
      <c r="E3302" s="13" t="inlineStr">
        <is>
          <t>ЮЛ РФ</t>
        </is>
      </c>
      <c r="F3302" s="13" t="n"/>
      <c r="G3302" s="14" t="n"/>
      <c r="H3302" s="14" t="n"/>
      <c r="I3302" s="14" t="n"/>
      <c r="J3302" s="14" t="n"/>
      <c r="K3302" s="53" t="inlineStr"/>
      <c r="L3302" s="53" t="inlineStr">
        <is>
          <t>Не определено</t>
        </is>
      </c>
      <c r="M3302" s="53" t="inlineStr"/>
      <c r="N3302" s="54" t="inlineStr"/>
      <c r="O3302" s="55" t="inlineStr"/>
      <c r="P3302" s="16" t="inlineStr">
        <is>
          <t>Требует обогащения</t>
        </is>
      </c>
      <c r="Q3302" s="16">
        <f>HYPERLINK("https://pb.nalog.ru/search.html?query=5042010610","ФНС: проверить")</f>
        <v/>
      </c>
      <c r="R3302" s="16">
        <f>HYPERLINK("https://checko.ru/search?query=3801001629","Чекко: проверить")</f>
        <v/>
      </c>
      <c r="S3302" t="n">
        <v>1</v>
      </c>
      <c r="T3302" s="35" t="inlineStr">
        <is>
          <t>4 — Не обогащён</t>
        </is>
      </c>
      <c r="U3302" s="35" t="inlineStr">
        <is>
          <t>Нет ОКВЭД/ССЧР</t>
        </is>
      </c>
      <c r="V3302" s="35" t="inlineStr">
        <is>
          <t>Не определено</t>
        </is>
      </c>
      <c r="W3302" s="35" t="inlineStr"/>
      <c r="X3302" s="35" t="inlineStr"/>
    </row>
    <row r="3303" ht="41.25" customHeight="1" s="24">
      <c r="A3303" s="13" t="n">
        <v>5000122583</v>
      </c>
      <c r="B3303" s="13" t="inlineStr">
        <is>
          <t>Управление образования Администрации Елизовского муниципального района - муниципальное казенное учреждение</t>
        </is>
      </c>
      <c r="C3303" s="13" t="n">
        <v>4105006494</v>
      </c>
      <c r="D3303" s="13" t="inlineStr">
        <is>
          <t>4105006494</t>
        </is>
      </c>
      <c r="E3303" s="13" t="inlineStr">
        <is>
          <t>ЮЛ РФ</t>
        </is>
      </c>
      <c r="F3303" s="13" t="n"/>
      <c r="G3303" s="14" t="n"/>
      <c r="H3303" s="14" t="n"/>
      <c r="I3303" s="14" t="n"/>
      <c r="J3303" s="14" t="n"/>
      <c r="K3303" s="53" t="inlineStr"/>
      <c r="L3303" s="53" t="inlineStr">
        <is>
          <t>Не определено</t>
        </is>
      </c>
      <c r="M3303" s="53" t="inlineStr"/>
      <c r="N3303" s="54" t="inlineStr"/>
      <c r="O3303" s="55" t="inlineStr"/>
      <c r="P3303" s="16" t="inlineStr">
        <is>
          <t>Требует обогащения</t>
        </is>
      </c>
      <c r="Q3303" s="16">
        <f>HYPERLINK("https://pb.nalog.ru/search.html?query=4105006494","ФНС: проверить")</f>
        <v/>
      </c>
      <c r="R3303" s="16">
        <f>HYPERLINK("https://checko.ru/search?query=3801001629","Чекко: проверить")</f>
        <v/>
      </c>
      <c r="S3303" t="n">
        <v>1</v>
      </c>
      <c r="T3303" s="35" t="inlineStr">
        <is>
          <t>4 — Не обогащён</t>
        </is>
      </c>
      <c r="U3303" s="35" t="inlineStr">
        <is>
          <t>Нет ОКВЭД/ССЧР</t>
        </is>
      </c>
      <c r="V3303" s="35" t="inlineStr">
        <is>
          <t>Не определено</t>
        </is>
      </c>
      <c r="W3303" s="35" t="inlineStr"/>
      <c r="X3303" s="35" t="inlineStr"/>
    </row>
    <row r="3304" ht="27.75" customHeight="1" s="24">
      <c r="A3304" s="13" t="n">
        <v>5000122544</v>
      </c>
      <c r="B3304" s="13" t="inlineStr">
        <is>
          <t>Краевое государственное бюджетное учреждение "Камчатский центр народного творчества"</t>
        </is>
      </c>
      <c r="C3304" s="13" t="n">
        <v>4101036177</v>
      </c>
      <c r="D3304" s="13" t="inlineStr">
        <is>
          <t>4101036177</t>
        </is>
      </c>
      <c r="E3304" s="13" t="inlineStr">
        <is>
          <t>ЮЛ РФ</t>
        </is>
      </c>
      <c r="F3304" s="13" t="n"/>
      <c r="G3304" s="14" t="n"/>
      <c r="H3304" s="14" t="n"/>
      <c r="I3304" s="14" t="n"/>
      <c r="J3304" s="14" t="n"/>
      <c r="K3304" s="53" t="inlineStr"/>
      <c r="L3304" s="53" t="inlineStr">
        <is>
          <t>Не определено</t>
        </is>
      </c>
      <c r="M3304" s="53" t="inlineStr"/>
      <c r="N3304" s="54" t="inlineStr"/>
      <c r="O3304" s="55" t="inlineStr"/>
      <c r="P3304" s="16" t="inlineStr">
        <is>
          <t>Требует обогащения</t>
        </is>
      </c>
      <c r="Q3304" s="16">
        <f>HYPERLINK("https://pb.nalog.ru/search.html?query=4101036177","ФНС: проверить")</f>
        <v/>
      </c>
      <c r="R3304" s="16">
        <f>HYPERLINK("https://checko.ru/search?query=3801001629","Чекко: проверить")</f>
        <v/>
      </c>
      <c r="S3304" t="n">
        <v>1</v>
      </c>
      <c r="T3304" s="35" t="inlineStr">
        <is>
          <t>4 — Не обогащён</t>
        </is>
      </c>
      <c r="U3304" s="35" t="inlineStr">
        <is>
          <t>Нет ОКВЭД/ССЧР</t>
        </is>
      </c>
      <c r="V3304" s="35" t="inlineStr">
        <is>
          <t>Не определено</t>
        </is>
      </c>
      <c r="W3304" s="35" t="inlineStr"/>
      <c r="X3304" s="35" t="inlineStr"/>
    </row>
    <row r="3305" ht="15" customHeight="1" s="24">
      <c r="A3305" s="13" t="n">
        <v>5000122366</v>
      </c>
      <c r="B3305" s="13" t="inlineStr">
        <is>
          <t>МОУ ДОД ЦДТТ "Юность"</t>
        </is>
      </c>
      <c r="C3305" s="13" t="n">
        <v>5042040773</v>
      </c>
      <c r="D3305" s="13" t="inlineStr">
        <is>
          <t>5042040773</t>
        </is>
      </c>
      <c r="E3305" s="13" t="inlineStr">
        <is>
          <t>ЮЛ РФ</t>
        </is>
      </c>
      <c r="F3305" s="13" t="n"/>
      <c r="G3305" s="14" t="n"/>
      <c r="H3305" s="14" t="n"/>
      <c r="I3305" s="14" t="n"/>
      <c r="J3305" s="14" t="n"/>
      <c r="K3305" s="53" t="inlineStr"/>
      <c r="L3305" s="53" t="inlineStr">
        <is>
          <t>Не определено</t>
        </is>
      </c>
      <c r="M3305" s="53" t="inlineStr"/>
      <c r="N3305" s="54" t="inlineStr"/>
      <c r="O3305" s="55" t="inlineStr"/>
      <c r="P3305" s="16" t="inlineStr">
        <is>
          <t>Требует обогащения</t>
        </is>
      </c>
      <c r="Q3305" s="16">
        <f>HYPERLINK("https://pb.nalog.ru/search.html?query=5042040773","ФНС: проверить")</f>
        <v/>
      </c>
      <c r="R3305" s="16">
        <f>HYPERLINK("https://checko.ru/search?query=3801001629","Чекко: проверить")</f>
        <v/>
      </c>
      <c r="S3305" t="n">
        <v>1</v>
      </c>
      <c r="T3305" s="35" t="inlineStr">
        <is>
          <t>4 — Не обогащён</t>
        </is>
      </c>
      <c r="U3305" s="35" t="inlineStr">
        <is>
          <t>Нет ОКВЭД/ССЧР</t>
        </is>
      </c>
      <c r="V3305" s="35" t="inlineStr">
        <is>
          <t>Не определено</t>
        </is>
      </c>
      <c r="W3305" s="35" t="inlineStr"/>
      <c r="X3305" s="35" t="inlineStr"/>
    </row>
    <row r="3306" ht="27.75" customHeight="1" s="24">
      <c r="A3306" s="13" t="n">
        <v>5000022196</v>
      </c>
      <c r="B3306" s="13" t="inlineStr">
        <is>
          <t>МБУК "СОЦИАЛЬНО-КУЛЬТУРНЫЙ ЦЕНТР " МУНИЦИПАЛЬНОГО ОБРАЗОВАНИЯ "ТАРАСА"</t>
        </is>
      </c>
      <c r="C3306" s="13" t="n">
        <v>3849012033</v>
      </c>
      <c r="D3306" s="13" t="inlineStr">
        <is>
          <t>3849012033</t>
        </is>
      </c>
      <c r="E3306" s="13" t="inlineStr">
        <is>
          <t>ЮЛ РФ</t>
        </is>
      </c>
      <c r="F3306" s="13" t="n"/>
      <c r="G3306" s="14" t="n"/>
      <c r="H3306" s="14" t="n"/>
      <c r="I3306" s="14" t="n"/>
      <c r="J3306" s="14" t="n"/>
      <c r="K3306" s="53" t="inlineStr"/>
      <c r="L3306" s="53" t="inlineStr">
        <is>
          <t>Не определено</t>
        </is>
      </c>
      <c r="M3306" s="53" t="inlineStr"/>
      <c r="N3306" s="54" t="inlineStr"/>
      <c r="O3306" s="55" t="inlineStr"/>
      <c r="P3306" s="16" t="inlineStr">
        <is>
          <t>Требует обогащения</t>
        </is>
      </c>
      <c r="Q3306" s="16">
        <f>HYPERLINK("https://pb.nalog.ru/search.html?query=3849012033","ФНС: проверить")</f>
        <v/>
      </c>
      <c r="R3306" s="16">
        <f>HYPERLINK("https://checko.ru/search?query=3801001629","Чекко: проверить")</f>
        <v/>
      </c>
      <c r="S3306" t="n">
        <v>1</v>
      </c>
      <c r="T3306" s="35" t="inlineStr">
        <is>
          <t>4 — Не обогащён</t>
        </is>
      </c>
      <c r="U3306" s="35" t="inlineStr">
        <is>
          <t>Нет ОКВЭД/ССЧР</t>
        </is>
      </c>
      <c r="V3306" s="35" t="inlineStr">
        <is>
          <t>Не определено</t>
        </is>
      </c>
      <c r="W3306" s="35" t="inlineStr"/>
      <c r="X3306" s="35" t="inlineStr"/>
    </row>
    <row r="3307" ht="15" customHeight="1" s="24">
      <c r="A3307" s="13" t="n">
        <v>5000088787</v>
      </c>
      <c r="B3307" s="13" t="inlineStr">
        <is>
          <t>Администрация МО Осинский район</t>
        </is>
      </c>
      <c r="C3307" s="13" t="n">
        <v>8505002029</v>
      </c>
      <c r="D3307" s="13" t="inlineStr">
        <is>
          <t>8505002029</t>
        </is>
      </c>
      <c r="E3307" s="13" t="inlineStr">
        <is>
          <t>ЮЛ РФ</t>
        </is>
      </c>
      <c r="F3307" s="13" t="n"/>
      <c r="G3307" s="14" t="n"/>
      <c r="H3307" s="14" t="n"/>
      <c r="I3307" s="14" t="n"/>
      <c r="J3307" s="14" t="n"/>
      <c r="K3307" s="53" t="inlineStr"/>
      <c r="L3307" s="53" t="inlineStr">
        <is>
          <t>Не определено</t>
        </is>
      </c>
      <c r="M3307" s="53" t="inlineStr"/>
      <c r="N3307" s="54" t="inlineStr"/>
      <c r="O3307" s="55" t="inlineStr"/>
      <c r="P3307" s="16" t="inlineStr">
        <is>
          <t>Требует обогащения</t>
        </is>
      </c>
      <c r="Q3307" s="16">
        <f>HYPERLINK("https://pb.nalog.ru/search.html?query=8505002029","ФНС: проверить")</f>
        <v/>
      </c>
      <c r="R3307" s="16">
        <f>HYPERLINK("https://checko.ru/search?query=3801001629","Чекко: проверить")</f>
        <v/>
      </c>
      <c r="S3307" t="n">
        <v>1</v>
      </c>
      <c r="T3307" s="35" t="inlineStr">
        <is>
          <t>4 — Не обогащён</t>
        </is>
      </c>
      <c r="U3307" s="35" t="inlineStr">
        <is>
          <t>Нет ОКВЭД/ССЧР</t>
        </is>
      </c>
      <c r="V3307" s="35" t="inlineStr">
        <is>
          <t>Не определено</t>
        </is>
      </c>
      <c r="W3307" s="35" t="inlineStr"/>
      <c r="X3307" s="35" t="inlineStr"/>
    </row>
    <row r="3308" ht="15" customHeight="1" s="24">
      <c r="A3308" s="13" t="n">
        <v>5000122347</v>
      </c>
      <c r="B3308" s="13" t="inlineStr">
        <is>
          <t>МБУ "ФОК "Лотос"</t>
        </is>
      </c>
      <c r="C3308" s="13" t="n">
        <v>5042056290</v>
      </c>
      <c r="D3308" s="13" t="inlineStr">
        <is>
          <t>5042056290</t>
        </is>
      </c>
      <c r="E3308" s="13" t="inlineStr">
        <is>
          <t>ЮЛ РФ</t>
        </is>
      </c>
      <c r="F3308" s="13" t="n"/>
      <c r="G3308" s="14" t="n"/>
      <c r="H3308" s="14" t="n"/>
      <c r="I3308" s="14" t="n"/>
      <c r="J3308" s="14" t="n"/>
      <c r="K3308" s="53" t="inlineStr"/>
      <c r="L3308" s="53" t="inlineStr">
        <is>
          <t>Не определено</t>
        </is>
      </c>
      <c r="M3308" s="53" t="inlineStr"/>
      <c r="N3308" s="54" t="inlineStr"/>
      <c r="O3308" s="55" t="inlineStr"/>
      <c r="P3308" s="16" t="inlineStr">
        <is>
          <t>Требует обогащения</t>
        </is>
      </c>
      <c r="Q3308" s="16">
        <f>HYPERLINK("https://pb.nalog.ru/search.html?query=5042056290","ФНС: проверить")</f>
        <v/>
      </c>
      <c r="R3308" s="16">
        <f>HYPERLINK("https://checko.ru/search?query=3801001629","Чекко: проверить")</f>
        <v/>
      </c>
      <c r="S3308" t="n">
        <v>1</v>
      </c>
      <c r="T3308" s="35" t="inlineStr">
        <is>
          <t>4 — Не обогащён</t>
        </is>
      </c>
      <c r="U3308" s="35" t="inlineStr">
        <is>
          <t>Нет ОКВЭД/ССЧР</t>
        </is>
      </c>
      <c r="V3308" s="35" t="inlineStr">
        <is>
          <t>Не определено</t>
        </is>
      </c>
      <c r="W3308" s="35" t="inlineStr"/>
      <c r="X3308" s="35" t="inlineStr"/>
    </row>
    <row r="3309" ht="27.75" customHeight="1" s="24">
      <c r="A3309" s="13" t="n">
        <v>5000122363</v>
      </c>
      <c r="B3309" s="13" t="inlineStr">
        <is>
          <t>МОУ Васильевская средняя  общеобразовательная школа</t>
        </is>
      </c>
      <c r="C3309" s="13" t="n">
        <v>5042068031</v>
      </c>
      <c r="D3309" s="13" t="inlineStr">
        <is>
          <t>5042068031</t>
        </is>
      </c>
      <c r="E3309" s="13" t="inlineStr">
        <is>
          <t>ЮЛ РФ</t>
        </is>
      </c>
      <c r="F3309" s="13" t="n"/>
      <c r="G3309" s="14" t="n"/>
      <c r="H3309" s="14" t="n"/>
      <c r="I3309" s="14" t="n"/>
      <c r="J3309" s="14" t="n"/>
      <c r="K3309" s="53" t="inlineStr"/>
      <c r="L3309" s="53" t="inlineStr">
        <is>
          <t>Не определено</t>
        </is>
      </c>
      <c r="M3309" s="53" t="inlineStr"/>
      <c r="N3309" s="54" t="inlineStr"/>
      <c r="O3309" s="55" t="inlineStr"/>
      <c r="P3309" s="16" t="inlineStr">
        <is>
          <t>Требует обогащения</t>
        </is>
      </c>
      <c r="Q3309" s="16">
        <f>HYPERLINK("https://pb.nalog.ru/search.html?query=5042068031","ФНС: проверить")</f>
        <v/>
      </c>
      <c r="R3309" s="16">
        <f>HYPERLINK("https://checko.ru/search?query=3801001629","Чекко: проверить")</f>
        <v/>
      </c>
      <c r="S3309" t="n">
        <v>1</v>
      </c>
      <c r="T3309" s="35" t="inlineStr">
        <is>
          <t>4 — Не обогащён</t>
        </is>
      </c>
      <c r="U3309" s="35" t="inlineStr">
        <is>
          <t>Нет ОКВЭД/ССЧР</t>
        </is>
      </c>
      <c r="V3309" s="35" t="inlineStr">
        <is>
          <t>Не определено</t>
        </is>
      </c>
      <c r="W3309" s="35" t="inlineStr"/>
      <c r="X3309" s="35" t="inlineStr"/>
    </row>
    <row r="3310" ht="27.75" customHeight="1" s="24">
      <c r="A3310" s="13" t="n">
        <v>5000122550</v>
      </c>
      <c r="B3310" s="13" t="inlineStr">
        <is>
          <t>КГОУ ДОД "Корякская школа искусств им.Д.Б.Кабалевского"</t>
        </is>
      </c>
      <c r="C3310" s="13" t="n">
        <v>8202010140</v>
      </c>
      <c r="D3310" s="13" t="inlineStr">
        <is>
          <t>8202010140</t>
        </is>
      </c>
      <c r="E3310" s="13" t="inlineStr">
        <is>
          <t>ЮЛ РФ</t>
        </is>
      </c>
      <c r="F3310" s="13" t="n"/>
      <c r="G3310" s="14" t="n"/>
      <c r="H3310" s="14" t="n"/>
      <c r="I3310" s="14" t="n"/>
      <c r="J3310" s="14" t="n"/>
      <c r="K3310" s="53" t="inlineStr"/>
      <c r="L3310" s="53" t="inlineStr">
        <is>
          <t>Не определено</t>
        </is>
      </c>
      <c r="M3310" s="53" t="inlineStr"/>
      <c r="N3310" s="54" t="inlineStr"/>
      <c r="O3310" s="55" t="inlineStr"/>
      <c r="P3310" s="16" t="inlineStr">
        <is>
          <t>Требует обогащения</t>
        </is>
      </c>
      <c r="Q3310" s="16">
        <f>HYPERLINK("https://pb.nalog.ru/search.html?query=8202010140","ФНС: проверить")</f>
        <v/>
      </c>
      <c r="R3310" s="16">
        <f>HYPERLINK("https://checko.ru/search?query=3801001629","Чекко: проверить")</f>
        <v/>
      </c>
      <c r="S3310" t="n">
        <v>1</v>
      </c>
      <c r="T3310" s="35" t="inlineStr">
        <is>
          <t>4 — Не обогащён</t>
        </is>
      </c>
      <c r="U3310" s="35" t="inlineStr">
        <is>
          <t>Нет ОКВЭД/ССЧР</t>
        </is>
      </c>
      <c r="V3310" s="35" t="inlineStr">
        <is>
          <t>Не определено</t>
        </is>
      </c>
      <c r="W3310" s="35" t="inlineStr"/>
      <c r="X3310" s="35" t="inlineStr"/>
    </row>
    <row r="3311" ht="27.75" customHeight="1" s="24">
      <c r="A3311" s="13" t="n">
        <v>5000122582</v>
      </c>
      <c r="B3311" s="13" t="inlineStr">
        <is>
          <t>Управление культуры, спорта и молодежной политики ЕМР</t>
        </is>
      </c>
      <c r="C3311" s="13" t="n">
        <v>4105031035</v>
      </c>
      <c r="D3311" s="13" t="inlineStr">
        <is>
          <t>4105031035</t>
        </is>
      </c>
      <c r="E3311" s="13" t="inlineStr">
        <is>
          <t>ЮЛ РФ</t>
        </is>
      </c>
      <c r="F3311" s="13" t="n"/>
      <c r="G3311" s="14" t="n"/>
      <c r="H3311" s="14" t="n"/>
      <c r="I3311" s="14" t="n"/>
      <c r="J3311" s="14" t="n"/>
      <c r="K3311" s="53" t="inlineStr"/>
      <c r="L3311" s="53" t="inlineStr">
        <is>
          <t>Не определено</t>
        </is>
      </c>
      <c r="M3311" s="53" t="inlineStr"/>
      <c r="N3311" s="54" t="inlineStr"/>
      <c r="O3311" s="55" t="inlineStr"/>
      <c r="P3311" s="16" t="inlineStr">
        <is>
          <t>Требует обогащения</t>
        </is>
      </c>
      <c r="Q3311" s="16">
        <f>HYPERLINK("https://pb.nalog.ru/search.html?query=4105031035","ФНС: проверить")</f>
        <v/>
      </c>
      <c r="R3311" s="16">
        <f>HYPERLINK("https://checko.ru/search?query=3801001629","Чекко: проверить")</f>
        <v/>
      </c>
      <c r="S3311" t="n">
        <v>1</v>
      </c>
      <c r="T3311" s="35" t="inlineStr">
        <is>
          <t>4 — Не обогащён</t>
        </is>
      </c>
      <c r="U3311" s="35" t="inlineStr">
        <is>
          <t>Нет ОКВЭД/ССЧР</t>
        </is>
      </c>
      <c r="V3311" s="35" t="inlineStr">
        <is>
          <t>Не определено</t>
        </is>
      </c>
      <c r="W3311" s="35" t="inlineStr"/>
      <c r="X3311" s="35" t="inlineStr"/>
    </row>
    <row r="3312" ht="54.75" customHeight="1" s="24">
      <c r="A3312" s="13" t="n">
        <v>5000122617</v>
      </c>
      <c r="B3312" s="13" t="inlineStr">
        <is>
          <t>Комитет жилищно-коммунального хозяйства, топливно-энергетического комплекса, транспорта, связи и строительства Администрации Усть-Большерецкого муници</t>
        </is>
      </c>
      <c r="C3312" s="13" t="n">
        <v>4108008210</v>
      </c>
      <c r="D3312" s="13" t="inlineStr">
        <is>
          <t>4108008210</t>
        </is>
      </c>
      <c r="E3312" s="13" t="inlineStr">
        <is>
          <t>ЮЛ РФ</t>
        </is>
      </c>
      <c r="F3312" s="13" t="n"/>
      <c r="G3312" s="14" t="n"/>
      <c r="H3312" s="14" t="n"/>
      <c r="I3312" s="14" t="n"/>
      <c r="J3312" s="14" t="n"/>
      <c r="K3312" s="53" t="inlineStr"/>
      <c r="L3312" s="53" t="inlineStr">
        <is>
          <t>Не определено</t>
        </is>
      </c>
      <c r="M3312" s="53" t="inlineStr"/>
      <c r="N3312" s="54" t="inlineStr"/>
      <c r="O3312" s="55" t="inlineStr"/>
      <c r="P3312" s="16" t="inlineStr">
        <is>
          <t>Требует обогащения</t>
        </is>
      </c>
      <c r="Q3312" s="16">
        <f>HYPERLINK("https://pb.nalog.ru/search.html?query=4108008210","ФНС: проверить")</f>
        <v/>
      </c>
      <c r="R3312" s="16">
        <f>HYPERLINK("https://checko.ru/search?query=3801001629","Чекко: проверить")</f>
        <v/>
      </c>
      <c r="S3312" t="n">
        <v>1</v>
      </c>
      <c r="T3312" s="35" t="inlineStr">
        <is>
          <t>4 — Не обогащён</t>
        </is>
      </c>
      <c r="U3312" s="35" t="inlineStr">
        <is>
          <t>Нет ОКВЭД/ССЧР</t>
        </is>
      </c>
      <c r="V3312" s="35" t="inlineStr">
        <is>
          <t>Не определено</t>
        </is>
      </c>
      <c r="W3312" s="35" t="inlineStr"/>
      <c r="X3312" s="35" t="inlineStr"/>
    </row>
    <row r="3313" ht="15" customHeight="1" s="24">
      <c r="A3313" s="13" t="n">
        <v>5000105776</v>
      </c>
      <c r="B3313" s="13" t="inlineStr">
        <is>
          <t>МБДОУ "Ирхидейский Детский Сад"</t>
        </is>
      </c>
      <c r="C3313" s="13" t="n">
        <v>3849099820</v>
      </c>
      <c r="D3313" s="13" t="inlineStr">
        <is>
          <t>3849099820</t>
        </is>
      </c>
      <c r="E3313" s="13" t="inlineStr">
        <is>
          <t>ЮЛ РФ</t>
        </is>
      </c>
      <c r="F3313" s="13" t="n"/>
      <c r="G3313" s="14" t="n"/>
      <c r="H3313" s="14" t="n"/>
      <c r="I3313" s="14" t="n"/>
      <c r="J3313" s="14" t="n"/>
      <c r="K3313" s="53" t="inlineStr"/>
      <c r="L3313" s="53" t="inlineStr">
        <is>
          <t>Не определено</t>
        </is>
      </c>
      <c r="M3313" s="53" t="inlineStr"/>
      <c r="N3313" s="54" t="inlineStr"/>
      <c r="O3313" s="55" t="inlineStr"/>
      <c r="P3313" s="16" t="inlineStr">
        <is>
          <t>Требует обогащения</t>
        </is>
      </c>
      <c r="Q3313" s="16">
        <f>HYPERLINK("https://pb.nalog.ru/search.html?query=3849099820","ФНС: проверить")</f>
        <v/>
      </c>
      <c r="R3313" s="16">
        <f>HYPERLINK("https://checko.ru/search?query=3801001629","Чекко: проверить")</f>
        <v/>
      </c>
      <c r="S3313" t="n">
        <v>1</v>
      </c>
      <c r="T3313" s="35" t="inlineStr">
        <is>
          <t>4 — Не обогащён</t>
        </is>
      </c>
      <c r="U3313" s="35" t="inlineStr">
        <is>
          <t>Нет ОКВЭД/ССЧР</t>
        </is>
      </c>
      <c r="V3313" s="35" t="inlineStr">
        <is>
          <t>Не определено</t>
        </is>
      </c>
      <c r="W3313" s="35" t="inlineStr"/>
      <c r="X3313" s="35" t="inlineStr"/>
    </row>
    <row r="3314" ht="15" customHeight="1" s="24">
      <c r="A3314" s="13" t="n">
        <v>5000120015</v>
      </c>
      <c r="B3314" s="13" t="inlineStr">
        <is>
          <t>МБУ «Благоустройство и дорожное хозяйство»</t>
        </is>
      </c>
      <c r="C3314" s="13" t="n">
        <v>5030085265</v>
      </c>
      <c r="D3314" s="13" t="inlineStr">
        <is>
          <t>5030085265</t>
        </is>
      </c>
      <c r="E3314" s="13" t="inlineStr">
        <is>
          <t>ЮЛ РФ</t>
        </is>
      </c>
      <c r="F3314" s="13" t="n"/>
      <c r="G3314" s="14" t="n"/>
      <c r="H3314" s="14" t="n"/>
      <c r="I3314" s="14" t="n"/>
      <c r="J3314" s="14" t="n"/>
      <c r="K3314" s="53" t="inlineStr"/>
      <c r="L3314" s="53" t="inlineStr">
        <is>
          <t>Не определено</t>
        </is>
      </c>
      <c r="M3314" s="53" t="inlineStr"/>
      <c r="N3314" s="54" t="inlineStr"/>
      <c r="O3314" s="55" t="inlineStr"/>
      <c r="P3314" s="16" t="inlineStr">
        <is>
          <t>Требует обогащения</t>
        </is>
      </c>
      <c r="Q3314" s="16">
        <f>HYPERLINK("https://pb.nalog.ru/search.html?query=5030085265","ФНС: проверить")</f>
        <v/>
      </c>
      <c r="R3314" s="16">
        <f>HYPERLINK("https://checko.ru/search?query=3801001629","Чекко: проверить")</f>
        <v/>
      </c>
      <c r="S3314" t="n">
        <v>1</v>
      </c>
      <c r="T3314" s="35" t="inlineStr">
        <is>
          <t>4 — Не обогащён</t>
        </is>
      </c>
      <c r="U3314" s="35" t="inlineStr">
        <is>
          <t>Нет ОКВЭД/ССЧР</t>
        </is>
      </c>
      <c r="V3314" s="35" t="inlineStr">
        <is>
          <t>Не определено</t>
        </is>
      </c>
      <c r="W3314" s="35" t="inlineStr"/>
      <c r="X3314" s="35" t="inlineStr"/>
    </row>
    <row r="3315" ht="15" customHeight="1" s="24">
      <c r="A3315" s="13" t="n">
        <v>5000122639</v>
      </c>
      <c r="B3315" s="13" t="inlineStr">
        <is>
          <t>Администрация Устьевого СП</t>
        </is>
      </c>
      <c r="C3315" s="13" t="n">
        <v>4107001798</v>
      </c>
      <c r="D3315" s="13" t="inlineStr">
        <is>
          <t>4107001798</t>
        </is>
      </c>
      <c r="E3315" s="13" t="inlineStr">
        <is>
          <t>ЮЛ РФ</t>
        </is>
      </c>
      <c r="F3315" s="13" t="n"/>
      <c r="G3315" s="14" t="n"/>
      <c r="H3315" s="14" t="n"/>
      <c r="I3315" s="14" t="n"/>
      <c r="J3315" s="14" t="n"/>
      <c r="K3315" s="53" t="inlineStr"/>
      <c r="L3315" s="53" t="inlineStr">
        <is>
          <t>Не определено</t>
        </is>
      </c>
      <c r="M3315" s="53" t="inlineStr"/>
      <c r="N3315" s="54" t="inlineStr"/>
      <c r="O3315" s="55" t="inlineStr"/>
      <c r="P3315" s="16" t="inlineStr">
        <is>
          <t>Требует обогащения</t>
        </is>
      </c>
      <c r="Q3315" s="16">
        <f>HYPERLINK("https://pb.nalog.ru/search.html?query=4107001798","ФНС: проверить")</f>
        <v/>
      </c>
      <c r="R3315" s="16">
        <f>HYPERLINK("https://checko.ru/search?query=3801001629","Чекко: проверить")</f>
        <v/>
      </c>
      <c r="S3315" t="n">
        <v>1</v>
      </c>
      <c r="T3315" s="35" t="inlineStr">
        <is>
          <t>4 — Не обогащён</t>
        </is>
      </c>
      <c r="U3315" s="35" t="inlineStr">
        <is>
          <t>Нет ОКВЭД/ССЧР</t>
        </is>
      </c>
      <c r="V3315" s="35" t="inlineStr">
        <is>
          <t>Не определено</t>
        </is>
      </c>
      <c r="W3315" s="35" t="inlineStr"/>
      <c r="X3315" s="35" t="inlineStr"/>
    </row>
    <row r="3316" ht="15" customHeight="1" s="24">
      <c r="A3316" s="13" t="n">
        <v>5000119828</v>
      </c>
      <c r="B3316" s="13" t="inlineStr">
        <is>
          <t>МБОУ "СОШ №2"</t>
        </is>
      </c>
      <c r="C3316" s="13" t="n">
        <v>5042153382</v>
      </c>
      <c r="D3316" s="13" t="inlineStr">
        <is>
          <t>5042153382</t>
        </is>
      </c>
      <c r="E3316" s="13" t="inlineStr">
        <is>
          <t>ЮЛ РФ</t>
        </is>
      </c>
      <c r="F3316" s="13" t="n"/>
      <c r="G3316" s="14" t="n"/>
      <c r="H3316" s="14" t="n"/>
      <c r="I3316" s="14" t="n"/>
      <c r="J3316" s="14" t="n"/>
      <c r="K3316" s="53" t="inlineStr"/>
      <c r="L3316" s="53" t="inlineStr">
        <is>
          <t>Не определено</t>
        </is>
      </c>
      <c r="M3316" s="53" t="inlineStr"/>
      <c r="N3316" s="54" t="inlineStr"/>
      <c r="O3316" s="55" t="inlineStr"/>
      <c r="P3316" s="16" t="inlineStr">
        <is>
          <t>Требует обогащения</t>
        </is>
      </c>
      <c r="Q3316" s="16">
        <f>HYPERLINK("https://pb.nalog.ru/search.html?query=5042153382","ФНС: проверить")</f>
        <v/>
      </c>
      <c r="R3316" s="16">
        <f>HYPERLINK("https://checko.ru/search?query=3801001629","Чекко: проверить")</f>
        <v/>
      </c>
      <c r="S3316" t="n">
        <v>1</v>
      </c>
      <c r="T3316" s="35" t="inlineStr">
        <is>
          <t>4 — Не обогащён</t>
        </is>
      </c>
      <c r="U3316" s="35" t="inlineStr">
        <is>
          <t>Нет ОКВЭД/ССЧР</t>
        </is>
      </c>
      <c r="V3316" s="35" t="inlineStr">
        <is>
          <t>Не определено</t>
        </is>
      </c>
      <c r="W3316" s="35" t="inlineStr"/>
      <c r="X3316" s="35" t="inlineStr"/>
    </row>
    <row r="3317" ht="27.75" customHeight="1" s="24">
      <c r="A3317" s="13" t="n">
        <v>5000122540</v>
      </c>
      <c r="B3317" s="13" t="inlineStr">
        <is>
          <t>КГБУ "Камчатская государственная кадастровая оценка"</t>
        </is>
      </c>
      <c r="C3317" s="13" t="n">
        <v>4101179009</v>
      </c>
      <c r="D3317" s="13" t="inlineStr">
        <is>
          <t>4101179009</t>
        </is>
      </c>
      <c r="E3317" s="13" t="inlineStr">
        <is>
          <t>ЮЛ РФ</t>
        </is>
      </c>
      <c r="F3317" s="13" t="n"/>
      <c r="G3317" s="14" t="n"/>
      <c r="H3317" s="14" t="n"/>
      <c r="I3317" s="14" t="n"/>
      <c r="J3317" s="14" t="n"/>
      <c r="K3317" s="53" t="inlineStr"/>
      <c r="L3317" s="53" t="inlineStr">
        <is>
          <t>Не определено</t>
        </is>
      </c>
      <c r="M3317" s="53" t="inlineStr"/>
      <c r="N3317" s="54" t="inlineStr"/>
      <c r="O3317" s="55" t="inlineStr"/>
      <c r="P3317" s="16" t="inlineStr">
        <is>
          <t>Требует обогащения</t>
        </is>
      </c>
      <c r="Q3317" s="16">
        <f>HYPERLINK("https://pb.nalog.ru/search.html?query=4101179009","ФНС: проверить")</f>
        <v/>
      </c>
      <c r="R3317" s="16">
        <f>HYPERLINK("https://checko.ru/search?query=3801001629","Чекко: проверить")</f>
        <v/>
      </c>
      <c r="S3317" t="n">
        <v>1</v>
      </c>
      <c r="T3317" s="35" t="inlineStr">
        <is>
          <t>4 — Не обогащён</t>
        </is>
      </c>
      <c r="U3317" s="35" t="inlineStr">
        <is>
          <t>Нет ОКВЭД/ССЧР</t>
        </is>
      </c>
      <c r="V3317" s="35" t="inlineStr">
        <is>
          <t>Не определено</t>
        </is>
      </c>
      <c r="W3317" s="35" t="inlineStr"/>
      <c r="X3317" s="35" t="inlineStr"/>
    </row>
    <row r="3318" ht="27.75" customHeight="1" s="24">
      <c r="A3318" s="13" t="n">
        <v>5000122545</v>
      </c>
      <c r="B3318" s="13" t="inlineStr">
        <is>
          <t>КГБУ "Камчатское концертно-филармоническое объединение"</t>
        </is>
      </c>
      <c r="C3318" s="13" t="n">
        <v>4101132307</v>
      </c>
      <c r="D3318" s="13" t="inlineStr">
        <is>
          <t>4101132307</t>
        </is>
      </c>
      <c r="E3318" s="13" t="inlineStr">
        <is>
          <t>ЮЛ РФ</t>
        </is>
      </c>
      <c r="F3318" s="13" t="n"/>
      <c r="G3318" s="14" t="n"/>
      <c r="H3318" s="14" t="n"/>
      <c r="I3318" s="14" t="n"/>
      <c r="J3318" s="14" t="n"/>
      <c r="K3318" s="53" t="inlineStr"/>
      <c r="L3318" s="53" t="inlineStr">
        <is>
          <t>Не определено</t>
        </is>
      </c>
      <c r="M3318" s="53" t="inlineStr"/>
      <c r="N3318" s="54" t="inlineStr"/>
      <c r="O3318" s="55" t="inlineStr"/>
      <c r="P3318" s="16" t="inlineStr">
        <is>
          <t>Требует обогащения</t>
        </is>
      </c>
      <c r="Q3318" s="16">
        <f>HYPERLINK("https://pb.nalog.ru/search.html?query=4101132307","ФНС: проверить")</f>
        <v/>
      </c>
      <c r="R3318" s="16">
        <f>HYPERLINK("https://checko.ru/search?query=3801001629","Чекко: проверить")</f>
        <v/>
      </c>
      <c r="S3318" t="n">
        <v>1</v>
      </c>
      <c r="T3318" s="35" t="inlineStr">
        <is>
          <t>4 — Не обогащён</t>
        </is>
      </c>
      <c r="U3318" s="35" t="inlineStr">
        <is>
          <t>Нет ОКВЭД/ССЧР</t>
        </is>
      </c>
      <c r="V3318" s="35" t="inlineStr">
        <is>
          <t>Не определено</t>
        </is>
      </c>
      <c r="W3318" s="35" t="inlineStr"/>
      <c r="X3318" s="35" t="inlineStr"/>
    </row>
    <row r="3319" ht="41.25" customHeight="1" s="24">
      <c r="A3319" s="13" t="n">
        <v>5000122592</v>
      </c>
      <c r="B3319" s="13" t="inlineStr">
        <is>
          <t>Отдел по культуре, молодежной политике, физической культуре и спорту администрации Елизовского городского поселения.</t>
        </is>
      </c>
      <c r="C3319" s="13" t="n">
        <v>4105033160</v>
      </c>
      <c r="D3319" s="13" t="inlineStr">
        <is>
          <t>4105033160</t>
        </is>
      </c>
      <c r="E3319" s="13" t="inlineStr">
        <is>
          <t>ЮЛ РФ</t>
        </is>
      </c>
      <c r="F3319" s="13" t="n"/>
      <c r="G3319" s="14" t="n"/>
      <c r="H3319" s="14" t="n"/>
      <c r="I3319" s="14" t="n"/>
      <c r="J3319" s="14" t="n"/>
      <c r="K3319" s="53" t="inlineStr"/>
      <c r="L3319" s="53" t="inlineStr">
        <is>
          <t>Не определено</t>
        </is>
      </c>
      <c r="M3319" s="53" t="inlineStr"/>
      <c r="N3319" s="54" t="inlineStr"/>
      <c r="O3319" s="55" t="inlineStr"/>
      <c r="P3319" s="16" t="inlineStr">
        <is>
          <t>Требует обогащения</t>
        </is>
      </c>
      <c r="Q3319" s="16">
        <f>HYPERLINK("https://pb.nalog.ru/search.html?query=4105033160","ФНС: проверить")</f>
        <v/>
      </c>
      <c r="R3319" s="16">
        <f>HYPERLINK("https://checko.ru/search?query=3801001629","Чекко: проверить")</f>
        <v/>
      </c>
      <c r="S3319" t="n">
        <v>1</v>
      </c>
      <c r="T3319" s="35" t="inlineStr">
        <is>
          <t>4 — Не обогащён</t>
        </is>
      </c>
      <c r="U3319" s="35" t="inlineStr">
        <is>
          <t>Нет ОКВЭД/ССЧР</t>
        </is>
      </c>
      <c r="V3319" s="35" t="inlineStr">
        <is>
          <t>Не определено</t>
        </is>
      </c>
      <c r="W3319" s="35" t="inlineStr"/>
      <c r="X3319" s="35" t="inlineStr"/>
    </row>
    <row r="3320" ht="15" customHeight="1" s="24">
      <c r="A3320" s="13" t="n">
        <v>5000122546</v>
      </c>
      <c r="B3320" s="13" t="inlineStr">
        <is>
          <t>КГБУ "КОКМ"</t>
        </is>
      </c>
      <c r="C3320" s="13" t="n">
        <v>8202010172</v>
      </c>
      <c r="D3320" s="13" t="inlineStr">
        <is>
          <t>8202010172</t>
        </is>
      </c>
      <c r="E3320" s="13" t="inlineStr">
        <is>
          <t>ЮЛ РФ</t>
        </is>
      </c>
      <c r="F3320" s="13" t="n"/>
      <c r="G3320" s="14" t="n"/>
      <c r="H3320" s="14" t="n"/>
      <c r="I3320" s="14" t="n"/>
      <c r="J3320" s="14" t="n"/>
      <c r="K3320" s="53" t="inlineStr"/>
      <c r="L3320" s="53" t="inlineStr">
        <is>
          <t>Не определено</t>
        </is>
      </c>
      <c r="M3320" s="53" t="inlineStr"/>
      <c r="N3320" s="54" t="inlineStr"/>
      <c r="O3320" s="55" t="inlineStr"/>
      <c r="P3320" s="16" t="inlineStr">
        <is>
          <t>Требует обогащения</t>
        </is>
      </c>
      <c r="Q3320" s="16">
        <f>HYPERLINK("https://pb.nalog.ru/search.html?query=8202010172","ФНС: проверить")</f>
        <v/>
      </c>
      <c r="R3320" s="16">
        <f>HYPERLINK("https://checko.ru/search?query=3801001629","Чекко: проверить")</f>
        <v/>
      </c>
      <c r="S3320" t="n">
        <v>1</v>
      </c>
      <c r="T3320" s="35" t="inlineStr">
        <is>
          <t>4 — Не обогащён</t>
        </is>
      </c>
      <c r="U3320" s="35" t="inlineStr">
        <is>
          <t>Нет ОКВЭД/ССЧР</t>
        </is>
      </c>
      <c r="V3320" s="35" t="inlineStr">
        <is>
          <t>Не определено</t>
        </is>
      </c>
      <c r="W3320" s="35" t="inlineStr"/>
      <c r="X3320" s="35" t="inlineStr"/>
    </row>
    <row r="3321" ht="41.25" customHeight="1" s="24">
      <c r="A3321" s="13" t="n">
        <v>5000122562</v>
      </c>
      <c r="B3321" s="13" t="inlineStr">
        <is>
          <t>Краевое государственное казенное учреждение "Служба заказчика Министерства строительства и жилищной политики Камчатского края"</t>
        </is>
      </c>
      <c r="C3321" s="13" t="n">
        <v>4101138771</v>
      </c>
      <c r="D3321" s="13" t="inlineStr">
        <is>
          <t>4101138771</t>
        </is>
      </c>
      <c r="E3321" s="13" t="inlineStr">
        <is>
          <t>ЮЛ РФ</t>
        </is>
      </c>
      <c r="F3321" s="13" t="n"/>
      <c r="G3321" s="14" t="n"/>
      <c r="H3321" s="14" t="n"/>
      <c r="I3321" s="14" t="n"/>
      <c r="J3321" s="14" t="n"/>
      <c r="K3321" s="53" t="inlineStr"/>
      <c r="L3321" s="53" t="inlineStr">
        <is>
          <t>Не определено</t>
        </is>
      </c>
      <c r="M3321" s="53" t="inlineStr"/>
      <c r="N3321" s="54" t="inlineStr"/>
      <c r="O3321" s="55" t="inlineStr"/>
      <c r="P3321" s="16" t="inlineStr">
        <is>
          <t>Требует обогащения</t>
        </is>
      </c>
      <c r="Q3321" s="16">
        <f>HYPERLINK("https://pb.nalog.ru/search.html?query=4101138771","ФНС: проверить")</f>
        <v/>
      </c>
      <c r="R3321" s="16">
        <f>HYPERLINK("https://checko.ru/search?query=3801001629","Чекко: проверить")</f>
        <v/>
      </c>
      <c r="S3321" t="n">
        <v>1</v>
      </c>
      <c r="T3321" s="35" t="inlineStr">
        <is>
          <t>4 — Не обогащён</t>
        </is>
      </c>
      <c r="U3321" s="35" t="inlineStr">
        <is>
          <t>Нет ОКВЭД/ССЧР</t>
        </is>
      </c>
      <c r="V3321" s="35" t="inlineStr">
        <is>
          <t>Не определено</t>
        </is>
      </c>
      <c r="W3321" s="35" t="inlineStr"/>
      <c r="X3321" s="35" t="inlineStr"/>
    </row>
    <row r="3322" ht="15" customHeight="1" s="24">
      <c r="A3322" s="13" t="n">
        <v>5000018613</v>
      </c>
      <c r="B3322" s="13" t="inlineStr">
        <is>
          <t>МКОУДО "ДМШ п. Мама"</t>
        </is>
      </c>
      <c r="C3322" s="13" t="n">
        <v>3802009878</v>
      </c>
      <c r="D3322" s="13" t="inlineStr">
        <is>
          <t>3802009878</t>
        </is>
      </c>
      <c r="E3322" s="13" t="inlineStr">
        <is>
          <t>ЮЛ РФ</t>
        </is>
      </c>
      <c r="F3322" s="13" t="n"/>
      <c r="G3322" s="14" t="n"/>
      <c r="H3322" s="14" t="n"/>
      <c r="I3322" s="14" t="n"/>
      <c r="J3322" s="14" t="n"/>
      <c r="K3322" s="53" t="inlineStr"/>
      <c r="L3322" s="53" t="inlineStr">
        <is>
          <t>Не определено</t>
        </is>
      </c>
      <c r="M3322" s="53" t="inlineStr"/>
      <c r="N3322" s="54" t="inlineStr"/>
      <c r="O3322" s="55" t="inlineStr"/>
      <c r="P3322" s="16" t="inlineStr">
        <is>
          <t>Требует обогащения</t>
        </is>
      </c>
      <c r="Q3322" s="16">
        <f>HYPERLINK("https://pb.nalog.ru/search.html?query=3802009878","ФНС: проверить")</f>
        <v/>
      </c>
      <c r="R3322" s="16">
        <f>HYPERLINK("https://checko.ru/search?query=3801001629","Чекко: проверить")</f>
        <v/>
      </c>
      <c r="S3322" t="n">
        <v>1</v>
      </c>
      <c r="T3322" s="35" t="inlineStr">
        <is>
          <t>4 — Не обогащён</t>
        </is>
      </c>
      <c r="U3322" s="35" t="inlineStr">
        <is>
          <t>Нет ОКВЭД/ССЧР</t>
        </is>
      </c>
      <c r="V3322" s="35" t="inlineStr">
        <is>
          <t>Не определено</t>
        </is>
      </c>
      <c r="W3322" s="35" t="inlineStr"/>
      <c r="X3322" s="35" t="inlineStr"/>
    </row>
    <row r="3323" ht="15" customHeight="1" s="24">
      <c r="A3323" s="13" t="n">
        <v>5000018615</v>
      </c>
      <c r="B3323" s="13" t="inlineStr">
        <is>
          <t>МКУК РКДЦ "Победа"</t>
        </is>
      </c>
      <c r="C3323" s="13" t="n">
        <v>3802012743</v>
      </c>
      <c r="D3323" s="13" t="inlineStr">
        <is>
          <t>3802012743</t>
        </is>
      </c>
      <c r="E3323" s="13" t="inlineStr">
        <is>
          <t>ЮЛ РФ</t>
        </is>
      </c>
      <c r="F3323" s="13" t="n"/>
      <c r="G3323" s="14" t="n"/>
      <c r="H3323" s="14" t="n"/>
      <c r="I3323" s="14" t="n"/>
      <c r="J3323" s="14" t="n"/>
      <c r="K3323" s="53" t="inlineStr"/>
      <c r="L3323" s="53" t="inlineStr">
        <is>
          <t>Не определено</t>
        </is>
      </c>
      <c r="M3323" s="53" t="inlineStr"/>
      <c r="N3323" s="54" t="inlineStr"/>
      <c r="O3323" s="55" t="inlineStr"/>
      <c r="P3323" s="16" t="inlineStr">
        <is>
          <t>Требует обогащения</t>
        </is>
      </c>
      <c r="Q3323" s="16">
        <f>HYPERLINK("https://pb.nalog.ru/search.html?query=3802012743","ФНС: проверить")</f>
        <v/>
      </c>
      <c r="R3323" s="16">
        <f>HYPERLINK("https://checko.ru/search?query=3801001629","Чекко: проверить")</f>
        <v/>
      </c>
      <c r="S3323" t="n">
        <v>1</v>
      </c>
      <c r="T3323" s="35" t="inlineStr">
        <is>
          <t>4 — Не обогащён</t>
        </is>
      </c>
      <c r="U3323" s="35" t="inlineStr">
        <is>
          <t>Нет ОКВЭД/ССЧР</t>
        </is>
      </c>
      <c r="V3323" s="35" t="inlineStr">
        <is>
          <t>Не определено</t>
        </is>
      </c>
      <c r="W3323" s="35" t="inlineStr"/>
      <c r="X3323" s="35" t="inlineStr"/>
    </row>
    <row r="3324" ht="15" customHeight="1" s="24">
      <c r="A3324" s="13" t="n">
        <v>5000120029</v>
      </c>
      <c r="B3324" s="13" t="inlineStr">
        <is>
          <t>МАУС "ЛЕДОВЫЙ ДВОРЕЦ "НАРО-ФОМИНСК",</t>
        </is>
      </c>
      <c r="C3324" s="13" t="n">
        <v>5030094090</v>
      </c>
      <c r="D3324" s="13" t="inlineStr">
        <is>
          <t>5030094090</t>
        </is>
      </c>
      <c r="E3324" s="13" t="inlineStr">
        <is>
          <t>ЮЛ РФ</t>
        </is>
      </c>
      <c r="F3324" s="13" t="n"/>
      <c r="G3324" s="14" t="n"/>
      <c r="H3324" s="14" t="n"/>
      <c r="I3324" s="14" t="n"/>
      <c r="J3324" s="14" t="n"/>
      <c r="K3324" s="53" t="inlineStr"/>
      <c r="L3324" s="53" t="inlineStr">
        <is>
          <t>Не определено</t>
        </is>
      </c>
      <c r="M3324" s="53" t="inlineStr"/>
      <c r="N3324" s="54" t="inlineStr"/>
      <c r="O3324" s="55" t="inlineStr"/>
      <c r="P3324" s="16" t="inlineStr">
        <is>
          <t>Требует обогащения</t>
        </is>
      </c>
      <c r="Q3324" s="16">
        <f>HYPERLINK("https://pb.nalog.ru/search.html?query=5030094090","ФНС: проверить")</f>
        <v/>
      </c>
      <c r="R3324" s="16">
        <f>HYPERLINK("https://checko.ru/search?query=3801001629","Чекко: проверить")</f>
        <v/>
      </c>
      <c r="S3324" t="n">
        <v>1</v>
      </c>
      <c r="T3324" s="35" t="inlineStr">
        <is>
          <t>4 — Не обогащён</t>
        </is>
      </c>
      <c r="U3324" s="35" t="inlineStr">
        <is>
          <t>Нет ОКВЭД/ССЧР</t>
        </is>
      </c>
      <c r="V3324" s="35" t="inlineStr">
        <is>
          <t>Не определено</t>
        </is>
      </c>
      <c r="W3324" s="35" t="inlineStr"/>
      <c r="X3324" s="35" t="inlineStr"/>
    </row>
    <row r="3325" ht="27.75" customHeight="1" s="24">
      <c r="A3325" s="13" t="n">
        <v>5000122563</v>
      </c>
      <c r="B3325" s="13" t="inlineStr">
        <is>
          <t>КГКУ "Управление автомобильных дорог Камчатского края"</t>
        </is>
      </c>
      <c r="C3325" s="13" t="n">
        <v>4101124881</v>
      </c>
      <c r="D3325" s="13" t="inlineStr">
        <is>
          <t>4101124881</t>
        </is>
      </c>
      <c r="E3325" s="13" t="inlineStr">
        <is>
          <t>ЮЛ РФ</t>
        </is>
      </c>
      <c r="F3325" s="13" t="n"/>
      <c r="G3325" s="14" t="n"/>
      <c r="H3325" s="14" t="n"/>
      <c r="I3325" s="14" t="n"/>
      <c r="J3325" s="14" t="n"/>
      <c r="K3325" s="53" t="inlineStr"/>
      <c r="L3325" s="53" t="inlineStr">
        <is>
          <t>Не определено</t>
        </is>
      </c>
      <c r="M3325" s="53" t="inlineStr"/>
      <c r="N3325" s="54" t="inlineStr"/>
      <c r="O3325" s="55" t="inlineStr"/>
      <c r="P3325" s="16" t="inlineStr">
        <is>
          <t>Требует обогащения</t>
        </is>
      </c>
      <c r="Q3325" s="16">
        <f>HYPERLINK("https://pb.nalog.ru/search.html?query=4101124881","ФНС: проверить")</f>
        <v/>
      </c>
      <c r="R3325" s="16">
        <f>HYPERLINK("https://checko.ru/search?query=3801001629","Чекко: проверить")</f>
        <v/>
      </c>
      <c r="S3325" t="n">
        <v>1</v>
      </c>
      <c r="T3325" s="35" t="inlineStr">
        <is>
          <t>4 — Не обогащён</t>
        </is>
      </c>
      <c r="U3325" s="35" t="inlineStr">
        <is>
          <t>Нет ОКВЭД/ССЧР</t>
        </is>
      </c>
      <c r="V3325" s="35" t="inlineStr">
        <is>
          <t>Не определено</t>
        </is>
      </c>
      <c r="W3325" s="35" t="inlineStr"/>
      <c r="X3325" s="35" t="inlineStr"/>
    </row>
    <row r="3326" ht="27.75" customHeight="1" s="24">
      <c r="A3326" s="13" t="n">
        <v>5000122594</v>
      </c>
      <c r="B3326" s="13" t="inlineStr">
        <is>
          <t>Администрация Новоавачинского сельского поселения Елизовского МР</t>
        </is>
      </c>
      <c r="C3326" s="13" t="n">
        <v>4105029861</v>
      </c>
      <c r="D3326" s="13" t="inlineStr">
        <is>
          <t>4105029861</t>
        </is>
      </c>
      <c r="E3326" s="13" t="inlineStr">
        <is>
          <t>ЮЛ РФ</t>
        </is>
      </c>
      <c r="F3326" s="13" t="n"/>
      <c r="G3326" s="14" t="n"/>
      <c r="H3326" s="14" t="n"/>
      <c r="I3326" s="14" t="n"/>
      <c r="J3326" s="14" t="n"/>
      <c r="K3326" s="53" t="inlineStr"/>
      <c r="L3326" s="53" t="inlineStr">
        <is>
          <t>Не определено</t>
        </is>
      </c>
      <c r="M3326" s="53" t="inlineStr"/>
      <c r="N3326" s="54" t="inlineStr"/>
      <c r="O3326" s="55" t="inlineStr"/>
      <c r="P3326" s="16" t="inlineStr">
        <is>
          <t>Требует обогащения</t>
        </is>
      </c>
      <c r="Q3326" s="16">
        <f>HYPERLINK("https://pb.nalog.ru/search.html?query=4105029861","ФНС: проверить")</f>
        <v/>
      </c>
      <c r="R3326" s="16">
        <f>HYPERLINK("https://checko.ru/search?query=3801001629","Чекко: проверить")</f>
        <v/>
      </c>
      <c r="S3326" t="n">
        <v>1</v>
      </c>
      <c r="T3326" s="35" t="inlineStr">
        <is>
          <t>4 — Не обогащён</t>
        </is>
      </c>
      <c r="U3326" s="35" t="inlineStr">
        <is>
          <t>Нет ОКВЭД/ССЧР</t>
        </is>
      </c>
      <c r="V3326" s="35" t="inlineStr">
        <is>
          <t>Не определено</t>
        </is>
      </c>
      <c r="W3326" s="35" t="inlineStr"/>
      <c r="X3326" s="35" t="inlineStr"/>
    </row>
    <row r="3327" ht="41.25" customHeight="1" s="24">
      <c r="A3327" s="13" t="n">
        <v>5000122580</v>
      </c>
      <c r="B3327" s="13" t="inlineStr">
        <is>
          <t>Управление имущественных отношений администрации Елизовского городского поселения</t>
        </is>
      </c>
      <c r="C3327" s="13" t="n">
        <v>4105035047</v>
      </c>
      <c r="D3327" s="13" t="inlineStr">
        <is>
          <t>4105035047</t>
        </is>
      </c>
      <c r="E3327" s="13" t="inlineStr">
        <is>
          <t>ЮЛ РФ</t>
        </is>
      </c>
      <c r="F3327" s="13" t="n"/>
      <c r="G3327" s="14" t="n"/>
      <c r="H3327" s="14" t="n"/>
      <c r="I3327" s="14" t="n"/>
      <c r="J3327" s="14" t="n"/>
      <c r="K3327" s="53" t="inlineStr"/>
      <c r="L3327" s="53" t="inlineStr">
        <is>
          <t>Не определено</t>
        </is>
      </c>
      <c r="M3327" s="53" t="inlineStr"/>
      <c r="N3327" s="54" t="inlineStr"/>
      <c r="O3327" s="55" t="inlineStr"/>
      <c r="P3327" s="16" t="inlineStr">
        <is>
          <t>Требует обогащения</t>
        </is>
      </c>
      <c r="Q3327" s="16">
        <f>HYPERLINK("https://pb.nalog.ru/search.html?query=4105035047","ФНС: проверить")</f>
        <v/>
      </c>
      <c r="R3327" s="16">
        <f>HYPERLINK("https://checko.ru/search?query=3801001629","Чекко: проверить")</f>
        <v/>
      </c>
      <c r="S3327" t="n">
        <v>1</v>
      </c>
      <c r="T3327" s="35" t="inlineStr">
        <is>
          <t>4 — Не обогащён</t>
        </is>
      </c>
      <c r="U3327" s="35" t="inlineStr">
        <is>
          <t>Нет ОКВЭД/ССЧР</t>
        </is>
      </c>
      <c r="V3327" s="35" t="inlineStr">
        <is>
          <t>Не определено</t>
        </is>
      </c>
      <c r="W3327" s="35" t="inlineStr"/>
      <c r="X3327" s="35" t="inlineStr"/>
    </row>
    <row r="3328" ht="15" customHeight="1" s="24">
      <c r="A3328" s="13" t="n">
        <v>5000117353</v>
      </c>
      <c r="B3328" s="13" t="inlineStr">
        <is>
          <t>МАОУ Учебно-Методический Центр</t>
        </is>
      </c>
      <c r="C3328" s="13" t="n">
        <v>5030037776</v>
      </c>
      <c r="D3328" s="13" t="inlineStr">
        <is>
          <t>5030037776</t>
        </is>
      </c>
      <c r="E3328" s="13" t="inlineStr">
        <is>
          <t>ЮЛ РФ</t>
        </is>
      </c>
      <c r="F3328" s="13" t="n"/>
      <c r="G3328" s="14" t="n"/>
      <c r="H3328" s="14" t="n"/>
      <c r="I3328" s="14" t="n"/>
      <c r="J3328" s="14" t="n"/>
      <c r="K3328" s="53" t="inlineStr"/>
      <c r="L3328" s="53" t="inlineStr">
        <is>
          <t>Не определено</t>
        </is>
      </c>
      <c r="M3328" s="53" t="inlineStr"/>
      <c r="N3328" s="54" t="inlineStr"/>
      <c r="O3328" s="55" t="inlineStr"/>
      <c r="P3328" s="16" t="inlineStr">
        <is>
          <t>Требует обогащения</t>
        </is>
      </c>
      <c r="Q3328" s="16">
        <f>HYPERLINK("https://pb.nalog.ru/search.html?query=5030037776","ФНС: проверить")</f>
        <v/>
      </c>
      <c r="R3328" s="16">
        <f>HYPERLINK("https://checko.ru/search?query=3801001629","Чекко: проверить")</f>
        <v/>
      </c>
      <c r="S3328" t="n">
        <v>1</v>
      </c>
      <c r="T3328" s="35" t="inlineStr">
        <is>
          <t>4 — Не обогащён</t>
        </is>
      </c>
      <c r="U3328" s="35" t="inlineStr">
        <is>
          <t>Нет ОКВЭД/ССЧР</t>
        </is>
      </c>
      <c r="V3328" s="35" t="inlineStr">
        <is>
          <t>Не определено</t>
        </is>
      </c>
      <c r="W3328" s="35" t="inlineStr"/>
      <c r="X3328" s="35" t="inlineStr"/>
    </row>
    <row r="3329" ht="27.75" customHeight="1" s="24">
      <c r="A3329" s="13" t="n">
        <v>5000122572</v>
      </c>
      <c r="B3329" s="13" t="inlineStr">
        <is>
          <t>ИЗБИРАТЕЛЬНАЯ КОМИССИЯ УСТЬ-КАМЧАТСКАЯ ТЕРРИТОРИАЛЬНАЯ</t>
        </is>
      </c>
      <c r="C3329" s="13" t="n">
        <v>4100048395</v>
      </c>
      <c r="D3329" s="13" t="inlineStr">
        <is>
          <t>4100048395</t>
        </is>
      </c>
      <c r="E3329" s="13" t="inlineStr">
        <is>
          <t>ЮЛ РФ</t>
        </is>
      </c>
      <c r="F3329" s="13" t="n"/>
      <c r="G3329" s="14" t="n"/>
      <c r="H3329" s="14" t="n"/>
      <c r="I3329" s="14" t="n"/>
      <c r="J3329" s="14" t="n"/>
      <c r="K3329" s="53" t="inlineStr"/>
      <c r="L3329" s="53" t="inlineStr">
        <is>
          <t>Не определено</t>
        </is>
      </c>
      <c r="M3329" s="53" t="inlineStr"/>
      <c r="N3329" s="54" t="inlineStr"/>
      <c r="O3329" s="55" t="inlineStr"/>
      <c r="P3329" s="16" t="inlineStr">
        <is>
          <t>Требует обогащения</t>
        </is>
      </c>
      <c r="Q3329" s="16">
        <f>HYPERLINK("https://pb.nalog.ru/search.html?query=4100048395","ФНС: проверить")</f>
        <v/>
      </c>
      <c r="R3329" s="16">
        <f>HYPERLINK("https://checko.ru/search?query=3801001629","Чекко: проверить")</f>
        <v/>
      </c>
      <c r="S3329" t="n">
        <v>1</v>
      </c>
      <c r="T3329" s="35" t="inlineStr">
        <is>
          <t>4 — Не обогащён</t>
        </is>
      </c>
      <c r="U3329" s="35" t="inlineStr">
        <is>
          <t>Нет ОКВЭД/ССЧР</t>
        </is>
      </c>
      <c r="V3329" s="35" t="inlineStr">
        <is>
          <t>Не определено</t>
        </is>
      </c>
      <c r="W3329" s="35" t="inlineStr"/>
      <c r="X3329" s="35" t="inlineStr"/>
    </row>
    <row r="3330" ht="27.75" customHeight="1" s="24">
      <c r="A3330" s="13" t="n">
        <v>5000122614</v>
      </c>
      <c r="B3330" s="13" t="inlineStr">
        <is>
          <t>МУНИЦИПАЛЬНОЕ АВТОНОМНОЕ УЧРЕЖДЕНИЕ "РЕСУРСНЫЙ ЦЕНТР"</t>
        </is>
      </c>
      <c r="C3330" s="13" t="n">
        <v>4108005386</v>
      </c>
      <c r="D3330" s="13" t="inlineStr">
        <is>
          <t>4108005386</t>
        </is>
      </c>
      <c r="E3330" s="13" t="inlineStr">
        <is>
          <t>ЮЛ РФ</t>
        </is>
      </c>
      <c r="F3330" s="13" t="n"/>
      <c r="G3330" s="14" t="n"/>
      <c r="H3330" s="14" t="n"/>
      <c r="I3330" s="14" t="n"/>
      <c r="J3330" s="14" t="n"/>
      <c r="K3330" s="53" t="inlineStr"/>
      <c r="L3330" s="53" t="inlineStr">
        <is>
          <t>Не определено</t>
        </is>
      </c>
      <c r="M3330" s="53" t="inlineStr"/>
      <c r="N3330" s="54" t="inlineStr"/>
      <c r="O3330" s="55" t="inlineStr"/>
      <c r="P3330" s="16" t="inlineStr">
        <is>
          <t>Требует обогащения</t>
        </is>
      </c>
      <c r="Q3330" s="16">
        <f>HYPERLINK("https://pb.nalog.ru/search.html?query=4108005386","ФНС: проверить")</f>
        <v/>
      </c>
      <c r="R3330" s="16">
        <f>HYPERLINK("https://checko.ru/search?query=3801001629","Чекко: проверить")</f>
        <v/>
      </c>
      <c r="S3330" t="n">
        <v>1</v>
      </c>
      <c r="T3330" s="35" t="inlineStr">
        <is>
          <t>4 — Не обогащён</t>
        </is>
      </c>
      <c r="U3330" s="35" t="inlineStr">
        <is>
          <t>Нет ОКВЭД/ССЧР</t>
        </is>
      </c>
      <c r="V3330" s="35" t="inlineStr">
        <is>
          <t>Не определено</t>
        </is>
      </c>
      <c r="W3330" s="35" t="inlineStr"/>
      <c r="X3330" s="35" t="inlineStr"/>
    </row>
    <row r="3331" ht="15" customHeight="1" s="24">
      <c r="A3331" s="13" t="n">
        <v>5000018614</v>
      </c>
      <c r="B3331" s="13" t="inlineStr">
        <is>
          <t>МКУК "ЦБС МАМСКО-ЧУЙСКОГО РАЙОНА-ЦРБ"</t>
        </is>
      </c>
      <c r="C3331" s="13" t="n">
        <v>3802012768</v>
      </c>
      <c r="D3331" s="13" t="inlineStr">
        <is>
          <t>3802012768</t>
        </is>
      </c>
      <c r="E3331" s="13" t="inlineStr">
        <is>
          <t>ЮЛ РФ</t>
        </is>
      </c>
      <c r="F3331" s="13" t="n"/>
      <c r="G3331" s="14" t="n"/>
      <c r="H3331" s="14" t="n"/>
      <c r="I3331" s="14" t="n"/>
      <c r="J3331" s="14" t="n"/>
      <c r="K3331" s="53" t="inlineStr"/>
      <c r="L3331" s="53" t="inlineStr">
        <is>
          <t>Не определено</t>
        </is>
      </c>
      <c r="M3331" s="53" t="inlineStr"/>
      <c r="N3331" s="54" t="inlineStr"/>
      <c r="O3331" s="55" t="inlineStr"/>
      <c r="P3331" s="16" t="inlineStr">
        <is>
          <t>Требует обогащения</t>
        </is>
      </c>
      <c r="Q3331" s="16">
        <f>HYPERLINK("https://pb.nalog.ru/search.html?query=3802012768","ФНС: проверить")</f>
        <v/>
      </c>
      <c r="R3331" s="16">
        <f>HYPERLINK("https://checko.ru/search?query=3801001629","Чекко: проверить")</f>
        <v/>
      </c>
      <c r="S3331" t="n">
        <v>1</v>
      </c>
      <c r="T3331" s="35" t="inlineStr">
        <is>
          <t>4 — Не обогащён</t>
        </is>
      </c>
      <c r="U3331" s="35" t="inlineStr">
        <is>
          <t>Нет ОКВЭД/ССЧР</t>
        </is>
      </c>
      <c r="V3331" s="35" t="inlineStr">
        <is>
          <t>Не определено</t>
        </is>
      </c>
      <c r="W3331" s="35" t="inlineStr"/>
      <c r="X3331" s="35" t="inlineStr"/>
    </row>
    <row r="3332" ht="41.25" customHeight="1" s="24">
      <c r="A3332" s="13" t="n">
        <v>5000088792</v>
      </c>
      <c r="B3332" s="13" t="inlineStr">
        <is>
          <t>МУНИЦИПАЛЬНОЕ КАЗЕННОЕ УЧРЕЖДЕНИЕ КУЛЬТУРЫ "ОСИНСКИЙ РАЙОННЫЙ ИСТОРИКО-КРАЕВЕДЧЕСКИЙ МУЗЕЙ"</t>
        </is>
      </c>
      <c r="C3332" s="13" t="n">
        <v>3849010692</v>
      </c>
      <c r="D3332" s="13" t="inlineStr">
        <is>
          <t>3849010692</t>
        </is>
      </c>
      <c r="E3332" s="13" t="inlineStr">
        <is>
          <t>ЮЛ РФ</t>
        </is>
      </c>
      <c r="F3332" s="13" t="n"/>
      <c r="G3332" s="14" t="n"/>
      <c r="H3332" s="14" t="n"/>
      <c r="I3332" s="14" t="n"/>
      <c r="J3332" s="14" t="n"/>
      <c r="K3332" s="53" t="inlineStr"/>
      <c r="L3332" s="53" t="inlineStr">
        <is>
          <t>Не определено</t>
        </is>
      </c>
      <c r="M3332" s="53" t="inlineStr"/>
      <c r="N3332" s="54" t="inlineStr"/>
      <c r="O3332" s="55" t="inlineStr"/>
      <c r="P3332" s="16" t="inlineStr">
        <is>
          <t>Требует обогащения</t>
        </is>
      </c>
      <c r="Q3332" s="16">
        <f>HYPERLINK("https://pb.nalog.ru/search.html?query=3849010692","ФНС: проверить")</f>
        <v/>
      </c>
      <c r="R3332" s="16">
        <f>HYPERLINK("https://checko.ru/search?query=3801001629","Чекко: проверить")</f>
        <v/>
      </c>
      <c r="S3332" t="n">
        <v>1</v>
      </c>
      <c r="T3332" s="35" t="inlineStr">
        <is>
          <t>4 — Не обогащён</t>
        </is>
      </c>
      <c r="U3332" s="35" t="inlineStr">
        <is>
          <t>Нет ОКВЭД/ССЧР</t>
        </is>
      </c>
      <c r="V3332" s="35" t="inlineStr">
        <is>
          <t>Не определено</t>
        </is>
      </c>
      <c r="W3332" s="35" t="inlineStr"/>
      <c r="X3332" s="35" t="inlineStr"/>
    </row>
    <row r="3333" ht="15" customHeight="1" s="24">
      <c r="A3333" s="13" t="n">
        <v>5000017890</v>
      </c>
      <c r="B3333" s="13" t="inlineStr">
        <is>
          <t>Детский сад общеразвивающего вида "Теремок"</t>
        </is>
      </c>
      <c r="C3333" s="13" t="n">
        <v>3802008144</v>
      </c>
      <c r="D3333" s="13" t="inlineStr">
        <is>
          <t>3802008144</t>
        </is>
      </c>
      <c r="E3333" s="13" t="inlineStr">
        <is>
          <t>ЮЛ РФ</t>
        </is>
      </c>
      <c r="F3333" s="13" t="n"/>
      <c r="G3333" s="14" t="n"/>
      <c r="H3333" s="14" t="n"/>
      <c r="I3333" s="14" t="n"/>
      <c r="J3333" s="14" t="n"/>
      <c r="K3333" s="53" t="inlineStr"/>
      <c r="L3333" s="53" t="inlineStr">
        <is>
          <t>Не определено</t>
        </is>
      </c>
      <c r="M3333" s="53" t="inlineStr"/>
      <c r="N3333" s="54" t="inlineStr"/>
      <c r="O3333" s="55" t="inlineStr"/>
      <c r="P3333" s="16" t="inlineStr">
        <is>
          <t>Требует обогащения</t>
        </is>
      </c>
      <c r="Q3333" s="16">
        <f>HYPERLINK("https://pb.nalog.ru/search.html?query=3802008144","ФНС: проверить")</f>
        <v/>
      </c>
      <c r="R3333" s="16">
        <f>HYPERLINK("https://checko.ru/search?query=3801001629","Чекко: проверить")</f>
        <v/>
      </c>
      <c r="S3333" t="n">
        <v>1</v>
      </c>
      <c r="T3333" s="35" t="inlineStr">
        <is>
          <t>4 — Не обогащён</t>
        </is>
      </c>
      <c r="U3333" s="35" t="inlineStr">
        <is>
          <t>Нет ОКВЭД/ССЧР</t>
        </is>
      </c>
      <c r="V3333" s="35" t="inlineStr">
        <is>
          <t>Не определено</t>
        </is>
      </c>
      <c r="W3333" s="35" t="inlineStr"/>
      <c r="X3333" s="35" t="inlineStr"/>
    </row>
    <row r="3334" ht="15" customHeight="1" s="24">
      <c r="A3334" s="13" t="n">
        <v>5000017891</v>
      </c>
      <c r="B3334" s="13" t="inlineStr">
        <is>
          <t>Детский сад "Родничок"</t>
        </is>
      </c>
      <c r="C3334" s="13" t="n">
        <v>3802008137</v>
      </c>
      <c r="D3334" s="13" t="inlineStr">
        <is>
          <t>3802008137</t>
        </is>
      </c>
      <c r="E3334" s="13" t="inlineStr">
        <is>
          <t>ЮЛ РФ</t>
        </is>
      </c>
      <c r="F3334" s="13" t="n"/>
      <c r="G3334" s="14" t="n"/>
      <c r="H3334" s="14" t="n"/>
      <c r="I3334" s="14" t="n"/>
      <c r="J3334" s="14" t="n"/>
      <c r="K3334" s="53" t="inlineStr"/>
      <c r="L3334" s="53" t="inlineStr">
        <is>
          <t>Не определено</t>
        </is>
      </c>
      <c r="M3334" s="53" t="inlineStr"/>
      <c r="N3334" s="54" t="inlineStr"/>
      <c r="O3334" s="55" t="inlineStr"/>
      <c r="P3334" s="16" t="inlineStr">
        <is>
          <t>Требует обогащения</t>
        </is>
      </c>
      <c r="Q3334" s="16">
        <f>HYPERLINK("https://pb.nalog.ru/search.html?query=3802008137","ФНС: проверить")</f>
        <v/>
      </c>
      <c r="R3334" s="16">
        <f>HYPERLINK("https://checko.ru/search?query=3801001629","Чекко: проверить")</f>
        <v/>
      </c>
      <c r="S3334" t="n">
        <v>1</v>
      </c>
      <c r="T3334" s="35" t="inlineStr">
        <is>
          <t>4 — Не обогащён</t>
        </is>
      </c>
      <c r="U3334" s="35" t="inlineStr">
        <is>
          <t>Нет ОКВЭД/ССЧР</t>
        </is>
      </c>
      <c r="V3334" s="35" t="inlineStr">
        <is>
          <t>Не определено</t>
        </is>
      </c>
      <c r="W3334" s="35" t="inlineStr"/>
      <c r="X3334" s="35" t="inlineStr"/>
    </row>
    <row r="3335" ht="15" customHeight="1" s="24">
      <c r="A3335" s="13" t="n">
        <v>5000017893</v>
      </c>
      <c r="B3335" s="13" t="inlineStr">
        <is>
          <t>Детский сад "Ёлочка"</t>
        </is>
      </c>
      <c r="C3335" s="13" t="n">
        <v>3802008105</v>
      </c>
      <c r="D3335" s="13" t="inlineStr">
        <is>
          <t>3802008105</t>
        </is>
      </c>
      <c r="E3335" s="13" t="inlineStr">
        <is>
          <t>ЮЛ РФ</t>
        </is>
      </c>
      <c r="F3335" s="13" t="n"/>
      <c r="G3335" s="14" t="n"/>
      <c r="H3335" s="14" t="n"/>
      <c r="I3335" s="14" t="n"/>
      <c r="J3335" s="14" t="n"/>
      <c r="K3335" s="53" t="inlineStr"/>
      <c r="L3335" s="53" t="inlineStr">
        <is>
          <t>Не определено</t>
        </is>
      </c>
      <c r="M3335" s="53" t="inlineStr"/>
      <c r="N3335" s="54" t="inlineStr"/>
      <c r="O3335" s="55" t="inlineStr"/>
      <c r="P3335" s="16" t="inlineStr">
        <is>
          <t>Требует обогащения</t>
        </is>
      </c>
      <c r="Q3335" s="16">
        <f>HYPERLINK("https://pb.nalog.ru/search.html?query=3802008105","ФНС: проверить")</f>
        <v/>
      </c>
      <c r="R3335" s="16">
        <f>HYPERLINK("https://checko.ru/search?query=3801001629","Чекко: проверить")</f>
        <v/>
      </c>
      <c r="S3335" t="n">
        <v>1</v>
      </c>
      <c r="T3335" s="35" t="inlineStr">
        <is>
          <t>4 — Не обогащён</t>
        </is>
      </c>
      <c r="U3335" s="35" t="inlineStr">
        <is>
          <t>Нет ОКВЭД/ССЧР</t>
        </is>
      </c>
      <c r="V3335" s="35" t="inlineStr">
        <is>
          <t>Не определено</t>
        </is>
      </c>
      <c r="W3335" s="35" t="inlineStr"/>
      <c r="X3335" s="35" t="inlineStr"/>
    </row>
    <row r="3336" ht="27.75" customHeight="1" s="24">
      <c r="A3336" s="13" t="n">
        <v>5000017894</v>
      </c>
      <c r="B3336" s="13" t="inlineStr">
        <is>
          <t>ВИТИМСКАЯ СРЕДНЯЯ ОБЩЕОБРАЗОВАТЕЛЬНАЯ ШКОЛА</t>
        </is>
      </c>
      <c r="C3336" s="13" t="n">
        <v>3802008120</v>
      </c>
      <c r="D3336" s="13" t="inlineStr">
        <is>
          <t>3802008120</t>
        </is>
      </c>
      <c r="E3336" s="13" t="inlineStr">
        <is>
          <t>ЮЛ РФ</t>
        </is>
      </c>
      <c r="F3336" s="13" t="n"/>
      <c r="G3336" s="14" t="n"/>
      <c r="H3336" s="14" t="n"/>
      <c r="I3336" s="14" t="n"/>
      <c r="J3336" s="14" t="n"/>
      <c r="K3336" s="53" t="inlineStr"/>
      <c r="L3336" s="53" t="inlineStr">
        <is>
          <t>Не определено</t>
        </is>
      </c>
      <c r="M3336" s="53" t="inlineStr"/>
      <c r="N3336" s="54" t="inlineStr"/>
      <c r="O3336" s="55" t="inlineStr"/>
      <c r="P3336" s="16" t="inlineStr">
        <is>
          <t>Требует обогащения</t>
        </is>
      </c>
      <c r="Q3336" s="16">
        <f>HYPERLINK("https://pb.nalog.ru/search.html?query=3802008120","ФНС: проверить")</f>
        <v/>
      </c>
      <c r="R3336" s="16">
        <f>HYPERLINK("https://checko.ru/search?query=3801001629","Чекко: проверить")</f>
        <v/>
      </c>
      <c r="S3336" t="n">
        <v>1</v>
      </c>
      <c r="T3336" s="35" t="inlineStr">
        <is>
          <t>4 — Не обогащён</t>
        </is>
      </c>
      <c r="U3336" s="35" t="inlineStr">
        <is>
          <t>Нет ОКВЭД/ССЧР</t>
        </is>
      </c>
      <c r="V3336" s="35" t="inlineStr">
        <is>
          <t>Не определено</t>
        </is>
      </c>
      <c r="W3336" s="35" t="inlineStr"/>
      <c r="X3336" s="35" t="inlineStr"/>
    </row>
    <row r="3337" ht="15" customHeight="1" s="24">
      <c r="A3337" s="13" t="n">
        <v>5000017896</v>
      </c>
      <c r="B3337" s="13" t="inlineStr">
        <is>
          <t>МКОУ "Мамская СОШ"</t>
        </is>
      </c>
      <c r="C3337" s="13" t="n">
        <v>3833001950</v>
      </c>
      <c r="D3337" s="13" t="inlineStr">
        <is>
          <t>3833001950</t>
        </is>
      </c>
      <c r="E3337" s="13" t="inlineStr">
        <is>
          <t>ЮЛ РФ</t>
        </is>
      </c>
      <c r="F3337" s="13" t="n"/>
      <c r="G3337" s="14" t="n"/>
      <c r="H3337" s="14" t="n"/>
      <c r="I3337" s="14" t="n"/>
      <c r="J3337" s="14" t="n"/>
      <c r="K3337" s="53" t="inlineStr"/>
      <c r="L3337" s="53" t="inlineStr">
        <is>
          <t>Не определено</t>
        </is>
      </c>
      <c r="M3337" s="53" t="inlineStr"/>
      <c r="N3337" s="54" t="inlineStr"/>
      <c r="O3337" s="55" t="inlineStr"/>
      <c r="P3337" s="16" t="inlineStr">
        <is>
          <t>Требует обогащения</t>
        </is>
      </c>
      <c r="Q3337" s="16">
        <f>HYPERLINK("https://pb.nalog.ru/search.html?query=3833001950","ФНС: проверить")</f>
        <v/>
      </c>
      <c r="R3337" s="16">
        <f>HYPERLINK("https://checko.ru/search?query=3801001629","Чекко: проверить")</f>
        <v/>
      </c>
      <c r="S3337" t="n">
        <v>1</v>
      </c>
      <c r="T3337" s="35" t="inlineStr">
        <is>
          <t>4 — Не обогащён</t>
        </is>
      </c>
      <c r="U3337" s="35" t="inlineStr">
        <is>
          <t>Нет ОКВЭД/ССЧР</t>
        </is>
      </c>
      <c r="V3337" s="35" t="inlineStr">
        <is>
          <t>Не определено</t>
        </is>
      </c>
      <c r="W3337" s="35" t="inlineStr"/>
      <c r="X3337" s="35" t="inlineStr"/>
    </row>
    <row r="3338" ht="27.75" customHeight="1" s="24">
      <c r="A3338" s="13" t="n">
        <v>5000017897</v>
      </c>
      <c r="B3338" s="13" t="inlineStr">
        <is>
          <t>МКУ ДО "Мамско-Чуйский Районный Дом Детского Творчества"</t>
        </is>
      </c>
      <c r="C3338" s="13" t="n">
        <v>3802008377</v>
      </c>
      <c r="D3338" s="13" t="inlineStr">
        <is>
          <t>3802008377</t>
        </is>
      </c>
      <c r="E3338" s="13" t="inlineStr">
        <is>
          <t>ЮЛ РФ</t>
        </is>
      </c>
      <c r="F3338" s="13" t="n"/>
      <c r="G3338" s="14" t="n"/>
      <c r="H3338" s="14" t="n"/>
      <c r="I3338" s="14" t="n"/>
      <c r="J3338" s="14" t="n"/>
      <c r="K3338" s="53" t="inlineStr"/>
      <c r="L3338" s="53" t="inlineStr">
        <is>
          <t>Не определено</t>
        </is>
      </c>
      <c r="M3338" s="53" t="inlineStr"/>
      <c r="N3338" s="54" t="inlineStr"/>
      <c r="O3338" s="55" t="inlineStr"/>
      <c r="P3338" s="16" t="inlineStr">
        <is>
          <t>Требует обогащения</t>
        </is>
      </c>
      <c r="Q3338" s="16">
        <f>HYPERLINK("https://pb.nalog.ru/search.html?query=3802008377","ФНС: проверить")</f>
        <v/>
      </c>
      <c r="R3338" s="16">
        <f>HYPERLINK("https://checko.ru/search?query=3801001629","Чекко: проверить")</f>
        <v/>
      </c>
      <c r="S3338" t="n">
        <v>1</v>
      </c>
      <c r="T3338" s="35" t="inlineStr">
        <is>
          <t>4 — Не обогащён</t>
        </is>
      </c>
      <c r="U3338" s="35" t="inlineStr">
        <is>
          <t>Нет ОКВЭД/ССЧР</t>
        </is>
      </c>
      <c r="V3338" s="35" t="inlineStr">
        <is>
          <t>Не определено</t>
        </is>
      </c>
      <c r="W3338" s="35" t="inlineStr"/>
      <c r="X3338" s="35" t="inlineStr"/>
    </row>
    <row r="3339" ht="15" customHeight="1" s="24">
      <c r="A3339" s="13" t="n">
        <v>5000017898</v>
      </c>
      <c r="B3339" s="13" t="inlineStr">
        <is>
          <t>МКУ ДО "Детско-Юношеская Спортивная Школа"</t>
        </is>
      </c>
      <c r="C3339" s="13" t="n">
        <v>3802008190</v>
      </c>
      <c r="D3339" s="13" t="inlineStr">
        <is>
          <t>3802008190</t>
        </is>
      </c>
      <c r="E3339" s="13" t="inlineStr">
        <is>
          <t>ЮЛ РФ</t>
        </is>
      </c>
      <c r="F3339" s="13" t="n"/>
      <c r="G3339" s="14" t="n"/>
      <c r="H3339" s="14" t="n"/>
      <c r="I3339" s="14" t="n"/>
      <c r="J3339" s="14" t="n"/>
      <c r="K3339" s="53" t="inlineStr"/>
      <c r="L3339" s="53" t="inlineStr">
        <is>
          <t>Не определено</t>
        </is>
      </c>
      <c r="M3339" s="53" t="inlineStr"/>
      <c r="N3339" s="54" t="inlineStr"/>
      <c r="O3339" s="55" t="inlineStr"/>
      <c r="P3339" s="16" t="inlineStr">
        <is>
          <t>Требует обогащения</t>
        </is>
      </c>
      <c r="Q3339" s="16">
        <f>HYPERLINK("https://pb.nalog.ru/search.html?query=3802008190","ФНС: проверить")</f>
        <v/>
      </c>
      <c r="R3339" s="16">
        <f>HYPERLINK("https://checko.ru/search?query=3801001629","Чекко: проверить")</f>
        <v/>
      </c>
      <c r="S3339" t="n">
        <v>1</v>
      </c>
      <c r="T3339" s="35" t="inlineStr">
        <is>
          <t>4 — Не обогащён</t>
        </is>
      </c>
      <c r="U3339" s="35" t="inlineStr">
        <is>
          <t>Нет ОКВЭД/ССЧР</t>
        </is>
      </c>
      <c r="V3339" s="35" t="inlineStr">
        <is>
          <t>Не определено</t>
        </is>
      </c>
      <c r="W3339" s="35" t="inlineStr"/>
      <c r="X3339" s="35" t="inlineStr"/>
    </row>
    <row r="3340" ht="27.75" customHeight="1" s="24">
      <c r="A3340" s="13" t="n">
        <v>5000017899</v>
      </c>
      <c r="B3340" s="13" t="inlineStr">
        <is>
          <t>МКОУ "Луговская средняя общеобразовательная школа"</t>
        </is>
      </c>
      <c r="C3340" s="13" t="n">
        <v>3802008183</v>
      </c>
      <c r="D3340" s="13" t="inlineStr">
        <is>
          <t>3802008183</t>
        </is>
      </c>
      <c r="E3340" s="13" t="inlineStr">
        <is>
          <t>ЮЛ РФ</t>
        </is>
      </c>
      <c r="F3340" s="13" t="n"/>
      <c r="G3340" s="14" t="n"/>
      <c r="H3340" s="14" t="n"/>
      <c r="I3340" s="14" t="n"/>
      <c r="J3340" s="14" t="n"/>
      <c r="K3340" s="53" t="inlineStr"/>
      <c r="L3340" s="53" t="inlineStr">
        <is>
          <t>Не определено</t>
        </is>
      </c>
      <c r="M3340" s="53" t="inlineStr"/>
      <c r="N3340" s="54" t="inlineStr"/>
      <c r="O3340" s="55" t="inlineStr"/>
      <c r="P3340" s="16" t="inlineStr">
        <is>
          <t>Требует обогащения</t>
        </is>
      </c>
      <c r="Q3340" s="16">
        <f>HYPERLINK("https://pb.nalog.ru/search.html?query=3802008183","ФНС: проверить")</f>
        <v/>
      </c>
      <c r="R3340" s="16">
        <f>HYPERLINK("https://checko.ru/search?query=3801001629","Чекко: проверить")</f>
        <v/>
      </c>
      <c r="S3340" t="n">
        <v>1</v>
      </c>
      <c r="T3340" s="35" t="inlineStr">
        <is>
          <t>4 — Не обогащён</t>
        </is>
      </c>
      <c r="U3340" s="35" t="inlineStr">
        <is>
          <t>Нет ОКВЭД/ССЧР</t>
        </is>
      </c>
      <c r="V3340" s="35" t="inlineStr">
        <is>
          <t>Не определено</t>
        </is>
      </c>
      <c r="W3340" s="35" t="inlineStr"/>
      <c r="X3340" s="35" t="inlineStr"/>
    </row>
    <row r="3341" ht="41.25" customHeight="1" s="24">
      <c r="A3341" s="13" t="n">
        <v>5000122698</v>
      </c>
      <c r="B3341" s="13" t="inlineStr">
        <is>
          <t>КОМИТЕТ ПО ЖИЛИЩНО-КОММУНАЛЬНОМУ ХОЗЯЙСТВУ И ДОРОЖНОЙ ДЕЯТЕЛЬНОСТИ АДМИНИСТРАЦИИ НАРО-ФОМИНСКОГО ГОР</t>
        </is>
      </c>
      <c r="C3341" s="13" t="n">
        <v>5030031855</v>
      </c>
      <c r="D3341" s="13" t="inlineStr">
        <is>
          <t>5030031855</t>
        </is>
      </c>
      <c r="E3341" s="13" t="inlineStr">
        <is>
          <t>ЮЛ РФ</t>
        </is>
      </c>
      <c r="F3341" s="13" t="n"/>
      <c r="G3341" s="14" t="n"/>
      <c r="H3341" s="14" t="n"/>
      <c r="I3341" s="14" t="n"/>
      <c r="J3341" s="14" t="n"/>
      <c r="K3341" s="53" t="inlineStr"/>
      <c r="L3341" s="53" t="inlineStr">
        <is>
          <t>Не определено</t>
        </is>
      </c>
      <c r="M3341" s="53" t="inlineStr"/>
      <c r="N3341" s="54" t="inlineStr"/>
      <c r="O3341" s="55" t="inlineStr"/>
      <c r="P3341" s="16" t="inlineStr">
        <is>
          <t>Требует обогащения</t>
        </is>
      </c>
      <c r="Q3341" s="16">
        <f>HYPERLINK("https://pb.nalog.ru/search.html?query=5030031855","ФНС: проверить")</f>
        <v/>
      </c>
      <c r="R3341" s="16">
        <f>HYPERLINK("https://checko.ru/search?query=3801001629","Чекко: проверить")</f>
        <v/>
      </c>
      <c r="S3341" t="n">
        <v>1</v>
      </c>
      <c r="T3341" s="35" t="inlineStr">
        <is>
          <t>4 — Не обогащён</t>
        </is>
      </c>
      <c r="U3341" s="35" t="inlineStr">
        <is>
          <t>Нет ОКВЭД/ССЧР</t>
        </is>
      </c>
      <c r="V3341" s="35" t="inlineStr">
        <is>
          <t>Не определено</t>
        </is>
      </c>
      <c r="W3341" s="35" t="inlineStr"/>
      <c r="X3341" s="35" t="inlineStr"/>
    </row>
    <row r="3342" ht="15" customHeight="1" s="24">
      <c r="A3342" s="13" t="n">
        <v>5000122352</v>
      </c>
      <c r="B3342" s="13" t="inlineStr">
        <is>
          <t>МБУ «ФЗРСП»</t>
        </is>
      </c>
      <c r="C3342" s="13" t="n">
        <v>5042134527</v>
      </c>
      <c r="D3342" s="13" t="inlineStr">
        <is>
          <t>5042134527</t>
        </is>
      </c>
      <c r="E3342" s="13" t="inlineStr">
        <is>
          <t>ЮЛ РФ</t>
        </is>
      </c>
      <c r="F3342" s="13" t="n"/>
      <c r="G3342" s="14" t="n"/>
      <c r="H3342" s="14" t="n"/>
      <c r="I3342" s="14" t="n"/>
      <c r="J3342" s="14" t="n"/>
      <c r="K3342" s="53" t="inlineStr"/>
      <c r="L3342" s="53" t="inlineStr">
        <is>
          <t>Не определено</t>
        </is>
      </c>
      <c r="M3342" s="53" t="inlineStr"/>
      <c r="N3342" s="54" t="inlineStr"/>
      <c r="O3342" s="55" t="inlineStr"/>
      <c r="P3342" s="16" t="inlineStr">
        <is>
          <t>Требует обогащения</t>
        </is>
      </c>
      <c r="Q3342" s="16">
        <f>HYPERLINK("https://pb.nalog.ru/search.html?query=5042134527","ФНС: проверить")</f>
        <v/>
      </c>
      <c r="R3342" s="16">
        <f>HYPERLINK("https://checko.ru/search?query=3801001629","Чекко: проверить")</f>
        <v/>
      </c>
      <c r="S3342" t="n">
        <v>1</v>
      </c>
      <c r="T3342" s="35" t="inlineStr">
        <is>
          <t>4 — Не обогащён</t>
        </is>
      </c>
      <c r="U3342" s="35" t="inlineStr">
        <is>
          <t>Нет ОКВЭД/ССЧР</t>
        </is>
      </c>
      <c r="V3342" s="35" t="inlineStr">
        <is>
          <t>Не определено</t>
        </is>
      </c>
      <c r="W3342" s="35" t="inlineStr"/>
      <c r="X3342" s="35" t="inlineStr"/>
    </row>
    <row r="3343" ht="15" customHeight="1" s="24">
      <c r="A3343" s="13" t="n">
        <v>5000122575</v>
      </c>
      <c r="B3343" s="13" t="inlineStr">
        <is>
          <t>МАУ ЕМР "Пассажирские автоперевозки"</t>
        </is>
      </c>
      <c r="C3343" s="13" t="n">
        <v>4105032769</v>
      </c>
      <c r="D3343" s="13" t="inlineStr">
        <is>
          <t>4105032769</t>
        </is>
      </c>
      <c r="E3343" s="13" t="inlineStr">
        <is>
          <t>ЮЛ РФ</t>
        </is>
      </c>
      <c r="F3343" s="13" t="n"/>
      <c r="G3343" s="14" t="n"/>
      <c r="H3343" s="14" t="n"/>
      <c r="I3343" s="14" t="n"/>
      <c r="J3343" s="14" t="n"/>
      <c r="K3343" s="53" t="inlineStr"/>
      <c r="L3343" s="53" t="inlineStr">
        <is>
          <t>Не определено</t>
        </is>
      </c>
      <c r="M3343" s="53" t="inlineStr"/>
      <c r="N3343" s="54" t="inlineStr"/>
      <c r="O3343" s="55" t="inlineStr"/>
      <c r="P3343" s="16" t="inlineStr">
        <is>
          <t>Требует обогащения</t>
        </is>
      </c>
      <c r="Q3343" s="16">
        <f>HYPERLINK("https://pb.nalog.ru/search.html?query=4105032769","ФНС: проверить")</f>
        <v/>
      </c>
      <c r="R3343" s="16">
        <f>HYPERLINK("https://checko.ru/search?query=3801001629","Чекко: проверить")</f>
        <v/>
      </c>
      <c r="S3343" t="n">
        <v>1</v>
      </c>
      <c r="T3343" s="35" t="inlineStr">
        <is>
          <t>4 — Не обогащён</t>
        </is>
      </c>
      <c r="U3343" s="35" t="inlineStr">
        <is>
          <t>Нет ОКВЭД/ССЧР</t>
        </is>
      </c>
      <c r="V3343" s="35" t="inlineStr">
        <is>
          <t>Не определено</t>
        </is>
      </c>
      <c r="W3343" s="35" t="inlineStr"/>
      <c r="X3343" s="35" t="inlineStr"/>
    </row>
    <row r="3344" ht="41.25" customHeight="1" s="24">
      <c r="A3344" s="13" t="n">
        <v>5000122375</v>
      </c>
      <c r="B3344" s="13" t="inlineStr">
        <is>
          <t>МУК "Сергиево-Посадская центральная районная межпоселенческая библиотека" Сергиево-Посадского муниципального района МО</t>
        </is>
      </c>
      <c r="C3344" s="13" t="n">
        <v>5042053420</v>
      </c>
      <c r="D3344" s="13" t="inlineStr">
        <is>
          <t>5042053420</t>
        </is>
      </c>
      <c r="E3344" s="13" t="inlineStr">
        <is>
          <t>ЮЛ РФ</t>
        </is>
      </c>
      <c r="F3344" s="13" t="n"/>
      <c r="G3344" s="14" t="n"/>
      <c r="H3344" s="14" t="n"/>
      <c r="I3344" s="14" t="n"/>
      <c r="J3344" s="14" t="n"/>
      <c r="K3344" s="53" t="inlineStr"/>
      <c r="L3344" s="53" t="inlineStr">
        <is>
          <t>Не определено</t>
        </is>
      </c>
      <c r="M3344" s="53" t="inlineStr"/>
      <c r="N3344" s="54" t="inlineStr"/>
      <c r="O3344" s="55" t="inlineStr"/>
      <c r="P3344" s="16" t="inlineStr">
        <is>
          <t>Требует обогащения</t>
        </is>
      </c>
      <c r="Q3344" s="16">
        <f>HYPERLINK("https://pb.nalog.ru/search.html?query=5042053420","ФНС: проверить")</f>
        <v/>
      </c>
      <c r="R3344" s="16">
        <f>HYPERLINK("https://checko.ru/search?query=3801001629","Чекко: проверить")</f>
        <v/>
      </c>
      <c r="S3344" t="n">
        <v>1</v>
      </c>
      <c r="T3344" s="35" t="inlineStr">
        <is>
          <t>4 — Не обогащён</t>
        </is>
      </c>
      <c r="U3344" s="35" t="inlineStr">
        <is>
          <t>Нет ОКВЭД/ССЧР</t>
        </is>
      </c>
      <c r="V3344" s="35" t="inlineStr">
        <is>
          <t>Не определено</t>
        </is>
      </c>
      <c r="W3344" s="35" t="inlineStr"/>
      <c r="X3344" s="35" t="inlineStr"/>
    </row>
    <row r="3345" ht="27.75" customHeight="1" s="24">
      <c r="A3345" s="13" t="n">
        <v>5000122083</v>
      </c>
      <c r="B3345" s="13" t="inlineStr">
        <is>
          <t>АДМИНИСТРАЦИЯ ЩЁЛКОВСКОГО МУНИЦИПАЛЬНОГО РАЙОНА</t>
        </is>
      </c>
      <c r="C3345" s="13" t="n">
        <v>5050002154</v>
      </c>
      <c r="D3345" s="13" t="inlineStr">
        <is>
          <t>5050002154</t>
        </is>
      </c>
      <c r="E3345" s="13" t="inlineStr">
        <is>
          <t>ЮЛ РФ</t>
        </is>
      </c>
      <c r="F3345" s="13" t="n"/>
      <c r="G3345" s="14" t="n"/>
      <c r="H3345" s="14" t="n"/>
      <c r="I3345" s="14" t="n"/>
      <c r="J3345" s="14" t="n"/>
      <c r="K3345" s="53" t="inlineStr"/>
      <c r="L3345" s="53" t="inlineStr">
        <is>
          <t>Не определено</t>
        </is>
      </c>
      <c r="M3345" s="53" t="inlineStr"/>
      <c r="N3345" s="54" t="inlineStr"/>
      <c r="O3345" s="55" t="inlineStr"/>
      <c r="P3345" s="16" t="inlineStr">
        <is>
          <t>Требует обогащения</t>
        </is>
      </c>
      <c r="Q3345" s="16">
        <f>HYPERLINK("https://pb.nalog.ru/search.html?query=5050002154","ФНС: проверить")</f>
        <v/>
      </c>
      <c r="R3345" s="16">
        <f>HYPERLINK("https://checko.ru/search?query=3801001629","Чекко: проверить")</f>
        <v/>
      </c>
      <c r="S3345" t="n">
        <v>1</v>
      </c>
      <c r="T3345" s="35" t="inlineStr">
        <is>
          <t>4 — Не обогащён</t>
        </is>
      </c>
      <c r="U3345" s="35" t="inlineStr">
        <is>
          <t>Нет ОКВЭД/ССЧР</t>
        </is>
      </c>
      <c r="V3345" s="35" t="inlineStr">
        <is>
          <t>Не определено</t>
        </is>
      </c>
      <c r="W3345" s="35" t="inlineStr"/>
      <c r="X3345" s="35" t="inlineStr"/>
    </row>
    <row r="3346" ht="41.25" customHeight="1" s="24">
      <c r="A3346" s="13" t="n">
        <v>5000100854</v>
      </c>
      <c r="B3346" s="13" t="inlineStr">
        <is>
          <t>МУНИЦИПАЛЬНОЕ БЮДЖЕТНОЕ ОБЩЕОБРАЗОВАТЕЛЬНОЕ УЧРЕЖДЕНИЕ "СРЕДНЯЯ ОБЩЕОБРАЗОВАТЕЛЬНАЯ ШКОЛА №8"</t>
        </is>
      </c>
      <c r="C3346" s="13" t="n">
        <v>5042068521</v>
      </c>
      <c r="D3346" s="13" t="inlineStr">
        <is>
          <t>5042068521</t>
        </is>
      </c>
      <c r="E3346" s="13" t="inlineStr">
        <is>
          <t>ЮЛ РФ</t>
        </is>
      </c>
      <c r="F3346" s="13" t="n"/>
      <c r="G3346" s="14" t="n"/>
      <c r="H3346" s="14" t="n"/>
      <c r="I3346" s="14" t="n"/>
      <c r="J3346" s="14" t="n"/>
      <c r="K3346" s="53" t="inlineStr"/>
      <c r="L3346" s="53" t="inlineStr">
        <is>
          <t>Не определено</t>
        </is>
      </c>
      <c r="M3346" s="53" t="inlineStr"/>
      <c r="N3346" s="54" t="inlineStr"/>
      <c r="O3346" s="55" t="inlineStr"/>
      <c r="P3346" s="16" t="inlineStr">
        <is>
          <t>Требует обогащения</t>
        </is>
      </c>
      <c r="Q3346" s="16">
        <f>HYPERLINK("https://pb.nalog.ru/search.html?query=5042068521","ФНС: проверить")</f>
        <v/>
      </c>
      <c r="R3346" s="16">
        <f>HYPERLINK("https://checko.ru/search?query=3801001629","Чекко: проверить")</f>
        <v/>
      </c>
      <c r="S3346" t="n">
        <v>1</v>
      </c>
      <c r="T3346" s="35" t="inlineStr">
        <is>
          <t>4 — Не обогащён</t>
        </is>
      </c>
      <c r="U3346" s="35" t="inlineStr">
        <is>
          <t>Нет ОКВЭД/ССЧР</t>
        </is>
      </c>
      <c r="V3346" s="35" t="inlineStr">
        <is>
          <t>Не определено</t>
        </is>
      </c>
      <c r="W3346" s="35" t="inlineStr"/>
      <c r="X3346" s="35" t="inlineStr"/>
    </row>
    <row r="3347" ht="27.75" customHeight="1" s="24">
      <c r="A3347" s="13" t="n">
        <v>5000120008</v>
      </c>
      <c r="B3347" s="13" t="inlineStr">
        <is>
          <t>Муниципальное казенное учреждение "Дирекция капитального строительства"</t>
        </is>
      </c>
      <c r="C3347" s="13" t="n">
        <v>5030082338</v>
      </c>
      <c r="D3347" s="13" t="inlineStr">
        <is>
          <t>5030082338</t>
        </is>
      </c>
      <c r="E3347" s="13" t="inlineStr">
        <is>
          <t>ЮЛ РФ</t>
        </is>
      </c>
      <c r="F3347" s="13" t="n"/>
      <c r="G3347" s="14" t="n"/>
      <c r="H3347" s="14" t="n"/>
      <c r="I3347" s="14" t="n"/>
      <c r="J3347" s="14" t="n"/>
      <c r="K3347" s="53" t="inlineStr"/>
      <c r="L3347" s="53" t="inlineStr">
        <is>
          <t>Не определено</t>
        </is>
      </c>
      <c r="M3347" s="53" t="inlineStr"/>
      <c r="N3347" s="54" t="inlineStr"/>
      <c r="O3347" s="55" t="inlineStr"/>
      <c r="P3347" s="16" t="inlineStr">
        <is>
          <t>Требует обогащения</t>
        </is>
      </c>
      <c r="Q3347" s="16">
        <f>HYPERLINK("https://pb.nalog.ru/search.html?query=5030082338","ФНС: проверить")</f>
        <v/>
      </c>
      <c r="R3347" s="16">
        <f>HYPERLINK("https://checko.ru/search?query=3801001629","Чекко: проверить")</f>
        <v/>
      </c>
      <c r="S3347" t="n">
        <v>1</v>
      </c>
      <c r="T3347" s="35" t="inlineStr">
        <is>
          <t>4 — Не обогащён</t>
        </is>
      </c>
      <c r="U3347" s="35" t="inlineStr">
        <is>
          <t>Нет ОКВЭД/ССЧР</t>
        </is>
      </c>
      <c r="V3347" s="35" t="inlineStr">
        <is>
          <t>Не определено</t>
        </is>
      </c>
      <c r="W3347" s="35" t="inlineStr"/>
      <c r="X3347" s="35" t="inlineStr"/>
    </row>
    <row r="3348" ht="41.25" customHeight="1" s="24">
      <c r="A3348" s="13" t="n">
        <v>5000122676</v>
      </c>
      <c r="B3348" s="13" t="inlineStr">
        <is>
          <t>Управление имущественных отношений администрации Вилючинского городского округа(отдел капитального строительства)</t>
        </is>
      </c>
      <c r="C3348" s="13" t="n">
        <v>4102011344</v>
      </c>
      <c r="D3348" s="13" t="inlineStr">
        <is>
          <t>4102011344</t>
        </is>
      </c>
      <c r="E3348" s="13" t="inlineStr">
        <is>
          <t>ЮЛ РФ</t>
        </is>
      </c>
      <c r="F3348" s="13" t="n"/>
      <c r="G3348" s="14" t="n"/>
      <c r="H3348" s="14" t="n"/>
      <c r="I3348" s="14" t="n"/>
      <c r="J3348" s="14" t="n"/>
      <c r="K3348" s="53" t="inlineStr"/>
      <c r="L3348" s="53" t="inlineStr">
        <is>
          <t>Не определено</t>
        </is>
      </c>
      <c r="M3348" s="53" t="inlineStr"/>
      <c r="N3348" s="54" t="inlineStr"/>
      <c r="O3348" s="55" t="inlineStr"/>
      <c r="P3348" s="16" t="inlineStr">
        <is>
          <t>Требует обогащения</t>
        </is>
      </c>
      <c r="Q3348" s="16">
        <f>HYPERLINK("https://pb.nalog.ru/search.html?query=4102011344","ФНС: проверить")</f>
        <v/>
      </c>
      <c r="R3348" s="16">
        <f>HYPERLINK("https://checko.ru/search?query=3801001629","Чекко: проверить")</f>
        <v/>
      </c>
      <c r="S3348" t="n">
        <v>1</v>
      </c>
      <c r="T3348" s="35" t="inlineStr">
        <is>
          <t>4 — Не обогащён</t>
        </is>
      </c>
      <c r="U3348" s="35" t="inlineStr">
        <is>
          <t>Нет ОКВЭД/ССЧР</t>
        </is>
      </c>
      <c r="V3348" s="35" t="inlineStr">
        <is>
          <t>Не определено</t>
        </is>
      </c>
      <c r="W3348" s="35" t="inlineStr"/>
      <c r="X3348" s="35" t="inlineStr"/>
    </row>
    <row r="3349" ht="27.75" customHeight="1" s="24">
      <c r="A3349" s="13" t="n">
        <v>5000122591</v>
      </c>
      <c r="B3349" s="13" t="inlineStr">
        <is>
          <t>Контрольно-счетная палата Елизовского городского поселения</t>
        </is>
      </c>
      <c r="C3349" s="13" t="n">
        <v>4105031571</v>
      </c>
      <c r="D3349" s="13" t="inlineStr">
        <is>
          <t>4105031571</t>
        </is>
      </c>
      <c r="E3349" s="13" t="inlineStr">
        <is>
          <t>ЮЛ РФ</t>
        </is>
      </c>
      <c r="F3349" s="13" t="n"/>
      <c r="G3349" s="14" t="n"/>
      <c r="H3349" s="14" t="n"/>
      <c r="I3349" s="14" t="n"/>
      <c r="J3349" s="14" t="n"/>
      <c r="K3349" s="53" t="inlineStr"/>
      <c r="L3349" s="53" t="inlineStr">
        <is>
          <t>Не определено</t>
        </is>
      </c>
      <c r="M3349" s="53" t="inlineStr"/>
      <c r="N3349" s="54" t="inlineStr"/>
      <c r="O3349" s="55" t="inlineStr"/>
      <c r="P3349" s="16" t="inlineStr">
        <is>
          <t>Требует обогащения</t>
        </is>
      </c>
      <c r="Q3349" s="16">
        <f>HYPERLINK("https://pb.nalog.ru/search.html?query=4105031571","ФНС: проверить")</f>
        <v/>
      </c>
      <c r="R3349" s="16">
        <f>HYPERLINK("https://checko.ru/search?query=3801001629","Чекко: проверить")</f>
        <v/>
      </c>
      <c r="S3349" t="n">
        <v>1</v>
      </c>
      <c r="T3349" s="35" t="inlineStr">
        <is>
          <t>4 — Не обогащён</t>
        </is>
      </c>
      <c r="U3349" s="35" t="inlineStr">
        <is>
          <t>Нет ОКВЭД/ССЧР</t>
        </is>
      </c>
      <c r="V3349" s="35" t="inlineStr">
        <is>
          <t>Не определено</t>
        </is>
      </c>
      <c r="W3349" s="35" t="inlineStr"/>
      <c r="X3349" s="35" t="inlineStr"/>
    </row>
    <row r="3350" ht="27.75" customHeight="1" s="24">
      <c r="A3350" s="13" t="n">
        <v>5000029826</v>
      </c>
      <c r="B3350" s="13" t="inlineStr">
        <is>
          <t>МУ "Централизованная бухгалтерия" Наро-Фоминск</t>
        </is>
      </c>
      <c r="C3350" s="13" t="n">
        <v>5030062268</v>
      </c>
      <c r="D3350" s="13" t="inlineStr">
        <is>
          <t>5030062268</t>
        </is>
      </c>
      <c r="E3350" s="13" t="inlineStr">
        <is>
          <t>ЮЛ РФ</t>
        </is>
      </c>
      <c r="F3350" s="13" t="n"/>
      <c r="G3350" s="14" t="n"/>
      <c r="H3350" s="14" t="n"/>
      <c r="I3350" s="14" t="n"/>
      <c r="J3350" s="14" t="n"/>
      <c r="K3350" s="53" t="inlineStr"/>
      <c r="L3350" s="53" t="inlineStr">
        <is>
          <t>Не определено</t>
        </is>
      </c>
      <c r="M3350" s="53" t="inlineStr"/>
      <c r="N3350" s="54" t="inlineStr"/>
      <c r="O3350" s="55" t="inlineStr"/>
      <c r="P3350" s="16" t="inlineStr">
        <is>
          <t>Требует обогащения</t>
        </is>
      </c>
      <c r="Q3350" s="16">
        <f>HYPERLINK("https://pb.nalog.ru/search.html?query=5030062268","ФНС: проверить")</f>
        <v/>
      </c>
      <c r="R3350" s="16">
        <f>HYPERLINK("https://checko.ru/search?query=3801001629","Чекко: проверить")</f>
        <v/>
      </c>
      <c r="S3350" t="n">
        <v>1</v>
      </c>
      <c r="T3350" s="35" t="inlineStr">
        <is>
          <t>4 — Не обогащён</t>
        </is>
      </c>
      <c r="U3350" s="35" t="inlineStr">
        <is>
          <t>Нет ОКВЭД/ССЧР</t>
        </is>
      </c>
      <c r="V3350" s="35" t="inlineStr">
        <is>
          <t>Не определено</t>
        </is>
      </c>
      <c r="W3350" s="35" t="inlineStr"/>
      <c r="X3350" s="35" t="inlineStr"/>
    </row>
    <row r="3351" ht="15" customHeight="1" s="24">
      <c r="A3351" s="13" t="n">
        <v>5000122350</v>
      </c>
      <c r="B3351" s="13" t="inlineStr">
        <is>
          <t>МБУ "Развитие"</t>
        </is>
      </c>
      <c r="C3351" s="13" t="n">
        <v>5042107876</v>
      </c>
      <c r="D3351" s="13" t="inlineStr">
        <is>
          <t>5042107876</t>
        </is>
      </c>
      <c r="E3351" s="13" t="inlineStr">
        <is>
          <t>ЮЛ РФ</t>
        </is>
      </c>
      <c r="F3351" s="13" t="n"/>
      <c r="G3351" s="14" t="n"/>
      <c r="H3351" s="14" t="n"/>
      <c r="I3351" s="14" t="n"/>
      <c r="J3351" s="14" t="n"/>
      <c r="K3351" s="53" t="inlineStr"/>
      <c r="L3351" s="53" t="inlineStr">
        <is>
          <t>Не определено</t>
        </is>
      </c>
      <c r="M3351" s="53" t="inlineStr"/>
      <c r="N3351" s="54" t="inlineStr"/>
      <c r="O3351" s="55" t="inlineStr"/>
      <c r="P3351" s="16" t="inlineStr">
        <is>
          <t>Требует обогащения</t>
        </is>
      </c>
      <c r="Q3351" s="16">
        <f>HYPERLINK("https://pb.nalog.ru/search.html?query=5042107876","ФНС: проверить")</f>
        <v/>
      </c>
      <c r="R3351" s="16">
        <f>HYPERLINK("https://checko.ru/search?query=3801001629","Чекко: проверить")</f>
        <v/>
      </c>
      <c r="S3351" t="n">
        <v>1</v>
      </c>
      <c r="T3351" s="35" t="inlineStr">
        <is>
          <t>4 — Не обогащён</t>
        </is>
      </c>
      <c r="U3351" s="35" t="inlineStr">
        <is>
          <t>Нет ОКВЭД/ССЧР</t>
        </is>
      </c>
      <c r="V3351" s="35" t="inlineStr">
        <is>
          <t>Не определено</t>
        </is>
      </c>
      <c r="W3351" s="35" t="inlineStr"/>
      <c r="X3351" s="35" t="inlineStr"/>
    </row>
    <row r="3352" ht="27.75" customHeight="1" s="24">
      <c r="A3352" s="13" t="n">
        <v>5000122637</v>
      </c>
      <c r="B3352" s="13" t="inlineStr">
        <is>
          <t>Муниципальное казенное учреждение культуры 
«Библиотека п. Крутогоровский»</t>
        </is>
      </c>
      <c r="C3352" s="13" t="n">
        <v>4107001967</v>
      </c>
      <c r="D3352" s="13" t="inlineStr">
        <is>
          <t>4107001967</t>
        </is>
      </c>
      <c r="E3352" s="13" t="inlineStr">
        <is>
          <t>ЮЛ РФ</t>
        </is>
      </c>
      <c r="F3352" s="13" t="n"/>
      <c r="G3352" s="14" t="n"/>
      <c r="H3352" s="14" t="n"/>
      <c r="I3352" s="14" t="n"/>
      <c r="J3352" s="14" t="n"/>
      <c r="K3352" s="53" t="inlineStr"/>
      <c r="L3352" s="53" t="inlineStr">
        <is>
          <t>Не определено</t>
        </is>
      </c>
      <c r="M3352" s="53" t="inlineStr"/>
      <c r="N3352" s="54" t="inlineStr"/>
      <c r="O3352" s="55" t="inlineStr"/>
      <c r="P3352" s="16" t="inlineStr">
        <is>
          <t>Требует обогащения</t>
        </is>
      </c>
      <c r="Q3352" s="16">
        <f>HYPERLINK("https://pb.nalog.ru/search.html?query=4107001967","ФНС: проверить")</f>
        <v/>
      </c>
      <c r="R3352" s="16">
        <f>HYPERLINK("https://checko.ru/search?query=3801001629","Чекко: проверить")</f>
        <v/>
      </c>
      <c r="S3352" t="n">
        <v>1</v>
      </c>
      <c r="T3352" s="35" t="inlineStr">
        <is>
          <t>4 — Не обогащён</t>
        </is>
      </c>
      <c r="U3352" s="35" t="inlineStr">
        <is>
          <t>Нет ОКВЭД/ССЧР</t>
        </is>
      </c>
      <c r="V3352" s="35" t="inlineStr">
        <is>
          <t>Не определено</t>
        </is>
      </c>
      <c r="W3352" s="35" t="inlineStr"/>
      <c r="X3352" s="35" t="inlineStr"/>
    </row>
    <row r="3353" ht="27.75" customHeight="1" s="24">
      <c r="A3353" s="13" t="n">
        <v>5000122394</v>
      </c>
      <c r="B3353" s="13" t="inlineStr">
        <is>
          <t>МБОУ «Средняя общеобразовательная школа №4»</t>
        </is>
      </c>
      <c r="C3353" s="13" t="n">
        <v>5042055628</v>
      </c>
      <c r="D3353" s="13" t="inlineStr">
        <is>
          <t>5042055628</t>
        </is>
      </c>
      <c r="E3353" s="13" t="inlineStr">
        <is>
          <t>ЮЛ РФ</t>
        </is>
      </c>
      <c r="F3353" s="13" t="n"/>
      <c r="G3353" s="14" t="n"/>
      <c r="H3353" s="14" t="n"/>
      <c r="I3353" s="14" t="n"/>
      <c r="J3353" s="14" t="n"/>
      <c r="K3353" s="53" t="inlineStr"/>
      <c r="L3353" s="53" t="inlineStr">
        <is>
          <t>Не определено</t>
        </is>
      </c>
      <c r="M3353" s="53" t="inlineStr"/>
      <c r="N3353" s="54" t="inlineStr"/>
      <c r="O3353" s="55" t="inlineStr"/>
      <c r="P3353" s="16" t="inlineStr">
        <is>
          <t>Требует обогащения</t>
        </is>
      </c>
      <c r="Q3353" s="16">
        <f>HYPERLINK("https://pb.nalog.ru/search.html?query=5042055628","ФНС: проверить")</f>
        <v/>
      </c>
      <c r="R3353" s="16">
        <f>HYPERLINK("https://checko.ru/search?query=3801001629","Чекко: проверить")</f>
        <v/>
      </c>
      <c r="S3353" t="n">
        <v>1</v>
      </c>
      <c r="T3353" s="35" t="inlineStr">
        <is>
          <t>4 — Не обогащён</t>
        </is>
      </c>
      <c r="U3353" s="35" t="inlineStr">
        <is>
          <t>Нет ОКВЭД/ССЧР</t>
        </is>
      </c>
      <c r="V3353" s="35" t="inlineStr">
        <is>
          <t>Не определено</t>
        </is>
      </c>
      <c r="W3353" s="35" t="inlineStr"/>
      <c r="X3353" s="35" t="inlineStr"/>
    </row>
    <row r="3354" ht="27.75" customHeight="1" s="24">
      <c r="A3354" s="13" t="n">
        <v>5000122597</v>
      </c>
      <c r="B3354" s="13" t="inlineStr">
        <is>
          <t>Администрация Раздольненского сельского поселения</t>
        </is>
      </c>
      <c r="C3354" s="13" t="n">
        <v>4105029815</v>
      </c>
      <c r="D3354" s="13" t="inlineStr">
        <is>
          <t>4105029815</t>
        </is>
      </c>
      <c r="E3354" s="13" t="inlineStr">
        <is>
          <t>ЮЛ РФ</t>
        </is>
      </c>
      <c r="F3354" s="13" t="n"/>
      <c r="G3354" s="14" t="n"/>
      <c r="H3354" s="14" t="n"/>
      <c r="I3354" s="14" t="n"/>
      <c r="J3354" s="14" t="n"/>
      <c r="K3354" s="53" t="inlineStr"/>
      <c r="L3354" s="53" t="inlineStr">
        <is>
          <t>Не определено</t>
        </is>
      </c>
      <c r="M3354" s="53" t="inlineStr"/>
      <c r="N3354" s="54" t="inlineStr"/>
      <c r="O3354" s="55" t="inlineStr"/>
      <c r="P3354" s="16" t="inlineStr">
        <is>
          <t>Требует обогащения</t>
        </is>
      </c>
      <c r="Q3354" s="16">
        <f>HYPERLINK("https://pb.nalog.ru/search.html?query=4105029815","ФНС: проверить")</f>
        <v/>
      </c>
      <c r="R3354" s="16">
        <f>HYPERLINK("https://checko.ru/search?query=3801001629","Чекко: проверить")</f>
        <v/>
      </c>
      <c r="S3354" t="n">
        <v>1</v>
      </c>
      <c r="T3354" s="35" t="inlineStr">
        <is>
          <t>4 — Не обогащён</t>
        </is>
      </c>
      <c r="U3354" s="35" t="inlineStr">
        <is>
          <t>Нет ОКВЭД/ССЧР</t>
        </is>
      </c>
      <c r="V3354" s="35" t="inlineStr">
        <is>
          <t>Не определено</t>
        </is>
      </c>
      <c r="W3354" s="35" t="inlineStr"/>
      <c r="X3354" s="35" t="inlineStr"/>
    </row>
    <row r="3355" ht="15" customHeight="1" s="24">
      <c r="A3355" s="13" t="n">
        <v>5000122571</v>
      </c>
      <c r="B3355" s="13" t="inlineStr">
        <is>
          <t>Правительство Камчатского края</t>
        </is>
      </c>
      <c r="C3355" s="13" t="n">
        <v>4101121231</v>
      </c>
      <c r="D3355" s="13" t="inlineStr">
        <is>
          <t>4101121231</t>
        </is>
      </c>
      <c r="E3355" s="13" t="inlineStr">
        <is>
          <t>ЮЛ РФ</t>
        </is>
      </c>
      <c r="F3355" s="13" t="n"/>
      <c r="G3355" s="14" t="n"/>
      <c r="H3355" s="14" t="n"/>
      <c r="I3355" s="14" t="n"/>
      <c r="J3355" s="14" t="n"/>
      <c r="K3355" s="53" t="inlineStr"/>
      <c r="L3355" s="53" t="inlineStr">
        <is>
          <t>Не определено</t>
        </is>
      </c>
      <c r="M3355" s="53" t="inlineStr"/>
      <c r="N3355" s="54" t="inlineStr"/>
      <c r="O3355" s="55" t="inlineStr"/>
      <c r="P3355" s="16" t="inlineStr">
        <is>
          <t>Требует обогащения</t>
        </is>
      </c>
      <c r="Q3355" s="16">
        <f>HYPERLINK("https://pb.nalog.ru/search.html?query=4101121231","ФНС: проверить")</f>
        <v/>
      </c>
      <c r="R3355" s="16">
        <f>HYPERLINK("https://checko.ru/search?query=3801001629","Чекко: проверить")</f>
        <v/>
      </c>
      <c r="S3355" t="n">
        <v>1</v>
      </c>
      <c r="T3355" s="35" t="inlineStr">
        <is>
          <t>4 — Не обогащён</t>
        </is>
      </c>
      <c r="U3355" s="35" t="inlineStr">
        <is>
          <t>Нет ОКВЭД/ССЧР</t>
        </is>
      </c>
      <c r="V3355" s="35" t="inlineStr">
        <is>
          <t>Не определено</t>
        </is>
      </c>
      <c r="W3355" s="35" t="inlineStr"/>
      <c r="X3355" s="35" t="inlineStr"/>
    </row>
    <row r="3356" ht="27.75" customHeight="1" s="24">
      <c r="A3356" s="13" t="n">
        <v>5000122651</v>
      </c>
      <c r="B3356" s="13" t="inlineStr">
        <is>
          <t>Финансовый отдел администрации Быстринского муниципального района</t>
        </is>
      </c>
      <c r="C3356" s="13" t="n">
        <v>4104000154</v>
      </c>
      <c r="D3356" s="13" t="inlineStr">
        <is>
          <t>4104000154</t>
        </is>
      </c>
      <c r="E3356" s="13" t="inlineStr">
        <is>
          <t>ЮЛ РФ</t>
        </is>
      </c>
      <c r="F3356" s="13" t="n"/>
      <c r="G3356" s="14" t="n"/>
      <c r="H3356" s="14" t="n"/>
      <c r="I3356" s="14" t="n"/>
      <c r="J3356" s="14" t="n"/>
      <c r="K3356" s="53" t="inlineStr"/>
      <c r="L3356" s="53" t="inlineStr">
        <is>
          <t>Не определено</t>
        </is>
      </c>
      <c r="M3356" s="53" t="inlineStr"/>
      <c r="N3356" s="54" t="inlineStr"/>
      <c r="O3356" s="55" t="inlineStr"/>
      <c r="P3356" s="16" t="inlineStr">
        <is>
          <t>Требует обогащения</t>
        </is>
      </c>
      <c r="Q3356" s="16">
        <f>HYPERLINK("https://pb.nalog.ru/search.html?query=4104000154","ФНС: проверить")</f>
        <v/>
      </c>
      <c r="R3356" s="16">
        <f>HYPERLINK("https://checko.ru/search?query=3801001629","Чекко: проверить")</f>
        <v/>
      </c>
      <c r="S3356" t="n">
        <v>1</v>
      </c>
      <c r="T3356" s="35" t="inlineStr">
        <is>
          <t>4 — Не обогащён</t>
        </is>
      </c>
      <c r="U3356" s="35" t="inlineStr">
        <is>
          <t>Нет ОКВЭД/ССЧР</t>
        </is>
      </c>
      <c r="V3356" s="35" t="inlineStr">
        <is>
          <t>Не определено</t>
        </is>
      </c>
      <c r="W3356" s="35" t="inlineStr"/>
      <c r="X3356" s="35" t="inlineStr"/>
    </row>
    <row r="3357" ht="15" customHeight="1" s="24">
      <c r="A3357" s="13" t="n">
        <v>5000117354</v>
      </c>
      <c r="B3357" s="13" t="inlineStr">
        <is>
          <t>МАОУ Апрелевская СОШ № 1</t>
        </is>
      </c>
      <c r="C3357" s="13" t="n">
        <v>5030032344</v>
      </c>
      <c r="D3357" s="13" t="inlineStr">
        <is>
          <t>5030032344</t>
        </is>
      </c>
      <c r="E3357" s="13" t="inlineStr">
        <is>
          <t>ЮЛ РФ</t>
        </is>
      </c>
      <c r="F3357" s="13" t="n"/>
      <c r="G3357" s="14" t="n"/>
      <c r="H3357" s="14" t="n"/>
      <c r="I3357" s="14" t="n"/>
      <c r="J3357" s="14" t="n"/>
      <c r="K3357" s="53" t="inlineStr"/>
      <c r="L3357" s="53" t="inlineStr">
        <is>
          <t>Не определено</t>
        </is>
      </c>
      <c r="M3357" s="53" t="inlineStr"/>
      <c r="N3357" s="54" t="inlineStr"/>
      <c r="O3357" s="55" t="inlineStr"/>
      <c r="P3357" s="16" t="inlineStr">
        <is>
          <t>Требует обогащения</t>
        </is>
      </c>
      <c r="Q3357" s="16">
        <f>HYPERLINK("https://pb.nalog.ru/search.html?query=5030032344","ФНС: проверить")</f>
        <v/>
      </c>
      <c r="R3357" s="16">
        <f>HYPERLINK("https://checko.ru/search?query=3801001629","Чекко: проверить")</f>
        <v/>
      </c>
      <c r="S3357" t="n">
        <v>1</v>
      </c>
      <c r="T3357" s="35" t="inlineStr">
        <is>
          <t>4 — Не обогащён</t>
        </is>
      </c>
      <c r="U3357" s="35" t="inlineStr">
        <is>
          <t>Нет ОКВЭД/ССЧР</t>
        </is>
      </c>
      <c r="V3357" s="35" t="inlineStr">
        <is>
          <t>Не определено</t>
        </is>
      </c>
      <c r="W3357" s="35" t="inlineStr"/>
      <c r="X3357" s="35" t="inlineStr"/>
    </row>
    <row r="3358" ht="27.75" customHeight="1" s="24">
      <c r="A3358" s="13" t="n">
        <v>5000122650</v>
      </c>
      <c r="B3358" s="13" t="inlineStr">
        <is>
          <t>Отдел образования и социальной защиты населения Администрации Быстринского МР</t>
        </is>
      </c>
      <c r="C3358" s="13" t="n">
        <v>4104003444</v>
      </c>
      <c r="D3358" s="13" t="inlineStr">
        <is>
          <t>4104003444</t>
        </is>
      </c>
      <c r="E3358" s="13" t="inlineStr">
        <is>
          <t>ЮЛ РФ</t>
        </is>
      </c>
      <c r="F3358" s="13" t="n"/>
      <c r="G3358" s="14" t="n"/>
      <c r="H3358" s="14" t="n"/>
      <c r="I3358" s="14" t="n"/>
      <c r="J3358" s="14" t="n"/>
      <c r="K3358" s="53" t="inlineStr"/>
      <c r="L3358" s="53" t="inlineStr">
        <is>
          <t>Не определено</t>
        </is>
      </c>
      <c r="M3358" s="53" t="inlineStr"/>
      <c r="N3358" s="54" t="inlineStr"/>
      <c r="O3358" s="55" t="inlineStr"/>
      <c r="P3358" s="16" t="inlineStr">
        <is>
          <t>Требует обогащения</t>
        </is>
      </c>
      <c r="Q3358" s="16">
        <f>HYPERLINK("https://pb.nalog.ru/search.html?query=4104003444","ФНС: проверить")</f>
        <v/>
      </c>
      <c r="R3358" s="16">
        <f>HYPERLINK("https://checko.ru/search?query=3801001629","Чекко: проверить")</f>
        <v/>
      </c>
      <c r="S3358" t="n">
        <v>1</v>
      </c>
      <c r="T3358" s="35" t="inlineStr">
        <is>
          <t>4 — Не обогащён</t>
        </is>
      </c>
      <c r="U3358" s="35" t="inlineStr">
        <is>
          <t>Нет ОКВЭД/ССЧР</t>
        </is>
      </c>
      <c r="V3358" s="35" t="inlineStr">
        <is>
          <t>Не определено</t>
        </is>
      </c>
      <c r="W3358" s="35" t="inlineStr"/>
      <c r="X3358" s="35" t="inlineStr"/>
    </row>
    <row r="3359" ht="27.75" customHeight="1" s="24">
      <c r="A3359" s="13" t="n">
        <v>5000122622</v>
      </c>
      <c r="B3359" s="13" t="inlineStr">
        <is>
          <t>Финансовое управление администрации Усть-Большерецкого МР</t>
        </is>
      </c>
      <c r="C3359" s="13" t="n">
        <v>4108000902</v>
      </c>
      <c r="D3359" s="13" t="inlineStr">
        <is>
          <t>4108000902</t>
        </is>
      </c>
      <c r="E3359" s="13" t="inlineStr">
        <is>
          <t>ЮЛ РФ</t>
        </is>
      </c>
      <c r="F3359" s="13" t="n"/>
      <c r="G3359" s="14" t="n"/>
      <c r="H3359" s="14" t="n"/>
      <c r="I3359" s="14" t="n"/>
      <c r="J3359" s="14" t="n"/>
      <c r="K3359" s="53" t="inlineStr"/>
      <c r="L3359" s="53" t="inlineStr">
        <is>
          <t>Не определено</t>
        </is>
      </c>
      <c r="M3359" s="53" t="inlineStr"/>
      <c r="N3359" s="54" t="inlineStr"/>
      <c r="O3359" s="55" t="inlineStr"/>
      <c r="P3359" s="16" t="inlineStr">
        <is>
          <t>Требует обогащения</t>
        </is>
      </c>
      <c r="Q3359" s="16">
        <f>HYPERLINK("https://pb.nalog.ru/search.html?query=4108000902","ФНС: проверить")</f>
        <v/>
      </c>
      <c r="R3359" s="16">
        <f>HYPERLINK("https://checko.ru/search?query=3801001629","Чекко: проверить")</f>
        <v/>
      </c>
      <c r="S3359" t="n">
        <v>1</v>
      </c>
      <c r="T3359" s="35" t="inlineStr">
        <is>
          <t>4 — Не обогащён</t>
        </is>
      </c>
      <c r="U3359" s="35" t="inlineStr">
        <is>
          <t>Нет ОКВЭД/ССЧР</t>
        </is>
      </c>
      <c r="V3359" s="35" t="inlineStr">
        <is>
          <t>Не определено</t>
        </is>
      </c>
      <c r="W3359" s="35" t="inlineStr"/>
      <c r="X3359" s="35" t="inlineStr"/>
    </row>
    <row r="3360" ht="15" customHeight="1" s="24">
      <c r="A3360" s="13" t="n">
        <v>5000122551</v>
      </c>
      <c r="B3360" s="13" t="inlineStr">
        <is>
          <t>КГАУ "Охрана камчатских лесов"</t>
        </is>
      </c>
      <c r="C3360" s="13" t="n">
        <v>4101143965</v>
      </c>
      <c r="D3360" s="13" t="inlineStr">
        <is>
          <t>4101143965</t>
        </is>
      </c>
      <c r="E3360" s="13" t="inlineStr">
        <is>
          <t>ЮЛ РФ</t>
        </is>
      </c>
      <c r="F3360" s="13" t="n"/>
      <c r="G3360" s="14" t="n"/>
      <c r="H3360" s="14" t="n"/>
      <c r="I3360" s="14" t="n"/>
      <c r="J3360" s="14" t="n"/>
      <c r="K3360" s="53" t="inlineStr"/>
      <c r="L3360" s="53" t="inlineStr">
        <is>
          <t>Не определено</t>
        </is>
      </c>
      <c r="M3360" s="53" t="inlineStr"/>
      <c r="N3360" s="54" t="inlineStr"/>
      <c r="O3360" s="55" t="inlineStr"/>
      <c r="P3360" s="16" t="inlineStr">
        <is>
          <t>Требует обогащения</t>
        </is>
      </c>
      <c r="Q3360" s="16">
        <f>HYPERLINK("https://pb.nalog.ru/search.html?query=4101143965","ФНС: проверить")</f>
        <v/>
      </c>
      <c r="R3360" s="16">
        <f>HYPERLINK("https://checko.ru/search?query=3801001629","Чекко: проверить")</f>
        <v/>
      </c>
      <c r="S3360" t="n">
        <v>1</v>
      </c>
      <c r="T3360" s="35" t="inlineStr">
        <is>
          <t>4 — Не обогащён</t>
        </is>
      </c>
      <c r="U3360" s="35" t="inlineStr">
        <is>
          <t>Нет ОКВЭД/ССЧР</t>
        </is>
      </c>
      <c r="V3360" s="35" t="inlineStr">
        <is>
          <t>Не определено</t>
        </is>
      </c>
      <c r="W3360" s="35" t="inlineStr"/>
      <c r="X3360" s="35" t="inlineStr"/>
    </row>
    <row r="3361" ht="15" customHeight="1" s="24">
      <c r="A3361" s="13" t="n">
        <v>5000120034</v>
      </c>
      <c r="B3361" s="13" t="inlineStr">
        <is>
          <t>МУ "ДКиС" г.п. Апрелевка</t>
        </is>
      </c>
      <c r="C3361" s="13" t="n">
        <v>5030033789</v>
      </c>
      <c r="D3361" s="13" t="inlineStr">
        <is>
          <t>5030033789</t>
        </is>
      </c>
      <c r="E3361" s="13" t="inlineStr">
        <is>
          <t>ЮЛ РФ</t>
        </is>
      </c>
      <c r="F3361" s="13" t="n"/>
      <c r="G3361" s="14" t="n"/>
      <c r="H3361" s="14" t="n"/>
      <c r="I3361" s="14" t="n"/>
      <c r="J3361" s="14" t="n"/>
      <c r="K3361" s="53" t="inlineStr"/>
      <c r="L3361" s="53" t="inlineStr">
        <is>
          <t>Не определено</t>
        </is>
      </c>
      <c r="M3361" s="53" t="inlineStr"/>
      <c r="N3361" s="54" t="inlineStr"/>
      <c r="O3361" s="55" t="inlineStr"/>
      <c r="P3361" s="16" t="inlineStr">
        <is>
          <t>Требует обогащения</t>
        </is>
      </c>
      <c r="Q3361" s="16">
        <f>HYPERLINK("https://pb.nalog.ru/search.html?query=5030033789","ФНС: проверить")</f>
        <v/>
      </c>
      <c r="R3361" s="16">
        <f>HYPERLINK("https://checko.ru/search?query=3801001629","Чекко: проверить")</f>
        <v/>
      </c>
      <c r="S3361" t="n">
        <v>1</v>
      </c>
      <c r="T3361" s="35" t="inlineStr">
        <is>
          <t>4 — Не обогащён</t>
        </is>
      </c>
      <c r="U3361" s="35" t="inlineStr">
        <is>
          <t>Нет ОКВЭД/ССЧР</t>
        </is>
      </c>
      <c r="V3361" s="35" t="inlineStr">
        <is>
          <t>Не определено</t>
        </is>
      </c>
      <c r="W3361" s="35" t="inlineStr"/>
      <c r="X3361" s="35" t="inlineStr"/>
    </row>
    <row r="3362" ht="41.25" customHeight="1" s="24">
      <c r="A3362" s="13" t="n">
        <v>5000122671</v>
      </c>
      <c r="B3362" s="13" t="inlineStr">
        <is>
          <t>Администрация сельского поселения "село Слаутное" Пенжинского муниципального района Камчатского края</t>
        </is>
      </c>
      <c r="C3362" s="13" t="n">
        <v>8204007457</v>
      </c>
      <c r="D3362" s="13" t="inlineStr">
        <is>
          <t>8204007457</t>
        </is>
      </c>
      <c r="E3362" s="13" t="inlineStr">
        <is>
          <t>ЮЛ РФ</t>
        </is>
      </c>
      <c r="F3362" s="13" t="n"/>
      <c r="G3362" s="14" t="n"/>
      <c r="H3362" s="14" t="n"/>
      <c r="I3362" s="14" t="n"/>
      <c r="J3362" s="14" t="n"/>
      <c r="K3362" s="53" t="inlineStr"/>
      <c r="L3362" s="53" t="inlineStr">
        <is>
          <t>Не определено</t>
        </is>
      </c>
      <c r="M3362" s="53" t="inlineStr"/>
      <c r="N3362" s="54" t="inlineStr"/>
      <c r="O3362" s="55" t="inlineStr"/>
      <c r="P3362" s="16" t="inlineStr">
        <is>
          <t>Требует обогащения</t>
        </is>
      </c>
      <c r="Q3362" s="16">
        <f>HYPERLINK("https://pb.nalog.ru/search.html?query=8204007457","ФНС: проверить")</f>
        <v/>
      </c>
      <c r="R3362" s="16">
        <f>HYPERLINK("https://checko.ru/search?query=3801001629","Чекко: проверить")</f>
        <v/>
      </c>
      <c r="S3362" t="n">
        <v>1</v>
      </c>
      <c r="T3362" s="35" t="inlineStr">
        <is>
          <t>4 — Не обогащён</t>
        </is>
      </c>
      <c r="U3362" s="35" t="inlineStr">
        <is>
          <t>Нет ОКВЭД/ССЧР</t>
        </is>
      </c>
      <c r="V3362" s="35" t="inlineStr">
        <is>
          <t>Не определено</t>
        </is>
      </c>
      <c r="W3362" s="35" t="inlineStr"/>
      <c r="X3362" s="35" t="inlineStr"/>
    </row>
    <row r="3363" ht="27.75" customHeight="1" s="24">
      <c r="A3363" s="13" t="n">
        <v>5000122634</v>
      </c>
      <c r="B3363" s="13" t="inlineStr">
        <is>
          <t>Комитет по бюджету и финансам администрации Соболевского муниципального района</t>
        </is>
      </c>
      <c r="C3363" s="13" t="n">
        <v>4107000025</v>
      </c>
      <c r="D3363" s="13" t="inlineStr">
        <is>
          <t>4107000025</t>
        </is>
      </c>
      <c r="E3363" s="13" t="inlineStr">
        <is>
          <t>ЮЛ РФ</t>
        </is>
      </c>
      <c r="F3363" s="13" t="n"/>
      <c r="G3363" s="14" t="n"/>
      <c r="H3363" s="14" t="n"/>
      <c r="I3363" s="14" t="n"/>
      <c r="J3363" s="14" t="n"/>
      <c r="K3363" s="53" t="inlineStr"/>
      <c r="L3363" s="53" t="inlineStr">
        <is>
          <t>Не определено</t>
        </is>
      </c>
      <c r="M3363" s="53" t="inlineStr"/>
      <c r="N3363" s="54" t="inlineStr"/>
      <c r="O3363" s="55" t="inlineStr"/>
      <c r="P3363" s="16" t="inlineStr">
        <is>
          <t>Требует обогащения</t>
        </is>
      </c>
      <c r="Q3363" s="16">
        <f>HYPERLINK("https://pb.nalog.ru/search.html?query=4107000025","ФНС: проверить")</f>
        <v/>
      </c>
      <c r="R3363" s="16">
        <f>HYPERLINK("https://checko.ru/search?query=3801001629","Чекко: проверить")</f>
        <v/>
      </c>
      <c r="S3363" t="n">
        <v>1</v>
      </c>
      <c r="T3363" s="35" t="inlineStr">
        <is>
          <t>4 — Не обогащён</t>
        </is>
      </c>
      <c r="U3363" s="35" t="inlineStr">
        <is>
          <t>Нет ОКВЭД/ССЧР</t>
        </is>
      </c>
      <c r="V3363" s="35" t="inlineStr">
        <is>
          <t>Не определено</t>
        </is>
      </c>
      <c r="W3363" s="35" t="inlineStr"/>
      <c r="X3363" s="35" t="inlineStr"/>
    </row>
    <row r="3364" ht="27.75" customHeight="1" s="24">
      <c r="A3364" s="13" t="n">
        <v>5000122595</v>
      </c>
      <c r="B3364" s="13" t="inlineStr">
        <is>
          <t>Администрация Новолесновского сельского поселения Елизовского муниципального района</t>
        </is>
      </c>
      <c r="C3364" s="13" t="n">
        <v>4105030017</v>
      </c>
      <c r="D3364" s="13" t="inlineStr">
        <is>
          <t>4105030017</t>
        </is>
      </c>
      <c r="E3364" s="13" t="inlineStr">
        <is>
          <t>ЮЛ РФ</t>
        </is>
      </c>
      <c r="F3364" s="13" t="n"/>
      <c r="G3364" s="14" t="n"/>
      <c r="H3364" s="14" t="n"/>
      <c r="I3364" s="14" t="n"/>
      <c r="J3364" s="14" t="n"/>
      <c r="K3364" s="53" t="inlineStr"/>
      <c r="L3364" s="53" t="inlineStr">
        <is>
          <t>Не определено</t>
        </is>
      </c>
      <c r="M3364" s="53" t="inlineStr"/>
      <c r="N3364" s="54" t="inlineStr"/>
      <c r="O3364" s="55" t="inlineStr"/>
      <c r="P3364" s="16" t="inlineStr">
        <is>
          <t>Требует обогащения</t>
        </is>
      </c>
      <c r="Q3364" s="16">
        <f>HYPERLINK("https://pb.nalog.ru/search.html?query=4105030017","ФНС: проверить")</f>
        <v/>
      </c>
      <c r="R3364" s="16">
        <f>HYPERLINK("https://checko.ru/search?query=3801001629","Чекко: проверить")</f>
        <v/>
      </c>
      <c r="S3364" t="n">
        <v>1</v>
      </c>
      <c r="T3364" s="35" t="inlineStr">
        <is>
          <t>4 — Не обогащён</t>
        </is>
      </c>
      <c r="U3364" s="35" t="inlineStr">
        <is>
          <t>Нет ОКВЭД/ССЧР</t>
        </is>
      </c>
      <c r="V3364" s="35" t="inlineStr">
        <is>
          <t>Не определено</t>
        </is>
      </c>
      <c r="W3364" s="35" t="inlineStr"/>
      <c r="X3364" s="35" t="inlineStr"/>
    </row>
    <row r="3365" ht="27.75" customHeight="1" s="24">
      <c r="A3365" s="13" t="n">
        <v>5000122646</v>
      </c>
      <c r="B3365" s="13" t="inlineStr">
        <is>
          <t>МАУ "Редакция газеты "Новая жизнь" Быстринского муниципального района"</t>
        </is>
      </c>
      <c r="C3365" s="13" t="n">
        <v>4104000267</v>
      </c>
      <c r="D3365" s="13" t="inlineStr">
        <is>
          <t>4104000267</t>
        </is>
      </c>
      <c r="E3365" s="13" t="inlineStr">
        <is>
          <t>ЮЛ РФ</t>
        </is>
      </c>
      <c r="F3365" s="13" t="n"/>
      <c r="G3365" s="14" t="n"/>
      <c r="H3365" s="14" t="n"/>
      <c r="I3365" s="14" t="n"/>
      <c r="J3365" s="14" t="n"/>
      <c r="K3365" s="53" t="inlineStr"/>
      <c r="L3365" s="53" t="inlineStr">
        <is>
          <t>Не определено</t>
        </is>
      </c>
      <c r="M3365" s="53" t="inlineStr"/>
      <c r="N3365" s="54" t="inlineStr"/>
      <c r="O3365" s="55" t="inlineStr"/>
      <c r="P3365" s="16" t="inlineStr">
        <is>
          <t>Требует обогащения</t>
        </is>
      </c>
      <c r="Q3365" s="16">
        <f>HYPERLINK("https://pb.nalog.ru/search.html?query=4104000267","ФНС: проверить")</f>
        <v/>
      </c>
      <c r="R3365" s="16">
        <f>HYPERLINK("https://checko.ru/search?query=3801001629","Чекко: проверить")</f>
        <v/>
      </c>
      <c r="S3365" t="n">
        <v>1</v>
      </c>
      <c r="T3365" s="35" t="inlineStr">
        <is>
          <t>4 — Не обогащён</t>
        </is>
      </c>
      <c r="U3365" s="35" t="inlineStr">
        <is>
          <t>Нет ОКВЭД/ССЧР</t>
        </is>
      </c>
      <c r="V3365" s="35" t="inlineStr">
        <is>
          <t>Не определено</t>
        </is>
      </c>
      <c r="W3365" s="35" t="inlineStr"/>
      <c r="X3365" s="35" t="inlineStr"/>
    </row>
    <row r="3366" ht="15" customHeight="1" s="24">
      <c r="A3366" s="13" t="n">
        <v>5000122613</v>
      </c>
      <c r="B3366" s="13" t="inlineStr">
        <is>
          <t>МКУ "Надежда"</t>
        </is>
      </c>
      <c r="C3366" s="13" t="n">
        <v>4108008242</v>
      </c>
      <c r="D3366" s="13" t="inlineStr">
        <is>
          <t>4108008242</t>
        </is>
      </c>
      <c r="E3366" s="13" t="inlineStr">
        <is>
          <t>ЮЛ РФ</t>
        </is>
      </c>
      <c r="F3366" s="13" t="n"/>
      <c r="G3366" s="14" t="n"/>
      <c r="H3366" s="14" t="n"/>
      <c r="I3366" s="14" t="n"/>
      <c r="J3366" s="14" t="n"/>
      <c r="K3366" s="53" t="inlineStr"/>
      <c r="L3366" s="53" t="inlineStr">
        <is>
          <t>Не определено</t>
        </is>
      </c>
      <c r="M3366" s="53" t="inlineStr"/>
      <c r="N3366" s="54" t="inlineStr"/>
      <c r="O3366" s="55" t="inlineStr"/>
      <c r="P3366" s="16" t="inlineStr">
        <is>
          <t>Требует обогащения</t>
        </is>
      </c>
      <c r="Q3366" s="16">
        <f>HYPERLINK("https://pb.nalog.ru/search.html?query=4108008242","ФНС: проверить")</f>
        <v/>
      </c>
      <c r="R3366" s="16">
        <f>HYPERLINK("https://checko.ru/search?query=3801001629","Чекко: проверить")</f>
        <v/>
      </c>
      <c r="S3366" t="n">
        <v>1</v>
      </c>
      <c r="T3366" s="35" t="inlineStr">
        <is>
          <t>4 — Не обогащён</t>
        </is>
      </c>
      <c r="U3366" s="35" t="inlineStr">
        <is>
          <t>Нет ОКВЭД/ССЧР</t>
        </is>
      </c>
      <c r="V3366" s="35" t="inlineStr">
        <is>
          <t>Не определено</t>
        </is>
      </c>
      <c r="W3366" s="35" t="inlineStr"/>
      <c r="X3366" s="35" t="inlineStr"/>
    </row>
    <row r="3367" ht="27.75" customHeight="1" s="24">
      <c r="A3367" s="13" t="n">
        <v>5000029831</v>
      </c>
      <c r="B3367" s="13" t="inlineStr">
        <is>
          <t>МБОУ Татищевская средняя общеобразовательная школа</t>
        </is>
      </c>
      <c r="C3367" s="13" t="n">
        <v>5030032231</v>
      </c>
      <c r="D3367" s="13" t="inlineStr">
        <is>
          <t>5030032231</t>
        </is>
      </c>
      <c r="E3367" s="13" t="inlineStr">
        <is>
          <t>ЮЛ РФ</t>
        </is>
      </c>
      <c r="F3367" s="13" t="n"/>
      <c r="G3367" s="14" t="n"/>
      <c r="H3367" s="14" t="n"/>
      <c r="I3367" s="14" t="n"/>
      <c r="J3367" s="14" t="n"/>
      <c r="K3367" s="53" t="inlineStr"/>
      <c r="L3367" s="53" t="inlineStr">
        <is>
          <t>Не определено</t>
        </is>
      </c>
      <c r="M3367" s="53" t="inlineStr"/>
      <c r="N3367" s="54" t="inlineStr"/>
      <c r="O3367" s="55" t="inlineStr"/>
      <c r="P3367" s="16" t="inlineStr">
        <is>
          <t>Требует обогащения</t>
        </is>
      </c>
      <c r="Q3367" s="16">
        <f>HYPERLINK("https://pb.nalog.ru/search.html?query=5030032231","ФНС: проверить")</f>
        <v/>
      </c>
      <c r="R3367" s="16">
        <f>HYPERLINK("https://checko.ru/search?query=3801001629","Чекко: проверить")</f>
        <v/>
      </c>
      <c r="S3367" t="n">
        <v>1</v>
      </c>
      <c r="T3367" s="35" t="inlineStr">
        <is>
          <t>4 — Не обогащён</t>
        </is>
      </c>
      <c r="U3367" s="35" t="inlineStr">
        <is>
          <t>Нет ОКВЭД/ССЧР</t>
        </is>
      </c>
      <c r="V3367" s="35" t="inlineStr">
        <is>
          <t>Не определено</t>
        </is>
      </c>
      <c r="W3367" s="35" t="inlineStr"/>
      <c r="X3367" s="35" t="inlineStr"/>
    </row>
    <row r="3368" ht="15" customHeight="1" s="24">
      <c r="A3368" s="13" t="n">
        <v>5000029855</v>
      </c>
      <c r="B3368" s="13" t="inlineStr">
        <is>
          <t>МБОУ Наро-Фоминская СОШ №7</t>
        </is>
      </c>
      <c r="C3368" s="13" t="n">
        <v>5030031929</v>
      </c>
      <c r="D3368" s="13" t="inlineStr">
        <is>
          <t>5030031929</t>
        </is>
      </c>
      <c r="E3368" s="13" t="inlineStr">
        <is>
          <t>ЮЛ РФ</t>
        </is>
      </c>
      <c r="F3368" s="13" t="n"/>
      <c r="G3368" s="14" t="n"/>
      <c r="H3368" s="14" t="n"/>
      <c r="I3368" s="14" t="n"/>
      <c r="J3368" s="14" t="n"/>
      <c r="K3368" s="53" t="inlineStr"/>
      <c r="L3368" s="53" t="inlineStr">
        <is>
          <t>Не определено</t>
        </is>
      </c>
      <c r="M3368" s="53" t="inlineStr"/>
      <c r="N3368" s="54" t="inlineStr"/>
      <c r="O3368" s="55" t="inlineStr"/>
      <c r="P3368" s="16" t="inlineStr">
        <is>
          <t>Требует обогащения</t>
        </is>
      </c>
      <c r="Q3368" s="16">
        <f>HYPERLINK("https://pb.nalog.ru/search.html?query=5030031929","ФНС: проверить")</f>
        <v/>
      </c>
      <c r="R3368" s="16">
        <f>HYPERLINK("https://checko.ru/search?query=3801001629","Чекко: проверить")</f>
        <v/>
      </c>
      <c r="S3368" t="n">
        <v>1</v>
      </c>
      <c r="T3368" s="35" t="inlineStr">
        <is>
          <t>4 — Не обогащён</t>
        </is>
      </c>
      <c r="U3368" s="35" t="inlineStr">
        <is>
          <t>Нет ОКВЭД/ССЧР</t>
        </is>
      </c>
      <c r="V3368" s="35" t="inlineStr">
        <is>
          <t>Не определено</t>
        </is>
      </c>
      <c r="W3368" s="35" t="inlineStr"/>
      <c r="X3368" s="35" t="inlineStr"/>
    </row>
    <row r="3369" ht="41.25" customHeight="1" s="24">
      <c r="A3369" s="13" t="n">
        <v>5000122615</v>
      </c>
      <c r="B3369" s="13" t="inlineStr">
        <is>
          <t>МКУ "Служба материально-технического и организационного обеспечения деятельности Усть-Большерецкого муниципального района"</t>
        </is>
      </c>
      <c r="C3369" s="13" t="n">
        <v>4108008130</v>
      </c>
      <c r="D3369" s="13" t="inlineStr">
        <is>
          <t>4108008130</t>
        </is>
      </c>
      <c r="E3369" s="13" t="inlineStr">
        <is>
          <t>ЮЛ РФ</t>
        </is>
      </c>
      <c r="F3369" s="13" t="n"/>
      <c r="G3369" s="14" t="n"/>
      <c r="H3369" s="14" t="n"/>
      <c r="I3369" s="14" t="n"/>
      <c r="J3369" s="14" t="n"/>
      <c r="K3369" s="53" t="inlineStr"/>
      <c r="L3369" s="53" t="inlineStr">
        <is>
          <t>Не определено</t>
        </is>
      </c>
      <c r="M3369" s="53" t="inlineStr"/>
      <c r="N3369" s="54" t="inlineStr"/>
      <c r="O3369" s="55" t="inlineStr"/>
      <c r="P3369" s="16" t="inlineStr">
        <is>
          <t>Требует обогащения</t>
        </is>
      </c>
      <c r="Q3369" s="16">
        <f>HYPERLINK("https://pb.nalog.ru/search.html?query=4108008130","ФНС: проверить")</f>
        <v/>
      </c>
      <c r="R3369" s="16">
        <f>HYPERLINK("https://checko.ru/search?query=3801001629","Чекко: проверить")</f>
        <v/>
      </c>
      <c r="S3369" t="n">
        <v>1</v>
      </c>
      <c r="T3369" s="35" t="inlineStr">
        <is>
          <t>4 — Не обогащён</t>
        </is>
      </c>
      <c r="U3369" s="35" t="inlineStr">
        <is>
          <t>Нет ОКВЭД/ССЧР</t>
        </is>
      </c>
      <c r="V3369" s="35" t="inlineStr">
        <is>
          <t>Не определено</t>
        </is>
      </c>
      <c r="W3369" s="35" t="inlineStr"/>
      <c r="X3369" s="35" t="inlineStr"/>
    </row>
    <row r="3370" ht="27.75" customHeight="1" s="24">
      <c r="A3370" s="13" t="n">
        <v>5000107466</v>
      </c>
      <c r="B3370" s="13" t="inlineStr">
        <is>
          <t>МОУ "Бужаниновская средняя общеобразовательная школа"</t>
        </is>
      </c>
      <c r="C3370" s="13" t="n">
        <v>5042068754</v>
      </c>
      <c r="D3370" s="13" t="inlineStr">
        <is>
          <t>5042068754</t>
        </is>
      </c>
      <c r="E3370" s="13" t="inlineStr">
        <is>
          <t>ЮЛ РФ</t>
        </is>
      </c>
      <c r="F3370" s="13" t="n"/>
      <c r="G3370" s="14" t="n"/>
      <c r="H3370" s="14" t="n"/>
      <c r="I3370" s="14" t="n"/>
      <c r="J3370" s="14" t="n"/>
      <c r="K3370" s="53" t="inlineStr"/>
      <c r="L3370" s="53" t="inlineStr">
        <is>
          <t>Не определено</t>
        </is>
      </c>
      <c r="M3370" s="53" t="inlineStr"/>
      <c r="N3370" s="54" t="inlineStr"/>
      <c r="O3370" s="55" t="inlineStr"/>
      <c r="P3370" s="16" t="inlineStr">
        <is>
          <t>Требует обогащения</t>
        </is>
      </c>
      <c r="Q3370" s="16">
        <f>HYPERLINK("https://pb.nalog.ru/search.html?query=5042068754","ФНС: проверить")</f>
        <v/>
      </c>
      <c r="R3370" s="16">
        <f>HYPERLINK("https://checko.ru/search?query=3801001629","Чекко: проверить")</f>
        <v/>
      </c>
      <c r="S3370" t="n">
        <v>1</v>
      </c>
      <c r="T3370" s="35" t="inlineStr">
        <is>
          <t>4 — Не обогащён</t>
        </is>
      </c>
      <c r="U3370" s="35" t="inlineStr">
        <is>
          <t>Нет ОКВЭД/ССЧР</t>
        </is>
      </c>
      <c r="V3370" s="35" t="inlineStr">
        <is>
          <t>Не определено</t>
        </is>
      </c>
      <c r="W3370" s="35" t="inlineStr"/>
      <c r="X3370" s="35" t="inlineStr"/>
    </row>
    <row r="3371" ht="15" customHeight="1" s="24">
      <c r="A3371" s="13" t="n">
        <v>5000122534</v>
      </c>
      <c r="B3371" s="13" t="inlineStr">
        <is>
          <t>Контрольно-счетная палата Камчатского края</t>
        </is>
      </c>
      <c r="C3371" s="13" t="n">
        <v>4101124539</v>
      </c>
      <c r="D3371" s="13" t="inlineStr">
        <is>
          <t>4101124539</t>
        </is>
      </c>
      <c r="E3371" s="13" t="inlineStr">
        <is>
          <t>ЮЛ РФ</t>
        </is>
      </c>
      <c r="F3371" s="13" t="n"/>
      <c r="G3371" s="14" t="n"/>
      <c r="H3371" s="14" t="n"/>
      <c r="I3371" s="14" t="n"/>
      <c r="J3371" s="14" t="n"/>
      <c r="K3371" s="53" t="inlineStr"/>
      <c r="L3371" s="53" t="inlineStr">
        <is>
          <t>Не определено</t>
        </is>
      </c>
      <c r="M3371" s="53" t="inlineStr"/>
      <c r="N3371" s="54" t="inlineStr"/>
      <c r="O3371" s="55" t="inlineStr"/>
      <c r="P3371" s="16" t="inlineStr">
        <is>
          <t>Требует обогащения</t>
        </is>
      </c>
      <c r="Q3371" s="16">
        <f>HYPERLINK("https://pb.nalog.ru/search.html?query=4101124539","ФНС: проверить")</f>
        <v/>
      </c>
      <c r="R3371" s="16">
        <f>HYPERLINK("https://checko.ru/search?query=3801001629","Чекко: проверить")</f>
        <v/>
      </c>
      <c r="S3371" t="n">
        <v>1</v>
      </c>
      <c r="T3371" s="35" t="inlineStr">
        <is>
          <t>4 — Не обогащён</t>
        </is>
      </c>
      <c r="U3371" s="35" t="inlineStr">
        <is>
          <t>Нет ОКВЭД/ССЧР</t>
        </is>
      </c>
      <c r="V3371" s="35" t="inlineStr">
        <is>
          <t>Не определено</t>
        </is>
      </c>
      <c r="W3371" s="35" t="inlineStr"/>
      <c r="X3371" s="35" t="inlineStr"/>
    </row>
    <row r="3372" ht="27.75" customHeight="1" s="24">
      <c r="A3372" s="13" t="n">
        <v>5000122555</v>
      </c>
      <c r="B3372" s="13" t="inlineStr">
        <is>
          <t>КГУ "ЦЕНТР ДЕТСКО-МОЛОДЕЖНОГО ТВОРЧЕСТВА "ШКОЛЬНЫЕ ГОДЫ"</t>
        </is>
      </c>
      <c r="C3372" s="13" t="n">
        <v>8202010768</v>
      </c>
      <c r="D3372" s="13" t="inlineStr">
        <is>
          <t>8202010768</t>
        </is>
      </c>
      <c r="E3372" s="13" t="inlineStr">
        <is>
          <t>ЮЛ РФ</t>
        </is>
      </c>
      <c r="F3372" s="13" t="n"/>
      <c r="G3372" s="14" t="n"/>
      <c r="H3372" s="14" t="n"/>
      <c r="I3372" s="14" t="n"/>
      <c r="J3372" s="14" t="n"/>
      <c r="K3372" s="53" t="inlineStr"/>
      <c r="L3372" s="53" t="inlineStr">
        <is>
          <t>Не определено</t>
        </is>
      </c>
      <c r="M3372" s="53" t="inlineStr"/>
      <c r="N3372" s="54" t="inlineStr"/>
      <c r="O3372" s="55" t="inlineStr"/>
      <c r="P3372" s="16" t="inlineStr">
        <is>
          <t>Требует обогащения</t>
        </is>
      </c>
      <c r="Q3372" s="16">
        <f>HYPERLINK("https://pb.nalog.ru/search.html?query=8202010768","ФНС: проверить")</f>
        <v/>
      </c>
      <c r="R3372" s="16">
        <f>HYPERLINK("https://checko.ru/search?query=3801001629","Чекко: проверить")</f>
        <v/>
      </c>
      <c r="S3372" t="n">
        <v>1</v>
      </c>
      <c r="T3372" s="35" t="inlineStr">
        <is>
          <t>4 — Не обогащён</t>
        </is>
      </c>
      <c r="U3372" s="35" t="inlineStr">
        <is>
          <t>Нет ОКВЭД/ССЧР</t>
        </is>
      </c>
      <c r="V3372" s="35" t="inlineStr">
        <is>
          <t>Не определено</t>
        </is>
      </c>
      <c r="W3372" s="35" t="inlineStr"/>
      <c r="X3372" s="35" t="inlineStr"/>
    </row>
    <row r="3373" ht="15" customHeight="1" s="24">
      <c r="A3373" s="13" t="n">
        <v>5000120012</v>
      </c>
      <c r="B3373" s="13" t="inlineStr">
        <is>
          <t>МБУ «Коммуналоное хозяйство селятино»</t>
        </is>
      </c>
      <c r="C3373" s="13" t="n">
        <v>5030087054</v>
      </c>
      <c r="D3373" s="13" t="inlineStr">
        <is>
          <t>5030087054</t>
        </is>
      </c>
      <c r="E3373" s="13" t="inlineStr">
        <is>
          <t>ЮЛ РФ</t>
        </is>
      </c>
      <c r="F3373" s="13" t="n"/>
      <c r="G3373" s="14" t="n"/>
      <c r="H3373" s="14" t="n"/>
      <c r="I3373" s="14" t="n"/>
      <c r="J3373" s="14" t="n"/>
      <c r="K3373" s="53" t="inlineStr"/>
      <c r="L3373" s="53" t="inlineStr">
        <is>
          <t>Не определено</t>
        </is>
      </c>
      <c r="M3373" s="53" t="inlineStr"/>
      <c r="N3373" s="54" t="inlineStr"/>
      <c r="O3373" s="55" t="inlineStr"/>
      <c r="P3373" s="16" t="inlineStr">
        <is>
          <t>Требует обогащения</t>
        </is>
      </c>
      <c r="Q3373" s="16">
        <f>HYPERLINK("https://pb.nalog.ru/search.html?query=5030087054","ФНС: проверить")</f>
        <v/>
      </c>
      <c r="R3373" s="16">
        <f>HYPERLINK("https://checko.ru/search?query=3801001629","Чекко: проверить")</f>
        <v/>
      </c>
      <c r="S3373" t="n">
        <v>1</v>
      </c>
      <c r="T3373" s="35" t="inlineStr">
        <is>
          <t>4 — Не обогащён</t>
        </is>
      </c>
      <c r="U3373" s="35" t="inlineStr">
        <is>
          <t>Нет ОКВЭД/ССЧР</t>
        </is>
      </c>
      <c r="V3373" s="35" t="inlineStr">
        <is>
          <t>Не определено</t>
        </is>
      </c>
      <c r="W3373" s="35" t="inlineStr"/>
      <c r="X3373" s="35" t="inlineStr"/>
    </row>
    <row r="3374" ht="27.75" customHeight="1" s="24">
      <c r="A3374" s="13" t="n">
        <v>5000122557</v>
      </c>
      <c r="B3374" s="13" t="inlineStr">
        <is>
          <t>Краевое государственное учреждение "Центр обеспечения действий по</t>
        </is>
      </c>
      <c r="C3374" s="13" t="n">
        <v>4101123503</v>
      </c>
      <c r="D3374" s="13" t="inlineStr">
        <is>
          <t>4101123503</t>
        </is>
      </c>
      <c r="E3374" s="13" t="inlineStr">
        <is>
          <t>ЮЛ РФ</t>
        </is>
      </c>
      <c r="F3374" s="13" t="n"/>
      <c r="G3374" s="14" t="n"/>
      <c r="H3374" s="14" t="n"/>
      <c r="I3374" s="14" t="n"/>
      <c r="J3374" s="14" t="n"/>
      <c r="K3374" s="53" t="inlineStr"/>
      <c r="L3374" s="53" t="inlineStr">
        <is>
          <t>Не определено</t>
        </is>
      </c>
      <c r="M3374" s="53" t="inlineStr"/>
      <c r="N3374" s="54" t="inlineStr"/>
      <c r="O3374" s="55" t="inlineStr"/>
      <c r="P3374" s="16" t="inlineStr">
        <is>
          <t>Требует обогащения</t>
        </is>
      </c>
      <c r="Q3374" s="16">
        <f>HYPERLINK("https://pb.nalog.ru/search.html?query=4101123503","ФНС: проверить")</f>
        <v/>
      </c>
      <c r="R3374" s="16">
        <f>HYPERLINK("https://checko.ru/search?query=3801001629","Чекко: проверить")</f>
        <v/>
      </c>
      <c r="S3374" t="n">
        <v>1</v>
      </c>
      <c r="T3374" s="35" t="inlineStr">
        <is>
          <t>4 — Не обогащён</t>
        </is>
      </c>
      <c r="U3374" s="35" t="inlineStr">
        <is>
          <t>Нет ОКВЭД/ССЧР</t>
        </is>
      </c>
      <c r="V3374" s="35" t="inlineStr">
        <is>
          <t>Не определено</t>
        </is>
      </c>
      <c r="W3374" s="35" t="inlineStr"/>
      <c r="X3374" s="35" t="inlineStr"/>
    </row>
    <row r="3375" ht="27.75" customHeight="1" s="24">
      <c r="A3375" s="13" t="n">
        <v>5000122601</v>
      </c>
      <c r="B3375" s="13" t="inlineStr">
        <is>
          <t>Администрация Николаевского сельского поселения</t>
        </is>
      </c>
      <c r="C3375" s="13" t="n">
        <v>4105029678</v>
      </c>
      <c r="D3375" s="13" t="inlineStr">
        <is>
          <t>4105029678</t>
        </is>
      </c>
      <c r="E3375" s="13" t="inlineStr">
        <is>
          <t>ЮЛ РФ</t>
        </is>
      </c>
      <c r="F3375" s="13" t="n"/>
      <c r="G3375" s="14" t="n"/>
      <c r="H3375" s="14" t="n"/>
      <c r="I3375" s="14" t="n"/>
      <c r="J3375" s="14" t="n"/>
      <c r="K3375" s="53" t="inlineStr"/>
      <c r="L3375" s="53" t="inlineStr">
        <is>
          <t>Не определено</t>
        </is>
      </c>
      <c r="M3375" s="53" t="inlineStr"/>
      <c r="N3375" s="54" t="inlineStr"/>
      <c r="O3375" s="55" t="inlineStr"/>
      <c r="P3375" s="16" t="inlineStr">
        <is>
          <t>Требует обогащения</t>
        </is>
      </c>
      <c r="Q3375" s="16">
        <f>HYPERLINK("https://pb.nalog.ru/search.html?query=4105029678","ФНС: проверить")</f>
        <v/>
      </c>
      <c r="R3375" s="16">
        <f>HYPERLINK("https://checko.ru/search?query=3801001629","Чекко: проверить")</f>
        <v/>
      </c>
      <c r="S3375" t="n">
        <v>1</v>
      </c>
      <c r="T3375" s="35" t="inlineStr">
        <is>
          <t>4 — Не обогащён</t>
        </is>
      </c>
      <c r="U3375" s="35" t="inlineStr">
        <is>
          <t>Нет ОКВЭД/ССЧР</t>
        </is>
      </c>
      <c r="V3375" s="35" t="inlineStr">
        <is>
          <t>Не определено</t>
        </is>
      </c>
      <c r="W3375" s="35" t="inlineStr"/>
      <c r="X3375" s="35" t="inlineStr"/>
    </row>
    <row r="3376" ht="15" customHeight="1" s="24">
      <c r="A3376" s="13" t="n">
        <v>5000123029</v>
      </c>
      <c r="B3376" s="13" t="inlineStr">
        <is>
          <t>МАУ ДО СШОР «Белка»</t>
        </is>
      </c>
      <c r="C3376" s="13" t="n">
        <v>5027113868</v>
      </c>
      <c r="D3376" s="13" t="inlineStr">
        <is>
          <t>5027113868</t>
        </is>
      </c>
      <c r="E3376" s="13" t="inlineStr">
        <is>
          <t>ЮЛ РФ</t>
        </is>
      </c>
      <c r="F3376" s="13" t="n"/>
      <c r="G3376" s="14" t="n"/>
      <c r="H3376" s="14" t="n"/>
      <c r="I3376" s="14" t="n"/>
      <c r="J3376" s="14" t="n"/>
      <c r="K3376" s="53" t="inlineStr"/>
      <c r="L3376" s="53" t="inlineStr">
        <is>
          <t>Не определено</t>
        </is>
      </c>
      <c r="M3376" s="53" t="inlineStr"/>
      <c r="N3376" s="54" t="inlineStr"/>
      <c r="O3376" s="55" t="inlineStr"/>
      <c r="P3376" s="16" t="inlineStr">
        <is>
          <t>Требует обогащения</t>
        </is>
      </c>
      <c r="Q3376" s="16">
        <f>HYPERLINK("https://pb.nalog.ru/search.html?query=5027113868","ФНС: проверить")</f>
        <v/>
      </c>
      <c r="R3376" s="16">
        <f>HYPERLINK("https://checko.ru/search?query=3801001629","Чекко: проверить")</f>
        <v/>
      </c>
      <c r="S3376" t="n">
        <v>1</v>
      </c>
      <c r="T3376" s="35" t="inlineStr">
        <is>
          <t>4 — Не обогащён</t>
        </is>
      </c>
      <c r="U3376" s="35" t="inlineStr">
        <is>
          <t>Нет ОКВЭД/ССЧР</t>
        </is>
      </c>
      <c r="V3376" s="35" t="inlineStr">
        <is>
          <t>Не определено</t>
        </is>
      </c>
      <c r="W3376" s="35" t="inlineStr"/>
      <c r="X3376" s="35" t="inlineStr"/>
    </row>
    <row r="3377" ht="54.75" customHeight="1" s="24">
      <c r="A3377" s="13" t="n">
        <v>5000122611</v>
      </c>
      <c r="B3377" s="13" t="inlineStr">
        <is>
          <t>УПРАВЛЕНИЕ ЭКОНОМИЧЕСКОГО РАЗВИТИЯ И КОНТРОЛЬНОЙ ДЕЯТЕЛЬНОСТИ АДМИНИСТРАЦИИ УСТЬ-КАМЧАТСКОГО МУНИЦИПАЛЬНОГО РАЙОНА - МУНИЦИПАЛЬНОЕ КАЗЕННОЕ УЧРЕЖДЕНИЕ</t>
        </is>
      </c>
      <c r="C3377" s="13" t="n">
        <v>4109005928</v>
      </c>
      <c r="D3377" s="13" t="inlineStr">
        <is>
          <t>4109005928</t>
        </is>
      </c>
      <c r="E3377" s="13" t="inlineStr">
        <is>
          <t>ЮЛ РФ</t>
        </is>
      </c>
      <c r="F3377" s="13" t="n"/>
      <c r="G3377" s="14" t="n"/>
      <c r="H3377" s="14" t="n"/>
      <c r="I3377" s="14" t="n"/>
      <c r="J3377" s="14" t="n"/>
      <c r="K3377" s="53" t="inlineStr"/>
      <c r="L3377" s="53" t="inlineStr">
        <is>
          <t>Не определено</t>
        </is>
      </c>
      <c r="M3377" s="53" t="inlineStr"/>
      <c r="N3377" s="54" t="inlineStr"/>
      <c r="O3377" s="55" t="inlineStr"/>
      <c r="P3377" s="16" t="inlineStr">
        <is>
          <t>Требует обогащения</t>
        </is>
      </c>
      <c r="Q3377" s="16">
        <f>HYPERLINK("https://pb.nalog.ru/search.html?query=4109005928","ФНС: проверить")</f>
        <v/>
      </c>
      <c r="R3377" s="16">
        <f>HYPERLINK("https://checko.ru/search?query=3801001629","Чекко: проверить")</f>
        <v/>
      </c>
      <c r="S3377" t="n">
        <v>1</v>
      </c>
      <c r="T3377" s="35" t="inlineStr">
        <is>
          <t>4 — Не обогащён</t>
        </is>
      </c>
      <c r="U3377" s="35" t="inlineStr">
        <is>
          <t>Нет ОКВЭД/ССЧР</t>
        </is>
      </c>
      <c r="V3377" s="35" t="inlineStr">
        <is>
          <t>Не определено</t>
        </is>
      </c>
      <c r="W3377" s="35" t="inlineStr"/>
      <c r="X3377" s="35" t="inlineStr"/>
    </row>
    <row r="3378" ht="27.75" customHeight="1" s="24">
      <c r="A3378" s="13" t="n">
        <v>5000122668</v>
      </c>
      <c r="B3378" s="13" t="inlineStr">
        <is>
          <t>АДМИНИСТРАЦИЯ ТИГИЛЬСКОГО МУНИЦИПАЛЬНОГО ОКРУГА КАМЧАТСКОГО КРАЯ</t>
        </is>
      </c>
      <c r="C3378" s="13" t="n">
        <v>4100053444</v>
      </c>
      <c r="D3378" s="13" t="inlineStr">
        <is>
          <t>4100053444</t>
        </is>
      </c>
      <c r="E3378" s="13" t="inlineStr">
        <is>
          <t>ЮЛ РФ</t>
        </is>
      </c>
      <c r="F3378" s="13" t="n"/>
      <c r="G3378" s="14" t="n"/>
      <c r="H3378" s="14" t="n"/>
      <c r="I3378" s="14" t="n"/>
      <c r="J3378" s="14" t="n"/>
      <c r="K3378" s="53" t="inlineStr"/>
      <c r="L3378" s="53" t="inlineStr">
        <is>
          <t>Не определено</t>
        </is>
      </c>
      <c r="M3378" s="53" t="inlineStr"/>
      <c r="N3378" s="54" t="inlineStr"/>
      <c r="O3378" s="55" t="inlineStr"/>
      <c r="P3378" s="16" t="inlineStr">
        <is>
          <t>Требует обогащения</t>
        </is>
      </c>
      <c r="Q3378" s="16">
        <f>HYPERLINK("https://pb.nalog.ru/search.html?query=4100053444","ФНС: проверить")</f>
        <v/>
      </c>
      <c r="R3378" s="16">
        <f>HYPERLINK("https://checko.ru/search?query=3801001629","Чекко: проверить")</f>
        <v/>
      </c>
      <c r="S3378" t="n">
        <v>1</v>
      </c>
      <c r="T3378" s="35" t="inlineStr">
        <is>
          <t>4 — Не обогащён</t>
        </is>
      </c>
      <c r="U3378" s="35" t="inlineStr">
        <is>
          <t>Нет ОКВЭД/ССЧР</t>
        </is>
      </c>
      <c r="V3378" s="35" t="inlineStr">
        <is>
          <t>Не определено</t>
        </is>
      </c>
      <c r="W3378" s="35" t="inlineStr"/>
      <c r="X3378" s="35" t="inlineStr"/>
    </row>
    <row r="3379" ht="41.25" customHeight="1" s="24">
      <c r="A3379" s="13" t="n">
        <v>5000122604</v>
      </c>
      <c r="B3379" s="13" t="inlineStr">
        <is>
          <t>ОТДЕЛ КУЛЬТУРЫ, СПОРТА, МОЛОДЕЖНОЙ ПОЛИТИКИ И ТУРИЗМА АДМИНИСТРАЦИИ УСТЬ-КАМЧАТСКОГО МР</t>
        </is>
      </c>
      <c r="C3379" s="13" t="n">
        <v>4100044898</v>
      </c>
      <c r="D3379" s="13" t="inlineStr">
        <is>
          <t>4100044898</t>
        </is>
      </c>
      <c r="E3379" s="13" t="inlineStr">
        <is>
          <t>ЮЛ РФ</t>
        </is>
      </c>
      <c r="F3379" s="13" t="n"/>
      <c r="G3379" s="14" t="n"/>
      <c r="H3379" s="14" t="n"/>
      <c r="I3379" s="14" t="n"/>
      <c r="J3379" s="14" t="n"/>
      <c r="K3379" s="53" t="inlineStr"/>
      <c r="L3379" s="53" t="inlineStr">
        <is>
          <t>Не определено</t>
        </is>
      </c>
      <c r="M3379" s="53" t="inlineStr"/>
      <c r="N3379" s="54" t="inlineStr"/>
      <c r="O3379" s="55" t="inlineStr"/>
      <c r="P3379" s="16" t="inlineStr">
        <is>
          <t>Требует обогащения</t>
        </is>
      </c>
      <c r="Q3379" s="16">
        <f>HYPERLINK("https://pb.nalog.ru/search.html?query=4100044898","ФНС: проверить")</f>
        <v/>
      </c>
      <c r="R3379" s="16">
        <f>HYPERLINK("https://checko.ru/search?query=3801001629","Чекко: проверить")</f>
        <v/>
      </c>
      <c r="S3379" t="n">
        <v>1</v>
      </c>
      <c r="T3379" s="35" t="inlineStr">
        <is>
          <t>4 — Не обогащён</t>
        </is>
      </c>
      <c r="U3379" s="35" t="inlineStr">
        <is>
          <t>Нет ОКВЭД/ССЧР</t>
        </is>
      </c>
      <c r="V3379" s="35" t="inlineStr">
        <is>
          <t>Не определено</t>
        </is>
      </c>
      <c r="W3379" s="35" t="inlineStr"/>
      <c r="X3379" s="35" t="inlineStr"/>
    </row>
    <row r="3380" ht="54.75" customHeight="1" s="24">
      <c r="A3380" s="13" t="n">
        <v>5000122568</v>
      </c>
      <c r="B3380" s="13" t="inlineStr">
        <is>
          <t>УПРАВЛЕНИЕ АРХИТЕКТУРЫ И ГРАДОСТРОИТЕЛЬСТВА АДМИНИСТРАЦИИ
ПЕТРОПАВЛОВСК-КАМЧАТСКОГО ГОРОДСКОГО ОКРУГА</t>
        </is>
      </c>
      <c r="C3380" s="13" t="n">
        <v>4101131945</v>
      </c>
      <c r="D3380" s="13" t="inlineStr">
        <is>
          <t>4101131945</t>
        </is>
      </c>
      <c r="E3380" s="13" t="inlineStr">
        <is>
          <t>ЮЛ РФ</t>
        </is>
      </c>
      <c r="F3380" s="13" t="n"/>
      <c r="G3380" s="14" t="n"/>
      <c r="H3380" s="14" t="n"/>
      <c r="I3380" s="14" t="n"/>
      <c r="J3380" s="14" t="n"/>
      <c r="K3380" s="53" t="inlineStr"/>
      <c r="L3380" s="53" t="inlineStr">
        <is>
          <t>Не определено</t>
        </is>
      </c>
      <c r="M3380" s="53" t="inlineStr"/>
      <c r="N3380" s="54" t="inlineStr"/>
      <c r="O3380" s="55" t="inlineStr"/>
      <c r="P3380" s="16" t="inlineStr">
        <is>
          <t>Требует обогащения</t>
        </is>
      </c>
      <c r="Q3380" s="16">
        <f>HYPERLINK("https://pb.nalog.ru/search.html?query=4101131945","ФНС: проверить")</f>
        <v/>
      </c>
      <c r="R3380" s="16">
        <f>HYPERLINK("https://checko.ru/search?query=3801001629","Чекко: проверить")</f>
        <v/>
      </c>
      <c r="S3380" t="n">
        <v>1</v>
      </c>
      <c r="T3380" s="35" t="inlineStr">
        <is>
          <t>4 — Не обогащён</t>
        </is>
      </c>
      <c r="U3380" s="35" t="inlineStr">
        <is>
          <t>Нет ОКВЭД/ССЧР</t>
        </is>
      </c>
      <c r="V3380" s="35" t="inlineStr">
        <is>
          <t>Не определено</t>
        </is>
      </c>
      <c r="W3380" s="35" t="inlineStr"/>
      <c r="X3380" s="35" t="inlineStr"/>
    </row>
    <row r="3381" ht="41.25" customHeight="1" s="24">
      <c r="A3381" s="13" t="n">
        <v>5000119825</v>
      </c>
      <c r="B3381" s="13" t="inlineStr">
        <is>
          <t>МБОУ «Краснозаводская средняя общеобразовательная школа №7 имени Н.С.Булычева»</t>
        </is>
      </c>
      <c r="C3381" s="13" t="n">
        <v>5042067990</v>
      </c>
      <c r="D3381" s="13" t="inlineStr">
        <is>
          <t>5042067990</t>
        </is>
      </c>
      <c r="E3381" s="13" t="inlineStr">
        <is>
          <t>ЮЛ РФ</t>
        </is>
      </c>
      <c r="F3381" s="13" t="n"/>
      <c r="G3381" s="14" t="n"/>
      <c r="H3381" s="14" t="n"/>
      <c r="I3381" s="14" t="n"/>
      <c r="J3381" s="14" t="n"/>
      <c r="K3381" s="53" t="inlineStr"/>
      <c r="L3381" s="53" t="inlineStr">
        <is>
          <t>Не определено</t>
        </is>
      </c>
      <c r="M3381" s="53" t="inlineStr"/>
      <c r="N3381" s="54" t="inlineStr"/>
      <c r="O3381" s="55" t="inlineStr"/>
      <c r="P3381" s="16" t="inlineStr">
        <is>
          <t>Требует обогащения</t>
        </is>
      </c>
      <c r="Q3381" s="16">
        <f>HYPERLINK("https://pb.nalog.ru/search.html?query=5042067990","ФНС: проверить")</f>
        <v/>
      </c>
      <c r="R3381" s="16">
        <f>HYPERLINK("https://checko.ru/search?query=3801001629","Чекко: проверить")</f>
        <v/>
      </c>
      <c r="S3381" t="n">
        <v>1</v>
      </c>
      <c r="T3381" s="35" t="inlineStr">
        <is>
          <t>4 — Не обогащён</t>
        </is>
      </c>
      <c r="U3381" s="35" t="inlineStr">
        <is>
          <t>Нет ОКВЭД/ССЧР</t>
        </is>
      </c>
      <c r="V3381" s="35" t="inlineStr">
        <is>
          <t>Не определено</t>
        </is>
      </c>
      <c r="W3381" s="35" t="inlineStr"/>
      <c r="X3381" s="35" t="inlineStr"/>
    </row>
    <row r="3382" ht="27.75" customHeight="1" s="24">
      <c r="A3382" s="13" t="n">
        <v>5000122667</v>
      </c>
      <c r="B3382" s="13" t="inlineStr">
        <is>
          <t>Администрация Карагинского муниципального района</t>
        </is>
      </c>
      <c r="C3382" s="13" t="n">
        <v>8203000674</v>
      </c>
      <c r="D3382" s="13" t="inlineStr">
        <is>
          <t>8203000674</t>
        </is>
      </c>
      <c r="E3382" s="13" t="inlineStr">
        <is>
          <t>ЮЛ РФ</t>
        </is>
      </c>
      <c r="F3382" s="13" t="n"/>
      <c r="G3382" s="14" t="n"/>
      <c r="H3382" s="14" t="n"/>
      <c r="I3382" s="14" t="n"/>
      <c r="J3382" s="14" t="n"/>
      <c r="K3382" s="53" t="inlineStr"/>
      <c r="L3382" s="53" t="inlineStr">
        <is>
          <t>Не определено</t>
        </is>
      </c>
      <c r="M3382" s="53" t="inlineStr"/>
      <c r="N3382" s="54" t="inlineStr"/>
      <c r="O3382" s="55" t="inlineStr"/>
      <c r="P3382" s="16" t="inlineStr">
        <is>
          <t>Требует обогащения</t>
        </is>
      </c>
      <c r="Q3382" s="16">
        <f>HYPERLINK("https://pb.nalog.ru/search.html?query=8203000674","ФНС: проверить")</f>
        <v/>
      </c>
      <c r="R3382" s="16">
        <f>HYPERLINK("https://checko.ru/search?query=3801001629","Чекко: проверить")</f>
        <v/>
      </c>
      <c r="S3382" t="n">
        <v>1</v>
      </c>
      <c r="T3382" s="35" t="inlineStr">
        <is>
          <t>4 — Не обогащён</t>
        </is>
      </c>
      <c r="U3382" s="35" t="inlineStr">
        <is>
          <t>Нет ОКВЭД/ССЧР</t>
        </is>
      </c>
      <c r="V3382" s="35" t="inlineStr">
        <is>
          <t>Не определено</t>
        </is>
      </c>
      <c r="W3382" s="35" t="inlineStr"/>
      <c r="X3382" s="35" t="inlineStr"/>
    </row>
    <row r="3383" ht="27.75" customHeight="1" s="24">
      <c r="A3383" s="13" t="n">
        <v>5000122596</v>
      </c>
      <c r="B3383" s="13" t="inlineStr">
        <is>
          <t>Администрация Паратунского Сельского Поселения</t>
        </is>
      </c>
      <c r="C3383" s="13" t="n">
        <v>4105029639</v>
      </c>
      <c r="D3383" s="13" t="inlineStr">
        <is>
          <t>4105029639</t>
        </is>
      </c>
      <c r="E3383" s="13" t="inlineStr">
        <is>
          <t>ЮЛ РФ</t>
        </is>
      </c>
      <c r="F3383" s="13" t="n"/>
      <c r="G3383" s="14" t="n"/>
      <c r="H3383" s="14" t="n"/>
      <c r="I3383" s="14" t="n"/>
      <c r="J3383" s="14" t="n"/>
      <c r="K3383" s="53" t="inlineStr"/>
      <c r="L3383" s="53" t="inlineStr">
        <is>
          <t>Не определено</t>
        </is>
      </c>
      <c r="M3383" s="53" t="inlineStr"/>
      <c r="N3383" s="54" t="inlineStr"/>
      <c r="O3383" s="55" t="inlineStr"/>
      <c r="P3383" s="16" t="inlineStr">
        <is>
          <t>Требует обогащения</t>
        </is>
      </c>
      <c r="Q3383" s="16">
        <f>HYPERLINK("https://pb.nalog.ru/search.html?query=4105029639","ФНС: проверить")</f>
        <v/>
      </c>
      <c r="R3383" s="16">
        <f>HYPERLINK("https://checko.ru/search?query=3801001629","Чекко: проверить")</f>
        <v/>
      </c>
      <c r="S3383" t="n">
        <v>1</v>
      </c>
      <c r="T3383" s="35" t="inlineStr">
        <is>
          <t>4 — Не обогащён</t>
        </is>
      </c>
      <c r="U3383" s="35" t="inlineStr">
        <is>
          <t>Нет ОКВЭД/ССЧР</t>
        </is>
      </c>
      <c r="V3383" s="35" t="inlineStr">
        <is>
          <t>Не определено</t>
        </is>
      </c>
      <c r="W3383" s="35" t="inlineStr"/>
      <c r="X3383" s="35" t="inlineStr"/>
    </row>
    <row r="3384" ht="27.75" customHeight="1" s="24">
      <c r="A3384" s="13" t="n">
        <v>5000120038</v>
      </c>
      <c r="B3384" s="13" t="inlineStr">
        <is>
          <t>Муниципальное автономное учреждение культуры "Дом культуры "Мечта"</t>
        </is>
      </c>
      <c r="C3384" s="13" t="n">
        <v>5030005936</v>
      </c>
      <c r="D3384" s="13" t="inlineStr">
        <is>
          <t>5030005936</t>
        </is>
      </c>
      <c r="E3384" s="13" t="inlineStr">
        <is>
          <t>ЮЛ РФ</t>
        </is>
      </c>
      <c r="F3384" s="13" t="n"/>
      <c r="G3384" s="14" t="n"/>
      <c r="H3384" s="14" t="n"/>
      <c r="I3384" s="14" t="n"/>
      <c r="J3384" s="14" t="n"/>
      <c r="K3384" s="53" t="inlineStr"/>
      <c r="L3384" s="53" t="inlineStr">
        <is>
          <t>Не определено</t>
        </is>
      </c>
      <c r="M3384" s="53" t="inlineStr"/>
      <c r="N3384" s="54" t="inlineStr"/>
      <c r="O3384" s="55" t="inlineStr"/>
      <c r="P3384" s="16" t="inlineStr">
        <is>
          <t>Требует обогащения</t>
        </is>
      </c>
      <c r="Q3384" s="16">
        <f>HYPERLINK("https://pb.nalog.ru/search.html?query=5030005936","ФНС: проверить")</f>
        <v/>
      </c>
      <c r="R3384" s="16">
        <f>HYPERLINK("https://checko.ru/search?query=3801001629","Чекко: проверить")</f>
        <v/>
      </c>
      <c r="S3384" t="n">
        <v>1</v>
      </c>
      <c r="T3384" s="35" t="inlineStr">
        <is>
          <t>4 — Не обогащён</t>
        </is>
      </c>
      <c r="U3384" s="35" t="inlineStr">
        <is>
          <t>Нет ОКВЭД/ССЧР</t>
        </is>
      </c>
      <c r="V3384" s="35" t="inlineStr">
        <is>
          <t>Не определено</t>
        </is>
      </c>
      <c r="W3384" s="35" t="inlineStr"/>
      <c r="X3384" s="35" t="inlineStr"/>
    </row>
    <row r="3385" ht="15" customHeight="1" s="24">
      <c r="A3385" s="13" t="n">
        <v>5000117349</v>
      </c>
      <c r="B3385" s="13" t="inlineStr">
        <is>
          <t>МАОУ Наро-Фоминская СОШ № 1</t>
        </is>
      </c>
      <c r="C3385" s="13" t="n">
        <v>5030031862</v>
      </c>
      <c r="D3385" s="13" t="inlineStr">
        <is>
          <t>5030031862</t>
        </is>
      </c>
      <c r="E3385" s="13" t="inlineStr">
        <is>
          <t>ЮЛ РФ</t>
        </is>
      </c>
      <c r="F3385" s="13" t="n"/>
      <c r="G3385" s="14" t="n"/>
      <c r="H3385" s="14" t="n"/>
      <c r="I3385" s="14" t="n"/>
      <c r="J3385" s="14" t="n"/>
      <c r="K3385" s="53" t="inlineStr"/>
      <c r="L3385" s="53" t="inlineStr">
        <is>
          <t>Не определено</t>
        </is>
      </c>
      <c r="M3385" s="53" t="inlineStr"/>
      <c r="N3385" s="54" t="inlineStr"/>
      <c r="O3385" s="55" t="inlineStr"/>
      <c r="P3385" s="16" t="inlineStr">
        <is>
          <t>Требует обогащения</t>
        </is>
      </c>
      <c r="Q3385" s="16">
        <f>HYPERLINK("https://pb.nalog.ru/search.html?query=5030031862","ФНС: проверить")</f>
        <v/>
      </c>
      <c r="R3385" s="16">
        <f>HYPERLINK("https://checko.ru/search?query=3801001629","Чекко: проверить")</f>
        <v/>
      </c>
      <c r="S3385" t="n">
        <v>1</v>
      </c>
      <c r="T3385" s="35" t="inlineStr">
        <is>
          <t>4 — Не обогащён</t>
        </is>
      </c>
      <c r="U3385" s="35" t="inlineStr">
        <is>
          <t>Нет ОКВЭД/ССЧР</t>
        </is>
      </c>
      <c r="V3385" s="35" t="inlineStr">
        <is>
          <t>Не определено</t>
        </is>
      </c>
      <c r="W3385" s="35" t="inlineStr"/>
      <c r="X3385" s="35" t="inlineStr"/>
    </row>
    <row r="3386" ht="27.75" customHeight="1" s="24">
      <c r="A3386" s="13" t="n">
        <v>5000098378</v>
      </c>
      <c r="B3386" s="13" t="inlineStr">
        <is>
          <t>МБОУ "ГИМНАЗИЯ № 5 ИМЕНИ ГЕРОЯ СОВЕТСКОГО СОЮЗА А.И. АЛЕКСЕЕВА"</t>
        </is>
      </c>
      <c r="C3386" s="13" t="n">
        <v>5042075350</v>
      </c>
      <c r="D3386" s="13" t="inlineStr">
        <is>
          <t>5042075350</t>
        </is>
      </c>
      <c r="E3386" s="13" t="inlineStr">
        <is>
          <t>ЮЛ РФ</t>
        </is>
      </c>
      <c r="F3386" s="13" t="n"/>
      <c r="G3386" s="14" t="n"/>
      <c r="H3386" s="14" t="n"/>
      <c r="I3386" s="14" t="n"/>
      <c r="J3386" s="14" t="n"/>
      <c r="K3386" s="53" t="inlineStr"/>
      <c r="L3386" s="53" t="inlineStr">
        <is>
          <t>Не определено</t>
        </is>
      </c>
      <c r="M3386" s="53" t="inlineStr"/>
      <c r="N3386" s="54" t="inlineStr"/>
      <c r="O3386" s="55" t="inlineStr"/>
      <c r="P3386" s="16" t="inlineStr">
        <is>
          <t>Требует обогащения</t>
        </is>
      </c>
      <c r="Q3386" s="16">
        <f>HYPERLINK("https://pb.nalog.ru/search.html?query=5042075350","ФНС: проверить")</f>
        <v/>
      </c>
      <c r="R3386" s="16">
        <f>HYPERLINK("https://checko.ru/search?query=3801001629","Чекко: проверить")</f>
        <v/>
      </c>
      <c r="S3386" t="n">
        <v>1</v>
      </c>
      <c r="T3386" s="35" t="inlineStr">
        <is>
          <t>4 — Не обогащён</t>
        </is>
      </c>
      <c r="U3386" s="35" t="inlineStr">
        <is>
          <t>Нет ОКВЭД/ССЧР</t>
        </is>
      </c>
      <c r="V3386" s="35" t="inlineStr">
        <is>
          <t>Не определено</t>
        </is>
      </c>
      <c r="W3386" s="35" t="inlineStr"/>
      <c r="X3386" s="35" t="inlineStr"/>
    </row>
    <row r="3387" ht="41.25" customHeight="1" s="24">
      <c r="A3387" s="13" t="n">
        <v>5000120045</v>
      </c>
      <c r="B3387" s="13" t="inlineStr">
        <is>
          <t>ТЕРРИТОРИАЛЬНОЕ УПРАВЛЕНИЕ ВЕРЕЯ АДМИНИСТРАЦИИ НАРО-ФОМИНСКОГО ГОРОДСКОГО ОКРУГА</t>
        </is>
      </c>
      <c r="C3387" s="13" t="n">
        <v>5030092801</v>
      </c>
      <c r="D3387" s="13" t="inlineStr">
        <is>
          <t>5030092801</t>
        </is>
      </c>
      <c r="E3387" s="13" t="inlineStr">
        <is>
          <t>ЮЛ РФ</t>
        </is>
      </c>
      <c r="F3387" s="13" t="n"/>
      <c r="G3387" s="14" t="n"/>
      <c r="H3387" s="14" t="n"/>
      <c r="I3387" s="14" t="n"/>
      <c r="J3387" s="14" t="n"/>
      <c r="K3387" s="53" t="inlineStr"/>
      <c r="L3387" s="53" t="inlineStr">
        <is>
          <t>Не определено</t>
        </is>
      </c>
      <c r="M3387" s="53" t="inlineStr"/>
      <c r="N3387" s="54" t="inlineStr"/>
      <c r="O3387" s="55" t="inlineStr"/>
      <c r="P3387" s="16" t="inlineStr">
        <is>
          <t>Требует обогащения</t>
        </is>
      </c>
      <c r="Q3387" s="16">
        <f>HYPERLINK("https://pb.nalog.ru/search.html?query=5030092801","ФНС: проверить")</f>
        <v/>
      </c>
      <c r="R3387" s="16">
        <f>HYPERLINK("https://checko.ru/search?query=3801001629","Чекко: проверить")</f>
        <v/>
      </c>
      <c r="S3387" t="n">
        <v>1</v>
      </c>
      <c r="T3387" s="35" t="inlineStr">
        <is>
          <t>4 — Не обогащён</t>
        </is>
      </c>
      <c r="U3387" s="35" t="inlineStr">
        <is>
          <t>Нет ОКВЭД/ССЧР</t>
        </is>
      </c>
      <c r="V3387" s="35" t="inlineStr">
        <is>
          <t>Не определено</t>
        </is>
      </c>
      <c r="W3387" s="35" t="inlineStr"/>
      <c r="X3387" s="35" t="inlineStr"/>
    </row>
    <row r="3388" ht="27.75" customHeight="1" s="24">
      <c r="A3388" s="13" t="n">
        <v>5000122539</v>
      </c>
      <c r="B3388" s="13" t="inlineStr">
        <is>
          <t>КГКУЗ "Камчатский территориальный центр медицины катастроф"</t>
        </is>
      </c>
      <c r="C3388" s="13" t="n">
        <v>4101112893</v>
      </c>
      <c r="D3388" s="13" t="inlineStr">
        <is>
          <t>4101112893</t>
        </is>
      </c>
      <c r="E3388" s="13" t="inlineStr">
        <is>
          <t>ЮЛ РФ</t>
        </is>
      </c>
      <c r="F3388" s="13" t="n"/>
      <c r="G3388" s="14" t="n"/>
      <c r="H3388" s="14" t="n"/>
      <c r="I3388" s="14" t="n"/>
      <c r="J3388" s="14" t="n"/>
      <c r="K3388" s="53" t="inlineStr"/>
      <c r="L3388" s="53" t="inlineStr">
        <is>
          <t>Не определено</t>
        </is>
      </c>
      <c r="M3388" s="53" t="inlineStr"/>
      <c r="N3388" s="54" t="inlineStr"/>
      <c r="O3388" s="55" t="inlineStr"/>
      <c r="P3388" s="16" t="inlineStr">
        <is>
          <t>Требует обогащения</t>
        </is>
      </c>
      <c r="Q3388" s="16">
        <f>HYPERLINK("https://pb.nalog.ru/search.html?query=4101112893","ФНС: проверить")</f>
        <v/>
      </c>
      <c r="R3388" s="16">
        <f>HYPERLINK("https://checko.ru/search?query=3801001629","Чекко: проверить")</f>
        <v/>
      </c>
      <c r="S3388" t="n">
        <v>1</v>
      </c>
      <c r="T3388" s="35" t="inlineStr">
        <is>
          <t>4 — Не обогащён</t>
        </is>
      </c>
      <c r="U3388" s="35" t="inlineStr">
        <is>
          <t>Нет ОКВЭД/ССЧР</t>
        </is>
      </c>
      <c r="V3388" s="35" t="inlineStr">
        <is>
          <t>Не определено</t>
        </is>
      </c>
      <c r="W3388" s="35" t="inlineStr"/>
      <c r="X3388" s="35" t="inlineStr"/>
    </row>
    <row r="3389" ht="15" customHeight="1" s="24">
      <c r="A3389" s="13" t="n">
        <v>5000122345</v>
      </c>
      <c r="B3389" s="13" t="inlineStr">
        <is>
          <t>МАУ "ЛСК "СЕРГИЕВ ПОСАД" ИМ. С.В. ФЕДОРОВА</t>
        </is>
      </c>
      <c r="C3389" s="13" t="n">
        <v>5042142180</v>
      </c>
      <c r="D3389" s="13" t="inlineStr">
        <is>
          <t>5042142180</t>
        </is>
      </c>
      <c r="E3389" s="13" t="inlineStr">
        <is>
          <t>ЮЛ РФ</t>
        </is>
      </c>
      <c r="F3389" s="13" t="n"/>
      <c r="G3389" s="14" t="n"/>
      <c r="H3389" s="14" t="n"/>
      <c r="I3389" s="14" t="n"/>
      <c r="J3389" s="14" t="n"/>
      <c r="K3389" s="53" t="inlineStr"/>
      <c r="L3389" s="53" t="inlineStr">
        <is>
          <t>Не определено</t>
        </is>
      </c>
      <c r="M3389" s="53" t="inlineStr"/>
      <c r="N3389" s="54" t="inlineStr"/>
      <c r="O3389" s="55" t="inlineStr"/>
      <c r="P3389" s="16" t="inlineStr">
        <is>
          <t>Требует обогащения</t>
        </is>
      </c>
      <c r="Q3389" s="16">
        <f>HYPERLINK("https://pb.nalog.ru/search.html?query=5042142180","ФНС: проверить")</f>
        <v/>
      </c>
      <c r="R3389" s="16">
        <f>HYPERLINK("https://checko.ru/search?query=3801001629","Чекко: проверить")</f>
        <v/>
      </c>
      <c r="S3389" t="n">
        <v>1</v>
      </c>
      <c r="T3389" s="35" t="inlineStr">
        <is>
          <t>4 — Не обогащён</t>
        </is>
      </c>
      <c r="U3389" s="35" t="inlineStr">
        <is>
          <t>Нет ОКВЭД/ССЧР</t>
        </is>
      </c>
      <c r="V3389" s="35" t="inlineStr">
        <is>
          <t>Не определено</t>
        </is>
      </c>
      <c r="W3389" s="35" t="inlineStr"/>
      <c r="X3389" s="35" t="inlineStr"/>
    </row>
    <row r="3390" ht="27.75" customHeight="1" s="24">
      <c r="A3390" s="13" t="n">
        <v>5000122621</v>
      </c>
      <c r="B3390" s="13" t="inlineStr">
        <is>
          <t>Управление образования Администрации Усть-Большерецкого муниципального района</t>
        </is>
      </c>
      <c r="C3390" s="13" t="n">
        <v>4108006630</v>
      </c>
      <c r="D3390" s="13" t="inlineStr">
        <is>
          <t>4108006630</t>
        </is>
      </c>
      <c r="E3390" s="13" t="inlineStr">
        <is>
          <t>ЮЛ РФ</t>
        </is>
      </c>
      <c r="F3390" s="13" t="n"/>
      <c r="G3390" s="14" t="n"/>
      <c r="H3390" s="14" t="n"/>
      <c r="I3390" s="14" t="n"/>
      <c r="J3390" s="14" t="n"/>
      <c r="K3390" s="53" t="inlineStr"/>
      <c r="L3390" s="53" t="inlineStr">
        <is>
          <t>Не определено</t>
        </is>
      </c>
      <c r="M3390" s="53" t="inlineStr"/>
      <c r="N3390" s="54" t="inlineStr"/>
      <c r="O3390" s="55" t="inlineStr"/>
      <c r="P3390" s="16" t="inlineStr">
        <is>
          <t>Требует обогащения</t>
        </is>
      </c>
      <c r="Q3390" s="16">
        <f>HYPERLINK("https://pb.nalog.ru/search.html?query=4108006630","ФНС: проверить")</f>
        <v/>
      </c>
      <c r="R3390" s="16">
        <f>HYPERLINK("https://checko.ru/search?query=3801001629","Чекко: проверить")</f>
        <v/>
      </c>
      <c r="S3390" t="n">
        <v>1</v>
      </c>
      <c r="T3390" s="35" t="inlineStr">
        <is>
          <t>4 — Не обогащён</t>
        </is>
      </c>
      <c r="U3390" s="35" t="inlineStr">
        <is>
          <t>Нет ОКВЭД/ССЧР</t>
        </is>
      </c>
      <c r="V3390" s="35" t="inlineStr">
        <is>
          <t>Не определено</t>
        </is>
      </c>
      <c r="W3390" s="35" t="inlineStr"/>
      <c r="X3390" s="35" t="inlineStr"/>
    </row>
    <row r="3391" ht="15" customHeight="1" s="24">
      <c r="A3391" s="13" t="n">
        <v>5000122672</v>
      </c>
      <c r="B3391" s="13" t="inlineStr">
        <is>
          <t>Администрация Вилючинского городского округа</t>
        </is>
      </c>
      <c r="C3391" s="13" t="n">
        <v>4102002396</v>
      </c>
      <c r="D3391" s="13" t="inlineStr">
        <is>
          <t>4102002396</t>
        </is>
      </c>
      <c r="E3391" s="13" t="inlineStr">
        <is>
          <t>ЮЛ РФ</t>
        </is>
      </c>
      <c r="F3391" s="13" t="n"/>
      <c r="G3391" s="14" t="n"/>
      <c r="H3391" s="14" t="n"/>
      <c r="I3391" s="14" t="n"/>
      <c r="J3391" s="14" t="n"/>
      <c r="K3391" s="53" t="inlineStr"/>
      <c r="L3391" s="53" t="inlineStr">
        <is>
          <t>Не определено</t>
        </is>
      </c>
      <c r="M3391" s="53" t="inlineStr"/>
      <c r="N3391" s="54" t="inlineStr"/>
      <c r="O3391" s="55" t="inlineStr"/>
      <c r="P3391" s="16" t="inlineStr">
        <is>
          <t>Требует обогащения</t>
        </is>
      </c>
      <c r="Q3391" s="16">
        <f>HYPERLINK("https://pb.nalog.ru/search.html?query=4102002396","ФНС: проверить")</f>
        <v/>
      </c>
      <c r="R3391" s="16">
        <f>HYPERLINK("https://checko.ru/search?query=3801001629","Чекко: проверить")</f>
        <v/>
      </c>
      <c r="S3391" t="n">
        <v>1</v>
      </c>
      <c r="T3391" s="35" t="inlineStr">
        <is>
          <t>4 — Не обогащён</t>
        </is>
      </c>
      <c r="U3391" s="35" t="inlineStr">
        <is>
          <t>Нет ОКВЭД/ССЧР</t>
        </is>
      </c>
      <c r="V3391" s="35" t="inlineStr">
        <is>
          <t>Не определено</t>
        </is>
      </c>
      <c r="W3391" s="35" t="inlineStr"/>
      <c r="X3391" s="35" t="inlineStr"/>
    </row>
    <row r="3392" ht="15" customHeight="1" s="24">
      <c r="A3392" s="13" t="n">
        <v>5000122532</v>
      </c>
      <c r="B3392" s="13" t="inlineStr">
        <is>
          <t>Законодательное Собрание Камчатского края</t>
        </is>
      </c>
      <c r="C3392" s="13" t="n">
        <v>4101059897</v>
      </c>
      <c r="D3392" s="13" t="inlineStr">
        <is>
          <t>4101059897</t>
        </is>
      </c>
      <c r="E3392" s="13" t="inlineStr">
        <is>
          <t>ЮЛ РФ</t>
        </is>
      </c>
      <c r="F3392" s="13" t="n"/>
      <c r="G3392" s="14" t="n"/>
      <c r="H3392" s="14" t="n"/>
      <c r="I3392" s="14" t="n"/>
      <c r="J3392" s="14" t="n"/>
      <c r="K3392" s="53" t="inlineStr"/>
      <c r="L3392" s="53" t="inlineStr">
        <is>
          <t>Не определено</t>
        </is>
      </c>
      <c r="M3392" s="53" t="inlineStr"/>
      <c r="N3392" s="54" t="inlineStr"/>
      <c r="O3392" s="55" t="inlineStr"/>
      <c r="P3392" s="16" t="inlineStr">
        <is>
          <t>Требует обогащения</t>
        </is>
      </c>
      <c r="Q3392" s="16">
        <f>HYPERLINK("https://pb.nalog.ru/search.html?query=4101059897","ФНС: проверить")</f>
        <v/>
      </c>
      <c r="R3392" s="16">
        <f>HYPERLINK("https://checko.ru/search?query=3801001629","Чекко: проверить")</f>
        <v/>
      </c>
      <c r="S3392" t="n">
        <v>1</v>
      </c>
      <c r="T3392" s="35" t="inlineStr">
        <is>
          <t>4 — Не обогащён</t>
        </is>
      </c>
      <c r="U3392" s="35" t="inlineStr">
        <is>
          <t>Нет ОКВЭД/ССЧР</t>
        </is>
      </c>
      <c r="V3392" s="35" t="inlineStr">
        <is>
          <t>Не определено</t>
        </is>
      </c>
      <c r="W3392" s="35" t="inlineStr"/>
      <c r="X3392" s="35" t="inlineStr"/>
    </row>
    <row r="3393" ht="15" customHeight="1" s="24">
      <c r="A3393" s="13" t="n">
        <v>5000122588</v>
      </c>
      <c r="B3393" s="13" t="inlineStr">
        <is>
          <t>МАУ "Единый расчетно-кассовый центр"</t>
        </is>
      </c>
      <c r="C3393" s="13" t="n">
        <v>4105041139</v>
      </c>
      <c r="D3393" s="13" t="inlineStr">
        <is>
          <t>4105041139</t>
        </is>
      </c>
      <c r="E3393" s="13" t="inlineStr">
        <is>
          <t>ЮЛ РФ</t>
        </is>
      </c>
      <c r="F3393" s="13" t="n"/>
      <c r="G3393" s="14" t="n"/>
      <c r="H3393" s="14" t="n"/>
      <c r="I3393" s="14" t="n"/>
      <c r="J3393" s="14" t="n"/>
      <c r="K3393" s="53" t="inlineStr"/>
      <c r="L3393" s="53" t="inlineStr">
        <is>
          <t>Не определено</t>
        </is>
      </c>
      <c r="M3393" s="53" t="inlineStr"/>
      <c r="N3393" s="54" t="inlineStr"/>
      <c r="O3393" s="55" t="inlineStr"/>
      <c r="P3393" s="16" t="inlineStr">
        <is>
          <t>Требует обогащения</t>
        </is>
      </c>
      <c r="Q3393" s="16">
        <f>HYPERLINK("https://pb.nalog.ru/search.html?query=4105041139","ФНС: проверить")</f>
        <v/>
      </c>
      <c r="R3393" s="16">
        <f>HYPERLINK("https://checko.ru/search?query=3801001629","Чекко: проверить")</f>
        <v/>
      </c>
      <c r="S3393" t="n">
        <v>1</v>
      </c>
      <c r="T3393" s="35" t="inlineStr">
        <is>
          <t>4 — Не обогащён</t>
        </is>
      </c>
      <c r="U3393" s="35" t="inlineStr">
        <is>
          <t>Нет ОКВЭД/ССЧР</t>
        </is>
      </c>
      <c r="V3393" s="35" t="inlineStr">
        <is>
          <t>Не определено</t>
        </is>
      </c>
      <c r="W3393" s="35" t="inlineStr"/>
      <c r="X3393" s="35" t="inlineStr"/>
    </row>
    <row r="3394" ht="15" customHeight="1" s="24">
      <c r="A3394" s="13" t="n">
        <v>5000122559</v>
      </c>
      <c r="B3394" s="13" t="inlineStr">
        <is>
          <t>КГКУ  по племенной работе "Камчатское"</t>
        </is>
      </c>
      <c r="C3394" s="13" t="n">
        <v>4105028561</v>
      </c>
      <c r="D3394" s="13" t="inlineStr">
        <is>
          <t>4105028561</t>
        </is>
      </c>
      <c r="E3394" s="13" t="inlineStr">
        <is>
          <t>ЮЛ РФ</t>
        </is>
      </c>
      <c r="F3394" s="13" t="n"/>
      <c r="G3394" s="14" t="n"/>
      <c r="H3394" s="14" t="n"/>
      <c r="I3394" s="14" t="n"/>
      <c r="J3394" s="14" t="n"/>
      <c r="K3394" s="53" t="inlineStr"/>
      <c r="L3394" s="53" t="inlineStr">
        <is>
          <t>Не определено</t>
        </is>
      </c>
      <c r="M3394" s="53" t="inlineStr"/>
      <c r="N3394" s="54" t="inlineStr"/>
      <c r="O3394" s="55" t="inlineStr"/>
      <c r="P3394" s="16" t="inlineStr">
        <is>
          <t>Требует обогащения</t>
        </is>
      </c>
      <c r="Q3394" s="16">
        <f>HYPERLINK("https://pb.nalog.ru/search.html?query=4105028561","ФНС: проверить")</f>
        <v/>
      </c>
      <c r="R3394" s="16">
        <f>HYPERLINK("https://checko.ru/search?query=3801001629","Чекко: проверить")</f>
        <v/>
      </c>
      <c r="S3394" t="n">
        <v>1</v>
      </c>
      <c r="T3394" s="35" t="inlineStr">
        <is>
          <t>4 — Не обогащён</t>
        </is>
      </c>
      <c r="U3394" s="35" t="inlineStr">
        <is>
          <t>Нет ОКВЭД/ССЧР</t>
        </is>
      </c>
      <c r="V3394" s="35" t="inlineStr">
        <is>
          <t>Не определено</t>
        </is>
      </c>
      <c r="W3394" s="35" t="inlineStr"/>
      <c r="X3394" s="35" t="inlineStr"/>
    </row>
    <row r="3395" ht="41.25" customHeight="1" s="24">
      <c r="A3395" s="13" t="n">
        <v>5000122630</v>
      </c>
      <c r="B3395" s="13" t="inlineStr">
        <is>
          <t>МУК Соболевский районный историко-краеведческий музей Соболевского муниципального района Камчатского</t>
        </is>
      </c>
      <c r="C3395" s="13" t="n">
        <v>4107001580</v>
      </c>
      <c r="D3395" s="13" t="inlineStr">
        <is>
          <t>4107001580</t>
        </is>
      </c>
      <c r="E3395" s="13" t="inlineStr">
        <is>
          <t>ЮЛ РФ</t>
        </is>
      </c>
      <c r="F3395" s="13" t="n"/>
      <c r="G3395" s="14" t="n"/>
      <c r="H3395" s="14" t="n"/>
      <c r="I3395" s="14" t="n"/>
      <c r="J3395" s="14" t="n"/>
      <c r="K3395" s="53" t="inlineStr"/>
      <c r="L3395" s="53" t="inlineStr">
        <is>
          <t>Не определено</t>
        </is>
      </c>
      <c r="M3395" s="53" t="inlineStr"/>
      <c r="N3395" s="54" t="inlineStr"/>
      <c r="O3395" s="55" t="inlineStr"/>
      <c r="P3395" s="16" t="inlineStr">
        <is>
          <t>Требует обогащения</t>
        </is>
      </c>
      <c r="Q3395" s="16">
        <f>HYPERLINK("https://pb.nalog.ru/search.html?query=4107001580","ФНС: проверить")</f>
        <v/>
      </c>
      <c r="R3395" s="16">
        <f>HYPERLINK("https://checko.ru/search?query=3801001629","Чекко: проверить")</f>
        <v/>
      </c>
      <c r="S3395" t="n">
        <v>1</v>
      </c>
      <c r="T3395" s="35" t="inlineStr">
        <is>
          <t>4 — Не обогащён</t>
        </is>
      </c>
      <c r="U3395" s="35" t="inlineStr">
        <is>
          <t>Нет ОКВЭД/ССЧР</t>
        </is>
      </c>
      <c r="V3395" s="35" t="inlineStr">
        <is>
          <t>Не определено</t>
        </is>
      </c>
      <c r="W3395" s="35" t="inlineStr"/>
      <c r="X3395" s="35" t="inlineStr"/>
    </row>
    <row r="3396" ht="15" customHeight="1" s="24">
      <c r="A3396" s="13" t="n">
        <v>5000120007</v>
      </c>
      <c r="B3396" s="13" t="inlineStr">
        <is>
          <t>МКУ "НАРА-РИТУАЛ"</t>
        </is>
      </c>
      <c r="C3396" s="13" t="n">
        <v>5030084208</v>
      </c>
      <c r="D3396" s="13" t="inlineStr">
        <is>
          <t>5030084208</t>
        </is>
      </c>
      <c r="E3396" s="13" t="inlineStr">
        <is>
          <t>ЮЛ РФ</t>
        </is>
      </c>
      <c r="F3396" s="13" t="n"/>
      <c r="G3396" s="14" t="n"/>
      <c r="H3396" s="14" t="n"/>
      <c r="I3396" s="14" t="n"/>
      <c r="J3396" s="14" t="n"/>
      <c r="K3396" s="53" t="inlineStr"/>
      <c r="L3396" s="53" t="inlineStr">
        <is>
          <t>Не определено</t>
        </is>
      </c>
      <c r="M3396" s="53" t="inlineStr"/>
      <c r="N3396" s="54" t="inlineStr"/>
      <c r="O3396" s="55" t="inlineStr"/>
      <c r="P3396" s="16" t="inlineStr">
        <is>
          <t>Требует обогащения</t>
        </is>
      </c>
      <c r="Q3396" s="16">
        <f>HYPERLINK("https://pb.nalog.ru/search.html?query=5030084208","ФНС: проверить")</f>
        <v/>
      </c>
      <c r="R3396" s="16">
        <f>HYPERLINK("https://checko.ru/search?query=3801001629","Чекко: проверить")</f>
        <v/>
      </c>
      <c r="S3396" t="n">
        <v>1</v>
      </c>
      <c r="T3396" s="35" t="inlineStr">
        <is>
          <t>4 — Не обогащён</t>
        </is>
      </c>
      <c r="U3396" s="35" t="inlineStr">
        <is>
          <t>Нет ОКВЭД/ССЧР</t>
        </is>
      </c>
      <c r="V3396" s="35" t="inlineStr">
        <is>
          <t>Не определено</t>
        </is>
      </c>
      <c r="W3396" s="35" t="inlineStr"/>
      <c r="X3396" s="35" t="inlineStr"/>
    </row>
    <row r="3397" ht="15" customHeight="1" s="24">
      <c r="A3397" s="13" t="n">
        <v>5000122652</v>
      </c>
      <c r="B3397" s="13" t="inlineStr">
        <is>
          <t>Администрация Алеутского МР</t>
        </is>
      </c>
      <c r="C3397" s="13" t="n">
        <v>4103000176</v>
      </c>
      <c r="D3397" s="13" t="inlineStr">
        <is>
          <t>4103000176</t>
        </is>
      </c>
      <c r="E3397" s="13" t="inlineStr">
        <is>
          <t>ЮЛ РФ</t>
        </is>
      </c>
      <c r="F3397" s="13" t="n"/>
      <c r="G3397" s="14" t="n"/>
      <c r="H3397" s="14" t="n"/>
      <c r="I3397" s="14" t="n"/>
      <c r="J3397" s="14" t="n"/>
      <c r="K3397" s="53" t="inlineStr"/>
      <c r="L3397" s="53" t="inlineStr">
        <is>
          <t>Не определено</t>
        </is>
      </c>
      <c r="M3397" s="53" t="inlineStr"/>
      <c r="N3397" s="54" t="inlineStr"/>
      <c r="O3397" s="55" t="inlineStr"/>
      <c r="P3397" s="16" t="inlineStr">
        <is>
          <t>Требует обогащения</t>
        </is>
      </c>
      <c r="Q3397" s="16">
        <f>HYPERLINK("https://pb.nalog.ru/search.html?query=4103000176","ФНС: проверить")</f>
        <v/>
      </c>
      <c r="R3397" s="16">
        <f>HYPERLINK("https://checko.ru/search?query=3801001629","Чекко: проверить")</f>
        <v/>
      </c>
      <c r="S3397" t="n">
        <v>1</v>
      </c>
      <c r="T3397" s="35" t="inlineStr">
        <is>
          <t>4 — Не обогащён</t>
        </is>
      </c>
      <c r="U3397" s="35" t="inlineStr">
        <is>
          <t>Нет ОКВЭД/ССЧР</t>
        </is>
      </c>
      <c r="V3397" s="35" t="inlineStr">
        <is>
          <t>Не определено</t>
        </is>
      </c>
      <c r="W3397" s="35" t="inlineStr"/>
      <c r="X3397" s="35" t="inlineStr"/>
    </row>
    <row r="3398" ht="15" customHeight="1" s="24">
      <c r="A3398" s="13" t="n">
        <v>5000122653</v>
      </c>
      <c r="B3398" s="13" t="inlineStr">
        <is>
          <t>Дума Алеутского муниципального района</t>
        </is>
      </c>
      <c r="C3398" s="13" t="n">
        <v>4103000680</v>
      </c>
      <c r="D3398" s="13" t="inlineStr">
        <is>
          <t>4103000680</t>
        </is>
      </c>
      <c r="E3398" s="13" t="inlineStr">
        <is>
          <t>ЮЛ РФ</t>
        </is>
      </c>
      <c r="F3398" s="13" t="n"/>
      <c r="G3398" s="14" t="n"/>
      <c r="H3398" s="14" t="n"/>
      <c r="I3398" s="14" t="n"/>
      <c r="J3398" s="14" t="n"/>
      <c r="K3398" s="53" t="inlineStr"/>
      <c r="L3398" s="53" t="inlineStr">
        <is>
          <t>Не определено</t>
        </is>
      </c>
      <c r="M3398" s="53" t="inlineStr"/>
      <c r="N3398" s="54" t="inlineStr"/>
      <c r="O3398" s="55" t="inlineStr"/>
      <c r="P3398" s="16" t="inlineStr">
        <is>
          <t>Требует обогащения</t>
        </is>
      </c>
      <c r="Q3398" s="16">
        <f>HYPERLINK("https://pb.nalog.ru/search.html?query=4103000680","ФНС: проверить")</f>
        <v/>
      </c>
      <c r="R3398" s="16">
        <f>HYPERLINK("https://checko.ru/search?query=3801001629","Чекко: проверить")</f>
        <v/>
      </c>
      <c r="S3398" t="n">
        <v>1</v>
      </c>
      <c r="T3398" s="35" t="inlineStr">
        <is>
          <t>4 — Не обогащён</t>
        </is>
      </c>
      <c r="U3398" s="35" t="inlineStr">
        <is>
          <t>Нет ОКВЭД/ССЧР</t>
        </is>
      </c>
      <c r="V3398" s="35" t="inlineStr">
        <is>
          <t>Не определено</t>
        </is>
      </c>
      <c r="W3398" s="35" t="inlineStr"/>
      <c r="X3398" s="35" t="inlineStr"/>
    </row>
    <row r="3399" ht="15" customHeight="1" s="24">
      <c r="A3399" s="13" t="n">
        <v>5000122647</v>
      </c>
      <c r="B3399" s="13" t="inlineStr">
        <is>
          <t>МБУ СЗ"РЕКРЕМСТРОЙКОНТРОЛЬ"</t>
        </is>
      </c>
      <c r="C3399" s="13" t="n">
        <v>4104003469</v>
      </c>
      <c r="D3399" s="13" t="inlineStr">
        <is>
          <t>4104003469</t>
        </is>
      </c>
      <c r="E3399" s="13" t="inlineStr">
        <is>
          <t>ЮЛ РФ</t>
        </is>
      </c>
      <c r="F3399" s="13" t="n"/>
      <c r="G3399" s="14" t="n"/>
      <c r="H3399" s="14" t="n"/>
      <c r="I3399" s="14" t="n"/>
      <c r="J3399" s="14" t="n"/>
      <c r="K3399" s="53" t="inlineStr"/>
      <c r="L3399" s="53" t="inlineStr">
        <is>
          <t>Не определено</t>
        </is>
      </c>
      <c r="M3399" s="53" t="inlineStr"/>
      <c r="N3399" s="54" t="inlineStr"/>
      <c r="O3399" s="55" t="inlineStr"/>
      <c r="P3399" s="16" t="inlineStr">
        <is>
          <t>Требует обогащения</t>
        </is>
      </c>
      <c r="Q3399" s="16">
        <f>HYPERLINK("https://pb.nalog.ru/search.html?query=4104003469","ФНС: проверить")</f>
        <v/>
      </c>
      <c r="R3399" s="16">
        <f>HYPERLINK("https://checko.ru/search?query=3801001629","Чекко: проверить")</f>
        <v/>
      </c>
      <c r="S3399" t="n">
        <v>1</v>
      </c>
      <c r="T3399" s="35" t="inlineStr">
        <is>
          <t>4 — Не обогащён</t>
        </is>
      </c>
      <c r="U3399" s="35" t="inlineStr">
        <is>
          <t>Нет ОКВЭД/ССЧР</t>
        </is>
      </c>
      <c r="V3399" s="35" t="inlineStr">
        <is>
          <t>Не определено</t>
        </is>
      </c>
      <c r="W3399" s="35" t="inlineStr"/>
      <c r="X3399" s="35" t="inlineStr"/>
    </row>
    <row r="3400" ht="27.75" customHeight="1" s="24">
      <c r="A3400" s="13" t="n">
        <v>5000122660</v>
      </c>
      <c r="B3400" s="13" t="inlineStr">
        <is>
          <t>МАУ "Центр культуры и досуга городского округа "поселок Палана"</t>
        </is>
      </c>
      <c r="C3400" s="13" t="n">
        <v>8202015808</v>
      </c>
      <c r="D3400" s="13" t="inlineStr">
        <is>
          <t>8202015808</t>
        </is>
      </c>
      <c r="E3400" s="13" t="inlineStr">
        <is>
          <t>ЮЛ РФ</t>
        </is>
      </c>
      <c r="F3400" s="13" t="n"/>
      <c r="G3400" s="14" t="n"/>
      <c r="H3400" s="14" t="n"/>
      <c r="I3400" s="14" t="n"/>
      <c r="J3400" s="14" t="n"/>
      <c r="K3400" s="53" t="inlineStr"/>
      <c r="L3400" s="53" t="inlineStr">
        <is>
          <t>Не определено</t>
        </is>
      </c>
      <c r="M3400" s="53" t="inlineStr"/>
      <c r="N3400" s="54" t="inlineStr"/>
      <c r="O3400" s="55" t="inlineStr"/>
      <c r="P3400" s="16" t="inlineStr">
        <is>
          <t>Требует обогащения</t>
        </is>
      </c>
      <c r="Q3400" s="16">
        <f>HYPERLINK("https://pb.nalog.ru/search.html?query=8202015808","ФНС: проверить")</f>
        <v/>
      </c>
      <c r="R3400" s="16">
        <f>HYPERLINK("https://checko.ru/search?query=3801001629","Чекко: проверить")</f>
        <v/>
      </c>
      <c r="S3400" t="n">
        <v>1</v>
      </c>
      <c r="T3400" s="35" t="inlineStr">
        <is>
          <t>4 — Не обогащён</t>
        </is>
      </c>
      <c r="U3400" s="35" t="inlineStr">
        <is>
          <t>Нет ОКВЭД/ССЧР</t>
        </is>
      </c>
      <c r="V3400" s="35" t="inlineStr">
        <is>
          <t>Не определено</t>
        </is>
      </c>
      <c r="W3400" s="35" t="inlineStr"/>
      <c r="X3400" s="35" t="inlineStr"/>
    </row>
    <row r="3401" ht="15" customHeight="1" s="24">
      <c r="A3401" s="13" t="n">
        <v>5000122888</v>
      </c>
      <c r="B3401" s="13" t="inlineStr">
        <is>
          <t>МБУ "ЦРЗК"</t>
        </is>
      </c>
      <c r="C3401" s="13" t="n">
        <v>5018181607</v>
      </c>
      <c r="D3401" s="13" t="inlineStr">
        <is>
          <t>5018181607</t>
        </is>
      </c>
      <c r="E3401" s="13" t="inlineStr">
        <is>
          <t>ЮЛ РФ</t>
        </is>
      </c>
      <c r="F3401" s="13" t="n"/>
      <c r="G3401" s="14" t="n"/>
      <c r="H3401" s="14" t="n"/>
      <c r="I3401" s="14" t="n"/>
      <c r="J3401" s="14" t="n"/>
      <c r="K3401" s="53" t="inlineStr"/>
      <c r="L3401" s="53" t="inlineStr">
        <is>
          <t>Не определено</t>
        </is>
      </c>
      <c r="M3401" s="53" t="inlineStr"/>
      <c r="N3401" s="54" t="inlineStr"/>
      <c r="O3401" s="55" t="inlineStr"/>
      <c r="P3401" s="16" t="inlineStr">
        <is>
          <t>Требует обогащения</t>
        </is>
      </c>
      <c r="Q3401" s="16">
        <f>HYPERLINK("https://pb.nalog.ru/search.html?query=5018181607","ФНС: проверить")</f>
        <v/>
      </c>
      <c r="R3401" s="16">
        <f>HYPERLINK("https://checko.ru/search?query=3801001629","Чекко: проверить")</f>
        <v/>
      </c>
      <c r="S3401" t="n">
        <v>1</v>
      </c>
      <c r="T3401" s="35" t="inlineStr">
        <is>
          <t>4 — Не обогащён</t>
        </is>
      </c>
      <c r="U3401" s="35" t="inlineStr">
        <is>
          <t>Нет ОКВЭД/ССЧР</t>
        </is>
      </c>
      <c r="V3401" s="35" t="inlineStr">
        <is>
          <t>Не определено</t>
        </is>
      </c>
      <c r="W3401" s="35" t="inlineStr"/>
      <c r="X3401" s="35" t="inlineStr"/>
    </row>
    <row r="3402" ht="15" customHeight="1" s="24">
      <c r="A3402" s="13" t="n">
        <v>5000034376</v>
      </c>
      <c r="B3402" s="13" t="inlineStr">
        <is>
          <t>АГЕНТСТВО ПО ТУРИЗМУ САХАЛИНСКОЙ ОБЛАСТИ</t>
        </is>
      </c>
      <c r="C3402" s="13" t="n">
        <v>6501304473</v>
      </c>
      <c r="D3402" s="13" t="inlineStr">
        <is>
          <t>6501304473</t>
        </is>
      </c>
      <c r="E3402" s="13" t="inlineStr">
        <is>
          <t>ЮЛ РФ</t>
        </is>
      </c>
      <c r="F3402" s="13" t="n"/>
      <c r="G3402" s="14" t="n"/>
      <c r="H3402" s="14" t="n"/>
      <c r="I3402" s="14" t="n"/>
      <c r="J3402" s="14" t="n"/>
      <c r="K3402" s="53" t="inlineStr"/>
      <c r="L3402" s="53" t="inlineStr">
        <is>
          <t>Не определено</t>
        </is>
      </c>
      <c r="M3402" s="53" t="inlineStr"/>
      <c r="N3402" s="54" t="inlineStr"/>
      <c r="O3402" s="55" t="inlineStr"/>
      <c r="P3402" s="16" t="inlineStr">
        <is>
          <t>Требует обогащения</t>
        </is>
      </c>
      <c r="Q3402" s="16">
        <f>HYPERLINK("https://pb.nalog.ru/search.html?query=6501304473","ФНС: проверить")</f>
        <v/>
      </c>
      <c r="R3402" s="16">
        <f>HYPERLINK("https://checko.ru/search?query=3801001629","Чекко: проверить")</f>
        <v/>
      </c>
      <c r="S3402" t="n">
        <v>1</v>
      </c>
      <c r="T3402" s="35" t="inlineStr">
        <is>
          <t>4 — Не обогащён</t>
        </is>
      </c>
      <c r="U3402" s="35" t="inlineStr">
        <is>
          <t>Нет ОКВЭД/ССЧР</t>
        </is>
      </c>
      <c r="V3402" s="35" t="inlineStr">
        <is>
          <t>Не определено</t>
        </is>
      </c>
      <c r="W3402" s="35" t="inlineStr"/>
      <c r="X3402" s="35" t="inlineStr"/>
    </row>
    <row r="3403" ht="27.75" customHeight="1" s="24">
      <c r="A3403" s="13" t="n">
        <v>5000090704</v>
      </c>
      <c r="B3403" s="13" t="inlineStr">
        <is>
          <t>Управление образования МО "Холмский городской округ"</t>
        </is>
      </c>
      <c r="C3403" s="13" t="n">
        <v>6509002940</v>
      </c>
      <c r="D3403" s="13" t="inlineStr">
        <is>
          <t>6509002940</t>
        </is>
      </c>
      <c r="E3403" s="13" t="inlineStr">
        <is>
          <t>ЮЛ РФ</t>
        </is>
      </c>
      <c r="F3403" s="13" t="n"/>
      <c r="G3403" s="14" t="n"/>
      <c r="H3403" s="14" t="n"/>
      <c r="I3403" s="14" t="n"/>
      <c r="J3403" s="14" t="n"/>
      <c r="K3403" s="53" t="inlineStr"/>
      <c r="L3403" s="53" t="inlineStr">
        <is>
          <t>Не определено</t>
        </is>
      </c>
      <c r="M3403" s="53" t="inlineStr"/>
      <c r="N3403" s="54" t="inlineStr"/>
      <c r="O3403" s="55" t="inlineStr"/>
      <c r="P3403" s="16" t="inlineStr">
        <is>
          <t>Требует обогащения</t>
        </is>
      </c>
      <c r="Q3403" s="16">
        <f>HYPERLINK("https://pb.nalog.ru/search.html?query=6509002940","ФНС: проверить")</f>
        <v/>
      </c>
      <c r="R3403" s="16">
        <f>HYPERLINK("https://checko.ru/search?query=3801001629","Чекко: проверить")</f>
        <v/>
      </c>
      <c r="S3403" t="n">
        <v>1</v>
      </c>
      <c r="T3403" s="35" t="inlineStr">
        <is>
          <t>4 — Не обогащён</t>
        </is>
      </c>
      <c r="U3403" s="35" t="inlineStr">
        <is>
          <t>Нет ОКВЭД/ССЧР</t>
        </is>
      </c>
      <c r="V3403" s="35" t="inlineStr">
        <is>
          <t>Не определено</t>
        </is>
      </c>
      <c r="W3403" s="35" t="inlineStr"/>
      <c r="X3403" s="35" t="inlineStr"/>
    </row>
    <row r="3404" ht="41.25" customHeight="1" s="24">
      <c r="A3404" s="13" t="n">
        <v>5000107347</v>
      </c>
      <c r="B3404" s="13" t="inlineStr">
        <is>
          <t>САХАЛИНСКОЕ ГОСУДАРСТВЕННОЕ КАЗЕННОЕ СПЕЦИАЛЬНОЕ УЧЕБНО-ВОСПИТАТЕЛЬНОЕ ОБЩЕОБРАЗОВАТЕЛЬНОЕ УЧРЕЖДЕНИ</t>
        </is>
      </c>
      <c r="C3404" s="13" t="n">
        <v>6509003012</v>
      </c>
      <c r="D3404" s="13" t="inlineStr">
        <is>
          <t>6509003012</t>
        </is>
      </c>
      <c r="E3404" s="13" t="inlineStr">
        <is>
          <t>ЮЛ РФ</t>
        </is>
      </c>
      <c r="F3404" s="13" t="n"/>
      <c r="G3404" s="14" t="n"/>
      <c r="H3404" s="14" t="n"/>
      <c r="I3404" s="14" t="n"/>
      <c r="J3404" s="14" t="n"/>
      <c r="K3404" s="53" t="inlineStr"/>
      <c r="L3404" s="53" t="inlineStr">
        <is>
          <t>Не определено</t>
        </is>
      </c>
      <c r="M3404" s="53" t="inlineStr"/>
      <c r="N3404" s="54" t="inlineStr"/>
      <c r="O3404" s="55" t="inlineStr"/>
      <c r="P3404" s="16" t="inlineStr">
        <is>
          <t>Требует обогащения</t>
        </is>
      </c>
      <c r="Q3404" s="16">
        <f>HYPERLINK("https://pb.nalog.ru/search.html?query=6509003012","ФНС: проверить")</f>
        <v/>
      </c>
      <c r="R3404" s="16">
        <f>HYPERLINK("https://checko.ru/search?query=3801001629","Чекко: проверить")</f>
        <v/>
      </c>
      <c r="S3404" t="n">
        <v>1</v>
      </c>
      <c r="T3404" s="35" t="inlineStr">
        <is>
          <t>4 — Не обогащён</t>
        </is>
      </c>
      <c r="U3404" s="35" t="inlineStr">
        <is>
          <t>Нет ОКВЭД/ССЧР</t>
        </is>
      </c>
      <c r="V3404" s="35" t="inlineStr">
        <is>
          <t>Не определено</t>
        </is>
      </c>
      <c r="W3404" s="35" t="inlineStr"/>
      <c r="X3404" s="35" t="inlineStr"/>
    </row>
    <row r="3405" ht="27.75" customHeight="1" s="24">
      <c r="A3405" s="13" t="n">
        <v>5000090704</v>
      </c>
      <c r="B3405" s="13" t="inlineStr">
        <is>
          <t>Управление образования МО "Холмский городской округ"</t>
        </is>
      </c>
      <c r="C3405" s="13" t="n">
        <v>6509002940</v>
      </c>
      <c r="D3405" s="13" t="inlineStr">
        <is>
          <t>6509002940</t>
        </is>
      </c>
      <c r="E3405" s="13" t="inlineStr">
        <is>
          <t>ЮЛ РФ</t>
        </is>
      </c>
      <c r="F3405" s="13" t="n"/>
      <c r="G3405" s="14" t="n"/>
      <c r="H3405" s="14" t="n"/>
      <c r="I3405" s="14" t="n"/>
      <c r="J3405" s="14" t="n"/>
      <c r="K3405" s="53" t="inlineStr"/>
      <c r="L3405" s="53" t="inlineStr">
        <is>
          <t>Не определено</t>
        </is>
      </c>
      <c r="M3405" s="53" t="inlineStr"/>
      <c r="N3405" s="54" t="inlineStr"/>
      <c r="O3405" s="55" t="inlineStr"/>
      <c r="P3405" s="16" t="inlineStr">
        <is>
          <t>Требует обогащения</t>
        </is>
      </c>
      <c r="Q3405" s="16">
        <f>HYPERLINK("https://pb.nalog.ru/search.html?query=6509002940","ФНС: проверить")</f>
        <v/>
      </c>
      <c r="R3405" s="16">
        <f>HYPERLINK("https://checko.ru/search?query=3801001629","Чекко: проверить")</f>
        <v/>
      </c>
      <c r="S3405" t="n">
        <v>0</v>
      </c>
      <c r="T3405" s="35" t="inlineStr">
        <is>
          <t>4 — Не обогащён</t>
        </is>
      </c>
      <c r="U3405" s="35" t="inlineStr">
        <is>
          <t>Нет ОКВЭД/ССЧР</t>
        </is>
      </c>
      <c r="V3405" s="35" t="inlineStr">
        <is>
          <t>Не определено</t>
        </is>
      </c>
      <c r="W3405" s="35" t="inlineStr"/>
      <c r="X3405" s="35" t="inlineStr"/>
    </row>
    <row r="3406" ht="41.25" customHeight="1" s="24">
      <c r="A3406" s="13" t="n">
        <v>5000106385</v>
      </c>
      <c r="B3406" s="13" t="inlineStr">
        <is>
          <t>Муниципальное Казённое учреждение "Единая Дежурно-Диспетчерская Служба-112 Муниципального Образования "Боханский Район"</t>
        </is>
      </c>
      <c r="C3406" s="13" t="n">
        <v>3849076559</v>
      </c>
      <c r="D3406" s="13" t="inlineStr">
        <is>
          <t>3849076559</t>
        </is>
      </c>
      <c r="E3406" s="13" t="inlineStr">
        <is>
          <t>ЮЛ РФ</t>
        </is>
      </c>
      <c r="F3406" s="13" t="n"/>
      <c r="G3406" s="14" t="n"/>
      <c r="H3406" s="14" t="n"/>
      <c r="I3406" s="14" t="n"/>
      <c r="J3406" s="14" t="n"/>
      <c r="K3406" s="53" t="inlineStr"/>
      <c r="L3406" s="53" t="inlineStr">
        <is>
          <t>Не определено</t>
        </is>
      </c>
      <c r="M3406" s="53" t="inlineStr"/>
      <c r="N3406" s="54" t="inlineStr"/>
      <c r="O3406" s="55" t="inlineStr"/>
      <c r="P3406" s="16" t="inlineStr">
        <is>
          <t>Требует обогащения</t>
        </is>
      </c>
      <c r="Q3406" s="16">
        <f>HYPERLINK("https://pb.nalog.ru/search.html?query=3849076559","ФНС: проверить")</f>
        <v/>
      </c>
      <c r="R3406" s="16">
        <f>HYPERLINK("https://checko.ru/search?query=3801001629","Чекко: проверить")</f>
        <v/>
      </c>
      <c r="S3406" t="n">
        <v>1</v>
      </c>
      <c r="T3406" s="35" t="inlineStr">
        <is>
          <t>4 — Не обогащён</t>
        </is>
      </c>
      <c r="U3406" s="35" t="inlineStr">
        <is>
          <t>Нет ОКВЭД/ССЧР</t>
        </is>
      </c>
      <c r="V3406" s="35" t="inlineStr">
        <is>
          <t>Не определено</t>
        </is>
      </c>
      <c r="W3406" s="35" t="inlineStr"/>
      <c r="X3406" s="35" t="inlineStr"/>
    </row>
    <row r="3407" ht="15" customHeight="1" s="24">
      <c r="A3407" s="13" t="n">
        <v>5000117588</v>
      </c>
      <c r="B3407" s="13" t="inlineStr">
        <is>
          <t>Собрание МО "Холмский городской округ"</t>
        </is>
      </c>
      <c r="C3407" s="13" t="n">
        <v>6509005500</v>
      </c>
      <c r="D3407" s="13" t="inlineStr">
        <is>
          <t>6509005500</t>
        </is>
      </c>
      <c r="E3407" s="13" t="inlineStr">
        <is>
          <t>ЮЛ РФ</t>
        </is>
      </c>
      <c r="F3407" s="13" t="n"/>
      <c r="G3407" s="14" t="n"/>
      <c r="H3407" s="14" t="n"/>
      <c r="I3407" s="14" t="n"/>
      <c r="J3407" s="14" t="n"/>
      <c r="K3407" s="53" t="inlineStr"/>
      <c r="L3407" s="53" t="inlineStr">
        <is>
          <t>Не определено</t>
        </is>
      </c>
      <c r="M3407" s="53" t="inlineStr"/>
      <c r="N3407" s="54" t="inlineStr"/>
      <c r="O3407" s="55" t="inlineStr"/>
      <c r="P3407" s="16" t="inlineStr">
        <is>
          <t>Требует обогащения</t>
        </is>
      </c>
      <c r="Q3407" s="16">
        <f>HYPERLINK("https://pb.nalog.ru/search.html?query=6509005500","ФНС: проверить")</f>
        <v/>
      </c>
      <c r="R3407" s="16">
        <f>HYPERLINK("https://checko.ru/search?query=3801001629","Чекко: проверить")</f>
        <v/>
      </c>
      <c r="S3407" t="n">
        <v>1</v>
      </c>
      <c r="T3407" s="35" t="inlineStr">
        <is>
          <t>4 — Не обогащён</t>
        </is>
      </c>
      <c r="U3407" s="35" t="inlineStr">
        <is>
          <t>Нет ОКВЭД/ССЧР</t>
        </is>
      </c>
      <c r="V3407" s="35" t="inlineStr">
        <is>
          <t>Не определено</t>
        </is>
      </c>
      <c r="W3407" s="35" t="inlineStr"/>
      <c r="X3407" s="35" t="inlineStr"/>
    </row>
    <row r="3408" ht="41.25" customHeight="1" s="24">
      <c r="A3408" s="13" t="n">
        <v>5000055080</v>
      </c>
      <c r="B3408" s="13" t="inlineStr">
        <is>
          <t>МУНИЦИПАЛЬНОЕ БЮДЖЕТНОЕ УЧРЕЖДЕНИЕ ДОПОЛНИТЕЛЬНОГО ОБРАЗОВАНИЯ "ДЕТСКАЯ ШКОЛА ИСКУССТВ С. КРАБОЗАВОДСКОЕ"</t>
        </is>
      </c>
      <c r="C3408" s="13" t="n">
        <v>6518007800</v>
      </c>
      <c r="D3408" s="13" t="inlineStr">
        <is>
          <t>6518007800</t>
        </is>
      </c>
      <c r="E3408" s="13" t="inlineStr">
        <is>
          <t>ЮЛ РФ</t>
        </is>
      </c>
      <c r="F3408" s="13" t="n"/>
      <c r="G3408" s="14" t="n"/>
      <c r="H3408" s="14" t="n"/>
      <c r="I3408" s="14" t="n"/>
      <c r="J3408" s="14" t="n"/>
      <c r="K3408" s="53" t="inlineStr"/>
      <c r="L3408" s="53" t="inlineStr">
        <is>
          <t>Не определено</t>
        </is>
      </c>
      <c r="M3408" s="53" t="inlineStr"/>
      <c r="N3408" s="54" t="inlineStr"/>
      <c r="O3408" s="55" t="inlineStr"/>
      <c r="P3408" s="16" t="inlineStr">
        <is>
          <t>Требует обогащения</t>
        </is>
      </c>
      <c r="Q3408" s="16">
        <f>HYPERLINK("https://pb.nalog.ru/search.html?query=6518007800","ФНС: проверить")</f>
        <v/>
      </c>
      <c r="R3408" s="16">
        <f>HYPERLINK("https://checko.ru/search?query=3801001629","Чекко: проверить")</f>
        <v/>
      </c>
      <c r="S3408" t="n">
        <v>1</v>
      </c>
      <c r="T3408" s="35" t="inlineStr">
        <is>
          <t>4 — Не обогащён</t>
        </is>
      </c>
      <c r="U3408" s="35" t="inlineStr">
        <is>
          <t>Нет ОКВЭД/ССЧР</t>
        </is>
      </c>
      <c r="V3408" s="35" t="inlineStr">
        <is>
          <t>Не определено</t>
        </is>
      </c>
      <c r="W3408" s="35" t="inlineStr"/>
      <c r="X3408" s="35" t="inlineStr"/>
    </row>
    <row r="3409" ht="41.25" customHeight="1" s="24">
      <c r="A3409" s="13" t="n">
        <v>5000055081</v>
      </c>
      <c r="B3409" s="13" t="inlineStr">
        <is>
          <t>МУНИЦИПАЛЬНОЕ БЮДЖЕТНОЕ УЧРЕЖДЕНИЕ КУЛЬТУРЫ "КРАБОЗАВОДСКОЙ ДОМ КУЛЬТУРЫ "УТРО РОДИНЫ"</t>
        </is>
      </c>
      <c r="C3409" s="13" t="n">
        <v>6518007976</v>
      </c>
      <c r="D3409" s="13" t="inlineStr">
        <is>
          <t>6518007976</t>
        </is>
      </c>
      <c r="E3409" s="13" t="inlineStr">
        <is>
          <t>ЮЛ РФ</t>
        </is>
      </c>
      <c r="F3409" s="13" t="n"/>
      <c r="G3409" s="14" t="n"/>
      <c r="H3409" s="14" t="n"/>
      <c r="I3409" s="14" t="n"/>
      <c r="J3409" s="14" t="n"/>
      <c r="K3409" s="53" t="inlineStr"/>
      <c r="L3409" s="53" t="inlineStr">
        <is>
          <t>Не определено</t>
        </is>
      </c>
      <c r="M3409" s="53" t="inlineStr"/>
      <c r="N3409" s="54" t="inlineStr"/>
      <c r="O3409" s="55" t="inlineStr"/>
      <c r="P3409" s="16" t="inlineStr">
        <is>
          <t>Требует обогащения</t>
        </is>
      </c>
      <c r="Q3409" s="16">
        <f>HYPERLINK("https://pb.nalog.ru/search.html?query=6518007976","ФНС: проверить")</f>
        <v/>
      </c>
      <c r="R3409" s="16">
        <f>HYPERLINK("https://checko.ru/search?query=3801001629","Чекко: проверить")</f>
        <v/>
      </c>
      <c r="S3409" t="n">
        <v>1</v>
      </c>
      <c r="T3409" s="35" t="inlineStr">
        <is>
          <t>4 — Не обогащён</t>
        </is>
      </c>
      <c r="U3409" s="35" t="inlineStr">
        <is>
          <t>Нет ОКВЭД/ССЧР</t>
        </is>
      </c>
      <c r="V3409" s="35" t="inlineStr">
        <is>
          <t>Не определено</t>
        </is>
      </c>
      <c r="W3409" s="35" t="inlineStr"/>
      <c r="X3409" s="35" t="inlineStr"/>
    </row>
    <row r="3410" ht="27.75" customHeight="1" s="24">
      <c r="A3410" s="13" t="n">
        <v>5000034377</v>
      </c>
      <c r="B3410" s="13" t="inlineStr">
        <is>
          <t>АГЕНТСТВО ПО ДЕЛАМ МОЛОДЕЖИ САХАЛИНСКОЙ ОБЛАСТИ</t>
        </is>
      </c>
      <c r="C3410" s="13" t="n">
        <v>6501304480</v>
      </c>
      <c r="D3410" s="13" t="inlineStr">
        <is>
          <t>6501304480</t>
        </is>
      </c>
      <c r="E3410" s="13" t="inlineStr">
        <is>
          <t>ЮЛ РФ</t>
        </is>
      </c>
      <c r="F3410" s="13" t="n"/>
      <c r="G3410" s="14" t="n"/>
      <c r="H3410" s="14" t="n"/>
      <c r="I3410" s="14" t="n"/>
      <c r="J3410" s="14" t="n"/>
      <c r="K3410" s="53" t="inlineStr"/>
      <c r="L3410" s="53" t="inlineStr">
        <is>
          <t>Не определено</t>
        </is>
      </c>
      <c r="M3410" s="53" t="inlineStr"/>
      <c r="N3410" s="54" t="inlineStr"/>
      <c r="O3410" s="55" t="inlineStr"/>
      <c r="P3410" s="16" t="inlineStr">
        <is>
          <t>Требует обогащения</t>
        </is>
      </c>
      <c r="Q3410" s="16">
        <f>HYPERLINK("https://pb.nalog.ru/search.html?query=6501304480","ФНС: проверить")</f>
        <v/>
      </c>
      <c r="R3410" s="16">
        <f>HYPERLINK("https://checko.ru/search?query=3801001629","Чекко: проверить")</f>
        <v/>
      </c>
      <c r="S3410" t="n">
        <v>1</v>
      </c>
      <c r="T3410" s="35" t="inlineStr">
        <is>
          <t>4 — Не обогащён</t>
        </is>
      </c>
      <c r="U3410" s="35" t="inlineStr">
        <is>
          <t>Нет ОКВЭД/ССЧР</t>
        </is>
      </c>
      <c r="V3410" s="35" t="inlineStr">
        <is>
          <t>Не определено</t>
        </is>
      </c>
      <c r="W3410" s="35" t="inlineStr"/>
      <c r="X3410" s="35" t="inlineStr"/>
    </row>
    <row r="3411" ht="27.75" customHeight="1" s="24">
      <c r="A3411" s="13" t="n">
        <v>5000034377</v>
      </c>
      <c r="B3411" s="13" t="inlineStr">
        <is>
          <t>АГЕНТСТВО ПО ДЕЛАМ МОЛОДЕЖИ САХАЛИНСКОЙ ОБЛАСТИ</t>
        </is>
      </c>
      <c r="C3411" s="13" t="n">
        <v>6501304480</v>
      </c>
      <c r="D3411" s="13" t="inlineStr">
        <is>
          <t>6501304480</t>
        </is>
      </c>
      <c r="E3411" s="13" t="inlineStr">
        <is>
          <t>ЮЛ РФ</t>
        </is>
      </c>
      <c r="F3411" s="13" t="n"/>
      <c r="G3411" s="14" t="n"/>
      <c r="H3411" s="14" t="n"/>
      <c r="I3411" s="14" t="n"/>
      <c r="J3411" s="14" t="n"/>
      <c r="K3411" s="53" t="inlineStr"/>
      <c r="L3411" s="53" t="inlineStr">
        <is>
          <t>Не определено</t>
        </is>
      </c>
      <c r="M3411" s="53" t="inlineStr"/>
      <c r="N3411" s="54" t="inlineStr"/>
      <c r="O3411" s="55" t="inlineStr"/>
      <c r="P3411" s="16" t="inlineStr">
        <is>
          <t>Требует обогащения</t>
        </is>
      </c>
      <c r="Q3411" s="16">
        <f>HYPERLINK("https://pb.nalog.ru/search.html?query=6501304480","ФНС: проверить")</f>
        <v/>
      </c>
      <c r="R3411" s="16">
        <f>HYPERLINK("https://checko.ru/search?query=3801001629","Чекко: проверить")</f>
        <v/>
      </c>
      <c r="S3411" t="n">
        <v>0</v>
      </c>
      <c r="T3411" s="35" t="inlineStr">
        <is>
          <t>4 — Не обогащён</t>
        </is>
      </c>
      <c r="U3411" s="35" t="inlineStr">
        <is>
          <t>Нет ОКВЭД/ССЧР</t>
        </is>
      </c>
      <c r="V3411" s="35" t="inlineStr">
        <is>
          <t>Не определено</t>
        </is>
      </c>
      <c r="W3411" s="35" t="inlineStr"/>
      <c r="X3411" s="35" t="inlineStr"/>
    </row>
    <row r="3412" ht="15" customHeight="1" s="24">
      <c r="A3412" s="13" t="n">
        <v>5000107370</v>
      </c>
      <c r="B3412" s="13" t="inlineStr">
        <is>
          <t>ГБПОУ "Сахалинский техникум сервиса"</t>
        </is>
      </c>
      <c r="C3412" s="13" t="n">
        <v>6501067342</v>
      </c>
      <c r="D3412" s="13" t="inlineStr">
        <is>
          <t>6501067342</t>
        </is>
      </c>
      <c r="E3412" s="13" t="inlineStr">
        <is>
          <t>ЮЛ РФ</t>
        </is>
      </c>
      <c r="F3412" s="13" t="n"/>
      <c r="G3412" s="14" t="n"/>
      <c r="H3412" s="14" t="n"/>
      <c r="I3412" s="14" t="n"/>
      <c r="J3412" s="14" t="n"/>
      <c r="K3412" s="53" t="inlineStr"/>
      <c r="L3412" s="53" t="inlineStr">
        <is>
          <t>Не определено</t>
        </is>
      </c>
      <c r="M3412" s="53" t="inlineStr"/>
      <c r="N3412" s="54" t="inlineStr"/>
      <c r="O3412" s="55" t="inlineStr"/>
      <c r="P3412" s="16" t="inlineStr">
        <is>
          <t>Требует обогащения</t>
        </is>
      </c>
      <c r="Q3412" s="16">
        <f>HYPERLINK("https://pb.nalog.ru/search.html?query=6501067342","ФНС: проверить")</f>
        <v/>
      </c>
      <c r="R3412" s="16">
        <f>HYPERLINK("https://checko.ru/search?query=3801001629","Чекко: проверить")</f>
        <v/>
      </c>
      <c r="S3412" t="n">
        <v>1</v>
      </c>
      <c r="T3412" s="35" t="inlineStr">
        <is>
          <t>4 — Не обогащён</t>
        </is>
      </c>
      <c r="U3412" s="35" t="inlineStr">
        <is>
          <t>Нет ОКВЭД/ССЧР</t>
        </is>
      </c>
      <c r="V3412" s="35" t="inlineStr">
        <is>
          <t>Не определено</t>
        </is>
      </c>
      <c r="W3412" s="35" t="inlineStr"/>
      <c r="X3412" s="35" t="inlineStr"/>
    </row>
    <row r="3413" ht="15" customHeight="1" s="24">
      <c r="A3413" s="13" t="n">
        <v>5000034376</v>
      </c>
      <c r="B3413" s="13" t="inlineStr">
        <is>
          <t>АГЕНТСТВО ПО ТУРИЗМУ САХАЛИНСКОЙ ОБЛАСТИ</t>
        </is>
      </c>
      <c r="C3413" s="13" t="n">
        <v>6501304473</v>
      </c>
      <c r="D3413" s="13" t="inlineStr">
        <is>
          <t>6501304473</t>
        </is>
      </c>
      <c r="E3413" s="13" t="inlineStr">
        <is>
          <t>ЮЛ РФ</t>
        </is>
      </c>
      <c r="F3413" s="13" t="n"/>
      <c r="G3413" s="14" t="n"/>
      <c r="H3413" s="14" t="n"/>
      <c r="I3413" s="14" t="n"/>
      <c r="J3413" s="14" t="n"/>
      <c r="K3413" s="53" t="inlineStr"/>
      <c r="L3413" s="53" t="inlineStr">
        <is>
          <t>Не определено</t>
        </is>
      </c>
      <c r="M3413" s="53" t="inlineStr"/>
      <c r="N3413" s="54" t="inlineStr"/>
      <c r="O3413" s="55" t="inlineStr"/>
      <c r="P3413" s="16" t="inlineStr">
        <is>
          <t>Требует обогащения</t>
        </is>
      </c>
      <c r="Q3413" s="16">
        <f>HYPERLINK("https://pb.nalog.ru/search.html?query=6501304473","ФНС: проверить")</f>
        <v/>
      </c>
      <c r="R3413" s="16">
        <f>HYPERLINK("https://checko.ru/search?query=3801001629","Чекко: проверить")</f>
        <v/>
      </c>
      <c r="S3413" t="n">
        <v>0</v>
      </c>
      <c r="T3413" s="35" t="inlineStr">
        <is>
          <t>4 — Не обогащён</t>
        </is>
      </c>
      <c r="U3413" s="35" t="inlineStr">
        <is>
          <t>Нет ОКВЭД/ССЧР</t>
        </is>
      </c>
      <c r="V3413" s="35" t="inlineStr">
        <is>
          <t>Не определено</t>
        </is>
      </c>
      <c r="W3413" s="35" t="inlineStr"/>
      <c r="X3413" s="35" t="inlineStr"/>
    </row>
    <row r="3414" ht="41.25" customHeight="1" s="24">
      <c r="A3414" s="13" t="n">
        <v>5000034375</v>
      </c>
      <c r="B3414" s="13" t="inlineStr">
        <is>
          <t>АГЕНТСТВО ПО СТРАТЕГИЧЕСКИМ ПРОЕКТАМ И ГОСУДАРСТВЕННО-ЧАСТНОМУ ПАРТНЕРСТВУ САХАЛИНСКОЙ ОБЛАСТИ</t>
        </is>
      </c>
      <c r="C3414" s="13" t="n">
        <v>6501304924</v>
      </c>
      <c r="D3414" s="13" t="inlineStr">
        <is>
          <t>6501304924</t>
        </is>
      </c>
      <c r="E3414" s="13" t="inlineStr">
        <is>
          <t>ЮЛ РФ</t>
        </is>
      </c>
      <c r="F3414" s="13" t="n"/>
      <c r="G3414" s="14" t="n"/>
      <c r="H3414" s="14" t="n"/>
      <c r="I3414" s="14" t="n"/>
      <c r="J3414" s="14" t="n"/>
      <c r="K3414" s="53" t="inlineStr"/>
      <c r="L3414" s="53" t="inlineStr">
        <is>
          <t>Не определено</t>
        </is>
      </c>
      <c r="M3414" s="53" t="inlineStr"/>
      <c r="N3414" s="54" t="inlineStr"/>
      <c r="O3414" s="55" t="inlineStr"/>
      <c r="P3414" s="16" t="inlineStr">
        <is>
          <t>Требует обогащения</t>
        </is>
      </c>
      <c r="Q3414" s="16">
        <f>HYPERLINK("https://pb.nalog.ru/search.html?query=6501304924","ФНС: проверить")</f>
        <v/>
      </c>
      <c r="R3414" s="16">
        <f>HYPERLINK("https://checko.ru/search?query=3801001629","Чекко: проверить")</f>
        <v/>
      </c>
      <c r="S3414" t="n">
        <v>1</v>
      </c>
      <c r="T3414" s="35" t="inlineStr">
        <is>
          <t>4 — Не обогащён</t>
        </is>
      </c>
      <c r="U3414" s="35" t="inlineStr">
        <is>
          <t>Нет ОКВЭД/ССЧР</t>
        </is>
      </c>
      <c r="V3414" s="35" t="inlineStr">
        <is>
          <t>Не определено</t>
        </is>
      </c>
      <c r="W3414" s="35" t="inlineStr"/>
      <c r="X3414" s="35" t="inlineStr"/>
    </row>
    <row r="3415" ht="41.25" customHeight="1" s="24">
      <c r="A3415" s="13" t="n">
        <v>5000034375</v>
      </c>
      <c r="B3415" s="13" t="inlineStr">
        <is>
          <t>АГЕНТСТВО ПО СТРАТЕГИЧЕСКИМ ПРОЕКТАМ И ГОСУДАРСТВЕННО-ЧАСТНОМУ ПАРТНЕРСТВУ САХАЛИНСКОЙ ОБЛАСТИ</t>
        </is>
      </c>
      <c r="C3415" s="13" t="n">
        <v>6501304924</v>
      </c>
      <c r="D3415" s="13" t="inlineStr">
        <is>
          <t>6501304924</t>
        </is>
      </c>
      <c r="E3415" s="13" t="inlineStr">
        <is>
          <t>ЮЛ РФ</t>
        </is>
      </c>
      <c r="F3415" s="13" t="n"/>
      <c r="G3415" s="14" t="n"/>
      <c r="H3415" s="14" t="n"/>
      <c r="I3415" s="14" t="n"/>
      <c r="J3415" s="14" t="n"/>
      <c r="K3415" s="53" t="inlineStr"/>
      <c r="L3415" s="53" t="inlineStr">
        <is>
          <t>Не определено</t>
        </is>
      </c>
      <c r="M3415" s="53" t="inlineStr"/>
      <c r="N3415" s="54" t="inlineStr"/>
      <c r="O3415" s="55" t="inlineStr"/>
      <c r="P3415" s="16" t="inlineStr">
        <is>
          <t>Требует обогащения</t>
        </is>
      </c>
      <c r="Q3415" s="16">
        <f>HYPERLINK("https://pb.nalog.ru/search.html?query=6501304924","ФНС: проверить")</f>
        <v/>
      </c>
      <c r="R3415" s="16">
        <f>HYPERLINK("https://checko.ru/search?query=3801001629","Чекко: проверить")</f>
        <v/>
      </c>
      <c r="S3415" t="n">
        <v>0</v>
      </c>
      <c r="T3415" s="35" t="inlineStr">
        <is>
          <t>4 — Не обогащён</t>
        </is>
      </c>
      <c r="U3415" s="35" t="inlineStr">
        <is>
          <t>Нет ОКВЭД/ССЧР</t>
        </is>
      </c>
      <c r="V3415" s="35" t="inlineStr">
        <is>
          <t>Не определено</t>
        </is>
      </c>
      <c r="W3415" s="35" t="inlineStr"/>
      <c r="X3415" s="35" t="inlineStr"/>
    </row>
    <row r="3416" ht="54.75" customHeight="1" s="24">
      <c r="A3416" s="13" t="n">
        <v>5000051744</v>
      </c>
      <c r="B3416" s="13" t="inlineStr">
        <is>
          <t>МБУ дополнительного образования «Дом детского творчества»;6501299167;650101001;0;Бюджет;Кузьмина Марина Евгеньевна;Куз</t>
        </is>
      </c>
      <c r="C3416" s="13" t="n">
        <v>6510902744</v>
      </c>
      <c r="D3416" s="13" t="inlineStr">
        <is>
          <t>6510902744</t>
        </is>
      </c>
      <c r="E3416" s="13" t="inlineStr">
        <is>
          <t>ЮЛ РФ</t>
        </is>
      </c>
      <c r="F3416" s="13" t="n"/>
      <c r="G3416" s="14" t="n"/>
      <c r="H3416" s="14" t="n"/>
      <c r="I3416" s="14" t="n"/>
      <c r="J3416" s="14" t="n"/>
      <c r="K3416" s="53" t="inlineStr"/>
      <c r="L3416" s="53" t="inlineStr">
        <is>
          <t>Не определено</t>
        </is>
      </c>
      <c r="M3416" s="53" t="inlineStr"/>
      <c r="N3416" s="54" t="inlineStr"/>
      <c r="O3416" s="55" t="inlineStr"/>
      <c r="P3416" s="16" t="inlineStr">
        <is>
          <t>Требует обогащения</t>
        </is>
      </c>
      <c r="Q3416" s="16">
        <f>HYPERLINK("https://pb.nalog.ru/search.html?query=6510902744","ФНС: проверить")</f>
        <v/>
      </c>
      <c r="R3416" s="16">
        <f>HYPERLINK("https://checko.ru/search?query=3801001629","Чекко: проверить")</f>
        <v/>
      </c>
      <c r="S3416" t="n">
        <v>1</v>
      </c>
      <c r="T3416" s="35" t="inlineStr">
        <is>
          <t>4 — Не обогащён</t>
        </is>
      </c>
      <c r="U3416" s="35" t="inlineStr">
        <is>
          <t>Нет ОКВЭД/ССЧР</t>
        </is>
      </c>
      <c r="V3416" s="35" t="inlineStr">
        <is>
          <t>Не определено</t>
        </is>
      </c>
      <c r="W3416" s="35" t="inlineStr"/>
      <c r="X3416" s="35" t="inlineStr"/>
    </row>
    <row r="3417" ht="15" customHeight="1" s="24">
      <c r="A3417" s="13" t="n">
        <v>5000122890</v>
      </c>
      <c r="B3417" s="13" t="inlineStr">
        <is>
          <t>МБУ "Управление МТО"</t>
        </is>
      </c>
      <c r="C3417" s="13" t="n">
        <v>5018176847</v>
      </c>
      <c r="D3417" s="13" t="inlineStr">
        <is>
          <t>5018176847</t>
        </is>
      </c>
      <c r="E3417" s="13" t="inlineStr">
        <is>
          <t>ЮЛ РФ</t>
        </is>
      </c>
      <c r="F3417" s="13" t="n"/>
      <c r="G3417" s="14" t="n"/>
      <c r="H3417" s="14" t="n"/>
      <c r="I3417" s="14" t="n"/>
      <c r="J3417" s="14" t="n"/>
      <c r="K3417" s="53" t="inlineStr"/>
      <c r="L3417" s="53" t="inlineStr">
        <is>
          <t>Не определено</t>
        </is>
      </c>
      <c r="M3417" s="53" t="inlineStr"/>
      <c r="N3417" s="54" t="inlineStr"/>
      <c r="O3417" s="55" t="inlineStr"/>
      <c r="P3417" s="16" t="inlineStr">
        <is>
          <t>Требует обогащения</t>
        </is>
      </c>
      <c r="Q3417" s="16">
        <f>HYPERLINK("https://pb.nalog.ru/search.html?query=5018176847","ФНС: проверить")</f>
        <v/>
      </c>
      <c r="R3417" s="16">
        <f>HYPERLINK("https://checko.ru/search?query=3801001629","Чекко: проверить")</f>
        <v/>
      </c>
      <c r="S3417" t="n">
        <v>1</v>
      </c>
      <c r="T3417" s="35" t="inlineStr">
        <is>
          <t>4 — Не обогащён</t>
        </is>
      </c>
      <c r="U3417" s="35" t="inlineStr">
        <is>
          <t>Нет ОКВЭД/ССЧР</t>
        </is>
      </c>
      <c r="V3417" s="35" t="inlineStr">
        <is>
          <t>Не определено</t>
        </is>
      </c>
      <c r="W3417" s="35" t="inlineStr"/>
      <c r="X3417" s="35" t="inlineStr"/>
    </row>
    <row r="3418" ht="41.25" customHeight="1" s="24">
      <c r="A3418" s="13" t="n">
        <v>5000055084</v>
      </c>
      <c r="B3418" s="13" t="inlineStr">
        <is>
          <t>МУНИЦИПАЛЬНОЕ БЮДЖЕТНОЕ ДОШКОЛЬНОЕ ОБРАЗОВАТЕЛЬНОЕ УЧРЕЖДЕНИЕ "ДЕТСКИЙ САД "ОСТРОВОК"</t>
        </is>
      </c>
      <c r="C3418" s="13" t="n">
        <v>6518009349</v>
      </c>
      <c r="D3418" s="13" t="inlineStr">
        <is>
          <t>6518009349</t>
        </is>
      </c>
      <c r="E3418" s="13" t="inlineStr">
        <is>
          <t>ЮЛ РФ</t>
        </is>
      </c>
      <c r="F3418" s="13" t="n"/>
      <c r="G3418" s="14" t="n"/>
      <c r="H3418" s="14" t="n"/>
      <c r="I3418" s="14" t="n"/>
      <c r="J3418" s="14" t="n"/>
      <c r="K3418" s="53" t="inlineStr"/>
      <c r="L3418" s="53" t="inlineStr">
        <is>
          <t>Не определено</t>
        </is>
      </c>
      <c r="M3418" s="53" t="inlineStr"/>
      <c r="N3418" s="54" t="inlineStr"/>
      <c r="O3418" s="55" t="inlineStr"/>
      <c r="P3418" s="16" t="inlineStr">
        <is>
          <t>Требует обогащения</t>
        </is>
      </c>
      <c r="Q3418" s="16">
        <f>HYPERLINK("https://pb.nalog.ru/search.html?query=6518009349","ФНС: проверить")</f>
        <v/>
      </c>
      <c r="R3418" s="16">
        <f>HYPERLINK("https://checko.ru/search?query=3801001629","Чекко: проверить")</f>
        <v/>
      </c>
      <c r="S3418" t="n">
        <v>1</v>
      </c>
      <c r="T3418" s="35" t="inlineStr">
        <is>
          <t>4 — Не обогащён</t>
        </is>
      </c>
      <c r="U3418" s="35" t="inlineStr">
        <is>
          <t>Нет ОКВЭД/ССЧР</t>
        </is>
      </c>
      <c r="V3418" s="35" t="inlineStr">
        <is>
          <t>Не определено</t>
        </is>
      </c>
      <c r="W3418" s="35" t="inlineStr"/>
      <c r="X3418" s="35" t="inlineStr"/>
    </row>
    <row r="3419" ht="41.25" customHeight="1" s="24">
      <c r="A3419" s="13" t="n">
        <v>5000055085</v>
      </c>
      <c r="B3419" s="13" t="inlineStr">
        <is>
          <t>МУНИЦИПАЛЬНОЕ БЮДЖЕТНОЕ ДОШКОЛЬНОЕ ОБРАЗОВАТЕЛЬНОЕ УЧРЕЖДЕНИЕ ДЕТСКИЙ САД "ЗВЁЗДОЧКА"</t>
        </is>
      </c>
      <c r="C3419" s="13" t="n">
        <v>6518006806</v>
      </c>
      <c r="D3419" s="13" t="inlineStr">
        <is>
          <t>6518006806</t>
        </is>
      </c>
      <c r="E3419" s="13" t="inlineStr">
        <is>
          <t>ЮЛ РФ</t>
        </is>
      </c>
      <c r="F3419" s="13" t="n"/>
      <c r="G3419" s="14" t="n"/>
      <c r="H3419" s="14" t="n"/>
      <c r="I3419" s="14" t="n"/>
      <c r="J3419" s="14" t="n"/>
      <c r="K3419" s="53" t="inlineStr"/>
      <c r="L3419" s="53" t="inlineStr">
        <is>
          <t>Не определено</t>
        </is>
      </c>
      <c r="M3419" s="53" t="inlineStr"/>
      <c r="N3419" s="54" t="inlineStr"/>
      <c r="O3419" s="55" t="inlineStr"/>
      <c r="P3419" s="16" t="inlineStr">
        <is>
          <t>Требует обогащения</t>
        </is>
      </c>
      <c r="Q3419" s="16">
        <f>HYPERLINK("https://pb.nalog.ru/search.html?query=6518006806","ФНС: проверить")</f>
        <v/>
      </c>
      <c r="R3419" s="16">
        <f>HYPERLINK("https://checko.ru/search?query=3801001629","Чекко: проверить")</f>
        <v/>
      </c>
      <c r="S3419" t="n">
        <v>1</v>
      </c>
      <c r="T3419" s="35" t="inlineStr">
        <is>
          <t>4 — Не обогащён</t>
        </is>
      </c>
      <c r="U3419" s="35" t="inlineStr">
        <is>
          <t>Нет ОКВЭД/ССЧР</t>
        </is>
      </c>
      <c r="V3419" s="35" t="inlineStr">
        <is>
          <t>Не определено</t>
        </is>
      </c>
      <c r="W3419" s="35" t="inlineStr"/>
      <c r="X3419" s="35" t="inlineStr"/>
    </row>
    <row r="3420" ht="41.25" customHeight="1" s="24">
      <c r="A3420" s="13" t="n">
        <v>5000055086</v>
      </c>
      <c r="B3420" s="13" t="inlineStr">
        <is>
          <t>МУНИЦИПАЛЬНОЕ БЮДЖЕТНОЕ ДОШКОЛЬНОЕ ОБРАЗОВАТЕЛЬНОЕ УЧРЕЖДЕНИЕ ДЕТСКИЙ САД "РОМАШКА"</t>
        </is>
      </c>
      <c r="C3420" s="13" t="n">
        <v>6518006813</v>
      </c>
      <c r="D3420" s="13" t="inlineStr">
        <is>
          <t>6518006813</t>
        </is>
      </c>
      <c r="E3420" s="13" t="inlineStr">
        <is>
          <t>ЮЛ РФ</t>
        </is>
      </c>
      <c r="F3420" s="13" t="n"/>
      <c r="G3420" s="14" t="n"/>
      <c r="H3420" s="14" t="n"/>
      <c r="I3420" s="14" t="n"/>
      <c r="J3420" s="14" t="n"/>
      <c r="K3420" s="53" t="inlineStr"/>
      <c r="L3420" s="53" t="inlineStr">
        <is>
          <t>Не определено</t>
        </is>
      </c>
      <c r="M3420" s="53" t="inlineStr"/>
      <c r="N3420" s="54" t="inlineStr"/>
      <c r="O3420" s="55" t="inlineStr"/>
      <c r="P3420" s="16" t="inlineStr">
        <is>
          <t>Требует обогащения</t>
        </is>
      </c>
      <c r="Q3420" s="16">
        <f>HYPERLINK("https://pb.nalog.ru/search.html?query=6518006813","ФНС: проверить")</f>
        <v/>
      </c>
      <c r="R3420" s="16">
        <f>HYPERLINK("https://checko.ru/search?query=3801001629","Чекко: проверить")</f>
        <v/>
      </c>
      <c r="S3420" t="n">
        <v>1</v>
      </c>
      <c r="T3420" s="35" t="inlineStr">
        <is>
          <t>4 — Не обогащён</t>
        </is>
      </c>
      <c r="U3420" s="35" t="inlineStr">
        <is>
          <t>Нет ОКВЭД/ССЧР</t>
        </is>
      </c>
      <c r="V3420" s="35" t="inlineStr">
        <is>
          <t>Не определено</t>
        </is>
      </c>
      <c r="W3420" s="35" t="inlineStr"/>
      <c r="X3420" s="35" t="inlineStr"/>
    </row>
    <row r="3421" ht="54.75" customHeight="1" s="24">
      <c r="A3421" s="13" t="n">
        <v>5000055087</v>
      </c>
      <c r="B3421" s="13" t="inlineStr">
        <is>
          <t>МУНИЦИПАЛЬНОЕ БЮДЖЕТНОЕ ОБЩЕОБРАЗОВАТЕЛЬНОЕ УЧРЕЖДЕНИЕ "СРЕДНЯЯ ОБЩЕОБРАЗОВАТЕЛЬНАЯ ШКОЛА С. КРАБОЗАВОДСКОЕ"</t>
        </is>
      </c>
      <c r="C3421" s="13" t="n">
        <v>6518006820</v>
      </c>
      <c r="D3421" s="13" t="inlineStr">
        <is>
          <t>6518006820</t>
        </is>
      </c>
      <c r="E3421" s="13" t="inlineStr">
        <is>
          <t>ЮЛ РФ</t>
        </is>
      </c>
      <c r="F3421" s="13" t="n"/>
      <c r="G3421" s="14" t="n"/>
      <c r="H3421" s="14" t="n"/>
      <c r="I3421" s="14" t="n"/>
      <c r="J3421" s="14" t="n"/>
      <c r="K3421" s="53" t="inlineStr"/>
      <c r="L3421" s="53" t="inlineStr">
        <is>
          <t>Не определено</t>
        </is>
      </c>
      <c r="M3421" s="53" t="inlineStr"/>
      <c r="N3421" s="54" t="inlineStr"/>
      <c r="O3421" s="55" t="inlineStr"/>
      <c r="P3421" s="16" t="inlineStr">
        <is>
          <t>Требует обогащения</t>
        </is>
      </c>
      <c r="Q3421" s="16">
        <f>HYPERLINK("https://pb.nalog.ru/search.html?query=6518006820","ФНС: проверить")</f>
        <v/>
      </c>
      <c r="R3421" s="16">
        <f>HYPERLINK("https://checko.ru/search?query=3801001629","Чекко: проверить")</f>
        <v/>
      </c>
      <c r="S3421" t="n">
        <v>1</v>
      </c>
      <c r="T3421" s="35" t="inlineStr">
        <is>
          <t>4 — Не обогащён</t>
        </is>
      </c>
      <c r="U3421" s="35" t="inlineStr">
        <is>
          <t>Нет ОКВЭД/ССЧР</t>
        </is>
      </c>
      <c r="V3421" s="35" t="inlineStr">
        <is>
          <t>Не определено</t>
        </is>
      </c>
      <c r="W3421" s="35" t="inlineStr"/>
      <c r="X3421" s="35" t="inlineStr"/>
    </row>
    <row r="3422" ht="54.75" customHeight="1" s="24">
      <c r="A3422" s="13" t="n">
        <v>5000055088</v>
      </c>
      <c r="B3422" s="13" t="inlineStr">
        <is>
          <t>МУНИЦИПАЛЬНОЕ БЮДЖЕТНОЕ ОБЩЕОБРАЗОВАТЕЛЬНОЕ УЧРЕЖДЕНИЕ "СРЕДНЯЯ ОБЩЕОБРАЗОВАТЕЛЬНАЯ ШКОЛА С. МАЛОКУРИЛЬСКОЕ"</t>
        </is>
      </c>
      <c r="C3422" s="13" t="n">
        <v>6518006838</v>
      </c>
      <c r="D3422" s="13" t="inlineStr">
        <is>
          <t>6518006838</t>
        </is>
      </c>
      <c r="E3422" s="13" t="inlineStr">
        <is>
          <t>ЮЛ РФ</t>
        </is>
      </c>
      <c r="F3422" s="13" t="n"/>
      <c r="G3422" s="14" t="n"/>
      <c r="H3422" s="14" t="n"/>
      <c r="I3422" s="14" t="n"/>
      <c r="J3422" s="14" t="n"/>
      <c r="K3422" s="53" t="inlineStr"/>
      <c r="L3422" s="53" t="inlineStr">
        <is>
          <t>Не определено</t>
        </is>
      </c>
      <c r="M3422" s="53" t="inlineStr"/>
      <c r="N3422" s="54" t="inlineStr"/>
      <c r="O3422" s="55" t="inlineStr"/>
      <c r="P3422" s="16" t="inlineStr">
        <is>
          <t>Требует обогащения</t>
        </is>
      </c>
      <c r="Q3422" s="16">
        <f>HYPERLINK("https://pb.nalog.ru/search.html?query=6518006838","ФНС: проверить")</f>
        <v/>
      </c>
      <c r="R3422" s="16">
        <f>HYPERLINK("https://checko.ru/search?query=3801001629","Чекко: проверить")</f>
        <v/>
      </c>
      <c r="S3422" t="n">
        <v>1</v>
      </c>
      <c r="T3422" s="35" t="inlineStr">
        <is>
          <t>4 — Не обогащён</t>
        </is>
      </c>
      <c r="U3422" s="35" t="inlineStr">
        <is>
          <t>Нет ОКВЭД/ССЧР</t>
        </is>
      </c>
      <c r="V3422" s="35" t="inlineStr">
        <is>
          <t>Не определено</t>
        </is>
      </c>
      <c r="W3422" s="35" t="inlineStr"/>
      <c r="X3422" s="35" t="inlineStr"/>
    </row>
    <row r="3423" ht="27.75" customHeight="1" s="24">
      <c r="A3423" s="13" t="n">
        <v>5000122893</v>
      </c>
      <c r="B3423" s="13" t="inlineStr">
        <is>
          <t>МКУ "КОРОЛЁВСКИЙ ЦЕНТР БЕЗОПАСНОСТИ, ГОЧС"</t>
        </is>
      </c>
      <c r="C3423" s="13" t="n">
        <v>5018134364</v>
      </c>
      <c r="D3423" s="13" t="inlineStr">
        <is>
          <t>5018134364</t>
        </is>
      </c>
      <c r="E3423" s="13" t="inlineStr">
        <is>
          <t>ЮЛ РФ</t>
        </is>
      </c>
      <c r="F3423" s="13" t="n"/>
      <c r="G3423" s="14" t="n"/>
      <c r="H3423" s="14" t="n"/>
      <c r="I3423" s="14" t="n"/>
      <c r="J3423" s="14" t="n"/>
      <c r="K3423" s="53" t="inlineStr"/>
      <c r="L3423" s="53" t="inlineStr">
        <is>
          <t>Не определено</t>
        </is>
      </c>
      <c r="M3423" s="53" t="inlineStr"/>
      <c r="N3423" s="54" t="inlineStr"/>
      <c r="O3423" s="55" t="inlineStr"/>
      <c r="P3423" s="16" t="inlineStr">
        <is>
          <t>Требует обогащения</t>
        </is>
      </c>
      <c r="Q3423" s="16">
        <f>HYPERLINK("https://pb.nalog.ru/search.html?query=5018134364","ФНС: проверить")</f>
        <v/>
      </c>
      <c r="R3423" s="16">
        <f>HYPERLINK("https://checko.ru/search?query=3801001629","Чекко: проверить")</f>
        <v/>
      </c>
      <c r="S3423" t="n">
        <v>1</v>
      </c>
      <c r="T3423" s="35" t="inlineStr">
        <is>
          <t>4 — Не обогащён</t>
        </is>
      </c>
      <c r="U3423" s="35" t="inlineStr">
        <is>
          <t>Нет ОКВЭД/ССЧР</t>
        </is>
      </c>
      <c r="V3423" s="35" t="inlineStr">
        <is>
          <t>Не определено</t>
        </is>
      </c>
      <c r="W3423" s="35" t="inlineStr"/>
      <c r="X3423" s="35" t="inlineStr"/>
    </row>
    <row r="3424" ht="15" customHeight="1" s="24">
      <c r="A3424" s="13" t="n">
        <v>5000122889</v>
      </c>
      <c r="B3424" s="13" t="inlineStr">
        <is>
          <t>Автобытдор, МБУ</t>
        </is>
      </c>
      <c r="C3424" s="13" t="n">
        <v>5018185898</v>
      </c>
      <c r="D3424" s="13" t="inlineStr">
        <is>
          <t>5018185898</t>
        </is>
      </c>
      <c r="E3424" s="13" t="inlineStr">
        <is>
          <t>ЮЛ РФ</t>
        </is>
      </c>
      <c r="F3424" s="13" t="n"/>
      <c r="G3424" s="14" t="n"/>
      <c r="H3424" s="14" t="n"/>
      <c r="I3424" s="14" t="n"/>
      <c r="J3424" s="14" t="n"/>
      <c r="K3424" s="53" t="inlineStr"/>
      <c r="L3424" s="53" t="inlineStr">
        <is>
          <t>Не определено</t>
        </is>
      </c>
      <c r="M3424" s="53" t="inlineStr"/>
      <c r="N3424" s="54" t="inlineStr"/>
      <c r="O3424" s="55" t="inlineStr"/>
      <c r="P3424" s="16" t="inlineStr">
        <is>
          <t>Требует обогащения</t>
        </is>
      </c>
      <c r="Q3424" s="16">
        <f>HYPERLINK("https://pb.nalog.ru/search.html?query=5018185898","ФНС: проверить")</f>
        <v/>
      </c>
      <c r="R3424" s="16">
        <f>HYPERLINK("https://checko.ru/search?query=3801001629","Чекко: проверить")</f>
        <v/>
      </c>
      <c r="S3424" t="n">
        <v>1</v>
      </c>
      <c r="T3424" s="35" t="inlineStr">
        <is>
          <t>4 — Не обогащён</t>
        </is>
      </c>
      <c r="U3424" s="35" t="inlineStr">
        <is>
          <t>Нет ОКВЭД/ССЧР</t>
        </is>
      </c>
      <c r="V3424" s="35" t="inlineStr">
        <is>
          <t>Не определено</t>
        </is>
      </c>
      <c r="W3424" s="35" t="inlineStr"/>
      <c r="X3424" s="35" t="inlineStr"/>
    </row>
    <row r="3425" ht="27.75" customHeight="1" s="24">
      <c r="A3425" s="13" t="n">
        <v>5000117598</v>
      </c>
      <c r="B3425" s="13" t="inlineStr">
        <is>
          <t>Контрольно-счетная палата муниципального образования "Городской округ Ногликский"</t>
        </is>
      </c>
      <c r="C3425" s="13" t="n">
        <v>6513003858</v>
      </c>
      <c r="D3425" s="13" t="inlineStr">
        <is>
          <t>6513003858</t>
        </is>
      </c>
      <c r="E3425" s="13" t="inlineStr">
        <is>
          <t>ЮЛ РФ</t>
        </is>
      </c>
      <c r="F3425" s="13" t="n"/>
      <c r="G3425" s="14" t="n"/>
      <c r="H3425" s="14" t="n"/>
      <c r="I3425" s="14" t="n"/>
      <c r="J3425" s="14" t="n"/>
      <c r="K3425" s="53" t="inlineStr"/>
      <c r="L3425" s="53" t="inlineStr">
        <is>
          <t>Не определено</t>
        </is>
      </c>
      <c r="M3425" s="53" t="inlineStr"/>
      <c r="N3425" s="54" t="inlineStr"/>
      <c r="O3425" s="55" t="inlineStr"/>
      <c r="P3425" s="16" t="inlineStr">
        <is>
          <t>Требует обогащения</t>
        </is>
      </c>
      <c r="Q3425" s="16">
        <f>HYPERLINK("https://pb.nalog.ru/search.html?query=6513003858","ФНС: проверить")</f>
        <v/>
      </c>
      <c r="R3425" s="16">
        <f>HYPERLINK("https://checko.ru/search?query=3801001629","Чекко: проверить")</f>
        <v/>
      </c>
      <c r="S3425" t="n">
        <v>1</v>
      </c>
      <c r="T3425" s="35" t="inlineStr">
        <is>
          <t>4 — Не обогащён</t>
        </is>
      </c>
      <c r="U3425" s="35" t="inlineStr">
        <is>
          <t>Нет ОКВЭД/ССЧР</t>
        </is>
      </c>
      <c r="V3425" s="35" t="inlineStr">
        <is>
          <t>Не определено</t>
        </is>
      </c>
      <c r="W3425" s="35" t="inlineStr"/>
      <c r="X3425" s="35" t="inlineStr"/>
    </row>
    <row r="3426" ht="54.75" customHeight="1" s="24">
      <c r="A3426" s="13" t="n">
        <v>5000089297</v>
      </c>
      <c r="B3426" s="13" t="inlineStr">
        <is>
          <t>краевое государственное казенное учреждение «Центр содействия семейному устройству детей-сирот и детей, оставшихся без попечения родителей, г. Спасска</t>
        </is>
      </c>
      <c r="C3426" s="13" t="n">
        <v>2510005056</v>
      </c>
      <c r="D3426" s="13" t="inlineStr">
        <is>
          <t>2510005056</t>
        </is>
      </c>
      <c r="E3426" s="13" t="inlineStr">
        <is>
          <t>ЮЛ РФ</t>
        </is>
      </c>
      <c r="F3426" s="13" t="n"/>
      <c r="G3426" s="14" t="n"/>
      <c r="H3426" s="14" t="n"/>
      <c r="I3426" s="14" t="n"/>
      <c r="J3426" s="14" t="n"/>
      <c r="K3426" s="53" t="inlineStr"/>
      <c r="L3426" s="53" t="inlineStr">
        <is>
          <t>Не определено</t>
        </is>
      </c>
      <c r="M3426" s="53" t="inlineStr"/>
      <c r="N3426" s="54" t="inlineStr"/>
      <c r="O3426" s="55" t="inlineStr"/>
      <c r="P3426" s="16" t="inlineStr">
        <is>
          <t>Требует обогащения</t>
        </is>
      </c>
      <c r="Q3426" s="16">
        <f>HYPERLINK("https://pb.nalog.ru/search.html?query=2510005056","ФНС: проверить")</f>
        <v/>
      </c>
      <c r="R3426" s="16">
        <f>HYPERLINK("https://checko.ru/search?query=3801001629","Чекко: проверить")</f>
        <v/>
      </c>
      <c r="S3426" t="n">
        <v>1</v>
      </c>
      <c r="T3426" s="35" t="inlineStr">
        <is>
          <t>4 — Не обогащён</t>
        </is>
      </c>
      <c r="U3426" s="35" t="inlineStr">
        <is>
          <t>Нет ОКВЭД/ССЧР</t>
        </is>
      </c>
      <c r="V3426" s="35" t="inlineStr">
        <is>
          <t>Не определено</t>
        </is>
      </c>
      <c r="W3426" s="35" t="inlineStr"/>
      <c r="X3426" s="35" t="inlineStr"/>
    </row>
    <row r="3427" ht="15" customHeight="1" s="24">
      <c r="A3427" s="13" t="n">
        <v>5000107348</v>
      </c>
      <c r="B3427" s="13" t="inlineStr">
        <is>
          <t>ГКОУ ШКОЛА-ИНТЕРНАТ Г. ДОЛИНСКА</t>
        </is>
      </c>
      <c r="C3427" s="13" t="n">
        <v>6503009459</v>
      </c>
      <c r="D3427" s="13" t="inlineStr">
        <is>
          <t>6503009459</t>
        </is>
      </c>
      <c r="E3427" s="13" t="inlineStr">
        <is>
          <t>ЮЛ РФ</t>
        </is>
      </c>
      <c r="F3427" s="13" t="n"/>
      <c r="G3427" s="14" t="n"/>
      <c r="H3427" s="14" t="n"/>
      <c r="I3427" s="14" t="n"/>
      <c r="J3427" s="14" t="n"/>
      <c r="K3427" s="53" t="inlineStr"/>
      <c r="L3427" s="53" t="inlineStr">
        <is>
          <t>Не определено</t>
        </is>
      </c>
      <c r="M3427" s="53" t="inlineStr"/>
      <c r="N3427" s="54" t="inlineStr"/>
      <c r="O3427" s="55" t="inlineStr"/>
      <c r="P3427" s="16" t="inlineStr">
        <is>
          <t>Требует обогащения</t>
        </is>
      </c>
      <c r="Q3427" s="16">
        <f>HYPERLINK("https://pb.nalog.ru/search.html?query=6503009459","ФНС: проверить")</f>
        <v/>
      </c>
      <c r="R3427" s="16">
        <f>HYPERLINK("https://checko.ru/search?query=3801001629","Чекко: проверить")</f>
        <v/>
      </c>
      <c r="S3427" t="n">
        <v>1</v>
      </c>
      <c r="T3427" s="35" t="inlineStr">
        <is>
          <t>4 — Не обогащён</t>
        </is>
      </c>
      <c r="U3427" s="35" t="inlineStr">
        <is>
          <t>Нет ОКВЭД/ССЧР</t>
        </is>
      </c>
      <c r="V3427" s="35" t="inlineStr">
        <is>
          <t>Не определено</t>
        </is>
      </c>
      <c r="W3427" s="35" t="inlineStr"/>
      <c r="X3427" s="35" t="inlineStr"/>
    </row>
    <row r="3428" ht="15" customHeight="1" s="24">
      <c r="A3428" s="13" t="n">
        <v>5000035407</v>
      </c>
      <c r="B3428" s="13" t="inlineStr">
        <is>
          <t>Собрание Невельского городского округа</t>
        </is>
      </c>
      <c r="C3428" s="13" t="n">
        <v>6505008468</v>
      </c>
      <c r="D3428" s="13" t="inlineStr">
        <is>
          <t>6505008468</t>
        </is>
      </c>
      <c r="E3428" s="13" t="inlineStr">
        <is>
          <t>ЮЛ РФ</t>
        </is>
      </c>
      <c r="F3428" s="13" t="n"/>
      <c r="G3428" s="14" t="n"/>
      <c r="H3428" s="14" t="n"/>
      <c r="I3428" s="14" t="n"/>
      <c r="J3428" s="14" t="n"/>
      <c r="K3428" s="53" t="inlineStr"/>
      <c r="L3428" s="53" t="inlineStr">
        <is>
          <t>Не определено</t>
        </is>
      </c>
      <c r="M3428" s="53" t="inlineStr"/>
      <c r="N3428" s="54" t="inlineStr"/>
      <c r="O3428" s="55" t="inlineStr"/>
      <c r="P3428" s="16" t="inlineStr">
        <is>
          <t>Требует обогащения</t>
        </is>
      </c>
      <c r="Q3428" s="16">
        <f>HYPERLINK("https://pb.nalog.ru/search.html?query=6505008468","ФНС: проверить")</f>
        <v/>
      </c>
      <c r="R3428" s="16">
        <f>HYPERLINK("https://checko.ru/search?query=3801001629","Чекко: проверить")</f>
        <v/>
      </c>
      <c r="S3428" t="n">
        <v>1</v>
      </c>
      <c r="T3428" s="35" t="inlineStr">
        <is>
          <t>4 — Не обогащён</t>
        </is>
      </c>
      <c r="U3428" s="35" t="inlineStr">
        <is>
          <t>Нет ОКВЭД/ССЧР</t>
        </is>
      </c>
      <c r="V3428" s="35" t="inlineStr">
        <is>
          <t>Не определено</t>
        </is>
      </c>
      <c r="W3428" s="35" t="inlineStr"/>
      <c r="X3428" s="35" t="inlineStr"/>
    </row>
    <row r="3429" ht="41.25" customHeight="1" s="24">
      <c r="A3429" s="13" t="n">
        <v>5000035964</v>
      </c>
      <c r="B3429" s="13" t="inlineStr">
        <is>
          <t>Муниципальное бюджетное учреждение "Спортивная школа г.Макарова" Сахалинской области</t>
        </is>
      </c>
      <c r="C3429" s="13" t="n">
        <v>6512003573</v>
      </c>
      <c r="D3429" s="13" t="inlineStr">
        <is>
          <t>6512003573</t>
        </is>
      </c>
      <c r="E3429" s="13" t="inlineStr">
        <is>
          <t>ЮЛ РФ</t>
        </is>
      </c>
      <c r="F3429" s="13" t="n"/>
      <c r="G3429" s="14" t="n"/>
      <c r="H3429" s="14" t="n"/>
      <c r="I3429" s="14" t="n"/>
      <c r="J3429" s="14" t="n"/>
      <c r="K3429" s="53" t="inlineStr"/>
      <c r="L3429" s="53" t="inlineStr">
        <is>
          <t>Не определено</t>
        </is>
      </c>
      <c r="M3429" s="53" t="inlineStr"/>
      <c r="N3429" s="54" t="inlineStr"/>
      <c r="O3429" s="55" t="inlineStr"/>
      <c r="P3429" s="16" t="inlineStr">
        <is>
          <t>Требует обогащения</t>
        </is>
      </c>
      <c r="Q3429" s="16">
        <f>HYPERLINK("https://pb.nalog.ru/search.html?query=6512003573","ФНС: проверить")</f>
        <v/>
      </c>
      <c r="R3429" s="16">
        <f>HYPERLINK("https://checko.ru/search?query=3801001629","Чекко: проверить")</f>
        <v/>
      </c>
      <c r="S3429" t="n">
        <v>1</v>
      </c>
      <c r="T3429" s="35" t="inlineStr">
        <is>
          <t>4 — Не обогащён</t>
        </is>
      </c>
      <c r="U3429" s="35" t="inlineStr">
        <is>
          <t>Нет ОКВЭД/ССЧР</t>
        </is>
      </c>
      <c r="V3429" s="35" t="inlineStr">
        <is>
          <t>Не определено</t>
        </is>
      </c>
      <c r="W3429" s="35" t="inlineStr"/>
      <c r="X3429" s="35" t="inlineStr"/>
    </row>
    <row r="3430" ht="54.75" customHeight="1" s="24">
      <c r="A3430" s="13" t="n">
        <v>5000035965</v>
      </c>
      <c r="B3430" s="13" t="inlineStr">
        <is>
          <t>Муниципальное бюджетное учреждение "Макаровская централизованная библиотечная система" муниципального образования "Макаровский городской округ" Сахали</t>
        </is>
      </c>
      <c r="C3430" s="13" t="n">
        <v>6512003478</v>
      </c>
      <c r="D3430" s="13" t="inlineStr">
        <is>
          <t>6512003478</t>
        </is>
      </c>
      <c r="E3430" s="13" t="inlineStr">
        <is>
          <t>ЮЛ РФ</t>
        </is>
      </c>
      <c r="F3430" s="13" t="n"/>
      <c r="G3430" s="14" t="n"/>
      <c r="H3430" s="14" t="n"/>
      <c r="I3430" s="14" t="n"/>
      <c r="J3430" s="14" t="n"/>
      <c r="K3430" s="53" t="inlineStr"/>
      <c r="L3430" s="53" t="inlineStr">
        <is>
          <t>Не определено</t>
        </is>
      </c>
      <c r="M3430" s="53" t="inlineStr"/>
      <c r="N3430" s="54" t="inlineStr"/>
      <c r="O3430" s="55" t="inlineStr"/>
      <c r="P3430" s="16" t="inlineStr">
        <is>
          <t>Требует обогащения</t>
        </is>
      </c>
      <c r="Q3430" s="16">
        <f>HYPERLINK("https://pb.nalog.ru/search.html?query=6512003478","ФНС: проверить")</f>
        <v/>
      </c>
      <c r="R3430" s="16">
        <f>HYPERLINK("https://checko.ru/search?query=3801001629","Чекко: проверить")</f>
        <v/>
      </c>
      <c r="S3430" t="n">
        <v>1</v>
      </c>
      <c r="T3430" s="35" t="inlineStr">
        <is>
          <t>4 — Не обогащён</t>
        </is>
      </c>
      <c r="U3430" s="35" t="inlineStr">
        <is>
          <t>Нет ОКВЭД/ССЧР</t>
        </is>
      </c>
      <c r="V3430" s="35" t="inlineStr">
        <is>
          <t>Не определено</t>
        </is>
      </c>
      <c r="W3430" s="35" t="inlineStr"/>
      <c r="X3430" s="35" t="inlineStr"/>
    </row>
    <row r="3431" ht="54.75" customHeight="1" s="24">
      <c r="A3431" s="13" t="n">
        <v>5000035966</v>
      </c>
      <c r="B3431" s="13" t="inlineStr">
        <is>
          <t>Муниципальное бюджетное учреждение "Центр искусства, культуры и досуга" муниципального образования "Макаровский городской округ" Сахалинской области</t>
        </is>
      </c>
      <c r="C3431" s="13" t="n">
        <v>6512001015</v>
      </c>
      <c r="D3431" s="13" t="inlineStr">
        <is>
          <t>6512001015</t>
        </is>
      </c>
      <c r="E3431" s="13" t="inlineStr">
        <is>
          <t>ЮЛ РФ</t>
        </is>
      </c>
      <c r="F3431" s="13" t="n"/>
      <c r="G3431" s="14" t="n"/>
      <c r="H3431" s="14" t="n"/>
      <c r="I3431" s="14" t="n"/>
      <c r="J3431" s="14" t="n"/>
      <c r="K3431" s="53" t="inlineStr"/>
      <c r="L3431" s="53" t="inlineStr">
        <is>
          <t>Не определено</t>
        </is>
      </c>
      <c r="M3431" s="53" t="inlineStr"/>
      <c r="N3431" s="54" t="inlineStr"/>
      <c r="O3431" s="55" t="inlineStr"/>
      <c r="P3431" s="16" t="inlineStr">
        <is>
          <t>Требует обогащения</t>
        </is>
      </c>
      <c r="Q3431" s="16">
        <f>HYPERLINK("https://pb.nalog.ru/search.html?query=6512001015","ФНС: проверить")</f>
        <v/>
      </c>
      <c r="R3431" s="16">
        <f>HYPERLINK("https://checko.ru/search?query=3801001629","Чекко: проверить")</f>
        <v/>
      </c>
      <c r="S3431" t="n">
        <v>1</v>
      </c>
      <c r="T3431" s="35" t="inlineStr">
        <is>
          <t>4 — Не обогащён</t>
        </is>
      </c>
      <c r="U3431" s="35" t="inlineStr">
        <is>
          <t>Нет ОКВЭД/ССЧР</t>
        </is>
      </c>
      <c r="V3431" s="35" t="inlineStr">
        <is>
          <t>Не определено</t>
        </is>
      </c>
      <c r="W3431" s="35" t="inlineStr"/>
      <c r="X3431" s="35" t="inlineStr"/>
    </row>
    <row r="3432" ht="41.25" customHeight="1" s="24">
      <c r="A3432" s="13" t="n">
        <v>5000035967</v>
      </c>
      <c r="B3432" s="13" t="inlineStr">
        <is>
          <t>Муниципальное бюджетное учреждение дополнительного образования "Детская Школа Искусств  г. Макарова"</t>
        </is>
      </c>
      <c r="C3432" s="13" t="n">
        <v>6512002178</v>
      </c>
      <c r="D3432" s="13" t="inlineStr">
        <is>
          <t>6512002178</t>
        </is>
      </c>
      <c r="E3432" s="13" t="inlineStr">
        <is>
          <t>ЮЛ РФ</t>
        </is>
      </c>
      <c r="F3432" s="13" t="n"/>
      <c r="G3432" s="14" t="n"/>
      <c r="H3432" s="14" t="n"/>
      <c r="I3432" s="14" t="n"/>
      <c r="J3432" s="14" t="n"/>
      <c r="K3432" s="53" t="inlineStr"/>
      <c r="L3432" s="53" t="inlineStr">
        <is>
          <t>Не определено</t>
        </is>
      </c>
      <c r="M3432" s="53" t="inlineStr"/>
      <c r="N3432" s="54" t="inlineStr"/>
      <c r="O3432" s="55" t="inlineStr"/>
      <c r="P3432" s="16" t="inlineStr">
        <is>
          <t>Требует обогащения</t>
        </is>
      </c>
      <c r="Q3432" s="16">
        <f>HYPERLINK("https://pb.nalog.ru/search.html?query=6512002178","ФНС: проверить")</f>
        <v/>
      </c>
      <c r="R3432" s="16">
        <f>HYPERLINK("https://checko.ru/search?query=3801001629","Чекко: проверить")</f>
        <v/>
      </c>
      <c r="S3432" t="n">
        <v>1</v>
      </c>
      <c r="T3432" s="35" t="inlineStr">
        <is>
          <t>4 — Не обогащён</t>
        </is>
      </c>
      <c r="U3432" s="35" t="inlineStr">
        <is>
          <t>Нет ОКВЭД/ССЧР</t>
        </is>
      </c>
      <c r="V3432" s="35" t="inlineStr">
        <is>
          <t>Не определено</t>
        </is>
      </c>
      <c r="W3432" s="35" t="inlineStr"/>
      <c r="X3432" s="35" t="inlineStr"/>
    </row>
    <row r="3433" ht="27.75" customHeight="1" s="24">
      <c r="A3433" s="13" t="n">
        <v>5000035968</v>
      </c>
      <c r="B3433" s="13" t="inlineStr">
        <is>
          <t>Муниципальное казенное учреждение "Макаровский краеведческий музей"</t>
        </is>
      </c>
      <c r="C3433" s="13" t="n">
        <v>6512004810</v>
      </c>
      <c r="D3433" s="13" t="inlineStr">
        <is>
          <t>6512004810</t>
        </is>
      </c>
      <c r="E3433" s="13" t="inlineStr">
        <is>
          <t>ЮЛ РФ</t>
        </is>
      </c>
      <c r="F3433" s="13" t="n"/>
      <c r="G3433" s="14" t="n"/>
      <c r="H3433" s="14" t="n"/>
      <c r="I3433" s="14" t="n"/>
      <c r="J3433" s="14" t="n"/>
      <c r="K3433" s="53" t="inlineStr"/>
      <c r="L3433" s="53" t="inlineStr">
        <is>
          <t>Не определено</t>
        </is>
      </c>
      <c r="M3433" s="53" t="inlineStr"/>
      <c r="N3433" s="54" t="inlineStr"/>
      <c r="O3433" s="55" t="inlineStr"/>
      <c r="P3433" s="16" t="inlineStr">
        <is>
          <t>Требует обогащения</t>
        </is>
      </c>
      <c r="Q3433" s="16">
        <f>HYPERLINK("https://pb.nalog.ru/search.html?query=6512004810","ФНС: проверить")</f>
        <v/>
      </c>
      <c r="R3433" s="16">
        <f>HYPERLINK("https://checko.ru/search?query=3801001629","Чекко: проверить")</f>
        <v/>
      </c>
      <c r="S3433" t="n">
        <v>1</v>
      </c>
      <c r="T3433" s="35" t="inlineStr">
        <is>
          <t>4 — Не обогащён</t>
        </is>
      </c>
      <c r="U3433" s="35" t="inlineStr">
        <is>
          <t>Нет ОКВЭД/ССЧР</t>
        </is>
      </c>
      <c r="V3433" s="35" t="inlineStr">
        <is>
          <t>Не определено</t>
        </is>
      </c>
      <c r="W3433" s="35" t="inlineStr"/>
      <c r="X3433" s="35" t="inlineStr"/>
    </row>
    <row r="3434" ht="41.25" customHeight="1" s="24">
      <c r="A3434" s="13" t="n">
        <v>5000089305</v>
      </c>
      <c r="B3434" s="13" t="inlineStr">
        <is>
          <t>Краевое ГОКУ для детей-сирот и детей, оставшихся без попечения родителей «Детский дом с. Вольно-Надежди</t>
        </is>
      </c>
      <c r="C3434" s="13" t="n">
        <v>2521004135</v>
      </c>
      <c r="D3434" s="13" t="inlineStr">
        <is>
          <t>2521004135</t>
        </is>
      </c>
      <c r="E3434" s="13" t="inlineStr">
        <is>
          <t>ЮЛ РФ</t>
        </is>
      </c>
      <c r="F3434" s="13" t="n"/>
      <c r="G3434" s="14" t="n"/>
      <c r="H3434" s="14" t="n"/>
      <c r="I3434" s="14" t="n"/>
      <c r="J3434" s="14" t="n"/>
      <c r="K3434" s="53" t="inlineStr"/>
      <c r="L3434" s="53" t="inlineStr">
        <is>
          <t>Не определено</t>
        </is>
      </c>
      <c r="M3434" s="53" t="inlineStr"/>
      <c r="N3434" s="54" t="inlineStr"/>
      <c r="O3434" s="55" t="inlineStr"/>
      <c r="P3434" s="16" t="inlineStr">
        <is>
          <t>Требует обогащения</t>
        </is>
      </c>
      <c r="Q3434" s="16">
        <f>HYPERLINK("https://pb.nalog.ru/search.html?query=2521004135","ФНС: проверить")</f>
        <v/>
      </c>
      <c r="R3434" s="16">
        <f>HYPERLINK("https://checko.ru/search?query=3801001629","Чекко: проверить")</f>
        <v/>
      </c>
      <c r="S3434" t="n">
        <v>1</v>
      </c>
      <c r="T3434" s="35" t="inlineStr">
        <is>
          <t>4 — Не обогащён</t>
        </is>
      </c>
      <c r="U3434" s="35" t="inlineStr">
        <is>
          <t>Нет ОКВЭД/ССЧР</t>
        </is>
      </c>
      <c r="V3434" s="35" t="inlineStr">
        <is>
          <t>Не определено</t>
        </is>
      </c>
      <c r="W3434" s="35" t="inlineStr"/>
      <c r="X3434" s="35" t="inlineStr"/>
    </row>
    <row r="3435" ht="15" customHeight="1" s="24">
      <c r="A3435" s="13" t="n">
        <v>5000038268</v>
      </c>
      <c r="B3435" s="13" t="inlineStr">
        <is>
          <t>МБУ САШ "Наш Мир"</t>
        </is>
      </c>
      <c r="C3435" s="13" t="n">
        <v>5018180610</v>
      </c>
      <c r="D3435" s="13" t="inlineStr">
        <is>
          <t>5018180610</t>
        </is>
      </c>
      <c r="E3435" s="13" t="inlineStr">
        <is>
          <t>ЮЛ РФ</t>
        </is>
      </c>
      <c r="F3435" s="13" t="n"/>
      <c r="G3435" s="14" t="n"/>
      <c r="H3435" s="14" t="n"/>
      <c r="I3435" s="14" t="n"/>
      <c r="J3435" s="14" t="n"/>
      <c r="K3435" s="53" t="inlineStr"/>
      <c r="L3435" s="53" t="inlineStr">
        <is>
          <t>Не определено</t>
        </is>
      </c>
      <c r="M3435" s="53" t="inlineStr"/>
      <c r="N3435" s="54" t="inlineStr"/>
      <c r="O3435" s="55" t="inlineStr"/>
      <c r="P3435" s="16" t="inlineStr">
        <is>
          <t>Требует обогащения</t>
        </is>
      </c>
      <c r="Q3435" s="16">
        <f>HYPERLINK("https://pb.nalog.ru/search.html?query=5018180610","ФНС: проверить")</f>
        <v/>
      </c>
      <c r="R3435" s="16">
        <f>HYPERLINK("https://checko.ru/search?query=3801001629","Чекко: проверить")</f>
        <v/>
      </c>
      <c r="S3435" t="n">
        <v>1</v>
      </c>
      <c r="T3435" s="35" t="inlineStr">
        <is>
          <t>4 — Не обогащён</t>
        </is>
      </c>
      <c r="U3435" s="35" t="inlineStr">
        <is>
          <t>Нет ОКВЭД/ССЧР</t>
        </is>
      </c>
      <c r="V3435" s="35" t="inlineStr">
        <is>
          <t>Не определено</t>
        </is>
      </c>
      <c r="W3435" s="35" t="inlineStr"/>
      <c r="X3435" s="35" t="inlineStr"/>
    </row>
    <row r="3436" ht="15" customHeight="1" s="24">
      <c r="A3436" s="13" t="n">
        <v>5000089255</v>
      </c>
      <c r="B3436" s="13" t="inlineStr">
        <is>
          <t>КГОКУ Детский дом с.Яковлевка</t>
        </is>
      </c>
      <c r="C3436" s="13" t="n">
        <v>2535003815</v>
      </c>
      <c r="D3436" s="13" t="inlineStr">
        <is>
          <t>2535003815</t>
        </is>
      </c>
      <c r="E3436" s="13" t="inlineStr">
        <is>
          <t>ЮЛ РФ</t>
        </is>
      </c>
      <c r="F3436" s="13" t="n"/>
      <c r="G3436" s="14" t="n"/>
      <c r="H3436" s="14" t="n"/>
      <c r="I3436" s="14" t="n"/>
      <c r="J3436" s="14" t="n"/>
      <c r="K3436" s="53" t="inlineStr"/>
      <c r="L3436" s="53" t="inlineStr">
        <is>
          <t>Не определено</t>
        </is>
      </c>
      <c r="M3436" s="53" t="inlineStr"/>
      <c r="N3436" s="54" t="inlineStr"/>
      <c r="O3436" s="55" t="inlineStr"/>
      <c r="P3436" s="16" t="inlineStr">
        <is>
          <t>Требует обогащения</t>
        </is>
      </c>
      <c r="Q3436" s="16">
        <f>HYPERLINK("https://pb.nalog.ru/search.html?query=2535003815","ФНС: проверить")</f>
        <v/>
      </c>
      <c r="R3436" s="16">
        <f>HYPERLINK("https://checko.ru/search?query=3801001629","Чекко: проверить")</f>
        <v/>
      </c>
      <c r="S3436" t="n">
        <v>1</v>
      </c>
      <c r="T3436" s="35" t="inlineStr">
        <is>
          <t>4 — Не обогащён</t>
        </is>
      </c>
      <c r="U3436" s="35" t="inlineStr">
        <is>
          <t>Нет ОКВЭД/ССЧР</t>
        </is>
      </c>
      <c r="V3436" s="35" t="inlineStr">
        <is>
          <t>Не определено</t>
        </is>
      </c>
      <c r="W3436" s="35" t="inlineStr"/>
      <c r="X3436" s="35" t="inlineStr"/>
    </row>
    <row r="3437" ht="15" customHeight="1" s="24">
      <c r="A3437" s="13" t="n">
        <v>5000089303</v>
      </c>
      <c r="B3437" s="13" t="inlineStr">
        <is>
          <t>КГОКУ "Детский дом с.Чугуевка"</t>
        </is>
      </c>
      <c r="C3437" s="13" t="n">
        <v>2534004044</v>
      </c>
      <c r="D3437" s="13" t="inlineStr">
        <is>
          <t>2534004044</t>
        </is>
      </c>
      <c r="E3437" s="13" t="inlineStr">
        <is>
          <t>ЮЛ РФ</t>
        </is>
      </c>
      <c r="F3437" s="13" t="n"/>
      <c r="G3437" s="14" t="n"/>
      <c r="H3437" s="14" t="n"/>
      <c r="I3437" s="14" t="n"/>
      <c r="J3437" s="14" t="n"/>
      <c r="K3437" s="53" t="inlineStr"/>
      <c r="L3437" s="53" t="inlineStr">
        <is>
          <t>Не определено</t>
        </is>
      </c>
      <c r="M3437" s="53" t="inlineStr"/>
      <c r="N3437" s="54" t="inlineStr"/>
      <c r="O3437" s="55" t="inlineStr"/>
      <c r="P3437" s="16" t="inlineStr">
        <is>
          <t>Требует обогащения</t>
        </is>
      </c>
      <c r="Q3437" s="16">
        <f>HYPERLINK("https://pb.nalog.ru/search.html?query=2534004044","ФНС: проверить")</f>
        <v/>
      </c>
      <c r="R3437" s="16">
        <f>HYPERLINK("https://checko.ru/search?query=3801001629","Чекко: проверить")</f>
        <v/>
      </c>
      <c r="S3437" t="n">
        <v>1</v>
      </c>
      <c r="T3437" s="35" t="inlineStr">
        <is>
          <t>4 — Не обогащён</t>
        </is>
      </c>
      <c r="U3437" s="35" t="inlineStr">
        <is>
          <t>Нет ОКВЭД/ССЧР</t>
        </is>
      </c>
      <c r="V3437" s="35" t="inlineStr">
        <is>
          <t>Не определено</t>
        </is>
      </c>
      <c r="W3437" s="35" t="inlineStr"/>
      <c r="X3437" s="35" t="inlineStr"/>
    </row>
    <row r="3438" ht="15" customHeight="1" s="24">
      <c r="A3438" s="13" t="n">
        <v>5000098251</v>
      </c>
      <c r="B3438" s="13" t="inlineStr">
        <is>
          <t>ГБУЗ "КДКБ № 1"</t>
        </is>
      </c>
      <c r="C3438" s="13" t="n">
        <v>2540015894</v>
      </c>
      <c r="D3438" s="13" t="inlineStr">
        <is>
          <t>2540015894</t>
        </is>
      </c>
      <c r="E3438" s="13" t="inlineStr">
        <is>
          <t>ЮЛ РФ</t>
        </is>
      </c>
      <c r="F3438" s="13" t="n"/>
      <c r="G3438" s="14" t="n"/>
      <c r="H3438" s="14" t="n"/>
      <c r="I3438" s="14" t="n"/>
      <c r="J3438" s="14" t="n"/>
      <c r="K3438" s="53" t="inlineStr"/>
      <c r="L3438" s="53" t="inlineStr">
        <is>
          <t>Не определено</t>
        </is>
      </c>
      <c r="M3438" s="53" t="inlineStr"/>
      <c r="N3438" s="54" t="inlineStr"/>
      <c r="O3438" s="55" t="inlineStr"/>
      <c r="P3438" s="16" t="inlineStr">
        <is>
          <t>Требует обогащения</t>
        </is>
      </c>
      <c r="Q3438" s="16">
        <f>HYPERLINK("https://pb.nalog.ru/search.html?query=2540015894","ФНС: проверить")</f>
        <v/>
      </c>
      <c r="R3438" s="16">
        <f>HYPERLINK("https://checko.ru/search?query=3801001629","Чекко: проверить")</f>
        <v/>
      </c>
      <c r="S3438" t="n">
        <v>1</v>
      </c>
      <c r="T3438" s="35" t="inlineStr">
        <is>
          <t>4 — Не обогащён</t>
        </is>
      </c>
      <c r="U3438" s="35" t="inlineStr">
        <is>
          <t>Нет ОКВЭД/ССЧР</t>
        </is>
      </c>
      <c r="V3438" s="35" t="inlineStr">
        <is>
          <t>Не определено</t>
        </is>
      </c>
      <c r="W3438" s="35" t="inlineStr"/>
      <c r="X3438" s="35" t="inlineStr"/>
    </row>
    <row r="3439" ht="41.25" customHeight="1" s="24">
      <c r="A3439" s="13" t="n">
        <v>5000116126</v>
      </c>
      <c r="B3439" s="13" t="inlineStr">
        <is>
          <t>МУ "Управление финансов Администрации муниципального образования городской округ "Смирныховский" Сахалинской области Ро</t>
        </is>
      </c>
      <c r="C3439" s="13" t="n">
        <v>6514000578</v>
      </c>
      <c r="D3439" s="13" t="inlineStr">
        <is>
          <t>6514000578</t>
        </is>
      </c>
      <c r="E3439" s="13" t="inlineStr">
        <is>
          <t>ЮЛ РФ</t>
        </is>
      </c>
      <c r="F3439" s="13" t="n"/>
      <c r="G3439" s="14" t="n"/>
      <c r="H3439" s="14" t="n"/>
      <c r="I3439" s="14" t="n"/>
      <c r="J3439" s="14" t="n"/>
      <c r="K3439" s="53" t="inlineStr"/>
      <c r="L3439" s="53" t="inlineStr">
        <is>
          <t>Не определено</t>
        </is>
      </c>
      <c r="M3439" s="53" t="inlineStr"/>
      <c r="N3439" s="54" t="inlineStr"/>
      <c r="O3439" s="55" t="inlineStr"/>
      <c r="P3439" s="16" t="inlineStr">
        <is>
          <t>Требует обогащения</t>
        </is>
      </c>
      <c r="Q3439" s="16">
        <f>HYPERLINK("https://pb.nalog.ru/search.html?query=6514000578","ФНС: проверить")</f>
        <v/>
      </c>
      <c r="R3439" s="16">
        <f>HYPERLINK("https://checko.ru/search?query=3801001629","Чекко: проверить")</f>
        <v/>
      </c>
      <c r="S3439" t="n">
        <v>1</v>
      </c>
      <c r="T3439" s="35" t="inlineStr">
        <is>
          <t>4 — Не обогащён</t>
        </is>
      </c>
      <c r="U3439" s="35" t="inlineStr">
        <is>
          <t>Нет ОКВЭД/ССЧР</t>
        </is>
      </c>
      <c r="V3439" s="35" t="inlineStr">
        <is>
          <t>Не определено</t>
        </is>
      </c>
      <c r="W3439" s="35" t="inlineStr"/>
      <c r="X3439" s="35" t="inlineStr"/>
    </row>
    <row r="3440" ht="41.25" customHeight="1" s="24">
      <c r="A3440" s="13" t="n">
        <v>5000116126</v>
      </c>
      <c r="B3440" s="13" t="inlineStr">
        <is>
          <t>МУ "Управление финансов Администрации муниципального образования городской округ "Смирныховский" Сахалинской области Ро</t>
        </is>
      </c>
      <c r="C3440" s="13" t="n">
        <v>6514000578</v>
      </c>
      <c r="D3440" s="13" t="inlineStr">
        <is>
          <t>6514000578</t>
        </is>
      </c>
      <c r="E3440" s="13" t="inlineStr">
        <is>
          <t>ЮЛ РФ</t>
        </is>
      </c>
      <c r="F3440" s="13" t="n"/>
      <c r="G3440" s="14" t="n"/>
      <c r="H3440" s="14" t="n"/>
      <c r="I3440" s="14" t="n"/>
      <c r="J3440" s="14" t="n"/>
      <c r="K3440" s="53" t="inlineStr"/>
      <c r="L3440" s="53" t="inlineStr">
        <is>
          <t>Не определено</t>
        </is>
      </c>
      <c r="M3440" s="53" t="inlineStr"/>
      <c r="N3440" s="54" t="inlineStr"/>
      <c r="O3440" s="55" t="inlineStr"/>
      <c r="P3440" s="16" t="inlineStr">
        <is>
          <t>Требует обогащения</t>
        </is>
      </c>
      <c r="Q3440" s="16">
        <f>HYPERLINK("https://pb.nalog.ru/search.html?query=6514000578","ФНС: проверить")</f>
        <v/>
      </c>
      <c r="R3440" s="16">
        <f>HYPERLINK("https://checko.ru/search?query=3801001629","Чекко: проверить")</f>
        <v/>
      </c>
      <c r="S3440" t="n">
        <v>0</v>
      </c>
      <c r="T3440" s="35" t="inlineStr">
        <is>
          <t>4 — Не обогащён</t>
        </is>
      </c>
      <c r="U3440" s="35" t="inlineStr">
        <is>
          <t>Нет ОКВЭД/ССЧР</t>
        </is>
      </c>
      <c r="V3440" s="35" t="inlineStr">
        <is>
          <t>Не определено</t>
        </is>
      </c>
      <c r="W3440" s="35" t="inlineStr"/>
      <c r="X3440" s="35" t="inlineStr"/>
    </row>
    <row r="3441" ht="15" customHeight="1" s="24">
      <c r="A3441" s="13" t="n">
        <v>5000098218</v>
      </c>
      <c r="B3441" s="13" t="inlineStr">
        <is>
          <t>КГБУ «Центр развития территорий»</t>
        </is>
      </c>
      <c r="C3441" s="13" t="n">
        <v>2540207980</v>
      </c>
      <c r="D3441" s="13" t="inlineStr">
        <is>
          <t>2540207980</t>
        </is>
      </c>
      <c r="E3441" s="13" t="inlineStr">
        <is>
          <t>ЮЛ РФ</t>
        </is>
      </c>
      <c r="F3441" s="13" t="n"/>
      <c r="G3441" s="14" t="n"/>
      <c r="H3441" s="14" t="n"/>
      <c r="I3441" s="14" t="n"/>
      <c r="J3441" s="14" t="n"/>
      <c r="K3441" s="53" t="inlineStr"/>
      <c r="L3441" s="53" t="inlineStr">
        <is>
          <t>Не определено</t>
        </is>
      </c>
      <c r="M3441" s="53" t="inlineStr"/>
      <c r="N3441" s="54" t="inlineStr"/>
      <c r="O3441" s="55" t="inlineStr"/>
      <c r="P3441" s="16" t="inlineStr">
        <is>
          <t>Требует обогащения</t>
        </is>
      </c>
      <c r="Q3441" s="16">
        <f>HYPERLINK("https://pb.nalog.ru/search.html?query=2540207980","ФНС: проверить")</f>
        <v/>
      </c>
      <c r="R3441" s="16">
        <f>HYPERLINK("https://checko.ru/search?query=3801001629","Чекко: проверить")</f>
        <v/>
      </c>
      <c r="S3441" t="n">
        <v>1</v>
      </c>
      <c r="T3441" s="35" t="inlineStr">
        <is>
          <t>4 — Не обогащён</t>
        </is>
      </c>
      <c r="U3441" s="35" t="inlineStr">
        <is>
          <t>Нет ОКВЭД/ССЧР</t>
        </is>
      </c>
      <c r="V3441" s="35" t="inlineStr">
        <is>
          <t>Не определено</t>
        </is>
      </c>
      <c r="W3441" s="35" t="inlineStr"/>
      <c r="X3441" s="35" t="inlineStr"/>
    </row>
    <row r="3442" ht="15" customHeight="1" s="24">
      <c r="A3442" s="13" t="n">
        <v>5000098286</v>
      </c>
      <c r="B3442" s="13" t="inlineStr">
        <is>
          <t>КГБУЗ "Владивостокская поликлиника № 9"</t>
        </is>
      </c>
      <c r="C3442" s="13" t="n">
        <v>2540192413</v>
      </c>
      <c r="D3442" s="13" t="inlineStr">
        <is>
          <t>2540192413</t>
        </is>
      </c>
      <c r="E3442" s="13" t="inlineStr">
        <is>
          <t>ЮЛ РФ</t>
        </is>
      </c>
      <c r="F3442" s="13" t="n"/>
      <c r="G3442" s="14" t="n"/>
      <c r="H3442" s="14" t="n"/>
      <c r="I3442" s="14" t="n"/>
      <c r="J3442" s="14" t="n"/>
      <c r="K3442" s="53" t="inlineStr"/>
      <c r="L3442" s="53" t="inlineStr">
        <is>
          <t>Не определено</t>
        </is>
      </c>
      <c r="M3442" s="53" t="inlineStr"/>
      <c r="N3442" s="54" t="inlineStr"/>
      <c r="O3442" s="55" t="inlineStr"/>
      <c r="P3442" s="16" t="inlineStr">
        <is>
          <t>Требует обогащения</t>
        </is>
      </c>
      <c r="Q3442" s="16">
        <f>HYPERLINK("https://pb.nalog.ru/search.html?query=2540192413","ФНС: проверить")</f>
        <v/>
      </c>
      <c r="R3442" s="16">
        <f>HYPERLINK("https://checko.ru/search?query=3801001629","Чекко: проверить")</f>
        <v/>
      </c>
      <c r="S3442" t="n">
        <v>1</v>
      </c>
      <c r="T3442" s="35" t="inlineStr">
        <is>
          <t>4 — Не обогащён</t>
        </is>
      </c>
      <c r="U3442" s="35" t="inlineStr">
        <is>
          <t>Нет ОКВЭД/ССЧР</t>
        </is>
      </c>
      <c r="V3442" s="35" t="inlineStr">
        <is>
          <t>Не определено</t>
        </is>
      </c>
      <c r="W3442" s="35" t="inlineStr"/>
      <c r="X3442" s="35" t="inlineStr"/>
    </row>
    <row r="3443" ht="41.25" customHeight="1" s="24">
      <c r="A3443" s="13" t="n">
        <v>5000101070</v>
      </c>
      <c r="B3443" s="13" t="inlineStr">
        <is>
          <t>Муниципальное бюджетное Общеобразовательное учреждение "Куретская Средняя Общеобразовательная Школа"</t>
        </is>
      </c>
      <c r="C3443" s="13" t="n">
        <v>3836002246</v>
      </c>
      <c r="D3443" s="13" t="inlineStr">
        <is>
          <t>3836002246</t>
        </is>
      </c>
      <c r="E3443" s="13" t="inlineStr">
        <is>
          <t>ЮЛ РФ</t>
        </is>
      </c>
      <c r="F3443" s="13" t="n"/>
      <c r="G3443" s="14" t="n"/>
      <c r="H3443" s="14" t="n"/>
      <c r="I3443" s="14" t="n"/>
      <c r="J3443" s="14" t="n"/>
      <c r="K3443" s="53" t="inlineStr"/>
      <c r="L3443" s="53" t="inlineStr">
        <is>
          <t>Не определено</t>
        </is>
      </c>
      <c r="M3443" s="53" t="inlineStr"/>
      <c r="N3443" s="54" t="inlineStr"/>
      <c r="O3443" s="55" t="inlineStr"/>
      <c r="P3443" s="16" t="inlineStr">
        <is>
          <t>Требует обогащения</t>
        </is>
      </c>
      <c r="Q3443" s="16">
        <f>HYPERLINK("https://pb.nalog.ru/search.html?query=3836002246","ФНС: проверить")</f>
        <v/>
      </c>
      <c r="R3443" s="16">
        <f>HYPERLINK("https://checko.ru/search?query=3801001629","Чекко: проверить")</f>
        <v/>
      </c>
      <c r="S3443" t="n">
        <v>1</v>
      </c>
      <c r="T3443" s="35" t="inlineStr">
        <is>
          <t>4 — Не обогащён</t>
        </is>
      </c>
      <c r="U3443" s="35" t="inlineStr">
        <is>
          <t>Нет ОКВЭД/ССЧР</t>
        </is>
      </c>
      <c r="V3443" s="35" t="inlineStr">
        <is>
          <t>Не определено</t>
        </is>
      </c>
      <c r="W3443" s="35" t="inlineStr"/>
      <c r="X3443" s="35" t="inlineStr"/>
    </row>
    <row r="3444" ht="54.75" customHeight="1" s="24">
      <c r="A3444" s="13" t="n">
        <v>5000085025</v>
      </c>
      <c r="B3444" s="13" t="inlineStr">
        <is>
          <t>МКУ "Отдел культуры, спорта, туризма и молодежной политики администрации муниципального образования городской округ "Смирныховский"</t>
        </is>
      </c>
      <c r="C3444" s="13" t="n">
        <v>6514000176</v>
      </c>
      <c r="D3444" s="13" t="inlineStr">
        <is>
          <t>6514000176</t>
        </is>
      </c>
      <c r="E3444" s="13" t="inlineStr">
        <is>
          <t>ЮЛ РФ</t>
        </is>
      </c>
      <c r="F3444" s="13" t="n"/>
      <c r="G3444" s="14" t="n"/>
      <c r="H3444" s="14" t="n"/>
      <c r="I3444" s="14" t="n"/>
      <c r="J3444" s="14" t="n"/>
      <c r="K3444" s="53" t="inlineStr"/>
      <c r="L3444" s="53" t="inlineStr">
        <is>
          <t>Не определено</t>
        </is>
      </c>
      <c r="M3444" s="53" t="inlineStr"/>
      <c r="N3444" s="54" t="inlineStr"/>
      <c r="O3444" s="55" t="inlineStr"/>
      <c r="P3444" s="16" t="inlineStr">
        <is>
          <t>Требует обогащения</t>
        </is>
      </c>
      <c r="Q3444" s="16">
        <f>HYPERLINK("https://pb.nalog.ru/search.html?query=6514000176","ФНС: проверить")</f>
        <v/>
      </c>
      <c r="R3444" s="16">
        <f>HYPERLINK("https://checko.ru/search?query=3801001629","Чекко: проверить")</f>
        <v/>
      </c>
      <c r="S3444" t="n">
        <v>1</v>
      </c>
      <c r="T3444" s="35" t="inlineStr">
        <is>
          <t>4 — Не обогащён</t>
        </is>
      </c>
      <c r="U3444" s="35" t="inlineStr">
        <is>
          <t>Нет ОКВЭД/ССЧР</t>
        </is>
      </c>
      <c r="V3444" s="35" t="inlineStr">
        <is>
          <t>Не определено</t>
        </is>
      </c>
      <c r="W3444" s="35" t="inlineStr"/>
      <c r="X3444" s="35" t="inlineStr"/>
    </row>
    <row r="3445" ht="54.75" customHeight="1" s="24">
      <c r="A3445" s="13" t="n">
        <v>5000085025</v>
      </c>
      <c r="B3445" s="13" t="inlineStr">
        <is>
          <t>МКУ "Отдел культуры, спорта, туризма и молодежной политики администрации муниципального образования городской округ "Смирныховский"</t>
        </is>
      </c>
      <c r="C3445" s="13" t="n">
        <v>6514000176</v>
      </c>
      <c r="D3445" s="13" t="inlineStr">
        <is>
          <t>6514000176</t>
        </is>
      </c>
      <c r="E3445" s="13" t="inlineStr">
        <is>
          <t>ЮЛ РФ</t>
        </is>
      </c>
      <c r="F3445" s="13" t="n"/>
      <c r="G3445" s="14" t="n"/>
      <c r="H3445" s="14" t="n"/>
      <c r="I3445" s="14" t="n"/>
      <c r="J3445" s="14" t="n"/>
      <c r="K3445" s="53" t="inlineStr"/>
      <c r="L3445" s="53" t="inlineStr">
        <is>
          <t>Не определено</t>
        </is>
      </c>
      <c r="M3445" s="53" t="inlineStr"/>
      <c r="N3445" s="54" t="inlineStr"/>
      <c r="O3445" s="55" t="inlineStr"/>
      <c r="P3445" s="16" t="inlineStr">
        <is>
          <t>Требует обогащения</t>
        </is>
      </c>
      <c r="Q3445" s="16">
        <f>HYPERLINK("https://pb.nalog.ru/search.html?query=6514000176","ФНС: проверить")</f>
        <v/>
      </c>
      <c r="R3445" s="16">
        <f>HYPERLINK("https://checko.ru/search?query=3801001629","Чекко: проверить")</f>
        <v/>
      </c>
      <c r="S3445" t="n">
        <v>0</v>
      </c>
      <c r="T3445" s="35" t="inlineStr">
        <is>
          <t>4 — Не обогащён</t>
        </is>
      </c>
      <c r="U3445" s="35" t="inlineStr">
        <is>
          <t>Нет ОКВЭД/ССЧР</t>
        </is>
      </c>
      <c r="V3445" s="35" t="inlineStr">
        <is>
          <t>Не определено</t>
        </is>
      </c>
      <c r="W3445" s="35" t="inlineStr"/>
      <c r="X3445" s="35" t="inlineStr"/>
    </row>
    <row r="3446" ht="27.75" customHeight="1" s="24">
      <c r="A3446" s="13" t="n">
        <v>5000100132</v>
      </c>
      <c r="B3446" s="13" t="inlineStr">
        <is>
          <t>Центр государственных закупок Сахалинской области</t>
        </is>
      </c>
      <c r="C3446" s="13" t="n">
        <v>6501220230</v>
      </c>
      <c r="D3446" s="13" t="inlineStr">
        <is>
          <t>6501220230</t>
        </is>
      </c>
      <c r="E3446" s="13" t="inlineStr">
        <is>
          <t>ЮЛ РФ</t>
        </is>
      </c>
      <c r="F3446" s="13" t="n"/>
      <c r="G3446" s="14" t="n"/>
      <c r="H3446" s="14" t="n"/>
      <c r="I3446" s="14" t="n"/>
      <c r="J3446" s="14" t="n"/>
      <c r="K3446" s="53" t="inlineStr"/>
      <c r="L3446" s="53" t="inlineStr">
        <is>
          <t>Не определено</t>
        </is>
      </c>
      <c r="M3446" s="53" t="inlineStr"/>
      <c r="N3446" s="54" t="inlineStr"/>
      <c r="O3446" s="55" t="inlineStr"/>
      <c r="P3446" s="16" t="inlineStr">
        <is>
          <t>Требует обогащения</t>
        </is>
      </c>
      <c r="Q3446" s="16">
        <f>HYPERLINK("https://pb.nalog.ru/search.html?query=6501220230","ФНС: проверить")</f>
        <v/>
      </c>
      <c r="R3446" s="16">
        <f>HYPERLINK("https://checko.ru/search?query=3801001629","Чекко: проверить")</f>
        <v/>
      </c>
      <c r="S3446" t="n">
        <v>1</v>
      </c>
      <c r="T3446" s="35" t="inlineStr">
        <is>
          <t>4 — Не обогащён</t>
        </is>
      </c>
      <c r="U3446" s="35" t="inlineStr">
        <is>
          <t>Нет ОКВЭД/ССЧР</t>
        </is>
      </c>
      <c r="V3446" s="35" t="inlineStr">
        <is>
          <t>Не определено</t>
        </is>
      </c>
      <c r="W3446" s="35" t="inlineStr"/>
      <c r="X3446" s="35" t="inlineStr"/>
    </row>
    <row r="3447" ht="27.75" customHeight="1" s="24">
      <c r="A3447" s="13" t="n">
        <v>5000117987</v>
      </c>
      <c r="B3447" s="13" t="inlineStr">
        <is>
          <t>Администрация Северо-Курильского городского округа</t>
        </is>
      </c>
      <c r="C3447" s="13" t="n">
        <v>6515000860</v>
      </c>
      <c r="D3447" s="13" t="inlineStr">
        <is>
          <t>6515000860</t>
        </is>
      </c>
      <c r="E3447" s="13" t="inlineStr">
        <is>
          <t>ЮЛ РФ</t>
        </is>
      </c>
      <c r="F3447" s="13" t="n"/>
      <c r="G3447" s="14" t="n"/>
      <c r="H3447" s="14" t="n"/>
      <c r="I3447" s="14" t="n"/>
      <c r="J3447" s="14" t="n"/>
      <c r="K3447" s="53" t="inlineStr"/>
      <c r="L3447" s="53" t="inlineStr">
        <is>
          <t>Не определено</t>
        </is>
      </c>
      <c r="M3447" s="53" t="inlineStr"/>
      <c r="N3447" s="54" t="inlineStr"/>
      <c r="O3447" s="55" t="inlineStr"/>
      <c r="P3447" s="16" t="inlineStr">
        <is>
          <t>Требует обогащения</t>
        </is>
      </c>
      <c r="Q3447" s="16">
        <f>HYPERLINK("https://pb.nalog.ru/search.html?query=6515000860","ФНС: проверить")</f>
        <v/>
      </c>
      <c r="R3447" s="16">
        <f>HYPERLINK("https://checko.ru/search?query=3801001629","Чекко: проверить")</f>
        <v/>
      </c>
      <c r="S3447" t="n">
        <v>1</v>
      </c>
      <c r="T3447" s="35" t="inlineStr">
        <is>
          <t>4 — Не обогащён</t>
        </is>
      </c>
      <c r="U3447" s="35" t="inlineStr">
        <is>
          <t>Нет ОКВЭД/ССЧР</t>
        </is>
      </c>
      <c r="V3447" s="35" t="inlineStr">
        <is>
          <t>Не определено</t>
        </is>
      </c>
      <c r="W3447" s="35" t="inlineStr"/>
      <c r="X3447" s="35" t="inlineStr"/>
    </row>
    <row r="3448" ht="27.75" customHeight="1" s="24">
      <c r="A3448" s="13" t="n">
        <v>5000117987</v>
      </c>
      <c r="B3448" s="13" t="inlineStr">
        <is>
          <t>Администрация Северо-Курильского городского округа</t>
        </is>
      </c>
      <c r="C3448" s="13" t="n">
        <v>6515000860</v>
      </c>
      <c r="D3448" s="13" t="inlineStr">
        <is>
          <t>6515000860</t>
        </is>
      </c>
      <c r="E3448" s="13" t="inlineStr">
        <is>
          <t>ЮЛ РФ</t>
        </is>
      </c>
      <c r="F3448" s="13" t="n"/>
      <c r="G3448" s="14" t="n"/>
      <c r="H3448" s="14" t="n"/>
      <c r="I3448" s="14" t="n"/>
      <c r="J3448" s="14" t="n"/>
      <c r="K3448" s="53" t="inlineStr"/>
      <c r="L3448" s="53" t="inlineStr">
        <is>
          <t>Не определено</t>
        </is>
      </c>
      <c r="M3448" s="53" t="inlineStr"/>
      <c r="N3448" s="54" t="inlineStr"/>
      <c r="O3448" s="55" t="inlineStr"/>
      <c r="P3448" s="16" t="inlineStr">
        <is>
          <t>Требует обогащения</t>
        </is>
      </c>
      <c r="Q3448" s="16">
        <f>HYPERLINK("https://pb.nalog.ru/search.html?query=6515000860","ФНС: проверить")</f>
        <v/>
      </c>
      <c r="R3448" s="16">
        <f>HYPERLINK("https://checko.ru/search?query=3801001629","Чекко: проверить")</f>
        <v/>
      </c>
      <c r="S3448" t="n">
        <v>0</v>
      </c>
      <c r="T3448" s="35" t="inlineStr">
        <is>
          <t>4 — Не обогащён</t>
        </is>
      </c>
      <c r="U3448" s="35" t="inlineStr">
        <is>
          <t>Нет ОКВЭД/ССЧР</t>
        </is>
      </c>
      <c r="V3448" s="35" t="inlineStr">
        <is>
          <t>Не определено</t>
        </is>
      </c>
      <c r="W3448" s="35" t="inlineStr"/>
      <c r="X3448" s="35" t="inlineStr"/>
    </row>
    <row r="3449" ht="15" customHeight="1" s="24">
      <c r="A3449" s="13" t="n">
        <v>5000116317</v>
      </c>
      <c r="B3449" s="13" t="inlineStr">
        <is>
          <t>МАУ "СОК "Дельфин"</t>
        </is>
      </c>
      <c r="C3449" s="13" t="n">
        <v>6506907612</v>
      </c>
      <c r="D3449" s="13" t="inlineStr">
        <is>
          <t>6506907612</t>
        </is>
      </c>
      <c r="E3449" s="13" t="inlineStr">
        <is>
          <t>ЮЛ РФ</t>
        </is>
      </c>
      <c r="F3449" s="13" t="n"/>
      <c r="G3449" s="14" t="n"/>
      <c r="H3449" s="14" t="n"/>
      <c r="I3449" s="14" t="n"/>
      <c r="J3449" s="14" t="n"/>
      <c r="K3449" s="53" t="inlineStr"/>
      <c r="L3449" s="53" t="inlineStr">
        <is>
          <t>Не определено</t>
        </is>
      </c>
      <c r="M3449" s="53" t="inlineStr"/>
      <c r="N3449" s="54" t="inlineStr"/>
      <c r="O3449" s="55" t="inlineStr"/>
      <c r="P3449" s="16" t="inlineStr">
        <is>
          <t>Требует обогащения</t>
        </is>
      </c>
      <c r="Q3449" s="16">
        <f>HYPERLINK("https://pb.nalog.ru/search.html?query=6506907612","ФНС: проверить")</f>
        <v/>
      </c>
      <c r="R3449" s="16">
        <f>HYPERLINK("https://checko.ru/search?query=3801001629","Чекко: проверить")</f>
        <v/>
      </c>
      <c r="S3449" t="n">
        <v>1</v>
      </c>
      <c r="T3449" s="35" t="inlineStr">
        <is>
          <t>4 — Не обогащён</t>
        </is>
      </c>
      <c r="U3449" s="35" t="inlineStr">
        <is>
          <t>Нет ОКВЭД/ССЧР</t>
        </is>
      </c>
      <c r="V3449" s="35" t="inlineStr">
        <is>
          <t>Не определено</t>
        </is>
      </c>
      <c r="W3449" s="35" t="inlineStr"/>
      <c r="X3449" s="35" t="inlineStr"/>
    </row>
    <row r="3450" ht="15" customHeight="1" s="24">
      <c r="A3450" s="13" t="n">
        <v>5000098188</v>
      </c>
      <c r="B3450" s="13" t="inlineStr">
        <is>
          <t>КГБУ "НАДЕЖДИНСКАЯ ВСББЖ"</t>
        </is>
      </c>
      <c r="C3450" s="13" t="n">
        <v>2521013891</v>
      </c>
      <c r="D3450" s="13" t="inlineStr">
        <is>
          <t>2521013891</t>
        </is>
      </c>
      <c r="E3450" s="13" t="inlineStr">
        <is>
          <t>ЮЛ РФ</t>
        </is>
      </c>
      <c r="F3450" s="13" t="n"/>
      <c r="G3450" s="14" t="n"/>
      <c r="H3450" s="14" t="n"/>
      <c r="I3450" s="14" t="n"/>
      <c r="J3450" s="14" t="n"/>
      <c r="K3450" s="53" t="inlineStr"/>
      <c r="L3450" s="53" t="inlineStr">
        <is>
          <t>Не определено</t>
        </is>
      </c>
      <c r="M3450" s="53" t="inlineStr"/>
      <c r="N3450" s="54" t="inlineStr"/>
      <c r="O3450" s="55" t="inlineStr"/>
      <c r="P3450" s="16" t="inlineStr">
        <is>
          <t>Требует обогащения</t>
        </is>
      </c>
      <c r="Q3450" s="16">
        <f>HYPERLINK("https://pb.nalog.ru/search.html?query=2521013891","ФНС: проверить")</f>
        <v/>
      </c>
      <c r="R3450" s="16">
        <f>HYPERLINK("https://checko.ru/search?query=3801001629","Чекко: проверить")</f>
        <v/>
      </c>
      <c r="S3450" t="n">
        <v>1</v>
      </c>
      <c r="T3450" s="35" t="inlineStr">
        <is>
          <t>4 — Не обогащён</t>
        </is>
      </c>
      <c r="U3450" s="35" t="inlineStr">
        <is>
          <t>Нет ОКВЭД/ССЧР</t>
        </is>
      </c>
      <c r="V3450" s="35" t="inlineStr">
        <is>
          <t>Не определено</t>
        </is>
      </c>
      <c r="W3450" s="35" t="inlineStr"/>
      <c r="X3450" s="35" t="inlineStr"/>
    </row>
    <row r="3451" ht="15" customHeight="1" s="24">
      <c r="A3451" s="13" t="n">
        <v>5000098205</v>
      </c>
      <c r="B3451" s="13" t="inlineStr">
        <is>
          <t>ГУЗ КБВЛ" Светлояровка"</t>
        </is>
      </c>
      <c r="C3451" s="13" t="n">
        <v>2533006803</v>
      </c>
      <c r="D3451" s="13" t="inlineStr">
        <is>
          <t>2533006803</t>
        </is>
      </c>
      <c r="E3451" s="13" t="inlineStr">
        <is>
          <t>ЮЛ РФ</t>
        </is>
      </c>
      <c r="F3451" s="13" t="n"/>
      <c r="G3451" s="14" t="n"/>
      <c r="H3451" s="14" t="n"/>
      <c r="I3451" s="14" t="n"/>
      <c r="J3451" s="14" t="n"/>
      <c r="K3451" s="53" t="inlineStr"/>
      <c r="L3451" s="53" t="inlineStr">
        <is>
          <t>Не определено</t>
        </is>
      </c>
      <c r="M3451" s="53" t="inlineStr"/>
      <c r="N3451" s="54" t="inlineStr"/>
      <c r="O3451" s="55" t="inlineStr"/>
      <c r="P3451" s="16" t="inlineStr">
        <is>
          <t>Требует обогащения</t>
        </is>
      </c>
      <c r="Q3451" s="16">
        <f>HYPERLINK("https://pb.nalog.ru/search.html?query=2533006803","ФНС: проверить")</f>
        <v/>
      </c>
      <c r="R3451" s="16">
        <f>HYPERLINK("https://checko.ru/search?query=3801001629","Чекко: проверить")</f>
        <v/>
      </c>
      <c r="S3451" t="n">
        <v>1</v>
      </c>
      <c r="T3451" s="35" t="inlineStr">
        <is>
          <t>4 — Не обогащён</t>
        </is>
      </c>
      <c r="U3451" s="35" t="inlineStr">
        <is>
          <t>Нет ОКВЭД/ССЧР</t>
        </is>
      </c>
      <c r="V3451" s="35" t="inlineStr">
        <is>
          <t>Не определено</t>
        </is>
      </c>
      <c r="W3451" s="35" t="inlineStr"/>
      <c r="X3451" s="35" t="inlineStr"/>
    </row>
    <row r="3452" ht="41.25" customHeight="1" s="24">
      <c r="A3452" s="13" t="n">
        <v>5000101081</v>
      </c>
      <c r="B3452" s="13" t="inlineStr">
        <is>
          <t>Муниципальное бюджетное Дошкольное Образовательное учреждение "Детский Сад "Сказка"</t>
        </is>
      </c>
      <c r="C3452" s="13" t="n">
        <v>3827047032</v>
      </c>
      <c r="D3452" s="13" t="inlineStr">
        <is>
          <t>3827047032</t>
        </is>
      </c>
      <c r="E3452" s="13" t="inlineStr">
        <is>
          <t>ЮЛ РФ</t>
        </is>
      </c>
      <c r="F3452" s="13" t="n"/>
      <c r="G3452" s="14" t="n"/>
      <c r="H3452" s="14" t="n"/>
      <c r="I3452" s="14" t="n"/>
      <c r="J3452" s="14" t="n"/>
      <c r="K3452" s="53" t="inlineStr"/>
      <c r="L3452" s="53" t="inlineStr">
        <is>
          <t>Не определено</t>
        </is>
      </c>
      <c r="M3452" s="53" t="inlineStr"/>
      <c r="N3452" s="54" t="inlineStr"/>
      <c r="O3452" s="55" t="inlineStr"/>
      <c r="P3452" s="16" t="inlineStr">
        <is>
          <t>Требует обогащения</t>
        </is>
      </c>
      <c r="Q3452" s="16">
        <f>HYPERLINK("https://pb.nalog.ru/search.html?query=3827047032","ФНС: проверить")</f>
        <v/>
      </c>
      <c r="R3452" s="16">
        <f>HYPERLINK("https://checko.ru/search?query=3801001629","Чекко: проверить")</f>
        <v/>
      </c>
      <c r="S3452" t="n">
        <v>1</v>
      </c>
      <c r="T3452" s="35" t="inlineStr">
        <is>
          <t>4 — Не обогащён</t>
        </is>
      </c>
      <c r="U3452" s="35" t="inlineStr">
        <is>
          <t>Нет ОКВЭД/ССЧР</t>
        </is>
      </c>
      <c r="V3452" s="35" t="inlineStr">
        <is>
          <t>Не определено</t>
        </is>
      </c>
      <c r="W3452" s="35" t="inlineStr"/>
      <c r="X3452" s="35" t="inlineStr"/>
    </row>
    <row r="3453" ht="15" customHeight="1" s="24">
      <c r="A3453" s="13" t="n">
        <v>5000098660</v>
      </c>
      <c r="B3453" s="13" t="inlineStr">
        <is>
          <t>МЛПУЗ Холмская центральная районная больница</t>
        </is>
      </c>
      <c r="C3453" s="13" t="n">
        <v>6509012433</v>
      </c>
      <c r="D3453" s="13" t="inlineStr">
        <is>
          <t>6509012433</t>
        </is>
      </c>
      <c r="E3453" s="13" t="inlineStr">
        <is>
          <t>ЮЛ РФ</t>
        </is>
      </c>
      <c r="F3453" s="13" t="n"/>
      <c r="G3453" s="14" t="n"/>
      <c r="H3453" s="14" t="n"/>
      <c r="I3453" s="14" t="n"/>
      <c r="J3453" s="14" t="n"/>
      <c r="K3453" s="53" t="inlineStr"/>
      <c r="L3453" s="53" t="inlineStr">
        <is>
          <t>Не определено</t>
        </is>
      </c>
      <c r="M3453" s="53" t="inlineStr"/>
      <c r="N3453" s="54" t="inlineStr"/>
      <c r="O3453" s="55" t="inlineStr"/>
      <c r="P3453" s="16" t="inlineStr">
        <is>
          <t>Требует обогащения</t>
        </is>
      </c>
      <c r="Q3453" s="16">
        <f>HYPERLINK("https://pb.nalog.ru/search.html?query=6509012433","ФНС: проверить")</f>
        <v/>
      </c>
      <c r="R3453" s="16">
        <f>HYPERLINK("https://checko.ru/search?query=3801001629","Чекко: проверить")</f>
        <v/>
      </c>
      <c r="S3453" t="n">
        <v>1</v>
      </c>
      <c r="T3453" s="35" t="inlineStr">
        <is>
          <t>4 — Не обогащён</t>
        </is>
      </c>
      <c r="U3453" s="35" t="inlineStr">
        <is>
          <t>Нет ОКВЭД/ССЧР</t>
        </is>
      </c>
      <c r="V3453" s="35" t="inlineStr">
        <is>
          <t>Не определено</t>
        </is>
      </c>
      <c r="W3453" s="35" t="inlineStr"/>
      <c r="X3453" s="35" t="inlineStr"/>
    </row>
    <row r="3454" ht="27.75" customHeight="1" s="24">
      <c r="A3454" s="13" t="n">
        <v>5000101743</v>
      </c>
      <c r="B3454" s="13" t="inlineStr">
        <is>
          <t>МКУ «Управление информационного обеспечения администрации города Южно-Сахалинска»</t>
        </is>
      </c>
      <c r="C3454" s="13" t="n">
        <v>6501271242</v>
      </c>
      <c r="D3454" s="13" t="inlineStr">
        <is>
          <t>6501271242</t>
        </is>
      </c>
      <c r="E3454" s="13" t="inlineStr">
        <is>
          <t>ЮЛ РФ</t>
        </is>
      </c>
      <c r="F3454" s="13" t="n"/>
      <c r="G3454" s="14" t="n"/>
      <c r="H3454" s="14" t="n"/>
      <c r="I3454" s="14" t="n"/>
      <c r="J3454" s="14" t="n"/>
      <c r="K3454" s="53" t="inlineStr"/>
      <c r="L3454" s="53" t="inlineStr">
        <is>
          <t>Не определено</t>
        </is>
      </c>
      <c r="M3454" s="53" t="inlineStr"/>
      <c r="N3454" s="54" t="inlineStr"/>
      <c r="O3454" s="55" t="inlineStr"/>
      <c r="P3454" s="16" t="inlineStr">
        <is>
          <t>Требует обогащения</t>
        </is>
      </c>
      <c r="Q3454" s="16">
        <f>HYPERLINK("https://pb.nalog.ru/search.html?query=6501271242","ФНС: проверить")</f>
        <v/>
      </c>
      <c r="R3454" s="16">
        <f>HYPERLINK("https://checko.ru/search?query=3801001629","Чекко: проверить")</f>
        <v/>
      </c>
      <c r="S3454" t="n">
        <v>1</v>
      </c>
      <c r="T3454" s="35" t="inlineStr">
        <is>
          <t>4 — Не обогащён</t>
        </is>
      </c>
      <c r="U3454" s="35" t="inlineStr">
        <is>
          <t>Нет ОКВЭД/ССЧР</t>
        </is>
      </c>
      <c r="V3454" s="35" t="inlineStr">
        <is>
          <t>Не определено</t>
        </is>
      </c>
      <c r="W3454" s="35" t="inlineStr"/>
      <c r="X3454" s="35" t="inlineStr"/>
    </row>
    <row r="3455" ht="41.25" customHeight="1" s="24">
      <c r="A3455" s="13" t="n">
        <v>5000117446</v>
      </c>
      <c r="B3455" s="13" t="inlineStr">
        <is>
          <t>МБУ муниципального образования "Холмский городской округ" "Холмск-Арена" сахалинской области</t>
        </is>
      </c>
      <c r="C3455" s="13" t="n">
        <v>6509023114</v>
      </c>
      <c r="D3455" s="13" t="inlineStr">
        <is>
          <t>6509023114</t>
        </is>
      </c>
      <c r="E3455" s="13" t="inlineStr">
        <is>
          <t>ЮЛ РФ</t>
        </is>
      </c>
      <c r="F3455" s="13" t="n"/>
      <c r="G3455" s="14" t="n"/>
      <c r="H3455" s="14" t="n"/>
      <c r="I3455" s="14" t="n"/>
      <c r="J3455" s="14" t="n"/>
      <c r="K3455" s="53" t="inlineStr"/>
      <c r="L3455" s="53" t="inlineStr">
        <is>
          <t>Не определено</t>
        </is>
      </c>
      <c r="M3455" s="53" t="inlineStr"/>
      <c r="N3455" s="54" t="inlineStr"/>
      <c r="O3455" s="55" t="inlineStr"/>
      <c r="P3455" s="16" t="inlineStr">
        <is>
          <t>Требует обогащения</t>
        </is>
      </c>
      <c r="Q3455" s="16">
        <f>HYPERLINK("https://pb.nalog.ru/search.html?query=6509023114","ФНС: проверить")</f>
        <v/>
      </c>
      <c r="R3455" s="16">
        <f>HYPERLINK("https://checko.ru/search?query=3801001629","Чекко: проверить")</f>
        <v/>
      </c>
      <c r="S3455" t="n">
        <v>1</v>
      </c>
      <c r="T3455" s="35" t="inlineStr">
        <is>
          <t>4 — Не обогащён</t>
        </is>
      </c>
      <c r="U3455" s="35" t="inlineStr">
        <is>
          <t>Нет ОКВЭД/ССЧР</t>
        </is>
      </c>
      <c r="V3455" s="35" t="inlineStr">
        <is>
          <t>Не определено</t>
        </is>
      </c>
      <c r="W3455" s="35" t="inlineStr"/>
      <c r="X3455" s="35" t="inlineStr"/>
    </row>
    <row r="3456" ht="27.75" customHeight="1" s="24">
      <c r="A3456" s="13" t="n">
        <v>5000098330</v>
      </c>
      <c r="B3456" s="13" t="inlineStr">
        <is>
          <t>КГБПОУ "Спасский индустриально-экономический колледж"</t>
        </is>
      </c>
      <c r="C3456" s="13" t="n">
        <v>2510013963</v>
      </c>
      <c r="D3456" s="13" t="inlineStr">
        <is>
          <t>2510013963</t>
        </is>
      </c>
      <c r="E3456" s="13" t="inlineStr">
        <is>
          <t>ЮЛ РФ</t>
        </is>
      </c>
      <c r="F3456" s="13" t="n"/>
      <c r="G3456" s="14" t="n"/>
      <c r="H3456" s="14" t="n"/>
      <c r="I3456" s="14" t="n"/>
      <c r="J3456" s="14" t="n"/>
      <c r="K3456" s="53" t="inlineStr"/>
      <c r="L3456" s="53" t="inlineStr">
        <is>
          <t>Не определено</t>
        </is>
      </c>
      <c r="M3456" s="53" t="inlineStr"/>
      <c r="N3456" s="54" t="inlineStr"/>
      <c r="O3456" s="55" t="inlineStr"/>
      <c r="P3456" s="16" t="inlineStr">
        <is>
          <t>Требует обогащения</t>
        </is>
      </c>
      <c r="Q3456" s="16">
        <f>HYPERLINK("https://pb.nalog.ru/search.html?query=2510013963","ФНС: проверить")</f>
        <v/>
      </c>
      <c r="R3456" s="16">
        <f>HYPERLINK("https://checko.ru/search?query=3801001629","Чекко: проверить")</f>
        <v/>
      </c>
      <c r="S3456" t="n">
        <v>1</v>
      </c>
      <c r="T3456" s="35" t="inlineStr">
        <is>
          <t>4 — Не обогащён</t>
        </is>
      </c>
      <c r="U3456" s="35" t="inlineStr">
        <is>
          <t>Нет ОКВЭД/ССЧР</t>
        </is>
      </c>
      <c r="V3456" s="35" t="inlineStr">
        <is>
          <t>Не определено</t>
        </is>
      </c>
      <c r="W3456" s="35" t="inlineStr"/>
      <c r="X3456" s="35" t="inlineStr"/>
    </row>
    <row r="3457" ht="41.25" customHeight="1" s="24">
      <c r="A3457" s="13" t="n">
        <v>5000098176</v>
      </c>
      <c r="B3457" s="13" t="inlineStr">
        <is>
          <t>Краевое государственное бюджетное учреждение социального обслуживания "Дальнереченский психоневролог</t>
        </is>
      </c>
      <c r="C3457" s="13" t="n">
        <v>2506001228</v>
      </c>
      <c r="D3457" s="13" t="inlineStr">
        <is>
          <t>2506001228</t>
        </is>
      </c>
      <c r="E3457" s="13" t="inlineStr">
        <is>
          <t>ЮЛ РФ</t>
        </is>
      </c>
      <c r="F3457" s="13" t="n"/>
      <c r="G3457" s="14" t="n"/>
      <c r="H3457" s="14" t="n"/>
      <c r="I3457" s="14" t="n"/>
      <c r="J3457" s="14" t="n"/>
      <c r="K3457" s="53" t="inlineStr"/>
      <c r="L3457" s="53" t="inlineStr">
        <is>
          <t>Не определено</t>
        </is>
      </c>
      <c r="M3457" s="53" t="inlineStr"/>
      <c r="N3457" s="54" t="inlineStr"/>
      <c r="O3457" s="55" t="inlineStr"/>
      <c r="P3457" s="16" t="inlineStr">
        <is>
          <t>Требует обогащения</t>
        </is>
      </c>
      <c r="Q3457" s="16">
        <f>HYPERLINK("https://pb.nalog.ru/search.html?query=2506001228","ФНС: проверить")</f>
        <v/>
      </c>
      <c r="R3457" s="16">
        <f>HYPERLINK("https://checko.ru/search?query=3801001629","Чекко: проверить")</f>
        <v/>
      </c>
      <c r="S3457" t="n">
        <v>1</v>
      </c>
      <c r="T3457" s="35" t="inlineStr">
        <is>
          <t>4 — Не обогащён</t>
        </is>
      </c>
      <c r="U3457" s="35" t="inlineStr">
        <is>
          <t>Нет ОКВЭД/ССЧР</t>
        </is>
      </c>
      <c r="V3457" s="35" t="inlineStr">
        <is>
          <t>Не определено</t>
        </is>
      </c>
      <c r="W3457" s="35" t="inlineStr"/>
      <c r="X3457" s="35" t="inlineStr"/>
    </row>
    <row r="3458" ht="15" customHeight="1" s="24">
      <c r="A3458" s="13" t="n">
        <v>5000098259</v>
      </c>
      <c r="B3458" s="13" t="inlineStr">
        <is>
          <t>Колледж технологии и сервиса</t>
        </is>
      </c>
      <c r="C3458" s="13" t="n">
        <v>2540014562</v>
      </c>
      <c r="D3458" s="13" t="inlineStr">
        <is>
          <t>2540014562</t>
        </is>
      </c>
      <c r="E3458" s="13" t="inlineStr">
        <is>
          <t>ЮЛ РФ</t>
        </is>
      </c>
      <c r="F3458" s="13" t="n"/>
      <c r="G3458" s="14" t="n"/>
      <c r="H3458" s="14" t="n"/>
      <c r="I3458" s="14" t="n"/>
      <c r="J3458" s="14" t="n"/>
      <c r="K3458" s="53" t="inlineStr"/>
      <c r="L3458" s="53" t="inlineStr">
        <is>
          <t>Не определено</t>
        </is>
      </c>
      <c r="M3458" s="53" t="inlineStr"/>
      <c r="N3458" s="54" t="inlineStr"/>
      <c r="O3458" s="55" t="inlineStr"/>
      <c r="P3458" s="16" t="inlineStr">
        <is>
          <t>Требует обогащения</t>
        </is>
      </c>
      <c r="Q3458" s="16">
        <f>HYPERLINK("https://pb.nalog.ru/search.html?query=2540014562","ФНС: проверить")</f>
        <v/>
      </c>
      <c r="R3458" s="16">
        <f>HYPERLINK("https://checko.ru/search?query=3801001629","Чекко: проверить")</f>
        <v/>
      </c>
      <c r="S3458" t="n">
        <v>1</v>
      </c>
      <c r="T3458" s="35" t="inlineStr">
        <is>
          <t>4 — Не обогащён</t>
        </is>
      </c>
      <c r="U3458" s="35" t="inlineStr">
        <is>
          <t>Нет ОКВЭД/ССЧР</t>
        </is>
      </c>
      <c r="V3458" s="35" t="inlineStr">
        <is>
          <t>Не определено</t>
        </is>
      </c>
      <c r="W3458" s="35" t="inlineStr"/>
      <c r="X3458" s="35" t="inlineStr"/>
    </row>
    <row r="3459" ht="41.25" customHeight="1" s="24">
      <c r="A3459" s="13" t="n">
        <v>5000098219</v>
      </c>
      <c r="B3459" s="13" t="inlineStr">
        <is>
          <t>краевое государственное казенное учреждение "Информационно-технологический центр Приморского края"</t>
        </is>
      </c>
      <c r="C3459" s="13" t="n">
        <v>2540202566</v>
      </c>
      <c r="D3459" s="13" t="inlineStr">
        <is>
          <t>2540202566</t>
        </is>
      </c>
      <c r="E3459" s="13" t="inlineStr">
        <is>
          <t>ЮЛ РФ</t>
        </is>
      </c>
      <c r="F3459" s="13" t="n"/>
      <c r="G3459" s="14" t="n"/>
      <c r="H3459" s="14" t="n"/>
      <c r="I3459" s="14" t="n"/>
      <c r="J3459" s="14" t="n"/>
      <c r="K3459" s="53" t="inlineStr"/>
      <c r="L3459" s="53" t="inlineStr">
        <is>
          <t>Не определено</t>
        </is>
      </c>
      <c r="M3459" s="53" t="inlineStr"/>
      <c r="N3459" s="54" t="inlineStr"/>
      <c r="O3459" s="55" t="inlineStr"/>
      <c r="P3459" s="16" t="inlineStr">
        <is>
          <t>Требует обогащения</t>
        </is>
      </c>
      <c r="Q3459" s="16">
        <f>HYPERLINK("https://pb.nalog.ru/search.html?query=2540202566","ФНС: проверить")</f>
        <v/>
      </c>
      <c r="R3459" s="16">
        <f>HYPERLINK("https://checko.ru/search?query=3801001629","Чекко: проверить")</f>
        <v/>
      </c>
      <c r="S3459" t="n">
        <v>1</v>
      </c>
      <c r="T3459" s="35" t="inlineStr">
        <is>
          <t>4 — Не обогащён</t>
        </is>
      </c>
      <c r="U3459" s="35" t="inlineStr">
        <is>
          <t>Нет ОКВЭД/ССЧР</t>
        </is>
      </c>
      <c r="V3459" s="35" t="inlineStr">
        <is>
          <t>Не определено</t>
        </is>
      </c>
      <c r="W3459" s="35" t="inlineStr"/>
      <c r="X3459" s="35" t="inlineStr"/>
    </row>
    <row r="3460" ht="15" customHeight="1" s="24">
      <c r="A3460" s="13" t="n">
        <v>5000098184</v>
      </c>
      <c r="B3460" s="13" t="inlineStr">
        <is>
          <t>КГБУЗ "Красноармейская ЦРБ"</t>
        </is>
      </c>
      <c r="C3460" s="13" t="n">
        <v>2517000522</v>
      </c>
      <c r="D3460" s="13" t="inlineStr">
        <is>
          <t>2517000522</t>
        </is>
      </c>
      <c r="E3460" s="13" t="inlineStr">
        <is>
          <t>ЮЛ РФ</t>
        </is>
      </c>
      <c r="F3460" s="13" t="n"/>
      <c r="G3460" s="14" t="n"/>
      <c r="H3460" s="14" t="n"/>
      <c r="I3460" s="14" t="n"/>
      <c r="J3460" s="14" t="n"/>
      <c r="K3460" s="53" t="inlineStr"/>
      <c r="L3460" s="53" t="inlineStr">
        <is>
          <t>Не определено</t>
        </is>
      </c>
      <c r="M3460" s="53" t="inlineStr"/>
      <c r="N3460" s="54" t="inlineStr"/>
      <c r="O3460" s="55" t="inlineStr"/>
      <c r="P3460" s="16" t="inlineStr">
        <is>
          <t>Требует обогащения</t>
        </is>
      </c>
      <c r="Q3460" s="16">
        <f>HYPERLINK("https://pb.nalog.ru/search.html?query=2517000522","ФНС: проверить")</f>
        <v/>
      </c>
      <c r="R3460" s="16">
        <f>HYPERLINK("https://checko.ru/search?query=3801001629","Чекко: проверить")</f>
        <v/>
      </c>
      <c r="S3460" t="n">
        <v>1</v>
      </c>
      <c r="T3460" s="35" t="inlineStr">
        <is>
          <t>4 — Не обогащён</t>
        </is>
      </c>
      <c r="U3460" s="35" t="inlineStr">
        <is>
          <t>Нет ОКВЭД/ССЧР</t>
        </is>
      </c>
      <c r="V3460" s="35" t="inlineStr">
        <is>
          <t>Не определено</t>
        </is>
      </c>
      <c r="W3460" s="35" t="inlineStr"/>
      <c r="X3460" s="35" t="inlineStr"/>
    </row>
    <row r="3461" ht="27.75" customHeight="1" s="24">
      <c r="A3461" s="13" t="n">
        <v>5000015626</v>
      </c>
      <c r="B3461" s="13" t="inlineStr">
        <is>
          <t>Департамент по физической культуре и спорту администрации города Южно-Сахалинска</t>
        </is>
      </c>
      <c r="C3461" s="13" t="n">
        <v>6501215760</v>
      </c>
      <c r="D3461" s="13" t="inlineStr">
        <is>
          <t>6501215760</t>
        </is>
      </c>
      <c r="E3461" s="13" t="inlineStr">
        <is>
          <t>ЮЛ РФ</t>
        </is>
      </c>
      <c r="F3461" s="13" t="n"/>
      <c r="G3461" s="14" t="n"/>
      <c r="H3461" s="14" t="n"/>
      <c r="I3461" s="14" t="n"/>
      <c r="J3461" s="14" t="n"/>
      <c r="K3461" s="53" t="inlineStr"/>
      <c r="L3461" s="53" t="inlineStr">
        <is>
          <t>Не определено</t>
        </is>
      </c>
      <c r="M3461" s="53" t="inlineStr"/>
      <c r="N3461" s="54" t="inlineStr"/>
      <c r="O3461" s="55" t="inlineStr"/>
      <c r="P3461" s="16" t="inlineStr">
        <is>
          <t>Требует обогащения</t>
        </is>
      </c>
      <c r="Q3461" s="16">
        <f>HYPERLINK("https://pb.nalog.ru/search.html?query=6501215760","ФНС: проверить")</f>
        <v/>
      </c>
      <c r="R3461" s="16">
        <f>HYPERLINK("https://checko.ru/search?query=3801001629","Чекко: проверить")</f>
        <v/>
      </c>
      <c r="S3461" t="n">
        <v>1</v>
      </c>
      <c r="T3461" s="35" t="inlineStr">
        <is>
          <t>4 — Не обогащён</t>
        </is>
      </c>
      <c r="U3461" s="35" t="inlineStr">
        <is>
          <t>Нет ОКВЭД/ССЧР</t>
        </is>
      </c>
      <c r="V3461" s="35" t="inlineStr">
        <is>
          <t>Не определено</t>
        </is>
      </c>
      <c r="W3461" s="35" t="inlineStr"/>
      <c r="X3461" s="35" t="inlineStr"/>
    </row>
    <row r="3462" ht="15" customHeight="1" s="24">
      <c r="A3462" s="13" t="n">
        <v>5000015627</v>
      </c>
      <c r="B3462" s="13" t="inlineStr">
        <is>
          <t>МБУ «Центр молодежных инициатив»</t>
        </is>
      </c>
      <c r="C3462" s="13" t="n">
        <v>6501252352</v>
      </c>
      <c r="D3462" s="13" t="inlineStr">
        <is>
          <t>6501252352</t>
        </is>
      </c>
      <c r="E3462" s="13" t="inlineStr">
        <is>
          <t>ЮЛ РФ</t>
        </is>
      </c>
      <c r="F3462" s="13" t="n"/>
      <c r="G3462" s="14" t="n"/>
      <c r="H3462" s="14" t="n"/>
      <c r="I3462" s="14" t="n"/>
      <c r="J3462" s="14" t="n"/>
      <c r="K3462" s="53" t="inlineStr"/>
      <c r="L3462" s="53" t="inlineStr">
        <is>
          <t>Не определено</t>
        </is>
      </c>
      <c r="M3462" s="53" t="inlineStr"/>
      <c r="N3462" s="54" t="inlineStr"/>
      <c r="O3462" s="55" t="inlineStr"/>
      <c r="P3462" s="16" t="inlineStr">
        <is>
          <t>Требует обогащения</t>
        </is>
      </c>
      <c r="Q3462" s="16">
        <f>HYPERLINK("https://pb.nalog.ru/search.html?query=6501252352","ФНС: проверить")</f>
        <v/>
      </c>
      <c r="R3462" s="16">
        <f>HYPERLINK("https://checko.ru/search?query=3801001629","Чекко: проверить")</f>
        <v/>
      </c>
      <c r="S3462" t="n">
        <v>1</v>
      </c>
      <c r="T3462" s="35" t="inlineStr">
        <is>
          <t>4 — Не обогащён</t>
        </is>
      </c>
      <c r="U3462" s="35" t="inlineStr">
        <is>
          <t>Нет ОКВЭД/ССЧР</t>
        </is>
      </c>
      <c r="V3462" s="35" t="inlineStr">
        <is>
          <t>Не определено</t>
        </is>
      </c>
      <c r="W3462" s="35" t="inlineStr"/>
      <c r="X3462" s="35" t="inlineStr"/>
    </row>
    <row r="3463" ht="15" customHeight="1" s="24">
      <c r="A3463" s="13" t="n">
        <v>5000015628</v>
      </c>
      <c r="B3463" s="13" t="inlineStr">
        <is>
          <t>МАУ «Спортивный город»</t>
        </is>
      </c>
      <c r="C3463" s="13" t="n">
        <v>6501272510</v>
      </c>
      <c r="D3463" s="13" t="inlineStr">
        <is>
          <t>6501272510</t>
        </is>
      </c>
      <c r="E3463" s="13" t="inlineStr">
        <is>
          <t>ЮЛ РФ</t>
        </is>
      </c>
      <c r="F3463" s="13" t="n"/>
      <c r="G3463" s="14" t="n"/>
      <c r="H3463" s="14" t="n"/>
      <c r="I3463" s="14" t="n"/>
      <c r="J3463" s="14" t="n"/>
      <c r="K3463" s="53" t="inlineStr"/>
      <c r="L3463" s="53" t="inlineStr">
        <is>
          <t>Не определено</t>
        </is>
      </c>
      <c r="M3463" s="53" t="inlineStr"/>
      <c r="N3463" s="54" t="inlineStr"/>
      <c r="O3463" s="55" t="inlineStr"/>
      <c r="P3463" s="16" t="inlineStr">
        <is>
          <t>Требует обогащения</t>
        </is>
      </c>
      <c r="Q3463" s="16">
        <f>HYPERLINK("https://pb.nalog.ru/search.html?query=6501272510","ФНС: проверить")</f>
        <v/>
      </c>
      <c r="R3463" s="16">
        <f>HYPERLINK("https://checko.ru/search?query=3801001629","Чекко: проверить")</f>
        <v/>
      </c>
      <c r="S3463" t="n">
        <v>1</v>
      </c>
      <c r="T3463" s="35" t="inlineStr">
        <is>
          <t>4 — Не обогащён</t>
        </is>
      </c>
      <c r="U3463" s="35" t="inlineStr">
        <is>
          <t>Нет ОКВЭД/ССЧР</t>
        </is>
      </c>
      <c r="V3463" s="35" t="inlineStr">
        <is>
          <t>Не определено</t>
        </is>
      </c>
      <c r="W3463" s="35" t="inlineStr"/>
      <c r="X3463" s="35" t="inlineStr"/>
    </row>
    <row r="3464" ht="41.25" customHeight="1" s="24">
      <c r="A3464" s="13" t="n">
        <v>5000015629</v>
      </c>
      <c r="B3464" s="13" t="inlineStr">
        <is>
          <t>МАУ ДО «Спортивная школа олимпийского резерва по греко-римской борьбе г. Южно-Сахалинска»</t>
        </is>
      </c>
      <c r="C3464" s="13" t="n">
        <v>6501067310</v>
      </c>
      <c r="D3464" s="13" t="inlineStr">
        <is>
          <t>6501067310</t>
        </is>
      </c>
      <c r="E3464" s="13" t="inlineStr">
        <is>
          <t>ЮЛ РФ</t>
        </is>
      </c>
      <c r="F3464" s="13" t="n"/>
      <c r="G3464" s="14" t="n"/>
      <c r="H3464" s="14" t="n"/>
      <c r="I3464" s="14" t="n"/>
      <c r="J3464" s="14" t="n"/>
      <c r="K3464" s="53" t="inlineStr"/>
      <c r="L3464" s="53" t="inlineStr">
        <is>
          <t>Не определено</t>
        </is>
      </c>
      <c r="M3464" s="53" t="inlineStr"/>
      <c r="N3464" s="54" t="inlineStr"/>
      <c r="O3464" s="55" t="inlineStr"/>
      <c r="P3464" s="16" t="inlineStr">
        <is>
          <t>Требует обогащения</t>
        </is>
      </c>
      <c r="Q3464" s="16">
        <f>HYPERLINK("https://pb.nalog.ru/search.html?query=6501067310","ФНС: проверить")</f>
        <v/>
      </c>
      <c r="R3464" s="16">
        <f>HYPERLINK("https://checko.ru/search?query=3801001629","Чекко: проверить")</f>
        <v/>
      </c>
      <c r="S3464" t="n">
        <v>1</v>
      </c>
      <c r="T3464" s="35" t="inlineStr">
        <is>
          <t>4 — Не обогащён</t>
        </is>
      </c>
      <c r="U3464" s="35" t="inlineStr">
        <is>
          <t>Нет ОКВЭД/ССЧР</t>
        </is>
      </c>
      <c r="V3464" s="35" t="inlineStr">
        <is>
          <t>Не определено</t>
        </is>
      </c>
      <c r="W3464" s="35" t="inlineStr"/>
      <c r="X3464" s="35" t="inlineStr"/>
    </row>
    <row r="3465" ht="27.75" customHeight="1" s="24">
      <c r="A3465" s="13" t="n">
        <v>5000015626</v>
      </c>
      <c r="B3465" s="13" t="inlineStr">
        <is>
          <t>Департамент по физической культуре и спорту администрации города Южно-Сахалинска</t>
        </is>
      </c>
      <c r="C3465" s="13" t="n">
        <v>6501215760</v>
      </c>
      <c r="D3465" s="13" t="inlineStr">
        <is>
          <t>6501215760</t>
        </is>
      </c>
      <c r="E3465" s="13" t="inlineStr">
        <is>
          <t>ЮЛ РФ</t>
        </is>
      </c>
      <c r="F3465" s="13" t="n"/>
      <c r="G3465" s="14" t="n"/>
      <c r="H3465" s="14" t="n"/>
      <c r="I3465" s="14" t="n"/>
      <c r="J3465" s="14" t="n"/>
      <c r="K3465" s="53" t="inlineStr"/>
      <c r="L3465" s="53" t="inlineStr">
        <is>
          <t>Не определено</t>
        </is>
      </c>
      <c r="M3465" s="53" t="inlineStr"/>
      <c r="N3465" s="54" t="inlineStr"/>
      <c r="O3465" s="55" t="inlineStr"/>
      <c r="P3465" s="16" t="inlineStr">
        <is>
          <t>Требует обогащения</t>
        </is>
      </c>
      <c r="Q3465" s="16">
        <f>HYPERLINK("https://pb.nalog.ru/search.html?query=6501215760","ФНС: проверить")</f>
        <v/>
      </c>
      <c r="R3465" s="16">
        <f>HYPERLINK("https://checko.ru/search?query=3801001629","Чекко: проверить")</f>
        <v/>
      </c>
      <c r="S3465" t="n">
        <v>0</v>
      </c>
      <c r="T3465" s="35" t="inlineStr">
        <is>
          <t>4 — Не обогащён</t>
        </is>
      </c>
      <c r="U3465" s="35" t="inlineStr">
        <is>
          <t>Нет ОКВЭД/ССЧР</t>
        </is>
      </c>
      <c r="V3465" s="35" t="inlineStr">
        <is>
          <t>Не определено</t>
        </is>
      </c>
      <c r="W3465" s="35" t="inlineStr"/>
      <c r="X3465" s="35" t="inlineStr"/>
    </row>
    <row r="3466" ht="41.25" customHeight="1" s="24">
      <c r="A3466" s="13" t="n">
        <v>5000061486</v>
      </c>
      <c r="B3466" s="13" t="inlineStr">
        <is>
          <t>Муниципальное бюджетное учреждение дополнительного образования "Детская школа искусств" г. Долинска</t>
        </is>
      </c>
      <c r="C3466" s="13" t="n">
        <v>6503010711</v>
      </c>
      <c r="D3466" s="13" t="inlineStr">
        <is>
          <t>6503010711</t>
        </is>
      </c>
      <c r="E3466" s="13" t="inlineStr">
        <is>
          <t>ЮЛ РФ</t>
        </is>
      </c>
      <c r="F3466" s="13" t="n"/>
      <c r="G3466" s="14" t="n"/>
      <c r="H3466" s="14" t="n"/>
      <c r="I3466" s="14" t="n"/>
      <c r="J3466" s="14" t="n"/>
      <c r="K3466" s="53" t="inlineStr"/>
      <c r="L3466" s="53" t="inlineStr">
        <is>
          <t>Не определено</t>
        </is>
      </c>
      <c r="M3466" s="53" t="inlineStr"/>
      <c r="N3466" s="54" t="inlineStr"/>
      <c r="O3466" s="55" t="inlineStr"/>
      <c r="P3466" s="16" t="inlineStr">
        <is>
          <t>Требует обогащения</t>
        </is>
      </c>
      <c r="Q3466" s="16">
        <f>HYPERLINK("https://pb.nalog.ru/search.html?query=6503010711","ФНС: проверить")</f>
        <v/>
      </c>
      <c r="R3466" s="16">
        <f>HYPERLINK("https://checko.ru/search?query=3801001629","Чекко: проверить")</f>
        <v/>
      </c>
      <c r="S3466" t="n">
        <v>1</v>
      </c>
      <c r="T3466" s="35" t="inlineStr">
        <is>
          <t>4 — Не обогащён</t>
        </is>
      </c>
      <c r="U3466" s="35" t="inlineStr">
        <is>
          <t>Нет ОКВЭД/ССЧР</t>
        </is>
      </c>
      <c r="V3466" s="35" t="inlineStr">
        <is>
          <t>Не определено</t>
        </is>
      </c>
      <c r="W3466" s="35" t="inlineStr"/>
      <c r="X3466" s="35" t="inlineStr"/>
    </row>
    <row r="3467" ht="54.75" customHeight="1" s="24">
      <c r="A3467" s="13" t="n">
        <v>5000061488</v>
      </c>
      <c r="B3467" s="13" t="inlineStr">
        <is>
          <t>Муниципальное бюджетное общеобразовательное учреждение "Средняя общеобразовательная школа № 2" г.Долинск Сахалинской области</t>
        </is>
      </c>
      <c r="C3467" s="13" t="n">
        <v>6503009314</v>
      </c>
      <c r="D3467" s="13" t="inlineStr">
        <is>
          <t>6503009314</t>
        </is>
      </c>
      <c r="E3467" s="13" t="inlineStr">
        <is>
          <t>ЮЛ РФ</t>
        </is>
      </c>
      <c r="F3467" s="13" t="n"/>
      <c r="G3467" s="14" t="n"/>
      <c r="H3467" s="14" t="n"/>
      <c r="I3467" s="14" t="n"/>
      <c r="J3467" s="14" t="n"/>
      <c r="K3467" s="53" t="inlineStr"/>
      <c r="L3467" s="53" t="inlineStr">
        <is>
          <t>Не определено</t>
        </is>
      </c>
      <c r="M3467" s="53" t="inlineStr"/>
      <c r="N3467" s="54" t="inlineStr"/>
      <c r="O3467" s="55" t="inlineStr"/>
      <c r="P3467" s="16" t="inlineStr">
        <is>
          <t>Требует обогащения</t>
        </is>
      </c>
      <c r="Q3467" s="16">
        <f>HYPERLINK("https://pb.nalog.ru/search.html?query=6503009314","ФНС: проверить")</f>
        <v/>
      </c>
      <c r="R3467" s="16">
        <f>HYPERLINK("https://checko.ru/search?query=3801001629","Чекко: проверить")</f>
        <v/>
      </c>
      <c r="S3467" t="n">
        <v>1</v>
      </c>
      <c r="T3467" s="35" t="inlineStr">
        <is>
          <t>4 — Не обогащён</t>
        </is>
      </c>
      <c r="U3467" s="35" t="inlineStr">
        <is>
          <t>Нет ОКВЭД/ССЧР</t>
        </is>
      </c>
      <c r="V3467" s="35" t="inlineStr">
        <is>
          <t>Не определено</t>
        </is>
      </c>
      <c r="W3467" s="35" t="inlineStr"/>
      <c r="X3467" s="35" t="inlineStr"/>
    </row>
    <row r="3468" ht="54.75" customHeight="1" s="24">
      <c r="A3468" s="13" t="n">
        <v>5000061489</v>
      </c>
      <c r="B3468" s="13" t="inlineStr">
        <is>
          <t>Муниципальное бюджетное общеобразовательное учреждение "Средняя общеобразовательная школа" с. Сокол Долинского района Сахалинской области</t>
        </is>
      </c>
      <c r="C3468" s="13" t="n">
        <v>6503009530</v>
      </c>
      <c r="D3468" s="13" t="inlineStr">
        <is>
          <t>6503009530</t>
        </is>
      </c>
      <c r="E3468" s="13" t="inlineStr">
        <is>
          <t>ЮЛ РФ</t>
        </is>
      </c>
      <c r="F3468" s="13" t="n"/>
      <c r="G3468" s="14" t="n"/>
      <c r="H3468" s="14" t="n"/>
      <c r="I3468" s="14" t="n"/>
      <c r="J3468" s="14" t="n"/>
      <c r="K3468" s="53" t="inlineStr"/>
      <c r="L3468" s="53" t="inlineStr">
        <is>
          <t>Не определено</t>
        </is>
      </c>
      <c r="M3468" s="53" t="inlineStr"/>
      <c r="N3468" s="54" t="inlineStr"/>
      <c r="O3468" s="55" t="inlineStr"/>
      <c r="P3468" s="16" t="inlineStr">
        <is>
          <t>Требует обогащения</t>
        </is>
      </c>
      <c r="Q3468" s="16">
        <f>HYPERLINK("https://pb.nalog.ru/search.html?query=6503009530","ФНС: проверить")</f>
        <v/>
      </c>
      <c r="R3468" s="16">
        <f>HYPERLINK("https://checko.ru/search?query=3801001629","Чекко: проверить")</f>
        <v/>
      </c>
      <c r="S3468" t="n">
        <v>1</v>
      </c>
      <c r="T3468" s="35" t="inlineStr">
        <is>
          <t>4 — Не обогащён</t>
        </is>
      </c>
      <c r="U3468" s="35" t="inlineStr">
        <is>
          <t>Нет ОКВЭД/ССЧР</t>
        </is>
      </c>
      <c r="V3468" s="35" t="inlineStr">
        <is>
          <t>Не определено</t>
        </is>
      </c>
      <c r="W3468" s="35" t="inlineStr"/>
      <c r="X3468" s="35" t="inlineStr"/>
    </row>
    <row r="3469" ht="54.75" customHeight="1" s="24">
      <c r="A3469" s="13" t="n">
        <v>5000061490</v>
      </c>
      <c r="B3469" s="13" t="inlineStr">
        <is>
          <t>Муниципальное бюджетное общеобразовательное учреждение "Средняя общеобразовательная школа" с. Быков Долинского района Сахалинской области</t>
        </is>
      </c>
      <c r="C3469" s="13" t="n">
        <v>6503009667</v>
      </c>
      <c r="D3469" s="13" t="inlineStr">
        <is>
          <t>6503009667</t>
        </is>
      </c>
      <c r="E3469" s="13" t="inlineStr">
        <is>
          <t>ЮЛ РФ</t>
        </is>
      </c>
      <c r="F3469" s="13" t="n"/>
      <c r="G3469" s="14" t="n"/>
      <c r="H3469" s="14" t="n"/>
      <c r="I3469" s="14" t="n"/>
      <c r="J3469" s="14" t="n"/>
      <c r="K3469" s="53" t="inlineStr"/>
      <c r="L3469" s="53" t="inlineStr">
        <is>
          <t>Не определено</t>
        </is>
      </c>
      <c r="M3469" s="53" t="inlineStr"/>
      <c r="N3469" s="54" t="inlineStr"/>
      <c r="O3469" s="55" t="inlineStr"/>
      <c r="P3469" s="16" t="inlineStr">
        <is>
          <t>Требует обогащения</t>
        </is>
      </c>
      <c r="Q3469" s="16">
        <f>HYPERLINK("https://pb.nalog.ru/search.html?query=6503009667","ФНС: проверить")</f>
        <v/>
      </c>
      <c r="R3469" s="16">
        <f>HYPERLINK("https://checko.ru/search?query=3801001629","Чекко: проверить")</f>
        <v/>
      </c>
      <c r="S3469" t="n">
        <v>1</v>
      </c>
      <c r="T3469" s="35" t="inlineStr">
        <is>
          <t>4 — Не обогащён</t>
        </is>
      </c>
      <c r="U3469" s="35" t="inlineStr">
        <is>
          <t>Нет ОКВЭД/ССЧР</t>
        </is>
      </c>
      <c r="V3469" s="35" t="inlineStr">
        <is>
          <t>Не определено</t>
        </is>
      </c>
      <c r="W3469" s="35" t="inlineStr"/>
      <c r="X3469" s="35" t="inlineStr"/>
    </row>
    <row r="3470" ht="54.75" customHeight="1" s="24">
      <c r="A3470" s="13" t="n">
        <v>5000061491</v>
      </c>
      <c r="B3470" s="13" t="inlineStr">
        <is>
          <t>Муниципальное бюджетное общеобразовательное учреждение "Средняя общеобразовательная школа" с. Углезаводск Долинского района Сахалинской области</t>
        </is>
      </c>
      <c r="C3470" s="13" t="n">
        <v>6503010479</v>
      </c>
      <c r="D3470" s="13" t="inlineStr">
        <is>
          <t>6503010479</t>
        </is>
      </c>
      <c r="E3470" s="13" t="inlineStr">
        <is>
          <t>ЮЛ РФ</t>
        </is>
      </c>
      <c r="F3470" s="13" t="n"/>
      <c r="G3470" s="14" t="n"/>
      <c r="H3470" s="14" t="n"/>
      <c r="I3470" s="14" t="n"/>
      <c r="J3470" s="14" t="n"/>
      <c r="K3470" s="53" t="inlineStr"/>
      <c r="L3470" s="53" t="inlineStr">
        <is>
          <t>Не определено</t>
        </is>
      </c>
      <c r="M3470" s="53" t="inlineStr"/>
      <c r="N3470" s="54" t="inlineStr"/>
      <c r="O3470" s="55" t="inlineStr"/>
      <c r="P3470" s="16" t="inlineStr">
        <is>
          <t>Требует обогащения</t>
        </is>
      </c>
      <c r="Q3470" s="16">
        <f>HYPERLINK("https://pb.nalog.ru/search.html?query=6503010479","ФНС: проверить")</f>
        <v/>
      </c>
      <c r="R3470" s="16">
        <f>HYPERLINK("https://checko.ru/search?query=3801001629","Чекко: проверить")</f>
        <v/>
      </c>
      <c r="S3470" t="n">
        <v>1</v>
      </c>
      <c r="T3470" s="35" t="inlineStr">
        <is>
          <t>4 — Не обогащён</t>
        </is>
      </c>
      <c r="U3470" s="35" t="inlineStr">
        <is>
          <t>Нет ОКВЭД/ССЧР</t>
        </is>
      </c>
      <c r="V3470" s="35" t="inlineStr">
        <is>
          <t>Не определено</t>
        </is>
      </c>
      <c r="W3470" s="35" t="inlineStr"/>
      <c r="X3470" s="35" t="inlineStr"/>
    </row>
    <row r="3471" ht="54.75" customHeight="1" s="24">
      <c r="A3471" s="13" t="n">
        <v>5000061492</v>
      </c>
      <c r="B3471" s="13" t="inlineStr">
        <is>
          <t>Муниципальное бюджетное общеобразовательное учреждение "Средняя общеобразовательная школа" с. Покровка Долинского района Сахалинской области</t>
        </is>
      </c>
      <c r="C3471" s="13" t="n">
        <v>6503009681</v>
      </c>
      <c r="D3471" s="13" t="inlineStr">
        <is>
          <t>6503009681</t>
        </is>
      </c>
      <c r="E3471" s="13" t="inlineStr">
        <is>
          <t>ЮЛ РФ</t>
        </is>
      </c>
      <c r="F3471" s="13" t="n"/>
      <c r="G3471" s="14" t="n"/>
      <c r="H3471" s="14" t="n"/>
      <c r="I3471" s="14" t="n"/>
      <c r="J3471" s="14" t="n"/>
      <c r="K3471" s="53" t="inlineStr"/>
      <c r="L3471" s="53" t="inlineStr">
        <is>
          <t>Не определено</t>
        </is>
      </c>
      <c r="M3471" s="53" t="inlineStr"/>
      <c r="N3471" s="54" t="inlineStr"/>
      <c r="O3471" s="55" t="inlineStr"/>
      <c r="P3471" s="16" t="inlineStr">
        <is>
          <t>Требует обогащения</t>
        </is>
      </c>
      <c r="Q3471" s="16">
        <f>HYPERLINK("https://pb.nalog.ru/search.html?query=6503009681","ФНС: проверить")</f>
        <v/>
      </c>
      <c r="R3471" s="16">
        <f>HYPERLINK("https://checko.ru/search?query=3801001629","Чекко: проверить")</f>
        <v/>
      </c>
      <c r="S3471" t="n">
        <v>1</v>
      </c>
      <c r="T3471" s="35" t="inlineStr">
        <is>
          <t>4 — Не обогащён</t>
        </is>
      </c>
      <c r="U3471" s="35" t="inlineStr">
        <is>
          <t>Нет ОКВЭД/ССЧР</t>
        </is>
      </c>
      <c r="V3471" s="35" t="inlineStr">
        <is>
          <t>Не определено</t>
        </is>
      </c>
      <c r="W3471" s="35" t="inlineStr"/>
      <c r="X3471" s="35" t="inlineStr"/>
    </row>
    <row r="3472" ht="54.75" customHeight="1" s="24">
      <c r="A3472" s="13" t="n">
        <v>5000061493</v>
      </c>
      <c r="B3472" s="13" t="inlineStr">
        <is>
          <t>Муниципальное бюджетное общеобразовательное учреждение "Средняя общеобразовательная школа" с. Стародубское Долинского района Сахалинской области</t>
        </is>
      </c>
      <c r="C3472" s="13" t="n">
        <v>6503009586</v>
      </c>
      <c r="D3472" s="13" t="inlineStr">
        <is>
          <t>6503009586</t>
        </is>
      </c>
      <c r="E3472" s="13" t="inlineStr">
        <is>
          <t>ЮЛ РФ</t>
        </is>
      </c>
      <c r="F3472" s="13" t="n"/>
      <c r="G3472" s="14" t="n"/>
      <c r="H3472" s="14" t="n"/>
      <c r="I3472" s="14" t="n"/>
      <c r="J3472" s="14" t="n"/>
      <c r="K3472" s="53" t="inlineStr"/>
      <c r="L3472" s="53" t="inlineStr">
        <is>
          <t>Не определено</t>
        </is>
      </c>
      <c r="M3472" s="53" t="inlineStr"/>
      <c r="N3472" s="54" t="inlineStr"/>
      <c r="O3472" s="55" t="inlineStr"/>
      <c r="P3472" s="16" t="inlineStr">
        <is>
          <t>Требует обогащения</t>
        </is>
      </c>
      <c r="Q3472" s="16">
        <f>HYPERLINK("https://pb.nalog.ru/search.html?query=6503009586","ФНС: проверить")</f>
        <v/>
      </c>
      <c r="R3472" s="16">
        <f>HYPERLINK("https://checko.ru/search?query=3801001629","Чекко: проверить")</f>
        <v/>
      </c>
      <c r="S3472" t="n">
        <v>1</v>
      </c>
      <c r="T3472" s="35" t="inlineStr">
        <is>
          <t>4 — Не обогащён</t>
        </is>
      </c>
      <c r="U3472" s="35" t="inlineStr">
        <is>
          <t>Нет ОКВЭД/ССЧР</t>
        </is>
      </c>
      <c r="V3472" s="35" t="inlineStr">
        <is>
          <t>Не определено</t>
        </is>
      </c>
      <c r="W3472" s="35" t="inlineStr"/>
      <c r="X3472" s="35" t="inlineStr"/>
    </row>
    <row r="3473" ht="54.75" customHeight="1" s="24">
      <c r="A3473" s="13" t="n">
        <v>5000061494</v>
      </c>
      <c r="B3473" s="13" t="inlineStr">
        <is>
          <t>Муниципальное бюджетное общеобразовательное учреждение "Средняя общеобразовательная школа" с. Советское Долинского района Сахалинской области</t>
        </is>
      </c>
      <c r="C3473" s="13" t="n">
        <v>6503009593</v>
      </c>
      <c r="D3473" s="13" t="inlineStr">
        <is>
          <t>6503009593</t>
        </is>
      </c>
      <c r="E3473" s="13" t="inlineStr">
        <is>
          <t>ЮЛ РФ</t>
        </is>
      </c>
      <c r="F3473" s="13" t="n"/>
      <c r="G3473" s="14" t="n"/>
      <c r="H3473" s="14" t="n"/>
      <c r="I3473" s="14" t="n"/>
      <c r="J3473" s="14" t="n"/>
      <c r="K3473" s="53" t="inlineStr"/>
      <c r="L3473" s="53" t="inlineStr">
        <is>
          <t>Не определено</t>
        </is>
      </c>
      <c r="M3473" s="53" t="inlineStr"/>
      <c r="N3473" s="54" t="inlineStr"/>
      <c r="O3473" s="55" t="inlineStr"/>
      <c r="P3473" s="16" t="inlineStr">
        <is>
          <t>Требует обогащения</t>
        </is>
      </c>
      <c r="Q3473" s="16">
        <f>HYPERLINK("https://pb.nalog.ru/search.html?query=6503009593","ФНС: проверить")</f>
        <v/>
      </c>
      <c r="R3473" s="16">
        <f>HYPERLINK("https://checko.ru/search?query=3801001629","Чекко: проверить")</f>
        <v/>
      </c>
      <c r="S3473" t="n">
        <v>1</v>
      </c>
      <c r="T3473" s="35" t="inlineStr">
        <is>
          <t>4 — Не обогащён</t>
        </is>
      </c>
      <c r="U3473" s="35" t="inlineStr">
        <is>
          <t>Нет ОКВЭД/ССЧР</t>
        </is>
      </c>
      <c r="V3473" s="35" t="inlineStr">
        <is>
          <t>Не определено</t>
        </is>
      </c>
      <c r="W3473" s="35" t="inlineStr"/>
      <c r="X3473" s="35" t="inlineStr"/>
    </row>
    <row r="3474" ht="54.75" customHeight="1" s="24">
      <c r="A3474" s="13" t="n">
        <v>5000061495</v>
      </c>
      <c r="B3474" s="13" t="inlineStr">
        <is>
          <t>Муниципальное бюджетное общеобразовательное учреждение "Средняя общеобразовательная школа" с. Взморье Долинского района Сахалинской области</t>
        </is>
      </c>
      <c r="C3474" s="13" t="n">
        <v>6503009642</v>
      </c>
      <c r="D3474" s="13" t="inlineStr">
        <is>
          <t>6503009642</t>
        </is>
      </c>
      <c r="E3474" s="13" t="inlineStr">
        <is>
          <t>ЮЛ РФ</t>
        </is>
      </c>
      <c r="F3474" s="13" t="n"/>
      <c r="G3474" s="14" t="n"/>
      <c r="H3474" s="14" t="n"/>
      <c r="I3474" s="14" t="n"/>
      <c r="J3474" s="14" t="n"/>
      <c r="K3474" s="53" t="inlineStr"/>
      <c r="L3474" s="53" t="inlineStr">
        <is>
          <t>Не определено</t>
        </is>
      </c>
      <c r="M3474" s="53" t="inlineStr"/>
      <c r="N3474" s="54" t="inlineStr"/>
      <c r="O3474" s="55" t="inlineStr"/>
      <c r="P3474" s="16" t="inlineStr">
        <is>
          <t>Требует обогащения</t>
        </is>
      </c>
      <c r="Q3474" s="16">
        <f>HYPERLINK("https://pb.nalog.ru/search.html?query=6503009642","ФНС: проверить")</f>
        <v/>
      </c>
      <c r="R3474" s="16">
        <f>HYPERLINK("https://checko.ru/search?query=3801001629","Чекко: проверить")</f>
        <v/>
      </c>
      <c r="S3474" t="n">
        <v>1</v>
      </c>
      <c r="T3474" s="35" t="inlineStr">
        <is>
          <t>4 — Не обогащён</t>
        </is>
      </c>
      <c r="U3474" s="35" t="inlineStr">
        <is>
          <t>Нет ОКВЭД/ССЧР</t>
        </is>
      </c>
      <c r="V3474" s="35" t="inlineStr">
        <is>
          <t>Не определено</t>
        </is>
      </c>
      <c r="W3474" s="35" t="inlineStr"/>
      <c r="X3474" s="35" t="inlineStr"/>
    </row>
    <row r="3475" ht="41.25" customHeight="1" s="24">
      <c r="A3475" s="13" t="n">
        <v>5000061496</v>
      </c>
      <c r="B3475" s="13" t="inlineStr">
        <is>
          <t>Муниципальное бюджетное дошкольное образовательное учреждение "Детский сад "Сказка" г. Долинск Сахалинской области</t>
        </is>
      </c>
      <c r="C3475" s="13" t="n">
        <v>6503009258</v>
      </c>
      <c r="D3475" s="13" t="inlineStr">
        <is>
          <t>6503009258</t>
        </is>
      </c>
      <c r="E3475" s="13" t="inlineStr">
        <is>
          <t>ЮЛ РФ</t>
        </is>
      </c>
      <c r="F3475" s="13" t="n"/>
      <c r="G3475" s="14" t="n"/>
      <c r="H3475" s="14" t="n"/>
      <c r="I3475" s="14" t="n"/>
      <c r="J3475" s="14" t="n"/>
      <c r="K3475" s="53" t="inlineStr"/>
      <c r="L3475" s="53" t="inlineStr">
        <is>
          <t>Не определено</t>
        </is>
      </c>
      <c r="M3475" s="53" t="inlineStr"/>
      <c r="N3475" s="54" t="inlineStr"/>
      <c r="O3475" s="55" t="inlineStr"/>
      <c r="P3475" s="16" t="inlineStr">
        <is>
          <t>Требует обогащения</t>
        </is>
      </c>
      <c r="Q3475" s="16">
        <f>HYPERLINK("https://pb.nalog.ru/search.html?query=6503009258","ФНС: проверить")</f>
        <v/>
      </c>
      <c r="R3475" s="16">
        <f>HYPERLINK("https://checko.ru/search?query=3801001629","Чекко: проверить")</f>
        <v/>
      </c>
      <c r="S3475" t="n">
        <v>1</v>
      </c>
      <c r="T3475" s="35" t="inlineStr">
        <is>
          <t>4 — Не обогащён</t>
        </is>
      </c>
      <c r="U3475" s="35" t="inlineStr">
        <is>
          <t>Нет ОКВЭД/ССЧР</t>
        </is>
      </c>
      <c r="V3475" s="35" t="inlineStr">
        <is>
          <t>Не определено</t>
        </is>
      </c>
      <c r="W3475" s="35" t="inlineStr"/>
      <c r="X3475" s="35" t="inlineStr"/>
    </row>
    <row r="3476" ht="41.25" customHeight="1" s="24">
      <c r="A3476" s="13" t="n">
        <v>5000061497</v>
      </c>
      <c r="B3476" s="13" t="inlineStr">
        <is>
          <t>Муниципальное бюджетное дошкольное образовательное учреждение "Детский сад "Солнышко" г.Долинск Сахалинской области</t>
        </is>
      </c>
      <c r="C3476" s="13" t="n">
        <v>6503009515</v>
      </c>
      <c r="D3476" s="13" t="inlineStr">
        <is>
          <t>6503009515</t>
        </is>
      </c>
      <c r="E3476" s="13" t="inlineStr">
        <is>
          <t>ЮЛ РФ</t>
        </is>
      </c>
      <c r="F3476" s="13" t="n"/>
      <c r="G3476" s="14" t="n"/>
      <c r="H3476" s="14" t="n"/>
      <c r="I3476" s="14" t="n"/>
      <c r="J3476" s="14" t="n"/>
      <c r="K3476" s="53" t="inlineStr"/>
      <c r="L3476" s="53" t="inlineStr">
        <is>
          <t>Не определено</t>
        </is>
      </c>
      <c r="M3476" s="53" t="inlineStr"/>
      <c r="N3476" s="54" t="inlineStr"/>
      <c r="O3476" s="55" t="inlineStr"/>
      <c r="P3476" s="16" t="inlineStr">
        <is>
          <t>Требует обогащения</t>
        </is>
      </c>
      <c r="Q3476" s="16">
        <f>HYPERLINK("https://pb.nalog.ru/search.html?query=6503009515","ФНС: проверить")</f>
        <v/>
      </c>
      <c r="R3476" s="16">
        <f>HYPERLINK("https://checko.ru/search?query=3801001629","Чекко: проверить")</f>
        <v/>
      </c>
      <c r="S3476" t="n">
        <v>1</v>
      </c>
      <c r="T3476" s="35" t="inlineStr">
        <is>
          <t>4 — Не обогащён</t>
        </is>
      </c>
      <c r="U3476" s="35" t="inlineStr">
        <is>
          <t>Нет ОКВЭД/ССЧР</t>
        </is>
      </c>
      <c r="V3476" s="35" t="inlineStr">
        <is>
          <t>Не определено</t>
        </is>
      </c>
      <c r="W3476" s="35" t="inlineStr"/>
      <c r="X3476" s="35" t="inlineStr"/>
    </row>
    <row r="3477" ht="41.25" customHeight="1" s="24">
      <c r="A3477" s="13" t="n">
        <v>5000061498</v>
      </c>
      <c r="B3477" s="13" t="inlineStr">
        <is>
          <t>Муниципальное бюджетное дошкольное образовательное учреждение "Детский сад "Чебурашка" г.Долинск Сахалинской области</t>
        </is>
      </c>
      <c r="C3477" s="13" t="n">
        <v>6503009579</v>
      </c>
      <c r="D3477" s="13" t="inlineStr">
        <is>
          <t>6503009579</t>
        </is>
      </c>
      <c r="E3477" s="13" t="inlineStr">
        <is>
          <t>ЮЛ РФ</t>
        </is>
      </c>
      <c r="F3477" s="13" t="n"/>
      <c r="G3477" s="14" t="n"/>
      <c r="H3477" s="14" t="n"/>
      <c r="I3477" s="14" t="n"/>
      <c r="J3477" s="14" t="n"/>
      <c r="K3477" s="53" t="inlineStr"/>
      <c r="L3477" s="53" t="inlineStr">
        <is>
          <t>Не определено</t>
        </is>
      </c>
      <c r="M3477" s="53" t="inlineStr"/>
      <c r="N3477" s="54" t="inlineStr"/>
      <c r="O3477" s="55" t="inlineStr"/>
      <c r="P3477" s="16" t="inlineStr">
        <is>
          <t>Требует обогащения</t>
        </is>
      </c>
      <c r="Q3477" s="16">
        <f>HYPERLINK("https://pb.nalog.ru/search.html?query=6503009579","ФНС: проверить")</f>
        <v/>
      </c>
      <c r="R3477" s="16">
        <f>HYPERLINK("https://checko.ru/search?query=3801001629","Чекко: проверить")</f>
        <v/>
      </c>
      <c r="S3477" t="n">
        <v>1</v>
      </c>
      <c r="T3477" s="35" t="inlineStr">
        <is>
          <t>4 — Не обогащён</t>
        </is>
      </c>
      <c r="U3477" s="35" t="inlineStr">
        <is>
          <t>Нет ОКВЭД/ССЧР</t>
        </is>
      </c>
      <c r="V3477" s="35" t="inlineStr">
        <is>
          <t>Не определено</t>
        </is>
      </c>
      <c r="W3477" s="35" t="inlineStr"/>
      <c r="X3477" s="35" t="inlineStr"/>
    </row>
    <row r="3478" ht="54.75" customHeight="1" s="24">
      <c r="A3478" s="13" t="n">
        <v>5000061499</v>
      </c>
      <c r="B3478" s="13" t="inlineStr">
        <is>
          <t>Муниципальное бюджетное дошкольное образовательное учреждение "Детский сад "Росинка" с. Сокол Долинского района Сахалинской области</t>
        </is>
      </c>
      <c r="C3478" s="13" t="n">
        <v>6503009723</v>
      </c>
      <c r="D3478" s="13" t="inlineStr">
        <is>
          <t>6503009723</t>
        </is>
      </c>
      <c r="E3478" s="13" t="inlineStr">
        <is>
          <t>ЮЛ РФ</t>
        </is>
      </c>
      <c r="F3478" s="13" t="n"/>
      <c r="G3478" s="14" t="n"/>
      <c r="H3478" s="14" t="n"/>
      <c r="I3478" s="14" t="n"/>
      <c r="J3478" s="14" t="n"/>
      <c r="K3478" s="53" t="inlineStr"/>
      <c r="L3478" s="53" t="inlineStr">
        <is>
          <t>Не определено</t>
        </is>
      </c>
      <c r="M3478" s="53" t="inlineStr"/>
      <c r="N3478" s="54" t="inlineStr"/>
      <c r="O3478" s="55" t="inlineStr"/>
      <c r="P3478" s="16" t="inlineStr">
        <is>
          <t>Требует обогащения</t>
        </is>
      </c>
      <c r="Q3478" s="16">
        <f>HYPERLINK("https://pb.nalog.ru/search.html?query=6503009723","ФНС: проверить")</f>
        <v/>
      </c>
      <c r="R3478" s="16">
        <f>HYPERLINK("https://checko.ru/search?query=3801001629","Чекко: проверить")</f>
        <v/>
      </c>
      <c r="S3478" t="n">
        <v>1</v>
      </c>
      <c r="T3478" s="35" t="inlineStr">
        <is>
          <t>4 — Не обогащён</t>
        </is>
      </c>
      <c r="U3478" s="35" t="inlineStr">
        <is>
          <t>Нет ОКВЭД/ССЧР</t>
        </is>
      </c>
      <c r="V3478" s="35" t="inlineStr">
        <is>
          <t>Не определено</t>
        </is>
      </c>
      <c r="W3478" s="35" t="inlineStr"/>
      <c r="X3478" s="35" t="inlineStr"/>
    </row>
    <row r="3479" ht="54.75" customHeight="1" s="24">
      <c r="A3479" s="13" t="n">
        <v>5000061500</v>
      </c>
      <c r="B3479" s="13" t="inlineStr">
        <is>
          <t>Муниципальное бюджетное дошкольное образовательное учреждение "Детский сад "Родничок" с. Быков Долинского района Сахалинской области</t>
        </is>
      </c>
      <c r="C3479" s="13" t="n">
        <v>6503009480</v>
      </c>
      <c r="D3479" s="13" t="inlineStr">
        <is>
          <t>6503009480</t>
        </is>
      </c>
      <c r="E3479" s="13" t="inlineStr">
        <is>
          <t>ЮЛ РФ</t>
        </is>
      </c>
      <c r="F3479" s="13" t="n"/>
      <c r="G3479" s="14" t="n"/>
      <c r="H3479" s="14" t="n"/>
      <c r="I3479" s="14" t="n"/>
      <c r="J3479" s="14" t="n"/>
      <c r="K3479" s="53" t="inlineStr"/>
      <c r="L3479" s="53" t="inlineStr">
        <is>
          <t>Не определено</t>
        </is>
      </c>
      <c r="M3479" s="53" t="inlineStr"/>
      <c r="N3479" s="54" t="inlineStr"/>
      <c r="O3479" s="55" t="inlineStr"/>
      <c r="P3479" s="16" t="inlineStr">
        <is>
          <t>Требует обогащения</t>
        </is>
      </c>
      <c r="Q3479" s="16">
        <f>HYPERLINK("https://pb.nalog.ru/search.html?query=6503009480","ФНС: проверить")</f>
        <v/>
      </c>
      <c r="R3479" s="16">
        <f>HYPERLINK("https://checko.ru/search?query=3801001629","Чекко: проверить")</f>
        <v/>
      </c>
      <c r="S3479" t="n">
        <v>1</v>
      </c>
      <c r="T3479" s="35" t="inlineStr">
        <is>
          <t>4 — Не обогащён</t>
        </is>
      </c>
      <c r="U3479" s="35" t="inlineStr">
        <is>
          <t>Нет ОКВЭД/ССЧР</t>
        </is>
      </c>
      <c r="V3479" s="35" t="inlineStr">
        <is>
          <t>Не определено</t>
        </is>
      </c>
      <c r="W3479" s="35" t="inlineStr"/>
      <c r="X3479" s="35" t="inlineStr"/>
    </row>
    <row r="3480" ht="54.75" customHeight="1" s="24">
      <c r="A3480" s="13" t="n">
        <v>5000061501</v>
      </c>
      <c r="B3480" s="13" t="inlineStr">
        <is>
          <t>Муниципальное бюджетное дошкольное образовательное учреждение "Детский сад "Малыш" с. Углезаводск Долинского района Сахалинской области</t>
        </is>
      </c>
      <c r="C3480" s="13" t="n">
        <v>6503007356</v>
      </c>
      <c r="D3480" s="13" t="inlineStr">
        <is>
          <t>6503007356</t>
        </is>
      </c>
      <c r="E3480" s="13" t="inlineStr">
        <is>
          <t>ЮЛ РФ</t>
        </is>
      </c>
      <c r="F3480" s="13" t="n"/>
      <c r="G3480" s="14" t="n"/>
      <c r="H3480" s="14" t="n"/>
      <c r="I3480" s="14" t="n"/>
      <c r="J3480" s="14" t="n"/>
      <c r="K3480" s="53" t="inlineStr"/>
      <c r="L3480" s="53" t="inlineStr">
        <is>
          <t>Не определено</t>
        </is>
      </c>
      <c r="M3480" s="53" t="inlineStr"/>
      <c r="N3480" s="54" t="inlineStr"/>
      <c r="O3480" s="55" t="inlineStr"/>
      <c r="P3480" s="16" t="inlineStr">
        <is>
          <t>Требует обогащения</t>
        </is>
      </c>
      <c r="Q3480" s="16">
        <f>HYPERLINK("https://pb.nalog.ru/search.html?query=6503007356","ФНС: проверить")</f>
        <v/>
      </c>
      <c r="R3480" s="16">
        <f>HYPERLINK("https://checko.ru/search?query=3801001629","Чекко: проверить")</f>
        <v/>
      </c>
      <c r="S3480" t="n">
        <v>1</v>
      </c>
      <c r="T3480" s="35" t="inlineStr">
        <is>
          <t>4 — Не обогащён</t>
        </is>
      </c>
      <c r="U3480" s="35" t="inlineStr">
        <is>
          <t>Нет ОКВЭД/ССЧР</t>
        </is>
      </c>
      <c r="V3480" s="35" t="inlineStr">
        <is>
          <t>Не определено</t>
        </is>
      </c>
      <c r="W3480" s="35" t="inlineStr"/>
      <c r="X3480" s="35" t="inlineStr"/>
    </row>
    <row r="3481" ht="54.75" customHeight="1" s="24">
      <c r="A3481" s="13" t="n">
        <v>5000061502</v>
      </c>
      <c r="B3481" s="13" t="inlineStr">
        <is>
          <t>Муниципальное бюджетное дошкольное образовательное учреждение "Детский сад "Тополек" с. Покровка Долинского района Сахалинской области</t>
        </is>
      </c>
      <c r="C3481" s="13" t="n">
        <v>6503009522</v>
      </c>
      <c r="D3481" s="13" t="inlineStr">
        <is>
          <t>6503009522</t>
        </is>
      </c>
      <c r="E3481" s="13" t="inlineStr">
        <is>
          <t>ЮЛ РФ</t>
        </is>
      </c>
      <c r="F3481" s="13" t="n"/>
      <c r="G3481" s="14" t="n"/>
      <c r="H3481" s="14" t="n"/>
      <c r="I3481" s="14" t="n"/>
      <c r="J3481" s="14" t="n"/>
      <c r="K3481" s="53" t="inlineStr"/>
      <c r="L3481" s="53" t="inlineStr">
        <is>
          <t>Не определено</t>
        </is>
      </c>
      <c r="M3481" s="53" t="inlineStr"/>
      <c r="N3481" s="54" t="inlineStr"/>
      <c r="O3481" s="55" t="inlineStr"/>
      <c r="P3481" s="16" t="inlineStr">
        <is>
          <t>Требует обогащения</t>
        </is>
      </c>
      <c r="Q3481" s="16">
        <f>HYPERLINK("https://pb.nalog.ru/search.html?query=6503009522","ФНС: проверить")</f>
        <v/>
      </c>
      <c r="R3481" s="16">
        <f>HYPERLINK("https://checko.ru/search?query=3801001629","Чекко: проверить")</f>
        <v/>
      </c>
      <c r="S3481" t="n">
        <v>1</v>
      </c>
      <c r="T3481" s="35" t="inlineStr">
        <is>
          <t>4 — Не обогащён</t>
        </is>
      </c>
      <c r="U3481" s="35" t="inlineStr">
        <is>
          <t>Нет ОКВЭД/ССЧР</t>
        </is>
      </c>
      <c r="V3481" s="35" t="inlineStr">
        <is>
          <t>Не определено</t>
        </is>
      </c>
      <c r="W3481" s="35" t="inlineStr"/>
      <c r="X3481" s="35" t="inlineStr"/>
    </row>
    <row r="3482" ht="54.75" customHeight="1" s="24">
      <c r="A3482" s="13" t="n">
        <v>5000061503</v>
      </c>
      <c r="B3482" s="13" t="inlineStr">
        <is>
          <t>Муниципальное бюджетное дошкольное образовательное учреждение "Детский сад "Дюймовочка" с. Стародубское Долинского района Сахалинской области</t>
        </is>
      </c>
      <c r="C3482" s="13" t="n">
        <v>6503009554</v>
      </c>
      <c r="D3482" s="13" t="inlineStr">
        <is>
          <t>6503009554</t>
        </is>
      </c>
      <c r="E3482" s="13" t="inlineStr">
        <is>
          <t>ЮЛ РФ</t>
        </is>
      </c>
      <c r="F3482" s="13" t="n"/>
      <c r="G3482" s="14" t="n"/>
      <c r="H3482" s="14" t="n"/>
      <c r="I3482" s="14" t="n"/>
      <c r="J3482" s="14" t="n"/>
      <c r="K3482" s="53" t="inlineStr"/>
      <c r="L3482" s="53" t="inlineStr">
        <is>
          <t>Не определено</t>
        </is>
      </c>
      <c r="M3482" s="53" t="inlineStr"/>
      <c r="N3482" s="54" t="inlineStr"/>
      <c r="O3482" s="55" t="inlineStr"/>
      <c r="P3482" s="16" t="inlineStr">
        <is>
          <t>Требует обогащения</t>
        </is>
      </c>
      <c r="Q3482" s="16">
        <f>HYPERLINK("https://pb.nalog.ru/search.html?query=6503009554","ФНС: проверить")</f>
        <v/>
      </c>
      <c r="R3482" s="16">
        <f>HYPERLINK("https://checko.ru/search?query=3801001629","Чекко: проверить")</f>
        <v/>
      </c>
      <c r="S3482" t="n">
        <v>1</v>
      </c>
      <c r="T3482" s="35" t="inlineStr">
        <is>
          <t>4 — Не обогащён</t>
        </is>
      </c>
      <c r="U3482" s="35" t="inlineStr">
        <is>
          <t>Нет ОКВЭД/ССЧР</t>
        </is>
      </c>
      <c r="V3482" s="35" t="inlineStr">
        <is>
          <t>Не определено</t>
        </is>
      </c>
      <c r="W3482" s="35" t="inlineStr"/>
      <c r="X3482" s="35" t="inlineStr"/>
    </row>
    <row r="3483" ht="54.75" customHeight="1" s="24">
      <c r="A3483" s="13" t="n">
        <v>5000061504</v>
      </c>
      <c r="B3483" s="13" t="inlineStr">
        <is>
          <t>Муниципальное бюджетное образовательное учреждение дополнительного образования "Дом детского творчества" г.Долинск Сахалинской области</t>
        </is>
      </c>
      <c r="C3483" s="13" t="n">
        <v>6503009610</v>
      </c>
      <c r="D3483" s="13" t="inlineStr">
        <is>
          <t>6503009610</t>
        </is>
      </c>
      <c r="E3483" s="13" t="inlineStr">
        <is>
          <t>ЮЛ РФ</t>
        </is>
      </c>
      <c r="F3483" s="13" t="n"/>
      <c r="G3483" s="14" t="n"/>
      <c r="H3483" s="14" t="n"/>
      <c r="I3483" s="14" t="n"/>
      <c r="J3483" s="14" t="n"/>
      <c r="K3483" s="53" t="inlineStr"/>
      <c r="L3483" s="53" t="inlineStr">
        <is>
          <t>Не определено</t>
        </is>
      </c>
      <c r="M3483" s="53" t="inlineStr"/>
      <c r="N3483" s="54" t="inlineStr"/>
      <c r="O3483" s="55" t="inlineStr"/>
      <c r="P3483" s="16" t="inlineStr">
        <is>
          <t>Требует обогащения</t>
        </is>
      </c>
      <c r="Q3483" s="16">
        <f>HYPERLINK("https://pb.nalog.ru/search.html?query=6503009610","ФНС: проверить")</f>
        <v/>
      </c>
      <c r="R3483" s="16">
        <f>HYPERLINK("https://checko.ru/search?query=3801001629","Чекко: проверить")</f>
        <v/>
      </c>
      <c r="S3483" t="n">
        <v>1</v>
      </c>
      <c r="T3483" s="35" t="inlineStr">
        <is>
          <t>4 — Не обогащён</t>
        </is>
      </c>
      <c r="U3483" s="35" t="inlineStr">
        <is>
          <t>Нет ОКВЭД/ССЧР</t>
        </is>
      </c>
      <c r="V3483" s="35" t="inlineStr">
        <is>
          <t>Не определено</t>
        </is>
      </c>
      <c r="W3483" s="35" t="inlineStr"/>
      <c r="X3483" s="35" t="inlineStr"/>
    </row>
    <row r="3484" ht="54.75" customHeight="1" s="24">
      <c r="A3484" s="13" t="n">
        <v>5000061505</v>
      </c>
      <c r="B3484" s="13" t="inlineStr">
        <is>
          <t>Муниципальное бюджетное образовательное учреждение дополнительного образования "Станция юных натуралистов" г. Долинск Сахалинской области</t>
        </is>
      </c>
      <c r="C3484" s="13" t="n">
        <v>6503006264</v>
      </c>
      <c r="D3484" s="13" t="inlineStr">
        <is>
          <t>6503006264</t>
        </is>
      </c>
      <c r="E3484" s="13" t="inlineStr">
        <is>
          <t>ЮЛ РФ</t>
        </is>
      </c>
      <c r="F3484" s="13" t="n"/>
      <c r="G3484" s="14" t="n"/>
      <c r="H3484" s="14" t="n"/>
      <c r="I3484" s="14" t="n"/>
      <c r="J3484" s="14" t="n"/>
      <c r="K3484" s="53" t="inlineStr"/>
      <c r="L3484" s="53" t="inlineStr">
        <is>
          <t>Не определено</t>
        </is>
      </c>
      <c r="M3484" s="53" t="inlineStr"/>
      <c r="N3484" s="54" t="inlineStr"/>
      <c r="O3484" s="55" t="inlineStr"/>
      <c r="P3484" s="16" t="inlineStr">
        <is>
          <t>Требует обогащения</t>
        </is>
      </c>
      <c r="Q3484" s="16">
        <f>HYPERLINK("https://pb.nalog.ru/search.html?query=6503006264","ФНС: проверить")</f>
        <v/>
      </c>
      <c r="R3484" s="16">
        <f>HYPERLINK("https://checko.ru/search?query=3801001629","Чекко: проверить")</f>
        <v/>
      </c>
      <c r="S3484" t="n">
        <v>1</v>
      </c>
      <c r="T3484" s="35" t="inlineStr">
        <is>
          <t>4 — Не обогащён</t>
        </is>
      </c>
      <c r="U3484" s="35" t="inlineStr">
        <is>
          <t>Нет ОКВЭД/ССЧР</t>
        </is>
      </c>
      <c r="V3484" s="35" t="inlineStr">
        <is>
          <t>Не определено</t>
        </is>
      </c>
      <c r="W3484" s="35" t="inlineStr"/>
      <c r="X3484" s="35" t="inlineStr"/>
    </row>
    <row r="3485" ht="41.25" customHeight="1" s="24">
      <c r="A3485" s="13" t="n">
        <v>5000061506</v>
      </c>
      <c r="B3485" s="13" t="inlineStr">
        <is>
          <t>Муниципальное бюджетное учреждение "Спортивная школа" г.Долинск Сахалинской области</t>
        </is>
      </c>
      <c r="C3485" s="13" t="n">
        <v>6503010454</v>
      </c>
      <c r="D3485" s="13" t="inlineStr">
        <is>
          <t>6503010454</t>
        </is>
      </c>
      <c r="E3485" s="13" t="inlineStr">
        <is>
          <t>ЮЛ РФ</t>
        </is>
      </c>
      <c r="F3485" s="13" t="n"/>
      <c r="G3485" s="14" t="n"/>
      <c r="H3485" s="14" t="n"/>
      <c r="I3485" s="14" t="n"/>
      <c r="J3485" s="14" t="n"/>
      <c r="K3485" s="53" t="inlineStr"/>
      <c r="L3485" s="53" t="inlineStr">
        <is>
          <t>Не определено</t>
        </is>
      </c>
      <c r="M3485" s="53" t="inlineStr"/>
      <c r="N3485" s="54" t="inlineStr"/>
      <c r="O3485" s="55" t="inlineStr"/>
      <c r="P3485" s="16" t="inlineStr">
        <is>
          <t>Требует обогащения</t>
        </is>
      </c>
      <c r="Q3485" s="16">
        <f>HYPERLINK("https://pb.nalog.ru/search.html?query=6503010454","ФНС: проверить")</f>
        <v/>
      </c>
      <c r="R3485" s="16">
        <f>HYPERLINK("https://checko.ru/search?query=3801001629","Чекко: проверить")</f>
        <v/>
      </c>
      <c r="S3485" t="n">
        <v>1</v>
      </c>
      <c r="T3485" s="35" t="inlineStr">
        <is>
          <t>4 — Не обогащён</t>
        </is>
      </c>
      <c r="U3485" s="35" t="inlineStr">
        <is>
          <t>Нет ОКВЭД/ССЧР</t>
        </is>
      </c>
      <c r="V3485" s="35" t="inlineStr">
        <is>
          <t>Не определено</t>
        </is>
      </c>
      <c r="W3485" s="35" t="inlineStr"/>
      <c r="X3485" s="35" t="inlineStr"/>
    </row>
    <row r="3486" ht="54.75" customHeight="1" s="24">
      <c r="A3486" s="13" t="n">
        <v>5000061507</v>
      </c>
      <c r="B3486" s="13" t="inlineStr">
        <is>
          <t>Муниципальное бюджетное образовательное учреждение дополнительного образования "Дом детского творчества" с.Быков Долинского района Сахалинской области</t>
        </is>
      </c>
      <c r="C3486" s="13" t="n">
        <v>6503009508</v>
      </c>
      <c r="D3486" s="13" t="inlineStr">
        <is>
          <t>6503009508</t>
        </is>
      </c>
      <c r="E3486" s="13" t="inlineStr">
        <is>
          <t>ЮЛ РФ</t>
        </is>
      </c>
      <c r="F3486" s="13" t="n"/>
      <c r="G3486" s="14" t="n"/>
      <c r="H3486" s="14" t="n"/>
      <c r="I3486" s="14" t="n"/>
      <c r="J3486" s="14" t="n"/>
      <c r="K3486" s="53" t="inlineStr"/>
      <c r="L3486" s="53" t="inlineStr">
        <is>
          <t>Не определено</t>
        </is>
      </c>
      <c r="M3486" s="53" t="inlineStr"/>
      <c r="N3486" s="54" t="inlineStr"/>
      <c r="O3486" s="55" t="inlineStr"/>
      <c r="P3486" s="16" t="inlineStr">
        <is>
          <t>Требует обогащения</t>
        </is>
      </c>
      <c r="Q3486" s="16">
        <f>HYPERLINK("https://pb.nalog.ru/search.html?query=6503009508","ФНС: проверить")</f>
        <v/>
      </c>
      <c r="R3486" s="16">
        <f>HYPERLINK("https://checko.ru/search?query=3801001629","Чекко: проверить")</f>
        <v/>
      </c>
      <c r="S3486" t="n">
        <v>1</v>
      </c>
      <c r="T3486" s="35" t="inlineStr">
        <is>
          <t>4 — Не обогащён</t>
        </is>
      </c>
      <c r="U3486" s="35" t="inlineStr">
        <is>
          <t>Нет ОКВЭД/ССЧР</t>
        </is>
      </c>
      <c r="V3486" s="35" t="inlineStr">
        <is>
          <t>Не определено</t>
        </is>
      </c>
      <c r="W3486" s="35" t="inlineStr"/>
      <c r="X3486" s="35" t="inlineStr"/>
    </row>
    <row r="3487" ht="54.75" customHeight="1" s="24">
      <c r="A3487" s="13" t="n">
        <v>5000061508</v>
      </c>
      <c r="B3487" s="13" t="inlineStr">
        <is>
          <t>Муниципальное бюджетное образовательное учреждение дополнительного образования "Дом детского творчества" с. Стародубское Долинского района Сахалинской</t>
        </is>
      </c>
      <c r="C3487" s="13" t="n">
        <v>6503009699</v>
      </c>
      <c r="D3487" s="13" t="inlineStr">
        <is>
          <t>6503009699</t>
        </is>
      </c>
      <c r="E3487" s="13" t="inlineStr">
        <is>
          <t>ЮЛ РФ</t>
        </is>
      </c>
      <c r="F3487" s="13" t="n"/>
      <c r="G3487" s="14" t="n"/>
      <c r="H3487" s="14" t="n"/>
      <c r="I3487" s="14" t="n"/>
      <c r="J3487" s="14" t="n"/>
      <c r="K3487" s="53" t="inlineStr"/>
      <c r="L3487" s="53" t="inlineStr">
        <is>
          <t>Не определено</t>
        </is>
      </c>
      <c r="M3487" s="53" t="inlineStr"/>
      <c r="N3487" s="54" t="inlineStr"/>
      <c r="O3487" s="55" t="inlineStr"/>
      <c r="P3487" s="16" t="inlineStr">
        <is>
          <t>Требует обогащения</t>
        </is>
      </c>
      <c r="Q3487" s="16">
        <f>HYPERLINK("https://pb.nalog.ru/search.html?query=6503009699","ФНС: проверить")</f>
        <v/>
      </c>
      <c r="R3487" s="16">
        <f>HYPERLINK("https://checko.ru/search?query=3801001629","Чекко: проверить")</f>
        <v/>
      </c>
      <c r="S3487" t="n">
        <v>1</v>
      </c>
      <c r="T3487" s="35" t="inlineStr">
        <is>
          <t>4 — Не обогащён</t>
        </is>
      </c>
      <c r="U3487" s="35" t="inlineStr">
        <is>
          <t>Нет ОКВЭД/ССЧР</t>
        </is>
      </c>
      <c r="V3487" s="35" t="inlineStr">
        <is>
          <t>Не определено</t>
        </is>
      </c>
      <c r="W3487" s="35" t="inlineStr"/>
      <c r="X3487" s="35" t="inlineStr"/>
    </row>
    <row r="3488" ht="41.25" customHeight="1" s="24">
      <c r="A3488" s="13" t="n">
        <v>5000061510</v>
      </c>
      <c r="B3488" s="13" t="inlineStr">
        <is>
          <t>Муниципальное бюджетное дошкольное образовательное учреждение "Детский сад "Улыбка" г.Долинск Сахалинской области</t>
        </is>
      </c>
      <c r="C3488" s="13" t="n">
        <v>6503014410</v>
      </c>
      <c r="D3488" s="13" t="inlineStr">
        <is>
          <t>6503014410</t>
        </is>
      </c>
      <c r="E3488" s="13" t="inlineStr">
        <is>
          <t>ЮЛ РФ</t>
        </is>
      </c>
      <c r="F3488" s="13" t="n"/>
      <c r="G3488" s="14" t="n"/>
      <c r="H3488" s="14" t="n"/>
      <c r="I3488" s="14" t="n"/>
      <c r="J3488" s="14" t="n"/>
      <c r="K3488" s="53" t="inlineStr"/>
      <c r="L3488" s="53" t="inlineStr">
        <is>
          <t>Не определено</t>
        </is>
      </c>
      <c r="M3488" s="53" t="inlineStr"/>
      <c r="N3488" s="54" t="inlineStr"/>
      <c r="O3488" s="55" t="inlineStr"/>
      <c r="P3488" s="16" t="inlineStr">
        <is>
          <t>Требует обогащения</t>
        </is>
      </c>
      <c r="Q3488" s="16">
        <f>HYPERLINK("https://pb.nalog.ru/search.html?query=6503014410","ФНС: проверить")</f>
        <v/>
      </c>
      <c r="R3488" s="16">
        <f>HYPERLINK("https://checko.ru/search?query=3801001629","Чекко: проверить")</f>
        <v/>
      </c>
      <c r="S3488" t="n">
        <v>1</v>
      </c>
      <c r="T3488" s="35" t="inlineStr">
        <is>
          <t>4 — Не обогащён</t>
        </is>
      </c>
      <c r="U3488" s="35" t="inlineStr">
        <is>
          <t>Нет ОКВЭД/ССЧР</t>
        </is>
      </c>
      <c r="V3488" s="35" t="inlineStr">
        <is>
          <t>Не определено</t>
        </is>
      </c>
      <c r="W3488" s="35" t="inlineStr"/>
      <c r="X3488" s="35" t="inlineStr"/>
    </row>
    <row r="3489" ht="41.25" customHeight="1" s="24">
      <c r="A3489" s="13" t="n">
        <v>5000061511</v>
      </c>
      <c r="B3489" s="13" t="inlineStr">
        <is>
          <t>Муниципальное бюджетное учреждение культуры "Долинский историко-краеведческий музей"</t>
        </is>
      </c>
      <c r="C3489" s="13" t="n">
        <v>6504022981</v>
      </c>
      <c r="D3489" s="13" t="inlineStr">
        <is>
          <t>6504022981</t>
        </is>
      </c>
      <c r="E3489" s="13" t="inlineStr">
        <is>
          <t>ЮЛ РФ</t>
        </is>
      </c>
      <c r="F3489" s="13" t="n"/>
      <c r="G3489" s="14" t="n"/>
      <c r="H3489" s="14" t="n"/>
      <c r="I3489" s="14" t="n"/>
      <c r="J3489" s="14" t="n"/>
      <c r="K3489" s="53" t="inlineStr"/>
      <c r="L3489" s="53" t="inlineStr">
        <is>
          <t>Не определено</t>
        </is>
      </c>
      <c r="M3489" s="53" t="inlineStr"/>
      <c r="N3489" s="54" t="inlineStr"/>
      <c r="O3489" s="55" t="inlineStr"/>
      <c r="P3489" s="16" t="inlineStr">
        <is>
          <t>Требует обогащения</t>
        </is>
      </c>
      <c r="Q3489" s="16">
        <f>HYPERLINK("https://pb.nalog.ru/search.html?query=6504022981","ФНС: проверить")</f>
        <v/>
      </c>
      <c r="R3489" s="16">
        <f>HYPERLINK("https://checko.ru/search?query=3801001629","Чекко: проверить")</f>
        <v/>
      </c>
      <c r="S3489" t="n">
        <v>1</v>
      </c>
      <c r="T3489" s="35" t="inlineStr">
        <is>
          <t>4 — Не обогащён</t>
        </is>
      </c>
      <c r="U3489" s="35" t="inlineStr">
        <is>
          <t>Нет ОКВЭД/ССЧР</t>
        </is>
      </c>
      <c r="V3489" s="35" t="inlineStr">
        <is>
          <t>Не определено</t>
        </is>
      </c>
      <c r="W3489" s="35" t="inlineStr"/>
      <c r="X3489" s="35" t="inlineStr"/>
    </row>
    <row r="3490" ht="27.75" customHeight="1" s="24">
      <c r="A3490" s="13" t="n">
        <v>5000061513</v>
      </c>
      <c r="B3490" s="13" t="inlineStr">
        <is>
          <t>Муниципальное автономное учреждение "Медиа группа "Слово"</t>
        </is>
      </c>
      <c r="C3490" s="13" t="n">
        <v>6503002100</v>
      </c>
      <c r="D3490" s="13" t="inlineStr">
        <is>
          <t>6503002100</t>
        </is>
      </c>
      <c r="E3490" s="13" t="inlineStr">
        <is>
          <t>ЮЛ РФ</t>
        </is>
      </c>
      <c r="F3490" s="13" t="n"/>
      <c r="G3490" s="14" t="n"/>
      <c r="H3490" s="14" t="n"/>
      <c r="I3490" s="14" t="n"/>
      <c r="J3490" s="14" t="n"/>
      <c r="K3490" s="53" t="inlineStr"/>
      <c r="L3490" s="53" t="inlineStr">
        <is>
          <t>Не определено</t>
        </is>
      </c>
      <c r="M3490" s="53" t="inlineStr"/>
      <c r="N3490" s="54" t="inlineStr"/>
      <c r="O3490" s="55" t="inlineStr"/>
      <c r="P3490" s="16" t="inlineStr">
        <is>
          <t>Требует обогащения</t>
        </is>
      </c>
      <c r="Q3490" s="16">
        <f>HYPERLINK("https://pb.nalog.ru/search.html?query=6503002100","ФНС: проверить")</f>
        <v/>
      </c>
      <c r="R3490" s="16">
        <f>HYPERLINK("https://checko.ru/search?query=3801001629","Чекко: проверить")</f>
        <v/>
      </c>
      <c r="S3490" t="n">
        <v>1</v>
      </c>
      <c r="T3490" s="35" t="inlineStr">
        <is>
          <t>4 — Не обогащён</t>
        </is>
      </c>
      <c r="U3490" s="35" t="inlineStr">
        <is>
          <t>Нет ОКВЭД/ССЧР</t>
        </is>
      </c>
      <c r="V3490" s="35" t="inlineStr">
        <is>
          <t>Не определено</t>
        </is>
      </c>
      <c r="W3490" s="35" t="inlineStr"/>
      <c r="X3490" s="35" t="inlineStr"/>
    </row>
    <row r="3491" ht="27.75" customHeight="1" s="24">
      <c r="A3491" s="13" t="n">
        <v>5000061514</v>
      </c>
      <c r="B3491" s="13" t="inlineStr">
        <is>
          <t>Муниципальное казенное учреждение "Производственно-техническое объединение"</t>
        </is>
      </c>
      <c r="C3491" s="13" t="n">
        <v>6503013550</v>
      </c>
      <c r="D3491" s="13" t="inlineStr">
        <is>
          <t>6503013550</t>
        </is>
      </c>
      <c r="E3491" s="13" t="inlineStr">
        <is>
          <t>ЮЛ РФ</t>
        </is>
      </c>
      <c r="F3491" s="13" t="n"/>
      <c r="G3491" s="14" t="n"/>
      <c r="H3491" s="14" t="n"/>
      <c r="I3491" s="14" t="n"/>
      <c r="J3491" s="14" t="n"/>
      <c r="K3491" s="53" t="inlineStr"/>
      <c r="L3491" s="53" t="inlineStr">
        <is>
          <t>Не определено</t>
        </is>
      </c>
      <c r="M3491" s="53" t="inlineStr"/>
      <c r="N3491" s="54" t="inlineStr"/>
      <c r="O3491" s="55" t="inlineStr"/>
      <c r="P3491" s="16" t="inlineStr">
        <is>
          <t>Требует обогащения</t>
        </is>
      </c>
      <c r="Q3491" s="16">
        <f>HYPERLINK("https://pb.nalog.ru/search.html?query=6503013550","ФНС: проверить")</f>
        <v/>
      </c>
      <c r="R3491" s="16">
        <f>HYPERLINK("https://checko.ru/search?query=3801001629","Чекко: проверить")</f>
        <v/>
      </c>
      <c r="S3491" t="n">
        <v>1</v>
      </c>
      <c r="T3491" s="35" t="inlineStr">
        <is>
          <t>4 — Не обогащён</t>
        </is>
      </c>
      <c r="U3491" s="35" t="inlineStr">
        <is>
          <t>Нет ОКВЭД/ССЧР</t>
        </is>
      </c>
      <c r="V3491" s="35" t="inlineStr">
        <is>
          <t>Не определено</t>
        </is>
      </c>
      <c r="W3491" s="35" t="inlineStr"/>
      <c r="X3491" s="35" t="inlineStr"/>
    </row>
    <row r="3492" ht="41.25" customHeight="1" s="24">
      <c r="A3492" s="13" t="n">
        <v>5000061515</v>
      </c>
      <c r="B3492" s="13" t="inlineStr">
        <is>
          <t>Администрация муниципального образования  городской округ "Долинский" Сахалинской области  Российской Федерации</t>
        </is>
      </c>
      <c r="C3492" s="13" t="n">
        <v>6503000456</v>
      </c>
      <c r="D3492" s="13" t="inlineStr">
        <is>
          <t>6503000456</t>
        </is>
      </c>
      <c r="E3492" s="13" t="inlineStr">
        <is>
          <t>ЮЛ РФ</t>
        </is>
      </c>
      <c r="F3492" s="13" t="n"/>
      <c r="G3492" s="14" t="n"/>
      <c r="H3492" s="14" t="n"/>
      <c r="I3492" s="14" t="n"/>
      <c r="J3492" s="14" t="n"/>
      <c r="K3492" s="53" t="inlineStr"/>
      <c r="L3492" s="53" t="inlineStr">
        <is>
          <t>Не определено</t>
        </is>
      </c>
      <c r="M3492" s="53" t="inlineStr"/>
      <c r="N3492" s="54" t="inlineStr"/>
      <c r="O3492" s="55" t="inlineStr"/>
      <c r="P3492" s="16" t="inlineStr">
        <is>
          <t>Требует обогащения</t>
        </is>
      </c>
      <c r="Q3492" s="16">
        <f>HYPERLINK("https://pb.nalog.ru/search.html?query=6503000456","ФНС: проверить")</f>
        <v/>
      </c>
      <c r="R3492" s="16">
        <f>HYPERLINK("https://checko.ru/search?query=3801001629","Чекко: проверить")</f>
        <v/>
      </c>
      <c r="S3492" t="n">
        <v>1</v>
      </c>
      <c r="T3492" s="35" t="inlineStr">
        <is>
          <t>4 — Не обогащён</t>
        </is>
      </c>
      <c r="U3492" s="35" t="inlineStr">
        <is>
          <t>Нет ОКВЭД/ССЧР</t>
        </is>
      </c>
      <c r="V3492" s="35" t="inlineStr">
        <is>
          <t>Не определено</t>
        </is>
      </c>
      <c r="W3492" s="35" t="inlineStr"/>
      <c r="X3492" s="35" t="inlineStr"/>
    </row>
    <row r="3493" ht="41.25" customHeight="1" s="24">
      <c r="A3493" s="13" t="n">
        <v>5000061515</v>
      </c>
      <c r="B3493" s="13" t="inlineStr">
        <is>
          <t>Администрация муниципального образования  городской округ "Долинский" Сахалинской области  Российской Федерации</t>
        </is>
      </c>
      <c r="C3493" s="13" t="n">
        <v>6503000456</v>
      </c>
      <c r="D3493" s="13" t="inlineStr">
        <is>
          <t>6503000456</t>
        </is>
      </c>
      <c r="E3493" s="13" t="inlineStr">
        <is>
          <t>ЮЛ РФ</t>
        </is>
      </c>
      <c r="F3493" s="13" t="n"/>
      <c r="G3493" s="14" t="n"/>
      <c r="H3493" s="14" t="n"/>
      <c r="I3493" s="14" t="n"/>
      <c r="J3493" s="14" t="n"/>
      <c r="K3493" s="53" t="inlineStr"/>
      <c r="L3493" s="53" t="inlineStr">
        <is>
          <t>Не определено</t>
        </is>
      </c>
      <c r="M3493" s="53" t="inlineStr"/>
      <c r="N3493" s="54" t="inlineStr"/>
      <c r="O3493" s="55" t="inlineStr"/>
      <c r="P3493" s="16" t="inlineStr">
        <is>
          <t>Требует обогащения</t>
        </is>
      </c>
      <c r="Q3493" s="16">
        <f>HYPERLINK("https://pb.nalog.ru/search.html?query=6503000456","ФНС: проверить")</f>
        <v/>
      </c>
      <c r="R3493" s="16">
        <f>HYPERLINK("https://checko.ru/search?query=3801001629","Чекко: проверить")</f>
        <v/>
      </c>
      <c r="S3493" t="n">
        <v>0</v>
      </c>
      <c r="T3493" s="35" t="inlineStr">
        <is>
          <t>4 — Не обогащён</t>
        </is>
      </c>
      <c r="U3493" s="35" t="inlineStr">
        <is>
          <t>Нет ОКВЭД/ССЧР</t>
        </is>
      </c>
      <c r="V3493" s="35" t="inlineStr">
        <is>
          <t>Не определено</t>
        </is>
      </c>
      <c r="W3493" s="35" t="inlineStr"/>
      <c r="X3493" s="35" t="inlineStr"/>
    </row>
    <row r="3494" ht="27.75" customHeight="1" s="24">
      <c r="A3494" s="13" t="n">
        <v>5000061516</v>
      </c>
      <c r="B3494" s="13" t="inlineStr">
        <is>
          <t>Муниципальное учреждение "Архив Долинского района"</t>
        </is>
      </c>
      <c r="C3494" s="13" t="n">
        <v>6503012740</v>
      </c>
      <c r="D3494" s="13" t="inlineStr">
        <is>
          <t>6503012740</t>
        </is>
      </c>
      <c r="E3494" s="13" t="inlineStr">
        <is>
          <t>ЮЛ РФ</t>
        </is>
      </c>
      <c r="F3494" s="13" t="n"/>
      <c r="G3494" s="14" t="n"/>
      <c r="H3494" s="14" t="n"/>
      <c r="I3494" s="14" t="n"/>
      <c r="J3494" s="14" t="n"/>
      <c r="K3494" s="53" t="inlineStr"/>
      <c r="L3494" s="53" t="inlineStr">
        <is>
          <t>Не определено</t>
        </is>
      </c>
      <c r="M3494" s="53" t="inlineStr"/>
      <c r="N3494" s="54" t="inlineStr"/>
      <c r="O3494" s="55" t="inlineStr"/>
      <c r="P3494" s="16" t="inlineStr">
        <is>
          <t>Требует обогащения</t>
        </is>
      </c>
      <c r="Q3494" s="16">
        <f>HYPERLINK("https://pb.nalog.ru/search.html?query=6503012740","ФНС: проверить")</f>
        <v/>
      </c>
      <c r="R3494" s="16">
        <f>HYPERLINK("https://checko.ru/search?query=3801001629","Чекко: проверить")</f>
        <v/>
      </c>
      <c r="S3494" t="n">
        <v>1</v>
      </c>
      <c r="T3494" s="35" t="inlineStr">
        <is>
          <t>4 — Не обогащён</t>
        </is>
      </c>
      <c r="U3494" s="35" t="inlineStr">
        <is>
          <t>Нет ОКВЭД/ССЧР</t>
        </is>
      </c>
      <c r="V3494" s="35" t="inlineStr">
        <is>
          <t>Не определено</t>
        </is>
      </c>
      <c r="W3494" s="35" t="inlineStr"/>
      <c r="X3494" s="35" t="inlineStr"/>
    </row>
    <row r="3495" ht="54.75" customHeight="1" s="24">
      <c r="A3495" s="13" t="n">
        <v>5000061517</v>
      </c>
      <c r="B3495" s="13" t="inlineStr">
        <is>
          <t>Муниципальное казённое учреждение "Управление образования, культуры, физической культуры и спорта и молодёжной политики" муниципального образования го</t>
        </is>
      </c>
      <c r="C3495" s="13" t="n">
        <v>6504020705</v>
      </c>
      <c r="D3495" s="13" t="inlineStr">
        <is>
          <t>6504020705</t>
        </is>
      </c>
      <c r="E3495" s="13" t="inlineStr">
        <is>
          <t>ЮЛ РФ</t>
        </is>
      </c>
      <c r="F3495" s="13" t="n"/>
      <c r="G3495" s="14" t="n"/>
      <c r="H3495" s="14" t="n"/>
      <c r="I3495" s="14" t="n"/>
      <c r="J3495" s="14" t="n"/>
      <c r="K3495" s="53" t="inlineStr"/>
      <c r="L3495" s="53" t="inlineStr">
        <is>
          <t>Не определено</t>
        </is>
      </c>
      <c r="M3495" s="53" t="inlineStr"/>
      <c r="N3495" s="54" t="inlineStr"/>
      <c r="O3495" s="55" t="inlineStr"/>
      <c r="P3495" s="16" t="inlineStr">
        <is>
          <t>Требует обогащения</t>
        </is>
      </c>
      <c r="Q3495" s="16">
        <f>HYPERLINK("https://pb.nalog.ru/search.html?query=6504020705","ФНС: проверить")</f>
        <v/>
      </c>
      <c r="R3495" s="16">
        <f>HYPERLINK("https://checko.ru/search?query=3801001629","Чекко: проверить")</f>
        <v/>
      </c>
      <c r="S3495" t="n">
        <v>1</v>
      </c>
      <c r="T3495" s="35" t="inlineStr">
        <is>
          <t>4 — Не обогащён</t>
        </is>
      </c>
      <c r="U3495" s="35" t="inlineStr">
        <is>
          <t>Нет ОКВЭД/ССЧР</t>
        </is>
      </c>
      <c r="V3495" s="35" t="inlineStr">
        <is>
          <t>Не определено</t>
        </is>
      </c>
      <c r="W3495" s="35" t="inlineStr"/>
      <c r="X3495" s="35" t="inlineStr"/>
    </row>
    <row r="3496" ht="15" customHeight="1" s="24">
      <c r="A3496" s="13" t="n">
        <v>5000061621</v>
      </c>
      <c r="B3496" s="13" t="inlineStr">
        <is>
          <t>Собрание МО "Тымовский городской округ"</t>
        </is>
      </c>
      <c r="C3496" s="13" t="n">
        <v>6517007405</v>
      </c>
      <c r="D3496" s="13" t="inlineStr">
        <is>
          <t>6517007405</t>
        </is>
      </c>
      <c r="E3496" s="13" t="inlineStr">
        <is>
          <t>ЮЛ РФ</t>
        </is>
      </c>
      <c r="F3496" s="13" t="n"/>
      <c r="G3496" s="14" t="n"/>
      <c r="H3496" s="14" t="n"/>
      <c r="I3496" s="14" t="n"/>
      <c r="J3496" s="14" t="n"/>
      <c r="K3496" s="53" t="inlineStr"/>
      <c r="L3496" s="53" t="inlineStr">
        <is>
          <t>Не определено</t>
        </is>
      </c>
      <c r="M3496" s="53" t="inlineStr"/>
      <c r="N3496" s="54" t="inlineStr"/>
      <c r="O3496" s="55" t="inlineStr"/>
      <c r="P3496" s="16" t="inlineStr">
        <is>
          <t>Требует обогащения</t>
        </is>
      </c>
      <c r="Q3496" s="16">
        <f>HYPERLINK("https://pb.nalog.ru/search.html?query=6517007405","ФНС: проверить")</f>
        <v/>
      </c>
      <c r="R3496" s="16">
        <f>HYPERLINK("https://checko.ru/search?query=3801001629","Чекко: проверить")</f>
        <v/>
      </c>
      <c r="S3496" t="n">
        <v>1</v>
      </c>
      <c r="T3496" s="35" t="inlineStr">
        <is>
          <t>4 — Не обогащён</t>
        </is>
      </c>
      <c r="U3496" s="35" t="inlineStr">
        <is>
          <t>Нет ОКВЭД/ССЧР</t>
        </is>
      </c>
      <c r="V3496" s="35" t="inlineStr">
        <is>
          <t>Не определено</t>
        </is>
      </c>
      <c r="W3496" s="35" t="inlineStr"/>
      <c r="X3496" s="35" t="inlineStr"/>
    </row>
    <row r="3497" ht="15" customHeight="1" s="24">
      <c r="A3497" s="13" t="n">
        <v>5000061622</v>
      </c>
      <c r="B3497" s="13" t="inlineStr">
        <is>
          <t>МКУ «ЕДДС МО "Тымовский городской округ"</t>
        </is>
      </c>
      <c r="C3497" s="13" t="n">
        <v>6517008913</v>
      </c>
      <c r="D3497" s="13" t="inlineStr">
        <is>
          <t>6517008913</t>
        </is>
      </c>
      <c r="E3497" s="13" t="inlineStr">
        <is>
          <t>ЮЛ РФ</t>
        </is>
      </c>
      <c r="F3497" s="13" t="n"/>
      <c r="G3497" s="14" t="n"/>
      <c r="H3497" s="14" t="n"/>
      <c r="I3497" s="14" t="n"/>
      <c r="J3497" s="14" t="n"/>
      <c r="K3497" s="53" t="inlineStr"/>
      <c r="L3497" s="53" t="inlineStr">
        <is>
          <t>Не определено</t>
        </is>
      </c>
      <c r="M3497" s="53" t="inlineStr"/>
      <c r="N3497" s="54" t="inlineStr"/>
      <c r="O3497" s="55" t="inlineStr"/>
      <c r="P3497" s="16" t="inlineStr">
        <is>
          <t>Требует обогащения</t>
        </is>
      </c>
      <c r="Q3497" s="16">
        <f>HYPERLINK("https://pb.nalog.ru/search.html?query=6517008913","ФНС: проверить")</f>
        <v/>
      </c>
      <c r="R3497" s="16">
        <f>HYPERLINK("https://checko.ru/search?query=3801001629","Чекко: проверить")</f>
        <v/>
      </c>
      <c r="S3497" t="n">
        <v>1</v>
      </c>
      <c r="T3497" s="35" t="inlineStr">
        <is>
          <t>4 — Не обогащён</t>
        </is>
      </c>
      <c r="U3497" s="35" t="inlineStr">
        <is>
          <t>Нет ОКВЭД/ССЧР</t>
        </is>
      </c>
      <c r="V3497" s="35" t="inlineStr">
        <is>
          <t>Не определено</t>
        </is>
      </c>
      <c r="W3497" s="35" t="inlineStr"/>
      <c r="X3497" s="35" t="inlineStr"/>
    </row>
    <row r="3498" ht="41.25" customHeight="1" s="24">
      <c r="A3498" s="13" t="n">
        <v>5000068969</v>
      </c>
      <c r="B3498" s="13" t="inlineStr">
        <is>
          <t>МКУ "МУНИЦИПАЛЬНЫЙ ЦЕНТР ЦИФРОВОЙ ТРАНСФОРМАЦИИ АДМИНИСТРАЦИИ ГОРОДА ЮЖНО-САХАЛИНСКА"</t>
        </is>
      </c>
      <c r="C3498" s="13" t="n">
        <v>6500004276</v>
      </c>
      <c r="D3498" s="13" t="inlineStr">
        <is>
          <t>6500004276</t>
        </is>
      </c>
      <c r="E3498" s="13" t="inlineStr">
        <is>
          <t>ЮЛ РФ</t>
        </is>
      </c>
      <c r="F3498" s="13" t="n"/>
      <c r="G3498" s="14" t="n"/>
      <c r="H3498" s="14" t="n"/>
      <c r="I3498" s="14" t="n"/>
      <c r="J3498" s="14" t="n"/>
      <c r="K3498" s="53" t="inlineStr"/>
      <c r="L3498" s="53" t="inlineStr">
        <is>
          <t>Не определено</t>
        </is>
      </c>
      <c r="M3498" s="53" t="inlineStr"/>
      <c r="N3498" s="54" t="inlineStr"/>
      <c r="O3498" s="55" t="inlineStr"/>
      <c r="P3498" s="16" t="inlineStr">
        <is>
          <t>Требует обогащения</t>
        </is>
      </c>
      <c r="Q3498" s="16">
        <f>HYPERLINK("https://pb.nalog.ru/search.html?query=6500004276","ФНС: проверить")</f>
        <v/>
      </c>
      <c r="R3498" s="16">
        <f>HYPERLINK("https://checko.ru/search?query=3801001629","Чекко: проверить")</f>
        <v/>
      </c>
      <c r="S3498" t="n">
        <v>1</v>
      </c>
      <c r="T3498" s="35" t="inlineStr">
        <is>
          <t>4 — Не обогащён</t>
        </is>
      </c>
      <c r="U3498" s="35" t="inlineStr">
        <is>
          <t>Нет ОКВЭД/ССЧР</t>
        </is>
      </c>
      <c r="V3498" s="35" t="inlineStr">
        <is>
          <t>Не определено</t>
        </is>
      </c>
      <c r="W3498" s="35" t="inlineStr"/>
      <c r="X3498" s="35" t="inlineStr"/>
    </row>
    <row r="3499" ht="15" customHeight="1" s="24">
      <c r="A3499" s="13" t="n">
        <v>5000117445</v>
      </c>
      <c r="B3499" s="13" t="inlineStr">
        <is>
          <t>СОБРАНИЕ КОРСАКОВСКОГО ГОРОДСКОГО ОКРУГА</t>
        </is>
      </c>
      <c r="C3499" s="13" t="n">
        <v>6504002022</v>
      </c>
      <c r="D3499" s="13" t="inlineStr">
        <is>
          <t>6504002022</t>
        </is>
      </c>
      <c r="E3499" s="13" t="inlineStr">
        <is>
          <t>ЮЛ РФ</t>
        </is>
      </c>
      <c r="F3499" s="13" t="n"/>
      <c r="G3499" s="14" t="n"/>
      <c r="H3499" s="14" t="n"/>
      <c r="I3499" s="14" t="n"/>
      <c r="J3499" s="14" t="n"/>
      <c r="K3499" s="53" t="inlineStr"/>
      <c r="L3499" s="53" t="inlineStr">
        <is>
          <t>Не определено</t>
        </is>
      </c>
      <c r="M3499" s="53" t="inlineStr"/>
      <c r="N3499" s="54" t="inlineStr"/>
      <c r="O3499" s="55" t="inlineStr"/>
      <c r="P3499" s="16" t="inlineStr">
        <is>
          <t>Требует обогащения</t>
        </is>
      </c>
      <c r="Q3499" s="16">
        <f>HYPERLINK("https://pb.nalog.ru/search.html?query=6504002022","ФНС: проверить")</f>
        <v/>
      </c>
      <c r="R3499" s="16">
        <f>HYPERLINK("https://checko.ru/search?query=3801001629","Чекко: проверить")</f>
        <v/>
      </c>
      <c r="S3499" t="n">
        <v>1</v>
      </c>
      <c r="T3499" s="35" t="inlineStr">
        <is>
          <t>4 — Не обогащён</t>
        </is>
      </c>
      <c r="U3499" s="35" t="inlineStr">
        <is>
          <t>Нет ОКВЭД/ССЧР</t>
        </is>
      </c>
      <c r="V3499" s="35" t="inlineStr">
        <is>
          <t>Не определено</t>
        </is>
      </c>
      <c r="W3499" s="35" t="inlineStr"/>
      <c r="X3499" s="35" t="inlineStr"/>
    </row>
    <row r="3500" ht="27.75" customHeight="1" s="24">
      <c r="A3500" s="13" t="n">
        <v>5000061107</v>
      </c>
      <c r="B3500" s="13" t="inlineStr">
        <is>
          <t>АДМИНИСТРАЦИЯ ЧИР-УНВДСКОГО СЕЛЬСКОГО ОКРУГА МО "ТЫМОВСКИЙ ГОРОДСКОЙ ОКРУГ"</t>
        </is>
      </c>
      <c r="C3500" s="13" t="n">
        <v>6517001410</v>
      </c>
      <c r="D3500" s="13" t="inlineStr">
        <is>
          <t>6517001410</t>
        </is>
      </c>
      <c r="E3500" s="13" t="inlineStr">
        <is>
          <t>ЮЛ РФ</t>
        </is>
      </c>
      <c r="F3500" s="13" t="n"/>
      <c r="G3500" s="14" t="n"/>
      <c r="H3500" s="14" t="n"/>
      <c r="I3500" s="14" t="n"/>
      <c r="J3500" s="14" t="n"/>
      <c r="K3500" s="53" t="inlineStr"/>
      <c r="L3500" s="53" t="inlineStr">
        <is>
          <t>Не определено</t>
        </is>
      </c>
      <c r="M3500" s="53" t="inlineStr"/>
      <c r="N3500" s="54" t="inlineStr"/>
      <c r="O3500" s="55" t="inlineStr"/>
      <c r="P3500" s="16" t="inlineStr">
        <is>
          <t>Требует обогащения</t>
        </is>
      </c>
      <c r="Q3500" s="16">
        <f>HYPERLINK("https://pb.nalog.ru/search.html?query=6517001410","ФНС: проверить")</f>
        <v/>
      </c>
      <c r="R3500" s="16">
        <f>HYPERLINK("https://checko.ru/search?query=3801001629","Чекко: проверить")</f>
        <v/>
      </c>
      <c r="S3500" t="n">
        <v>1</v>
      </c>
      <c r="T3500" s="35" t="inlineStr">
        <is>
          <t>4 — Не обогащён</t>
        </is>
      </c>
      <c r="U3500" s="35" t="inlineStr">
        <is>
          <t>Нет ОКВЭД/ССЧР</t>
        </is>
      </c>
      <c r="V3500" s="35" t="inlineStr">
        <is>
          <t>Не определено</t>
        </is>
      </c>
      <c r="W3500" s="35" t="inlineStr"/>
      <c r="X3500" s="35" t="inlineStr"/>
    </row>
    <row r="3501" ht="41.25" customHeight="1" s="24">
      <c r="A3501" s="13" t="n">
        <v>5000061108</v>
      </c>
      <c r="B3501" s="13" t="inlineStr">
        <is>
          <t>АДМИНИСТРАЦИЯ ВОСКРЕСЕНОВСКОГО СЕЛЬСКОГО ОРУГА МО "ТЫМОВСКИЙ ГОРОДСКОЙ ОКРУГ"</t>
        </is>
      </c>
      <c r="C3501" s="13" t="n">
        <v>6517001770</v>
      </c>
      <c r="D3501" s="13" t="inlineStr">
        <is>
          <t>6517001770</t>
        </is>
      </c>
      <c r="E3501" s="13" t="inlineStr">
        <is>
          <t>ЮЛ РФ</t>
        </is>
      </c>
      <c r="F3501" s="13" t="n"/>
      <c r="G3501" s="14" t="n"/>
      <c r="H3501" s="14" t="n"/>
      <c r="I3501" s="14" t="n"/>
      <c r="J3501" s="14" t="n"/>
      <c r="K3501" s="53" t="inlineStr"/>
      <c r="L3501" s="53" t="inlineStr">
        <is>
          <t>Не определено</t>
        </is>
      </c>
      <c r="M3501" s="53" t="inlineStr"/>
      <c r="N3501" s="54" t="inlineStr"/>
      <c r="O3501" s="55" t="inlineStr"/>
      <c r="P3501" s="16" t="inlineStr">
        <is>
          <t>Требует обогащения</t>
        </is>
      </c>
      <c r="Q3501" s="16">
        <f>HYPERLINK("https://pb.nalog.ru/search.html?query=6517001770","ФНС: проверить")</f>
        <v/>
      </c>
      <c r="R3501" s="16">
        <f>HYPERLINK("https://checko.ru/search?query=3801001629","Чекко: проверить")</f>
        <v/>
      </c>
      <c r="S3501" t="n">
        <v>1</v>
      </c>
      <c r="T3501" s="35" t="inlineStr">
        <is>
          <t>4 — Не обогащён</t>
        </is>
      </c>
      <c r="U3501" s="35" t="inlineStr">
        <is>
          <t>Нет ОКВЭД/ССЧР</t>
        </is>
      </c>
      <c r="V3501" s="35" t="inlineStr">
        <is>
          <t>Не определено</t>
        </is>
      </c>
      <c r="W3501" s="35" t="inlineStr"/>
      <c r="X3501" s="35" t="inlineStr"/>
    </row>
    <row r="3502" ht="27.75" customHeight="1" s="24">
      <c r="A3502" s="13" t="n">
        <v>5000061109</v>
      </c>
      <c r="B3502" s="13" t="inlineStr">
        <is>
          <t>Администрация Арги-Пагинского сельского округа МО "Тымовский городской округ"</t>
        </is>
      </c>
      <c r="C3502" s="13" t="n">
        <v>6517001058</v>
      </c>
      <c r="D3502" s="13" t="inlineStr">
        <is>
          <t>6517001058</t>
        </is>
      </c>
      <c r="E3502" s="13" t="inlineStr">
        <is>
          <t>ЮЛ РФ</t>
        </is>
      </c>
      <c r="F3502" s="13" t="n"/>
      <c r="G3502" s="14" t="n"/>
      <c r="H3502" s="14" t="n"/>
      <c r="I3502" s="14" t="n"/>
      <c r="J3502" s="14" t="n"/>
      <c r="K3502" s="53" t="inlineStr"/>
      <c r="L3502" s="53" t="inlineStr">
        <is>
          <t>Не определено</t>
        </is>
      </c>
      <c r="M3502" s="53" t="inlineStr"/>
      <c r="N3502" s="54" t="inlineStr"/>
      <c r="O3502" s="55" t="inlineStr"/>
      <c r="P3502" s="16" t="inlineStr">
        <is>
          <t>Требует обогащения</t>
        </is>
      </c>
      <c r="Q3502" s="16">
        <f>HYPERLINK("https://pb.nalog.ru/search.html?query=6517001058","ФНС: проверить")</f>
        <v/>
      </c>
      <c r="R3502" s="16">
        <f>HYPERLINK("https://checko.ru/search?query=3801001629","Чекко: проверить")</f>
        <v/>
      </c>
      <c r="S3502" t="n">
        <v>1</v>
      </c>
      <c r="T3502" s="35" t="inlineStr">
        <is>
          <t>4 — Не обогащён</t>
        </is>
      </c>
      <c r="U3502" s="35" t="inlineStr">
        <is>
          <t>Нет ОКВЭД/ССЧР</t>
        </is>
      </c>
      <c r="V3502" s="35" t="inlineStr">
        <is>
          <t>Не определено</t>
        </is>
      </c>
      <c r="W3502" s="35" t="inlineStr"/>
      <c r="X3502" s="35" t="inlineStr"/>
    </row>
    <row r="3503" ht="27.75" customHeight="1" s="24">
      <c r="A3503" s="13" t="n">
        <v>5000061110</v>
      </c>
      <c r="B3503" s="13" t="inlineStr">
        <is>
          <t>Администрация Кировского сельского округа МО "Тымовский городской округ"</t>
        </is>
      </c>
      <c r="C3503" s="13" t="n">
        <v>6517001330</v>
      </c>
      <c r="D3503" s="13" t="inlineStr">
        <is>
          <t>6517001330</t>
        </is>
      </c>
      <c r="E3503" s="13" t="inlineStr">
        <is>
          <t>ЮЛ РФ</t>
        </is>
      </c>
      <c r="F3503" s="13" t="n"/>
      <c r="G3503" s="14" t="n"/>
      <c r="H3503" s="14" t="n"/>
      <c r="I3503" s="14" t="n"/>
      <c r="J3503" s="14" t="n"/>
      <c r="K3503" s="53" t="inlineStr"/>
      <c r="L3503" s="53" t="inlineStr">
        <is>
          <t>Не определено</t>
        </is>
      </c>
      <c r="M3503" s="53" t="inlineStr"/>
      <c r="N3503" s="54" t="inlineStr"/>
      <c r="O3503" s="55" t="inlineStr"/>
      <c r="P3503" s="16" t="inlineStr">
        <is>
          <t>Требует обогащения</t>
        </is>
      </c>
      <c r="Q3503" s="16">
        <f>HYPERLINK("https://pb.nalog.ru/search.html?query=6517001330","ФНС: проверить")</f>
        <v/>
      </c>
      <c r="R3503" s="16">
        <f>HYPERLINK("https://checko.ru/search?query=3801001629","Чекко: проверить")</f>
        <v/>
      </c>
      <c r="S3503" t="n">
        <v>1</v>
      </c>
      <c r="T3503" s="35" t="inlineStr">
        <is>
          <t>4 — Не обогащён</t>
        </is>
      </c>
      <c r="U3503" s="35" t="inlineStr">
        <is>
          <t>Нет ОКВЭД/ССЧР</t>
        </is>
      </c>
      <c r="V3503" s="35" t="inlineStr">
        <is>
          <t>Не определено</t>
        </is>
      </c>
      <c r="W3503" s="35" t="inlineStr"/>
      <c r="X3503" s="35" t="inlineStr"/>
    </row>
    <row r="3504" ht="27.75" customHeight="1" s="24">
      <c r="A3504" s="13" t="n">
        <v>5000061111</v>
      </c>
      <c r="B3504" s="13" t="inlineStr">
        <is>
          <t>Администрация Адо-Тымовского сельского округа МО "Тымовский городской округ"</t>
        </is>
      </c>
      <c r="C3504" s="13" t="n">
        <v>6517001107</v>
      </c>
      <c r="D3504" s="13" t="inlineStr">
        <is>
          <t>6517001107</t>
        </is>
      </c>
      <c r="E3504" s="13" t="inlineStr">
        <is>
          <t>ЮЛ РФ</t>
        </is>
      </c>
      <c r="F3504" s="13" t="n"/>
      <c r="G3504" s="14" t="n"/>
      <c r="H3504" s="14" t="n"/>
      <c r="I3504" s="14" t="n"/>
      <c r="J3504" s="14" t="n"/>
      <c r="K3504" s="53" t="inlineStr"/>
      <c r="L3504" s="53" t="inlineStr">
        <is>
          <t>Не определено</t>
        </is>
      </c>
      <c r="M3504" s="53" t="inlineStr"/>
      <c r="N3504" s="54" t="inlineStr"/>
      <c r="O3504" s="55" t="inlineStr"/>
      <c r="P3504" s="16" t="inlineStr">
        <is>
          <t>Требует обогащения</t>
        </is>
      </c>
      <c r="Q3504" s="16">
        <f>HYPERLINK("https://pb.nalog.ru/search.html?query=6517001107","ФНС: проверить")</f>
        <v/>
      </c>
      <c r="R3504" s="16">
        <f>HYPERLINK("https://checko.ru/search?query=3801001629","Чекко: проверить")</f>
        <v/>
      </c>
      <c r="S3504" t="n">
        <v>1</v>
      </c>
      <c r="T3504" s="35" t="inlineStr">
        <is>
          <t>4 — Не обогащён</t>
        </is>
      </c>
      <c r="U3504" s="35" t="inlineStr">
        <is>
          <t>Нет ОКВЭД/ССЧР</t>
        </is>
      </c>
      <c r="V3504" s="35" t="inlineStr">
        <is>
          <t>Не определено</t>
        </is>
      </c>
      <c r="W3504" s="35" t="inlineStr"/>
      <c r="X3504" s="35" t="inlineStr"/>
    </row>
    <row r="3505" ht="27.75" customHeight="1" s="24">
      <c r="A3505" s="13" t="n">
        <v>5000061112</v>
      </c>
      <c r="B3505" s="13" t="inlineStr">
        <is>
          <t>Администрация Молодежненского сельского округа МО "Тымовский городской округ"</t>
        </is>
      </c>
      <c r="C3505" s="13" t="n">
        <v>6517003351</v>
      </c>
      <c r="D3505" s="13" t="inlineStr">
        <is>
          <t>6517003351</t>
        </is>
      </c>
      <c r="E3505" s="13" t="inlineStr">
        <is>
          <t>ЮЛ РФ</t>
        </is>
      </c>
      <c r="F3505" s="13" t="n"/>
      <c r="G3505" s="14" t="n"/>
      <c r="H3505" s="14" t="n"/>
      <c r="I3505" s="14" t="n"/>
      <c r="J3505" s="14" t="n"/>
      <c r="K3505" s="53" t="inlineStr"/>
      <c r="L3505" s="53" t="inlineStr">
        <is>
          <t>Не определено</t>
        </is>
      </c>
      <c r="M3505" s="53" t="inlineStr"/>
      <c r="N3505" s="54" t="inlineStr"/>
      <c r="O3505" s="55" t="inlineStr"/>
      <c r="P3505" s="16" t="inlineStr">
        <is>
          <t>Требует обогащения</t>
        </is>
      </c>
      <c r="Q3505" s="16">
        <f>HYPERLINK("https://pb.nalog.ru/search.html?query=6517003351","ФНС: проверить")</f>
        <v/>
      </c>
      <c r="R3505" s="16">
        <f>HYPERLINK("https://checko.ru/search?query=3801001629","Чекко: проверить")</f>
        <v/>
      </c>
      <c r="S3505" t="n">
        <v>1</v>
      </c>
      <c r="T3505" s="35" t="inlineStr">
        <is>
          <t>4 — Не обогащён</t>
        </is>
      </c>
      <c r="U3505" s="35" t="inlineStr">
        <is>
          <t>Нет ОКВЭД/ССЧР</t>
        </is>
      </c>
      <c r="V3505" s="35" t="inlineStr">
        <is>
          <t>Не определено</t>
        </is>
      </c>
      <c r="W3505" s="35" t="inlineStr"/>
      <c r="X3505" s="35" t="inlineStr"/>
    </row>
    <row r="3506" ht="41.25" customHeight="1" s="24">
      <c r="A3506" s="13" t="n">
        <v>5000061519</v>
      </c>
      <c r="B3506" s="13" t="inlineStr">
        <is>
          <t>Комитет по управлению муниципальной собственностью муниципального образования городской округ "Долинский"</t>
        </is>
      </c>
      <c r="C3506" s="13" t="n">
        <v>6503005831</v>
      </c>
      <c r="D3506" s="13" t="inlineStr">
        <is>
          <t>6503005831</t>
        </is>
      </c>
      <c r="E3506" s="13" t="inlineStr">
        <is>
          <t>ЮЛ РФ</t>
        </is>
      </c>
      <c r="F3506" s="13" t="n"/>
      <c r="G3506" s="14" t="n"/>
      <c r="H3506" s="14" t="n"/>
      <c r="I3506" s="14" t="n"/>
      <c r="J3506" s="14" t="n"/>
      <c r="K3506" s="53" t="inlineStr"/>
      <c r="L3506" s="53" t="inlineStr">
        <is>
          <t>Не определено</t>
        </is>
      </c>
      <c r="M3506" s="53" t="inlineStr"/>
      <c r="N3506" s="54" t="inlineStr"/>
      <c r="O3506" s="55" t="inlineStr"/>
      <c r="P3506" s="16" t="inlineStr">
        <is>
          <t>Требует обогащения</t>
        </is>
      </c>
      <c r="Q3506" s="16">
        <f>HYPERLINK("https://pb.nalog.ru/search.html?query=6503005831","ФНС: проверить")</f>
        <v/>
      </c>
      <c r="R3506" s="16">
        <f>HYPERLINK("https://checko.ru/search?query=3801001629","Чекко: проверить")</f>
        <v/>
      </c>
      <c r="S3506" t="n">
        <v>1</v>
      </c>
      <c r="T3506" s="35" t="inlineStr">
        <is>
          <t>4 — Не обогащён</t>
        </is>
      </c>
      <c r="U3506" s="35" t="inlineStr">
        <is>
          <t>Нет ОКВЭД/ССЧР</t>
        </is>
      </c>
      <c r="V3506" s="35" t="inlineStr">
        <is>
          <t>Не определено</t>
        </is>
      </c>
      <c r="W3506" s="35" t="inlineStr"/>
      <c r="X3506" s="35" t="inlineStr"/>
    </row>
    <row r="3507" ht="41.25" customHeight="1" s="24">
      <c r="A3507" s="13" t="n">
        <v>5000061519</v>
      </c>
      <c r="B3507" s="13" t="inlineStr">
        <is>
          <t>Комитет по управлению муниципальной собственностью муниципального образования городской округ "Долинский"</t>
        </is>
      </c>
      <c r="C3507" s="13" t="n">
        <v>6503005831</v>
      </c>
      <c r="D3507" s="13" t="inlineStr">
        <is>
          <t>6503005831</t>
        </is>
      </c>
      <c r="E3507" s="13" t="inlineStr">
        <is>
          <t>ЮЛ РФ</t>
        </is>
      </c>
      <c r="F3507" s="13" t="n"/>
      <c r="G3507" s="14" t="n"/>
      <c r="H3507" s="14" t="n"/>
      <c r="I3507" s="14" t="n"/>
      <c r="J3507" s="14" t="n"/>
      <c r="K3507" s="53" t="inlineStr"/>
      <c r="L3507" s="53" t="inlineStr">
        <is>
          <t>Не определено</t>
        </is>
      </c>
      <c r="M3507" s="53" t="inlineStr"/>
      <c r="N3507" s="54" t="inlineStr"/>
      <c r="O3507" s="55" t="inlineStr"/>
      <c r="P3507" s="16" t="inlineStr">
        <is>
          <t>Требует обогащения</t>
        </is>
      </c>
      <c r="Q3507" s="16">
        <f>HYPERLINK("https://pb.nalog.ru/search.html?query=6503005831","ФНС: проверить")</f>
        <v/>
      </c>
      <c r="R3507" s="16">
        <f>HYPERLINK("https://checko.ru/search?query=3801001629","Чекко: проверить")</f>
        <v/>
      </c>
      <c r="S3507" t="n">
        <v>0</v>
      </c>
      <c r="T3507" s="35" t="inlineStr">
        <is>
          <t>4 — Не обогащён</t>
        </is>
      </c>
      <c r="U3507" s="35" t="inlineStr">
        <is>
          <t>Нет ОКВЭД/ССЧР</t>
        </is>
      </c>
      <c r="V3507" s="35" t="inlineStr">
        <is>
          <t>Не определено</t>
        </is>
      </c>
      <c r="W3507" s="35" t="inlineStr"/>
      <c r="X3507" s="35" t="inlineStr"/>
    </row>
    <row r="3508" ht="41.25" customHeight="1" s="24">
      <c r="A3508" s="13" t="n">
        <v>5000014006</v>
      </c>
      <c r="B3508" s="13" t="inlineStr">
        <is>
          <t>МИНИСТЕРСТВО СПОРТА, ТУРИЗМА И МОЛОДЕЖНОЙ ПОЛИТИКИ САХАЛИНСКОЙ ОБЛАСТИ</t>
        </is>
      </c>
      <c r="C3508" s="13" t="n">
        <v>6501121832</v>
      </c>
      <c r="D3508" s="13" t="inlineStr">
        <is>
          <t>6501121832</t>
        </is>
      </c>
      <c r="E3508" s="13" t="inlineStr">
        <is>
          <t>ЮЛ РФ</t>
        </is>
      </c>
      <c r="F3508" s="13" t="n"/>
      <c r="G3508" s="14" t="n"/>
      <c r="H3508" s="14" t="n"/>
      <c r="I3508" s="14" t="n"/>
      <c r="J3508" s="14" t="n"/>
      <c r="K3508" s="53" t="inlineStr"/>
      <c r="L3508" s="53" t="inlineStr">
        <is>
          <t>Не определено</t>
        </is>
      </c>
      <c r="M3508" s="53" t="inlineStr"/>
      <c r="N3508" s="54" t="inlineStr"/>
      <c r="O3508" s="55" t="inlineStr"/>
      <c r="P3508" s="16" t="inlineStr">
        <is>
          <t>Требует обогащения</t>
        </is>
      </c>
      <c r="Q3508" s="16">
        <f>HYPERLINK("https://pb.nalog.ru/search.html?query=6501121832","ФНС: проверить")</f>
        <v/>
      </c>
      <c r="R3508" s="16">
        <f>HYPERLINK("https://checko.ru/search?query=3801001629","Чекко: проверить")</f>
        <v/>
      </c>
      <c r="S3508" t="n">
        <v>1</v>
      </c>
      <c r="T3508" s="35" t="inlineStr">
        <is>
          <t>4 — Не обогащён</t>
        </is>
      </c>
      <c r="U3508" s="35" t="inlineStr">
        <is>
          <t>Нет ОКВЭД/ССЧР</t>
        </is>
      </c>
      <c r="V3508" s="35" t="inlineStr">
        <is>
          <t>Не определено</t>
        </is>
      </c>
      <c r="W3508" s="35" t="inlineStr"/>
      <c r="X3508" s="35" t="inlineStr"/>
    </row>
    <row r="3509" ht="41.25" customHeight="1" s="24">
      <c r="A3509" s="13" t="n">
        <v>5000014006</v>
      </c>
      <c r="B3509" s="13" t="inlineStr">
        <is>
          <t>МИНИСТЕРСТВО СПОРТА, ТУРИЗМА И МОЛОДЕЖНОЙ ПОЛИТИКИ САХАЛИНСКОЙ ОБЛАСТИ</t>
        </is>
      </c>
      <c r="C3509" s="13" t="n">
        <v>6501121832</v>
      </c>
      <c r="D3509" s="13" t="inlineStr">
        <is>
          <t>6501121832</t>
        </is>
      </c>
      <c r="E3509" s="13" t="inlineStr">
        <is>
          <t>ЮЛ РФ</t>
        </is>
      </c>
      <c r="F3509" s="13" t="n"/>
      <c r="G3509" s="14" t="n"/>
      <c r="H3509" s="14" t="n"/>
      <c r="I3509" s="14" t="n"/>
      <c r="J3509" s="14" t="n"/>
      <c r="K3509" s="53" t="inlineStr"/>
      <c r="L3509" s="53" t="inlineStr">
        <is>
          <t>Не определено</t>
        </is>
      </c>
      <c r="M3509" s="53" t="inlineStr"/>
      <c r="N3509" s="54" t="inlineStr"/>
      <c r="O3509" s="55" t="inlineStr"/>
      <c r="P3509" s="16" t="inlineStr">
        <is>
          <t>Требует обогащения</t>
        </is>
      </c>
      <c r="Q3509" s="16">
        <f>HYPERLINK("https://pb.nalog.ru/search.html?query=6501121832","ФНС: проверить")</f>
        <v/>
      </c>
      <c r="R3509" s="16">
        <f>HYPERLINK("https://checko.ru/search?query=3801001629","Чекко: проверить")</f>
        <v/>
      </c>
      <c r="S3509" t="n">
        <v>0</v>
      </c>
      <c r="T3509" s="35" t="inlineStr">
        <is>
          <t>4 — Не обогащён</t>
        </is>
      </c>
      <c r="U3509" s="35" t="inlineStr">
        <is>
          <t>Нет ОКВЭД/ССЧР</t>
        </is>
      </c>
      <c r="V3509" s="35" t="inlineStr">
        <is>
          <t>Не определено</t>
        </is>
      </c>
      <c r="W3509" s="35" t="inlineStr"/>
      <c r="X3509" s="35" t="inlineStr"/>
    </row>
    <row r="3510" ht="41.25" customHeight="1" s="24">
      <c r="A3510" s="13" t="n">
        <v>5000061520</v>
      </c>
      <c r="B3510" s="13" t="inlineStr">
        <is>
          <t>Муниципальное бюджетное учреждение дополнительного образования "Детская школа искусств" с.Быков</t>
        </is>
      </c>
      <c r="C3510" s="13" t="n">
        <v>6503010542</v>
      </c>
      <c r="D3510" s="13" t="inlineStr">
        <is>
          <t>6503010542</t>
        </is>
      </c>
      <c r="E3510" s="13" t="inlineStr">
        <is>
          <t>ЮЛ РФ</t>
        </is>
      </c>
      <c r="F3510" s="13" t="n"/>
      <c r="G3510" s="14" t="n"/>
      <c r="H3510" s="14" t="n"/>
      <c r="I3510" s="14" t="n"/>
      <c r="J3510" s="14" t="n"/>
      <c r="K3510" s="53" t="inlineStr"/>
      <c r="L3510" s="53" t="inlineStr">
        <is>
          <t>Не определено</t>
        </is>
      </c>
      <c r="M3510" s="53" t="inlineStr"/>
      <c r="N3510" s="54" t="inlineStr"/>
      <c r="O3510" s="55" t="inlineStr"/>
      <c r="P3510" s="16" t="inlineStr">
        <is>
          <t>Требует обогащения</t>
        </is>
      </c>
      <c r="Q3510" s="16">
        <f>HYPERLINK("https://pb.nalog.ru/search.html?query=6503010542","ФНС: проверить")</f>
        <v/>
      </c>
      <c r="R3510" s="16">
        <f>HYPERLINK("https://checko.ru/search?query=3801001629","Чекко: проверить")</f>
        <v/>
      </c>
      <c r="S3510" t="n">
        <v>1</v>
      </c>
      <c r="T3510" s="35" t="inlineStr">
        <is>
          <t>4 — Не обогащён</t>
        </is>
      </c>
      <c r="U3510" s="35" t="inlineStr">
        <is>
          <t>Нет ОКВЭД/ССЧР</t>
        </is>
      </c>
      <c r="V3510" s="35" t="inlineStr">
        <is>
          <t>Не определено</t>
        </is>
      </c>
      <c r="W3510" s="35" t="inlineStr"/>
      <c r="X3510" s="35" t="inlineStr"/>
    </row>
    <row r="3511" ht="41.25" customHeight="1" s="24">
      <c r="A3511" s="13" t="n">
        <v>5000061521</v>
      </c>
      <c r="B3511" s="13" t="inlineStr">
        <is>
          <t>Муниципальное бюджетное учреждение дополнительного образования "Детская школа искусств" с. Стародубское Сахалинской области</t>
        </is>
      </c>
      <c r="C3511" s="13" t="n">
        <v>6503011497</v>
      </c>
      <c r="D3511" s="13" t="inlineStr">
        <is>
          <t>6503011497</t>
        </is>
      </c>
      <c r="E3511" s="13" t="inlineStr">
        <is>
          <t>ЮЛ РФ</t>
        </is>
      </c>
      <c r="F3511" s="13" t="n"/>
      <c r="G3511" s="14" t="n"/>
      <c r="H3511" s="14" t="n"/>
      <c r="I3511" s="14" t="n"/>
      <c r="J3511" s="14" t="n"/>
      <c r="K3511" s="53" t="inlineStr"/>
      <c r="L3511" s="53" t="inlineStr">
        <is>
          <t>Не определено</t>
        </is>
      </c>
      <c r="M3511" s="53" t="inlineStr"/>
      <c r="N3511" s="54" t="inlineStr"/>
      <c r="O3511" s="55" t="inlineStr"/>
      <c r="P3511" s="16" t="inlineStr">
        <is>
          <t>Требует обогащения</t>
        </is>
      </c>
      <c r="Q3511" s="16">
        <f>HYPERLINK("https://pb.nalog.ru/search.html?query=6503011497","ФНС: проверить")</f>
        <v/>
      </c>
      <c r="R3511" s="16">
        <f>HYPERLINK("https://checko.ru/search?query=3801001629","Чекко: проверить")</f>
        <v/>
      </c>
      <c r="S3511" t="n">
        <v>1</v>
      </c>
      <c r="T3511" s="35" t="inlineStr">
        <is>
          <t>4 — Не обогащён</t>
        </is>
      </c>
      <c r="U3511" s="35" t="inlineStr">
        <is>
          <t>Нет ОКВЭД/ССЧР</t>
        </is>
      </c>
      <c r="V3511" s="35" t="inlineStr">
        <is>
          <t>Не определено</t>
        </is>
      </c>
      <c r="W3511" s="35" t="inlineStr"/>
      <c r="X3511" s="35" t="inlineStr"/>
    </row>
    <row r="3512" ht="54.75" customHeight="1" s="24">
      <c r="A3512" s="13" t="n">
        <v>5000061523</v>
      </c>
      <c r="B3512" s="13" t="inlineStr">
        <is>
          <t>Муниципальное бюджетное учреждение культуры "Долинская централизованная библиотечная система" муниципального образования городской округ "Долинский"</t>
        </is>
      </c>
      <c r="C3512" s="13" t="n">
        <v>6503011271</v>
      </c>
      <c r="D3512" s="13" t="inlineStr">
        <is>
          <t>6503011271</t>
        </is>
      </c>
      <c r="E3512" s="13" t="inlineStr">
        <is>
          <t>ЮЛ РФ</t>
        </is>
      </c>
      <c r="F3512" s="13" t="n"/>
      <c r="G3512" s="14" t="n"/>
      <c r="H3512" s="14" t="n"/>
      <c r="I3512" s="14" t="n"/>
      <c r="J3512" s="14" t="n"/>
      <c r="K3512" s="53" t="inlineStr"/>
      <c r="L3512" s="53" t="inlineStr">
        <is>
          <t>Не определено</t>
        </is>
      </c>
      <c r="M3512" s="53" t="inlineStr"/>
      <c r="N3512" s="54" t="inlineStr"/>
      <c r="O3512" s="55" t="inlineStr"/>
      <c r="P3512" s="16" t="inlineStr">
        <is>
          <t>Требует обогащения</t>
        </is>
      </c>
      <c r="Q3512" s="16">
        <f>HYPERLINK("https://pb.nalog.ru/search.html?query=6503011271","ФНС: проверить")</f>
        <v/>
      </c>
      <c r="R3512" s="16">
        <f>HYPERLINK("https://checko.ru/search?query=3801001629","Чекко: проверить")</f>
        <v/>
      </c>
      <c r="S3512" t="n">
        <v>1</v>
      </c>
      <c r="T3512" s="35" t="inlineStr">
        <is>
          <t>4 — Не обогащён</t>
        </is>
      </c>
      <c r="U3512" s="35" t="inlineStr">
        <is>
          <t>Нет ОКВЭД/ССЧР</t>
        </is>
      </c>
      <c r="V3512" s="35" t="inlineStr">
        <is>
          <t>Не определено</t>
        </is>
      </c>
      <c r="W3512" s="35" t="inlineStr"/>
      <c r="X3512" s="35" t="inlineStr"/>
    </row>
    <row r="3513" ht="15" customHeight="1" s="24">
      <c r="A3513" s="13" t="n">
        <v>5000098681</v>
      </c>
      <c r="B3513" s="13" t="inlineStr">
        <is>
          <t>ГБУ ЦЕНТР "ПРЕОДОЛЕНИЕ"</t>
        </is>
      </c>
      <c r="C3513" s="13" t="n">
        <v>6501111432</v>
      </c>
      <c r="D3513" s="13" t="inlineStr">
        <is>
          <t>6501111432</t>
        </is>
      </c>
      <c r="E3513" s="13" t="inlineStr">
        <is>
          <t>ЮЛ РФ</t>
        </is>
      </c>
      <c r="F3513" s="13" t="n"/>
      <c r="G3513" s="14" t="n"/>
      <c r="H3513" s="14" t="n"/>
      <c r="I3513" s="14" t="n"/>
      <c r="J3513" s="14" t="n"/>
      <c r="K3513" s="53" t="inlineStr"/>
      <c r="L3513" s="53" t="inlineStr">
        <is>
          <t>Не определено</t>
        </is>
      </c>
      <c r="M3513" s="53" t="inlineStr"/>
      <c r="N3513" s="54" t="inlineStr"/>
      <c r="O3513" s="55" t="inlineStr"/>
      <c r="P3513" s="16" t="inlineStr">
        <is>
          <t>Требует обогащения</t>
        </is>
      </c>
      <c r="Q3513" s="16">
        <f>HYPERLINK("https://pb.nalog.ru/search.html?query=6501111432","ФНС: проверить")</f>
        <v/>
      </c>
      <c r="R3513" s="16">
        <f>HYPERLINK("https://checko.ru/search?query=3801001629","Чекко: проверить")</f>
        <v/>
      </c>
      <c r="S3513" t="n">
        <v>1</v>
      </c>
      <c r="T3513" s="35" t="inlineStr">
        <is>
          <t>4 — Не обогащён</t>
        </is>
      </c>
      <c r="U3513" s="35" t="inlineStr">
        <is>
          <t>Нет ОКВЭД/ССЧР</t>
        </is>
      </c>
      <c r="V3513" s="35" t="inlineStr">
        <is>
          <t>Не определено</t>
        </is>
      </c>
      <c r="W3513" s="35" t="inlineStr"/>
      <c r="X3513" s="35" t="inlineStr"/>
    </row>
    <row r="3514" ht="15" customHeight="1" s="24">
      <c r="A3514" s="13" t="n">
        <v>5000098312</v>
      </c>
      <c r="B3514" s="13" t="inlineStr">
        <is>
          <t>Профессиональное училище № 27"</t>
        </is>
      </c>
      <c r="C3514" s="13" t="n">
        <v>2506001757</v>
      </c>
      <c r="D3514" s="13" t="inlineStr">
        <is>
          <t>2506001757</t>
        </is>
      </c>
      <c r="E3514" s="13" t="inlineStr">
        <is>
          <t>ЮЛ РФ</t>
        </is>
      </c>
      <c r="F3514" s="13" t="n"/>
      <c r="G3514" s="14" t="n"/>
      <c r="H3514" s="14" t="n"/>
      <c r="I3514" s="14" t="n"/>
      <c r="J3514" s="14" t="n"/>
      <c r="K3514" s="53" t="inlineStr"/>
      <c r="L3514" s="53" t="inlineStr">
        <is>
          <t>Не определено</t>
        </is>
      </c>
      <c r="M3514" s="53" t="inlineStr"/>
      <c r="N3514" s="54" t="inlineStr"/>
      <c r="O3514" s="55" t="inlineStr"/>
      <c r="P3514" s="16" t="inlineStr">
        <is>
          <t>Требует обогащения</t>
        </is>
      </c>
      <c r="Q3514" s="16">
        <f>HYPERLINK("https://pb.nalog.ru/search.html?query=2506001757","ФНС: проверить")</f>
        <v/>
      </c>
      <c r="R3514" s="16">
        <f>HYPERLINK("https://checko.ru/search?query=3801001629","Чекко: проверить")</f>
        <v/>
      </c>
      <c r="S3514" t="n">
        <v>1</v>
      </c>
      <c r="T3514" s="35" t="inlineStr">
        <is>
          <t>4 — Не обогащён</t>
        </is>
      </c>
      <c r="U3514" s="35" t="inlineStr">
        <is>
          <t>Нет ОКВЭД/ССЧР</t>
        </is>
      </c>
      <c r="V3514" s="35" t="inlineStr">
        <is>
          <t>Не определено</t>
        </is>
      </c>
      <c r="W3514" s="35" t="inlineStr"/>
      <c r="X3514" s="35" t="inlineStr"/>
    </row>
    <row r="3515" ht="27.75" customHeight="1" s="24">
      <c r="A3515" s="13" t="n">
        <v>5000107962</v>
      </c>
      <c r="B3515" s="13" t="inlineStr">
        <is>
          <t>МБУДО "Детская художественная школа" г.Южно-Сахалинска</t>
        </is>
      </c>
      <c r="C3515" s="13" t="n">
        <v>6501074149</v>
      </c>
      <c r="D3515" s="13" t="inlineStr">
        <is>
          <t>6501074149</t>
        </is>
      </c>
      <c r="E3515" s="13" t="inlineStr">
        <is>
          <t>ЮЛ РФ</t>
        </is>
      </c>
      <c r="F3515" s="13" t="n"/>
      <c r="G3515" s="14" t="n"/>
      <c r="H3515" s="14" t="n"/>
      <c r="I3515" s="14" t="n"/>
      <c r="J3515" s="14" t="n"/>
      <c r="K3515" s="53" t="inlineStr"/>
      <c r="L3515" s="53" t="inlineStr">
        <is>
          <t>Не определено</t>
        </is>
      </c>
      <c r="M3515" s="53" t="inlineStr"/>
      <c r="N3515" s="54" t="inlineStr"/>
      <c r="O3515" s="55" t="inlineStr"/>
      <c r="P3515" s="16" t="inlineStr">
        <is>
          <t>Требует обогащения</t>
        </is>
      </c>
      <c r="Q3515" s="16">
        <f>HYPERLINK("https://pb.nalog.ru/search.html?query=6501074149","ФНС: проверить")</f>
        <v/>
      </c>
      <c r="R3515" s="16">
        <f>HYPERLINK("https://checko.ru/search?query=3801001629","Чекко: проверить")</f>
        <v/>
      </c>
      <c r="S3515" t="n">
        <v>1</v>
      </c>
      <c r="T3515" s="35" t="inlineStr">
        <is>
          <t>4 — Не обогащён</t>
        </is>
      </c>
      <c r="U3515" s="35" t="inlineStr">
        <is>
          <t>Нет ОКВЭД/ССЧР</t>
        </is>
      </c>
      <c r="V3515" s="35" t="inlineStr">
        <is>
          <t>Не определено</t>
        </is>
      </c>
      <c r="W3515" s="35" t="inlineStr"/>
      <c r="X3515" s="35" t="inlineStr"/>
    </row>
    <row r="3516" ht="27.75" customHeight="1" s="24">
      <c r="A3516" s="13" t="n">
        <v>5000012960</v>
      </c>
      <c r="B3516" s="13" t="inlineStr">
        <is>
          <t>Министерство имущественных и земельных отношений Сахалинской области</t>
        </is>
      </c>
      <c r="C3516" s="13" t="n">
        <v>6500000761</v>
      </c>
      <c r="D3516" s="13" t="inlineStr">
        <is>
          <t>6500000761</t>
        </is>
      </c>
      <c r="E3516" s="13" t="inlineStr">
        <is>
          <t>ЮЛ РФ</t>
        </is>
      </c>
      <c r="F3516" s="13" t="n"/>
      <c r="G3516" s="14" t="n"/>
      <c r="H3516" s="14" t="n"/>
      <c r="I3516" s="14" t="n"/>
      <c r="J3516" s="14" t="n"/>
      <c r="K3516" s="53" t="inlineStr"/>
      <c r="L3516" s="53" t="inlineStr">
        <is>
          <t>Не определено</t>
        </is>
      </c>
      <c r="M3516" s="53" t="inlineStr"/>
      <c r="N3516" s="54" t="inlineStr"/>
      <c r="O3516" s="55" t="inlineStr"/>
      <c r="P3516" s="16" t="inlineStr">
        <is>
          <t>Требует обогащения</t>
        </is>
      </c>
      <c r="Q3516" s="16">
        <f>HYPERLINK("https://pb.nalog.ru/search.html?query=6500000761","ФНС: проверить")</f>
        <v/>
      </c>
      <c r="R3516" s="16">
        <f>HYPERLINK("https://checko.ru/search?query=3801001629","Чекко: проверить")</f>
        <v/>
      </c>
      <c r="S3516" t="n">
        <v>1</v>
      </c>
      <c r="T3516" s="35" t="inlineStr">
        <is>
          <t>4 — Не обогащён</t>
        </is>
      </c>
      <c r="U3516" s="35" t="inlineStr">
        <is>
          <t>Нет ОКВЭД/ССЧР</t>
        </is>
      </c>
      <c r="V3516" s="35" t="inlineStr">
        <is>
          <t>Не определено</t>
        </is>
      </c>
      <c r="W3516" s="35" t="inlineStr"/>
      <c r="X3516" s="35" t="inlineStr"/>
    </row>
    <row r="3517" ht="27.75" customHeight="1" s="24">
      <c r="A3517" s="13" t="n">
        <v>5000012960</v>
      </c>
      <c r="B3517" s="13" t="inlineStr">
        <is>
          <t>Министерство имущественных и земельных отношений Сахалинской области</t>
        </is>
      </c>
      <c r="C3517" s="13" t="n">
        <v>6500000761</v>
      </c>
      <c r="D3517" s="13" t="inlineStr">
        <is>
          <t>6500000761</t>
        </is>
      </c>
      <c r="E3517" s="13" t="inlineStr">
        <is>
          <t>ЮЛ РФ</t>
        </is>
      </c>
      <c r="F3517" s="13" t="n"/>
      <c r="G3517" s="14" t="n"/>
      <c r="H3517" s="14" t="n"/>
      <c r="I3517" s="14" t="n"/>
      <c r="J3517" s="14" t="n"/>
      <c r="K3517" s="53" t="inlineStr"/>
      <c r="L3517" s="53" t="inlineStr">
        <is>
          <t>Не определено</t>
        </is>
      </c>
      <c r="M3517" s="53" t="inlineStr"/>
      <c r="N3517" s="54" t="inlineStr"/>
      <c r="O3517" s="55" t="inlineStr"/>
      <c r="P3517" s="16" t="inlineStr">
        <is>
          <t>Требует обогащения</t>
        </is>
      </c>
      <c r="Q3517" s="16">
        <f>HYPERLINK("https://pb.nalog.ru/search.html?query=6500000761","ФНС: проверить")</f>
        <v/>
      </c>
      <c r="R3517" s="16">
        <f>HYPERLINK("https://checko.ru/search?query=3801001629","Чекко: проверить")</f>
        <v/>
      </c>
      <c r="S3517" t="n">
        <v>0</v>
      </c>
      <c r="T3517" s="35" t="inlineStr">
        <is>
          <t>4 — Не обогащён</t>
        </is>
      </c>
      <c r="U3517" s="35" t="inlineStr">
        <is>
          <t>Нет ОКВЭД/ССЧР</t>
        </is>
      </c>
      <c r="V3517" s="35" t="inlineStr">
        <is>
          <t>Не определено</t>
        </is>
      </c>
      <c r="W3517" s="35" t="inlineStr"/>
      <c r="X3517" s="35" t="inlineStr"/>
    </row>
    <row r="3518" ht="27.75" customHeight="1" s="24">
      <c r="A3518" s="13" t="n">
        <v>5000098669</v>
      </c>
      <c r="B3518" s="13" t="inlineStr">
        <is>
          <t>ГБУ "Станция по борьбе с болезнями животных №4"</t>
        </is>
      </c>
      <c r="C3518" s="13" t="n">
        <v>6507005462</v>
      </c>
      <c r="D3518" s="13" t="inlineStr">
        <is>
          <t>6507005462</t>
        </is>
      </c>
      <c r="E3518" s="13" t="inlineStr">
        <is>
          <t>ЮЛ РФ</t>
        </is>
      </c>
      <c r="F3518" s="13" t="n"/>
      <c r="G3518" s="14" t="n"/>
      <c r="H3518" s="14" t="n"/>
      <c r="I3518" s="14" t="n"/>
      <c r="J3518" s="14" t="n"/>
      <c r="K3518" s="53" t="inlineStr"/>
      <c r="L3518" s="53" t="inlineStr">
        <is>
          <t>Не определено</t>
        </is>
      </c>
      <c r="M3518" s="53" t="inlineStr"/>
      <c r="N3518" s="54" t="inlineStr"/>
      <c r="O3518" s="55" t="inlineStr"/>
      <c r="P3518" s="16" t="inlineStr">
        <is>
          <t>Требует обогащения</t>
        </is>
      </c>
      <c r="Q3518" s="16">
        <f>HYPERLINK("https://pb.nalog.ru/search.html?query=6507005462","ФНС: проверить")</f>
        <v/>
      </c>
      <c r="R3518" s="16">
        <f>HYPERLINK("https://checko.ru/search?query=3801001629","Чекко: проверить")</f>
        <v/>
      </c>
      <c r="S3518" t="n">
        <v>1</v>
      </c>
      <c r="T3518" s="35" t="inlineStr">
        <is>
          <t>4 — Не обогащён</t>
        </is>
      </c>
      <c r="U3518" s="35" t="inlineStr">
        <is>
          <t>Нет ОКВЭД/ССЧР</t>
        </is>
      </c>
      <c r="V3518" s="35" t="inlineStr">
        <is>
          <t>Не определено</t>
        </is>
      </c>
      <c r="W3518" s="35" t="inlineStr"/>
      <c r="X3518" s="35" t="inlineStr"/>
    </row>
    <row r="3519" ht="27.75" customHeight="1" s="24">
      <c r="A3519" s="13" t="n">
        <v>5000021368</v>
      </c>
      <c r="B3519" s="13" t="inlineStr">
        <is>
          <t>ГКУ "Центр бухгалтерского учета и отчетности в сфере социальной защиты Сахалинской области"</t>
        </is>
      </c>
      <c r="C3519" s="13" t="n">
        <v>6501301874</v>
      </c>
      <c r="D3519" s="13" t="inlineStr">
        <is>
          <t>6501301874</t>
        </is>
      </c>
      <c r="E3519" s="13" t="inlineStr">
        <is>
          <t>ЮЛ РФ</t>
        </is>
      </c>
      <c r="F3519" s="13" t="n"/>
      <c r="G3519" s="14" t="n"/>
      <c r="H3519" s="14" t="n"/>
      <c r="I3519" s="14" t="n"/>
      <c r="J3519" s="14" t="n"/>
      <c r="K3519" s="53" t="inlineStr"/>
      <c r="L3519" s="53" t="inlineStr">
        <is>
          <t>Не определено</t>
        </is>
      </c>
      <c r="M3519" s="53" t="inlineStr"/>
      <c r="N3519" s="54" t="inlineStr"/>
      <c r="O3519" s="55" t="inlineStr"/>
      <c r="P3519" s="16" t="inlineStr">
        <is>
          <t>Требует обогащения</t>
        </is>
      </c>
      <c r="Q3519" s="16">
        <f>HYPERLINK("https://pb.nalog.ru/search.html?query=6501301874","ФНС: проверить")</f>
        <v/>
      </c>
      <c r="R3519" s="16">
        <f>HYPERLINK("https://checko.ru/search?query=3801001629","Чекко: проверить")</f>
        <v/>
      </c>
      <c r="S3519" t="n">
        <v>1</v>
      </c>
      <c r="T3519" s="35" t="inlineStr">
        <is>
          <t>4 — Не обогащён</t>
        </is>
      </c>
      <c r="U3519" s="35" t="inlineStr">
        <is>
          <t>Нет ОКВЭД/ССЧР</t>
        </is>
      </c>
      <c r="V3519" s="35" t="inlineStr">
        <is>
          <t>Не определено</t>
        </is>
      </c>
      <c r="W3519" s="35" t="inlineStr"/>
      <c r="X3519" s="35" t="inlineStr"/>
    </row>
    <row r="3520" ht="27.75" customHeight="1" s="24">
      <c r="A3520" s="13" t="n">
        <v>5000098267</v>
      </c>
      <c r="B3520" s="13" t="inlineStr">
        <is>
          <t>КГАУК "Приморская государственная картинная галерея" (КГАУК "ПГКГ")</t>
        </is>
      </c>
      <c r="C3520" s="13" t="n">
        <v>2540101550</v>
      </c>
      <c r="D3520" s="13" t="inlineStr">
        <is>
          <t>2540101550</t>
        </is>
      </c>
      <c r="E3520" s="13" t="inlineStr">
        <is>
          <t>ЮЛ РФ</t>
        </is>
      </c>
      <c r="F3520" s="13" t="n"/>
      <c r="G3520" s="14" t="n"/>
      <c r="H3520" s="14" t="n"/>
      <c r="I3520" s="14" t="n"/>
      <c r="J3520" s="14" t="n"/>
      <c r="K3520" s="53" t="inlineStr"/>
      <c r="L3520" s="53" t="inlineStr">
        <is>
          <t>Не определено</t>
        </is>
      </c>
      <c r="M3520" s="53" t="inlineStr"/>
      <c r="N3520" s="54" t="inlineStr"/>
      <c r="O3520" s="55" t="inlineStr"/>
      <c r="P3520" s="16" t="inlineStr">
        <is>
          <t>Требует обогащения</t>
        </is>
      </c>
      <c r="Q3520" s="16">
        <f>HYPERLINK("https://pb.nalog.ru/search.html?query=2540101550","ФНС: проверить")</f>
        <v/>
      </c>
      <c r="R3520" s="16">
        <f>HYPERLINK("https://checko.ru/search?query=3801001629","Чекко: проверить")</f>
        <v/>
      </c>
      <c r="S3520" t="n">
        <v>1</v>
      </c>
      <c r="T3520" s="35" t="inlineStr">
        <is>
          <t>4 — Не обогащён</t>
        </is>
      </c>
      <c r="U3520" s="35" t="inlineStr">
        <is>
          <t>Нет ОКВЭД/ССЧР</t>
        </is>
      </c>
      <c r="V3520" s="35" t="inlineStr">
        <is>
          <t>Не определено</t>
        </is>
      </c>
      <c r="W3520" s="35" t="inlineStr"/>
      <c r="X3520" s="35" t="inlineStr"/>
    </row>
    <row r="3521" ht="15" customHeight="1" s="24">
      <c r="A3521" s="13" t="n">
        <v>5000089299</v>
      </c>
      <c r="B3521" s="13" t="inlineStr">
        <is>
          <t>Детский дом с. Преображенка</t>
        </is>
      </c>
      <c r="C3521" s="13" t="n">
        <v>2516605726</v>
      </c>
      <c r="D3521" s="13" t="inlineStr">
        <is>
          <t>2516605726</t>
        </is>
      </c>
      <c r="E3521" s="13" t="inlineStr">
        <is>
          <t>ЮЛ РФ</t>
        </is>
      </c>
      <c r="F3521" s="13" t="n"/>
      <c r="G3521" s="14" t="n"/>
      <c r="H3521" s="14" t="n"/>
      <c r="I3521" s="14" t="n"/>
      <c r="J3521" s="14" t="n"/>
      <c r="K3521" s="53" t="inlineStr"/>
      <c r="L3521" s="53" t="inlineStr">
        <is>
          <t>Не определено</t>
        </is>
      </c>
      <c r="M3521" s="53" t="inlineStr"/>
      <c r="N3521" s="54" t="inlineStr"/>
      <c r="O3521" s="55" t="inlineStr"/>
      <c r="P3521" s="16" t="inlineStr">
        <is>
          <t>Требует обогащения</t>
        </is>
      </c>
      <c r="Q3521" s="16">
        <f>HYPERLINK("https://pb.nalog.ru/search.html?query=2516605726","ФНС: проверить")</f>
        <v/>
      </c>
      <c r="R3521" s="16">
        <f>HYPERLINK("https://checko.ru/search?query=3801001629","Чекко: проверить")</f>
        <v/>
      </c>
      <c r="S3521" t="n">
        <v>1</v>
      </c>
      <c r="T3521" s="35" t="inlineStr">
        <is>
          <t>4 — Не обогащён</t>
        </is>
      </c>
      <c r="U3521" s="35" t="inlineStr">
        <is>
          <t>Нет ОКВЭД/ССЧР</t>
        </is>
      </c>
      <c r="V3521" s="35" t="inlineStr">
        <is>
          <t>Не определено</t>
        </is>
      </c>
      <c r="W3521" s="35" t="inlineStr"/>
      <c r="X3521" s="35" t="inlineStr"/>
    </row>
    <row r="3522" ht="15" customHeight="1" s="24">
      <c r="A3522" s="13" t="n">
        <v>5000098239</v>
      </c>
      <c r="B3522" s="13" t="inlineStr">
        <is>
          <t>ГБУЗ "КДПБ"</t>
        </is>
      </c>
      <c r="C3522" s="13" t="n">
        <v>2538034064</v>
      </c>
      <c r="D3522" s="13" t="inlineStr">
        <is>
          <t>2538034064</t>
        </is>
      </c>
      <c r="E3522" s="13" t="inlineStr">
        <is>
          <t>ЮЛ РФ</t>
        </is>
      </c>
      <c r="F3522" s="13" t="n"/>
      <c r="G3522" s="14" t="n"/>
      <c r="H3522" s="14" t="n"/>
      <c r="I3522" s="14" t="n"/>
      <c r="J3522" s="14" t="n"/>
      <c r="K3522" s="53" t="inlineStr"/>
      <c r="L3522" s="53" t="inlineStr">
        <is>
          <t>Не определено</t>
        </is>
      </c>
      <c r="M3522" s="53" t="inlineStr"/>
      <c r="N3522" s="54" t="inlineStr"/>
      <c r="O3522" s="55" t="inlineStr"/>
      <c r="P3522" s="16" t="inlineStr">
        <is>
          <t>Требует обогащения</t>
        </is>
      </c>
      <c r="Q3522" s="16">
        <f>HYPERLINK("https://pb.nalog.ru/search.html?query=2538034064","ФНС: проверить")</f>
        <v/>
      </c>
      <c r="R3522" s="16">
        <f>HYPERLINK("https://checko.ru/search?query=3801001629","Чекко: проверить")</f>
        <v/>
      </c>
      <c r="S3522" t="n">
        <v>1</v>
      </c>
      <c r="T3522" s="35" t="inlineStr">
        <is>
          <t>4 — Не обогащён</t>
        </is>
      </c>
      <c r="U3522" s="35" t="inlineStr">
        <is>
          <t>Нет ОКВЭД/ССЧР</t>
        </is>
      </c>
      <c r="V3522" s="35" t="inlineStr">
        <is>
          <t>Не определено</t>
        </is>
      </c>
      <c r="W3522" s="35" t="inlineStr"/>
      <c r="X3522" s="35" t="inlineStr"/>
    </row>
    <row r="3523" ht="41.25" customHeight="1" s="24">
      <c r="A3523" s="13" t="n">
        <v>5000100113</v>
      </c>
      <c r="B3523" s="13" t="inlineStr">
        <is>
          <t>Государственное бюджетное учреждение Сахалинской области «Сахалинский центр государственной кадастровой оценки»</t>
        </is>
      </c>
      <c r="C3523" s="13" t="n">
        <v>6501295853</v>
      </c>
      <c r="D3523" s="13" t="inlineStr">
        <is>
          <t>6501295853</t>
        </is>
      </c>
      <c r="E3523" s="13" t="inlineStr">
        <is>
          <t>ЮЛ РФ</t>
        </is>
      </c>
      <c r="F3523" s="13" t="n"/>
      <c r="G3523" s="14" t="n"/>
      <c r="H3523" s="14" t="n"/>
      <c r="I3523" s="14" t="n"/>
      <c r="J3523" s="14" t="n"/>
      <c r="K3523" s="53" t="inlineStr"/>
      <c r="L3523" s="53" t="inlineStr">
        <is>
          <t>Не определено</t>
        </is>
      </c>
      <c r="M3523" s="53" t="inlineStr"/>
      <c r="N3523" s="54" t="inlineStr"/>
      <c r="O3523" s="55" t="inlineStr"/>
      <c r="P3523" s="16" t="inlineStr">
        <is>
          <t>Требует обогащения</t>
        </is>
      </c>
      <c r="Q3523" s="16">
        <f>HYPERLINK("https://pb.nalog.ru/search.html?query=6501295853","ФНС: проверить")</f>
        <v/>
      </c>
      <c r="R3523" s="16">
        <f>HYPERLINK("https://checko.ru/search?query=3801001629","Чекко: проверить")</f>
        <v/>
      </c>
      <c r="S3523" t="n">
        <v>1</v>
      </c>
      <c r="T3523" s="35" t="inlineStr">
        <is>
          <t>4 — Не обогащён</t>
        </is>
      </c>
      <c r="U3523" s="35" t="inlineStr">
        <is>
          <t>Нет ОКВЭД/ССЧР</t>
        </is>
      </c>
      <c r="V3523" s="35" t="inlineStr">
        <is>
          <t>Не определено</t>
        </is>
      </c>
      <c r="W3523" s="35" t="inlineStr"/>
      <c r="X3523" s="35" t="inlineStr"/>
    </row>
    <row r="3524" ht="41.25" customHeight="1" s="24">
      <c r="A3524" s="13" t="n">
        <v>5000100113</v>
      </c>
      <c r="B3524" s="13" t="inlineStr">
        <is>
          <t>Государственное бюджетное учреждение Сахалинской области «Сахалинский центр государственной кадастровой оценки»</t>
        </is>
      </c>
      <c r="C3524" s="13" t="n">
        <v>6501295853</v>
      </c>
      <c r="D3524" s="13" t="inlineStr">
        <is>
          <t>6501295853</t>
        </is>
      </c>
      <c r="E3524" s="13" t="inlineStr">
        <is>
          <t>ЮЛ РФ</t>
        </is>
      </c>
      <c r="F3524" s="13" t="n"/>
      <c r="G3524" s="14" t="n"/>
      <c r="H3524" s="14" t="n"/>
      <c r="I3524" s="14" t="n"/>
      <c r="J3524" s="14" t="n"/>
      <c r="K3524" s="53" t="inlineStr"/>
      <c r="L3524" s="53" t="inlineStr">
        <is>
          <t>Не определено</t>
        </is>
      </c>
      <c r="M3524" s="53" t="inlineStr"/>
      <c r="N3524" s="54" t="inlineStr"/>
      <c r="O3524" s="55" t="inlineStr"/>
      <c r="P3524" s="16" t="inlineStr">
        <is>
          <t>Требует обогащения</t>
        </is>
      </c>
      <c r="Q3524" s="16">
        <f>HYPERLINK("https://pb.nalog.ru/search.html?query=6501295853","ФНС: проверить")</f>
        <v/>
      </c>
      <c r="R3524" s="16">
        <f>HYPERLINK("https://checko.ru/search?query=3801001629","Чекко: проверить")</f>
        <v/>
      </c>
      <c r="S3524" t="n">
        <v>0</v>
      </c>
      <c r="T3524" s="35" t="inlineStr">
        <is>
          <t>4 — Не обогащён</t>
        </is>
      </c>
      <c r="U3524" s="35" t="inlineStr">
        <is>
          <t>Нет ОКВЭД/ССЧР</t>
        </is>
      </c>
      <c r="V3524" s="35" t="inlineStr">
        <is>
          <t>Не определено</t>
        </is>
      </c>
      <c r="W3524" s="35" t="inlineStr"/>
      <c r="X3524" s="35" t="inlineStr"/>
    </row>
    <row r="3525" ht="27.75" customHeight="1" s="24">
      <c r="A3525" s="13" t="n">
        <v>5000107141</v>
      </c>
      <c r="B3525" s="13" t="inlineStr">
        <is>
          <t>ГБУК "Сахалинский областной центр народного творчества"</t>
        </is>
      </c>
      <c r="C3525" s="13" t="n">
        <v>6501075022</v>
      </c>
      <c r="D3525" s="13" t="inlineStr">
        <is>
          <t>6501075022</t>
        </is>
      </c>
      <c r="E3525" s="13" t="inlineStr">
        <is>
          <t>ЮЛ РФ</t>
        </is>
      </c>
      <c r="F3525" s="13" t="n"/>
      <c r="G3525" s="14" t="n"/>
      <c r="H3525" s="14" t="n"/>
      <c r="I3525" s="14" t="n"/>
      <c r="J3525" s="14" t="n"/>
      <c r="K3525" s="53" t="inlineStr"/>
      <c r="L3525" s="53" t="inlineStr">
        <is>
          <t>Не определено</t>
        </is>
      </c>
      <c r="M3525" s="53" t="inlineStr"/>
      <c r="N3525" s="54" t="inlineStr"/>
      <c r="O3525" s="55" t="inlineStr"/>
      <c r="P3525" s="16" t="inlineStr">
        <is>
          <t>Требует обогащения</t>
        </is>
      </c>
      <c r="Q3525" s="16">
        <f>HYPERLINK("https://pb.nalog.ru/search.html?query=6501075022","ФНС: проверить")</f>
        <v/>
      </c>
      <c r="R3525" s="16">
        <f>HYPERLINK("https://checko.ru/search?query=3801001629","Чекко: проверить")</f>
        <v/>
      </c>
      <c r="S3525" t="n">
        <v>1</v>
      </c>
      <c r="T3525" s="35" t="inlineStr">
        <is>
          <t>4 — Не обогащён</t>
        </is>
      </c>
      <c r="U3525" s="35" t="inlineStr">
        <is>
          <t>Нет ОКВЭД/ССЧР</t>
        </is>
      </c>
      <c r="V3525" s="35" t="inlineStr">
        <is>
          <t>Не определено</t>
        </is>
      </c>
      <c r="W3525" s="35" t="inlineStr"/>
      <c r="X3525" s="35" t="inlineStr"/>
    </row>
    <row r="3526" ht="15" customHeight="1" s="24">
      <c r="A3526" s="13" t="n">
        <v>5000014007</v>
      </c>
      <c r="B3526" s="13" t="inlineStr">
        <is>
          <t>ОГАУ "Дворец спорта "Кристалл"</t>
        </is>
      </c>
      <c r="C3526" s="13" t="n">
        <v>6501251158</v>
      </c>
      <c r="D3526" s="13" t="inlineStr">
        <is>
          <t>6501251158</t>
        </is>
      </c>
      <c r="E3526" s="13" t="inlineStr">
        <is>
          <t>ЮЛ РФ</t>
        </is>
      </c>
      <c r="F3526" s="13" t="n"/>
      <c r="G3526" s="14" t="n"/>
      <c r="H3526" s="14" t="n"/>
      <c r="I3526" s="14" t="n"/>
      <c r="J3526" s="14" t="n"/>
      <c r="K3526" s="53" t="inlineStr"/>
      <c r="L3526" s="53" t="inlineStr">
        <is>
          <t>Не определено</t>
        </is>
      </c>
      <c r="M3526" s="53" t="inlineStr"/>
      <c r="N3526" s="54" t="inlineStr"/>
      <c r="O3526" s="55" t="inlineStr"/>
      <c r="P3526" s="16" t="inlineStr">
        <is>
          <t>Требует обогащения</t>
        </is>
      </c>
      <c r="Q3526" s="16">
        <f>HYPERLINK("https://pb.nalog.ru/search.html?query=6501251158","ФНС: проверить")</f>
        <v/>
      </c>
      <c r="R3526" s="16">
        <f>HYPERLINK("https://checko.ru/search?query=3801001629","Чекко: проверить")</f>
        <v/>
      </c>
      <c r="S3526" t="n">
        <v>1</v>
      </c>
      <c r="T3526" s="35" t="inlineStr">
        <is>
          <t>4 — Не обогащён</t>
        </is>
      </c>
      <c r="U3526" s="35" t="inlineStr">
        <is>
          <t>Нет ОКВЭД/ССЧР</t>
        </is>
      </c>
      <c r="V3526" s="35" t="inlineStr">
        <is>
          <t>Не определено</t>
        </is>
      </c>
      <c r="W3526" s="35" t="inlineStr"/>
      <c r="X3526" s="35" t="inlineStr"/>
    </row>
    <row r="3527" ht="15" customHeight="1" s="24">
      <c r="A3527" s="13" t="n">
        <v>5000098294</v>
      </c>
      <c r="B3527" s="13" t="inlineStr">
        <is>
          <t>КГБУСО «Арсеньевский СРЦН «Ласточка»</t>
        </is>
      </c>
      <c r="C3527" s="13" t="n">
        <v>2501006575</v>
      </c>
      <c r="D3527" s="13" t="inlineStr">
        <is>
          <t>2501006575</t>
        </is>
      </c>
      <c r="E3527" s="13" t="inlineStr">
        <is>
          <t>ЮЛ РФ</t>
        </is>
      </c>
      <c r="F3527" s="13" t="n"/>
      <c r="G3527" s="14" t="n"/>
      <c r="H3527" s="14" t="n"/>
      <c r="I3527" s="14" t="n"/>
      <c r="J3527" s="14" t="n"/>
      <c r="K3527" s="53" t="inlineStr"/>
      <c r="L3527" s="53" t="inlineStr">
        <is>
          <t>Не определено</t>
        </is>
      </c>
      <c r="M3527" s="53" t="inlineStr"/>
      <c r="N3527" s="54" t="inlineStr"/>
      <c r="O3527" s="55" t="inlineStr"/>
      <c r="P3527" s="16" t="inlineStr">
        <is>
          <t>Требует обогащения</t>
        </is>
      </c>
      <c r="Q3527" s="16">
        <f>HYPERLINK("https://pb.nalog.ru/search.html?query=2501006575","ФНС: проверить")</f>
        <v/>
      </c>
      <c r="R3527" s="16">
        <f>HYPERLINK("https://checko.ru/search?query=3801001629","Чекко: проверить")</f>
        <v/>
      </c>
      <c r="S3527" t="n">
        <v>1</v>
      </c>
      <c r="T3527" s="35" t="inlineStr">
        <is>
          <t>4 — Не обогащён</t>
        </is>
      </c>
      <c r="U3527" s="35" t="inlineStr">
        <is>
          <t>Нет ОКВЭД/ССЧР</t>
        </is>
      </c>
      <c r="V3527" s="35" t="inlineStr">
        <is>
          <t>Не определено</t>
        </is>
      </c>
      <c r="W3527" s="35" t="inlineStr"/>
      <c r="X3527" s="35" t="inlineStr"/>
    </row>
    <row r="3528" ht="15" customHeight="1" s="24">
      <c r="A3528" s="13" t="n">
        <v>5000087433</v>
      </c>
      <c r="B3528" s="13" t="inlineStr">
        <is>
          <t>МАДОУ Детский сад № 30 "Улыбка"</t>
        </is>
      </c>
      <c r="C3528" s="13" t="n">
        <v>6501101240</v>
      </c>
      <c r="D3528" s="13" t="inlineStr">
        <is>
          <t>6501101240</t>
        </is>
      </c>
      <c r="E3528" s="13" t="inlineStr">
        <is>
          <t>ЮЛ РФ</t>
        </is>
      </c>
      <c r="F3528" s="13" t="n"/>
      <c r="G3528" s="14" t="n"/>
      <c r="H3528" s="14" t="n"/>
      <c r="I3528" s="14" t="n"/>
      <c r="J3528" s="14" t="n"/>
      <c r="K3528" s="53" t="inlineStr"/>
      <c r="L3528" s="53" t="inlineStr">
        <is>
          <t>Не определено</t>
        </is>
      </c>
      <c r="M3528" s="53" t="inlineStr"/>
      <c r="N3528" s="54" t="inlineStr"/>
      <c r="O3528" s="55" t="inlineStr"/>
      <c r="P3528" s="16" t="inlineStr">
        <is>
          <t>Требует обогащения</t>
        </is>
      </c>
      <c r="Q3528" s="16">
        <f>HYPERLINK("https://pb.nalog.ru/search.html?query=6501101240","ФНС: проверить")</f>
        <v/>
      </c>
      <c r="R3528" s="16">
        <f>HYPERLINK("https://checko.ru/search?query=3801001629","Чекко: проверить")</f>
        <v/>
      </c>
      <c r="S3528" t="n">
        <v>1</v>
      </c>
      <c r="T3528" s="35" t="inlineStr">
        <is>
          <t>4 — Не обогащён</t>
        </is>
      </c>
      <c r="U3528" s="35" t="inlineStr">
        <is>
          <t>Нет ОКВЭД/ССЧР</t>
        </is>
      </c>
      <c r="V3528" s="35" t="inlineStr">
        <is>
          <t>Не определено</t>
        </is>
      </c>
      <c r="W3528" s="35" t="inlineStr"/>
      <c r="X3528" s="35" t="inlineStr"/>
    </row>
    <row r="3529" ht="27.75" customHeight="1" s="24">
      <c r="A3529" s="13" t="n">
        <v>5000108420</v>
      </c>
      <c r="B3529" s="13" t="inlineStr">
        <is>
          <t>МАДОУ детский сад комбинированного вида № 31 "Аистенок" г. Южно-Сахалинска</t>
        </is>
      </c>
      <c r="C3529" s="13" t="n">
        <v>6510902649</v>
      </c>
      <c r="D3529" s="13" t="inlineStr">
        <is>
          <t>6510902649</t>
        </is>
      </c>
      <c r="E3529" s="13" t="inlineStr">
        <is>
          <t>ЮЛ РФ</t>
        </is>
      </c>
      <c r="F3529" s="13" t="n"/>
      <c r="G3529" s="14" t="n"/>
      <c r="H3529" s="14" t="n"/>
      <c r="I3529" s="14" t="n"/>
      <c r="J3529" s="14" t="n"/>
      <c r="K3529" s="53" t="inlineStr"/>
      <c r="L3529" s="53" t="inlineStr">
        <is>
          <t>Не определено</t>
        </is>
      </c>
      <c r="M3529" s="53" t="inlineStr"/>
      <c r="N3529" s="54" t="inlineStr"/>
      <c r="O3529" s="55" t="inlineStr"/>
      <c r="P3529" s="16" t="inlineStr">
        <is>
          <t>Требует обогащения</t>
        </is>
      </c>
      <c r="Q3529" s="16">
        <f>HYPERLINK("https://pb.nalog.ru/search.html?query=6510902649","ФНС: проверить")</f>
        <v/>
      </c>
      <c r="R3529" s="16">
        <f>HYPERLINK("https://checko.ru/search?query=3801001629","Чекко: проверить")</f>
        <v/>
      </c>
      <c r="S3529" t="n">
        <v>1</v>
      </c>
      <c r="T3529" s="35" t="inlineStr">
        <is>
          <t>4 — Не обогащён</t>
        </is>
      </c>
      <c r="U3529" s="35" t="inlineStr">
        <is>
          <t>Нет ОКВЭД/ССЧР</t>
        </is>
      </c>
      <c r="V3529" s="35" t="inlineStr">
        <is>
          <t>Не определено</t>
        </is>
      </c>
      <c r="W3529" s="35" t="inlineStr"/>
      <c r="X3529" s="35" t="inlineStr"/>
    </row>
    <row r="3530" ht="27.75" customHeight="1" s="24">
      <c r="A3530" s="13" t="n">
        <v>5000108210</v>
      </c>
      <c r="B3530" s="13" t="inlineStr">
        <is>
          <t>МАДОУ Центр развития ребенка - детский сад № 44 "Незабудка" г.Южно-Сахалинска</t>
        </is>
      </c>
      <c r="C3530" s="13" t="n">
        <v>6501141290</v>
      </c>
      <c r="D3530" s="13" t="inlineStr">
        <is>
          <t>6501141290</t>
        </is>
      </c>
      <c r="E3530" s="13" t="inlineStr">
        <is>
          <t>ЮЛ РФ</t>
        </is>
      </c>
      <c r="F3530" s="13" t="n"/>
      <c r="G3530" s="14" t="n"/>
      <c r="H3530" s="14" t="n"/>
      <c r="I3530" s="14" t="n"/>
      <c r="J3530" s="14" t="n"/>
      <c r="K3530" s="53" t="inlineStr"/>
      <c r="L3530" s="53" t="inlineStr">
        <is>
          <t>Не определено</t>
        </is>
      </c>
      <c r="M3530" s="53" t="inlineStr"/>
      <c r="N3530" s="54" t="inlineStr"/>
      <c r="O3530" s="55" t="inlineStr"/>
      <c r="P3530" s="16" t="inlineStr">
        <is>
          <t>Требует обогащения</t>
        </is>
      </c>
      <c r="Q3530" s="16">
        <f>HYPERLINK("https://pb.nalog.ru/search.html?query=6501141290","ФНС: проверить")</f>
        <v/>
      </c>
      <c r="R3530" s="16">
        <f>HYPERLINK("https://checko.ru/search?query=3801001629","Чекко: проверить")</f>
        <v/>
      </c>
      <c r="S3530" t="n">
        <v>1</v>
      </c>
      <c r="T3530" s="35" t="inlineStr">
        <is>
          <t>4 — Не обогащён</t>
        </is>
      </c>
      <c r="U3530" s="35" t="inlineStr">
        <is>
          <t>Нет ОКВЭД/ССЧР</t>
        </is>
      </c>
      <c r="V3530" s="35" t="inlineStr">
        <is>
          <t>Не определено</t>
        </is>
      </c>
      <c r="W3530" s="35" t="inlineStr"/>
      <c r="X3530" s="35" t="inlineStr"/>
    </row>
    <row r="3531" ht="27.75" customHeight="1" s="24">
      <c r="A3531" s="13" t="n">
        <v>5000108350</v>
      </c>
      <c r="B3531" s="13" t="inlineStr">
        <is>
          <t>МБДОУ детский сад общеразвивающего вида № 54 "Белоснежка" города Южно-Сахалинска</t>
        </is>
      </c>
      <c r="C3531" s="13" t="n">
        <v>6501148009</v>
      </c>
      <c r="D3531" s="13" t="inlineStr">
        <is>
          <t>6501148009</t>
        </is>
      </c>
      <c r="E3531" s="13" t="inlineStr">
        <is>
          <t>ЮЛ РФ</t>
        </is>
      </c>
      <c r="F3531" s="13" t="n"/>
      <c r="G3531" s="14" t="n"/>
      <c r="H3531" s="14" t="n"/>
      <c r="I3531" s="14" t="n"/>
      <c r="J3531" s="14" t="n"/>
      <c r="K3531" s="53" t="inlineStr"/>
      <c r="L3531" s="53" t="inlineStr">
        <is>
          <t>Не определено</t>
        </is>
      </c>
      <c r="M3531" s="53" t="inlineStr"/>
      <c r="N3531" s="54" t="inlineStr"/>
      <c r="O3531" s="55" t="inlineStr"/>
      <c r="P3531" s="16" t="inlineStr">
        <is>
          <t>Требует обогащения</t>
        </is>
      </c>
      <c r="Q3531" s="16">
        <f>HYPERLINK("https://pb.nalog.ru/search.html?query=6501148009","ФНС: проверить")</f>
        <v/>
      </c>
      <c r="R3531" s="16">
        <f>HYPERLINK("https://checko.ru/search?query=3801001629","Чекко: проверить")</f>
        <v/>
      </c>
      <c r="S3531" t="n">
        <v>1</v>
      </c>
      <c r="T3531" s="35" t="inlineStr">
        <is>
          <t>4 — Не обогащён</t>
        </is>
      </c>
      <c r="U3531" s="35" t="inlineStr">
        <is>
          <t>Нет ОКВЭД/ССЧР</t>
        </is>
      </c>
      <c r="V3531" s="35" t="inlineStr">
        <is>
          <t>Не определено</t>
        </is>
      </c>
      <c r="W3531" s="35" t="inlineStr"/>
      <c r="X3531" s="35" t="inlineStr"/>
    </row>
    <row r="3532" ht="15" customHeight="1" s="24">
      <c r="A3532" s="13" t="n">
        <v>5000097273</v>
      </c>
      <c r="B3532" s="13" t="inlineStr">
        <is>
          <t>ДЮСШ №1 Дополнительного образования</t>
        </is>
      </c>
      <c r="C3532" s="13" t="n">
        <v>3818010100</v>
      </c>
      <c r="D3532" s="13" t="inlineStr">
        <is>
          <t>3818010100</t>
        </is>
      </c>
      <c r="E3532" s="13" t="inlineStr">
        <is>
          <t>ЮЛ РФ</t>
        </is>
      </c>
      <c r="F3532" s="13" t="n"/>
      <c r="G3532" s="14" t="n"/>
      <c r="H3532" s="14" t="n"/>
      <c r="I3532" s="14" t="n"/>
      <c r="J3532" s="14" t="n"/>
      <c r="K3532" s="53" t="inlineStr"/>
      <c r="L3532" s="53" t="inlineStr">
        <is>
          <t>Не определено</t>
        </is>
      </c>
      <c r="M3532" s="53" t="inlineStr"/>
      <c r="N3532" s="54" t="inlineStr"/>
      <c r="O3532" s="55" t="inlineStr"/>
      <c r="P3532" s="16" t="inlineStr">
        <is>
          <t>Требует обогащения</t>
        </is>
      </c>
      <c r="Q3532" s="16">
        <f>HYPERLINK("https://pb.nalog.ru/search.html?query=3818010100","ФНС: проверить")</f>
        <v/>
      </c>
      <c r="R3532" s="16">
        <f>HYPERLINK("https://checko.ru/search?query=3801001629","Чекко: проверить")</f>
        <v/>
      </c>
      <c r="S3532" t="n">
        <v>1</v>
      </c>
      <c r="T3532" s="35" t="inlineStr">
        <is>
          <t>4 — Не обогащён</t>
        </is>
      </c>
      <c r="U3532" s="35" t="inlineStr">
        <is>
          <t>Нет ОКВЭД/ССЧР</t>
        </is>
      </c>
      <c r="V3532" s="35" t="inlineStr">
        <is>
          <t>Не определено</t>
        </is>
      </c>
      <c r="W3532" s="35" t="inlineStr"/>
      <c r="X3532" s="35" t="inlineStr"/>
    </row>
    <row r="3533" ht="27.75" customHeight="1" s="24">
      <c r="A3533" s="13" t="n">
        <v>5000098245</v>
      </c>
      <c r="B3533" s="13" t="inlineStr">
        <is>
          <t>ГБУЗ "Приморская краевая клиническая больница №1"</t>
        </is>
      </c>
      <c r="C3533" s="13" t="n">
        <v>2540021263</v>
      </c>
      <c r="D3533" s="13" t="inlineStr">
        <is>
          <t>2540021263</t>
        </is>
      </c>
      <c r="E3533" s="13" t="inlineStr">
        <is>
          <t>ЮЛ РФ</t>
        </is>
      </c>
      <c r="F3533" s="13" t="n"/>
      <c r="G3533" s="14" t="n"/>
      <c r="H3533" s="14" t="n"/>
      <c r="I3533" s="14" t="n"/>
      <c r="J3533" s="14" t="n"/>
      <c r="K3533" s="53" t="inlineStr"/>
      <c r="L3533" s="53" t="inlineStr">
        <is>
          <t>Не определено</t>
        </is>
      </c>
      <c r="M3533" s="53" t="inlineStr"/>
      <c r="N3533" s="54" t="inlineStr"/>
      <c r="O3533" s="55" t="inlineStr"/>
      <c r="P3533" s="16" t="inlineStr">
        <is>
          <t>Требует обогащения</t>
        </is>
      </c>
      <c r="Q3533" s="16">
        <f>HYPERLINK("https://pb.nalog.ru/search.html?query=2540021263","ФНС: проверить")</f>
        <v/>
      </c>
      <c r="R3533" s="16">
        <f>HYPERLINK("https://checko.ru/search?query=3801001629","Чекко: проверить")</f>
        <v/>
      </c>
      <c r="S3533" t="n">
        <v>1</v>
      </c>
      <c r="T3533" s="35" t="inlineStr">
        <is>
          <t>4 — Не обогащён</t>
        </is>
      </c>
      <c r="U3533" s="35" t="inlineStr">
        <is>
          <t>Нет ОКВЭД/ССЧР</t>
        </is>
      </c>
      <c r="V3533" s="35" t="inlineStr">
        <is>
          <t>Не определено</t>
        </is>
      </c>
      <c r="W3533" s="35" t="inlineStr"/>
      <c r="X3533" s="35" t="inlineStr"/>
    </row>
    <row r="3534" ht="15" customHeight="1" s="24">
      <c r="A3534" s="13" t="n">
        <v>5000061620</v>
      </c>
      <c r="B3534" s="13" t="inlineStr">
        <is>
          <t>Администрация МО "Тымовский городской округ</t>
        </is>
      </c>
      <c r="C3534" s="13" t="n">
        <v>6517001080</v>
      </c>
      <c r="D3534" s="13" t="inlineStr">
        <is>
          <t>6517001080</t>
        </is>
      </c>
      <c r="E3534" s="13" t="inlineStr">
        <is>
          <t>ЮЛ РФ</t>
        </is>
      </c>
      <c r="F3534" s="13" t="n"/>
      <c r="G3534" s="14" t="n"/>
      <c r="H3534" s="14" t="n"/>
      <c r="I3534" s="14" t="n"/>
      <c r="J3534" s="14" t="n"/>
      <c r="K3534" s="53" t="inlineStr"/>
      <c r="L3534" s="53" t="inlineStr">
        <is>
          <t>Не определено</t>
        </is>
      </c>
      <c r="M3534" s="53" t="inlineStr"/>
      <c r="N3534" s="54" t="inlineStr"/>
      <c r="O3534" s="55" t="inlineStr"/>
      <c r="P3534" s="16" t="inlineStr">
        <is>
          <t>Требует обогащения</t>
        </is>
      </c>
      <c r="Q3534" s="16">
        <f>HYPERLINK("https://pb.nalog.ru/search.html?query=6517001080","ФНС: проверить")</f>
        <v/>
      </c>
      <c r="R3534" s="16">
        <f>HYPERLINK("https://checko.ru/search?query=3801001629","Чекко: проверить")</f>
        <v/>
      </c>
      <c r="S3534" t="n">
        <v>1</v>
      </c>
      <c r="T3534" s="35" t="inlineStr">
        <is>
          <t>4 — Не обогащён</t>
        </is>
      </c>
      <c r="U3534" s="35" t="inlineStr">
        <is>
          <t>Нет ОКВЭД/ССЧР</t>
        </is>
      </c>
      <c r="V3534" s="35" t="inlineStr">
        <is>
          <t>Не определено</t>
        </is>
      </c>
      <c r="W3534" s="35" t="inlineStr"/>
      <c r="X3534" s="35" t="inlineStr"/>
    </row>
    <row r="3535" ht="15" customHeight="1" s="24">
      <c r="A3535" s="13" t="n">
        <v>5000061620</v>
      </c>
      <c r="B3535" s="13" t="inlineStr">
        <is>
          <t>Администрация МО "Тымовский городской округ</t>
        </is>
      </c>
      <c r="C3535" s="13" t="n">
        <v>6517001080</v>
      </c>
      <c r="D3535" s="13" t="inlineStr">
        <is>
          <t>6517001080</t>
        </is>
      </c>
      <c r="E3535" s="13" t="inlineStr">
        <is>
          <t>ЮЛ РФ</t>
        </is>
      </c>
      <c r="F3535" s="13" t="n"/>
      <c r="G3535" s="14" t="n"/>
      <c r="H3535" s="14" t="n"/>
      <c r="I3535" s="14" t="n"/>
      <c r="J3535" s="14" t="n"/>
      <c r="K3535" s="53" t="inlineStr"/>
      <c r="L3535" s="53" t="inlineStr">
        <is>
          <t>Не определено</t>
        </is>
      </c>
      <c r="M3535" s="53" t="inlineStr"/>
      <c r="N3535" s="54" t="inlineStr"/>
      <c r="O3535" s="55" t="inlineStr"/>
      <c r="P3535" s="16" t="inlineStr">
        <is>
          <t>Требует обогащения</t>
        </is>
      </c>
      <c r="Q3535" s="16">
        <f>HYPERLINK("https://pb.nalog.ru/search.html?query=6517001080","ФНС: проверить")</f>
        <v/>
      </c>
      <c r="R3535" s="16">
        <f>HYPERLINK("https://checko.ru/search?query=3801001629","Чекко: проверить")</f>
        <v/>
      </c>
      <c r="S3535" t="n">
        <v>0</v>
      </c>
      <c r="T3535" s="35" t="inlineStr">
        <is>
          <t>4 — Не обогащён</t>
        </is>
      </c>
      <c r="U3535" s="35" t="inlineStr">
        <is>
          <t>Нет ОКВЭД/ССЧР</t>
        </is>
      </c>
      <c r="V3535" s="35" t="inlineStr">
        <is>
          <t>Не определено</t>
        </is>
      </c>
      <c r="W3535" s="35" t="inlineStr"/>
      <c r="X3535" s="35" t="inlineStr"/>
    </row>
    <row r="3536" ht="15" customHeight="1" s="24">
      <c r="A3536" s="13" t="n">
        <v>5000107361</v>
      </c>
      <c r="B3536" s="13" t="inlineStr">
        <is>
          <t>ГКОУШИ Г. ПОРОНАЙСКА</t>
        </is>
      </c>
      <c r="C3536" s="13" t="n">
        <v>6507010060</v>
      </c>
      <c r="D3536" s="13" t="inlineStr">
        <is>
          <t>6507010060</t>
        </is>
      </c>
      <c r="E3536" s="13" t="inlineStr">
        <is>
          <t>ЮЛ РФ</t>
        </is>
      </c>
      <c r="F3536" s="13" t="n"/>
      <c r="G3536" s="14" t="n"/>
      <c r="H3536" s="14" t="n"/>
      <c r="I3536" s="14" t="n"/>
      <c r="J3536" s="14" t="n"/>
      <c r="K3536" s="53" t="inlineStr"/>
      <c r="L3536" s="53" t="inlineStr">
        <is>
          <t>Не определено</t>
        </is>
      </c>
      <c r="M3536" s="53" t="inlineStr"/>
      <c r="N3536" s="54" t="inlineStr"/>
      <c r="O3536" s="55" t="inlineStr"/>
      <c r="P3536" s="16" t="inlineStr">
        <is>
          <t>Требует обогащения</t>
        </is>
      </c>
      <c r="Q3536" s="16">
        <f>HYPERLINK("https://pb.nalog.ru/search.html?query=6507010060","ФНС: проверить")</f>
        <v/>
      </c>
      <c r="R3536" s="16">
        <f>HYPERLINK("https://checko.ru/search?query=3801001629","Чекко: проверить")</f>
        <v/>
      </c>
      <c r="S3536" t="n">
        <v>1</v>
      </c>
      <c r="T3536" s="35" t="inlineStr">
        <is>
          <t>4 — Не обогащён</t>
        </is>
      </c>
      <c r="U3536" s="35" t="inlineStr">
        <is>
          <t>Нет ОКВЭД/ССЧР</t>
        </is>
      </c>
      <c r="V3536" s="35" t="inlineStr">
        <is>
          <t>Не определено</t>
        </is>
      </c>
      <c r="W3536" s="35" t="inlineStr"/>
      <c r="X3536" s="35" t="inlineStr"/>
    </row>
    <row r="3537" ht="15" customHeight="1" s="24">
      <c r="A3537" s="13" t="n">
        <v>5000074587</v>
      </c>
      <c r="B3537" s="13" t="inlineStr">
        <is>
          <t>МБУК ЦБС</t>
        </is>
      </c>
      <c r="C3537" s="13" t="n">
        <v>5018085861</v>
      </c>
      <c r="D3537" s="13" t="inlineStr">
        <is>
          <t>5018085861</t>
        </is>
      </c>
      <c r="E3537" s="13" t="inlineStr">
        <is>
          <t>ЮЛ РФ</t>
        </is>
      </c>
      <c r="F3537" s="13" t="n"/>
      <c r="G3537" s="14" t="n"/>
      <c r="H3537" s="14" t="n"/>
      <c r="I3537" s="14" t="n"/>
      <c r="J3537" s="14" t="n"/>
      <c r="K3537" s="53" t="inlineStr"/>
      <c r="L3537" s="53" t="inlineStr">
        <is>
          <t>Не определено</t>
        </is>
      </c>
      <c r="M3537" s="53" t="inlineStr"/>
      <c r="N3537" s="54" t="inlineStr"/>
      <c r="O3537" s="55" t="inlineStr"/>
      <c r="P3537" s="16" t="inlineStr">
        <is>
          <t>Требует обогащения</t>
        </is>
      </c>
      <c r="Q3537" s="16">
        <f>HYPERLINK("https://pb.nalog.ru/search.html?query=5018085861","ФНС: проверить")</f>
        <v/>
      </c>
      <c r="R3537" s="16">
        <f>HYPERLINK("https://checko.ru/search?query=3801001629","Чекко: проверить")</f>
        <v/>
      </c>
      <c r="S3537" t="n">
        <v>1</v>
      </c>
      <c r="T3537" s="35" t="inlineStr">
        <is>
          <t>4 — Не обогащён</t>
        </is>
      </c>
      <c r="U3537" s="35" t="inlineStr">
        <is>
          <t>Нет ОКВЭД/ССЧР</t>
        </is>
      </c>
      <c r="V3537" s="35" t="inlineStr">
        <is>
          <t>Не определено</t>
        </is>
      </c>
      <c r="W3537" s="35" t="inlineStr"/>
      <c r="X3537" s="35" t="inlineStr"/>
    </row>
    <row r="3538" ht="15" customHeight="1" s="24">
      <c r="A3538" s="13" t="n">
        <v>5000098678</v>
      </c>
      <c r="B3538" s="13" t="inlineStr">
        <is>
          <t>ГБУ "ОРЦ"</t>
        </is>
      </c>
      <c r="C3538" s="13" t="n">
        <v>6501295973</v>
      </c>
      <c r="D3538" s="13" t="inlineStr">
        <is>
          <t>6501295973</t>
        </is>
      </c>
      <c r="E3538" s="13" t="inlineStr">
        <is>
          <t>ЮЛ РФ</t>
        </is>
      </c>
      <c r="F3538" s="13" t="n"/>
      <c r="G3538" s="14" t="n"/>
      <c r="H3538" s="14" t="n"/>
      <c r="I3538" s="14" t="n"/>
      <c r="J3538" s="14" t="n"/>
      <c r="K3538" s="53" t="inlineStr"/>
      <c r="L3538" s="53" t="inlineStr">
        <is>
          <t>Не определено</t>
        </is>
      </c>
      <c r="M3538" s="53" t="inlineStr"/>
      <c r="N3538" s="54" t="inlineStr"/>
      <c r="O3538" s="55" t="inlineStr"/>
      <c r="P3538" s="16" t="inlineStr">
        <is>
          <t>Требует обогащения</t>
        </is>
      </c>
      <c r="Q3538" s="16">
        <f>HYPERLINK("https://pb.nalog.ru/search.html?query=6501295973","ФНС: проверить")</f>
        <v/>
      </c>
      <c r="R3538" s="16">
        <f>HYPERLINK("https://checko.ru/search?query=3801001629","Чекко: проверить")</f>
        <v/>
      </c>
      <c r="S3538" t="n">
        <v>1</v>
      </c>
      <c r="T3538" s="35" t="inlineStr">
        <is>
          <t>4 — Не обогащён</t>
        </is>
      </c>
      <c r="U3538" s="35" t="inlineStr">
        <is>
          <t>Нет ОКВЭД/ССЧР</t>
        </is>
      </c>
      <c r="V3538" s="35" t="inlineStr">
        <is>
          <t>Не определено</t>
        </is>
      </c>
      <c r="W3538" s="35" t="inlineStr"/>
      <c r="X3538" s="35" t="inlineStr"/>
    </row>
    <row r="3539" ht="15" customHeight="1" s="24">
      <c r="A3539" s="13" t="n">
        <v>5000107570</v>
      </c>
      <c r="B3539" s="13" t="inlineStr">
        <is>
          <t>ОГАУ "СШТВС"</t>
        </is>
      </c>
      <c r="C3539" s="13" t="n">
        <v>6501280198</v>
      </c>
      <c r="D3539" s="13" t="inlineStr">
        <is>
          <t>6501280198</t>
        </is>
      </c>
      <c r="E3539" s="13" t="inlineStr">
        <is>
          <t>ЮЛ РФ</t>
        </is>
      </c>
      <c r="F3539" s="13" t="n"/>
      <c r="G3539" s="14" t="n"/>
      <c r="H3539" s="14" t="n"/>
      <c r="I3539" s="14" t="n"/>
      <c r="J3539" s="14" t="n"/>
      <c r="K3539" s="53" t="inlineStr"/>
      <c r="L3539" s="53" t="inlineStr">
        <is>
          <t>Не определено</t>
        </is>
      </c>
      <c r="M3539" s="53" t="inlineStr"/>
      <c r="N3539" s="54" t="inlineStr"/>
      <c r="O3539" s="55" t="inlineStr"/>
      <c r="P3539" s="16" t="inlineStr">
        <is>
          <t>Требует обогащения</t>
        </is>
      </c>
      <c r="Q3539" s="16">
        <f>HYPERLINK("https://pb.nalog.ru/search.html?query=6501280198","ФНС: проверить")</f>
        <v/>
      </c>
      <c r="R3539" s="16">
        <f>HYPERLINK("https://checko.ru/search?query=3801001629","Чекко: проверить")</f>
        <v/>
      </c>
      <c r="S3539" t="n">
        <v>1</v>
      </c>
      <c r="T3539" s="35" t="inlineStr">
        <is>
          <t>4 — Не обогащён</t>
        </is>
      </c>
      <c r="U3539" s="35" t="inlineStr">
        <is>
          <t>Нет ОКВЭД/ССЧР</t>
        </is>
      </c>
      <c r="V3539" s="35" t="inlineStr">
        <is>
          <t>Не определено</t>
        </is>
      </c>
      <c r="W3539" s="35" t="inlineStr"/>
      <c r="X3539" s="35" t="inlineStr"/>
    </row>
    <row r="3540" ht="27.75" customHeight="1" s="24">
      <c r="A3540" s="13" t="n">
        <v>5000100107</v>
      </c>
      <c r="B3540" s="13" t="inlineStr">
        <is>
          <t>ГБУ "Сахалинский туристско-информационный центр"</t>
        </is>
      </c>
      <c r="C3540" s="13" t="n">
        <v>6501286496</v>
      </c>
      <c r="D3540" s="13" t="inlineStr">
        <is>
          <t>6501286496</t>
        </is>
      </c>
      <c r="E3540" s="13" t="inlineStr">
        <is>
          <t>ЮЛ РФ</t>
        </is>
      </c>
      <c r="F3540" s="13" t="n"/>
      <c r="G3540" s="14" t="n"/>
      <c r="H3540" s="14" t="n"/>
      <c r="I3540" s="14" t="n"/>
      <c r="J3540" s="14" t="n"/>
      <c r="K3540" s="53" t="inlineStr"/>
      <c r="L3540" s="53" t="inlineStr">
        <is>
          <t>Не определено</t>
        </is>
      </c>
      <c r="M3540" s="53" t="inlineStr"/>
      <c r="N3540" s="54" t="inlineStr"/>
      <c r="O3540" s="55" t="inlineStr"/>
      <c r="P3540" s="16" t="inlineStr">
        <is>
          <t>Требует обогащения</t>
        </is>
      </c>
      <c r="Q3540" s="16">
        <f>HYPERLINK("https://pb.nalog.ru/search.html?query=6501286496","ФНС: проверить")</f>
        <v/>
      </c>
      <c r="R3540" s="16">
        <f>HYPERLINK("https://checko.ru/search?query=3801001629","Чекко: проверить")</f>
        <v/>
      </c>
      <c r="S3540" t="n">
        <v>1</v>
      </c>
      <c r="T3540" s="35" t="inlineStr">
        <is>
          <t>4 — Не обогащён</t>
        </is>
      </c>
      <c r="U3540" s="35" t="inlineStr">
        <is>
          <t>Нет ОКВЭД/ССЧР</t>
        </is>
      </c>
      <c r="V3540" s="35" t="inlineStr">
        <is>
          <t>Не определено</t>
        </is>
      </c>
      <c r="W3540" s="35" t="inlineStr"/>
      <c r="X3540" s="35" t="inlineStr"/>
    </row>
    <row r="3541" ht="41.25" customHeight="1" s="24">
      <c r="A3541" s="13" t="n">
        <v>5000025738</v>
      </c>
      <c r="B3541" s="13" t="inlineStr">
        <is>
          <t>Муниципальное учреждение Дополнительного Образования "Дом Детства и Юношества г. Черемхово"</t>
        </is>
      </c>
      <c r="C3541" s="13" t="n">
        <v>3820005682</v>
      </c>
      <c r="D3541" s="13" t="inlineStr">
        <is>
          <t>3820005682</t>
        </is>
      </c>
      <c r="E3541" s="13" t="inlineStr">
        <is>
          <t>ЮЛ РФ</t>
        </is>
      </c>
      <c r="F3541" s="13" t="n"/>
      <c r="G3541" s="14" t="n"/>
      <c r="H3541" s="14" t="n"/>
      <c r="I3541" s="14" t="n"/>
      <c r="J3541" s="14" t="n"/>
      <c r="K3541" s="53" t="inlineStr"/>
      <c r="L3541" s="53" t="inlineStr">
        <is>
          <t>Не определено</t>
        </is>
      </c>
      <c r="M3541" s="53" t="inlineStr"/>
      <c r="N3541" s="54" t="inlineStr"/>
      <c r="O3541" s="55" t="inlineStr"/>
      <c r="P3541" s="16" t="inlineStr">
        <is>
          <t>Требует обогащения</t>
        </is>
      </c>
      <c r="Q3541" s="16">
        <f>HYPERLINK("https://pb.nalog.ru/search.html?query=3820005682","ФНС: проверить")</f>
        <v/>
      </c>
      <c r="R3541" s="16">
        <f>HYPERLINK("https://checko.ru/search?query=3801001629","Чекко: проверить")</f>
        <v/>
      </c>
      <c r="S3541" t="n">
        <v>1</v>
      </c>
      <c r="T3541" s="35" t="inlineStr">
        <is>
          <t>4 — Не обогащён</t>
        </is>
      </c>
      <c r="U3541" s="35" t="inlineStr">
        <is>
          <t>Нет ОКВЭД/ССЧР</t>
        </is>
      </c>
      <c r="V3541" s="35" t="inlineStr">
        <is>
          <t>Не определено</t>
        </is>
      </c>
      <c r="W3541" s="35" t="inlineStr"/>
      <c r="X3541" s="35" t="inlineStr"/>
    </row>
    <row r="3542" ht="41.25" customHeight="1" s="24">
      <c r="A3542" s="13" t="n">
        <v>5000025739</v>
      </c>
      <c r="B3542" s="13" t="inlineStr">
        <is>
          <t>Муниципальное учреждение Дополнительного Образования "Детский Эколого - Биологический Центр г. Черемхово"</t>
        </is>
      </c>
      <c r="C3542" s="13" t="n">
        <v>3820005298</v>
      </c>
      <c r="D3542" s="13" t="inlineStr">
        <is>
          <t>3820005298</t>
        </is>
      </c>
      <c r="E3542" s="13" t="inlineStr">
        <is>
          <t>ЮЛ РФ</t>
        </is>
      </c>
      <c r="F3542" s="13" t="n"/>
      <c r="G3542" s="14" t="n"/>
      <c r="H3542" s="14" t="n"/>
      <c r="I3542" s="14" t="n"/>
      <c r="J3542" s="14" t="n"/>
      <c r="K3542" s="53" t="inlineStr"/>
      <c r="L3542" s="53" t="inlineStr">
        <is>
          <t>Не определено</t>
        </is>
      </c>
      <c r="M3542" s="53" t="inlineStr"/>
      <c r="N3542" s="54" t="inlineStr"/>
      <c r="O3542" s="55" t="inlineStr"/>
      <c r="P3542" s="16" t="inlineStr">
        <is>
          <t>Требует обогащения</t>
        </is>
      </c>
      <c r="Q3542" s="16">
        <f>HYPERLINK("https://pb.nalog.ru/search.html?query=3820005298","ФНС: проверить")</f>
        <v/>
      </c>
      <c r="R3542" s="16">
        <f>HYPERLINK("https://checko.ru/search?query=3801001629","Чекко: проверить")</f>
        <v/>
      </c>
      <c r="S3542" t="n">
        <v>1</v>
      </c>
      <c r="T3542" s="35" t="inlineStr">
        <is>
          <t>4 — Не обогащён</t>
        </is>
      </c>
      <c r="U3542" s="35" t="inlineStr">
        <is>
          <t>Нет ОКВЭД/ССЧР</t>
        </is>
      </c>
      <c r="V3542" s="35" t="inlineStr">
        <is>
          <t>Не определено</t>
        </is>
      </c>
      <c r="W3542" s="35" t="inlineStr"/>
      <c r="X3542" s="35" t="inlineStr"/>
    </row>
    <row r="3543" ht="41.25" customHeight="1" s="24">
      <c r="A3543" s="13" t="n">
        <v>5000025741</v>
      </c>
      <c r="B3543" s="13" t="inlineStr">
        <is>
          <t>Муниципальное казенное учреждение "Центр обеспечения и развития образования города Черемхово"</t>
        </is>
      </c>
      <c r="C3543" s="13" t="n">
        <v>3820013235</v>
      </c>
      <c r="D3543" s="13" t="inlineStr">
        <is>
          <t>3820013235</t>
        </is>
      </c>
      <c r="E3543" s="13" t="inlineStr">
        <is>
          <t>ЮЛ РФ</t>
        </is>
      </c>
      <c r="F3543" s="13" t="n"/>
      <c r="G3543" s="14" t="n"/>
      <c r="H3543" s="14" t="n"/>
      <c r="I3543" s="14" t="n"/>
      <c r="J3543" s="14" t="n"/>
      <c r="K3543" s="53" t="inlineStr"/>
      <c r="L3543" s="53" t="inlineStr">
        <is>
          <t>Не определено</t>
        </is>
      </c>
      <c r="M3543" s="53" t="inlineStr"/>
      <c r="N3543" s="54" t="inlineStr"/>
      <c r="O3543" s="55" t="inlineStr"/>
      <c r="P3543" s="16" t="inlineStr">
        <is>
          <t>Требует обогащения</t>
        </is>
      </c>
      <c r="Q3543" s="16">
        <f>HYPERLINK("https://pb.nalog.ru/search.html?query=3820013235","ФНС: проверить")</f>
        <v/>
      </c>
      <c r="R3543" s="16">
        <f>HYPERLINK("https://checko.ru/search?query=3801001629","Чекко: проверить")</f>
        <v/>
      </c>
      <c r="S3543" t="n">
        <v>1</v>
      </c>
      <c r="T3543" s="35" t="inlineStr">
        <is>
          <t>4 — Не обогащён</t>
        </is>
      </c>
      <c r="U3543" s="35" t="inlineStr">
        <is>
          <t>Нет ОКВЭД/ССЧР</t>
        </is>
      </c>
      <c r="V3543" s="35" t="inlineStr">
        <is>
          <t>Не определено</t>
        </is>
      </c>
      <c r="W3543" s="35" t="inlineStr"/>
      <c r="X3543" s="35" t="inlineStr"/>
    </row>
    <row r="3544" ht="27.75" customHeight="1" s="24">
      <c r="A3544" s="13" t="n">
        <v>5000025733</v>
      </c>
      <c r="B3544" s="13" t="inlineStr">
        <is>
          <t>Муниципальное Дошкольное Образовательное учреждение "Детский Сад № 27 г. Черемхово"</t>
        </is>
      </c>
      <c r="C3544" s="13" t="n">
        <v>3820006661</v>
      </c>
      <c r="D3544" s="13" t="inlineStr">
        <is>
          <t>3820006661</t>
        </is>
      </c>
      <c r="E3544" s="13" t="inlineStr">
        <is>
          <t>ЮЛ РФ</t>
        </is>
      </c>
      <c r="F3544" s="13" t="n"/>
      <c r="G3544" s="14" t="n"/>
      <c r="H3544" s="14" t="n"/>
      <c r="I3544" s="14" t="n"/>
      <c r="J3544" s="14" t="n"/>
      <c r="K3544" s="53" t="inlineStr"/>
      <c r="L3544" s="53" t="inlineStr">
        <is>
          <t>Не определено</t>
        </is>
      </c>
      <c r="M3544" s="53" t="inlineStr"/>
      <c r="N3544" s="54" t="inlineStr"/>
      <c r="O3544" s="55" t="inlineStr"/>
      <c r="P3544" s="16" t="inlineStr">
        <is>
          <t>Требует обогащения</t>
        </is>
      </c>
      <c r="Q3544" s="16">
        <f>HYPERLINK("https://pb.nalog.ru/search.html?query=3820006661","ФНС: проверить")</f>
        <v/>
      </c>
      <c r="R3544" s="16">
        <f>HYPERLINK("https://checko.ru/search?query=3801001629","Чекко: проверить")</f>
        <v/>
      </c>
      <c r="S3544" t="n">
        <v>1</v>
      </c>
      <c r="T3544" s="35" t="inlineStr">
        <is>
          <t>4 — Не обогащён</t>
        </is>
      </c>
      <c r="U3544" s="35" t="inlineStr">
        <is>
          <t>Нет ОКВЭД/ССЧР</t>
        </is>
      </c>
      <c r="V3544" s="35" t="inlineStr">
        <is>
          <t>Не определено</t>
        </is>
      </c>
      <c r="W3544" s="35" t="inlineStr"/>
      <c r="X3544" s="35" t="inlineStr"/>
    </row>
    <row r="3545" ht="27.75" customHeight="1" s="24">
      <c r="A3545" s="13" t="n">
        <v>5000025735</v>
      </c>
      <c r="B3545" s="13" t="inlineStr">
        <is>
          <t>Муниципальное Дошкольное Образовательное учреждение "Детский Сад № 41 г. Черемхово"</t>
        </is>
      </c>
      <c r="C3545" s="13" t="n">
        <v>3820005185</v>
      </c>
      <c r="D3545" s="13" t="inlineStr">
        <is>
          <t>3820005185</t>
        </is>
      </c>
      <c r="E3545" s="13" t="inlineStr">
        <is>
          <t>ЮЛ РФ</t>
        </is>
      </c>
      <c r="F3545" s="13" t="n"/>
      <c r="G3545" s="14" t="n"/>
      <c r="H3545" s="14" t="n"/>
      <c r="I3545" s="14" t="n"/>
      <c r="J3545" s="14" t="n"/>
      <c r="K3545" s="53" t="inlineStr"/>
      <c r="L3545" s="53" t="inlineStr">
        <is>
          <t>Не определено</t>
        </is>
      </c>
      <c r="M3545" s="53" t="inlineStr"/>
      <c r="N3545" s="54" t="inlineStr"/>
      <c r="O3545" s="55" t="inlineStr"/>
      <c r="P3545" s="16" t="inlineStr">
        <is>
          <t>Требует обогащения</t>
        </is>
      </c>
      <c r="Q3545" s="16">
        <f>HYPERLINK("https://pb.nalog.ru/search.html?query=3820005185","ФНС: проверить")</f>
        <v/>
      </c>
      <c r="R3545" s="16">
        <f>HYPERLINK("https://checko.ru/search?query=3801001629","Чекко: проверить")</f>
        <v/>
      </c>
      <c r="S3545" t="n">
        <v>1</v>
      </c>
      <c r="T3545" s="35" t="inlineStr">
        <is>
          <t>4 — Не обогащён</t>
        </is>
      </c>
      <c r="U3545" s="35" t="inlineStr">
        <is>
          <t>Нет ОКВЭД/ССЧР</t>
        </is>
      </c>
      <c r="V3545" s="35" t="inlineStr">
        <is>
          <t>Не определено</t>
        </is>
      </c>
      <c r="W3545" s="35" t="inlineStr"/>
      <c r="X3545" s="35" t="inlineStr"/>
    </row>
    <row r="3546" ht="27.75" customHeight="1" s="24">
      <c r="A3546" s="13" t="n">
        <v>5000025736</v>
      </c>
      <c r="B3546" s="13" t="inlineStr">
        <is>
          <t>Муниципальное Дошкольное Образовательное учреждение "Детский Сад № 43 г. Черемхово"</t>
        </is>
      </c>
      <c r="C3546" s="13" t="n">
        <v>3820005308</v>
      </c>
      <c r="D3546" s="13" t="inlineStr">
        <is>
          <t>3820005308</t>
        </is>
      </c>
      <c r="E3546" s="13" t="inlineStr">
        <is>
          <t>ЮЛ РФ</t>
        </is>
      </c>
      <c r="F3546" s="13" t="n"/>
      <c r="G3546" s="14" t="n"/>
      <c r="H3546" s="14" t="n"/>
      <c r="I3546" s="14" t="n"/>
      <c r="J3546" s="14" t="n"/>
      <c r="K3546" s="53" t="inlineStr"/>
      <c r="L3546" s="53" t="inlineStr">
        <is>
          <t>Не определено</t>
        </is>
      </c>
      <c r="M3546" s="53" t="inlineStr"/>
      <c r="N3546" s="54" t="inlineStr"/>
      <c r="O3546" s="55" t="inlineStr"/>
      <c r="P3546" s="16" t="inlineStr">
        <is>
          <t>Требует обогащения</t>
        </is>
      </c>
      <c r="Q3546" s="16">
        <f>HYPERLINK("https://pb.nalog.ru/search.html?query=3820005308","ФНС: проверить")</f>
        <v/>
      </c>
      <c r="R3546" s="16">
        <f>HYPERLINK("https://checko.ru/search?query=3801001629","Чекко: проверить")</f>
        <v/>
      </c>
      <c r="S3546" t="n">
        <v>1</v>
      </c>
      <c r="T3546" s="35" t="inlineStr">
        <is>
          <t>4 — Не обогащён</t>
        </is>
      </c>
      <c r="U3546" s="35" t="inlineStr">
        <is>
          <t>Нет ОКВЭД/ССЧР</t>
        </is>
      </c>
      <c r="V3546" s="35" t="inlineStr">
        <is>
          <t>Не определено</t>
        </is>
      </c>
      <c r="W3546" s="35" t="inlineStr"/>
      <c r="X3546" s="35" t="inlineStr"/>
    </row>
    <row r="3547" ht="41.25" customHeight="1" s="24">
      <c r="A3547" s="13" t="n">
        <v>5000025737</v>
      </c>
      <c r="B3547" s="13" t="inlineStr">
        <is>
          <t>Муниципальное учреждение Дополнительного Образования "Детско - Юношеская Спортивная Школа г. Черемхово"</t>
        </is>
      </c>
      <c r="C3547" s="13" t="n">
        <v>3820005594</v>
      </c>
      <c r="D3547" s="13" t="inlineStr">
        <is>
          <t>3820005594</t>
        </is>
      </c>
      <c r="E3547" s="13" t="inlineStr">
        <is>
          <t>ЮЛ РФ</t>
        </is>
      </c>
      <c r="F3547" s="13" t="n"/>
      <c r="G3547" s="14" t="n"/>
      <c r="H3547" s="14" t="n"/>
      <c r="I3547" s="14" t="n"/>
      <c r="J3547" s="14" t="n"/>
      <c r="K3547" s="53" t="inlineStr"/>
      <c r="L3547" s="53" t="inlineStr">
        <is>
          <t>Не определено</t>
        </is>
      </c>
      <c r="M3547" s="53" t="inlineStr"/>
      <c r="N3547" s="54" t="inlineStr"/>
      <c r="O3547" s="55" t="inlineStr"/>
      <c r="P3547" s="16" t="inlineStr">
        <is>
          <t>Требует обогащения</t>
        </is>
      </c>
      <c r="Q3547" s="16">
        <f>HYPERLINK("https://pb.nalog.ru/search.html?query=3820005594","ФНС: проверить")</f>
        <v/>
      </c>
      <c r="R3547" s="16">
        <f>HYPERLINK("https://checko.ru/search?query=3801001629","Чекко: проверить")</f>
        <v/>
      </c>
      <c r="S3547" t="n">
        <v>1</v>
      </c>
      <c r="T3547" s="35" t="inlineStr">
        <is>
          <t>4 — Не обогащён</t>
        </is>
      </c>
      <c r="U3547" s="35" t="inlineStr">
        <is>
          <t>Нет ОКВЭД/ССЧР</t>
        </is>
      </c>
      <c r="V3547" s="35" t="inlineStr">
        <is>
          <t>Не определено</t>
        </is>
      </c>
      <c r="W3547" s="35" t="inlineStr"/>
      <c r="X3547" s="35" t="inlineStr"/>
    </row>
    <row r="3548" ht="41.25" customHeight="1" s="24">
      <c r="A3548" s="13" t="n">
        <v>5000032381</v>
      </c>
      <c r="B3548" s="13" t="inlineStr">
        <is>
          <t>МКУ "Управление образования администрации муниципального образования городской округ "Смирныховский" Сахалинской области</t>
        </is>
      </c>
      <c r="C3548" s="13" t="n">
        <v>6514000183</v>
      </c>
      <c r="D3548" s="13" t="inlineStr">
        <is>
          <t>6514000183</t>
        </is>
      </c>
      <c r="E3548" s="13" t="inlineStr">
        <is>
          <t>ЮЛ РФ</t>
        </is>
      </c>
      <c r="F3548" s="13" t="n"/>
      <c r="G3548" s="14" t="n"/>
      <c r="H3548" s="14" t="n"/>
      <c r="I3548" s="14" t="n"/>
      <c r="J3548" s="14" t="n"/>
      <c r="K3548" s="53" t="inlineStr"/>
      <c r="L3548" s="53" t="inlineStr">
        <is>
          <t>Не определено</t>
        </is>
      </c>
      <c r="M3548" s="53" t="inlineStr"/>
      <c r="N3548" s="54" t="inlineStr"/>
      <c r="O3548" s="55" t="inlineStr"/>
      <c r="P3548" s="16" t="inlineStr">
        <is>
          <t>Требует обогащения</t>
        </is>
      </c>
      <c r="Q3548" s="16">
        <f>HYPERLINK("https://pb.nalog.ru/search.html?query=6514000183","ФНС: проверить")</f>
        <v/>
      </c>
      <c r="R3548" s="16">
        <f>HYPERLINK("https://checko.ru/search?query=3801001629","Чекко: проверить")</f>
        <v/>
      </c>
      <c r="S3548" t="n">
        <v>1</v>
      </c>
      <c r="T3548" s="35" t="inlineStr">
        <is>
          <t>4 — Не обогащён</t>
        </is>
      </c>
      <c r="U3548" s="35" t="inlineStr">
        <is>
          <t>Нет ОКВЭД/ССЧР</t>
        </is>
      </c>
      <c r="V3548" s="35" t="inlineStr">
        <is>
          <t>Не определено</t>
        </is>
      </c>
      <c r="W3548" s="35" t="inlineStr"/>
      <c r="X3548" s="35" t="inlineStr"/>
    </row>
    <row r="3549" ht="41.25" customHeight="1" s="24">
      <c r="A3549" s="13" t="n">
        <v>5000032381</v>
      </c>
      <c r="B3549" s="13" t="inlineStr">
        <is>
          <t>МКУ "Управление образования администрации муниципального образования городской округ "Смирныховский" Сахалинской области</t>
        </is>
      </c>
      <c r="C3549" s="13" t="n">
        <v>6514000183</v>
      </c>
      <c r="D3549" s="13" t="inlineStr">
        <is>
          <t>6514000183</t>
        </is>
      </c>
      <c r="E3549" s="13" t="inlineStr">
        <is>
          <t>ЮЛ РФ</t>
        </is>
      </c>
      <c r="F3549" s="13" t="n"/>
      <c r="G3549" s="14" t="n"/>
      <c r="H3549" s="14" t="n"/>
      <c r="I3549" s="14" t="n"/>
      <c r="J3549" s="14" t="n"/>
      <c r="K3549" s="53" t="inlineStr"/>
      <c r="L3549" s="53" t="inlineStr">
        <is>
          <t>Не определено</t>
        </is>
      </c>
      <c r="M3549" s="53" t="inlineStr"/>
      <c r="N3549" s="54" t="inlineStr"/>
      <c r="O3549" s="55" t="inlineStr"/>
      <c r="P3549" s="16" t="inlineStr">
        <is>
          <t>Требует обогащения</t>
        </is>
      </c>
      <c r="Q3549" s="16">
        <f>HYPERLINK("https://pb.nalog.ru/search.html?query=6514000183","ФНС: проверить")</f>
        <v/>
      </c>
      <c r="R3549" s="16">
        <f>HYPERLINK("https://checko.ru/search?query=3801001629","Чекко: проверить")</f>
        <v/>
      </c>
      <c r="S3549" t="n">
        <v>0</v>
      </c>
      <c r="T3549" s="35" t="inlineStr">
        <is>
          <t>4 — Не обогащён</t>
        </is>
      </c>
      <c r="U3549" s="35" t="inlineStr">
        <is>
          <t>Нет ОКВЭД/ССЧР</t>
        </is>
      </c>
      <c r="V3549" s="35" t="inlineStr">
        <is>
          <t>Не определено</t>
        </is>
      </c>
      <c r="W3549" s="35" t="inlineStr"/>
      <c r="X3549" s="35" t="inlineStr"/>
    </row>
    <row r="3550" ht="41.25" customHeight="1" s="24">
      <c r="A3550" s="13" t="n">
        <v>5000025614</v>
      </c>
      <c r="B3550" s="13" t="inlineStr">
        <is>
          <t>Отдел по физической культуре, спорту и молодежной политике администрации города Черемхово</t>
        </is>
      </c>
      <c r="C3550" s="13" t="n">
        <v>3820011502</v>
      </c>
      <c r="D3550" s="13" t="inlineStr">
        <is>
          <t>3820011502</t>
        </is>
      </c>
      <c r="E3550" s="13" t="inlineStr">
        <is>
          <t>ЮЛ РФ</t>
        </is>
      </c>
      <c r="F3550" s="13" t="n"/>
      <c r="G3550" s="14" t="n"/>
      <c r="H3550" s="14" t="n"/>
      <c r="I3550" s="14" t="n"/>
      <c r="J3550" s="14" t="n"/>
      <c r="K3550" s="53" t="inlineStr"/>
      <c r="L3550" s="53" t="inlineStr">
        <is>
          <t>Не определено</t>
        </is>
      </c>
      <c r="M3550" s="53" t="inlineStr"/>
      <c r="N3550" s="54" t="inlineStr"/>
      <c r="O3550" s="55" t="inlineStr"/>
      <c r="P3550" s="16" t="inlineStr">
        <is>
          <t>Требует обогащения</t>
        </is>
      </c>
      <c r="Q3550" s="16">
        <f>HYPERLINK("https://pb.nalog.ru/search.html?query=3820011502","ФНС: проверить")</f>
        <v/>
      </c>
      <c r="R3550" s="16">
        <f>HYPERLINK("https://checko.ru/search?query=3801001629","Чекко: проверить")</f>
        <v/>
      </c>
      <c r="S3550" t="n">
        <v>1</v>
      </c>
      <c r="T3550" s="35" t="inlineStr">
        <is>
          <t>4 — Не обогащён</t>
        </is>
      </c>
      <c r="U3550" s="35" t="inlineStr">
        <is>
          <t>Нет ОКВЭД/ССЧР</t>
        </is>
      </c>
      <c r="V3550" s="35" t="inlineStr">
        <is>
          <t>Не определено</t>
        </is>
      </c>
      <c r="W3550" s="35" t="inlineStr"/>
      <c r="X3550" s="35" t="inlineStr"/>
    </row>
    <row r="3551" ht="41.25" customHeight="1" s="24">
      <c r="A3551" s="13" t="n">
        <v>5000106477</v>
      </c>
      <c r="B3551" s="13" t="inlineStr">
        <is>
          <t>КОМИТЕТ ПО УПРАВЛЕНИЮ МУНИЦИПАЛЬНОЙ СОБСТВЕННОСТЬЮ МО "ТЫМОВСКИЙ ГОРОДСКОЙ ОКРУГ"</t>
        </is>
      </c>
      <c r="C3551" s="13" t="n">
        <v>6517001386</v>
      </c>
      <c r="D3551" s="13" t="inlineStr">
        <is>
          <t>6517001386</t>
        </is>
      </c>
      <c r="E3551" s="13" t="inlineStr">
        <is>
          <t>ЮЛ РФ</t>
        </is>
      </c>
      <c r="F3551" s="13" t="n"/>
      <c r="G3551" s="14" t="n"/>
      <c r="H3551" s="14" t="n"/>
      <c r="I3551" s="14" t="n"/>
      <c r="J3551" s="14" t="n"/>
      <c r="K3551" s="53" t="inlineStr"/>
      <c r="L3551" s="53" t="inlineStr">
        <is>
          <t>Не определено</t>
        </is>
      </c>
      <c r="M3551" s="53" t="inlineStr"/>
      <c r="N3551" s="54" t="inlineStr"/>
      <c r="O3551" s="55" t="inlineStr"/>
      <c r="P3551" s="16" t="inlineStr">
        <is>
          <t>Требует обогащения</t>
        </is>
      </c>
      <c r="Q3551" s="16">
        <f>HYPERLINK("https://pb.nalog.ru/search.html?query=6517001386","ФНС: проверить")</f>
        <v/>
      </c>
      <c r="R3551" s="16">
        <f>HYPERLINK("https://checko.ru/search?query=3801001629","Чекко: проверить")</f>
        <v/>
      </c>
      <c r="S3551" t="n">
        <v>1</v>
      </c>
      <c r="T3551" s="35" t="inlineStr">
        <is>
          <t>4 — Не обогащён</t>
        </is>
      </c>
      <c r="U3551" s="35" t="inlineStr">
        <is>
          <t>Нет ОКВЭД/ССЧР</t>
        </is>
      </c>
      <c r="V3551" s="35" t="inlineStr">
        <is>
          <t>Не определено</t>
        </is>
      </c>
      <c r="W3551" s="35" t="inlineStr"/>
      <c r="X3551" s="35" t="inlineStr"/>
    </row>
    <row r="3552" ht="27.75" customHeight="1" s="24">
      <c r="A3552" s="13" t="n">
        <v>5000025707</v>
      </c>
      <c r="B3552" s="13" t="inlineStr">
        <is>
          <t>Муниципальное Общеобразовательное учреждение "Школа № 4 г. Черемхово"</t>
        </is>
      </c>
      <c r="C3552" s="13" t="n">
        <v>3820005587</v>
      </c>
      <c r="D3552" s="13" t="inlineStr">
        <is>
          <t>3820005587</t>
        </is>
      </c>
      <c r="E3552" s="13" t="inlineStr">
        <is>
          <t>ЮЛ РФ</t>
        </is>
      </c>
      <c r="F3552" s="13" t="n"/>
      <c r="G3552" s="14" t="n"/>
      <c r="H3552" s="14" t="n"/>
      <c r="I3552" s="14" t="n"/>
      <c r="J3552" s="14" t="n"/>
      <c r="K3552" s="53" t="inlineStr"/>
      <c r="L3552" s="53" t="inlineStr">
        <is>
          <t>Не определено</t>
        </is>
      </c>
      <c r="M3552" s="53" t="inlineStr"/>
      <c r="N3552" s="54" t="inlineStr"/>
      <c r="O3552" s="55" t="inlineStr"/>
      <c r="P3552" s="16" t="inlineStr">
        <is>
          <t>Требует обогащения</t>
        </is>
      </c>
      <c r="Q3552" s="16">
        <f>HYPERLINK("https://pb.nalog.ru/search.html?query=3820005587","ФНС: проверить")</f>
        <v/>
      </c>
      <c r="R3552" s="16">
        <f>HYPERLINK("https://checko.ru/search?query=3801001629","Чекко: проверить")</f>
        <v/>
      </c>
      <c r="S3552" t="n">
        <v>1</v>
      </c>
      <c r="T3552" s="35" t="inlineStr">
        <is>
          <t>4 — Не обогащён</t>
        </is>
      </c>
      <c r="U3552" s="35" t="inlineStr">
        <is>
          <t>Нет ОКВЭД/ССЧР</t>
        </is>
      </c>
      <c r="V3552" s="35" t="inlineStr">
        <is>
          <t>Не определено</t>
        </is>
      </c>
      <c r="W3552" s="35" t="inlineStr"/>
      <c r="X3552" s="35" t="inlineStr"/>
    </row>
    <row r="3553" ht="27.75" customHeight="1" s="24">
      <c r="A3553" s="13" t="n">
        <v>5000025708</v>
      </c>
      <c r="B3553" s="13" t="inlineStr">
        <is>
          <t>Муниципальное Общеобразовательное учреждение "Школа № 5 г. Черемхово"</t>
        </is>
      </c>
      <c r="C3553" s="13" t="n">
        <v>3820005210</v>
      </c>
      <c r="D3553" s="13" t="inlineStr">
        <is>
          <t>3820005210</t>
        </is>
      </c>
      <c r="E3553" s="13" t="inlineStr">
        <is>
          <t>ЮЛ РФ</t>
        </is>
      </c>
      <c r="F3553" s="13" t="n"/>
      <c r="G3553" s="14" t="n"/>
      <c r="H3553" s="14" t="n"/>
      <c r="I3553" s="14" t="n"/>
      <c r="J3553" s="14" t="n"/>
      <c r="K3553" s="53" t="inlineStr"/>
      <c r="L3553" s="53" t="inlineStr">
        <is>
          <t>Не определено</t>
        </is>
      </c>
      <c r="M3553" s="53" t="inlineStr"/>
      <c r="N3553" s="54" t="inlineStr"/>
      <c r="O3553" s="55" t="inlineStr"/>
      <c r="P3553" s="16" t="inlineStr">
        <is>
          <t>Требует обогащения</t>
        </is>
      </c>
      <c r="Q3553" s="16">
        <f>HYPERLINK("https://pb.nalog.ru/search.html?query=3820005210","ФНС: проверить")</f>
        <v/>
      </c>
      <c r="R3553" s="16">
        <f>HYPERLINK("https://checko.ru/search?query=3801001629","Чекко: проверить")</f>
        <v/>
      </c>
      <c r="S3553" t="n">
        <v>1</v>
      </c>
      <c r="T3553" s="35" t="inlineStr">
        <is>
          <t>4 — Не обогащён</t>
        </is>
      </c>
      <c r="U3553" s="35" t="inlineStr">
        <is>
          <t>Нет ОКВЭД/ССЧР</t>
        </is>
      </c>
      <c r="V3553" s="35" t="inlineStr">
        <is>
          <t>Не определено</t>
        </is>
      </c>
      <c r="W3553" s="35" t="inlineStr"/>
      <c r="X3553" s="35" t="inlineStr"/>
    </row>
    <row r="3554" ht="27.75" customHeight="1" s="24">
      <c r="A3554" s="13" t="n">
        <v>5000025709</v>
      </c>
      <c r="B3554" s="13" t="inlineStr">
        <is>
          <t>Муниципальное Общеобразовательное учреждение "Школа № 6 г. Черемхово"</t>
        </is>
      </c>
      <c r="C3554" s="13" t="n">
        <v>3820005266</v>
      </c>
      <c r="D3554" s="13" t="inlineStr">
        <is>
          <t>3820005266</t>
        </is>
      </c>
      <c r="E3554" s="13" t="inlineStr">
        <is>
          <t>ЮЛ РФ</t>
        </is>
      </c>
      <c r="F3554" s="13" t="n"/>
      <c r="G3554" s="14" t="n"/>
      <c r="H3554" s="14" t="n"/>
      <c r="I3554" s="14" t="n"/>
      <c r="J3554" s="14" t="n"/>
      <c r="K3554" s="53" t="inlineStr"/>
      <c r="L3554" s="53" t="inlineStr">
        <is>
          <t>Не определено</t>
        </is>
      </c>
      <c r="M3554" s="53" t="inlineStr"/>
      <c r="N3554" s="54" t="inlineStr"/>
      <c r="O3554" s="55" t="inlineStr"/>
      <c r="P3554" s="16" t="inlineStr">
        <is>
          <t>Требует обогащения</t>
        </is>
      </c>
      <c r="Q3554" s="16">
        <f>HYPERLINK("https://pb.nalog.ru/search.html?query=3820005266","ФНС: проверить")</f>
        <v/>
      </c>
      <c r="R3554" s="16">
        <f>HYPERLINK("https://checko.ru/search?query=3801001629","Чекко: проверить")</f>
        <v/>
      </c>
      <c r="S3554" t="n">
        <v>1</v>
      </c>
      <c r="T3554" s="35" t="inlineStr">
        <is>
          <t>4 — Не обогащён</t>
        </is>
      </c>
      <c r="U3554" s="35" t="inlineStr">
        <is>
          <t>Нет ОКВЭД/ССЧР</t>
        </is>
      </c>
      <c r="V3554" s="35" t="inlineStr">
        <is>
          <t>Не определено</t>
        </is>
      </c>
      <c r="W3554" s="35" t="inlineStr"/>
      <c r="X3554" s="35" t="inlineStr"/>
    </row>
    <row r="3555" ht="41.25" customHeight="1" s="24">
      <c r="A3555" s="13" t="n">
        <v>5000025710</v>
      </c>
      <c r="B3555" s="13" t="inlineStr">
        <is>
          <t>Муниципальное Общеобразовательное учреждение "Школа № 8 Им. А.С. Пушкина г. Черемхово"</t>
        </is>
      </c>
      <c r="C3555" s="13" t="n">
        <v>3820005724</v>
      </c>
      <c r="D3555" s="13" t="inlineStr">
        <is>
          <t>3820005724</t>
        </is>
      </c>
      <c r="E3555" s="13" t="inlineStr">
        <is>
          <t>ЮЛ РФ</t>
        </is>
      </c>
      <c r="F3555" s="13" t="n"/>
      <c r="G3555" s="14" t="n"/>
      <c r="H3555" s="14" t="n"/>
      <c r="I3555" s="14" t="n"/>
      <c r="J3555" s="14" t="n"/>
      <c r="K3555" s="53" t="inlineStr"/>
      <c r="L3555" s="53" t="inlineStr">
        <is>
          <t>Не определено</t>
        </is>
      </c>
      <c r="M3555" s="53" t="inlineStr"/>
      <c r="N3555" s="54" t="inlineStr"/>
      <c r="O3555" s="55" t="inlineStr"/>
      <c r="P3555" s="16" t="inlineStr">
        <is>
          <t>Требует обогащения</t>
        </is>
      </c>
      <c r="Q3555" s="16">
        <f>HYPERLINK("https://pb.nalog.ru/search.html?query=3820005724","ФНС: проверить")</f>
        <v/>
      </c>
      <c r="R3555" s="16">
        <f>HYPERLINK("https://checko.ru/search?query=3801001629","Чекко: проверить")</f>
        <v/>
      </c>
      <c r="S3555" t="n">
        <v>1</v>
      </c>
      <c r="T3555" s="35" t="inlineStr">
        <is>
          <t>4 — Не обогащён</t>
        </is>
      </c>
      <c r="U3555" s="35" t="inlineStr">
        <is>
          <t>Нет ОКВЭД/ССЧР</t>
        </is>
      </c>
      <c r="V3555" s="35" t="inlineStr">
        <is>
          <t>Не определено</t>
        </is>
      </c>
      <c r="W3555" s="35" t="inlineStr"/>
      <c r="X3555" s="35" t="inlineStr"/>
    </row>
    <row r="3556" ht="27.75" customHeight="1" s="24">
      <c r="A3556" s="13" t="n">
        <v>5000025711</v>
      </c>
      <c r="B3556" s="13" t="inlineStr">
        <is>
          <t>Муниципальное Общеобразовательное учреждение "Школа № 9 г. Черемхово"</t>
        </is>
      </c>
      <c r="C3556" s="13" t="n">
        <v>3820005570</v>
      </c>
      <c r="D3556" s="13" t="inlineStr">
        <is>
          <t>3820005570</t>
        </is>
      </c>
      <c r="E3556" s="13" t="inlineStr">
        <is>
          <t>ЮЛ РФ</t>
        </is>
      </c>
      <c r="F3556" s="13" t="n"/>
      <c r="G3556" s="14" t="n"/>
      <c r="H3556" s="14" t="n"/>
      <c r="I3556" s="14" t="n"/>
      <c r="J3556" s="14" t="n"/>
      <c r="K3556" s="53" t="inlineStr"/>
      <c r="L3556" s="53" t="inlineStr">
        <is>
          <t>Не определено</t>
        </is>
      </c>
      <c r="M3556" s="53" t="inlineStr"/>
      <c r="N3556" s="54" t="inlineStr"/>
      <c r="O3556" s="55" t="inlineStr"/>
      <c r="P3556" s="16" t="inlineStr">
        <is>
          <t>Требует обогащения</t>
        </is>
      </c>
      <c r="Q3556" s="16">
        <f>HYPERLINK("https://pb.nalog.ru/search.html?query=3820005570","ФНС: проверить")</f>
        <v/>
      </c>
      <c r="R3556" s="16">
        <f>HYPERLINK("https://checko.ru/search?query=3801001629","Чекко: проверить")</f>
        <v/>
      </c>
      <c r="S3556" t="n">
        <v>1</v>
      </c>
      <c r="T3556" s="35" t="inlineStr">
        <is>
          <t>4 — Не обогащён</t>
        </is>
      </c>
      <c r="U3556" s="35" t="inlineStr">
        <is>
          <t>Нет ОКВЭД/ССЧР</t>
        </is>
      </c>
      <c r="V3556" s="35" t="inlineStr">
        <is>
          <t>Не определено</t>
        </is>
      </c>
      <c r="W3556" s="35" t="inlineStr"/>
      <c r="X3556" s="35" t="inlineStr"/>
    </row>
    <row r="3557" ht="27.75" customHeight="1" s="24">
      <c r="A3557" s="13" t="n">
        <v>5000025712</v>
      </c>
      <c r="B3557" s="13" t="inlineStr">
        <is>
          <t>Муниципальное Общеобразовательное учреждение "Школа № 15 г. Черемхово"</t>
        </is>
      </c>
      <c r="C3557" s="13" t="n">
        <v>3820005629</v>
      </c>
      <c r="D3557" s="13" t="inlineStr">
        <is>
          <t>3820005629</t>
        </is>
      </c>
      <c r="E3557" s="13" t="inlineStr">
        <is>
          <t>ЮЛ РФ</t>
        </is>
      </c>
      <c r="F3557" s="13" t="n"/>
      <c r="G3557" s="14" t="n"/>
      <c r="H3557" s="14" t="n"/>
      <c r="I3557" s="14" t="n"/>
      <c r="J3557" s="14" t="n"/>
      <c r="K3557" s="53" t="inlineStr"/>
      <c r="L3557" s="53" t="inlineStr">
        <is>
          <t>Не определено</t>
        </is>
      </c>
      <c r="M3557" s="53" t="inlineStr"/>
      <c r="N3557" s="54" t="inlineStr"/>
      <c r="O3557" s="55" t="inlineStr"/>
      <c r="P3557" s="16" t="inlineStr">
        <is>
          <t>Требует обогащения</t>
        </is>
      </c>
      <c r="Q3557" s="16">
        <f>HYPERLINK("https://pb.nalog.ru/search.html?query=3820005629","ФНС: проверить")</f>
        <v/>
      </c>
      <c r="R3557" s="16">
        <f>HYPERLINK("https://checko.ru/search?query=3801001629","Чекко: проверить")</f>
        <v/>
      </c>
      <c r="S3557" t="n">
        <v>1</v>
      </c>
      <c r="T3557" s="35" t="inlineStr">
        <is>
          <t>4 — Не обогащён</t>
        </is>
      </c>
      <c r="U3557" s="35" t="inlineStr">
        <is>
          <t>Нет ОКВЭД/ССЧР</t>
        </is>
      </c>
      <c r="V3557" s="35" t="inlineStr">
        <is>
          <t>Не определено</t>
        </is>
      </c>
      <c r="W3557" s="35" t="inlineStr"/>
      <c r="X3557" s="35" t="inlineStr"/>
    </row>
    <row r="3558" ht="27.75" customHeight="1" s="24">
      <c r="A3558" s="13" t="n">
        <v>5000025713</v>
      </c>
      <c r="B3558" s="13" t="inlineStr">
        <is>
          <t>Муниципальное Общеобразовательное учреждение "Школа № 16 г. Черемхово"</t>
        </is>
      </c>
      <c r="C3558" s="13" t="n">
        <v>3820005330</v>
      </c>
      <c r="D3558" s="13" t="inlineStr">
        <is>
          <t>3820005330</t>
        </is>
      </c>
      <c r="E3558" s="13" t="inlineStr">
        <is>
          <t>ЮЛ РФ</t>
        </is>
      </c>
      <c r="F3558" s="13" t="n"/>
      <c r="G3558" s="14" t="n"/>
      <c r="H3558" s="14" t="n"/>
      <c r="I3558" s="14" t="n"/>
      <c r="J3558" s="14" t="n"/>
      <c r="K3558" s="53" t="inlineStr"/>
      <c r="L3558" s="53" t="inlineStr">
        <is>
          <t>Не определено</t>
        </is>
      </c>
      <c r="M3558" s="53" t="inlineStr"/>
      <c r="N3558" s="54" t="inlineStr"/>
      <c r="O3558" s="55" t="inlineStr"/>
      <c r="P3558" s="16" t="inlineStr">
        <is>
          <t>Требует обогащения</t>
        </is>
      </c>
      <c r="Q3558" s="16">
        <f>HYPERLINK("https://pb.nalog.ru/search.html?query=3820005330","ФНС: проверить")</f>
        <v/>
      </c>
      <c r="R3558" s="16">
        <f>HYPERLINK("https://checko.ru/search?query=3801001629","Чекко: проверить")</f>
        <v/>
      </c>
      <c r="S3558" t="n">
        <v>1</v>
      </c>
      <c r="T3558" s="35" t="inlineStr">
        <is>
          <t>4 — Не обогащён</t>
        </is>
      </c>
      <c r="U3558" s="35" t="inlineStr">
        <is>
          <t>Нет ОКВЭД/ССЧР</t>
        </is>
      </c>
      <c r="V3558" s="35" t="inlineStr">
        <is>
          <t>Не определено</t>
        </is>
      </c>
      <c r="W3558" s="35" t="inlineStr"/>
      <c r="X3558" s="35" t="inlineStr"/>
    </row>
    <row r="3559" ht="27.75" customHeight="1" s="24">
      <c r="A3559" s="13" t="n">
        <v>5000025714</v>
      </c>
      <c r="B3559" s="13" t="inlineStr">
        <is>
          <t>Муниципальное Общеобразовательное учреждение "Школа № 22 г. Черемхово"</t>
        </is>
      </c>
      <c r="C3559" s="13" t="n">
        <v>3820005611</v>
      </c>
      <c r="D3559" s="13" t="inlineStr">
        <is>
          <t>3820005611</t>
        </is>
      </c>
      <c r="E3559" s="13" t="inlineStr">
        <is>
          <t>ЮЛ РФ</t>
        </is>
      </c>
      <c r="F3559" s="13" t="n"/>
      <c r="G3559" s="14" t="n"/>
      <c r="H3559" s="14" t="n"/>
      <c r="I3559" s="14" t="n"/>
      <c r="J3559" s="14" t="n"/>
      <c r="K3559" s="53" t="inlineStr"/>
      <c r="L3559" s="53" t="inlineStr">
        <is>
          <t>Не определено</t>
        </is>
      </c>
      <c r="M3559" s="53" t="inlineStr"/>
      <c r="N3559" s="54" t="inlineStr"/>
      <c r="O3559" s="55" t="inlineStr"/>
      <c r="P3559" s="16" t="inlineStr">
        <is>
          <t>Требует обогащения</t>
        </is>
      </c>
      <c r="Q3559" s="16">
        <f>HYPERLINK("https://pb.nalog.ru/search.html?query=3820005611","ФНС: проверить")</f>
        <v/>
      </c>
      <c r="R3559" s="16">
        <f>HYPERLINK("https://checko.ru/search?query=3801001629","Чекко: проверить")</f>
        <v/>
      </c>
      <c r="S3559" t="n">
        <v>1</v>
      </c>
      <c r="T3559" s="35" t="inlineStr">
        <is>
          <t>4 — Не обогащён</t>
        </is>
      </c>
      <c r="U3559" s="35" t="inlineStr">
        <is>
          <t>Нет ОКВЭД/ССЧР</t>
        </is>
      </c>
      <c r="V3559" s="35" t="inlineStr">
        <is>
          <t>Не определено</t>
        </is>
      </c>
      <c r="W3559" s="35" t="inlineStr"/>
      <c r="X3559" s="35" t="inlineStr"/>
    </row>
    <row r="3560" ht="27.75" customHeight="1" s="24">
      <c r="A3560" s="13" t="n">
        <v>5000025715</v>
      </c>
      <c r="B3560" s="13" t="inlineStr">
        <is>
          <t>Муниципальное Общеобразовательное учреждение "Школа № 23 г. Черемхово"</t>
        </is>
      </c>
      <c r="C3560" s="13" t="n">
        <v>3820005322</v>
      </c>
      <c r="D3560" s="13" t="inlineStr">
        <is>
          <t>3820005322</t>
        </is>
      </c>
      <c r="E3560" s="13" t="inlineStr">
        <is>
          <t>ЮЛ РФ</t>
        </is>
      </c>
      <c r="F3560" s="13" t="n"/>
      <c r="G3560" s="14" t="n"/>
      <c r="H3560" s="14" t="n"/>
      <c r="I3560" s="14" t="n"/>
      <c r="J3560" s="14" t="n"/>
      <c r="K3560" s="53" t="inlineStr"/>
      <c r="L3560" s="53" t="inlineStr">
        <is>
          <t>Не определено</t>
        </is>
      </c>
      <c r="M3560" s="53" t="inlineStr"/>
      <c r="N3560" s="54" t="inlineStr"/>
      <c r="O3560" s="55" t="inlineStr"/>
      <c r="P3560" s="16" t="inlineStr">
        <is>
          <t>Требует обогащения</t>
        </is>
      </c>
      <c r="Q3560" s="16">
        <f>HYPERLINK("https://pb.nalog.ru/search.html?query=3820005322","ФНС: проверить")</f>
        <v/>
      </c>
      <c r="R3560" s="16">
        <f>HYPERLINK("https://checko.ru/search?query=3801001629","Чекко: проверить")</f>
        <v/>
      </c>
      <c r="S3560" t="n">
        <v>1</v>
      </c>
      <c r="T3560" s="35" t="inlineStr">
        <is>
          <t>4 — Не обогащён</t>
        </is>
      </c>
      <c r="U3560" s="35" t="inlineStr">
        <is>
          <t>Нет ОКВЭД/ССЧР</t>
        </is>
      </c>
      <c r="V3560" s="35" t="inlineStr">
        <is>
          <t>Не определено</t>
        </is>
      </c>
      <c r="W3560" s="35" t="inlineStr"/>
      <c r="X3560" s="35" t="inlineStr"/>
    </row>
    <row r="3561" ht="27.75" customHeight="1" s="24">
      <c r="A3561" s="13" t="n">
        <v>5000025716</v>
      </c>
      <c r="B3561" s="13" t="inlineStr">
        <is>
          <t>Муниципальное Общеобразовательное учреждение "Школа № 30 г. Черемхово"</t>
        </is>
      </c>
      <c r="C3561" s="13" t="n">
        <v>3820005668</v>
      </c>
      <c r="D3561" s="13" t="inlineStr">
        <is>
          <t>3820005668</t>
        </is>
      </c>
      <c r="E3561" s="13" t="inlineStr">
        <is>
          <t>ЮЛ РФ</t>
        </is>
      </c>
      <c r="F3561" s="13" t="n"/>
      <c r="G3561" s="14" t="n"/>
      <c r="H3561" s="14" t="n"/>
      <c r="I3561" s="14" t="n"/>
      <c r="J3561" s="14" t="n"/>
      <c r="K3561" s="53" t="inlineStr"/>
      <c r="L3561" s="53" t="inlineStr">
        <is>
          <t>Не определено</t>
        </is>
      </c>
      <c r="M3561" s="53" t="inlineStr"/>
      <c r="N3561" s="54" t="inlineStr"/>
      <c r="O3561" s="55" t="inlineStr"/>
      <c r="P3561" s="16" t="inlineStr">
        <is>
          <t>Требует обогащения</t>
        </is>
      </c>
      <c r="Q3561" s="16">
        <f>HYPERLINK("https://pb.nalog.ru/search.html?query=3820005668","ФНС: проверить")</f>
        <v/>
      </c>
      <c r="R3561" s="16">
        <f>HYPERLINK("https://checko.ru/search?query=3801001629","Чекко: проверить")</f>
        <v/>
      </c>
      <c r="S3561" t="n">
        <v>1</v>
      </c>
      <c r="T3561" s="35" t="inlineStr">
        <is>
          <t>4 — Не обогащён</t>
        </is>
      </c>
      <c r="U3561" s="35" t="inlineStr">
        <is>
          <t>Нет ОКВЭД/ССЧР</t>
        </is>
      </c>
      <c r="V3561" s="35" t="inlineStr">
        <is>
          <t>Не определено</t>
        </is>
      </c>
      <c r="W3561" s="35" t="inlineStr"/>
      <c r="X3561" s="35" t="inlineStr"/>
    </row>
    <row r="3562" ht="27.75" customHeight="1" s="24">
      <c r="A3562" s="13" t="n">
        <v>5000025717</v>
      </c>
      <c r="B3562" s="13" t="inlineStr">
        <is>
          <t>Муниципальное Общеобразовательное учреждение "Школа № 32 г. Черемхово"</t>
        </is>
      </c>
      <c r="C3562" s="13" t="n">
        <v>3820014905</v>
      </c>
      <c r="D3562" s="13" t="inlineStr">
        <is>
          <t>3820014905</t>
        </is>
      </c>
      <c r="E3562" s="13" t="inlineStr">
        <is>
          <t>ЮЛ РФ</t>
        </is>
      </c>
      <c r="F3562" s="13" t="n"/>
      <c r="G3562" s="14" t="n"/>
      <c r="H3562" s="14" t="n"/>
      <c r="I3562" s="14" t="n"/>
      <c r="J3562" s="14" t="n"/>
      <c r="K3562" s="53" t="inlineStr"/>
      <c r="L3562" s="53" t="inlineStr">
        <is>
          <t>Не определено</t>
        </is>
      </c>
      <c r="M3562" s="53" t="inlineStr"/>
      <c r="N3562" s="54" t="inlineStr"/>
      <c r="O3562" s="55" t="inlineStr"/>
      <c r="P3562" s="16" t="inlineStr">
        <is>
          <t>Требует обогащения</t>
        </is>
      </c>
      <c r="Q3562" s="16">
        <f>HYPERLINK("https://pb.nalog.ru/search.html?query=3820014905","ФНС: проверить")</f>
        <v/>
      </c>
      <c r="R3562" s="16">
        <f>HYPERLINK("https://checko.ru/search?query=3801001629","Чекко: проверить")</f>
        <v/>
      </c>
      <c r="S3562" t="n">
        <v>1</v>
      </c>
      <c r="T3562" s="35" t="inlineStr">
        <is>
          <t>4 — Не обогащён</t>
        </is>
      </c>
      <c r="U3562" s="35" t="inlineStr">
        <is>
          <t>Нет ОКВЭД/ССЧР</t>
        </is>
      </c>
      <c r="V3562" s="35" t="inlineStr">
        <is>
          <t>Не определено</t>
        </is>
      </c>
      <c r="W3562" s="35" t="inlineStr"/>
      <c r="X3562" s="35" t="inlineStr"/>
    </row>
    <row r="3563" ht="15" customHeight="1" s="24">
      <c r="A3563" s="13" t="n">
        <v>5000025718</v>
      </c>
      <c r="B3563" s="13" t="inlineStr">
        <is>
          <t>МОУ "Лицей г. Черемхово"</t>
        </is>
      </c>
      <c r="C3563" s="13" t="n">
        <v>3820006125</v>
      </c>
      <c r="D3563" s="13" t="inlineStr">
        <is>
          <t>3820006125</t>
        </is>
      </c>
      <c r="E3563" s="13" t="inlineStr">
        <is>
          <t>ЮЛ РФ</t>
        </is>
      </c>
      <c r="F3563" s="13" t="n"/>
      <c r="G3563" s="14" t="n"/>
      <c r="H3563" s="14" t="n"/>
      <c r="I3563" s="14" t="n"/>
      <c r="J3563" s="14" t="n"/>
      <c r="K3563" s="53" t="inlineStr"/>
      <c r="L3563" s="53" t="inlineStr">
        <is>
          <t>Не определено</t>
        </is>
      </c>
      <c r="M3563" s="53" t="inlineStr"/>
      <c r="N3563" s="54" t="inlineStr"/>
      <c r="O3563" s="55" t="inlineStr"/>
      <c r="P3563" s="16" t="inlineStr">
        <is>
          <t>Требует обогащения</t>
        </is>
      </c>
      <c r="Q3563" s="16">
        <f>HYPERLINK("https://pb.nalog.ru/search.html?query=3820006125","ФНС: проверить")</f>
        <v/>
      </c>
      <c r="R3563" s="16">
        <f>HYPERLINK("https://checko.ru/search?query=3801001629","Чекко: проверить")</f>
        <v/>
      </c>
      <c r="S3563" t="n">
        <v>1</v>
      </c>
      <c r="T3563" s="35" t="inlineStr">
        <is>
          <t>4 — Не обогащён</t>
        </is>
      </c>
      <c r="U3563" s="35" t="inlineStr">
        <is>
          <t>Нет ОКВЭД/ССЧР</t>
        </is>
      </c>
      <c r="V3563" s="35" t="inlineStr">
        <is>
          <t>Не определено</t>
        </is>
      </c>
      <c r="W3563" s="35" t="inlineStr"/>
      <c r="X3563" s="35" t="inlineStr"/>
    </row>
    <row r="3564" ht="27.75" customHeight="1" s="24">
      <c r="A3564" s="13" t="n">
        <v>5000025720</v>
      </c>
      <c r="B3564" s="13" t="inlineStr">
        <is>
          <t>Муниципальное Дошкольное Образовательное учреждение "Детский Сад № 1 г. Черемхово"</t>
        </is>
      </c>
      <c r="C3564" s="13" t="n">
        <v>3820005900</v>
      </c>
      <c r="D3564" s="13" t="inlineStr">
        <is>
          <t>3820005900</t>
        </is>
      </c>
      <c r="E3564" s="13" t="inlineStr">
        <is>
          <t>ЮЛ РФ</t>
        </is>
      </c>
      <c r="F3564" s="13" t="n"/>
      <c r="G3564" s="14" t="n"/>
      <c r="H3564" s="14" t="n"/>
      <c r="I3564" s="14" t="n"/>
      <c r="J3564" s="14" t="n"/>
      <c r="K3564" s="53" t="inlineStr"/>
      <c r="L3564" s="53" t="inlineStr">
        <is>
          <t>Не определено</t>
        </is>
      </c>
      <c r="M3564" s="53" t="inlineStr"/>
      <c r="N3564" s="54" t="inlineStr"/>
      <c r="O3564" s="55" t="inlineStr"/>
      <c r="P3564" s="16" t="inlineStr">
        <is>
          <t>Требует обогащения</t>
        </is>
      </c>
      <c r="Q3564" s="16">
        <f>HYPERLINK("https://pb.nalog.ru/search.html?query=3820005900","ФНС: проверить")</f>
        <v/>
      </c>
      <c r="R3564" s="16">
        <f>HYPERLINK("https://checko.ru/search?query=3801001629","Чекко: проверить")</f>
        <v/>
      </c>
      <c r="S3564" t="n">
        <v>1</v>
      </c>
      <c r="T3564" s="35" t="inlineStr">
        <is>
          <t>4 — Не обогащён</t>
        </is>
      </c>
      <c r="U3564" s="35" t="inlineStr">
        <is>
          <t>Нет ОКВЭД/ССЧР</t>
        </is>
      </c>
      <c r="V3564" s="35" t="inlineStr">
        <is>
          <t>Не определено</t>
        </is>
      </c>
      <c r="W3564" s="35" t="inlineStr"/>
      <c r="X3564" s="35" t="inlineStr"/>
    </row>
    <row r="3565" ht="27.75" customHeight="1" s="24">
      <c r="A3565" s="13" t="n">
        <v>5000025721</v>
      </c>
      <c r="B3565" s="13" t="inlineStr">
        <is>
          <t>Муниципальное Дошкольное Образовательное учреждение "Детский Сад № 2 г. Черемхово"</t>
        </is>
      </c>
      <c r="C3565" s="13" t="n">
        <v>3820008436</v>
      </c>
      <c r="D3565" s="13" t="inlineStr">
        <is>
          <t>3820008436</t>
        </is>
      </c>
      <c r="E3565" s="13" t="inlineStr">
        <is>
          <t>ЮЛ РФ</t>
        </is>
      </c>
      <c r="F3565" s="13" t="n"/>
      <c r="G3565" s="14" t="n"/>
      <c r="H3565" s="14" t="n"/>
      <c r="I3565" s="14" t="n"/>
      <c r="J3565" s="14" t="n"/>
      <c r="K3565" s="53" t="inlineStr"/>
      <c r="L3565" s="53" t="inlineStr">
        <is>
          <t>Не определено</t>
        </is>
      </c>
      <c r="M3565" s="53" t="inlineStr"/>
      <c r="N3565" s="54" t="inlineStr"/>
      <c r="O3565" s="55" t="inlineStr"/>
      <c r="P3565" s="16" t="inlineStr">
        <is>
          <t>Требует обогащения</t>
        </is>
      </c>
      <c r="Q3565" s="16">
        <f>HYPERLINK("https://pb.nalog.ru/search.html?query=3820008436","ФНС: проверить")</f>
        <v/>
      </c>
      <c r="R3565" s="16">
        <f>HYPERLINK("https://checko.ru/search?query=3801001629","Чекко: проверить")</f>
        <v/>
      </c>
      <c r="S3565" t="n">
        <v>1</v>
      </c>
      <c r="T3565" s="35" t="inlineStr">
        <is>
          <t>4 — Не обогащён</t>
        </is>
      </c>
      <c r="U3565" s="35" t="inlineStr">
        <is>
          <t>Нет ОКВЭД/ССЧР</t>
        </is>
      </c>
      <c r="V3565" s="35" t="inlineStr">
        <is>
          <t>Не определено</t>
        </is>
      </c>
      <c r="W3565" s="35" t="inlineStr"/>
      <c r="X3565" s="35" t="inlineStr"/>
    </row>
    <row r="3566" ht="27.75" customHeight="1" s="24">
      <c r="A3566" s="13" t="n">
        <v>5000025723</v>
      </c>
      <c r="B3566" s="13" t="inlineStr">
        <is>
          <t>Муниципальное Дошкольное Образовательное учреждение "Детский Сад № 4 г.Черемхово"</t>
        </is>
      </c>
      <c r="C3566" s="13" t="n">
        <v>3820005146</v>
      </c>
      <c r="D3566" s="13" t="inlineStr">
        <is>
          <t>3820005146</t>
        </is>
      </c>
      <c r="E3566" s="13" t="inlineStr">
        <is>
          <t>ЮЛ РФ</t>
        </is>
      </c>
      <c r="F3566" s="13" t="n"/>
      <c r="G3566" s="14" t="n"/>
      <c r="H3566" s="14" t="n"/>
      <c r="I3566" s="14" t="n"/>
      <c r="J3566" s="14" t="n"/>
      <c r="K3566" s="53" t="inlineStr"/>
      <c r="L3566" s="53" t="inlineStr">
        <is>
          <t>Не определено</t>
        </is>
      </c>
      <c r="M3566" s="53" t="inlineStr"/>
      <c r="N3566" s="54" t="inlineStr"/>
      <c r="O3566" s="55" t="inlineStr"/>
      <c r="P3566" s="16" t="inlineStr">
        <is>
          <t>Требует обогащения</t>
        </is>
      </c>
      <c r="Q3566" s="16">
        <f>HYPERLINK("https://pb.nalog.ru/search.html?query=3820005146","ФНС: проверить")</f>
        <v/>
      </c>
      <c r="R3566" s="16">
        <f>HYPERLINK("https://checko.ru/search?query=3801001629","Чекко: проверить")</f>
        <v/>
      </c>
      <c r="S3566" t="n">
        <v>1</v>
      </c>
      <c r="T3566" s="35" t="inlineStr">
        <is>
          <t>4 — Не обогащён</t>
        </is>
      </c>
      <c r="U3566" s="35" t="inlineStr">
        <is>
          <t>Нет ОКВЭД/ССЧР</t>
        </is>
      </c>
      <c r="V3566" s="35" t="inlineStr">
        <is>
          <t>Не определено</t>
        </is>
      </c>
      <c r="W3566" s="35" t="inlineStr"/>
      <c r="X3566" s="35" t="inlineStr"/>
    </row>
    <row r="3567" ht="27.75" customHeight="1" s="24">
      <c r="A3567" s="13" t="n">
        <v>5000025724</v>
      </c>
      <c r="B3567" s="13" t="inlineStr">
        <is>
          <t>Муниципальное Дошкольное Образовательное учреждение "Детский Сад № 5 г. Черемхово"</t>
        </is>
      </c>
      <c r="C3567" s="13" t="n">
        <v>3851020803</v>
      </c>
      <c r="D3567" s="13" t="inlineStr">
        <is>
          <t>3851020803</t>
        </is>
      </c>
      <c r="E3567" s="13" t="inlineStr">
        <is>
          <t>ЮЛ РФ</t>
        </is>
      </c>
      <c r="F3567" s="13" t="n"/>
      <c r="G3567" s="14" t="n"/>
      <c r="H3567" s="14" t="n"/>
      <c r="I3567" s="14" t="n"/>
      <c r="J3567" s="14" t="n"/>
      <c r="K3567" s="53" t="inlineStr"/>
      <c r="L3567" s="53" t="inlineStr">
        <is>
          <t>Не определено</t>
        </is>
      </c>
      <c r="M3567" s="53" t="inlineStr"/>
      <c r="N3567" s="54" t="inlineStr"/>
      <c r="O3567" s="55" t="inlineStr"/>
      <c r="P3567" s="16" t="inlineStr">
        <is>
          <t>Требует обогащения</t>
        </is>
      </c>
      <c r="Q3567" s="16">
        <f>HYPERLINK("https://pb.nalog.ru/search.html?query=3851020803","ФНС: проверить")</f>
        <v/>
      </c>
      <c r="R3567" s="16">
        <f>HYPERLINK("https://checko.ru/search?query=3801001629","Чекко: проверить")</f>
        <v/>
      </c>
      <c r="S3567" t="n">
        <v>1</v>
      </c>
      <c r="T3567" s="35" t="inlineStr">
        <is>
          <t>4 — Не обогащён</t>
        </is>
      </c>
      <c r="U3567" s="35" t="inlineStr">
        <is>
          <t>Нет ОКВЭД/ССЧР</t>
        </is>
      </c>
      <c r="V3567" s="35" t="inlineStr">
        <is>
          <t>Не определено</t>
        </is>
      </c>
      <c r="W3567" s="35" t="inlineStr"/>
      <c r="X3567" s="35" t="inlineStr"/>
    </row>
    <row r="3568" ht="27.75" customHeight="1" s="24">
      <c r="A3568" s="13" t="n">
        <v>5000025725</v>
      </c>
      <c r="B3568" s="13" t="inlineStr">
        <is>
          <t>Муниципальное Дошкольное Образовательное учреждение "Детский Сад № 7 г. Черемхово"</t>
        </is>
      </c>
      <c r="C3568" s="13" t="n">
        <v>3820006005</v>
      </c>
      <c r="D3568" s="13" t="inlineStr">
        <is>
          <t>3820006005</t>
        </is>
      </c>
      <c r="E3568" s="13" t="inlineStr">
        <is>
          <t>ЮЛ РФ</t>
        </is>
      </c>
      <c r="F3568" s="13" t="n"/>
      <c r="G3568" s="14" t="n"/>
      <c r="H3568" s="14" t="n"/>
      <c r="I3568" s="14" t="n"/>
      <c r="J3568" s="14" t="n"/>
      <c r="K3568" s="53" t="inlineStr"/>
      <c r="L3568" s="53" t="inlineStr">
        <is>
          <t>Не определено</t>
        </is>
      </c>
      <c r="M3568" s="53" t="inlineStr"/>
      <c r="N3568" s="54" t="inlineStr"/>
      <c r="O3568" s="55" t="inlineStr"/>
      <c r="P3568" s="16" t="inlineStr">
        <is>
          <t>Требует обогащения</t>
        </is>
      </c>
      <c r="Q3568" s="16">
        <f>HYPERLINK("https://pb.nalog.ru/search.html?query=3820006005","ФНС: проверить")</f>
        <v/>
      </c>
      <c r="R3568" s="16">
        <f>HYPERLINK("https://checko.ru/search?query=3801001629","Чекко: проверить")</f>
        <v/>
      </c>
      <c r="S3568" t="n">
        <v>1</v>
      </c>
      <c r="T3568" s="35" t="inlineStr">
        <is>
          <t>4 — Не обогащён</t>
        </is>
      </c>
      <c r="U3568" s="35" t="inlineStr">
        <is>
          <t>Нет ОКВЭД/ССЧР</t>
        </is>
      </c>
      <c r="V3568" s="35" t="inlineStr">
        <is>
          <t>Не определено</t>
        </is>
      </c>
      <c r="W3568" s="35" t="inlineStr"/>
      <c r="X3568" s="35" t="inlineStr"/>
    </row>
    <row r="3569" ht="27.75" customHeight="1" s="24">
      <c r="A3569" s="13" t="n">
        <v>5000025726</v>
      </c>
      <c r="B3569" s="13" t="inlineStr">
        <is>
          <t>Муниципальное Дошкольное Образовательное учреждение "Детский Сад № 11 г. Черемхово"</t>
        </is>
      </c>
      <c r="C3569" s="13" t="n">
        <v>3851022310</v>
      </c>
      <c r="D3569" s="13" t="inlineStr">
        <is>
          <t>3851022310</t>
        </is>
      </c>
      <c r="E3569" s="13" t="inlineStr">
        <is>
          <t>ЮЛ РФ</t>
        </is>
      </c>
      <c r="F3569" s="13" t="n"/>
      <c r="G3569" s="14" t="n"/>
      <c r="H3569" s="14" t="n"/>
      <c r="I3569" s="14" t="n"/>
      <c r="J3569" s="14" t="n"/>
      <c r="K3569" s="53" t="inlineStr"/>
      <c r="L3569" s="53" t="inlineStr">
        <is>
          <t>Не определено</t>
        </is>
      </c>
      <c r="M3569" s="53" t="inlineStr"/>
      <c r="N3569" s="54" t="inlineStr"/>
      <c r="O3569" s="55" t="inlineStr"/>
      <c r="P3569" s="16" t="inlineStr">
        <is>
          <t>Требует обогащения</t>
        </is>
      </c>
      <c r="Q3569" s="16">
        <f>HYPERLINK("https://pb.nalog.ru/search.html?query=3851022310","ФНС: проверить")</f>
        <v/>
      </c>
      <c r="R3569" s="16">
        <f>HYPERLINK("https://checko.ru/search?query=3801001629","Чекко: проверить")</f>
        <v/>
      </c>
      <c r="S3569" t="n">
        <v>1</v>
      </c>
      <c r="T3569" s="35" t="inlineStr">
        <is>
          <t>4 — Не обогащён</t>
        </is>
      </c>
      <c r="U3569" s="35" t="inlineStr">
        <is>
          <t>Нет ОКВЭД/ССЧР</t>
        </is>
      </c>
      <c r="V3569" s="35" t="inlineStr">
        <is>
          <t>Не определено</t>
        </is>
      </c>
      <c r="W3569" s="35" t="inlineStr"/>
      <c r="X3569" s="35" t="inlineStr"/>
    </row>
    <row r="3570" ht="27.75" customHeight="1" s="24">
      <c r="A3570" s="13" t="n">
        <v>5000025727</v>
      </c>
      <c r="B3570" s="13" t="inlineStr">
        <is>
          <t>Муниципальное Дошкольное Образовательное учреждение "Детский Сад № 10 г. Черемхово"</t>
        </is>
      </c>
      <c r="C3570" s="13" t="n">
        <v>3820005273</v>
      </c>
      <c r="D3570" s="13" t="inlineStr">
        <is>
          <t>3820005273</t>
        </is>
      </c>
      <c r="E3570" s="13" t="inlineStr">
        <is>
          <t>ЮЛ РФ</t>
        </is>
      </c>
      <c r="F3570" s="13" t="n"/>
      <c r="G3570" s="14" t="n"/>
      <c r="H3570" s="14" t="n"/>
      <c r="I3570" s="14" t="n"/>
      <c r="J3570" s="14" t="n"/>
      <c r="K3570" s="53" t="inlineStr"/>
      <c r="L3570" s="53" t="inlineStr">
        <is>
          <t>Не определено</t>
        </is>
      </c>
      <c r="M3570" s="53" t="inlineStr"/>
      <c r="N3570" s="54" t="inlineStr"/>
      <c r="O3570" s="55" t="inlineStr"/>
      <c r="P3570" s="16" t="inlineStr">
        <is>
          <t>Требует обогащения</t>
        </is>
      </c>
      <c r="Q3570" s="16">
        <f>HYPERLINK("https://pb.nalog.ru/search.html?query=3820005273","ФНС: проверить")</f>
        <v/>
      </c>
      <c r="R3570" s="16">
        <f>HYPERLINK("https://checko.ru/search?query=3801001629","Чекко: проверить")</f>
        <v/>
      </c>
      <c r="S3570" t="n">
        <v>1</v>
      </c>
      <c r="T3570" s="35" t="inlineStr">
        <is>
          <t>4 — Не обогащён</t>
        </is>
      </c>
      <c r="U3570" s="35" t="inlineStr">
        <is>
          <t>Нет ОКВЭД/ССЧР</t>
        </is>
      </c>
      <c r="V3570" s="35" t="inlineStr">
        <is>
          <t>Не определено</t>
        </is>
      </c>
      <c r="W3570" s="35" t="inlineStr"/>
      <c r="X3570" s="35" t="inlineStr"/>
    </row>
    <row r="3571" ht="27.75" customHeight="1" s="24">
      <c r="A3571" s="13" t="n">
        <v>5000025728</v>
      </c>
      <c r="B3571" s="13" t="inlineStr">
        <is>
          <t>Муниципальное Дошкольное Образовательное учреждение "Детский Сад № 12 г. Черемхово"</t>
        </is>
      </c>
      <c r="C3571" s="13" t="n">
        <v>3851004738</v>
      </c>
      <c r="D3571" s="13" t="inlineStr">
        <is>
          <t>3851004738</t>
        </is>
      </c>
      <c r="E3571" s="13" t="inlineStr">
        <is>
          <t>ЮЛ РФ</t>
        </is>
      </c>
      <c r="F3571" s="13" t="n"/>
      <c r="G3571" s="14" t="n"/>
      <c r="H3571" s="14" t="n"/>
      <c r="I3571" s="14" t="n"/>
      <c r="J3571" s="14" t="n"/>
      <c r="K3571" s="53" t="inlineStr"/>
      <c r="L3571" s="53" t="inlineStr">
        <is>
          <t>Не определено</t>
        </is>
      </c>
      <c r="M3571" s="53" t="inlineStr"/>
      <c r="N3571" s="54" t="inlineStr"/>
      <c r="O3571" s="55" t="inlineStr"/>
      <c r="P3571" s="16" t="inlineStr">
        <is>
          <t>Требует обогащения</t>
        </is>
      </c>
      <c r="Q3571" s="16">
        <f>HYPERLINK("https://pb.nalog.ru/search.html?query=3851004738","ФНС: проверить")</f>
        <v/>
      </c>
      <c r="R3571" s="16">
        <f>HYPERLINK("https://checko.ru/search?query=3801001629","Чекко: проверить")</f>
        <v/>
      </c>
      <c r="S3571" t="n">
        <v>1</v>
      </c>
      <c r="T3571" s="35" t="inlineStr">
        <is>
          <t>4 — Не обогащён</t>
        </is>
      </c>
      <c r="U3571" s="35" t="inlineStr">
        <is>
          <t>Нет ОКВЭД/ССЧР</t>
        </is>
      </c>
      <c r="V3571" s="35" t="inlineStr">
        <is>
          <t>Не определено</t>
        </is>
      </c>
      <c r="W3571" s="35" t="inlineStr"/>
      <c r="X3571" s="35" t="inlineStr"/>
    </row>
    <row r="3572" ht="27.75" customHeight="1" s="24">
      <c r="A3572" s="13" t="n">
        <v>5000025730</v>
      </c>
      <c r="B3572" s="13" t="inlineStr">
        <is>
          <t>Муниципальное Дошкольное Образовательное учреждение "Детский Сад № 16 г. Черемхово"</t>
        </is>
      </c>
      <c r="C3572" s="13" t="n">
        <v>3820006037</v>
      </c>
      <c r="D3572" s="13" t="inlineStr">
        <is>
          <t>3820006037</t>
        </is>
      </c>
      <c r="E3572" s="13" t="inlineStr">
        <is>
          <t>ЮЛ РФ</t>
        </is>
      </c>
      <c r="F3572" s="13" t="n"/>
      <c r="G3572" s="14" t="n"/>
      <c r="H3572" s="14" t="n"/>
      <c r="I3572" s="14" t="n"/>
      <c r="J3572" s="14" t="n"/>
      <c r="K3572" s="53" t="inlineStr"/>
      <c r="L3572" s="53" t="inlineStr">
        <is>
          <t>Не определено</t>
        </is>
      </c>
      <c r="M3572" s="53" t="inlineStr"/>
      <c r="N3572" s="54" t="inlineStr"/>
      <c r="O3572" s="55" t="inlineStr"/>
      <c r="P3572" s="16" t="inlineStr">
        <is>
          <t>Требует обогащения</t>
        </is>
      </c>
      <c r="Q3572" s="16">
        <f>HYPERLINK("https://pb.nalog.ru/search.html?query=3820006037","ФНС: проверить")</f>
        <v/>
      </c>
      <c r="R3572" s="16">
        <f>HYPERLINK("https://checko.ru/search?query=3801001629","Чекко: проверить")</f>
        <v/>
      </c>
      <c r="S3572" t="n">
        <v>1</v>
      </c>
      <c r="T3572" s="35" t="inlineStr">
        <is>
          <t>4 — Не обогащён</t>
        </is>
      </c>
      <c r="U3572" s="35" t="inlineStr">
        <is>
          <t>Нет ОКВЭД/ССЧР</t>
        </is>
      </c>
      <c r="V3572" s="35" t="inlineStr">
        <is>
          <t>Не определено</t>
        </is>
      </c>
      <c r="W3572" s="35" t="inlineStr"/>
      <c r="X3572" s="35" t="inlineStr"/>
    </row>
    <row r="3573" ht="27.75" customHeight="1" s="24">
      <c r="A3573" s="13" t="n">
        <v>5000025731</v>
      </c>
      <c r="B3573" s="13" t="inlineStr">
        <is>
          <t>Муниципальное Дошкольное Образовательное учреждение "Детский Сад № 24 г. Черемхово"</t>
        </is>
      </c>
      <c r="C3573" s="13" t="n">
        <v>3820005259</v>
      </c>
      <c r="D3573" s="13" t="inlineStr">
        <is>
          <t>3820005259</t>
        </is>
      </c>
      <c r="E3573" s="13" t="inlineStr">
        <is>
          <t>ЮЛ РФ</t>
        </is>
      </c>
      <c r="F3573" s="13" t="n"/>
      <c r="G3573" s="14" t="n"/>
      <c r="H3573" s="14" t="n"/>
      <c r="I3573" s="14" t="n"/>
      <c r="J3573" s="14" t="n"/>
      <c r="K3573" s="53" t="inlineStr"/>
      <c r="L3573" s="53" t="inlineStr">
        <is>
          <t>Не определено</t>
        </is>
      </c>
      <c r="M3573" s="53" t="inlineStr"/>
      <c r="N3573" s="54" t="inlineStr"/>
      <c r="O3573" s="55" t="inlineStr"/>
      <c r="P3573" s="16" t="inlineStr">
        <is>
          <t>Требует обогащения</t>
        </is>
      </c>
      <c r="Q3573" s="16">
        <f>HYPERLINK("https://pb.nalog.ru/search.html?query=3820005259","ФНС: проверить")</f>
        <v/>
      </c>
      <c r="R3573" s="16">
        <f>HYPERLINK("https://checko.ru/search?query=3801001629","Чекко: проверить")</f>
        <v/>
      </c>
      <c r="S3573" t="n">
        <v>1</v>
      </c>
      <c r="T3573" s="35" t="inlineStr">
        <is>
          <t>4 — Не обогащён</t>
        </is>
      </c>
      <c r="U3573" s="35" t="inlineStr">
        <is>
          <t>Нет ОКВЭД/ССЧР</t>
        </is>
      </c>
      <c r="V3573" s="35" t="inlineStr">
        <is>
          <t>Не определено</t>
        </is>
      </c>
      <c r="W3573" s="35" t="inlineStr"/>
      <c r="X3573" s="35" t="inlineStr"/>
    </row>
    <row r="3574" ht="27.75" customHeight="1" s="24">
      <c r="A3574" s="13" t="n">
        <v>5000025732</v>
      </c>
      <c r="B3574" s="13" t="inlineStr">
        <is>
          <t>Муниципальное Дошкольное Образовательное учреждение "Детский Сад № 26 г. Черемхово"</t>
        </is>
      </c>
      <c r="C3574" s="13" t="n">
        <v>3820005604</v>
      </c>
      <c r="D3574" s="13" t="inlineStr">
        <is>
          <t>3820005604</t>
        </is>
      </c>
      <c r="E3574" s="13" t="inlineStr">
        <is>
          <t>ЮЛ РФ</t>
        </is>
      </c>
      <c r="F3574" s="13" t="n"/>
      <c r="G3574" s="14" t="n"/>
      <c r="H3574" s="14" t="n"/>
      <c r="I3574" s="14" t="n"/>
      <c r="J3574" s="14" t="n"/>
      <c r="K3574" s="53" t="inlineStr"/>
      <c r="L3574" s="53" t="inlineStr">
        <is>
          <t>Не определено</t>
        </is>
      </c>
      <c r="M3574" s="53" t="inlineStr"/>
      <c r="N3574" s="54" t="inlineStr"/>
      <c r="O3574" s="55" t="inlineStr"/>
      <c r="P3574" s="16" t="inlineStr">
        <is>
          <t>Требует обогащения</t>
        </is>
      </c>
      <c r="Q3574" s="16">
        <f>HYPERLINK("https://pb.nalog.ru/search.html?query=3820005604","ФНС: проверить")</f>
        <v/>
      </c>
      <c r="R3574" s="16">
        <f>HYPERLINK("https://checko.ru/search?query=3801001629","Чекко: проверить")</f>
        <v/>
      </c>
      <c r="S3574" t="n">
        <v>1</v>
      </c>
      <c r="T3574" s="35" t="inlineStr">
        <is>
          <t>4 — Не обогащён</t>
        </is>
      </c>
      <c r="U3574" s="35" t="inlineStr">
        <is>
          <t>Нет ОКВЭД/ССЧР</t>
        </is>
      </c>
      <c r="V3574" s="35" t="inlineStr">
        <is>
          <t>Не определено</t>
        </is>
      </c>
      <c r="W3574" s="35" t="inlineStr"/>
      <c r="X3574" s="35" t="inlineStr"/>
    </row>
    <row r="3575" ht="41.25" customHeight="1" s="24">
      <c r="A3575" s="13" t="n">
        <v>5000027471</v>
      </c>
      <c r="B3575" s="13" t="inlineStr">
        <is>
          <t>Муниципальное казенное учреждение "Редакция общественно-политической газеты "Байкальские зори"</t>
        </is>
      </c>
      <c r="C3575" s="13" t="n">
        <v>3836004162</v>
      </c>
      <c r="D3575" s="13" t="inlineStr">
        <is>
          <t>3836004162</t>
        </is>
      </c>
      <c r="E3575" s="13" t="inlineStr">
        <is>
          <t>ЮЛ РФ</t>
        </is>
      </c>
      <c r="F3575" s="13" t="n"/>
      <c r="G3575" s="14" t="n"/>
      <c r="H3575" s="14" t="n"/>
      <c r="I3575" s="14" t="n"/>
      <c r="J3575" s="14" t="n"/>
      <c r="K3575" s="53" t="inlineStr"/>
      <c r="L3575" s="53" t="inlineStr">
        <is>
          <t>Не определено</t>
        </is>
      </c>
      <c r="M3575" s="53" t="inlineStr"/>
      <c r="N3575" s="54" t="inlineStr"/>
      <c r="O3575" s="55" t="inlineStr"/>
      <c r="P3575" s="16" t="inlineStr">
        <is>
          <t>Требует обогащения</t>
        </is>
      </c>
      <c r="Q3575" s="16">
        <f>HYPERLINK("https://pb.nalog.ru/search.html?query=3836004162","ФНС: проверить")</f>
        <v/>
      </c>
      <c r="R3575" s="16">
        <f>HYPERLINK("https://checko.ru/search?query=3801001629","Чекко: проверить")</f>
        <v/>
      </c>
      <c r="S3575" t="n">
        <v>1</v>
      </c>
      <c r="T3575" s="35" t="inlineStr">
        <is>
          <t>4 — Не обогащён</t>
        </is>
      </c>
      <c r="U3575" s="35" t="inlineStr">
        <is>
          <t>Нет ОКВЭД/ССЧР</t>
        </is>
      </c>
      <c r="V3575" s="35" t="inlineStr">
        <is>
          <t>Не определено</t>
        </is>
      </c>
      <c r="W3575" s="35" t="inlineStr"/>
      <c r="X3575" s="35" t="inlineStr"/>
    </row>
    <row r="3576" ht="54.75" customHeight="1" s="24">
      <c r="A3576" s="13" t="n">
        <v>5000027472</v>
      </c>
      <c r="B3576" s="13" t="inlineStr">
        <is>
          <t>Муниципальное казенное учреждение "Управление организации закупок и развития инфраструктуры Ольхонского районного муниципального образования"</t>
        </is>
      </c>
      <c r="C3576" s="13" t="n">
        <v>3836005303</v>
      </c>
      <c r="D3576" s="13" t="inlineStr">
        <is>
          <t>3836005303</t>
        </is>
      </c>
      <c r="E3576" s="13" t="inlineStr">
        <is>
          <t>ЮЛ РФ</t>
        </is>
      </c>
      <c r="F3576" s="13" t="n"/>
      <c r="G3576" s="14" t="n"/>
      <c r="H3576" s="14" t="n"/>
      <c r="I3576" s="14" t="n"/>
      <c r="J3576" s="14" t="n"/>
      <c r="K3576" s="53" t="inlineStr"/>
      <c r="L3576" s="53" t="inlineStr">
        <is>
          <t>Не определено</t>
        </is>
      </c>
      <c r="M3576" s="53" t="inlineStr"/>
      <c r="N3576" s="54" t="inlineStr"/>
      <c r="O3576" s="55" t="inlineStr"/>
      <c r="P3576" s="16" t="inlineStr">
        <is>
          <t>Требует обогащения</t>
        </is>
      </c>
      <c r="Q3576" s="16">
        <f>HYPERLINK("https://pb.nalog.ru/search.html?query=3836005303","ФНС: проверить")</f>
        <v/>
      </c>
      <c r="R3576" s="16">
        <f>HYPERLINK("https://checko.ru/search?query=3801001629","Чекко: проверить")</f>
        <v/>
      </c>
      <c r="S3576" t="n">
        <v>1</v>
      </c>
      <c r="T3576" s="35" t="inlineStr">
        <is>
          <t>4 — Не обогащён</t>
        </is>
      </c>
      <c r="U3576" s="35" t="inlineStr">
        <is>
          <t>Нет ОКВЭД/ССЧР</t>
        </is>
      </c>
      <c r="V3576" s="35" t="inlineStr">
        <is>
          <t>Не определено</t>
        </is>
      </c>
      <c r="W3576" s="35" t="inlineStr"/>
      <c r="X3576" s="35" t="inlineStr"/>
    </row>
    <row r="3577" ht="54.75" customHeight="1" s="24">
      <c r="A3577" s="13" t="n">
        <v>5000027473</v>
      </c>
      <c r="B3577" s="13" t="inlineStr">
        <is>
          <t>Муниципальное казенное учреждение "Служба Ольхонского районного муниципального образования по решению вопросов гражданской обороны и чрезвычайных ситу</t>
        </is>
      </c>
      <c r="C3577" s="13" t="n">
        <v>3827036841</v>
      </c>
      <c r="D3577" s="13" t="inlineStr">
        <is>
          <t>3827036841</t>
        </is>
      </c>
      <c r="E3577" s="13" t="inlineStr">
        <is>
          <t>ЮЛ РФ</t>
        </is>
      </c>
      <c r="F3577" s="13" t="n"/>
      <c r="G3577" s="14" t="n"/>
      <c r="H3577" s="14" t="n"/>
      <c r="I3577" s="14" t="n"/>
      <c r="J3577" s="14" t="n"/>
      <c r="K3577" s="53" t="inlineStr"/>
      <c r="L3577" s="53" t="inlineStr">
        <is>
          <t>Не определено</t>
        </is>
      </c>
      <c r="M3577" s="53" t="inlineStr"/>
      <c r="N3577" s="54" t="inlineStr"/>
      <c r="O3577" s="55" t="inlineStr"/>
      <c r="P3577" s="16" t="inlineStr">
        <is>
          <t>Требует обогащения</t>
        </is>
      </c>
      <c r="Q3577" s="16">
        <f>HYPERLINK("https://pb.nalog.ru/search.html?query=3827036841","ФНС: проверить")</f>
        <v/>
      </c>
      <c r="R3577" s="16">
        <f>HYPERLINK("https://checko.ru/search?query=3801001629","Чекко: проверить")</f>
        <v/>
      </c>
      <c r="S3577" t="n">
        <v>1</v>
      </c>
      <c r="T3577" s="35" t="inlineStr">
        <is>
          <t>4 — Не обогащён</t>
        </is>
      </c>
      <c r="U3577" s="35" t="inlineStr">
        <is>
          <t>Нет ОКВЭД/ССЧР</t>
        </is>
      </c>
      <c r="V3577" s="35" t="inlineStr">
        <is>
          <t>Не определено</t>
        </is>
      </c>
      <c r="W3577" s="35" t="inlineStr"/>
      <c r="X3577" s="35" t="inlineStr"/>
    </row>
    <row r="3578" ht="41.25" customHeight="1" s="24">
      <c r="A3578" s="13" t="n">
        <v>5000027474</v>
      </c>
      <c r="B3578" s="13" t="inlineStr">
        <is>
          <t>МКУ Ольхонского районного муниципального образования "Межведомственная централизованная бухгалтерия"</t>
        </is>
      </c>
      <c r="C3578" s="13" t="n">
        <v>3827053445</v>
      </c>
      <c r="D3578" s="13" t="inlineStr">
        <is>
          <t>3827053445</t>
        </is>
      </c>
      <c r="E3578" s="13" t="inlineStr">
        <is>
          <t>ЮЛ РФ</t>
        </is>
      </c>
      <c r="F3578" s="13" t="n"/>
      <c r="G3578" s="14" t="n"/>
      <c r="H3578" s="14" t="n"/>
      <c r="I3578" s="14" t="n"/>
      <c r="J3578" s="14" t="n"/>
      <c r="K3578" s="53" t="inlineStr"/>
      <c r="L3578" s="53" t="inlineStr">
        <is>
          <t>Не определено</t>
        </is>
      </c>
      <c r="M3578" s="53" t="inlineStr"/>
      <c r="N3578" s="54" t="inlineStr"/>
      <c r="O3578" s="55" t="inlineStr"/>
      <c r="P3578" s="16" t="inlineStr">
        <is>
          <t>Требует обогащения</t>
        </is>
      </c>
      <c r="Q3578" s="16">
        <f>HYPERLINK("https://pb.nalog.ru/search.html?query=3827053445","ФНС: проверить")</f>
        <v/>
      </c>
      <c r="R3578" s="16">
        <f>HYPERLINK("https://checko.ru/search?query=3801001629","Чекко: проверить")</f>
        <v/>
      </c>
      <c r="S3578" t="n">
        <v>1</v>
      </c>
      <c r="T3578" s="35" t="inlineStr">
        <is>
          <t>4 — Не обогащён</t>
        </is>
      </c>
      <c r="U3578" s="35" t="inlineStr">
        <is>
          <t>Нет ОКВЭД/ССЧР</t>
        </is>
      </c>
      <c r="V3578" s="35" t="inlineStr">
        <is>
          <t>Не определено</t>
        </is>
      </c>
      <c r="W3578" s="35" t="inlineStr"/>
      <c r="X3578" s="35" t="inlineStr"/>
    </row>
    <row r="3579" ht="54.75" customHeight="1" s="24">
      <c r="A3579" s="13" t="n">
        <v>5000027475</v>
      </c>
      <c r="B3579" s="13" t="inlineStr">
        <is>
          <t>Муниципальное казенное учреждение Ольхонского районного муниципального образования "Хозяйственно-транспортный комплекс"</t>
        </is>
      </c>
      <c r="C3579" s="13" t="n">
        <v>3827053452</v>
      </c>
      <c r="D3579" s="13" t="inlineStr">
        <is>
          <t>3827053452</t>
        </is>
      </c>
      <c r="E3579" s="13" t="inlineStr">
        <is>
          <t>ЮЛ РФ</t>
        </is>
      </c>
      <c r="F3579" s="13" t="n"/>
      <c r="G3579" s="14" t="n"/>
      <c r="H3579" s="14" t="n"/>
      <c r="I3579" s="14" t="n"/>
      <c r="J3579" s="14" t="n"/>
      <c r="K3579" s="53" t="inlineStr"/>
      <c r="L3579" s="53" t="inlineStr">
        <is>
          <t>Не определено</t>
        </is>
      </c>
      <c r="M3579" s="53" t="inlineStr"/>
      <c r="N3579" s="54" t="inlineStr"/>
      <c r="O3579" s="55" t="inlineStr"/>
      <c r="P3579" s="16" t="inlineStr">
        <is>
          <t>Требует обогащения</t>
        </is>
      </c>
      <c r="Q3579" s="16">
        <f>HYPERLINK("https://pb.nalog.ru/search.html?query=3827053452","ФНС: проверить")</f>
        <v/>
      </c>
      <c r="R3579" s="16">
        <f>HYPERLINK("https://checko.ru/search?query=3801001629","Чекко: проверить")</f>
        <v/>
      </c>
      <c r="S3579" t="n">
        <v>1</v>
      </c>
      <c r="T3579" s="35" t="inlineStr">
        <is>
          <t>4 — Не обогащён</t>
        </is>
      </c>
      <c r="U3579" s="35" t="inlineStr">
        <is>
          <t>Нет ОКВЭД/ССЧР</t>
        </is>
      </c>
      <c r="V3579" s="35" t="inlineStr">
        <is>
          <t>Не определено</t>
        </is>
      </c>
      <c r="W3579" s="35" t="inlineStr"/>
      <c r="X3579" s="35" t="inlineStr"/>
    </row>
    <row r="3580" ht="27.75" customHeight="1" s="24">
      <c r="A3580" s="13" t="n">
        <v>5000027476</v>
      </c>
      <c r="B3580" s="13" t="inlineStr">
        <is>
          <t>Дума Ольхонского районного муниципального образования</t>
        </is>
      </c>
      <c r="C3580" s="13" t="n">
        <v>3836003521</v>
      </c>
      <c r="D3580" s="13" t="inlineStr">
        <is>
          <t>3836003521</t>
        </is>
      </c>
      <c r="E3580" s="13" t="inlineStr">
        <is>
          <t>ЮЛ РФ</t>
        </is>
      </c>
      <c r="F3580" s="13" t="n"/>
      <c r="G3580" s="14" t="n"/>
      <c r="H3580" s="14" t="n"/>
      <c r="I3580" s="14" t="n"/>
      <c r="J3580" s="14" t="n"/>
      <c r="K3580" s="53" t="inlineStr"/>
      <c r="L3580" s="53" t="inlineStr">
        <is>
          <t>Не определено</t>
        </is>
      </c>
      <c r="M3580" s="53" t="inlineStr"/>
      <c r="N3580" s="54" t="inlineStr"/>
      <c r="O3580" s="55" t="inlineStr"/>
      <c r="P3580" s="16" t="inlineStr">
        <is>
          <t>Требует обогащения</t>
        </is>
      </c>
      <c r="Q3580" s="16">
        <f>HYPERLINK("https://pb.nalog.ru/search.html?query=3836003521","ФНС: проверить")</f>
        <v/>
      </c>
      <c r="R3580" s="16">
        <f>HYPERLINK("https://checko.ru/search?query=3801001629","Чекко: проверить")</f>
        <v/>
      </c>
      <c r="S3580" t="n">
        <v>1</v>
      </c>
      <c r="T3580" s="35" t="inlineStr">
        <is>
          <t>4 — Не обогащён</t>
        </is>
      </c>
      <c r="U3580" s="35" t="inlineStr">
        <is>
          <t>Нет ОКВЭД/ССЧР</t>
        </is>
      </c>
      <c r="V3580" s="35" t="inlineStr">
        <is>
          <t>Не определено</t>
        </is>
      </c>
      <c r="W3580" s="35" t="inlineStr"/>
      <c r="X3580" s="35" t="inlineStr"/>
    </row>
    <row r="3581" ht="27.75" customHeight="1" s="24">
      <c r="A3581" s="13" t="n">
        <v>5000027477</v>
      </c>
      <c r="B3581" s="13" t="inlineStr">
        <is>
          <t>Контрольно-счетная палата Ольхонского районного муниципального образования</t>
        </is>
      </c>
      <c r="C3581" s="13" t="n">
        <v>3836005487</v>
      </c>
      <c r="D3581" s="13" t="inlineStr">
        <is>
          <t>3836005487</t>
        </is>
      </c>
      <c r="E3581" s="13" t="inlineStr">
        <is>
          <t>ЮЛ РФ</t>
        </is>
      </c>
      <c r="F3581" s="13" t="n"/>
      <c r="G3581" s="14" t="n"/>
      <c r="H3581" s="14" t="n"/>
      <c r="I3581" s="14" t="n"/>
      <c r="J3581" s="14" t="n"/>
      <c r="K3581" s="53" t="inlineStr"/>
      <c r="L3581" s="53" t="inlineStr">
        <is>
          <t>Не определено</t>
        </is>
      </c>
      <c r="M3581" s="53" t="inlineStr"/>
      <c r="N3581" s="54" t="inlineStr"/>
      <c r="O3581" s="55" t="inlineStr"/>
      <c r="P3581" s="16" t="inlineStr">
        <is>
          <t>Требует обогащения</t>
        </is>
      </c>
      <c r="Q3581" s="16">
        <f>HYPERLINK("https://pb.nalog.ru/search.html?query=3836005487","ФНС: проверить")</f>
        <v/>
      </c>
      <c r="R3581" s="16">
        <f>HYPERLINK("https://checko.ru/search?query=3801001629","Чекко: проверить")</f>
        <v/>
      </c>
      <c r="S3581" t="n">
        <v>1</v>
      </c>
      <c r="T3581" s="35" t="inlineStr">
        <is>
          <t>4 — Не обогащён</t>
        </is>
      </c>
      <c r="U3581" s="35" t="inlineStr">
        <is>
          <t>Нет ОКВЭД/ССЧР</t>
        </is>
      </c>
      <c r="V3581" s="35" t="inlineStr">
        <is>
          <t>Не определено</t>
        </is>
      </c>
      <c r="W3581" s="35" t="inlineStr"/>
      <c r="X3581" s="35" t="inlineStr"/>
    </row>
    <row r="3582" ht="27.75" customHeight="1" s="24">
      <c r="A3582" s="13" t="n">
        <v>5000027478</v>
      </c>
      <c r="B3582" s="13" t="inlineStr">
        <is>
          <t>Администрация Бугульдейского муниципального образования-Администрация сельского поселения</t>
        </is>
      </c>
      <c r="C3582" s="13" t="n">
        <v>3836003426</v>
      </c>
      <c r="D3582" s="13" t="inlineStr">
        <is>
          <t>3836003426</t>
        </is>
      </c>
      <c r="E3582" s="13" t="inlineStr">
        <is>
          <t>ЮЛ РФ</t>
        </is>
      </c>
      <c r="F3582" s="13" t="n"/>
      <c r="G3582" s="14" t="n"/>
      <c r="H3582" s="14" t="n"/>
      <c r="I3582" s="14" t="n"/>
      <c r="J3582" s="14" t="n"/>
      <c r="K3582" s="53" t="inlineStr"/>
      <c r="L3582" s="53" t="inlineStr">
        <is>
          <t>Не определено</t>
        </is>
      </c>
      <c r="M3582" s="53" t="inlineStr"/>
      <c r="N3582" s="54" t="inlineStr"/>
      <c r="O3582" s="55" t="inlineStr"/>
      <c r="P3582" s="16" t="inlineStr">
        <is>
          <t>Требует обогащения</t>
        </is>
      </c>
      <c r="Q3582" s="16">
        <f>HYPERLINK("https://pb.nalog.ru/search.html?query=3836003426","ФНС: проверить")</f>
        <v/>
      </c>
      <c r="R3582" s="16">
        <f>HYPERLINK("https://checko.ru/search?query=3801001629","Чекко: проверить")</f>
        <v/>
      </c>
      <c r="S3582" t="n">
        <v>1</v>
      </c>
      <c r="T3582" s="35" t="inlineStr">
        <is>
          <t>4 — Не обогащён</t>
        </is>
      </c>
      <c r="U3582" s="35" t="inlineStr">
        <is>
          <t>Нет ОКВЭД/ССЧР</t>
        </is>
      </c>
      <c r="V3582" s="35" t="inlineStr">
        <is>
          <t>Не определено</t>
        </is>
      </c>
      <c r="W3582" s="35" t="inlineStr"/>
      <c r="X3582" s="35" t="inlineStr"/>
    </row>
    <row r="3583" ht="27.75" customHeight="1" s="24">
      <c r="A3583" s="13" t="n">
        <v>5000027480</v>
      </c>
      <c r="B3583" s="13" t="inlineStr">
        <is>
          <t>Муниципальноеказенное учреждение культуры Бугульдейский Дом культуры</t>
        </is>
      </c>
      <c r="C3583" s="13" t="n">
        <v>3836004123</v>
      </c>
      <c r="D3583" s="13" t="inlineStr">
        <is>
          <t>3836004123</t>
        </is>
      </c>
      <c r="E3583" s="13" t="inlineStr">
        <is>
          <t>ЮЛ РФ</t>
        </is>
      </c>
      <c r="F3583" s="13" t="n"/>
      <c r="G3583" s="14" t="n"/>
      <c r="H3583" s="14" t="n"/>
      <c r="I3583" s="14" t="n"/>
      <c r="J3583" s="14" t="n"/>
      <c r="K3583" s="53" t="inlineStr"/>
      <c r="L3583" s="53" t="inlineStr">
        <is>
          <t>Не определено</t>
        </is>
      </c>
      <c r="M3583" s="53" t="inlineStr"/>
      <c r="N3583" s="54" t="inlineStr"/>
      <c r="O3583" s="55" t="inlineStr"/>
      <c r="P3583" s="16" t="inlineStr">
        <is>
          <t>Требует обогащения</t>
        </is>
      </c>
      <c r="Q3583" s="16">
        <f>HYPERLINK("https://pb.nalog.ru/search.html?query=3836004123","ФНС: проверить")</f>
        <v/>
      </c>
      <c r="R3583" s="16">
        <f>HYPERLINK("https://checko.ru/search?query=3801001629","Чекко: проверить")</f>
        <v/>
      </c>
      <c r="S3583" t="n">
        <v>1</v>
      </c>
      <c r="T3583" s="35" t="inlineStr">
        <is>
          <t>4 — Не обогащён</t>
        </is>
      </c>
      <c r="U3583" s="35" t="inlineStr">
        <is>
          <t>Нет ОКВЭД/ССЧР</t>
        </is>
      </c>
      <c r="V3583" s="35" t="inlineStr">
        <is>
          <t>Не определено</t>
        </is>
      </c>
      <c r="W3583" s="35" t="inlineStr"/>
      <c r="X3583" s="35" t="inlineStr"/>
    </row>
    <row r="3584" ht="27.75" customHeight="1" s="24">
      <c r="A3584" s="13" t="n">
        <v>5000027481</v>
      </c>
      <c r="B3584" s="13" t="inlineStr">
        <is>
          <t>Администрация Онгуренского муниципального образования-Администрация сельского поселения</t>
        </is>
      </c>
      <c r="C3584" s="13" t="n">
        <v>3836003507</v>
      </c>
      <c r="D3584" s="13" t="inlineStr">
        <is>
          <t>3836003507</t>
        </is>
      </c>
      <c r="E3584" s="13" t="inlineStr">
        <is>
          <t>ЮЛ РФ</t>
        </is>
      </c>
      <c r="F3584" s="13" t="n"/>
      <c r="G3584" s="14" t="n"/>
      <c r="H3584" s="14" t="n"/>
      <c r="I3584" s="14" t="n"/>
      <c r="J3584" s="14" t="n"/>
      <c r="K3584" s="53" t="inlineStr"/>
      <c r="L3584" s="53" t="inlineStr">
        <is>
          <t>Не определено</t>
        </is>
      </c>
      <c r="M3584" s="53" t="inlineStr"/>
      <c r="N3584" s="54" t="inlineStr"/>
      <c r="O3584" s="55" t="inlineStr"/>
      <c r="P3584" s="16" t="inlineStr">
        <is>
          <t>Требует обогащения</t>
        </is>
      </c>
      <c r="Q3584" s="16">
        <f>HYPERLINK("https://pb.nalog.ru/search.html?query=3836003507","ФНС: проверить")</f>
        <v/>
      </c>
      <c r="R3584" s="16">
        <f>HYPERLINK("https://checko.ru/search?query=3801001629","Чекко: проверить")</f>
        <v/>
      </c>
      <c r="S3584" t="n">
        <v>1</v>
      </c>
      <c r="T3584" s="35" t="inlineStr">
        <is>
          <t>4 — Не обогащён</t>
        </is>
      </c>
      <c r="U3584" s="35" t="inlineStr">
        <is>
          <t>Нет ОКВЭД/ССЧР</t>
        </is>
      </c>
      <c r="V3584" s="35" t="inlineStr">
        <is>
          <t>Не определено</t>
        </is>
      </c>
      <c r="W3584" s="35" t="inlineStr"/>
      <c r="X3584" s="35" t="inlineStr"/>
    </row>
    <row r="3585" ht="27.75" customHeight="1" s="24">
      <c r="A3585" s="13" t="n">
        <v>5000098687</v>
      </c>
      <c r="B3585" s="13" t="inlineStr">
        <is>
          <t>ГБУ "Ногликский специальный дом-интернат для престарелых и инвалидов"</t>
        </is>
      </c>
      <c r="C3585" s="13" t="n">
        <v>6513001321</v>
      </c>
      <c r="D3585" s="13" t="inlineStr">
        <is>
          <t>6513001321</t>
        </is>
      </c>
      <c r="E3585" s="13" t="inlineStr">
        <is>
          <t>ЮЛ РФ</t>
        </is>
      </c>
      <c r="F3585" s="13" t="n"/>
      <c r="G3585" s="14" t="n"/>
      <c r="H3585" s="14" t="n"/>
      <c r="I3585" s="14" t="n"/>
      <c r="J3585" s="14" t="n"/>
      <c r="K3585" s="53" t="inlineStr"/>
      <c r="L3585" s="53" t="inlineStr">
        <is>
          <t>Не определено</t>
        </is>
      </c>
      <c r="M3585" s="53" t="inlineStr"/>
      <c r="N3585" s="54" t="inlineStr"/>
      <c r="O3585" s="55" t="inlineStr"/>
      <c r="P3585" s="16" t="inlineStr">
        <is>
          <t>Требует обогащения</t>
        </is>
      </c>
      <c r="Q3585" s="16">
        <f>HYPERLINK("https://pb.nalog.ru/search.html?query=6513001321","ФНС: проверить")</f>
        <v/>
      </c>
      <c r="R3585" s="16">
        <f>HYPERLINK("https://checko.ru/search?query=3801001629","Чекко: проверить")</f>
        <v/>
      </c>
      <c r="S3585" t="n">
        <v>1</v>
      </c>
      <c r="T3585" s="35" t="inlineStr">
        <is>
          <t>4 — Не обогащён</t>
        </is>
      </c>
      <c r="U3585" s="35" t="inlineStr">
        <is>
          <t>Нет ОКВЭД/ССЧР</t>
        </is>
      </c>
      <c r="V3585" s="35" t="inlineStr">
        <is>
          <t>Не определено</t>
        </is>
      </c>
      <c r="W3585" s="35" t="inlineStr"/>
      <c r="X3585" s="35" t="inlineStr"/>
    </row>
    <row r="3586" ht="27.75" customHeight="1" s="24">
      <c r="A3586" s="13" t="n">
        <v>5000107356</v>
      </c>
      <c r="B3586" s="13" t="inlineStr">
        <is>
          <t>Областное Автономное Учреждение "Оздоровительно-досуговый центр "Юбилейный"</t>
        </is>
      </c>
      <c r="C3586" s="13" t="n">
        <v>6501204020</v>
      </c>
      <c r="D3586" s="13" t="inlineStr">
        <is>
          <t>6501204020</t>
        </is>
      </c>
      <c r="E3586" s="13" t="inlineStr">
        <is>
          <t>ЮЛ РФ</t>
        </is>
      </c>
      <c r="F3586" s="13" t="n"/>
      <c r="G3586" s="14" t="n"/>
      <c r="H3586" s="14" t="n"/>
      <c r="I3586" s="14" t="n"/>
      <c r="J3586" s="14" t="n"/>
      <c r="K3586" s="53" t="inlineStr"/>
      <c r="L3586" s="53" t="inlineStr">
        <is>
          <t>Не определено</t>
        </is>
      </c>
      <c r="M3586" s="53" t="inlineStr"/>
      <c r="N3586" s="54" t="inlineStr"/>
      <c r="O3586" s="55" t="inlineStr"/>
      <c r="P3586" s="16" t="inlineStr">
        <is>
          <t>Требует обогащения</t>
        </is>
      </c>
      <c r="Q3586" s="16">
        <f>HYPERLINK("https://pb.nalog.ru/search.html?query=6501204020","ФНС: проверить")</f>
        <v/>
      </c>
      <c r="R3586" s="16">
        <f>HYPERLINK("https://checko.ru/search?query=3801001629","Чекко: проверить")</f>
        <v/>
      </c>
      <c r="S3586" t="n">
        <v>1</v>
      </c>
      <c r="T3586" s="35" t="inlineStr">
        <is>
          <t>4 — Не обогащён</t>
        </is>
      </c>
      <c r="U3586" s="35" t="inlineStr">
        <is>
          <t>Нет ОКВЭД/ССЧР</t>
        </is>
      </c>
      <c r="V3586" s="35" t="inlineStr">
        <is>
          <t>Не определено</t>
        </is>
      </c>
      <c r="W3586" s="35" t="inlineStr"/>
      <c r="X3586" s="35" t="inlineStr"/>
    </row>
    <row r="3587" ht="27.75" customHeight="1" s="24">
      <c r="A3587" s="13" t="n">
        <v>5000098625</v>
      </c>
      <c r="B3587" s="13" t="inlineStr">
        <is>
          <t>ГБУЗ Сахалинской области "Южно-Сахалинская детская городская поликлиника"</t>
        </is>
      </c>
      <c r="C3587" s="13" t="n">
        <v>6501026071</v>
      </c>
      <c r="D3587" s="13" t="inlineStr">
        <is>
          <t>6501026071</t>
        </is>
      </c>
      <c r="E3587" s="13" t="inlineStr">
        <is>
          <t>ЮЛ РФ</t>
        </is>
      </c>
      <c r="F3587" s="13" t="n"/>
      <c r="G3587" s="14" t="n"/>
      <c r="H3587" s="14" t="n"/>
      <c r="I3587" s="14" t="n"/>
      <c r="J3587" s="14" t="n"/>
      <c r="K3587" s="53" t="inlineStr"/>
      <c r="L3587" s="53" t="inlineStr">
        <is>
          <t>Не определено</t>
        </is>
      </c>
      <c r="M3587" s="53" t="inlineStr"/>
      <c r="N3587" s="54" t="inlineStr"/>
      <c r="O3587" s="55" t="inlineStr"/>
      <c r="P3587" s="16" t="inlineStr">
        <is>
          <t>Требует обогащения</t>
        </is>
      </c>
      <c r="Q3587" s="16">
        <f>HYPERLINK("https://pb.nalog.ru/search.html?query=6501026071","ФНС: проверить")</f>
        <v/>
      </c>
      <c r="R3587" s="16">
        <f>HYPERLINK("https://checko.ru/search?query=3801001629","Чекко: проверить")</f>
        <v/>
      </c>
      <c r="S3587" t="n">
        <v>1</v>
      </c>
      <c r="T3587" s="35" t="inlineStr">
        <is>
          <t>4 — Не обогащён</t>
        </is>
      </c>
      <c r="U3587" s="35" t="inlineStr">
        <is>
          <t>Нет ОКВЭД/ССЧР</t>
        </is>
      </c>
      <c r="V3587" s="35" t="inlineStr">
        <is>
          <t>Не определено</t>
        </is>
      </c>
      <c r="W3587" s="35" t="inlineStr"/>
      <c r="X3587" s="35" t="inlineStr"/>
    </row>
    <row r="3588" ht="27.75" customHeight="1" s="24">
      <c r="A3588" s="13" t="n">
        <v>5000100128</v>
      </c>
      <c r="B3588" s="13" t="inlineStr">
        <is>
          <t>ОКУ  "Дирекция по реализации программ строительства Сахалинской области"</t>
        </is>
      </c>
      <c r="C3588" s="13" t="n">
        <v>6501279940</v>
      </c>
      <c r="D3588" s="13" t="inlineStr">
        <is>
          <t>6501279940</t>
        </is>
      </c>
      <c r="E3588" s="13" t="inlineStr">
        <is>
          <t>ЮЛ РФ</t>
        </is>
      </c>
      <c r="F3588" s="13" t="n"/>
      <c r="G3588" s="14" t="n"/>
      <c r="H3588" s="14" t="n"/>
      <c r="I3588" s="14" t="n"/>
      <c r="J3588" s="14" t="n"/>
      <c r="K3588" s="53" t="inlineStr"/>
      <c r="L3588" s="53" t="inlineStr">
        <is>
          <t>Не определено</t>
        </is>
      </c>
      <c r="M3588" s="53" t="inlineStr"/>
      <c r="N3588" s="54" t="inlineStr"/>
      <c r="O3588" s="55" t="inlineStr"/>
      <c r="P3588" s="16" t="inlineStr">
        <is>
          <t>Требует обогащения</t>
        </is>
      </c>
      <c r="Q3588" s="16">
        <f>HYPERLINK("https://pb.nalog.ru/search.html?query=6501279940","ФНС: проверить")</f>
        <v/>
      </c>
      <c r="R3588" s="16">
        <f>HYPERLINK("https://checko.ru/search?query=3801001629","Чекко: проверить")</f>
        <v/>
      </c>
      <c r="S3588" t="n">
        <v>1</v>
      </c>
      <c r="T3588" s="35" t="inlineStr">
        <is>
          <t>4 — Не обогащён</t>
        </is>
      </c>
      <c r="U3588" s="35" t="inlineStr">
        <is>
          <t>Нет ОКВЭД/ССЧР</t>
        </is>
      </c>
      <c r="V3588" s="35" t="inlineStr">
        <is>
          <t>Не определено</t>
        </is>
      </c>
      <c r="W3588" s="35" t="inlineStr"/>
      <c r="X3588" s="35" t="inlineStr"/>
    </row>
    <row r="3589" ht="27.75" customHeight="1" s="24">
      <c r="A3589" s="13" t="n">
        <v>5000100128</v>
      </c>
      <c r="B3589" s="13" t="inlineStr">
        <is>
          <t>ОКУ  "Дирекция по реализации программ строительства Сахалинской области"</t>
        </is>
      </c>
      <c r="C3589" s="13" t="n">
        <v>6501279940</v>
      </c>
      <c r="D3589" s="13" t="inlineStr">
        <is>
          <t>6501279940</t>
        </is>
      </c>
      <c r="E3589" s="13" t="inlineStr">
        <is>
          <t>ЮЛ РФ</t>
        </is>
      </c>
      <c r="F3589" s="13" t="n"/>
      <c r="G3589" s="14" t="n"/>
      <c r="H3589" s="14" t="n"/>
      <c r="I3589" s="14" t="n"/>
      <c r="J3589" s="14" t="n"/>
      <c r="K3589" s="53" t="inlineStr"/>
      <c r="L3589" s="53" t="inlineStr">
        <is>
          <t>Не определено</t>
        </is>
      </c>
      <c r="M3589" s="53" t="inlineStr"/>
      <c r="N3589" s="54" t="inlineStr"/>
      <c r="O3589" s="55" t="inlineStr"/>
      <c r="P3589" s="16" t="inlineStr">
        <is>
          <t>Требует обогащения</t>
        </is>
      </c>
      <c r="Q3589" s="16">
        <f>HYPERLINK("https://pb.nalog.ru/search.html?query=6501279940","ФНС: проверить")</f>
        <v/>
      </c>
      <c r="R3589" s="16">
        <f>HYPERLINK("https://checko.ru/search?query=3801001629","Чекко: проверить")</f>
        <v/>
      </c>
      <c r="S3589" t="n">
        <v>0</v>
      </c>
      <c r="T3589" s="35" t="inlineStr">
        <is>
          <t>4 — Не обогащён</t>
        </is>
      </c>
      <c r="U3589" s="35" t="inlineStr">
        <is>
          <t>Нет ОКВЭД/ССЧР</t>
        </is>
      </c>
      <c r="V3589" s="35" t="inlineStr">
        <is>
          <t>Не определено</t>
        </is>
      </c>
      <c r="W3589" s="35" t="inlineStr"/>
      <c r="X3589" s="35" t="inlineStr"/>
    </row>
    <row r="3590" ht="15" customHeight="1" s="24">
      <c r="A3590" s="13" t="n">
        <v>5000089265</v>
      </c>
      <c r="B3590" s="13" t="inlineStr">
        <is>
          <t>Спец.(коррекц) общеобразовательная шк № 17</t>
        </is>
      </c>
      <c r="C3590" s="13" t="n">
        <v>2511037815</v>
      </c>
      <c r="D3590" s="13" t="inlineStr">
        <is>
          <t>2511037815</t>
        </is>
      </c>
      <c r="E3590" s="13" t="inlineStr">
        <is>
          <t>ЮЛ РФ</t>
        </is>
      </c>
      <c r="F3590" s="13" t="n"/>
      <c r="G3590" s="14" t="n"/>
      <c r="H3590" s="14" t="n"/>
      <c r="I3590" s="14" t="n"/>
      <c r="J3590" s="14" t="n"/>
      <c r="K3590" s="53" t="inlineStr"/>
      <c r="L3590" s="53" t="inlineStr">
        <is>
          <t>Не определено</t>
        </is>
      </c>
      <c r="M3590" s="53" t="inlineStr"/>
      <c r="N3590" s="54" t="inlineStr"/>
      <c r="O3590" s="55" t="inlineStr"/>
      <c r="P3590" s="16" t="inlineStr">
        <is>
          <t>Требует обогащения</t>
        </is>
      </c>
      <c r="Q3590" s="16">
        <f>HYPERLINK("https://pb.nalog.ru/search.html?query=2511037815","ФНС: проверить")</f>
        <v/>
      </c>
      <c r="R3590" s="16">
        <f>HYPERLINK("https://checko.ru/search?query=3801001629","Чекко: проверить")</f>
        <v/>
      </c>
      <c r="S3590" t="n">
        <v>1</v>
      </c>
      <c r="T3590" s="35" t="inlineStr">
        <is>
          <t>4 — Не обогащён</t>
        </is>
      </c>
      <c r="U3590" s="35" t="inlineStr">
        <is>
          <t>Нет ОКВЭД/ССЧР</t>
        </is>
      </c>
      <c r="V3590" s="35" t="inlineStr">
        <is>
          <t>Не определено</t>
        </is>
      </c>
      <c r="W3590" s="35" t="inlineStr"/>
      <c r="X3590" s="35" t="inlineStr"/>
    </row>
    <row r="3591" ht="27.75" customHeight="1" s="24">
      <c r="A3591" s="13" t="n">
        <v>5000107142</v>
      </c>
      <c r="B3591" s="13" t="inlineStr">
        <is>
          <t>ГБУК «Музейно-мемориальный комплекс «Победа»</t>
        </is>
      </c>
      <c r="C3591" s="13" t="n">
        <v>6501287860</v>
      </c>
      <c r="D3591" s="13" t="inlineStr">
        <is>
          <t>6501287860</t>
        </is>
      </c>
      <c r="E3591" s="13" t="inlineStr">
        <is>
          <t>ЮЛ РФ</t>
        </is>
      </c>
      <c r="F3591" s="13" t="n"/>
      <c r="G3591" s="14" t="n"/>
      <c r="H3591" s="14" t="n"/>
      <c r="I3591" s="14" t="n"/>
      <c r="J3591" s="14" t="n"/>
      <c r="K3591" s="53" t="inlineStr"/>
      <c r="L3591" s="53" t="inlineStr">
        <is>
          <t>Не определено</t>
        </is>
      </c>
      <c r="M3591" s="53" t="inlineStr"/>
      <c r="N3591" s="54" t="inlineStr"/>
      <c r="O3591" s="55" t="inlineStr"/>
      <c r="P3591" s="16" t="inlineStr">
        <is>
          <t>Требует обогащения</t>
        </is>
      </c>
      <c r="Q3591" s="16">
        <f>HYPERLINK("https://pb.nalog.ru/search.html?query=6501287860","ФНС: проверить")</f>
        <v/>
      </c>
      <c r="R3591" s="16">
        <f>HYPERLINK("https://checko.ru/search?query=3801001629","Чекко: проверить")</f>
        <v/>
      </c>
      <c r="S3591" t="n">
        <v>1</v>
      </c>
      <c r="T3591" s="35" t="inlineStr">
        <is>
          <t>4 — Не обогащён</t>
        </is>
      </c>
      <c r="U3591" s="35" t="inlineStr">
        <is>
          <t>Нет ОКВЭД/ССЧР</t>
        </is>
      </c>
      <c r="V3591" s="35" t="inlineStr">
        <is>
          <t>Не определено</t>
        </is>
      </c>
      <c r="W3591" s="35" t="inlineStr"/>
      <c r="X3591" s="35" t="inlineStr"/>
    </row>
    <row r="3592" ht="15" customHeight="1" s="24">
      <c r="A3592" s="13" t="n">
        <v>5000085011</v>
      </c>
      <c r="B3592" s="13" t="inlineStr">
        <is>
          <t>Центр занятости населения Холмского района</t>
        </is>
      </c>
      <c r="C3592" s="13" t="n">
        <v>6509007761</v>
      </c>
      <c r="D3592" s="13" t="inlineStr">
        <is>
          <t>6509007761</t>
        </is>
      </c>
      <c r="E3592" s="13" t="inlineStr">
        <is>
          <t>ЮЛ РФ</t>
        </is>
      </c>
      <c r="F3592" s="13" t="n"/>
      <c r="G3592" s="14" t="n"/>
      <c r="H3592" s="14" t="n"/>
      <c r="I3592" s="14" t="n"/>
      <c r="J3592" s="14" t="n"/>
      <c r="K3592" s="53" t="inlineStr"/>
      <c r="L3592" s="53" t="inlineStr">
        <is>
          <t>Не определено</t>
        </is>
      </c>
      <c r="M3592" s="53" t="inlineStr"/>
      <c r="N3592" s="54" t="inlineStr"/>
      <c r="O3592" s="55" t="inlineStr"/>
      <c r="P3592" s="16" t="inlineStr">
        <is>
          <t>Требует обогащения</t>
        </is>
      </c>
      <c r="Q3592" s="16">
        <f>HYPERLINK("https://pb.nalog.ru/search.html?query=6509007761","ФНС: проверить")</f>
        <v/>
      </c>
      <c r="R3592" s="16">
        <f>HYPERLINK("https://checko.ru/search?query=3801001629","Чекко: проверить")</f>
        <v/>
      </c>
      <c r="S3592" t="n">
        <v>1</v>
      </c>
      <c r="T3592" s="35" t="inlineStr">
        <is>
          <t>4 — Не обогащён</t>
        </is>
      </c>
      <c r="U3592" s="35" t="inlineStr">
        <is>
          <t>Нет ОКВЭД/ССЧР</t>
        </is>
      </c>
      <c r="V3592" s="35" t="inlineStr">
        <is>
          <t>Не определено</t>
        </is>
      </c>
      <c r="W3592" s="35" t="inlineStr"/>
      <c r="X3592" s="35" t="inlineStr"/>
    </row>
    <row r="3593" ht="15" customHeight="1" s="24">
      <c r="A3593" s="13" t="n">
        <v>5000086891</v>
      </c>
      <c r="B3593" s="13" t="inlineStr">
        <is>
          <t>МБУ "СОК "АФАЛИНА"</t>
        </is>
      </c>
      <c r="C3593" s="13" t="n">
        <v>6518009204</v>
      </c>
      <c r="D3593" s="13" t="inlineStr">
        <is>
          <t>6518009204</t>
        </is>
      </c>
      <c r="E3593" s="13" t="inlineStr">
        <is>
          <t>ЮЛ РФ</t>
        </is>
      </c>
      <c r="F3593" s="13" t="n"/>
      <c r="G3593" s="14" t="n"/>
      <c r="H3593" s="14" t="n"/>
      <c r="I3593" s="14" t="n"/>
      <c r="J3593" s="14" t="n"/>
      <c r="K3593" s="53" t="inlineStr"/>
      <c r="L3593" s="53" t="inlineStr">
        <is>
          <t>Не определено</t>
        </is>
      </c>
      <c r="M3593" s="53" t="inlineStr"/>
      <c r="N3593" s="54" t="inlineStr"/>
      <c r="O3593" s="55" t="inlineStr"/>
      <c r="P3593" s="16" t="inlineStr">
        <is>
          <t>Требует обогащения</t>
        </is>
      </c>
      <c r="Q3593" s="16">
        <f>HYPERLINK("https://pb.nalog.ru/search.html?query=6518009204","ФНС: проверить")</f>
        <v/>
      </c>
      <c r="R3593" s="16">
        <f>HYPERLINK("https://checko.ru/search?query=3801001629","Чекко: проверить")</f>
        <v/>
      </c>
      <c r="S3593" t="n">
        <v>1</v>
      </c>
      <c r="T3593" s="35" t="inlineStr">
        <is>
          <t>4 — Не обогащён</t>
        </is>
      </c>
      <c r="U3593" s="35" t="inlineStr">
        <is>
          <t>Нет ОКВЭД/ССЧР</t>
        </is>
      </c>
      <c r="V3593" s="35" t="inlineStr">
        <is>
          <t>Не определено</t>
        </is>
      </c>
      <c r="W3593" s="35" t="inlineStr"/>
      <c r="X3593" s="35" t="inlineStr"/>
    </row>
    <row r="3594" ht="41.25" customHeight="1" s="24">
      <c r="A3594" s="13" t="n">
        <v>5000106477</v>
      </c>
      <c r="B3594" s="13" t="inlineStr">
        <is>
          <t>КОМИТЕТ ПО УПРАВЛЕНИЮ МУНИЦИПАЛЬНОЙ СОБСТВЕННОСТЬЮ МО "ТЫМОВСКИЙ ГОРОДСКОЙ ОКРУГ"</t>
        </is>
      </c>
      <c r="C3594" s="13" t="n">
        <v>6517001386</v>
      </c>
      <c r="D3594" s="13" t="inlineStr">
        <is>
          <t>6517001386</t>
        </is>
      </c>
      <c r="E3594" s="13" t="inlineStr">
        <is>
          <t>ЮЛ РФ</t>
        </is>
      </c>
      <c r="F3594" s="13" t="n"/>
      <c r="G3594" s="14" t="n"/>
      <c r="H3594" s="14" t="n"/>
      <c r="I3594" s="14" t="n"/>
      <c r="J3594" s="14" t="n"/>
      <c r="K3594" s="53" t="inlineStr"/>
      <c r="L3594" s="53" t="inlineStr">
        <is>
          <t>Не определено</t>
        </is>
      </c>
      <c r="M3594" s="53" t="inlineStr"/>
      <c r="N3594" s="54" t="inlineStr"/>
      <c r="O3594" s="55" t="inlineStr"/>
      <c r="P3594" s="16" t="inlineStr">
        <is>
          <t>Требует обогащения</t>
        </is>
      </c>
      <c r="Q3594" s="16">
        <f>HYPERLINK("https://pb.nalog.ru/search.html?query=6517001386","ФНС: проверить")</f>
        <v/>
      </c>
      <c r="R3594" s="16">
        <f>HYPERLINK("https://checko.ru/search?query=3801001629","Чекко: проверить")</f>
        <v/>
      </c>
      <c r="S3594" t="n">
        <v>0</v>
      </c>
      <c r="T3594" s="35" t="inlineStr">
        <is>
          <t>4 — Не обогащён</t>
        </is>
      </c>
      <c r="U3594" s="35" t="inlineStr">
        <is>
          <t>Нет ОКВЭД/ССЧР</t>
        </is>
      </c>
      <c r="V3594" s="35" t="inlineStr">
        <is>
          <t>Не определено</t>
        </is>
      </c>
      <c r="W3594" s="35" t="inlineStr"/>
      <c r="X3594" s="35" t="inlineStr"/>
    </row>
    <row r="3595" ht="15" customHeight="1" s="24">
      <c r="A3595" s="13" t="n">
        <v>5000098340</v>
      </c>
      <c r="B3595" s="13" t="inlineStr">
        <is>
          <t>ГОУ НПО "Профессиональное училище №3"</t>
        </is>
      </c>
      <c r="C3595" s="13" t="n">
        <v>2511009342</v>
      </c>
      <c r="D3595" s="13" t="inlineStr">
        <is>
          <t>2511009342</t>
        </is>
      </c>
      <c r="E3595" s="13" t="inlineStr">
        <is>
          <t>ЮЛ РФ</t>
        </is>
      </c>
      <c r="F3595" s="13" t="n"/>
      <c r="G3595" s="14" t="n"/>
      <c r="H3595" s="14" t="n"/>
      <c r="I3595" s="14" t="n"/>
      <c r="J3595" s="14" t="n"/>
      <c r="K3595" s="53" t="inlineStr"/>
      <c r="L3595" s="53" t="inlineStr">
        <is>
          <t>Не определено</t>
        </is>
      </c>
      <c r="M3595" s="53" t="inlineStr"/>
      <c r="N3595" s="54" t="inlineStr"/>
      <c r="O3595" s="55" t="inlineStr"/>
      <c r="P3595" s="16" t="inlineStr">
        <is>
          <t>Требует обогащения</t>
        </is>
      </c>
      <c r="Q3595" s="16">
        <f>HYPERLINK("https://pb.nalog.ru/search.html?query=2511009342","ФНС: проверить")</f>
        <v/>
      </c>
      <c r="R3595" s="16">
        <f>HYPERLINK("https://checko.ru/search?query=3801001629","Чекко: проверить")</f>
        <v/>
      </c>
      <c r="S3595" t="n">
        <v>1</v>
      </c>
      <c r="T3595" s="35" t="inlineStr">
        <is>
          <t>4 — Не обогащён</t>
        </is>
      </c>
      <c r="U3595" s="35" t="inlineStr">
        <is>
          <t>Нет ОКВЭД/ССЧР</t>
        </is>
      </c>
      <c r="V3595" s="35" t="inlineStr">
        <is>
          <t>Не определено</t>
        </is>
      </c>
      <c r="W3595" s="35" t="inlineStr"/>
      <c r="X3595" s="35" t="inlineStr"/>
    </row>
    <row r="3596" ht="27.75" customHeight="1" s="24">
      <c r="A3596" s="13" t="n">
        <v>5000098654</v>
      </c>
      <c r="B3596" s="13" t="inlineStr">
        <is>
          <t>ГОБУ СПО "Сахалинский базовый медицинский колледж"</t>
        </is>
      </c>
      <c r="C3596" s="13" t="n">
        <v>6501069759</v>
      </c>
      <c r="D3596" s="13" t="inlineStr">
        <is>
          <t>6501069759</t>
        </is>
      </c>
      <c r="E3596" s="13" t="inlineStr">
        <is>
          <t>ЮЛ РФ</t>
        </is>
      </c>
      <c r="F3596" s="13" t="n"/>
      <c r="G3596" s="14" t="n"/>
      <c r="H3596" s="14" t="n"/>
      <c r="I3596" s="14" t="n"/>
      <c r="J3596" s="14" t="n"/>
      <c r="K3596" s="53" t="inlineStr"/>
      <c r="L3596" s="53" t="inlineStr">
        <is>
          <t>Не определено</t>
        </is>
      </c>
      <c r="M3596" s="53" t="inlineStr"/>
      <c r="N3596" s="54" t="inlineStr"/>
      <c r="O3596" s="55" t="inlineStr"/>
      <c r="P3596" s="16" t="inlineStr">
        <is>
          <t>Требует обогащения</t>
        </is>
      </c>
      <c r="Q3596" s="16">
        <f>HYPERLINK("https://pb.nalog.ru/search.html?query=6501069759","ФНС: проверить")</f>
        <v/>
      </c>
      <c r="R3596" s="16">
        <f>HYPERLINK("https://checko.ru/search?query=3801001629","Чекко: проверить")</f>
        <v/>
      </c>
      <c r="S3596" t="n">
        <v>1</v>
      </c>
      <c r="T3596" s="35" t="inlineStr">
        <is>
          <t>4 — Не обогащён</t>
        </is>
      </c>
      <c r="U3596" s="35" t="inlineStr">
        <is>
          <t>Нет ОКВЭД/ССЧР</t>
        </is>
      </c>
      <c r="V3596" s="35" t="inlineStr">
        <is>
          <t>Не определено</t>
        </is>
      </c>
      <c r="W3596" s="35" t="inlineStr"/>
      <c r="X3596" s="35" t="inlineStr"/>
    </row>
    <row r="3597" ht="27.75" customHeight="1" s="24">
      <c r="A3597" s="13" t="n">
        <v>5000027483</v>
      </c>
      <c r="B3597" s="13" t="inlineStr">
        <is>
          <t>Муниципальное казенное учреждение культуры Онгуренский дом культуры</t>
        </is>
      </c>
      <c r="C3597" s="13" t="n">
        <v>3836004229</v>
      </c>
      <c r="D3597" s="13" t="inlineStr">
        <is>
          <t>3836004229</t>
        </is>
      </c>
      <c r="E3597" s="13" t="inlineStr">
        <is>
          <t>ЮЛ РФ</t>
        </is>
      </c>
      <c r="F3597" s="13" t="n"/>
      <c r="G3597" s="14" t="n"/>
      <c r="H3597" s="14" t="n"/>
      <c r="I3597" s="14" t="n"/>
      <c r="J3597" s="14" t="n"/>
      <c r="K3597" s="53" t="inlineStr"/>
      <c r="L3597" s="53" t="inlineStr">
        <is>
          <t>Не определено</t>
        </is>
      </c>
      <c r="M3597" s="53" t="inlineStr"/>
      <c r="N3597" s="54" t="inlineStr"/>
      <c r="O3597" s="55" t="inlineStr"/>
      <c r="P3597" s="16" t="inlineStr">
        <is>
          <t>Требует обогащения</t>
        </is>
      </c>
      <c r="Q3597" s="16">
        <f>HYPERLINK("https://pb.nalog.ru/search.html?query=3836004229","ФНС: проверить")</f>
        <v/>
      </c>
      <c r="R3597" s="16">
        <f>HYPERLINK("https://checko.ru/search?query=3801001629","Чекко: проверить")</f>
        <v/>
      </c>
      <c r="S3597" t="n">
        <v>1</v>
      </c>
      <c r="T3597" s="35" t="inlineStr">
        <is>
          <t>4 — Не обогащён</t>
        </is>
      </c>
      <c r="U3597" s="35" t="inlineStr">
        <is>
          <t>Нет ОКВЭД/ССЧР</t>
        </is>
      </c>
      <c r="V3597" s="35" t="inlineStr">
        <is>
          <t>Не определено</t>
        </is>
      </c>
      <c r="W3597" s="35" t="inlineStr"/>
      <c r="X3597" s="35" t="inlineStr"/>
    </row>
    <row r="3598" ht="27.75" customHeight="1" s="24">
      <c r="A3598" s="13" t="n">
        <v>5000027484</v>
      </c>
      <c r="B3598" s="13" t="inlineStr">
        <is>
          <t>Администрация Куретского муниципального образования-Администрация сельского поселения</t>
        </is>
      </c>
      <c r="C3598" s="13" t="n">
        <v>3836003497</v>
      </c>
      <c r="D3598" s="13" t="inlineStr">
        <is>
          <t>3836003497</t>
        </is>
      </c>
      <c r="E3598" s="13" t="inlineStr">
        <is>
          <t>ЮЛ РФ</t>
        </is>
      </c>
      <c r="F3598" s="13" t="n"/>
      <c r="G3598" s="14" t="n"/>
      <c r="H3598" s="14" t="n"/>
      <c r="I3598" s="14" t="n"/>
      <c r="J3598" s="14" t="n"/>
      <c r="K3598" s="53" t="inlineStr"/>
      <c r="L3598" s="53" t="inlineStr">
        <is>
          <t>Не определено</t>
        </is>
      </c>
      <c r="M3598" s="53" t="inlineStr"/>
      <c r="N3598" s="54" t="inlineStr"/>
      <c r="O3598" s="55" t="inlineStr"/>
      <c r="P3598" s="16" t="inlineStr">
        <is>
          <t>Требует обогащения</t>
        </is>
      </c>
      <c r="Q3598" s="16">
        <f>HYPERLINK("https://pb.nalog.ru/search.html?query=3836003497","ФНС: проверить")</f>
        <v/>
      </c>
      <c r="R3598" s="16">
        <f>HYPERLINK("https://checko.ru/search?query=3801001629","Чекко: проверить")</f>
        <v/>
      </c>
      <c r="S3598" t="n">
        <v>1</v>
      </c>
      <c r="T3598" s="35" t="inlineStr">
        <is>
          <t>4 — Не обогащён</t>
        </is>
      </c>
      <c r="U3598" s="35" t="inlineStr">
        <is>
          <t>Нет ОКВЭД/ССЧР</t>
        </is>
      </c>
      <c r="V3598" s="35" t="inlineStr">
        <is>
          <t>Не определено</t>
        </is>
      </c>
      <c r="W3598" s="35" t="inlineStr"/>
      <c r="X3598" s="35" t="inlineStr"/>
    </row>
    <row r="3599" ht="27.75" customHeight="1" s="24">
      <c r="A3599" s="13" t="n">
        <v>5000027485</v>
      </c>
      <c r="B3599" s="13" t="inlineStr">
        <is>
          <t>Муниципальное казенное учреждение культуры Куретский Досуговый центр Куретского МО</t>
        </is>
      </c>
      <c r="C3599" s="13" t="n">
        <v>3827059398</v>
      </c>
      <c r="D3599" s="13" t="inlineStr">
        <is>
          <t>3827059398</t>
        </is>
      </c>
      <c r="E3599" s="13" t="inlineStr">
        <is>
          <t>ЮЛ РФ</t>
        </is>
      </c>
      <c r="F3599" s="13" t="n"/>
      <c r="G3599" s="14" t="n"/>
      <c r="H3599" s="14" t="n"/>
      <c r="I3599" s="14" t="n"/>
      <c r="J3599" s="14" t="n"/>
      <c r="K3599" s="53" t="inlineStr"/>
      <c r="L3599" s="53" t="inlineStr">
        <is>
          <t>Не определено</t>
        </is>
      </c>
      <c r="M3599" s="53" t="inlineStr"/>
      <c r="N3599" s="54" t="inlineStr"/>
      <c r="O3599" s="55" t="inlineStr"/>
      <c r="P3599" s="16" t="inlineStr">
        <is>
          <t>Требует обогащения</t>
        </is>
      </c>
      <c r="Q3599" s="16">
        <f>HYPERLINK("https://pb.nalog.ru/search.html?query=3827059398","ФНС: проверить")</f>
        <v/>
      </c>
      <c r="R3599" s="16">
        <f>HYPERLINK("https://checko.ru/search?query=3801001629","Чекко: проверить")</f>
        <v/>
      </c>
      <c r="S3599" t="n">
        <v>1</v>
      </c>
      <c r="T3599" s="35" t="inlineStr">
        <is>
          <t>4 — Не обогащён</t>
        </is>
      </c>
      <c r="U3599" s="35" t="inlineStr">
        <is>
          <t>Нет ОКВЭД/ССЧР</t>
        </is>
      </c>
      <c r="V3599" s="35" t="inlineStr">
        <is>
          <t>Не определено</t>
        </is>
      </c>
      <c r="W3599" s="35" t="inlineStr"/>
      <c r="X3599" s="35" t="inlineStr"/>
    </row>
    <row r="3600" ht="27.75" customHeight="1" s="24">
      <c r="A3600" s="13" t="n">
        <v>5000027470</v>
      </c>
      <c r="B3600" s="13" t="inlineStr">
        <is>
          <t>Администрация Ольхонского районного муниципального образования</t>
        </is>
      </c>
      <c r="C3600" s="13" t="n">
        <v>3836000390</v>
      </c>
      <c r="D3600" s="13" t="inlineStr">
        <is>
          <t>3836000390</t>
        </is>
      </c>
      <c r="E3600" s="13" t="inlineStr">
        <is>
          <t>ЮЛ РФ</t>
        </is>
      </c>
      <c r="F3600" s="13" t="n"/>
      <c r="G3600" s="14" t="n"/>
      <c r="H3600" s="14" t="n"/>
      <c r="I3600" s="14" t="n"/>
      <c r="J3600" s="14" t="n"/>
      <c r="K3600" s="53" t="inlineStr"/>
      <c r="L3600" s="53" t="inlineStr">
        <is>
          <t>Не определено</t>
        </is>
      </c>
      <c r="M3600" s="53" t="inlineStr"/>
      <c r="N3600" s="54" t="inlineStr"/>
      <c r="O3600" s="55" t="inlineStr"/>
      <c r="P3600" s="16" t="inlineStr">
        <is>
          <t>Требует обогащения</t>
        </is>
      </c>
      <c r="Q3600" s="16">
        <f>HYPERLINK("https://pb.nalog.ru/search.html?query=3836000390","ФНС: проверить")</f>
        <v/>
      </c>
      <c r="R3600" s="16">
        <f>HYPERLINK("https://checko.ru/search?query=3801001629","Чекко: проверить")</f>
        <v/>
      </c>
      <c r="S3600" t="n">
        <v>1</v>
      </c>
      <c r="T3600" s="35" t="inlineStr">
        <is>
          <t>4 — Не обогащён</t>
        </is>
      </c>
      <c r="U3600" s="35" t="inlineStr">
        <is>
          <t>Нет ОКВЭД/ССЧР</t>
        </is>
      </c>
      <c r="V3600" s="35" t="inlineStr">
        <is>
          <t>Не определено</t>
        </is>
      </c>
      <c r="W3600" s="35" t="inlineStr"/>
      <c r="X3600" s="35" t="inlineStr"/>
    </row>
    <row r="3601" ht="54.75" customHeight="1" s="24">
      <c r="A3601" s="13" t="n">
        <v>5000061485</v>
      </c>
      <c r="B3601" s="13" t="inlineStr">
        <is>
          <t>МКУ "МЕЖВЕДОМСТВЕННАЯ ЦЕНТРАЛИЗОВАННАЯ БУХГАЛТЕРИЯ, ОБСЛУЖИВАЮЩАЯ ОРГАНЫ МЕСТНОГО САМОУПРАВЛЕНИЯ И МУНИЦИПАЛЬНЫЕ УЧРЕЖДЕ</t>
        </is>
      </c>
      <c r="C3601" s="13" t="n">
        <v>6503014138</v>
      </c>
      <c r="D3601" s="13" t="inlineStr">
        <is>
          <t>6503014138</t>
        </is>
      </c>
      <c r="E3601" s="13" t="inlineStr">
        <is>
          <t>ЮЛ РФ</t>
        </is>
      </c>
      <c r="F3601" s="13" t="n"/>
      <c r="G3601" s="14" t="n"/>
      <c r="H3601" s="14" t="n"/>
      <c r="I3601" s="14" t="n"/>
      <c r="J3601" s="14" t="n"/>
      <c r="K3601" s="53" t="inlineStr"/>
      <c r="L3601" s="53" t="inlineStr">
        <is>
          <t>Не определено</t>
        </is>
      </c>
      <c r="M3601" s="53" t="inlineStr"/>
      <c r="N3601" s="54" t="inlineStr"/>
      <c r="O3601" s="55" t="inlineStr"/>
      <c r="P3601" s="16" t="inlineStr">
        <is>
          <t>Требует обогащения</t>
        </is>
      </c>
      <c r="Q3601" s="16">
        <f>HYPERLINK("https://pb.nalog.ru/search.html?query=6503014138","ФНС: проверить")</f>
        <v/>
      </c>
      <c r="R3601" s="16">
        <f>HYPERLINK("https://checko.ru/search?query=3801001629","Чекко: проверить")</f>
        <v/>
      </c>
      <c r="S3601" t="n">
        <v>1</v>
      </c>
      <c r="T3601" s="35" t="inlineStr">
        <is>
          <t>4 — Не обогащён</t>
        </is>
      </c>
      <c r="U3601" s="35" t="inlineStr">
        <is>
          <t>Нет ОКВЭД/ССЧР</t>
        </is>
      </c>
      <c r="V3601" s="35" t="inlineStr">
        <is>
          <t>Не определено</t>
        </is>
      </c>
      <c r="W3601" s="35" t="inlineStr"/>
      <c r="X3601" s="35" t="inlineStr"/>
    </row>
    <row r="3602" ht="15" customHeight="1" s="24">
      <c r="A3602" s="13" t="n">
        <v>5000097282</v>
      </c>
      <c r="B3602" s="13" t="inlineStr">
        <is>
          <t>Собрание МО ГО "Долинский"</t>
        </is>
      </c>
      <c r="C3602" s="13" t="n">
        <v>6503007701</v>
      </c>
      <c r="D3602" s="13" t="inlineStr">
        <is>
          <t>6503007701</t>
        </is>
      </c>
      <c r="E3602" s="13" t="inlineStr">
        <is>
          <t>ЮЛ РФ</t>
        </is>
      </c>
      <c r="F3602" s="13" t="n"/>
      <c r="G3602" s="14" t="n"/>
      <c r="H3602" s="14" t="n"/>
      <c r="I3602" s="14" t="n"/>
      <c r="J3602" s="14" t="n"/>
      <c r="K3602" s="53" t="inlineStr"/>
      <c r="L3602" s="53" t="inlineStr">
        <is>
          <t>Не определено</t>
        </is>
      </c>
      <c r="M3602" s="53" t="inlineStr"/>
      <c r="N3602" s="54" t="inlineStr"/>
      <c r="O3602" s="55" t="inlineStr"/>
      <c r="P3602" s="16" t="inlineStr">
        <is>
          <t>Требует обогащения</t>
        </is>
      </c>
      <c r="Q3602" s="16">
        <f>HYPERLINK("https://pb.nalog.ru/search.html?query=6503007701","ФНС: проверить")</f>
        <v/>
      </c>
      <c r="R3602" s="16">
        <f>HYPERLINK("https://checko.ru/search?query=3801001629","Чекко: проверить")</f>
        <v/>
      </c>
      <c r="S3602" t="n">
        <v>1</v>
      </c>
      <c r="T3602" s="35" t="inlineStr">
        <is>
          <t>4 — Не обогащён</t>
        </is>
      </c>
      <c r="U3602" s="35" t="inlineStr">
        <is>
          <t>Нет ОКВЭД/ССЧР</t>
        </is>
      </c>
      <c r="V3602" s="35" t="inlineStr">
        <is>
          <t>Не определено</t>
        </is>
      </c>
      <c r="W3602" s="35" t="inlineStr"/>
      <c r="X3602" s="35" t="inlineStr"/>
    </row>
    <row r="3603" ht="27.75" customHeight="1" s="24">
      <c r="A3603" s="13" t="n">
        <v>5000052061</v>
      </c>
      <c r="B3603" s="13" t="inlineStr">
        <is>
          <t>МКУ "Централизованная бухгалтерия г. Курильска"</t>
        </is>
      </c>
      <c r="C3603" s="13" t="n">
        <v>6511005419</v>
      </c>
      <c r="D3603" s="13" t="inlineStr">
        <is>
          <t>6511005419</t>
        </is>
      </c>
      <c r="E3603" s="13" t="inlineStr">
        <is>
          <t>ЮЛ РФ</t>
        </is>
      </c>
      <c r="F3603" s="13" t="n"/>
      <c r="G3603" s="14" t="n"/>
      <c r="H3603" s="14" t="n"/>
      <c r="I3603" s="14" t="n"/>
      <c r="J3603" s="14" t="n"/>
      <c r="K3603" s="53" t="inlineStr"/>
      <c r="L3603" s="53" t="inlineStr">
        <is>
          <t>Не определено</t>
        </is>
      </c>
      <c r="M3603" s="53" t="inlineStr"/>
      <c r="N3603" s="54" t="inlineStr"/>
      <c r="O3603" s="55" t="inlineStr"/>
      <c r="P3603" s="16" t="inlineStr">
        <is>
          <t>Требует обогащения</t>
        </is>
      </c>
      <c r="Q3603" s="16">
        <f>HYPERLINK("https://pb.nalog.ru/search.html?query=6511005419","ФНС: проверить")</f>
        <v/>
      </c>
      <c r="R3603" s="16">
        <f>HYPERLINK("https://checko.ru/search?query=3801001629","Чекко: проверить")</f>
        <v/>
      </c>
      <c r="S3603" t="n">
        <v>1</v>
      </c>
      <c r="T3603" s="35" t="inlineStr">
        <is>
          <t>4 — Не обогащён</t>
        </is>
      </c>
      <c r="U3603" s="35" t="inlineStr">
        <is>
          <t>Нет ОКВЭД/ССЧР</t>
        </is>
      </c>
      <c r="V3603" s="35" t="inlineStr">
        <is>
          <t>Не определено</t>
        </is>
      </c>
      <c r="W3603" s="35" t="inlineStr"/>
      <c r="X3603" s="35" t="inlineStr"/>
    </row>
    <row r="3604" ht="27.75" customHeight="1" s="24">
      <c r="A3604" s="13" t="n">
        <v>5000098210</v>
      </c>
      <c r="B3604" s="13" t="inlineStr">
        <is>
          <t>КГБУ СО "Шкотовский центр по оказанию помощи лицам без определенного места жительства"</t>
        </is>
      </c>
      <c r="C3604" s="13" t="n">
        <v>2503018713</v>
      </c>
      <c r="D3604" s="13" t="inlineStr">
        <is>
          <t>2503018713</t>
        </is>
      </c>
      <c r="E3604" s="13" t="inlineStr">
        <is>
          <t>ЮЛ РФ</t>
        </is>
      </c>
      <c r="F3604" s="13" t="n"/>
      <c r="G3604" s="14" t="n"/>
      <c r="H3604" s="14" t="n"/>
      <c r="I3604" s="14" t="n"/>
      <c r="J3604" s="14" t="n"/>
      <c r="K3604" s="53" t="inlineStr"/>
      <c r="L3604" s="53" t="inlineStr">
        <is>
          <t>Не определено</t>
        </is>
      </c>
      <c r="M3604" s="53" t="inlineStr"/>
      <c r="N3604" s="54" t="inlineStr"/>
      <c r="O3604" s="55" t="inlineStr"/>
      <c r="P3604" s="16" t="inlineStr">
        <is>
          <t>Требует обогащения</t>
        </is>
      </c>
      <c r="Q3604" s="16">
        <f>HYPERLINK("https://pb.nalog.ru/search.html?query=2503018713","ФНС: проверить")</f>
        <v/>
      </c>
      <c r="R3604" s="16">
        <f>HYPERLINK("https://checko.ru/search?query=3801001629","Чекко: проверить")</f>
        <v/>
      </c>
      <c r="S3604" t="n">
        <v>1</v>
      </c>
      <c r="T3604" s="35" t="inlineStr">
        <is>
          <t>4 — Не обогащён</t>
        </is>
      </c>
      <c r="U3604" s="35" t="inlineStr">
        <is>
          <t>Нет ОКВЭД/ССЧР</t>
        </is>
      </c>
      <c r="V3604" s="35" t="inlineStr">
        <is>
          <t>Не определено</t>
        </is>
      </c>
      <c r="W3604" s="35" t="inlineStr"/>
      <c r="X3604" s="35" t="inlineStr"/>
    </row>
    <row r="3605" ht="27.75" customHeight="1" s="24">
      <c r="A3605" s="13" t="n">
        <v>5000012959</v>
      </c>
      <c r="B3605" s="13" t="inlineStr">
        <is>
          <t>Государственная инспекция по охране объектов культурного наследия Сахалинской области</t>
        </is>
      </c>
      <c r="C3605" s="13" t="n">
        <v>6501291680</v>
      </c>
      <c r="D3605" s="13" t="inlineStr">
        <is>
          <t>6501291680</t>
        </is>
      </c>
      <c r="E3605" s="13" t="inlineStr">
        <is>
          <t>ЮЛ РФ</t>
        </is>
      </c>
      <c r="F3605" s="13" t="n"/>
      <c r="G3605" s="14" t="n"/>
      <c r="H3605" s="14" t="n"/>
      <c r="I3605" s="14" t="n"/>
      <c r="J3605" s="14" t="n"/>
      <c r="K3605" s="53" t="inlineStr"/>
      <c r="L3605" s="53" t="inlineStr">
        <is>
          <t>Не определено</t>
        </is>
      </c>
      <c r="M3605" s="53" t="inlineStr"/>
      <c r="N3605" s="54" t="inlineStr"/>
      <c r="O3605" s="55" t="inlineStr"/>
      <c r="P3605" s="16" t="inlineStr">
        <is>
          <t>Требует обогащения</t>
        </is>
      </c>
      <c r="Q3605" s="16">
        <f>HYPERLINK("https://pb.nalog.ru/search.html?query=6501291680","ФНС: проверить")</f>
        <v/>
      </c>
      <c r="R3605" s="16">
        <f>HYPERLINK("https://checko.ru/search?query=3801001629","Чекко: проверить")</f>
        <v/>
      </c>
      <c r="S3605" t="n">
        <v>1</v>
      </c>
      <c r="T3605" s="35" t="inlineStr">
        <is>
          <t>4 — Не обогащён</t>
        </is>
      </c>
      <c r="U3605" s="35" t="inlineStr">
        <is>
          <t>Нет ОКВЭД/ССЧР</t>
        </is>
      </c>
      <c r="V3605" s="35" t="inlineStr">
        <is>
          <t>Не определено</t>
        </is>
      </c>
      <c r="W3605" s="35" t="inlineStr"/>
      <c r="X3605" s="35" t="inlineStr"/>
    </row>
    <row r="3606" ht="27.75" customHeight="1" s="24">
      <c r="A3606" s="13" t="n">
        <v>5000012959</v>
      </c>
      <c r="B3606" s="13" t="inlineStr">
        <is>
          <t>Государственная инспекция по охране объектов культурного наследия Сахалинской области</t>
        </is>
      </c>
      <c r="C3606" s="13" t="n">
        <v>6501291680</v>
      </c>
      <c r="D3606" s="13" t="inlineStr">
        <is>
          <t>6501291680</t>
        </is>
      </c>
      <c r="E3606" s="13" t="inlineStr">
        <is>
          <t>ЮЛ РФ</t>
        </is>
      </c>
      <c r="F3606" s="13" t="n"/>
      <c r="G3606" s="14" t="n"/>
      <c r="H3606" s="14" t="n"/>
      <c r="I3606" s="14" t="n"/>
      <c r="J3606" s="14" t="n"/>
      <c r="K3606" s="53" t="inlineStr"/>
      <c r="L3606" s="53" t="inlineStr">
        <is>
          <t>Не определено</t>
        </is>
      </c>
      <c r="M3606" s="53" t="inlineStr"/>
      <c r="N3606" s="54" t="inlineStr"/>
      <c r="O3606" s="55" t="inlineStr"/>
      <c r="P3606" s="16" t="inlineStr">
        <is>
          <t>Требует обогащения</t>
        </is>
      </c>
      <c r="Q3606" s="16">
        <f>HYPERLINK("https://pb.nalog.ru/search.html?query=6501291680","ФНС: проверить")</f>
        <v/>
      </c>
      <c r="R3606" s="16">
        <f>HYPERLINK("https://checko.ru/search?query=3801001629","Чекко: проверить")</f>
        <v/>
      </c>
      <c r="S3606" t="n">
        <v>0</v>
      </c>
      <c r="T3606" s="35" t="inlineStr">
        <is>
          <t>4 — Не обогащён</t>
        </is>
      </c>
      <c r="U3606" s="35" t="inlineStr">
        <is>
          <t>Нет ОКВЭД/ССЧР</t>
        </is>
      </c>
      <c r="V3606" s="35" t="inlineStr">
        <is>
          <t>Не определено</t>
        </is>
      </c>
      <c r="W3606" s="35" t="inlineStr"/>
      <c r="X3606" s="35" t="inlineStr"/>
    </row>
    <row r="3607" ht="27.75" customHeight="1" s="24">
      <c r="A3607" s="13" t="n">
        <v>5000098316</v>
      </c>
      <c r="B3607" s="13" t="inlineStr">
        <is>
          <t>краевое ГАПОУ "Лесозаводский индустриальный колледж"</t>
        </is>
      </c>
      <c r="C3607" s="13" t="n">
        <v>2507011324</v>
      </c>
      <c r="D3607" s="13" t="inlineStr">
        <is>
          <t>2507011324</t>
        </is>
      </c>
      <c r="E3607" s="13" t="inlineStr">
        <is>
          <t>ЮЛ РФ</t>
        </is>
      </c>
      <c r="F3607" s="13" t="n"/>
      <c r="G3607" s="14" t="n"/>
      <c r="H3607" s="14" t="n"/>
      <c r="I3607" s="14" t="n"/>
      <c r="J3607" s="14" t="n"/>
      <c r="K3607" s="53" t="inlineStr"/>
      <c r="L3607" s="53" t="inlineStr">
        <is>
          <t>Не определено</t>
        </is>
      </c>
      <c r="M3607" s="53" t="inlineStr"/>
      <c r="N3607" s="54" t="inlineStr"/>
      <c r="O3607" s="55" t="inlineStr"/>
      <c r="P3607" s="16" t="inlineStr">
        <is>
          <t>Требует обогащения</t>
        </is>
      </c>
      <c r="Q3607" s="16">
        <f>HYPERLINK("https://pb.nalog.ru/search.html?query=2507011324","ФНС: проверить")</f>
        <v/>
      </c>
      <c r="R3607" s="16">
        <f>HYPERLINK("https://checko.ru/search?query=3801001629","Чекко: проверить")</f>
        <v/>
      </c>
      <c r="S3607" t="n">
        <v>1</v>
      </c>
      <c r="T3607" s="35" t="inlineStr">
        <is>
          <t>4 — Не обогащён</t>
        </is>
      </c>
      <c r="U3607" s="35" t="inlineStr">
        <is>
          <t>Нет ОКВЭД/ССЧР</t>
        </is>
      </c>
      <c r="V3607" s="35" t="inlineStr">
        <is>
          <t>Не определено</t>
        </is>
      </c>
      <c r="W3607" s="35" t="inlineStr"/>
      <c r="X3607" s="35" t="inlineStr"/>
    </row>
    <row r="3608" ht="27.75" customHeight="1" s="24">
      <c r="A3608" s="13" t="n">
        <v>5000098206</v>
      </c>
      <c r="B3608" s="13" t="inlineStr">
        <is>
          <t>КРАЕВОЕ ГБУ СОЦИАЛЬНОГО ОБСЛУЖИВАНИЯ "МАЙСКИЙ ПСИХОНЕВРОЛОГИЧЕСКИЙ ИНТЕРНАТ"</t>
        </is>
      </c>
      <c r="C3608" s="13" t="n">
        <v>2533003337</v>
      </c>
      <c r="D3608" s="13" t="inlineStr">
        <is>
          <t>2533003337</t>
        </is>
      </c>
      <c r="E3608" s="13" t="inlineStr">
        <is>
          <t>ЮЛ РФ</t>
        </is>
      </c>
      <c r="F3608" s="13" t="n"/>
      <c r="G3608" s="14" t="n"/>
      <c r="H3608" s="14" t="n"/>
      <c r="I3608" s="14" t="n"/>
      <c r="J3608" s="14" t="n"/>
      <c r="K3608" s="53" t="inlineStr"/>
      <c r="L3608" s="53" t="inlineStr">
        <is>
          <t>Не определено</t>
        </is>
      </c>
      <c r="M3608" s="53" t="inlineStr"/>
      <c r="N3608" s="54" t="inlineStr"/>
      <c r="O3608" s="55" t="inlineStr"/>
      <c r="P3608" s="16" t="inlineStr">
        <is>
          <t>Требует обогащения</t>
        </is>
      </c>
      <c r="Q3608" s="16">
        <f>HYPERLINK("https://pb.nalog.ru/search.html?query=2533003337","ФНС: проверить")</f>
        <v/>
      </c>
      <c r="R3608" s="16">
        <f>HYPERLINK("https://checko.ru/search?query=3801001629","Чекко: проверить")</f>
        <v/>
      </c>
      <c r="S3608" t="n">
        <v>1</v>
      </c>
      <c r="T3608" s="35" t="inlineStr">
        <is>
          <t>4 — Не обогащён</t>
        </is>
      </c>
      <c r="U3608" s="35" t="inlineStr">
        <is>
          <t>Нет ОКВЭД/ССЧР</t>
        </is>
      </c>
      <c r="V3608" s="35" t="inlineStr">
        <is>
          <t>Не определено</t>
        </is>
      </c>
      <c r="W3608" s="35" t="inlineStr"/>
      <c r="X3608" s="35" t="inlineStr"/>
    </row>
    <row r="3609" ht="15" customHeight="1" s="24">
      <c r="A3609" s="13" t="n">
        <v>5000018378</v>
      </c>
      <c r="B3609" s="13" t="inlineStr">
        <is>
          <t>МАДОУ № 28 Г.ЮЖНО-САХАЛИНСКА</t>
        </is>
      </c>
      <c r="C3609" s="13" t="n">
        <v>6501284957</v>
      </c>
      <c r="D3609" s="13" t="inlineStr">
        <is>
          <t>6501284957</t>
        </is>
      </c>
      <c r="E3609" s="13" t="inlineStr">
        <is>
          <t>ЮЛ РФ</t>
        </is>
      </c>
      <c r="F3609" s="13" t="n"/>
      <c r="G3609" s="14" t="n"/>
      <c r="H3609" s="14" t="n"/>
      <c r="I3609" s="14" t="n"/>
      <c r="J3609" s="14" t="n"/>
      <c r="K3609" s="53" t="inlineStr"/>
      <c r="L3609" s="53" t="inlineStr">
        <is>
          <t>Не определено</t>
        </is>
      </c>
      <c r="M3609" s="53" t="inlineStr"/>
      <c r="N3609" s="54" t="inlineStr"/>
      <c r="O3609" s="55" t="inlineStr"/>
      <c r="P3609" s="16" t="inlineStr">
        <is>
          <t>Требует обогащения</t>
        </is>
      </c>
      <c r="Q3609" s="16">
        <f>HYPERLINK("https://pb.nalog.ru/search.html?query=6501284957","ФНС: проверить")</f>
        <v/>
      </c>
      <c r="R3609" s="16">
        <f>HYPERLINK("https://checko.ru/search?query=3801001629","Чекко: проверить")</f>
        <v/>
      </c>
      <c r="S3609" t="n">
        <v>1</v>
      </c>
      <c r="T3609" s="35" t="inlineStr">
        <is>
          <t>4 — Не обогащён</t>
        </is>
      </c>
      <c r="U3609" s="35" t="inlineStr">
        <is>
          <t>Нет ОКВЭД/ССЧР</t>
        </is>
      </c>
      <c r="V3609" s="35" t="inlineStr">
        <is>
          <t>Не определено</t>
        </is>
      </c>
      <c r="W3609" s="35" t="inlineStr"/>
      <c r="X3609" s="35" t="inlineStr"/>
    </row>
    <row r="3610" ht="15" customHeight="1" s="24">
      <c r="A3610" s="13" t="n">
        <v>5000098321</v>
      </c>
      <c r="B3610" s="13" t="inlineStr">
        <is>
          <t>КГВБУ "НАХОДКИНСКАЯ ВСББЖ"Лазовская СББЖ</t>
        </is>
      </c>
      <c r="C3610" s="13" t="n">
        <v>2508117669</v>
      </c>
      <c r="D3610" s="13" t="inlineStr">
        <is>
          <t>2508117669</t>
        </is>
      </c>
      <c r="E3610" s="13" t="inlineStr">
        <is>
          <t>ЮЛ РФ</t>
        </is>
      </c>
      <c r="F3610" s="13" t="n"/>
      <c r="G3610" s="14" t="n"/>
      <c r="H3610" s="14" t="n"/>
      <c r="I3610" s="14" t="n"/>
      <c r="J3610" s="14" t="n"/>
      <c r="K3610" s="53" t="inlineStr"/>
      <c r="L3610" s="53" t="inlineStr">
        <is>
          <t>Не определено</t>
        </is>
      </c>
      <c r="M3610" s="53" t="inlineStr"/>
      <c r="N3610" s="54" t="inlineStr"/>
      <c r="O3610" s="55" t="inlineStr"/>
      <c r="P3610" s="16" t="inlineStr">
        <is>
          <t>Требует обогащения</t>
        </is>
      </c>
      <c r="Q3610" s="16">
        <f>HYPERLINK("https://pb.nalog.ru/search.html?query=2508117669","ФНС: проверить")</f>
        <v/>
      </c>
      <c r="R3610" s="16">
        <f>HYPERLINK("https://checko.ru/search?query=3801001629","Чекко: проверить")</f>
        <v/>
      </c>
      <c r="S3610" t="n">
        <v>1</v>
      </c>
      <c r="T3610" s="35" t="inlineStr">
        <is>
          <t>4 — Не обогащён</t>
        </is>
      </c>
      <c r="U3610" s="35" t="inlineStr">
        <is>
          <t>Нет ОКВЭД/ССЧР</t>
        </is>
      </c>
      <c r="V3610" s="35" t="inlineStr">
        <is>
          <t>Не определено</t>
        </is>
      </c>
      <c r="W3610" s="35" t="inlineStr"/>
      <c r="X3610" s="35" t="inlineStr"/>
    </row>
    <row r="3611" ht="15" customHeight="1" s="24">
      <c r="A3611" s="13" t="n">
        <v>5000089272</v>
      </c>
      <c r="B3611" s="13" t="inlineStr">
        <is>
          <t>Школа-интернат №1 Артем</t>
        </is>
      </c>
      <c r="C3611" s="13" t="n">
        <v>2502018037</v>
      </c>
      <c r="D3611" s="13" t="inlineStr">
        <is>
          <t>2502018037</t>
        </is>
      </c>
      <c r="E3611" s="13" t="inlineStr">
        <is>
          <t>ЮЛ РФ</t>
        </is>
      </c>
      <c r="F3611" s="13" t="n"/>
      <c r="G3611" s="14" t="n"/>
      <c r="H3611" s="14" t="n"/>
      <c r="I3611" s="14" t="n"/>
      <c r="J3611" s="14" t="n"/>
      <c r="K3611" s="53" t="inlineStr"/>
      <c r="L3611" s="53" t="inlineStr">
        <is>
          <t>Не определено</t>
        </is>
      </c>
      <c r="M3611" s="53" t="inlineStr"/>
      <c r="N3611" s="54" t="inlineStr"/>
      <c r="O3611" s="55" t="inlineStr"/>
      <c r="P3611" s="16" t="inlineStr">
        <is>
          <t>Требует обогащения</t>
        </is>
      </c>
      <c r="Q3611" s="16">
        <f>HYPERLINK("https://pb.nalog.ru/search.html?query=2502018037","ФНС: проверить")</f>
        <v/>
      </c>
      <c r="R3611" s="16">
        <f>HYPERLINK("https://checko.ru/search?query=3801001629","Чекко: проверить")</f>
        <v/>
      </c>
      <c r="S3611" t="n">
        <v>1</v>
      </c>
      <c r="T3611" s="35" t="inlineStr">
        <is>
          <t>4 — Не обогащён</t>
        </is>
      </c>
      <c r="U3611" s="35" t="inlineStr">
        <is>
          <t>Нет ОКВЭД/ССЧР</t>
        </is>
      </c>
      <c r="V3611" s="35" t="inlineStr">
        <is>
          <t>Не определено</t>
        </is>
      </c>
      <c r="W3611" s="35" t="inlineStr"/>
      <c r="X3611" s="35" t="inlineStr"/>
    </row>
    <row r="3612" ht="54.75" customHeight="1" s="24">
      <c r="A3612" s="13" t="n">
        <v>5000089260</v>
      </c>
      <c r="B3612" s="13" t="inlineStr">
        <is>
          <t>КРАЕВОЕ ГОСУДАРСТВЕННОЕ ОБЩЕОБРАЗОВАТЕЛЬНОЕ БЮДЖЕТНОЕ УЧРЕЖДЕНИЕ "ПРИМОРСКОЕ СПЕЦИАЛЬНОЕ УЧЕБНО-ВОСП</t>
        </is>
      </c>
      <c r="C3612" s="13" t="n">
        <v>2511016149</v>
      </c>
      <c r="D3612" s="13" t="inlineStr">
        <is>
          <t>2511016149</t>
        </is>
      </c>
      <c r="E3612" s="13" t="inlineStr">
        <is>
          <t>ЮЛ РФ</t>
        </is>
      </c>
      <c r="F3612" s="13" t="n"/>
      <c r="G3612" s="14" t="n"/>
      <c r="H3612" s="14" t="n"/>
      <c r="I3612" s="14" t="n"/>
      <c r="J3612" s="14" t="n"/>
      <c r="K3612" s="53" t="inlineStr"/>
      <c r="L3612" s="53" t="inlineStr">
        <is>
          <t>Не определено</t>
        </is>
      </c>
      <c r="M3612" s="53" t="inlineStr"/>
      <c r="N3612" s="54" t="inlineStr"/>
      <c r="O3612" s="55" t="inlineStr"/>
      <c r="P3612" s="16" t="inlineStr">
        <is>
          <t>Требует обогащения</t>
        </is>
      </c>
      <c r="Q3612" s="16">
        <f>HYPERLINK("https://pb.nalog.ru/search.html?query=2511016149","ФНС: проверить")</f>
        <v/>
      </c>
      <c r="R3612" s="16">
        <f>HYPERLINK("https://checko.ru/search?query=3801001629","Чекко: проверить")</f>
        <v/>
      </c>
      <c r="S3612" t="n">
        <v>1</v>
      </c>
      <c r="T3612" s="35" t="inlineStr">
        <is>
          <t>4 — Не обогащён</t>
        </is>
      </c>
      <c r="U3612" s="35" t="inlineStr">
        <is>
          <t>Нет ОКВЭД/ССЧР</t>
        </is>
      </c>
      <c r="V3612" s="35" t="inlineStr">
        <is>
          <t>Не определено</t>
        </is>
      </c>
      <c r="W3612" s="35" t="inlineStr"/>
      <c r="X3612" s="35" t="inlineStr"/>
    </row>
    <row r="3613" ht="15" customHeight="1" s="24">
      <c r="A3613" s="13" t="n">
        <v>5000098667</v>
      </c>
      <c r="B3613" s="13" t="inlineStr">
        <is>
          <t>ГБУ "СББЖ№2"</t>
        </is>
      </c>
      <c r="C3613" s="13" t="n">
        <v>6510003480</v>
      </c>
      <c r="D3613" s="13" t="inlineStr">
        <is>
          <t>6510003480</t>
        </is>
      </c>
      <c r="E3613" s="13" t="inlineStr">
        <is>
          <t>ЮЛ РФ</t>
        </is>
      </c>
      <c r="F3613" s="13" t="n"/>
      <c r="G3613" s="14" t="n"/>
      <c r="H3613" s="14" t="n"/>
      <c r="I3613" s="14" t="n"/>
      <c r="J3613" s="14" t="n"/>
      <c r="K3613" s="53" t="inlineStr"/>
      <c r="L3613" s="53" t="inlineStr">
        <is>
          <t>Не определено</t>
        </is>
      </c>
      <c r="M3613" s="53" t="inlineStr"/>
      <c r="N3613" s="54" t="inlineStr"/>
      <c r="O3613" s="55" t="inlineStr"/>
      <c r="P3613" s="16" t="inlineStr">
        <is>
          <t>Требует обогащения</t>
        </is>
      </c>
      <c r="Q3613" s="16">
        <f>HYPERLINK("https://pb.nalog.ru/search.html?query=6510003480","ФНС: проверить")</f>
        <v/>
      </c>
      <c r="R3613" s="16">
        <f>HYPERLINK("https://checko.ru/search?query=3801001629","Чекко: проверить")</f>
        <v/>
      </c>
      <c r="S3613" t="n">
        <v>1</v>
      </c>
      <c r="T3613" s="35" t="inlineStr">
        <is>
          <t>4 — Не обогащён</t>
        </is>
      </c>
      <c r="U3613" s="35" t="inlineStr">
        <is>
          <t>Нет ОКВЭД/ССЧР</t>
        </is>
      </c>
      <c r="V3613" s="35" t="inlineStr">
        <is>
          <t>Не определено</t>
        </is>
      </c>
      <c r="W3613" s="35" t="inlineStr"/>
      <c r="X3613" s="35" t="inlineStr"/>
    </row>
    <row r="3614" ht="15" customHeight="1" s="24">
      <c r="A3614" s="13" t="n">
        <v>5000098242</v>
      </c>
      <c r="B3614" s="13" t="inlineStr">
        <is>
          <t>ГБУЗ "Краевая станция переливания крови</t>
        </is>
      </c>
      <c r="C3614" s="13" t="n">
        <v>2540039790</v>
      </c>
      <c r="D3614" s="13" t="inlineStr">
        <is>
          <t>2540039790</t>
        </is>
      </c>
      <c r="E3614" s="13" t="inlineStr">
        <is>
          <t>ЮЛ РФ</t>
        </is>
      </c>
      <c r="F3614" s="13" t="n"/>
      <c r="G3614" s="14" t="n"/>
      <c r="H3614" s="14" t="n"/>
      <c r="I3614" s="14" t="n"/>
      <c r="J3614" s="14" t="n"/>
      <c r="K3614" s="53" t="inlineStr"/>
      <c r="L3614" s="53" t="inlineStr">
        <is>
          <t>Не определено</t>
        </is>
      </c>
      <c r="M3614" s="53" t="inlineStr"/>
      <c r="N3614" s="54" t="inlineStr"/>
      <c r="O3614" s="55" t="inlineStr"/>
      <c r="P3614" s="16" t="inlineStr">
        <is>
          <t>Требует обогащения</t>
        </is>
      </c>
      <c r="Q3614" s="16">
        <f>HYPERLINK("https://pb.nalog.ru/search.html?query=2540039790","ФНС: проверить")</f>
        <v/>
      </c>
      <c r="R3614" s="16">
        <f>HYPERLINK("https://checko.ru/search?query=3801001629","Чекко: проверить")</f>
        <v/>
      </c>
      <c r="S3614" t="n">
        <v>1</v>
      </c>
      <c r="T3614" s="35" t="inlineStr">
        <is>
          <t>4 — Не обогащён</t>
        </is>
      </c>
      <c r="U3614" s="35" t="inlineStr">
        <is>
          <t>Нет ОКВЭД/ССЧР</t>
        </is>
      </c>
      <c r="V3614" s="35" t="inlineStr">
        <is>
          <t>Не определено</t>
        </is>
      </c>
      <c r="W3614" s="35" t="inlineStr"/>
      <c r="X3614" s="35" t="inlineStr"/>
    </row>
    <row r="3615" ht="15" customHeight="1" s="24">
      <c r="A3615" s="13" t="n">
        <v>5000098336</v>
      </c>
      <c r="B3615" s="13" t="inlineStr">
        <is>
          <t>Дальневосточный технический колледж</t>
        </is>
      </c>
      <c r="C3615" s="13" t="n">
        <v>2511008571</v>
      </c>
      <c r="D3615" s="13" t="inlineStr">
        <is>
          <t>2511008571</t>
        </is>
      </c>
      <c r="E3615" s="13" t="inlineStr">
        <is>
          <t>ЮЛ РФ</t>
        </is>
      </c>
      <c r="F3615" s="13" t="n"/>
      <c r="G3615" s="14" t="n"/>
      <c r="H3615" s="14" t="n"/>
      <c r="I3615" s="14" t="n"/>
      <c r="J3615" s="14" t="n"/>
      <c r="K3615" s="53" t="inlineStr"/>
      <c r="L3615" s="53" t="inlineStr">
        <is>
          <t>Не определено</t>
        </is>
      </c>
      <c r="M3615" s="53" t="inlineStr"/>
      <c r="N3615" s="54" t="inlineStr"/>
      <c r="O3615" s="55" t="inlineStr"/>
      <c r="P3615" s="16" t="inlineStr">
        <is>
          <t>Требует обогащения</t>
        </is>
      </c>
      <c r="Q3615" s="16">
        <f>HYPERLINK("https://pb.nalog.ru/search.html?query=2511008571","ФНС: проверить")</f>
        <v/>
      </c>
      <c r="R3615" s="16">
        <f>HYPERLINK("https://checko.ru/search?query=3801001629","Чекко: проверить")</f>
        <v/>
      </c>
      <c r="S3615" t="n">
        <v>1</v>
      </c>
      <c r="T3615" s="35" t="inlineStr">
        <is>
          <t>4 — Не обогащён</t>
        </is>
      </c>
      <c r="U3615" s="35" t="inlineStr">
        <is>
          <t>Нет ОКВЭД/ССЧР</t>
        </is>
      </c>
      <c r="V3615" s="35" t="inlineStr">
        <is>
          <t>Не определено</t>
        </is>
      </c>
      <c r="W3615" s="35" t="inlineStr"/>
      <c r="X3615" s="35" t="inlineStr"/>
    </row>
    <row r="3616" ht="15" customHeight="1" s="24">
      <c r="A3616" s="13" t="n">
        <v>5000025792</v>
      </c>
      <c r="B3616" s="13" t="inlineStr">
        <is>
          <t>МКУ КИЦ МО Олойское</t>
        </is>
      </c>
      <c r="C3616" s="13" t="n">
        <v>3849026653</v>
      </c>
      <c r="D3616" s="13" t="inlineStr">
        <is>
          <t>3849026653</t>
        </is>
      </c>
      <c r="E3616" s="13" t="inlineStr">
        <is>
          <t>ЮЛ РФ</t>
        </is>
      </c>
      <c r="F3616" s="13" t="n"/>
      <c r="G3616" s="14" t="n"/>
      <c r="H3616" s="14" t="n"/>
      <c r="I3616" s="14" t="n"/>
      <c r="J3616" s="14" t="n"/>
      <c r="K3616" s="53" t="inlineStr"/>
      <c r="L3616" s="53" t="inlineStr">
        <is>
          <t>Не определено</t>
        </is>
      </c>
      <c r="M3616" s="53" t="inlineStr"/>
      <c r="N3616" s="54" t="inlineStr"/>
      <c r="O3616" s="55" t="inlineStr"/>
      <c r="P3616" s="16" t="inlineStr">
        <is>
          <t>Требует обогащения</t>
        </is>
      </c>
      <c r="Q3616" s="16">
        <f>HYPERLINK("https://pb.nalog.ru/search.html?query=3849026653","ФНС: проверить")</f>
        <v/>
      </c>
      <c r="R3616" s="16">
        <f>HYPERLINK("https://checko.ru/search?query=3801001629","Чекко: проверить")</f>
        <v/>
      </c>
      <c r="S3616" t="n">
        <v>1</v>
      </c>
      <c r="T3616" s="35" t="inlineStr">
        <is>
          <t>4 — Не обогащён</t>
        </is>
      </c>
      <c r="U3616" s="35" t="inlineStr">
        <is>
          <t>Нет ОКВЭД/ССЧР</t>
        </is>
      </c>
      <c r="V3616" s="35" t="inlineStr">
        <is>
          <t>Не определено</t>
        </is>
      </c>
      <c r="W3616" s="35" t="inlineStr"/>
      <c r="X3616" s="35" t="inlineStr"/>
    </row>
    <row r="3617" ht="27.75" customHeight="1" s="24">
      <c r="A3617" s="13" t="n">
        <v>5000074499</v>
      </c>
      <c r="B3617" s="13" t="inlineStr">
        <is>
          <t>ФУ МО "Макаровский городской округ" Сахалинской области</t>
        </is>
      </c>
      <c r="C3617" s="13" t="n">
        <v>6512001128</v>
      </c>
      <c r="D3617" s="13" t="inlineStr">
        <is>
          <t>6512001128</t>
        </is>
      </c>
      <c r="E3617" s="13" t="inlineStr">
        <is>
          <t>ЮЛ РФ</t>
        </is>
      </c>
      <c r="F3617" s="13" t="n"/>
      <c r="G3617" s="14" t="n"/>
      <c r="H3617" s="14" t="n"/>
      <c r="I3617" s="14" t="n"/>
      <c r="J3617" s="14" t="n"/>
      <c r="K3617" s="53" t="inlineStr"/>
      <c r="L3617" s="53" t="inlineStr">
        <is>
          <t>Не определено</t>
        </is>
      </c>
      <c r="M3617" s="53" t="inlineStr"/>
      <c r="N3617" s="54" t="inlineStr"/>
      <c r="O3617" s="55" t="inlineStr"/>
      <c r="P3617" s="16" t="inlineStr">
        <is>
          <t>Требует обогащения</t>
        </is>
      </c>
      <c r="Q3617" s="16">
        <f>HYPERLINK("https://pb.nalog.ru/search.html?query=6512001128","ФНС: проверить")</f>
        <v/>
      </c>
      <c r="R3617" s="16">
        <f>HYPERLINK("https://checko.ru/search?query=3801001629","Чекко: проверить")</f>
        <v/>
      </c>
      <c r="S3617" t="n">
        <v>1</v>
      </c>
      <c r="T3617" s="35" t="inlineStr">
        <is>
          <t>4 — Не обогащён</t>
        </is>
      </c>
      <c r="U3617" s="35" t="inlineStr">
        <is>
          <t>Нет ОКВЭД/ССЧР</t>
        </is>
      </c>
      <c r="V3617" s="35" t="inlineStr">
        <is>
          <t>Не определено</t>
        </is>
      </c>
      <c r="W3617" s="35" t="inlineStr"/>
      <c r="X3617" s="35" t="inlineStr"/>
    </row>
    <row r="3618" ht="27.75" customHeight="1" s="24">
      <c r="A3618" s="13" t="n">
        <v>5000074499</v>
      </c>
      <c r="B3618" s="13" t="inlineStr">
        <is>
          <t>ФУ МО "Макаровский городской округ" Сахалинской области</t>
        </is>
      </c>
      <c r="C3618" s="13" t="n">
        <v>6512001128</v>
      </c>
      <c r="D3618" s="13" t="inlineStr">
        <is>
          <t>6512001128</t>
        </is>
      </c>
      <c r="E3618" s="13" t="inlineStr">
        <is>
          <t>ЮЛ РФ</t>
        </is>
      </c>
      <c r="F3618" s="13" t="n"/>
      <c r="G3618" s="14" t="n"/>
      <c r="H3618" s="14" t="n"/>
      <c r="I3618" s="14" t="n"/>
      <c r="J3618" s="14" t="n"/>
      <c r="K3618" s="53" t="inlineStr"/>
      <c r="L3618" s="53" t="inlineStr">
        <is>
          <t>Не определено</t>
        </is>
      </c>
      <c r="M3618" s="53" t="inlineStr"/>
      <c r="N3618" s="54" t="inlineStr"/>
      <c r="O3618" s="55" t="inlineStr"/>
      <c r="P3618" s="16" t="inlineStr">
        <is>
          <t>Требует обогащения</t>
        </is>
      </c>
      <c r="Q3618" s="16">
        <f>HYPERLINK("https://pb.nalog.ru/search.html?query=6512001128","ФНС: проверить")</f>
        <v/>
      </c>
      <c r="R3618" s="16">
        <f>HYPERLINK("https://checko.ru/search?query=3801001629","Чекко: проверить")</f>
        <v/>
      </c>
      <c r="S3618" t="n">
        <v>0</v>
      </c>
      <c r="T3618" s="35" t="inlineStr">
        <is>
          <t>4 — Не обогащён</t>
        </is>
      </c>
      <c r="U3618" s="35" t="inlineStr">
        <is>
          <t>Нет ОКВЭД/ССЧР</t>
        </is>
      </c>
      <c r="V3618" s="35" t="inlineStr">
        <is>
          <t>Не определено</t>
        </is>
      </c>
      <c r="W3618" s="35" t="inlineStr"/>
      <c r="X3618" s="35" t="inlineStr"/>
    </row>
    <row r="3619" ht="15" customHeight="1" s="24">
      <c r="A3619" s="13" t="n">
        <v>5000036845</v>
      </c>
      <c r="B3619" s="13" t="inlineStr">
        <is>
          <t>КУМС МО ГО "Смирныховский"</t>
        </is>
      </c>
      <c r="C3619" s="13" t="n">
        <v>6514008249</v>
      </c>
      <c r="D3619" s="13" t="inlineStr">
        <is>
          <t>6514008249</t>
        </is>
      </c>
      <c r="E3619" s="13" t="inlineStr">
        <is>
          <t>ЮЛ РФ</t>
        </is>
      </c>
      <c r="F3619" s="13" t="n"/>
      <c r="G3619" s="14" t="n"/>
      <c r="H3619" s="14" t="n"/>
      <c r="I3619" s="14" t="n"/>
      <c r="J3619" s="14" t="n"/>
      <c r="K3619" s="53" t="inlineStr"/>
      <c r="L3619" s="53" t="inlineStr">
        <is>
          <t>Не определено</t>
        </is>
      </c>
      <c r="M3619" s="53" t="inlineStr"/>
      <c r="N3619" s="54" t="inlineStr"/>
      <c r="O3619" s="55" t="inlineStr"/>
      <c r="P3619" s="16" t="inlineStr">
        <is>
          <t>Требует обогащения</t>
        </is>
      </c>
      <c r="Q3619" s="16">
        <f>HYPERLINK("https://pb.nalog.ru/search.html?query=6514008249","ФНС: проверить")</f>
        <v/>
      </c>
      <c r="R3619" s="16">
        <f>HYPERLINK("https://checko.ru/search?query=3801001629","Чекко: проверить")</f>
        <v/>
      </c>
      <c r="S3619" t="n">
        <v>1</v>
      </c>
      <c r="T3619" s="35" t="inlineStr">
        <is>
          <t>4 — Не обогащён</t>
        </is>
      </c>
      <c r="U3619" s="35" t="inlineStr">
        <is>
          <t>Нет ОКВЭД/ССЧР</t>
        </is>
      </c>
      <c r="V3619" s="35" t="inlineStr">
        <is>
          <t>Не определено</t>
        </is>
      </c>
      <c r="W3619" s="35" t="inlineStr"/>
      <c r="X3619" s="35" t="inlineStr"/>
    </row>
    <row r="3620" ht="15" customHeight="1" s="24">
      <c r="A3620" s="13" t="n">
        <v>5000036845</v>
      </c>
      <c r="B3620" s="13" t="inlineStr">
        <is>
          <t>КУМС МО ГО "Смирныховский"</t>
        </is>
      </c>
      <c r="C3620" s="13" t="n">
        <v>6514008249</v>
      </c>
      <c r="D3620" s="13" t="inlineStr">
        <is>
          <t>6514008249</t>
        </is>
      </c>
      <c r="E3620" s="13" t="inlineStr">
        <is>
          <t>ЮЛ РФ</t>
        </is>
      </c>
      <c r="F3620" s="13" t="n"/>
      <c r="G3620" s="14" t="n"/>
      <c r="H3620" s="14" t="n"/>
      <c r="I3620" s="14" t="n"/>
      <c r="J3620" s="14" t="n"/>
      <c r="K3620" s="53" t="inlineStr"/>
      <c r="L3620" s="53" t="inlineStr">
        <is>
          <t>Не определено</t>
        </is>
      </c>
      <c r="M3620" s="53" t="inlineStr"/>
      <c r="N3620" s="54" t="inlineStr"/>
      <c r="O3620" s="55" t="inlineStr"/>
      <c r="P3620" s="16" t="inlineStr">
        <is>
          <t>Требует обогащения</t>
        </is>
      </c>
      <c r="Q3620" s="16">
        <f>HYPERLINK("https://pb.nalog.ru/search.html?query=6514008249","ФНС: проверить")</f>
        <v/>
      </c>
      <c r="R3620" s="16">
        <f>HYPERLINK("https://checko.ru/search?query=3801001629","Чекко: проверить")</f>
        <v/>
      </c>
      <c r="S3620" t="n">
        <v>0</v>
      </c>
      <c r="T3620" s="35" t="inlineStr">
        <is>
          <t>4 — Не обогащён</t>
        </is>
      </c>
      <c r="U3620" s="35" t="inlineStr">
        <is>
          <t>Нет ОКВЭД/ССЧР</t>
        </is>
      </c>
      <c r="V3620" s="35" t="inlineStr">
        <is>
          <t>Не определено</t>
        </is>
      </c>
      <c r="W3620" s="35" t="inlineStr"/>
      <c r="X3620" s="35" t="inlineStr"/>
    </row>
    <row r="3621" ht="15" customHeight="1" s="24">
      <c r="A3621" s="13" t="n">
        <v>5000036846</v>
      </c>
      <c r="B3621" s="13" t="inlineStr">
        <is>
          <t>Собрание МО ГО "Смирныховский"</t>
        </is>
      </c>
      <c r="C3621" s="13" t="n">
        <v>6514008104</v>
      </c>
      <c r="D3621" s="13" t="inlineStr">
        <is>
          <t>6514008104</t>
        </is>
      </c>
      <c r="E3621" s="13" t="inlineStr">
        <is>
          <t>ЮЛ РФ</t>
        </is>
      </c>
      <c r="F3621" s="13" t="n"/>
      <c r="G3621" s="14" t="n"/>
      <c r="H3621" s="14" t="n"/>
      <c r="I3621" s="14" t="n"/>
      <c r="J3621" s="14" t="n"/>
      <c r="K3621" s="53" t="inlineStr"/>
      <c r="L3621" s="53" t="inlineStr">
        <is>
          <t>Не определено</t>
        </is>
      </c>
      <c r="M3621" s="53" t="inlineStr"/>
      <c r="N3621" s="54" t="inlineStr"/>
      <c r="O3621" s="55" t="inlineStr"/>
      <c r="P3621" s="16" t="inlineStr">
        <is>
          <t>Требует обогащения</t>
        </is>
      </c>
      <c r="Q3621" s="16">
        <f>HYPERLINK("https://pb.nalog.ru/search.html?query=6514008104","ФНС: проверить")</f>
        <v/>
      </c>
      <c r="R3621" s="16">
        <f>HYPERLINK("https://checko.ru/search?query=3801001629","Чекко: проверить")</f>
        <v/>
      </c>
      <c r="S3621" t="n">
        <v>1</v>
      </c>
      <c r="T3621" s="35" t="inlineStr">
        <is>
          <t>4 — Не обогащён</t>
        </is>
      </c>
      <c r="U3621" s="35" t="inlineStr">
        <is>
          <t>Нет ОКВЭД/ССЧР</t>
        </is>
      </c>
      <c r="V3621" s="35" t="inlineStr">
        <is>
          <t>Не определено</t>
        </is>
      </c>
      <c r="W3621" s="35" t="inlineStr"/>
      <c r="X3621" s="35" t="inlineStr"/>
    </row>
    <row r="3622" ht="15" customHeight="1" s="24">
      <c r="A3622" s="13" t="n">
        <v>5000036847</v>
      </c>
      <c r="B3622" s="13" t="inlineStr">
        <is>
          <t>МКУ "ЦАХО"</t>
        </is>
      </c>
      <c r="C3622" s="13" t="n">
        <v>6514009122</v>
      </c>
      <c r="D3622" s="13" t="inlineStr">
        <is>
          <t>6514009122</t>
        </is>
      </c>
      <c r="E3622" s="13" t="inlineStr">
        <is>
          <t>ЮЛ РФ</t>
        </is>
      </c>
      <c r="F3622" s="13" t="n"/>
      <c r="G3622" s="14" t="n"/>
      <c r="H3622" s="14" t="n"/>
      <c r="I3622" s="14" t="n"/>
      <c r="J3622" s="14" t="n"/>
      <c r="K3622" s="53" t="inlineStr"/>
      <c r="L3622" s="53" t="inlineStr">
        <is>
          <t>Не определено</t>
        </is>
      </c>
      <c r="M3622" s="53" t="inlineStr"/>
      <c r="N3622" s="54" t="inlineStr"/>
      <c r="O3622" s="55" t="inlineStr"/>
      <c r="P3622" s="16" t="inlineStr">
        <is>
          <t>Требует обогащения</t>
        </is>
      </c>
      <c r="Q3622" s="16">
        <f>HYPERLINK("https://pb.nalog.ru/search.html?query=6514009122","ФНС: проверить")</f>
        <v/>
      </c>
      <c r="R3622" s="16">
        <f>HYPERLINK("https://checko.ru/search?query=3801001629","Чекко: проверить")</f>
        <v/>
      </c>
      <c r="S3622" t="n">
        <v>1</v>
      </c>
      <c r="T3622" s="35" t="inlineStr">
        <is>
          <t>4 — Не обогащён</t>
        </is>
      </c>
      <c r="U3622" s="35" t="inlineStr">
        <is>
          <t>Нет ОКВЭД/ССЧР</t>
        </is>
      </c>
      <c r="V3622" s="35" t="inlineStr">
        <is>
          <t>Не определено</t>
        </is>
      </c>
      <c r="W3622" s="35" t="inlineStr"/>
      <c r="X3622" s="35" t="inlineStr"/>
    </row>
    <row r="3623" ht="54.75" customHeight="1" s="24">
      <c r="A3623" s="13" t="n">
        <v>5000036848</v>
      </c>
      <c r="B3623" s="13" t="inlineStr">
        <is>
          <t>МКУ "УПРАВЛЕНИЕ ПО ДЕЛАМ ГРАЖДАНСКОЙ ОБОРОНЫ И ЧРЕЗВЫЧАЙНЫМ СИТУАЦИЯМ" МУНИЦИПАЛЬНОГО ОБРАЗОВАНИЯ ГОРОДСКОЙ ОКРУГ "СМИРН</t>
        </is>
      </c>
      <c r="C3623" s="13" t="n">
        <v>6514009490</v>
      </c>
      <c r="D3623" s="13" t="inlineStr">
        <is>
          <t>6514009490</t>
        </is>
      </c>
      <c r="E3623" s="13" t="inlineStr">
        <is>
          <t>ЮЛ РФ</t>
        </is>
      </c>
      <c r="F3623" s="13" t="n"/>
      <c r="G3623" s="14" t="n"/>
      <c r="H3623" s="14" t="n"/>
      <c r="I3623" s="14" t="n"/>
      <c r="J3623" s="14" t="n"/>
      <c r="K3623" s="53" t="inlineStr"/>
      <c r="L3623" s="53" t="inlineStr">
        <is>
          <t>Не определено</t>
        </is>
      </c>
      <c r="M3623" s="53" t="inlineStr"/>
      <c r="N3623" s="54" t="inlineStr"/>
      <c r="O3623" s="55" t="inlineStr"/>
      <c r="P3623" s="16" t="inlineStr">
        <is>
          <t>Требует обогащения</t>
        </is>
      </c>
      <c r="Q3623" s="16">
        <f>HYPERLINK("https://pb.nalog.ru/search.html?query=6514009490","ФНС: проверить")</f>
        <v/>
      </c>
      <c r="R3623" s="16">
        <f>HYPERLINK("https://checko.ru/search?query=3801001629","Чекко: проверить")</f>
        <v/>
      </c>
      <c r="S3623" t="n">
        <v>1</v>
      </c>
      <c r="T3623" s="35" t="inlineStr">
        <is>
          <t>4 — Не обогащён</t>
        </is>
      </c>
      <c r="U3623" s="35" t="inlineStr">
        <is>
          <t>Нет ОКВЭД/ССЧР</t>
        </is>
      </c>
      <c r="V3623" s="35" t="inlineStr">
        <is>
          <t>Не определено</t>
        </is>
      </c>
      <c r="W3623" s="35" t="inlineStr"/>
      <c r="X3623" s="35" t="inlineStr"/>
    </row>
    <row r="3624" ht="15" customHeight="1" s="24">
      <c r="A3624" s="13" t="n">
        <v>5000098195</v>
      </c>
      <c r="B3624" s="13" t="inlineStr">
        <is>
          <t>КГБУЗ "Пограничная ЦРБ"</t>
        </is>
      </c>
      <c r="C3624" s="13" t="n">
        <v>2525007401</v>
      </c>
      <c r="D3624" s="13" t="inlineStr">
        <is>
          <t>2525007401</t>
        </is>
      </c>
      <c r="E3624" s="13" t="inlineStr">
        <is>
          <t>ЮЛ РФ</t>
        </is>
      </c>
      <c r="F3624" s="13" t="n"/>
      <c r="G3624" s="14" t="n"/>
      <c r="H3624" s="14" t="n"/>
      <c r="I3624" s="14" t="n"/>
      <c r="J3624" s="14" t="n"/>
      <c r="K3624" s="53" t="inlineStr"/>
      <c r="L3624" s="53" t="inlineStr">
        <is>
          <t>Не определено</t>
        </is>
      </c>
      <c r="M3624" s="53" t="inlineStr"/>
      <c r="N3624" s="54" t="inlineStr"/>
      <c r="O3624" s="55" t="inlineStr"/>
      <c r="P3624" s="16" t="inlineStr">
        <is>
          <t>Требует обогащения</t>
        </is>
      </c>
      <c r="Q3624" s="16">
        <f>HYPERLINK("https://pb.nalog.ru/search.html?query=2525007401","ФНС: проверить")</f>
        <v/>
      </c>
      <c r="R3624" s="16">
        <f>HYPERLINK("https://checko.ru/search?query=3801001629","Чекко: проверить")</f>
        <v/>
      </c>
      <c r="S3624" t="n">
        <v>1</v>
      </c>
      <c r="T3624" s="35" t="inlineStr">
        <is>
          <t>4 — Не обогащён</t>
        </is>
      </c>
      <c r="U3624" s="35" t="inlineStr">
        <is>
          <t>Нет ОКВЭД/ССЧР</t>
        </is>
      </c>
      <c r="V3624" s="35" t="inlineStr">
        <is>
          <t>Не определено</t>
        </is>
      </c>
      <c r="W3624" s="35" t="inlineStr"/>
      <c r="X3624" s="35" t="inlineStr"/>
    </row>
    <row r="3625" ht="41.25" customHeight="1" s="24">
      <c r="A3625" s="13" t="n">
        <v>5000098182</v>
      </c>
      <c r="B3625" s="13" t="inlineStr">
        <is>
          <t>КРАЕВОЕ ГОСУДАРСТВЕННОЕ БЮДЖЕТНОЕ УЧРЕЖДЕНИЕ "КИРОВСКАЯ ВЕТЕРИНАРНАЯ СТАНЦИЯ ПО БОРЬБЕ С БОЛЕЗНЯМИ Ж</t>
        </is>
      </c>
      <c r="C3625" s="13" t="n">
        <v>2516001749</v>
      </c>
      <c r="D3625" s="13" t="inlineStr">
        <is>
          <t>2516001749</t>
        </is>
      </c>
      <c r="E3625" s="13" t="inlineStr">
        <is>
          <t>ЮЛ РФ</t>
        </is>
      </c>
      <c r="F3625" s="13" t="n"/>
      <c r="G3625" s="14" t="n"/>
      <c r="H3625" s="14" t="n"/>
      <c r="I3625" s="14" t="n"/>
      <c r="J3625" s="14" t="n"/>
      <c r="K3625" s="53" t="inlineStr"/>
      <c r="L3625" s="53" t="inlineStr">
        <is>
          <t>Не определено</t>
        </is>
      </c>
      <c r="M3625" s="53" t="inlineStr"/>
      <c r="N3625" s="54" t="inlineStr"/>
      <c r="O3625" s="55" t="inlineStr"/>
      <c r="P3625" s="16" t="inlineStr">
        <is>
          <t>Требует обогащения</t>
        </is>
      </c>
      <c r="Q3625" s="16">
        <f>HYPERLINK("https://pb.nalog.ru/search.html?query=2516001749","ФНС: проверить")</f>
        <v/>
      </c>
      <c r="R3625" s="16">
        <f>HYPERLINK("https://checko.ru/search?query=3801001629","Чекко: проверить")</f>
        <v/>
      </c>
      <c r="S3625" t="n">
        <v>1</v>
      </c>
      <c r="T3625" s="35" t="inlineStr">
        <is>
          <t>4 — Не обогащён</t>
        </is>
      </c>
      <c r="U3625" s="35" t="inlineStr">
        <is>
          <t>Нет ОКВЭД/ССЧР</t>
        </is>
      </c>
      <c r="V3625" s="35" t="inlineStr">
        <is>
          <t>Не определено</t>
        </is>
      </c>
      <c r="W3625" s="35" t="inlineStr"/>
      <c r="X3625" s="35" t="inlineStr"/>
    </row>
    <row r="3626" ht="27.75" customHeight="1" s="24">
      <c r="A3626" s="13" t="n">
        <v>5000098684</v>
      </c>
      <c r="B3626" s="13" t="inlineStr">
        <is>
          <t>ГКУ "Социально-реабилитационный центр для несовершеннолетних "Родник"</t>
        </is>
      </c>
      <c r="C3626" s="13" t="n">
        <v>6506006424</v>
      </c>
      <c r="D3626" s="13" t="inlineStr">
        <is>
          <t>6506006424</t>
        </is>
      </c>
      <c r="E3626" s="13" t="inlineStr">
        <is>
          <t>ЮЛ РФ</t>
        </is>
      </c>
      <c r="F3626" s="13" t="n"/>
      <c r="G3626" s="14" t="n"/>
      <c r="H3626" s="14" t="n"/>
      <c r="I3626" s="14" t="n"/>
      <c r="J3626" s="14" t="n"/>
      <c r="K3626" s="53" t="inlineStr"/>
      <c r="L3626" s="53" t="inlineStr">
        <is>
          <t>Не определено</t>
        </is>
      </c>
      <c r="M3626" s="53" t="inlineStr"/>
      <c r="N3626" s="54" t="inlineStr"/>
      <c r="O3626" s="55" t="inlineStr"/>
      <c r="P3626" s="16" t="inlineStr">
        <is>
          <t>Требует обогащения</t>
        </is>
      </c>
      <c r="Q3626" s="16">
        <f>HYPERLINK("https://pb.nalog.ru/search.html?query=6506006424","ФНС: проверить")</f>
        <v/>
      </c>
      <c r="R3626" s="16">
        <f>HYPERLINK("https://checko.ru/search?query=3801001629","Чекко: проверить")</f>
        <v/>
      </c>
      <c r="S3626" t="n">
        <v>1</v>
      </c>
      <c r="T3626" s="35" t="inlineStr">
        <is>
          <t>4 — Не обогащён</t>
        </is>
      </c>
      <c r="U3626" s="35" t="inlineStr">
        <is>
          <t>Нет ОКВЭД/ССЧР</t>
        </is>
      </c>
      <c r="V3626" s="35" t="inlineStr">
        <is>
          <t>Не определено</t>
        </is>
      </c>
      <c r="W3626" s="35" t="inlineStr"/>
      <c r="X3626" s="35" t="inlineStr"/>
    </row>
    <row r="3627" ht="27.75" customHeight="1" s="24">
      <c r="A3627" s="13" t="n">
        <v>5000116325</v>
      </c>
      <c r="B3627" s="13" t="inlineStr">
        <is>
          <t>Муниципальное автономное учреждение "Спорткомплекс "Арена"</t>
        </is>
      </c>
      <c r="C3627" s="13" t="n">
        <v>6513002798</v>
      </c>
      <c r="D3627" s="13" t="inlineStr">
        <is>
          <t>6513002798</t>
        </is>
      </c>
      <c r="E3627" s="13" t="inlineStr">
        <is>
          <t>ЮЛ РФ</t>
        </is>
      </c>
      <c r="F3627" s="13" t="n"/>
      <c r="G3627" s="14" t="n"/>
      <c r="H3627" s="14" t="n"/>
      <c r="I3627" s="14" t="n"/>
      <c r="J3627" s="14" t="n"/>
      <c r="K3627" s="53" t="inlineStr"/>
      <c r="L3627" s="53" t="inlineStr">
        <is>
          <t>Не определено</t>
        </is>
      </c>
      <c r="M3627" s="53" t="inlineStr"/>
      <c r="N3627" s="54" t="inlineStr"/>
      <c r="O3627" s="55" t="inlineStr"/>
      <c r="P3627" s="16" t="inlineStr">
        <is>
          <t>Требует обогащения</t>
        </is>
      </c>
      <c r="Q3627" s="16">
        <f>HYPERLINK("https://pb.nalog.ru/search.html?query=6513002798","ФНС: проверить")</f>
        <v/>
      </c>
      <c r="R3627" s="16">
        <f>HYPERLINK("https://checko.ru/search?query=3801001629","Чекко: проверить")</f>
        <v/>
      </c>
      <c r="S3627" t="n">
        <v>1</v>
      </c>
      <c r="T3627" s="35" t="inlineStr">
        <is>
          <t>4 — Не обогащён</t>
        </is>
      </c>
      <c r="U3627" s="35" t="inlineStr">
        <is>
          <t>Нет ОКВЭД/ССЧР</t>
        </is>
      </c>
      <c r="V3627" s="35" t="inlineStr">
        <is>
          <t>Не определено</t>
        </is>
      </c>
      <c r="W3627" s="35" t="inlineStr"/>
      <c r="X3627" s="35" t="inlineStr"/>
    </row>
    <row r="3628" ht="15" customHeight="1" s="24">
      <c r="A3628" s="13" t="n">
        <v>5000046774</v>
      </c>
      <c r="B3628" s="13" t="inlineStr">
        <is>
          <t>ГКОУ Детский дом №6</t>
        </is>
      </c>
      <c r="C3628" s="13" t="n">
        <v>6516005934</v>
      </c>
      <c r="D3628" s="13" t="inlineStr">
        <is>
          <t>6516005934</t>
        </is>
      </c>
      <c r="E3628" s="13" t="inlineStr">
        <is>
          <t>ЮЛ РФ</t>
        </is>
      </c>
      <c r="F3628" s="13" t="n"/>
      <c r="G3628" s="14" t="n"/>
      <c r="H3628" s="14" t="n"/>
      <c r="I3628" s="14" t="n"/>
      <c r="J3628" s="14" t="n"/>
      <c r="K3628" s="53" t="inlineStr"/>
      <c r="L3628" s="53" t="inlineStr">
        <is>
          <t>Не определено</t>
        </is>
      </c>
      <c r="M3628" s="53" t="inlineStr"/>
      <c r="N3628" s="54" t="inlineStr"/>
      <c r="O3628" s="55" t="inlineStr"/>
      <c r="P3628" s="16" t="inlineStr">
        <is>
          <t>Требует обогащения</t>
        </is>
      </c>
      <c r="Q3628" s="16">
        <f>HYPERLINK("https://pb.nalog.ru/search.html?query=6516005934","ФНС: проверить")</f>
        <v/>
      </c>
      <c r="R3628" s="16">
        <f>HYPERLINK("https://checko.ru/search?query=3801001629","Чекко: проверить")</f>
        <v/>
      </c>
      <c r="S3628" t="n">
        <v>1</v>
      </c>
      <c r="T3628" s="35" t="inlineStr">
        <is>
          <t>4 — Не обогащён</t>
        </is>
      </c>
      <c r="U3628" s="35" t="inlineStr">
        <is>
          <t>Нет ОКВЭД/ССЧР</t>
        </is>
      </c>
      <c r="V3628" s="35" t="inlineStr">
        <is>
          <t>Не определено</t>
        </is>
      </c>
      <c r="W3628" s="35" t="inlineStr"/>
      <c r="X3628" s="35" t="inlineStr"/>
    </row>
    <row r="3629" ht="15" customHeight="1" s="24">
      <c r="A3629" s="13" t="n">
        <v>5000089248</v>
      </c>
      <c r="B3629" s="13" t="inlineStr">
        <is>
          <t>КГКСКОУ Пограничная КШИ</t>
        </is>
      </c>
      <c r="C3629" s="13" t="n">
        <v>2525010588</v>
      </c>
      <c r="D3629" s="13" t="inlineStr">
        <is>
          <t>2525010588</t>
        </is>
      </c>
      <c r="E3629" s="13" t="inlineStr">
        <is>
          <t>ЮЛ РФ</t>
        </is>
      </c>
      <c r="F3629" s="13" t="n"/>
      <c r="G3629" s="14" t="n"/>
      <c r="H3629" s="14" t="n"/>
      <c r="I3629" s="14" t="n"/>
      <c r="J3629" s="14" t="n"/>
      <c r="K3629" s="53" t="inlineStr"/>
      <c r="L3629" s="53" t="inlineStr">
        <is>
          <t>Не определено</t>
        </is>
      </c>
      <c r="M3629" s="53" t="inlineStr"/>
      <c r="N3629" s="54" t="inlineStr"/>
      <c r="O3629" s="55" t="inlineStr"/>
      <c r="P3629" s="16" t="inlineStr">
        <is>
          <t>Требует обогащения</t>
        </is>
      </c>
      <c r="Q3629" s="16">
        <f>HYPERLINK("https://pb.nalog.ru/search.html?query=2525010588","ФНС: проверить")</f>
        <v/>
      </c>
      <c r="R3629" s="16">
        <f>HYPERLINK("https://checko.ru/search?query=3801001629","Чекко: проверить")</f>
        <v/>
      </c>
      <c r="S3629" t="n">
        <v>1</v>
      </c>
      <c r="T3629" s="35" t="inlineStr">
        <is>
          <t>4 — Не обогащён</t>
        </is>
      </c>
      <c r="U3629" s="35" t="inlineStr">
        <is>
          <t>Нет ОКВЭД/ССЧР</t>
        </is>
      </c>
      <c r="V3629" s="35" t="inlineStr">
        <is>
          <t>Не определено</t>
        </is>
      </c>
      <c r="W3629" s="35" t="inlineStr"/>
      <c r="X3629" s="35" t="inlineStr"/>
    </row>
    <row r="3630" ht="27.75" customHeight="1" s="24">
      <c r="A3630" s="13" t="n">
        <v>5000107371</v>
      </c>
      <c r="B3630" s="13" t="inlineStr">
        <is>
          <t>ГОУ НПО Сахалинской области "Профессиональный лицей №7"</t>
        </is>
      </c>
      <c r="C3630" s="13" t="n">
        <v>6517000618</v>
      </c>
      <c r="D3630" s="13" t="inlineStr">
        <is>
          <t>6517000618</t>
        </is>
      </c>
      <c r="E3630" s="13" t="inlineStr">
        <is>
          <t>ЮЛ РФ</t>
        </is>
      </c>
      <c r="F3630" s="13" t="n"/>
      <c r="G3630" s="14" t="n"/>
      <c r="H3630" s="14" t="n"/>
      <c r="I3630" s="14" t="n"/>
      <c r="J3630" s="14" t="n"/>
      <c r="K3630" s="53" t="inlineStr"/>
      <c r="L3630" s="53" t="inlineStr">
        <is>
          <t>Не определено</t>
        </is>
      </c>
      <c r="M3630" s="53" t="inlineStr"/>
      <c r="N3630" s="54" t="inlineStr"/>
      <c r="O3630" s="55" t="inlineStr"/>
      <c r="P3630" s="16" t="inlineStr">
        <is>
          <t>Требует обогащения</t>
        </is>
      </c>
      <c r="Q3630" s="16">
        <f>HYPERLINK("https://pb.nalog.ru/search.html?query=6517000618","ФНС: проверить")</f>
        <v/>
      </c>
      <c r="R3630" s="16">
        <f>HYPERLINK("https://checko.ru/search?query=3801001629","Чекко: проверить")</f>
        <v/>
      </c>
      <c r="S3630" t="n">
        <v>1</v>
      </c>
      <c r="T3630" s="35" t="inlineStr">
        <is>
          <t>4 — Не обогащён</t>
        </is>
      </c>
      <c r="U3630" s="35" t="inlineStr">
        <is>
          <t>Нет ОКВЭД/ССЧР</t>
        </is>
      </c>
      <c r="V3630" s="35" t="inlineStr">
        <is>
          <t>Не определено</t>
        </is>
      </c>
      <c r="W3630" s="35" t="inlineStr"/>
      <c r="X3630" s="35" t="inlineStr"/>
    </row>
    <row r="3631" ht="27.75" customHeight="1" s="24">
      <c r="A3631" s="13" t="n">
        <v>5000107140</v>
      </c>
      <c r="B3631" s="13" t="inlineStr">
        <is>
          <t>ГБУК "Сахалинский областной краеведческий музей"</t>
        </is>
      </c>
      <c r="C3631" s="13" t="n">
        <v>6501072600</v>
      </c>
      <c r="D3631" s="13" t="inlineStr">
        <is>
          <t>6501072600</t>
        </is>
      </c>
      <c r="E3631" s="13" t="inlineStr">
        <is>
          <t>ЮЛ РФ</t>
        </is>
      </c>
      <c r="F3631" s="13" t="n"/>
      <c r="G3631" s="14" t="n"/>
      <c r="H3631" s="14" t="n"/>
      <c r="I3631" s="14" t="n"/>
      <c r="J3631" s="14" t="n"/>
      <c r="K3631" s="53" t="inlineStr"/>
      <c r="L3631" s="53" t="inlineStr">
        <is>
          <t>Не определено</t>
        </is>
      </c>
      <c r="M3631" s="53" t="inlineStr"/>
      <c r="N3631" s="54" t="inlineStr"/>
      <c r="O3631" s="55" t="inlineStr"/>
      <c r="P3631" s="16" t="inlineStr">
        <is>
          <t>Требует обогащения</t>
        </is>
      </c>
      <c r="Q3631" s="16">
        <f>HYPERLINK("https://pb.nalog.ru/search.html?query=6501072600","ФНС: проверить")</f>
        <v/>
      </c>
      <c r="R3631" s="16">
        <f>HYPERLINK("https://checko.ru/search?query=3801001629","Чекко: проверить")</f>
        <v/>
      </c>
      <c r="S3631" t="n">
        <v>1</v>
      </c>
      <c r="T3631" s="35" t="inlineStr">
        <is>
          <t>4 — Не обогащён</t>
        </is>
      </c>
      <c r="U3631" s="35" t="inlineStr">
        <is>
          <t>Нет ОКВЭД/ССЧР</t>
        </is>
      </c>
      <c r="V3631" s="35" t="inlineStr">
        <is>
          <t>Не определено</t>
        </is>
      </c>
      <c r="W3631" s="35" t="inlineStr"/>
      <c r="X3631" s="35" t="inlineStr"/>
    </row>
    <row r="3632" ht="27.75" customHeight="1" s="24">
      <c r="A3632" s="13" t="n">
        <v>5000048202</v>
      </c>
      <c r="B3632" s="13" t="inlineStr">
        <is>
          <t>АДМИНИСТРАЦИЯ ПОРОНАЙСКОГО ГОРОДСКОГО ОКРУГА</t>
        </is>
      </c>
      <c r="C3632" s="13" t="n">
        <v>6507005663</v>
      </c>
      <c r="D3632" s="13" t="inlineStr">
        <is>
          <t>6507005663</t>
        </is>
      </c>
      <c r="E3632" s="13" t="inlineStr">
        <is>
          <t>ЮЛ РФ</t>
        </is>
      </c>
      <c r="F3632" s="13" t="n"/>
      <c r="G3632" s="14" t="n"/>
      <c r="H3632" s="14" t="n"/>
      <c r="I3632" s="14" t="n"/>
      <c r="J3632" s="14" t="n"/>
      <c r="K3632" s="53" t="inlineStr"/>
      <c r="L3632" s="53" t="inlineStr">
        <is>
          <t>Не определено</t>
        </is>
      </c>
      <c r="M3632" s="53" t="inlineStr"/>
      <c r="N3632" s="54" t="inlineStr"/>
      <c r="O3632" s="55" t="inlineStr"/>
      <c r="P3632" s="16" t="inlineStr">
        <is>
          <t>Требует обогащения</t>
        </is>
      </c>
      <c r="Q3632" s="16">
        <f>HYPERLINK("https://pb.nalog.ru/search.html?query=6507005663","ФНС: проверить")</f>
        <v/>
      </c>
      <c r="R3632" s="16">
        <f>HYPERLINK("https://checko.ru/search?query=3801001629","Чекко: проверить")</f>
        <v/>
      </c>
      <c r="S3632" t="n">
        <v>1</v>
      </c>
      <c r="T3632" s="35" t="inlineStr">
        <is>
          <t>4 — Не обогащён</t>
        </is>
      </c>
      <c r="U3632" s="35" t="inlineStr">
        <is>
          <t>Нет ОКВЭД/ССЧР</t>
        </is>
      </c>
      <c r="V3632" s="35" t="inlineStr">
        <is>
          <t>Не определено</t>
        </is>
      </c>
      <c r="W3632" s="35" t="inlineStr"/>
      <c r="X3632" s="35" t="inlineStr"/>
    </row>
    <row r="3633" ht="27.75" customHeight="1" s="24">
      <c r="A3633" s="13" t="n">
        <v>5000048202</v>
      </c>
      <c r="B3633" s="13" t="inlineStr">
        <is>
          <t>АДМИНИСТРАЦИЯ ПОРОНАЙСКОГО ГОРОДСКОГО ОКРУГА</t>
        </is>
      </c>
      <c r="C3633" s="13" t="n">
        <v>6507005663</v>
      </c>
      <c r="D3633" s="13" t="inlineStr">
        <is>
          <t>6507005663</t>
        </is>
      </c>
      <c r="E3633" s="13" t="inlineStr">
        <is>
          <t>ЮЛ РФ</t>
        </is>
      </c>
      <c r="F3633" s="13" t="n"/>
      <c r="G3633" s="14" t="n"/>
      <c r="H3633" s="14" t="n"/>
      <c r="I3633" s="14" t="n"/>
      <c r="J3633" s="14" t="n"/>
      <c r="K3633" s="53" t="inlineStr"/>
      <c r="L3633" s="53" t="inlineStr">
        <is>
          <t>Не определено</t>
        </is>
      </c>
      <c r="M3633" s="53" t="inlineStr"/>
      <c r="N3633" s="54" t="inlineStr"/>
      <c r="O3633" s="55" t="inlineStr"/>
      <c r="P3633" s="16" t="inlineStr">
        <is>
          <t>Требует обогащения</t>
        </is>
      </c>
      <c r="Q3633" s="16">
        <f>HYPERLINK("https://pb.nalog.ru/search.html?query=6507005663","ФНС: проверить")</f>
        <v/>
      </c>
      <c r="R3633" s="16">
        <f>HYPERLINK("https://checko.ru/search?query=3801001629","Чекко: проверить")</f>
        <v/>
      </c>
      <c r="S3633" t="n">
        <v>0</v>
      </c>
      <c r="T3633" s="35" t="inlineStr">
        <is>
          <t>4 — Не обогащён</t>
        </is>
      </c>
      <c r="U3633" s="35" t="inlineStr">
        <is>
          <t>Нет ОКВЭД/ССЧР</t>
        </is>
      </c>
      <c r="V3633" s="35" t="inlineStr">
        <is>
          <t>Не определено</t>
        </is>
      </c>
      <c r="W3633" s="35" t="inlineStr"/>
      <c r="X3633" s="35" t="inlineStr"/>
    </row>
    <row r="3634" ht="41.25" customHeight="1" s="24">
      <c r="A3634" s="13" t="n">
        <v>5000032853</v>
      </c>
      <c r="B3634" s="13" t="inlineStr">
        <is>
          <t>МКУ "Централизованная бухгалтерия Корсаковского городского округа Сахалинской области</t>
        </is>
      </c>
      <c r="C3634" s="13" t="n">
        <v>6504011073</v>
      </c>
      <c r="D3634" s="13" t="inlineStr">
        <is>
          <t>6504011073</t>
        </is>
      </c>
      <c r="E3634" s="13" t="inlineStr">
        <is>
          <t>ЮЛ РФ</t>
        </is>
      </c>
      <c r="F3634" s="13" t="n"/>
      <c r="G3634" s="14" t="n"/>
      <c r="H3634" s="14" t="n"/>
      <c r="I3634" s="14" t="n"/>
      <c r="J3634" s="14" t="n"/>
      <c r="K3634" s="53" t="inlineStr"/>
      <c r="L3634" s="53" t="inlineStr">
        <is>
          <t>Не определено</t>
        </is>
      </c>
      <c r="M3634" s="53" t="inlineStr"/>
      <c r="N3634" s="54" t="inlineStr"/>
      <c r="O3634" s="55" t="inlineStr"/>
      <c r="P3634" s="16" t="inlineStr">
        <is>
          <t>Требует обогащения</t>
        </is>
      </c>
      <c r="Q3634" s="16">
        <f>HYPERLINK("https://pb.nalog.ru/search.html?query=6504011073","ФНС: проверить")</f>
        <v/>
      </c>
      <c r="R3634" s="16">
        <f>HYPERLINK("https://checko.ru/search?query=3801001629","Чекко: проверить")</f>
        <v/>
      </c>
      <c r="S3634" t="n">
        <v>1</v>
      </c>
      <c r="T3634" s="35" t="inlineStr">
        <is>
          <t>4 — Не обогащён</t>
        </is>
      </c>
      <c r="U3634" s="35" t="inlineStr">
        <is>
          <t>Нет ОКВЭД/ССЧР</t>
        </is>
      </c>
      <c r="V3634" s="35" t="inlineStr">
        <is>
          <t>Не определено</t>
        </is>
      </c>
      <c r="W3634" s="35" t="inlineStr"/>
      <c r="X3634" s="35" t="inlineStr"/>
    </row>
    <row r="3635" ht="27.75" customHeight="1" s="24">
      <c r="A3635" s="13" t="n">
        <v>5000037594</v>
      </c>
      <c r="B3635" s="13" t="inlineStr">
        <is>
          <t>МКУК "Культурно-досуговый центр" Подымахинского муниципального образования</t>
        </is>
      </c>
      <c r="C3635" s="13" t="n">
        <v>3818030762</v>
      </c>
      <c r="D3635" s="13" t="inlineStr">
        <is>
          <t>3818030762</t>
        </is>
      </c>
      <c r="E3635" s="13" t="inlineStr">
        <is>
          <t>ЮЛ РФ</t>
        </is>
      </c>
      <c r="F3635" s="13" t="n"/>
      <c r="G3635" s="14" t="n"/>
      <c r="H3635" s="14" t="n"/>
      <c r="I3635" s="14" t="n"/>
      <c r="J3635" s="14" t="n"/>
      <c r="K3635" s="53" t="inlineStr"/>
      <c r="L3635" s="53" t="inlineStr">
        <is>
          <t>Не определено</t>
        </is>
      </c>
      <c r="M3635" s="53" t="inlineStr"/>
      <c r="N3635" s="54" t="inlineStr"/>
      <c r="O3635" s="55" t="inlineStr"/>
      <c r="P3635" s="16" t="inlineStr">
        <is>
          <t>Требует обогащения</t>
        </is>
      </c>
      <c r="Q3635" s="16">
        <f>HYPERLINK("https://pb.nalog.ru/search.html?query=3818030762","ФНС: проверить")</f>
        <v/>
      </c>
      <c r="R3635" s="16">
        <f>HYPERLINK("https://checko.ru/search?query=3801001629","Чекко: проверить")</f>
        <v/>
      </c>
      <c r="S3635" t="n">
        <v>0</v>
      </c>
      <c r="T3635" s="35" t="inlineStr">
        <is>
          <t>4 — Не обогащён</t>
        </is>
      </c>
      <c r="U3635" s="35" t="inlineStr">
        <is>
          <t>Нет ОКВЭД/ССЧР</t>
        </is>
      </c>
      <c r="V3635" s="35" t="inlineStr">
        <is>
          <t>Не определено</t>
        </is>
      </c>
      <c r="W3635" s="35" t="inlineStr"/>
      <c r="X3635" s="35" t="inlineStr"/>
    </row>
    <row r="3636" ht="27.75" customHeight="1" s="24">
      <c r="A3636" s="13" t="n">
        <v>5000018383</v>
      </c>
      <c r="B3636" s="13" t="inlineStr">
        <is>
          <t>МАДОУ детский сад общеразвивающего вида №35 «Сказка»</t>
        </is>
      </c>
      <c r="C3636" s="13" t="n">
        <v>6501100021</v>
      </c>
      <c r="D3636" s="13" t="inlineStr">
        <is>
          <t>6501100021</t>
        </is>
      </c>
      <c r="E3636" s="13" t="inlineStr">
        <is>
          <t>ЮЛ РФ</t>
        </is>
      </c>
      <c r="F3636" s="13" t="n"/>
      <c r="G3636" s="14" t="n"/>
      <c r="H3636" s="14" t="n"/>
      <c r="I3636" s="14" t="n"/>
      <c r="J3636" s="14" t="n"/>
      <c r="K3636" s="53" t="inlineStr"/>
      <c r="L3636" s="53" t="inlineStr">
        <is>
          <t>Не определено</t>
        </is>
      </c>
      <c r="M3636" s="53" t="inlineStr"/>
      <c r="N3636" s="54" t="inlineStr"/>
      <c r="O3636" s="55" t="inlineStr"/>
      <c r="P3636" s="16" t="inlineStr">
        <is>
          <t>Требует обогащения</t>
        </is>
      </c>
      <c r="Q3636" s="16">
        <f>HYPERLINK("https://pb.nalog.ru/search.html?query=6501100021","ФНС: проверить")</f>
        <v/>
      </c>
      <c r="R3636" s="16">
        <f>HYPERLINK("https://checko.ru/search?query=3801001629","Чекко: проверить")</f>
        <v/>
      </c>
      <c r="S3636" t="n">
        <v>1</v>
      </c>
      <c r="T3636" s="35" t="inlineStr">
        <is>
          <t>4 — Не обогащён</t>
        </is>
      </c>
      <c r="U3636" s="35" t="inlineStr">
        <is>
          <t>Нет ОКВЭД/ССЧР</t>
        </is>
      </c>
      <c r="V3636" s="35" t="inlineStr">
        <is>
          <t>Не определено</t>
        </is>
      </c>
      <c r="W3636" s="35" t="inlineStr"/>
      <c r="X3636" s="35" t="inlineStr"/>
    </row>
    <row r="3637" ht="27.75" customHeight="1" s="24">
      <c r="A3637" s="13" t="n">
        <v>5000018384</v>
      </c>
      <c r="B3637" s="13" t="inlineStr">
        <is>
          <t>МБДОУ детский сад компенсирующего вида №37 «Одуванчик»</t>
        </is>
      </c>
      <c r="C3637" s="13" t="n">
        <v>6501099922</v>
      </c>
      <c r="D3637" s="13" t="inlineStr">
        <is>
          <t>6501099922</t>
        </is>
      </c>
      <c r="E3637" s="13" t="inlineStr">
        <is>
          <t>ЮЛ РФ</t>
        </is>
      </c>
      <c r="F3637" s="13" t="n"/>
      <c r="G3637" s="14" t="n"/>
      <c r="H3637" s="14" t="n"/>
      <c r="I3637" s="14" t="n"/>
      <c r="J3637" s="14" t="n"/>
      <c r="K3637" s="53" t="inlineStr"/>
      <c r="L3637" s="53" t="inlineStr">
        <is>
          <t>Не определено</t>
        </is>
      </c>
      <c r="M3637" s="53" t="inlineStr"/>
      <c r="N3637" s="54" t="inlineStr"/>
      <c r="O3637" s="55" t="inlineStr"/>
      <c r="P3637" s="16" t="inlineStr">
        <is>
          <t>Требует обогащения</t>
        </is>
      </c>
      <c r="Q3637" s="16">
        <f>HYPERLINK("https://pb.nalog.ru/search.html?query=6501099922","ФНС: проверить")</f>
        <v/>
      </c>
      <c r="R3637" s="16">
        <f>HYPERLINK("https://checko.ru/search?query=3801001629","Чекко: проверить")</f>
        <v/>
      </c>
      <c r="S3637" t="n">
        <v>1</v>
      </c>
      <c r="T3637" s="35" t="inlineStr">
        <is>
          <t>4 — Не обогащён</t>
        </is>
      </c>
      <c r="U3637" s="35" t="inlineStr">
        <is>
          <t>Нет ОКВЭД/ССЧР</t>
        </is>
      </c>
      <c r="V3637" s="35" t="inlineStr">
        <is>
          <t>Не определено</t>
        </is>
      </c>
      <c r="W3637" s="35" t="inlineStr"/>
      <c r="X3637" s="35" t="inlineStr"/>
    </row>
    <row r="3638" ht="27.75" customHeight="1" s="24">
      <c r="A3638" s="13" t="n">
        <v>5000018385</v>
      </c>
      <c r="B3638" s="13" t="inlineStr">
        <is>
          <t>МАДОУ детский сад комбинированного вида №38 «Лучик»</t>
        </is>
      </c>
      <c r="C3638" s="13" t="n">
        <v>6501253518</v>
      </c>
      <c r="D3638" s="13" t="inlineStr">
        <is>
          <t>6501253518</t>
        </is>
      </c>
      <c r="E3638" s="13" t="inlineStr">
        <is>
          <t>ЮЛ РФ</t>
        </is>
      </c>
      <c r="F3638" s="13" t="n"/>
      <c r="G3638" s="14" t="n"/>
      <c r="H3638" s="14" t="n"/>
      <c r="I3638" s="14" t="n"/>
      <c r="J3638" s="14" t="n"/>
      <c r="K3638" s="53" t="inlineStr"/>
      <c r="L3638" s="53" t="inlineStr">
        <is>
          <t>Не определено</t>
        </is>
      </c>
      <c r="M3638" s="53" t="inlineStr"/>
      <c r="N3638" s="54" t="inlineStr"/>
      <c r="O3638" s="55" t="inlineStr"/>
      <c r="P3638" s="16" t="inlineStr">
        <is>
          <t>Требует обогащения</t>
        </is>
      </c>
      <c r="Q3638" s="16">
        <f>HYPERLINK("https://pb.nalog.ru/search.html?query=6501253518","ФНС: проверить")</f>
        <v/>
      </c>
      <c r="R3638" s="16">
        <f>HYPERLINK("https://checko.ru/search?query=3801001629","Чекко: проверить")</f>
        <v/>
      </c>
      <c r="S3638" t="n">
        <v>1</v>
      </c>
      <c r="T3638" s="35" t="inlineStr">
        <is>
          <t>4 — Не обогащён</t>
        </is>
      </c>
      <c r="U3638" s="35" t="inlineStr">
        <is>
          <t>Нет ОКВЭД/ССЧР</t>
        </is>
      </c>
      <c r="V3638" s="35" t="inlineStr">
        <is>
          <t>Не определено</t>
        </is>
      </c>
      <c r="W3638" s="35" t="inlineStr"/>
      <c r="X3638" s="35" t="inlineStr"/>
    </row>
    <row r="3639" ht="15" customHeight="1" s="24">
      <c r="A3639" s="13" t="n">
        <v>5000018386</v>
      </c>
      <c r="B3639" s="13" t="inlineStr">
        <is>
          <t>МАДОУ детский сад №39 «Радуга»</t>
        </is>
      </c>
      <c r="C3639" s="13" t="n">
        <v>6501258361</v>
      </c>
      <c r="D3639" s="13" t="inlineStr">
        <is>
          <t>6501258361</t>
        </is>
      </c>
      <c r="E3639" s="13" t="inlineStr">
        <is>
          <t>ЮЛ РФ</t>
        </is>
      </c>
      <c r="F3639" s="13" t="n"/>
      <c r="G3639" s="14" t="n"/>
      <c r="H3639" s="14" t="n"/>
      <c r="I3639" s="14" t="n"/>
      <c r="J3639" s="14" t="n"/>
      <c r="K3639" s="53" t="inlineStr"/>
      <c r="L3639" s="53" t="inlineStr">
        <is>
          <t>Не определено</t>
        </is>
      </c>
      <c r="M3639" s="53" t="inlineStr"/>
      <c r="N3639" s="54" t="inlineStr"/>
      <c r="O3639" s="55" t="inlineStr"/>
      <c r="P3639" s="16" t="inlineStr">
        <is>
          <t>Требует обогащения</t>
        </is>
      </c>
      <c r="Q3639" s="16">
        <f>HYPERLINK("https://pb.nalog.ru/search.html?query=6501258361","ФНС: проверить")</f>
        <v/>
      </c>
      <c r="R3639" s="16">
        <f>HYPERLINK("https://checko.ru/search?query=3801001629","Чекко: проверить")</f>
        <v/>
      </c>
      <c r="S3639" t="n">
        <v>1</v>
      </c>
      <c r="T3639" s="35" t="inlineStr">
        <is>
          <t>4 — Не обогащён</t>
        </is>
      </c>
      <c r="U3639" s="35" t="inlineStr">
        <is>
          <t>Нет ОКВЭД/ССЧР</t>
        </is>
      </c>
      <c r="V3639" s="35" t="inlineStr">
        <is>
          <t>Не определено</t>
        </is>
      </c>
      <c r="W3639" s="35" t="inlineStr"/>
      <c r="X3639" s="35" t="inlineStr"/>
    </row>
    <row r="3640" ht="15" customHeight="1" s="24">
      <c r="A3640" s="13" t="n">
        <v>5000018387</v>
      </c>
      <c r="B3640" s="13" t="inlineStr">
        <is>
          <t>МБДОУ детский сад №40 «Теремок»</t>
        </is>
      </c>
      <c r="C3640" s="13" t="n">
        <v>6501102290</v>
      </c>
      <c r="D3640" s="13" t="inlineStr">
        <is>
          <t>6501102290</t>
        </is>
      </c>
      <c r="E3640" s="13" t="inlineStr">
        <is>
          <t>ЮЛ РФ</t>
        </is>
      </c>
      <c r="F3640" s="13" t="n"/>
      <c r="G3640" s="14" t="n"/>
      <c r="H3640" s="14" t="n"/>
      <c r="I3640" s="14" t="n"/>
      <c r="J3640" s="14" t="n"/>
      <c r="K3640" s="53" t="inlineStr"/>
      <c r="L3640" s="53" t="inlineStr">
        <is>
          <t>Не определено</t>
        </is>
      </c>
      <c r="M3640" s="53" t="inlineStr"/>
      <c r="N3640" s="54" t="inlineStr"/>
      <c r="O3640" s="55" t="inlineStr"/>
      <c r="P3640" s="16" t="inlineStr">
        <is>
          <t>Требует обогащения</t>
        </is>
      </c>
      <c r="Q3640" s="16">
        <f>HYPERLINK("https://pb.nalog.ru/search.html?query=6501102290","ФНС: проверить")</f>
        <v/>
      </c>
      <c r="R3640" s="16">
        <f>HYPERLINK("https://checko.ru/search?query=3801001629","Чекко: проверить")</f>
        <v/>
      </c>
      <c r="S3640" t="n">
        <v>1</v>
      </c>
      <c r="T3640" s="35" t="inlineStr">
        <is>
          <t>4 — Не обогащён</t>
        </is>
      </c>
      <c r="U3640" s="35" t="inlineStr">
        <is>
          <t>Нет ОКВЭД/ССЧР</t>
        </is>
      </c>
      <c r="V3640" s="35" t="inlineStr">
        <is>
          <t>Не определено</t>
        </is>
      </c>
      <c r="W3640" s="35" t="inlineStr"/>
      <c r="X3640" s="35" t="inlineStr"/>
    </row>
    <row r="3641" ht="27.75" customHeight="1" s="24">
      <c r="A3641" s="13" t="n">
        <v>5000018388</v>
      </c>
      <c r="B3641" s="13" t="inlineStr">
        <is>
          <t>МБДОУ детский сад присмотра и оздоровления №41 «Звёздочка»</t>
        </is>
      </c>
      <c r="C3641" s="13" t="n">
        <v>6501100092</v>
      </c>
      <c r="D3641" s="13" t="inlineStr">
        <is>
          <t>6501100092</t>
        </is>
      </c>
      <c r="E3641" s="13" t="inlineStr">
        <is>
          <t>ЮЛ РФ</t>
        </is>
      </c>
      <c r="F3641" s="13" t="n"/>
      <c r="G3641" s="14" t="n"/>
      <c r="H3641" s="14" t="n"/>
      <c r="I3641" s="14" t="n"/>
      <c r="J3641" s="14" t="n"/>
      <c r="K3641" s="53" t="inlineStr"/>
      <c r="L3641" s="53" t="inlineStr">
        <is>
          <t>Не определено</t>
        </is>
      </c>
      <c r="M3641" s="53" t="inlineStr"/>
      <c r="N3641" s="54" t="inlineStr"/>
      <c r="O3641" s="55" t="inlineStr"/>
      <c r="P3641" s="16" t="inlineStr">
        <is>
          <t>Требует обогащения</t>
        </is>
      </c>
      <c r="Q3641" s="16">
        <f>HYPERLINK("https://pb.nalog.ru/search.html?query=6501100092","ФНС: проверить")</f>
        <v/>
      </c>
      <c r="R3641" s="16">
        <f>HYPERLINK("https://checko.ru/search?query=3801001629","Чекко: проверить")</f>
        <v/>
      </c>
      <c r="S3641" t="n">
        <v>1</v>
      </c>
      <c r="T3641" s="35" t="inlineStr">
        <is>
          <t>4 — Не обогащён</t>
        </is>
      </c>
      <c r="U3641" s="35" t="inlineStr">
        <is>
          <t>Нет ОКВЭД/ССЧР</t>
        </is>
      </c>
      <c r="V3641" s="35" t="inlineStr">
        <is>
          <t>Не определено</t>
        </is>
      </c>
      <c r="W3641" s="35" t="inlineStr"/>
      <c r="X3641" s="35" t="inlineStr"/>
    </row>
    <row r="3642" ht="27.75" customHeight="1" s="24">
      <c r="A3642" s="13" t="n">
        <v>5000018389</v>
      </c>
      <c r="B3642" s="13" t="inlineStr">
        <is>
          <t>МАДОУ детский сад общеразвивающего вида №42 «Черёмушки»</t>
        </is>
      </c>
      <c r="C3642" s="13" t="n">
        <v>6501098252</v>
      </c>
      <c r="D3642" s="13" t="inlineStr">
        <is>
          <t>6501098252</t>
        </is>
      </c>
      <c r="E3642" s="13" t="inlineStr">
        <is>
          <t>ЮЛ РФ</t>
        </is>
      </c>
      <c r="F3642" s="13" t="n"/>
      <c r="G3642" s="14" t="n"/>
      <c r="H3642" s="14" t="n"/>
      <c r="I3642" s="14" t="n"/>
      <c r="J3642" s="14" t="n"/>
      <c r="K3642" s="53" t="inlineStr"/>
      <c r="L3642" s="53" t="inlineStr">
        <is>
          <t>Не определено</t>
        </is>
      </c>
      <c r="M3642" s="53" t="inlineStr"/>
      <c r="N3642" s="54" t="inlineStr"/>
      <c r="O3642" s="55" t="inlineStr"/>
      <c r="P3642" s="16" t="inlineStr">
        <is>
          <t>Требует обогащения</t>
        </is>
      </c>
      <c r="Q3642" s="16">
        <f>HYPERLINK("https://pb.nalog.ru/search.html?query=6501098252","ФНС: проверить")</f>
        <v/>
      </c>
      <c r="R3642" s="16">
        <f>HYPERLINK("https://checko.ru/search?query=3801001629","Чекко: проверить")</f>
        <v/>
      </c>
      <c r="S3642" t="n">
        <v>1</v>
      </c>
      <c r="T3642" s="35" t="inlineStr">
        <is>
          <t>4 — Не обогащён</t>
        </is>
      </c>
      <c r="U3642" s="35" t="inlineStr">
        <is>
          <t>Нет ОКВЭД/ССЧР</t>
        </is>
      </c>
      <c r="V3642" s="35" t="inlineStr">
        <is>
          <t>Не определено</t>
        </is>
      </c>
      <c r="W3642" s="35" t="inlineStr"/>
      <c r="X3642" s="35" t="inlineStr"/>
    </row>
    <row r="3643" ht="27.75" customHeight="1" s="24">
      <c r="A3643" s="13" t="n">
        <v>5000018390</v>
      </c>
      <c r="B3643" s="13" t="inlineStr">
        <is>
          <t>МАДОУ детский сад общеразвивающего вида №43 «Светлячок»</t>
        </is>
      </c>
      <c r="C3643" s="13" t="n">
        <v>6501100159</v>
      </c>
      <c r="D3643" s="13" t="inlineStr">
        <is>
          <t>6501100159</t>
        </is>
      </c>
      <c r="E3643" s="13" t="inlineStr">
        <is>
          <t>ЮЛ РФ</t>
        </is>
      </c>
      <c r="F3643" s="13" t="n"/>
      <c r="G3643" s="14" t="n"/>
      <c r="H3643" s="14" t="n"/>
      <c r="I3643" s="14" t="n"/>
      <c r="J3643" s="14" t="n"/>
      <c r="K3643" s="53" t="inlineStr"/>
      <c r="L3643" s="53" t="inlineStr">
        <is>
          <t>Не определено</t>
        </is>
      </c>
      <c r="M3643" s="53" t="inlineStr"/>
      <c r="N3643" s="54" t="inlineStr"/>
      <c r="O3643" s="55" t="inlineStr"/>
      <c r="P3643" s="16" t="inlineStr">
        <is>
          <t>Требует обогащения</t>
        </is>
      </c>
      <c r="Q3643" s="16">
        <f>HYPERLINK("https://pb.nalog.ru/search.html?query=6501100159","ФНС: проверить")</f>
        <v/>
      </c>
      <c r="R3643" s="16">
        <f>HYPERLINK("https://checko.ru/search?query=3801001629","Чекко: проверить")</f>
        <v/>
      </c>
      <c r="S3643" t="n">
        <v>1</v>
      </c>
      <c r="T3643" s="35" t="inlineStr">
        <is>
          <t>4 — Не обогащён</t>
        </is>
      </c>
      <c r="U3643" s="35" t="inlineStr">
        <is>
          <t>Нет ОКВЭД/ССЧР</t>
        </is>
      </c>
      <c r="V3643" s="35" t="inlineStr">
        <is>
          <t>Не определено</t>
        </is>
      </c>
      <c r="W3643" s="35" t="inlineStr"/>
      <c r="X3643" s="35" t="inlineStr"/>
    </row>
    <row r="3644" ht="15" customHeight="1" s="24">
      <c r="A3644" s="13" t="n">
        <v>5000018391</v>
      </c>
      <c r="B3644" s="13" t="inlineStr">
        <is>
          <t>МАДОУ детский сад №45 «Семицветик»</t>
        </is>
      </c>
      <c r="C3644" s="13" t="n">
        <v>6501280215</v>
      </c>
      <c r="D3644" s="13" t="inlineStr">
        <is>
          <t>6501280215</t>
        </is>
      </c>
      <c r="E3644" s="13" t="inlineStr">
        <is>
          <t>ЮЛ РФ</t>
        </is>
      </c>
      <c r="F3644" s="13" t="n"/>
      <c r="G3644" s="14" t="n"/>
      <c r="H3644" s="14" t="n"/>
      <c r="I3644" s="14" t="n"/>
      <c r="J3644" s="14" t="n"/>
      <c r="K3644" s="53" t="inlineStr"/>
      <c r="L3644" s="53" t="inlineStr">
        <is>
          <t>Не определено</t>
        </is>
      </c>
      <c r="M3644" s="53" t="inlineStr"/>
      <c r="N3644" s="54" t="inlineStr"/>
      <c r="O3644" s="55" t="inlineStr"/>
      <c r="P3644" s="16" t="inlineStr">
        <is>
          <t>Требует обогащения</t>
        </is>
      </c>
      <c r="Q3644" s="16">
        <f>HYPERLINK("https://pb.nalog.ru/search.html?query=6501280215","ФНС: проверить")</f>
        <v/>
      </c>
      <c r="R3644" s="16">
        <f>HYPERLINK("https://checko.ru/search?query=3801001629","Чекко: проверить")</f>
        <v/>
      </c>
      <c r="S3644" t="n">
        <v>1</v>
      </c>
      <c r="T3644" s="35" t="inlineStr">
        <is>
          <t>4 — Не обогащён</t>
        </is>
      </c>
      <c r="U3644" s="35" t="inlineStr">
        <is>
          <t>Нет ОКВЭД/ССЧР</t>
        </is>
      </c>
      <c r="V3644" s="35" t="inlineStr">
        <is>
          <t>Не определено</t>
        </is>
      </c>
      <c r="W3644" s="35" t="inlineStr"/>
      <c r="X3644" s="35" t="inlineStr"/>
    </row>
    <row r="3645" ht="27.75" customHeight="1" s="24">
      <c r="A3645" s="13" t="n">
        <v>5000018392</v>
      </c>
      <c r="B3645" s="13" t="inlineStr">
        <is>
          <t>МАДОУ детский сад общеразвивающего вида №46 «Жемчужина»</t>
        </is>
      </c>
      <c r="C3645" s="13" t="n">
        <v>6501252585</v>
      </c>
      <c r="D3645" s="13" t="inlineStr">
        <is>
          <t>6501252585</t>
        </is>
      </c>
      <c r="E3645" s="13" t="inlineStr">
        <is>
          <t>ЮЛ РФ</t>
        </is>
      </c>
      <c r="F3645" s="13" t="n"/>
      <c r="G3645" s="14" t="n"/>
      <c r="H3645" s="14" t="n"/>
      <c r="I3645" s="14" t="n"/>
      <c r="J3645" s="14" t="n"/>
      <c r="K3645" s="53" t="inlineStr"/>
      <c r="L3645" s="53" t="inlineStr">
        <is>
          <t>Не определено</t>
        </is>
      </c>
      <c r="M3645" s="53" t="inlineStr"/>
      <c r="N3645" s="54" t="inlineStr"/>
      <c r="O3645" s="55" t="inlineStr"/>
      <c r="P3645" s="16" t="inlineStr">
        <is>
          <t>Требует обогащения</t>
        </is>
      </c>
      <c r="Q3645" s="16">
        <f>HYPERLINK("https://pb.nalog.ru/search.html?query=6501252585","ФНС: проверить")</f>
        <v/>
      </c>
      <c r="R3645" s="16">
        <f>HYPERLINK("https://checko.ru/search?query=3801001629","Чекко: проверить")</f>
        <v/>
      </c>
      <c r="S3645" t="n">
        <v>1</v>
      </c>
      <c r="T3645" s="35" t="inlineStr">
        <is>
          <t>4 — Не обогащён</t>
        </is>
      </c>
      <c r="U3645" s="35" t="inlineStr">
        <is>
          <t>Нет ОКВЭД/ССЧР</t>
        </is>
      </c>
      <c r="V3645" s="35" t="inlineStr">
        <is>
          <t>Не определено</t>
        </is>
      </c>
      <c r="W3645" s="35" t="inlineStr"/>
      <c r="X3645" s="35" t="inlineStr"/>
    </row>
    <row r="3646" ht="15" customHeight="1" s="24">
      <c r="A3646" s="13" t="n">
        <v>5000018393</v>
      </c>
      <c r="B3646" s="13" t="inlineStr">
        <is>
          <t>МБДОУ детский сад № 47 «Ягодка»</t>
        </is>
      </c>
      <c r="C3646" s="13" t="n">
        <v>6501287443</v>
      </c>
      <c r="D3646" s="13" t="inlineStr">
        <is>
          <t>6501287443</t>
        </is>
      </c>
      <c r="E3646" s="13" t="inlineStr">
        <is>
          <t>ЮЛ РФ</t>
        </is>
      </c>
      <c r="F3646" s="13" t="n"/>
      <c r="G3646" s="14" t="n"/>
      <c r="H3646" s="14" t="n"/>
      <c r="I3646" s="14" t="n"/>
      <c r="J3646" s="14" t="n"/>
      <c r="K3646" s="53" t="inlineStr"/>
      <c r="L3646" s="53" t="inlineStr">
        <is>
          <t>Не определено</t>
        </is>
      </c>
      <c r="M3646" s="53" t="inlineStr"/>
      <c r="N3646" s="54" t="inlineStr"/>
      <c r="O3646" s="55" t="inlineStr"/>
      <c r="P3646" s="16" t="inlineStr">
        <is>
          <t>Требует обогащения</t>
        </is>
      </c>
      <c r="Q3646" s="16">
        <f>HYPERLINK("https://pb.nalog.ru/search.html?query=6501287443","ФНС: проверить")</f>
        <v/>
      </c>
      <c r="R3646" s="16">
        <f>HYPERLINK("https://checko.ru/search?query=3801001629","Чекко: проверить")</f>
        <v/>
      </c>
      <c r="S3646" t="n">
        <v>1</v>
      </c>
      <c r="T3646" s="35" t="inlineStr">
        <is>
          <t>4 — Не обогащён</t>
        </is>
      </c>
      <c r="U3646" s="35" t="inlineStr">
        <is>
          <t>Нет ОКВЭД/ССЧР</t>
        </is>
      </c>
      <c r="V3646" s="35" t="inlineStr">
        <is>
          <t>Не определено</t>
        </is>
      </c>
      <c r="W3646" s="35" t="inlineStr"/>
      <c r="X3646" s="35" t="inlineStr"/>
    </row>
    <row r="3647" ht="27.75" customHeight="1" s="24">
      <c r="A3647" s="13" t="n">
        <v>5000018394</v>
      </c>
      <c r="B3647" s="13" t="inlineStr">
        <is>
          <t>МАДОУ детский сад общеразвивающего вида №49 «Ласточка»</t>
        </is>
      </c>
      <c r="C3647" s="13" t="n">
        <v>6501100945</v>
      </c>
      <c r="D3647" s="13" t="inlineStr">
        <is>
          <t>6501100945</t>
        </is>
      </c>
      <c r="E3647" s="13" t="inlineStr">
        <is>
          <t>ЮЛ РФ</t>
        </is>
      </c>
      <c r="F3647" s="13" t="n"/>
      <c r="G3647" s="14" t="n"/>
      <c r="H3647" s="14" t="n"/>
      <c r="I3647" s="14" t="n"/>
      <c r="J3647" s="14" t="n"/>
      <c r="K3647" s="53" t="inlineStr"/>
      <c r="L3647" s="53" t="inlineStr">
        <is>
          <t>Не определено</t>
        </is>
      </c>
      <c r="M3647" s="53" t="inlineStr"/>
      <c r="N3647" s="54" t="inlineStr"/>
      <c r="O3647" s="55" t="inlineStr"/>
      <c r="P3647" s="16" t="inlineStr">
        <is>
          <t>Требует обогащения</t>
        </is>
      </c>
      <c r="Q3647" s="16">
        <f>HYPERLINK("https://pb.nalog.ru/search.html?query=6501100945","ФНС: проверить")</f>
        <v/>
      </c>
      <c r="R3647" s="16">
        <f>HYPERLINK("https://checko.ru/search?query=3801001629","Чекко: проверить")</f>
        <v/>
      </c>
      <c r="S3647" t="n">
        <v>1</v>
      </c>
      <c r="T3647" s="35" t="inlineStr">
        <is>
          <t>4 — Не обогащён</t>
        </is>
      </c>
      <c r="U3647" s="35" t="inlineStr">
        <is>
          <t>Нет ОКВЭД/ССЧР</t>
        </is>
      </c>
      <c r="V3647" s="35" t="inlineStr">
        <is>
          <t>Не определено</t>
        </is>
      </c>
      <c r="W3647" s="35" t="inlineStr"/>
      <c r="X3647" s="35" t="inlineStr"/>
    </row>
    <row r="3648" ht="15" customHeight="1" s="24">
      <c r="A3648" s="13" t="n">
        <v>5000018395</v>
      </c>
      <c r="B3648" s="13" t="inlineStr">
        <is>
          <t>МБДОУ детский сад № 50 «Карусель»</t>
        </is>
      </c>
      <c r="C3648" s="13" t="n">
        <v>6501284763</v>
      </c>
      <c r="D3648" s="13" t="inlineStr">
        <is>
          <t>6501284763</t>
        </is>
      </c>
      <c r="E3648" s="13" t="inlineStr">
        <is>
          <t>ЮЛ РФ</t>
        </is>
      </c>
      <c r="F3648" s="13" t="n"/>
      <c r="G3648" s="14" t="n"/>
      <c r="H3648" s="14" t="n"/>
      <c r="I3648" s="14" t="n"/>
      <c r="J3648" s="14" t="n"/>
      <c r="K3648" s="53" t="inlineStr"/>
      <c r="L3648" s="53" t="inlineStr">
        <is>
          <t>Не определено</t>
        </is>
      </c>
      <c r="M3648" s="53" t="inlineStr"/>
      <c r="N3648" s="54" t="inlineStr"/>
      <c r="O3648" s="55" t="inlineStr"/>
      <c r="P3648" s="16" t="inlineStr">
        <is>
          <t>Требует обогащения</t>
        </is>
      </c>
      <c r="Q3648" s="16">
        <f>HYPERLINK("https://pb.nalog.ru/search.html?query=6501284763","ФНС: проверить")</f>
        <v/>
      </c>
      <c r="R3648" s="16">
        <f>HYPERLINK("https://checko.ru/search?query=3801001629","Чекко: проверить")</f>
        <v/>
      </c>
      <c r="S3648" t="n">
        <v>1</v>
      </c>
      <c r="T3648" s="35" t="inlineStr">
        <is>
          <t>4 — Не обогащён</t>
        </is>
      </c>
      <c r="U3648" s="35" t="inlineStr">
        <is>
          <t>Нет ОКВЭД/ССЧР</t>
        </is>
      </c>
      <c r="V3648" s="35" t="inlineStr">
        <is>
          <t>Не определено</t>
        </is>
      </c>
      <c r="W3648" s="35" t="inlineStr"/>
      <c r="X3648" s="35" t="inlineStr"/>
    </row>
    <row r="3649" ht="15" customHeight="1" s="24">
      <c r="A3649" s="13" t="n">
        <v>5000018396</v>
      </c>
      <c r="B3649" s="13" t="inlineStr">
        <is>
          <t>МАДОУ детский сад № 57 «Бусинка»</t>
        </is>
      </c>
      <c r="C3649" s="13" t="n">
        <v>6501284820</v>
      </c>
      <c r="D3649" s="13" t="inlineStr">
        <is>
          <t>6501284820</t>
        </is>
      </c>
      <c r="E3649" s="13" t="inlineStr">
        <is>
          <t>ЮЛ РФ</t>
        </is>
      </c>
      <c r="F3649" s="13" t="n"/>
      <c r="G3649" s="14" t="n"/>
      <c r="H3649" s="14" t="n"/>
      <c r="I3649" s="14" t="n"/>
      <c r="J3649" s="14" t="n"/>
      <c r="K3649" s="53" t="inlineStr"/>
      <c r="L3649" s="53" t="inlineStr">
        <is>
          <t>Не определено</t>
        </is>
      </c>
      <c r="M3649" s="53" t="inlineStr"/>
      <c r="N3649" s="54" t="inlineStr"/>
      <c r="O3649" s="55" t="inlineStr"/>
      <c r="P3649" s="16" t="inlineStr">
        <is>
          <t>Требует обогащения</t>
        </is>
      </c>
      <c r="Q3649" s="16">
        <f>HYPERLINK("https://pb.nalog.ru/search.html?query=6501284820","ФНС: проверить")</f>
        <v/>
      </c>
      <c r="R3649" s="16">
        <f>HYPERLINK("https://checko.ru/search?query=3801001629","Чекко: проверить")</f>
        <v/>
      </c>
      <c r="S3649" t="n">
        <v>1</v>
      </c>
      <c r="T3649" s="35" t="inlineStr">
        <is>
          <t>4 — Не обогащён</t>
        </is>
      </c>
      <c r="U3649" s="35" t="inlineStr">
        <is>
          <t>Нет ОКВЭД/ССЧР</t>
        </is>
      </c>
      <c r="V3649" s="35" t="inlineStr">
        <is>
          <t>Не определено</t>
        </is>
      </c>
      <c r="W3649" s="35" t="inlineStr"/>
      <c r="X3649" s="35" t="inlineStr"/>
    </row>
    <row r="3650" ht="15" customHeight="1" s="24">
      <c r="A3650" s="13" t="n">
        <v>5000018397</v>
      </c>
      <c r="B3650" s="13" t="inlineStr">
        <is>
          <t>МБДОУ детский сад №58 «Ручеёк»</t>
        </is>
      </c>
      <c r="C3650" s="13" t="n">
        <v>6501103181</v>
      </c>
      <c r="D3650" s="13" t="inlineStr">
        <is>
          <t>6501103181</t>
        </is>
      </c>
      <c r="E3650" s="13" t="inlineStr">
        <is>
          <t>ЮЛ РФ</t>
        </is>
      </c>
      <c r="F3650" s="13" t="n"/>
      <c r="G3650" s="14" t="n"/>
      <c r="H3650" s="14" t="n"/>
      <c r="I3650" s="14" t="n"/>
      <c r="J3650" s="14" t="n"/>
      <c r="K3650" s="53" t="inlineStr"/>
      <c r="L3650" s="53" t="inlineStr">
        <is>
          <t>Не определено</t>
        </is>
      </c>
      <c r="M3650" s="53" t="inlineStr"/>
      <c r="N3650" s="54" t="inlineStr"/>
      <c r="O3650" s="55" t="inlineStr"/>
      <c r="P3650" s="16" t="inlineStr">
        <is>
          <t>Требует обогащения</t>
        </is>
      </c>
      <c r="Q3650" s="16">
        <f>HYPERLINK("https://pb.nalog.ru/search.html?query=6501103181","ФНС: проверить")</f>
        <v/>
      </c>
      <c r="R3650" s="16">
        <f>HYPERLINK("https://checko.ru/search?query=3801001629","Чекко: проверить")</f>
        <v/>
      </c>
      <c r="S3650" t="n">
        <v>1</v>
      </c>
      <c r="T3650" s="35" t="inlineStr">
        <is>
          <t>4 — Не обогащён</t>
        </is>
      </c>
      <c r="U3650" s="35" t="inlineStr">
        <is>
          <t>Нет ОКВЭД/ССЧР</t>
        </is>
      </c>
      <c r="V3650" s="35" t="inlineStr">
        <is>
          <t>Не определено</t>
        </is>
      </c>
      <c r="W3650" s="35" t="inlineStr"/>
      <c r="X3650" s="35" t="inlineStr"/>
    </row>
    <row r="3651" ht="27.75" customHeight="1" s="24">
      <c r="A3651" s="13" t="n">
        <v>5000018399</v>
      </c>
      <c r="B3651" s="13" t="inlineStr">
        <is>
          <t>МКУ "Эксплутационно-хозяйственная служба учреждений"</t>
        </is>
      </c>
      <c r="C3651" s="13" t="n">
        <v>6501243125</v>
      </c>
      <c r="D3651" s="13" t="inlineStr">
        <is>
          <t>6501243125</t>
        </is>
      </c>
      <c r="E3651" s="13" t="inlineStr">
        <is>
          <t>ЮЛ РФ</t>
        </is>
      </c>
      <c r="F3651" s="13" t="n"/>
      <c r="G3651" s="14" t="n"/>
      <c r="H3651" s="14" t="n"/>
      <c r="I3651" s="14" t="n"/>
      <c r="J3651" s="14" t="n"/>
      <c r="K3651" s="53" t="inlineStr"/>
      <c r="L3651" s="53" t="inlineStr">
        <is>
          <t>Не определено</t>
        </is>
      </c>
      <c r="M3651" s="53" t="inlineStr"/>
      <c r="N3651" s="54" t="inlineStr"/>
      <c r="O3651" s="55" t="inlineStr"/>
      <c r="P3651" s="16" t="inlineStr">
        <is>
          <t>Требует обогащения</t>
        </is>
      </c>
      <c r="Q3651" s="16">
        <f>HYPERLINK("https://pb.nalog.ru/search.html?query=6501243125","ФНС: проверить")</f>
        <v/>
      </c>
      <c r="R3651" s="16">
        <f>HYPERLINK("https://checko.ru/search?query=3801001629","Чекко: проверить")</f>
        <v/>
      </c>
      <c r="S3651" t="n">
        <v>1</v>
      </c>
      <c r="T3651" s="35" t="inlineStr">
        <is>
          <t>4 — Не обогащён</t>
        </is>
      </c>
      <c r="U3651" s="35" t="inlineStr">
        <is>
          <t>Нет ОКВЭД/ССЧР</t>
        </is>
      </c>
      <c r="V3651" s="35" t="inlineStr">
        <is>
          <t>Не определено</t>
        </is>
      </c>
      <c r="W3651" s="35" t="inlineStr"/>
      <c r="X3651" s="35" t="inlineStr"/>
    </row>
    <row r="3652" ht="15" customHeight="1" s="24">
      <c r="A3652" s="13" t="n">
        <v>5000018350</v>
      </c>
      <c r="B3652" s="13" t="inlineStr">
        <is>
          <t>МКОУ ВСОШ № 2</t>
        </is>
      </c>
      <c r="C3652" s="13" t="n">
        <v>6501102269</v>
      </c>
      <c r="D3652" s="13" t="inlineStr">
        <is>
          <t>6501102269</t>
        </is>
      </c>
      <c r="E3652" s="13" t="inlineStr">
        <is>
          <t>ЮЛ РФ</t>
        </is>
      </c>
      <c r="F3652" s="13" t="n"/>
      <c r="G3652" s="14" t="n"/>
      <c r="H3652" s="14" t="n"/>
      <c r="I3652" s="14" t="n"/>
      <c r="J3652" s="14" t="n"/>
      <c r="K3652" s="53" t="inlineStr"/>
      <c r="L3652" s="53" t="inlineStr">
        <is>
          <t>Не определено</t>
        </is>
      </c>
      <c r="M3652" s="53" t="inlineStr"/>
      <c r="N3652" s="54" t="inlineStr"/>
      <c r="O3652" s="55" t="inlineStr"/>
      <c r="P3652" s="16" t="inlineStr">
        <is>
          <t>Требует обогащения</t>
        </is>
      </c>
      <c r="Q3652" s="16">
        <f>HYPERLINK("https://pb.nalog.ru/search.html?query=6501102269","ФНС: проверить")</f>
        <v/>
      </c>
      <c r="R3652" s="16">
        <f>HYPERLINK("https://checko.ru/search?query=3801001629","Чекко: проверить")</f>
        <v/>
      </c>
      <c r="S3652" t="n">
        <v>1</v>
      </c>
      <c r="T3652" s="35" t="inlineStr">
        <is>
          <t>4 — Не обогащён</t>
        </is>
      </c>
      <c r="U3652" s="35" t="inlineStr">
        <is>
          <t>Нет ОКВЭД/ССЧР</t>
        </is>
      </c>
      <c r="V3652" s="35" t="inlineStr">
        <is>
          <t>Не определено</t>
        </is>
      </c>
      <c r="W3652" s="35" t="inlineStr"/>
      <c r="X3652" s="35" t="inlineStr"/>
    </row>
    <row r="3653" ht="27.75" customHeight="1" s="24">
      <c r="A3653" s="13" t="n">
        <v>5000018352</v>
      </c>
      <c r="B3653" s="13" t="inlineStr">
        <is>
          <t>МАДОУ детский сад общеразвивающего вида №1 «Загадка»</t>
        </is>
      </c>
      <c r="C3653" s="13" t="n">
        <v>6501026924</v>
      </c>
      <c r="D3653" s="13" t="inlineStr">
        <is>
          <t>6501026924</t>
        </is>
      </c>
      <c r="E3653" s="13" t="inlineStr">
        <is>
          <t>ЮЛ РФ</t>
        </is>
      </c>
      <c r="F3653" s="13" t="n"/>
      <c r="G3653" s="14" t="n"/>
      <c r="H3653" s="14" t="n"/>
      <c r="I3653" s="14" t="n"/>
      <c r="J3653" s="14" t="n"/>
      <c r="K3653" s="53" t="inlineStr"/>
      <c r="L3653" s="53" t="inlineStr">
        <is>
          <t>Не определено</t>
        </is>
      </c>
      <c r="M3653" s="53" t="inlineStr"/>
      <c r="N3653" s="54" t="inlineStr"/>
      <c r="O3653" s="55" t="inlineStr"/>
      <c r="P3653" s="16" t="inlineStr">
        <is>
          <t>Требует обогащения</t>
        </is>
      </c>
      <c r="Q3653" s="16">
        <f>HYPERLINK("https://pb.nalog.ru/search.html?query=6501026924","ФНС: проверить")</f>
        <v/>
      </c>
      <c r="R3653" s="16">
        <f>HYPERLINK("https://checko.ru/search?query=3801001629","Чекко: проверить")</f>
        <v/>
      </c>
      <c r="S3653" t="n">
        <v>1</v>
      </c>
      <c r="T3653" s="35" t="inlineStr">
        <is>
          <t>4 — Не обогащён</t>
        </is>
      </c>
      <c r="U3653" s="35" t="inlineStr">
        <is>
          <t>Нет ОКВЭД/ССЧР</t>
        </is>
      </c>
      <c r="V3653" s="35" t="inlineStr">
        <is>
          <t>Не определено</t>
        </is>
      </c>
      <c r="W3653" s="35" t="inlineStr"/>
      <c r="X3653" s="35" t="inlineStr"/>
    </row>
    <row r="3654" ht="27.75" customHeight="1" s="24">
      <c r="A3654" s="13" t="n">
        <v>5000018353</v>
      </c>
      <c r="B3654" s="13" t="inlineStr">
        <is>
          <t>МАДОУ детский сад общеразвивающего вида №2 «Березка»</t>
        </is>
      </c>
      <c r="C3654" s="13" t="n">
        <v>6501074533</v>
      </c>
      <c r="D3654" s="13" t="inlineStr">
        <is>
          <t>6501074533</t>
        </is>
      </c>
      <c r="E3654" s="13" t="inlineStr">
        <is>
          <t>ЮЛ РФ</t>
        </is>
      </c>
      <c r="F3654" s="13" t="n"/>
      <c r="G3654" s="14" t="n"/>
      <c r="H3654" s="14" t="n"/>
      <c r="I3654" s="14" t="n"/>
      <c r="J3654" s="14" t="n"/>
      <c r="K3654" s="53" t="inlineStr"/>
      <c r="L3654" s="53" t="inlineStr">
        <is>
          <t>Не определено</t>
        </is>
      </c>
      <c r="M3654" s="53" t="inlineStr"/>
      <c r="N3654" s="54" t="inlineStr"/>
      <c r="O3654" s="55" t="inlineStr"/>
      <c r="P3654" s="16" t="inlineStr">
        <is>
          <t>Требует обогащения</t>
        </is>
      </c>
      <c r="Q3654" s="16">
        <f>HYPERLINK("https://pb.nalog.ru/search.html?query=6501074533","ФНС: проверить")</f>
        <v/>
      </c>
      <c r="R3654" s="16">
        <f>HYPERLINK("https://checko.ru/search?query=3801001629","Чекко: проверить")</f>
        <v/>
      </c>
      <c r="S3654" t="n">
        <v>1</v>
      </c>
      <c r="T3654" s="35" t="inlineStr">
        <is>
          <t>4 — Не обогащён</t>
        </is>
      </c>
      <c r="U3654" s="35" t="inlineStr">
        <is>
          <t>Нет ОКВЭД/ССЧР</t>
        </is>
      </c>
      <c r="V3654" s="35" t="inlineStr">
        <is>
          <t>Не определено</t>
        </is>
      </c>
      <c r="W3654" s="35" t="inlineStr"/>
      <c r="X3654" s="35" t="inlineStr"/>
    </row>
    <row r="3655" ht="27.75" customHeight="1" s="24">
      <c r="A3655" s="13" t="n">
        <v>5000018354</v>
      </c>
      <c r="B3655" s="13" t="inlineStr">
        <is>
          <t>МАДОУ детский сад комбинированного вида №3 «Золотой ключик»</t>
        </is>
      </c>
      <c r="C3655" s="13" t="n">
        <v>6501100977</v>
      </c>
      <c r="D3655" s="13" t="inlineStr">
        <is>
          <t>6501100977</t>
        </is>
      </c>
      <c r="E3655" s="13" t="inlineStr">
        <is>
          <t>ЮЛ РФ</t>
        </is>
      </c>
      <c r="F3655" s="13" t="n"/>
      <c r="G3655" s="14" t="n"/>
      <c r="H3655" s="14" t="n"/>
      <c r="I3655" s="14" t="n"/>
      <c r="J3655" s="14" t="n"/>
      <c r="K3655" s="53" t="inlineStr"/>
      <c r="L3655" s="53" t="inlineStr">
        <is>
          <t>Не определено</t>
        </is>
      </c>
      <c r="M3655" s="53" t="inlineStr"/>
      <c r="N3655" s="54" t="inlineStr"/>
      <c r="O3655" s="55" t="inlineStr"/>
      <c r="P3655" s="16" t="inlineStr">
        <is>
          <t>Требует обогащения</t>
        </is>
      </c>
      <c r="Q3655" s="16">
        <f>HYPERLINK("https://pb.nalog.ru/search.html?query=6501100977","ФНС: проверить")</f>
        <v/>
      </c>
      <c r="R3655" s="16">
        <f>HYPERLINK("https://checko.ru/search?query=3801001629","Чекко: проверить")</f>
        <v/>
      </c>
      <c r="S3655" t="n">
        <v>1</v>
      </c>
      <c r="T3655" s="35" t="inlineStr">
        <is>
          <t>4 — Не обогащён</t>
        </is>
      </c>
      <c r="U3655" s="35" t="inlineStr">
        <is>
          <t>Нет ОКВЭД/ССЧР</t>
        </is>
      </c>
      <c r="V3655" s="35" t="inlineStr">
        <is>
          <t>Не определено</t>
        </is>
      </c>
      <c r="W3655" s="35" t="inlineStr"/>
      <c r="X3655" s="35" t="inlineStr"/>
    </row>
    <row r="3656" ht="27.75" customHeight="1" s="24">
      <c r="A3656" s="13" t="n">
        <v>5000018355</v>
      </c>
      <c r="B3656" s="13" t="inlineStr">
        <is>
          <t>МАДОУ детский сад общеразвивающего вида №4 «Лебёдушка»</t>
        </is>
      </c>
      <c r="C3656" s="13" t="n">
        <v>6501098260</v>
      </c>
      <c r="D3656" s="13" t="inlineStr">
        <is>
          <t>6501098260</t>
        </is>
      </c>
      <c r="E3656" s="13" t="inlineStr">
        <is>
          <t>ЮЛ РФ</t>
        </is>
      </c>
      <c r="F3656" s="13" t="n"/>
      <c r="G3656" s="14" t="n"/>
      <c r="H3656" s="14" t="n"/>
      <c r="I3656" s="14" t="n"/>
      <c r="J3656" s="14" t="n"/>
      <c r="K3656" s="53" t="inlineStr"/>
      <c r="L3656" s="53" t="inlineStr">
        <is>
          <t>Не определено</t>
        </is>
      </c>
      <c r="M3656" s="53" t="inlineStr"/>
      <c r="N3656" s="54" t="inlineStr"/>
      <c r="O3656" s="55" t="inlineStr"/>
      <c r="P3656" s="16" t="inlineStr">
        <is>
          <t>Требует обогащения</t>
        </is>
      </c>
      <c r="Q3656" s="16">
        <f>HYPERLINK("https://pb.nalog.ru/search.html?query=6501098260","ФНС: проверить")</f>
        <v/>
      </c>
      <c r="R3656" s="16">
        <f>HYPERLINK("https://checko.ru/search?query=3801001629","Чекко: проверить")</f>
        <v/>
      </c>
      <c r="S3656" t="n">
        <v>1</v>
      </c>
      <c r="T3656" s="35" t="inlineStr">
        <is>
          <t>4 — Не обогащён</t>
        </is>
      </c>
      <c r="U3656" s="35" t="inlineStr">
        <is>
          <t>Нет ОКВЭД/ССЧР</t>
        </is>
      </c>
      <c r="V3656" s="35" t="inlineStr">
        <is>
          <t>Не определено</t>
        </is>
      </c>
      <c r="W3656" s="35" t="inlineStr"/>
      <c r="X3656" s="35" t="inlineStr"/>
    </row>
    <row r="3657" ht="15" customHeight="1" s="24">
      <c r="A3657" s="13" t="n">
        <v>5000018357</v>
      </c>
      <c r="B3657" s="13" t="inlineStr">
        <is>
          <t>МБДОУ детский сад компенсирующего вида №6</t>
        </is>
      </c>
      <c r="C3657" s="13" t="n">
        <v>6501100039</v>
      </c>
      <c r="D3657" s="13" t="inlineStr">
        <is>
          <t>6501100039</t>
        </is>
      </c>
      <c r="E3657" s="13" t="inlineStr">
        <is>
          <t>ЮЛ РФ</t>
        </is>
      </c>
      <c r="F3657" s="13" t="n"/>
      <c r="G3657" s="14" t="n"/>
      <c r="H3657" s="14" t="n"/>
      <c r="I3657" s="14" t="n"/>
      <c r="J3657" s="14" t="n"/>
      <c r="K3657" s="53" t="inlineStr"/>
      <c r="L3657" s="53" t="inlineStr">
        <is>
          <t>Не определено</t>
        </is>
      </c>
      <c r="M3657" s="53" t="inlineStr"/>
      <c r="N3657" s="54" t="inlineStr"/>
      <c r="O3657" s="55" t="inlineStr"/>
      <c r="P3657" s="16" t="inlineStr">
        <is>
          <t>Требует обогащения</t>
        </is>
      </c>
      <c r="Q3657" s="16">
        <f>HYPERLINK("https://pb.nalog.ru/search.html?query=6501100039","ФНС: проверить")</f>
        <v/>
      </c>
      <c r="R3657" s="16">
        <f>HYPERLINK("https://checko.ru/search?query=3801001629","Чекко: проверить")</f>
        <v/>
      </c>
      <c r="S3657" t="n">
        <v>1</v>
      </c>
      <c r="T3657" s="35" t="inlineStr">
        <is>
          <t>4 — Не обогащён</t>
        </is>
      </c>
      <c r="U3657" s="35" t="inlineStr">
        <is>
          <t>Нет ОКВЭД/ССЧР</t>
        </is>
      </c>
      <c r="V3657" s="35" t="inlineStr">
        <is>
          <t>Не определено</t>
        </is>
      </c>
      <c r="W3657" s="35" t="inlineStr"/>
      <c r="X3657" s="35" t="inlineStr"/>
    </row>
    <row r="3658" ht="27.75" customHeight="1" s="24">
      <c r="A3658" s="13" t="n">
        <v>5000018359</v>
      </c>
      <c r="B3658" s="13" t="inlineStr">
        <is>
          <t>МАДОУ детский сад общеразвивающего вида №8 Журавленок»</t>
        </is>
      </c>
      <c r="C3658" s="13" t="n">
        <v>6501102580</v>
      </c>
      <c r="D3658" s="13" t="inlineStr">
        <is>
          <t>6501102580</t>
        </is>
      </c>
      <c r="E3658" s="13" t="inlineStr">
        <is>
          <t>ЮЛ РФ</t>
        </is>
      </c>
      <c r="F3658" s="13" t="n"/>
      <c r="G3658" s="14" t="n"/>
      <c r="H3658" s="14" t="n"/>
      <c r="I3658" s="14" t="n"/>
      <c r="J3658" s="14" t="n"/>
      <c r="K3658" s="53" t="inlineStr"/>
      <c r="L3658" s="53" t="inlineStr">
        <is>
          <t>Не определено</t>
        </is>
      </c>
      <c r="M3658" s="53" t="inlineStr"/>
      <c r="N3658" s="54" t="inlineStr"/>
      <c r="O3658" s="55" t="inlineStr"/>
      <c r="P3658" s="16" t="inlineStr">
        <is>
          <t>Требует обогащения</t>
        </is>
      </c>
      <c r="Q3658" s="16">
        <f>HYPERLINK("https://pb.nalog.ru/search.html?query=6501102580","ФНС: проверить")</f>
        <v/>
      </c>
      <c r="R3658" s="16">
        <f>HYPERLINK("https://checko.ru/search?query=3801001629","Чекко: проверить")</f>
        <v/>
      </c>
      <c r="S3658" t="n">
        <v>1</v>
      </c>
      <c r="T3658" s="35" t="inlineStr">
        <is>
          <t>4 — Не обогащён</t>
        </is>
      </c>
      <c r="U3658" s="35" t="inlineStr">
        <is>
          <t>Нет ОКВЭД/ССЧР</t>
        </is>
      </c>
      <c r="V3658" s="35" t="inlineStr">
        <is>
          <t>Не определено</t>
        </is>
      </c>
      <c r="W3658" s="35" t="inlineStr"/>
      <c r="X3658" s="35" t="inlineStr"/>
    </row>
    <row r="3659" ht="27.75" customHeight="1" s="24">
      <c r="A3659" s="13" t="n">
        <v>5000018360</v>
      </c>
      <c r="B3659" s="13" t="inlineStr">
        <is>
          <t>МБДОУ детский сад комбинированного вида №10 «Росинка»</t>
        </is>
      </c>
      <c r="C3659" s="13" t="n">
        <v>6501100455</v>
      </c>
      <c r="D3659" s="13" t="inlineStr">
        <is>
          <t>6501100455</t>
        </is>
      </c>
      <c r="E3659" s="13" t="inlineStr">
        <is>
          <t>ЮЛ РФ</t>
        </is>
      </c>
      <c r="F3659" s="13" t="n"/>
      <c r="G3659" s="14" t="n"/>
      <c r="H3659" s="14" t="n"/>
      <c r="I3659" s="14" t="n"/>
      <c r="J3659" s="14" t="n"/>
      <c r="K3659" s="53" t="inlineStr"/>
      <c r="L3659" s="53" t="inlineStr">
        <is>
          <t>Не определено</t>
        </is>
      </c>
      <c r="M3659" s="53" t="inlineStr"/>
      <c r="N3659" s="54" t="inlineStr"/>
      <c r="O3659" s="55" t="inlineStr"/>
      <c r="P3659" s="16" t="inlineStr">
        <is>
          <t>Требует обогащения</t>
        </is>
      </c>
      <c r="Q3659" s="16">
        <f>HYPERLINK("https://pb.nalog.ru/search.html?query=6501100455","ФНС: проверить")</f>
        <v/>
      </c>
      <c r="R3659" s="16">
        <f>HYPERLINK("https://checko.ru/search?query=3801001629","Чекко: проверить")</f>
        <v/>
      </c>
      <c r="S3659" t="n">
        <v>1</v>
      </c>
      <c r="T3659" s="35" t="inlineStr">
        <is>
          <t>4 — Не обогащён</t>
        </is>
      </c>
      <c r="U3659" s="35" t="inlineStr">
        <is>
          <t>Нет ОКВЭД/ССЧР</t>
        </is>
      </c>
      <c r="V3659" s="35" t="inlineStr">
        <is>
          <t>Не определено</t>
        </is>
      </c>
      <c r="W3659" s="35" t="inlineStr"/>
      <c r="X3659" s="35" t="inlineStr"/>
    </row>
    <row r="3660" ht="27.75" customHeight="1" s="24">
      <c r="A3660" s="13" t="n">
        <v>5000018361</v>
      </c>
      <c r="B3660" s="13" t="inlineStr">
        <is>
          <t>МБДОУ детский сад общеразвивающего вида №11 «Ромашка»</t>
        </is>
      </c>
      <c r="C3660" s="13" t="n">
        <v>6501161232</v>
      </c>
      <c r="D3660" s="13" t="inlineStr">
        <is>
          <t>6501161232</t>
        </is>
      </c>
      <c r="E3660" s="13" t="inlineStr">
        <is>
          <t>ЮЛ РФ</t>
        </is>
      </c>
      <c r="F3660" s="13" t="n"/>
      <c r="G3660" s="14" t="n"/>
      <c r="H3660" s="14" t="n"/>
      <c r="I3660" s="14" t="n"/>
      <c r="J3660" s="14" t="n"/>
      <c r="K3660" s="53" t="inlineStr"/>
      <c r="L3660" s="53" t="inlineStr">
        <is>
          <t>Не определено</t>
        </is>
      </c>
      <c r="M3660" s="53" t="inlineStr"/>
      <c r="N3660" s="54" t="inlineStr"/>
      <c r="O3660" s="55" t="inlineStr"/>
      <c r="P3660" s="16" t="inlineStr">
        <is>
          <t>Требует обогащения</t>
        </is>
      </c>
      <c r="Q3660" s="16">
        <f>HYPERLINK("https://pb.nalog.ru/search.html?query=6501161232","ФНС: проверить")</f>
        <v/>
      </c>
      <c r="R3660" s="16">
        <f>HYPERLINK("https://checko.ru/search?query=3801001629","Чекко: проверить")</f>
        <v/>
      </c>
      <c r="S3660" t="n">
        <v>1</v>
      </c>
      <c r="T3660" s="35" t="inlineStr">
        <is>
          <t>4 — Не обогащён</t>
        </is>
      </c>
      <c r="U3660" s="35" t="inlineStr">
        <is>
          <t>Нет ОКВЭД/ССЧР</t>
        </is>
      </c>
      <c r="V3660" s="35" t="inlineStr">
        <is>
          <t>Не определено</t>
        </is>
      </c>
      <c r="W3660" s="35" t="inlineStr"/>
      <c r="X3660" s="35" t="inlineStr"/>
    </row>
    <row r="3661" ht="27.75" customHeight="1" s="24">
      <c r="A3661" s="13" t="n">
        <v>5000018362</v>
      </c>
      <c r="B3661" s="13" t="inlineStr">
        <is>
          <t>МБДОУ детский сад общеразвивающего вида №12 «Лесная сказка»</t>
        </is>
      </c>
      <c r="C3661" s="13" t="n">
        <v>6501116720</v>
      </c>
      <c r="D3661" s="13" t="inlineStr">
        <is>
          <t>6501116720</t>
        </is>
      </c>
      <c r="E3661" s="13" t="inlineStr">
        <is>
          <t>ЮЛ РФ</t>
        </is>
      </c>
      <c r="F3661" s="13" t="n"/>
      <c r="G3661" s="14" t="n"/>
      <c r="H3661" s="14" t="n"/>
      <c r="I3661" s="14" t="n"/>
      <c r="J3661" s="14" t="n"/>
      <c r="K3661" s="53" t="inlineStr"/>
      <c r="L3661" s="53" t="inlineStr">
        <is>
          <t>Не определено</t>
        </is>
      </c>
      <c r="M3661" s="53" t="inlineStr"/>
      <c r="N3661" s="54" t="inlineStr"/>
      <c r="O3661" s="55" t="inlineStr"/>
      <c r="P3661" s="16" t="inlineStr">
        <is>
          <t>Требует обогащения</t>
        </is>
      </c>
      <c r="Q3661" s="16">
        <f>HYPERLINK("https://pb.nalog.ru/search.html?query=6501116720","ФНС: проверить")</f>
        <v/>
      </c>
      <c r="R3661" s="16">
        <f>HYPERLINK("https://checko.ru/search?query=3801001629","Чекко: проверить")</f>
        <v/>
      </c>
      <c r="S3661" t="n">
        <v>1</v>
      </c>
      <c r="T3661" s="35" t="inlineStr">
        <is>
          <t>4 — Не обогащён</t>
        </is>
      </c>
      <c r="U3661" s="35" t="inlineStr">
        <is>
          <t>Нет ОКВЭД/ССЧР</t>
        </is>
      </c>
      <c r="V3661" s="35" t="inlineStr">
        <is>
          <t>Не определено</t>
        </is>
      </c>
      <c r="W3661" s="35" t="inlineStr"/>
      <c r="X3661" s="35" t="inlineStr"/>
    </row>
    <row r="3662" ht="15" customHeight="1" s="24">
      <c r="A3662" s="13" t="n">
        <v>5000018363</v>
      </c>
      <c r="B3662" s="13" t="inlineStr">
        <is>
          <t>МБДОУ детский сад №13 «Колокольчик»</t>
        </is>
      </c>
      <c r="C3662" s="13" t="n">
        <v>6501100046</v>
      </c>
      <c r="D3662" s="13" t="inlineStr">
        <is>
          <t>6501100046</t>
        </is>
      </c>
      <c r="E3662" s="13" t="inlineStr">
        <is>
          <t>ЮЛ РФ</t>
        </is>
      </c>
      <c r="F3662" s="13" t="n"/>
      <c r="G3662" s="14" t="n"/>
      <c r="H3662" s="14" t="n"/>
      <c r="I3662" s="14" t="n"/>
      <c r="J3662" s="14" t="n"/>
      <c r="K3662" s="53" t="inlineStr"/>
      <c r="L3662" s="53" t="inlineStr">
        <is>
          <t>Не определено</t>
        </is>
      </c>
      <c r="M3662" s="53" t="inlineStr"/>
      <c r="N3662" s="54" t="inlineStr"/>
      <c r="O3662" s="55" t="inlineStr"/>
      <c r="P3662" s="16" t="inlineStr">
        <is>
          <t>Требует обогащения</t>
        </is>
      </c>
      <c r="Q3662" s="16">
        <f>HYPERLINK("https://pb.nalog.ru/search.html?query=6501100046","ФНС: проверить")</f>
        <v/>
      </c>
      <c r="R3662" s="16">
        <f>HYPERLINK("https://checko.ru/search?query=3801001629","Чекко: проверить")</f>
        <v/>
      </c>
      <c r="S3662" t="n">
        <v>1</v>
      </c>
      <c r="T3662" s="35" t="inlineStr">
        <is>
          <t>4 — Не обогащён</t>
        </is>
      </c>
      <c r="U3662" s="35" t="inlineStr">
        <is>
          <t>Нет ОКВЭД/ССЧР</t>
        </is>
      </c>
      <c r="V3662" s="35" t="inlineStr">
        <is>
          <t>Не определено</t>
        </is>
      </c>
      <c r="W3662" s="35" t="inlineStr"/>
      <c r="X3662" s="35" t="inlineStr"/>
    </row>
    <row r="3663" ht="27.75" customHeight="1" s="24">
      <c r="A3663" s="13" t="n">
        <v>5000018364</v>
      </c>
      <c r="B3663" s="13" t="inlineStr">
        <is>
          <t>МАДОУ Центр развития ребёнка детский сад №14 «Рябинка»</t>
        </is>
      </c>
      <c r="C3663" s="13" t="n">
        <v>6501161200</v>
      </c>
      <c r="D3663" s="13" t="inlineStr">
        <is>
          <t>6501161200</t>
        </is>
      </c>
      <c r="E3663" s="13" t="inlineStr">
        <is>
          <t>ЮЛ РФ</t>
        </is>
      </c>
      <c r="F3663" s="13" t="n"/>
      <c r="G3663" s="14" t="n"/>
      <c r="H3663" s="14" t="n"/>
      <c r="I3663" s="14" t="n"/>
      <c r="J3663" s="14" t="n"/>
      <c r="K3663" s="53" t="inlineStr"/>
      <c r="L3663" s="53" t="inlineStr">
        <is>
          <t>Не определено</t>
        </is>
      </c>
      <c r="M3663" s="53" t="inlineStr"/>
      <c r="N3663" s="54" t="inlineStr"/>
      <c r="O3663" s="55" t="inlineStr"/>
      <c r="P3663" s="16" t="inlineStr">
        <is>
          <t>Требует обогащения</t>
        </is>
      </c>
      <c r="Q3663" s="16">
        <f>HYPERLINK("https://pb.nalog.ru/search.html?query=6501161200","ФНС: проверить")</f>
        <v/>
      </c>
      <c r="R3663" s="16">
        <f>HYPERLINK("https://checko.ru/search?query=3801001629","Чекко: проверить")</f>
        <v/>
      </c>
      <c r="S3663" t="n">
        <v>1</v>
      </c>
      <c r="T3663" s="35" t="inlineStr">
        <is>
          <t>4 — Не обогащён</t>
        </is>
      </c>
      <c r="U3663" s="35" t="inlineStr">
        <is>
          <t>Нет ОКВЭД/ССЧР</t>
        </is>
      </c>
      <c r="V3663" s="35" t="inlineStr">
        <is>
          <t>Не определено</t>
        </is>
      </c>
      <c r="W3663" s="35" t="inlineStr"/>
      <c r="X3663" s="35" t="inlineStr"/>
    </row>
    <row r="3664" ht="15" customHeight="1" s="24">
      <c r="A3664" s="13" t="n">
        <v>5000018365</v>
      </c>
      <c r="B3664" s="13" t="inlineStr">
        <is>
          <t>МБДОУ детский сад №15 «Березка»</t>
        </is>
      </c>
      <c r="C3664" s="13" t="n">
        <v>6501100060</v>
      </c>
      <c r="D3664" s="13" t="inlineStr">
        <is>
          <t>6501100060</t>
        </is>
      </c>
      <c r="E3664" s="13" t="inlineStr">
        <is>
          <t>ЮЛ РФ</t>
        </is>
      </c>
      <c r="F3664" s="13" t="n"/>
      <c r="G3664" s="14" t="n"/>
      <c r="H3664" s="14" t="n"/>
      <c r="I3664" s="14" t="n"/>
      <c r="J3664" s="14" t="n"/>
      <c r="K3664" s="53" t="inlineStr"/>
      <c r="L3664" s="53" t="inlineStr">
        <is>
          <t>Не определено</t>
        </is>
      </c>
      <c r="M3664" s="53" t="inlineStr"/>
      <c r="N3664" s="54" t="inlineStr"/>
      <c r="O3664" s="55" t="inlineStr"/>
      <c r="P3664" s="16" t="inlineStr">
        <is>
          <t>Требует обогащения</t>
        </is>
      </c>
      <c r="Q3664" s="16">
        <f>HYPERLINK("https://pb.nalog.ru/search.html?query=6501100060","ФНС: проверить")</f>
        <v/>
      </c>
      <c r="R3664" s="16">
        <f>HYPERLINK("https://checko.ru/search?query=3801001629","Чекко: проверить")</f>
        <v/>
      </c>
      <c r="S3664" t="n">
        <v>1</v>
      </c>
      <c r="T3664" s="35" t="inlineStr">
        <is>
          <t>4 — Не обогащён</t>
        </is>
      </c>
      <c r="U3664" s="35" t="inlineStr">
        <is>
          <t>Нет ОКВЭД/ССЧР</t>
        </is>
      </c>
      <c r="V3664" s="35" t="inlineStr">
        <is>
          <t>Не определено</t>
        </is>
      </c>
      <c r="W3664" s="35" t="inlineStr"/>
      <c r="X3664" s="35" t="inlineStr"/>
    </row>
    <row r="3665" ht="27.75" customHeight="1" s="24">
      <c r="A3665" s="13" t="n">
        <v>5000018367</v>
      </c>
      <c r="B3665" s="13" t="inlineStr">
        <is>
          <t>МАДОУ детский сад общеразвивающего вида №17 «Огонёк»</t>
        </is>
      </c>
      <c r="C3665" s="13" t="n">
        <v>6501100310</v>
      </c>
      <c r="D3665" s="13" t="inlineStr">
        <is>
          <t>6501100310</t>
        </is>
      </c>
      <c r="E3665" s="13" t="inlineStr">
        <is>
          <t>ЮЛ РФ</t>
        </is>
      </c>
      <c r="F3665" s="13" t="n"/>
      <c r="G3665" s="14" t="n"/>
      <c r="H3665" s="14" t="n"/>
      <c r="I3665" s="14" t="n"/>
      <c r="J3665" s="14" t="n"/>
      <c r="K3665" s="53" t="inlineStr"/>
      <c r="L3665" s="53" t="inlineStr">
        <is>
          <t>Не определено</t>
        </is>
      </c>
      <c r="M3665" s="53" t="inlineStr"/>
      <c r="N3665" s="54" t="inlineStr"/>
      <c r="O3665" s="55" t="inlineStr"/>
      <c r="P3665" s="16" t="inlineStr">
        <is>
          <t>Требует обогащения</t>
        </is>
      </c>
      <c r="Q3665" s="16">
        <f>HYPERLINK("https://pb.nalog.ru/search.html?query=6501100310","ФНС: проверить")</f>
        <v/>
      </c>
      <c r="R3665" s="16">
        <f>HYPERLINK("https://checko.ru/search?query=3801001629","Чекко: проверить")</f>
        <v/>
      </c>
      <c r="S3665" t="n">
        <v>1</v>
      </c>
      <c r="T3665" s="35" t="inlineStr">
        <is>
          <t>4 — Не обогащён</t>
        </is>
      </c>
      <c r="U3665" s="35" t="inlineStr">
        <is>
          <t>Нет ОКВЭД/ССЧР</t>
        </is>
      </c>
      <c r="V3665" s="35" t="inlineStr">
        <is>
          <t>Не определено</t>
        </is>
      </c>
      <c r="W3665" s="35" t="inlineStr"/>
      <c r="X3665" s="35" t="inlineStr"/>
    </row>
    <row r="3666" ht="27.75" customHeight="1" s="24">
      <c r="A3666" s="13" t="n">
        <v>5000018368</v>
      </c>
      <c r="B3666" s="13" t="inlineStr">
        <is>
          <t>МБДОУ детский сад комбинированного вида №18 «Гармония»</t>
        </is>
      </c>
      <c r="C3666" s="13" t="n">
        <v>6501160687</v>
      </c>
      <c r="D3666" s="13" t="inlineStr">
        <is>
          <t>6501160687</t>
        </is>
      </c>
      <c r="E3666" s="13" t="inlineStr">
        <is>
          <t>ЮЛ РФ</t>
        </is>
      </c>
      <c r="F3666" s="13" t="n"/>
      <c r="G3666" s="14" t="n"/>
      <c r="H3666" s="14" t="n"/>
      <c r="I3666" s="14" t="n"/>
      <c r="J3666" s="14" t="n"/>
      <c r="K3666" s="53" t="inlineStr"/>
      <c r="L3666" s="53" t="inlineStr">
        <is>
          <t>Не определено</t>
        </is>
      </c>
      <c r="M3666" s="53" t="inlineStr"/>
      <c r="N3666" s="54" t="inlineStr"/>
      <c r="O3666" s="55" t="inlineStr"/>
      <c r="P3666" s="16" t="inlineStr">
        <is>
          <t>Требует обогащения</t>
        </is>
      </c>
      <c r="Q3666" s="16">
        <f>HYPERLINK("https://pb.nalog.ru/search.html?query=6501160687","ФНС: проверить")</f>
        <v/>
      </c>
      <c r="R3666" s="16">
        <f>HYPERLINK("https://checko.ru/search?query=3801001629","Чекко: проверить")</f>
        <v/>
      </c>
      <c r="S3666" t="n">
        <v>1</v>
      </c>
      <c r="T3666" s="35" t="inlineStr">
        <is>
          <t>4 — Не обогащён</t>
        </is>
      </c>
      <c r="U3666" s="35" t="inlineStr">
        <is>
          <t>Нет ОКВЭД/ССЧР</t>
        </is>
      </c>
      <c r="V3666" s="35" t="inlineStr">
        <is>
          <t>Не определено</t>
        </is>
      </c>
      <c r="W3666" s="35" t="inlineStr"/>
      <c r="X3666" s="35" t="inlineStr"/>
    </row>
    <row r="3667" ht="27.75" customHeight="1" s="24">
      <c r="A3667" s="13" t="n">
        <v>5000018369</v>
      </c>
      <c r="B3667" s="13" t="inlineStr">
        <is>
          <t>МАДОУ детский сад комбинированного вида №19 «Алёнушка»</t>
        </is>
      </c>
      <c r="C3667" s="13" t="n">
        <v>6501172890</v>
      </c>
      <c r="D3667" s="13" t="inlineStr">
        <is>
          <t>6501172890</t>
        </is>
      </c>
      <c r="E3667" s="13" t="inlineStr">
        <is>
          <t>ЮЛ РФ</t>
        </is>
      </c>
      <c r="F3667" s="13" t="n"/>
      <c r="G3667" s="14" t="n"/>
      <c r="H3667" s="14" t="n"/>
      <c r="I3667" s="14" t="n"/>
      <c r="J3667" s="14" t="n"/>
      <c r="K3667" s="53" t="inlineStr"/>
      <c r="L3667" s="53" t="inlineStr">
        <is>
          <t>Не определено</t>
        </is>
      </c>
      <c r="M3667" s="53" t="inlineStr"/>
      <c r="N3667" s="54" t="inlineStr"/>
      <c r="O3667" s="55" t="inlineStr"/>
      <c r="P3667" s="16" t="inlineStr">
        <is>
          <t>Требует обогащения</t>
        </is>
      </c>
      <c r="Q3667" s="16">
        <f>HYPERLINK("https://pb.nalog.ru/search.html?query=6501172890","ФНС: проверить")</f>
        <v/>
      </c>
      <c r="R3667" s="16">
        <f>HYPERLINK("https://checko.ru/search?query=3801001629","Чекко: проверить")</f>
        <v/>
      </c>
      <c r="S3667" t="n">
        <v>1</v>
      </c>
      <c r="T3667" s="35" t="inlineStr">
        <is>
          <t>4 — Не обогащён</t>
        </is>
      </c>
      <c r="U3667" s="35" t="inlineStr">
        <is>
          <t>Нет ОКВЭД/ССЧР</t>
        </is>
      </c>
      <c r="V3667" s="35" t="inlineStr">
        <is>
          <t>Не определено</t>
        </is>
      </c>
      <c r="W3667" s="35" t="inlineStr"/>
      <c r="X3667" s="35" t="inlineStr"/>
    </row>
    <row r="3668" ht="15" customHeight="1" s="24">
      <c r="A3668" s="13" t="n">
        <v>5000018370</v>
      </c>
      <c r="B3668" s="13" t="inlineStr">
        <is>
          <t>МАДОУ детский сад №20 «Красная шапочка»</t>
        </is>
      </c>
      <c r="C3668" s="13" t="n">
        <v>6501100053</v>
      </c>
      <c r="D3668" s="13" t="inlineStr">
        <is>
          <t>6501100053</t>
        </is>
      </c>
      <c r="E3668" s="13" t="inlineStr">
        <is>
          <t>ЮЛ РФ</t>
        </is>
      </c>
      <c r="F3668" s="13" t="n"/>
      <c r="G3668" s="14" t="n"/>
      <c r="H3668" s="14" t="n"/>
      <c r="I3668" s="14" t="n"/>
      <c r="J3668" s="14" t="n"/>
      <c r="K3668" s="53" t="inlineStr"/>
      <c r="L3668" s="53" t="inlineStr">
        <is>
          <t>Не определено</t>
        </is>
      </c>
      <c r="M3668" s="53" t="inlineStr"/>
      <c r="N3668" s="54" t="inlineStr"/>
      <c r="O3668" s="55" t="inlineStr"/>
      <c r="P3668" s="16" t="inlineStr">
        <is>
          <t>Требует обогащения</t>
        </is>
      </c>
      <c r="Q3668" s="16">
        <f>HYPERLINK("https://pb.nalog.ru/search.html?query=6501100053","ФНС: проверить")</f>
        <v/>
      </c>
      <c r="R3668" s="16">
        <f>HYPERLINK("https://checko.ru/search?query=3801001629","Чекко: проверить")</f>
        <v/>
      </c>
      <c r="S3668" t="n">
        <v>1</v>
      </c>
      <c r="T3668" s="35" t="inlineStr">
        <is>
          <t>4 — Не обогащён</t>
        </is>
      </c>
      <c r="U3668" s="35" t="inlineStr">
        <is>
          <t>Нет ОКВЭД/ССЧР</t>
        </is>
      </c>
      <c r="V3668" s="35" t="inlineStr">
        <is>
          <t>Не определено</t>
        </is>
      </c>
      <c r="W3668" s="35" t="inlineStr"/>
      <c r="X3668" s="35" t="inlineStr"/>
    </row>
    <row r="3669" ht="27.75" customHeight="1" s="24">
      <c r="A3669" s="13" t="n">
        <v>5000018371</v>
      </c>
      <c r="B3669" s="13" t="inlineStr">
        <is>
          <t>МБДОУ детский сад общеразвивающего вида №21 «Кораблик»</t>
        </is>
      </c>
      <c r="C3669" s="13" t="n">
        <v>6501068709</v>
      </c>
      <c r="D3669" s="13" t="inlineStr">
        <is>
          <t>6501068709</t>
        </is>
      </c>
      <c r="E3669" s="13" t="inlineStr">
        <is>
          <t>ЮЛ РФ</t>
        </is>
      </c>
      <c r="F3669" s="13" t="n"/>
      <c r="G3669" s="14" t="n"/>
      <c r="H3669" s="14" t="n"/>
      <c r="I3669" s="14" t="n"/>
      <c r="J3669" s="14" t="n"/>
      <c r="K3669" s="53" t="inlineStr"/>
      <c r="L3669" s="53" t="inlineStr">
        <is>
          <t>Не определено</t>
        </is>
      </c>
      <c r="M3669" s="53" t="inlineStr"/>
      <c r="N3669" s="54" t="inlineStr"/>
      <c r="O3669" s="55" t="inlineStr"/>
      <c r="P3669" s="16" t="inlineStr">
        <is>
          <t>Требует обогащения</t>
        </is>
      </c>
      <c r="Q3669" s="16">
        <f>HYPERLINK("https://pb.nalog.ru/search.html?query=6501068709","ФНС: проверить")</f>
        <v/>
      </c>
      <c r="R3669" s="16">
        <f>HYPERLINK("https://checko.ru/search?query=3801001629","Чекко: проверить")</f>
        <v/>
      </c>
      <c r="S3669" t="n">
        <v>1</v>
      </c>
      <c r="T3669" s="35" t="inlineStr">
        <is>
          <t>4 — Не обогащён</t>
        </is>
      </c>
      <c r="U3669" s="35" t="inlineStr">
        <is>
          <t>Нет ОКВЭД/ССЧР</t>
        </is>
      </c>
      <c r="V3669" s="35" t="inlineStr">
        <is>
          <t>Не определено</t>
        </is>
      </c>
      <c r="W3669" s="35" t="inlineStr"/>
      <c r="X3669" s="35" t="inlineStr"/>
    </row>
    <row r="3670" ht="27.75" customHeight="1" s="24">
      <c r="A3670" s="13" t="n">
        <v>5000018372</v>
      </c>
      <c r="B3670" s="13" t="inlineStr">
        <is>
          <t>МБДОУ детский сад общеразвивающего вида №22 «Ивушка»</t>
        </is>
      </c>
      <c r="C3670" s="13" t="n">
        <v>6501099915</v>
      </c>
      <c r="D3670" s="13" t="inlineStr">
        <is>
          <t>6501099915</t>
        </is>
      </c>
      <c r="E3670" s="13" t="inlineStr">
        <is>
          <t>ЮЛ РФ</t>
        </is>
      </c>
      <c r="F3670" s="13" t="n"/>
      <c r="G3670" s="14" t="n"/>
      <c r="H3670" s="14" t="n"/>
      <c r="I3670" s="14" t="n"/>
      <c r="J3670" s="14" t="n"/>
      <c r="K3670" s="53" t="inlineStr"/>
      <c r="L3670" s="53" t="inlineStr">
        <is>
          <t>Не определено</t>
        </is>
      </c>
      <c r="M3670" s="53" t="inlineStr"/>
      <c r="N3670" s="54" t="inlineStr"/>
      <c r="O3670" s="55" t="inlineStr"/>
      <c r="P3670" s="16" t="inlineStr">
        <is>
          <t>Требует обогащения</t>
        </is>
      </c>
      <c r="Q3670" s="16">
        <f>HYPERLINK("https://pb.nalog.ru/search.html?query=6501099915","ФНС: проверить")</f>
        <v/>
      </c>
      <c r="R3670" s="16">
        <f>HYPERLINK("https://checko.ru/search?query=3801001629","Чекко: проверить")</f>
        <v/>
      </c>
      <c r="S3670" t="n">
        <v>1</v>
      </c>
      <c r="T3670" s="35" t="inlineStr">
        <is>
          <t>4 — Не обогащён</t>
        </is>
      </c>
      <c r="U3670" s="35" t="inlineStr">
        <is>
          <t>Нет ОКВЭД/ССЧР</t>
        </is>
      </c>
      <c r="V3670" s="35" t="inlineStr">
        <is>
          <t>Не определено</t>
        </is>
      </c>
      <c r="W3670" s="35" t="inlineStr"/>
      <c r="X3670" s="35" t="inlineStr"/>
    </row>
    <row r="3671" ht="27.75" customHeight="1" s="24">
      <c r="A3671" s="13" t="n">
        <v>5000018374</v>
      </c>
      <c r="B3671" s="13" t="inlineStr">
        <is>
          <t>МАДОУ детский сад общеразвивающего вида №24 «Солнышко»</t>
        </is>
      </c>
      <c r="C3671" s="13" t="n">
        <v>6501201911</v>
      </c>
      <c r="D3671" s="13" t="inlineStr">
        <is>
          <t>6501201911</t>
        </is>
      </c>
      <c r="E3671" s="13" t="inlineStr">
        <is>
          <t>ЮЛ РФ</t>
        </is>
      </c>
      <c r="F3671" s="13" t="n"/>
      <c r="G3671" s="14" t="n"/>
      <c r="H3671" s="14" t="n"/>
      <c r="I3671" s="14" t="n"/>
      <c r="J3671" s="14" t="n"/>
      <c r="K3671" s="53" t="inlineStr"/>
      <c r="L3671" s="53" t="inlineStr">
        <is>
          <t>Не определено</t>
        </is>
      </c>
      <c r="M3671" s="53" t="inlineStr"/>
      <c r="N3671" s="54" t="inlineStr"/>
      <c r="O3671" s="55" t="inlineStr"/>
      <c r="P3671" s="16" t="inlineStr">
        <is>
          <t>Требует обогащения</t>
        </is>
      </c>
      <c r="Q3671" s="16">
        <f>HYPERLINK("https://pb.nalog.ru/search.html?query=6501201911","ФНС: проверить")</f>
        <v/>
      </c>
      <c r="R3671" s="16">
        <f>HYPERLINK("https://checko.ru/search?query=3801001629","Чекко: проверить")</f>
        <v/>
      </c>
      <c r="S3671" t="n">
        <v>1</v>
      </c>
      <c r="T3671" s="35" t="inlineStr">
        <is>
          <t>4 — Не обогащён</t>
        </is>
      </c>
      <c r="U3671" s="35" t="inlineStr">
        <is>
          <t>Нет ОКВЭД/ССЧР</t>
        </is>
      </c>
      <c r="V3671" s="35" t="inlineStr">
        <is>
          <t>Не определено</t>
        </is>
      </c>
      <c r="W3671" s="35" t="inlineStr"/>
      <c r="X3671" s="35" t="inlineStr"/>
    </row>
    <row r="3672" ht="27.75" customHeight="1" s="24">
      <c r="A3672" s="13" t="n">
        <v>5000018375</v>
      </c>
      <c r="B3672" s="13" t="inlineStr">
        <is>
          <t>МБДОУ детский сад общеразвивающего вида №25 «Русалочка»</t>
        </is>
      </c>
      <c r="C3672" s="13" t="n">
        <v>6501172925</v>
      </c>
      <c r="D3672" s="13" t="inlineStr">
        <is>
          <t>6501172925</t>
        </is>
      </c>
      <c r="E3672" s="13" t="inlineStr">
        <is>
          <t>ЮЛ РФ</t>
        </is>
      </c>
      <c r="F3672" s="13" t="n"/>
      <c r="G3672" s="14" t="n"/>
      <c r="H3672" s="14" t="n"/>
      <c r="I3672" s="14" t="n"/>
      <c r="J3672" s="14" t="n"/>
      <c r="K3672" s="53" t="inlineStr"/>
      <c r="L3672" s="53" t="inlineStr">
        <is>
          <t>Не определено</t>
        </is>
      </c>
      <c r="M3672" s="53" t="inlineStr"/>
      <c r="N3672" s="54" t="inlineStr"/>
      <c r="O3672" s="55" t="inlineStr"/>
      <c r="P3672" s="16" t="inlineStr">
        <is>
          <t>Требует обогащения</t>
        </is>
      </c>
      <c r="Q3672" s="16">
        <f>HYPERLINK("https://pb.nalog.ru/search.html?query=6501172925","ФНС: проверить")</f>
        <v/>
      </c>
      <c r="R3672" s="16">
        <f>HYPERLINK("https://checko.ru/search?query=3801001629","Чекко: проверить")</f>
        <v/>
      </c>
      <c r="S3672" t="n">
        <v>1</v>
      </c>
      <c r="T3672" s="35" t="inlineStr">
        <is>
          <t>4 — Не обогащён</t>
        </is>
      </c>
      <c r="U3672" s="35" t="inlineStr">
        <is>
          <t>Нет ОКВЭД/ССЧР</t>
        </is>
      </c>
      <c r="V3672" s="35" t="inlineStr">
        <is>
          <t>Не определено</t>
        </is>
      </c>
      <c r="W3672" s="35" t="inlineStr"/>
      <c r="X3672" s="35" t="inlineStr"/>
    </row>
    <row r="3673" ht="15" customHeight="1" s="24">
      <c r="A3673" s="13" t="n">
        <v>5000018376</v>
      </c>
      <c r="B3673" s="13" t="inlineStr">
        <is>
          <t>МБДОУ детский сад № 26 «Островок»</t>
        </is>
      </c>
      <c r="C3673" s="13" t="n">
        <v>6501275649</v>
      </c>
      <c r="D3673" s="13" t="inlineStr">
        <is>
          <t>6501275649</t>
        </is>
      </c>
      <c r="E3673" s="13" t="inlineStr">
        <is>
          <t>ЮЛ РФ</t>
        </is>
      </c>
      <c r="F3673" s="13" t="n"/>
      <c r="G3673" s="14" t="n"/>
      <c r="H3673" s="14" t="n"/>
      <c r="I3673" s="14" t="n"/>
      <c r="J3673" s="14" t="n"/>
      <c r="K3673" s="53" t="inlineStr"/>
      <c r="L3673" s="53" t="inlineStr">
        <is>
          <t>Не определено</t>
        </is>
      </c>
      <c r="M3673" s="53" t="inlineStr"/>
      <c r="N3673" s="54" t="inlineStr"/>
      <c r="O3673" s="55" t="inlineStr"/>
      <c r="P3673" s="16" t="inlineStr">
        <is>
          <t>Требует обогащения</t>
        </is>
      </c>
      <c r="Q3673" s="16">
        <f>HYPERLINK("https://pb.nalog.ru/search.html?query=6501275649","ФНС: проверить")</f>
        <v/>
      </c>
      <c r="R3673" s="16">
        <f>HYPERLINK("https://checko.ru/search?query=3801001629","Чекко: проверить")</f>
        <v/>
      </c>
      <c r="S3673" t="n">
        <v>1</v>
      </c>
      <c r="T3673" s="35" t="inlineStr">
        <is>
          <t>4 — Не обогащён</t>
        </is>
      </c>
      <c r="U3673" s="35" t="inlineStr">
        <is>
          <t>Нет ОКВЭД/ССЧР</t>
        </is>
      </c>
      <c r="V3673" s="35" t="inlineStr">
        <is>
          <t>Не определено</t>
        </is>
      </c>
      <c r="W3673" s="35" t="inlineStr"/>
      <c r="X3673" s="35" t="inlineStr"/>
    </row>
    <row r="3674" ht="27.75" customHeight="1" s="24">
      <c r="A3674" s="13" t="n">
        <v>5000018377</v>
      </c>
      <c r="B3674" s="13" t="inlineStr">
        <is>
          <t>МАДОУ детский сад общеразвивающего вида №27 «Зарничка»</t>
        </is>
      </c>
      <c r="C3674" s="13" t="n">
        <v>6501099908</v>
      </c>
      <c r="D3674" s="13" t="inlineStr">
        <is>
          <t>6501099908</t>
        </is>
      </c>
      <c r="E3674" s="13" t="inlineStr">
        <is>
          <t>ЮЛ РФ</t>
        </is>
      </c>
      <c r="F3674" s="13" t="n"/>
      <c r="G3674" s="14" t="n"/>
      <c r="H3674" s="14" t="n"/>
      <c r="I3674" s="14" t="n"/>
      <c r="J3674" s="14" t="n"/>
      <c r="K3674" s="53" t="inlineStr"/>
      <c r="L3674" s="53" t="inlineStr">
        <is>
          <t>Не определено</t>
        </is>
      </c>
      <c r="M3674" s="53" t="inlineStr"/>
      <c r="N3674" s="54" t="inlineStr"/>
      <c r="O3674" s="55" t="inlineStr"/>
      <c r="P3674" s="16" t="inlineStr">
        <is>
          <t>Требует обогащения</t>
        </is>
      </c>
      <c r="Q3674" s="16">
        <f>HYPERLINK("https://pb.nalog.ru/search.html?query=6501099908","ФНС: проверить")</f>
        <v/>
      </c>
      <c r="R3674" s="16">
        <f>HYPERLINK("https://checko.ru/search?query=3801001629","Чекко: проверить")</f>
        <v/>
      </c>
      <c r="S3674" t="n">
        <v>1</v>
      </c>
      <c r="T3674" s="35" t="inlineStr">
        <is>
          <t>4 — Не обогащён</t>
        </is>
      </c>
      <c r="U3674" s="35" t="inlineStr">
        <is>
          <t>Нет ОКВЭД/ССЧР</t>
        </is>
      </c>
      <c r="V3674" s="35" t="inlineStr">
        <is>
          <t>Не определено</t>
        </is>
      </c>
      <c r="W3674" s="35" t="inlineStr"/>
      <c r="X3674" s="35" t="inlineStr"/>
    </row>
    <row r="3675" ht="15" customHeight="1" s="24">
      <c r="A3675" s="13" t="n">
        <v>5000018379</v>
      </c>
      <c r="B3675" s="13" t="inlineStr">
        <is>
          <t>МБДОУ детский сад №29 «Василёк»</t>
        </is>
      </c>
      <c r="C3675" s="13" t="n">
        <v>6501202802</v>
      </c>
      <c r="D3675" s="13" t="inlineStr">
        <is>
          <t>6501202802</t>
        </is>
      </c>
      <c r="E3675" s="13" t="inlineStr">
        <is>
          <t>ЮЛ РФ</t>
        </is>
      </c>
      <c r="F3675" s="13" t="n"/>
      <c r="G3675" s="14" t="n"/>
      <c r="H3675" s="14" t="n"/>
      <c r="I3675" s="14" t="n"/>
      <c r="J3675" s="14" t="n"/>
      <c r="K3675" s="53" t="inlineStr"/>
      <c r="L3675" s="53" t="inlineStr">
        <is>
          <t>Не определено</t>
        </is>
      </c>
      <c r="M3675" s="53" t="inlineStr"/>
      <c r="N3675" s="54" t="inlineStr"/>
      <c r="O3675" s="55" t="inlineStr"/>
      <c r="P3675" s="16" t="inlineStr">
        <is>
          <t>Требует обогащения</t>
        </is>
      </c>
      <c r="Q3675" s="16">
        <f>HYPERLINK("https://pb.nalog.ru/search.html?query=6501202802","ФНС: проверить")</f>
        <v/>
      </c>
      <c r="R3675" s="16">
        <f>HYPERLINK("https://checko.ru/search?query=3801001629","Чекко: проверить")</f>
        <v/>
      </c>
      <c r="S3675" t="n">
        <v>1</v>
      </c>
      <c r="T3675" s="35" t="inlineStr">
        <is>
          <t>4 — Не обогащён</t>
        </is>
      </c>
      <c r="U3675" s="35" t="inlineStr">
        <is>
          <t>Нет ОКВЭД/ССЧР</t>
        </is>
      </c>
      <c r="V3675" s="35" t="inlineStr">
        <is>
          <t>Не определено</t>
        </is>
      </c>
      <c r="W3675" s="35" t="inlineStr"/>
      <c r="X3675" s="35" t="inlineStr"/>
    </row>
    <row r="3676" ht="15" customHeight="1" s="24">
      <c r="A3676" s="13" t="n">
        <v>5000018328</v>
      </c>
      <c r="B3676" s="13" t="inlineStr">
        <is>
          <t>МБОУ СОШ № 1</t>
        </is>
      </c>
      <c r="C3676" s="13" t="n">
        <v>6501099947</v>
      </c>
      <c r="D3676" s="13" t="inlineStr">
        <is>
          <t>6501099947</t>
        </is>
      </c>
      <c r="E3676" s="13" t="inlineStr">
        <is>
          <t>ЮЛ РФ</t>
        </is>
      </c>
      <c r="F3676" s="13" t="n"/>
      <c r="G3676" s="14" t="n"/>
      <c r="H3676" s="14" t="n"/>
      <c r="I3676" s="14" t="n"/>
      <c r="J3676" s="14" t="n"/>
      <c r="K3676" s="53" t="inlineStr"/>
      <c r="L3676" s="53" t="inlineStr">
        <is>
          <t>Не определено</t>
        </is>
      </c>
      <c r="M3676" s="53" t="inlineStr"/>
      <c r="N3676" s="54" t="inlineStr"/>
      <c r="O3676" s="55" t="inlineStr"/>
      <c r="P3676" s="16" t="inlineStr">
        <is>
          <t>Требует обогащения</t>
        </is>
      </c>
      <c r="Q3676" s="16">
        <f>HYPERLINK("https://pb.nalog.ru/search.html?query=6501099947","ФНС: проверить")</f>
        <v/>
      </c>
      <c r="R3676" s="16">
        <f>HYPERLINK("https://checko.ru/search?query=3801001629","Чекко: проверить")</f>
        <v/>
      </c>
      <c r="S3676" t="n">
        <v>1</v>
      </c>
      <c r="T3676" s="35" t="inlineStr">
        <is>
          <t>4 — Не обогащён</t>
        </is>
      </c>
      <c r="U3676" s="35" t="inlineStr">
        <is>
          <t>Нет ОКВЭД/ССЧР</t>
        </is>
      </c>
      <c r="V3676" s="35" t="inlineStr">
        <is>
          <t>Не определено</t>
        </is>
      </c>
      <c r="W3676" s="35" t="inlineStr"/>
      <c r="X3676" s="35" t="inlineStr"/>
    </row>
    <row r="3677" ht="15" customHeight="1" s="24">
      <c r="A3677" s="13" t="n">
        <v>5000018329</v>
      </c>
      <c r="B3677" s="13" t="inlineStr">
        <is>
          <t>МБОУ СОШ № 4 Южно-Сахалинск</t>
        </is>
      </c>
      <c r="C3677" s="13" t="n">
        <v>6501102452</v>
      </c>
      <c r="D3677" s="13" t="inlineStr">
        <is>
          <t>6501102452</t>
        </is>
      </c>
      <c r="E3677" s="13" t="inlineStr">
        <is>
          <t>ЮЛ РФ</t>
        </is>
      </c>
      <c r="F3677" s="13" t="n"/>
      <c r="G3677" s="14" t="n"/>
      <c r="H3677" s="14" t="n"/>
      <c r="I3677" s="14" t="n"/>
      <c r="J3677" s="14" t="n"/>
      <c r="K3677" s="53" t="inlineStr"/>
      <c r="L3677" s="53" t="inlineStr">
        <is>
          <t>Не определено</t>
        </is>
      </c>
      <c r="M3677" s="53" t="inlineStr"/>
      <c r="N3677" s="54" t="inlineStr"/>
      <c r="O3677" s="55" t="inlineStr"/>
      <c r="P3677" s="16" t="inlineStr">
        <is>
          <t>Требует обогащения</t>
        </is>
      </c>
      <c r="Q3677" s="16">
        <f>HYPERLINK("https://pb.nalog.ru/search.html?query=6501102452","ФНС: проверить")</f>
        <v/>
      </c>
      <c r="R3677" s="16">
        <f>HYPERLINK("https://checko.ru/search?query=3801001629","Чекко: проверить")</f>
        <v/>
      </c>
      <c r="S3677" t="n">
        <v>1</v>
      </c>
      <c r="T3677" s="35" t="inlineStr">
        <is>
          <t>4 — Не обогащён</t>
        </is>
      </c>
      <c r="U3677" s="35" t="inlineStr">
        <is>
          <t>Нет ОКВЭД/ССЧР</t>
        </is>
      </c>
      <c r="V3677" s="35" t="inlineStr">
        <is>
          <t>Не определено</t>
        </is>
      </c>
      <c r="W3677" s="35" t="inlineStr"/>
      <c r="X3677" s="35" t="inlineStr"/>
    </row>
    <row r="3678" ht="15" customHeight="1" s="24">
      <c r="A3678" s="13" t="n">
        <v>5000018330</v>
      </c>
      <c r="B3678" s="13" t="inlineStr">
        <is>
          <t>МБОУ СОШ № 5</t>
        </is>
      </c>
      <c r="C3678" s="13" t="n">
        <v>6501102460</v>
      </c>
      <c r="D3678" s="13" t="inlineStr">
        <is>
          <t>6501102460</t>
        </is>
      </c>
      <c r="E3678" s="13" t="inlineStr">
        <is>
          <t>ЮЛ РФ</t>
        </is>
      </c>
      <c r="F3678" s="13" t="n"/>
      <c r="G3678" s="14" t="n"/>
      <c r="H3678" s="14" t="n"/>
      <c r="I3678" s="14" t="n"/>
      <c r="J3678" s="14" t="n"/>
      <c r="K3678" s="53" t="inlineStr"/>
      <c r="L3678" s="53" t="inlineStr">
        <is>
          <t>Не определено</t>
        </is>
      </c>
      <c r="M3678" s="53" t="inlineStr"/>
      <c r="N3678" s="54" t="inlineStr"/>
      <c r="O3678" s="55" t="inlineStr"/>
      <c r="P3678" s="16" t="inlineStr">
        <is>
          <t>Требует обогащения</t>
        </is>
      </c>
      <c r="Q3678" s="16">
        <f>HYPERLINK("https://pb.nalog.ru/search.html?query=6501102460","ФНС: проверить")</f>
        <v/>
      </c>
      <c r="R3678" s="16">
        <f>HYPERLINK("https://checko.ru/search?query=3801001629","Чекко: проверить")</f>
        <v/>
      </c>
      <c r="S3678" t="n">
        <v>1</v>
      </c>
      <c r="T3678" s="35" t="inlineStr">
        <is>
          <t>4 — Не обогащён</t>
        </is>
      </c>
      <c r="U3678" s="35" t="inlineStr">
        <is>
          <t>Нет ОКВЭД/ССЧР</t>
        </is>
      </c>
      <c r="V3678" s="35" t="inlineStr">
        <is>
          <t>Не определено</t>
        </is>
      </c>
      <c r="W3678" s="35" t="inlineStr"/>
      <c r="X3678" s="35" t="inlineStr"/>
    </row>
    <row r="3679" ht="15" customHeight="1" s="24">
      <c r="A3679" s="13" t="n">
        <v>5000018331</v>
      </c>
      <c r="B3679" s="13" t="inlineStr">
        <is>
          <t>МАОУ СОШ № 6</t>
        </is>
      </c>
      <c r="C3679" s="13" t="n">
        <v>6501103086</v>
      </c>
      <c r="D3679" s="13" t="inlineStr">
        <is>
          <t>6501103086</t>
        </is>
      </c>
      <c r="E3679" s="13" t="inlineStr">
        <is>
          <t>ЮЛ РФ</t>
        </is>
      </c>
      <c r="F3679" s="13" t="n"/>
      <c r="G3679" s="14" t="n"/>
      <c r="H3679" s="14" t="n"/>
      <c r="I3679" s="14" t="n"/>
      <c r="J3679" s="14" t="n"/>
      <c r="K3679" s="53" t="inlineStr"/>
      <c r="L3679" s="53" t="inlineStr">
        <is>
          <t>Не определено</t>
        </is>
      </c>
      <c r="M3679" s="53" t="inlineStr"/>
      <c r="N3679" s="54" t="inlineStr"/>
      <c r="O3679" s="55" t="inlineStr"/>
      <c r="P3679" s="16" t="inlineStr">
        <is>
          <t>Требует обогащения</t>
        </is>
      </c>
      <c r="Q3679" s="16">
        <f>HYPERLINK("https://pb.nalog.ru/search.html?query=6501103086","ФНС: проверить")</f>
        <v/>
      </c>
      <c r="R3679" s="16">
        <f>HYPERLINK("https://checko.ru/search?query=3801001629","Чекко: проверить")</f>
        <v/>
      </c>
      <c r="S3679" t="n">
        <v>1</v>
      </c>
      <c r="T3679" s="35" t="inlineStr">
        <is>
          <t>4 — Не обогащён</t>
        </is>
      </c>
      <c r="U3679" s="35" t="inlineStr">
        <is>
          <t>Нет ОКВЭД/ССЧР</t>
        </is>
      </c>
      <c r="V3679" s="35" t="inlineStr">
        <is>
          <t>Не определено</t>
        </is>
      </c>
      <c r="W3679" s="35" t="inlineStr"/>
      <c r="X3679" s="35" t="inlineStr"/>
    </row>
    <row r="3680" ht="15" customHeight="1" s="24">
      <c r="A3680" s="13" t="n">
        <v>5000018332</v>
      </c>
      <c r="B3680" s="13" t="inlineStr">
        <is>
          <t>МАОУ СОШ № 8</t>
        </is>
      </c>
      <c r="C3680" s="13" t="n">
        <v>6501103858</v>
      </c>
      <c r="D3680" s="13" t="inlineStr">
        <is>
          <t>6501103858</t>
        </is>
      </c>
      <c r="E3680" s="13" t="inlineStr">
        <is>
          <t>ЮЛ РФ</t>
        </is>
      </c>
      <c r="F3680" s="13" t="n"/>
      <c r="G3680" s="14" t="n"/>
      <c r="H3680" s="14" t="n"/>
      <c r="I3680" s="14" t="n"/>
      <c r="J3680" s="14" t="n"/>
      <c r="K3680" s="53" t="inlineStr"/>
      <c r="L3680" s="53" t="inlineStr">
        <is>
          <t>Не определено</t>
        </is>
      </c>
      <c r="M3680" s="53" t="inlineStr"/>
      <c r="N3680" s="54" t="inlineStr"/>
      <c r="O3680" s="55" t="inlineStr"/>
      <c r="P3680" s="16" t="inlineStr">
        <is>
          <t>Требует обогащения</t>
        </is>
      </c>
      <c r="Q3680" s="16">
        <f>HYPERLINK("https://pb.nalog.ru/search.html?query=6501103858","ФНС: проверить")</f>
        <v/>
      </c>
      <c r="R3680" s="16">
        <f>HYPERLINK("https://checko.ru/search?query=3801001629","Чекко: проверить")</f>
        <v/>
      </c>
      <c r="S3680" t="n">
        <v>1</v>
      </c>
      <c r="T3680" s="35" t="inlineStr">
        <is>
          <t>4 — Не обогащён</t>
        </is>
      </c>
      <c r="U3680" s="35" t="inlineStr">
        <is>
          <t>Нет ОКВЭД/ССЧР</t>
        </is>
      </c>
      <c r="V3680" s="35" t="inlineStr">
        <is>
          <t>Не определено</t>
        </is>
      </c>
      <c r="W3680" s="35" t="inlineStr"/>
      <c r="X3680" s="35" t="inlineStr"/>
    </row>
    <row r="3681" ht="15" customHeight="1" s="24">
      <c r="A3681" s="13" t="n">
        <v>5000018333</v>
      </c>
      <c r="B3681" s="13" t="inlineStr">
        <is>
          <t>МАОУ Восточная гимназия</t>
        </is>
      </c>
      <c r="C3681" s="13" t="n">
        <v>6501104548</v>
      </c>
      <c r="D3681" s="13" t="inlineStr">
        <is>
          <t>6501104548</t>
        </is>
      </c>
      <c r="E3681" s="13" t="inlineStr">
        <is>
          <t>ЮЛ РФ</t>
        </is>
      </c>
      <c r="F3681" s="13" t="n"/>
      <c r="G3681" s="14" t="n"/>
      <c r="H3681" s="14" t="n"/>
      <c r="I3681" s="14" t="n"/>
      <c r="J3681" s="14" t="n"/>
      <c r="K3681" s="53" t="inlineStr"/>
      <c r="L3681" s="53" t="inlineStr">
        <is>
          <t>Не определено</t>
        </is>
      </c>
      <c r="M3681" s="53" t="inlineStr"/>
      <c r="N3681" s="54" t="inlineStr"/>
      <c r="O3681" s="55" t="inlineStr"/>
      <c r="P3681" s="16" t="inlineStr">
        <is>
          <t>Требует обогащения</t>
        </is>
      </c>
      <c r="Q3681" s="16">
        <f>HYPERLINK("https://pb.nalog.ru/search.html?query=6501104548","ФНС: проверить")</f>
        <v/>
      </c>
      <c r="R3681" s="16">
        <f>HYPERLINK("https://checko.ru/search?query=3801001629","Чекко: проверить")</f>
        <v/>
      </c>
      <c r="S3681" t="n">
        <v>1</v>
      </c>
      <c r="T3681" s="35" t="inlineStr">
        <is>
          <t>4 — Не обогащён</t>
        </is>
      </c>
      <c r="U3681" s="35" t="inlineStr">
        <is>
          <t>Нет ОКВЭД/ССЧР</t>
        </is>
      </c>
      <c r="V3681" s="35" t="inlineStr">
        <is>
          <t>Не определено</t>
        </is>
      </c>
      <c r="W3681" s="35" t="inlineStr"/>
      <c r="X3681" s="35" t="inlineStr"/>
    </row>
    <row r="3682" ht="15" customHeight="1" s="24">
      <c r="A3682" s="13" t="n">
        <v>5000018334</v>
      </c>
      <c r="B3682" s="13" t="inlineStr">
        <is>
          <t>МАОУ СОШ № 11</t>
        </is>
      </c>
      <c r="C3682" s="13" t="n">
        <v>6501102484</v>
      </c>
      <c r="D3682" s="13" t="inlineStr">
        <is>
          <t>6501102484</t>
        </is>
      </c>
      <c r="E3682" s="13" t="inlineStr">
        <is>
          <t>ЮЛ РФ</t>
        </is>
      </c>
      <c r="F3682" s="13" t="n"/>
      <c r="G3682" s="14" t="n"/>
      <c r="H3682" s="14" t="n"/>
      <c r="I3682" s="14" t="n"/>
      <c r="J3682" s="14" t="n"/>
      <c r="K3682" s="53" t="inlineStr"/>
      <c r="L3682" s="53" t="inlineStr">
        <is>
          <t>Не определено</t>
        </is>
      </c>
      <c r="M3682" s="53" t="inlineStr"/>
      <c r="N3682" s="54" t="inlineStr"/>
      <c r="O3682" s="55" t="inlineStr"/>
      <c r="P3682" s="16" t="inlineStr">
        <is>
          <t>Требует обогащения</t>
        </is>
      </c>
      <c r="Q3682" s="16">
        <f>HYPERLINK("https://pb.nalog.ru/search.html?query=6501102484","ФНС: проверить")</f>
        <v/>
      </c>
      <c r="R3682" s="16">
        <f>HYPERLINK("https://checko.ru/search?query=3801001629","Чекко: проверить")</f>
        <v/>
      </c>
      <c r="S3682" t="n">
        <v>1</v>
      </c>
      <c r="T3682" s="35" t="inlineStr">
        <is>
          <t>4 — Не обогащён</t>
        </is>
      </c>
      <c r="U3682" s="35" t="inlineStr">
        <is>
          <t>Нет ОКВЭД/ССЧР</t>
        </is>
      </c>
      <c r="V3682" s="35" t="inlineStr">
        <is>
          <t>Не определено</t>
        </is>
      </c>
      <c r="W3682" s="35" t="inlineStr"/>
      <c r="X3682" s="35" t="inlineStr"/>
    </row>
    <row r="3683" ht="15" customHeight="1" s="24">
      <c r="A3683" s="13" t="n">
        <v>5000018335</v>
      </c>
      <c r="B3683" s="13" t="inlineStr">
        <is>
          <t>МБОУ Кадетская школа</t>
        </is>
      </c>
      <c r="C3683" s="13" t="n">
        <v>6501160479</v>
      </c>
      <c r="D3683" s="13" t="inlineStr">
        <is>
          <t>6501160479</t>
        </is>
      </c>
      <c r="E3683" s="13" t="inlineStr">
        <is>
          <t>ЮЛ РФ</t>
        </is>
      </c>
      <c r="F3683" s="13" t="n"/>
      <c r="G3683" s="14" t="n"/>
      <c r="H3683" s="14" t="n"/>
      <c r="I3683" s="14" t="n"/>
      <c r="J3683" s="14" t="n"/>
      <c r="K3683" s="53" t="inlineStr"/>
      <c r="L3683" s="53" t="inlineStr">
        <is>
          <t>Не определено</t>
        </is>
      </c>
      <c r="M3683" s="53" t="inlineStr"/>
      <c r="N3683" s="54" t="inlineStr"/>
      <c r="O3683" s="55" t="inlineStr"/>
      <c r="P3683" s="16" t="inlineStr">
        <is>
          <t>Требует обогащения</t>
        </is>
      </c>
      <c r="Q3683" s="16">
        <f>HYPERLINK("https://pb.nalog.ru/search.html?query=6501160479","ФНС: проверить")</f>
        <v/>
      </c>
      <c r="R3683" s="16">
        <f>HYPERLINK("https://checko.ru/search?query=3801001629","Чекко: проверить")</f>
        <v/>
      </c>
      <c r="S3683" t="n">
        <v>1</v>
      </c>
      <c r="T3683" s="35" t="inlineStr">
        <is>
          <t>4 — Не обогащён</t>
        </is>
      </c>
      <c r="U3683" s="35" t="inlineStr">
        <is>
          <t>Нет ОКВЭД/ССЧР</t>
        </is>
      </c>
      <c r="V3683" s="35" t="inlineStr">
        <is>
          <t>Не определено</t>
        </is>
      </c>
      <c r="W3683" s="35" t="inlineStr"/>
      <c r="X3683" s="35" t="inlineStr"/>
    </row>
    <row r="3684" ht="27.75" customHeight="1" s="24">
      <c r="A3684" s="13" t="n">
        <v>5000018380</v>
      </c>
      <c r="B3684" s="13" t="inlineStr">
        <is>
          <t>МБДОУ детский сад компенсирующего вида №32 «Буратино»</t>
        </is>
      </c>
      <c r="C3684" s="13" t="n">
        <v>6501237428</v>
      </c>
      <c r="D3684" s="13" t="inlineStr">
        <is>
          <t>6501237428</t>
        </is>
      </c>
      <c r="E3684" s="13" t="inlineStr">
        <is>
          <t>ЮЛ РФ</t>
        </is>
      </c>
      <c r="F3684" s="13" t="n"/>
      <c r="G3684" s="14" t="n"/>
      <c r="H3684" s="14" t="n"/>
      <c r="I3684" s="14" t="n"/>
      <c r="J3684" s="14" t="n"/>
      <c r="K3684" s="53" t="inlineStr"/>
      <c r="L3684" s="53" t="inlineStr">
        <is>
          <t>Не определено</t>
        </is>
      </c>
      <c r="M3684" s="53" t="inlineStr"/>
      <c r="N3684" s="54" t="inlineStr"/>
      <c r="O3684" s="55" t="inlineStr"/>
      <c r="P3684" s="16" t="inlineStr">
        <is>
          <t>Требует обогащения</t>
        </is>
      </c>
      <c r="Q3684" s="16">
        <f>HYPERLINK("https://pb.nalog.ru/search.html?query=6501237428","ФНС: проверить")</f>
        <v/>
      </c>
      <c r="R3684" s="16">
        <f>HYPERLINK("https://checko.ru/search?query=3801001629","Чекко: проверить")</f>
        <v/>
      </c>
      <c r="S3684" t="n">
        <v>1</v>
      </c>
      <c r="T3684" s="35" t="inlineStr">
        <is>
          <t>4 — Не обогащён</t>
        </is>
      </c>
      <c r="U3684" s="35" t="inlineStr">
        <is>
          <t>Нет ОКВЭД/ССЧР</t>
        </is>
      </c>
      <c r="V3684" s="35" t="inlineStr">
        <is>
          <t>Не определено</t>
        </is>
      </c>
      <c r="W3684" s="35" t="inlineStr"/>
      <c r="X3684" s="35" t="inlineStr"/>
    </row>
    <row r="3685" ht="15" customHeight="1" s="24">
      <c r="A3685" s="13" t="n">
        <v>5000018336</v>
      </c>
      <c r="B3685" s="13" t="inlineStr">
        <is>
          <t>МАОУ СОШ № 13</t>
        </is>
      </c>
      <c r="C3685" s="13" t="n">
        <v>6501100078</v>
      </c>
      <c r="D3685" s="13" t="inlineStr">
        <is>
          <t>6501100078</t>
        </is>
      </c>
      <c r="E3685" s="13" t="inlineStr">
        <is>
          <t>ЮЛ РФ</t>
        </is>
      </c>
      <c r="F3685" s="13" t="n"/>
      <c r="G3685" s="14" t="n"/>
      <c r="H3685" s="14" t="n"/>
      <c r="I3685" s="14" t="n"/>
      <c r="J3685" s="14" t="n"/>
      <c r="K3685" s="53" t="inlineStr"/>
      <c r="L3685" s="53" t="inlineStr">
        <is>
          <t>Не определено</t>
        </is>
      </c>
      <c r="M3685" s="53" t="inlineStr"/>
      <c r="N3685" s="54" t="inlineStr"/>
      <c r="O3685" s="55" t="inlineStr"/>
      <c r="P3685" s="16" t="inlineStr">
        <is>
          <t>Требует обогащения</t>
        </is>
      </c>
      <c r="Q3685" s="16">
        <f>HYPERLINK("https://pb.nalog.ru/search.html?query=6501100078","ФНС: проверить")</f>
        <v/>
      </c>
      <c r="R3685" s="16">
        <f>HYPERLINK("https://checko.ru/search?query=3801001629","Чекко: проверить")</f>
        <v/>
      </c>
      <c r="S3685" t="n">
        <v>1</v>
      </c>
      <c r="T3685" s="35" t="inlineStr">
        <is>
          <t>4 — Не обогащён</t>
        </is>
      </c>
      <c r="U3685" s="35" t="inlineStr">
        <is>
          <t>Нет ОКВЭД/ССЧР</t>
        </is>
      </c>
      <c r="V3685" s="35" t="inlineStr">
        <is>
          <t>Не определено</t>
        </is>
      </c>
      <c r="W3685" s="35" t="inlineStr"/>
      <c r="X3685" s="35" t="inlineStr"/>
    </row>
    <row r="3686" ht="15" customHeight="1" s="24">
      <c r="A3686" s="13" t="n">
        <v>5000018381</v>
      </c>
      <c r="B3686" s="13" t="inlineStr">
        <is>
          <t>МБДОУ детский сад №33 «Дюймовочка»</t>
        </is>
      </c>
      <c r="C3686" s="13" t="n">
        <v>6501148030</v>
      </c>
      <c r="D3686" s="13" t="inlineStr">
        <is>
          <t>6501148030</t>
        </is>
      </c>
      <c r="E3686" s="13" t="inlineStr">
        <is>
          <t>ЮЛ РФ</t>
        </is>
      </c>
      <c r="F3686" s="13" t="n"/>
      <c r="G3686" s="14" t="n"/>
      <c r="H3686" s="14" t="n"/>
      <c r="I3686" s="14" t="n"/>
      <c r="J3686" s="14" t="n"/>
      <c r="K3686" s="53" t="inlineStr"/>
      <c r="L3686" s="53" t="inlineStr">
        <is>
          <t>Не определено</t>
        </is>
      </c>
      <c r="M3686" s="53" t="inlineStr"/>
      <c r="N3686" s="54" t="inlineStr"/>
      <c r="O3686" s="55" t="inlineStr"/>
      <c r="P3686" s="16" t="inlineStr">
        <is>
          <t>Требует обогащения</t>
        </is>
      </c>
      <c r="Q3686" s="16">
        <f>HYPERLINK("https://pb.nalog.ru/search.html?query=6501148030","ФНС: проверить")</f>
        <v/>
      </c>
      <c r="R3686" s="16">
        <f>HYPERLINK("https://checko.ru/search?query=3801001629","Чекко: проверить")</f>
        <v/>
      </c>
      <c r="S3686" t="n">
        <v>1</v>
      </c>
      <c r="T3686" s="35" t="inlineStr">
        <is>
          <t>4 — Не обогащён</t>
        </is>
      </c>
      <c r="U3686" s="35" t="inlineStr">
        <is>
          <t>Нет ОКВЭД/ССЧР</t>
        </is>
      </c>
      <c r="V3686" s="35" t="inlineStr">
        <is>
          <t>Не определено</t>
        </is>
      </c>
      <c r="W3686" s="35" t="inlineStr"/>
      <c r="X3686" s="35" t="inlineStr"/>
    </row>
    <row r="3687" ht="15" customHeight="1" s="24">
      <c r="A3687" s="13" t="n">
        <v>5000018337</v>
      </c>
      <c r="B3687" s="13" t="inlineStr">
        <is>
          <t>МБОУ ООШ № 14</t>
        </is>
      </c>
      <c r="C3687" s="13" t="n">
        <v>6501255466</v>
      </c>
      <c r="D3687" s="13" t="inlineStr">
        <is>
          <t>6501255466</t>
        </is>
      </c>
      <c r="E3687" s="13" t="inlineStr">
        <is>
          <t>ЮЛ РФ</t>
        </is>
      </c>
      <c r="F3687" s="13" t="n"/>
      <c r="G3687" s="14" t="n"/>
      <c r="H3687" s="14" t="n"/>
      <c r="I3687" s="14" t="n"/>
      <c r="J3687" s="14" t="n"/>
      <c r="K3687" s="53" t="inlineStr"/>
      <c r="L3687" s="53" t="inlineStr">
        <is>
          <t>Не определено</t>
        </is>
      </c>
      <c r="M3687" s="53" t="inlineStr"/>
      <c r="N3687" s="54" t="inlineStr"/>
      <c r="O3687" s="55" t="inlineStr"/>
      <c r="P3687" s="16" t="inlineStr">
        <is>
          <t>Требует обогащения</t>
        </is>
      </c>
      <c r="Q3687" s="16">
        <f>HYPERLINK("https://pb.nalog.ru/search.html?query=6501255466","ФНС: проверить")</f>
        <v/>
      </c>
      <c r="R3687" s="16">
        <f>HYPERLINK("https://checko.ru/search?query=3801001629","Чекко: проверить")</f>
        <v/>
      </c>
      <c r="S3687" t="n">
        <v>1</v>
      </c>
      <c r="T3687" s="35" t="inlineStr">
        <is>
          <t>4 — Не обогащён</t>
        </is>
      </c>
      <c r="U3687" s="35" t="inlineStr">
        <is>
          <t>Нет ОКВЭД/ССЧР</t>
        </is>
      </c>
      <c r="V3687" s="35" t="inlineStr">
        <is>
          <t>Не определено</t>
        </is>
      </c>
      <c r="W3687" s="35" t="inlineStr"/>
      <c r="X3687" s="35" t="inlineStr"/>
    </row>
    <row r="3688" ht="15" customHeight="1" s="24">
      <c r="A3688" s="13" t="n">
        <v>5000018338</v>
      </c>
      <c r="B3688" s="13" t="inlineStr">
        <is>
          <t>МБОУ СОШ № 16</t>
        </is>
      </c>
      <c r="C3688" s="13" t="n">
        <v>6501067286</v>
      </c>
      <c r="D3688" s="13" t="inlineStr">
        <is>
          <t>6501067286</t>
        </is>
      </c>
      <c r="E3688" s="13" t="inlineStr">
        <is>
          <t>ЮЛ РФ</t>
        </is>
      </c>
      <c r="F3688" s="13" t="n"/>
      <c r="G3688" s="14" t="n"/>
      <c r="H3688" s="14" t="n"/>
      <c r="I3688" s="14" t="n"/>
      <c r="J3688" s="14" t="n"/>
      <c r="K3688" s="53" t="inlineStr"/>
      <c r="L3688" s="53" t="inlineStr">
        <is>
          <t>Не определено</t>
        </is>
      </c>
      <c r="M3688" s="53" t="inlineStr"/>
      <c r="N3688" s="54" t="inlineStr"/>
      <c r="O3688" s="55" t="inlineStr"/>
      <c r="P3688" s="16" t="inlineStr">
        <is>
          <t>Требует обогащения</t>
        </is>
      </c>
      <c r="Q3688" s="16">
        <f>HYPERLINK("https://pb.nalog.ru/search.html?query=6501067286","ФНС: проверить")</f>
        <v/>
      </c>
      <c r="R3688" s="16">
        <f>HYPERLINK("https://checko.ru/search?query=3801001629","Чекко: проверить")</f>
        <v/>
      </c>
      <c r="S3688" t="n">
        <v>1</v>
      </c>
      <c r="T3688" s="35" t="inlineStr">
        <is>
          <t>4 — Не обогащён</t>
        </is>
      </c>
      <c r="U3688" s="35" t="inlineStr">
        <is>
          <t>Нет ОКВЭД/ССЧР</t>
        </is>
      </c>
      <c r="V3688" s="35" t="inlineStr">
        <is>
          <t>Не определено</t>
        </is>
      </c>
      <c r="W3688" s="35" t="inlineStr"/>
      <c r="X3688" s="35" t="inlineStr"/>
    </row>
    <row r="3689" ht="15" customHeight="1" s="24">
      <c r="A3689" s="13" t="n">
        <v>5000018382</v>
      </c>
      <c r="B3689" s="13" t="inlineStr">
        <is>
          <t>МАДОУ детский сад №34 «Искорка»</t>
        </is>
      </c>
      <c r="C3689" s="13" t="n">
        <v>6501252112</v>
      </c>
      <c r="D3689" s="13" t="inlineStr">
        <is>
          <t>6501252112</t>
        </is>
      </c>
      <c r="E3689" s="13" t="inlineStr">
        <is>
          <t>ЮЛ РФ</t>
        </is>
      </c>
      <c r="F3689" s="13" t="n"/>
      <c r="G3689" s="14" t="n"/>
      <c r="H3689" s="14" t="n"/>
      <c r="I3689" s="14" t="n"/>
      <c r="J3689" s="14" t="n"/>
      <c r="K3689" s="53" t="inlineStr"/>
      <c r="L3689" s="53" t="inlineStr">
        <is>
          <t>Не определено</t>
        </is>
      </c>
      <c r="M3689" s="53" t="inlineStr"/>
      <c r="N3689" s="54" t="inlineStr"/>
      <c r="O3689" s="55" t="inlineStr"/>
      <c r="P3689" s="16" t="inlineStr">
        <is>
          <t>Требует обогащения</t>
        </is>
      </c>
      <c r="Q3689" s="16">
        <f>HYPERLINK("https://pb.nalog.ru/search.html?query=6501252112","ФНС: проверить")</f>
        <v/>
      </c>
      <c r="R3689" s="16">
        <f>HYPERLINK("https://checko.ru/search?query=3801001629","Чекко: проверить")</f>
        <v/>
      </c>
      <c r="S3689" t="n">
        <v>1</v>
      </c>
      <c r="T3689" s="35" t="inlineStr">
        <is>
          <t>4 — Не обогащён</t>
        </is>
      </c>
      <c r="U3689" s="35" t="inlineStr">
        <is>
          <t>Нет ОКВЭД/ССЧР</t>
        </is>
      </c>
      <c r="V3689" s="35" t="inlineStr">
        <is>
          <t>Не определено</t>
        </is>
      </c>
      <c r="W3689" s="35" t="inlineStr"/>
      <c r="X3689" s="35" t="inlineStr"/>
    </row>
    <row r="3690" ht="15" customHeight="1" s="24">
      <c r="A3690" s="13" t="n">
        <v>5000018339</v>
      </c>
      <c r="B3690" s="13" t="inlineStr">
        <is>
          <t>МБОУ СОШ № 18 Синегорск</t>
        </is>
      </c>
      <c r="C3690" s="13" t="n">
        <v>6501102597</v>
      </c>
      <c r="D3690" s="13" t="inlineStr">
        <is>
          <t>6501102597</t>
        </is>
      </c>
      <c r="E3690" s="13" t="inlineStr">
        <is>
          <t>ЮЛ РФ</t>
        </is>
      </c>
      <c r="F3690" s="13" t="n"/>
      <c r="G3690" s="14" t="n"/>
      <c r="H3690" s="14" t="n"/>
      <c r="I3690" s="14" t="n"/>
      <c r="J3690" s="14" t="n"/>
      <c r="K3690" s="53" t="inlineStr"/>
      <c r="L3690" s="53" t="inlineStr">
        <is>
          <t>Не определено</t>
        </is>
      </c>
      <c r="M3690" s="53" t="inlineStr"/>
      <c r="N3690" s="54" t="inlineStr"/>
      <c r="O3690" s="55" t="inlineStr"/>
      <c r="P3690" s="16" t="inlineStr">
        <is>
          <t>Требует обогащения</t>
        </is>
      </c>
      <c r="Q3690" s="16">
        <f>HYPERLINK("https://pb.nalog.ru/search.html?query=6501102597","ФНС: проверить")</f>
        <v/>
      </c>
      <c r="R3690" s="16">
        <f>HYPERLINK("https://checko.ru/search?query=3801001629","Чекко: проверить")</f>
        <v/>
      </c>
      <c r="S3690" t="n">
        <v>1</v>
      </c>
      <c r="T3690" s="35" t="inlineStr">
        <is>
          <t>4 — Не обогащён</t>
        </is>
      </c>
      <c r="U3690" s="35" t="inlineStr">
        <is>
          <t>Нет ОКВЭД/ССЧР</t>
        </is>
      </c>
      <c r="V3690" s="35" t="inlineStr">
        <is>
          <t>Не определено</t>
        </is>
      </c>
      <c r="W3690" s="35" t="inlineStr"/>
      <c r="X3690" s="35" t="inlineStr"/>
    </row>
    <row r="3691" ht="15" customHeight="1" s="24">
      <c r="A3691" s="13" t="n">
        <v>5000018341</v>
      </c>
      <c r="B3691" s="13" t="inlineStr">
        <is>
          <t>МБОУ СОШ № 22 Южно-Сахалинск</t>
        </is>
      </c>
      <c r="C3691" s="13" t="n">
        <v>6501102501</v>
      </c>
      <c r="D3691" s="13" t="inlineStr">
        <is>
          <t>6501102501</t>
        </is>
      </c>
      <c r="E3691" s="13" t="inlineStr">
        <is>
          <t>ЮЛ РФ</t>
        </is>
      </c>
      <c r="F3691" s="13" t="n"/>
      <c r="G3691" s="14" t="n"/>
      <c r="H3691" s="14" t="n"/>
      <c r="I3691" s="14" t="n"/>
      <c r="J3691" s="14" t="n"/>
      <c r="K3691" s="53" t="inlineStr"/>
      <c r="L3691" s="53" t="inlineStr">
        <is>
          <t>Не определено</t>
        </is>
      </c>
      <c r="M3691" s="53" t="inlineStr"/>
      <c r="N3691" s="54" t="inlineStr"/>
      <c r="O3691" s="55" t="inlineStr"/>
      <c r="P3691" s="16" t="inlineStr">
        <is>
          <t>Требует обогащения</t>
        </is>
      </c>
      <c r="Q3691" s="16">
        <f>HYPERLINK("https://pb.nalog.ru/search.html?query=6501102501","ФНС: проверить")</f>
        <v/>
      </c>
      <c r="R3691" s="16">
        <f>HYPERLINK("https://checko.ru/search?query=3801001629","Чекко: проверить")</f>
        <v/>
      </c>
      <c r="S3691" t="n">
        <v>1</v>
      </c>
      <c r="T3691" s="35" t="inlineStr">
        <is>
          <t>4 — Не обогащён</t>
        </is>
      </c>
      <c r="U3691" s="35" t="inlineStr">
        <is>
          <t>Нет ОКВЭД/ССЧР</t>
        </is>
      </c>
      <c r="V3691" s="35" t="inlineStr">
        <is>
          <t>Не определено</t>
        </is>
      </c>
      <c r="W3691" s="35" t="inlineStr"/>
      <c r="X3691" s="35" t="inlineStr"/>
    </row>
    <row r="3692" ht="15" customHeight="1" s="24">
      <c r="A3692" s="13" t="n">
        <v>5000018342</v>
      </c>
      <c r="B3692" s="13" t="inlineStr">
        <is>
          <t>МБОУ СОШ № 23</t>
        </is>
      </c>
      <c r="C3692" s="13" t="n">
        <v>6501104097</v>
      </c>
      <c r="D3692" s="13" t="inlineStr">
        <is>
          <t>6501104097</t>
        </is>
      </c>
      <c r="E3692" s="13" t="inlineStr">
        <is>
          <t>ЮЛ РФ</t>
        </is>
      </c>
      <c r="F3692" s="13" t="n"/>
      <c r="G3692" s="14" t="n"/>
      <c r="H3692" s="14" t="n"/>
      <c r="I3692" s="14" t="n"/>
      <c r="J3692" s="14" t="n"/>
      <c r="K3692" s="53" t="inlineStr"/>
      <c r="L3692" s="53" t="inlineStr">
        <is>
          <t>Не определено</t>
        </is>
      </c>
      <c r="M3692" s="53" t="inlineStr"/>
      <c r="N3692" s="54" t="inlineStr"/>
      <c r="O3692" s="55" t="inlineStr"/>
      <c r="P3692" s="16" t="inlineStr">
        <is>
          <t>Требует обогащения</t>
        </is>
      </c>
      <c r="Q3692" s="16">
        <f>HYPERLINK("https://pb.nalog.ru/search.html?query=6501104097","ФНС: проверить")</f>
        <v/>
      </c>
      <c r="R3692" s="16">
        <f>HYPERLINK("https://checko.ru/search?query=3801001629","Чекко: проверить")</f>
        <v/>
      </c>
      <c r="S3692" t="n">
        <v>1</v>
      </c>
      <c r="T3692" s="35" t="inlineStr">
        <is>
          <t>4 — Не обогащён</t>
        </is>
      </c>
      <c r="U3692" s="35" t="inlineStr">
        <is>
          <t>Нет ОКВЭД/ССЧР</t>
        </is>
      </c>
      <c r="V3692" s="35" t="inlineStr">
        <is>
          <t>Не определено</t>
        </is>
      </c>
      <c r="W3692" s="35" t="inlineStr"/>
      <c r="X3692" s="35" t="inlineStr"/>
    </row>
    <row r="3693" ht="15" customHeight="1" s="24">
      <c r="A3693" s="13" t="n">
        <v>5000018343</v>
      </c>
      <c r="B3693" s="13" t="inlineStr">
        <is>
          <t>МАОУ СОШ № 26</t>
        </is>
      </c>
      <c r="C3693" s="13" t="n">
        <v>6501102371</v>
      </c>
      <c r="D3693" s="13" t="inlineStr">
        <is>
          <t>6501102371</t>
        </is>
      </c>
      <c r="E3693" s="13" t="inlineStr">
        <is>
          <t>ЮЛ РФ</t>
        </is>
      </c>
      <c r="F3693" s="13" t="n"/>
      <c r="G3693" s="14" t="n"/>
      <c r="H3693" s="14" t="n"/>
      <c r="I3693" s="14" t="n"/>
      <c r="J3693" s="14" t="n"/>
      <c r="K3693" s="53" t="inlineStr"/>
      <c r="L3693" s="53" t="inlineStr">
        <is>
          <t>Не определено</t>
        </is>
      </c>
      <c r="M3693" s="53" t="inlineStr"/>
      <c r="N3693" s="54" t="inlineStr"/>
      <c r="O3693" s="55" t="inlineStr"/>
      <c r="P3693" s="16" t="inlineStr">
        <is>
          <t>Требует обогащения</t>
        </is>
      </c>
      <c r="Q3693" s="16">
        <f>HYPERLINK("https://pb.nalog.ru/search.html?query=6501102371","ФНС: проверить")</f>
        <v/>
      </c>
      <c r="R3693" s="16">
        <f>HYPERLINK("https://checko.ru/search?query=3801001629","Чекко: проверить")</f>
        <v/>
      </c>
      <c r="S3693" t="n">
        <v>1</v>
      </c>
      <c r="T3693" s="35" t="inlineStr">
        <is>
          <t>4 — Не обогащён</t>
        </is>
      </c>
      <c r="U3693" s="35" t="inlineStr">
        <is>
          <t>Нет ОКВЭД/ССЧР</t>
        </is>
      </c>
      <c r="V3693" s="35" t="inlineStr">
        <is>
          <t>Не определено</t>
        </is>
      </c>
      <c r="W3693" s="35" t="inlineStr"/>
      <c r="X3693" s="35" t="inlineStr"/>
    </row>
    <row r="3694" ht="15" customHeight="1" s="24">
      <c r="A3694" s="13" t="n">
        <v>5000018344</v>
      </c>
      <c r="B3694" s="13" t="inlineStr">
        <is>
          <t>МБОУ СОШ № 30</t>
        </is>
      </c>
      <c r="C3694" s="13" t="n">
        <v>6501103223</v>
      </c>
      <c r="D3694" s="13" t="inlineStr">
        <is>
          <t>6501103223</t>
        </is>
      </c>
      <c r="E3694" s="13" t="inlineStr">
        <is>
          <t>ЮЛ РФ</t>
        </is>
      </c>
      <c r="F3694" s="13" t="n"/>
      <c r="G3694" s="14" t="n"/>
      <c r="H3694" s="14" t="n"/>
      <c r="I3694" s="14" t="n"/>
      <c r="J3694" s="14" t="n"/>
      <c r="K3694" s="53" t="inlineStr"/>
      <c r="L3694" s="53" t="inlineStr">
        <is>
          <t>Не определено</t>
        </is>
      </c>
      <c r="M3694" s="53" t="inlineStr"/>
      <c r="N3694" s="54" t="inlineStr"/>
      <c r="O3694" s="55" t="inlineStr"/>
      <c r="P3694" s="16" t="inlineStr">
        <is>
          <t>Требует обогащения</t>
        </is>
      </c>
      <c r="Q3694" s="16">
        <f>HYPERLINK("https://pb.nalog.ru/search.html?query=6501103223","ФНС: проверить")</f>
        <v/>
      </c>
      <c r="R3694" s="16">
        <f>HYPERLINK("https://checko.ru/search?query=3801001629","Чекко: проверить")</f>
        <v/>
      </c>
      <c r="S3694" t="n">
        <v>1</v>
      </c>
      <c r="T3694" s="35" t="inlineStr">
        <is>
          <t>4 — Не обогащён</t>
        </is>
      </c>
      <c r="U3694" s="35" t="inlineStr">
        <is>
          <t>Нет ОКВЭД/ССЧР</t>
        </is>
      </c>
      <c r="V3694" s="35" t="inlineStr">
        <is>
          <t>Не определено</t>
        </is>
      </c>
      <c r="W3694" s="35" t="inlineStr"/>
      <c r="X3694" s="35" t="inlineStr"/>
    </row>
    <row r="3695" ht="15" customHeight="1" s="24">
      <c r="A3695" s="13" t="n">
        <v>5000018345</v>
      </c>
      <c r="B3695" s="13" t="inlineStr">
        <is>
          <t>МАОУ СОШ № 31</t>
        </is>
      </c>
      <c r="C3695" s="13" t="n">
        <v>6501102477</v>
      </c>
      <c r="D3695" s="13" t="inlineStr">
        <is>
          <t>6501102477</t>
        </is>
      </c>
      <c r="E3695" s="13" t="inlineStr">
        <is>
          <t>ЮЛ РФ</t>
        </is>
      </c>
      <c r="F3695" s="13" t="n"/>
      <c r="G3695" s="14" t="n"/>
      <c r="H3695" s="14" t="n"/>
      <c r="I3695" s="14" t="n"/>
      <c r="J3695" s="14" t="n"/>
      <c r="K3695" s="53" t="inlineStr"/>
      <c r="L3695" s="53" t="inlineStr">
        <is>
          <t>Не определено</t>
        </is>
      </c>
      <c r="M3695" s="53" t="inlineStr"/>
      <c r="N3695" s="54" t="inlineStr"/>
      <c r="O3695" s="55" t="inlineStr"/>
      <c r="P3695" s="16" t="inlineStr">
        <is>
          <t>Требует обогащения</t>
        </is>
      </c>
      <c r="Q3695" s="16">
        <f>HYPERLINK("https://pb.nalog.ru/search.html?query=6501102477","ФНС: проверить")</f>
        <v/>
      </c>
      <c r="R3695" s="16">
        <f>HYPERLINK("https://checko.ru/search?query=3801001629","Чекко: проверить")</f>
        <v/>
      </c>
      <c r="S3695" t="n">
        <v>1</v>
      </c>
      <c r="T3695" s="35" t="inlineStr">
        <is>
          <t>4 — Не обогащён</t>
        </is>
      </c>
      <c r="U3695" s="35" t="inlineStr">
        <is>
          <t>Нет ОКВЭД/ССЧР</t>
        </is>
      </c>
      <c r="V3695" s="35" t="inlineStr">
        <is>
          <t>Не определено</t>
        </is>
      </c>
      <c r="W3695" s="35" t="inlineStr"/>
      <c r="X3695" s="35" t="inlineStr"/>
    </row>
    <row r="3696" ht="15" customHeight="1" s="24">
      <c r="A3696" s="13" t="n">
        <v>5000018346</v>
      </c>
      <c r="B3696" s="13" t="inlineStr">
        <is>
          <t>МБОУ СОШ № 34</t>
        </is>
      </c>
      <c r="C3696" s="13" t="n">
        <v>6501105608</v>
      </c>
      <c r="D3696" s="13" t="inlineStr">
        <is>
          <t>6501105608</t>
        </is>
      </c>
      <c r="E3696" s="13" t="inlineStr">
        <is>
          <t>ЮЛ РФ</t>
        </is>
      </c>
      <c r="F3696" s="13" t="n"/>
      <c r="G3696" s="14" t="n"/>
      <c r="H3696" s="14" t="n"/>
      <c r="I3696" s="14" t="n"/>
      <c r="J3696" s="14" t="n"/>
      <c r="K3696" s="53" t="inlineStr"/>
      <c r="L3696" s="53" t="inlineStr">
        <is>
          <t>Не определено</t>
        </is>
      </c>
      <c r="M3696" s="53" t="inlineStr"/>
      <c r="N3696" s="54" t="inlineStr"/>
      <c r="O3696" s="55" t="inlineStr"/>
      <c r="P3696" s="16" t="inlineStr">
        <is>
          <t>Требует обогащения</t>
        </is>
      </c>
      <c r="Q3696" s="16">
        <f>HYPERLINK("https://pb.nalog.ru/search.html?query=6501105608","ФНС: проверить")</f>
        <v/>
      </c>
      <c r="R3696" s="16">
        <f>HYPERLINK("https://checko.ru/search?query=3801001629","Чекко: проверить")</f>
        <v/>
      </c>
      <c r="S3696" t="n">
        <v>1</v>
      </c>
      <c r="T3696" s="35" t="inlineStr">
        <is>
          <t>4 — Не обогащён</t>
        </is>
      </c>
      <c r="U3696" s="35" t="inlineStr">
        <is>
          <t>Нет ОКВЭД/ССЧР</t>
        </is>
      </c>
      <c r="V3696" s="35" t="inlineStr">
        <is>
          <t>Не определено</t>
        </is>
      </c>
      <c r="W3696" s="35" t="inlineStr"/>
      <c r="X3696" s="35" t="inlineStr"/>
    </row>
    <row r="3697" ht="15" customHeight="1" s="24">
      <c r="A3697" s="13" t="n">
        <v>5000018347</v>
      </c>
      <c r="B3697" s="13" t="inlineStr">
        <is>
          <t>МАОУ Лицей № 1</t>
        </is>
      </c>
      <c r="C3697" s="13" t="n">
        <v>6501112348</v>
      </c>
      <c r="D3697" s="13" t="inlineStr">
        <is>
          <t>6501112348</t>
        </is>
      </c>
      <c r="E3697" s="13" t="inlineStr">
        <is>
          <t>ЮЛ РФ</t>
        </is>
      </c>
      <c r="F3697" s="13" t="n"/>
      <c r="G3697" s="14" t="n"/>
      <c r="H3697" s="14" t="n"/>
      <c r="I3697" s="14" t="n"/>
      <c r="J3697" s="14" t="n"/>
      <c r="K3697" s="53" t="inlineStr"/>
      <c r="L3697" s="53" t="inlineStr">
        <is>
          <t>Не определено</t>
        </is>
      </c>
      <c r="M3697" s="53" t="inlineStr"/>
      <c r="N3697" s="54" t="inlineStr"/>
      <c r="O3697" s="55" t="inlineStr"/>
      <c r="P3697" s="16" t="inlineStr">
        <is>
          <t>Требует обогащения</t>
        </is>
      </c>
      <c r="Q3697" s="16">
        <f>HYPERLINK("https://pb.nalog.ru/search.html?query=6501112348","ФНС: проверить")</f>
        <v/>
      </c>
      <c r="R3697" s="16">
        <f>HYPERLINK("https://checko.ru/search?query=3801001629","Чекко: проверить")</f>
        <v/>
      </c>
      <c r="S3697" t="n">
        <v>1</v>
      </c>
      <c r="T3697" s="35" t="inlineStr">
        <is>
          <t>4 — Не обогащён</t>
        </is>
      </c>
      <c r="U3697" s="35" t="inlineStr">
        <is>
          <t>Нет ОКВЭД/ССЧР</t>
        </is>
      </c>
      <c r="V3697" s="35" t="inlineStr">
        <is>
          <t>Не определено</t>
        </is>
      </c>
      <c r="W3697" s="35" t="inlineStr"/>
      <c r="X3697" s="35" t="inlineStr"/>
    </row>
    <row r="3698" ht="15" customHeight="1" s="24">
      <c r="A3698" s="13" t="n">
        <v>5000018348</v>
      </c>
      <c r="B3698" s="13" t="inlineStr">
        <is>
          <t>МАОУ Лицей № 2</t>
        </is>
      </c>
      <c r="C3698" s="13" t="n">
        <v>6501102519</v>
      </c>
      <c r="D3698" s="13" t="inlineStr">
        <is>
          <t>6501102519</t>
        </is>
      </c>
      <c r="E3698" s="13" t="inlineStr">
        <is>
          <t>ЮЛ РФ</t>
        </is>
      </c>
      <c r="F3698" s="13" t="n"/>
      <c r="G3698" s="14" t="n"/>
      <c r="H3698" s="14" t="n"/>
      <c r="I3698" s="14" t="n"/>
      <c r="J3698" s="14" t="n"/>
      <c r="K3698" s="53" t="inlineStr"/>
      <c r="L3698" s="53" t="inlineStr">
        <is>
          <t>Не определено</t>
        </is>
      </c>
      <c r="M3698" s="53" t="inlineStr"/>
      <c r="N3698" s="54" t="inlineStr"/>
      <c r="O3698" s="55" t="inlineStr"/>
      <c r="P3698" s="16" t="inlineStr">
        <is>
          <t>Требует обогащения</t>
        </is>
      </c>
      <c r="Q3698" s="16">
        <f>HYPERLINK("https://pb.nalog.ru/search.html?query=6501102519","ФНС: проверить")</f>
        <v/>
      </c>
      <c r="R3698" s="16">
        <f>HYPERLINK("https://checko.ru/search?query=3801001629","Чекко: проверить")</f>
        <v/>
      </c>
      <c r="S3698" t="n">
        <v>1</v>
      </c>
      <c r="T3698" s="35" t="inlineStr">
        <is>
          <t>4 — Не обогащён</t>
        </is>
      </c>
      <c r="U3698" s="35" t="inlineStr">
        <is>
          <t>Нет ОКВЭД/ССЧР</t>
        </is>
      </c>
      <c r="V3698" s="35" t="inlineStr">
        <is>
          <t>Не определено</t>
        </is>
      </c>
      <c r="W3698" s="35" t="inlineStr"/>
      <c r="X3698" s="35" t="inlineStr"/>
    </row>
    <row r="3699" ht="15" customHeight="1" s="24">
      <c r="A3699" s="13" t="n">
        <v>5000018349</v>
      </c>
      <c r="B3699" s="13" t="inlineStr">
        <is>
          <t>МКОУ ВСОШ № 1</t>
        </is>
      </c>
      <c r="C3699" s="13" t="n">
        <v>6501102491</v>
      </c>
      <c r="D3699" s="13" t="inlineStr">
        <is>
          <t>6501102491</t>
        </is>
      </c>
      <c r="E3699" s="13" t="inlineStr">
        <is>
          <t>ЮЛ РФ</t>
        </is>
      </c>
      <c r="F3699" s="13" t="n"/>
      <c r="G3699" s="14" t="n"/>
      <c r="H3699" s="14" t="n"/>
      <c r="I3699" s="14" t="n"/>
      <c r="J3699" s="14" t="n"/>
      <c r="K3699" s="53" t="inlineStr"/>
      <c r="L3699" s="53" t="inlineStr">
        <is>
          <t>Не определено</t>
        </is>
      </c>
      <c r="M3699" s="53" t="inlineStr"/>
      <c r="N3699" s="54" t="inlineStr"/>
      <c r="O3699" s="55" t="inlineStr"/>
      <c r="P3699" s="16" t="inlineStr">
        <is>
          <t>Требует обогащения</t>
        </is>
      </c>
      <c r="Q3699" s="16">
        <f>HYPERLINK("https://pb.nalog.ru/search.html?query=6501102491","ФНС: проверить")</f>
        <v/>
      </c>
      <c r="R3699" s="16">
        <f>HYPERLINK("https://checko.ru/search?query=3801001629","Чекко: проверить")</f>
        <v/>
      </c>
      <c r="S3699" t="n">
        <v>1</v>
      </c>
      <c r="T3699" s="35" t="inlineStr">
        <is>
          <t>4 — Не обогащён</t>
        </is>
      </c>
      <c r="U3699" s="35" t="inlineStr">
        <is>
          <t>Нет ОКВЭД/ССЧР</t>
        </is>
      </c>
      <c r="V3699" s="35" t="inlineStr">
        <is>
          <t>Не определено</t>
        </is>
      </c>
      <c r="W3699" s="35" t="inlineStr"/>
      <c r="X3699" s="35" t="inlineStr"/>
    </row>
    <row r="3700" ht="27.75" customHeight="1" s="24">
      <c r="A3700" s="13" t="n">
        <v>5000098309</v>
      </c>
      <c r="B3700" s="13" t="inlineStr">
        <is>
          <t>Дальнегорский индустриально-технологический колледж</t>
        </is>
      </c>
      <c r="C3700" s="13" t="n">
        <v>2505002691</v>
      </c>
      <c r="D3700" s="13" t="inlineStr">
        <is>
          <t>2505002691</t>
        </is>
      </c>
      <c r="E3700" s="13" t="inlineStr">
        <is>
          <t>ЮЛ РФ</t>
        </is>
      </c>
      <c r="F3700" s="13" t="n"/>
      <c r="G3700" s="14" t="n"/>
      <c r="H3700" s="14" t="n"/>
      <c r="I3700" s="14" t="n"/>
      <c r="J3700" s="14" t="n"/>
      <c r="K3700" s="53" t="inlineStr"/>
      <c r="L3700" s="53" t="inlineStr">
        <is>
          <t>Не определено</t>
        </is>
      </c>
      <c r="M3700" s="53" t="inlineStr"/>
      <c r="N3700" s="54" t="inlineStr"/>
      <c r="O3700" s="55" t="inlineStr"/>
      <c r="P3700" s="16" t="inlineStr">
        <is>
          <t>Требует обогащения</t>
        </is>
      </c>
      <c r="Q3700" s="16">
        <f>HYPERLINK("https://pb.nalog.ru/search.html?query=2505002691","ФНС: проверить")</f>
        <v/>
      </c>
      <c r="R3700" s="16">
        <f>HYPERLINK("https://checko.ru/search?query=3801001629","Чекко: проверить")</f>
        <v/>
      </c>
      <c r="S3700" t="n">
        <v>1</v>
      </c>
      <c r="T3700" s="35" t="inlineStr">
        <is>
          <t>4 — Не обогащён</t>
        </is>
      </c>
      <c r="U3700" s="35" t="inlineStr">
        <is>
          <t>Нет ОКВЭД/ССЧР</t>
        </is>
      </c>
      <c r="V3700" s="35" t="inlineStr">
        <is>
          <t>Не определено</t>
        </is>
      </c>
      <c r="W3700" s="35" t="inlineStr"/>
      <c r="X3700" s="35" t="inlineStr"/>
    </row>
    <row r="3701" ht="15" customHeight="1" s="24">
      <c r="A3701" s="13" t="n">
        <v>5000089298</v>
      </c>
      <c r="B3701" s="13" t="inlineStr">
        <is>
          <t>ГОУ "Детский Дом г. Уссурийска"</t>
        </is>
      </c>
      <c r="C3701" s="13" t="n">
        <v>2511037822</v>
      </c>
      <c r="D3701" s="13" t="inlineStr">
        <is>
          <t>2511037822</t>
        </is>
      </c>
      <c r="E3701" s="13" t="inlineStr">
        <is>
          <t>ЮЛ РФ</t>
        </is>
      </c>
      <c r="F3701" s="13" t="n"/>
      <c r="G3701" s="14" t="n"/>
      <c r="H3701" s="14" t="n"/>
      <c r="I3701" s="14" t="n"/>
      <c r="J3701" s="14" t="n"/>
      <c r="K3701" s="53" t="inlineStr"/>
      <c r="L3701" s="53" t="inlineStr">
        <is>
          <t>Не определено</t>
        </is>
      </c>
      <c r="M3701" s="53" t="inlineStr"/>
      <c r="N3701" s="54" t="inlineStr"/>
      <c r="O3701" s="55" t="inlineStr"/>
      <c r="P3701" s="16" t="inlineStr">
        <is>
          <t>Требует обогащения</t>
        </is>
      </c>
      <c r="Q3701" s="16">
        <f>HYPERLINK("https://pb.nalog.ru/search.html?query=2511037822","ФНС: проверить")</f>
        <v/>
      </c>
      <c r="R3701" s="16">
        <f>HYPERLINK("https://checko.ru/search?query=3801001629","Чекко: проверить")</f>
        <v/>
      </c>
      <c r="S3701" t="n">
        <v>1</v>
      </c>
      <c r="T3701" s="35" t="inlineStr">
        <is>
          <t>4 — Не обогащён</t>
        </is>
      </c>
      <c r="U3701" s="35" t="inlineStr">
        <is>
          <t>Нет ОКВЭД/ССЧР</t>
        </is>
      </c>
      <c r="V3701" s="35" t="inlineStr">
        <is>
          <t>Не определено</t>
        </is>
      </c>
      <c r="W3701" s="35" t="inlineStr"/>
      <c r="X3701" s="35" t="inlineStr"/>
    </row>
    <row r="3702" ht="27.75" customHeight="1" s="24">
      <c r="A3702" s="13" t="n">
        <v>5000116127</v>
      </c>
      <c r="B3702" s="13" t="inlineStr">
        <is>
          <t>МКУ "Управление капитального строительства ГО "Охинский"</t>
        </is>
      </c>
      <c r="C3702" s="13" t="n">
        <v>6506907845</v>
      </c>
      <c r="D3702" s="13" t="inlineStr">
        <is>
          <t>6506907845</t>
        </is>
      </c>
      <c r="E3702" s="13" t="inlineStr">
        <is>
          <t>ЮЛ РФ</t>
        </is>
      </c>
      <c r="F3702" s="13" t="n"/>
      <c r="G3702" s="14" t="n"/>
      <c r="H3702" s="14" t="n"/>
      <c r="I3702" s="14" t="n"/>
      <c r="J3702" s="14" t="n"/>
      <c r="K3702" s="53" t="inlineStr"/>
      <c r="L3702" s="53" t="inlineStr">
        <is>
          <t>Не определено</t>
        </is>
      </c>
      <c r="M3702" s="53" t="inlineStr"/>
      <c r="N3702" s="54" t="inlineStr"/>
      <c r="O3702" s="55" t="inlineStr"/>
      <c r="P3702" s="16" t="inlineStr">
        <is>
          <t>Требует обогащения</t>
        </is>
      </c>
      <c r="Q3702" s="16">
        <f>HYPERLINK("https://pb.nalog.ru/search.html?query=6506907845","ФНС: проверить")</f>
        <v/>
      </c>
      <c r="R3702" s="16">
        <f>HYPERLINK("https://checko.ru/search?query=3801001629","Чекко: проверить")</f>
        <v/>
      </c>
      <c r="S3702" t="n">
        <v>1</v>
      </c>
      <c r="T3702" s="35" t="inlineStr">
        <is>
          <t>4 — Не обогащён</t>
        </is>
      </c>
      <c r="U3702" s="35" t="inlineStr">
        <is>
          <t>Нет ОКВЭД/ССЧР</t>
        </is>
      </c>
      <c r="V3702" s="35" t="inlineStr">
        <is>
          <t>Не определено</t>
        </is>
      </c>
      <c r="W3702" s="35" t="inlineStr"/>
      <c r="X3702" s="35" t="inlineStr"/>
    </row>
    <row r="3703" ht="15" customHeight="1" s="24">
      <c r="A3703" s="13" t="n">
        <v>5000098208</v>
      </c>
      <c r="B3703" s="13" t="inlineStr">
        <is>
          <t>КГБУЗ "ЧЕРНИГОВСКАЯ ЦРБ"</t>
        </is>
      </c>
      <c r="C3703" s="13" t="n">
        <v>2533001523</v>
      </c>
      <c r="D3703" s="13" t="inlineStr">
        <is>
          <t>2533001523</t>
        </is>
      </c>
      <c r="E3703" s="13" t="inlineStr">
        <is>
          <t>ЮЛ РФ</t>
        </is>
      </c>
      <c r="F3703" s="13" t="n"/>
      <c r="G3703" s="14" t="n"/>
      <c r="H3703" s="14" t="n"/>
      <c r="I3703" s="14" t="n"/>
      <c r="J3703" s="14" t="n"/>
      <c r="K3703" s="53" t="inlineStr"/>
      <c r="L3703" s="53" t="inlineStr">
        <is>
          <t>Не определено</t>
        </is>
      </c>
      <c r="M3703" s="53" t="inlineStr"/>
      <c r="N3703" s="54" t="inlineStr"/>
      <c r="O3703" s="55" t="inlineStr"/>
      <c r="P3703" s="16" t="inlineStr">
        <is>
          <t>Требует обогащения</t>
        </is>
      </c>
      <c r="Q3703" s="16">
        <f>HYPERLINK("https://pb.nalog.ru/search.html?query=2533001523","ФНС: проверить")</f>
        <v/>
      </c>
      <c r="R3703" s="16">
        <f>HYPERLINK("https://checko.ru/search?query=3801001629","Чекко: проверить")</f>
        <v/>
      </c>
      <c r="S3703" t="n">
        <v>1</v>
      </c>
      <c r="T3703" s="35" t="inlineStr">
        <is>
          <t>4 — Не обогащён</t>
        </is>
      </c>
      <c r="U3703" s="35" t="inlineStr">
        <is>
          <t>Нет ОКВЭД/ССЧР</t>
        </is>
      </c>
      <c r="V3703" s="35" t="inlineStr">
        <is>
          <t>Не определено</t>
        </is>
      </c>
      <c r="W3703" s="35" t="inlineStr"/>
      <c r="X3703" s="35" t="inlineStr"/>
    </row>
    <row r="3704" ht="15" customHeight="1" s="24">
      <c r="A3704" s="13" t="n">
        <v>5000098327</v>
      </c>
      <c r="B3704" s="13" t="inlineStr">
        <is>
          <t>КГБУЗ «Партизанская городская больница №1»</t>
        </is>
      </c>
      <c r="C3704" s="13" t="n">
        <v>2509000582</v>
      </c>
      <c r="D3704" s="13" t="inlineStr">
        <is>
          <t>2509000582</t>
        </is>
      </c>
      <c r="E3704" s="13" t="inlineStr">
        <is>
          <t>ЮЛ РФ</t>
        </is>
      </c>
      <c r="F3704" s="13" t="n"/>
      <c r="G3704" s="14" t="n"/>
      <c r="H3704" s="14" t="n"/>
      <c r="I3704" s="14" t="n"/>
      <c r="J3704" s="14" t="n"/>
      <c r="K3704" s="53" t="inlineStr"/>
      <c r="L3704" s="53" t="inlineStr">
        <is>
          <t>Не определено</t>
        </is>
      </c>
      <c r="M3704" s="53" t="inlineStr"/>
      <c r="N3704" s="54" t="inlineStr"/>
      <c r="O3704" s="55" t="inlineStr"/>
      <c r="P3704" s="16" t="inlineStr">
        <is>
          <t>Требует обогащения</t>
        </is>
      </c>
      <c r="Q3704" s="16">
        <f>HYPERLINK("https://pb.nalog.ru/search.html?query=2509000582","ФНС: проверить")</f>
        <v/>
      </c>
      <c r="R3704" s="16">
        <f>HYPERLINK("https://checko.ru/search?query=3801001629","Чекко: проверить")</f>
        <v/>
      </c>
      <c r="S3704" t="n">
        <v>1</v>
      </c>
      <c r="T3704" s="35" t="inlineStr">
        <is>
          <t>4 — Не обогащён</t>
        </is>
      </c>
      <c r="U3704" s="35" t="inlineStr">
        <is>
          <t>Нет ОКВЭД/ССЧР</t>
        </is>
      </c>
      <c r="V3704" s="35" t="inlineStr">
        <is>
          <t>Не определено</t>
        </is>
      </c>
      <c r="W3704" s="35" t="inlineStr"/>
      <c r="X3704" s="35" t="inlineStr"/>
    </row>
    <row r="3705" ht="27.75" customHeight="1" s="24">
      <c r="A3705" s="13" t="n">
        <v>5000098258</v>
      </c>
      <c r="B3705" s="13" t="inlineStr">
        <is>
          <t>Дальневосточный государственный гуманитарно-технический колледж</t>
        </is>
      </c>
      <c r="C3705" s="13" t="n">
        <v>2538023425</v>
      </c>
      <c r="D3705" s="13" t="inlineStr">
        <is>
          <t>2538023425</t>
        </is>
      </c>
      <c r="E3705" s="13" t="inlineStr">
        <is>
          <t>ЮЛ РФ</t>
        </is>
      </c>
      <c r="F3705" s="13" t="n"/>
      <c r="G3705" s="14" t="n"/>
      <c r="H3705" s="14" t="n"/>
      <c r="I3705" s="14" t="n"/>
      <c r="J3705" s="14" t="n"/>
      <c r="K3705" s="53" t="inlineStr"/>
      <c r="L3705" s="53" t="inlineStr">
        <is>
          <t>Не определено</t>
        </is>
      </c>
      <c r="M3705" s="53" t="inlineStr"/>
      <c r="N3705" s="54" t="inlineStr"/>
      <c r="O3705" s="55" t="inlineStr"/>
      <c r="P3705" s="16" t="inlineStr">
        <is>
          <t>Требует обогащения</t>
        </is>
      </c>
      <c r="Q3705" s="16">
        <f>HYPERLINK("https://pb.nalog.ru/search.html?query=2538023425","ФНС: проверить")</f>
        <v/>
      </c>
      <c r="R3705" s="16">
        <f>HYPERLINK("https://checko.ru/search?query=3801001629","Чекко: проверить")</f>
        <v/>
      </c>
      <c r="S3705" t="n">
        <v>1</v>
      </c>
      <c r="T3705" s="35" t="inlineStr">
        <is>
          <t>4 — Не обогащён</t>
        </is>
      </c>
      <c r="U3705" s="35" t="inlineStr">
        <is>
          <t>Нет ОКВЭД/ССЧР</t>
        </is>
      </c>
      <c r="V3705" s="35" t="inlineStr">
        <is>
          <t>Не определено</t>
        </is>
      </c>
      <c r="W3705" s="35" t="inlineStr"/>
      <c r="X3705" s="35" t="inlineStr"/>
    </row>
    <row r="3706" ht="41.25" customHeight="1" s="24">
      <c r="A3706" s="13" t="n">
        <v>5000101079</v>
      </c>
      <c r="B3706" s="13" t="inlineStr">
        <is>
          <t>Муниципальное бюджетное Дошкольное Образовательное учреждение "Детский Сад "Гномик"</t>
        </is>
      </c>
      <c r="C3706" s="13" t="n">
        <v>3836002373</v>
      </c>
      <c r="D3706" s="13" t="inlineStr">
        <is>
          <t>3836002373</t>
        </is>
      </c>
      <c r="E3706" s="13" t="inlineStr">
        <is>
          <t>ЮЛ РФ</t>
        </is>
      </c>
      <c r="F3706" s="13" t="n"/>
      <c r="G3706" s="14" t="n"/>
      <c r="H3706" s="14" t="n"/>
      <c r="I3706" s="14" t="n"/>
      <c r="J3706" s="14" t="n"/>
      <c r="K3706" s="53" t="inlineStr"/>
      <c r="L3706" s="53" t="inlineStr">
        <is>
          <t>Не определено</t>
        </is>
      </c>
      <c r="M3706" s="53" t="inlineStr"/>
      <c r="N3706" s="54" t="inlineStr"/>
      <c r="O3706" s="55" t="inlineStr"/>
      <c r="P3706" s="16" t="inlineStr">
        <is>
          <t>Требует обогащения</t>
        </is>
      </c>
      <c r="Q3706" s="16">
        <f>HYPERLINK("https://pb.nalog.ru/search.html?query=3836002373","ФНС: проверить")</f>
        <v/>
      </c>
      <c r="R3706" s="16">
        <f>HYPERLINK("https://checko.ru/search?query=3801001629","Чекко: проверить")</f>
        <v/>
      </c>
      <c r="S3706" t="n">
        <v>1</v>
      </c>
      <c r="T3706" s="35" t="inlineStr">
        <is>
          <t>4 — Не обогащён</t>
        </is>
      </c>
      <c r="U3706" s="35" t="inlineStr">
        <is>
          <t>Нет ОКВЭД/ССЧР</t>
        </is>
      </c>
      <c r="V3706" s="35" t="inlineStr">
        <is>
          <t>Не определено</t>
        </is>
      </c>
      <c r="W3706" s="35" t="inlineStr"/>
      <c r="X3706" s="35" t="inlineStr"/>
    </row>
    <row r="3707" ht="27.75" customHeight="1" s="24">
      <c r="A3707" s="13" t="n">
        <v>5000098186</v>
      </c>
      <c r="B3707" s="13" t="inlineStr">
        <is>
          <t>КГБУЗ "Михайловская центральная районная больница"</t>
        </is>
      </c>
      <c r="C3707" s="13" t="n">
        <v>2520001815</v>
      </c>
      <c r="D3707" s="13" t="inlineStr">
        <is>
          <t>2520001815</t>
        </is>
      </c>
      <c r="E3707" s="13" t="inlineStr">
        <is>
          <t>ЮЛ РФ</t>
        </is>
      </c>
      <c r="F3707" s="13" t="n"/>
      <c r="G3707" s="14" t="n"/>
      <c r="H3707" s="14" t="n"/>
      <c r="I3707" s="14" t="n"/>
      <c r="J3707" s="14" t="n"/>
      <c r="K3707" s="53" t="inlineStr"/>
      <c r="L3707" s="53" t="inlineStr">
        <is>
          <t>Не определено</t>
        </is>
      </c>
      <c r="M3707" s="53" t="inlineStr"/>
      <c r="N3707" s="54" t="inlineStr"/>
      <c r="O3707" s="55" t="inlineStr"/>
      <c r="P3707" s="16" t="inlineStr">
        <is>
          <t>Требует обогащения</t>
        </is>
      </c>
      <c r="Q3707" s="16">
        <f>HYPERLINK("https://pb.nalog.ru/search.html?query=2520001815","ФНС: проверить")</f>
        <v/>
      </c>
      <c r="R3707" s="16">
        <f>HYPERLINK("https://checko.ru/search?query=3801001629","Чекко: проверить")</f>
        <v/>
      </c>
      <c r="S3707" t="n">
        <v>1</v>
      </c>
      <c r="T3707" s="35" t="inlineStr">
        <is>
          <t>4 — Не обогащён</t>
        </is>
      </c>
      <c r="U3707" s="35" t="inlineStr">
        <is>
          <t>Нет ОКВЭД/ССЧР</t>
        </is>
      </c>
      <c r="V3707" s="35" t="inlineStr">
        <is>
          <t>Не определено</t>
        </is>
      </c>
      <c r="W3707" s="35" t="inlineStr"/>
      <c r="X3707" s="35" t="inlineStr"/>
    </row>
    <row r="3708" ht="15" customHeight="1" s="24">
      <c r="A3708" s="13" t="n">
        <v>5000036393</v>
      </c>
      <c r="B3708" s="13" t="inlineStr">
        <is>
          <t>МБОО ДО ДДИЮ пгт. Тымовское</t>
        </is>
      </c>
      <c r="C3708" s="13" t="n">
        <v>6517001562</v>
      </c>
      <c r="D3708" s="13" t="inlineStr">
        <is>
          <t>6517001562</t>
        </is>
      </c>
      <c r="E3708" s="13" t="inlineStr">
        <is>
          <t>ЮЛ РФ</t>
        </is>
      </c>
      <c r="F3708" s="13" t="n"/>
      <c r="G3708" s="14" t="n"/>
      <c r="H3708" s="14" t="n"/>
      <c r="I3708" s="14" t="n"/>
      <c r="J3708" s="14" t="n"/>
      <c r="K3708" s="53" t="inlineStr"/>
      <c r="L3708" s="53" t="inlineStr">
        <is>
          <t>Не определено</t>
        </is>
      </c>
      <c r="M3708" s="53" t="inlineStr"/>
      <c r="N3708" s="54" t="inlineStr"/>
      <c r="O3708" s="55" t="inlineStr"/>
      <c r="P3708" s="16" t="inlineStr">
        <is>
          <t>Требует обогащения</t>
        </is>
      </c>
      <c r="Q3708" s="16">
        <f>HYPERLINK("https://pb.nalog.ru/search.html?query=6517001562","ФНС: проверить")</f>
        <v/>
      </c>
      <c r="R3708" s="16">
        <f>HYPERLINK("https://checko.ru/search?query=3801001629","Чекко: проверить")</f>
        <v/>
      </c>
      <c r="S3708" t="n">
        <v>1</v>
      </c>
      <c r="T3708" s="35" t="inlineStr">
        <is>
          <t>4 — Не обогащён</t>
        </is>
      </c>
      <c r="U3708" s="35" t="inlineStr">
        <is>
          <t>Нет ОКВЭД/ССЧР</t>
        </is>
      </c>
      <c r="V3708" s="35" t="inlineStr">
        <is>
          <t>Не определено</t>
        </is>
      </c>
      <c r="W3708" s="35" t="inlineStr"/>
      <c r="X3708" s="35" t="inlineStr"/>
    </row>
    <row r="3709" ht="15" customHeight="1" s="24">
      <c r="A3709" s="13" t="n">
        <v>5000098177</v>
      </c>
      <c r="B3709" s="13" t="inlineStr">
        <is>
          <t>Кавалеровский многопрофильный колледж</t>
        </is>
      </c>
      <c r="C3709" s="13" t="n">
        <v>2515002348</v>
      </c>
      <c r="D3709" s="13" t="inlineStr">
        <is>
          <t>2515002348</t>
        </is>
      </c>
      <c r="E3709" s="13" t="inlineStr">
        <is>
          <t>ЮЛ РФ</t>
        </is>
      </c>
      <c r="F3709" s="13" t="n"/>
      <c r="G3709" s="14" t="n"/>
      <c r="H3709" s="14" t="n"/>
      <c r="I3709" s="14" t="n"/>
      <c r="J3709" s="14" t="n"/>
      <c r="K3709" s="53" t="inlineStr"/>
      <c r="L3709" s="53" t="inlineStr">
        <is>
          <t>Не определено</t>
        </is>
      </c>
      <c r="M3709" s="53" t="inlineStr"/>
      <c r="N3709" s="54" t="inlineStr"/>
      <c r="O3709" s="55" t="inlineStr"/>
      <c r="P3709" s="16" t="inlineStr">
        <is>
          <t>Требует обогащения</t>
        </is>
      </c>
      <c r="Q3709" s="16">
        <f>HYPERLINK("https://pb.nalog.ru/search.html?query=2515002348","ФНС: проверить")</f>
        <v/>
      </c>
      <c r="R3709" s="16">
        <f>HYPERLINK("https://checko.ru/search?query=3801001629","Чекко: проверить")</f>
        <v/>
      </c>
      <c r="S3709" t="n">
        <v>1</v>
      </c>
      <c r="T3709" s="35" t="inlineStr">
        <is>
          <t>4 — Не обогащён</t>
        </is>
      </c>
      <c r="U3709" s="35" t="inlineStr">
        <is>
          <t>Нет ОКВЭД/ССЧР</t>
        </is>
      </c>
      <c r="V3709" s="35" t="inlineStr">
        <is>
          <t>Не определено</t>
        </is>
      </c>
      <c r="W3709" s="35" t="inlineStr"/>
      <c r="X3709" s="35" t="inlineStr"/>
    </row>
    <row r="3710" ht="27.75" customHeight="1" s="24">
      <c r="A3710" s="13" t="n">
        <v>5000036373</v>
      </c>
      <c r="B3710" s="13" t="inlineStr">
        <is>
          <t>МБОУ «Средняя общеобразовательная школа с. Ясное"</t>
        </is>
      </c>
      <c r="C3710" s="13" t="n">
        <v>6517005091</v>
      </c>
      <c r="D3710" s="13" t="inlineStr">
        <is>
          <t>6517005091</t>
        </is>
      </c>
      <c r="E3710" s="13" t="inlineStr">
        <is>
          <t>ЮЛ РФ</t>
        </is>
      </c>
      <c r="F3710" s="13" t="n"/>
      <c r="G3710" s="14" t="n"/>
      <c r="H3710" s="14" t="n"/>
      <c r="I3710" s="14" t="n"/>
      <c r="J3710" s="14" t="n"/>
      <c r="K3710" s="53" t="inlineStr"/>
      <c r="L3710" s="53" t="inlineStr">
        <is>
          <t>Не определено</t>
        </is>
      </c>
      <c r="M3710" s="53" t="inlineStr"/>
      <c r="N3710" s="54" t="inlineStr"/>
      <c r="O3710" s="55" t="inlineStr"/>
      <c r="P3710" s="16" t="inlineStr">
        <is>
          <t>Требует обогащения</t>
        </is>
      </c>
      <c r="Q3710" s="16">
        <f>HYPERLINK("https://pb.nalog.ru/search.html?query=6517005091","ФНС: проверить")</f>
        <v/>
      </c>
      <c r="R3710" s="16">
        <f>HYPERLINK("https://checko.ru/search?query=3801001629","Чекко: проверить")</f>
        <v/>
      </c>
      <c r="S3710" t="n">
        <v>1</v>
      </c>
      <c r="T3710" s="35" t="inlineStr">
        <is>
          <t>4 — Не обогащён</t>
        </is>
      </c>
      <c r="U3710" s="35" t="inlineStr">
        <is>
          <t>Нет ОКВЭД/ССЧР</t>
        </is>
      </c>
      <c r="V3710" s="35" t="inlineStr">
        <is>
          <t>Не определено</t>
        </is>
      </c>
      <c r="W3710" s="35" t="inlineStr"/>
      <c r="X3710" s="35" t="inlineStr"/>
    </row>
    <row r="3711" ht="27.75" customHeight="1" s="24">
      <c r="A3711" s="13" t="n">
        <v>5000036374</v>
      </c>
      <c r="B3711" s="13" t="inlineStr">
        <is>
          <t>МБОУ «Средняя общеобразовательная школа с. Адо-Тымово</t>
        </is>
      </c>
      <c r="C3711" s="13" t="n">
        <v>6517006218</v>
      </c>
      <c r="D3711" s="13" t="inlineStr">
        <is>
          <t>6517006218</t>
        </is>
      </c>
      <c r="E3711" s="13" t="inlineStr">
        <is>
          <t>ЮЛ РФ</t>
        </is>
      </c>
      <c r="F3711" s="13" t="n"/>
      <c r="G3711" s="14" t="n"/>
      <c r="H3711" s="14" t="n"/>
      <c r="I3711" s="14" t="n"/>
      <c r="J3711" s="14" t="n"/>
      <c r="K3711" s="53" t="inlineStr"/>
      <c r="L3711" s="53" t="inlineStr">
        <is>
          <t>Не определено</t>
        </is>
      </c>
      <c r="M3711" s="53" t="inlineStr"/>
      <c r="N3711" s="54" t="inlineStr"/>
      <c r="O3711" s="55" t="inlineStr"/>
      <c r="P3711" s="16" t="inlineStr">
        <is>
          <t>Требует обогащения</t>
        </is>
      </c>
      <c r="Q3711" s="16">
        <f>HYPERLINK("https://pb.nalog.ru/search.html?query=6517006218","ФНС: проверить")</f>
        <v/>
      </c>
      <c r="R3711" s="16">
        <f>HYPERLINK("https://checko.ru/search?query=3801001629","Чекко: проверить")</f>
        <v/>
      </c>
      <c r="S3711" t="n">
        <v>1</v>
      </c>
      <c r="T3711" s="35" t="inlineStr">
        <is>
          <t>4 — Не обогащён</t>
        </is>
      </c>
      <c r="U3711" s="35" t="inlineStr">
        <is>
          <t>Нет ОКВЭД/ССЧР</t>
        </is>
      </c>
      <c r="V3711" s="35" t="inlineStr">
        <is>
          <t>Не определено</t>
        </is>
      </c>
      <c r="W3711" s="35" t="inlineStr"/>
      <c r="X3711" s="35" t="inlineStr"/>
    </row>
    <row r="3712" ht="27.75" customHeight="1" s="24">
      <c r="A3712" s="13" t="n">
        <v>5000036375</v>
      </c>
      <c r="B3712" s="13" t="inlineStr">
        <is>
          <t>МБОУ «Средняя общеобразовательная школа с. Арги-Паги</t>
        </is>
      </c>
      <c r="C3712" s="13" t="n">
        <v>6517006183</v>
      </c>
      <c r="D3712" s="13" t="inlineStr">
        <is>
          <t>6517006183</t>
        </is>
      </c>
      <c r="E3712" s="13" t="inlineStr">
        <is>
          <t>ЮЛ РФ</t>
        </is>
      </c>
      <c r="F3712" s="13" t="n"/>
      <c r="G3712" s="14" t="n"/>
      <c r="H3712" s="14" t="n"/>
      <c r="I3712" s="14" t="n"/>
      <c r="J3712" s="14" t="n"/>
      <c r="K3712" s="53" t="inlineStr"/>
      <c r="L3712" s="53" t="inlineStr">
        <is>
          <t>Не определено</t>
        </is>
      </c>
      <c r="M3712" s="53" t="inlineStr"/>
      <c r="N3712" s="54" t="inlineStr"/>
      <c r="O3712" s="55" t="inlineStr"/>
      <c r="P3712" s="16" t="inlineStr">
        <is>
          <t>Требует обогащения</t>
        </is>
      </c>
      <c r="Q3712" s="16">
        <f>HYPERLINK("https://pb.nalog.ru/search.html?query=6517006183","ФНС: проверить")</f>
        <v/>
      </c>
      <c r="R3712" s="16">
        <f>HYPERLINK("https://checko.ru/search?query=3801001629","Чекко: проверить")</f>
        <v/>
      </c>
      <c r="S3712" t="n">
        <v>1</v>
      </c>
      <c r="T3712" s="35" t="inlineStr">
        <is>
          <t>4 — Не обогащён</t>
        </is>
      </c>
      <c r="U3712" s="35" t="inlineStr">
        <is>
          <t>Нет ОКВЭД/ССЧР</t>
        </is>
      </c>
      <c r="V3712" s="35" t="inlineStr">
        <is>
          <t>Не определено</t>
        </is>
      </c>
      <c r="W3712" s="35" t="inlineStr"/>
      <c r="X3712" s="35" t="inlineStr"/>
    </row>
    <row r="3713" ht="27.75" customHeight="1" s="24">
      <c r="A3713" s="13" t="n">
        <v>5000036376</v>
      </c>
      <c r="B3713" s="13" t="inlineStr">
        <is>
          <t>МБОУ «Средняя общеобразовательная школа с. Воскресеновка</t>
        </is>
      </c>
      <c r="C3713" s="13" t="n">
        <v>6517006000</v>
      </c>
      <c r="D3713" s="13" t="inlineStr">
        <is>
          <t>6517006000</t>
        </is>
      </c>
      <c r="E3713" s="13" t="inlineStr">
        <is>
          <t>ЮЛ РФ</t>
        </is>
      </c>
      <c r="F3713" s="13" t="n"/>
      <c r="G3713" s="14" t="n"/>
      <c r="H3713" s="14" t="n"/>
      <c r="I3713" s="14" t="n"/>
      <c r="J3713" s="14" t="n"/>
      <c r="K3713" s="53" t="inlineStr"/>
      <c r="L3713" s="53" t="inlineStr">
        <is>
          <t>Не определено</t>
        </is>
      </c>
      <c r="M3713" s="53" t="inlineStr"/>
      <c r="N3713" s="54" t="inlineStr"/>
      <c r="O3713" s="55" t="inlineStr"/>
      <c r="P3713" s="16" t="inlineStr">
        <is>
          <t>Требует обогащения</t>
        </is>
      </c>
      <c r="Q3713" s="16">
        <f>HYPERLINK("https://pb.nalog.ru/search.html?query=6517006000","ФНС: проверить")</f>
        <v/>
      </c>
      <c r="R3713" s="16">
        <f>HYPERLINK("https://checko.ru/search?query=3801001629","Чекко: проверить")</f>
        <v/>
      </c>
      <c r="S3713" t="n">
        <v>1</v>
      </c>
      <c r="T3713" s="35" t="inlineStr">
        <is>
          <t>4 — Не обогащён</t>
        </is>
      </c>
      <c r="U3713" s="35" t="inlineStr">
        <is>
          <t>Нет ОКВЭД/ССЧР</t>
        </is>
      </c>
      <c r="V3713" s="35" t="inlineStr">
        <is>
          <t>Не определено</t>
        </is>
      </c>
      <c r="W3713" s="35" t="inlineStr"/>
      <c r="X3713" s="35" t="inlineStr"/>
    </row>
    <row r="3714" ht="27.75" customHeight="1" s="24">
      <c r="A3714" s="13" t="n">
        <v>5000036377</v>
      </c>
      <c r="B3714" s="13" t="inlineStr">
        <is>
          <t>МБОУ «Средняя общеобразовательная школа с. Кировское</t>
        </is>
      </c>
      <c r="C3714" s="13" t="n">
        <v>6517006232</v>
      </c>
      <c r="D3714" s="13" t="inlineStr">
        <is>
          <t>6517006232</t>
        </is>
      </c>
      <c r="E3714" s="13" t="inlineStr">
        <is>
          <t>ЮЛ РФ</t>
        </is>
      </c>
      <c r="F3714" s="13" t="n"/>
      <c r="G3714" s="14" t="n"/>
      <c r="H3714" s="14" t="n"/>
      <c r="I3714" s="14" t="n"/>
      <c r="J3714" s="14" t="n"/>
      <c r="K3714" s="53" t="inlineStr"/>
      <c r="L3714" s="53" t="inlineStr">
        <is>
          <t>Не определено</t>
        </is>
      </c>
      <c r="M3714" s="53" t="inlineStr"/>
      <c r="N3714" s="54" t="inlineStr"/>
      <c r="O3714" s="55" t="inlineStr"/>
      <c r="P3714" s="16" t="inlineStr">
        <is>
          <t>Требует обогащения</t>
        </is>
      </c>
      <c r="Q3714" s="16">
        <f>HYPERLINK("https://pb.nalog.ru/search.html?query=6517006232","ФНС: проверить")</f>
        <v/>
      </c>
      <c r="R3714" s="16">
        <f>HYPERLINK("https://checko.ru/search?query=3801001629","Чекко: проверить")</f>
        <v/>
      </c>
      <c r="S3714" t="n">
        <v>1</v>
      </c>
      <c r="T3714" s="35" t="inlineStr">
        <is>
          <t>4 — Не обогащён</t>
        </is>
      </c>
      <c r="U3714" s="35" t="inlineStr">
        <is>
          <t>Нет ОКВЭД/ССЧР</t>
        </is>
      </c>
      <c r="V3714" s="35" t="inlineStr">
        <is>
          <t>Не определено</t>
        </is>
      </c>
      <c r="W3714" s="35" t="inlineStr"/>
      <c r="X3714" s="35" t="inlineStr"/>
    </row>
    <row r="3715" ht="27.75" customHeight="1" s="24">
      <c r="A3715" s="13" t="n">
        <v>5000036378</v>
      </c>
      <c r="B3715" s="13" t="inlineStr">
        <is>
          <t>МБОУ ««Средняя общеобразовательная школа с. Молодежное</t>
        </is>
      </c>
      <c r="C3715" s="13" t="n">
        <v>6517006137</v>
      </c>
      <c r="D3715" s="13" t="inlineStr">
        <is>
          <t>6517006137</t>
        </is>
      </c>
      <c r="E3715" s="13" t="inlineStr">
        <is>
          <t>ЮЛ РФ</t>
        </is>
      </c>
      <c r="F3715" s="13" t="n"/>
      <c r="G3715" s="14" t="n"/>
      <c r="H3715" s="14" t="n"/>
      <c r="I3715" s="14" t="n"/>
      <c r="J3715" s="14" t="n"/>
      <c r="K3715" s="53" t="inlineStr"/>
      <c r="L3715" s="53" t="inlineStr">
        <is>
          <t>Не определено</t>
        </is>
      </c>
      <c r="M3715" s="53" t="inlineStr"/>
      <c r="N3715" s="54" t="inlineStr"/>
      <c r="O3715" s="55" t="inlineStr"/>
      <c r="P3715" s="16" t="inlineStr">
        <is>
          <t>Требует обогащения</t>
        </is>
      </c>
      <c r="Q3715" s="16">
        <f>HYPERLINK("https://pb.nalog.ru/search.html?query=6517006137","ФНС: проверить")</f>
        <v/>
      </c>
      <c r="R3715" s="16">
        <f>HYPERLINK("https://checko.ru/search?query=3801001629","Чекко: проверить")</f>
        <v/>
      </c>
      <c r="S3715" t="n">
        <v>1</v>
      </c>
      <c r="T3715" s="35" t="inlineStr">
        <is>
          <t>4 — Не обогащён</t>
        </is>
      </c>
      <c r="U3715" s="35" t="inlineStr">
        <is>
          <t>Нет ОКВЭД/ССЧР</t>
        </is>
      </c>
      <c r="V3715" s="35" t="inlineStr">
        <is>
          <t>Не определено</t>
        </is>
      </c>
      <c r="W3715" s="35" t="inlineStr"/>
      <c r="X3715" s="35" t="inlineStr"/>
    </row>
    <row r="3716" ht="41.25" customHeight="1" s="24">
      <c r="A3716" s="13" t="n">
        <v>5000036379</v>
      </c>
      <c r="B3716" s="13" t="inlineStr">
        <is>
          <t>МБОУ для детей дошкольного и младшего школьного возраста «Начальная школа-детский сад с. Красная Тымь</t>
        </is>
      </c>
      <c r="C3716" s="13" t="n">
        <v>6517006144</v>
      </c>
      <c r="D3716" s="13" t="inlineStr">
        <is>
          <t>6517006144</t>
        </is>
      </c>
      <c r="E3716" s="13" t="inlineStr">
        <is>
          <t>ЮЛ РФ</t>
        </is>
      </c>
      <c r="F3716" s="13" t="n"/>
      <c r="G3716" s="14" t="n"/>
      <c r="H3716" s="14" t="n"/>
      <c r="I3716" s="14" t="n"/>
      <c r="J3716" s="14" t="n"/>
      <c r="K3716" s="53" t="inlineStr"/>
      <c r="L3716" s="53" t="inlineStr">
        <is>
          <t>Не определено</t>
        </is>
      </c>
      <c r="M3716" s="53" t="inlineStr"/>
      <c r="N3716" s="54" t="inlineStr"/>
      <c r="O3716" s="55" t="inlineStr"/>
      <c r="P3716" s="16" t="inlineStr">
        <is>
          <t>Требует обогащения</t>
        </is>
      </c>
      <c r="Q3716" s="16">
        <f>HYPERLINK("https://pb.nalog.ru/search.html?query=6517006144","ФНС: проверить")</f>
        <v/>
      </c>
      <c r="R3716" s="16">
        <f>HYPERLINK("https://checko.ru/search?query=3801001629","Чекко: проверить")</f>
        <v/>
      </c>
      <c r="S3716" t="n">
        <v>1</v>
      </c>
      <c r="T3716" s="35" t="inlineStr">
        <is>
          <t>4 — Не обогащён</t>
        </is>
      </c>
      <c r="U3716" s="35" t="inlineStr">
        <is>
          <t>Нет ОКВЭД/ССЧР</t>
        </is>
      </c>
      <c r="V3716" s="35" t="inlineStr">
        <is>
          <t>Не определено</t>
        </is>
      </c>
      <c r="W3716" s="35" t="inlineStr"/>
      <c r="X3716" s="35" t="inlineStr"/>
    </row>
    <row r="3717" ht="41.25" customHeight="1" s="24">
      <c r="A3717" s="13" t="n">
        <v>5000036380</v>
      </c>
      <c r="B3717" s="13" t="inlineStr">
        <is>
          <t>МБОУ для детей дошкольного и младшего школьного возраста «Начальная школа-детский сад с. Чир-Унвд</t>
        </is>
      </c>
      <c r="C3717" s="13" t="n">
        <v>6517006296</v>
      </c>
      <c r="D3717" s="13" t="inlineStr">
        <is>
          <t>6517006296</t>
        </is>
      </c>
      <c r="E3717" s="13" t="inlineStr">
        <is>
          <t>ЮЛ РФ</t>
        </is>
      </c>
      <c r="F3717" s="13" t="n"/>
      <c r="G3717" s="14" t="n"/>
      <c r="H3717" s="14" t="n"/>
      <c r="I3717" s="14" t="n"/>
      <c r="J3717" s="14" t="n"/>
      <c r="K3717" s="53" t="inlineStr"/>
      <c r="L3717" s="53" t="inlineStr">
        <is>
          <t>Не определено</t>
        </is>
      </c>
      <c r="M3717" s="53" t="inlineStr"/>
      <c r="N3717" s="54" t="inlineStr"/>
      <c r="O3717" s="55" t="inlineStr"/>
      <c r="P3717" s="16" t="inlineStr">
        <is>
          <t>Требует обогащения</t>
        </is>
      </c>
      <c r="Q3717" s="16">
        <f>HYPERLINK("https://pb.nalog.ru/search.html?query=6517006296","ФНС: проверить")</f>
        <v/>
      </c>
      <c r="R3717" s="16">
        <f>HYPERLINK("https://checko.ru/search?query=3801001629","Чекко: проверить")</f>
        <v/>
      </c>
      <c r="S3717" t="n">
        <v>1</v>
      </c>
      <c r="T3717" s="35" t="inlineStr">
        <is>
          <t>4 — Не обогащён</t>
        </is>
      </c>
      <c r="U3717" s="35" t="inlineStr">
        <is>
          <t>Нет ОКВЭД/ССЧР</t>
        </is>
      </c>
      <c r="V3717" s="35" t="inlineStr">
        <is>
          <t>Не определено</t>
        </is>
      </c>
      <c r="W3717" s="35" t="inlineStr"/>
      <c r="X3717" s="35" t="inlineStr"/>
    </row>
    <row r="3718" ht="27.75" customHeight="1" s="24">
      <c r="A3718" s="13" t="n">
        <v>5000036381</v>
      </c>
      <c r="B3718" s="13" t="inlineStr">
        <is>
          <t>МБОУ «Средняя общеобразовательная школа № 1 пгт. Тымовское</t>
        </is>
      </c>
      <c r="C3718" s="13" t="n">
        <v>6517005140</v>
      </c>
      <c r="D3718" s="13" t="inlineStr">
        <is>
          <t>6517005140</t>
        </is>
      </c>
      <c r="E3718" s="13" t="inlineStr">
        <is>
          <t>ЮЛ РФ</t>
        </is>
      </c>
      <c r="F3718" s="13" t="n"/>
      <c r="G3718" s="14" t="n"/>
      <c r="H3718" s="14" t="n"/>
      <c r="I3718" s="14" t="n"/>
      <c r="J3718" s="14" t="n"/>
      <c r="K3718" s="53" t="inlineStr"/>
      <c r="L3718" s="53" t="inlineStr">
        <is>
          <t>Не определено</t>
        </is>
      </c>
      <c r="M3718" s="53" t="inlineStr"/>
      <c r="N3718" s="54" t="inlineStr"/>
      <c r="O3718" s="55" t="inlineStr"/>
      <c r="P3718" s="16" t="inlineStr">
        <is>
          <t>Требует обогащения</t>
        </is>
      </c>
      <c r="Q3718" s="16">
        <f>HYPERLINK("https://pb.nalog.ru/search.html?query=6517005140","ФНС: проверить")</f>
        <v/>
      </c>
      <c r="R3718" s="16">
        <f>HYPERLINK("https://checko.ru/search?query=3801001629","Чекко: проверить")</f>
        <v/>
      </c>
      <c r="S3718" t="n">
        <v>1</v>
      </c>
      <c r="T3718" s="35" t="inlineStr">
        <is>
          <t>4 — Не обогащён</t>
        </is>
      </c>
      <c r="U3718" s="35" t="inlineStr">
        <is>
          <t>Нет ОКВЭД/ССЧР</t>
        </is>
      </c>
      <c r="V3718" s="35" t="inlineStr">
        <is>
          <t>Не определено</t>
        </is>
      </c>
      <c r="W3718" s="35" t="inlineStr"/>
      <c r="X3718" s="35" t="inlineStr"/>
    </row>
    <row r="3719" ht="27.75" customHeight="1" s="24">
      <c r="A3719" s="13" t="n">
        <v>5000036382</v>
      </c>
      <c r="B3719" s="13" t="inlineStr">
        <is>
          <t>МБОУ «Средняя общеобразовательная школа № 3 пгт. Тымовское</t>
        </is>
      </c>
      <c r="C3719" s="13" t="n">
        <v>6517005983</v>
      </c>
      <c r="D3719" s="13" t="inlineStr">
        <is>
          <t>6517005983</t>
        </is>
      </c>
      <c r="E3719" s="13" t="inlineStr">
        <is>
          <t>ЮЛ РФ</t>
        </is>
      </c>
      <c r="F3719" s="13" t="n"/>
      <c r="G3719" s="14" t="n"/>
      <c r="H3719" s="14" t="n"/>
      <c r="I3719" s="14" t="n"/>
      <c r="J3719" s="14" t="n"/>
      <c r="K3719" s="53" t="inlineStr"/>
      <c r="L3719" s="53" t="inlineStr">
        <is>
          <t>Не определено</t>
        </is>
      </c>
      <c r="M3719" s="53" t="inlineStr"/>
      <c r="N3719" s="54" t="inlineStr"/>
      <c r="O3719" s="55" t="inlineStr"/>
      <c r="P3719" s="16" t="inlineStr">
        <is>
          <t>Требует обогащения</t>
        </is>
      </c>
      <c r="Q3719" s="16">
        <f>HYPERLINK("https://pb.nalog.ru/search.html?query=6517005983","ФНС: проверить")</f>
        <v/>
      </c>
      <c r="R3719" s="16">
        <f>HYPERLINK("https://checko.ru/search?query=3801001629","Чекко: проверить")</f>
        <v/>
      </c>
      <c r="S3719" t="n">
        <v>1</v>
      </c>
      <c r="T3719" s="35" t="inlineStr">
        <is>
          <t>4 — Не обогащён</t>
        </is>
      </c>
      <c r="U3719" s="35" t="inlineStr">
        <is>
          <t>Нет ОКВЭД/ССЧР</t>
        </is>
      </c>
      <c r="V3719" s="35" t="inlineStr">
        <is>
          <t>Не определено</t>
        </is>
      </c>
      <c r="W3719" s="35" t="inlineStr"/>
      <c r="X3719" s="35" t="inlineStr"/>
    </row>
    <row r="3720" ht="15" customHeight="1" s="24">
      <c r="A3720" s="13" t="n">
        <v>5000036383</v>
      </c>
      <c r="B3720" s="13" t="inlineStr">
        <is>
          <t>МБДОУ № 3 пгт. Тымовское</t>
        </is>
      </c>
      <c r="C3720" s="13" t="n">
        <v>6517006176</v>
      </c>
      <c r="D3720" s="13" t="inlineStr">
        <is>
          <t>6517006176</t>
        </is>
      </c>
      <c r="E3720" s="13" t="inlineStr">
        <is>
          <t>ЮЛ РФ</t>
        </is>
      </c>
      <c r="F3720" s="13" t="n"/>
      <c r="G3720" s="14" t="n"/>
      <c r="H3720" s="14" t="n"/>
      <c r="I3720" s="14" t="n"/>
      <c r="J3720" s="14" t="n"/>
      <c r="K3720" s="53" t="inlineStr"/>
      <c r="L3720" s="53" t="inlineStr">
        <is>
          <t>Не определено</t>
        </is>
      </c>
      <c r="M3720" s="53" t="inlineStr"/>
      <c r="N3720" s="54" t="inlineStr"/>
      <c r="O3720" s="55" t="inlineStr"/>
      <c r="P3720" s="16" t="inlineStr">
        <is>
          <t>Требует обогащения</t>
        </is>
      </c>
      <c r="Q3720" s="16">
        <f>HYPERLINK("https://pb.nalog.ru/search.html?query=6517006176","ФНС: проверить")</f>
        <v/>
      </c>
      <c r="R3720" s="16">
        <f>HYPERLINK("https://checko.ru/search?query=3801001629","Чекко: проверить")</f>
        <v/>
      </c>
      <c r="S3720" t="n">
        <v>1</v>
      </c>
      <c r="T3720" s="35" t="inlineStr">
        <is>
          <t>4 — Не обогащён</t>
        </is>
      </c>
      <c r="U3720" s="35" t="inlineStr">
        <is>
          <t>Нет ОКВЭД/ССЧР</t>
        </is>
      </c>
      <c r="V3720" s="35" t="inlineStr">
        <is>
          <t>Не определено</t>
        </is>
      </c>
      <c r="W3720" s="35" t="inlineStr"/>
      <c r="X3720" s="35" t="inlineStr"/>
    </row>
    <row r="3721" ht="15" customHeight="1" s="24">
      <c r="A3721" s="13" t="n">
        <v>5000036384</v>
      </c>
      <c r="B3721" s="13" t="inlineStr">
        <is>
          <t>МБДОУ № 1 пгт. Тымовское</t>
        </is>
      </c>
      <c r="C3721" s="13" t="n">
        <v>6517008744</v>
      </c>
      <c r="D3721" s="13" t="inlineStr">
        <is>
          <t>6517008744</t>
        </is>
      </c>
      <c r="E3721" s="13" t="inlineStr">
        <is>
          <t>ЮЛ РФ</t>
        </is>
      </c>
      <c r="F3721" s="13" t="n"/>
      <c r="G3721" s="14" t="n"/>
      <c r="H3721" s="14" t="n"/>
      <c r="I3721" s="14" t="n"/>
      <c r="J3721" s="14" t="n"/>
      <c r="K3721" s="53" t="inlineStr"/>
      <c r="L3721" s="53" t="inlineStr">
        <is>
          <t>Не определено</t>
        </is>
      </c>
      <c r="M3721" s="53" t="inlineStr"/>
      <c r="N3721" s="54" t="inlineStr"/>
      <c r="O3721" s="55" t="inlineStr"/>
      <c r="P3721" s="16" t="inlineStr">
        <is>
          <t>Требует обогащения</t>
        </is>
      </c>
      <c r="Q3721" s="16">
        <f>HYPERLINK("https://pb.nalog.ru/search.html?query=6517008744","ФНС: проверить")</f>
        <v/>
      </c>
      <c r="R3721" s="16">
        <f>HYPERLINK("https://checko.ru/search?query=3801001629","Чекко: проверить")</f>
        <v/>
      </c>
      <c r="S3721" t="n">
        <v>1</v>
      </c>
      <c r="T3721" s="35" t="inlineStr">
        <is>
          <t>4 — Не обогащён</t>
        </is>
      </c>
      <c r="U3721" s="35" t="inlineStr">
        <is>
          <t>Нет ОКВЭД/ССЧР</t>
        </is>
      </c>
      <c r="V3721" s="35" t="inlineStr">
        <is>
          <t>Не определено</t>
        </is>
      </c>
      <c r="W3721" s="35" t="inlineStr"/>
      <c r="X3721" s="35" t="inlineStr"/>
    </row>
    <row r="3722" ht="15" customHeight="1" s="24">
      <c r="A3722" s="13" t="n">
        <v>5000036385</v>
      </c>
      <c r="B3722" s="13" t="inlineStr">
        <is>
          <t>МБДОУ № 5 пгт. Тымовское</t>
        </is>
      </c>
      <c r="C3722" s="13" t="n">
        <v>6517001361</v>
      </c>
      <c r="D3722" s="13" t="inlineStr">
        <is>
          <t>6517001361</t>
        </is>
      </c>
      <c r="E3722" s="13" t="inlineStr">
        <is>
          <t>ЮЛ РФ</t>
        </is>
      </c>
      <c r="F3722" s="13" t="n"/>
      <c r="G3722" s="14" t="n"/>
      <c r="H3722" s="14" t="n"/>
      <c r="I3722" s="14" t="n"/>
      <c r="J3722" s="14" t="n"/>
      <c r="K3722" s="53" t="inlineStr"/>
      <c r="L3722" s="53" t="inlineStr">
        <is>
          <t>Не определено</t>
        </is>
      </c>
      <c r="M3722" s="53" t="inlineStr"/>
      <c r="N3722" s="54" t="inlineStr"/>
      <c r="O3722" s="55" t="inlineStr"/>
      <c r="P3722" s="16" t="inlineStr">
        <is>
          <t>Требует обогащения</t>
        </is>
      </c>
      <c r="Q3722" s="16">
        <f>HYPERLINK("https://pb.nalog.ru/search.html?query=6517001361","ФНС: проверить")</f>
        <v/>
      </c>
      <c r="R3722" s="16">
        <f>HYPERLINK("https://checko.ru/search?query=3801001629","Чекко: проверить")</f>
        <v/>
      </c>
      <c r="S3722" t="n">
        <v>1</v>
      </c>
      <c r="T3722" s="35" t="inlineStr">
        <is>
          <t>4 — Не обогащён</t>
        </is>
      </c>
      <c r="U3722" s="35" t="inlineStr">
        <is>
          <t>Нет ОКВЭД/ССЧР</t>
        </is>
      </c>
      <c r="V3722" s="35" t="inlineStr">
        <is>
          <t>Не определено</t>
        </is>
      </c>
      <c r="W3722" s="35" t="inlineStr"/>
      <c r="X3722" s="35" t="inlineStr"/>
    </row>
    <row r="3723" ht="15" customHeight="1" s="24">
      <c r="A3723" s="13" t="n">
        <v>5000036386</v>
      </c>
      <c r="B3723" s="13" t="inlineStr">
        <is>
          <t>МБДОУ № 6 пгт. Тымовское</t>
        </is>
      </c>
      <c r="C3723" s="13" t="n">
        <v>6517006200</v>
      </c>
      <c r="D3723" s="13" t="inlineStr">
        <is>
          <t>6517006200</t>
        </is>
      </c>
      <c r="E3723" s="13" t="inlineStr">
        <is>
          <t>ЮЛ РФ</t>
        </is>
      </c>
      <c r="F3723" s="13" t="n"/>
      <c r="G3723" s="14" t="n"/>
      <c r="H3723" s="14" t="n"/>
      <c r="I3723" s="14" t="n"/>
      <c r="J3723" s="14" t="n"/>
      <c r="K3723" s="53" t="inlineStr"/>
      <c r="L3723" s="53" t="inlineStr">
        <is>
          <t>Не определено</t>
        </is>
      </c>
      <c r="M3723" s="53" t="inlineStr"/>
      <c r="N3723" s="54" t="inlineStr"/>
      <c r="O3723" s="55" t="inlineStr"/>
      <c r="P3723" s="16" t="inlineStr">
        <is>
          <t>Требует обогащения</t>
        </is>
      </c>
      <c r="Q3723" s="16">
        <f>HYPERLINK("https://pb.nalog.ru/search.html?query=6517006200","ФНС: проверить")</f>
        <v/>
      </c>
      <c r="R3723" s="16">
        <f>HYPERLINK("https://checko.ru/search?query=3801001629","Чекко: проверить")</f>
        <v/>
      </c>
      <c r="S3723" t="n">
        <v>1</v>
      </c>
      <c r="T3723" s="35" t="inlineStr">
        <is>
          <t>4 — Не обогащён</t>
        </is>
      </c>
      <c r="U3723" s="35" t="inlineStr">
        <is>
          <t>Нет ОКВЭД/ССЧР</t>
        </is>
      </c>
      <c r="V3723" s="35" t="inlineStr">
        <is>
          <t>Не определено</t>
        </is>
      </c>
      <c r="W3723" s="35" t="inlineStr"/>
      <c r="X3723" s="35" t="inlineStr"/>
    </row>
    <row r="3724" ht="15" customHeight="1" s="24">
      <c r="A3724" s="13" t="n">
        <v>5000036387</v>
      </c>
      <c r="B3724" s="13" t="inlineStr">
        <is>
          <t>МБДОУ с. Адо-Тымово</t>
        </is>
      </c>
      <c r="C3724" s="13" t="n">
        <v>6517006264</v>
      </c>
      <c r="D3724" s="13" t="inlineStr">
        <is>
          <t>6517006264</t>
        </is>
      </c>
      <c r="E3724" s="13" t="inlineStr">
        <is>
          <t>ЮЛ РФ</t>
        </is>
      </c>
      <c r="F3724" s="13" t="n"/>
      <c r="G3724" s="14" t="n"/>
      <c r="H3724" s="14" t="n"/>
      <c r="I3724" s="14" t="n"/>
      <c r="J3724" s="14" t="n"/>
      <c r="K3724" s="53" t="inlineStr"/>
      <c r="L3724" s="53" t="inlineStr">
        <is>
          <t>Не определено</t>
        </is>
      </c>
      <c r="M3724" s="53" t="inlineStr"/>
      <c r="N3724" s="54" t="inlineStr"/>
      <c r="O3724" s="55" t="inlineStr"/>
      <c r="P3724" s="16" t="inlineStr">
        <is>
          <t>Требует обогащения</t>
        </is>
      </c>
      <c r="Q3724" s="16">
        <f>HYPERLINK("https://pb.nalog.ru/search.html?query=6517006264","ФНС: проверить")</f>
        <v/>
      </c>
      <c r="R3724" s="16">
        <f>HYPERLINK("https://checko.ru/search?query=3801001629","Чекко: проверить")</f>
        <v/>
      </c>
      <c r="S3724" t="n">
        <v>1</v>
      </c>
      <c r="T3724" s="35" t="inlineStr">
        <is>
          <t>4 — Не обогащён</t>
        </is>
      </c>
      <c r="U3724" s="35" t="inlineStr">
        <is>
          <t>Нет ОКВЭД/ССЧР</t>
        </is>
      </c>
      <c r="V3724" s="35" t="inlineStr">
        <is>
          <t>Не определено</t>
        </is>
      </c>
      <c r="W3724" s="35" t="inlineStr"/>
      <c r="X3724" s="35" t="inlineStr"/>
    </row>
    <row r="3725" ht="15" customHeight="1" s="24">
      <c r="A3725" s="13" t="n">
        <v>5000036388</v>
      </c>
      <c r="B3725" s="13" t="inlineStr">
        <is>
          <t>МБДОУ с. Молодежное</t>
        </is>
      </c>
      <c r="C3725" s="13" t="n">
        <v>6517008328</v>
      </c>
      <c r="D3725" s="13" t="inlineStr">
        <is>
          <t>6517008328</t>
        </is>
      </c>
      <c r="E3725" s="13" t="inlineStr">
        <is>
          <t>ЮЛ РФ</t>
        </is>
      </c>
      <c r="F3725" s="13" t="n"/>
      <c r="G3725" s="14" t="n"/>
      <c r="H3725" s="14" t="n"/>
      <c r="I3725" s="14" t="n"/>
      <c r="J3725" s="14" t="n"/>
      <c r="K3725" s="53" t="inlineStr"/>
      <c r="L3725" s="53" t="inlineStr">
        <is>
          <t>Не определено</t>
        </is>
      </c>
      <c r="M3725" s="53" t="inlineStr"/>
      <c r="N3725" s="54" t="inlineStr"/>
      <c r="O3725" s="55" t="inlineStr"/>
      <c r="P3725" s="16" t="inlineStr">
        <is>
          <t>Требует обогащения</t>
        </is>
      </c>
      <c r="Q3725" s="16">
        <f>HYPERLINK("https://pb.nalog.ru/search.html?query=6517008328","ФНС: проверить")</f>
        <v/>
      </c>
      <c r="R3725" s="16">
        <f>HYPERLINK("https://checko.ru/search?query=3801001629","Чекко: проверить")</f>
        <v/>
      </c>
      <c r="S3725" t="n">
        <v>1</v>
      </c>
      <c r="T3725" s="35" t="inlineStr">
        <is>
          <t>4 — Не обогащён</t>
        </is>
      </c>
      <c r="U3725" s="35" t="inlineStr">
        <is>
          <t>Нет ОКВЭД/ССЧР</t>
        </is>
      </c>
      <c r="V3725" s="35" t="inlineStr">
        <is>
          <t>Не определено</t>
        </is>
      </c>
      <c r="W3725" s="35" t="inlineStr"/>
      <c r="X3725" s="35" t="inlineStr"/>
    </row>
    <row r="3726" ht="15" customHeight="1" s="24">
      <c r="A3726" s="13" t="n">
        <v>5000036389</v>
      </c>
      <c r="B3726" s="13" t="inlineStr">
        <is>
          <t>МБДОУ с. Ясное</t>
        </is>
      </c>
      <c r="C3726" s="13" t="n">
        <v>6517006151</v>
      </c>
      <c r="D3726" s="13" t="inlineStr">
        <is>
          <t>6517006151</t>
        </is>
      </c>
      <c r="E3726" s="13" t="inlineStr">
        <is>
          <t>ЮЛ РФ</t>
        </is>
      </c>
      <c r="F3726" s="13" t="n"/>
      <c r="G3726" s="14" t="n"/>
      <c r="H3726" s="14" t="n"/>
      <c r="I3726" s="14" t="n"/>
      <c r="J3726" s="14" t="n"/>
      <c r="K3726" s="53" t="inlineStr"/>
      <c r="L3726" s="53" t="inlineStr">
        <is>
          <t>Не определено</t>
        </is>
      </c>
      <c r="M3726" s="53" t="inlineStr"/>
      <c r="N3726" s="54" t="inlineStr"/>
      <c r="O3726" s="55" t="inlineStr"/>
      <c r="P3726" s="16" t="inlineStr">
        <is>
          <t>Требует обогащения</t>
        </is>
      </c>
      <c r="Q3726" s="16">
        <f>HYPERLINK("https://pb.nalog.ru/search.html?query=6517006151","ФНС: проверить")</f>
        <v/>
      </c>
      <c r="R3726" s="16">
        <f>HYPERLINK("https://checko.ru/search?query=3801001629","Чекко: проверить")</f>
        <v/>
      </c>
      <c r="S3726" t="n">
        <v>1</v>
      </c>
      <c r="T3726" s="35" t="inlineStr">
        <is>
          <t>4 — Не обогащён</t>
        </is>
      </c>
      <c r="U3726" s="35" t="inlineStr">
        <is>
          <t>Нет ОКВЭД/ССЧР</t>
        </is>
      </c>
      <c r="V3726" s="35" t="inlineStr">
        <is>
          <t>Не определено</t>
        </is>
      </c>
      <c r="W3726" s="35" t="inlineStr"/>
      <c r="X3726" s="35" t="inlineStr"/>
    </row>
    <row r="3727" ht="15" customHeight="1" s="24">
      <c r="A3727" s="13" t="n">
        <v>5000036391</v>
      </c>
      <c r="B3727" s="13" t="inlineStr">
        <is>
          <t>МБДОУ с. Воскресеновка</t>
        </is>
      </c>
      <c r="C3727" s="13" t="n">
        <v>6517006105</v>
      </c>
      <c r="D3727" s="13" t="inlineStr">
        <is>
          <t>6517006105</t>
        </is>
      </c>
      <c r="E3727" s="13" t="inlineStr">
        <is>
          <t>ЮЛ РФ</t>
        </is>
      </c>
      <c r="F3727" s="13" t="n"/>
      <c r="G3727" s="14" t="n"/>
      <c r="H3727" s="14" t="n"/>
      <c r="I3727" s="14" t="n"/>
      <c r="J3727" s="14" t="n"/>
      <c r="K3727" s="53" t="inlineStr"/>
      <c r="L3727" s="53" t="inlineStr">
        <is>
          <t>Не определено</t>
        </is>
      </c>
      <c r="M3727" s="53" t="inlineStr"/>
      <c r="N3727" s="54" t="inlineStr"/>
      <c r="O3727" s="55" t="inlineStr"/>
      <c r="P3727" s="16" t="inlineStr">
        <is>
          <t>Требует обогащения</t>
        </is>
      </c>
      <c r="Q3727" s="16">
        <f>HYPERLINK("https://pb.nalog.ru/search.html?query=6517006105","ФНС: проверить")</f>
        <v/>
      </c>
      <c r="R3727" s="16">
        <f>HYPERLINK("https://checko.ru/search?query=3801001629","Чекко: проверить")</f>
        <v/>
      </c>
      <c r="S3727" t="n">
        <v>1</v>
      </c>
      <c r="T3727" s="35" t="inlineStr">
        <is>
          <t>4 — Не обогащён</t>
        </is>
      </c>
      <c r="U3727" s="35" t="inlineStr">
        <is>
          <t>Нет ОКВЭД/ССЧР</t>
        </is>
      </c>
      <c r="V3727" s="35" t="inlineStr">
        <is>
          <t>Не определено</t>
        </is>
      </c>
      <c r="W3727" s="35" t="inlineStr"/>
      <c r="X3727" s="35" t="inlineStr"/>
    </row>
    <row r="3728" ht="15" customHeight="1" s="24">
      <c r="A3728" s="13" t="n">
        <v>5000036392</v>
      </c>
      <c r="B3728" s="13" t="inlineStr">
        <is>
          <t>УО МО "Тымовский городской округ"</t>
        </is>
      </c>
      <c r="C3728" s="13" t="n">
        <v>6517001467</v>
      </c>
      <c r="D3728" s="13" t="inlineStr">
        <is>
          <t>6517001467</t>
        </is>
      </c>
      <c r="E3728" s="13" t="inlineStr">
        <is>
          <t>ЮЛ РФ</t>
        </is>
      </c>
      <c r="F3728" s="13" t="n"/>
      <c r="G3728" s="14" t="n"/>
      <c r="H3728" s="14" t="n"/>
      <c r="I3728" s="14" t="n"/>
      <c r="J3728" s="14" t="n"/>
      <c r="K3728" s="53" t="inlineStr"/>
      <c r="L3728" s="53" t="inlineStr">
        <is>
          <t>Не определено</t>
        </is>
      </c>
      <c r="M3728" s="53" t="inlineStr"/>
      <c r="N3728" s="54" t="inlineStr"/>
      <c r="O3728" s="55" t="inlineStr"/>
      <c r="P3728" s="16" t="inlineStr">
        <is>
          <t>Требует обогащения</t>
        </is>
      </c>
      <c r="Q3728" s="16">
        <f>HYPERLINK("https://pb.nalog.ru/search.html?query=6517001467","ФНС: проверить")</f>
        <v/>
      </c>
      <c r="R3728" s="16">
        <f>HYPERLINK("https://checko.ru/search?query=3801001629","Чекко: проверить")</f>
        <v/>
      </c>
      <c r="S3728" t="n">
        <v>1</v>
      </c>
      <c r="T3728" s="35" t="inlineStr">
        <is>
          <t>4 — Не обогащён</t>
        </is>
      </c>
      <c r="U3728" s="35" t="inlineStr">
        <is>
          <t>Нет ОКВЭД/ССЧР</t>
        </is>
      </c>
      <c r="V3728" s="35" t="inlineStr">
        <is>
          <t>Не определено</t>
        </is>
      </c>
      <c r="W3728" s="35" t="inlineStr"/>
      <c r="X3728" s="35" t="inlineStr"/>
    </row>
    <row r="3729" ht="15" customHeight="1" s="24">
      <c r="A3729" s="13" t="n">
        <v>5000036392</v>
      </c>
      <c r="B3729" s="13" t="inlineStr">
        <is>
          <t>УО МО "Тымовский городской округ"</t>
        </is>
      </c>
      <c r="C3729" s="13" t="n">
        <v>6517001467</v>
      </c>
      <c r="D3729" s="13" t="inlineStr">
        <is>
          <t>6517001467</t>
        </is>
      </c>
      <c r="E3729" s="13" t="inlineStr">
        <is>
          <t>ЮЛ РФ</t>
        </is>
      </c>
      <c r="F3729" s="13" t="n"/>
      <c r="G3729" s="14" t="n"/>
      <c r="H3729" s="14" t="n"/>
      <c r="I3729" s="14" t="n"/>
      <c r="J3729" s="14" t="n"/>
      <c r="K3729" s="53" t="inlineStr"/>
      <c r="L3729" s="53" t="inlineStr">
        <is>
          <t>Не определено</t>
        </is>
      </c>
      <c r="M3729" s="53" t="inlineStr"/>
      <c r="N3729" s="54" t="inlineStr"/>
      <c r="O3729" s="55" t="inlineStr"/>
      <c r="P3729" s="16" t="inlineStr">
        <is>
          <t>Требует обогащения</t>
        </is>
      </c>
      <c r="Q3729" s="16">
        <f>HYPERLINK("https://pb.nalog.ru/search.html?query=6517001467","ФНС: проверить")</f>
        <v/>
      </c>
      <c r="R3729" s="16">
        <f>HYPERLINK("https://checko.ru/search?query=3801001629","Чекко: проверить")</f>
        <v/>
      </c>
      <c r="S3729" t="n">
        <v>0</v>
      </c>
      <c r="T3729" s="35" t="inlineStr">
        <is>
          <t>4 — Не обогащён</t>
        </is>
      </c>
      <c r="U3729" s="35" t="inlineStr">
        <is>
          <t>Нет ОКВЭД/ССЧР</t>
        </is>
      </c>
      <c r="V3729" s="35" t="inlineStr">
        <is>
          <t>Не определено</t>
        </is>
      </c>
      <c r="W3729" s="35" t="inlineStr"/>
      <c r="X3729" s="35" t="inlineStr"/>
    </row>
    <row r="3730" ht="27.75" customHeight="1" s="24">
      <c r="A3730" s="13" t="n">
        <v>5000018706</v>
      </c>
      <c r="B3730" s="13" t="inlineStr">
        <is>
          <t>МКУ «Центр управления городской мобильностью города Южно-Сахалинска»</t>
        </is>
      </c>
      <c r="C3730" s="13" t="n">
        <v>6501283505</v>
      </c>
      <c r="D3730" s="13" t="inlineStr">
        <is>
          <t>6501283505</t>
        </is>
      </c>
      <c r="E3730" s="13" t="inlineStr">
        <is>
          <t>ЮЛ РФ</t>
        </is>
      </c>
      <c r="F3730" s="13" t="n"/>
      <c r="G3730" s="14" t="n"/>
      <c r="H3730" s="14" t="n"/>
      <c r="I3730" s="14" t="n"/>
      <c r="J3730" s="14" t="n"/>
      <c r="K3730" s="53" t="inlineStr"/>
      <c r="L3730" s="53" t="inlineStr">
        <is>
          <t>Не определено</t>
        </is>
      </c>
      <c r="M3730" s="53" t="inlineStr"/>
      <c r="N3730" s="54" t="inlineStr"/>
      <c r="O3730" s="55" t="inlineStr"/>
      <c r="P3730" s="16" t="inlineStr">
        <is>
          <t>Требует обогащения</t>
        </is>
      </c>
      <c r="Q3730" s="16">
        <f>HYPERLINK("https://pb.nalog.ru/search.html?query=6501283505","ФНС: проверить")</f>
        <v/>
      </c>
      <c r="R3730" s="16">
        <f>HYPERLINK("https://checko.ru/search?query=3801001629","Чекко: проверить")</f>
        <v/>
      </c>
      <c r="S3730" t="n">
        <v>1</v>
      </c>
      <c r="T3730" s="35" t="inlineStr">
        <is>
          <t>4 — Не обогащён</t>
        </is>
      </c>
      <c r="U3730" s="35" t="inlineStr">
        <is>
          <t>Нет ОКВЭД/ССЧР</t>
        </is>
      </c>
      <c r="V3730" s="35" t="inlineStr">
        <is>
          <t>Не определено</t>
        </is>
      </c>
      <c r="W3730" s="35" t="inlineStr"/>
      <c r="X3730" s="35" t="inlineStr"/>
    </row>
    <row r="3731" ht="27.75" customHeight="1" s="24">
      <c r="A3731" s="13" t="n">
        <v>5000098223</v>
      </c>
      <c r="B3731" s="13" t="inlineStr">
        <is>
          <t>КГКУ "Управление капитального строительства Приморского края"</t>
        </is>
      </c>
      <c r="C3731" s="13" t="n">
        <v>2540252535</v>
      </c>
      <c r="D3731" s="13" t="inlineStr">
        <is>
          <t>2540252535</t>
        </is>
      </c>
      <c r="E3731" s="13" t="inlineStr">
        <is>
          <t>ЮЛ РФ</t>
        </is>
      </c>
      <c r="F3731" s="13" t="n"/>
      <c r="G3731" s="14" t="n"/>
      <c r="H3731" s="14" t="n"/>
      <c r="I3731" s="14" t="n"/>
      <c r="J3731" s="14" t="n"/>
      <c r="K3731" s="53" t="inlineStr"/>
      <c r="L3731" s="53" t="inlineStr">
        <is>
          <t>Не определено</t>
        </is>
      </c>
      <c r="M3731" s="53" t="inlineStr"/>
      <c r="N3731" s="54" t="inlineStr"/>
      <c r="O3731" s="55" t="inlineStr"/>
      <c r="P3731" s="16" t="inlineStr">
        <is>
          <t>Требует обогащения</t>
        </is>
      </c>
      <c r="Q3731" s="16">
        <f>HYPERLINK("https://pb.nalog.ru/search.html?query=2540252535","ФНС: проверить")</f>
        <v/>
      </c>
      <c r="R3731" s="16">
        <f>HYPERLINK("https://checko.ru/search?query=3801001629","Чекко: проверить")</f>
        <v/>
      </c>
      <c r="S3731" t="n">
        <v>1</v>
      </c>
      <c r="T3731" s="35" t="inlineStr">
        <is>
          <t>4 — Не обогащён</t>
        </is>
      </c>
      <c r="U3731" s="35" t="inlineStr">
        <is>
          <t>Нет ОКВЭД/ССЧР</t>
        </is>
      </c>
      <c r="V3731" s="35" t="inlineStr">
        <is>
          <t>Не определено</t>
        </is>
      </c>
      <c r="W3731" s="35" t="inlineStr"/>
      <c r="X3731" s="35" t="inlineStr"/>
    </row>
    <row r="3732" ht="15" customHeight="1" s="24">
      <c r="A3732" s="13" t="n">
        <v>5000098672</v>
      </c>
      <c r="B3732" s="13" t="inlineStr">
        <is>
          <t>ГБУ "СББЖ № 7"</t>
        </is>
      </c>
      <c r="C3732" s="13" t="n">
        <v>6504016402</v>
      </c>
      <c r="D3732" s="13" t="inlineStr">
        <is>
          <t>6504016402</t>
        </is>
      </c>
      <c r="E3732" s="13" t="inlineStr">
        <is>
          <t>ЮЛ РФ</t>
        </is>
      </c>
      <c r="F3732" s="13" t="n"/>
      <c r="G3732" s="14" t="n"/>
      <c r="H3732" s="14" t="n"/>
      <c r="I3732" s="14" t="n"/>
      <c r="J3732" s="14" t="n"/>
      <c r="K3732" s="53" t="inlineStr"/>
      <c r="L3732" s="53" t="inlineStr">
        <is>
          <t>Не определено</t>
        </is>
      </c>
      <c r="M3732" s="53" t="inlineStr"/>
      <c r="N3732" s="54" t="inlineStr"/>
      <c r="O3732" s="55" t="inlineStr"/>
      <c r="P3732" s="16" t="inlineStr">
        <is>
          <t>Требует обогащения</t>
        </is>
      </c>
      <c r="Q3732" s="16">
        <f>HYPERLINK("https://pb.nalog.ru/search.html?query=6504016402","ФНС: проверить")</f>
        <v/>
      </c>
      <c r="R3732" s="16">
        <f>HYPERLINK("https://checko.ru/search?query=3801001629","Чекко: проверить")</f>
        <v/>
      </c>
      <c r="S3732" t="n">
        <v>1</v>
      </c>
      <c r="T3732" s="35" t="inlineStr">
        <is>
          <t>4 — Не обогащён</t>
        </is>
      </c>
      <c r="U3732" s="35" t="inlineStr">
        <is>
          <t>Нет ОКВЭД/ССЧР</t>
        </is>
      </c>
      <c r="V3732" s="35" t="inlineStr">
        <is>
          <t>Не определено</t>
        </is>
      </c>
      <c r="W3732" s="35" t="inlineStr"/>
      <c r="X3732" s="35" t="inlineStr"/>
    </row>
    <row r="3733" ht="15" customHeight="1" s="24">
      <c r="A3733" s="13" t="n">
        <v>5000107143</v>
      </c>
      <c r="B3733" s="13" t="inlineStr">
        <is>
          <t>ГБ ПОУ «Сахалинский колледж искусств»</t>
        </is>
      </c>
      <c r="C3733" s="13" t="n">
        <v>6501068346</v>
      </c>
      <c r="D3733" s="13" t="inlineStr">
        <is>
          <t>6501068346</t>
        </is>
      </c>
      <c r="E3733" s="13" t="inlineStr">
        <is>
          <t>ЮЛ РФ</t>
        </is>
      </c>
      <c r="F3733" s="13" t="n"/>
      <c r="G3733" s="14" t="n"/>
      <c r="H3733" s="14" t="n"/>
      <c r="I3733" s="14" t="n"/>
      <c r="J3733" s="14" t="n"/>
      <c r="K3733" s="53" t="inlineStr"/>
      <c r="L3733" s="53" t="inlineStr">
        <is>
          <t>Не определено</t>
        </is>
      </c>
      <c r="M3733" s="53" t="inlineStr"/>
      <c r="N3733" s="54" t="inlineStr"/>
      <c r="O3733" s="55" t="inlineStr"/>
      <c r="P3733" s="16" t="inlineStr">
        <is>
          <t>Требует обогащения</t>
        </is>
      </c>
      <c r="Q3733" s="16">
        <f>HYPERLINK("https://pb.nalog.ru/search.html?query=6501068346","ФНС: проверить")</f>
        <v/>
      </c>
      <c r="R3733" s="16">
        <f>HYPERLINK("https://checko.ru/search?query=3801001629","Чекко: проверить")</f>
        <v/>
      </c>
      <c r="S3733" t="n">
        <v>1</v>
      </c>
      <c r="T3733" s="35" t="inlineStr">
        <is>
          <t>4 — Не обогащён</t>
        </is>
      </c>
      <c r="U3733" s="35" t="inlineStr">
        <is>
          <t>Нет ОКВЭД/ССЧР</t>
        </is>
      </c>
      <c r="V3733" s="35" t="inlineStr">
        <is>
          <t>Не определено</t>
        </is>
      </c>
      <c r="W3733" s="35" t="inlineStr"/>
      <c r="X3733" s="35" t="inlineStr"/>
    </row>
    <row r="3734" ht="27.75" customHeight="1" s="24">
      <c r="A3734" s="13" t="n">
        <v>5000012962</v>
      </c>
      <c r="B3734" s="13" t="inlineStr">
        <is>
          <t>Агентство по труду и занятости населения Сахалинской области</t>
        </is>
      </c>
      <c r="C3734" s="13" t="n">
        <v>6501177480</v>
      </c>
      <c r="D3734" s="13" t="inlineStr">
        <is>
          <t>6501177480</t>
        </is>
      </c>
      <c r="E3734" s="13" t="inlineStr">
        <is>
          <t>ЮЛ РФ</t>
        </is>
      </c>
      <c r="F3734" s="13" t="n"/>
      <c r="G3734" s="14" t="n"/>
      <c r="H3734" s="14" t="n"/>
      <c r="I3734" s="14" t="n"/>
      <c r="J3734" s="14" t="n"/>
      <c r="K3734" s="53" t="inlineStr"/>
      <c r="L3734" s="53" t="inlineStr">
        <is>
          <t>Не определено</t>
        </is>
      </c>
      <c r="M3734" s="53" t="inlineStr"/>
      <c r="N3734" s="54" t="inlineStr"/>
      <c r="O3734" s="55" t="inlineStr"/>
      <c r="P3734" s="16" t="inlineStr">
        <is>
          <t>Требует обогащения</t>
        </is>
      </c>
      <c r="Q3734" s="16">
        <f>HYPERLINK("https://pb.nalog.ru/search.html?query=6501177480","ФНС: проверить")</f>
        <v/>
      </c>
      <c r="R3734" s="16">
        <f>HYPERLINK("https://checko.ru/search?query=3801001629","Чекко: проверить")</f>
        <v/>
      </c>
      <c r="S3734" t="n">
        <v>1</v>
      </c>
      <c r="T3734" s="35" t="inlineStr">
        <is>
          <t>4 — Не обогащён</t>
        </is>
      </c>
      <c r="U3734" s="35" t="inlineStr">
        <is>
          <t>Нет ОКВЭД/ССЧР</t>
        </is>
      </c>
      <c r="V3734" s="35" t="inlineStr">
        <is>
          <t>Не определено</t>
        </is>
      </c>
      <c r="W3734" s="35" t="inlineStr"/>
      <c r="X3734" s="35" t="inlineStr"/>
    </row>
    <row r="3735" ht="27.75" customHeight="1" s="24">
      <c r="A3735" s="13" t="n">
        <v>5000012962</v>
      </c>
      <c r="B3735" s="13" t="inlineStr">
        <is>
          <t>Агентство по труду и занятости населения Сахалинской области</t>
        </is>
      </c>
      <c r="C3735" s="13" t="n">
        <v>6501177480</v>
      </c>
      <c r="D3735" s="13" t="inlineStr">
        <is>
          <t>6501177480</t>
        </is>
      </c>
      <c r="E3735" s="13" t="inlineStr">
        <is>
          <t>ЮЛ РФ</t>
        </is>
      </c>
      <c r="F3735" s="13" t="n"/>
      <c r="G3735" s="14" t="n"/>
      <c r="H3735" s="14" t="n"/>
      <c r="I3735" s="14" t="n"/>
      <c r="J3735" s="14" t="n"/>
      <c r="K3735" s="53" t="inlineStr"/>
      <c r="L3735" s="53" t="inlineStr">
        <is>
          <t>Не определено</t>
        </is>
      </c>
      <c r="M3735" s="53" t="inlineStr"/>
      <c r="N3735" s="54" t="inlineStr"/>
      <c r="O3735" s="55" t="inlineStr"/>
      <c r="P3735" s="16" t="inlineStr">
        <is>
          <t>Требует обогащения</t>
        </is>
      </c>
      <c r="Q3735" s="16">
        <f>HYPERLINK("https://pb.nalog.ru/search.html?query=6501177480","ФНС: проверить")</f>
        <v/>
      </c>
      <c r="R3735" s="16">
        <f>HYPERLINK("https://checko.ru/search?query=3801001629","Чекко: проверить")</f>
        <v/>
      </c>
      <c r="S3735" t="n">
        <v>0</v>
      </c>
      <c r="T3735" s="35" t="inlineStr">
        <is>
          <t>4 — Не обогащён</t>
        </is>
      </c>
      <c r="U3735" s="35" t="inlineStr">
        <is>
          <t>Нет ОКВЭД/ССЧР</t>
        </is>
      </c>
      <c r="V3735" s="35" t="inlineStr">
        <is>
          <t>Не определено</t>
        </is>
      </c>
      <c r="W3735" s="35" t="inlineStr"/>
      <c r="X3735" s="35" t="inlineStr"/>
    </row>
    <row r="3736" ht="15" customHeight="1" s="24">
      <c r="A3736" s="13" t="n">
        <v>5000117988</v>
      </c>
      <c r="B3736" s="13" t="inlineStr">
        <is>
          <t>КУМС СК ГО</t>
        </is>
      </c>
      <c r="C3736" s="13" t="n">
        <v>6515000789</v>
      </c>
      <c r="D3736" s="13" t="inlineStr">
        <is>
          <t>6515000789</t>
        </is>
      </c>
      <c r="E3736" s="13" t="inlineStr">
        <is>
          <t>ЮЛ РФ</t>
        </is>
      </c>
      <c r="F3736" s="13" t="n"/>
      <c r="G3736" s="14" t="n"/>
      <c r="H3736" s="14" t="n"/>
      <c r="I3736" s="14" t="n"/>
      <c r="J3736" s="14" t="n"/>
      <c r="K3736" s="53" t="inlineStr"/>
      <c r="L3736" s="53" t="inlineStr">
        <is>
          <t>Не определено</t>
        </is>
      </c>
      <c r="M3736" s="53" t="inlineStr"/>
      <c r="N3736" s="54" t="inlineStr"/>
      <c r="O3736" s="55" t="inlineStr"/>
      <c r="P3736" s="16" t="inlineStr">
        <is>
          <t>Требует обогащения</t>
        </is>
      </c>
      <c r="Q3736" s="16">
        <f>HYPERLINK("https://pb.nalog.ru/search.html?query=6515000789","ФНС: проверить")</f>
        <v/>
      </c>
      <c r="R3736" s="16">
        <f>HYPERLINK("https://checko.ru/search?query=3801001629","Чекко: проверить")</f>
        <v/>
      </c>
      <c r="S3736" t="n">
        <v>1</v>
      </c>
      <c r="T3736" s="35" t="inlineStr">
        <is>
          <t>4 — Не обогащён</t>
        </is>
      </c>
      <c r="U3736" s="35" t="inlineStr">
        <is>
          <t>Нет ОКВЭД/ССЧР</t>
        </is>
      </c>
      <c r="V3736" s="35" t="inlineStr">
        <is>
          <t>Не определено</t>
        </is>
      </c>
      <c r="W3736" s="35" t="inlineStr"/>
      <c r="X3736" s="35" t="inlineStr"/>
    </row>
    <row r="3737" ht="15" customHeight="1" s="24">
      <c r="A3737" s="13" t="n">
        <v>5000117988</v>
      </c>
      <c r="B3737" s="13" t="inlineStr">
        <is>
          <t>КУМС СК ГО</t>
        </is>
      </c>
      <c r="C3737" s="13" t="n">
        <v>6515000789</v>
      </c>
      <c r="D3737" s="13" t="inlineStr">
        <is>
          <t>6515000789</t>
        </is>
      </c>
      <c r="E3737" s="13" t="inlineStr">
        <is>
          <t>ЮЛ РФ</t>
        </is>
      </c>
      <c r="F3737" s="13" t="n"/>
      <c r="G3737" s="14" t="n"/>
      <c r="H3737" s="14" t="n"/>
      <c r="I3737" s="14" t="n"/>
      <c r="J3737" s="14" t="n"/>
      <c r="K3737" s="53" t="inlineStr"/>
      <c r="L3737" s="53" t="inlineStr">
        <is>
          <t>Не определено</t>
        </is>
      </c>
      <c r="M3737" s="53" t="inlineStr"/>
      <c r="N3737" s="54" t="inlineStr"/>
      <c r="O3737" s="55" t="inlineStr"/>
      <c r="P3737" s="16" t="inlineStr">
        <is>
          <t>Требует обогащения</t>
        </is>
      </c>
      <c r="Q3737" s="16">
        <f>HYPERLINK("https://pb.nalog.ru/search.html?query=6515000789","ФНС: проверить")</f>
        <v/>
      </c>
      <c r="R3737" s="16">
        <f>HYPERLINK("https://checko.ru/search?query=3801001629","Чекко: проверить")</f>
        <v/>
      </c>
      <c r="S3737" t="n">
        <v>0</v>
      </c>
      <c r="T3737" s="35" t="inlineStr">
        <is>
          <t>4 — Не обогащён</t>
        </is>
      </c>
      <c r="U3737" s="35" t="inlineStr">
        <is>
          <t>Нет ОКВЭД/ССЧР</t>
        </is>
      </c>
      <c r="V3737" s="35" t="inlineStr">
        <is>
          <t>Не определено</t>
        </is>
      </c>
      <c r="W3737" s="35" t="inlineStr"/>
      <c r="X3737" s="35" t="inlineStr"/>
    </row>
    <row r="3738" ht="54.75" customHeight="1" s="24">
      <c r="A3738" s="13" t="n">
        <v>5000118272</v>
      </c>
      <c r="B3738" s="13" t="inlineStr">
        <is>
          <t>Муниципальное бюджетное дошкольное образовательное учреждение – детский сад «Северянка» г.Северо-Курильска Сахалинской области</t>
        </is>
      </c>
      <c r="C3738" s="13" t="n">
        <v>6515001775</v>
      </c>
      <c r="D3738" s="13" t="inlineStr">
        <is>
          <t>6515001775</t>
        </is>
      </c>
      <c r="E3738" s="13" t="inlineStr">
        <is>
          <t>ЮЛ РФ</t>
        </is>
      </c>
      <c r="F3738" s="13" t="n"/>
      <c r="G3738" s="14" t="n"/>
      <c r="H3738" s="14" t="n"/>
      <c r="I3738" s="14" t="n"/>
      <c r="J3738" s="14" t="n"/>
      <c r="K3738" s="53" t="inlineStr"/>
      <c r="L3738" s="53" t="inlineStr">
        <is>
          <t>Не определено</t>
        </is>
      </c>
      <c r="M3738" s="53" t="inlineStr"/>
      <c r="N3738" s="54" t="inlineStr"/>
      <c r="O3738" s="55" t="inlineStr"/>
      <c r="P3738" s="16" t="inlineStr">
        <is>
          <t>Требует обогащения</t>
        </is>
      </c>
      <c r="Q3738" s="16">
        <f>HYPERLINK("https://pb.nalog.ru/search.html?query=6515001775","ФНС: проверить")</f>
        <v/>
      </c>
      <c r="R3738" s="16">
        <f>HYPERLINK("https://checko.ru/search?query=3801001629","Чекко: проверить")</f>
        <v/>
      </c>
      <c r="S3738" t="n">
        <v>1</v>
      </c>
      <c r="T3738" s="35" t="inlineStr">
        <is>
          <t>4 — Не обогащён</t>
        </is>
      </c>
      <c r="U3738" s="35" t="inlineStr">
        <is>
          <t>Нет ОКВЭД/ССЧР</t>
        </is>
      </c>
      <c r="V3738" s="35" t="inlineStr">
        <is>
          <t>Не определено</t>
        </is>
      </c>
      <c r="W3738" s="35" t="inlineStr"/>
      <c r="X3738" s="35" t="inlineStr"/>
    </row>
    <row r="3739" ht="15" customHeight="1" s="24">
      <c r="A3739" s="13" t="n">
        <v>5000015631</v>
      </c>
      <c r="B3739" s="13" t="inlineStr">
        <is>
          <t>МАУ "СПОРТ</t>
        </is>
      </c>
      <c r="C3739" s="13" t="n">
        <v>6501299424</v>
      </c>
      <c r="D3739" s="13" t="inlineStr">
        <is>
          <t>6501299424</t>
        </is>
      </c>
      <c r="E3739" s="13" t="inlineStr">
        <is>
          <t>ЮЛ РФ</t>
        </is>
      </c>
      <c r="F3739" s="13" t="n"/>
      <c r="G3739" s="14" t="n"/>
      <c r="H3739" s="14" t="n"/>
      <c r="I3739" s="14" t="n"/>
      <c r="J3739" s="14" t="n"/>
      <c r="K3739" s="53" t="inlineStr"/>
      <c r="L3739" s="53" t="inlineStr">
        <is>
          <t>Не определено</t>
        </is>
      </c>
      <c r="M3739" s="53" t="inlineStr"/>
      <c r="N3739" s="54" t="inlineStr"/>
      <c r="O3739" s="55" t="inlineStr"/>
      <c r="P3739" s="16" t="inlineStr">
        <is>
          <t>Требует обогащения</t>
        </is>
      </c>
      <c r="Q3739" s="16">
        <f>HYPERLINK("https://pb.nalog.ru/search.html?query=6501299424","ФНС: проверить")</f>
        <v/>
      </c>
      <c r="R3739" s="16">
        <f>HYPERLINK("https://checko.ru/search?query=3801001629","Чекко: проверить")</f>
        <v/>
      </c>
      <c r="S3739" t="n">
        <v>1</v>
      </c>
      <c r="T3739" s="35" t="inlineStr">
        <is>
          <t>4 — Не обогащён</t>
        </is>
      </c>
      <c r="U3739" s="35" t="inlineStr">
        <is>
          <t>Нет ОКВЭД/ССЧР</t>
        </is>
      </c>
      <c r="V3739" s="35" t="inlineStr">
        <is>
          <t>Не определено</t>
        </is>
      </c>
      <c r="W3739" s="35" t="inlineStr"/>
      <c r="X3739" s="35" t="inlineStr"/>
    </row>
    <row r="3740" ht="54.75" customHeight="1" s="24">
      <c r="A3740" s="13" t="n">
        <v>5000003195</v>
      </c>
      <c r="B3740" s="13" t="inlineStr">
        <is>
          <t>МУК "Производственно-техническое управление по обеспечению деятельности органов местного самоуправления муниципального образования Невельский городско</t>
        </is>
      </c>
      <c r="C3740" s="13" t="n">
        <v>6505005890</v>
      </c>
      <c r="D3740" s="13" t="inlineStr">
        <is>
          <t>6505005890</t>
        </is>
      </c>
      <c r="E3740" s="13" t="inlineStr">
        <is>
          <t>ЮЛ РФ</t>
        </is>
      </c>
      <c r="F3740" s="13" t="n"/>
      <c r="G3740" s="14" t="n"/>
      <c r="H3740" s="14" t="n"/>
      <c r="I3740" s="14" t="n"/>
      <c r="J3740" s="14" t="n"/>
      <c r="K3740" s="53" t="inlineStr"/>
      <c r="L3740" s="53" t="inlineStr">
        <is>
          <t>Не определено</t>
        </is>
      </c>
      <c r="M3740" s="53" t="inlineStr"/>
      <c r="N3740" s="54" t="inlineStr"/>
      <c r="O3740" s="55" t="inlineStr"/>
      <c r="P3740" s="16" t="inlineStr">
        <is>
          <t>Требует обогащения</t>
        </is>
      </c>
      <c r="Q3740" s="16">
        <f>HYPERLINK("https://pb.nalog.ru/search.html?query=6505005890","ФНС: проверить")</f>
        <v/>
      </c>
      <c r="R3740" s="16">
        <f>HYPERLINK("https://checko.ru/search?query=3801001629","Чекко: проверить")</f>
        <v/>
      </c>
      <c r="S3740" t="n">
        <v>1</v>
      </c>
      <c r="T3740" s="35" t="inlineStr">
        <is>
          <t>4 — Не обогащён</t>
        </is>
      </c>
      <c r="U3740" s="35" t="inlineStr">
        <is>
          <t>Нет ОКВЭД/ССЧР</t>
        </is>
      </c>
      <c r="V3740" s="35" t="inlineStr">
        <is>
          <t>Не определено</t>
        </is>
      </c>
      <c r="W3740" s="35" t="inlineStr"/>
      <c r="X3740" s="35" t="inlineStr"/>
    </row>
    <row r="3741" ht="27.75" customHeight="1" s="24">
      <c r="A3741" s="13" t="n">
        <v>5000098337</v>
      </c>
      <c r="B3741" s="13" t="inlineStr">
        <is>
          <t>КГАПОУ "РЕГИОНАЛЬНЫЙ ЖЕЛЕЗНОДОРОЖНЫЙ КОЛЛЕДЖ"</t>
        </is>
      </c>
      <c r="C3741" s="13" t="n">
        <v>2511012352</v>
      </c>
      <c r="D3741" s="13" t="inlineStr">
        <is>
          <t>2511012352</t>
        </is>
      </c>
      <c r="E3741" s="13" t="inlineStr">
        <is>
          <t>ЮЛ РФ</t>
        </is>
      </c>
      <c r="F3741" s="13" t="n"/>
      <c r="G3741" s="14" t="n"/>
      <c r="H3741" s="14" t="n"/>
      <c r="I3741" s="14" t="n"/>
      <c r="J3741" s="14" t="n"/>
      <c r="K3741" s="53" t="inlineStr"/>
      <c r="L3741" s="53" t="inlineStr">
        <is>
          <t>Не определено</t>
        </is>
      </c>
      <c r="M3741" s="53" t="inlineStr"/>
      <c r="N3741" s="54" t="inlineStr"/>
      <c r="O3741" s="55" t="inlineStr"/>
      <c r="P3741" s="16" t="inlineStr">
        <is>
          <t>Требует обогащения</t>
        </is>
      </c>
      <c r="Q3741" s="16">
        <f>HYPERLINK("https://pb.nalog.ru/search.html?query=2511012352","ФНС: проверить")</f>
        <v/>
      </c>
      <c r="R3741" s="16">
        <f>HYPERLINK("https://checko.ru/search?query=3801001629","Чекко: проверить")</f>
        <v/>
      </c>
      <c r="S3741" t="n">
        <v>1</v>
      </c>
      <c r="T3741" s="35" t="inlineStr">
        <is>
          <t>4 — Не обогащён</t>
        </is>
      </c>
      <c r="U3741" s="35" t="inlineStr">
        <is>
          <t>Нет ОКВЭД/ССЧР</t>
        </is>
      </c>
      <c r="V3741" s="35" t="inlineStr">
        <is>
          <t>Не определено</t>
        </is>
      </c>
      <c r="W3741" s="35" t="inlineStr"/>
      <c r="X3741" s="35" t="inlineStr"/>
    </row>
    <row r="3742" ht="27.75" customHeight="1" s="24">
      <c r="A3742" s="13" t="n">
        <v>5000029818</v>
      </c>
      <c r="B3742" s="13" t="inlineStr">
        <is>
          <t>ГКУ "Централизованная бухгалтерия здравоохранения"</t>
        </is>
      </c>
      <c r="C3742" s="13" t="n">
        <v>6501238661</v>
      </c>
      <c r="D3742" s="13" t="inlineStr">
        <is>
          <t>6501238661</t>
        </is>
      </c>
      <c r="E3742" s="13" t="inlineStr">
        <is>
          <t>ЮЛ РФ</t>
        </is>
      </c>
      <c r="F3742" s="13" t="n"/>
      <c r="G3742" s="14" t="n"/>
      <c r="H3742" s="14" t="n"/>
      <c r="I3742" s="14" t="n"/>
      <c r="J3742" s="14" t="n"/>
      <c r="K3742" s="53" t="inlineStr"/>
      <c r="L3742" s="53" t="inlineStr">
        <is>
          <t>Не определено</t>
        </is>
      </c>
      <c r="M3742" s="53" t="inlineStr"/>
      <c r="N3742" s="54" t="inlineStr"/>
      <c r="O3742" s="55" t="inlineStr"/>
      <c r="P3742" s="16" t="inlineStr">
        <is>
          <t>Требует обогащения</t>
        </is>
      </c>
      <c r="Q3742" s="16">
        <f>HYPERLINK("https://pb.nalog.ru/search.html?query=6501238661","ФНС: проверить")</f>
        <v/>
      </c>
      <c r="R3742" s="16">
        <f>HYPERLINK("https://checko.ru/search?query=3801001629","Чекко: проверить")</f>
        <v/>
      </c>
      <c r="S3742" t="n">
        <v>1</v>
      </c>
      <c r="T3742" s="35" t="inlineStr">
        <is>
          <t>4 — Не обогащён</t>
        </is>
      </c>
      <c r="U3742" s="35" t="inlineStr">
        <is>
          <t>Нет ОКВЭД/ССЧР</t>
        </is>
      </c>
      <c r="V3742" s="35" t="inlineStr">
        <is>
          <t>Не определено</t>
        </is>
      </c>
      <c r="W3742" s="35" t="inlineStr"/>
      <c r="X3742" s="35" t="inlineStr"/>
    </row>
    <row r="3743" ht="15" customHeight="1" s="24">
      <c r="A3743" s="13" t="n">
        <v>5000098659</v>
      </c>
      <c r="B3743" s="13" t="inlineStr">
        <is>
          <t>ГФУ Санаторий "Тополек"</t>
        </is>
      </c>
      <c r="C3743" s="13" t="n">
        <v>6502004088</v>
      </c>
      <c r="D3743" s="13" t="inlineStr">
        <is>
          <t>6502004088</t>
        </is>
      </c>
      <c r="E3743" s="13" t="inlineStr">
        <is>
          <t>ЮЛ РФ</t>
        </is>
      </c>
      <c r="F3743" s="13" t="n"/>
      <c r="G3743" s="14" t="n"/>
      <c r="H3743" s="14" t="n"/>
      <c r="I3743" s="14" t="n"/>
      <c r="J3743" s="14" t="n"/>
      <c r="K3743" s="53" t="inlineStr"/>
      <c r="L3743" s="53" t="inlineStr">
        <is>
          <t>Не определено</t>
        </is>
      </c>
      <c r="M3743" s="53" t="inlineStr"/>
      <c r="N3743" s="54" t="inlineStr"/>
      <c r="O3743" s="55" t="inlineStr"/>
      <c r="P3743" s="16" t="inlineStr">
        <is>
          <t>Требует обогащения</t>
        </is>
      </c>
      <c r="Q3743" s="16">
        <f>HYPERLINK("https://pb.nalog.ru/search.html?query=6502004088","ФНС: проверить")</f>
        <v/>
      </c>
      <c r="R3743" s="16">
        <f>HYPERLINK("https://checko.ru/search?query=3801001629","Чекко: проверить")</f>
        <v/>
      </c>
      <c r="S3743" t="n">
        <v>1</v>
      </c>
      <c r="T3743" s="35" t="inlineStr">
        <is>
          <t>4 — Не обогащён</t>
        </is>
      </c>
      <c r="U3743" s="35" t="inlineStr">
        <is>
          <t>Нет ОКВЭД/ССЧР</t>
        </is>
      </c>
      <c r="V3743" s="35" t="inlineStr">
        <is>
          <t>Не определено</t>
        </is>
      </c>
      <c r="W3743" s="35" t="inlineStr"/>
      <c r="X3743" s="35" t="inlineStr"/>
    </row>
    <row r="3744" ht="41.25" customHeight="1" s="24">
      <c r="A3744" s="13" t="n">
        <v>5000101071</v>
      </c>
      <c r="B3744" s="13" t="inlineStr">
        <is>
          <t>Муниципальное бюджетное Общеобразовательное учреждение "Онгуренская Средняя Общеобразовательная Школа"</t>
        </is>
      </c>
      <c r="C3744" s="13" t="n">
        <v>3836002302</v>
      </c>
      <c r="D3744" s="13" t="inlineStr">
        <is>
          <t>3836002302</t>
        </is>
      </c>
      <c r="E3744" s="13" t="inlineStr">
        <is>
          <t>ЮЛ РФ</t>
        </is>
      </c>
      <c r="F3744" s="13" t="n"/>
      <c r="G3744" s="14" t="n"/>
      <c r="H3744" s="14" t="n"/>
      <c r="I3744" s="14" t="n"/>
      <c r="J3744" s="14" t="n"/>
      <c r="K3744" s="53" t="inlineStr"/>
      <c r="L3744" s="53" t="inlineStr">
        <is>
          <t>Не определено</t>
        </is>
      </c>
      <c r="M3744" s="53" t="inlineStr"/>
      <c r="N3744" s="54" t="inlineStr"/>
      <c r="O3744" s="55" t="inlineStr"/>
      <c r="P3744" s="16" t="inlineStr">
        <is>
          <t>Требует обогащения</t>
        </is>
      </c>
      <c r="Q3744" s="16">
        <f>HYPERLINK("https://pb.nalog.ru/search.html?query=3836002302","ФНС: проверить")</f>
        <v/>
      </c>
      <c r="R3744" s="16">
        <f>HYPERLINK("https://checko.ru/search?query=3801001629","Чекко: проверить")</f>
        <v/>
      </c>
      <c r="S3744" t="n">
        <v>1</v>
      </c>
      <c r="T3744" s="35" t="inlineStr">
        <is>
          <t>4 — Не обогащён</t>
        </is>
      </c>
      <c r="U3744" s="35" t="inlineStr">
        <is>
          <t>Нет ОКВЭД/ССЧР</t>
        </is>
      </c>
      <c r="V3744" s="35" t="inlineStr">
        <is>
          <t>Не определено</t>
        </is>
      </c>
      <c r="W3744" s="35" t="inlineStr"/>
      <c r="X3744" s="35" t="inlineStr"/>
    </row>
    <row r="3745" ht="15" customHeight="1" s="24">
      <c r="A3745" s="13" t="n">
        <v>5000085014</v>
      </c>
      <c r="B3745" s="13" t="inlineStr">
        <is>
          <t>ОКУ «Смирныховский центр занятости населения»</t>
        </is>
      </c>
      <c r="C3745" s="13" t="n">
        <v>6514000779</v>
      </c>
      <c r="D3745" s="13" t="inlineStr">
        <is>
          <t>6514000779</t>
        </is>
      </c>
      <c r="E3745" s="13" t="inlineStr">
        <is>
          <t>ЮЛ РФ</t>
        </is>
      </c>
      <c r="F3745" s="13" t="n"/>
      <c r="G3745" s="14" t="n"/>
      <c r="H3745" s="14" t="n"/>
      <c r="I3745" s="14" t="n"/>
      <c r="J3745" s="14" t="n"/>
      <c r="K3745" s="53" t="inlineStr"/>
      <c r="L3745" s="53" t="inlineStr">
        <is>
          <t>Не определено</t>
        </is>
      </c>
      <c r="M3745" s="53" t="inlineStr"/>
      <c r="N3745" s="54" t="inlineStr"/>
      <c r="O3745" s="55" t="inlineStr"/>
      <c r="P3745" s="16" t="inlineStr">
        <is>
          <t>Требует обогащения</t>
        </is>
      </c>
      <c r="Q3745" s="16">
        <f>HYPERLINK("https://pb.nalog.ru/search.html?query=6514000779","ФНС: проверить")</f>
        <v/>
      </c>
      <c r="R3745" s="16">
        <f>HYPERLINK("https://checko.ru/search?query=3801001629","Чекко: проверить")</f>
        <v/>
      </c>
      <c r="S3745" t="n">
        <v>1</v>
      </c>
      <c r="T3745" s="35" t="inlineStr">
        <is>
          <t>4 — Не обогащён</t>
        </is>
      </c>
      <c r="U3745" s="35" t="inlineStr">
        <is>
          <t>Нет ОКВЭД/ССЧР</t>
        </is>
      </c>
      <c r="V3745" s="35" t="inlineStr">
        <is>
          <t>Не определено</t>
        </is>
      </c>
      <c r="W3745" s="35" t="inlineStr"/>
      <c r="X3745" s="35" t="inlineStr"/>
    </row>
    <row r="3746" ht="27.75" customHeight="1" s="24">
      <c r="A3746" s="13" t="n">
        <v>5000012963</v>
      </c>
      <c r="B3746" s="13" t="inlineStr">
        <is>
          <t>Государственная жилищная инспекция Сахалинской области</t>
        </is>
      </c>
      <c r="C3746" s="13" t="n">
        <v>6501130026</v>
      </c>
      <c r="D3746" s="13" t="inlineStr">
        <is>
          <t>6501130026</t>
        </is>
      </c>
      <c r="E3746" s="13" t="inlineStr">
        <is>
          <t>ЮЛ РФ</t>
        </is>
      </c>
      <c r="F3746" s="13" t="n"/>
      <c r="G3746" s="14" t="n"/>
      <c r="H3746" s="14" t="n"/>
      <c r="I3746" s="14" t="n"/>
      <c r="J3746" s="14" t="n"/>
      <c r="K3746" s="53" t="inlineStr"/>
      <c r="L3746" s="53" t="inlineStr">
        <is>
          <t>Не определено</t>
        </is>
      </c>
      <c r="M3746" s="53" t="inlineStr"/>
      <c r="N3746" s="54" t="inlineStr"/>
      <c r="O3746" s="55" t="inlineStr"/>
      <c r="P3746" s="16" t="inlineStr">
        <is>
          <t>Требует обогащения</t>
        </is>
      </c>
      <c r="Q3746" s="16">
        <f>HYPERLINK("https://pb.nalog.ru/search.html?query=6501130026","ФНС: проверить")</f>
        <v/>
      </c>
      <c r="R3746" s="16">
        <f>HYPERLINK("https://checko.ru/search?query=3801001629","Чекко: проверить")</f>
        <v/>
      </c>
      <c r="S3746" t="n">
        <v>1</v>
      </c>
      <c r="T3746" s="35" t="inlineStr">
        <is>
          <t>4 — Не обогащён</t>
        </is>
      </c>
      <c r="U3746" s="35" t="inlineStr">
        <is>
          <t>Нет ОКВЭД/ССЧР</t>
        </is>
      </c>
      <c r="V3746" s="35" t="inlineStr">
        <is>
          <t>Не определено</t>
        </is>
      </c>
      <c r="W3746" s="35" t="inlineStr"/>
      <c r="X3746" s="35" t="inlineStr"/>
    </row>
    <row r="3747" ht="27.75" customHeight="1" s="24">
      <c r="A3747" s="13" t="n">
        <v>5000012963</v>
      </c>
      <c r="B3747" s="13" t="inlineStr">
        <is>
          <t>Государственная жилищная инспекция Сахалинской области</t>
        </is>
      </c>
      <c r="C3747" s="13" t="n">
        <v>6501130026</v>
      </c>
      <c r="D3747" s="13" t="inlineStr">
        <is>
          <t>6501130026</t>
        </is>
      </c>
      <c r="E3747" s="13" t="inlineStr">
        <is>
          <t>ЮЛ РФ</t>
        </is>
      </c>
      <c r="F3747" s="13" t="n"/>
      <c r="G3747" s="14" t="n"/>
      <c r="H3747" s="14" t="n"/>
      <c r="I3747" s="14" t="n"/>
      <c r="J3747" s="14" t="n"/>
      <c r="K3747" s="53" t="inlineStr"/>
      <c r="L3747" s="53" t="inlineStr">
        <is>
          <t>Не определено</t>
        </is>
      </c>
      <c r="M3747" s="53" t="inlineStr"/>
      <c r="N3747" s="54" t="inlineStr"/>
      <c r="O3747" s="55" t="inlineStr"/>
      <c r="P3747" s="16" t="inlineStr">
        <is>
          <t>Требует обогащения</t>
        </is>
      </c>
      <c r="Q3747" s="16">
        <f>HYPERLINK("https://pb.nalog.ru/search.html?query=6501130026","ФНС: проверить")</f>
        <v/>
      </c>
      <c r="R3747" s="16">
        <f>HYPERLINK("https://checko.ru/search?query=3801001629","Чекко: проверить")</f>
        <v/>
      </c>
      <c r="S3747" t="n">
        <v>0</v>
      </c>
      <c r="T3747" s="35" t="inlineStr">
        <is>
          <t>4 — Не обогащён</t>
        </is>
      </c>
      <c r="U3747" s="35" t="inlineStr">
        <is>
          <t>Нет ОКВЭД/ССЧР</t>
        </is>
      </c>
      <c r="V3747" s="35" t="inlineStr">
        <is>
          <t>Не определено</t>
        </is>
      </c>
      <c r="W3747" s="35" t="inlineStr"/>
      <c r="X3747" s="35" t="inlineStr"/>
    </row>
    <row r="3748" ht="27.75" customHeight="1" s="24">
      <c r="A3748" s="13" t="n">
        <v>5000098640</v>
      </c>
      <c r="B3748" s="13" t="inlineStr">
        <is>
          <t>ГКУЗ "Сахалинская областная психиатрическая больница"</t>
        </is>
      </c>
      <c r="C3748" s="13" t="n">
        <v>6501025448</v>
      </c>
      <c r="D3748" s="13" t="inlineStr">
        <is>
          <t>6501025448</t>
        </is>
      </c>
      <c r="E3748" s="13" t="inlineStr">
        <is>
          <t>ЮЛ РФ</t>
        </is>
      </c>
      <c r="F3748" s="13" t="n"/>
      <c r="G3748" s="14" t="n"/>
      <c r="H3748" s="14" t="n"/>
      <c r="I3748" s="14" t="n"/>
      <c r="J3748" s="14" t="n"/>
      <c r="K3748" s="53" t="inlineStr"/>
      <c r="L3748" s="53" t="inlineStr">
        <is>
          <t>Не определено</t>
        </is>
      </c>
      <c r="M3748" s="53" t="inlineStr"/>
      <c r="N3748" s="54" t="inlineStr"/>
      <c r="O3748" s="55" t="inlineStr"/>
      <c r="P3748" s="16" t="inlineStr">
        <is>
          <t>Требует обогащения</t>
        </is>
      </c>
      <c r="Q3748" s="16">
        <f>HYPERLINK("https://pb.nalog.ru/search.html?query=6501025448","ФНС: проверить")</f>
        <v/>
      </c>
      <c r="R3748" s="16">
        <f>HYPERLINK("https://checko.ru/search?query=3801001629","Чекко: проверить")</f>
        <v/>
      </c>
      <c r="S3748" t="n">
        <v>1</v>
      </c>
      <c r="T3748" s="35" t="inlineStr">
        <is>
          <t>4 — Не обогащён</t>
        </is>
      </c>
      <c r="U3748" s="35" t="inlineStr">
        <is>
          <t>Нет ОКВЭД/ССЧР</t>
        </is>
      </c>
      <c r="V3748" s="35" t="inlineStr">
        <is>
          <t>Не определено</t>
        </is>
      </c>
      <c r="W3748" s="35" t="inlineStr"/>
      <c r="X3748" s="35" t="inlineStr"/>
    </row>
    <row r="3749" ht="15" customHeight="1" s="24">
      <c r="A3749" s="13" t="n">
        <v>5000098233</v>
      </c>
      <c r="B3749" s="13" t="inlineStr">
        <is>
          <t>ГАУК"Приморская краевая филармония"</t>
        </is>
      </c>
      <c r="C3749" s="13" t="n">
        <v>2540033438</v>
      </c>
      <c r="D3749" s="13" t="inlineStr">
        <is>
          <t>2540033438</t>
        </is>
      </c>
      <c r="E3749" s="13" t="inlineStr">
        <is>
          <t>ЮЛ РФ</t>
        </is>
      </c>
      <c r="F3749" s="13" t="n"/>
      <c r="G3749" s="14" t="n"/>
      <c r="H3749" s="14" t="n"/>
      <c r="I3749" s="14" t="n"/>
      <c r="J3749" s="14" t="n"/>
      <c r="K3749" s="53" t="inlineStr"/>
      <c r="L3749" s="53" t="inlineStr">
        <is>
          <t>Не определено</t>
        </is>
      </c>
      <c r="M3749" s="53" t="inlineStr"/>
      <c r="N3749" s="54" t="inlineStr"/>
      <c r="O3749" s="55" t="inlineStr"/>
      <c r="P3749" s="16" t="inlineStr">
        <is>
          <t>Требует обогащения</t>
        </is>
      </c>
      <c r="Q3749" s="16">
        <f>HYPERLINK("https://pb.nalog.ru/search.html?query=2540033438","ФНС: проверить")</f>
        <v/>
      </c>
      <c r="R3749" s="16">
        <f>HYPERLINK("https://checko.ru/search?query=3801001629","Чекко: проверить")</f>
        <v/>
      </c>
      <c r="S3749" t="n">
        <v>1</v>
      </c>
      <c r="T3749" s="35" t="inlineStr">
        <is>
          <t>4 — Не обогащён</t>
        </is>
      </c>
      <c r="U3749" s="35" t="inlineStr">
        <is>
          <t>Нет ОКВЭД/ССЧР</t>
        </is>
      </c>
      <c r="V3749" s="35" t="inlineStr">
        <is>
          <t>Не определено</t>
        </is>
      </c>
      <c r="W3749" s="35" t="inlineStr"/>
      <c r="X3749" s="35" t="inlineStr"/>
    </row>
    <row r="3750" ht="27.75" customHeight="1" s="24">
      <c r="A3750" s="13" t="n">
        <v>5000030389</v>
      </c>
      <c r="B3750" s="13" t="inlineStr">
        <is>
          <t>Министерство культуры и архивного дела Сахалинской области</t>
        </is>
      </c>
      <c r="C3750" s="13" t="n">
        <v>6501140151</v>
      </c>
      <c r="D3750" s="13" t="inlineStr">
        <is>
          <t>6501140151</t>
        </is>
      </c>
      <c r="E3750" s="13" t="inlineStr">
        <is>
          <t>ЮЛ РФ</t>
        </is>
      </c>
      <c r="F3750" s="13" t="n"/>
      <c r="G3750" s="14" t="n"/>
      <c r="H3750" s="14" t="n"/>
      <c r="I3750" s="14" t="n"/>
      <c r="J3750" s="14" t="n"/>
      <c r="K3750" s="53" t="inlineStr"/>
      <c r="L3750" s="53" t="inlineStr">
        <is>
          <t>Не определено</t>
        </is>
      </c>
      <c r="M3750" s="53" t="inlineStr"/>
      <c r="N3750" s="54" t="inlineStr"/>
      <c r="O3750" s="55" t="inlineStr"/>
      <c r="P3750" s="16" t="inlineStr">
        <is>
          <t>Требует обогащения</t>
        </is>
      </c>
      <c r="Q3750" s="16">
        <f>HYPERLINK("https://pb.nalog.ru/search.html?query=6501140151","ФНС: проверить")</f>
        <v/>
      </c>
      <c r="R3750" s="16">
        <f>HYPERLINK("https://checko.ru/search?query=3801001629","Чекко: проверить")</f>
        <v/>
      </c>
      <c r="S3750" t="n">
        <v>1</v>
      </c>
      <c r="T3750" s="35" t="inlineStr">
        <is>
          <t>4 — Не обогащён</t>
        </is>
      </c>
      <c r="U3750" s="35" t="inlineStr">
        <is>
          <t>Нет ОКВЭД/ССЧР</t>
        </is>
      </c>
      <c r="V3750" s="35" t="inlineStr">
        <is>
          <t>Не определено</t>
        </is>
      </c>
      <c r="W3750" s="35" t="inlineStr"/>
      <c r="X3750" s="35" t="inlineStr"/>
    </row>
    <row r="3751" ht="27.75" customHeight="1" s="24">
      <c r="A3751" s="13" t="n">
        <v>5000024481</v>
      </c>
      <c r="B3751" s="13" t="inlineStr">
        <is>
          <t>Территориальный орган администрации МО «Макаровский городской округ»</t>
        </is>
      </c>
      <c r="C3751" s="13" t="n">
        <v>6507015446</v>
      </c>
      <c r="D3751" s="13" t="inlineStr">
        <is>
          <t>6507015446</t>
        </is>
      </c>
      <c r="E3751" s="13" t="inlineStr">
        <is>
          <t>ЮЛ РФ</t>
        </is>
      </c>
      <c r="F3751" s="13" t="n"/>
      <c r="G3751" s="14" t="n"/>
      <c r="H3751" s="14" t="n"/>
      <c r="I3751" s="14" t="n"/>
      <c r="J3751" s="14" t="n"/>
      <c r="K3751" s="53" t="inlineStr"/>
      <c r="L3751" s="53" t="inlineStr">
        <is>
          <t>Не определено</t>
        </is>
      </c>
      <c r="M3751" s="53" t="inlineStr"/>
      <c r="N3751" s="54" t="inlineStr"/>
      <c r="O3751" s="55" t="inlineStr"/>
      <c r="P3751" s="16" t="inlineStr">
        <is>
          <t>Требует обогащения</t>
        </is>
      </c>
      <c r="Q3751" s="16">
        <f>HYPERLINK("https://pb.nalog.ru/search.html?query=6507015446","ФНС: проверить")</f>
        <v/>
      </c>
      <c r="R3751" s="16">
        <f>HYPERLINK("https://checko.ru/search?query=3801001629","Чекко: проверить")</f>
        <v/>
      </c>
      <c r="S3751" t="n">
        <v>1</v>
      </c>
      <c r="T3751" s="35" t="inlineStr">
        <is>
          <t>4 — Не обогащён</t>
        </is>
      </c>
      <c r="U3751" s="35" t="inlineStr">
        <is>
          <t>Нет ОКВЭД/ССЧР</t>
        </is>
      </c>
      <c r="V3751" s="35" t="inlineStr">
        <is>
          <t>Не определено</t>
        </is>
      </c>
      <c r="W3751" s="35" t="inlineStr"/>
      <c r="X3751" s="35" t="inlineStr"/>
    </row>
    <row r="3752" ht="68.25" customHeight="1" s="24">
      <c r="A3752" s="13" t="n">
        <v>5000089274</v>
      </c>
      <c r="B3752" s="13" t="inlineStr">
        <is>
          <t>КРАЕВОЕ ГОСУДАРСТВЕННОЕ ОБЩЕОБРАЗОВАТЕЛЬНОЕ БЮДЖЕТНОЕ УЧРЕЖДЕНИЕ "ЛЕСОЗАВОДСКАЯ СПЕЦИАЛЬНАЯ (КОРРЕКЦИОННАЯ) ОБЩЕОБРАЗОВАТЕЛЬНАЯ ШКОЛА-ИНТЕРНАТ"</t>
        </is>
      </c>
      <c r="C3752" s="13" t="n">
        <v>2507011691</v>
      </c>
      <c r="D3752" s="13" t="inlineStr">
        <is>
          <t>2507011691</t>
        </is>
      </c>
      <c r="E3752" s="13" t="inlineStr">
        <is>
          <t>ЮЛ РФ</t>
        </is>
      </c>
      <c r="F3752" s="13" t="n"/>
      <c r="G3752" s="14" t="n"/>
      <c r="H3752" s="14" t="n"/>
      <c r="I3752" s="14" t="n"/>
      <c r="J3752" s="14" t="n"/>
      <c r="K3752" s="53" t="inlineStr"/>
      <c r="L3752" s="53" t="inlineStr">
        <is>
          <t>Не определено</t>
        </is>
      </c>
      <c r="M3752" s="53" t="inlineStr"/>
      <c r="N3752" s="54" t="inlineStr"/>
      <c r="O3752" s="55" t="inlineStr"/>
      <c r="P3752" s="16" t="inlineStr">
        <is>
          <t>Требует обогащения</t>
        </is>
      </c>
      <c r="Q3752" s="16">
        <f>HYPERLINK("https://pb.nalog.ru/search.html?query=2507011691","ФНС: проверить")</f>
        <v/>
      </c>
      <c r="R3752" s="16">
        <f>HYPERLINK("https://checko.ru/search?query=3801001629","Чекко: проверить")</f>
        <v/>
      </c>
      <c r="S3752" t="n">
        <v>1</v>
      </c>
      <c r="T3752" s="35" t="inlineStr">
        <is>
          <t>4 — Не обогащён</t>
        </is>
      </c>
      <c r="U3752" s="35" t="inlineStr">
        <is>
          <t>Нет ОКВЭД/ССЧР</t>
        </is>
      </c>
      <c r="V3752" s="35" t="inlineStr">
        <is>
          <t>Не определено</t>
        </is>
      </c>
      <c r="W3752" s="35" t="inlineStr"/>
      <c r="X3752" s="35" t="inlineStr"/>
    </row>
    <row r="3753" ht="27.75" customHeight="1" s="24">
      <c r="A3753" s="13" t="n">
        <v>5000030389</v>
      </c>
      <c r="B3753" s="13" t="inlineStr">
        <is>
          <t>Министерство культуры и архивного дела Сахалинской области</t>
        </is>
      </c>
      <c r="C3753" s="13" t="n">
        <v>6501140151</v>
      </c>
      <c r="D3753" s="13" t="inlineStr">
        <is>
          <t>6501140151</t>
        </is>
      </c>
      <c r="E3753" s="13" t="inlineStr">
        <is>
          <t>ЮЛ РФ</t>
        </is>
      </c>
      <c r="F3753" s="13" t="n"/>
      <c r="G3753" s="14" t="n"/>
      <c r="H3753" s="14" t="n"/>
      <c r="I3753" s="14" t="n"/>
      <c r="J3753" s="14" t="n"/>
      <c r="K3753" s="53" t="inlineStr"/>
      <c r="L3753" s="53" t="inlineStr">
        <is>
          <t>Не определено</t>
        </is>
      </c>
      <c r="M3753" s="53" t="inlineStr"/>
      <c r="N3753" s="54" t="inlineStr"/>
      <c r="O3753" s="55" t="inlineStr"/>
      <c r="P3753" s="16" t="inlineStr">
        <is>
          <t>Требует обогащения</t>
        </is>
      </c>
      <c r="Q3753" s="16">
        <f>HYPERLINK("https://pb.nalog.ru/search.html?query=6501140151","ФНС: проверить")</f>
        <v/>
      </c>
      <c r="R3753" s="16">
        <f>HYPERLINK("https://checko.ru/search?query=3801001629","Чекко: проверить")</f>
        <v/>
      </c>
      <c r="S3753" t="n">
        <v>0</v>
      </c>
      <c r="T3753" s="35" t="inlineStr">
        <is>
          <t>4 — Не обогащён</t>
        </is>
      </c>
      <c r="U3753" s="35" t="inlineStr">
        <is>
          <t>Нет ОКВЭД/ССЧР</t>
        </is>
      </c>
      <c r="V3753" s="35" t="inlineStr">
        <is>
          <t>Не определено</t>
        </is>
      </c>
      <c r="W3753" s="35" t="inlineStr"/>
      <c r="X3753" s="35" t="inlineStr"/>
    </row>
    <row r="3754" ht="15" customHeight="1" s="24">
      <c r="A3754" s="13" t="n">
        <v>5000024471</v>
      </c>
      <c r="B3754" s="13" t="inlineStr">
        <is>
          <t>КУМС МО «Макаровский городской округ»</t>
        </is>
      </c>
      <c r="C3754" s="13" t="n">
        <v>6512003950</v>
      </c>
      <c r="D3754" s="13" t="inlineStr">
        <is>
          <t>6512003950</t>
        </is>
      </c>
      <c r="E3754" s="13" t="inlineStr">
        <is>
          <t>ЮЛ РФ</t>
        </is>
      </c>
      <c r="F3754" s="13" t="n"/>
      <c r="G3754" s="14" t="n"/>
      <c r="H3754" s="14" t="n"/>
      <c r="I3754" s="14" t="n"/>
      <c r="J3754" s="14" t="n"/>
      <c r="K3754" s="53" t="inlineStr"/>
      <c r="L3754" s="53" t="inlineStr">
        <is>
          <t>Не определено</t>
        </is>
      </c>
      <c r="M3754" s="53" t="inlineStr"/>
      <c r="N3754" s="54" t="inlineStr"/>
      <c r="O3754" s="55" t="inlineStr"/>
      <c r="P3754" s="16" t="inlineStr">
        <is>
          <t>Требует обогащения</t>
        </is>
      </c>
      <c r="Q3754" s="16">
        <f>HYPERLINK("https://pb.nalog.ru/search.html?query=6512003950","ФНС: проверить")</f>
        <v/>
      </c>
      <c r="R3754" s="16">
        <f>HYPERLINK("https://checko.ru/search?query=3801001629","Чекко: проверить")</f>
        <v/>
      </c>
      <c r="S3754" t="n">
        <v>1</v>
      </c>
      <c r="T3754" s="35" t="inlineStr">
        <is>
          <t>4 — Не обогащён</t>
        </is>
      </c>
      <c r="U3754" s="35" t="inlineStr">
        <is>
          <t>Нет ОКВЭД/ССЧР</t>
        </is>
      </c>
      <c r="V3754" s="35" t="inlineStr">
        <is>
          <t>Не определено</t>
        </is>
      </c>
      <c r="W3754" s="35" t="inlineStr"/>
      <c r="X3754" s="35" t="inlineStr"/>
    </row>
    <row r="3755" ht="15" customHeight="1" s="24">
      <c r="A3755" s="13" t="n">
        <v>5000024471</v>
      </c>
      <c r="B3755" s="13" t="inlineStr">
        <is>
          <t>КУМС МО «Макаровский городской округ»</t>
        </is>
      </c>
      <c r="C3755" s="13" t="n">
        <v>6512003950</v>
      </c>
      <c r="D3755" s="13" t="inlineStr">
        <is>
          <t>6512003950</t>
        </is>
      </c>
      <c r="E3755" s="13" t="inlineStr">
        <is>
          <t>ЮЛ РФ</t>
        </is>
      </c>
      <c r="F3755" s="13" t="n"/>
      <c r="G3755" s="14" t="n"/>
      <c r="H3755" s="14" t="n"/>
      <c r="I3755" s="14" t="n"/>
      <c r="J3755" s="14" t="n"/>
      <c r="K3755" s="53" t="inlineStr"/>
      <c r="L3755" s="53" t="inlineStr">
        <is>
          <t>Не определено</t>
        </is>
      </c>
      <c r="M3755" s="53" t="inlineStr"/>
      <c r="N3755" s="54" t="inlineStr"/>
      <c r="O3755" s="55" t="inlineStr"/>
      <c r="P3755" s="16" t="inlineStr">
        <is>
          <t>Требует обогащения</t>
        </is>
      </c>
      <c r="Q3755" s="16">
        <f>HYPERLINK("https://pb.nalog.ru/search.html?query=6512003950","ФНС: проверить")</f>
        <v/>
      </c>
      <c r="R3755" s="16">
        <f>HYPERLINK("https://checko.ru/search?query=3801001629","Чекко: проверить")</f>
        <v/>
      </c>
      <c r="S3755" t="n">
        <v>0</v>
      </c>
      <c r="T3755" s="35" t="inlineStr">
        <is>
          <t>4 — Не обогащён</t>
        </is>
      </c>
      <c r="U3755" s="35" t="inlineStr">
        <is>
          <t>Нет ОКВЭД/ССЧР</t>
        </is>
      </c>
      <c r="V3755" s="35" t="inlineStr">
        <is>
          <t>Не определено</t>
        </is>
      </c>
      <c r="W3755" s="35" t="inlineStr"/>
      <c r="X3755" s="35" t="inlineStr"/>
    </row>
    <row r="3756" ht="15" customHeight="1" s="24">
      <c r="A3756" s="13" t="n">
        <v>5000024472</v>
      </c>
      <c r="B3756" s="13" t="inlineStr">
        <is>
          <t>Собрание МО «Макаровский городской округ»</t>
        </is>
      </c>
      <c r="C3756" s="13" t="n">
        <v>6512002883</v>
      </c>
      <c r="D3756" s="13" t="inlineStr">
        <is>
          <t>6512002883</t>
        </is>
      </c>
      <c r="E3756" s="13" t="inlineStr">
        <is>
          <t>ЮЛ РФ</t>
        </is>
      </c>
      <c r="F3756" s="13" t="n"/>
      <c r="G3756" s="14" t="n"/>
      <c r="H3756" s="14" t="n"/>
      <c r="I3756" s="14" t="n"/>
      <c r="J3756" s="14" t="n"/>
      <c r="K3756" s="53" t="inlineStr"/>
      <c r="L3756" s="53" t="inlineStr">
        <is>
          <t>Не определено</t>
        </is>
      </c>
      <c r="M3756" s="53" t="inlineStr"/>
      <c r="N3756" s="54" t="inlineStr"/>
      <c r="O3756" s="55" t="inlineStr"/>
      <c r="P3756" s="16" t="inlineStr">
        <is>
          <t>Требует обогащения</t>
        </is>
      </c>
      <c r="Q3756" s="16">
        <f>HYPERLINK("https://pb.nalog.ru/search.html?query=6512002883","ФНС: проверить")</f>
        <v/>
      </c>
      <c r="R3756" s="16">
        <f>HYPERLINK("https://checko.ru/search?query=3801001629","Чекко: проверить")</f>
        <v/>
      </c>
      <c r="S3756" t="n">
        <v>1</v>
      </c>
      <c r="T3756" s="35" t="inlineStr">
        <is>
          <t>4 — Не обогащён</t>
        </is>
      </c>
      <c r="U3756" s="35" t="inlineStr">
        <is>
          <t>Нет ОКВЭД/ССЧР</t>
        </is>
      </c>
      <c r="V3756" s="35" t="inlineStr">
        <is>
          <t>Не определено</t>
        </is>
      </c>
      <c r="W3756" s="35" t="inlineStr"/>
      <c r="X3756" s="35" t="inlineStr"/>
    </row>
    <row r="3757" ht="15" customHeight="1" s="24">
      <c r="A3757" s="13" t="n">
        <v>5000024473</v>
      </c>
      <c r="B3757" s="13" t="inlineStr">
        <is>
          <t>КСО МО «Макаровский городской округ»</t>
        </is>
      </c>
      <c r="C3757" s="13" t="n">
        <v>6512004658</v>
      </c>
      <c r="D3757" s="13" t="inlineStr">
        <is>
          <t>6512004658</t>
        </is>
      </c>
      <c r="E3757" s="13" t="inlineStr">
        <is>
          <t>ЮЛ РФ</t>
        </is>
      </c>
      <c r="F3757" s="13" t="n"/>
      <c r="G3757" s="14" t="n"/>
      <c r="H3757" s="14" t="n"/>
      <c r="I3757" s="14" t="n"/>
      <c r="J3757" s="14" t="n"/>
      <c r="K3757" s="53" t="inlineStr"/>
      <c r="L3757" s="53" t="inlineStr">
        <is>
          <t>Не определено</t>
        </is>
      </c>
      <c r="M3757" s="53" t="inlineStr"/>
      <c r="N3757" s="54" t="inlineStr"/>
      <c r="O3757" s="55" t="inlineStr"/>
      <c r="P3757" s="16" t="inlineStr">
        <is>
          <t>Требует обогащения</t>
        </is>
      </c>
      <c r="Q3757" s="16">
        <f>HYPERLINK("https://pb.nalog.ru/search.html?query=6512004658","ФНС: проверить")</f>
        <v/>
      </c>
      <c r="R3757" s="16">
        <f>HYPERLINK("https://checko.ru/search?query=3801001629","Чекко: проверить")</f>
        <v/>
      </c>
      <c r="S3757" t="n">
        <v>1</v>
      </c>
      <c r="T3757" s="35" t="inlineStr">
        <is>
          <t>4 — Не обогащён</t>
        </is>
      </c>
      <c r="U3757" s="35" t="inlineStr">
        <is>
          <t>Нет ОКВЭД/ССЧР</t>
        </is>
      </c>
      <c r="V3757" s="35" t="inlineStr">
        <is>
          <t>Не определено</t>
        </is>
      </c>
      <c r="W3757" s="35" t="inlineStr"/>
      <c r="X3757" s="35" t="inlineStr"/>
    </row>
    <row r="3758" ht="15" customHeight="1" s="24">
      <c r="A3758" s="13" t="n">
        <v>5000024476</v>
      </c>
      <c r="B3758" s="13" t="inlineStr">
        <is>
          <t>МКУ «УКС МО «Макаровский городской округ»</t>
        </is>
      </c>
      <c r="C3758" s="13" t="n">
        <v>6512004707</v>
      </c>
      <c r="D3758" s="13" t="inlineStr">
        <is>
          <t>6512004707</t>
        </is>
      </c>
      <c r="E3758" s="13" t="inlineStr">
        <is>
          <t>ЮЛ РФ</t>
        </is>
      </c>
      <c r="F3758" s="13" t="n"/>
      <c r="G3758" s="14" t="n"/>
      <c r="H3758" s="14" t="n"/>
      <c r="I3758" s="14" t="n"/>
      <c r="J3758" s="14" t="n"/>
      <c r="K3758" s="53" t="inlineStr"/>
      <c r="L3758" s="53" t="inlineStr">
        <is>
          <t>Не определено</t>
        </is>
      </c>
      <c r="M3758" s="53" t="inlineStr"/>
      <c r="N3758" s="54" t="inlineStr"/>
      <c r="O3758" s="55" t="inlineStr"/>
      <c r="P3758" s="16" t="inlineStr">
        <is>
          <t>Требует обогащения</t>
        </is>
      </c>
      <c r="Q3758" s="16">
        <f>HYPERLINK("https://pb.nalog.ru/search.html?query=6512004707","ФНС: проверить")</f>
        <v/>
      </c>
      <c r="R3758" s="16">
        <f>HYPERLINK("https://checko.ru/search?query=3801001629","Чекко: проверить")</f>
        <v/>
      </c>
      <c r="S3758" t="n">
        <v>1</v>
      </c>
      <c r="T3758" s="35" t="inlineStr">
        <is>
          <t>4 — Не обогащён</t>
        </is>
      </c>
      <c r="U3758" s="35" t="inlineStr">
        <is>
          <t>Нет ОКВЭД/ССЧР</t>
        </is>
      </c>
      <c r="V3758" s="35" t="inlineStr">
        <is>
          <t>Не определено</t>
        </is>
      </c>
      <c r="W3758" s="35" t="inlineStr"/>
      <c r="X3758" s="35" t="inlineStr"/>
    </row>
    <row r="3759" ht="15" customHeight="1" s="24">
      <c r="A3759" s="13" t="n">
        <v>5000024477</v>
      </c>
      <c r="B3759" s="13" t="inlineStr">
        <is>
          <t>МКУ «УМЗ МО «Макаровский городской округ»</t>
        </is>
      </c>
      <c r="C3759" s="13" t="n">
        <v>6512004873</v>
      </c>
      <c r="D3759" s="13" t="inlineStr">
        <is>
          <t>6512004873</t>
        </is>
      </c>
      <c r="E3759" s="13" t="inlineStr">
        <is>
          <t>ЮЛ РФ</t>
        </is>
      </c>
      <c r="F3759" s="13" t="n"/>
      <c r="G3759" s="14" t="n"/>
      <c r="H3759" s="14" t="n"/>
      <c r="I3759" s="14" t="n"/>
      <c r="J3759" s="14" t="n"/>
      <c r="K3759" s="53" t="inlineStr"/>
      <c r="L3759" s="53" t="inlineStr">
        <is>
          <t>Не определено</t>
        </is>
      </c>
      <c r="M3759" s="53" t="inlineStr"/>
      <c r="N3759" s="54" t="inlineStr"/>
      <c r="O3759" s="55" t="inlineStr"/>
      <c r="P3759" s="16" t="inlineStr">
        <is>
          <t>Требует обогащения</t>
        </is>
      </c>
      <c r="Q3759" s="16">
        <f>HYPERLINK("https://pb.nalog.ru/search.html?query=6512004873","ФНС: проверить")</f>
        <v/>
      </c>
      <c r="R3759" s="16">
        <f>HYPERLINK("https://checko.ru/search?query=3801001629","Чекко: проверить")</f>
        <v/>
      </c>
      <c r="S3759" t="n">
        <v>1</v>
      </c>
      <c r="T3759" s="35" t="inlineStr">
        <is>
          <t>4 — Не обогащён</t>
        </is>
      </c>
      <c r="U3759" s="35" t="inlineStr">
        <is>
          <t>Нет ОКВЭД/ССЧР</t>
        </is>
      </c>
      <c r="V3759" s="35" t="inlineStr">
        <is>
          <t>Не определено</t>
        </is>
      </c>
      <c r="W3759" s="35" t="inlineStr"/>
      <c r="X3759" s="35" t="inlineStr"/>
    </row>
    <row r="3760" ht="27.75" customHeight="1" s="24">
      <c r="A3760" s="13" t="n">
        <v>5000025422</v>
      </c>
      <c r="B3760" s="13" t="inlineStr">
        <is>
          <t>МБУК Культурно - информационный центр муниципального образования "Половинка"</t>
        </is>
      </c>
      <c r="C3760" s="13" t="n">
        <v>3849019600</v>
      </c>
      <c r="D3760" s="13" t="inlineStr">
        <is>
          <t>3849019600</t>
        </is>
      </c>
      <c r="E3760" s="13" t="inlineStr">
        <is>
          <t>ЮЛ РФ</t>
        </is>
      </c>
      <c r="F3760" s="13" t="n"/>
      <c r="G3760" s="14" t="n"/>
      <c r="H3760" s="14" t="n"/>
      <c r="I3760" s="14" t="n"/>
      <c r="J3760" s="14" t="n"/>
      <c r="K3760" s="53" t="inlineStr"/>
      <c r="L3760" s="53" t="inlineStr">
        <is>
          <t>Не определено</t>
        </is>
      </c>
      <c r="M3760" s="53" t="inlineStr"/>
      <c r="N3760" s="54" t="inlineStr"/>
      <c r="O3760" s="55" t="inlineStr"/>
      <c r="P3760" s="16" t="inlineStr">
        <is>
          <t>Требует обогащения</t>
        </is>
      </c>
      <c r="Q3760" s="16">
        <f>HYPERLINK("https://pb.nalog.ru/search.html?query=3849019600","ФНС: проверить")</f>
        <v/>
      </c>
      <c r="R3760" s="16">
        <f>HYPERLINK("https://checko.ru/search?query=3801001629","Чекко: проверить")</f>
        <v/>
      </c>
      <c r="S3760" t="n">
        <v>1</v>
      </c>
      <c r="T3760" s="35" t="inlineStr">
        <is>
          <t>4 — Не обогащён</t>
        </is>
      </c>
      <c r="U3760" s="35" t="inlineStr">
        <is>
          <t>Нет ОКВЭД/ССЧР</t>
        </is>
      </c>
      <c r="V3760" s="35" t="inlineStr">
        <is>
          <t>Не определено</t>
        </is>
      </c>
      <c r="W3760" s="35" t="inlineStr"/>
      <c r="X3760" s="35" t="inlineStr"/>
    </row>
    <row r="3761" ht="15" customHeight="1" s="24">
      <c r="A3761" s="13" t="n">
        <v>5000024478</v>
      </c>
      <c r="B3761" s="13" t="inlineStr">
        <is>
          <t>МКУ «ХТУ МО «Макаровский городской округ»</t>
        </is>
      </c>
      <c r="C3761" s="13" t="n">
        <v>6512004665</v>
      </c>
      <c r="D3761" s="13" t="inlineStr">
        <is>
          <t>6512004665</t>
        </is>
      </c>
      <c r="E3761" s="13" t="inlineStr">
        <is>
          <t>ЮЛ РФ</t>
        </is>
      </c>
      <c r="F3761" s="13" t="n"/>
      <c r="G3761" s="14" t="n"/>
      <c r="H3761" s="14" t="n"/>
      <c r="I3761" s="14" t="n"/>
      <c r="J3761" s="14" t="n"/>
      <c r="K3761" s="53" t="inlineStr"/>
      <c r="L3761" s="53" t="inlineStr">
        <is>
          <t>Не определено</t>
        </is>
      </c>
      <c r="M3761" s="53" t="inlineStr"/>
      <c r="N3761" s="54" t="inlineStr"/>
      <c r="O3761" s="55" t="inlineStr"/>
      <c r="P3761" s="16" t="inlineStr">
        <is>
          <t>Требует обогащения</t>
        </is>
      </c>
      <c r="Q3761" s="16">
        <f>HYPERLINK("https://pb.nalog.ru/search.html?query=6512004665","ФНС: проверить")</f>
        <v/>
      </c>
      <c r="R3761" s="16">
        <f>HYPERLINK("https://checko.ru/search?query=3801001629","Чекко: проверить")</f>
        <v/>
      </c>
      <c r="S3761" t="n">
        <v>1</v>
      </c>
      <c r="T3761" s="35" t="inlineStr">
        <is>
          <t>4 — Не обогащён</t>
        </is>
      </c>
      <c r="U3761" s="35" t="inlineStr">
        <is>
          <t>Нет ОКВЭД/ССЧР</t>
        </is>
      </c>
      <c r="V3761" s="35" t="inlineStr">
        <is>
          <t>Не определено</t>
        </is>
      </c>
      <c r="W3761" s="35" t="inlineStr"/>
      <c r="X3761" s="35" t="inlineStr"/>
    </row>
    <row r="3762" ht="27.75" customHeight="1" s="24">
      <c r="A3762" s="13" t="n">
        <v>5000024479</v>
      </c>
      <c r="B3762" s="13" t="inlineStr">
        <is>
          <t>МКУ «Управление по делам ГО и ЧС МО «Макаровский городской округ»</t>
        </is>
      </c>
      <c r="C3762" s="13" t="n">
        <v>6512005010</v>
      </c>
      <c r="D3762" s="13" t="inlineStr">
        <is>
          <t>6512005010</t>
        </is>
      </c>
      <c r="E3762" s="13" t="inlineStr">
        <is>
          <t>ЮЛ РФ</t>
        </is>
      </c>
      <c r="F3762" s="13" t="n"/>
      <c r="G3762" s="14" t="n"/>
      <c r="H3762" s="14" t="n"/>
      <c r="I3762" s="14" t="n"/>
      <c r="J3762" s="14" t="n"/>
      <c r="K3762" s="53" t="inlineStr"/>
      <c r="L3762" s="53" t="inlineStr">
        <is>
          <t>Не определено</t>
        </is>
      </c>
      <c r="M3762" s="53" t="inlineStr"/>
      <c r="N3762" s="54" t="inlineStr"/>
      <c r="O3762" s="55" t="inlineStr"/>
      <c r="P3762" s="16" t="inlineStr">
        <is>
          <t>Требует обогащения</t>
        </is>
      </c>
      <c r="Q3762" s="16">
        <f>HYPERLINK("https://pb.nalog.ru/search.html?query=6512005010","ФНС: проверить")</f>
        <v/>
      </c>
      <c r="R3762" s="16">
        <f>HYPERLINK("https://checko.ru/search?query=3801001629","Чекко: проверить")</f>
        <v/>
      </c>
      <c r="S3762" t="n">
        <v>1</v>
      </c>
      <c r="T3762" s="35" t="inlineStr">
        <is>
          <t>4 — Не обогащён</t>
        </is>
      </c>
      <c r="U3762" s="35" t="inlineStr">
        <is>
          <t>Нет ОКВЭД/ССЧР</t>
        </is>
      </c>
      <c r="V3762" s="35" t="inlineStr">
        <is>
          <t>Не определено</t>
        </is>
      </c>
      <c r="W3762" s="35" t="inlineStr"/>
      <c r="X3762" s="35" t="inlineStr"/>
    </row>
    <row r="3763" ht="27.75" customHeight="1" s="24">
      <c r="A3763" s="13" t="n">
        <v>5000024480</v>
      </c>
      <c r="B3763" s="13" t="inlineStr">
        <is>
          <t>МКУ «Управление делами» МО «Макаровский городской округ»</t>
        </is>
      </c>
      <c r="C3763" s="13" t="n">
        <v>6512005080</v>
      </c>
      <c r="D3763" s="13" t="inlineStr">
        <is>
          <t>6512005080</t>
        </is>
      </c>
      <c r="E3763" s="13" t="inlineStr">
        <is>
          <t>ЮЛ РФ</t>
        </is>
      </c>
      <c r="F3763" s="13" t="n"/>
      <c r="G3763" s="14" t="n"/>
      <c r="H3763" s="14" t="n"/>
      <c r="I3763" s="14" t="n"/>
      <c r="J3763" s="14" t="n"/>
      <c r="K3763" s="53" t="inlineStr"/>
      <c r="L3763" s="53" t="inlineStr">
        <is>
          <t>Не определено</t>
        </is>
      </c>
      <c r="M3763" s="53" t="inlineStr"/>
      <c r="N3763" s="54" t="inlineStr"/>
      <c r="O3763" s="55" t="inlineStr"/>
      <c r="P3763" s="16" t="inlineStr">
        <is>
          <t>Требует обогащения</t>
        </is>
      </c>
      <c r="Q3763" s="16">
        <f>HYPERLINK("https://pb.nalog.ru/search.html?query=6512005080","ФНС: проверить")</f>
        <v/>
      </c>
      <c r="R3763" s="16">
        <f>HYPERLINK("https://checko.ru/search?query=3801001629","Чекко: проверить")</f>
        <v/>
      </c>
      <c r="S3763" t="n">
        <v>1</v>
      </c>
      <c r="T3763" s="35" t="inlineStr">
        <is>
          <t>4 — Не обогащён</t>
        </is>
      </c>
      <c r="U3763" s="35" t="inlineStr">
        <is>
          <t>Нет ОКВЭД/ССЧР</t>
        </is>
      </c>
      <c r="V3763" s="35" t="inlineStr">
        <is>
          <t>Не определено</t>
        </is>
      </c>
      <c r="W3763" s="35" t="inlineStr"/>
      <c r="X3763" s="35" t="inlineStr"/>
    </row>
    <row r="3764" ht="27.75" customHeight="1" s="24">
      <c r="A3764" s="13" t="n">
        <v>5000024481</v>
      </c>
      <c r="B3764" s="13" t="inlineStr">
        <is>
          <t>Территориальный орган администрации МО «Макаровский городской округ»</t>
        </is>
      </c>
      <c r="C3764" s="13" t="n">
        <v>6507015446</v>
      </c>
      <c r="D3764" s="13" t="inlineStr">
        <is>
          <t>6507015446</t>
        </is>
      </c>
      <c r="E3764" s="13" t="inlineStr">
        <is>
          <t>ЮЛ РФ</t>
        </is>
      </c>
      <c r="F3764" s="13" t="n"/>
      <c r="G3764" s="14" t="n"/>
      <c r="H3764" s="14" t="n"/>
      <c r="I3764" s="14" t="n"/>
      <c r="J3764" s="14" t="n"/>
      <c r="K3764" s="53" t="inlineStr"/>
      <c r="L3764" s="53" t="inlineStr">
        <is>
          <t>Не определено</t>
        </is>
      </c>
      <c r="M3764" s="53" t="inlineStr"/>
      <c r="N3764" s="54" t="inlineStr"/>
      <c r="O3764" s="55" t="inlineStr"/>
      <c r="P3764" s="16" t="inlineStr">
        <is>
          <t>Требует обогащения</t>
        </is>
      </c>
      <c r="Q3764" s="16">
        <f>HYPERLINK("https://pb.nalog.ru/search.html?query=6507015446","ФНС: проверить")</f>
        <v/>
      </c>
      <c r="R3764" s="16">
        <f>HYPERLINK("https://checko.ru/search?query=3801001629","Чекко: проверить")</f>
        <v/>
      </c>
      <c r="S3764" t="n">
        <v>0</v>
      </c>
      <c r="T3764" s="35" t="inlineStr">
        <is>
          <t>4 — Не обогащён</t>
        </is>
      </c>
      <c r="U3764" s="35" t="inlineStr">
        <is>
          <t>Нет ОКВЭД/ССЧР</t>
        </is>
      </c>
      <c r="V3764" s="35" t="inlineStr">
        <is>
          <t>Не определено</t>
        </is>
      </c>
      <c r="W3764" s="35" t="inlineStr"/>
      <c r="X3764" s="35" t="inlineStr"/>
    </row>
    <row r="3765" ht="27.75" customHeight="1" s="24">
      <c r="A3765" s="13" t="n">
        <v>5000012964</v>
      </c>
      <c r="B3765" s="13" t="inlineStr">
        <is>
          <t>Министерство финансов Сахалинской области (головн</t>
        </is>
      </c>
      <c r="C3765" s="13" t="n">
        <v>6500005657</v>
      </c>
      <c r="D3765" s="13" t="inlineStr">
        <is>
          <t>6500005657</t>
        </is>
      </c>
      <c r="E3765" s="13" t="inlineStr">
        <is>
          <t>ЮЛ РФ</t>
        </is>
      </c>
      <c r="F3765" s="13" t="n"/>
      <c r="G3765" s="14" t="n"/>
      <c r="H3765" s="14" t="n"/>
      <c r="I3765" s="14" t="n"/>
      <c r="J3765" s="14" t="n"/>
      <c r="K3765" s="53" t="inlineStr"/>
      <c r="L3765" s="53" t="inlineStr">
        <is>
          <t>Не определено</t>
        </is>
      </c>
      <c r="M3765" s="53" t="inlineStr"/>
      <c r="N3765" s="54" t="inlineStr"/>
      <c r="O3765" s="55" t="inlineStr"/>
      <c r="P3765" s="16" t="inlineStr">
        <is>
          <t>Требует обогащения</t>
        </is>
      </c>
      <c r="Q3765" s="16">
        <f>HYPERLINK("https://pb.nalog.ru/search.html?query=6500005657","ФНС: проверить")</f>
        <v/>
      </c>
      <c r="R3765" s="16">
        <f>HYPERLINK("https://checko.ru/search?query=3801001629","Чекко: проверить")</f>
        <v/>
      </c>
      <c r="S3765" t="n">
        <v>0</v>
      </c>
      <c r="T3765" s="35" t="inlineStr">
        <is>
          <t>4 — Не обогащён</t>
        </is>
      </c>
      <c r="U3765" s="35" t="inlineStr">
        <is>
          <t>Нет ОКВЭД/ССЧР</t>
        </is>
      </c>
      <c r="V3765" s="35" t="inlineStr">
        <is>
          <t>Не определено</t>
        </is>
      </c>
      <c r="W3765" s="35" t="inlineStr"/>
      <c r="X3765" s="35" t="inlineStr"/>
    </row>
    <row r="3766" ht="41.25" customHeight="1" s="24">
      <c r="A3766" s="13" t="n">
        <v>5000098320</v>
      </c>
      <c r="B3766" s="13" t="inlineStr">
        <is>
          <t>КГБОУ СПО "НГГПК" (ФГОУ СПО Находкинский Государственный Гуманитарно-Политехнический Колледж</t>
        </is>
      </c>
      <c r="C3766" s="13" t="n">
        <v>2508022784</v>
      </c>
      <c r="D3766" s="13" t="inlineStr">
        <is>
          <t>2508022784</t>
        </is>
      </c>
      <c r="E3766" s="13" t="inlineStr">
        <is>
          <t>ЮЛ РФ</t>
        </is>
      </c>
      <c r="F3766" s="13" t="n"/>
      <c r="G3766" s="14" t="n"/>
      <c r="H3766" s="14" t="n"/>
      <c r="I3766" s="14" t="n"/>
      <c r="J3766" s="14" t="n"/>
      <c r="K3766" s="53" t="inlineStr"/>
      <c r="L3766" s="53" t="inlineStr">
        <is>
          <t>Не определено</t>
        </is>
      </c>
      <c r="M3766" s="53" t="inlineStr"/>
      <c r="N3766" s="54" t="inlineStr"/>
      <c r="O3766" s="55" t="inlineStr"/>
      <c r="P3766" s="16" t="inlineStr">
        <is>
          <t>Требует обогащения</t>
        </is>
      </c>
      <c r="Q3766" s="16">
        <f>HYPERLINK("https://pb.nalog.ru/search.html?query=2508022784","ФНС: проверить")</f>
        <v/>
      </c>
      <c r="R3766" s="16">
        <f>HYPERLINK("https://checko.ru/search?query=3801001629","Чекко: проверить")</f>
        <v/>
      </c>
      <c r="S3766" t="n">
        <v>1</v>
      </c>
      <c r="T3766" s="35" t="inlineStr">
        <is>
          <t>4 — Не обогащён</t>
        </is>
      </c>
      <c r="U3766" s="35" t="inlineStr">
        <is>
          <t>Нет ОКВЭД/ССЧР</t>
        </is>
      </c>
      <c r="V3766" s="35" t="inlineStr">
        <is>
          <t>Не определено</t>
        </is>
      </c>
      <c r="W3766" s="35" t="inlineStr"/>
      <c r="X3766" s="35" t="inlineStr"/>
    </row>
    <row r="3767" ht="27.75" customHeight="1" s="24">
      <c r="A3767" s="13" t="n">
        <v>5000045000</v>
      </c>
      <c r="B3767" s="13" t="inlineStr">
        <is>
          <t>Собрание муниципального образования "Анивский городской округ"</t>
        </is>
      </c>
      <c r="C3767" s="13" t="n">
        <v>6510005060</v>
      </c>
      <c r="D3767" s="13" t="inlineStr">
        <is>
          <t>6510005060</t>
        </is>
      </c>
      <c r="E3767" s="13" t="inlineStr">
        <is>
          <t>ЮЛ РФ</t>
        </is>
      </c>
      <c r="F3767" s="13" t="n"/>
      <c r="G3767" s="14" t="n"/>
      <c r="H3767" s="14" t="n"/>
      <c r="I3767" s="14" t="n"/>
      <c r="J3767" s="14" t="n"/>
      <c r="K3767" s="53" t="inlineStr"/>
      <c r="L3767" s="53" t="inlineStr">
        <is>
          <t>Не определено</t>
        </is>
      </c>
      <c r="M3767" s="53" t="inlineStr"/>
      <c r="N3767" s="54" t="inlineStr"/>
      <c r="O3767" s="55" t="inlineStr"/>
      <c r="P3767" s="16" t="inlineStr">
        <is>
          <t>Требует обогащения</t>
        </is>
      </c>
      <c r="Q3767" s="16">
        <f>HYPERLINK("https://pb.nalog.ru/search.html?query=6510005060","ФНС: проверить")</f>
        <v/>
      </c>
      <c r="R3767" s="16">
        <f>HYPERLINK("https://checko.ru/search?query=3801001629","Чекко: проверить")</f>
        <v/>
      </c>
      <c r="S3767" t="n">
        <v>1</v>
      </c>
      <c r="T3767" s="35" t="inlineStr">
        <is>
          <t>4 — Не обогащён</t>
        </is>
      </c>
      <c r="U3767" s="35" t="inlineStr">
        <is>
          <t>Нет ОКВЭД/ССЧР</t>
        </is>
      </c>
      <c r="V3767" s="35" t="inlineStr">
        <is>
          <t>Не определено</t>
        </is>
      </c>
      <c r="W3767" s="35" t="inlineStr"/>
      <c r="X3767" s="35" t="inlineStr"/>
    </row>
    <row r="3768" ht="27.75" customHeight="1" s="24">
      <c r="A3768" s="13" t="n">
        <v>5000044998</v>
      </c>
      <c r="B3768" s="13" t="inlineStr">
        <is>
          <t>МБУ "Отдел капитального строительства" Анивского городского округа</t>
        </is>
      </c>
      <c r="C3768" s="13" t="n">
        <v>6501244792</v>
      </c>
      <c r="D3768" s="13" t="inlineStr">
        <is>
          <t>6501244792</t>
        </is>
      </c>
      <c r="E3768" s="13" t="inlineStr">
        <is>
          <t>ЮЛ РФ</t>
        </is>
      </c>
      <c r="F3768" s="13" t="n"/>
      <c r="G3768" s="14" t="n"/>
      <c r="H3768" s="14" t="n"/>
      <c r="I3768" s="14" t="n"/>
      <c r="J3768" s="14" t="n"/>
      <c r="K3768" s="53" t="inlineStr"/>
      <c r="L3768" s="53" t="inlineStr">
        <is>
          <t>Не определено</t>
        </is>
      </c>
      <c r="M3768" s="53" t="inlineStr"/>
      <c r="N3768" s="54" t="inlineStr"/>
      <c r="O3768" s="55" t="inlineStr"/>
      <c r="P3768" s="16" t="inlineStr">
        <is>
          <t>Требует обогащения</t>
        </is>
      </c>
      <c r="Q3768" s="16">
        <f>HYPERLINK("https://pb.nalog.ru/search.html?query=6501244792","ФНС: проверить")</f>
        <v/>
      </c>
      <c r="R3768" s="16">
        <f>HYPERLINK("https://checko.ru/search?query=3801001629","Чекко: проверить")</f>
        <v/>
      </c>
      <c r="S3768" t="n">
        <v>1</v>
      </c>
      <c r="T3768" s="35" t="inlineStr">
        <is>
          <t>4 — Не обогащён</t>
        </is>
      </c>
      <c r="U3768" s="35" t="inlineStr">
        <is>
          <t>Нет ОКВЭД/ССЧР</t>
        </is>
      </c>
      <c r="V3768" s="35" t="inlineStr">
        <is>
          <t>Не определено</t>
        </is>
      </c>
      <c r="W3768" s="35" t="inlineStr"/>
      <c r="X3768" s="35" t="inlineStr"/>
    </row>
    <row r="3769" ht="41.25" customHeight="1" s="24">
      <c r="A3769" s="13" t="n">
        <v>5000044996</v>
      </c>
      <c r="B3769" s="13" t="inlineStr">
        <is>
          <t>Департамент по управлению муниципальным имуществом муниципального образования "Анивский городской округ"</t>
        </is>
      </c>
      <c r="C3769" s="13" t="n">
        <v>6510010342</v>
      </c>
      <c r="D3769" s="13" t="inlineStr">
        <is>
          <t>6510010342</t>
        </is>
      </c>
      <c r="E3769" s="13" t="inlineStr">
        <is>
          <t>ЮЛ РФ</t>
        </is>
      </c>
      <c r="F3769" s="13" t="n"/>
      <c r="G3769" s="14" t="n"/>
      <c r="H3769" s="14" t="n"/>
      <c r="I3769" s="14" t="n"/>
      <c r="J3769" s="14" t="n"/>
      <c r="K3769" s="53" t="inlineStr"/>
      <c r="L3769" s="53" t="inlineStr">
        <is>
          <t>Не определено</t>
        </is>
      </c>
      <c r="M3769" s="53" t="inlineStr"/>
      <c r="N3769" s="54" t="inlineStr"/>
      <c r="O3769" s="55" t="inlineStr"/>
      <c r="P3769" s="16" t="inlineStr">
        <is>
          <t>Требует обогащения</t>
        </is>
      </c>
      <c r="Q3769" s="16">
        <f>HYPERLINK("https://pb.nalog.ru/search.html?query=6510010342","ФНС: проверить")</f>
        <v/>
      </c>
      <c r="R3769" s="16">
        <f>HYPERLINK("https://checko.ru/search?query=3801001629","Чекко: проверить")</f>
        <v/>
      </c>
      <c r="S3769" t="n">
        <v>1</v>
      </c>
      <c r="T3769" s="35" t="inlineStr">
        <is>
          <t>4 — Не обогащён</t>
        </is>
      </c>
      <c r="U3769" s="35" t="inlineStr">
        <is>
          <t>Нет ОКВЭД/ССЧР</t>
        </is>
      </c>
      <c r="V3769" s="35" t="inlineStr">
        <is>
          <t>Не определено</t>
        </is>
      </c>
      <c r="W3769" s="35" t="inlineStr"/>
      <c r="X3769" s="35" t="inlineStr"/>
    </row>
    <row r="3770" ht="15" customHeight="1" s="24">
      <c r="A3770" s="13" t="n">
        <v>5000097561</v>
      </c>
      <c r="B3770" s="13" t="inlineStr">
        <is>
          <t>Департамент строительства Сахалинской области</t>
        </is>
      </c>
      <c r="C3770" s="13" t="n">
        <v>6501026642</v>
      </c>
      <c r="D3770" s="13" t="inlineStr">
        <is>
          <t>6501026642</t>
        </is>
      </c>
      <c r="E3770" s="13" t="inlineStr">
        <is>
          <t>ЮЛ РФ</t>
        </is>
      </c>
      <c r="F3770" s="13" t="n"/>
      <c r="G3770" s="14" t="n"/>
      <c r="H3770" s="14" t="n"/>
      <c r="I3770" s="14" t="n"/>
      <c r="J3770" s="14" t="n"/>
      <c r="K3770" s="53" t="inlineStr"/>
      <c r="L3770" s="53" t="inlineStr">
        <is>
          <t>Не определено</t>
        </is>
      </c>
      <c r="M3770" s="53" t="inlineStr"/>
      <c r="N3770" s="54" t="inlineStr"/>
      <c r="O3770" s="55" t="inlineStr"/>
      <c r="P3770" s="16" t="inlineStr">
        <is>
          <t>Требует обогащения</t>
        </is>
      </c>
      <c r="Q3770" s="16">
        <f>HYPERLINK("https://pb.nalog.ru/search.html?query=6501026642","ФНС: проверить")</f>
        <v/>
      </c>
      <c r="R3770" s="16">
        <f>HYPERLINK("https://checko.ru/search?query=3801001629","Чекко: проверить")</f>
        <v/>
      </c>
      <c r="S3770" t="n">
        <v>1</v>
      </c>
      <c r="T3770" s="35" t="inlineStr">
        <is>
          <t>4 — Не обогащён</t>
        </is>
      </c>
      <c r="U3770" s="35" t="inlineStr">
        <is>
          <t>Нет ОКВЭД/ССЧР</t>
        </is>
      </c>
      <c r="V3770" s="35" t="inlineStr">
        <is>
          <t>Не определено</t>
        </is>
      </c>
      <c r="W3770" s="35" t="inlineStr"/>
      <c r="X3770" s="35" t="inlineStr"/>
    </row>
    <row r="3771" ht="15" customHeight="1" s="24">
      <c r="A3771" s="13" t="n">
        <v>5000098646</v>
      </c>
      <c r="B3771" s="13" t="inlineStr">
        <is>
          <t>МБУЗ "Курильская ЦРБ"</t>
        </is>
      </c>
      <c r="C3771" s="13" t="n">
        <v>6511003080</v>
      </c>
      <c r="D3771" s="13" t="inlineStr">
        <is>
          <t>6511003080</t>
        </is>
      </c>
      <c r="E3771" s="13" t="inlineStr">
        <is>
          <t>ЮЛ РФ</t>
        </is>
      </c>
      <c r="F3771" s="13" t="n"/>
      <c r="G3771" s="14" t="n"/>
      <c r="H3771" s="14" t="n"/>
      <c r="I3771" s="14" t="n"/>
      <c r="J3771" s="14" t="n"/>
      <c r="K3771" s="53" t="inlineStr"/>
      <c r="L3771" s="53" t="inlineStr">
        <is>
          <t>Не определено</t>
        </is>
      </c>
      <c r="M3771" s="53" t="inlineStr"/>
      <c r="N3771" s="54" t="inlineStr"/>
      <c r="O3771" s="55" t="inlineStr"/>
      <c r="P3771" s="16" t="inlineStr">
        <is>
          <t>Требует обогащения</t>
        </is>
      </c>
      <c r="Q3771" s="16">
        <f>HYPERLINK("https://pb.nalog.ru/search.html?query=6511003080","ФНС: проверить")</f>
        <v/>
      </c>
      <c r="R3771" s="16">
        <f>HYPERLINK("https://checko.ru/search?query=3801001629","Чекко: проверить")</f>
        <v/>
      </c>
      <c r="S3771" t="n">
        <v>1</v>
      </c>
      <c r="T3771" s="35" t="inlineStr">
        <is>
          <t>4 — Не обогащён</t>
        </is>
      </c>
      <c r="U3771" s="35" t="inlineStr">
        <is>
          <t>Нет ОКВЭД/ССЧР</t>
        </is>
      </c>
      <c r="V3771" s="35" t="inlineStr">
        <is>
          <t>Не определено</t>
        </is>
      </c>
      <c r="W3771" s="35" t="inlineStr"/>
      <c r="X3771" s="35" t="inlineStr"/>
    </row>
    <row r="3772" ht="27.75" customHeight="1" s="24">
      <c r="A3772" s="13" t="n">
        <v>5000029113</v>
      </c>
      <c r="B3772" s="13" t="inlineStr">
        <is>
          <t>Департамент культуры администрации города Южно-Сахалинска</t>
        </is>
      </c>
      <c r="C3772" s="13" t="n">
        <v>6501082654</v>
      </c>
      <c r="D3772" s="13" t="inlineStr">
        <is>
          <t>6501082654</t>
        </is>
      </c>
      <c r="E3772" s="13" t="inlineStr">
        <is>
          <t>ЮЛ РФ</t>
        </is>
      </c>
      <c r="F3772" s="13" t="n"/>
      <c r="G3772" s="14" t="n"/>
      <c r="H3772" s="14" t="n"/>
      <c r="I3772" s="14" t="n"/>
      <c r="J3772" s="14" t="n"/>
      <c r="K3772" s="53" t="inlineStr"/>
      <c r="L3772" s="53" t="inlineStr">
        <is>
          <t>Не определено</t>
        </is>
      </c>
      <c r="M3772" s="53" t="inlineStr"/>
      <c r="N3772" s="54" t="inlineStr"/>
      <c r="O3772" s="55" t="inlineStr"/>
      <c r="P3772" s="16" t="inlineStr">
        <is>
          <t>Требует обогащения</t>
        </is>
      </c>
      <c r="Q3772" s="16">
        <f>HYPERLINK("https://pb.nalog.ru/search.html?query=6501082654","ФНС: проверить")</f>
        <v/>
      </c>
      <c r="R3772" s="16">
        <f>HYPERLINK("https://checko.ru/search?query=3801001629","Чекко: проверить")</f>
        <v/>
      </c>
      <c r="S3772" t="n">
        <v>1</v>
      </c>
      <c r="T3772" s="35" t="inlineStr">
        <is>
          <t>4 — Не обогащён</t>
        </is>
      </c>
      <c r="U3772" s="35" t="inlineStr">
        <is>
          <t>Нет ОКВЭД/ССЧР</t>
        </is>
      </c>
      <c r="V3772" s="35" t="inlineStr">
        <is>
          <t>Не определено</t>
        </is>
      </c>
      <c r="W3772" s="35" t="inlineStr"/>
      <c r="X3772" s="35" t="inlineStr"/>
    </row>
    <row r="3773" ht="27.75" customHeight="1" s="24">
      <c r="A3773" s="13" t="n">
        <v>5000029113</v>
      </c>
      <c r="B3773" s="13" t="inlineStr">
        <is>
          <t>Департамент культуры администрации города Южно-Сахалинска</t>
        </is>
      </c>
      <c r="C3773" s="13" t="n">
        <v>6501082654</v>
      </c>
      <c r="D3773" s="13" t="inlineStr">
        <is>
          <t>6501082654</t>
        </is>
      </c>
      <c r="E3773" s="13" t="inlineStr">
        <is>
          <t>ЮЛ РФ</t>
        </is>
      </c>
      <c r="F3773" s="13" t="n"/>
      <c r="G3773" s="14" t="n"/>
      <c r="H3773" s="14" t="n"/>
      <c r="I3773" s="14" t="n"/>
      <c r="J3773" s="14" t="n"/>
      <c r="K3773" s="53" t="inlineStr"/>
      <c r="L3773" s="53" t="inlineStr">
        <is>
          <t>Не определено</t>
        </is>
      </c>
      <c r="M3773" s="53" t="inlineStr"/>
      <c r="N3773" s="54" t="inlineStr"/>
      <c r="O3773" s="55" t="inlineStr"/>
      <c r="P3773" s="16" t="inlineStr">
        <is>
          <t>Требует обогащения</t>
        </is>
      </c>
      <c r="Q3773" s="16">
        <f>HYPERLINK("https://pb.nalog.ru/search.html?query=6501082654","ФНС: проверить")</f>
        <v/>
      </c>
      <c r="R3773" s="16">
        <f>HYPERLINK("https://checko.ru/search?query=3801001629","Чекко: проверить")</f>
        <v/>
      </c>
      <c r="S3773" t="n">
        <v>0</v>
      </c>
      <c r="T3773" s="35" t="inlineStr">
        <is>
          <t>4 — Не обогащён</t>
        </is>
      </c>
      <c r="U3773" s="35" t="inlineStr">
        <is>
          <t>Нет ОКВЭД/ССЧР</t>
        </is>
      </c>
      <c r="V3773" s="35" t="inlineStr">
        <is>
          <t>Не определено</t>
        </is>
      </c>
      <c r="W3773" s="35" t="inlineStr"/>
      <c r="X3773" s="35" t="inlineStr"/>
    </row>
    <row r="3774" ht="27.75" customHeight="1" s="24">
      <c r="A3774" s="13" t="n">
        <v>5000029114</v>
      </c>
      <c r="B3774" s="13" t="inlineStr">
        <is>
          <t>МБУ "ЮЖНО-САХАЛИНСКИЙ КАМЕРНЫЙ ОРКЕСТР"</t>
        </is>
      </c>
      <c r="C3774" s="13" t="n">
        <v>6501109377</v>
      </c>
      <c r="D3774" s="13" t="inlineStr">
        <is>
          <t>6501109377</t>
        </is>
      </c>
      <c r="E3774" s="13" t="inlineStr">
        <is>
          <t>ЮЛ РФ</t>
        </is>
      </c>
      <c r="F3774" s="13" t="n"/>
      <c r="G3774" s="14" t="n"/>
      <c r="H3774" s="14" t="n"/>
      <c r="I3774" s="14" t="n"/>
      <c r="J3774" s="14" t="n"/>
      <c r="K3774" s="53" t="inlineStr"/>
      <c r="L3774" s="53" t="inlineStr">
        <is>
          <t>Не определено</t>
        </is>
      </c>
      <c r="M3774" s="53" t="inlineStr"/>
      <c r="N3774" s="54" t="inlineStr"/>
      <c r="O3774" s="55" t="inlineStr"/>
      <c r="P3774" s="16" t="inlineStr">
        <is>
          <t>Требует обогащения</t>
        </is>
      </c>
      <c r="Q3774" s="16">
        <f>HYPERLINK("https://pb.nalog.ru/search.html?query=6501109377","ФНС: проверить")</f>
        <v/>
      </c>
      <c r="R3774" s="16">
        <f>HYPERLINK("https://checko.ru/search?query=3801001629","Чекко: проверить")</f>
        <v/>
      </c>
      <c r="S3774" t="n">
        <v>1</v>
      </c>
      <c r="T3774" s="35" t="inlineStr">
        <is>
          <t>4 — Не обогащён</t>
        </is>
      </c>
      <c r="U3774" s="35" t="inlineStr">
        <is>
          <t>Нет ОКВЭД/ССЧР</t>
        </is>
      </c>
      <c r="V3774" s="35" t="inlineStr">
        <is>
          <t>Не определено</t>
        </is>
      </c>
      <c r="W3774" s="35" t="inlineStr"/>
      <c r="X3774" s="35" t="inlineStr"/>
    </row>
    <row r="3775" ht="41.25" customHeight="1" s="24">
      <c r="A3775" s="13" t="n">
        <v>5000029115</v>
      </c>
      <c r="B3775" s="13" t="inlineStr">
        <is>
          <t>МБУ АНСАМБЛЬ СОВРЕМЕННОЙ НАРОДНОЙ ПЕСНИ "РУССКИЙ ТЕРЕМ" ГОРОДСКОГО ОКРУГА "ГОРОД ЮЖНО-САХАЛИНСК"</t>
        </is>
      </c>
      <c r="C3775" s="13" t="n">
        <v>6501199719</v>
      </c>
      <c r="D3775" s="13" t="inlineStr">
        <is>
          <t>6501199719</t>
        </is>
      </c>
      <c r="E3775" s="13" t="inlineStr">
        <is>
          <t>ЮЛ РФ</t>
        </is>
      </c>
      <c r="F3775" s="13" t="n"/>
      <c r="G3775" s="14" t="n"/>
      <c r="H3775" s="14" t="n"/>
      <c r="I3775" s="14" t="n"/>
      <c r="J3775" s="14" t="n"/>
      <c r="K3775" s="53" t="inlineStr"/>
      <c r="L3775" s="53" t="inlineStr">
        <is>
          <t>Не определено</t>
        </is>
      </c>
      <c r="M3775" s="53" t="inlineStr"/>
      <c r="N3775" s="54" t="inlineStr"/>
      <c r="O3775" s="55" t="inlineStr"/>
      <c r="P3775" s="16" t="inlineStr">
        <is>
          <t>Требует обогащения</t>
        </is>
      </c>
      <c r="Q3775" s="16">
        <f>HYPERLINK("https://pb.nalog.ru/search.html?query=6501199719","ФНС: проверить")</f>
        <v/>
      </c>
      <c r="R3775" s="16">
        <f>HYPERLINK("https://checko.ru/search?query=3801001629","Чекко: проверить")</f>
        <v/>
      </c>
      <c r="S3775" t="n">
        <v>1</v>
      </c>
      <c r="T3775" s="35" t="inlineStr">
        <is>
          <t>4 — Не обогащён</t>
        </is>
      </c>
      <c r="U3775" s="35" t="inlineStr">
        <is>
          <t>Нет ОКВЭД/ССЧР</t>
        </is>
      </c>
      <c r="V3775" s="35" t="inlineStr">
        <is>
          <t>Не определено</t>
        </is>
      </c>
      <c r="W3775" s="35" t="inlineStr"/>
      <c r="X3775" s="35" t="inlineStr"/>
    </row>
    <row r="3776" ht="15" customHeight="1" s="24">
      <c r="A3776" s="13" t="n">
        <v>5000029116</v>
      </c>
      <c r="B3776" s="13" t="inlineStr">
        <is>
          <t>МБУ "СТАРОРУССКИЙ ДОМ КУЛЬТУРЫ"</t>
        </is>
      </c>
      <c r="C3776" s="13" t="n">
        <v>6501106016</v>
      </c>
      <c r="D3776" s="13" t="inlineStr">
        <is>
          <t>6501106016</t>
        </is>
      </c>
      <c r="E3776" s="13" t="inlineStr">
        <is>
          <t>ЮЛ РФ</t>
        </is>
      </c>
      <c r="F3776" s="13" t="n"/>
      <c r="G3776" s="14" t="n"/>
      <c r="H3776" s="14" t="n"/>
      <c r="I3776" s="14" t="n"/>
      <c r="J3776" s="14" t="n"/>
      <c r="K3776" s="53" t="inlineStr"/>
      <c r="L3776" s="53" t="inlineStr">
        <is>
          <t>Не определено</t>
        </is>
      </c>
      <c r="M3776" s="53" t="inlineStr"/>
      <c r="N3776" s="54" t="inlineStr"/>
      <c r="O3776" s="55" t="inlineStr"/>
      <c r="P3776" s="16" t="inlineStr">
        <is>
          <t>Требует обогащения</t>
        </is>
      </c>
      <c r="Q3776" s="16">
        <f>HYPERLINK("https://pb.nalog.ru/search.html?query=6501106016","ФНС: проверить")</f>
        <v/>
      </c>
      <c r="R3776" s="16">
        <f>HYPERLINK("https://checko.ru/search?query=3801001629","Чекко: проверить")</f>
        <v/>
      </c>
      <c r="S3776" t="n">
        <v>1</v>
      </c>
      <c r="T3776" s="35" t="inlineStr">
        <is>
          <t>4 — Не обогащён</t>
        </is>
      </c>
      <c r="U3776" s="35" t="inlineStr">
        <is>
          <t>Нет ОКВЭД/ССЧР</t>
        </is>
      </c>
      <c r="V3776" s="35" t="inlineStr">
        <is>
          <t>Не определено</t>
        </is>
      </c>
      <c r="W3776" s="35" t="inlineStr"/>
      <c r="X3776" s="35" t="inlineStr"/>
    </row>
    <row r="3777" ht="27.75" customHeight="1" s="24">
      <c r="A3777" s="13" t="n">
        <v>5000029117</v>
      </c>
      <c r="B3777" s="13" t="inlineStr">
        <is>
          <t>МБУ "ГОРОДСКОЙ ДЕТСКИЙ ХОРЕОГРАФИЧЕСКИЙ ЦЕНТР "МЕЧТА"</t>
        </is>
      </c>
      <c r="C3777" s="13" t="n">
        <v>6501106792</v>
      </c>
      <c r="D3777" s="13" t="inlineStr">
        <is>
          <t>6501106792</t>
        </is>
      </c>
      <c r="E3777" s="13" t="inlineStr">
        <is>
          <t>ЮЛ РФ</t>
        </is>
      </c>
      <c r="F3777" s="13" t="n"/>
      <c r="G3777" s="14" t="n"/>
      <c r="H3777" s="14" t="n"/>
      <c r="I3777" s="14" t="n"/>
      <c r="J3777" s="14" t="n"/>
      <c r="K3777" s="53" t="inlineStr"/>
      <c r="L3777" s="53" t="inlineStr">
        <is>
          <t>Не определено</t>
        </is>
      </c>
      <c r="M3777" s="53" t="inlineStr"/>
      <c r="N3777" s="54" t="inlineStr"/>
      <c r="O3777" s="55" t="inlineStr"/>
      <c r="P3777" s="16" t="inlineStr">
        <is>
          <t>Требует обогащения</t>
        </is>
      </c>
      <c r="Q3777" s="16">
        <f>HYPERLINK("https://pb.nalog.ru/search.html?query=6501106792","ФНС: проверить")</f>
        <v/>
      </c>
      <c r="R3777" s="16">
        <f>HYPERLINK("https://checko.ru/search?query=3801001629","Чекко: проверить")</f>
        <v/>
      </c>
      <c r="S3777" t="n">
        <v>1</v>
      </c>
      <c r="T3777" s="35" t="inlineStr">
        <is>
          <t>4 — Не обогащён</t>
        </is>
      </c>
      <c r="U3777" s="35" t="inlineStr">
        <is>
          <t>Нет ОКВЭД/ССЧР</t>
        </is>
      </c>
      <c r="V3777" s="35" t="inlineStr">
        <is>
          <t>Не определено</t>
        </is>
      </c>
      <c r="W3777" s="35" t="inlineStr"/>
      <c r="X3777" s="35" t="inlineStr"/>
    </row>
    <row r="3778" ht="15" customHeight="1" s="24">
      <c r="A3778" s="13" t="n">
        <v>5000029118</v>
      </c>
      <c r="B3778" s="13" t="inlineStr">
        <is>
          <t>МБУ ДОМ КУЛЬТУРЫ "ЭЛЕКТРОН"</t>
        </is>
      </c>
      <c r="C3778" s="13" t="n">
        <v>6501106200</v>
      </c>
      <c r="D3778" s="13" t="inlineStr">
        <is>
          <t>6501106200</t>
        </is>
      </c>
      <c r="E3778" s="13" t="inlineStr">
        <is>
          <t>ЮЛ РФ</t>
        </is>
      </c>
      <c r="F3778" s="13" t="n"/>
      <c r="G3778" s="14" t="n"/>
      <c r="H3778" s="14" t="n"/>
      <c r="I3778" s="14" t="n"/>
      <c r="J3778" s="14" t="n"/>
      <c r="K3778" s="53" t="inlineStr"/>
      <c r="L3778" s="53" t="inlineStr">
        <is>
          <t>Не определено</t>
        </is>
      </c>
      <c r="M3778" s="53" t="inlineStr"/>
      <c r="N3778" s="54" t="inlineStr"/>
      <c r="O3778" s="55" t="inlineStr"/>
      <c r="P3778" s="16" t="inlineStr">
        <is>
          <t>Требует обогащения</t>
        </is>
      </c>
      <c r="Q3778" s="16">
        <f>HYPERLINK("https://pb.nalog.ru/search.html?query=6501106200","ФНС: проверить")</f>
        <v/>
      </c>
      <c r="R3778" s="16">
        <f>HYPERLINK("https://checko.ru/search?query=3801001629","Чекко: проверить")</f>
        <v/>
      </c>
      <c r="S3778" t="n">
        <v>1</v>
      </c>
      <c r="T3778" s="35" t="inlineStr">
        <is>
          <t>4 — Не обогащён</t>
        </is>
      </c>
      <c r="U3778" s="35" t="inlineStr">
        <is>
          <t>Нет ОКВЭД/ССЧР</t>
        </is>
      </c>
      <c r="V3778" s="35" t="inlineStr">
        <is>
          <t>Не определено</t>
        </is>
      </c>
      <c r="W3778" s="35" t="inlineStr"/>
      <c r="X3778" s="35" t="inlineStr"/>
    </row>
    <row r="3779" ht="15" customHeight="1" s="24">
      <c r="A3779" s="13" t="n">
        <v>5000029119</v>
      </c>
      <c r="B3779" s="13" t="inlineStr">
        <is>
          <t>МБУ ДОМ КУЛЬТУРЫ "КЛЮЧИ"</t>
        </is>
      </c>
      <c r="C3779" s="13" t="n">
        <v>6501106094</v>
      </c>
      <c r="D3779" s="13" t="inlineStr">
        <is>
          <t>6501106094</t>
        </is>
      </c>
      <c r="E3779" s="13" t="inlineStr">
        <is>
          <t>ЮЛ РФ</t>
        </is>
      </c>
      <c r="F3779" s="13" t="n"/>
      <c r="G3779" s="14" t="n"/>
      <c r="H3779" s="14" t="n"/>
      <c r="I3779" s="14" t="n"/>
      <c r="J3779" s="14" t="n"/>
      <c r="K3779" s="53" t="inlineStr"/>
      <c r="L3779" s="53" t="inlineStr">
        <is>
          <t>Не определено</t>
        </is>
      </c>
      <c r="M3779" s="53" t="inlineStr"/>
      <c r="N3779" s="54" t="inlineStr"/>
      <c r="O3779" s="55" t="inlineStr"/>
      <c r="P3779" s="16" t="inlineStr">
        <is>
          <t>Требует обогащения</t>
        </is>
      </c>
      <c r="Q3779" s="16">
        <f>HYPERLINK("https://pb.nalog.ru/search.html?query=6501106094","ФНС: проверить")</f>
        <v/>
      </c>
      <c r="R3779" s="16">
        <f>HYPERLINK("https://checko.ru/search?query=3801001629","Чекко: проверить")</f>
        <v/>
      </c>
      <c r="S3779" t="n">
        <v>1</v>
      </c>
      <c r="T3779" s="35" t="inlineStr">
        <is>
          <t>4 — Не обогащён</t>
        </is>
      </c>
      <c r="U3779" s="35" t="inlineStr">
        <is>
          <t>Нет ОКВЭД/ССЧР</t>
        </is>
      </c>
      <c r="V3779" s="35" t="inlineStr">
        <is>
          <t>Не определено</t>
        </is>
      </c>
      <c r="W3779" s="35" t="inlineStr"/>
      <c r="X3779" s="35" t="inlineStr"/>
    </row>
    <row r="3780" ht="15" customHeight="1" s="24">
      <c r="A3780" s="13" t="n">
        <v>5000029120</v>
      </c>
      <c r="B3780" s="13" t="inlineStr">
        <is>
          <t>МБУ "ДАЛЬНЕНСКИЙ ДОМ КУЛЬТУРЫ"</t>
        </is>
      </c>
      <c r="C3780" s="13" t="n">
        <v>6501106150</v>
      </c>
      <c r="D3780" s="13" t="inlineStr">
        <is>
          <t>6501106150</t>
        </is>
      </c>
      <c r="E3780" s="13" t="inlineStr">
        <is>
          <t>ЮЛ РФ</t>
        </is>
      </c>
      <c r="F3780" s="13" t="n"/>
      <c r="G3780" s="14" t="n"/>
      <c r="H3780" s="14" t="n"/>
      <c r="I3780" s="14" t="n"/>
      <c r="J3780" s="14" t="n"/>
      <c r="K3780" s="53" t="inlineStr"/>
      <c r="L3780" s="53" t="inlineStr">
        <is>
          <t>Не определено</t>
        </is>
      </c>
      <c r="M3780" s="53" t="inlineStr"/>
      <c r="N3780" s="54" t="inlineStr"/>
      <c r="O3780" s="55" t="inlineStr"/>
      <c r="P3780" s="16" t="inlineStr">
        <is>
          <t>Требует обогащения</t>
        </is>
      </c>
      <c r="Q3780" s="16">
        <f>HYPERLINK("https://pb.nalog.ru/search.html?query=6501106150","ФНС: проверить")</f>
        <v/>
      </c>
      <c r="R3780" s="16">
        <f>HYPERLINK("https://checko.ru/search?query=3801001629","Чекко: проверить")</f>
        <v/>
      </c>
      <c r="S3780" t="n">
        <v>1</v>
      </c>
      <c r="T3780" s="35" t="inlineStr">
        <is>
          <t>4 — Не обогащён</t>
        </is>
      </c>
      <c r="U3780" s="35" t="inlineStr">
        <is>
          <t>Нет ОКВЭД/ССЧР</t>
        </is>
      </c>
      <c r="V3780" s="35" t="inlineStr">
        <is>
          <t>Не определено</t>
        </is>
      </c>
      <c r="W3780" s="35" t="inlineStr"/>
      <c r="X3780" s="35" t="inlineStr"/>
    </row>
    <row r="3781" ht="27.75" customHeight="1" s="24">
      <c r="A3781" s="13" t="n">
        <v>5000081685</v>
      </c>
      <c r="B3781" s="13" t="inlineStr">
        <is>
          <t>Администрация МО "Городской округ Ногликский"</t>
        </is>
      </c>
      <c r="C3781" s="13" t="n">
        <v>6513001410</v>
      </c>
      <c r="D3781" s="13" t="inlineStr">
        <is>
          <t>6513001410</t>
        </is>
      </c>
      <c r="E3781" s="13" t="inlineStr">
        <is>
          <t>ЮЛ РФ</t>
        </is>
      </c>
      <c r="F3781" s="13" t="n"/>
      <c r="G3781" s="14" t="n"/>
      <c r="H3781" s="14" t="n"/>
      <c r="I3781" s="14" t="n"/>
      <c r="J3781" s="14" t="n"/>
      <c r="K3781" s="53" t="inlineStr"/>
      <c r="L3781" s="53" t="inlineStr">
        <is>
          <t>Не определено</t>
        </is>
      </c>
      <c r="M3781" s="53" t="inlineStr"/>
      <c r="N3781" s="54" t="inlineStr"/>
      <c r="O3781" s="55" t="inlineStr"/>
      <c r="P3781" s="16" t="inlineStr">
        <is>
          <t>Требует обогащения</t>
        </is>
      </c>
      <c r="Q3781" s="16">
        <f>HYPERLINK("https://pb.nalog.ru/search.html?query=6513001410","ФНС: проверить")</f>
        <v/>
      </c>
      <c r="R3781" s="16">
        <f>HYPERLINK("https://checko.ru/search?query=3801001629","Чекко: проверить")</f>
        <v/>
      </c>
      <c r="S3781" t="n">
        <v>1</v>
      </c>
      <c r="T3781" s="35" t="inlineStr">
        <is>
          <t>4 — Не обогащён</t>
        </is>
      </c>
      <c r="U3781" s="35" t="inlineStr">
        <is>
          <t>Нет ОКВЭД/ССЧР</t>
        </is>
      </c>
      <c r="V3781" s="35" t="inlineStr">
        <is>
          <t>Не определено</t>
        </is>
      </c>
      <c r="W3781" s="35" t="inlineStr"/>
      <c r="X3781" s="35" t="inlineStr"/>
    </row>
    <row r="3782" ht="27.75" customHeight="1" s="24">
      <c r="A3782" s="13" t="n">
        <v>5000081685</v>
      </c>
      <c r="B3782" s="13" t="inlineStr">
        <is>
          <t>Администрация МО "Городской округ Ногликский"</t>
        </is>
      </c>
      <c r="C3782" s="13" t="n">
        <v>6513001410</v>
      </c>
      <c r="D3782" s="13" t="inlineStr">
        <is>
          <t>6513001410</t>
        </is>
      </c>
      <c r="E3782" s="13" t="inlineStr">
        <is>
          <t>ЮЛ РФ</t>
        </is>
      </c>
      <c r="F3782" s="13" t="n"/>
      <c r="G3782" s="14" t="n"/>
      <c r="H3782" s="14" t="n"/>
      <c r="I3782" s="14" t="n"/>
      <c r="J3782" s="14" t="n"/>
      <c r="K3782" s="53" t="inlineStr"/>
      <c r="L3782" s="53" t="inlineStr">
        <is>
          <t>Не определено</t>
        </is>
      </c>
      <c r="M3782" s="53" t="inlineStr"/>
      <c r="N3782" s="54" t="inlineStr"/>
      <c r="O3782" s="55" t="inlineStr"/>
      <c r="P3782" s="16" t="inlineStr">
        <is>
          <t>Требует обогащения</t>
        </is>
      </c>
      <c r="Q3782" s="16">
        <f>HYPERLINK("https://pb.nalog.ru/search.html?query=6513001410","ФНС: проверить")</f>
        <v/>
      </c>
      <c r="R3782" s="16">
        <f>HYPERLINK("https://checko.ru/search?query=3801001629","Чекко: проверить")</f>
        <v/>
      </c>
      <c r="S3782" t="n">
        <v>0</v>
      </c>
      <c r="T3782" s="35" t="inlineStr">
        <is>
          <t>4 — Не обогащён</t>
        </is>
      </c>
      <c r="U3782" s="35" t="inlineStr">
        <is>
          <t>Нет ОКВЭД/ССЧР</t>
        </is>
      </c>
      <c r="V3782" s="35" t="inlineStr">
        <is>
          <t>Не определено</t>
        </is>
      </c>
      <c r="W3782" s="35" t="inlineStr"/>
      <c r="X3782" s="35" t="inlineStr"/>
    </row>
    <row r="3783" ht="15" customHeight="1" s="24">
      <c r="A3783" s="13" t="n">
        <v>5000029121</v>
      </c>
      <c r="B3783" s="13" t="inlineStr">
        <is>
          <t>МБУ ДОМ КУЛЬТУРЫ "РОДНИК"</t>
        </is>
      </c>
      <c r="C3783" s="13" t="n">
        <v>6501106104</v>
      </c>
      <c r="D3783" s="13" t="inlineStr">
        <is>
          <t>6501106104</t>
        </is>
      </c>
      <c r="E3783" s="13" t="inlineStr">
        <is>
          <t>ЮЛ РФ</t>
        </is>
      </c>
      <c r="F3783" s="13" t="n"/>
      <c r="G3783" s="14" t="n"/>
      <c r="H3783" s="14" t="n"/>
      <c r="I3783" s="14" t="n"/>
      <c r="J3783" s="14" t="n"/>
      <c r="K3783" s="53" t="inlineStr"/>
      <c r="L3783" s="53" t="inlineStr">
        <is>
          <t>Не определено</t>
        </is>
      </c>
      <c r="M3783" s="53" t="inlineStr"/>
      <c r="N3783" s="54" t="inlineStr"/>
      <c r="O3783" s="55" t="inlineStr"/>
      <c r="P3783" s="16" t="inlineStr">
        <is>
          <t>Требует обогащения</t>
        </is>
      </c>
      <c r="Q3783" s="16">
        <f>HYPERLINK("https://pb.nalog.ru/search.html?query=6501106104","ФНС: проверить")</f>
        <v/>
      </c>
      <c r="R3783" s="16">
        <f>HYPERLINK("https://checko.ru/search?query=3801001629","Чекко: проверить")</f>
        <v/>
      </c>
      <c r="S3783" t="n">
        <v>1</v>
      </c>
      <c r="T3783" s="35" t="inlineStr">
        <is>
          <t>4 — Не обогащён</t>
        </is>
      </c>
      <c r="U3783" s="35" t="inlineStr">
        <is>
          <t>Нет ОКВЭД/ССЧР</t>
        </is>
      </c>
      <c r="V3783" s="35" t="inlineStr">
        <is>
          <t>Не определено</t>
        </is>
      </c>
      <c r="W3783" s="35" t="inlineStr"/>
      <c r="X3783" s="35" t="inlineStr"/>
    </row>
    <row r="3784" ht="27.75" customHeight="1" s="24">
      <c r="A3784" s="13" t="n">
        <v>5000029122</v>
      </c>
      <c r="B3784" s="13" t="inlineStr">
        <is>
          <t>МБУ ДО "ДЕТСКАЯ ШКОЛА ИСКУССТВ № 2 ГОРОДА ЮЖНО-САХАЛИНСКА"</t>
        </is>
      </c>
      <c r="C3784" s="13" t="n">
        <v>6501074420</v>
      </c>
      <c r="D3784" s="13" t="inlineStr">
        <is>
          <t>6501074420</t>
        </is>
      </c>
      <c r="E3784" s="13" t="inlineStr">
        <is>
          <t>ЮЛ РФ</t>
        </is>
      </c>
      <c r="F3784" s="13" t="n"/>
      <c r="G3784" s="14" t="n"/>
      <c r="H3784" s="14" t="n"/>
      <c r="I3784" s="14" t="n"/>
      <c r="J3784" s="14" t="n"/>
      <c r="K3784" s="53" t="inlineStr"/>
      <c r="L3784" s="53" t="inlineStr">
        <is>
          <t>Не определено</t>
        </is>
      </c>
      <c r="M3784" s="53" t="inlineStr"/>
      <c r="N3784" s="54" t="inlineStr"/>
      <c r="O3784" s="55" t="inlineStr"/>
      <c r="P3784" s="16" t="inlineStr">
        <is>
          <t>Требует обогащения</t>
        </is>
      </c>
      <c r="Q3784" s="16">
        <f>HYPERLINK("https://pb.nalog.ru/search.html?query=6501074420","ФНС: проверить")</f>
        <v/>
      </c>
      <c r="R3784" s="16">
        <f>HYPERLINK("https://checko.ru/search?query=3801001629","Чекко: проверить")</f>
        <v/>
      </c>
      <c r="S3784" t="n">
        <v>1</v>
      </c>
      <c r="T3784" s="35" t="inlineStr">
        <is>
          <t>4 — Не обогащён</t>
        </is>
      </c>
      <c r="U3784" s="35" t="inlineStr">
        <is>
          <t>Нет ОКВЭД/ССЧР</t>
        </is>
      </c>
      <c r="V3784" s="35" t="inlineStr">
        <is>
          <t>Не определено</t>
        </is>
      </c>
      <c r="W3784" s="35" t="inlineStr"/>
      <c r="X3784" s="35" t="inlineStr"/>
    </row>
    <row r="3785" ht="27.75" customHeight="1" s="24">
      <c r="A3785" s="13" t="n">
        <v>5000029123</v>
      </c>
      <c r="B3785" s="13" t="inlineStr">
        <is>
          <t>МБУ ДО "ДЕТСКАЯ ШКОЛА ИСКУССТВ № 4 ГОРОДА ЮЖНО-САХАЛИНСКА"</t>
        </is>
      </c>
      <c r="C3785" s="13" t="n">
        <v>6510904660</v>
      </c>
      <c r="D3785" s="13" t="inlineStr">
        <is>
          <t>6510904660</t>
        </is>
      </c>
      <c r="E3785" s="13" t="inlineStr">
        <is>
          <t>ЮЛ РФ</t>
        </is>
      </c>
      <c r="F3785" s="13" t="n"/>
      <c r="G3785" s="14" t="n"/>
      <c r="H3785" s="14" t="n"/>
      <c r="I3785" s="14" t="n"/>
      <c r="J3785" s="14" t="n"/>
      <c r="K3785" s="53" t="inlineStr"/>
      <c r="L3785" s="53" t="inlineStr">
        <is>
          <t>Не определено</t>
        </is>
      </c>
      <c r="M3785" s="53" t="inlineStr"/>
      <c r="N3785" s="54" t="inlineStr"/>
      <c r="O3785" s="55" t="inlineStr"/>
      <c r="P3785" s="16" t="inlineStr">
        <is>
          <t>Требует обогащения</t>
        </is>
      </c>
      <c r="Q3785" s="16">
        <f>HYPERLINK("https://pb.nalog.ru/search.html?query=6510904660","ФНС: проверить")</f>
        <v/>
      </c>
      <c r="R3785" s="16">
        <f>HYPERLINK("https://checko.ru/search?query=3801001629","Чекко: проверить")</f>
        <v/>
      </c>
      <c r="S3785" t="n">
        <v>1</v>
      </c>
      <c r="T3785" s="35" t="inlineStr">
        <is>
          <t>4 — Не обогащён</t>
        </is>
      </c>
      <c r="U3785" s="35" t="inlineStr">
        <is>
          <t>Нет ОКВЭД/ССЧР</t>
        </is>
      </c>
      <c r="V3785" s="35" t="inlineStr">
        <is>
          <t>Не определено</t>
        </is>
      </c>
      <c r="W3785" s="35" t="inlineStr"/>
      <c r="X3785" s="35" t="inlineStr"/>
    </row>
    <row r="3786" ht="27.75" customHeight="1" s="24">
      <c r="A3786" s="13" t="n">
        <v>5000029124</v>
      </c>
      <c r="B3786" s="13" t="inlineStr">
        <is>
          <t>МБУ ДО "ДЕТСКАЯ МУЗЫКАЛЬНАЯ ШКОЛА № 1 ГОРОДА ЮЖНО-САХАЛИНСКА"</t>
        </is>
      </c>
      <c r="C3786" s="13" t="n">
        <v>6510904646</v>
      </c>
      <c r="D3786" s="13" t="inlineStr">
        <is>
          <t>6510904646</t>
        </is>
      </c>
      <c r="E3786" s="13" t="inlineStr">
        <is>
          <t>ЮЛ РФ</t>
        </is>
      </c>
      <c r="F3786" s="13" t="n"/>
      <c r="G3786" s="14" t="n"/>
      <c r="H3786" s="14" t="n"/>
      <c r="I3786" s="14" t="n"/>
      <c r="J3786" s="14" t="n"/>
      <c r="K3786" s="53" t="inlineStr"/>
      <c r="L3786" s="53" t="inlineStr">
        <is>
          <t>Не определено</t>
        </is>
      </c>
      <c r="M3786" s="53" t="inlineStr"/>
      <c r="N3786" s="54" t="inlineStr"/>
      <c r="O3786" s="55" t="inlineStr"/>
      <c r="P3786" s="16" t="inlineStr">
        <is>
          <t>Требует обогащения</t>
        </is>
      </c>
      <c r="Q3786" s="16">
        <f>HYPERLINK("https://pb.nalog.ru/search.html?query=6510904646","ФНС: проверить")</f>
        <v/>
      </c>
      <c r="R3786" s="16">
        <f>HYPERLINK("https://checko.ru/search?query=3801001629","Чекко: проверить")</f>
        <v/>
      </c>
      <c r="S3786" t="n">
        <v>1</v>
      </c>
      <c r="T3786" s="35" t="inlineStr">
        <is>
          <t>4 — Не обогащён</t>
        </is>
      </c>
      <c r="U3786" s="35" t="inlineStr">
        <is>
          <t>Нет ОКВЭД/ССЧР</t>
        </is>
      </c>
      <c r="V3786" s="35" t="inlineStr">
        <is>
          <t>Не определено</t>
        </is>
      </c>
      <c r="W3786" s="35" t="inlineStr"/>
      <c r="X3786" s="35" t="inlineStr"/>
    </row>
    <row r="3787" ht="27.75" customHeight="1" s="24">
      <c r="A3787" s="13" t="n">
        <v>5000029125</v>
      </c>
      <c r="B3787" s="13" t="inlineStr">
        <is>
          <t>МБУ ДО "ДЕТСКАЯ МУЗЫКАЛЬНАЯ ШКОЛА № 5 ГОРОДА ЮЖНО-САХАЛИНСКА"</t>
        </is>
      </c>
      <c r="C3787" s="13" t="n">
        <v>6501184984</v>
      </c>
      <c r="D3787" s="13" t="inlineStr">
        <is>
          <t>6501184984</t>
        </is>
      </c>
      <c r="E3787" s="13" t="inlineStr">
        <is>
          <t>ЮЛ РФ</t>
        </is>
      </c>
      <c r="F3787" s="13" t="n"/>
      <c r="G3787" s="14" t="n"/>
      <c r="H3787" s="14" t="n"/>
      <c r="I3787" s="14" t="n"/>
      <c r="J3787" s="14" t="n"/>
      <c r="K3787" s="53" t="inlineStr"/>
      <c r="L3787" s="53" t="inlineStr">
        <is>
          <t>Не определено</t>
        </is>
      </c>
      <c r="M3787" s="53" t="inlineStr"/>
      <c r="N3787" s="54" t="inlineStr"/>
      <c r="O3787" s="55" t="inlineStr"/>
      <c r="P3787" s="16" t="inlineStr">
        <is>
          <t>Требует обогащения</t>
        </is>
      </c>
      <c r="Q3787" s="16">
        <f>HYPERLINK("https://pb.nalog.ru/search.html?query=6501184984","ФНС: проверить")</f>
        <v/>
      </c>
      <c r="R3787" s="16">
        <f>HYPERLINK("https://checko.ru/search?query=3801001629","Чекко: проверить")</f>
        <v/>
      </c>
      <c r="S3787" t="n">
        <v>1</v>
      </c>
      <c r="T3787" s="35" t="inlineStr">
        <is>
          <t>4 — Не обогащён</t>
        </is>
      </c>
      <c r="U3787" s="35" t="inlineStr">
        <is>
          <t>Нет ОКВЭД/ССЧР</t>
        </is>
      </c>
      <c r="V3787" s="35" t="inlineStr">
        <is>
          <t>Не определено</t>
        </is>
      </c>
      <c r="W3787" s="35" t="inlineStr"/>
      <c r="X3787" s="35" t="inlineStr"/>
    </row>
    <row r="3788" ht="15" customHeight="1" s="24">
      <c r="A3788" s="13" t="n">
        <v>5000029126</v>
      </c>
      <c r="B3788" s="13" t="inlineStr">
        <is>
          <t>МБУ ДОМ КУЛЬТУРЫ "СИНЕГОРЬЕ"</t>
        </is>
      </c>
      <c r="C3788" s="13" t="n">
        <v>6501296127</v>
      </c>
      <c r="D3788" s="13" t="inlineStr">
        <is>
          <t>6501296127</t>
        </is>
      </c>
      <c r="E3788" s="13" t="inlineStr">
        <is>
          <t>ЮЛ РФ</t>
        </is>
      </c>
      <c r="F3788" s="13" t="n"/>
      <c r="G3788" s="14" t="n"/>
      <c r="H3788" s="14" t="n"/>
      <c r="I3788" s="14" t="n"/>
      <c r="J3788" s="14" t="n"/>
      <c r="K3788" s="53" t="inlineStr"/>
      <c r="L3788" s="53" t="inlineStr">
        <is>
          <t>Не определено</t>
        </is>
      </c>
      <c r="M3788" s="53" t="inlineStr"/>
      <c r="N3788" s="54" t="inlineStr"/>
      <c r="O3788" s="55" t="inlineStr"/>
      <c r="P3788" s="16" t="inlineStr">
        <is>
          <t>Требует обогащения</t>
        </is>
      </c>
      <c r="Q3788" s="16">
        <f>HYPERLINK("https://pb.nalog.ru/search.html?query=6501296127","ФНС: проверить")</f>
        <v/>
      </c>
      <c r="R3788" s="16">
        <f>HYPERLINK("https://checko.ru/search?query=3801001629","Чекко: проверить")</f>
        <v/>
      </c>
      <c r="S3788" t="n">
        <v>1</v>
      </c>
      <c r="T3788" s="35" t="inlineStr">
        <is>
          <t>4 — Не обогащён</t>
        </is>
      </c>
      <c r="U3788" s="35" t="inlineStr">
        <is>
          <t>Нет ОКВЭД/ССЧР</t>
        </is>
      </c>
      <c r="V3788" s="35" t="inlineStr">
        <is>
          <t>Не определено</t>
        </is>
      </c>
      <c r="W3788" s="35" t="inlineStr"/>
      <c r="X3788" s="35" t="inlineStr"/>
    </row>
    <row r="3789" ht="15" customHeight="1" s="24">
      <c r="A3789" s="13" t="n">
        <v>5000098201</v>
      </c>
      <c r="B3789" s="13" t="inlineStr">
        <is>
          <t>КГБУЗ "Хасанская ЦРБ"</t>
        </is>
      </c>
      <c r="C3789" s="13" t="n">
        <v>2531007061</v>
      </c>
      <c r="D3789" s="13" t="inlineStr">
        <is>
          <t>2531007061</t>
        </is>
      </c>
      <c r="E3789" s="13" t="inlineStr">
        <is>
          <t>ЮЛ РФ</t>
        </is>
      </c>
      <c r="F3789" s="13" t="n"/>
      <c r="G3789" s="14" t="n"/>
      <c r="H3789" s="14" t="n"/>
      <c r="I3789" s="14" t="n"/>
      <c r="J3789" s="14" t="n"/>
      <c r="K3789" s="53" t="inlineStr"/>
      <c r="L3789" s="53" t="inlineStr">
        <is>
          <t>Не определено</t>
        </is>
      </c>
      <c r="M3789" s="53" t="inlineStr"/>
      <c r="N3789" s="54" t="inlineStr"/>
      <c r="O3789" s="55" t="inlineStr"/>
      <c r="P3789" s="16" t="inlineStr">
        <is>
          <t>Требует обогащения</t>
        </is>
      </c>
      <c r="Q3789" s="16">
        <f>HYPERLINK("https://pb.nalog.ru/search.html?query=2531007061","ФНС: проверить")</f>
        <v/>
      </c>
      <c r="R3789" s="16">
        <f>HYPERLINK("https://checko.ru/search?query=3801001629","Чекко: проверить")</f>
        <v/>
      </c>
      <c r="S3789" t="n">
        <v>1</v>
      </c>
      <c r="T3789" s="35" t="inlineStr">
        <is>
          <t>4 — Не обогащён</t>
        </is>
      </c>
      <c r="U3789" s="35" t="inlineStr">
        <is>
          <t>Нет ОКВЭД/ССЧР</t>
        </is>
      </c>
      <c r="V3789" s="35" t="inlineStr">
        <is>
          <t>Не определено</t>
        </is>
      </c>
      <c r="W3789" s="35" t="inlineStr"/>
      <c r="X3789" s="35" t="inlineStr"/>
    </row>
    <row r="3790" ht="54.75" customHeight="1" s="24">
      <c r="A3790" s="13" t="n">
        <v>5000028676</v>
      </c>
      <c r="B3790" s="13" t="inlineStr">
        <is>
          <t>Муниципальное бюджетное учреждение Ольхонского Районного Муниципального Образования "Универсальный Спортивный Комплекс "Байкал-Спорт"</t>
        </is>
      </c>
      <c r="C3790" s="13" t="n">
        <v>3827053653</v>
      </c>
      <c r="D3790" s="13" t="inlineStr">
        <is>
          <t>3827053653</t>
        </is>
      </c>
      <c r="E3790" s="13" t="inlineStr">
        <is>
          <t>ЮЛ РФ</t>
        </is>
      </c>
      <c r="F3790" s="13" t="n"/>
      <c r="G3790" s="14" t="n"/>
      <c r="H3790" s="14" t="n"/>
      <c r="I3790" s="14" t="n"/>
      <c r="J3790" s="14" t="n"/>
      <c r="K3790" s="53" t="inlineStr"/>
      <c r="L3790" s="53" t="inlineStr">
        <is>
          <t>Не определено</t>
        </is>
      </c>
      <c r="M3790" s="53" t="inlineStr"/>
      <c r="N3790" s="54" t="inlineStr"/>
      <c r="O3790" s="55" t="inlineStr"/>
      <c r="P3790" s="16" t="inlineStr">
        <is>
          <t>Требует обогащения</t>
        </is>
      </c>
      <c r="Q3790" s="16">
        <f>HYPERLINK("https://pb.nalog.ru/search.html?query=3827053653","ФНС: проверить")</f>
        <v/>
      </c>
      <c r="R3790" s="16">
        <f>HYPERLINK("https://checko.ru/search?query=3801001629","Чекко: проверить")</f>
        <v/>
      </c>
      <c r="S3790" t="n">
        <v>1</v>
      </c>
      <c r="T3790" s="35" t="inlineStr">
        <is>
          <t>4 — Не обогащён</t>
        </is>
      </c>
      <c r="U3790" s="35" t="inlineStr">
        <is>
          <t>Нет ОКВЭД/ССЧР</t>
        </is>
      </c>
      <c r="V3790" s="35" t="inlineStr">
        <is>
          <t>Не определено</t>
        </is>
      </c>
      <c r="W3790" s="35" t="inlineStr"/>
      <c r="X3790" s="35" t="inlineStr"/>
    </row>
    <row r="3791" ht="54.75" customHeight="1" s="24">
      <c r="A3791" s="13" t="n">
        <v>5000028677</v>
      </c>
      <c r="B3791" s="13" t="inlineStr">
        <is>
          <t>Комитет по управлению социальной сферой администрации муниципального района "Ольхонское районное муниципальное образование"</t>
        </is>
      </c>
      <c r="C3791" s="13" t="n">
        <v>3827041785</v>
      </c>
      <c r="D3791" s="13" t="inlineStr">
        <is>
          <t>3827041785</t>
        </is>
      </c>
      <c r="E3791" s="13" t="inlineStr">
        <is>
          <t>ЮЛ РФ</t>
        </is>
      </c>
      <c r="F3791" s="13" t="n"/>
      <c r="G3791" s="14" t="n"/>
      <c r="H3791" s="14" t="n"/>
      <c r="I3791" s="14" t="n"/>
      <c r="J3791" s="14" t="n"/>
      <c r="K3791" s="53" t="inlineStr"/>
      <c r="L3791" s="53" t="inlineStr">
        <is>
          <t>Не определено</t>
        </is>
      </c>
      <c r="M3791" s="53" t="inlineStr"/>
      <c r="N3791" s="54" t="inlineStr"/>
      <c r="O3791" s="55" t="inlineStr"/>
      <c r="P3791" s="16" t="inlineStr">
        <is>
          <t>Требует обогащения</t>
        </is>
      </c>
      <c r="Q3791" s="16">
        <f>HYPERLINK("https://pb.nalog.ru/search.html?query=3827041785","ФНС: проверить")</f>
        <v/>
      </c>
      <c r="R3791" s="16">
        <f>HYPERLINK("https://checko.ru/search?query=3801001629","Чекко: проверить")</f>
        <v/>
      </c>
      <c r="S3791" t="n">
        <v>1</v>
      </c>
      <c r="T3791" s="35" t="inlineStr">
        <is>
          <t>4 — Не обогащён</t>
        </is>
      </c>
      <c r="U3791" s="35" t="inlineStr">
        <is>
          <t>Нет ОКВЭД/ССЧР</t>
        </is>
      </c>
      <c r="V3791" s="35" t="inlineStr">
        <is>
          <t>Не определено</t>
        </is>
      </c>
      <c r="W3791" s="35" t="inlineStr"/>
      <c r="X3791" s="35" t="inlineStr"/>
    </row>
    <row r="3792" ht="15" customHeight="1" s="24">
      <c r="A3792" s="13" t="n">
        <v>5000089270</v>
      </c>
      <c r="B3792" s="13" t="inlineStr">
        <is>
          <t>КГКСКОУ «Коррекционная школа-интернат I вида»</t>
        </is>
      </c>
      <c r="C3792" s="13" t="n">
        <v>2539022671</v>
      </c>
      <c r="D3792" s="13" t="inlineStr">
        <is>
          <t>2539022671</t>
        </is>
      </c>
      <c r="E3792" s="13" t="inlineStr">
        <is>
          <t>ЮЛ РФ</t>
        </is>
      </c>
      <c r="F3792" s="13" t="n"/>
      <c r="G3792" s="14" t="n"/>
      <c r="H3792" s="14" t="n"/>
      <c r="I3792" s="14" t="n"/>
      <c r="J3792" s="14" t="n"/>
      <c r="K3792" s="53" t="inlineStr"/>
      <c r="L3792" s="53" t="inlineStr">
        <is>
          <t>Не определено</t>
        </is>
      </c>
      <c r="M3792" s="53" t="inlineStr"/>
      <c r="N3792" s="54" t="inlineStr"/>
      <c r="O3792" s="55" t="inlineStr"/>
      <c r="P3792" s="16" t="inlineStr">
        <is>
          <t>Требует обогащения</t>
        </is>
      </c>
      <c r="Q3792" s="16">
        <f>HYPERLINK("https://pb.nalog.ru/search.html?query=2539022671","ФНС: проверить")</f>
        <v/>
      </c>
      <c r="R3792" s="16">
        <f>HYPERLINK("https://checko.ru/search?query=3801001629","Чекко: проверить")</f>
        <v/>
      </c>
      <c r="S3792" t="n">
        <v>1</v>
      </c>
      <c r="T3792" s="35" t="inlineStr">
        <is>
          <t>4 — Не обогащён</t>
        </is>
      </c>
      <c r="U3792" s="35" t="inlineStr">
        <is>
          <t>Нет ОКВЭД/ССЧР</t>
        </is>
      </c>
      <c r="V3792" s="35" t="inlineStr">
        <is>
          <t>Не определено</t>
        </is>
      </c>
      <c r="W3792" s="35" t="inlineStr"/>
      <c r="X3792" s="35" t="inlineStr"/>
    </row>
    <row r="3793" ht="27.75" customHeight="1" s="24">
      <c r="A3793" s="13" t="n">
        <v>5000090537</v>
      </c>
      <c r="B3793" s="13" t="inlineStr">
        <is>
          <t>МКУ "Управление по делам гражданской обороны и чрезвычайным ситуациям г. Южно-Сахалинска"</t>
        </is>
      </c>
      <c r="C3793" s="13" t="n">
        <v>6501077446</v>
      </c>
      <c r="D3793" s="13" t="inlineStr">
        <is>
          <t>6501077446</t>
        </is>
      </c>
      <c r="E3793" s="13" t="inlineStr">
        <is>
          <t>ЮЛ РФ</t>
        </is>
      </c>
      <c r="F3793" s="13" t="n"/>
      <c r="G3793" s="14" t="n"/>
      <c r="H3793" s="14" t="n"/>
      <c r="I3793" s="14" t="n"/>
      <c r="J3793" s="14" t="n"/>
      <c r="K3793" s="53" t="inlineStr"/>
      <c r="L3793" s="53" t="inlineStr">
        <is>
          <t>Не определено</t>
        </is>
      </c>
      <c r="M3793" s="53" t="inlineStr"/>
      <c r="N3793" s="54" t="inlineStr"/>
      <c r="O3793" s="55" t="inlineStr"/>
      <c r="P3793" s="16" t="inlineStr">
        <is>
          <t>Требует обогащения</t>
        </is>
      </c>
      <c r="Q3793" s="16">
        <f>HYPERLINK("https://pb.nalog.ru/search.html?query=6501077446","ФНС: проверить")</f>
        <v/>
      </c>
      <c r="R3793" s="16">
        <f>HYPERLINK("https://checko.ru/search?query=3801001629","Чекко: проверить")</f>
        <v/>
      </c>
      <c r="S3793" t="n">
        <v>1</v>
      </c>
      <c r="T3793" s="35" t="inlineStr">
        <is>
          <t>4 — Не обогащён</t>
        </is>
      </c>
      <c r="U3793" s="35" t="inlineStr">
        <is>
          <t>Нет ОКВЭД/ССЧР</t>
        </is>
      </c>
      <c r="V3793" s="35" t="inlineStr">
        <is>
          <t>Не определено</t>
        </is>
      </c>
      <c r="W3793" s="35" t="inlineStr"/>
      <c r="X3793" s="35" t="inlineStr"/>
    </row>
    <row r="3794" ht="27.75" customHeight="1" s="24">
      <c r="A3794" s="13" t="n">
        <v>5000117090</v>
      </c>
      <c r="B3794" s="13" t="inlineStr">
        <is>
          <t>Управление культуры МО "Холмский городской округ"</t>
        </is>
      </c>
      <c r="C3794" s="13" t="n">
        <v>6509011951</v>
      </c>
      <c r="D3794" s="13" t="inlineStr">
        <is>
          <t>6509011951</t>
        </is>
      </c>
      <c r="E3794" s="13" t="inlineStr">
        <is>
          <t>ЮЛ РФ</t>
        </is>
      </c>
      <c r="F3794" s="13" t="n"/>
      <c r="G3794" s="14" t="n"/>
      <c r="H3794" s="14" t="n"/>
      <c r="I3794" s="14" t="n"/>
      <c r="J3794" s="14" t="n"/>
      <c r="K3794" s="53" t="inlineStr"/>
      <c r="L3794" s="53" t="inlineStr">
        <is>
          <t>Не определено</t>
        </is>
      </c>
      <c r="M3794" s="53" t="inlineStr"/>
      <c r="N3794" s="54" t="inlineStr"/>
      <c r="O3794" s="55" t="inlineStr"/>
      <c r="P3794" s="16" t="inlineStr">
        <is>
          <t>Требует обогащения</t>
        </is>
      </c>
      <c r="Q3794" s="16">
        <f>HYPERLINK("https://pb.nalog.ru/search.html?query=6509011951","ФНС: проверить")</f>
        <v/>
      </c>
      <c r="R3794" s="16">
        <f>HYPERLINK("https://checko.ru/search?query=3801001629","Чекко: проверить")</f>
        <v/>
      </c>
      <c r="S3794" t="n">
        <v>1</v>
      </c>
      <c r="T3794" s="35" t="inlineStr">
        <is>
          <t>4 — Не обогащён</t>
        </is>
      </c>
      <c r="U3794" s="35" t="inlineStr">
        <is>
          <t>Нет ОКВЭД/ССЧР</t>
        </is>
      </c>
      <c r="V3794" s="35" t="inlineStr">
        <is>
          <t>Не определено</t>
        </is>
      </c>
      <c r="W3794" s="35" t="inlineStr"/>
      <c r="X3794" s="35" t="inlineStr"/>
    </row>
    <row r="3795" ht="27.75" customHeight="1" s="24">
      <c r="A3795" s="13" t="n">
        <v>5000117090</v>
      </c>
      <c r="B3795" s="13" t="inlineStr">
        <is>
          <t>Управление культуры МО "Холмский городской округ"</t>
        </is>
      </c>
      <c r="C3795" s="13" t="n">
        <v>6509011951</v>
      </c>
      <c r="D3795" s="13" t="inlineStr">
        <is>
          <t>6509011951</t>
        </is>
      </c>
      <c r="E3795" s="13" t="inlineStr">
        <is>
          <t>ЮЛ РФ</t>
        </is>
      </c>
      <c r="F3795" s="13" t="n"/>
      <c r="G3795" s="14" t="n"/>
      <c r="H3795" s="14" t="n"/>
      <c r="I3795" s="14" t="n"/>
      <c r="J3795" s="14" t="n"/>
      <c r="K3795" s="53" t="inlineStr"/>
      <c r="L3795" s="53" t="inlineStr">
        <is>
          <t>Не определено</t>
        </is>
      </c>
      <c r="M3795" s="53" t="inlineStr"/>
      <c r="N3795" s="54" t="inlineStr"/>
      <c r="O3795" s="55" t="inlineStr"/>
      <c r="P3795" s="16" t="inlineStr">
        <is>
          <t>Требует обогащения</t>
        </is>
      </c>
      <c r="Q3795" s="16">
        <f>HYPERLINK("https://pb.nalog.ru/search.html?query=6509011951","ФНС: проверить")</f>
        <v/>
      </c>
      <c r="R3795" s="16">
        <f>HYPERLINK("https://checko.ru/search?query=3801001629","Чекко: проверить")</f>
        <v/>
      </c>
      <c r="S3795" t="n">
        <v>0</v>
      </c>
      <c r="T3795" s="35" t="inlineStr">
        <is>
          <t>4 — Не обогащён</t>
        </is>
      </c>
      <c r="U3795" s="35" t="inlineStr">
        <is>
          <t>Нет ОКВЭД/ССЧР</t>
        </is>
      </c>
      <c r="V3795" s="35" t="inlineStr">
        <is>
          <t>Не определено</t>
        </is>
      </c>
      <c r="W3795" s="35" t="inlineStr"/>
      <c r="X3795" s="35" t="inlineStr"/>
    </row>
    <row r="3796" ht="41.25" customHeight="1" s="24">
      <c r="A3796" s="13" t="n">
        <v>5000101082</v>
      </c>
      <c r="B3796" s="13" t="inlineStr">
        <is>
          <t>Муниципальное бюджетное учреждение Дополнительного Образования "Ольхонская Детско-Юношеская Спортивная Школа"</t>
        </is>
      </c>
      <c r="C3796" s="13" t="n">
        <v>3836002415</v>
      </c>
      <c r="D3796" s="13" t="inlineStr">
        <is>
          <t>3836002415</t>
        </is>
      </c>
      <c r="E3796" s="13" t="inlineStr">
        <is>
          <t>ЮЛ РФ</t>
        </is>
      </c>
      <c r="F3796" s="13" t="n"/>
      <c r="G3796" s="14" t="n"/>
      <c r="H3796" s="14" t="n"/>
      <c r="I3796" s="14" t="n"/>
      <c r="J3796" s="14" t="n"/>
      <c r="K3796" s="53" t="inlineStr"/>
      <c r="L3796" s="53" t="inlineStr">
        <is>
          <t>Не определено</t>
        </is>
      </c>
      <c r="M3796" s="53" t="inlineStr"/>
      <c r="N3796" s="54" t="inlineStr"/>
      <c r="O3796" s="55" t="inlineStr"/>
      <c r="P3796" s="16" t="inlineStr">
        <is>
          <t>Требует обогащения</t>
        </is>
      </c>
      <c r="Q3796" s="16">
        <f>HYPERLINK("https://pb.nalog.ru/search.html?query=3836002415","ФНС: проверить")</f>
        <v/>
      </c>
      <c r="R3796" s="16">
        <f>HYPERLINK("https://checko.ru/search?query=3801001629","Чекко: проверить")</f>
        <v/>
      </c>
      <c r="S3796" t="n">
        <v>1</v>
      </c>
      <c r="T3796" s="35" t="inlineStr">
        <is>
          <t>4 — Не обогащён</t>
        </is>
      </c>
      <c r="U3796" s="35" t="inlineStr">
        <is>
          <t>Нет ОКВЭД/ССЧР</t>
        </is>
      </c>
      <c r="V3796" s="35" t="inlineStr">
        <is>
          <t>Не определено</t>
        </is>
      </c>
      <c r="W3796" s="35" t="inlineStr"/>
      <c r="X3796" s="35" t="inlineStr"/>
    </row>
    <row r="3797" ht="54.75" customHeight="1" s="24">
      <c r="A3797" s="13" t="n">
        <v>5000098214</v>
      </c>
      <c r="B3797" s="13" t="inlineStr">
        <is>
          <t>краевое государственное автономное учреждение Приморского края «Многофункциональный центр предоставления государственных и муниципальных услуг в Примо</t>
        </is>
      </c>
      <c r="C3797" s="13" t="n">
        <v>2536259312</v>
      </c>
      <c r="D3797" s="13" t="inlineStr">
        <is>
          <t>2536259312</t>
        </is>
      </c>
      <c r="E3797" s="13" t="inlineStr">
        <is>
          <t>ЮЛ РФ</t>
        </is>
      </c>
      <c r="F3797" s="13" t="n"/>
      <c r="G3797" s="14" t="n"/>
      <c r="H3797" s="14" t="n"/>
      <c r="I3797" s="14" t="n"/>
      <c r="J3797" s="14" t="n"/>
      <c r="K3797" s="53" t="inlineStr"/>
      <c r="L3797" s="53" t="inlineStr">
        <is>
          <t>Не определено</t>
        </is>
      </c>
      <c r="M3797" s="53" t="inlineStr"/>
      <c r="N3797" s="54" t="inlineStr"/>
      <c r="O3797" s="55" t="inlineStr"/>
      <c r="P3797" s="16" t="inlineStr">
        <is>
          <t>Требует обогащения</t>
        </is>
      </c>
      <c r="Q3797" s="16">
        <f>HYPERLINK("https://pb.nalog.ru/search.html?query=2536259312","ФНС: проверить")</f>
        <v/>
      </c>
      <c r="R3797" s="16">
        <f>HYPERLINK("https://checko.ru/search?query=3801001629","Чекко: проверить")</f>
        <v/>
      </c>
      <c r="S3797" t="n">
        <v>1</v>
      </c>
      <c r="T3797" s="35" t="inlineStr">
        <is>
          <t>4 — Не обогащён</t>
        </is>
      </c>
      <c r="U3797" s="35" t="inlineStr">
        <is>
          <t>Нет ОКВЭД/ССЧР</t>
        </is>
      </c>
      <c r="V3797" s="35" t="inlineStr">
        <is>
          <t>Не определено</t>
        </is>
      </c>
      <c r="W3797" s="35" t="inlineStr"/>
      <c r="X3797" s="35" t="inlineStr"/>
    </row>
    <row r="3798" ht="27.75" customHeight="1" s="24">
      <c r="A3798" s="13" t="n">
        <v>5000003199</v>
      </c>
      <c r="B3798" s="13" t="inlineStr">
        <is>
          <t>Отдел жилищного и коммунального хозяйства администрации Невельского городского округа</t>
        </is>
      </c>
      <c r="C3798" s="13" t="n">
        <v>6505005925</v>
      </c>
      <c r="D3798" s="13" t="inlineStr">
        <is>
          <t>6505005925</t>
        </is>
      </c>
      <c r="E3798" s="13" t="inlineStr">
        <is>
          <t>ЮЛ РФ</t>
        </is>
      </c>
      <c r="F3798" s="13" t="n"/>
      <c r="G3798" s="14" t="n"/>
      <c r="H3798" s="14" t="n"/>
      <c r="I3798" s="14" t="n"/>
      <c r="J3798" s="14" t="n"/>
      <c r="K3798" s="53" t="inlineStr"/>
      <c r="L3798" s="53" t="inlineStr">
        <is>
          <t>Не определено</t>
        </is>
      </c>
      <c r="M3798" s="53" t="inlineStr"/>
      <c r="N3798" s="54" t="inlineStr"/>
      <c r="O3798" s="55" t="inlineStr"/>
      <c r="P3798" s="16" t="inlineStr">
        <is>
          <t>Требует обогащения</t>
        </is>
      </c>
      <c r="Q3798" s="16">
        <f>HYPERLINK("https://pb.nalog.ru/search.html?query=6505005925","ФНС: проверить")</f>
        <v/>
      </c>
      <c r="R3798" s="16">
        <f>HYPERLINK("https://checko.ru/search?query=3801001629","Чекко: проверить")</f>
        <v/>
      </c>
      <c r="S3798" t="n">
        <v>1</v>
      </c>
      <c r="T3798" s="35" t="inlineStr">
        <is>
          <t>4 — Не обогащён</t>
        </is>
      </c>
      <c r="U3798" s="35" t="inlineStr">
        <is>
          <t>Нет ОКВЭД/ССЧР</t>
        </is>
      </c>
      <c r="V3798" s="35" t="inlineStr">
        <is>
          <t>Не определено</t>
        </is>
      </c>
      <c r="W3798" s="35" t="inlineStr"/>
      <c r="X3798" s="35" t="inlineStr"/>
    </row>
    <row r="3799" ht="41.25" customHeight="1" s="24">
      <c r="A3799" s="13" t="n">
        <v>5000107960</v>
      </c>
      <c r="B3799" s="13" t="inlineStr">
        <is>
          <t>Муниципальное бюджетное образовательное учреждение средняя общеобразовательная школа № 32 города Южно-Сахалинска</t>
        </is>
      </c>
      <c r="C3799" s="13" t="n">
        <v>6501102420</v>
      </c>
      <c r="D3799" s="13" t="inlineStr">
        <is>
          <t>6501102420</t>
        </is>
      </c>
      <c r="E3799" s="13" t="inlineStr">
        <is>
          <t>ЮЛ РФ</t>
        </is>
      </c>
      <c r="F3799" s="13" t="n"/>
      <c r="G3799" s="14" t="n"/>
      <c r="H3799" s="14" t="n"/>
      <c r="I3799" s="14" t="n"/>
      <c r="J3799" s="14" t="n"/>
      <c r="K3799" s="53" t="inlineStr"/>
      <c r="L3799" s="53" t="inlineStr">
        <is>
          <t>Не определено</t>
        </is>
      </c>
      <c r="M3799" s="53" t="inlineStr"/>
      <c r="N3799" s="54" t="inlineStr"/>
      <c r="O3799" s="55" t="inlineStr"/>
      <c r="P3799" s="16" t="inlineStr">
        <is>
          <t>Требует обогащения</t>
        </is>
      </c>
      <c r="Q3799" s="16">
        <f>HYPERLINK("https://pb.nalog.ru/search.html?query=6501102420","ФНС: проверить")</f>
        <v/>
      </c>
      <c r="R3799" s="16">
        <f>HYPERLINK("https://checko.ru/search?query=3801001629","Чекко: проверить")</f>
        <v/>
      </c>
      <c r="S3799" t="n">
        <v>1</v>
      </c>
      <c r="T3799" s="35" t="inlineStr">
        <is>
          <t>4 — Не обогащён</t>
        </is>
      </c>
      <c r="U3799" s="35" t="inlineStr">
        <is>
          <t>Нет ОКВЭД/ССЧР</t>
        </is>
      </c>
      <c r="V3799" s="35" t="inlineStr">
        <is>
          <t>Не определено</t>
        </is>
      </c>
      <c r="W3799" s="35" t="inlineStr"/>
      <c r="X3799" s="35" t="inlineStr"/>
    </row>
    <row r="3800" ht="15" customHeight="1" s="24">
      <c r="A3800" s="13" t="n">
        <v>5000107572</v>
      </c>
      <c r="B3800" s="13" t="inlineStr">
        <is>
          <t>ОбГАУ "Футбольный клуб "Сахалин"</t>
        </is>
      </c>
      <c r="C3800" s="13" t="n">
        <v>6501238125</v>
      </c>
      <c r="D3800" s="13" t="inlineStr">
        <is>
          <t>6501238125</t>
        </is>
      </c>
      <c r="E3800" s="13" t="inlineStr">
        <is>
          <t>ЮЛ РФ</t>
        </is>
      </c>
      <c r="F3800" s="13" t="n"/>
      <c r="G3800" s="14" t="n"/>
      <c r="H3800" s="14" t="n"/>
      <c r="I3800" s="14" t="n"/>
      <c r="J3800" s="14" t="n"/>
      <c r="K3800" s="53" t="inlineStr"/>
      <c r="L3800" s="53" t="inlineStr">
        <is>
          <t>Не определено</t>
        </is>
      </c>
      <c r="M3800" s="53" t="inlineStr"/>
      <c r="N3800" s="54" t="inlineStr"/>
      <c r="O3800" s="55" t="inlineStr"/>
      <c r="P3800" s="16" t="inlineStr">
        <is>
          <t>Требует обогащения</t>
        </is>
      </c>
      <c r="Q3800" s="16">
        <f>HYPERLINK("https://pb.nalog.ru/search.html?query=6501238125","ФНС: проверить")</f>
        <v/>
      </c>
      <c r="R3800" s="16">
        <f>HYPERLINK("https://checko.ru/search?query=3801001629","Чекко: проверить")</f>
        <v/>
      </c>
      <c r="S3800" t="n">
        <v>1</v>
      </c>
      <c r="T3800" s="35" t="inlineStr">
        <is>
          <t>4 — Не обогащён</t>
        </is>
      </c>
      <c r="U3800" s="35" t="inlineStr">
        <is>
          <t>Нет ОКВЭД/ССЧР</t>
        </is>
      </c>
      <c r="V3800" s="35" t="inlineStr">
        <is>
          <t>Не определено</t>
        </is>
      </c>
      <c r="W3800" s="35" t="inlineStr"/>
      <c r="X3800" s="35" t="inlineStr"/>
    </row>
    <row r="3801" ht="27.75" customHeight="1" s="24">
      <c r="A3801" s="13" t="n">
        <v>5000098670</v>
      </c>
      <c r="B3801" s="13" t="inlineStr">
        <is>
          <t>ГБУ "Станция по борьбе с болезнями животных № 5"</t>
        </is>
      </c>
      <c r="C3801" s="13" t="n">
        <v>6517001298</v>
      </c>
      <c r="D3801" s="13" t="inlineStr">
        <is>
          <t>6517001298</t>
        </is>
      </c>
      <c r="E3801" s="13" t="inlineStr">
        <is>
          <t>ЮЛ РФ</t>
        </is>
      </c>
      <c r="F3801" s="13" t="n"/>
      <c r="G3801" s="14" t="n"/>
      <c r="H3801" s="14" t="n"/>
      <c r="I3801" s="14" t="n"/>
      <c r="J3801" s="14" t="n"/>
      <c r="K3801" s="53" t="inlineStr"/>
      <c r="L3801" s="53" t="inlineStr">
        <is>
          <t>Не определено</t>
        </is>
      </c>
      <c r="M3801" s="53" t="inlineStr"/>
      <c r="N3801" s="54" t="inlineStr"/>
      <c r="O3801" s="55" t="inlineStr"/>
      <c r="P3801" s="16" t="inlineStr">
        <is>
          <t>Требует обогащения</t>
        </is>
      </c>
      <c r="Q3801" s="16">
        <f>HYPERLINK("https://pb.nalog.ru/search.html?query=6517001298","ФНС: проверить")</f>
        <v/>
      </c>
      <c r="R3801" s="16">
        <f>HYPERLINK("https://checko.ru/search?query=3801001629","Чекко: проверить")</f>
        <v/>
      </c>
      <c r="S3801" t="n">
        <v>1</v>
      </c>
      <c r="T3801" s="35" t="inlineStr">
        <is>
          <t>4 — Не обогащён</t>
        </is>
      </c>
      <c r="U3801" s="35" t="inlineStr">
        <is>
          <t>Нет ОКВЭД/ССЧР</t>
        </is>
      </c>
      <c r="V3801" s="35" t="inlineStr">
        <is>
          <t>Не определено</t>
        </is>
      </c>
      <c r="W3801" s="35" t="inlineStr"/>
      <c r="X3801" s="35" t="inlineStr"/>
    </row>
    <row r="3802" ht="15" customHeight="1" s="24">
      <c r="A3802" s="13" t="n">
        <v>5000098305</v>
      </c>
      <c r="B3802" s="13" t="inlineStr">
        <is>
          <t>КГБУЗ "АРТЕМОВСКАЯ ДЕТСКАЯ БОЛЬНИЦА"</t>
        </is>
      </c>
      <c r="C3802" s="13" t="n">
        <v>2502022097</v>
      </c>
      <c r="D3802" s="13" t="inlineStr">
        <is>
          <t>2502022097</t>
        </is>
      </c>
      <c r="E3802" s="13" t="inlineStr">
        <is>
          <t>ЮЛ РФ</t>
        </is>
      </c>
      <c r="F3802" s="13" t="n"/>
      <c r="G3802" s="14" t="n"/>
      <c r="H3802" s="14" t="n"/>
      <c r="I3802" s="14" t="n"/>
      <c r="J3802" s="14" t="n"/>
      <c r="K3802" s="53" t="inlineStr"/>
      <c r="L3802" s="53" t="inlineStr">
        <is>
          <t>Не определено</t>
        </is>
      </c>
      <c r="M3802" s="53" t="inlineStr"/>
      <c r="N3802" s="54" t="inlineStr"/>
      <c r="O3802" s="55" t="inlineStr"/>
      <c r="P3802" s="16" t="inlineStr">
        <is>
          <t>Требует обогащения</t>
        </is>
      </c>
      <c r="Q3802" s="16">
        <f>HYPERLINK("https://pb.nalog.ru/search.html?query=2502022097","ФНС: проверить")</f>
        <v/>
      </c>
      <c r="R3802" s="16">
        <f>HYPERLINK("https://checko.ru/search?query=3801001629","Чекко: проверить")</f>
        <v/>
      </c>
      <c r="S3802" t="n">
        <v>1</v>
      </c>
      <c r="T3802" s="35" t="inlineStr">
        <is>
          <t>4 — Не обогащён</t>
        </is>
      </c>
      <c r="U3802" s="35" t="inlineStr">
        <is>
          <t>Нет ОКВЭД/ССЧР</t>
        </is>
      </c>
      <c r="V3802" s="35" t="inlineStr">
        <is>
          <t>Не определено</t>
        </is>
      </c>
      <c r="W3802" s="35" t="inlineStr"/>
      <c r="X3802" s="35" t="inlineStr"/>
    </row>
    <row r="3803" ht="15" customHeight="1" s="24">
      <c r="A3803" s="13" t="n">
        <v>5000111553</v>
      </c>
      <c r="B3803" s="13" t="inlineStr">
        <is>
          <t>АОУ ДОД Дворец детского(юношеского)</t>
        </is>
      </c>
      <c r="C3803" s="13" t="n">
        <v>6501071941</v>
      </c>
      <c r="D3803" s="13" t="inlineStr">
        <is>
          <t>6501071941</t>
        </is>
      </c>
      <c r="E3803" s="13" t="inlineStr">
        <is>
          <t>ЮЛ РФ</t>
        </is>
      </c>
      <c r="F3803" s="13" t="n"/>
      <c r="G3803" s="14" t="n"/>
      <c r="H3803" s="14" t="n"/>
      <c r="I3803" s="14" t="n"/>
      <c r="J3803" s="14" t="n"/>
      <c r="K3803" s="53" t="inlineStr"/>
      <c r="L3803" s="53" t="inlineStr">
        <is>
          <t>Не определено</t>
        </is>
      </c>
      <c r="M3803" s="53" t="inlineStr"/>
      <c r="N3803" s="54" t="inlineStr"/>
      <c r="O3803" s="55" t="inlineStr"/>
      <c r="P3803" s="16" t="inlineStr">
        <is>
          <t>Требует обогащения</t>
        </is>
      </c>
      <c r="Q3803" s="16">
        <f>HYPERLINK("https://pb.nalog.ru/search.html?query=6501071941","ФНС: проверить")</f>
        <v/>
      </c>
      <c r="R3803" s="16">
        <f>HYPERLINK("https://checko.ru/search?query=3801001629","Чекко: проверить")</f>
        <v/>
      </c>
      <c r="S3803" t="n">
        <v>1</v>
      </c>
      <c r="T3803" s="35" t="inlineStr">
        <is>
          <t>4 — Не обогащён</t>
        </is>
      </c>
      <c r="U3803" s="35" t="inlineStr">
        <is>
          <t>Нет ОКВЭД/ССЧР</t>
        </is>
      </c>
      <c r="V3803" s="35" t="inlineStr">
        <is>
          <t>Не определено</t>
        </is>
      </c>
      <c r="W3803" s="35" t="inlineStr"/>
      <c r="X3803" s="35" t="inlineStr"/>
    </row>
    <row r="3804" ht="15" customHeight="1" s="24">
      <c r="A3804" s="13" t="n">
        <v>5000089284</v>
      </c>
      <c r="B3804" s="13" t="inlineStr">
        <is>
          <t>КГК СКОУ Арсеньевская КШ</t>
        </is>
      </c>
      <c r="C3804" s="13" t="n">
        <v>2501009311</v>
      </c>
      <c r="D3804" s="13" t="inlineStr">
        <is>
          <t>2501009311</t>
        </is>
      </c>
      <c r="E3804" s="13" t="inlineStr">
        <is>
          <t>ЮЛ РФ</t>
        </is>
      </c>
      <c r="F3804" s="13" t="n"/>
      <c r="G3804" s="14" t="n"/>
      <c r="H3804" s="14" t="n"/>
      <c r="I3804" s="14" t="n"/>
      <c r="J3804" s="14" t="n"/>
      <c r="K3804" s="53" t="inlineStr"/>
      <c r="L3804" s="53" t="inlineStr">
        <is>
          <t>Не определено</t>
        </is>
      </c>
      <c r="M3804" s="53" t="inlineStr"/>
      <c r="N3804" s="54" t="inlineStr"/>
      <c r="O3804" s="55" t="inlineStr"/>
      <c r="P3804" s="16" t="inlineStr">
        <is>
          <t>Требует обогащения</t>
        </is>
      </c>
      <c r="Q3804" s="16">
        <f>HYPERLINK("https://pb.nalog.ru/search.html?query=2501009311","ФНС: проверить")</f>
        <v/>
      </c>
      <c r="R3804" s="16">
        <f>HYPERLINK("https://checko.ru/search?query=3801001629","Чекко: проверить")</f>
        <v/>
      </c>
      <c r="S3804" t="n">
        <v>1</v>
      </c>
      <c r="T3804" s="35" t="inlineStr">
        <is>
          <t>4 — Не обогащён</t>
        </is>
      </c>
      <c r="U3804" s="35" t="inlineStr">
        <is>
          <t>Нет ОКВЭД/ССЧР</t>
        </is>
      </c>
      <c r="V3804" s="35" t="inlineStr">
        <is>
          <t>Не определено</t>
        </is>
      </c>
      <c r="W3804" s="35" t="inlineStr"/>
      <c r="X3804" s="35" t="inlineStr"/>
    </row>
    <row r="3805" ht="27.75" customHeight="1" s="24">
      <c r="A3805" s="13" t="n">
        <v>5000098677</v>
      </c>
      <c r="B3805" s="13" t="inlineStr">
        <is>
          <t>ГКУ "Социально-реабилитационный центр для несовершеннолетних "Огонек"</t>
        </is>
      </c>
      <c r="C3805" s="13" t="n">
        <v>6512003816</v>
      </c>
      <c r="D3805" s="13" t="inlineStr">
        <is>
          <t>6512003816</t>
        </is>
      </c>
      <c r="E3805" s="13" t="inlineStr">
        <is>
          <t>ЮЛ РФ</t>
        </is>
      </c>
      <c r="F3805" s="13" t="n"/>
      <c r="G3805" s="14" t="n"/>
      <c r="H3805" s="14" t="n"/>
      <c r="I3805" s="14" t="n"/>
      <c r="J3805" s="14" t="n"/>
      <c r="K3805" s="53" t="inlineStr"/>
      <c r="L3805" s="53" t="inlineStr">
        <is>
          <t>Не определено</t>
        </is>
      </c>
      <c r="M3805" s="53" t="inlineStr"/>
      <c r="N3805" s="54" t="inlineStr"/>
      <c r="O3805" s="55" t="inlineStr"/>
      <c r="P3805" s="16" t="inlineStr">
        <is>
          <t>Требует обогащения</t>
        </is>
      </c>
      <c r="Q3805" s="16">
        <f>HYPERLINK("https://pb.nalog.ru/search.html?query=6512003816","ФНС: проверить")</f>
        <v/>
      </c>
      <c r="R3805" s="16">
        <f>HYPERLINK("https://checko.ru/search?query=3801001629","Чекко: проверить")</f>
        <v/>
      </c>
      <c r="S3805" t="n">
        <v>1</v>
      </c>
      <c r="T3805" s="35" t="inlineStr">
        <is>
          <t>4 — Не обогащён</t>
        </is>
      </c>
      <c r="U3805" s="35" t="inlineStr">
        <is>
          <t>Нет ОКВЭД/ССЧР</t>
        </is>
      </c>
      <c r="V3805" s="35" t="inlineStr">
        <is>
          <t>Не определено</t>
        </is>
      </c>
      <c r="W3805" s="35" t="inlineStr"/>
      <c r="X3805" s="35" t="inlineStr"/>
    </row>
    <row r="3806" ht="27.75" customHeight="1" s="24">
      <c r="A3806" s="13" t="n">
        <v>5000098655</v>
      </c>
      <c r="B3806" s="13" t="inlineStr">
        <is>
          <t>ГБУЗ Сахалинской области "Северо-Курильская центральная районная больница"</t>
        </is>
      </c>
      <c r="C3806" s="13" t="n">
        <v>6515001020</v>
      </c>
      <c r="D3806" s="13" t="inlineStr">
        <is>
          <t>6515001020</t>
        </is>
      </c>
      <c r="E3806" s="13" t="inlineStr">
        <is>
          <t>ЮЛ РФ</t>
        </is>
      </c>
      <c r="F3806" s="13" t="n"/>
      <c r="G3806" s="14" t="n"/>
      <c r="H3806" s="14" t="n"/>
      <c r="I3806" s="14" t="n"/>
      <c r="J3806" s="14" t="n"/>
      <c r="K3806" s="53" t="inlineStr"/>
      <c r="L3806" s="53" t="inlineStr">
        <is>
          <t>Не определено</t>
        </is>
      </c>
      <c r="M3806" s="53" t="inlineStr"/>
      <c r="N3806" s="54" t="inlineStr"/>
      <c r="O3806" s="55" t="inlineStr"/>
      <c r="P3806" s="16" t="inlineStr">
        <is>
          <t>Требует обогащения</t>
        </is>
      </c>
      <c r="Q3806" s="16">
        <f>HYPERLINK("https://pb.nalog.ru/search.html?query=6515001020","ФНС: проверить")</f>
        <v/>
      </c>
      <c r="R3806" s="16">
        <f>HYPERLINK("https://checko.ru/search?query=3801001629","Чекко: проверить")</f>
        <v/>
      </c>
      <c r="S3806" t="n">
        <v>1</v>
      </c>
      <c r="T3806" s="35" t="inlineStr">
        <is>
          <t>4 — Не обогащён</t>
        </is>
      </c>
      <c r="U3806" s="35" t="inlineStr">
        <is>
          <t>Нет ОКВЭД/ССЧР</t>
        </is>
      </c>
      <c r="V3806" s="35" t="inlineStr">
        <is>
          <t>Не определено</t>
        </is>
      </c>
      <c r="W3806" s="35" t="inlineStr"/>
      <c r="X3806" s="35" t="inlineStr"/>
    </row>
    <row r="3807" ht="15" customHeight="1" s="24">
      <c r="A3807" s="13" t="n">
        <v>5000089258</v>
      </c>
      <c r="B3807" s="13" t="inlineStr">
        <is>
          <t>ГОАУ ДОД "ДЮЦ Приморского края"</t>
        </is>
      </c>
      <c r="C3807" s="13" t="n">
        <v>2538076836</v>
      </c>
      <c r="D3807" s="13" t="inlineStr">
        <is>
          <t>2538076836</t>
        </is>
      </c>
      <c r="E3807" s="13" t="inlineStr">
        <is>
          <t>ЮЛ РФ</t>
        </is>
      </c>
      <c r="F3807" s="13" t="n"/>
      <c r="G3807" s="14" t="n"/>
      <c r="H3807" s="14" t="n"/>
      <c r="I3807" s="14" t="n"/>
      <c r="J3807" s="14" t="n"/>
      <c r="K3807" s="53" t="inlineStr"/>
      <c r="L3807" s="53" t="inlineStr">
        <is>
          <t>Не определено</t>
        </is>
      </c>
      <c r="M3807" s="53" t="inlineStr"/>
      <c r="N3807" s="54" t="inlineStr"/>
      <c r="O3807" s="55" t="inlineStr"/>
      <c r="P3807" s="16" t="inlineStr">
        <is>
          <t>Требует обогащения</t>
        </is>
      </c>
      <c r="Q3807" s="16">
        <f>HYPERLINK("https://pb.nalog.ru/search.html?query=2538076836","ФНС: проверить")</f>
        <v/>
      </c>
      <c r="R3807" s="16">
        <f>HYPERLINK("https://checko.ru/search?query=3801001629","Чекко: проверить")</f>
        <v/>
      </c>
      <c r="S3807" t="n">
        <v>1</v>
      </c>
      <c r="T3807" s="35" t="inlineStr">
        <is>
          <t>4 — Не обогащён</t>
        </is>
      </c>
      <c r="U3807" s="35" t="inlineStr">
        <is>
          <t>Нет ОКВЭД/ССЧР</t>
        </is>
      </c>
      <c r="V3807" s="35" t="inlineStr">
        <is>
          <t>Не определено</t>
        </is>
      </c>
      <c r="W3807" s="35" t="inlineStr"/>
      <c r="X3807" s="35" t="inlineStr"/>
    </row>
    <row r="3808" ht="15" customHeight="1" s="24">
      <c r="A3808" s="13" t="n">
        <v>5000032077</v>
      </c>
      <c r="B3808" s="13" t="inlineStr">
        <is>
          <t>ГБУ «Тымовский психоневрологический интернат»</t>
        </is>
      </c>
      <c r="C3808" s="13" t="n">
        <v>6517006401</v>
      </c>
      <c r="D3808" s="13" t="inlineStr">
        <is>
          <t>6517006401</t>
        </is>
      </c>
      <c r="E3808" s="13" t="inlineStr">
        <is>
          <t>ЮЛ РФ</t>
        </is>
      </c>
      <c r="F3808" s="13" t="n"/>
      <c r="G3808" s="14" t="n"/>
      <c r="H3808" s="14" t="n"/>
      <c r="I3808" s="14" t="n"/>
      <c r="J3808" s="14" t="n"/>
      <c r="K3808" s="53" t="inlineStr"/>
      <c r="L3808" s="53" t="inlineStr">
        <is>
          <t>Не определено</t>
        </is>
      </c>
      <c r="M3808" s="53" t="inlineStr"/>
      <c r="N3808" s="54" t="inlineStr"/>
      <c r="O3808" s="55" t="inlineStr"/>
      <c r="P3808" s="16" t="inlineStr">
        <is>
          <t>Требует обогащения</t>
        </is>
      </c>
      <c r="Q3808" s="16">
        <f>HYPERLINK("https://pb.nalog.ru/search.html?query=6517006401","ФНС: проверить")</f>
        <v/>
      </c>
      <c r="R3808" s="16">
        <f>HYPERLINK("https://checko.ru/search?query=3801001629","Чекко: проверить")</f>
        <v/>
      </c>
      <c r="S3808" t="n">
        <v>1</v>
      </c>
      <c r="T3808" s="35" t="inlineStr">
        <is>
          <t>4 — Не обогащён</t>
        </is>
      </c>
      <c r="U3808" s="35" t="inlineStr">
        <is>
          <t>Нет ОКВЭД/ССЧР</t>
        </is>
      </c>
      <c r="V3808" s="35" t="inlineStr">
        <is>
          <t>Не определено</t>
        </is>
      </c>
      <c r="W3808" s="35" t="inlineStr"/>
      <c r="X3808" s="35" t="inlineStr"/>
    </row>
    <row r="3809" ht="15" customHeight="1" s="24">
      <c r="A3809" s="13" t="n">
        <v>5000098326</v>
      </c>
      <c r="B3809" s="13" t="inlineStr">
        <is>
          <t>Приморский горный техникум, КГБОУ СПО</t>
        </is>
      </c>
      <c r="C3809" s="13" t="n">
        <v>2509003618</v>
      </c>
      <c r="D3809" s="13" t="inlineStr">
        <is>
          <t>2509003618</t>
        </is>
      </c>
      <c r="E3809" s="13" t="inlineStr">
        <is>
          <t>ЮЛ РФ</t>
        </is>
      </c>
      <c r="F3809" s="13" t="n"/>
      <c r="G3809" s="14" t="n"/>
      <c r="H3809" s="14" t="n"/>
      <c r="I3809" s="14" t="n"/>
      <c r="J3809" s="14" t="n"/>
      <c r="K3809" s="53" t="inlineStr"/>
      <c r="L3809" s="53" t="inlineStr">
        <is>
          <t>Не определено</t>
        </is>
      </c>
      <c r="M3809" s="53" t="inlineStr"/>
      <c r="N3809" s="54" t="inlineStr"/>
      <c r="O3809" s="55" t="inlineStr"/>
      <c r="P3809" s="16" t="inlineStr">
        <is>
          <t>Требует обогащения</t>
        </is>
      </c>
      <c r="Q3809" s="16">
        <f>HYPERLINK("https://pb.nalog.ru/search.html?query=2509003618","ФНС: проверить")</f>
        <v/>
      </c>
      <c r="R3809" s="16">
        <f>HYPERLINK("https://checko.ru/search?query=3801001629","Чекко: проверить")</f>
        <v/>
      </c>
      <c r="S3809" t="n">
        <v>1</v>
      </c>
      <c r="T3809" s="35" t="inlineStr">
        <is>
          <t>4 — Не обогащён</t>
        </is>
      </c>
      <c r="U3809" s="35" t="inlineStr">
        <is>
          <t>Нет ОКВЭД/ССЧР</t>
        </is>
      </c>
      <c r="V3809" s="35" t="inlineStr">
        <is>
          <t>Не определено</t>
        </is>
      </c>
      <c r="W3809" s="35" t="inlineStr"/>
      <c r="X3809" s="35" t="inlineStr"/>
    </row>
    <row r="3810" ht="41.25" customHeight="1" s="24">
      <c r="A3810" s="13" t="n">
        <v>5000101076</v>
      </c>
      <c r="B3810" s="13" t="inlineStr">
        <is>
          <t>Муниципальное бюджетное Дошкольное Образовательное учреждение "Детский Сад "Солнышко"</t>
        </is>
      </c>
      <c r="C3810" s="13" t="n">
        <v>3836002214</v>
      </c>
      <c r="D3810" s="13" t="inlineStr">
        <is>
          <t>3836002214</t>
        </is>
      </c>
      <c r="E3810" s="13" t="inlineStr">
        <is>
          <t>ЮЛ РФ</t>
        </is>
      </c>
      <c r="F3810" s="13" t="n"/>
      <c r="G3810" s="14" t="n"/>
      <c r="H3810" s="14" t="n"/>
      <c r="I3810" s="14" t="n"/>
      <c r="J3810" s="14" t="n"/>
      <c r="K3810" s="53" t="inlineStr"/>
      <c r="L3810" s="53" t="inlineStr">
        <is>
          <t>Не определено</t>
        </is>
      </c>
      <c r="M3810" s="53" t="inlineStr"/>
      <c r="N3810" s="54" t="inlineStr"/>
      <c r="O3810" s="55" t="inlineStr"/>
      <c r="P3810" s="16" t="inlineStr">
        <is>
          <t>Требует обогащения</t>
        </is>
      </c>
      <c r="Q3810" s="16">
        <f>HYPERLINK("https://pb.nalog.ru/search.html?query=3836002214","ФНС: проверить")</f>
        <v/>
      </c>
      <c r="R3810" s="16">
        <f>HYPERLINK("https://checko.ru/search?query=3801001629","Чекко: проверить")</f>
        <v/>
      </c>
      <c r="S3810" t="n">
        <v>1</v>
      </c>
      <c r="T3810" s="35" t="inlineStr">
        <is>
          <t>4 — Не обогащён</t>
        </is>
      </c>
      <c r="U3810" s="35" t="inlineStr">
        <is>
          <t>Нет ОКВЭД/ССЧР</t>
        </is>
      </c>
      <c r="V3810" s="35" t="inlineStr">
        <is>
          <t>Не определено</t>
        </is>
      </c>
      <c r="W3810" s="35" t="inlineStr"/>
      <c r="X3810" s="35" t="inlineStr"/>
    </row>
    <row r="3811" ht="41.25" customHeight="1" s="24">
      <c r="A3811" s="13" t="n">
        <v>5000028673</v>
      </c>
      <c r="B3811" s="13" t="inlineStr">
        <is>
          <t>Муниципальное бюджетное учреждение Культуры "Ольхонская Межпоселенческая Библиотека"</t>
        </is>
      </c>
      <c r="C3811" s="13" t="n">
        <v>3836004067</v>
      </c>
      <c r="D3811" s="13" t="inlineStr">
        <is>
          <t>3836004067</t>
        </is>
      </c>
      <c r="E3811" s="13" t="inlineStr">
        <is>
          <t>ЮЛ РФ</t>
        </is>
      </c>
      <c r="F3811" s="13" t="n"/>
      <c r="G3811" s="14" t="n"/>
      <c r="H3811" s="14" t="n"/>
      <c r="I3811" s="14" t="n"/>
      <c r="J3811" s="14" t="n"/>
      <c r="K3811" s="53" t="inlineStr"/>
      <c r="L3811" s="53" t="inlineStr">
        <is>
          <t>Не определено</t>
        </is>
      </c>
      <c r="M3811" s="53" t="inlineStr"/>
      <c r="N3811" s="54" t="inlineStr"/>
      <c r="O3811" s="55" t="inlineStr"/>
      <c r="P3811" s="16" t="inlineStr">
        <is>
          <t>Требует обогащения</t>
        </is>
      </c>
      <c r="Q3811" s="16">
        <f>HYPERLINK("https://pb.nalog.ru/search.html?query=3836004067","ФНС: проверить")</f>
        <v/>
      </c>
      <c r="R3811" s="16">
        <f>HYPERLINK("https://checko.ru/search?query=3801001629","Чекко: проверить")</f>
        <v/>
      </c>
      <c r="S3811" t="n">
        <v>1</v>
      </c>
      <c r="T3811" s="35" t="inlineStr">
        <is>
          <t>4 — Не обогащён</t>
        </is>
      </c>
      <c r="U3811" s="35" t="inlineStr">
        <is>
          <t>Нет ОКВЭД/ССЧР</t>
        </is>
      </c>
      <c r="V3811" s="35" t="inlineStr">
        <is>
          <t>Не определено</t>
        </is>
      </c>
      <c r="W3811" s="35" t="inlineStr"/>
      <c r="X3811" s="35" t="inlineStr"/>
    </row>
    <row r="3812" ht="41.25" customHeight="1" s="24">
      <c r="A3812" s="13" t="n">
        <v>5000028674</v>
      </c>
      <c r="B3812" s="13" t="inlineStr">
        <is>
          <t>Муниципальное бюджетное учреждение культуры "Межпоселенческий культурно-досуговый центр "Ольхон"</t>
        </is>
      </c>
      <c r="C3812" s="13" t="n">
        <v>3836004081</v>
      </c>
      <c r="D3812" s="13" t="inlineStr">
        <is>
          <t>3836004081</t>
        </is>
      </c>
      <c r="E3812" s="13" t="inlineStr">
        <is>
          <t>ЮЛ РФ</t>
        </is>
      </c>
      <c r="F3812" s="13" t="n"/>
      <c r="G3812" s="14" t="n"/>
      <c r="H3812" s="14" t="n"/>
      <c r="I3812" s="14" t="n"/>
      <c r="J3812" s="14" t="n"/>
      <c r="K3812" s="53" t="inlineStr"/>
      <c r="L3812" s="53" t="inlineStr">
        <is>
          <t>Не определено</t>
        </is>
      </c>
      <c r="M3812" s="53" t="inlineStr"/>
      <c r="N3812" s="54" t="inlineStr"/>
      <c r="O3812" s="55" t="inlineStr"/>
      <c r="P3812" s="16" t="inlineStr">
        <is>
          <t>Требует обогащения</t>
        </is>
      </c>
      <c r="Q3812" s="16">
        <f>HYPERLINK("https://pb.nalog.ru/search.html?query=3836004081","ФНС: проверить")</f>
        <v/>
      </c>
      <c r="R3812" s="16">
        <f>HYPERLINK("https://checko.ru/search?query=3801001629","Чекко: проверить")</f>
        <v/>
      </c>
      <c r="S3812" t="n">
        <v>1</v>
      </c>
      <c r="T3812" s="35" t="inlineStr">
        <is>
          <t>4 — Не обогащён</t>
        </is>
      </c>
      <c r="U3812" s="35" t="inlineStr">
        <is>
          <t>Нет ОКВЭД/ССЧР</t>
        </is>
      </c>
      <c r="V3812" s="35" t="inlineStr">
        <is>
          <t>Не определено</t>
        </is>
      </c>
      <c r="W3812" s="35" t="inlineStr"/>
      <c r="X3812" s="35" t="inlineStr"/>
    </row>
    <row r="3813" ht="41.25" customHeight="1" s="24">
      <c r="A3813" s="13" t="n">
        <v>5000028675</v>
      </c>
      <c r="B3813" s="13" t="inlineStr">
        <is>
          <t>Муниципальное бюджетное учреждение Дополнительного Образования "Ольхонская Детская Музыкальная Школа"</t>
        </is>
      </c>
      <c r="C3813" s="13" t="n">
        <v>3836002454</v>
      </c>
      <c r="D3813" s="13" t="inlineStr">
        <is>
          <t>3836002454</t>
        </is>
      </c>
      <c r="E3813" s="13" t="inlineStr">
        <is>
          <t>ЮЛ РФ</t>
        </is>
      </c>
      <c r="F3813" s="13" t="n"/>
      <c r="G3813" s="14" t="n"/>
      <c r="H3813" s="14" t="n"/>
      <c r="I3813" s="14" t="n"/>
      <c r="J3813" s="14" t="n"/>
      <c r="K3813" s="53" t="inlineStr"/>
      <c r="L3813" s="53" t="inlineStr">
        <is>
          <t>Не определено</t>
        </is>
      </c>
      <c r="M3813" s="53" t="inlineStr"/>
      <c r="N3813" s="54" t="inlineStr"/>
      <c r="O3813" s="55" t="inlineStr"/>
      <c r="P3813" s="16" t="inlineStr">
        <is>
          <t>Требует обогащения</t>
        </is>
      </c>
      <c r="Q3813" s="16">
        <f>HYPERLINK("https://pb.nalog.ru/search.html?query=3836002454","ФНС: проверить")</f>
        <v/>
      </c>
      <c r="R3813" s="16">
        <f>HYPERLINK("https://checko.ru/search?query=3801001629","Чекко: проверить")</f>
        <v/>
      </c>
      <c r="S3813" t="n">
        <v>1</v>
      </c>
      <c r="T3813" s="35" t="inlineStr">
        <is>
          <t>4 — Не обогащён</t>
        </is>
      </c>
      <c r="U3813" s="35" t="inlineStr">
        <is>
          <t>Нет ОКВЭД/ССЧР</t>
        </is>
      </c>
      <c r="V3813" s="35" t="inlineStr">
        <is>
          <t>Не определено</t>
        </is>
      </c>
      <c r="W3813" s="35" t="inlineStr"/>
      <c r="X3813" s="35" t="inlineStr"/>
    </row>
    <row r="3814" ht="27.75" customHeight="1" s="24">
      <c r="A3814" s="13" t="n">
        <v>5000098632</v>
      </c>
      <c r="B3814" s="13" t="inlineStr">
        <is>
          <t>ГБУЗ "Сахалинское областное Бюро судебно-медицинской экспертизы"</t>
        </is>
      </c>
      <c r="C3814" s="13" t="n">
        <v>6501130587</v>
      </c>
      <c r="D3814" s="13" t="inlineStr">
        <is>
          <t>6501130587</t>
        </is>
      </c>
      <c r="E3814" s="13" t="inlineStr">
        <is>
          <t>ЮЛ РФ</t>
        </is>
      </c>
      <c r="F3814" s="13" t="n"/>
      <c r="G3814" s="14" t="n"/>
      <c r="H3814" s="14" t="n"/>
      <c r="I3814" s="14" t="n"/>
      <c r="J3814" s="14" t="n"/>
      <c r="K3814" s="53" t="inlineStr"/>
      <c r="L3814" s="53" t="inlineStr">
        <is>
          <t>Не определено</t>
        </is>
      </c>
      <c r="M3814" s="53" t="inlineStr"/>
      <c r="N3814" s="54" t="inlineStr"/>
      <c r="O3814" s="55" t="inlineStr"/>
      <c r="P3814" s="16" t="inlineStr">
        <is>
          <t>Требует обогащения</t>
        </is>
      </c>
      <c r="Q3814" s="16">
        <f>HYPERLINK("https://pb.nalog.ru/search.html?query=6501130587","ФНС: проверить")</f>
        <v/>
      </c>
      <c r="R3814" s="16">
        <f>HYPERLINK("https://checko.ru/search?query=3801001629","Чекко: проверить")</f>
        <v/>
      </c>
      <c r="S3814" t="n">
        <v>1</v>
      </c>
      <c r="T3814" s="35" t="inlineStr">
        <is>
          <t>4 — Не обогащён</t>
        </is>
      </c>
      <c r="U3814" s="35" t="inlineStr">
        <is>
          <t>Нет ОКВЭД/ССЧР</t>
        </is>
      </c>
      <c r="V3814" s="35" t="inlineStr">
        <is>
          <t>Не определено</t>
        </is>
      </c>
      <c r="W3814" s="35" t="inlineStr"/>
      <c r="X3814" s="35" t="inlineStr"/>
    </row>
    <row r="3815" ht="27.75" customHeight="1" s="24">
      <c r="A3815" s="13" t="n">
        <v>5000098638</v>
      </c>
      <c r="B3815" s="13" t="inlineStr">
        <is>
          <t>ГБУЗ "Автохозяйство министерства здравоохранения Сахалинской области"</t>
        </is>
      </c>
      <c r="C3815" s="13" t="n">
        <v>6501071532</v>
      </c>
      <c r="D3815" s="13" t="inlineStr">
        <is>
          <t>6501071532</t>
        </is>
      </c>
      <c r="E3815" s="13" t="inlineStr">
        <is>
          <t>ЮЛ РФ</t>
        </is>
      </c>
      <c r="F3815" s="13" t="n"/>
      <c r="G3815" s="14" t="n"/>
      <c r="H3815" s="14" t="n"/>
      <c r="I3815" s="14" t="n"/>
      <c r="J3815" s="14" t="n"/>
      <c r="K3815" s="53" t="inlineStr"/>
      <c r="L3815" s="53" t="inlineStr">
        <is>
          <t>Не определено</t>
        </is>
      </c>
      <c r="M3815" s="53" t="inlineStr"/>
      <c r="N3815" s="54" t="inlineStr"/>
      <c r="O3815" s="55" t="inlineStr"/>
      <c r="P3815" s="16" t="inlineStr">
        <is>
          <t>Требует обогащения</t>
        </is>
      </c>
      <c r="Q3815" s="16">
        <f>HYPERLINK("https://pb.nalog.ru/search.html?query=6501071532","ФНС: проверить")</f>
        <v/>
      </c>
      <c r="R3815" s="16">
        <f>HYPERLINK("https://checko.ru/search?query=3801001629","Чекко: проверить")</f>
        <v/>
      </c>
      <c r="S3815" t="n">
        <v>1</v>
      </c>
      <c r="T3815" s="35" t="inlineStr">
        <is>
          <t>4 — Не обогащён</t>
        </is>
      </c>
      <c r="U3815" s="35" t="inlineStr">
        <is>
          <t>Нет ОКВЭД/ССЧР</t>
        </is>
      </c>
      <c r="V3815" s="35" t="inlineStr">
        <is>
          <t>Не определено</t>
        </is>
      </c>
      <c r="W3815" s="35" t="inlineStr"/>
      <c r="X3815" s="35" t="inlineStr"/>
    </row>
    <row r="3816" ht="27.75" customHeight="1" s="24">
      <c r="A3816" s="13" t="n">
        <v>5000112417</v>
      </c>
      <c r="B3816" s="13" t="inlineStr">
        <is>
          <t>КУМС МО "Томаринский городской округ" Сахалинской области</t>
        </is>
      </c>
      <c r="C3816" s="13" t="n">
        <v>6516000968</v>
      </c>
      <c r="D3816" s="13" t="inlineStr">
        <is>
          <t>6516000968</t>
        </is>
      </c>
      <c r="E3816" s="13" t="inlineStr">
        <is>
          <t>ЮЛ РФ</t>
        </is>
      </c>
      <c r="F3816" s="13" t="n"/>
      <c r="G3816" s="14" t="n"/>
      <c r="H3816" s="14" t="n"/>
      <c r="I3816" s="14" t="n"/>
      <c r="J3816" s="14" t="n"/>
      <c r="K3816" s="53" t="inlineStr"/>
      <c r="L3816" s="53" t="inlineStr">
        <is>
          <t>Не определено</t>
        </is>
      </c>
      <c r="M3816" s="53" t="inlineStr"/>
      <c r="N3816" s="54" t="inlineStr"/>
      <c r="O3816" s="55" t="inlineStr"/>
      <c r="P3816" s="16" t="inlineStr">
        <is>
          <t>Требует обогащения</t>
        </is>
      </c>
      <c r="Q3816" s="16">
        <f>HYPERLINK("https://pb.nalog.ru/search.html?query=6516000968","ФНС: проверить")</f>
        <v/>
      </c>
      <c r="R3816" s="16">
        <f>HYPERLINK("https://checko.ru/search?query=3801001629","Чекко: проверить")</f>
        <v/>
      </c>
      <c r="S3816" t="n">
        <v>1</v>
      </c>
      <c r="T3816" s="35" t="inlineStr">
        <is>
          <t>4 — Не обогащён</t>
        </is>
      </c>
      <c r="U3816" s="35" t="inlineStr">
        <is>
          <t>Нет ОКВЭД/ССЧР</t>
        </is>
      </c>
      <c r="V3816" s="35" t="inlineStr">
        <is>
          <t>Не определено</t>
        </is>
      </c>
      <c r="W3816" s="35" t="inlineStr"/>
      <c r="X3816" s="35" t="inlineStr"/>
    </row>
    <row r="3817" ht="27.75" customHeight="1" s="24">
      <c r="A3817" s="13" t="n">
        <v>5000112417</v>
      </c>
      <c r="B3817" s="13" t="inlineStr">
        <is>
          <t>КУМС МО "Томаринский городской округ" Сахалинской области</t>
        </is>
      </c>
      <c r="C3817" s="13" t="n">
        <v>6516000968</v>
      </c>
      <c r="D3817" s="13" t="inlineStr">
        <is>
          <t>6516000968</t>
        </is>
      </c>
      <c r="E3817" s="13" t="inlineStr">
        <is>
          <t>ЮЛ РФ</t>
        </is>
      </c>
      <c r="F3817" s="13" t="n"/>
      <c r="G3817" s="14" t="n"/>
      <c r="H3817" s="14" t="n"/>
      <c r="I3817" s="14" t="n"/>
      <c r="J3817" s="14" t="n"/>
      <c r="K3817" s="53" t="inlineStr"/>
      <c r="L3817" s="53" t="inlineStr">
        <is>
          <t>Не определено</t>
        </is>
      </c>
      <c r="M3817" s="53" t="inlineStr"/>
      <c r="N3817" s="54" t="inlineStr"/>
      <c r="O3817" s="55" t="inlineStr"/>
      <c r="P3817" s="16" t="inlineStr">
        <is>
          <t>Требует обогащения</t>
        </is>
      </c>
      <c r="Q3817" s="16">
        <f>HYPERLINK("https://pb.nalog.ru/search.html?query=6516000968","ФНС: проверить")</f>
        <v/>
      </c>
      <c r="R3817" s="16">
        <f>HYPERLINK("https://checko.ru/search?query=3801001629","Чекко: проверить")</f>
        <v/>
      </c>
      <c r="S3817" t="n">
        <v>0</v>
      </c>
      <c r="T3817" s="35" t="inlineStr">
        <is>
          <t>4 — Не обогащён</t>
        </is>
      </c>
      <c r="U3817" s="35" t="inlineStr">
        <is>
          <t>Нет ОКВЭД/ССЧР</t>
        </is>
      </c>
      <c r="V3817" s="35" t="inlineStr">
        <is>
          <t>Не определено</t>
        </is>
      </c>
      <c r="W3817" s="35" t="inlineStr"/>
      <c r="X3817" s="35" t="inlineStr"/>
    </row>
    <row r="3818" ht="15" customHeight="1" s="24">
      <c r="A3818" s="13" t="n">
        <v>5000098686</v>
      </c>
      <c r="B3818" s="13" t="inlineStr">
        <is>
          <t>ГБУ "МДИ"</t>
        </is>
      </c>
      <c r="C3818" s="13" t="n">
        <v>6512000526</v>
      </c>
      <c r="D3818" s="13" t="inlineStr">
        <is>
          <t>6512000526</t>
        </is>
      </c>
      <c r="E3818" s="13" t="inlineStr">
        <is>
          <t>ЮЛ РФ</t>
        </is>
      </c>
      <c r="F3818" s="13" t="n"/>
      <c r="G3818" s="14" t="n"/>
      <c r="H3818" s="14" t="n"/>
      <c r="I3818" s="14" t="n"/>
      <c r="J3818" s="14" t="n"/>
      <c r="K3818" s="53" t="inlineStr"/>
      <c r="L3818" s="53" t="inlineStr">
        <is>
          <t>Не определено</t>
        </is>
      </c>
      <c r="M3818" s="53" t="inlineStr"/>
      <c r="N3818" s="54" t="inlineStr"/>
      <c r="O3818" s="55" t="inlineStr"/>
      <c r="P3818" s="16" t="inlineStr">
        <is>
          <t>Требует обогащения</t>
        </is>
      </c>
      <c r="Q3818" s="16">
        <f>HYPERLINK("https://pb.nalog.ru/search.html?query=6512000526","ФНС: проверить")</f>
        <v/>
      </c>
      <c r="R3818" s="16">
        <f>HYPERLINK("https://checko.ru/search?query=3801001629","Чекко: проверить")</f>
        <v/>
      </c>
      <c r="S3818" t="n">
        <v>1</v>
      </c>
      <c r="T3818" s="35" t="inlineStr">
        <is>
          <t>4 — Не обогащён</t>
        </is>
      </c>
      <c r="U3818" s="35" t="inlineStr">
        <is>
          <t>Нет ОКВЭД/ССЧР</t>
        </is>
      </c>
      <c r="V3818" s="35" t="inlineStr">
        <is>
          <t>Не определено</t>
        </is>
      </c>
      <c r="W3818" s="35" t="inlineStr"/>
      <c r="X3818" s="35" t="inlineStr"/>
    </row>
    <row r="3819" ht="27.75" customHeight="1" s="24">
      <c r="A3819" s="13" t="n">
        <v>5000108346</v>
      </c>
      <c r="B3819" s="13" t="inlineStr">
        <is>
          <t>МАОУ ГИМНАЗИЯ №1 ИМ. А.С.ПУШКИНА Г.ЮЖНО-САХАЛИНСКА</t>
        </is>
      </c>
      <c r="C3819" s="13" t="n">
        <v>6501067335</v>
      </c>
      <c r="D3819" s="13" t="inlineStr">
        <is>
          <t>6501067335</t>
        </is>
      </c>
      <c r="E3819" s="13" t="inlineStr">
        <is>
          <t>ЮЛ РФ</t>
        </is>
      </c>
      <c r="F3819" s="13" t="n"/>
      <c r="G3819" s="14" t="n"/>
      <c r="H3819" s="14" t="n"/>
      <c r="I3819" s="14" t="n"/>
      <c r="J3819" s="14" t="n"/>
      <c r="K3819" s="53" t="inlineStr"/>
      <c r="L3819" s="53" t="inlineStr">
        <is>
          <t>Не определено</t>
        </is>
      </c>
      <c r="M3819" s="53" t="inlineStr"/>
      <c r="N3819" s="54" t="inlineStr"/>
      <c r="O3819" s="55" t="inlineStr"/>
      <c r="P3819" s="16" t="inlineStr">
        <is>
          <t>Требует обогащения</t>
        </is>
      </c>
      <c r="Q3819" s="16">
        <f>HYPERLINK("https://pb.nalog.ru/search.html?query=6501067335","ФНС: проверить")</f>
        <v/>
      </c>
      <c r="R3819" s="16">
        <f>HYPERLINK("https://checko.ru/search?query=3801001629","Чекко: проверить")</f>
        <v/>
      </c>
      <c r="S3819" t="n">
        <v>1</v>
      </c>
      <c r="T3819" s="35" t="inlineStr">
        <is>
          <t>4 — Не обогащён</t>
        </is>
      </c>
      <c r="U3819" s="35" t="inlineStr">
        <is>
          <t>Нет ОКВЭД/ССЧР</t>
        </is>
      </c>
      <c r="V3819" s="35" t="inlineStr">
        <is>
          <t>Не определено</t>
        </is>
      </c>
      <c r="W3819" s="35" t="inlineStr"/>
      <c r="X3819" s="35" t="inlineStr"/>
    </row>
    <row r="3820" ht="27.75" customHeight="1" s="24">
      <c r="A3820" s="13" t="n">
        <v>5000098679</v>
      </c>
      <c r="B3820" s="13" t="inlineStr">
        <is>
          <t>ГКУ "Социально-реабилитационный центр для несовершеннолетних «Светлячок»</t>
        </is>
      </c>
      <c r="C3820" s="13" t="n">
        <v>6514000793</v>
      </c>
      <c r="D3820" s="13" t="inlineStr">
        <is>
          <t>6514000793</t>
        </is>
      </c>
      <c r="E3820" s="13" t="inlineStr">
        <is>
          <t>ЮЛ РФ</t>
        </is>
      </c>
      <c r="F3820" s="13" t="n"/>
      <c r="G3820" s="14" t="n"/>
      <c r="H3820" s="14" t="n"/>
      <c r="I3820" s="14" t="n"/>
      <c r="J3820" s="14" t="n"/>
      <c r="K3820" s="53" t="inlineStr"/>
      <c r="L3820" s="53" t="inlineStr">
        <is>
          <t>Не определено</t>
        </is>
      </c>
      <c r="M3820" s="53" t="inlineStr"/>
      <c r="N3820" s="54" t="inlineStr"/>
      <c r="O3820" s="55" t="inlineStr"/>
      <c r="P3820" s="16" t="inlineStr">
        <is>
          <t>Требует обогащения</t>
        </is>
      </c>
      <c r="Q3820" s="16">
        <f>HYPERLINK("https://pb.nalog.ru/search.html?query=6514000793","ФНС: проверить")</f>
        <v/>
      </c>
      <c r="R3820" s="16">
        <f>HYPERLINK("https://checko.ru/search?query=3801001629","Чекко: проверить")</f>
        <v/>
      </c>
      <c r="S3820" t="n">
        <v>1</v>
      </c>
      <c r="T3820" s="35" t="inlineStr">
        <is>
          <t>4 — Не обогащён</t>
        </is>
      </c>
      <c r="U3820" s="35" t="inlineStr">
        <is>
          <t>Нет ОКВЭД/ССЧР</t>
        </is>
      </c>
      <c r="V3820" s="35" t="inlineStr">
        <is>
          <t>Не определено</t>
        </is>
      </c>
      <c r="W3820" s="35" t="inlineStr"/>
      <c r="X3820" s="35" t="inlineStr"/>
    </row>
    <row r="3821" ht="41.25" customHeight="1" s="24">
      <c r="A3821" s="13" t="n">
        <v>5000107360</v>
      </c>
      <c r="B3821" s="13" t="inlineStr">
        <is>
          <t>Государственное казенное учреждение для детей-сирот и детей, оставшихся без попечения родителей, "Троицкий детский дом</t>
        </is>
      </c>
      <c r="C3821" s="13" t="n">
        <v>6510004331</v>
      </c>
      <c r="D3821" s="13" t="inlineStr">
        <is>
          <t>6510004331</t>
        </is>
      </c>
      <c r="E3821" s="13" t="inlineStr">
        <is>
          <t>ЮЛ РФ</t>
        </is>
      </c>
      <c r="F3821" s="13" t="n"/>
      <c r="G3821" s="14" t="n"/>
      <c r="H3821" s="14" t="n"/>
      <c r="I3821" s="14" t="n"/>
      <c r="J3821" s="14" t="n"/>
      <c r="K3821" s="53" t="inlineStr"/>
      <c r="L3821" s="53" t="inlineStr">
        <is>
          <t>Не определено</t>
        </is>
      </c>
      <c r="M3821" s="53" t="inlineStr"/>
      <c r="N3821" s="54" t="inlineStr"/>
      <c r="O3821" s="55" t="inlineStr"/>
      <c r="P3821" s="16" t="inlineStr">
        <is>
          <t>Требует обогащения</t>
        </is>
      </c>
      <c r="Q3821" s="16">
        <f>HYPERLINK("https://pb.nalog.ru/search.html?query=6510004331","ФНС: проверить")</f>
        <v/>
      </c>
      <c r="R3821" s="16">
        <f>HYPERLINK("https://checko.ru/search?query=3801001629","Чекко: проверить")</f>
        <v/>
      </c>
      <c r="S3821" t="n">
        <v>1</v>
      </c>
      <c r="T3821" s="35" t="inlineStr">
        <is>
          <t>4 — Не обогащён</t>
        </is>
      </c>
      <c r="U3821" s="35" t="inlineStr">
        <is>
          <t>Нет ОКВЭД/ССЧР</t>
        </is>
      </c>
      <c r="V3821" s="35" t="inlineStr">
        <is>
          <t>Не определено</t>
        </is>
      </c>
      <c r="W3821" s="35" t="inlineStr"/>
      <c r="X3821" s="35" t="inlineStr"/>
    </row>
    <row r="3822" ht="15" customHeight="1" s="24">
      <c r="A3822" s="13" t="n">
        <v>5000100122</v>
      </c>
      <c r="B3822" s="13" t="inlineStr">
        <is>
          <t>ОбАУ "Юго-Западное лесное хозяйство"</t>
        </is>
      </c>
      <c r="C3822" s="13" t="n">
        <v>6509022551</v>
      </c>
      <c r="D3822" s="13" t="inlineStr">
        <is>
          <t>6509022551</t>
        </is>
      </c>
      <c r="E3822" s="13" t="inlineStr">
        <is>
          <t>ЮЛ РФ</t>
        </is>
      </c>
      <c r="F3822" s="13" t="n"/>
      <c r="G3822" s="14" t="n"/>
      <c r="H3822" s="14" t="n"/>
      <c r="I3822" s="14" t="n"/>
      <c r="J3822" s="14" t="n"/>
      <c r="K3822" s="53" t="inlineStr"/>
      <c r="L3822" s="53" t="inlineStr">
        <is>
          <t>Не определено</t>
        </is>
      </c>
      <c r="M3822" s="53" t="inlineStr"/>
      <c r="N3822" s="54" t="inlineStr"/>
      <c r="O3822" s="55" t="inlineStr"/>
      <c r="P3822" s="16" t="inlineStr">
        <is>
          <t>Требует обогащения</t>
        </is>
      </c>
      <c r="Q3822" s="16">
        <f>HYPERLINK("https://pb.nalog.ru/search.html?query=6509022551","ФНС: проверить")</f>
        <v/>
      </c>
      <c r="R3822" s="16">
        <f>HYPERLINK("https://checko.ru/search?query=3801001629","Чекко: проверить")</f>
        <v/>
      </c>
      <c r="S3822" t="n">
        <v>1</v>
      </c>
      <c r="T3822" s="35" t="inlineStr">
        <is>
          <t>4 — Не обогащён</t>
        </is>
      </c>
      <c r="U3822" s="35" t="inlineStr">
        <is>
          <t>Нет ОКВЭД/ССЧР</t>
        </is>
      </c>
      <c r="V3822" s="35" t="inlineStr">
        <is>
          <t>Не определено</t>
        </is>
      </c>
      <c r="W3822" s="35" t="inlineStr"/>
      <c r="X3822" s="35" t="inlineStr"/>
    </row>
    <row r="3823" ht="41.25" customHeight="1" s="24">
      <c r="A3823" s="13" t="n">
        <v>5000117112</v>
      </c>
      <c r="B3823" s="13" t="inlineStr">
        <is>
          <t>Муниципальное автономное учреждение "Восход" Корсаковского городского округа Сахалинской области</t>
        </is>
      </c>
      <c r="C3823" s="13" t="n">
        <v>6504023061</v>
      </c>
      <c r="D3823" s="13" t="inlineStr">
        <is>
          <t>6504023061</t>
        </is>
      </c>
      <c r="E3823" s="13" t="inlineStr">
        <is>
          <t>ЮЛ РФ</t>
        </is>
      </c>
      <c r="F3823" s="13" t="n"/>
      <c r="G3823" s="14" t="n"/>
      <c r="H3823" s="14" t="n"/>
      <c r="I3823" s="14" t="n"/>
      <c r="J3823" s="14" t="n"/>
      <c r="K3823" s="53" t="inlineStr"/>
      <c r="L3823" s="53" t="inlineStr">
        <is>
          <t>Не определено</t>
        </is>
      </c>
      <c r="M3823" s="53" t="inlineStr"/>
      <c r="N3823" s="54" t="inlineStr"/>
      <c r="O3823" s="55" t="inlineStr"/>
      <c r="P3823" s="16" t="inlineStr">
        <is>
          <t>Требует обогащения</t>
        </is>
      </c>
      <c r="Q3823" s="16">
        <f>HYPERLINK("https://pb.nalog.ru/search.html?query=6504023061","ФНС: проверить")</f>
        <v/>
      </c>
      <c r="R3823" s="16">
        <f>HYPERLINK("https://checko.ru/search?query=3801001629","Чекко: проверить")</f>
        <v/>
      </c>
      <c r="S3823" t="n">
        <v>1</v>
      </c>
      <c r="T3823" s="35" t="inlineStr">
        <is>
          <t>4 — Не обогащён</t>
        </is>
      </c>
      <c r="U3823" s="35" t="inlineStr">
        <is>
          <t>Нет ОКВЭД/ССЧР</t>
        </is>
      </c>
      <c r="V3823" s="35" t="inlineStr">
        <is>
          <t>Не определено</t>
        </is>
      </c>
      <c r="W3823" s="35" t="inlineStr"/>
      <c r="X3823" s="35" t="inlineStr"/>
    </row>
    <row r="3824" ht="15" customHeight="1" s="24">
      <c r="A3824" s="13" t="n">
        <v>5000052082</v>
      </c>
      <c r="B3824" s="13" t="inlineStr">
        <is>
          <t>МБУ "Физкультурно-оздоровительный комплекс"</t>
        </is>
      </c>
      <c r="C3824" s="13" t="n">
        <v>6511005659</v>
      </c>
      <c r="D3824" s="13" t="inlineStr">
        <is>
          <t>6511005659</t>
        </is>
      </c>
      <c r="E3824" s="13" t="inlineStr">
        <is>
          <t>ЮЛ РФ</t>
        </is>
      </c>
      <c r="F3824" s="13" t="n"/>
      <c r="G3824" s="14" t="n"/>
      <c r="H3824" s="14" t="n"/>
      <c r="I3824" s="14" t="n"/>
      <c r="J3824" s="14" t="n"/>
      <c r="K3824" s="53" t="inlineStr"/>
      <c r="L3824" s="53" t="inlineStr">
        <is>
          <t>Не определено</t>
        </is>
      </c>
      <c r="M3824" s="53" t="inlineStr"/>
      <c r="N3824" s="54" t="inlineStr"/>
      <c r="O3824" s="55" t="inlineStr"/>
      <c r="P3824" s="16" t="inlineStr">
        <is>
          <t>Требует обогащения</t>
        </is>
      </c>
      <c r="Q3824" s="16">
        <f>HYPERLINK("https://pb.nalog.ru/search.html?query=6511005659","ФНС: проверить")</f>
        <v/>
      </c>
      <c r="R3824" s="16">
        <f>HYPERLINK("https://checko.ru/search?query=3801001629","Чекко: проверить")</f>
        <v/>
      </c>
      <c r="S3824" t="n">
        <v>1</v>
      </c>
      <c r="T3824" s="35" t="inlineStr">
        <is>
          <t>4 — Не обогащён</t>
        </is>
      </c>
      <c r="U3824" s="35" t="inlineStr">
        <is>
          <t>Нет ОКВЭД/ССЧР</t>
        </is>
      </c>
      <c r="V3824" s="35" t="inlineStr">
        <is>
          <t>Не определено</t>
        </is>
      </c>
      <c r="W3824" s="35" t="inlineStr"/>
      <c r="X3824" s="35" t="inlineStr"/>
    </row>
    <row r="3825" ht="15" customHeight="1" s="24">
      <c r="A3825" s="13" t="n">
        <v>5000119656</v>
      </c>
      <c r="B3825" s="13" t="inlineStr">
        <is>
          <t>МБУ "Бюро ритуальных услуг"</t>
        </is>
      </c>
      <c r="C3825" s="13" t="n">
        <v>6501267736</v>
      </c>
      <c r="D3825" s="13" t="inlineStr">
        <is>
          <t>6501267736</t>
        </is>
      </c>
      <c r="E3825" s="13" t="inlineStr">
        <is>
          <t>ЮЛ РФ</t>
        </is>
      </c>
      <c r="F3825" s="13" t="n"/>
      <c r="G3825" s="14" t="n"/>
      <c r="H3825" s="14" t="n"/>
      <c r="I3825" s="14" t="n"/>
      <c r="J3825" s="14" t="n"/>
      <c r="K3825" s="53" t="inlineStr"/>
      <c r="L3825" s="53" t="inlineStr">
        <is>
          <t>Не определено</t>
        </is>
      </c>
      <c r="M3825" s="53" t="inlineStr"/>
      <c r="N3825" s="54" t="inlineStr"/>
      <c r="O3825" s="55" t="inlineStr"/>
      <c r="P3825" s="16" t="inlineStr">
        <is>
          <t>Требует обогащения</t>
        </is>
      </c>
      <c r="Q3825" s="16">
        <f>HYPERLINK("https://pb.nalog.ru/search.html?query=6501267736","ФНС: проверить")</f>
        <v/>
      </c>
      <c r="R3825" s="16">
        <f>HYPERLINK("https://checko.ru/search?query=3801001629","Чекко: проверить")</f>
        <v/>
      </c>
      <c r="S3825" t="n">
        <v>1</v>
      </c>
      <c r="T3825" s="35" t="inlineStr">
        <is>
          <t>4 — Не обогащён</t>
        </is>
      </c>
      <c r="U3825" s="35" t="inlineStr">
        <is>
          <t>Нет ОКВЭД/ССЧР</t>
        </is>
      </c>
      <c r="V3825" s="35" t="inlineStr">
        <is>
          <t>Не определено</t>
        </is>
      </c>
      <c r="W3825" s="35" t="inlineStr"/>
      <c r="X3825" s="35" t="inlineStr"/>
    </row>
    <row r="3826" ht="41.25" customHeight="1" s="24">
      <c r="A3826" s="13" t="n">
        <v>5000044997</v>
      </c>
      <c r="B3826" s="13" t="inlineStr">
        <is>
          <t>Контрольно-счетная палата муниципального образования "Анивский городской округ"  Сахалинской области</t>
        </is>
      </c>
      <c r="C3826" s="13" t="n">
        <v>6510011473</v>
      </c>
      <c r="D3826" s="13" t="inlineStr">
        <is>
          <t>6510011473</t>
        </is>
      </c>
      <c r="E3826" s="13" t="inlineStr">
        <is>
          <t>ЮЛ РФ</t>
        </is>
      </c>
      <c r="F3826" s="13" t="n"/>
      <c r="G3826" s="14" t="n"/>
      <c r="H3826" s="14" t="n"/>
      <c r="I3826" s="14" t="n"/>
      <c r="J3826" s="14" t="n"/>
      <c r="K3826" s="53" t="inlineStr"/>
      <c r="L3826" s="53" t="inlineStr">
        <is>
          <t>Не определено</t>
        </is>
      </c>
      <c r="M3826" s="53" t="inlineStr"/>
      <c r="N3826" s="54" t="inlineStr"/>
      <c r="O3826" s="55" t="inlineStr"/>
      <c r="P3826" s="16" t="inlineStr">
        <is>
          <t>Требует обогащения</t>
        </is>
      </c>
      <c r="Q3826" s="16">
        <f>HYPERLINK("https://pb.nalog.ru/search.html?query=6510011473","ФНС: проверить")</f>
        <v/>
      </c>
      <c r="R3826" s="16">
        <f>HYPERLINK("https://checko.ru/search?query=3801001629","Чекко: проверить")</f>
        <v/>
      </c>
      <c r="S3826" t="n">
        <v>1</v>
      </c>
      <c r="T3826" s="35" t="inlineStr">
        <is>
          <t>4 — Не обогащён</t>
        </is>
      </c>
      <c r="U3826" s="35" t="inlineStr">
        <is>
          <t>Нет ОКВЭД/ССЧР</t>
        </is>
      </c>
      <c r="V3826" s="35" t="inlineStr">
        <is>
          <t>Не определено</t>
        </is>
      </c>
      <c r="W3826" s="35" t="inlineStr"/>
      <c r="X3826" s="35" t="inlineStr"/>
    </row>
    <row r="3827" ht="41.25" customHeight="1" s="24">
      <c r="A3827" s="13" t="n">
        <v>5000098215</v>
      </c>
      <c r="B3827" s="13" t="inlineStr">
        <is>
          <t>КГАУ "Государственная экспертиза проектной документации и резервов инженерных изысканий Приморского края"</t>
        </is>
      </c>
      <c r="C3827" s="13" t="n">
        <v>2540185328</v>
      </c>
      <c r="D3827" s="13" t="inlineStr">
        <is>
          <t>2540185328</t>
        </is>
      </c>
      <c r="E3827" s="13" t="inlineStr">
        <is>
          <t>ЮЛ РФ</t>
        </is>
      </c>
      <c r="F3827" s="13" t="n"/>
      <c r="G3827" s="14" t="n"/>
      <c r="H3827" s="14" t="n"/>
      <c r="I3827" s="14" t="n"/>
      <c r="J3827" s="14" t="n"/>
      <c r="K3827" s="53" t="inlineStr"/>
      <c r="L3827" s="53" t="inlineStr">
        <is>
          <t>Не определено</t>
        </is>
      </c>
      <c r="M3827" s="53" t="inlineStr"/>
      <c r="N3827" s="54" t="inlineStr"/>
      <c r="O3827" s="55" t="inlineStr"/>
      <c r="P3827" s="16" t="inlineStr">
        <is>
          <t>Требует обогащения</t>
        </is>
      </c>
      <c r="Q3827" s="16">
        <f>HYPERLINK("https://pb.nalog.ru/search.html?query=2540185328","ФНС: проверить")</f>
        <v/>
      </c>
      <c r="R3827" s="16">
        <f>HYPERLINK("https://checko.ru/search?query=3801001629","Чекко: проверить")</f>
        <v/>
      </c>
      <c r="S3827" t="n">
        <v>1</v>
      </c>
      <c r="T3827" s="35" t="inlineStr">
        <is>
          <t>4 — Не обогащён</t>
        </is>
      </c>
      <c r="U3827" s="35" t="inlineStr">
        <is>
          <t>Нет ОКВЭД/ССЧР</t>
        </is>
      </c>
      <c r="V3827" s="35" t="inlineStr">
        <is>
          <t>Не определено</t>
        </is>
      </c>
      <c r="W3827" s="35" t="inlineStr"/>
      <c r="X3827" s="35" t="inlineStr"/>
    </row>
    <row r="3828" ht="41.25" customHeight="1" s="24">
      <c r="A3828" s="13" t="n">
        <v>5000044996</v>
      </c>
      <c r="B3828" s="13" t="inlineStr">
        <is>
          <t>Департамент по управлению муниципальным имуществом муниципального образования "Анивский городской округ"</t>
        </is>
      </c>
      <c r="C3828" s="13" t="n">
        <v>6510010342</v>
      </c>
      <c r="D3828" s="13" t="inlineStr">
        <is>
          <t>6510010342</t>
        </is>
      </c>
      <c r="E3828" s="13" t="inlineStr">
        <is>
          <t>ЮЛ РФ</t>
        </is>
      </c>
      <c r="F3828" s="13" t="n"/>
      <c r="G3828" s="14" t="n"/>
      <c r="H3828" s="14" t="n"/>
      <c r="I3828" s="14" t="n"/>
      <c r="J3828" s="14" t="n"/>
      <c r="K3828" s="53" t="inlineStr"/>
      <c r="L3828" s="53" t="inlineStr">
        <is>
          <t>Не определено</t>
        </is>
      </c>
      <c r="M3828" s="53" t="inlineStr"/>
      <c r="N3828" s="54" t="inlineStr"/>
      <c r="O3828" s="55" t="inlineStr"/>
      <c r="P3828" s="16" t="inlineStr">
        <is>
          <t>Требует обогащения</t>
        </is>
      </c>
      <c r="Q3828" s="16">
        <f>HYPERLINK("https://pb.nalog.ru/search.html?query=6510010342","ФНС: проверить")</f>
        <v/>
      </c>
      <c r="R3828" s="16">
        <f>HYPERLINK("https://checko.ru/search?query=3801001629","Чекко: проверить")</f>
        <v/>
      </c>
      <c r="S3828" t="n">
        <v>0</v>
      </c>
      <c r="T3828" s="35" t="inlineStr">
        <is>
          <t>4 — Не обогащён</t>
        </is>
      </c>
      <c r="U3828" s="35" t="inlineStr">
        <is>
          <t>Нет ОКВЭД/ССЧР</t>
        </is>
      </c>
      <c r="V3828" s="35" t="inlineStr">
        <is>
          <t>Не определено</t>
        </is>
      </c>
      <c r="W3828" s="35" t="inlineStr"/>
      <c r="X3828" s="35" t="inlineStr"/>
    </row>
    <row r="3829" ht="15" customHeight="1" s="24">
      <c r="A3829" s="13" t="n">
        <v>5000068967</v>
      </c>
      <c r="B3829" s="13" t="inlineStr">
        <is>
          <t>Администрация города Южно-Сахалинска</t>
        </is>
      </c>
      <c r="C3829" s="13" t="n">
        <v>6501026762</v>
      </c>
      <c r="D3829" s="13" t="inlineStr">
        <is>
          <t>6501026762</t>
        </is>
      </c>
      <c r="E3829" s="13" t="inlineStr">
        <is>
          <t>ЮЛ РФ</t>
        </is>
      </c>
      <c r="F3829" s="13" t="n"/>
      <c r="G3829" s="14" t="n"/>
      <c r="H3829" s="14" t="n"/>
      <c r="I3829" s="14" t="n"/>
      <c r="J3829" s="14" t="n"/>
      <c r="K3829" s="53" t="inlineStr"/>
      <c r="L3829" s="53" t="inlineStr">
        <is>
          <t>Не определено</t>
        </is>
      </c>
      <c r="M3829" s="53" t="inlineStr"/>
      <c r="N3829" s="54" t="inlineStr"/>
      <c r="O3829" s="55" t="inlineStr"/>
      <c r="P3829" s="16" t="inlineStr">
        <is>
          <t>Требует обогащения</t>
        </is>
      </c>
      <c r="Q3829" s="16">
        <f>HYPERLINK("https://pb.nalog.ru/search.html?query=6501026762","ФНС: проверить")</f>
        <v/>
      </c>
      <c r="R3829" s="16">
        <f>HYPERLINK("https://checko.ru/search?query=3801001629","Чекко: проверить")</f>
        <v/>
      </c>
      <c r="S3829" t="n">
        <v>1</v>
      </c>
      <c r="T3829" s="35" t="inlineStr">
        <is>
          <t>4 — Не обогащён</t>
        </is>
      </c>
      <c r="U3829" s="35" t="inlineStr">
        <is>
          <t>Нет ОКВЭД/ССЧР</t>
        </is>
      </c>
      <c r="V3829" s="35" t="inlineStr">
        <is>
          <t>Не определено</t>
        </is>
      </c>
      <c r="W3829" s="35" t="inlineStr"/>
      <c r="X3829" s="35" t="inlineStr"/>
    </row>
    <row r="3830" ht="15" customHeight="1" s="24">
      <c r="A3830" s="13" t="n">
        <v>5000068967</v>
      </c>
      <c r="B3830" s="13" t="inlineStr">
        <is>
          <t>Администрация города Южно-Сахалинска</t>
        </is>
      </c>
      <c r="C3830" s="13" t="n">
        <v>6501026762</v>
      </c>
      <c r="D3830" s="13" t="inlineStr">
        <is>
          <t>6501026762</t>
        </is>
      </c>
      <c r="E3830" s="13" t="inlineStr">
        <is>
          <t>ЮЛ РФ</t>
        </is>
      </c>
      <c r="F3830" s="13" t="n"/>
      <c r="G3830" s="14" t="n"/>
      <c r="H3830" s="14" t="n"/>
      <c r="I3830" s="14" t="n"/>
      <c r="J3830" s="14" t="n"/>
      <c r="K3830" s="53" t="inlineStr"/>
      <c r="L3830" s="53" t="inlineStr">
        <is>
          <t>Не определено</t>
        </is>
      </c>
      <c r="M3830" s="53" t="inlineStr"/>
      <c r="N3830" s="54" t="inlineStr"/>
      <c r="O3830" s="55" t="inlineStr"/>
      <c r="P3830" s="16" t="inlineStr">
        <is>
          <t>Требует обогащения</t>
        </is>
      </c>
      <c r="Q3830" s="16">
        <f>HYPERLINK("https://pb.nalog.ru/search.html?query=6501026762","ФНС: проверить")</f>
        <v/>
      </c>
      <c r="R3830" s="16">
        <f>HYPERLINK("https://checko.ru/search?query=3801001629","Чекко: проверить")</f>
        <v/>
      </c>
      <c r="S3830" t="n">
        <v>0</v>
      </c>
      <c r="T3830" s="35" t="inlineStr">
        <is>
          <t>4 — Не обогащён</t>
        </is>
      </c>
      <c r="U3830" s="35" t="inlineStr">
        <is>
          <t>Нет ОКВЭД/ССЧР</t>
        </is>
      </c>
      <c r="V3830" s="35" t="inlineStr">
        <is>
          <t>Не определено</t>
        </is>
      </c>
      <c r="W3830" s="35" t="inlineStr"/>
      <c r="X3830" s="35" t="inlineStr"/>
    </row>
    <row r="3831" ht="27.75" customHeight="1" s="24">
      <c r="A3831" s="13" t="n">
        <v>5000068968</v>
      </c>
      <c r="B3831" s="13" t="inlineStr">
        <is>
          <t>МКУ «Управление жилищной политики города Южно-Сахалинска»</t>
        </is>
      </c>
      <c r="C3831" s="13" t="n">
        <v>6501292972</v>
      </c>
      <c r="D3831" s="13" t="inlineStr">
        <is>
          <t>6501292972</t>
        </is>
      </c>
      <c r="E3831" s="13" t="inlineStr">
        <is>
          <t>ЮЛ РФ</t>
        </is>
      </c>
      <c r="F3831" s="13" t="n"/>
      <c r="G3831" s="14" t="n"/>
      <c r="H3831" s="14" t="n"/>
      <c r="I3831" s="14" t="n"/>
      <c r="J3831" s="14" t="n"/>
      <c r="K3831" s="53" t="inlineStr"/>
      <c r="L3831" s="53" t="inlineStr">
        <is>
          <t>Не определено</t>
        </is>
      </c>
      <c r="M3831" s="53" t="inlineStr"/>
      <c r="N3831" s="54" t="inlineStr"/>
      <c r="O3831" s="55" t="inlineStr"/>
      <c r="P3831" s="16" t="inlineStr">
        <is>
          <t>Требует обогащения</t>
        </is>
      </c>
      <c r="Q3831" s="16">
        <f>HYPERLINK("https://pb.nalog.ru/search.html?query=6501292972","ФНС: проверить")</f>
        <v/>
      </c>
      <c r="R3831" s="16">
        <f>HYPERLINK("https://checko.ru/search?query=3801001629","Чекко: проверить")</f>
        <v/>
      </c>
      <c r="S3831" t="n">
        <v>1</v>
      </c>
      <c r="T3831" s="35" t="inlineStr">
        <is>
          <t>4 — Не обогащён</t>
        </is>
      </c>
      <c r="U3831" s="35" t="inlineStr">
        <is>
          <t>Нет ОКВЭД/ССЧР</t>
        </is>
      </c>
      <c r="V3831" s="35" t="inlineStr">
        <is>
          <t>Не определено</t>
        </is>
      </c>
      <c r="W3831" s="35" t="inlineStr"/>
      <c r="X3831" s="35" t="inlineStr"/>
    </row>
    <row r="3832" ht="27.75" customHeight="1" s="24">
      <c r="A3832" s="13" t="n">
        <v>5000068970</v>
      </c>
      <c r="B3832" s="13" t="inlineStr">
        <is>
          <t>МАУ «Издательский дом «Южно-Сахалинск сегодня»</t>
        </is>
      </c>
      <c r="C3832" s="13" t="n">
        <v>6501144540</v>
      </c>
      <c r="D3832" s="13" t="inlineStr">
        <is>
          <t>6501144540</t>
        </is>
      </c>
      <c r="E3832" s="13" t="inlineStr">
        <is>
          <t>ЮЛ РФ</t>
        </is>
      </c>
      <c r="F3832" s="13" t="n"/>
      <c r="G3832" s="14" t="n"/>
      <c r="H3832" s="14" t="n"/>
      <c r="I3832" s="14" t="n"/>
      <c r="J3832" s="14" t="n"/>
      <c r="K3832" s="53" t="inlineStr"/>
      <c r="L3832" s="53" t="inlineStr">
        <is>
          <t>Не определено</t>
        </is>
      </c>
      <c r="M3832" s="53" t="inlineStr"/>
      <c r="N3832" s="54" t="inlineStr"/>
      <c r="O3832" s="55" t="inlineStr"/>
      <c r="P3832" s="16" t="inlineStr">
        <is>
          <t>Требует обогащения</t>
        </is>
      </c>
      <c r="Q3832" s="16">
        <f>HYPERLINK("https://pb.nalog.ru/search.html?query=6501144540","ФНС: проверить")</f>
        <v/>
      </c>
      <c r="R3832" s="16">
        <f>HYPERLINK("https://checko.ru/search?query=3801001629","Чекко: проверить")</f>
        <v/>
      </c>
      <c r="S3832" t="n">
        <v>1</v>
      </c>
      <c r="T3832" s="35" t="inlineStr">
        <is>
          <t>4 — Не обогащён</t>
        </is>
      </c>
      <c r="U3832" s="35" t="inlineStr">
        <is>
          <t>Нет ОКВЭД/ССЧР</t>
        </is>
      </c>
      <c r="V3832" s="35" t="inlineStr">
        <is>
          <t>Не определено</t>
        </is>
      </c>
      <c r="W3832" s="35" t="inlineStr"/>
      <c r="X3832" s="35" t="inlineStr"/>
    </row>
    <row r="3833" ht="15" customHeight="1" s="24">
      <c r="A3833" s="13" t="n">
        <v>5000098252</v>
      </c>
      <c r="B3833" s="13" t="inlineStr">
        <is>
          <t>Библиотека им. А.М. Горького</t>
        </is>
      </c>
      <c r="C3833" s="13" t="n">
        <v>2536020034</v>
      </c>
      <c r="D3833" s="13" t="inlineStr">
        <is>
          <t>2536020034</t>
        </is>
      </c>
      <c r="E3833" s="13" t="inlineStr">
        <is>
          <t>ЮЛ РФ</t>
        </is>
      </c>
      <c r="F3833" s="13" t="n"/>
      <c r="G3833" s="14" t="n"/>
      <c r="H3833" s="14" t="n"/>
      <c r="I3833" s="14" t="n"/>
      <c r="J3833" s="14" t="n"/>
      <c r="K3833" s="53" t="inlineStr"/>
      <c r="L3833" s="53" t="inlineStr">
        <is>
          <t>Не определено</t>
        </is>
      </c>
      <c r="M3833" s="53" t="inlineStr"/>
      <c r="N3833" s="54" t="inlineStr"/>
      <c r="O3833" s="55" t="inlineStr"/>
      <c r="P3833" s="16" t="inlineStr">
        <is>
          <t>Требует обогащения</t>
        </is>
      </c>
      <c r="Q3833" s="16">
        <f>HYPERLINK("https://pb.nalog.ru/search.html?query=2536020034","ФНС: проверить")</f>
        <v/>
      </c>
      <c r="R3833" s="16">
        <f>HYPERLINK("https://checko.ru/search?query=3801001629","Чекко: проверить")</f>
        <v/>
      </c>
      <c r="S3833" t="n">
        <v>1</v>
      </c>
      <c r="T3833" s="35" t="inlineStr">
        <is>
          <t>4 — Не обогащён</t>
        </is>
      </c>
      <c r="U3833" s="35" t="inlineStr">
        <is>
          <t>Нет ОКВЭД/ССЧР</t>
        </is>
      </c>
      <c r="V3833" s="35" t="inlineStr">
        <is>
          <t>Не определено</t>
        </is>
      </c>
      <c r="W3833" s="35" t="inlineStr"/>
      <c r="X3833" s="35" t="inlineStr"/>
    </row>
    <row r="3834" ht="15" customHeight="1" s="24">
      <c r="A3834" s="13" t="n">
        <v>5000117071</v>
      </c>
      <c r="B3834" s="13" t="inlineStr">
        <is>
          <t>Собрание МО городской округ "Охинский"</t>
        </is>
      </c>
      <c r="C3834" s="13" t="n">
        <v>6506007280</v>
      </c>
      <c r="D3834" s="13" t="inlineStr">
        <is>
          <t>6506007280</t>
        </is>
      </c>
      <c r="E3834" s="13" t="inlineStr">
        <is>
          <t>ЮЛ РФ</t>
        </is>
      </c>
      <c r="F3834" s="13" t="n"/>
      <c r="G3834" s="14" t="n"/>
      <c r="H3834" s="14" t="n"/>
      <c r="I3834" s="14" t="n"/>
      <c r="J3834" s="14" t="n"/>
      <c r="K3834" s="53" t="inlineStr"/>
      <c r="L3834" s="53" t="inlineStr">
        <is>
          <t>Не определено</t>
        </is>
      </c>
      <c r="M3834" s="53" t="inlineStr"/>
      <c r="N3834" s="54" t="inlineStr"/>
      <c r="O3834" s="55" t="inlineStr"/>
      <c r="P3834" s="16" t="inlineStr">
        <is>
          <t>Требует обогащения</t>
        </is>
      </c>
      <c r="Q3834" s="16">
        <f>HYPERLINK("https://pb.nalog.ru/search.html?query=6506007280","ФНС: проверить")</f>
        <v/>
      </c>
      <c r="R3834" s="16">
        <f>HYPERLINK("https://checko.ru/search?query=3801001629","Чекко: проверить")</f>
        <v/>
      </c>
      <c r="S3834" t="n">
        <v>1</v>
      </c>
      <c r="T3834" s="35" t="inlineStr">
        <is>
          <t>4 — Не обогащён</t>
        </is>
      </c>
      <c r="U3834" s="35" t="inlineStr">
        <is>
          <t>Нет ОКВЭД/ССЧР</t>
        </is>
      </c>
      <c r="V3834" s="35" t="inlineStr">
        <is>
          <t>Не определено</t>
        </is>
      </c>
      <c r="W3834" s="35" t="inlineStr"/>
      <c r="X3834" s="35" t="inlineStr"/>
    </row>
    <row r="3835" ht="27.75" customHeight="1" s="24">
      <c r="A3835" s="13" t="n">
        <v>5000098671</v>
      </c>
      <c r="B3835" s="13" t="inlineStr">
        <is>
          <t>ГБУ «Станция по борьбе с болезнями животных № 6»</t>
        </is>
      </c>
      <c r="C3835" s="13" t="n">
        <v>6506006706</v>
      </c>
      <c r="D3835" s="13" t="inlineStr">
        <is>
          <t>6506006706</t>
        </is>
      </c>
      <c r="E3835" s="13" t="inlineStr">
        <is>
          <t>ЮЛ РФ</t>
        </is>
      </c>
      <c r="F3835" s="13" t="n"/>
      <c r="G3835" s="14" t="n"/>
      <c r="H3835" s="14" t="n"/>
      <c r="I3835" s="14" t="n"/>
      <c r="J3835" s="14" t="n"/>
      <c r="K3835" s="53" t="inlineStr"/>
      <c r="L3835" s="53" t="inlineStr">
        <is>
          <t>Не определено</t>
        </is>
      </c>
      <c r="M3835" s="53" t="inlineStr"/>
      <c r="N3835" s="54" t="inlineStr"/>
      <c r="O3835" s="55" t="inlineStr"/>
      <c r="P3835" s="16" t="inlineStr">
        <is>
          <t>Требует обогащения</t>
        </is>
      </c>
      <c r="Q3835" s="16">
        <f>HYPERLINK("https://pb.nalog.ru/search.html?query=6506006706","ФНС: проверить")</f>
        <v/>
      </c>
      <c r="R3835" s="16">
        <f>HYPERLINK("https://checko.ru/search?query=3801001629","Чекко: проверить")</f>
        <v/>
      </c>
      <c r="S3835" t="n">
        <v>1</v>
      </c>
      <c r="T3835" s="35" t="inlineStr">
        <is>
          <t>4 — Не обогащён</t>
        </is>
      </c>
      <c r="U3835" s="35" t="inlineStr">
        <is>
          <t>Нет ОКВЭД/ССЧР</t>
        </is>
      </c>
      <c r="V3835" s="35" t="inlineStr">
        <is>
          <t>Не определено</t>
        </is>
      </c>
      <c r="W3835" s="35" t="inlineStr"/>
      <c r="X3835" s="35" t="inlineStr"/>
    </row>
    <row r="3836" ht="15" customHeight="1" s="24">
      <c r="A3836" s="13" t="n">
        <v>5000085016</v>
      </c>
      <c r="B3836" s="13" t="inlineStr">
        <is>
          <t>ОКУ ЦЗН МО ГО Охинский</t>
        </is>
      </c>
      <c r="C3836" s="13" t="n">
        <v>6506008213</v>
      </c>
      <c r="D3836" s="13" t="inlineStr">
        <is>
          <t>6506008213</t>
        </is>
      </c>
      <c r="E3836" s="13" t="inlineStr">
        <is>
          <t>ЮЛ РФ</t>
        </is>
      </c>
      <c r="F3836" s="13" t="n"/>
      <c r="G3836" s="14" t="n"/>
      <c r="H3836" s="14" t="n"/>
      <c r="I3836" s="14" t="n"/>
      <c r="J3836" s="14" t="n"/>
      <c r="K3836" s="53" t="inlineStr"/>
      <c r="L3836" s="53" t="inlineStr">
        <is>
          <t>Не определено</t>
        </is>
      </c>
      <c r="M3836" s="53" t="inlineStr"/>
      <c r="N3836" s="54" t="inlineStr"/>
      <c r="O3836" s="55" t="inlineStr"/>
      <c r="P3836" s="16" t="inlineStr">
        <is>
          <t>Требует обогащения</t>
        </is>
      </c>
      <c r="Q3836" s="16">
        <f>HYPERLINK("https://pb.nalog.ru/search.html?query=6506008213","ФНС: проверить")</f>
        <v/>
      </c>
      <c r="R3836" s="16">
        <f>HYPERLINK("https://checko.ru/search?query=3801001629","Чекко: проверить")</f>
        <v/>
      </c>
      <c r="S3836" t="n">
        <v>1</v>
      </c>
      <c r="T3836" s="35" t="inlineStr">
        <is>
          <t>4 — Не обогащён</t>
        </is>
      </c>
      <c r="U3836" s="35" t="inlineStr">
        <is>
          <t>Нет ОКВЭД/ССЧР</t>
        </is>
      </c>
      <c r="V3836" s="35" t="inlineStr">
        <is>
          <t>Не определено</t>
        </is>
      </c>
      <c r="W3836" s="35" t="inlineStr"/>
      <c r="X3836" s="35" t="inlineStr"/>
    </row>
    <row r="3837" ht="15" customHeight="1" s="24">
      <c r="A3837" s="13" t="n">
        <v>5000098235</v>
      </c>
      <c r="B3837" s="13" t="inlineStr">
        <is>
          <t>ТЕАТР МОЛОДЕЖИ ГАУК</t>
        </is>
      </c>
      <c r="C3837" s="13" t="n">
        <v>2540016256</v>
      </c>
      <c r="D3837" s="13" t="inlineStr">
        <is>
          <t>2540016256</t>
        </is>
      </c>
      <c r="E3837" s="13" t="inlineStr">
        <is>
          <t>ЮЛ РФ</t>
        </is>
      </c>
      <c r="F3837" s="13" t="n"/>
      <c r="G3837" s="14" t="n"/>
      <c r="H3837" s="14" t="n"/>
      <c r="I3837" s="14" t="n"/>
      <c r="J3837" s="14" t="n"/>
      <c r="K3837" s="53" t="inlineStr"/>
      <c r="L3837" s="53" t="inlineStr">
        <is>
          <t>Не определено</t>
        </is>
      </c>
      <c r="M3837" s="53" t="inlineStr"/>
      <c r="N3837" s="54" t="inlineStr"/>
      <c r="O3837" s="55" t="inlineStr"/>
      <c r="P3837" s="16" t="inlineStr">
        <is>
          <t>Требует обогащения</t>
        </is>
      </c>
      <c r="Q3837" s="16">
        <f>HYPERLINK("https://pb.nalog.ru/search.html?query=2540016256","ФНС: проверить")</f>
        <v/>
      </c>
      <c r="R3837" s="16">
        <f>HYPERLINK("https://checko.ru/search?query=3801001629","Чекко: проверить")</f>
        <v/>
      </c>
      <c r="S3837" t="n">
        <v>1</v>
      </c>
      <c r="T3837" s="35" t="inlineStr">
        <is>
          <t>4 — Не обогащён</t>
        </is>
      </c>
      <c r="U3837" s="35" t="inlineStr">
        <is>
          <t>Нет ОКВЭД/ССЧР</t>
        </is>
      </c>
      <c r="V3837" s="35" t="inlineStr">
        <is>
          <t>Не определено</t>
        </is>
      </c>
      <c r="W3837" s="35" t="inlineStr"/>
      <c r="X3837" s="35" t="inlineStr"/>
    </row>
    <row r="3838" ht="27.75" customHeight="1" s="24">
      <c r="A3838" s="13" t="n">
        <v>5000046772</v>
      </c>
      <c r="B3838" s="13" t="inlineStr">
        <is>
          <t>ГБУ "Дом-интернат для граждан пожилого возраста и инвалидов "Доброта"</t>
        </is>
      </c>
      <c r="C3838" s="13" t="n">
        <v>6516002669</v>
      </c>
      <c r="D3838" s="13" t="inlineStr">
        <is>
          <t>6516002669</t>
        </is>
      </c>
      <c r="E3838" s="13" t="inlineStr">
        <is>
          <t>ЮЛ РФ</t>
        </is>
      </c>
      <c r="F3838" s="13" t="n"/>
      <c r="G3838" s="14" t="n"/>
      <c r="H3838" s="14" t="n"/>
      <c r="I3838" s="14" t="n"/>
      <c r="J3838" s="14" t="n"/>
      <c r="K3838" s="53" t="inlineStr"/>
      <c r="L3838" s="53" t="inlineStr">
        <is>
          <t>Не определено</t>
        </is>
      </c>
      <c r="M3838" s="53" t="inlineStr"/>
      <c r="N3838" s="54" t="inlineStr"/>
      <c r="O3838" s="55" t="inlineStr"/>
      <c r="P3838" s="16" t="inlineStr">
        <is>
          <t>Требует обогащения</t>
        </is>
      </c>
      <c r="Q3838" s="16">
        <f>HYPERLINK("https://pb.nalog.ru/search.html?query=6516002669","ФНС: проверить")</f>
        <v/>
      </c>
      <c r="R3838" s="16">
        <f>HYPERLINK("https://checko.ru/search?query=3801001629","Чекко: проверить")</f>
        <v/>
      </c>
      <c r="S3838" t="n">
        <v>1</v>
      </c>
      <c r="T3838" s="35" t="inlineStr">
        <is>
          <t>4 — Не обогащён</t>
        </is>
      </c>
      <c r="U3838" s="35" t="inlineStr">
        <is>
          <t>Нет ОКВЭД/ССЧР</t>
        </is>
      </c>
      <c r="V3838" s="35" t="inlineStr">
        <is>
          <t>Не определено</t>
        </is>
      </c>
      <c r="W3838" s="35" t="inlineStr"/>
      <c r="X3838" s="35" t="inlineStr"/>
    </row>
    <row r="3839" ht="27.75" customHeight="1" s="24">
      <c r="A3839" s="13" t="n">
        <v>5000098169</v>
      </c>
      <c r="B3839" s="13" t="inlineStr">
        <is>
          <t>КГБУ СО "Липовецкий психоневрологический интернат"</t>
        </is>
      </c>
      <c r="C3839" s="13" t="n">
        <v>2522010741</v>
      </c>
      <c r="D3839" s="13" t="inlineStr">
        <is>
          <t>2522010741</t>
        </is>
      </c>
      <c r="E3839" s="13" t="inlineStr">
        <is>
          <t>ЮЛ РФ</t>
        </is>
      </c>
      <c r="F3839" s="13" t="n"/>
      <c r="G3839" s="14" t="n"/>
      <c r="H3839" s="14" t="n"/>
      <c r="I3839" s="14" t="n"/>
      <c r="J3839" s="14" t="n"/>
      <c r="K3839" s="53" t="inlineStr"/>
      <c r="L3839" s="53" t="inlineStr">
        <is>
          <t>Не определено</t>
        </is>
      </c>
      <c r="M3839" s="53" t="inlineStr"/>
      <c r="N3839" s="54" t="inlineStr"/>
      <c r="O3839" s="55" t="inlineStr"/>
      <c r="P3839" s="16" t="inlineStr">
        <is>
          <t>Требует обогащения</t>
        </is>
      </c>
      <c r="Q3839" s="16">
        <f>HYPERLINK("https://pb.nalog.ru/search.html?query=2522010741","ФНС: проверить")</f>
        <v/>
      </c>
      <c r="R3839" s="16">
        <f>HYPERLINK("https://checko.ru/search?query=3801001629","Чекко: проверить")</f>
        <v/>
      </c>
      <c r="S3839" t="n">
        <v>1</v>
      </c>
      <c r="T3839" s="35" t="inlineStr">
        <is>
          <t>4 — Не обогащён</t>
        </is>
      </c>
      <c r="U3839" s="35" t="inlineStr">
        <is>
          <t>Нет ОКВЭД/ССЧР</t>
        </is>
      </c>
      <c r="V3839" s="35" t="inlineStr">
        <is>
          <t>Не определено</t>
        </is>
      </c>
      <c r="W3839" s="35" t="inlineStr"/>
      <c r="X3839" s="35" t="inlineStr"/>
    </row>
    <row r="3840" ht="27.75" customHeight="1" s="24">
      <c r="A3840" s="13" t="n">
        <v>5000098192</v>
      </c>
      <c r="B3840" s="13" t="inlineStr">
        <is>
          <t>КГБУ СО "Покровский дом-интернат для престарелых и инвалидов"</t>
        </is>
      </c>
      <c r="C3840" s="13" t="n">
        <v>2522010501</v>
      </c>
      <c r="D3840" s="13" t="inlineStr">
        <is>
          <t>2522010501</t>
        </is>
      </c>
      <c r="E3840" s="13" t="inlineStr">
        <is>
          <t>ЮЛ РФ</t>
        </is>
      </c>
      <c r="F3840" s="13" t="n"/>
      <c r="G3840" s="14" t="n"/>
      <c r="H3840" s="14" t="n"/>
      <c r="I3840" s="14" t="n"/>
      <c r="J3840" s="14" t="n"/>
      <c r="K3840" s="53" t="inlineStr"/>
      <c r="L3840" s="53" t="inlineStr">
        <is>
          <t>Не определено</t>
        </is>
      </c>
      <c r="M3840" s="53" t="inlineStr"/>
      <c r="N3840" s="54" t="inlineStr"/>
      <c r="O3840" s="55" t="inlineStr"/>
      <c r="P3840" s="16" t="inlineStr">
        <is>
          <t>Требует обогащения</t>
        </is>
      </c>
      <c r="Q3840" s="16">
        <f>HYPERLINK("https://pb.nalog.ru/search.html?query=2522010501","ФНС: проверить")</f>
        <v/>
      </c>
      <c r="R3840" s="16">
        <f>HYPERLINK("https://checko.ru/search?query=3801001629","Чекко: проверить")</f>
        <v/>
      </c>
      <c r="S3840" t="n">
        <v>1</v>
      </c>
      <c r="T3840" s="35" t="inlineStr">
        <is>
          <t>4 — Не обогащён</t>
        </is>
      </c>
      <c r="U3840" s="35" t="inlineStr">
        <is>
          <t>Нет ОКВЭД/ССЧР</t>
        </is>
      </c>
      <c r="V3840" s="35" t="inlineStr">
        <is>
          <t>Не определено</t>
        </is>
      </c>
      <c r="W3840" s="35" t="inlineStr"/>
      <c r="X3840" s="35" t="inlineStr"/>
    </row>
    <row r="3841" ht="27.75" customHeight="1" s="24">
      <c r="A3841" s="13" t="n">
        <v>5000085018</v>
      </c>
      <c r="B3841" s="13" t="inlineStr">
        <is>
          <t>ОбКУ "Северо-Курильский центр занятости населения"</t>
        </is>
      </c>
      <c r="C3841" s="13" t="n">
        <v>6515001542</v>
      </c>
      <c r="D3841" s="13" t="inlineStr">
        <is>
          <t>6515001542</t>
        </is>
      </c>
      <c r="E3841" s="13" t="inlineStr">
        <is>
          <t>ЮЛ РФ</t>
        </is>
      </c>
      <c r="F3841" s="13" t="n"/>
      <c r="G3841" s="14" t="n"/>
      <c r="H3841" s="14" t="n"/>
      <c r="I3841" s="14" t="n"/>
      <c r="J3841" s="14" t="n"/>
      <c r="K3841" s="53" t="inlineStr"/>
      <c r="L3841" s="53" t="inlineStr">
        <is>
          <t>Не определено</t>
        </is>
      </c>
      <c r="M3841" s="53" t="inlineStr"/>
      <c r="N3841" s="54" t="inlineStr"/>
      <c r="O3841" s="55" t="inlineStr"/>
      <c r="P3841" s="16" t="inlineStr">
        <is>
          <t>Требует обогащения</t>
        </is>
      </c>
      <c r="Q3841" s="16">
        <f>HYPERLINK("https://pb.nalog.ru/search.html?query=6515001542","ФНС: проверить")</f>
        <v/>
      </c>
      <c r="R3841" s="16">
        <f>HYPERLINK("https://checko.ru/search?query=3801001629","Чекко: проверить")</f>
        <v/>
      </c>
      <c r="S3841" t="n">
        <v>1</v>
      </c>
      <c r="T3841" s="35" t="inlineStr">
        <is>
          <t>4 — Не обогащён</t>
        </is>
      </c>
      <c r="U3841" s="35" t="inlineStr">
        <is>
          <t>Нет ОКВЭД/ССЧР</t>
        </is>
      </c>
      <c r="V3841" s="35" t="inlineStr">
        <is>
          <t>Не определено</t>
        </is>
      </c>
      <c r="W3841" s="35" t="inlineStr"/>
      <c r="X3841" s="35" t="inlineStr"/>
    </row>
    <row r="3842" ht="27.75" customHeight="1" s="24">
      <c r="A3842" s="13" t="n">
        <v>5000085018</v>
      </c>
      <c r="B3842" s="13" t="inlineStr">
        <is>
          <t>ОбКУ "Северо-Курильский центр занятости населения"</t>
        </is>
      </c>
      <c r="C3842" s="13" t="n">
        <v>6515001542</v>
      </c>
      <c r="D3842" s="13" t="inlineStr">
        <is>
          <t>6515001542</t>
        </is>
      </c>
      <c r="E3842" s="13" t="inlineStr">
        <is>
          <t>ЮЛ РФ</t>
        </is>
      </c>
      <c r="F3842" s="13" t="n"/>
      <c r="G3842" s="14" t="n"/>
      <c r="H3842" s="14" t="n"/>
      <c r="I3842" s="14" t="n"/>
      <c r="J3842" s="14" t="n"/>
      <c r="K3842" s="53" t="inlineStr"/>
      <c r="L3842" s="53" t="inlineStr">
        <is>
          <t>Не определено</t>
        </is>
      </c>
      <c r="M3842" s="53" t="inlineStr"/>
      <c r="N3842" s="54" t="inlineStr"/>
      <c r="O3842" s="55" t="inlineStr"/>
      <c r="P3842" s="16" t="inlineStr">
        <is>
          <t>Требует обогащения</t>
        </is>
      </c>
      <c r="Q3842" s="16">
        <f>HYPERLINK("https://pb.nalog.ru/search.html?query=6515001542","ФНС: проверить")</f>
        <v/>
      </c>
      <c r="R3842" s="16">
        <f>HYPERLINK("https://checko.ru/search?query=3801001629","Чекко: проверить")</f>
        <v/>
      </c>
      <c r="S3842" t="n">
        <v>0</v>
      </c>
      <c r="T3842" s="35" t="inlineStr">
        <is>
          <t>4 — Не обогащён</t>
        </is>
      </c>
      <c r="U3842" s="35" t="inlineStr">
        <is>
          <t>Нет ОКВЭД/ССЧР</t>
        </is>
      </c>
      <c r="V3842" s="35" t="inlineStr">
        <is>
          <t>Не определено</t>
        </is>
      </c>
      <c r="W3842" s="35" t="inlineStr"/>
      <c r="X3842" s="35" t="inlineStr"/>
    </row>
    <row r="3843" ht="27.75" customHeight="1" s="24">
      <c r="A3843" s="13" t="n">
        <v>5000012956</v>
      </c>
      <c r="B3843" s="13" t="inlineStr">
        <is>
          <t>Министерство Цифрового Развития и Связи Сахалинской области</t>
        </is>
      </c>
      <c r="C3843" s="13" t="n">
        <v>6501241093</v>
      </c>
      <c r="D3843" s="13" t="inlineStr">
        <is>
          <t>6501241093</t>
        </is>
      </c>
      <c r="E3843" s="13" t="inlineStr">
        <is>
          <t>ЮЛ РФ</t>
        </is>
      </c>
      <c r="F3843" s="13" t="n"/>
      <c r="G3843" s="14" t="n"/>
      <c r="H3843" s="14" t="n"/>
      <c r="I3843" s="14" t="n"/>
      <c r="J3843" s="14" t="n"/>
      <c r="K3843" s="53" t="inlineStr"/>
      <c r="L3843" s="53" t="inlineStr">
        <is>
          <t>Не определено</t>
        </is>
      </c>
      <c r="M3843" s="53" t="inlineStr"/>
      <c r="N3843" s="54" t="inlineStr"/>
      <c r="O3843" s="55" t="inlineStr"/>
      <c r="P3843" s="16" t="inlineStr">
        <is>
          <t>Требует обогащения</t>
        </is>
      </c>
      <c r="Q3843" s="16">
        <f>HYPERLINK("https://pb.nalog.ru/search.html?query=6501241093","ФНС: проверить")</f>
        <v/>
      </c>
      <c r="R3843" s="16">
        <f>HYPERLINK("https://checko.ru/search?query=3801001629","Чекко: проверить")</f>
        <v/>
      </c>
      <c r="S3843" t="n">
        <v>1</v>
      </c>
      <c r="T3843" s="35" t="inlineStr">
        <is>
          <t>4 — Не обогащён</t>
        </is>
      </c>
      <c r="U3843" s="35" t="inlineStr">
        <is>
          <t>Нет ОКВЭД/ССЧР</t>
        </is>
      </c>
      <c r="V3843" s="35" t="inlineStr">
        <is>
          <t>Не определено</t>
        </is>
      </c>
      <c r="W3843" s="35" t="inlineStr"/>
      <c r="X3843" s="35" t="inlineStr"/>
    </row>
    <row r="3844" ht="27.75" customHeight="1" s="24">
      <c r="A3844" s="13" t="n">
        <v>5000012956</v>
      </c>
      <c r="B3844" s="13" t="inlineStr">
        <is>
          <t>Министерство Цифрового Развития и Связи Сахалинской области</t>
        </is>
      </c>
      <c r="C3844" s="13" t="n">
        <v>6501241093</v>
      </c>
      <c r="D3844" s="13" t="inlineStr">
        <is>
          <t>6501241093</t>
        </is>
      </c>
      <c r="E3844" s="13" t="inlineStr">
        <is>
          <t>ЮЛ РФ</t>
        </is>
      </c>
      <c r="F3844" s="13" t="n"/>
      <c r="G3844" s="14" t="n"/>
      <c r="H3844" s="14" t="n"/>
      <c r="I3844" s="14" t="n"/>
      <c r="J3844" s="14" t="n"/>
      <c r="K3844" s="53" t="inlineStr"/>
      <c r="L3844" s="53" t="inlineStr">
        <is>
          <t>Не определено</t>
        </is>
      </c>
      <c r="M3844" s="53" t="inlineStr"/>
      <c r="N3844" s="54" t="inlineStr"/>
      <c r="O3844" s="55" t="inlineStr"/>
      <c r="P3844" s="16" t="inlineStr">
        <is>
          <t>Требует обогащения</t>
        </is>
      </c>
      <c r="Q3844" s="16">
        <f>HYPERLINK("https://pb.nalog.ru/search.html?query=6501241093","ФНС: проверить")</f>
        <v/>
      </c>
      <c r="R3844" s="16">
        <f>HYPERLINK("https://checko.ru/search?query=3801001629","Чекко: проверить")</f>
        <v/>
      </c>
      <c r="S3844" t="n">
        <v>0</v>
      </c>
      <c r="T3844" s="35" t="inlineStr">
        <is>
          <t>4 — Не обогащён</t>
        </is>
      </c>
      <c r="U3844" s="35" t="inlineStr">
        <is>
          <t>Нет ОКВЭД/ССЧР</t>
        </is>
      </c>
      <c r="V3844" s="35" t="inlineStr">
        <is>
          <t>Не определено</t>
        </is>
      </c>
      <c r="W3844" s="35" t="inlineStr"/>
      <c r="X3844" s="35" t="inlineStr"/>
    </row>
    <row r="3845" ht="27.75" customHeight="1" s="24">
      <c r="A3845" s="13" t="n">
        <v>5000012957</v>
      </c>
      <c r="B3845" s="13" t="inlineStr">
        <is>
          <t>Государственная инспекция строительного надзора Сахалинской области</t>
        </is>
      </c>
      <c r="C3845" s="13" t="n">
        <v>6501214357</v>
      </c>
      <c r="D3845" s="13" t="inlineStr">
        <is>
          <t>6501214357</t>
        </is>
      </c>
      <c r="E3845" s="13" t="inlineStr">
        <is>
          <t>ЮЛ РФ</t>
        </is>
      </c>
      <c r="F3845" s="13" t="n"/>
      <c r="G3845" s="14" t="n"/>
      <c r="H3845" s="14" t="n"/>
      <c r="I3845" s="14" t="n"/>
      <c r="J3845" s="14" t="n"/>
      <c r="K3845" s="53" t="inlineStr"/>
      <c r="L3845" s="53" t="inlineStr">
        <is>
          <t>Не определено</t>
        </is>
      </c>
      <c r="M3845" s="53" t="inlineStr"/>
      <c r="N3845" s="54" t="inlineStr"/>
      <c r="O3845" s="55" t="inlineStr"/>
      <c r="P3845" s="16" t="inlineStr">
        <is>
          <t>Требует обогащения</t>
        </is>
      </c>
      <c r="Q3845" s="16">
        <f>HYPERLINK("https://pb.nalog.ru/search.html?query=6501214357","ФНС: проверить")</f>
        <v/>
      </c>
      <c r="R3845" s="16">
        <f>HYPERLINK("https://checko.ru/search?query=3801001629","Чекко: проверить")</f>
        <v/>
      </c>
      <c r="S3845" t="n">
        <v>1</v>
      </c>
      <c r="T3845" s="35" t="inlineStr">
        <is>
          <t>4 — Не обогащён</t>
        </is>
      </c>
      <c r="U3845" s="35" t="inlineStr">
        <is>
          <t>Нет ОКВЭД/ССЧР</t>
        </is>
      </c>
      <c r="V3845" s="35" t="inlineStr">
        <is>
          <t>Не определено</t>
        </is>
      </c>
      <c r="W3845" s="35" t="inlineStr"/>
      <c r="X3845" s="35" t="inlineStr"/>
    </row>
    <row r="3846" ht="27.75" customHeight="1" s="24">
      <c r="A3846" s="13" t="n">
        <v>5000012957</v>
      </c>
      <c r="B3846" s="13" t="inlineStr">
        <is>
          <t>Государственная инспекция строительного надзора Сахалинской области</t>
        </is>
      </c>
      <c r="C3846" s="13" t="n">
        <v>6501214357</v>
      </c>
      <c r="D3846" s="13" t="inlineStr">
        <is>
          <t>6501214357</t>
        </is>
      </c>
      <c r="E3846" s="13" t="inlineStr">
        <is>
          <t>ЮЛ РФ</t>
        </is>
      </c>
      <c r="F3846" s="13" t="n"/>
      <c r="G3846" s="14" t="n"/>
      <c r="H3846" s="14" t="n"/>
      <c r="I3846" s="14" t="n"/>
      <c r="J3846" s="14" t="n"/>
      <c r="K3846" s="53" t="inlineStr"/>
      <c r="L3846" s="53" t="inlineStr">
        <is>
          <t>Не определено</t>
        </is>
      </c>
      <c r="M3846" s="53" t="inlineStr"/>
      <c r="N3846" s="54" t="inlineStr"/>
      <c r="O3846" s="55" t="inlineStr"/>
      <c r="P3846" s="16" t="inlineStr">
        <is>
          <t>Требует обогащения</t>
        </is>
      </c>
      <c r="Q3846" s="16">
        <f>HYPERLINK("https://pb.nalog.ru/search.html?query=6501214357","ФНС: проверить")</f>
        <v/>
      </c>
      <c r="R3846" s="16">
        <f>HYPERLINK("https://checko.ru/search?query=3801001629","Чекко: проверить")</f>
        <v/>
      </c>
      <c r="S3846" t="n">
        <v>0</v>
      </c>
      <c r="T3846" s="35" t="inlineStr">
        <is>
          <t>4 — Не обогащён</t>
        </is>
      </c>
      <c r="U3846" s="35" t="inlineStr">
        <is>
          <t>Нет ОКВЭД/ССЧР</t>
        </is>
      </c>
      <c r="V3846" s="35" t="inlineStr">
        <is>
          <t>Не определено</t>
        </is>
      </c>
      <c r="W3846" s="35" t="inlineStr"/>
      <c r="X3846" s="35" t="inlineStr"/>
    </row>
    <row r="3847" ht="27.75" customHeight="1" s="24">
      <c r="A3847" s="13" t="n">
        <v>5000012971</v>
      </c>
      <c r="B3847" s="13" t="inlineStr">
        <is>
          <t>Министерство торговли и продовольствия Сахалинской области</t>
        </is>
      </c>
      <c r="C3847" s="13" t="n">
        <v>6501280134</v>
      </c>
      <c r="D3847" s="13" t="inlineStr">
        <is>
          <t>6501280134</t>
        </is>
      </c>
      <c r="E3847" s="13" t="inlineStr">
        <is>
          <t>ЮЛ РФ</t>
        </is>
      </c>
      <c r="F3847" s="13" t="n"/>
      <c r="G3847" s="14" t="n"/>
      <c r="H3847" s="14" t="n"/>
      <c r="I3847" s="14" t="n"/>
      <c r="J3847" s="14" t="n"/>
      <c r="K3847" s="53" t="inlineStr"/>
      <c r="L3847" s="53" t="inlineStr">
        <is>
          <t>Не определено</t>
        </is>
      </c>
      <c r="M3847" s="53" t="inlineStr"/>
      <c r="N3847" s="54" t="inlineStr"/>
      <c r="O3847" s="55" t="inlineStr"/>
      <c r="P3847" s="16" t="inlineStr">
        <is>
          <t>Требует обогащения</t>
        </is>
      </c>
      <c r="Q3847" s="16">
        <f>HYPERLINK("https://pb.nalog.ru/search.html?query=6501280134","ФНС: проверить")</f>
        <v/>
      </c>
      <c r="R3847" s="16">
        <f>HYPERLINK("https://checko.ru/search?query=3801001629","Чекко: проверить")</f>
        <v/>
      </c>
      <c r="S3847" t="n">
        <v>1</v>
      </c>
      <c r="T3847" s="35" t="inlineStr">
        <is>
          <t>4 — Не обогащён</t>
        </is>
      </c>
      <c r="U3847" s="35" t="inlineStr">
        <is>
          <t>Нет ОКВЭД/ССЧР</t>
        </is>
      </c>
      <c r="V3847" s="35" t="inlineStr">
        <is>
          <t>Не определено</t>
        </is>
      </c>
      <c r="W3847" s="35" t="inlineStr"/>
      <c r="X3847" s="35" t="inlineStr"/>
    </row>
    <row r="3848" ht="27.75" customHeight="1" s="24">
      <c r="A3848" s="13" t="n">
        <v>5000012971</v>
      </c>
      <c r="B3848" s="13" t="inlineStr">
        <is>
          <t>Министерство торговли и продовольствия Сахалинской области</t>
        </is>
      </c>
      <c r="C3848" s="13" t="n">
        <v>6501280134</v>
      </c>
      <c r="D3848" s="13" t="inlineStr">
        <is>
          <t>6501280134</t>
        </is>
      </c>
      <c r="E3848" s="13" t="inlineStr">
        <is>
          <t>ЮЛ РФ</t>
        </is>
      </c>
      <c r="F3848" s="13" t="n"/>
      <c r="G3848" s="14" t="n"/>
      <c r="H3848" s="14" t="n"/>
      <c r="I3848" s="14" t="n"/>
      <c r="J3848" s="14" t="n"/>
      <c r="K3848" s="53" t="inlineStr"/>
      <c r="L3848" s="53" t="inlineStr">
        <is>
          <t>Не определено</t>
        </is>
      </c>
      <c r="M3848" s="53" t="inlineStr"/>
      <c r="N3848" s="54" t="inlineStr"/>
      <c r="O3848" s="55" t="inlineStr"/>
      <c r="P3848" s="16" t="inlineStr">
        <is>
          <t>Требует обогащения</t>
        </is>
      </c>
      <c r="Q3848" s="16">
        <f>HYPERLINK("https://pb.nalog.ru/search.html?query=6501280134","ФНС: проверить")</f>
        <v/>
      </c>
      <c r="R3848" s="16">
        <f>HYPERLINK("https://checko.ru/search?query=3801001629","Чекко: проверить")</f>
        <v/>
      </c>
      <c r="S3848" t="n">
        <v>0</v>
      </c>
      <c r="T3848" s="35" t="inlineStr">
        <is>
          <t>4 — Не обогащён</t>
        </is>
      </c>
      <c r="U3848" s="35" t="inlineStr">
        <is>
          <t>Нет ОКВЭД/ССЧР</t>
        </is>
      </c>
      <c r="V3848" s="35" t="inlineStr">
        <is>
          <t>Не определено</t>
        </is>
      </c>
      <c r="W3848" s="35" t="inlineStr"/>
      <c r="X3848" s="35" t="inlineStr"/>
    </row>
    <row r="3849" ht="15" customHeight="1" s="24">
      <c r="A3849" s="13" t="n">
        <v>5000012972</v>
      </c>
      <c r="B3849" s="13" t="inlineStr">
        <is>
          <t>Агентство ветеринарии Сахалинской области</t>
        </is>
      </c>
      <c r="C3849" s="13" t="n">
        <v>6501241537</v>
      </c>
      <c r="D3849" s="13" t="inlineStr">
        <is>
          <t>6501241537</t>
        </is>
      </c>
      <c r="E3849" s="13" t="inlineStr">
        <is>
          <t>ЮЛ РФ</t>
        </is>
      </c>
      <c r="F3849" s="13" t="n"/>
      <c r="G3849" s="14" t="n"/>
      <c r="H3849" s="14" t="n"/>
      <c r="I3849" s="14" t="n"/>
      <c r="J3849" s="14" t="n"/>
      <c r="K3849" s="53" t="inlineStr"/>
      <c r="L3849" s="53" t="inlineStr">
        <is>
          <t>Не определено</t>
        </is>
      </c>
      <c r="M3849" s="53" t="inlineStr"/>
      <c r="N3849" s="54" t="inlineStr"/>
      <c r="O3849" s="55" t="inlineStr"/>
      <c r="P3849" s="16" t="inlineStr">
        <is>
          <t>Требует обогащения</t>
        </is>
      </c>
      <c r="Q3849" s="16">
        <f>HYPERLINK("https://pb.nalog.ru/search.html?query=6501241537","ФНС: проверить")</f>
        <v/>
      </c>
      <c r="R3849" s="16">
        <f>HYPERLINK("https://checko.ru/search?query=3801001629","Чекко: проверить")</f>
        <v/>
      </c>
      <c r="S3849" t="n">
        <v>1</v>
      </c>
      <c r="T3849" s="35" t="inlineStr">
        <is>
          <t>4 — Не обогащён</t>
        </is>
      </c>
      <c r="U3849" s="35" t="inlineStr">
        <is>
          <t>Нет ОКВЭД/ССЧР</t>
        </is>
      </c>
      <c r="V3849" s="35" t="inlineStr">
        <is>
          <t>Не определено</t>
        </is>
      </c>
      <c r="W3849" s="35" t="inlineStr"/>
      <c r="X3849" s="35" t="inlineStr"/>
    </row>
    <row r="3850" ht="15" customHeight="1" s="24">
      <c r="A3850" s="13" t="n">
        <v>5000012972</v>
      </c>
      <c r="B3850" s="13" t="inlineStr">
        <is>
          <t>Агентство ветеринарии Сахалинской области</t>
        </is>
      </c>
      <c r="C3850" s="13" t="n">
        <v>6501241537</v>
      </c>
      <c r="D3850" s="13" t="inlineStr">
        <is>
          <t>6501241537</t>
        </is>
      </c>
      <c r="E3850" s="13" t="inlineStr">
        <is>
          <t>ЮЛ РФ</t>
        </is>
      </c>
      <c r="F3850" s="13" t="n"/>
      <c r="G3850" s="14" t="n"/>
      <c r="H3850" s="14" t="n"/>
      <c r="I3850" s="14" t="n"/>
      <c r="J3850" s="14" t="n"/>
      <c r="K3850" s="53" t="inlineStr"/>
      <c r="L3850" s="53" t="inlineStr">
        <is>
          <t>Не определено</t>
        </is>
      </c>
      <c r="M3850" s="53" t="inlineStr"/>
      <c r="N3850" s="54" t="inlineStr"/>
      <c r="O3850" s="55" t="inlineStr"/>
      <c r="P3850" s="16" t="inlineStr">
        <is>
          <t>Требует обогащения</t>
        </is>
      </c>
      <c r="Q3850" s="16">
        <f>HYPERLINK("https://pb.nalog.ru/search.html?query=6501241537","ФНС: проверить")</f>
        <v/>
      </c>
      <c r="R3850" s="16">
        <f>HYPERLINK("https://checko.ru/search?query=3801001629","Чекко: проверить")</f>
        <v/>
      </c>
      <c r="S3850" t="n">
        <v>0</v>
      </c>
      <c r="T3850" s="35" t="inlineStr">
        <is>
          <t>4 — Не обогащён</t>
        </is>
      </c>
      <c r="U3850" s="35" t="inlineStr">
        <is>
          <t>Нет ОКВЭД/ССЧР</t>
        </is>
      </c>
      <c r="V3850" s="35" t="inlineStr">
        <is>
          <t>Не определено</t>
        </is>
      </c>
      <c r="W3850" s="35" t="inlineStr"/>
      <c r="X3850" s="35" t="inlineStr"/>
    </row>
    <row r="3851" ht="41.25" customHeight="1" s="24">
      <c r="A3851" s="13" t="n">
        <v>5000012973</v>
      </c>
      <c r="B3851" s="13" t="inlineStr">
        <is>
          <t>Государственная инспекция по надзору за техническим состоянием самоходных машин и других видов техники Сахалинской области</t>
        </is>
      </c>
      <c r="C3851" s="13" t="n">
        <v>6501105090</v>
      </c>
      <c r="D3851" s="13" t="inlineStr">
        <is>
          <t>6501105090</t>
        </is>
      </c>
      <c r="E3851" s="13" t="inlineStr">
        <is>
          <t>ЮЛ РФ</t>
        </is>
      </c>
      <c r="F3851" s="13" t="n"/>
      <c r="G3851" s="14" t="n"/>
      <c r="H3851" s="14" t="n"/>
      <c r="I3851" s="14" t="n"/>
      <c r="J3851" s="14" t="n"/>
      <c r="K3851" s="53" t="inlineStr"/>
      <c r="L3851" s="53" t="inlineStr">
        <is>
          <t>Не определено</t>
        </is>
      </c>
      <c r="M3851" s="53" t="inlineStr"/>
      <c r="N3851" s="54" t="inlineStr"/>
      <c r="O3851" s="55" t="inlineStr"/>
      <c r="P3851" s="16" t="inlineStr">
        <is>
          <t>Требует обогащения</t>
        </is>
      </c>
      <c r="Q3851" s="16">
        <f>HYPERLINK("https://pb.nalog.ru/search.html?query=6501105090","ФНС: проверить")</f>
        <v/>
      </c>
      <c r="R3851" s="16">
        <f>HYPERLINK("https://checko.ru/search?query=3801001629","Чекко: проверить")</f>
        <v/>
      </c>
      <c r="S3851" t="n">
        <v>1</v>
      </c>
      <c r="T3851" s="35" t="inlineStr">
        <is>
          <t>4 — Не обогащён</t>
        </is>
      </c>
      <c r="U3851" s="35" t="inlineStr">
        <is>
          <t>Нет ОКВЭД/ССЧР</t>
        </is>
      </c>
      <c r="V3851" s="35" t="inlineStr">
        <is>
          <t>Не определено</t>
        </is>
      </c>
      <c r="W3851" s="35" t="inlineStr"/>
      <c r="X3851" s="35" t="inlineStr"/>
    </row>
    <row r="3852" ht="41.25" customHeight="1" s="24">
      <c r="A3852" s="13" t="n">
        <v>5000012973</v>
      </c>
      <c r="B3852" s="13" t="inlineStr">
        <is>
          <t>Государственная инспекция по надзору за техническим состоянием самоходных машин и других видов техники Сахалинской области</t>
        </is>
      </c>
      <c r="C3852" s="13" t="n">
        <v>6501105090</v>
      </c>
      <c r="D3852" s="13" t="inlineStr">
        <is>
          <t>6501105090</t>
        </is>
      </c>
      <c r="E3852" s="13" t="inlineStr">
        <is>
          <t>ЮЛ РФ</t>
        </is>
      </c>
      <c r="F3852" s="13" t="n"/>
      <c r="G3852" s="14" t="n"/>
      <c r="H3852" s="14" t="n"/>
      <c r="I3852" s="14" t="n"/>
      <c r="J3852" s="14" t="n"/>
      <c r="K3852" s="53" t="inlineStr"/>
      <c r="L3852" s="53" t="inlineStr">
        <is>
          <t>Не определено</t>
        </is>
      </c>
      <c r="M3852" s="53" t="inlineStr"/>
      <c r="N3852" s="54" t="inlineStr"/>
      <c r="O3852" s="55" t="inlineStr"/>
      <c r="P3852" s="16" t="inlineStr">
        <is>
          <t>Требует обогащения</t>
        </is>
      </c>
      <c r="Q3852" s="16">
        <f>HYPERLINK("https://pb.nalog.ru/search.html?query=6501105090","ФНС: проверить")</f>
        <v/>
      </c>
      <c r="R3852" s="16">
        <f>HYPERLINK("https://checko.ru/search?query=3801001629","Чекко: проверить")</f>
        <v/>
      </c>
      <c r="S3852" t="n">
        <v>0</v>
      </c>
      <c r="T3852" s="35" t="inlineStr">
        <is>
          <t>4 — Не обогащён</t>
        </is>
      </c>
      <c r="U3852" s="35" t="inlineStr">
        <is>
          <t>Нет ОКВЭД/ССЧР</t>
        </is>
      </c>
      <c r="V3852" s="35" t="inlineStr">
        <is>
          <t>Не определено</t>
        </is>
      </c>
      <c r="W3852" s="35" t="inlineStr"/>
      <c r="X3852" s="35" t="inlineStr"/>
    </row>
    <row r="3853" ht="27.75" customHeight="1" s="24">
      <c r="A3853" s="13" t="n">
        <v>5000098230</v>
      </c>
      <c r="B3853" s="13" t="inlineStr">
        <is>
          <t>ГАУЗ "Краевой клинический кожно-венерологический диспансер"</t>
        </is>
      </c>
      <c r="C3853" s="13" t="n">
        <v>2538006412</v>
      </c>
      <c r="D3853" s="13" t="inlineStr">
        <is>
          <t>2538006412</t>
        </is>
      </c>
      <c r="E3853" s="13" t="inlineStr">
        <is>
          <t>ЮЛ РФ</t>
        </is>
      </c>
      <c r="F3853" s="13" t="n"/>
      <c r="G3853" s="14" t="n"/>
      <c r="H3853" s="14" t="n"/>
      <c r="I3853" s="14" t="n"/>
      <c r="J3853" s="14" t="n"/>
      <c r="K3853" s="53" t="inlineStr"/>
      <c r="L3853" s="53" t="inlineStr">
        <is>
          <t>Не определено</t>
        </is>
      </c>
      <c r="M3853" s="53" t="inlineStr"/>
      <c r="N3853" s="54" t="inlineStr"/>
      <c r="O3853" s="55" t="inlineStr"/>
      <c r="P3853" s="16" t="inlineStr">
        <is>
          <t>Требует обогащения</t>
        </is>
      </c>
      <c r="Q3853" s="16">
        <f>HYPERLINK("https://pb.nalog.ru/search.html?query=2538006412","ФНС: проверить")</f>
        <v/>
      </c>
      <c r="R3853" s="16">
        <f>HYPERLINK("https://checko.ru/search?query=3801001629","Чекко: проверить")</f>
        <v/>
      </c>
      <c r="S3853" t="n">
        <v>1</v>
      </c>
      <c r="T3853" s="35" t="inlineStr">
        <is>
          <t>4 — Не обогащён</t>
        </is>
      </c>
      <c r="U3853" s="35" t="inlineStr">
        <is>
          <t>Нет ОКВЭД/ССЧР</t>
        </is>
      </c>
      <c r="V3853" s="35" t="inlineStr">
        <is>
          <t>Не определено</t>
        </is>
      </c>
      <c r="W3853" s="35" t="inlineStr"/>
      <c r="X3853" s="35" t="inlineStr"/>
    </row>
    <row r="3854" ht="15" customHeight="1" s="24">
      <c r="A3854" s="13" t="n">
        <v>5000091379</v>
      </c>
      <c r="B3854" s="13" t="inlineStr">
        <is>
          <t>министерство образования Сахалинской области</t>
        </is>
      </c>
      <c r="C3854" s="13" t="n">
        <v>6501140384</v>
      </c>
      <c r="D3854" s="13" t="inlineStr">
        <is>
          <t>6501140384</t>
        </is>
      </c>
      <c r="E3854" s="13" t="inlineStr">
        <is>
          <t>ЮЛ РФ</t>
        </is>
      </c>
      <c r="F3854" s="13" t="n"/>
      <c r="G3854" s="14" t="n"/>
      <c r="H3854" s="14" t="n"/>
      <c r="I3854" s="14" t="n"/>
      <c r="J3854" s="14" t="n"/>
      <c r="K3854" s="53" t="inlineStr"/>
      <c r="L3854" s="53" t="inlineStr">
        <is>
          <t>Не определено</t>
        </is>
      </c>
      <c r="M3854" s="53" t="inlineStr"/>
      <c r="N3854" s="54" t="inlineStr"/>
      <c r="O3854" s="55" t="inlineStr"/>
      <c r="P3854" s="16" t="inlineStr">
        <is>
          <t>Требует обогащения</t>
        </is>
      </c>
      <c r="Q3854" s="16">
        <f>HYPERLINK("https://pb.nalog.ru/search.html?query=6501140384","ФНС: проверить")</f>
        <v/>
      </c>
      <c r="R3854" s="16">
        <f>HYPERLINK("https://checko.ru/search?query=3801001629","Чекко: проверить")</f>
        <v/>
      </c>
      <c r="S3854" t="n">
        <v>1</v>
      </c>
      <c r="T3854" s="35" t="inlineStr">
        <is>
          <t>4 — Не обогащён</t>
        </is>
      </c>
      <c r="U3854" s="35" t="inlineStr">
        <is>
          <t>Нет ОКВЭД/ССЧР</t>
        </is>
      </c>
      <c r="V3854" s="35" t="inlineStr">
        <is>
          <t>Не определено</t>
        </is>
      </c>
      <c r="W3854" s="35" t="inlineStr"/>
      <c r="X3854" s="35" t="inlineStr"/>
    </row>
    <row r="3855" ht="27.75" customHeight="1" s="24">
      <c r="A3855" s="13" t="n">
        <v>5000014008</v>
      </c>
      <c r="B3855" s="13" t="inlineStr">
        <is>
          <t>Областное автономное учреждение "Спортивно-туристический комплекс "Горный воздух"</t>
        </is>
      </c>
      <c r="C3855" s="13" t="n">
        <v>6501211081</v>
      </c>
      <c r="D3855" s="13" t="inlineStr">
        <is>
          <t>6501211081</t>
        </is>
      </c>
      <c r="E3855" s="13" t="inlineStr">
        <is>
          <t>ЮЛ РФ</t>
        </is>
      </c>
      <c r="F3855" s="13" t="n"/>
      <c r="G3855" s="14" t="n"/>
      <c r="H3855" s="14" t="n"/>
      <c r="I3855" s="14" t="n"/>
      <c r="J3855" s="14" t="n"/>
      <c r="K3855" s="53" t="inlineStr"/>
      <c r="L3855" s="53" t="inlineStr">
        <is>
          <t>Не определено</t>
        </is>
      </c>
      <c r="M3855" s="53" t="inlineStr"/>
      <c r="N3855" s="54" t="inlineStr"/>
      <c r="O3855" s="55" t="inlineStr"/>
      <c r="P3855" s="16" t="inlineStr">
        <is>
          <t>Требует обогащения</t>
        </is>
      </c>
      <c r="Q3855" s="16">
        <f>HYPERLINK("https://pb.nalog.ru/search.html?query=6501211081","ФНС: проверить")</f>
        <v/>
      </c>
      <c r="R3855" s="16">
        <f>HYPERLINK("https://checko.ru/search?query=3801001629","Чекко: проверить")</f>
        <v/>
      </c>
      <c r="S3855" t="n">
        <v>1</v>
      </c>
      <c r="T3855" s="35" t="inlineStr">
        <is>
          <t>4 — Не обогащён</t>
        </is>
      </c>
      <c r="U3855" s="35" t="inlineStr">
        <is>
          <t>Нет ОКВЭД/ССЧР</t>
        </is>
      </c>
      <c r="V3855" s="35" t="inlineStr">
        <is>
          <t>Не определено</t>
        </is>
      </c>
      <c r="W3855" s="35" t="inlineStr"/>
      <c r="X3855" s="35" t="inlineStr"/>
    </row>
    <row r="3856" ht="15" customHeight="1" s="24">
      <c r="A3856" s="13" t="n">
        <v>5000091379</v>
      </c>
      <c r="B3856" s="13" t="inlineStr">
        <is>
          <t>министерство образования Сахалинской области</t>
        </is>
      </c>
      <c r="C3856" s="13" t="n">
        <v>6501140384</v>
      </c>
      <c r="D3856" s="13" t="inlineStr">
        <is>
          <t>6501140384</t>
        </is>
      </c>
      <c r="E3856" s="13" t="inlineStr">
        <is>
          <t>ЮЛ РФ</t>
        </is>
      </c>
      <c r="F3856" s="13" t="n"/>
      <c r="G3856" s="14" t="n"/>
      <c r="H3856" s="14" t="n"/>
      <c r="I3856" s="14" t="n"/>
      <c r="J3856" s="14" t="n"/>
      <c r="K3856" s="53" t="inlineStr"/>
      <c r="L3856" s="53" t="inlineStr">
        <is>
          <t>Не определено</t>
        </is>
      </c>
      <c r="M3856" s="53" t="inlineStr"/>
      <c r="N3856" s="54" t="inlineStr"/>
      <c r="O3856" s="55" t="inlineStr"/>
      <c r="P3856" s="16" t="inlineStr">
        <is>
          <t>Требует обогащения</t>
        </is>
      </c>
      <c r="Q3856" s="16">
        <f>HYPERLINK("https://pb.nalog.ru/search.html?query=6501140384","ФНС: проверить")</f>
        <v/>
      </c>
      <c r="R3856" s="16">
        <f>HYPERLINK("https://checko.ru/search?query=3801001629","Чекко: проверить")</f>
        <v/>
      </c>
      <c r="S3856" t="n">
        <v>0</v>
      </c>
      <c r="T3856" s="35" t="inlineStr">
        <is>
          <t>4 — Не обогащён</t>
        </is>
      </c>
      <c r="U3856" s="35" t="inlineStr">
        <is>
          <t>Нет ОКВЭД/ССЧР</t>
        </is>
      </c>
      <c r="V3856" s="35" t="inlineStr">
        <is>
          <t>Не определено</t>
        </is>
      </c>
      <c r="W3856" s="35" t="inlineStr"/>
      <c r="X3856" s="35" t="inlineStr"/>
    </row>
    <row r="3857" ht="15" customHeight="1" s="24">
      <c r="A3857" s="13" t="n">
        <v>5000107149</v>
      </c>
      <c r="B3857" s="13" t="inlineStr">
        <is>
          <t>ГАУК "Сахалинская филармония"</t>
        </is>
      </c>
      <c r="C3857" s="13" t="n">
        <v>6501016570</v>
      </c>
      <c r="D3857" s="13" t="inlineStr">
        <is>
          <t>6501016570</t>
        </is>
      </c>
      <c r="E3857" s="13" t="inlineStr">
        <is>
          <t>ЮЛ РФ</t>
        </is>
      </c>
      <c r="F3857" s="13" t="n"/>
      <c r="G3857" s="14" t="n"/>
      <c r="H3857" s="14" t="n"/>
      <c r="I3857" s="14" t="n"/>
      <c r="J3857" s="14" t="n"/>
      <c r="K3857" s="53" t="inlineStr"/>
      <c r="L3857" s="53" t="inlineStr">
        <is>
          <t>Не определено</t>
        </is>
      </c>
      <c r="M3857" s="53" t="inlineStr"/>
      <c r="N3857" s="54" t="inlineStr"/>
      <c r="O3857" s="55" t="inlineStr"/>
      <c r="P3857" s="16" t="inlineStr">
        <is>
          <t>Требует обогащения</t>
        </is>
      </c>
      <c r="Q3857" s="16">
        <f>HYPERLINK("https://pb.nalog.ru/search.html?query=6501016570","ФНС: проверить")</f>
        <v/>
      </c>
      <c r="R3857" s="16">
        <f>HYPERLINK("https://checko.ru/search?query=3801001629","Чекко: проверить")</f>
        <v/>
      </c>
      <c r="S3857" t="n">
        <v>1</v>
      </c>
      <c r="T3857" s="35" t="inlineStr">
        <is>
          <t>4 — Не обогащён</t>
        </is>
      </c>
      <c r="U3857" s="35" t="inlineStr">
        <is>
          <t>Нет ОКВЭД/ССЧР</t>
        </is>
      </c>
      <c r="V3857" s="35" t="inlineStr">
        <is>
          <t>Не определено</t>
        </is>
      </c>
      <c r="W3857" s="35" t="inlineStr"/>
      <c r="X3857" s="35" t="inlineStr"/>
    </row>
    <row r="3858" ht="27.75" customHeight="1" s="24">
      <c r="A3858" s="13" t="n">
        <v>5000107146</v>
      </c>
      <c r="B3858" s="13" t="inlineStr">
        <is>
          <t>Сахалинская областная универсальная научная библиотека</t>
        </is>
      </c>
      <c r="C3858" s="13" t="n">
        <v>6501018708</v>
      </c>
      <c r="D3858" s="13" t="inlineStr">
        <is>
          <t>6501018708</t>
        </is>
      </c>
      <c r="E3858" s="13" t="inlineStr">
        <is>
          <t>ЮЛ РФ</t>
        </is>
      </c>
      <c r="F3858" s="13" t="n"/>
      <c r="G3858" s="14" t="n"/>
      <c r="H3858" s="14" t="n"/>
      <c r="I3858" s="14" t="n"/>
      <c r="J3858" s="14" t="n"/>
      <c r="K3858" s="53" t="inlineStr"/>
      <c r="L3858" s="53" t="inlineStr">
        <is>
          <t>Не определено</t>
        </is>
      </c>
      <c r="M3858" s="53" t="inlineStr"/>
      <c r="N3858" s="54" t="inlineStr"/>
      <c r="O3858" s="55" t="inlineStr"/>
      <c r="P3858" s="16" t="inlineStr">
        <is>
          <t>Требует обогащения</t>
        </is>
      </c>
      <c r="Q3858" s="16">
        <f>HYPERLINK("https://pb.nalog.ru/search.html?query=6501018708","ФНС: проверить")</f>
        <v/>
      </c>
      <c r="R3858" s="16">
        <f>HYPERLINK("https://checko.ru/search?query=3801001629","Чекко: проверить")</f>
        <v/>
      </c>
      <c r="S3858" t="n">
        <v>1</v>
      </c>
      <c r="T3858" s="35" t="inlineStr">
        <is>
          <t>4 — Не обогащён</t>
        </is>
      </c>
      <c r="U3858" s="35" t="inlineStr">
        <is>
          <t>Нет ОКВЭД/ССЧР</t>
        </is>
      </c>
      <c r="V3858" s="35" t="inlineStr">
        <is>
          <t>Не определено</t>
        </is>
      </c>
      <c r="W3858" s="35" t="inlineStr"/>
      <c r="X3858" s="35" t="inlineStr"/>
    </row>
    <row r="3859" ht="15" customHeight="1" s="24">
      <c r="A3859" s="13" t="n">
        <v>5000089218</v>
      </c>
      <c r="B3859" s="13" t="inlineStr">
        <is>
          <t>Министерство строительства Приморского края</t>
        </is>
      </c>
      <c r="C3859" s="13" t="n">
        <v>2540138350</v>
      </c>
      <c r="D3859" s="13" t="inlineStr">
        <is>
          <t>2540138350</t>
        </is>
      </c>
      <c r="E3859" s="13" t="inlineStr">
        <is>
          <t>ЮЛ РФ</t>
        </is>
      </c>
      <c r="F3859" s="13" t="n"/>
      <c r="G3859" s="14" t="n"/>
      <c r="H3859" s="14" t="n"/>
      <c r="I3859" s="14" t="n"/>
      <c r="J3859" s="14" t="n"/>
      <c r="K3859" s="53" t="inlineStr"/>
      <c r="L3859" s="53" t="inlineStr">
        <is>
          <t>Не определено</t>
        </is>
      </c>
      <c r="M3859" s="53" t="inlineStr"/>
      <c r="N3859" s="54" t="inlineStr"/>
      <c r="O3859" s="55" t="inlineStr"/>
      <c r="P3859" s="16" t="inlineStr">
        <is>
          <t>Требует обогащения</t>
        </is>
      </c>
      <c r="Q3859" s="16">
        <f>HYPERLINK("https://pb.nalog.ru/search.html?query=2540138350","ФНС: проверить")</f>
        <v/>
      </c>
      <c r="R3859" s="16">
        <f>HYPERLINK("https://checko.ru/search?query=3801001629","Чекко: проверить")</f>
        <v/>
      </c>
      <c r="S3859" t="n">
        <v>1</v>
      </c>
      <c r="T3859" s="35" t="inlineStr">
        <is>
          <t>4 — Не обогащён</t>
        </is>
      </c>
      <c r="U3859" s="35" t="inlineStr">
        <is>
          <t>Нет ОКВЭД/ССЧР</t>
        </is>
      </c>
      <c r="V3859" s="35" t="inlineStr">
        <is>
          <t>Не определено</t>
        </is>
      </c>
      <c r="W3859" s="35" t="inlineStr"/>
      <c r="X3859" s="35" t="inlineStr"/>
    </row>
    <row r="3860" ht="27.75" customHeight="1" s="24">
      <c r="A3860" s="13" t="n">
        <v>5000085006</v>
      </c>
      <c r="B3860" s="13" t="inlineStr">
        <is>
          <t>ОбКУ "ЦЕНТР ПО ОБЕСПЕЧЕНИЮ ДЕЯТЕЛЬНОСТИ СЛУЖБЫ ЗАНЯТОСТИ НАСЕЛЕНИЯ САХАЛИНС</t>
        </is>
      </c>
      <c r="C3860" s="13" t="n">
        <v>6518006066</v>
      </c>
      <c r="D3860" s="13" t="inlineStr">
        <is>
          <t>6518006066</t>
        </is>
      </c>
      <c r="E3860" s="13" t="inlineStr">
        <is>
          <t>ЮЛ РФ</t>
        </is>
      </c>
      <c r="F3860" s="13" t="n"/>
      <c r="G3860" s="14" t="n"/>
      <c r="H3860" s="14" t="n"/>
      <c r="I3860" s="14" t="n"/>
      <c r="J3860" s="14" t="n"/>
      <c r="K3860" s="53" t="inlineStr"/>
      <c r="L3860" s="53" t="inlineStr">
        <is>
          <t>Не определено</t>
        </is>
      </c>
      <c r="M3860" s="53" t="inlineStr"/>
      <c r="N3860" s="54" t="inlineStr"/>
      <c r="O3860" s="55" t="inlineStr"/>
      <c r="P3860" s="16" t="inlineStr">
        <is>
          <t>Требует обогащения</t>
        </is>
      </c>
      <c r="Q3860" s="16">
        <f>HYPERLINK("https://pb.nalog.ru/search.html?query=6518006066","ФНС: проверить")</f>
        <v/>
      </c>
      <c r="R3860" s="16">
        <f>HYPERLINK("https://checko.ru/search?query=3801001629","Чекко: проверить")</f>
        <v/>
      </c>
      <c r="S3860" t="n">
        <v>1</v>
      </c>
      <c r="T3860" s="35" t="inlineStr">
        <is>
          <t>4 — Не обогащён</t>
        </is>
      </c>
      <c r="U3860" s="35" t="inlineStr">
        <is>
          <t>Нет ОКВЭД/ССЧР</t>
        </is>
      </c>
      <c r="V3860" s="35" t="inlineStr">
        <is>
          <t>Не определено</t>
        </is>
      </c>
      <c r="W3860" s="35" t="inlineStr"/>
      <c r="X3860" s="35" t="inlineStr"/>
    </row>
    <row r="3861" ht="41.25" customHeight="1" s="24">
      <c r="A3861" s="13" t="n">
        <v>5000100112</v>
      </c>
      <c r="B3861" s="13" t="inlineStr">
        <is>
          <t>Государственное казенное учреждение Сахалинской области «Региональный градостроительный центр Сахалинской области»</t>
        </is>
      </c>
      <c r="C3861" s="13" t="n">
        <v>6501308421</v>
      </c>
      <c r="D3861" s="13" t="inlineStr">
        <is>
          <t>6501308421</t>
        </is>
      </c>
      <c r="E3861" s="13" t="inlineStr">
        <is>
          <t>ЮЛ РФ</t>
        </is>
      </c>
      <c r="F3861" s="13" t="n"/>
      <c r="G3861" s="14" t="n"/>
      <c r="H3861" s="14" t="n"/>
      <c r="I3861" s="14" t="n"/>
      <c r="J3861" s="14" t="n"/>
      <c r="K3861" s="53" t="inlineStr"/>
      <c r="L3861" s="53" t="inlineStr">
        <is>
          <t>Не определено</t>
        </is>
      </c>
      <c r="M3861" s="53" t="inlineStr"/>
      <c r="N3861" s="54" t="inlineStr"/>
      <c r="O3861" s="55" t="inlineStr"/>
      <c r="P3861" s="16" t="inlineStr">
        <is>
          <t>Требует обогащения</t>
        </is>
      </c>
      <c r="Q3861" s="16">
        <f>HYPERLINK("https://pb.nalog.ru/search.html?query=6501308421","ФНС: проверить")</f>
        <v/>
      </c>
      <c r="R3861" s="16">
        <f>HYPERLINK("https://checko.ru/search?query=3801001629","Чекко: проверить")</f>
        <v/>
      </c>
      <c r="S3861" t="n">
        <v>1</v>
      </c>
      <c r="T3861" s="35" t="inlineStr">
        <is>
          <t>4 — Не обогащён</t>
        </is>
      </c>
      <c r="U3861" s="35" t="inlineStr">
        <is>
          <t>Нет ОКВЭД/ССЧР</t>
        </is>
      </c>
      <c r="V3861" s="35" t="inlineStr">
        <is>
          <t>Не определено</t>
        </is>
      </c>
      <c r="W3861" s="35" t="inlineStr"/>
      <c r="X3861" s="35" t="inlineStr"/>
    </row>
    <row r="3862" ht="41.25" customHeight="1" s="24">
      <c r="A3862" s="13" t="n">
        <v>5000100112</v>
      </c>
      <c r="B3862" s="13" t="inlineStr">
        <is>
          <t>Государственное казенное учреждение Сахалинской области «Региональный градостроительный центр Сахалинской области»</t>
        </is>
      </c>
      <c r="C3862" s="13" t="n">
        <v>6501308421</v>
      </c>
      <c r="D3862" s="13" t="inlineStr">
        <is>
          <t>6501308421</t>
        </is>
      </c>
      <c r="E3862" s="13" t="inlineStr">
        <is>
          <t>ЮЛ РФ</t>
        </is>
      </c>
      <c r="F3862" s="13" t="n"/>
      <c r="G3862" s="14" t="n"/>
      <c r="H3862" s="14" t="n"/>
      <c r="I3862" s="14" t="n"/>
      <c r="J3862" s="14" t="n"/>
      <c r="K3862" s="53" t="inlineStr"/>
      <c r="L3862" s="53" t="inlineStr">
        <is>
          <t>Не определено</t>
        </is>
      </c>
      <c r="M3862" s="53" t="inlineStr"/>
      <c r="N3862" s="54" t="inlineStr"/>
      <c r="O3862" s="55" t="inlineStr"/>
      <c r="P3862" s="16" t="inlineStr">
        <is>
          <t>Требует обогащения</t>
        </is>
      </c>
      <c r="Q3862" s="16">
        <f>HYPERLINK("https://pb.nalog.ru/search.html?query=6501308421","ФНС: проверить")</f>
        <v/>
      </c>
      <c r="R3862" s="16">
        <f>HYPERLINK("https://checko.ru/search?query=3801001629","Чекко: проверить")</f>
        <v/>
      </c>
      <c r="S3862" t="n">
        <v>0</v>
      </c>
      <c r="T3862" s="35" t="inlineStr">
        <is>
          <t>4 — Не обогащён</t>
        </is>
      </c>
      <c r="U3862" s="35" t="inlineStr">
        <is>
          <t>Нет ОКВЭД/ССЧР</t>
        </is>
      </c>
      <c r="V3862" s="35" t="inlineStr">
        <is>
          <t>Не определено</t>
        </is>
      </c>
      <c r="W3862" s="35" t="inlineStr"/>
      <c r="X3862" s="35" t="inlineStr"/>
    </row>
    <row r="3863" ht="15" customHeight="1" s="24">
      <c r="A3863" s="13" t="n">
        <v>5000089301</v>
      </c>
      <c r="B3863" s="13" t="inlineStr">
        <is>
          <t>Детский дом с. Светлогорье, КГОКУ</t>
        </is>
      </c>
      <c r="C3863" s="13" t="n">
        <v>2526005742</v>
      </c>
      <c r="D3863" s="13" t="inlineStr">
        <is>
          <t>2526005742</t>
        </is>
      </c>
      <c r="E3863" s="13" t="inlineStr">
        <is>
          <t>ЮЛ РФ</t>
        </is>
      </c>
      <c r="F3863" s="13" t="n"/>
      <c r="G3863" s="14" t="n"/>
      <c r="H3863" s="14" t="n"/>
      <c r="I3863" s="14" t="n"/>
      <c r="J3863" s="14" t="n"/>
      <c r="K3863" s="53" t="inlineStr"/>
      <c r="L3863" s="53" t="inlineStr">
        <is>
          <t>Не определено</t>
        </is>
      </c>
      <c r="M3863" s="53" t="inlineStr"/>
      <c r="N3863" s="54" t="inlineStr"/>
      <c r="O3863" s="55" t="inlineStr"/>
      <c r="P3863" s="16" t="inlineStr">
        <is>
          <t>Требует обогащения</t>
        </is>
      </c>
      <c r="Q3863" s="16">
        <f>HYPERLINK("https://pb.nalog.ru/search.html?query=2526005742","ФНС: проверить")</f>
        <v/>
      </c>
      <c r="R3863" s="16">
        <f>HYPERLINK("https://checko.ru/search?query=3801001629","Чекко: проверить")</f>
        <v/>
      </c>
      <c r="S3863" t="n">
        <v>1</v>
      </c>
      <c r="T3863" s="35" t="inlineStr">
        <is>
          <t>4 — Не обогащён</t>
        </is>
      </c>
      <c r="U3863" s="35" t="inlineStr">
        <is>
          <t>Нет ОКВЭД/ССЧР</t>
        </is>
      </c>
      <c r="V3863" s="35" t="inlineStr">
        <is>
          <t>Не определено</t>
        </is>
      </c>
      <c r="W3863" s="35" t="inlineStr"/>
      <c r="X3863" s="35" t="inlineStr"/>
    </row>
    <row r="3864" ht="15" customHeight="1" s="24">
      <c r="A3864" s="13" t="n">
        <v>5000109701</v>
      </c>
      <c r="B3864" s="13" t="inlineStr">
        <is>
          <t>МБОУ Гимназия № 3 г. Южно-Сахалинск</t>
        </is>
      </c>
      <c r="C3864" s="13" t="n">
        <v>6501113006</v>
      </c>
      <c r="D3864" s="13" t="inlineStr">
        <is>
          <t>6501113006</t>
        </is>
      </c>
      <c r="E3864" s="13" t="inlineStr">
        <is>
          <t>ЮЛ РФ</t>
        </is>
      </c>
      <c r="F3864" s="13" t="n"/>
      <c r="G3864" s="14" t="n"/>
      <c r="H3864" s="14" t="n"/>
      <c r="I3864" s="14" t="n"/>
      <c r="J3864" s="14" t="n"/>
      <c r="K3864" s="53" t="inlineStr"/>
      <c r="L3864" s="53" t="inlineStr">
        <is>
          <t>Не определено</t>
        </is>
      </c>
      <c r="M3864" s="53" t="inlineStr"/>
      <c r="N3864" s="54" t="inlineStr"/>
      <c r="O3864" s="55" t="inlineStr"/>
      <c r="P3864" s="16" t="inlineStr">
        <is>
          <t>Требует обогащения</t>
        </is>
      </c>
      <c r="Q3864" s="16">
        <f>HYPERLINK("https://pb.nalog.ru/search.html?query=6501113006","ФНС: проверить")</f>
        <v/>
      </c>
      <c r="R3864" s="16">
        <f>HYPERLINK("https://checko.ru/search?query=3801001629","Чекко: проверить")</f>
        <v/>
      </c>
      <c r="S3864" t="n">
        <v>1</v>
      </c>
      <c r="T3864" s="35" t="inlineStr">
        <is>
          <t>4 — Не обогащён</t>
        </is>
      </c>
      <c r="U3864" s="35" t="inlineStr">
        <is>
          <t>Нет ОКВЭД/ССЧР</t>
        </is>
      </c>
      <c r="V3864" s="35" t="inlineStr">
        <is>
          <t>Не определено</t>
        </is>
      </c>
      <c r="W3864" s="35" t="inlineStr"/>
      <c r="X3864" s="35" t="inlineStr"/>
    </row>
    <row r="3865" ht="27.75" customHeight="1" s="24">
      <c r="A3865" s="13" t="n">
        <v>5000098641</v>
      </c>
      <c r="B3865" s="13" t="inlineStr">
        <is>
          <t>ГКУЗ "Сахалинский областной противотуберкулезный диспансер"</t>
        </is>
      </c>
      <c r="C3865" s="13" t="n">
        <v>6501074580</v>
      </c>
      <c r="D3865" s="13" t="inlineStr">
        <is>
          <t>6501074580</t>
        </is>
      </c>
      <c r="E3865" s="13" t="inlineStr">
        <is>
          <t>ЮЛ РФ</t>
        </is>
      </c>
      <c r="F3865" s="13" t="n"/>
      <c r="G3865" s="14" t="n"/>
      <c r="H3865" s="14" t="n"/>
      <c r="I3865" s="14" t="n"/>
      <c r="J3865" s="14" t="n"/>
      <c r="K3865" s="53" t="inlineStr"/>
      <c r="L3865" s="53" t="inlineStr">
        <is>
          <t>Не определено</t>
        </is>
      </c>
      <c r="M3865" s="53" t="inlineStr"/>
      <c r="N3865" s="54" t="inlineStr"/>
      <c r="O3865" s="55" t="inlineStr"/>
      <c r="P3865" s="16" t="inlineStr">
        <is>
          <t>Требует обогащения</t>
        </is>
      </c>
      <c r="Q3865" s="16">
        <f>HYPERLINK("https://pb.nalog.ru/search.html?query=6501074580","ФНС: проверить")</f>
        <v/>
      </c>
      <c r="R3865" s="16">
        <f>HYPERLINK("https://checko.ru/search?query=3801001629","Чекко: проверить")</f>
        <v/>
      </c>
      <c r="S3865" t="n">
        <v>1</v>
      </c>
      <c r="T3865" s="35" t="inlineStr">
        <is>
          <t>4 — Не обогащён</t>
        </is>
      </c>
      <c r="U3865" s="35" t="inlineStr">
        <is>
          <t>Нет ОКВЭД/ССЧР</t>
        </is>
      </c>
      <c r="V3865" s="35" t="inlineStr">
        <is>
          <t>Не определено</t>
        </is>
      </c>
      <c r="W3865" s="35" t="inlineStr"/>
      <c r="X3865" s="35" t="inlineStr"/>
    </row>
    <row r="3866" ht="27.75" customHeight="1" s="24">
      <c r="A3866" s="13" t="n">
        <v>5000029112</v>
      </c>
      <c r="B3866" s="13" t="inlineStr">
        <is>
          <t>МКУ "Централизованная бухгалтерия учреждений культуры"</t>
        </is>
      </c>
      <c r="C3866" s="13" t="n">
        <v>6501243407</v>
      </c>
      <c r="D3866" s="13" t="inlineStr">
        <is>
          <t>6501243407</t>
        </is>
      </c>
      <c r="E3866" s="13" t="inlineStr">
        <is>
          <t>ЮЛ РФ</t>
        </is>
      </c>
      <c r="F3866" s="13" t="n"/>
      <c r="G3866" s="14" t="n"/>
      <c r="H3866" s="14" t="n"/>
      <c r="I3866" s="14" t="n"/>
      <c r="J3866" s="14" t="n"/>
      <c r="K3866" s="53" t="inlineStr"/>
      <c r="L3866" s="53" t="inlineStr">
        <is>
          <t>Не определено</t>
        </is>
      </c>
      <c r="M3866" s="53" t="inlineStr"/>
      <c r="N3866" s="54" t="inlineStr"/>
      <c r="O3866" s="55" t="inlineStr"/>
      <c r="P3866" s="16" t="inlineStr">
        <is>
          <t>Требует обогащения</t>
        </is>
      </c>
      <c r="Q3866" s="16">
        <f>HYPERLINK("https://pb.nalog.ru/search.html?query=6501243407","ФНС: проверить")</f>
        <v/>
      </c>
      <c r="R3866" s="16">
        <f>HYPERLINK("https://checko.ru/search?query=3801001629","Чекко: проверить")</f>
        <v/>
      </c>
      <c r="S3866" t="n">
        <v>1</v>
      </c>
      <c r="T3866" s="35" t="inlineStr">
        <is>
          <t>4 — Не обогащён</t>
        </is>
      </c>
      <c r="U3866" s="35" t="inlineStr">
        <is>
          <t>Нет ОКВЭД/ССЧР</t>
        </is>
      </c>
      <c r="V3866" s="35" t="inlineStr">
        <is>
          <t>Не определено</t>
        </is>
      </c>
      <c r="W3866" s="35" t="inlineStr"/>
      <c r="X3866" s="35" t="inlineStr"/>
    </row>
    <row r="3867" ht="41.25" customHeight="1" s="24">
      <c r="A3867" s="13" t="n">
        <v>5000044994</v>
      </c>
      <c r="B3867" s="13" t="inlineStr">
        <is>
          <t>МКУ "Производственно-техническое управление по обеспечению деятельности органов местного самоуправления МО "Анивский городской округ"</t>
        </is>
      </c>
      <c r="C3867" s="13" t="n">
        <v>6501231225</v>
      </c>
      <c r="D3867" s="13" t="inlineStr">
        <is>
          <t>6501231225</t>
        </is>
      </c>
      <c r="E3867" s="13" t="inlineStr">
        <is>
          <t>ЮЛ РФ</t>
        </is>
      </c>
      <c r="F3867" s="13" t="n"/>
      <c r="G3867" s="14" t="n"/>
      <c r="H3867" s="14" t="n"/>
      <c r="I3867" s="14" t="n"/>
      <c r="J3867" s="14" t="n"/>
      <c r="K3867" s="53" t="inlineStr"/>
      <c r="L3867" s="53" t="inlineStr">
        <is>
          <t>Не определено</t>
        </is>
      </c>
      <c r="M3867" s="53" t="inlineStr"/>
      <c r="N3867" s="54" t="inlineStr"/>
      <c r="O3867" s="55" t="inlineStr"/>
      <c r="P3867" s="16" t="inlineStr">
        <is>
          <t>Требует обогащения</t>
        </is>
      </c>
      <c r="Q3867" s="16">
        <f>HYPERLINK("https://pb.nalog.ru/search.html?query=6501231225","ФНС: проверить")</f>
        <v/>
      </c>
      <c r="R3867" s="16">
        <f>HYPERLINK("https://checko.ru/search?query=3801001629","Чекко: проверить")</f>
        <v/>
      </c>
      <c r="S3867" t="n">
        <v>1</v>
      </c>
      <c r="T3867" s="35" t="inlineStr">
        <is>
          <t>4 — Не обогащён</t>
        </is>
      </c>
      <c r="U3867" s="35" t="inlineStr">
        <is>
          <t>Нет ОКВЭД/ССЧР</t>
        </is>
      </c>
      <c r="V3867" s="35" t="inlineStr">
        <is>
          <t>Не определено</t>
        </is>
      </c>
      <c r="W3867" s="35" t="inlineStr"/>
      <c r="X3867" s="35" t="inlineStr"/>
    </row>
    <row r="3868" ht="27.75" customHeight="1" s="24">
      <c r="A3868" s="13" t="n">
        <v>5000107138</v>
      </c>
      <c r="B3868" s="13" t="inlineStr">
        <is>
          <t>ГБУК "Историко-литературный музей "А.П. Чехов и Сахалин"</t>
        </is>
      </c>
      <c r="C3868" s="13" t="n">
        <v>6502004190</v>
      </c>
      <c r="D3868" s="13" t="inlineStr">
        <is>
          <t>6502004190</t>
        </is>
      </c>
      <c r="E3868" s="13" t="inlineStr">
        <is>
          <t>ЮЛ РФ</t>
        </is>
      </c>
      <c r="F3868" s="13" t="n"/>
      <c r="G3868" s="14" t="n"/>
      <c r="H3868" s="14" t="n"/>
      <c r="I3868" s="14" t="n"/>
      <c r="J3868" s="14" t="n"/>
      <c r="K3868" s="53" t="inlineStr"/>
      <c r="L3868" s="53" t="inlineStr">
        <is>
          <t>Не определено</t>
        </is>
      </c>
      <c r="M3868" s="53" t="inlineStr"/>
      <c r="N3868" s="54" t="inlineStr"/>
      <c r="O3868" s="55" t="inlineStr"/>
      <c r="P3868" s="16" t="inlineStr">
        <is>
          <t>Требует обогащения</t>
        </is>
      </c>
      <c r="Q3868" s="16">
        <f>HYPERLINK("https://pb.nalog.ru/search.html?query=6502004190","ФНС: проверить")</f>
        <v/>
      </c>
      <c r="R3868" s="16">
        <f>HYPERLINK("https://checko.ru/search?query=3801001629","Чекко: проверить")</f>
        <v/>
      </c>
      <c r="S3868" t="n">
        <v>1</v>
      </c>
      <c r="T3868" s="35" t="inlineStr">
        <is>
          <t>4 — Не обогащён</t>
        </is>
      </c>
      <c r="U3868" s="35" t="inlineStr">
        <is>
          <t>Нет ОКВЭД/ССЧР</t>
        </is>
      </c>
      <c r="V3868" s="35" t="inlineStr">
        <is>
          <t>Не определено</t>
        </is>
      </c>
      <c r="W3868" s="35" t="inlineStr"/>
      <c r="X3868" s="35" t="inlineStr"/>
    </row>
    <row r="3869" ht="15" customHeight="1" s="24">
      <c r="A3869" s="13" t="n">
        <v>5000044995</v>
      </c>
      <c r="B3869" s="13" t="inlineStr">
        <is>
          <t>Администрация МО "Анивский городской округ"</t>
        </is>
      </c>
      <c r="C3869" s="13" t="n">
        <v>6510003232</v>
      </c>
      <c r="D3869" s="13" t="inlineStr">
        <is>
          <t>6510003232</t>
        </is>
      </c>
      <c r="E3869" s="13" t="inlineStr">
        <is>
          <t>ЮЛ РФ</t>
        </is>
      </c>
      <c r="F3869" s="13" t="n"/>
      <c r="G3869" s="14" t="n"/>
      <c r="H3869" s="14" t="n"/>
      <c r="I3869" s="14" t="n"/>
      <c r="J3869" s="14" t="n"/>
      <c r="K3869" s="53" t="inlineStr"/>
      <c r="L3869" s="53" t="inlineStr">
        <is>
          <t>Не определено</t>
        </is>
      </c>
      <c r="M3869" s="53" t="inlineStr"/>
      <c r="N3869" s="54" t="inlineStr"/>
      <c r="O3869" s="55" t="inlineStr"/>
      <c r="P3869" s="16" t="inlineStr">
        <is>
          <t>Требует обогащения</t>
        </is>
      </c>
      <c r="Q3869" s="16">
        <f>HYPERLINK("https://pb.nalog.ru/search.html?query=6510003232","ФНС: проверить")</f>
        <v/>
      </c>
      <c r="R3869" s="16">
        <f>HYPERLINK("https://checko.ru/search?query=3801001629","Чекко: проверить")</f>
        <v/>
      </c>
      <c r="S3869" t="n">
        <v>1</v>
      </c>
      <c r="T3869" s="35" t="inlineStr">
        <is>
          <t>4 — Не обогащён</t>
        </is>
      </c>
      <c r="U3869" s="35" t="inlineStr">
        <is>
          <t>Нет ОКВЭД/ССЧР</t>
        </is>
      </c>
      <c r="V3869" s="35" t="inlineStr">
        <is>
          <t>Не определено</t>
        </is>
      </c>
      <c r="W3869" s="35" t="inlineStr"/>
      <c r="X3869" s="35" t="inlineStr"/>
    </row>
    <row r="3870" ht="15" customHeight="1" s="24">
      <c r="A3870" s="13" t="n">
        <v>5000097561</v>
      </c>
      <c r="B3870" s="13" t="inlineStr">
        <is>
          <t>Департамент строительства Сахалинской области</t>
        </is>
      </c>
      <c r="C3870" s="13" t="n">
        <v>6501026642</v>
      </c>
      <c r="D3870" s="13" t="inlineStr">
        <is>
          <t>6501026642</t>
        </is>
      </c>
      <c r="E3870" s="13" t="inlineStr">
        <is>
          <t>ЮЛ РФ</t>
        </is>
      </c>
      <c r="F3870" s="13" t="n"/>
      <c r="G3870" s="14" t="n"/>
      <c r="H3870" s="14" t="n"/>
      <c r="I3870" s="14" t="n"/>
      <c r="J3870" s="14" t="n"/>
      <c r="K3870" s="53" t="inlineStr"/>
      <c r="L3870" s="53" t="inlineStr">
        <is>
          <t>Не определено</t>
        </is>
      </c>
      <c r="M3870" s="53" t="inlineStr"/>
      <c r="N3870" s="54" t="inlineStr"/>
      <c r="O3870" s="55" t="inlineStr"/>
      <c r="P3870" s="16" t="inlineStr">
        <is>
          <t>Требует обогащения</t>
        </is>
      </c>
      <c r="Q3870" s="16">
        <f>HYPERLINK("https://pb.nalog.ru/search.html?query=6501026642","ФНС: проверить")</f>
        <v/>
      </c>
      <c r="R3870" s="16">
        <f>HYPERLINK("https://checko.ru/search?query=3801001629","Чекко: проверить")</f>
        <v/>
      </c>
      <c r="S3870" t="n">
        <v>0</v>
      </c>
      <c r="T3870" s="35" t="inlineStr">
        <is>
          <t>4 — Не обогащён</t>
        </is>
      </c>
      <c r="U3870" s="35" t="inlineStr">
        <is>
          <t>Нет ОКВЭД/ССЧР</t>
        </is>
      </c>
      <c r="V3870" s="35" t="inlineStr">
        <is>
          <t>Не определено</t>
        </is>
      </c>
      <c r="W3870" s="35" t="inlineStr"/>
      <c r="X3870" s="35" t="inlineStr"/>
    </row>
    <row r="3871" ht="15" customHeight="1" s="24">
      <c r="A3871" s="13" t="n">
        <v>5000044995</v>
      </c>
      <c r="B3871" s="13" t="inlineStr">
        <is>
          <t>Администрация МО "Анивский городской округ"</t>
        </is>
      </c>
      <c r="C3871" s="13" t="n">
        <v>6510003232</v>
      </c>
      <c r="D3871" s="13" t="inlineStr">
        <is>
          <t>6510003232</t>
        </is>
      </c>
      <c r="E3871" s="13" t="inlineStr">
        <is>
          <t>ЮЛ РФ</t>
        </is>
      </c>
      <c r="F3871" s="13" t="n"/>
      <c r="G3871" s="14" t="n"/>
      <c r="H3871" s="14" t="n"/>
      <c r="I3871" s="14" t="n"/>
      <c r="J3871" s="14" t="n"/>
      <c r="K3871" s="53" t="inlineStr"/>
      <c r="L3871" s="53" t="inlineStr">
        <is>
          <t>Не определено</t>
        </is>
      </c>
      <c r="M3871" s="53" t="inlineStr"/>
      <c r="N3871" s="54" t="inlineStr"/>
      <c r="O3871" s="55" t="inlineStr"/>
      <c r="P3871" s="16" t="inlineStr">
        <is>
          <t>Требует обогащения</t>
        </is>
      </c>
      <c r="Q3871" s="16">
        <f>HYPERLINK("https://pb.nalog.ru/search.html?query=6510003232","ФНС: проверить")</f>
        <v/>
      </c>
      <c r="R3871" s="16">
        <f>HYPERLINK("https://checko.ru/search?query=3801001629","Чекко: проверить")</f>
        <v/>
      </c>
      <c r="S3871" t="n">
        <v>0</v>
      </c>
      <c r="T3871" s="35" t="inlineStr">
        <is>
          <t>4 — Не обогащён</t>
        </is>
      </c>
      <c r="U3871" s="35" t="inlineStr">
        <is>
          <t>Нет ОКВЭД/ССЧР</t>
        </is>
      </c>
      <c r="V3871" s="35" t="inlineStr">
        <is>
          <t>Не определено</t>
        </is>
      </c>
      <c r="W3871" s="35" t="inlineStr"/>
      <c r="X3871" s="35" t="inlineStr"/>
    </row>
    <row r="3872" ht="27.75" customHeight="1" s="24">
      <c r="A3872" s="13" t="n">
        <v>5000012961</v>
      </c>
      <c r="B3872" s="13" t="inlineStr">
        <is>
          <t>Министерство жилищно-коммунального хозяйства Сахалинской области</t>
        </is>
      </c>
      <c r="C3872" s="13" t="n">
        <v>6501149676</v>
      </c>
      <c r="D3872" s="13" t="inlineStr">
        <is>
          <t>6501149676</t>
        </is>
      </c>
      <c r="E3872" s="13" t="inlineStr">
        <is>
          <t>ЮЛ РФ</t>
        </is>
      </c>
      <c r="F3872" s="13" t="n"/>
      <c r="G3872" s="14" t="n"/>
      <c r="H3872" s="14" t="n"/>
      <c r="I3872" s="14" t="n"/>
      <c r="J3872" s="14" t="n"/>
      <c r="K3872" s="53" t="inlineStr"/>
      <c r="L3872" s="53" t="inlineStr">
        <is>
          <t>Не определено</t>
        </is>
      </c>
      <c r="M3872" s="53" t="inlineStr"/>
      <c r="N3872" s="54" t="inlineStr"/>
      <c r="O3872" s="55" t="inlineStr"/>
      <c r="P3872" s="16" t="inlineStr">
        <is>
          <t>Требует обогащения</t>
        </is>
      </c>
      <c r="Q3872" s="16">
        <f>HYPERLINK("https://pb.nalog.ru/search.html?query=6501149676","ФНС: проверить")</f>
        <v/>
      </c>
      <c r="R3872" s="16">
        <f>HYPERLINK("https://checko.ru/search?query=3801001629","Чекко: проверить")</f>
        <v/>
      </c>
      <c r="S3872" t="n">
        <v>1</v>
      </c>
      <c r="T3872" s="35" t="inlineStr">
        <is>
          <t>4 — Не обогащён</t>
        </is>
      </c>
      <c r="U3872" s="35" t="inlineStr">
        <is>
          <t>Нет ОКВЭД/ССЧР</t>
        </is>
      </c>
      <c r="V3872" s="35" t="inlineStr">
        <is>
          <t>Не определено</t>
        </is>
      </c>
      <c r="W3872" s="35" t="inlineStr"/>
      <c r="X3872" s="35" t="inlineStr"/>
    </row>
    <row r="3873" ht="27.75" customHeight="1" s="24">
      <c r="A3873" s="13" t="n">
        <v>5000012961</v>
      </c>
      <c r="B3873" s="13" t="inlineStr">
        <is>
          <t>Министерство жилищно-коммунального хозяйства Сахалинской области</t>
        </is>
      </c>
      <c r="C3873" s="13" t="n">
        <v>6501149676</v>
      </c>
      <c r="D3873" s="13" t="inlineStr">
        <is>
          <t>6501149676</t>
        </is>
      </c>
      <c r="E3873" s="13" t="inlineStr">
        <is>
          <t>ЮЛ РФ</t>
        </is>
      </c>
      <c r="F3873" s="13" t="n"/>
      <c r="G3873" s="14" t="n"/>
      <c r="H3873" s="14" t="n"/>
      <c r="I3873" s="14" t="n"/>
      <c r="J3873" s="14" t="n"/>
      <c r="K3873" s="53" t="inlineStr"/>
      <c r="L3873" s="53" t="inlineStr">
        <is>
          <t>Не определено</t>
        </is>
      </c>
      <c r="M3873" s="53" t="inlineStr"/>
      <c r="N3873" s="54" t="inlineStr"/>
      <c r="O3873" s="55" t="inlineStr"/>
      <c r="P3873" s="16" t="inlineStr">
        <is>
          <t>Требует обогащения</t>
        </is>
      </c>
      <c r="Q3873" s="16">
        <f>HYPERLINK("https://pb.nalog.ru/search.html?query=6501149676","ФНС: проверить")</f>
        <v/>
      </c>
      <c r="R3873" s="16">
        <f>HYPERLINK("https://checko.ru/search?query=3801001629","Чекко: проверить")</f>
        <v/>
      </c>
      <c r="S3873" t="n">
        <v>0</v>
      </c>
      <c r="T3873" s="35" t="inlineStr">
        <is>
          <t>4 — Не обогащён</t>
        </is>
      </c>
      <c r="U3873" s="35" t="inlineStr">
        <is>
          <t>Нет ОКВЭД/ССЧР</t>
        </is>
      </c>
      <c r="V3873" s="35" t="inlineStr">
        <is>
          <t>Не определено</t>
        </is>
      </c>
      <c r="W3873" s="35" t="inlineStr"/>
      <c r="X3873" s="35" t="inlineStr"/>
    </row>
    <row r="3874" ht="15" customHeight="1" s="24">
      <c r="A3874" s="13" t="n">
        <v>5000052895</v>
      </c>
      <c r="B3874" s="13" t="inlineStr">
        <is>
          <t>Школа №2 искусств детская Охинская</t>
        </is>
      </c>
      <c r="C3874" s="13" t="n">
        <v>6506004018</v>
      </c>
      <c r="D3874" s="13" t="inlineStr">
        <is>
          <t>6506004018</t>
        </is>
      </c>
      <c r="E3874" s="13" t="inlineStr">
        <is>
          <t>ЮЛ РФ</t>
        </is>
      </c>
      <c r="F3874" s="13" t="n"/>
      <c r="G3874" s="14" t="n"/>
      <c r="H3874" s="14" t="n"/>
      <c r="I3874" s="14" t="n"/>
      <c r="J3874" s="14" t="n"/>
      <c r="K3874" s="53" t="inlineStr"/>
      <c r="L3874" s="53" t="inlineStr">
        <is>
          <t>Не определено</t>
        </is>
      </c>
      <c r="M3874" s="53" t="inlineStr"/>
      <c r="N3874" s="54" t="inlineStr"/>
      <c r="O3874" s="55" t="inlineStr"/>
      <c r="P3874" s="16" t="inlineStr">
        <is>
          <t>Требует обогащения</t>
        </is>
      </c>
      <c r="Q3874" s="16">
        <f>HYPERLINK("https://pb.nalog.ru/search.html?query=6506004018","ФНС: проверить")</f>
        <v/>
      </c>
      <c r="R3874" s="16">
        <f>HYPERLINK("https://checko.ru/search?query=3801001629","Чекко: проверить")</f>
        <v/>
      </c>
      <c r="S3874" t="n">
        <v>1</v>
      </c>
      <c r="T3874" s="35" t="inlineStr">
        <is>
          <t>4 — Не обогащён</t>
        </is>
      </c>
      <c r="U3874" s="35" t="inlineStr">
        <is>
          <t>Нет ОКВЭД/ССЧР</t>
        </is>
      </c>
      <c r="V3874" s="35" t="inlineStr">
        <is>
          <t>Не определено</t>
        </is>
      </c>
      <c r="W3874" s="35" t="inlineStr"/>
      <c r="X3874" s="35" t="inlineStr"/>
    </row>
    <row r="3875" ht="15" customHeight="1" s="24">
      <c r="A3875" s="13" t="n">
        <v>5000098649</v>
      </c>
      <c r="B3875" s="13" t="inlineStr">
        <is>
          <t>ГБУЗ "Ногликская ЦРБ"</t>
        </is>
      </c>
      <c r="C3875" s="13" t="n">
        <v>6513001258</v>
      </c>
      <c r="D3875" s="13" t="inlineStr">
        <is>
          <t>6513001258</t>
        </is>
      </c>
      <c r="E3875" s="13" t="inlineStr">
        <is>
          <t>ЮЛ РФ</t>
        </is>
      </c>
      <c r="F3875" s="13" t="n"/>
      <c r="G3875" s="14" t="n"/>
      <c r="H3875" s="14" t="n"/>
      <c r="I3875" s="14" t="n"/>
      <c r="J3875" s="14" t="n"/>
      <c r="K3875" s="53" t="inlineStr"/>
      <c r="L3875" s="53" t="inlineStr">
        <is>
          <t>Не определено</t>
        </is>
      </c>
      <c r="M3875" s="53" t="inlineStr"/>
      <c r="N3875" s="54" t="inlineStr"/>
      <c r="O3875" s="55" t="inlineStr"/>
      <c r="P3875" s="16" t="inlineStr">
        <is>
          <t>Требует обогащения</t>
        </is>
      </c>
      <c r="Q3875" s="16">
        <f>HYPERLINK("https://pb.nalog.ru/search.html?query=6513001258","ФНС: проверить")</f>
        <v/>
      </c>
      <c r="R3875" s="16">
        <f>HYPERLINK("https://checko.ru/search?query=3801001629","Чекко: проверить")</f>
        <v/>
      </c>
      <c r="S3875" t="n">
        <v>1</v>
      </c>
      <c r="T3875" s="35" t="inlineStr">
        <is>
          <t>4 — Не обогащён</t>
        </is>
      </c>
      <c r="U3875" s="35" t="inlineStr">
        <is>
          <t>Нет ОКВЭД/ССЧР</t>
        </is>
      </c>
      <c r="V3875" s="35" t="inlineStr">
        <is>
          <t>Не определено</t>
        </is>
      </c>
      <c r="W3875" s="35" t="inlineStr"/>
      <c r="X3875" s="35" t="inlineStr"/>
    </row>
    <row r="3876" ht="27.75" customHeight="1" s="24">
      <c r="A3876" s="13" t="n">
        <v>5000052889</v>
      </c>
      <c r="B3876" s="13" t="inlineStr">
        <is>
          <t>МКУ "Централизованная бухгалтерия учреждений культуры, спорта и молодежи" г. Охи</t>
        </is>
      </c>
      <c r="C3876" s="13" t="n">
        <v>6506010491</v>
      </c>
      <c r="D3876" s="13" t="inlineStr">
        <is>
          <t>6506010491</t>
        </is>
      </c>
      <c r="E3876" s="13" t="inlineStr">
        <is>
          <t>ЮЛ РФ</t>
        </is>
      </c>
      <c r="F3876" s="13" t="n"/>
      <c r="G3876" s="14" t="n"/>
      <c r="H3876" s="14" t="n"/>
      <c r="I3876" s="14" t="n"/>
      <c r="J3876" s="14" t="n"/>
      <c r="K3876" s="53" t="inlineStr"/>
      <c r="L3876" s="53" t="inlineStr">
        <is>
          <t>Не определено</t>
        </is>
      </c>
      <c r="M3876" s="53" t="inlineStr"/>
      <c r="N3876" s="54" t="inlineStr"/>
      <c r="O3876" s="55" t="inlineStr"/>
      <c r="P3876" s="16" t="inlineStr">
        <is>
          <t>Требует обогащения</t>
        </is>
      </c>
      <c r="Q3876" s="16">
        <f>HYPERLINK("https://pb.nalog.ru/search.html?query=6506010491","ФНС: проверить")</f>
        <v/>
      </c>
      <c r="R3876" s="16">
        <f>HYPERLINK("https://checko.ru/search?query=3801001629","Чекко: проверить")</f>
        <v/>
      </c>
      <c r="S3876" t="n">
        <v>1</v>
      </c>
      <c r="T3876" s="35" t="inlineStr">
        <is>
          <t>4 — Не обогащён</t>
        </is>
      </c>
      <c r="U3876" s="35" t="inlineStr">
        <is>
          <t>Нет ОКВЭД/ССЧР</t>
        </is>
      </c>
      <c r="V3876" s="35" t="inlineStr">
        <is>
          <t>Не определено</t>
        </is>
      </c>
      <c r="W3876" s="35" t="inlineStr"/>
      <c r="X3876" s="35" t="inlineStr"/>
    </row>
    <row r="3877" ht="27.75" customHeight="1" s="24">
      <c r="A3877" s="13" t="n">
        <v>5000098668</v>
      </c>
      <c r="B3877" s="13" t="inlineStr">
        <is>
          <t>ГБУ "Станция по борьбе с болезнями животных № 3"</t>
        </is>
      </c>
      <c r="C3877" s="13" t="n">
        <v>6503005782</v>
      </c>
      <c r="D3877" s="13" t="inlineStr">
        <is>
          <t>6503005782</t>
        </is>
      </c>
      <c r="E3877" s="13" t="inlineStr">
        <is>
          <t>ЮЛ РФ</t>
        </is>
      </c>
      <c r="F3877" s="13" t="n"/>
      <c r="G3877" s="14" t="n"/>
      <c r="H3877" s="14" t="n"/>
      <c r="I3877" s="14" t="n"/>
      <c r="J3877" s="14" t="n"/>
      <c r="K3877" s="53" t="inlineStr"/>
      <c r="L3877" s="53" t="inlineStr">
        <is>
          <t>Не определено</t>
        </is>
      </c>
      <c r="M3877" s="53" t="inlineStr"/>
      <c r="N3877" s="54" t="inlineStr"/>
      <c r="O3877" s="55" t="inlineStr"/>
      <c r="P3877" s="16" t="inlineStr">
        <is>
          <t>Требует обогащения</t>
        </is>
      </c>
      <c r="Q3877" s="16">
        <f>HYPERLINK("https://pb.nalog.ru/search.html?query=6503005782","ФНС: проверить")</f>
        <v/>
      </c>
      <c r="R3877" s="16">
        <f>HYPERLINK("https://checko.ru/search?query=3801001629","Чекко: проверить")</f>
        <v/>
      </c>
      <c r="S3877" t="n">
        <v>1</v>
      </c>
      <c r="T3877" s="35" t="inlineStr">
        <is>
          <t>4 — Не обогащён</t>
        </is>
      </c>
      <c r="U3877" s="35" t="inlineStr">
        <is>
          <t>Нет ОКВЭД/ССЧР</t>
        </is>
      </c>
      <c r="V3877" s="35" t="inlineStr">
        <is>
          <t>Не определено</t>
        </is>
      </c>
      <c r="W3877" s="35" t="inlineStr"/>
      <c r="X3877" s="35" t="inlineStr"/>
    </row>
    <row r="3878" ht="15" customHeight="1" s="24">
      <c r="A3878" s="13" t="n">
        <v>5000098225</v>
      </c>
      <c r="B3878" s="13" t="inlineStr">
        <is>
          <t>КГОКУ УМЦ ГОЧС ПБ</t>
        </is>
      </c>
      <c r="C3878" s="13" t="n">
        <v>2538125272</v>
      </c>
      <c r="D3878" s="13" t="inlineStr">
        <is>
          <t>2538125272</t>
        </is>
      </c>
      <c r="E3878" s="13" t="inlineStr">
        <is>
          <t>ЮЛ РФ</t>
        </is>
      </c>
      <c r="F3878" s="13" t="n"/>
      <c r="G3878" s="14" t="n"/>
      <c r="H3878" s="14" t="n"/>
      <c r="I3878" s="14" t="n"/>
      <c r="J3878" s="14" t="n"/>
      <c r="K3878" s="53" t="inlineStr"/>
      <c r="L3878" s="53" t="inlineStr">
        <is>
          <t>Не определено</t>
        </is>
      </c>
      <c r="M3878" s="53" t="inlineStr"/>
      <c r="N3878" s="54" t="inlineStr"/>
      <c r="O3878" s="55" t="inlineStr"/>
      <c r="P3878" s="16" t="inlineStr">
        <is>
          <t>Требует обогащения</t>
        </is>
      </c>
      <c r="Q3878" s="16">
        <f>HYPERLINK("https://pb.nalog.ru/search.html?query=2538125272","ФНС: проверить")</f>
        <v/>
      </c>
      <c r="R3878" s="16">
        <f>HYPERLINK("https://checko.ru/search?query=3801001629","Чекко: проверить")</f>
        <v/>
      </c>
      <c r="S3878" t="n">
        <v>1</v>
      </c>
      <c r="T3878" s="35" t="inlineStr">
        <is>
          <t>4 — Не обогащён</t>
        </is>
      </c>
      <c r="U3878" s="35" t="inlineStr">
        <is>
          <t>Нет ОКВЭД/ССЧР</t>
        </is>
      </c>
      <c r="V3878" s="35" t="inlineStr">
        <is>
          <t>Не определено</t>
        </is>
      </c>
      <c r="W3878" s="35" t="inlineStr"/>
      <c r="X3878" s="35" t="inlineStr"/>
    </row>
    <row r="3879" ht="27.75" customHeight="1" s="24">
      <c r="A3879" s="13" t="n">
        <v>5000119603</v>
      </c>
      <c r="B3879" s="13" t="inlineStr">
        <is>
          <t>Уполномоченный по правам человека в Приморском крае</t>
        </is>
      </c>
      <c r="C3879" s="13" t="n">
        <v>2540101350</v>
      </c>
      <c r="D3879" s="13" t="inlineStr">
        <is>
          <t>2540101350</t>
        </is>
      </c>
      <c r="E3879" s="13" t="inlineStr">
        <is>
          <t>ЮЛ РФ</t>
        </is>
      </c>
      <c r="F3879" s="13" t="n"/>
      <c r="G3879" s="14" t="n"/>
      <c r="H3879" s="14" t="n"/>
      <c r="I3879" s="14" t="n"/>
      <c r="J3879" s="14" t="n"/>
      <c r="K3879" s="53" t="inlineStr"/>
      <c r="L3879" s="53" t="inlineStr">
        <is>
          <t>Не определено</t>
        </is>
      </c>
      <c r="M3879" s="53" t="inlineStr"/>
      <c r="N3879" s="54" t="inlineStr"/>
      <c r="O3879" s="55" t="inlineStr"/>
      <c r="P3879" s="16" t="inlineStr">
        <is>
          <t>Требует обогащения</t>
        </is>
      </c>
      <c r="Q3879" s="16">
        <f>HYPERLINK("https://pb.nalog.ru/search.html?query=2540101350","ФНС: проверить")</f>
        <v/>
      </c>
      <c r="R3879" s="16">
        <f>HYPERLINK("https://checko.ru/search?query=3801001629","Чекко: проверить")</f>
        <v/>
      </c>
      <c r="S3879" t="n">
        <v>1</v>
      </c>
      <c r="T3879" s="35" t="inlineStr">
        <is>
          <t>4 — Не обогащён</t>
        </is>
      </c>
      <c r="U3879" s="35" t="inlineStr">
        <is>
          <t>Нет ОКВЭД/ССЧР</t>
        </is>
      </c>
      <c r="V3879" s="35" t="inlineStr">
        <is>
          <t>Не определено</t>
        </is>
      </c>
      <c r="W3879" s="35" t="inlineStr"/>
      <c r="X3879" s="35" t="inlineStr"/>
    </row>
    <row r="3880" ht="15" customHeight="1" s="24">
      <c r="A3880" s="13" t="n">
        <v>5000098256</v>
      </c>
      <c r="B3880" s="13" t="inlineStr">
        <is>
          <t>Приморская краевая детская библиотека, ГКУК</t>
        </is>
      </c>
      <c r="C3880" s="13" t="n">
        <v>2538030503</v>
      </c>
      <c r="D3880" s="13" t="inlineStr">
        <is>
          <t>2538030503</t>
        </is>
      </c>
      <c r="E3880" s="13" t="inlineStr">
        <is>
          <t>ЮЛ РФ</t>
        </is>
      </c>
      <c r="F3880" s="13" t="n"/>
      <c r="G3880" s="14" t="n"/>
      <c r="H3880" s="14" t="n"/>
      <c r="I3880" s="14" t="n"/>
      <c r="J3880" s="14" t="n"/>
      <c r="K3880" s="53" t="inlineStr"/>
      <c r="L3880" s="53" t="inlineStr">
        <is>
          <t>Не определено</t>
        </is>
      </c>
      <c r="M3880" s="53" t="inlineStr"/>
      <c r="N3880" s="54" t="inlineStr"/>
      <c r="O3880" s="55" t="inlineStr"/>
      <c r="P3880" s="16" t="inlineStr">
        <is>
          <t>Требует обогащения</t>
        </is>
      </c>
      <c r="Q3880" s="16">
        <f>HYPERLINK("https://pb.nalog.ru/search.html?query=2538030503","ФНС: проверить")</f>
        <v/>
      </c>
      <c r="R3880" s="16">
        <f>HYPERLINK("https://checko.ru/search?query=3801001629","Чекко: проверить")</f>
        <v/>
      </c>
      <c r="S3880" t="n">
        <v>1</v>
      </c>
      <c r="T3880" s="35" t="inlineStr">
        <is>
          <t>4 — Не обогащён</t>
        </is>
      </c>
      <c r="U3880" s="35" t="inlineStr">
        <is>
          <t>Нет ОКВЭД/ССЧР</t>
        </is>
      </c>
      <c r="V3880" s="35" t="inlineStr">
        <is>
          <t>Не определено</t>
        </is>
      </c>
      <c r="W3880" s="35" t="inlineStr"/>
      <c r="X3880" s="35" t="inlineStr"/>
    </row>
    <row r="3881" ht="27.75" customHeight="1" s="24">
      <c r="A3881" s="13" t="n">
        <v>5000018398</v>
      </c>
      <c r="B3881" s="13" t="inlineStr">
        <is>
          <t>Департамент образования администрации города Южно-Сахалинска</t>
        </is>
      </c>
      <c r="C3881" s="13" t="n">
        <v>6501026610</v>
      </c>
      <c r="D3881" s="13" t="inlineStr">
        <is>
          <t>6501026610</t>
        </is>
      </c>
      <c r="E3881" s="13" t="inlineStr">
        <is>
          <t>ЮЛ РФ</t>
        </is>
      </c>
      <c r="F3881" s="13" t="n"/>
      <c r="G3881" s="14" t="n"/>
      <c r="H3881" s="14" t="n"/>
      <c r="I3881" s="14" t="n"/>
      <c r="J3881" s="14" t="n"/>
      <c r="K3881" s="53" t="inlineStr"/>
      <c r="L3881" s="53" t="inlineStr">
        <is>
          <t>Не определено</t>
        </is>
      </c>
      <c r="M3881" s="53" t="inlineStr"/>
      <c r="N3881" s="54" t="inlineStr"/>
      <c r="O3881" s="55" t="inlineStr"/>
      <c r="P3881" s="16" t="inlineStr">
        <is>
          <t>Требует обогащения</t>
        </is>
      </c>
      <c r="Q3881" s="16">
        <f>HYPERLINK("https://pb.nalog.ru/search.html?query=6501026610","ФНС: проверить")</f>
        <v/>
      </c>
      <c r="R3881" s="16">
        <f>HYPERLINK("https://checko.ru/search?query=3801001629","Чекко: проверить")</f>
        <v/>
      </c>
      <c r="S3881" t="n">
        <v>1</v>
      </c>
      <c r="T3881" s="35" t="inlineStr">
        <is>
          <t>4 — Не обогащён</t>
        </is>
      </c>
      <c r="U3881" s="35" t="inlineStr">
        <is>
          <t>Нет ОКВЭД/ССЧР</t>
        </is>
      </c>
      <c r="V3881" s="35" t="inlineStr">
        <is>
          <t>Не определено</t>
        </is>
      </c>
      <c r="W3881" s="35" t="inlineStr"/>
      <c r="X3881" s="35" t="inlineStr"/>
    </row>
    <row r="3882" ht="27.75" customHeight="1" s="24">
      <c r="A3882" s="13" t="n">
        <v>5000018398</v>
      </c>
      <c r="B3882" s="13" t="inlineStr">
        <is>
          <t>Департамент образования администрации города Южно-Сахалинска</t>
        </is>
      </c>
      <c r="C3882" s="13" t="n">
        <v>6501026610</v>
      </c>
      <c r="D3882" s="13" t="inlineStr">
        <is>
          <t>6501026610</t>
        </is>
      </c>
      <c r="E3882" s="13" t="inlineStr">
        <is>
          <t>ЮЛ РФ</t>
        </is>
      </c>
      <c r="F3882" s="13" t="n"/>
      <c r="G3882" s="14" t="n"/>
      <c r="H3882" s="14" t="n"/>
      <c r="I3882" s="14" t="n"/>
      <c r="J3882" s="14" t="n"/>
      <c r="K3882" s="53" t="inlineStr"/>
      <c r="L3882" s="53" t="inlineStr">
        <is>
          <t>Не определено</t>
        </is>
      </c>
      <c r="M3882" s="53" t="inlineStr"/>
      <c r="N3882" s="54" t="inlineStr"/>
      <c r="O3882" s="55" t="inlineStr"/>
      <c r="P3882" s="16" t="inlineStr">
        <is>
          <t>Требует обогащения</t>
        </is>
      </c>
      <c r="Q3882" s="16">
        <f>HYPERLINK("https://pb.nalog.ru/search.html?query=6501026610","ФНС: проверить")</f>
        <v/>
      </c>
      <c r="R3882" s="16">
        <f>HYPERLINK("https://checko.ru/search?query=3801001629","Чекко: проверить")</f>
        <v/>
      </c>
      <c r="S3882" t="n">
        <v>0</v>
      </c>
      <c r="T3882" s="35" t="inlineStr">
        <is>
          <t>4 — Не обогащён</t>
        </is>
      </c>
      <c r="U3882" s="35" t="inlineStr">
        <is>
          <t>Нет ОКВЭД/ССЧР</t>
        </is>
      </c>
      <c r="V3882" s="35" t="inlineStr">
        <is>
          <t>Не определено</t>
        </is>
      </c>
      <c r="W3882" s="35" t="inlineStr"/>
      <c r="X3882" s="35" t="inlineStr"/>
    </row>
    <row r="3883" ht="15" customHeight="1" s="24">
      <c r="A3883" s="13" t="n">
        <v>5000085021</v>
      </c>
      <c r="B3883" s="13" t="inlineStr">
        <is>
          <t>ОбКУ "Тымовский Центр Занятости Населения"</t>
        </is>
      </c>
      <c r="C3883" s="13" t="n">
        <v>6517006338</v>
      </c>
      <c r="D3883" s="13" t="inlineStr">
        <is>
          <t>6517006338</t>
        </is>
      </c>
      <c r="E3883" s="13" t="inlineStr">
        <is>
          <t>ЮЛ РФ</t>
        </is>
      </c>
      <c r="F3883" s="13" t="n"/>
      <c r="G3883" s="14" t="n"/>
      <c r="H3883" s="14" t="n"/>
      <c r="I3883" s="14" t="n"/>
      <c r="J3883" s="14" t="n"/>
      <c r="K3883" s="53" t="inlineStr"/>
      <c r="L3883" s="53" t="inlineStr">
        <is>
          <t>Не определено</t>
        </is>
      </c>
      <c r="M3883" s="53" t="inlineStr"/>
      <c r="N3883" s="54" t="inlineStr"/>
      <c r="O3883" s="55" t="inlineStr"/>
      <c r="P3883" s="16" t="inlineStr">
        <is>
          <t>Требует обогащения</t>
        </is>
      </c>
      <c r="Q3883" s="16">
        <f>HYPERLINK("https://pb.nalog.ru/search.html?query=6517006338","ФНС: проверить")</f>
        <v/>
      </c>
      <c r="R3883" s="16">
        <f>HYPERLINK("https://checko.ru/search?query=3801001629","Чекко: проверить")</f>
        <v/>
      </c>
      <c r="S3883" t="n">
        <v>1</v>
      </c>
      <c r="T3883" s="35" t="inlineStr">
        <is>
          <t>4 — Не обогащён</t>
        </is>
      </c>
      <c r="U3883" s="35" t="inlineStr">
        <is>
          <t>Нет ОКВЭД/ССЧР</t>
        </is>
      </c>
      <c r="V3883" s="35" t="inlineStr">
        <is>
          <t>Не определено</t>
        </is>
      </c>
      <c r="W3883" s="35" t="inlineStr"/>
      <c r="X3883" s="35" t="inlineStr"/>
    </row>
    <row r="3884" ht="41.25" customHeight="1" s="24">
      <c r="A3884" s="13" t="n">
        <v>5000108419</v>
      </c>
      <c r="B3884" s="13" t="inlineStr">
        <is>
          <t>МБСК ОУ для обучающихся, воспитанников с ограниченными возможностями здоровья Специальная (коррекцио</t>
        </is>
      </c>
      <c r="C3884" s="13" t="n">
        <v>6501101314</v>
      </c>
      <c r="D3884" s="13" t="inlineStr">
        <is>
          <t>6501101314</t>
        </is>
      </c>
      <c r="E3884" s="13" t="inlineStr">
        <is>
          <t>ЮЛ РФ</t>
        </is>
      </c>
      <c r="F3884" s="13" t="n"/>
      <c r="G3884" s="14" t="n"/>
      <c r="H3884" s="14" t="n"/>
      <c r="I3884" s="14" t="n"/>
      <c r="J3884" s="14" t="n"/>
      <c r="K3884" s="53" t="inlineStr"/>
      <c r="L3884" s="53" t="inlineStr">
        <is>
          <t>Не определено</t>
        </is>
      </c>
      <c r="M3884" s="53" t="inlineStr"/>
      <c r="N3884" s="54" t="inlineStr"/>
      <c r="O3884" s="55" t="inlineStr"/>
      <c r="P3884" s="16" t="inlineStr">
        <is>
          <t>Требует обогащения</t>
        </is>
      </c>
      <c r="Q3884" s="16">
        <f>HYPERLINK("https://pb.nalog.ru/search.html?query=6501101314","ФНС: проверить")</f>
        <v/>
      </c>
      <c r="R3884" s="16">
        <f>HYPERLINK("https://checko.ru/search?query=3801001629","Чекко: проверить")</f>
        <v/>
      </c>
      <c r="S3884" t="n">
        <v>1</v>
      </c>
      <c r="T3884" s="35" t="inlineStr">
        <is>
          <t>4 — Не обогащён</t>
        </is>
      </c>
      <c r="U3884" s="35" t="inlineStr">
        <is>
          <t>Нет ОКВЭД/ССЧР</t>
        </is>
      </c>
      <c r="V3884" s="35" t="inlineStr">
        <is>
          <t>Не определено</t>
        </is>
      </c>
      <c r="W3884" s="35" t="inlineStr"/>
      <c r="X3884" s="35" t="inlineStr"/>
    </row>
    <row r="3885" ht="27.75" customHeight="1" s="24">
      <c r="A3885" s="13" t="n">
        <v>5000036372</v>
      </c>
      <c r="B3885" s="13" t="inlineStr">
        <is>
          <t>Управление образования МО "Тымовский городской округ"</t>
        </is>
      </c>
      <c r="C3885" s="13" t="n">
        <v>6517008617</v>
      </c>
      <c r="D3885" s="13" t="inlineStr">
        <is>
          <t>6517008617</t>
        </is>
      </c>
      <c r="E3885" s="13" t="inlineStr">
        <is>
          <t>ЮЛ РФ</t>
        </is>
      </c>
      <c r="F3885" s="13" t="n"/>
      <c r="G3885" s="14" t="n"/>
      <c r="H3885" s="14" t="n"/>
      <c r="I3885" s="14" t="n"/>
      <c r="J3885" s="14" t="n"/>
      <c r="K3885" s="53" t="inlineStr"/>
      <c r="L3885" s="53" t="inlineStr">
        <is>
          <t>Не определено</t>
        </is>
      </c>
      <c r="M3885" s="53" t="inlineStr"/>
      <c r="N3885" s="54" t="inlineStr"/>
      <c r="O3885" s="55" t="inlineStr"/>
      <c r="P3885" s="16" t="inlineStr">
        <is>
          <t>Требует обогащения</t>
        </is>
      </c>
      <c r="Q3885" s="16">
        <f>HYPERLINK("https://pb.nalog.ru/search.html?query=6517008617","ФНС: проверить")</f>
        <v/>
      </c>
      <c r="R3885" s="16">
        <f>HYPERLINK("https://checko.ru/search?query=3801001629","Чекко: проверить")</f>
        <v/>
      </c>
      <c r="S3885" t="n">
        <v>1</v>
      </c>
      <c r="T3885" s="35" t="inlineStr">
        <is>
          <t>4 — Не обогащён</t>
        </is>
      </c>
      <c r="U3885" s="35" t="inlineStr">
        <is>
          <t>Нет ОКВЭД/ССЧР</t>
        </is>
      </c>
      <c r="V3885" s="35" t="inlineStr">
        <is>
          <t>Не определено</t>
        </is>
      </c>
      <c r="W3885" s="35" t="inlineStr"/>
      <c r="X3885" s="35" t="inlineStr"/>
    </row>
    <row r="3886" ht="41.25" customHeight="1" s="24">
      <c r="A3886" s="13" t="n">
        <v>5000085020</v>
      </c>
      <c r="B3886" s="13" t="inlineStr">
        <is>
          <t>ОбКУ "Центр занятости населения муниципального образования "Углегорский муниципальный район"</t>
        </is>
      </c>
      <c r="C3886" s="13" t="n">
        <v>6508006966</v>
      </c>
      <c r="D3886" s="13" t="inlineStr">
        <is>
          <t>6508006966</t>
        </is>
      </c>
      <c r="E3886" s="13" t="inlineStr">
        <is>
          <t>ЮЛ РФ</t>
        </is>
      </c>
      <c r="F3886" s="13" t="n"/>
      <c r="G3886" s="14" t="n"/>
      <c r="H3886" s="14" t="n"/>
      <c r="I3886" s="14" t="n"/>
      <c r="J3886" s="14" t="n"/>
      <c r="K3886" s="53" t="inlineStr"/>
      <c r="L3886" s="53" t="inlineStr">
        <is>
          <t>Не определено</t>
        </is>
      </c>
      <c r="M3886" s="53" t="inlineStr"/>
      <c r="N3886" s="54" t="inlineStr"/>
      <c r="O3886" s="55" t="inlineStr"/>
      <c r="P3886" s="16" t="inlineStr">
        <is>
          <t>Требует обогащения</t>
        </is>
      </c>
      <c r="Q3886" s="16">
        <f>HYPERLINK("https://pb.nalog.ru/search.html?query=6508006966","ФНС: проверить")</f>
        <v/>
      </c>
      <c r="R3886" s="16">
        <f>HYPERLINK("https://checko.ru/search?query=3801001629","Чекко: проверить")</f>
        <v/>
      </c>
      <c r="S3886" t="n">
        <v>1</v>
      </c>
      <c r="T3886" s="35" t="inlineStr">
        <is>
          <t>4 — Не обогащён</t>
        </is>
      </c>
      <c r="U3886" s="35" t="inlineStr">
        <is>
          <t>Нет ОКВЭД/ССЧР</t>
        </is>
      </c>
      <c r="V3886" s="35" t="inlineStr">
        <is>
          <t>Не определено</t>
        </is>
      </c>
      <c r="W3886" s="35" t="inlineStr"/>
      <c r="X3886" s="35" t="inlineStr"/>
    </row>
    <row r="3887" ht="15" customHeight="1" s="24">
      <c r="A3887" s="13" t="n">
        <v>5000032076</v>
      </c>
      <c r="B3887" s="13" t="inlineStr">
        <is>
          <t>ГБУ "Кировский психоневрологический интернат"</t>
        </is>
      </c>
      <c r="C3887" s="13" t="n">
        <v>6517001428</v>
      </c>
      <c r="D3887" s="13" t="inlineStr">
        <is>
          <t>6517001428</t>
        </is>
      </c>
      <c r="E3887" s="13" t="inlineStr">
        <is>
          <t>ЮЛ РФ</t>
        </is>
      </c>
      <c r="F3887" s="13" t="n"/>
      <c r="G3887" s="14" t="n"/>
      <c r="H3887" s="14" t="n"/>
      <c r="I3887" s="14" t="n"/>
      <c r="J3887" s="14" t="n"/>
      <c r="K3887" s="53" t="inlineStr"/>
      <c r="L3887" s="53" t="inlineStr">
        <is>
          <t>Не определено</t>
        </is>
      </c>
      <c r="M3887" s="53" t="inlineStr"/>
      <c r="N3887" s="54" t="inlineStr"/>
      <c r="O3887" s="55" t="inlineStr"/>
      <c r="P3887" s="16" t="inlineStr">
        <is>
          <t>Требует обогащения</t>
        </is>
      </c>
      <c r="Q3887" s="16">
        <f>HYPERLINK("https://pb.nalog.ru/search.html?query=6517001428","ФНС: проверить")</f>
        <v/>
      </c>
      <c r="R3887" s="16">
        <f>HYPERLINK("https://checko.ru/search?query=3801001629","Чекко: проверить")</f>
        <v/>
      </c>
      <c r="S3887" t="n">
        <v>1</v>
      </c>
      <c r="T3887" s="35" t="inlineStr">
        <is>
          <t>4 — Не обогащён</t>
        </is>
      </c>
      <c r="U3887" s="35" t="inlineStr">
        <is>
          <t>Нет ОКВЭД/ССЧР</t>
        </is>
      </c>
      <c r="V3887" s="35" t="inlineStr">
        <is>
          <t>Не определено</t>
        </is>
      </c>
      <c r="W3887" s="35" t="inlineStr"/>
      <c r="X3887" s="35" t="inlineStr"/>
    </row>
    <row r="3888" ht="41.25" customHeight="1" s="24">
      <c r="A3888" s="13" t="n">
        <v>5000098651</v>
      </c>
      <c r="B3888" s="13" t="inlineStr">
        <is>
          <t>Государственное бюджетное учреждение здравоохранения «Сахалинское областное патологоанатомическое бюро»</t>
        </is>
      </c>
      <c r="C3888" s="13" t="n">
        <v>6501141275</v>
      </c>
      <c r="D3888" s="13" t="inlineStr">
        <is>
          <t>6501141275</t>
        </is>
      </c>
      <c r="E3888" s="13" t="inlineStr">
        <is>
          <t>ЮЛ РФ</t>
        </is>
      </c>
      <c r="F3888" s="13" t="n"/>
      <c r="G3888" s="14" t="n"/>
      <c r="H3888" s="14" t="n"/>
      <c r="I3888" s="14" t="n"/>
      <c r="J3888" s="14" t="n"/>
      <c r="K3888" s="53" t="inlineStr"/>
      <c r="L3888" s="53" t="inlineStr">
        <is>
          <t>Не определено</t>
        </is>
      </c>
      <c r="M3888" s="53" t="inlineStr"/>
      <c r="N3888" s="54" t="inlineStr"/>
      <c r="O3888" s="55" t="inlineStr"/>
      <c r="P3888" s="16" t="inlineStr">
        <is>
          <t>Требует обогащения</t>
        </is>
      </c>
      <c r="Q3888" s="16">
        <f>HYPERLINK("https://pb.nalog.ru/search.html?query=6501141275","ФНС: проверить")</f>
        <v/>
      </c>
      <c r="R3888" s="16">
        <f>HYPERLINK("https://checko.ru/search?query=3801001629","Чекко: проверить")</f>
        <v/>
      </c>
      <c r="S3888" t="n">
        <v>1</v>
      </c>
      <c r="T3888" s="35" t="inlineStr">
        <is>
          <t>4 — Не обогащён</t>
        </is>
      </c>
      <c r="U3888" s="35" t="inlineStr">
        <is>
          <t>Нет ОКВЭД/ССЧР</t>
        </is>
      </c>
      <c r="V3888" s="35" t="inlineStr">
        <is>
          <t>Не определено</t>
        </is>
      </c>
      <c r="W3888" s="35" t="inlineStr"/>
      <c r="X3888" s="35" t="inlineStr"/>
    </row>
    <row r="3889" ht="15" customHeight="1" s="24">
      <c r="A3889" s="13" t="n">
        <v>5000109670</v>
      </c>
      <c r="B3889" s="13" t="inlineStr">
        <is>
          <t>Избирательная комиссия Сахалинской области</t>
        </is>
      </c>
      <c r="C3889" s="13" t="n">
        <v>6501088857</v>
      </c>
      <c r="D3889" s="13" t="inlineStr">
        <is>
          <t>6501088857</t>
        </is>
      </c>
      <c r="E3889" s="13" t="inlineStr">
        <is>
          <t>ЮЛ РФ</t>
        </is>
      </c>
      <c r="F3889" s="13" t="n"/>
      <c r="G3889" s="14" t="n"/>
      <c r="H3889" s="14" t="n"/>
      <c r="I3889" s="14" t="n"/>
      <c r="J3889" s="14" t="n"/>
      <c r="K3889" s="53" t="inlineStr"/>
      <c r="L3889" s="53" t="inlineStr">
        <is>
          <t>Не определено</t>
        </is>
      </c>
      <c r="M3889" s="53" t="inlineStr"/>
      <c r="N3889" s="54" t="inlineStr"/>
      <c r="O3889" s="55" t="inlineStr"/>
      <c r="P3889" s="16" t="inlineStr">
        <is>
          <t>Требует обогащения</t>
        </is>
      </c>
      <c r="Q3889" s="16">
        <f>HYPERLINK("https://pb.nalog.ru/search.html?query=6501088857","ФНС: проверить")</f>
        <v/>
      </c>
      <c r="R3889" s="16">
        <f>HYPERLINK("https://checko.ru/search?query=3801001629","Чекко: проверить")</f>
        <v/>
      </c>
      <c r="S3889" t="n">
        <v>1</v>
      </c>
      <c r="T3889" s="35" t="inlineStr">
        <is>
          <t>4 — Не обогащён</t>
        </is>
      </c>
      <c r="U3889" s="35" t="inlineStr">
        <is>
          <t>Нет ОКВЭД/ССЧР</t>
        </is>
      </c>
      <c r="V3889" s="35" t="inlineStr">
        <is>
          <t>Не определено</t>
        </is>
      </c>
      <c r="W3889" s="35" t="inlineStr"/>
      <c r="X3889" s="35" t="inlineStr"/>
    </row>
    <row r="3890" ht="15" customHeight="1" s="24">
      <c r="A3890" s="13" t="n">
        <v>5000098295</v>
      </c>
      <c r="B3890" s="13" t="inlineStr">
        <is>
          <t>Приморский индустриальный колледж</t>
        </is>
      </c>
      <c r="C3890" s="13" t="n">
        <v>2501004948</v>
      </c>
      <c r="D3890" s="13" t="inlineStr">
        <is>
          <t>2501004948</t>
        </is>
      </c>
      <c r="E3890" s="13" t="inlineStr">
        <is>
          <t>ЮЛ РФ</t>
        </is>
      </c>
      <c r="F3890" s="13" t="n"/>
      <c r="G3890" s="14" t="n"/>
      <c r="H3890" s="14" t="n"/>
      <c r="I3890" s="14" t="n"/>
      <c r="J3890" s="14" t="n"/>
      <c r="K3890" s="53" t="inlineStr"/>
      <c r="L3890" s="53" t="inlineStr">
        <is>
          <t>Не определено</t>
        </is>
      </c>
      <c r="M3890" s="53" t="inlineStr"/>
      <c r="N3890" s="54" t="inlineStr"/>
      <c r="O3890" s="55" t="inlineStr"/>
      <c r="P3890" s="16" t="inlineStr">
        <is>
          <t>Требует обогащения</t>
        </is>
      </c>
      <c r="Q3890" s="16">
        <f>HYPERLINK("https://pb.nalog.ru/search.html?query=2501004948","ФНС: проверить")</f>
        <v/>
      </c>
      <c r="R3890" s="16">
        <f>HYPERLINK("https://checko.ru/search?query=3801001629","Чекко: проверить")</f>
        <v/>
      </c>
      <c r="S3890" t="n">
        <v>1</v>
      </c>
      <c r="T3890" s="35" t="inlineStr">
        <is>
          <t>4 — Не обогащён</t>
        </is>
      </c>
      <c r="U3890" s="35" t="inlineStr">
        <is>
          <t>Нет ОКВЭД/ССЧР</t>
        </is>
      </c>
      <c r="V3890" s="35" t="inlineStr">
        <is>
          <t>Не определено</t>
        </is>
      </c>
      <c r="W3890" s="35" t="inlineStr"/>
      <c r="X3890" s="35" t="inlineStr"/>
    </row>
    <row r="3891" ht="15" customHeight="1" s="24">
      <c r="A3891" s="13" t="n">
        <v>5000108211</v>
      </c>
      <c r="B3891" s="13" t="inlineStr">
        <is>
          <t>МБУ Анивское "Благоустройство"</t>
        </is>
      </c>
      <c r="C3891" s="13" t="n">
        <v>6501238534</v>
      </c>
      <c r="D3891" s="13" t="inlineStr">
        <is>
          <t>6501238534</t>
        </is>
      </c>
      <c r="E3891" s="13" t="inlineStr">
        <is>
          <t>ЮЛ РФ</t>
        </is>
      </c>
      <c r="F3891" s="13" t="n"/>
      <c r="G3891" s="14" t="n"/>
      <c r="H3891" s="14" t="n"/>
      <c r="I3891" s="14" t="n"/>
      <c r="J3891" s="14" t="n"/>
      <c r="K3891" s="53" t="inlineStr"/>
      <c r="L3891" s="53" t="inlineStr">
        <is>
          <t>Не определено</t>
        </is>
      </c>
      <c r="M3891" s="53" t="inlineStr"/>
      <c r="N3891" s="54" t="inlineStr"/>
      <c r="O3891" s="55" t="inlineStr"/>
      <c r="P3891" s="16" t="inlineStr">
        <is>
          <t>Требует обогащения</t>
        </is>
      </c>
      <c r="Q3891" s="16">
        <f>HYPERLINK("https://pb.nalog.ru/search.html?query=6501238534","ФНС: проверить")</f>
        <v/>
      </c>
      <c r="R3891" s="16">
        <f>HYPERLINK("https://checko.ru/search?query=3801001629","Чекко: проверить")</f>
        <v/>
      </c>
      <c r="S3891" t="n">
        <v>1</v>
      </c>
      <c r="T3891" s="35" t="inlineStr">
        <is>
          <t>4 — Не обогащён</t>
        </is>
      </c>
      <c r="U3891" s="35" t="inlineStr">
        <is>
          <t>Нет ОКВЭД/ССЧР</t>
        </is>
      </c>
      <c r="V3891" s="35" t="inlineStr">
        <is>
          <t>Не определено</t>
        </is>
      </c>
      <c r="W3891" s="35" t="inlineStr"/>
      <c r="X3891" s="35" t="inlineStr"/>
    </row>
    <row r="3892" ht="27.75" customHeight="1" s="24">
      <c r="A3892" s="13" t="n">
        <v>5000098621</v>
      </c>
      <c r="B3892" s="13" t="inlineStr">
        <is>
          <t>ГБУЗ Сахалинской области "Городская поликлиника №6 города Южно-Сахалинска"</t>
        </is>
      </c>
      <c r="C3892" s="13" t="n">
        <v>6501076185</v>
      </c>
      <c r="D3892" s="13" t="inlineStr">
        <is>
          <t>6501076185</t>
        </is>
      </c>
      <c r="E3892" s="13" t="inlineStr">
        <is>
          <t>ЮЛ РФ</t>
        </is>
      </c>
      <c r="F3892" s="13" t="n"/>
      <c r="G3892" s="14" t="n"/>
      <c r="H3892" s="14" t="n"/>
      <c r="I3892" s="14" t="n"/>
      <c r="J3892" s="14" t="n"/>
      <c r="K3892" s="53" t="inlineStr"/>
      <c r="L3892" s="53" t="inlineStr">
        <is>
          <t>Не определено</t>
        </is>
      </c>
      <c r="M3892" s="53" t="inlineStr"/>
      <c r="N3892" s="54" t="inlineStr"/>
      <c r="O3892" s="55" t="inlineStr"/>
      <c r="P3892" s="16" t="inlineStr">
        <is>
          <t>Требует обогащения</t>
        </is>
      </c>
      <c r="Q3892" s="16">
        <f>HYPERLINK("https://pb.nalog.ru/search.html?query=6501076185","ФНС: проверить")</f>
        <v/>
      </c>
      <c r="R3892" s="16">
        <f>HYPERLINK("https://checko.ru/search?query=3801001629","Чекко: проверить")</f>
        <v/>
      </c>
      <c r="S3892" t="n">
        <v>1</v>
      </c>
      <c r="T3892" s="35" t="inlineStr">
        <is>
          <t>4 — Не обогащён</t>
        </is>
      </c>
      <c r="U3892" s="35" t="inlineStr">
        <is>
          <t>Нет ОКВЭД/ССЧР</t>
        </is>
      </c>
      <c r="V3892" s="35" t="inlineStr">
        <is>
          <t>Не определено</t>
        </is>
      </c>
      <c r="W3892" s="35" t="inlineStr"/>
      <c r="X3892" s="35" t="inlineStr"/>
    </row>
    <row r="3893" ht="15" customHeight="1" s="24">
      <c r="A3893" s="13" t="n">
        <v>5000098314</v>
      </c>
      <c r="B3893" s="13" t="inlineStr">
        <is>
          <t>КГБУЗ "Дальнереченская ЦГБ"</t>
        </is>
      </c>
      <c r="C3893" s="13" t="n">
        <v>2506000954</v>
      </c>
      <c r="D3893" s="13" t="inlineStr">
        <is>
          <t>2506000954</t>
        </is>
      </c>
      <c r="E3893" s="13" t="inlineStr">
        <is>
          <t>ЮЛ РФ</t>
        </is>
      </c>
      <c r="F3893" s="13" t="n"/>
      <c r="G3893" s="14" t="n"/>
      <c r="H3893" s="14" t="n"/>
      <c r="I3893" s="14" t="n"/>
      <c r="J3893" s="14" t="n"/>
      <c r="K3893" s="53" t="inlineStr"/>
      <c r="L3893" s="53" t="inlineStr">
        <is>
          <t>Не определено</t>
        </is>
      </c>
      <c r="M3893" s="53" t="inlineStr"/>
      <c r="N3893" s="54" t="inlineStr"/>
      <c r="O3893" s="55" t="inlineStr"/>
      <c r="P3893" s="16" t="inlineStr">
        <is>
          <t>Требует обогащения</t>
        </is>
      </c>
      <c r="Q3893" s="16">
        <f>HYPERLINK("https://pb.nalog.ru/search.html?query=2506000954","ФНС: проверить")</f>
        <v/>
      </c>
      <c r="R3893" s="16">
        <f>HYPERLINK("https://checko.ru/search?query=3801001629","Чекко: проверить")</f>
        <v/>
      </c>
      <c r="S3893" t="n">
        <v>1</v>
      </c>
      <c r="T3893" s="35" t="inlineStr">
        <is>
          <t>4 — Не обогащён</t>
        </is>
      </c>
      <c r="U3893" s="35" t="inlineStr">
        <is>
          <t>Нет ОКВЭД/ССЧР</t>
        </is>
      </c>
      <c r="V3893" s="35" t="inlineStr">
        <is>
          <t>Не определено</t>
        </is>
      </c>
      <c r="W3893" s="35" t="inlineStr"/>
      <c r="X3893" s="35" t="inlineStr"/>
    </row>
    <row r="3894" ht="41.25" customHeight="1" s="24">
      <c r="A3894" s="13" t="n">
        <v>5000107358</v>
      </c>
      <c r="B3894" s="13" t="inlineStr">
        <is>
          <t>Государственное бюджетное учреждение "Региональный центр оценки качества образования Сахалинской области"</t>
        </is>
      </c>
      <c r="C3894" s="13" t="n">
        <v>6501296039</v>
      </c>
      <c r="D3894" s="13" t="inlineStr">
        <is>
          <t>6501296039</t>
        </is>
      </c>
      <c r="E3894" s="13" t="inlineStr">
        <is>
          <t>ЮЛ РФ</t>
        </is>
      </c>
      <c r="F3894" s="13" t="n"/>
      <c r="G3894" s="14" t="n"/>
      <c r="H3894" s="14" t="n"/>
      <c r="I3894" s="14" t="n"/>
      <c r="J3894" s="14" t="n"/>
      <c r="K3894" s="53" t="inlineStr"/>
      <c r="L3894" s="53" t="inlineStr">
        <is>
          <t>Не определено</t>
        </is>
      </c>
      <c r="M3894" s="53" t="inlineStr"/>
      <c r="N3894" s="54" t="inlineStr"/>
      <c r="O3894" s="55" t="inlineStr"/>
      <c r="P3894" s="16" t="inlineStr">
        <is>
          <t>Требует обогащения</t>
        </is>
      </c>
      <c r="Q3894" s="16">
        <f>HYPERLINK("https://pb.nalog.ru/search.html?query=6501296039","ФНС: проверить")</f>
        <v/>
      </c>
      <c r="R3894" s="16">
        <f>HYPERLINK("https://checko.ru/search?query=3801001629","Чекко: проверить")</f>
        <v/>
      </c>
      <c r="S3894" t="n">
        <v>1</v>
      </c>
      <c r="T3894" s="35" t="inlineStr">
        <is>
          <t>4 — Не обогащён</t>
        </is>
      </c>
      <c r="U3894" s="35" t="inlineStr">
        <is>
          <t>Нет ОКВЭД/ССЧР</t>
        </is>
      </c>
      <c r="V3894" s="35" t="inlineStr">
        <is>
          <t>Не определено</t>
        </is>
      </c>
      <c r="W3894" s="35" t="inlineStr"/>
      <c r="X3894" s="35" t="inlineStr"/>
    </row>
    <row r="3895" ht="41.25" customHeight="1" s="24">
      <c r="A3895" s="13" t="n">
        <v>5000032884</v>
      </c>
      <c r="B3895" s="13" t="inlineStr">
        <is>
          <t>МАУ «Корсаковская централизованная библиотечная система » Корсаковского городского округа Сахалинской области</t>
        </is>
      </c>
      <c r="C3895" s="13" t="n">
        <v>6504044826</v>
      </c>
      <c r="D3895" s="13" t="inlineStr">
        <is>
          <t>6504044826</t>
        </is>
      </c>
      <c r="E3895" s="13" t="inlineStr">
        <is>
          <t>ЮЛ РФ</t>
        </is>
      </c>
      <c r="F3895" s="13" t="n"/>
      <c r="G3895" s="14" t="n"/>
      <c r="H3895" s="14" t="n"/>
      <c r="I3895" s="14" t="n"/>
      <c r="J3895" s="14" t="n"/>
      <c r="K3895" s="53" t="inlineStr"/>
      <c r="L3895" s="53" t="inlineStr">
        <is>
          <t>Не определено</t>
        </is>
      </c>
      <c r="M3895" s="53" t="inlineStr"/>
      <c r="N3895" s="54" t="inlineStr"/>
      <c r="O3895" s="55" t="inlineStr"/>
      <c r="P3895" s="16" t="inlineStr">
        <is>
          <t>Требует обогащения</t>
        </is>
      </c>
      <c r="Q3895" s="16">
        <f>HYPERLINK("https://pb.nalog.ru/search.html?query=6504044826","ФНС: проверить")</f>
        <v/>
      </c>
      <c r="R3895" s="16">
        <f>HYPERLINK("https://checko.ru/search?query=3801001629","Чекко: проверить")</f>
        <v/>
      </c>
      <c r="S3895" t="n">
        <v>1</v>
      </c>
      <c r="T3895" s="35" t="inlineStr">
        <is>
          <t>4 — Не обогащён</t>
        </is>
      </c>
      <c r="U3895" s="35" t="inlineStr">
        <is>
          <t>Нет ОКВЭД/ССЧР</t>
        </is>
      </c>
      <c r="V3895" s="35" t="inlineStr">
        <is>
          <t>Не определено</t>
        </is>
      </c>
      <c r="W3895" s="35" t="inlineStr"/>
      <c r="X3895" s="35" t="inlineStr"/>
    </row>
    <row r="3896" ht="41.25" customHeight="1" s="24">
      <c r="A3896" s="13" t="n">
        <v>5000032885</v>
      </c>
      <c r="B3896" s="13" t="inlineStr">
        <is>
          <t>МАДОУ «Детский сад «Тополек» села Чапаево Корсаковского городского округа Сахалинской области</t>
        </is>
      </c>
      <c r="C3896" s="13" t="n">
        <v>6504039181</v>
      </c>
      <c r="D3896" s="13" t="inlineStr">
        <is>
          <t>6504039181</t>
        </is>
      </c>
      <c r="E3896" s="13" t="inlineStr">
        <is>
          <t>ЮЛ РФ</t>
        </is>
      </c>
      <c r="F3896" s="13" t="n"/>
      <c r="G3896" s="14" t="n"/>
      <c r="H3896" s="14" t="n"/>
      <c r="I3896" s="14" t="n"/>
      <c r="J3896" s="14" t="n"/>
      <c r="K3896" s="53" t="inlineStr"/>
      <c r="L3896" s="53" t="inlineStr">
        <is>
          <t>Не определено</t>
        </is>
      </c>
      <c r="M3896" s="53" t="inlineStr"/>
      <c r="N3896" s="54" t="inlineStr"/>
      <c r="O3896" s="55" t="inlineStr"/>
      <c r="P3896" s="16" t="inlineStr">
        <is>
          <t>Требует обогащения</t>
        </is>
      </c>
      <c r="Q3896" s="16">
        <f>HYPERLINK("https://pb.nalog.ru/search.html?query=6504039181","ФНС: проверить")</f>
        <v/>
      </c>
      <c r="R3896" s="16">
        <f>HYPERLINK("https://checko.ru/search?query=3801001629","Чекко: проверить")</f>
        <v/>
      </c>
      <c r="S3896" t="n">
        <v>1</v>
      </c>
      <c r="T3896" s="35" t="inlineStr">
        <is>
          <t>4 — Не обогащён</t>
        </is>
      </c>
      <c r="U3896" s="35" t="inlineStr">
        <is>
          <t>Нет ОКВЭД/ССЧР</t>
        </is>
      </c>
      <c r="V3896" s="35" t="inlineStr">
        <is>
          <t>Не определено</t>
        </is>
      </c>
      <c r="W3896" s="35" t="inlineStr"/>
      <c r="X3896" s="35" t="inlineStr"/>
    </row>
    <row r="3897" ht="41.25" customHeight="1" s="24">
      <c r="A3897" s="13" t="n">
        <v>5000032886</v>
      </c>
      <c r="B3897" s="13" t="inlineStr">
        <is>
          <t>МАОУ «Средняя общеобразовательная школа № 6» Корсаковского городского округа Сахалинской области</t>
        </is>
      </c>
      <c r="C3897" s="13" t="n">
        <v>6504025622</v>
      </c>
      <c r="D3897" s="13" t="inlineStr">
        <is>
          <t>6504025622</t>
        </is>
      </c>
      <c r="E3897" s="13" t="inlineStr">
        <is>
          <t>ЮЛ РФ</t>
        </is>
      </c>
      <c r="F3897" s="13" t="n"/>
      <c r="G3897" s="14" t="n"/>
      <c r="H3897" s="14" t="n"/>
      <c r="I3897" s="14" t="n"/>
      <c r="J3897" s="14" t="n"/>
      <c r="K3897" s="53" t="inlineStr"/>
      <c r="L3897" s="53" t="inlineStr">
        <is>
          <t>Не определено</t>
        </is>
      </c>
      <c r="M3897" s="53" t="inlineStr"/>
      <c r="N3897" s="54" t="inlineStr"/>
      <c r="O3897" s="55" t="inlineStr"/>
      <c r="P3897" s="16" t="inlineStr">
        <is>
          <t>Требует обогащения</t>
        </is>
      </c>
      <c r="Q3897" s="16">
        <f>HYPERLINK("https://pb.nalog.ru/search.html?query=6504025622","ФНС: проверить")</f>
        <v/>
      </c>
      <c r="R3897" s="16">
        <f>HYPERLINK("https://checko.ru/search?query=3801001629","Чекко: проверить")</f>
        <v/>
      </c>
      <c r="S3897" t="n">
        <v>1</v>
      </c>
      <c r="T3897" s="35" t="inlineStr">
        <is>
          <t>4 — Не обогащён</t>
        </is>
      </c>
      <c r="U3897" s="35" t="inlineStr">
        <is>
          <t>Нет ОКВЭД/ССЧР</t>
        </is>
      </c>
      <c r="V3897" s="35" t="inlineStr">
        <is>
          <t>Не определено</t>
        </is>
      </c>
      <c r="W3897" s="35" t="inlineStr"/>
      <c r="X3897" s="35" t="inlineStr"/>
    </row>
    <row r="3898" ht="27.75" customHeight="1" s="24">
      <c r="A3898" s="13" t="n">
        <v>5000032887</v>
      </c>
      <c r="B3898" s="13" t="inlineStr">
        <is>
          <t>МАУ «Спортивно-оздоровительный комплекс «Флагман»»</t>
        </is>
      </c>
      <c r="C3898" s="13" t="n">
        <v>6504011838</v>
      </c>
      <c r="D3898" s="13" t="inlineStr">
        <is>
          <t>6504011838</t>
        </is>
      </c>
      <c r="E3898" s="13" t="inlineStr">
        <is>
          <t>ЮЛ РФ</t>
        </is>
      </c>
      <c r="F3898" s="13" t="n"/>
      <c r="G3898" s="14" t="n"/>
      <c r="H3898" s="14" t="n"/>
      <c r="I3898" s="14" t="n"/>
      <c r="J3898" s="14" t="n"/>
      <c r="K3898" s="53" t="inlineStr"/>
      <c r="L3898" s="53" t="inlineStr">
        <is>
          <t>Не определено</t>
        </is>
      </c>
      <c r="M3898" s="53" t="inlineStr"/>
      <c r="N3898" s="54" t="inlineStr"/>
      <c r="O3898" s="55" t="inlineStr"/>
      <c r="P3898" s="16" t="inlineStr">
        <is>
          <t>Требует обогащения</t>
        </is>
      </c>
      <c r="Q3898" s="16">
        <f>HYPERLINK("https://pb.nalog.ru/search.html?query=6504011838","ФНС: проверить")</f>
        <v/>
      </c>
      <c r="R3898" s="16">
        <f>HYPERLINK("https://checko.ru/search?query=3801001629","Чекко: проверить")</f>
        <v/>
      </c>
      <c r="S3898" t="n">
        <v>1</v>
      </c>
      <c r="T3898" s="35" t="inlineStr">
        <is>
          <t>4 — Не обогащён</t>
        </is>
      </c>
      <c r="U3898" s="35" t="inlineStr">
        <is>
          <t>Нет ОКВЭД/ССЧР</t>
        </is>
      </c>
      <c r="V3898" s="35" t="inlineStr">
        <is>
          <t>Не определено</t>
        </is>
      </c>
      <c r="W3898" s="35" t="inlineStr"/>
      <c r="X3898" s="35" t="inlineStr"/>
    </row>
    <row r="3899" ht="41.25" customHeight="1" s="24">
      <c r="A3899" s="13" t="n">
        <v>5000032888</v>
      </c>
      <c r="B3899" s="13" t="inlineStr">
        <is>
          <t>МАУ "ПАРК КУЛЬТУРЫ И ОТДЫХА" КОРСАКОВСКОГО ГОРОДСКОГО ОКРУГА САХАЛИНСКОЙ ОБЛАСТИ</t>
        </is>
      </c>
      <c r="C3899" s="13" t="n">
        <v>6504017075</v>
      </c>
      <c r="D3899" s="13" t="inlineStr">
        <is>
          <t>6504017075</t>
        </is>
      </c>
      <c r="E3899" s="13" t="inlineStr">
        <is>
          <t>ЮЛ РФ</t>
        </is>
      </c>
      <c r="F3899" s="13" t="n"/>
      <c r="G3899" s="14" t="n"/>
      <c r="H3899" s="14" t="n"/>
      <c r="I3899" s="14" t="n"/>
      <c r="J3899" s="14" t="n"/>
      <c r="K3899" s="53" t="inlineStr"/>
      <c r="L3899" s="53" t="inlineStr">
        <is>
          <t>Не определено</t>
        </is>
      </c>
      <c r="M3899" s="53" t="inlineStr"/>
      <c r="N3899" s="54" t="inlineStr"/>
      <c r="O3899" s="55" t="inlineStr"/>
      <c r="P3899" s="16" t="inlineStr">
        <is>
          <t>Требует обогащения</t>
        </is>
      </c>
      <c r="Q3899" s="16">
        <f>HYPERLINK("https://pb.nalog.ru/search.html?query=6504017075","ФНС: проверить")</f>
        <v/>
      </c>
      <c r="R3899" s="16">
        <f>HYPERLINK("https://checko.ru/search?query=3801001629","Чекко: проверить")</f>
        <v/>
      </c>
      <c r="S3899" t="n">
        <v>1</v>
      </c>
      <c r="T3899" s="35" t="inlineStr">
        <is>
          <t>4 — Не обогащён</t>
        </is>
      </c>
      <c r="U3899" s="35" t="inlineStr">
        <is>
          <t>Нет ОКВЭД/ССЧР</t>
        </is>
      </c>
      <c r="V3899" s="35" t="inlineStr">
        <is>
          <t>Не определено</t>
        </is>
      </c>
      <c r="W3899" s="35" t="inlineStr"/>
      <c r="X3899" s="35" t="inlineStr"/>
    </row>
    <row r="3900" ht="27.75" customHeight="1" s="24">
      <c r="A3900" s="13" t="n">
        <v>5000117597</v>
      </c>
      <c r="B3900" s="13" t="inlineStr">
        <is>
          <t>Уполномоченный по правам коренных малочисленных народов в Сахалинской области</t>
        </is>
      </c>
      <c r="C3900" s="13" t="n">
        <v>6500012421</v>
      </c>
      <c r="D3900" s="13" t="inlineStr">
        <is>
          <t>6500012421</t>
        </is>
      </c>
      <c r="E3900" s="13" t="inlineStr">
        <is>
          <t>ЮЛ РФ</t>
        </is>
      </c>
      <c r="F3900" s="13" t="n"/>
      <c r="G3900" s="14" t="n"/>
      <c r="H3900" s="14" t="n"/>
      <c r="I3900" s="14" t="n"/>
      <c r="J3900" s="14" t="n"/>
      <c r="K3900" s="53" t="inlineStr"/>
      <c r="L3900" s="53" t="inlineStr">
        <is>
          <t>Не определено</t>
        </is>
      </c>
      <c r="M3900" s="53" t="inlineStr"/>
      <c r="N3900" s="54" t="inlineStr"/>
      <c r="O3900" s="55" t="inlineStr"/>
      <c r="P3900" s="16" t="inlineStr">
        <is>
          <t>Требует обогащения</t>
        </is>
      </c>
      <c r="Q3900" s="16">
        <f>HYPERLINK("https://pb.nalog.ru/search.html?query=6500012421","ФНС: проверить")</f>
        <v/>
      </c>
      <c r="R3900" s="16">
        <f>HYPERLINK("https://checko.ru/search?query=3801001629","Чекко: проверить")</f>
        <v/>
      </c>
      <c r="S3900" t="n">
        <v>1</v>
      </c>
      <c r="T3900" s="35" t="inlineStr">
        <is>
          <t>4 — Не обогащён</t>
        </is>
      </c>
      <c r="U3900" s="35" t="inlineStr">
        <is>
          <t>Нет ОКВЭД/ССЧР</t>
        </is>
      </c>
      <c r="V3900" s="35" t="inlineStr">
        <is>
          <t>Не определено</t>
        </is>
      </c>
      <c r="W3900" s="35" t="inlineStr"/>
      <c r="X3900" s="35" t="inlineStr"/>
    </row>
    <row r="3901" ht="27.75" customHeight="1" s="24">
      <c r="A3901" s="13" t="n">
        <v>5000098217</v>
      </c>
      <c r="B3901" s="13" t="inlineStr">
        <is>
          <t>КГБУЗ "Станция скорой медицинской помощи г. Владивостока"</t>
        </is>
      </c>
      <c r="C3901" s="13" t="n">
        <v>2538011740</v>
      </c>
      <c r="D3901" s="13" t="inlineStr">
        <is>
          <t>2538011740</t>
        </is>
      </c>
      <c r="E3901" s="13" t="inlineStr">
        <is>
          <t>ЮЛ РФ</t>
        </is>
      </c>
      <c r="F3901" s="13" t="n"/>
      <c r="G3901" s="14" t="n"/>
      <c r="H3901" s="14" t="n"/>
      <c r="I3901" s="14" t="n"/>
      <c r="J3901" s="14" t="n"/>
      <c r="K3901" s="53" t="inlineStr"/>
      <c r="L3901" s="53" t="inlineStr">
        <is>
          <t>Не определено</t>
        </is>
      </c>
      <c r="M3901" s="53" t="inlineStr"/>
      <c r="N3901" s="54" t="inlineStr"/>
      <c r="O3901" s="55" t="inlineStr"/>
      <c r="P3901" s="16" t="inlineStr">
        <is>
          <t>Требует обогащения</t>
        </is>
      </c>
      <c r="Q3901" s="16">
        <f>HYPERLINK("https://pb.nalog.ru/search.html?query=2538011740","ФНС: проверить")</f>
        <v/>
      </c>
      <c r="R3901" s="16">
        <f>HYPERLINK("https://checko.ru/search?query=3801001629","Чекко: проверить")</f>
        <v/>
      </c>
      <c r="S3901" t="n">
        <v>1</v>
      </c>
      <c r="T3901" s="35" t="inlineStr">
        <is>
          <t>4 — Не обогащён</t>
        </is>
      </c>
      <c r="U3901" s="35" t="inlineStr">
        <is>
          <t>Нет ОКВЭД/ССЧР</t>
        </is>
      </c>
      <c r="V3901" s="35" t="inlineStr">
        <is>
          <t>Не определено</t>
        </is>
      </c>
      <c r="W3901" s="35" t="inlineStr"/>
      <c r="X3901" s="35" t="inlineStr"/>
    </row>
    <row r="3902" ht="15" customHeight="1" s="24">
      <c r="A3902" s="13" t="n">
        <v>5000098281</v>
      </c>
      <c r="B3902" s="13" t="inlineStr">
        <is>
          <t>КГБУЗ "ВКБ № 1"</t>
        </is>
      </c>
      <c r="C3902" s="13" t="n">
        <v>2504001670</v>
      </c>
      <c r="D3902" s="13" t="inlineStr">
        <is>
          <t>2504001670</t>
        </is>
      </c>
      <c r="E3902" s="13" t="inlineStr">
        <is>
          <t>ЮЛ РФ</t>
        </is>
      </c>
      <c r="F3902" s="13" t="n"/>
      <c r="G3902" s="14" t="n"/>
      <c r="H3902" s="14" t="n"/>
      <c r="I3902" s="14" t="n"/>
      <c r="J3902" s="14" t="n"/>
      <c r="K3902" s="53" t="inlineStr"/>
      <c r="L3902" s="53" t="inlineStr">
        <is>
          <t>Не определено</t>
        </is>
      </c>
      <c r="M3902" s="53" t="inlineStr"/>
      <c r="N3902" s="54" t="inlineStr"/>
      <c r="O3902" s="55" t="inlineStr"/>
      <c r="P3902" s="16" t="inlineStr">
        <is>
          <t>Требует обогащения</t>
        </is>
      </c>
      <c r="Q3902" s="16">
        <f>HYPERLINK("https://pb.nalog.ru/search.html?query=2504001670","ФНС: проверить")</f>
        <v/>
      </c>
      <c r="R3902" s="16">
        <f>HYPERLINK("https://checko.ru/search?query=3801001629","Чекко: проверить")</f>
        <v/>
      </c>
      <c r="S3902" t="n">
        <v>1</v>
      </c>
      <c r="T3902" s="35" t="inlineStr">
        <is>
          <t>4 — Не обогащён</t>
        </is>
      </c>
      <c r="U3902" s="35" t="inlineStr">
        <is>
          <t>Нет ОКВЭД/ССЧР</t>
        </is>
      </c>
      <c r="V3902" s="35" t="inlineStr">
        <is>
          <t>Не определено</t>
        </is>
      </c>
      <c r="W3902" s="35" t="inlineStr"/>
      <c r="X3902" s="35" t="inlineStr"/>
    </row>
    <row r="3903" ht="15" customHeight="1" s="24">
      <c r="A3903" s="13" t="n">
        <v>5000098196</v>
      </c>
      <c r="B3903" s="13" t="inlineStr">
        <is>
          <t>КГБУЗ "Пожарская ЦРБ"</t>
        </is>
      </c>
      <c r="C3903" s="13" t="n">
        <v>2526003992</v>
      </c>
      <c r="D3903" s="13" t="inlineStr">
        <is>
          <t>2526003992</t>
        </is>
      </c>
      <c r="E3903" s="13" t="inlineStr">
        <is>
          <t>ЮЛ РФ</t>
        </is>
      </c>
      <c r="F3903" s="13" t="n"/>
      <c r="G3903" s="14" t="n"/>
      <c r="H3903" s="14" t="n"/>
      <c r="I3903" s="14" t="n"/>
      <c r="J3903" s="14" t="n"/>
      <c r="K3903" s="53" t="inlineStr"/>
      <c r="L3903" s="53" t="inlineStr">
        <is>
          <t>Не определено</t>
        </is>
      </c>
      <c r="M3903" s="53" t="inlineStr"/>
      <c r="N3903" s="54" t="inlineStr"/>
      <c r="O3903" s="55" t="inlineStr"/>
      <c r="P3903" s="16" t="inlineStr">
        <is>
          <t>Требует обогащения</t>
        </is>
      </c>
      <c r="Q3903" s="16">
        <f>HYPERLINK("https://pb.nalog.ru/search.html?query=2526003992","ФНС: проверить")</f>
        <v/>
      </c>
      <c r="R3903" s="16">
        <f>HYPERLINK("https://checko.ru/search?query=3801001629","Чекко: проверить")</f>
        <v/>
      </c>
      <c r="S3903" t="n">
        <v>1</v>
      </c>
      <c r="T3903" s="35" t="inlineStr">
        <is>
          <t>4 — Не обогащён</t>
        </is>
      </c>
      <c r="U3903" s="35" t="inlineStr">
        <is>
          <t>Нет ОКВЭД/ССЧР</t>
        </is>
      </c>
      <c r="V3903" s="35" t="inlineStr">
        <is>
          <t>Не определено</t>
        </is>
      </c>
      <c r="W3903" s="35" t="inlineStr"/>
      <c r="X3903" s="35" t="inlineStr"/>
    </row>
    <row r="3904" ht="15" customHeight="1" s="24">
      <c r="A3904" s="13" t="n">
        <v>5000012968</v>
      </c>
      <c r="B3904" s="13" t="inlineStr">
        <is>
          <t>Агентство по рыболовству Сахалинской области</t>
        </is>
      </c>
      <c r="C3904" s="13" t="n">
        <v>6501231666</v>
      </c>
      <c r="D3904" s="13" t="inlineStr">
        <is>
          <t>6501231666</t>
        </is>
      </c>
      <c r="E3904" s="13" t="inlineStr">
        <is>
          <t>ЮЛ РФ</t>
        </is>
      </c>
      <c r="F3904" s="13" t="n"/>
      <c r="G3904" s="14" t="n"/>
      <c r="H3904" s="14" t="n"/>
      <c r="I3904" s="14" t="n"/>
      <c r="J3904" s="14" t="n"/>
      <c r="K3904" s="53" t="inlineStr"/>
      <c r="L3904" s="53" t="inlineStr">
        <is>
          <t>Не определено</t>
        </is>
      </c>
      <c r="M3904" s="53" t="inlineStr"/>
      <c r="N3904" s="54" t="inlineStr"/>
      <c r="O3904" s="55" t="inlineStr"/>
      <c r="P3904" s="16" t="inlineStr">
        <is>
          <t>Требует обогащения</t>
        </is>
      </c>
      <c r="Q3904" s="16">
        <f>HYPERLINK("https://pb.nalog.ru/search.html?query=6501231666","ФНС: проверить")</f>
        <v/>
      </c>
      <c r="R3904" s="16">
        <f>HYPERLINK("https://checko.ru/search?query=3801001629","Чекко: проверить")</f>
        <v/>
      </c>
      <c r="S3904" t="n">
        <v>1</v>
      </c>
      <c r="T3904" s="35" t="inlineStr">
        <is>
          <t>4 — Не обогащён</t>
        </is>
      </c>
      <c r="U3904" s="35" t="inlineStr">
        <is>
          <t>Нет ОКВЭД/ССЧР</t>
        </is>
      </c>
      <c r="V3904" s="35" t="inlineStr">
        <is>
          <t>Не определено</t>
        </is>
      </c>
      <c r="W3904" s="35" t="inlineStr"/>
      <c r="X3904" s="35" t="inlineStr"/>
    </row>
    <row r="3905" ht="27.75" customHeight="1" s="24">
      <c r="A3905" s="13" t="n">
        <v>5000009330</v>
      </c>
      <c r="B3905" s="13" t="inlineStr">
        <is>
          <t>МБУ ДО «Детская школа искусств пгт. Южно-Курильск»</t>
        </is>
      </c>
      <c r="C3905" s="13" t="n">
        <v>6518003964</v>
      </c>
      <c r="D3905" s="13" t="inlineStr">
        <is>
          <t>6518003964</t>
        </is>
      </c>
      <c r="E3905" s="13" t="inlineStr">
        <is>
          <t>ЮЛ РФ</t>
        </is>
      </c>
      <c r="F3905" s="13" t="n"/>
      <c r="G3905" s="14" t="n"/>
      <c r="H3905" s="14" t="n"/>
      <c r="I3905" s="14" t="n"/>
      <c r="J3905" s="14" t="n"/>
      <c r="K3905" s="53" t="inlineStr"/>
      <c r="L3905" s="53" t="inlineStr">
        <is>
          <t>Не определено</t>
        </is>
      </c>
      <c r="M3905" s="53" t="inlineStr"/>
      <c r="N3905" s="54" t="inlineStr"/>
      <c r="O3905" s="55" t="inlineStr"/>
      <c r="P3905" s="16" t="inlineStr">
        <is>
          <t>Требует обогащения</t>
        </is>
      </c>
      <c r="Q3905" s="16">
        <f>HYPERLINK("https://pb.nalog.ru/search.html?query=6518003964","ФНС: проверить")</f>
        <v/>
      </c>
      <c r="R3905" s="16">
        <f>HYPERLINK("https://checko.ru/search?query=3801001629","Чекко: проверить")</f>
        <v/>
      </c>
      <c r="S3905" t="n">
        <v>1</v>
      </c>
      <c r="T3905" s="35" t="inlineStr">
        <is>
          <t>4 — Не обогащён</t>
        </is>
      </c>
      <c r="U3905" s="35" t="inlineStr">
        <is>
          <t>Нет ОКВЭД/ССЧР</t>
        </is>
      </c>
      <c r="V3905" s="35" t="inlineStr">
        <is>
          <t>Не определено</t>
        </is>
      </c>
      <c r="W3905" s="35" t="inlineStr"/>
      <c r="X3905" s="35" t="inlineStr"/>
    </row>
    <row r="3906" ht="27.75" customHeight="1" s="24">
      <c r="A3906" s="13" t="n">
        <v>5000009331</v>
      </c>
      <c r="B3906" s="13" t="inlineStr">
        <is>
          <t>МБУК «Южно-Курильская централизованная библиотечная система»</t>
        </is>
      </c>
      <c r="C3906" s="13" t="n">
        <v>6518007951</v>
      </c>
      <c r="D3906" s="13" t="inlineStr">
        <is>
          <t>6518007951</t>
        </is>
      </c>
      <c r="E3906" s="13" t="inlineStr">
        <is>
          <t>ЮЛ РФ</t>
        </is>
      </c>
      <c r="F3906" s="13" t="n"/>
      <c r="G3906" s="14" t="n"/>
      <c r="H3906" s="14" t="n"/>
      <c r="I3906" s="14" t="n"/>
      <c r="J3906" s="14" t="n"/>
      <c r="K3906" s="53" t="inlineStr"/>
      <c r="L3906" s="53" t="inlineStr">
        <is>
          <t>Не определено</t>
        </is>
      </c>
      <c r="M3906" s="53" t="inlineStr"/>
      <c r="N3906" s="54" t="inlineStr"/>
      <c r="O3906" s="55" t="inlineStr"/>
      <c r="P3906" s="16" t="inlineStr">
        <is>
          <t>Требует обогащения</t>
        </is>
      </c>
      <c r="Q3906" s="16">
        <f>HYPERLINK("https://pb.nalog.ru/search.html?query=6518007951","ФНС: проверить")</f>
        <v/>
      </c>
      <c r="R3906" s="16">
        <f>HYPERLINK("https://checko.ru/search?query=3801001629","Чекко: проверить")</f>
        <v/>
      </c>
      <c r="S3906" t="n">
        <v>1</v>
      </c>
      <c r="T3906" s="35" t="inlineStr">
        <is>
          <t>4 — Не обогащён</t>
        </is>
      </c>
      <c r="U3906" s="35" t="inlineStr">
        <is>
          <t>Нет ОКВЭД/ССЧР</t>
        </is>
      </c>
      <c r="V3906" s="35" t="inlineStr">
        <is>
          <t>Не определено</t>
        </is>
      </c>
      <c r="W3906" s="35" t="inlineStr"/>
      <c r="X3906" s="35" t="inlineStr"/>
    </row>
    <row r="3907" ht="27.75" customHeight="1" s="24">
      <c r="A3907" s="13" t="n">
        <v>5000009332</v>
      </c>
      <c r="B3907" s="13" t="inlineStr">
        <is>
          <t>МБУК «Южно-Курильский районный Дом культуры»</t>
        </is>
      </c>
      <c r="C3907" s="13" t="n">
        <v>6518007983</v>
      </c>
      <c r="D3907" s="13" t="inlineStr">
        <is>
          <t>6518007983</t>
        </is>
      </c>
      <c r="E3907" s="13" t="inlineStr">
        <is>
          <t>ЮЛ РФ</t>
        </is>
      </c>
      <c r="F3907" s="13" t="n"/>
      <c r="G3907" s="14" t="n"/>
      <c r="H3907" s="14" t="n"/>
      <c r="I3907" s="14" t="n"/>
      <c r="J3907" s="14" t="n"/>
      <c r="K3907" s="53" t="inlineStr"/>
      <c r="L3907" s="53" t="inlineStr">
        <is>
          <t>Не определено</t>
        </is>
      </c>
      <c r="M3907" s="53" t="inlineStr"/>
      <c r="N3907" s="54" t="inlineStr"/>
      <c r="O3907" s="55" t="inlineStr"/>
      <c r="P3907" s="16" t="inlineStr">
        <is>
          <t>Требует обогащения</t>
        </is>
      </c>
      <c r="Q3907" s="16">
        <f>HYPERLINK("https://pb.nalog.ru/search.html?query=6518007983","ФНС: проверить")</f>
        <v/>
      </c>
      <c r="R3907" s="16">
        <f>HYPERLINK("https://checko.ru/search?query=3801001629","Чекко: проверить")</f>
        <v/>
      </c>
      <c r="S3907" t="n">
        <v>1</v>
      </c>
      <c r="T3907" s="35" t="inlineStr">
        <is>
          <t>4 — Не обогащён</t>
        </is>
      </c>
      <c r="U3907" s="35" t="inlineStr">
        <is>
          <t>Нет ОКВЭД/ССЧР</t>
        </is>
      </c>
      <c r="V3907" s="35" t="inlineStr">
        <is>
          <t>Не определено</t>
        </is>
      </c>
      <c r="W3907" s="35" t="inlineStr"/>
      <c r="X3907" s="35" t="inlineStr"/>
    </row>
    <row r="3908" ht="15" customHeight="1" s="24">
      <c r="A3908" s="13" t="n">
        <v>5000119679</v>
      </c>
      <c r="B3908" s="13" t="inlineStr">
        <is>
          <t>МБУК "Северо-Курильская городская библиотека"</t>
        </is>
      </c>
      <c r="C3908" s="13" t="n">
        <v>6515001704</v>
      </c>
      <c r="D3908" s="13" t="inlineStr">
        <is>
          <t>6515001704</t>
        </is>
      </c>
      <c r="E3908" s="13" t="inlineStr">
        <is>
          <t>ЮЛ РФ</t>
        </is>
      </c>
      <c r="F3908" s="13" t="n"/>
      <c r="G3908" s="14" t="n"/>
      <c r="H3908" s="14" t="n"/>
      <c r="I3908" s="14" t="n"/>
      <c r="J3908" s="14" t="n"/>
      <c r="K3908" s="53" t="inlineStr"/>
      <c r="L3908" s="53" t="inlineStr">
        <is>
          <t>Не определено</t>
        </is>
      </c>
      <c r="M3908" s="53" t="inlineStr"/>
      <c r="N3908" s="54" t="inlineStr"/>
      <c r="O3908" s="55" t="inlineStr"/>
      <c r="P3908" s="16" t="inlineStr">
        <is>
          <t>Требует обогащения</t>
        </is>
      </c>
      <c r="Q3908" s="16">
        <f>HYPERLINK("https://pb.nalog.ru/search.html?query=6515001704","ФНС: проверить")</f>
        <v/>
      </c>
      <c r="R3908" s="16">
        <f>HYPERLINK("https://checko.ru/search?query=3801001629","Чекко: проверить")</f>
        <v/>
      </c>
      <c r="S3908" t="n">
        <v>1</v>
      </c>
      <c r="T3908" s="35" t="inlineStr">
        <is>
          <t>4 — Не обогащён</t>
        </is>
      </c>
      <c r="U3908" s="35" t="inlineStr">
        <is>
          <t>Нет ОКВЭД/ССЧР</t>
        </is>
      </c>
      <c r="V3908" s="35" t="inlineStr">
        <is>
          <t>Не определено</t>
        </is>
      </c>
      <c r="W3908" s="35" t="inlineStr"/>
      <c r="X3908" s="35" t="inlineStr"/>
    </row>
    <row r="3909" ht="41.25" customHeight="1" s="24">
      <c r="A3909" s="13" t="n">
        <v>5000089253</v>
      </c>
      <c r="B3909" s="13" t="inlineStr">
        <is>
          <t>КГКУ "Центр содействия семейному устройству детей сирот, оставшихся без попечения родителей, пгт Славянка"</t>
        </is>
      </c>
      <c r="C3909" s="13" t="n">
        <v>2531007671</v>
      </c>
      <c r="D3909" s="13" t="inlineStr">
        <is>
          <t>2531007671</t>
        </is>
      </c>
      <c r="E3909" s="13" t="inlineStr">
        <is>
          <t>ЮЛ РФ</t>
        </is>
      </c>
      <c r="F3909" s="13" t="n"/>
      <c r="G3909" s="14" t="n"/>
      <c r="H3909" s="14" t="n"/>
      <c r="I3909" s="14" t="n"/>
      <c r="J3909" s="14" t="n"/>
      <c r="K3909" s="53" t="inlineStr"/>
      <c r="L3909" s="53" t="inlineStr">
        <is>
          <t>Не определено</t>
        </is>
      </c>
      <c r="M3909" s="53" t="inlineStr"/>
      <c r="N3909" s="54" t="inlineStr"/>
      <c r="O3909" s="55" t="inlineStr"/>
      <c r="P3909" s="16" t="inlineStr">
        <is>
          <t>Требует обогащения</t>
        </is>
      </c>
      <c r="Q3909" s="16">
        <f>HYPERLINK("https://pb.nalog.ru/search.html?query=2531007671","ФНС: проверить")</f>
        <v/>
      </c>
      <c r="R3909" s="16">
        <f>HYPERLINK("https://checko.ru/search?query=3801001629","Чекко: проверить")</f>
        <v/>
      </c>
      <c r="S3909" t="n">
        <v>1</v>
      </c>
      <c r="T3909" s="35" t="inlineStr">
        <is>
          <t>4 — Не обогащён</t>
        </is>
      </c>
      <c r="U3909" s="35" t="inlineStr">
        <is>
          <t>Нет ОКВЭД/ССЧР</t>
        </is>
      </c>
      <c r="V3909" s="35" t="inlineStr">
        <is>
          <t>Не определено</t>
        </is>
      </c>
      <c r="W3909" s="35" t="inlineStr"/>
      <c r="X3909" s="35" t="inlineStr"/>
    </row>
    <row r="3910" ht="15" customHeight="1" s="24">
      <c r="A3910" s="13" t="n">
        <v>5000098341</v>
      </c>
      <c r="B3910" s="13" t="inlineStr">
        <is>
          <t>ФГОУ СПО Уссурийский аграрный техникум</t>
        </is>
      </c>
      <c r="C3910" s="13" t="n">
        <v>2529005490</v>
      </c>
      <c r="D3910" s="13" t="inlineStr">
        <is>
          <t>2529005490</t>
        </is>
      </c>
      <c r="E3910" s="13" t="inlineStr">
        <is>
          <t>ЮЛ РФ</t>
        </is>
      </c>
      <c r="F3910" s="13" t="n"/>
      <c r="G3910" s="14" t="n"/>
      <c r="H3910" s="14" t="n"/>
      <c r="I3910" s="14" t="n"/>
      <c r="J3910" s="14" t="n"/>
      <c r="K3910" s="53" t="inlineStr"/>
      <c r="L3910" s="53" t="inlineStr">
        <is>
          <t>Не определено</t>
        </is>
      </c>
      <c r="M3910" s="53" t="inlineStr"/>
      <c r="N3910" s="54" t="inlineStr"/>
      <c r="O3910" s="55" t="inlineStr"/>
      <c r="P3910" s="16" t="inlineStr">
        <is>
          <t>Требует обогащения</t>
        </is>
      </c>
      <c r="Q3910" s="16">
        <f>HYPERLINK("https://pb.nalog.ru/search.html?query=2529005490","ФНС: проверить")</f>
        <v/>
      </c>
      <c r="R3910" s="16">
        <f>HYPERLINK("https://checko.ru/search?query=3801001629","Чекко: проверить")</f>
        <v/>
      </c>
      <c r="S3910" t="n">
        <v>1</v>
      </c>
      <c r="T3910" s="35" t="inlineStr">
        <is>
          <t>4 — Не обогащён</t>
        </is>
      </c>
      <c r="U3910" s="35" t="inlineStr">
        <is>
          <t>Нет ОКВЭД/ССЧР</t>
        </is>
      </c>
      <c r="V3910" s="35" t="inlineStr">
        <is>
          <t>Не определено</t>
        </is>
      </c>
      <c r="W3910" s="35" t="inlineStr"/>
      <c r="X3910" s="35" t="inlineStr"/>
    </row>
    <row r="3911" ht="41.25" customHeight="1" s="24">
      <c r="A3911" s="13" t="n">
        <v>5000122886</v>
      </c>
      <c r="B3911" s="13" t="inlineStr">
        <is>
          <t>Финансово-казначейское управление Администрации города Королёва Московской области</t>
        </is>
      </c>
      <c r="C3911" s="13" t="n">
        <v>5018063498</v>
      </c>
      <c r="D3911" s="13" t="inlineStr">
        <is>
          <t>5018063498</t>
        </is>
      </c>
      <c r="E3911" s="13" t="inlineStr">
        <is>
          <t>ЮЛ РФ</t>
        </is>
      </c>
      <c r="F3911" s="13" t="n"/>
      <c r="G3911" s="14" t="n"/>
      <c r="H3911" s="14" t="n"/>
      <c r="I3911" s="14" t="n"/>
      <c r="J3911" s="14" t="n"/>
      <c r="K3911" s="53" t="inlineStr"/>
      <c r="L3911" s="53" t="inlineStr">
        <is>
          <t>Не определено</t>
        </is>
      </c>
      <c r="M3911" s="53" t="inlineStr"/>
      <c r="N3911" s="54" t="inlineStr"/>
      <c r="O3911" s="55" t="inlineStr"/>
      <c r="P3911" s="16" t="inlineStr">
        <is>
          <t>Требует обогащения</t>
        </is>
      </c>
      <c r="Q3911" s="16">
        <f>HYPERLINK("https://pb.nalog.ru/search.html?query=5018063498","ФНС: проверить")</f>
        <v/>
      </c>
      <c r="R3911" s="16">
        <f>HYPERLINK("https://checko.ru/search?query=3801001629","Чекко: проверить")</f>
        <v/>
      </c>
      <c r="S3911" t="n">
        <v>1</v>
      </c>
      <c r="T3911" s="35" t="inlineStr">
        <is>
          <t>4 — Не обогащён</t>
        </is>
      </c>
      <c r="U3911" s="35" t="inlineStr">
        <is>
          <t>Нет ОКВЭД/ССЧР</t>
        </is>
      </c>
      <c r="V3911" s="35" t="inlineStr">
        <is>
          <t>Не определено</t>
        </is>
      </c>
      <c r="W3911" s="35" t="inlineStr"/>
      <c r="X3911" s="35" t="inlineStr"/>
    </row>
    <row r="3912" ht="27.75" customHeight="1" s="24">
      <c r="A3912" s="13" t="n">
        <v>5000119677</v>
      </c>
      <c r="B3912" s="13" t="inlineStr">
        <is>
          <t>МБУ "Дом культуры Северо-Курильского городского округа"</t>
        </is>
      </c>
      <c r="C3912" s="13" t="n">
        <v>6515000771</v>
      </c>
      <c r="D3912" s="13" t="inlineStr">
        <is>
          <t>6515000771</t>
        </is>
      </c>
      <c r="E3912" s="13" t="inlineStr">
        <is>
          <t>ЮЛ РФ</t>
        </is>
      </c>
      <c r="F3912" s="13" t="n"/>
      <c r="G3912" s="14" t="n"/>
      <c r="H3912" s="14" t="n"/>
      <c r="I3912" s="14" t="n"/>
      <c r="J3912" s="14" t="n"/>
      <c r="K3912" s="53" t="inlineStr"/>
      <c r="L3912" s="53" t="inlineStr">
        <is>
          <t>Не определено</t>
        </is>
      </c>
      <c r="M3912" s="53" t="inlineStr"/>
      <c r="N3912" s="54" t="inlineStr"/>
      <c r="O3912" s="55" t="inlineStr"/>
      <c r="P3912" s="16" t="inlineStr">
        <is>
          <t>Требует обогащения</t>
        </is>
      </c>
      <c r="Q3912" s="16">
        <f>HYPERLINK("https://pb.nalog.ru/search.html?query=6515000771","ФНС: проверить")</f>
        <v/>
      </c>
      <c r="R3912" s="16">
        <f>HYPERLINK("https://checko.ru/search?query=3801001629","Чекко: проверить")</f>
        <v/>
      </c>
      <c r="S3912" t="n">
        <v>1</v>
      </c>
      <c r="T3912" s="35" t="inlineStr">
        <is>
          <t>4 — Не обогащён</t>
        </is>
      </c>
      <c r="U3912" s="35" t="inlineStr">
        <is>
          <t>Нет ОКВЭД/ССЧР</t>
        </is>
      </c>
      <c r="V3912" s="35" t="inlineStr">
        <is>
          <t>Не определено</t>
        </is>
      </c>
      <c r="W3912" s="35" t="inlineStr"/>
      <c r="X3912" s="35" t="inlineStr"/>
    </row>
    <row r="3913" ht="27.75" customHeight="1" s="24">
      <c r="A3913" s="13" t="n">
        <v>5000112431</v>
      </c>
      <c r="B3913" s="13" t="inlineStr">
        <is>
          <t>МБОУ средняя общеобразовательная школа № 2 г.Томари Сахалинской области</t>
        </is>
      </c>
      <c r="C3913" s="13" t="n">
        <v>6516002517</v>
      </c>
      <c r="D3913" s="13" t="inlineStr">
        <is>
          <t>6516002517</t>
        </is>
      </c>
      <c r="E3913" s="13" t="inlineStr">
        <is>
          <t>ЮЛ РФ</t>
        </is>
      </c>
      <c r="F3913" s="13" t="n"/>
      <c r="G3913" s="14" t="n"/>
      <c r="H3913" s="14" t="n"/>
      <c r="I3913" s="14" t="n"/>
      <c r="J3913" s="14" t="n"/>
      <c r="K3913" s="53" t="inlineStr"/>
      <c r="L3913" s="53" t="inlineStr">
        <is>
          <t>Не определено</t>
        </is>
      </c>
      <c r="M3913" s="53" t="inlineStr"/>
      <c r="N3913" s="54" t="inlineStr"/>
      <c r="O3913" s="55" t="inlineStr"/>
      <c r="P3913" s="16" t="inlineStr">
        <is>
          <t>Требует обогащения</t>
        </is>
      </c>
      <c r="Q3913" s="16">
        <f>HYPERLINK("https://pb.nalog.ru/search.html?query=6516002517","ФНС: проверить")</f>
        <v/>
      </c>
      <c r="R3913" s="16">
        <f>HYPERLINK("https://checko.ru/search?query=3801001629","Чекко: проверить")</f>
        <v/>
      </c>
      <c r="S3913" t="n">
        <v>1</v>
      </c>
      <c r="T3913" s="35" t="inlineStr">
        <is>
          <t>4 — Не обогащён</t>
        </is>
      </c>
      <c r="U3913" s="35" t="inlineStr">
        <is>
          <t>Нет ОКВЭД/ССЧР</t>
        </is>
      </c>
      <c r="V3913" s="35" t="inlineStr">
        <is>
          <t>Не определено</t>
        </is>
      </c>
      <c r="W3913" s="35" t="inlineStr"/>
      <c r="X3913" s="35" t="inlineStr"/>
    </row>
    <row r="3914" ht="27.75" customHeight="1" s="24">
      <c r="A3914" s="13" t="n">
        <v>5000013007</v>
      </c>
      <c r="B3914" s="13" t="inlineStr">
        <is>
          <t>МБОУ ДО Детско-юношеская спортивная школа г. Бирюсинска</t>
        </is>
      </c>
      <c r="C3914" s="13" t="n">
        <v>3815007860</v>
      </c>
      <c r="D3914" s="13" t="inlineStr">
        <is>
          <t>3815007860</t>
        </is>
      </c>
      <c r="E3914" s="13" t="inlineStr">
        <is>
          <t>ЮЛ РФ</t>
        </is>
      </c>
      <c r="F3914" s="13" t="n"/>
      <c r="G3914" s="14" t="n"/>
      <c r="H3914" s="14" t="n"/>
      <c r="I3914" s="14" t="n"/>
      <c r="J3914" s="14" t="n"/>
      <c r="K3914" s="53" t="inlineStr"/>
      <c r="L3914" s="53" t="inlineStr">
        <is>
          <t>Не определено</t>
        </is>
      </c>
      <c r="M3914" s="53" t="inlineStr"/>
      <c r="N3914" s="54" t="inlineStr"/>
      <c r="O3914" s="55" t="inlineStr"/>
      <c r="P3914" s="16" t="inlineStr">
        <is>
          <t>Требует обогащения</t>
        </is>
      </c>
      <c r="Q3914" s="16">
        <f>HYPERLINK("https://pb.nalog.ru/search.html?query=3815007860","ФНС: проверить")</f>
        <v/>
      </c>
      <c r="R3914" s="16">
        <f>HYPERLINK("https://checko.ru/search?query=3801001629","Чекко: проверить")</f>
        <v/>
      </c>
      <c r="S3914" t="n">
        <v>1</v>
      </c>
      <c r="T3914" s="35" t="inlineStr">
        <is>
          <t>4 — Не обогащён</t>
        </is>
      </c>
      <c r="U3914" s="35" t="inlineStr">
        <is>
          <t>Нет ОКВЭД/ССЧР</t>
        </is>
      </c>
      <c r="V3914" s="35" t="inlineStr">
        <is>
          <t>Не определено</t>
        </is>
      </c>
      <c r="W3914" s="35" t="inlineStr"/>
      <c r="X3914" s="35" t="inlineStr"/>
    </row>
    <row r="3915" ht="27.75" customHeight="1" s="24">
      <c r="A3915" s="13" t="n">
        <v>5000013009</v>
      </c>
      <c r="B3915" s="13" t="inlineStr">
        <is>
          <t>МКУ ДО «Тайшетская детская художественная школа»</t>
        </is>
      </c>
      <c r="C3915" s="13" t="n">
        <v>3815009949</v>
      </c>
      <c r="D3915" s="13" t="inlineStr">
        <is>
          <t>3815009949</t>
        </is>
      </c>
      <c r="E3915" s="13" t="inlineStr">
        <is>
          <t>ЮЛ РФ</t>
        </is>
      </c>
      <c r="F3915" s="13" t="n"/>
      <c r="G3915" s="14" t="n"/>
      <c r="H3915" s="14" t="n"/>
      <c r="I3915" s="14" t="n"/>
      <c r="J3915" s="14" t="n"/>
      <c r="K3915" s="53" t="inlineStr"/>
      <c r="L3915" s="53" t="inlineStr">
        <is>
          <t>Не определено</t>
        </is>
      </c>
      <c r="M3915" s="53" t="inlineStr"/>
      <c r="N3915" s="54" t="inlineStr"/>
      <c r="O3915" s="55" t="inlineStr"/>
      <c r="P3915" s="16" t="inlineStr">
        <is>
          <t>Требует обогащения</t>
        </is>
      </c>
      <c r="Q3915" s="16">
        <f>HYPERLINK("https://pb.nalog.ru/search.html?query=3815009949","ФНС: проверить")</f>
        <v/>
      </c>
      <c r="R3915" s="16">
        <f>HYPERLINK("https://checko.ru/search?query=3801001629","Чекко: проверить")</f>
        <v/>
      </c>
      <c r="S3915" t="n">
        <v>1</v>
      </c>
      <c r="T3915" s="35" t="inlineStr">
        <is>
          <t>4 — Не обогащён</t>
        </is>
      </c>
      <c r="U3915" s="35" t="inlineStr">
        <is>
          <t>Нет ОКВЭД/ССЧР</t>
        </is>
      </c>
      <c r="V3915" s="35" t="inlineStr">
        <is>
          <t>Не определено</t>
        </is>
      </c>
      <c r="W3915" s="35" t="inlineStr"/>
      <c r="X3915" s="35" t="inlineStr"/>
    </row>
    <row r="3916" ht="15" customHeight="1" s="24">
      <c r="A3916" s="13" t="n">
        <v>5000013010</v>
      </c>
      <c r="B3916" s="13" t="inlineStr">
        <is>
          <t>МКУ ДО «Детская школа искусств» г. Бирюсинска</t>
        </is>
      </c>
      <c r="C3916" s="13" t="n">
        <v>3815016061</v>
      </c>
      <c r="D3916" s="13" t="inlineStr">
        <is>
          <t>3815016061</t>
        </is>
      </c>
      <c r="E3916" s="13" t="inlineStr">
        <is>
          <t>ЮЛ РФ</t>
        </is>
      </c>
      <c r="F3916" s="13" t="n"/>
      <c r="G3916" s="14" t="n"/>
      <c r="H3916" s="14" t="n"/>
      <c r="I3916" s="14" t="n"/>
      <c r="J3916" s="14" t="n"/>
      <c r="K3916" s="53" t="inlineStr"/>
      <c r="L3916" s="53" t="inlineStr">
        <is>
          <t>Не определено</t>
        </is>
      </c>
      <c r="M3916" s="53" t="inlineStr"/>
      <c r="N3916" s="54" t="inlineStr"/>
      <c r="O3916" s="55" t="inlineStr"/>
      <c r="P3916" s="16" t="inlineStr">
        <is>
          <t>Требует обогащения</t>
        </is>
      </c>
      <c r="Q3916" s="16">
        <f>HYPERLINK("https://pb.nalog.ru/search.html?query=3815016061","ФНС: проверить")</f>
        <v/>
      </c>
      <c r="R3916" s="16">
        <f>HYPERLINK("https://checko.ru/search?query=3801001629","Чекко: проверить")</f>
        <v/>
      </c>
      <c r="S3916" t="n">
        <v>1</v>
      </c>
      <c r="T3916" s="35" t="inlineStr">
        <is>
          <t>4 — Не обогащён</t>
        </is>
      </c>
      <c r="U3916" s="35" t="inlineStr">
        <is>
          <t>Нет ОКВЭД/ССЧР</t>
        </is>
      </c>
      <c r="V3916" s="35" t="inlineStr">
        <is>
          <t>Не определено</t>
        </is>
      </c>
      <c r="W3916" s="35" t="inlineStr"/>
      <c r="X3916" s="35" t="inlineStr"/>
    </row>
    <row r="3917" ht="27.75" customHeight="1" s="24">
      <c r="A3917" s="13" t="n">
        <v>5000013012</v>
      </c>
      <c r="B3917" s="13" t="inlineStr">
        <is>
          <t>МКУ ДО «Детская музыкальная школа № 2» г. Тайшет</t>
        </is>
      </c>
      <c r="C3917" s="13" t="n">
        <v>3815010020</v>
      </c>
      <c r="D3917" s="13" t="inlineStr">
        <is>
          <t>3815010020</t>
        </is>
      </c>
      <c r="E3917" s="13" t="inlineStr">
        <is>
          <t>ЮЛ РФ</t>
        </is>
      </c>
      <c r="F3917" s="13" t="n"/>
      <c r="G3917" s="14" t="n"/>
      <c r="H3917" s="14" t="n"/>
      <c r="I3917" s="14" t="n"/>
      <c r="J3917" s="14" t="n"/>
      <c r="K3917" s="53" t="inlineStr"/>
      <c r="L3917" s="53" t="inlineStr">
        <is>
          <t>Не определено</t>
        </is>
      </c>
      <c r="M3917" s="53" t="inlineStr"/>
      <c r="N3917" s="54" t="inlineStr"/>
      <c r="O3917" s="55" t="inlineStr"/>
      <c r="P3917" s="16" t="inlineStr">
        <is>
          <t>Требует обогащения</t>
        </is>
      </c>
      <c r="Q3917" s="16">
        <f>HYPERLINK("https://pb.nalog.ru/search.html?query=3815010020","ФНС: проверить")</f>
        <v/>
      </c>
      <c r="R3917" s="16">
        <f>HYPERLINK("https://checko.ru/search?query=3801001629","Чекко: проверить")</f>
        <v/>
      </c>
      <c r="S3917" t="n">
        <v>1</v>
      </c>
      <c r="T3917" s="35" t="inlineStr">
        <is>
          <t>4 — Не обогащён</t>
        </is>
      </c>
      <c r="U3917" s="35" t="inlineStr">
        <is>
          <t>Нет ОКВЭД/ССЧР</t>
        </is>
      </c>
      <c r="V3917" s="35" t="inlineStr">
        <is>
          <t>Не определено</t>
        </is>
      </c>
      <c r="W3917" s="35" t="inlineStr"/>
      <c r="X3917" s="35" t="inlineStr"/>
    </row>
    <row r="3918" ht="27.75" customHeight="1" s="24">
      <c r="A3918" s="13" t="n">
        <v>5000013013</v>
      </c>
      <c r="B3918" s="13" t="inlineStr">
        <is>
          <t>МБУК «Межпоселенческий районный дом культуры «Юбилейный»</t>
        </is>
      </c>
      <c r="C3918" s="13" t="n">
        <v>3815013230</v>
      </c>
      <c r="D3918" s="13" t="inlineStr">
        <is>
          <t>3815013230</t>
        </is>
      </c>
      <c r="E3918" s="13" t="inlineStr">
        <is>
          <t>ЮЛ РФ</t>
        </is>
      </c>
      <c r="F3918" s="13" t="n"/>
      <c r="G3918" s="14" t="n"/>
      <c r="H3918" s="14" t="n"/>
      <c r="I3918" s="14" t="n"/>
      <c r="J3918" s="14" t="n"/>
      <c r="K3918" s="53" t="inlineStr"/>
      <c r="L3918" s="53" t="inlineStr">
        <is>
          <t>Не определено</t>
        </is>
      </c>
      <c r="M3918" s="53" t="inlineStr"/>
      <c r="N3918" s="54" t="inlineStr"/>
      <c r="O3918" s="55" t="inlineStr"/>
      <c r="P3918" s="16" t="inlineStr">
        <is>
          <t>Требует обогащения</t>
        </is>
      </c>
      <c r="Q3918" s="16">
        <f>HYPERLINK("https://pb.nalog.ru/search.html?query=3815013230","ФНС: проверить")</f>
        <v/>
      </c>
      <c r="R3918" s="16">
        <f>HYPERLINK("https://checko.ru/search?query=3801001629","Чекко: проверить")</f>
        <v/>
      </c>
      <c r="S3918" t="n">
        <v>1</v>
      </c>
      <c r="T3918" s="35" t="inlineStr">
        <is>
          <t>4 — Не обогащён</t>
        </is>
      </c>
      <c r="U3918" s="35" t="inlineStr">
        <is>
          <t>Нет ОКВЭД/ССЧР</t>
        </is>
      </c>
      <c r="V3918" s="35" t="inlineStr">
        <is>
          <t>Не определено</t>
        </is>
      </c>
      <c r="W3918" s="35" t="inlineStr"/>
      <c r="X3918" s="35" t="inlineStr"/>
    </row>
    <row r="3919" ht="15" customHeight="1" s="24">
      <c r="A3919" s="13" t="n">
        <v>5000013015</v>
      </c>
      <c r="B3919" s="13" t="inlineStr">
        <is>
          <t>МКУК "Краеведческий музей" г. Бирюсинска</t>
        </is>
      </c>
      <c r="C3919" s="13" t="n">
        <v>3815007010</v>
      </c>
      <c r="D3919" s="13" t="inlineStr">
        <is>
          <t>3815007010</t>
        </is>
      </c>
      <c r="E3919" s="13" t="inlineStr">
        <is>
          <t>ЮЛ РФ</t>
        </is>
      </c>
      <c r="F3919" s="13" t="n"/>
      <c r="G3919" s="14" t="n"/>
      <c r="H3919" s="14" t="n"/>
      <c r="I3919" s="14" t="n"/>
      <c r="J3919" s="14" t="n"/>
      <c r="K3919" s="53" t="inlineStr"/>
      <c r="L3919" s="53" t="inlineStr">
        <is>
          <t>Не определено</t>
        </is>
      </c>
      <c r="M3919" s="53" t="inlineStr"/>
      <c r="N3919" s="54" t="inlineStr"/>
      <c r="O3919" s="55" t="inlineStr"/>
      <c r="P3919" s="16" t="inlineStr">
        <is>
          <t>Требует обогащения</t>
        </is>
      </c>
      <c r="Q3919" s="16">
        <f>HYPERLINK("https://pb.nalog.ru/search.html?query=3815007010","ФНС: проверить")</f>
        <v/>
      </c>
      <c r="R3919" s="16">
        <f>HYPERLINK("https://checko.ru/search?query=3801001629","Чекко: проверить")</f>
        <v/>
      </c>
      <c r="S3919" t="n">
        <v>1</v>
      </c>
      <c r="T3919" s="35" t="inlineStr">
        <is>
          <t>4 — Не обогащён</t>
        </is>
      </c>
      <c r="U3919" s="35" t="inlineStr">
        <is>
          <t>Нет ОКВЭД/ССЧР</t>
        </is>
      </c>
      <c r="V3919" s="35" t="inlineStr">
        <is>
          <t>Не определено</t>
        </is>
      </c>
      <c r="W3919" s="35" t="inlineStr"/>
      <c r="X3919" s="35" t="inlineStr"/>
    </row>
    <row r="3920" ht="15" customHeight="1" s="24">
      <c r="A3920" s="13" t="n">
        <v>5000013016</v>
      </c>
      <c r="B3920" s="13" t="inlineStr">
        <is>
          <t>МКУК «Районный краеведческий музей»</t>
        </is>
      </c>
      <c r="C3920" s="13" t="n">
        <v>3815015798</v>
      </c>
      <c r="D3920" s="13" t="inlineStr">
        <is>
          <t>3815015798</t>
        </is>
      </c>
      <c r="E3920" s="13" t="inlineStr">
        <is>
          <t>ЮЛ РФ</t>
        </is>
      </c>
      <c r="F3920" s="13" t="n"/>
      <c r="G3920" s="14" t="n"/>
      <c r="H3920" s="14" t="n"/>
      <c r="I3920" s="14" t="n"/>
      <c r="J3920" s="14" t="n"/>
      <c r="K3920" s="53" t="inlineStr"/>
      <c r="L3920" s="53" t="inlineStr">
        <is>
          <t>Не определено</t>
        </is>
      </c>
      <c r="M3920" s="53" t="inlineStr"/>
      <c r="N3920" s="54" t="inlineStr"/>
      <c r="O3920" s="55" t="inlineStr"/>
      <c r="P3920" s="16" t="inlineStr">
        <is>
          <t>Требует обогащения</t>
        </is>
      </c>
      <c r="Q3920" s="16">
        <f>HYPERLINK("https://pb.nalog.ru/search.html?query=3815015798","ФНС: проверить")</f>
        <v/>
      </c>
      <c r="R3920" s="16">
        <f>HYPERLINK("https://checko.ru/search?query=3801001629","Чекко: проверить")</f>
        <v/>
      </c>
      <c r="S3920" t="n">
        <v>1</v>
      </c>
      <c r="T3920" s="35" t="inlineStr">
        <is>
          <t>4 — Не обогащён</t>
        </is>
      </c>
      <c r="U3920" s="35" t="inlineStr">
        <is>
          <t>Нет ОКВЭД/ССЧР</t>
        </is>
      </c>
      <c r="V3920" s="35" t="inlineStr">
        <is>
          <t>Не определено</t>
        </is>
      </c>
      <c r="W3920" s="35" t="inlineStr"/>
      <c r="X3920" s="35" t="inlineStr"/>
    </row>
    <row r="3921" ht="41.25" customHeight="1" s="24">
      <c r="A3921" s="13" t="n">
        <v>5000101077</v>
      </c>
      <c r="B3921" s="13" t="inlineStr">
        <is>
          <t>Муниципальное бюджетное Дошкольное Образовательное учреждение "Детский Сад "Ургы"</t>
        </is>
      </c>
      <c r="C3921" s="13" t="n">
        <v>3836002327</v>
      </c>
      <c r="D3921" s="13" t="inlineStr">
        <is>
          <t>3836002327</t>
        </is>
      </c>
      <c r="E3921" s="13" t="inlineStr">
        <is>
          <t>ЮЛ РФ</t>
        </is>
      </c>
      <c r="F3921" s="13" t="n"/>
      <c r="G3921" s="14" t="n"/>
      <c r="H3921" s="14" t="n"/>
      <c r="I3921" s="14" t="n"/>
      <c r="J3921" s="14" t="n"/>
      <c r="K3921" s="53" t="inlineStr"/>
      <c r="L3921" s="53" t="inlineStr">
        <is>
          <t>Не определено</t>
        </is>
      </c>
      <c r="M3921" s="53" t="inlineStr"/>
      <c r="N3921" s="54" t="inlineStr"/>
      <c r="O3921" s="55" t="inlineStr"/>
      <c r="P3921" s="16" t="inlineStr">
        <is>
          <t>Требует обогащения</t>
        </is>
      </c>
      <c r="Q3921" s="16">
        <f>HYPERLINK("https://pb.nalog.ru/search.html?query=3836002327","ФНС: проверить")</f>
        <v/>
      </c>
      <c r="R3921" s="16">
        <f>HYPERLINK("https://checko.ru/search?query=3801001629","Чекко: проверить")</f>
        <v/>
      </c>
      <c r="S3921" t="n">
        <v>1</v>
      </c>
      <c r="T3921" s="35" t="inlineStr">
        <is>
          <t>4 — Не обогащён</t>
        </is>
      </c>
      <c r="U3921" s="35" t="inlineStr">
        <is>
          <t>Нет ОКВЭД/ССЧР</t>
        </is>
      </c>
      <c r="V3921" s="35" t="inlineStr">
        <is>
          <t>Не определено</t>
        </is>
      </c>
      <c r="W3921" s="35" t="inlineStr"/>
      <c r="X3921" s="35" t="inlineStr"/>
    </row>
    <row r="3922" ht="15" customHeight="1" s="24">
      <c r="A3922" s="13" t="n">
        <v>5000117097</v>
      </c>
      <c r="B3922" s="13" t="inlineStr">
        <is>
          <t>Администрация МО «Холмский городской округ»</t>
        </is>
      </c>
      <c r="C3922" s="13" t="n">
        <v>6509011013</v>
      </c>
      <c r="D3922" s="13" t="inlineStr">
        <is>
          <t>6509011013</t>
        </is>
      </c>
      <c r="E3922" s="13" t="inlineStr">
        <is>
          <t>ЮЛ РФ</t>
        </is>
      </c>
      <c r="F3922" s="13" t="n"/>
      <c r="G3922" s="14" t="n"/>
      <c r="H3922" s="14" t="n"/>
      <c r="I3922" s="14" t="n"/>
      <c r="J3922" s="14" t="n"/>
      <c r="K3922" s="53" t="inlineStr"/>
      <c r="L3922" s="53" t="inlineStr">
        <is>
          <t>Не определено</t>
        </is>
      </c>
      <c r="M3922" s="53" t="inlineStr"/>
      <c r="N3922" s="54" t="inlineStr"/>
      <c r="O3922" s="55" t="inlineStr"/>
      <c r="P3922" s="16" t="inlineStr">
        <is>
          <t>Требует обогащения</t>
        </is>
      </c>
      <c r="Q3922" s="16">
        <f>HYPERLINK("https://pb.nalog.ru/search.html?query=6509011013","ФНС: проверить")</f>
        <v/>
      </c>
      <c r="R3922" s="16">
        <f>HYPERLINK("https://checko.ru/search?query=3801001629","Чекко: проверить")</f>
        <v/>
      </c>
      <c r="S3922" t="n">
        <v>1</v>
      </c>
      <c r="T3922" s="35" t="inlineStr">
        <is>
          <t>4 — Не обогащён</t>
        </is>
      </c>
      <c r="U3922" s="35" t="inlineStr">
        <is>
          <t>Нет ОКВЭД/ССЧР</t>
        </is>
      </c>
      <c r="V3922" s="35" t="inlineStr">
        <is>
          <t>Не определено</t>
        </is>
      </c>
      <c r="W3922" s="35" t="inlineStr"/>
      <c r="X3922" s="35" t="inlineStr"/>
    </row>
    <row r="3923" ht="15" customHeight="1" s="24">
      <c r="A3923" s="13" t="n">
        <v>5000117097</v>
      </c>
      <c r="B3923" s="13" t="inlineStr">
        <is>
          <t>Администрация МО «Холмский городской округ»</t>
        </is>
      </c>
      <c r="C3923" s="13" t="n">
        <v>6509011013</v>
      </c>
      <c r="D3923" s="13" t="inlineStr">
        <is>
          <t>6509011013</t>
        </is>
      </c>
      <c r="E3923" s="13" t="inlineStr">
        <is>
          <t>ЮЛ РФ</t>
        </is>
      </c>
      <c r="F3923" s="13" t="n"/>
      <c r="G3923" s="14" t="n"/>
      <c r="H3923" s="14" t="n"/>
      <c r="I3923" s="14" t="n"/>
      <c r="J3923" s="14" t="n"/>
      <c r="K3923" s="53" t="inlineStr"/>
      <c r="L3923" s="53" t="inlineStr">
        <is>
          <t>Не определено</t>
        </is>
      </c>
      <c r="M3923" s="53" t="inlineStr"/>
      <c r="N3923" s="54" t="inlineStr"/>
      <c r="O3923" s="55" t="inlineStr"/>
      <c r="P3923" s="16" t="inlineStr">
        <is>
          <t>Требует обогащения</t>
        </is>
      </c>
      <c r="Q3923" s="16">
        <f>HYPERLINK("https://pb.nalog.ru/search.html?query=6509011013","ФНС: проверить")</f>
        <v/>
      </c>
      <c r="R3923" s="16">
        <f>HYPERLINK("https://checko.ru/search?query=3801001629","Чекко: проверить")</f>
        <v/>
      </c>
      <c r="S3923" t="n">
        <v>0</v>
      </c>
      <c r="T3923" s="35" t="inlineStr">
        <is>
          <t>4 — Не обогащён</t>
        </is>
      </c>
      <c r="U3923" s="35" t="inlineStr">
        <is>
          <t>Нет ОКВЭД/ССЧР</t>
        </is>
      </c>
      <c r="V3923" s="35" t="inlineStr">
        <is>
          <t>Не определено</t>
        </is>
      </c>
      <c r="W3923" s="35" t="inlineStr"/>
      <c r="X3923" s="35" t="inlineStr"/>
    </row>
    <row r="3924" ht="27.75" customHeight="1" s="24">
      <c r="A3924" s="13" t="n">
        <v>5000100125</v>
      </c>
      <c r="B3924" s="13" t="inlineStr">
        <is>
          <t>Областное автономное учреждение "Центральное лесное хозяйство"</t>
        </is>
      </c>
      <c r="C3924" s="13" t="n">
        <v>6514007005</v>
      </c>
      <c r="D3924" s="13" t="inlineStr">
        <is>
          <t>6514007005</t>
        </is>
      </c>
      <c r="E3924" s="13" t="inlineStr">
        <is>
          <t>ЮЛ РФ</t>
        </is>
      </c>
      <c r="F3924" s="13" t="n"/>
      <c r="G3924" s="14" t="n"/>
      <c r="H3924" s="14" t="n"/>
      <c r="I3924" s="14" t="n"/>
      <c r="J3924" s="14" t="n"/>
      <c r="K3924" s="53" t="inlineStr"/>
      <c r="L3924" s="53" t="inlineStr">
        <is>
          <t>Не определено</t>
        </is>
      </c>
      <c r="M3924" s="53" t="inlineStr"/>
      <c r="N3924" s="54" t="inlineStr"/>
      <c r="O3924" s="55" t="inlineStr"/>
      <c r="P3924" s="16" t="inlineStr">
        <is>
          <t>Требует обогащения</t>
        </is>
      </c>
      <c r="Q3924" s="16">
        <f>HYPERLINK("https://pb.nalog.ru/search.html?query=6514007005","ФНС: проверить")</f>
        <v/>
      </c>
      <c r="R3924" s="16">
        <f>HYPERLINK("https://checko.ru/search?query=3801001629","Чекко: проверить")</f>
        <v/>
      </c>
      <c r="S3924" t="n">
        <v>1</v>
      </c>
      <c r="T3924" s="35" t="inlineStr">
        <is>
          <t>4 — Не обогащён</t>
        </is>
      </c>
      <c r="U3924" s="35" t="inlineStr">
        <is>
          <t>Нет ОКВЭД/ССЧР</t>
        </is>
      </c>
      <c r="V3924" s="35" t="inlineStr">
        <is>
          <t>Не определено</t>
        </is>
      </c>
      <c r="W3924" s="35" t="inlineStr"/>
      <c r="X3924" s="35" t="inlineStr"/>
    </row>
    <row r="3925" ht="27.75" customHeight="1" s="24">
      <c r="A3925" s="13" t="n">
        <v>5000098636</v>
      </c>
      <c r="B3925" s="13" t="inlineStr">
        <is>
          <t>МБУЗ Углегорская центральная районная больница</t>
        </is>
      </c>
      <c r="C3925" s="13" t="n">
        <v>6508004077</v>
      </c>
      <c r="D3925" s="13" t="inlineStr">
        <is>
          <t>6508004077</t>
        </is>
      </c>
      <c r="E3925" s="13" t="inlineStr">
        <is>
          <t>ЮЛ РФ</t>
        </is>
      </c>
      <c r="F3925" s="13" t="n"/>
      <c r="G3925" s="14" t="n"/>
      <c r="H3925" s="14" t="n"/>
      <c r="I3925" s="14" t="n"/>
      <c r="J3925" s="14" t="n"/>
      <c r="K3925" s="53" t="inlineStr"/>
      <c r="L3925" s="53" t="inlineStr">
        <is>
          <t>Не определено</t>
        </is>
      </c>
      <c r="M3925" s="53" t="inlineStr"/>
      <c r="N3925" s="54" t="inlineStr"/>
      <c r="O3925" s="55" t="inlineStr"/>
      <c r="P3925" s="16" t="inlineStr">
        <is>
          <t>Требует обогащения</t>
        </is>
      </c>
      <c r="Q3925" s="16">
        <f>HYPERLINK("https://pb.nalog.ru/search.html?query=6508004077","ФНС: проверить")</f>
        <v/>
      </c>
      <c r="R3925" s="16">
        <f>HYPERLINK("https://checko.ru/search?query=3801001629","Чекко: проверить")</f>
        <v/>
      </c>
      <c r="S3925" t="n">
        <v>1</v>
      </c>
      <c r="T3925" s="35" t="inlineStr">
        <is>
          <t>4 — Не обогащён</t>
        </is>
      </c>
      <c r="U3925" s="35" t="inlineStr">
        <is>
          <t>Нет ОКВЭД/ССЧР</t>
        </is>
      </c>
      <c r="V3925" s="35" t="inlineStr">
        <is>
          <t>Не определено</t>
        </is>
      </c>
      <c r="W3925" s="35" t="inlineStr"/>
      <c r="X3925" s="35" t="inlineStr"/>
    </row>
    <row r="3926" ht="27.75" customHeight="1" s="24">
      <c r="A3926" s="13" t="n">
        <v>5000012965</v>
      </c>
      <c r="B3926" s="13" t="inlineStr">
        <is>
          <t>Министерство экономического развития Сахалинской области</t>
        </is>
      </c>
      <c r="C3926" s="13" t="n">
        <v>6501025409</v>
      </c>
      <c r="D3926" s="13" t="inlineStr">
        <is>
          <t>6501025409</t>
        </is>
      </c>
      <c r="E3926" s="13" t="inlineStr">
        <is>
          <t>ЮЛ РФ</t>
        </is>
      </c>
      <c r="F3926" s="13" t="n"/>
      <c r="G3926" s="14" t="n"/>
      <c r="H3926" s="14" t="n"/>
      <c r="I3926" s="14" t="n"/>
      <c r="J3926" s="14" t="n"/>
      <c r="K3926" s="53" t="inlineStr"/>
      <c r="L3926" s="53" t="inlineStr">
        <is>
          <t>Не определено</t>
        </is>
      </c>
      <c r="M3926" s="53" t="inlineStr"/>
      <c r="N3926" s="54" t="inlineStr"/>
      <c r="O3926" s="55" t="inlineStr"/>
      <c r="P3926" s="16" t="inlineStr">
        <is>
          <t>Требует обогащения</t>
        </is>
      </c>
      <c r="Q3926" s="16">
        <f>HYPERLINK("https://pb.nalog.ru/search.html?query=6501025409","ФНС: проверить")</f>
        <v/>
      </c>
      <c r="R3926" s="16">
        <f>HYPERLINK("https://checko.ru/search?query=3801001629","Чекко: проверить")</f>
        <v/>
      </c>
      <c r="S3926" t="n">
        <v>1</v>
      </c>
      <c r="T3926" s="35" t="inlineStr">
        <is>
          <t>4 — Не обогащён</t>
        </is>
      </c>
      <c r="U3926" s="35" t="inlineStr">
        <is>
          <t>Нет ОКВЭД/ССЧР</t>
        </is>
      </c>
      <c r="V3926" s="35" t="inlineStr">
        <is>
          <t>Не определено</t>
        </is>
      </c>
      <c r="W3926" s="35" t="inlineStr"/>
      <c r="X3926" s="35" t="inlineStr"/>
    </row>
    <row r="3927" ht="27.75" customHeight="1" s="24">
      <c r="A3927" s="13" t="n">
        <v>5000012965</v>
      </c>
      <c r="B3927" s="13" t="inlineStr">
        <is>
          <t>Министерство экономического развития Сахалинской области</t>
        </is>
      </c>
      <c r="C3927" s="13" t="n">
        <v>6501025409</v>
      </c>
      <c r="D3927" s="13" t="inlineStr">
        <is>
          <t>6501025409</t>
        </is>
      </c>
      <c r="E3927" s="13" t="inlineStr">
        <is>
          <t>ЮЛ РФ</t>
        </is>
      </c>
      <c r="F3927" s="13" t="n"/>
      <c r="G3927" s="14" t="n"/>
      <c r="H3927" s="14" t="n"/>
      <c r="I3927" s="14" t="n"/>
      <c r="J3927" s="14" t="n"/>
      <c r="K3927" s="53" t="inlineStr"/>
      <c r="L3927" s="53" t="inlineStr">
        <is>
          <t>Не определено</t>
        </is>
      </c>
      <c r="M3927" s="53" t="inlineStr"/>
      <c r="N3927" s="54" t="inlineStr"/>
      <c r="O3927" s="55" t="inlineStr"/>
      <c r="P3927" s="16" t="inlineStr">
        <is>
          <t>Требует обогащения</t>
        </is>
      </c>
      <c r="Q3927" s="16">
        <f>HYPERLINK("https://pb.nalog.ru/search.html?query=6501025409","ФНС: проверить")</f>
        <v/>
      </c>
      <c r="R3927" s="16">
        <f>HYPERLINK("https://checko.ru/search?query=3801001629","Чекко: проверить")</f>
        <v/>
      </c>
      <c r="S3927" t="n">
        <v>0</v>
      </c>
      <c r="T3927" s="35" t="inlineStr">
        <is>
          <t>4 — Не обогащён</t>
        </is>
      </c>
      <c r="U3927" s="35" t="inlineStr">
        <is>
          <t>Нет ОКВЭД/ССЧР</t>
        </is>
      </c>
      <c r="V3927" s="35" t="inlineStr">
        <is>
          <t>Не определено</t>
        </is>
      </c>
      <c r="W3927" s="35" t="inlineStr"/>
      <c r="X3927" s="35" t="inlineStr"/>
    </row>
    <row r="3928" ht="27.75" customHeight="1" s="24">
      <c r="A3928" s="13" t="n">
        <v>5000098227</v>
      </c>
      <c r="B3928" s="13" t="inlineStr">
        <is>
          <t>ГАУ «Приморский краевой центр народной культуры»</t>
        </is>
      </c>
      <c r="C3928" s="13" t="n">
        <v>2536020250</v>
      </c>
      <c r="D3928" s="13" t="inlineStr">
        <is>
          <t>2536020250</t>
        </is>
      </c>
      <c r="E3928" s="13" t="inlineStr">
        <is>
          <t>ЮЛ РФ</t>
        </is>
      </c>
      <c r="F3928" s="13" t="n"/>
      <c r="G3928" s="14" t="n"/>
      <c r="H3928" s="14" t="n"/>
      <c r="I3928" s="14" t="n"/>
      <c r="J3928" s="14" t="n"/>
      <c r="K3928" s="53" t="inlineStr"/>
      <c r="L3928" s="53" t="inlineStr">
        <is>
          <t>Не определено</t>
        </is>
      </c>
      <c r="M3928" s="53" t="inlineStr"/>
      <c r="N3928" s="54" t="inlineStr"/>
      <c r="O3928" s="55" t="inlineStr"/>
      <c r="P3928" s="16" t="inlineStr">
        <is>
          <t>Требует обогащения</t>
        </is>
      </c>
      <c r="Q3928" s="16">
        <f>HYPERLINK("https://pb.nalog.ru/search.html?query=2536020250","ФНС: проверить")</f>
        <v/>
      </c>
      <c r="R3928" s="16">
        <f>HYPERLINK("https://checko.ru/search?query=3801001629","Чекко: проверить")</f>
        <v/>
      </c>
      <c r="S3928" t="n">
        <v>1</v>
      </c>
      <c r="T3928" s="35" t="inlineStr">
        <is>
          <t>4 — Не обогащён</t>
        </is>
      </c>
      <c r="U3928" s="35" t="inlineStr">
        <is>
          <t>Нет ОКВЭД/ССЧР</t>
        </is>
      </c>
      <c r="V3928" s="35" t="inlineStr">
        <is>
          <t>Не определено</t>
        </is>
      </c>
      <c r="W3928" s="35" t="inlineStr"/>
      <c r="X3928" s="35" t="inlineStr"/>
    </row>
    <row r="3929" ht="27.75" customHeight="1" s="24">
      <c r="A3929" s="13" t="n">
        <v>5000012958</v>
      </c>
      <c r="B3929" s="13" t="inlineStr">
        <is>
          <t>Агентство архитектуры и градостроительства Сахалинской области</t>
        </is>
      </c>
      <c r="C3929" s="13" t="n">
        <v>6501281730</v>
      </c>
      <c r="D3929" s="13" t="inlineStr">
        <is>
          <t>6501281730</t>
        </is>
      </c>
      <c r="E3929" s="13" t="inlineStr">
        <is>
          <t>ЮЛ РФ</t>
        </is>
      </c>
      <c r="F3929" s="13" t="n"/>
      <c r="G3929" s="14" t="n"/>
      <c r="H3929" s="14" t="n"/>
      <c r="I3929" s="14" t="n"/>
      <c r="J3929" s="14" t="n"/>
      <c r="K3929" s="53" t="inlineStr"/>
      <c r="L3929" s="53" t="inlineStr">
        <is>
          <t>Не определено</t>
        </is>
      </c>
      <c r="M3929" s="53" t="inlineStr"/>
      <c r="N3929" s="54" t="inlineStr"/>
      <c r="O3929" s="55" t="inlineStr"/>
      <c r="P3929" s="16" t="inlineStr">
        <is>
          <t>Требует обогащения</t>
        </is>
      </c>
      <c r="Q3929" s="16">
        <f>HYPERLINK("https://pb.nalog.ru/search.html?query=6501281730","ФНС: проверить")</f>
        <v/>
      </c>
      <c r="R3929" s="16">
        <f>HYPERLINK("https://checko.ru/search?query=3801001629","Чекко: проверить")</f>
        <v/>
      </c>
      <c r="S3929" t="n">
        <v>1</v>
      </c>
      <c r="T3929" s="35" t="inlineStr">
        <is>
          <t>4 — Не обогащён</t>
        </is>
      </c>
      <c r="U3929" s="35" t="inlineStr">
        <is>
          <t>Нет ОКВЭД/ССЧР</t>
        </is>
      </c>
      <c r="V3929" s="35" t="inlineStr">
        <is>
          <t>Не определено</t>
        </is>
      </c>
      <c r="W3929" s="35" t="inlineStr"/>
      <c r="X3929" s="35" t="inlineStr"/>
    </row>
    <row r="3930" ht="27.75" customHeight="1" s="24">
      <c r="A3930" s="13" t="n">
        <v>5000012958</v>
      </c>
      <c r="B3930" s="13" t="inlineStr">
        <is>
          <t>Агентство архитектуры и градостроительства Сахалинской области</t>
        </is>
      </c>
      <c r="C3930" s="13" t="n">
        <v>6501281730</v>
      </c>
      <c r="D3930" s="13" t="inlineStr">
        <is>
          <t>6501281730</t>
        </is>
      </c>
      <c r="E3930" s="13" t="inlineStr">
        <is>
          <t>ЮЛ РФ</t>
        </is>
      </c>
      <c r="F3930" s="13" t="n"/>
      <c r="G3930" s="14" t="n"/>
      <c r="H3930" s="14" t="n"/>
      <c r="I3930" s="14" t="n"/>
      <c r="J3930" s="14" t="n"/>
      <c r="K3930" s="53" t="inlineStr"/>
      <c r="L3930" s="53" t="inlineStr">
        <is>
          <t>Не определено</t>
        </is>
      </c>
      <c r="M3930" s="53" t="inlineStr"/>
      <c r="N3930" s="54" t="inlineStr"/>
      <c r="O3930" s="55" t="inlineStr"/>
      <c r="P3930" s="16" t="inlineStr">
        <is>
          <t>Требует обогащения</t>
        </is>
      </c>
      <c r="Q3930" s="16">
        <f>HYPERLINK("https://pb.nalog.ru/search.html?query=6501281730","ФНС: проверить")</f>
        <v/>
      </c>
      <c r="R3930" s="16">
        <f>HYPERLINK("https://checko.ru/search?query=3801001629","Чекко: проверить")</f>
        <v/>
      </c>
      <c r="S3930" t="n">
        <v>0</v>
      </c>
      <c r="T3930" s="35" t="inlineStr">
        <is>
          <t>4 — Не обогащён</t>
        </is>
      </c>
      <c r="U3930" s="35" t="inlineStr">
        <is>
          <t>Нет ОКВЭД/ССЧР</t>
        </is>
      </c>
      <c r="V3930" s="35" t="inlineStr">
        <is>
          <t>Не определено</t>
        </is>
      </c>
      <c r="W3930" s="35" t="inlineStr"/>
      <c r="X3930" s="35" t="inlineStr"/>
    </row>
    <row r="3931" ht="27.75" customHeight="1" s="24">
      <c r="A3931" s="13" t="n">
        <v>5000012967</v>
      </c>
      <c r="B3931" s="13" t="inlineStr">
        <is>
          <t>Агентство по развитию электроэнергетики и газификации Сахалинской области</t>
        </is>
      </c>
      <c r="C3931" s="13" t="n">
        <v>6501195305</v>
      </c>
      <c r="D3931" s="13" t="inlineStr">
        <is>
          <t>6501195305</t>
        </is>
      </c>
      <c r="E3931" s="13" t="inlineStr">
        <is>
          <t>ЮЛ РФ</t>
        </is>
      </c>
      <c r="F3931" s="13" t="n"/>
      <c r="G3931" s="14" t="n"/>
      <c r="H3931" s="14" t="n"/>
      <c r="I3931" s="14" t="n"/>
      <c r="J3931" s="14" t="n"/>
      <c r="K3931" s="53" t="inlineStr"/>
      <c r="L3931" s="53" t="inlineStr">
        <is>
          <t>Не определено</t>
        </is>
      </c>
      <c r="M3931" s="53" t="inlineStr"/>
      <c r="N3931" s="54" t="inlineStr"/>
      <c r="O3931" s="55" t="inlineStr"/>
      <c r="P3931" s="16" t="inlineStr">
        <is>
          <t>Требует обогащения</t>
        </is>
      </c>
      <c r="Q3931" s="16">
        <f>HYPERLINK("https://pb.nalog.ru/search.html?query=6501195305","ФНС: проверить")</f>
        <v/>
      </c>
      <c r="R3931" s="16">
        <f>HYPERLINK("https://checko.ru/search?query=3801001629","Чекко: проверить")</f>
        <v/>
      </c>
      <c r="S3931" t="n">
        <v>1</v>
      </c>
      <c r="T3931" s="35" t="inlineStr">
        <is>
          <t>4 — Не обогащён</t>
        </is>
      </c>
      <c r="U3931" s="35" t="inlineStr">
        <is>
          <t>Нет ОКВЭД/ССЧР</t>
        </is>
      </c>
      <c r="V3931" s="35" t="inlineStr">
        <is>
          <t>Не определено</t>
        </is>
      </c>
      <c r="W3931" s="35" t="inlineStr"/>
      <c r="X3931" s="35" t="inlineStr"/>
    </row>
    <row r="3932" ht="27.75" customHeight="1" s="24">
      <c r="A3932" s="13" t="n">
        <v>5000012967</v>
      </c>
      <c r="B3932" s="13" t="inlineStr">
        <is>
          <t>Агентство по развитию электроэнергетики и газификации Сахалинской области</t>
        </is>
      </c>
      <c r="C3932" s="13" t="n">
        <v>6501195305</v>
      </c>
      <c r="D3932" s="13" t="inlineStr">
        <is>
          <t>6501195305</t>
        </is>
      </c>
      <c r="E3932" s="13" t="inlineStr">
        <is>
          <t>ЮЛ РФ</t>
        </is>
      </c>
      <c r="F3932" s="13" t="n"/>
      <c r="G3932" s="14" t="n"/>
      <c r="H3932" s="14" t="n"/>
      <c r="I3932" s="14" t="n"/>
      <c r="J3932" s="14" t="n"/>
      <c r="K3932" s="53" t="inlineStr"/>
      <c r="L3932" s="53" t="inlineStr">
        <is>
          <t>Не определено</t>
        </is>
      </c>
      <c r="M3932" s="53" t="inlineStr"/>
      <c r="N3932" s="54" t="inlineStr"/>
      <c r="O3932" s="55" t="inlineStr"/>
      <c r="P3932" s="16" t="inlineStr">
        <is>
          <t>Требует обогащения</t>
        </is>
      </c>
      <c r="Q3932" s="16">
        <f>HYPERLINK("https://pb.nalog.ru/search.html?query=6501195305","ФНС: проверить")</f>
        <v/>
      </c>
      <c r="R3932" s="16">
        <f>HYPERLINK("https://checko.ru/search?query=3801001629","Чекко: проверить")</f>
        <v/>
      </c>
      <c r="S3932" t="n">
        <v>0</v>
      </c>
      <c r="T3932" s="35" t="inlineStr">
        <is>
          <t>4 — Не обогащён</t>
        </is>
      </c>
      <c r="U3932" s="35" t="inlineStr">
        <is>
          <t>Нет ОКВЭД/ССЧР</t>
        </is>
      </c>
      <c r="V3932" s="35" t="inlineStr">
        <is>
          <t>Не определено</t>
        </is>
      </c>
      <c r="W3932" s="35" t="inlineStr"/>
      <c r="X3932" s="35" t="inlineStr"/>
    </row>
    <row r="3933" ht="27.75" customHeight="1" s="24">
      <c r="A3933" s="13" t="n">
        <v>5000012969</v>
      </c>
      <c r="B3933" s="13" t="inlineStr">
        <is>
          <t>Региональная энергетическая комиссия по Сахалинской области</t>
        </is>
      </c>
      <c r="C3933" s="13" t="n">
        <v>6501073032</v>
      </c>
      <c r="D3933" s="13" t="inlineStr">
        <is>
          <t>6501073032</t>
        </is>
      </c>
      <c r="E3933" s="13" t="inlineStr">
        <is>
          <t>ЮЛ РФ</t>
        </is>
      </c>
      <c r="F3933" s="13" t="n"/>
      <c r="G3933" s="14" t="n"/>
      <c r="H3933" s="14" t="n"/>
      <c r="I3933" s="14" t="n"/>
      <c r="J3933" s="14" t="n"/>
      <c r="K3933" s="53" t="inlineStr"/>
      <c r="L3933" s="53" t="inlineStr">
        <is>
          <t>Не определено</t>
        </is>
      </c>
      <c r="M3933" s="53" t="inlineStr"/>
      <c r="N3933" s="54" t="inlineStr"/>
      <c r="O3933" s="55" t="inlineStr"/>
      <c r="P3933" s="16" t="inlineStr">
        <is>
          <t>Требует обогащения</t>
        </is>
      </c>
      <c r="Q3933" s="16">
        <f>HYPERLINK("https://pb.nalog.ru/search.html?query=6501073032","ФНС: проверить")</f>
        <v/>
      </c>
      <c r="R3933" s="16">
        <f>HYPERLINK("https://checko.ru/search?query=3801001629","Чекко: проверить")</f>
        <v/>
      </c>
      <c r="S3933" t="n">
        <v>1</v>
      </c>
      <c r="T3933" s="35" t="inlineStr">
        <is>
          <t>4 — Не обогащён</t>
        </is>
      </c>
      <c r="U3933" s="35" t="inlineStr">
        <is>
          <t>Нет ОКВЭД/ССЧР</t>
        </is>
      </c>
      <c r="V3933" s="35" t="inlineStr">
        <is>
          <t>Не определено</t>
        </is>
      </c>
      <c r="W3933" s="35" t="inlineStr"/>
      <c r="X3933" s="35" t="inlineStr"/>
    </row>
    <row r="3934" ht="27.75" customHeight="1" s="24">
      <c r="A3934" s="13" t="n">
        <v>5000012969</v>
      </c>
      <c r="B3934" s="13" t="inlineStr">
        <is>
          <t>Региональная энергетическая комиссия по Сахалинской области</t>
        </is>
      </c>
      <c r="C3934" s="13" t="n">
        <v>6501073032</v>
      </c>
      <c r="D3934" s="13" t="inlineStr">
        <is>
          <t>6501073032</t>
        </is>
      </c>
      <c r="E3934" s="13" t="inlineStr">
        <is>
          <t>ЮЛ РФ</t>
        </is>
      </c>
      <c r="F3934" s="13" t="n"/>
      <c r="G3934" s="14" t="n"/>
      <c r="H3934" s="14" t="n"/>
      <c r="I3934" s="14" t="n"/>
      <c r="J3934" s="14" t="n"/>
      <c r="K3934" s="53" t="inlineStr"/>
      <c r="L3934" s="53" t="inlineStr">
        <is>
          <t>Не определено</t>
        </is>
      </c>
      <c r="M3934" s="53" t="inlineStr"/>
      <c r="N3934" s="54" t="inlineStr"/>
      <c r="O3934" s="55" t="inlineStr"/>
      <c r="P3934" s="16" t="inlineStr">
        <is>
          <t>Требует обогащения</t>
        </is>
      </c>
      <c r="Q3934" s="16">
        <f>HYPERLINK("https://pb.nalog.ru/search.html?query=6501073032","ФНС: проверить")</f>
        <v/>
      </c>
      <c r="R3934" s="16">
        <f>HYPERLINK("https://checko.ru/search?query=3801001629","Чекко: проверить")</f>
        <v/>
      </c>
      <c r="S3934" t="n">
        <v>0</v>
      </c>
      <c r="T3934" s="35" t="inlineStr">
        <is>
          <t>4 — Не обогащён</t>
        </is>
      </c>
      <c r="U3934" s="35" t="inlineStr">
        <is>
          <t>Нет ОКВЭД/ССЧР</t>
        </is>
      </c>
      <c r="V3934" s="35" t="inlineStr">
        <is>
          <t>Не определено</t>
        </is>
      </c>
      <c r="W3934" s="35" t="inlineStr"/>
      <c r="X3934" s="35" t="inlineStr"/>
    </row>
    <row r="3935" ht="41.25" customHeight="1" s="24">
      <c r="A3935" s="13" t="n">
        <v>5000048204</v>
      </c>
      <c r="B3935" s="13" t="inlineStr">
        <is>
          <t>МКУ "Хозяйственно-техническое управление по обеспечению деятельности органов местного самоуправления</t>
        </is>
      </c>
      <c r="C3935" s="13" t="n">
        <v>6507013720</v>
      </c>
      <c r="D3935" s="13" t="inlineStr">
        <is>
          <t>6507013720</t>
        </is>
      </c>
      <c r="E3935" s="13" t="inlineStr">
        <is>
          <t>ЮЛ РФ</t>
        </is>
      </c>
      <c r="F3935" s="13" t="n"/>
      <c r="G3935" s="14" t="n"/>
      <c r="H3935" s="14" t="n"/>
      <c r="I3935" s="14" t="n"/>
      <c r="J3935" s="14" t="n"/>
      <c r="K3935" s="53" t="inlineStr"/>
      <c r="L3935" s="53" t="inlineStr">
        <is>
          <t>Не определено</t>
        </is>
      </c>
      <c r="M3935" s="53" t="inlineStr"/>
      <c r="N3935" s="54" t="inlineStr"/>
      <c r="O3935" s="55" t="inlineStr"/>
      <c r="P3935" s="16" t="inlineStr">
        <is>
          <t>Требует обогащения</t>
        </is>
      </c>
      <c r="Q3935" s="16">
        <f>HYPERLINK("https://pb.nalog.ru/search.html?query=6507013720","ФНС: проверить")</f>
        <v/>
      </c>
      <c r="R3935" s="16">
        <f>HYPERLINK("https://checko.ru/search?query=3801001629","Чекко: проверить")</f>
        <v/>
      </c>
      <c r="S3935" t="n">
        <v>1</v>
      </c>
      <c r="T3935" s="35" t="inlineStr">
        <is>
          <t>4 — Не обогащён</t>
        </is>
      </c>
      <c r="U3935" s="35" t="inlineStr">
        <is>
          <t>Нет ОКВЭД/ССЧР</t>
        </is>
      </c>
      <c r="V3935" s="35" t="inlineStr">
        <is>
          <t>Не определено</t>
        </is>
      </c>
      <c r="W3935" s="35" t="inlineStr"/>
      <c r="X3935" s="35" t="inlineStr"/>
    </row>
    <row r="3936" ht="15" customHeight="1" s="24">
      <c r="A3936" s="13" t="n">
        <v>5000032400</v>
      </c>
      <c r="B3936" s="13" t="inlineStr">
        <is>
          <t>ГКУ СРЦН "ОТРАДНОЕ"</t>
        </is>
      </c>
      <c r="C3936" s="13" t="n">
        <v>6503008166</v>
      </c>
      <c r="D3936" s="13" t="inlineStr">
        <is>
          <t>6503008166</t>
        </is>
      </c>
      <c r="E3936" s="13" t="inlineStr">
        <is>
          <t>ЮЛ РФ</t>
        </is>
      </c>
      <c r="F3936" s="13" t="n"/>
      <c r="G3936" s="14" t="n"/>
      <c r="H3936" s="14" t="n"/>
      <c r="I3936" s="14" t="n"/>
      <c r="J3936" s="14" t="n"/>
      <c r="K3936" s="53" t="inlineStr"/>
      <c r="L3936" s="53" t="inlineStr">
        <is>
          <t>Не определено</t>
        </is>
      </c>
      <c r="M3936" s="53" t="inlineStr"/>
      <c r="N3936" s="54" t="inlineStr"/>
      <c r="O3936" s="55" t="inlineStr"/>
      <c r="P3936" s="16" t="inlineStr">
        <is>
          <t>Требует обогащения</t>
        </is>
      </c>
      <c r="Q3936" s="16">
        <f>HYPERLINK("https://pb.nalog.ru/search.html?query=6503008166","ФНС: проверить")</f>
        <v/>
      </c>
      <c r="R3936" s="16">
        <f>HYPERLINK("https://checko.ru/search?query=3801001629","Чекко: проверить")</f>
        <v/>
      </c>
      <c r="S3936" t="n">
        <v>1</v>
      </c>
      <c r="T3936" s="35" t="inlineStr">
        <is>
          <t>4 — Не обогащён</t>
        </is>
      </c>
      <c r="U3936" s="35" t="inlineStr">
        <is>
          <t>Нет ОКВЭД/ССЧР</t>
        </is>
      </c>
      <c r="V3936" s="35" t="inlineStr">
        <is>
          <t>Не определено</t>
        </is>
      </c>
      <c r="W3936" s="35" t="inlineStr"/>
      <c r="X3936" s="35" t="inlineStr"/>
    </row>
    <row r="3937" ht="27.75" customHeight="1" s="24">
      <c r="A3937" s="13" t="n">
        <v>5000118001</v>
      </c>
      <c r="B3937" s="13" t="inlineStr">
        <is>
          <t>ДЕПАРТАМЕНТ ФИНАНСОВ КУРИЛЬСКОГО МУНИЦИПАЛЬНОГО ОКРУГА</t>
        </is>
      </c>
      <c r="C3937" s="13" t="n">
        <v>6511002190</v>
      </c>
      <c r="D3937" s="13" t="inlineStr">
        <is>
          <t>6511002190</t>
        </is>
      </c>
      <c r="E3937" s="13" t="inlineStr">
        <is>
          <t>ЮЛ РФ</t>
        </is>
      </c>
      <c r="F3937" s="13" t="n"/>
      <c r="G3937" s="14" t="n"/>
      <c r="H3937" s="14" t="n"/>
      <c r="I3937" s="14" t="n"/>
      <c r="J3937" s="14" t="n"/>
      <c r="K3937" s="53" t="inlineStr"/>
      <c r="L3937" s="53" t="inlineStr">
        <is>
          <t>Не определено</t>
        </is>
      </c>
      <c r="M3937" s="53" t="inlineStr"/>
      <c r="N3937" s="54" t="inlineStr"/>
      <c r="O3937" s="55" t="inlineStr"/>
      <c r="P3937" s="16" t="inlineStr">
        <is>
          <t>Требует обогащения</t>
        </is>
      </c>
      <c r="Q3937" s="16">
        <f>HYPERLINK("https://pb.nalog.ru/search.html?query=6511002190","ФНС: проверить")</f>
        <v/>
      </c>
      <c r="R3937" s="16">
        <f>HYPERLINK("https://checko.ru/search?query=3801001629","Чекко: проверить")</f>
        <v/>
      </c>
      <c r="S3937" t="n">
        <v>1</v>
      </c>
      <c r="T3937" s="35" t="inlineStr">
        <is>
          <t>4 — Не обогащён</t>
        </is>
      </c>
      <c r="U3937" s="35" t="inlineStr">
        <is>
          <t>Нет ОКВЭД/ССЧР</t>
        </is>
      </c>
      <c r="V3937" s="35" t="inlineStr">
        <is>
          <t>Не определено</t>
        </is>
      </c>
      <c r="W3937" s="35" t="inlineStr"/>
      <c r="X3937" s="35" t="inlineStr"/>
    </row>
    <row r="3938" ht="27.75" customHeight="1" s="24">
      <c r="A3938" s="13" t="n">
        <v>5000118001</v>
      </c>
      <c r="B3938" s="13" t="inlineStr">
        <is>
          <t>ДЕПАРТАМЕНТ ФИНАНСОВ КУРИЛЬСКОГО МУНИЦИПАЛЬНОГО ОКРУГА</t>
        </is>
      </c>
      <c r="C3938" s="13" t="n">
        <v>6511002190</v>
      </c>
      <c r="D3938" s="13" t="inlineStr">
        <is>
          <t>6511002190</t>
        </is>
      </c>
      <c r="E3938" s="13" t="inlineStr">
        <is>
          <t>ЮЛ РФ</t>
        </is>
      </c>
      <c r="F3938" s="13" t="n"/>
      <c r="G3938" s="14" t="n"/>
      <c r="H3938" s="14" t="n"/>
      <c r="I3938" s="14" t="n"/>
      <c r="J3938" s="14" t="n"/>
      <c r="K3938" s="53" t="inlineStr"/>
      <c r="L3938" s="53" t="inlineStr">
        <is>
          <t>Не определено</t>
        </is>
      </c>
      <c r="M3938" s="53" t="inlineStr"/>
      <c r="N3938" s="54" t="inlineStr"/>
      <c r="O3938" s="55" t="inlineStr"/>
      <c r="P3938" s="16" t="inlineStr">
        <is>
          <t>Требует обогащения</t>
        </is>
      </c>
      <c r="Q3938" s="16">
        <f>HYPERLINK("https://pb.nalog.ru/search.html?query=6511002190","ФНС: проверить")</f>
        <v/>
      </c>
      <c r="R3938" s="16">
        <f>HYPERLINK("https://checko.ru/search?query=3801001629","Чекко: проверить")</f>
        <v/>
      </c>
      <c r="S3938" t="n">
        <v>0</v>
      </c>
      <c r="T3938" s="35" t="inlineStr">
        <is>
          <t>4 — Не обогащён</t>
        </is>
      </c>
      <c r="U3938" s="35" t="inlineStr">
        <is>
          <t>Нет ОКВЭД/ССЧР</t>
        </is>
      </c>
      <c r="V3938" s="35" t="inlineStr">
        <is>
          <t>Не определено</t>
        </is>
      </c>
      <c r="W3938" s="35" t="inlineStr"/>
      <c r="X3938" s="35" t="inlineStr"/>
    </row>
    <row r="3939" ht="41.25" customHeight="1" s="24">
      <c r="A3939" s="13" t="n">
        <v>5000101072</v>
      </c>
      <c r="B3939" s="13" t="inlineStr">
        <is>
          <t>Муниципальное бюджетное общеобразовательное учреждение "Еланцынская средняя общеобразовательная школа"</t>
        </is>
      </c>
      <c r="C3939" s="13" t="n">
        <v>3836002285</v>
      </c>
      <c r="D3939" s="13" t="inlineStr">
        <is>
          <t>3836002285</t>
        </is>
      </c>
      <c r="E3939" s="13" t="inlineStr">
        <is>
          <t>ЮЛ РФ</t>
        </is>
      </c>
      <c r="F3939" s="13" t="n"/>
      <c r="G3939" s="14" t="n"/>
      <c r="H3939" s="14" t="n"/>
      <c r="I3939" s="14" t="n"/>
      <c r="J3939" s="14" t="n"/>
      <c r="K3939" s="53" t="inlineStr"/>
      <c r="L3939" s="53" t="inlineStr">
        <is>
          <t>Не определено</t>
        </is>
      </c>
      <c r="M3939" s="53" t="inlineStr"/>
      <c r="N3939" s="54" t="inlineStr"/>
      <c r="O3939" s="55" t="inlineStr"/>
      <c r="P3939" s="16" t="inlineStr">
        <is>
          <t>Требует обогащения</t>
        </is>
      </c>
      <c r="Q3939" s="16">
        <f>HYPERLINK("https://pb.nalog.ru/search.html?query=3836002285","ФНС: проверить")</f>
        <v/>
      </c>
      <c r="R3939" s="16">
        <f>HYPERLINK("https://checko.ru/search?query=3801001629","Чекко: проверить")</f>
        <v/>
      </c>
      <c r="S3939" t="n">
        <v>1</v>
      </c>
      <c r="T3939" s="35" t="inlineStr">
        <is>
          <t>4 — Не обогащён</t>
        </is>
      </c>
      <c r="U3939" s="35" t="inlineStr">
        <is>
          <t>Нет ОКВЭД/ССЧР</t>
        </is>
      </c>
      <c r="V3939" s="35" t="inlineStr">
        <is>
          <t>Не определено</t>
        </is>
      </c>
      <c r="W3939" s="35" t="inlineStr"/>
      <c r="X3939" s="35" t="inlineStr"/>
    </row>
    <row r="3940" ht="15" customHeight="1" s="24">
      <c r="A3940" s="13" t="n">
        <v>5000089282</v>
      </c>
      <c r="B3940" s="13" t="inlineStr">
        <is>
          <t>КГКСКОУ Владивостокская КШ IV вида</t>
        </is>
      </c>
      <c r="C3940" s="13" t="n">
        <v>2537041510</v>
      </c>
      <c r="D3940" s="13" t="inlineStr">
        <is>
          <t>2537041510</t>
        </is>
      </c>
      <c r="E3940" s="13" t="inlineStr">
        <is>
          <t>ЮЛ РФ</t>
        </is>
      </c>
      <c r="F3940" s="13" t="n"/>
      <c r="G3940" s="14" t="n"/>
      <c r="H3940" s="14" t="n"/>
      <c r="I3940" s="14" t="n"/>
      <c r="J3940" s="14" t="n"/>
      <c r="K3940" s="53" t="inlineStr"/>
      <c r="L3940" s="53" t="inlineStr">
        <is>
          <t>Не определено</t>
        </is>
      </c>
      <c r="M3940" s="53" t="inlineStr"/>
      <c r="N3940" s="54" t="inlineStr"/>
      <c r="O3940" s="55" t="inlineStr"/>
      <c r="P3940" s="16" t="inlineStr">
        <is>
          <t>Требует обогащения</t>
        </is>
      </c>
      <c r="Q3940" s="16">
        <f>HYPERLINK("https://pb.nalog.ru/search.html?query=2537041510","ФНС: проверить")</f>
        <v/>
      </c>
      <c r="R3940" s="16">
        <f>HYPERLINK("https://checko.ru/search?query=3801001629","Чекко: проверить")</f>
        <v/>
      </c>
      <c r="S3940" t="n">
        <v>1</v>
      </c>
      <c r="T3940" s="35" t="inlineStr">
        <is>
          <t>4 — Не обогащён</t>
        </is>
      </c>
      <c r="U3940" s="35" t="inlineStr">
        <is>
          <t>Нет ОКВЭД/ССЧР</t>
        </is>
      </c>
      <c r="V3940" s="35" t="inlineStr">
        <is>
          <t>Не определено</t>
        </is>
      </c>
      <c r="W3940" s="35" t="inlineStr"/>
      <c r="X3940" s="35" t="inlineStr"/>
    </row>
    <row r="3941" ht="15" customHeight="1" s="24">
      <c r="A3941" s="13" t="n">
        <v>5000069686</v>
      </c>
      <c r="B3941" s="13" t="inlineStr">
        <is>
          <t>ОбГАУ "Спортивная школа водных видов спорта"</t>
        </is>
      </c>
      <c r="C3941" s="13" t="n">
        <v>6501308728</v>
      </c>
      <c r="D3941" s="13" t="inlineStr">
        <is>
          <t>6501308728</t>
        </is>
      </c>
      <c r="E3941" s="13" t="inlineStr">
        <is>
          <t>ЮЛ РФ</t>
        </is>
      </c>
      <c r="F3941" s="13" t="n"/>
      <c r="G3941" s="14" t="n"/>
      <c r="H3941" s="14" t="n"/>
      <c r="I3941" s="14" t="n"/>
      <c r="J3941" s="14" t="n"/>
      <c r="K3941" s="53" t="inlineStr"/>
      <c r="L3941" s="53" t="inlineStr">
        <is>
          <t>Не определено</t>
        </is>
      </c>
      <c r="M3941" s="53" t="inlineStr"/>
      <c r="N3941" s="54" t="inlineStr"/>
      <c r="O3941" s="55" t="inlineStr"/>
      <c r="P3941" s="16" t="inlineStr">
        <is>
          <t>Требует обогащения</t>
        </is>
      </c>
      <c r="Q3941" s="16">
        <f>HYPERLINK("https://pb.nalog.ru/search.html?query=6501308728","ФНС: проверить")</f>
        <v/>
      </c>
      <c r="R3941" s="16">
        <f>HYPERLINK("https://checko.ru/search?query=3801001629","Чекко: проверить")</f>
        <v/>
      </c>
      <c r="S3941" t="n">
        <v>1</v>
      </c>
      <c r="T3941" s="35" t="inlineStr">
        <is>
          <t>4 — Не обогащён</t>
        </is>
      </c>
      <c r="U3941" s="35" t="inlineStr">
        <is>
          <t>Нет ОКВЭД/ССЧР</t>
        </is>
      </c>
      <c r="V3941" s="35" t="inlineStr">
        <is>
          <t>Не определено</t>
        </is>
      </c>
      <c r="W3941" s="35" t="inlineStr"/>
      <c r="X3941" s="35" t="inlineStr"/>
    </row>
    <row r="3942" ht="27.75" customHeight="1" s="24">
      <c r="A3942" s="13" t="n">
        <v>5000089217</v>
      </c>
      <c r="B3942" s="13" t="inlineStr">
        <is>
          <t>Департамент дорожного хозяйства Приморского края</t>
        </is>
      </c>
      <c r="C3942" s="13" t="n">
        <v>2538030581</v>
      </c>
      <c r="D3942" s="13" t="inlineStr">
        <is>
          <t>2538030581</t>
        </is>
      </c>
      <c r="E3942" s="13" t="inlineStr">
        <is>
          <t>ЮЛ РФ</t>
        </is>
      </c>
      <c r="F3942" s="13" t="n"/>
      <c r="G3942" s="14" t="n"/>
      <c r="H3942" s="14" t="n"/>
      <c r="I3942" s="14" t="n"/>
      <c r="J3942" s="14" t="n"/>
      <c r="K3942" s="53" t="inlineStr"/>
      <c r="L3942" s="53" t="inlineStr">
        <is>
          <t>Не определено</t>
        </is>
      </c>
      <c r="M3942" s="53" t="inlineStr"/>
      <c r="N3942" s="54" t="inlineStr"/>
      <c r="O3942" s="55" t="inlineStr"/>
      <c r="P3942" s="16" t="inlineStr">
        <is>
          <t>Требует обогащения</t>
        </is>
      </c>
      <c r="Q3942" s="16">
        <f>HYPERLINK("https://pb.nalog.ru/search.html?query=2538030581","ФНС: проверить")</f>
        <v/>
      </c>
      <c r="R3942" s="16">
        <f>HYPERLINK("https://checko.ru/search?query=3801001629","Чекко: проверить")</f>
        <v/>
      </c>
      <c r="S3942" t="n">
        <v>1</v>
      </c>
      <c r="T3942" s="35" t="inlineStr">
        <is>
          <t>4 — Не обогащён</t>
        </is>
      </c>
      <c r="U3942" s="35" t="inlineStr">
        <is>
          <t>Нет ОКВЭД/ССЧР</t>
        </is>
      </c>
      <c r="V3942" s="35" t="inlineStr">
        <is>
          <t>Не определено</t>
        </is>
      </c>
      <c r="W3942" s="35" t="inlineStr"/>
      <c r="X3942" s="35" t="inlineStr"/>
    </row>
    <row r="3943" ht="15" customHeight="1" s="24">
      <c r="A3943" s="13" t="n">
        <v>5000025705</v>
      </c>
      <c r="B3943" s="13" t="inlineStr">
        <is>
          <t>МОУ "ШКОЛА № 1 Г. ЧЕРЕМХОВО"</t>
        </is>
      </c>
      <c r="C3943" s="13" t="n">
        <v>3820005650</v>
      </c>
      <c r="D3943" s="13" t="inlineStr">
        <is>
          <t>3820005650</t>
        </is>
      </c>
      <c r="E3943" s="13" t="inlineStr">
        <is>
          <t>ЮЛ РФ</t>
        </is>
      </c>
      <c r="F3943" s="13" t="n"/>
      <c r="G3943" s="14" t="n"/>
      <c r="H3943" s="14" t="n"/>
      <c r="I3943" s="14" t="n"/>
      <c r="J3943" s="14" t="n"/>
      <c r="K3943" s="53" t="inlineStr"/>
      <c r="L3943" s="53" t="inlineStr">
        <is>
          <t>Не определено</t>
        </is>
      </c>
      <c r="M3943" s="53" t="inlineStr"/>
      <c r="N3943" s="54" t="inlineStr"/>
      <c r="O3943" s="55" t="inlineStr"/>
      <c r="P3943" s="16" t="inlineStr">
        <is>
          <t>Требует обогащения</t>
        </is>
      </c>
      <c r="Q3943" s="16">
        <f>HYPERLINK("https://pb.nalog.ru/search.html?query=3820005650","ФНС: проверить")</f>
        <v/>
      </c>
      <c r="R3943" s="16">
        <f>HYPERLINK("https://checko.ru/search?query=3801001629","Чекко: проверить")</f>
        <v/>
      </c>
      <c r="S3943" t="n">
        <v>1</v>
      </c>
      <c r="T3943" s="35" t="inlineStr">
        <is>
          <t>4 — Не обогащён</t>
        </is>
      </c>
      <c r="U3943" s="35" t="inlineStr">
        <is>
          <t>Нет ОКВЭД/ССЧР</t>
        </is>
      </c>
      <c r="V3943" s="35" t="inlineStr">
        <is>
          <t>Не определено</t>
        </is>
      </c>
      <c r="W3943" s="35" t="inlineStr"/>
      <c r="X3943" s="35" t="inlineStr"/>
    </row>
    <row r="3944" ht="27.75" customHeight="1" s="24">
      <c r="A3944" s="13" t="n">
        <v>5000117578</v>
      </c>
      <c r="B3944" s="13" t="inlineStr">
        <is>
          <t>Финансовое управление Северо-Курильского городского округа</t>
        </is>
      </c>
      <c r="C3944" s="13" t="n">
        <v>6515000740</v>
      </c>
      <c r="D3944" s="13" t="inlineStr">
        <is>
          <t>6515000740</t>
        </is>
      </c>
      <c r="E3944" s="13" t="inlineStr">
        <is>
          <t>ЮЛ РФ</t>
        </is>
      </c>
      <c r="F3944" s="13" t="n"/>
      <c r="G3944" s="14" t="n"/>
      <c r="H3944" s="14" t="n"/>
      <c r="I3944" s="14" t="n"/>
      <c r="J3944" s="14" t="n"/>
      <c r="K3944" s="53" t="inlineStr"/>
      <c r="L3944" s="53" t="inlineStr">
        <is>
          <t>Не определено</t>
        </is>
      </c>
      <c r="M3944" s="53" t="inlineStr"/>
      <c r="N3944" s="54" t="inlineStr"/>
      <c r="O3944" s="55" t="inlineStr"/>
      <c r="P3944" s="16" t="inlineStr">
        <is>
          <t>Требует обогащения</t>
        </is>
      </c>
      <c r="Q3944" s="16">
        <f>HYPERLINK("https://pb.nalog.ru/search.html?query=6515000740","ФНС: проверить")</f>
        <v/>
      </c>
      <c r="R3944" s="16">
        <f>HYPERLINK("https://checko.ru/search?query=3801001629","Чекко: проверить")</f>
        <v/>
      </c>
      <c r="S3944" t="n">
        <v>1</v>
      </c>
      <c r="T3944" s="35" t="inlineStr">
        <is>
          <t>4 — Не обогащён</t>
        </is>
      </c>
      <c r="U3944" s="35" t="inlineStr">
        <is>
          <t>Нет ОКВЭД/ССЧР</t>
        </is>
      </c>
      <c r="V3944" s="35" t="inlineStr">
        <is>
          <t>Не определено</t>
        </is>
      </c>
      <c r="W3944" s="35" t="inlineStr"/>
      <c r="X3944" s="35" t="inlineStr"/>
    </row>
    <row r="3945" ht="15" customHeight="1" s="24">
      <c r="A3945" s="13" t="n">
        <v>5000009333</v>
      </c>
      <c r="B3945" s="13" t="inlineStr">
        <is>
          <t>МБУК "Южно-Курильский краеведческий музей"</t>
        </is>
      </c>
      <c r="C3945" s="13" t="n">
        <v>6518007969</v>
      </c>
      <c r="D3945" s="13" t="inlineStr">
        <is>
          <t>6518007969</t>
        </is>
      </c>
      <c r="E3945" s="13" t="inlineStr">
        <is>
          <t>ЮЛ РФ</t>
        </is>
      </c>
      <c r="F3945" s="13" t="n"/>
      <c r="G3945" s="14" t="n"/>
      <c r="H3945" s="14" t="n"/>
      <c r="I3945" s="14" t="n"/>
      <c r="J3945" s="14" t="n"/>
      <c r="K3945" s="53" t="inlineStr"/>
      <c r="L3945" s="53" t="inlineStr">
        <is>
          <t>Не определено</t>
        </is>
      </c>
      <c r="M3945" s="53" t="inlineStr"/>
      <c r="N3945" s="54" t="inlineStr"/>
      <c r="O3945" s="55" t="inlineStr"/>
      <c r="P3945" s="16" t="inlineStr">
        <is>
          <t>Требует обогащения</t>
        </is>
      </c>
      <c r="Q3945" s="16">
        <f>HYPERLINK("https://pb.nalog.ru/search.html?query=6518007969","ФНС: проверить")</f>
        <v/>
      </c>
      <c r="R3945" s="16">
        <f>HYPERLINK("https://checko.ru/search?query=3801001629","Чекко: проверить")</f>
        <v/>
      </c>
      <c r="S3945" t="n">
        <v>1</v>
      </c>
      <c r="T3945" s="35" t="inlineStr">
        <is>
          <t>4 — Не обогащён</t>
        </is>
      </c>
      <c r="U3945" s="35" t="inlineStr">
        <is>
          <t>Нет ОКВЭД/ССЧР</t>
        </is>
      </c>
      <c r="V3945" s="35" t="inlineStr">
        <is>
          <t>Не определено</t>
        </is>
      </c>
      <c r="W3945" s="35" t="inlineStr"/>
      <c r="X3945" s="35" t="inlineStr"/>
    </row>
    <row r="3946" ht="15" customHeight="1" s="24">
      <c r="A3946" s="13" t="n">
        <v>5000089304</v>
      </c>
      <c r="B3946" s="13" t="inlineStr">
        <is>
          <t>Краевое ГОКУ "Детский дом №2" г. Владивостока</t>
        </is>
      </c>
      <c r="C3946" s="13" t="n">
        <v>2538058756</v>
      </c>
      <c r="D3946" s="13" t="inlineStr">
        <is>
          <t>2538058756</t>
        </is>
      </c>
      <c r="E3946" s="13" t="inlineStr">
        <is>
          <t>ЮЛ РФ</t>
        </is>
      </c>
      <c r="F3946" s="13" t="n"/>
      <c r="G3946" s="14" t="n"/>
      <c r="H3946" s="14" t="n"/>
      <c r="I3946" s="14" t="n"/>
      <c r="J3946" s="14" t="n"/>
      <c r="K3946" s="53" t="inlineStr"/>
      <c r="L3946" s="53" t="inlineStr">
        <is>
          <t>Не определено</t>
        </is>
      </c>
      <c r="M3946" s="53" t="inlineStr"/>
      <c r="N3946" s="54" t="inlineStr"/>
      <c r="O3946" s="55" t="inlineStr"/>
      <c r="P3946" s="16" t="inlineStr">
        <is>
          <t>Требует обогащения</t>
        </is>
      </c>
      <c r="Q3946" s="16">
        <f>HYPERLINK("https://pb.nalog.ru/search.html?query=2538058756","ФНС: проверить")</f>
        <v/>
      </c>
      <c r="R3946" s="16">
        <f>HYPERLINK("https://checko.ru/search?query=3801001629","Чекко: проверить")</f>
        <v/>
      </c>
      <c r="S3946" t="n">
        <v>1</v>
      </c>
      <c r="T3946" s="35" t="inlineStr">
        <is>
          <t>4 — Не обогащён</t>
        </is>
      </c>
      <c r="U3946" s="35" t="inlineStr">
        <is>
          <t>Нет ОКВЭД/ССЧР</t>
        </is>
      </c>
      <c r="V3946" s="35" t="inlineStr">
        <is>
          <t>Не определено</t>
        </is>
      </c>
      <c r="W3946" s="35" t="inlineStr"/>
      <c r="X3946" s="35" t="inlineStr"/>
    </row>
    <row r="3947" ht="27.75" customHeight="1" s="24">
      <c r="A3947" s="13" t="n">
        <v>5000098661</v>
      </c>
      <c r="B3947" s="13" t="inlineStr">
        <is>
          <t>МБУЗ "Южно-Курильская центральная районная больница"</t>
        </is>
      </c>
      <c r="C3947" s="13" t="n">
        <v>6518004421</v>
      </c>
      <c r="D3947" s="13" t="inlineStr">
        <is>
          <t>6518004421</t>
        </is>
      </c>
      <c r="E3947" s="13" t="inlineStr">
        <is>
          <t>ЮЛ РФ</t>
        </is>
      </c>
      <c r="F3947" s="13" t="n"/>
      <c r="G3947" s="14" t="n"/>
      <c r="H3947" s="14" t="n"/>
      <c r="I3947" s="14" t="n"/>
      <c r="J3947" s="14" t="n"/>
      <c r="K3947" s="53" t="inlineStr"/>
      <c r="L3947" s="53" t="inlineStr">
        <is>
          <t>Не определено</t>
        </is>
      </c>
      <c r="M3947" s="53" t="inlineStr"/>
      <c r="N3947" s="54" t="inlineStr"/>
      <c r="O3947" s="55" t="inlineStr"/>
      <c r="P3947" s="16" t="inlineStr">
        <is>
          <t>Требует обогащения</t>
        </is>
      </c>
      <c r="Q3947" s="16">
        <f>HYPERLINK("https://pb.nalog.ru/search.html?query=6518004421","ФНС: проверить")</f>
        <v/>
      </c>
      <c r="R3947" s="16">
        <f>HYPERLINK("https://checko.ru/search?query=3801001629","Чекко: проверить")</f>
        <v/>
      </c>
      <c r="S3947" t="n">
        <v>1</v>
      </c>
      <c r="T3947" s="35" t="inlineStr">
        <is>
          <t>4 — Не обогащён</t>
        </is>
      </c>
      <c r="U3947" s="35" t="inlineStr">
        <is>
          <t>Нет ОКВЭД/ССЧР</t>
        </is>
      </c>
      <c r="V3947" s="35" t="inlineStr">
        <is>
          <t>Не определено</t>
        </is>
      </c>
      <c r="W3947" s="35" t="inlineStr"/>
      <c r="X3947" s="35" t="inlineStr"/>
    </row>
    <row r="3948" ht="41.25" customHeight="1" s="24">
      <c r="A3948" s="13" t="n">
        <v>5000089249</v>
      </c>
      <c r="B3948" s="13" t="inlineStr">
        <is>
          <t>краевое государственное казенное специальное (коррекционное) образовательное учреждение для обучающи</t>
        </is>
      </c>
      <c r="C3948" s="13" t="n">
        <v>2522010614</v>
      </c>
      <c r="D3948" s="13" t="inlineStr">
        <is>
          <t>2522010614</t>
        </is>
      </c>
      <c r="E3948" s="13" t="inlineStr">
        <is>
          <t>ЮЛ РФ</t>
        </is>
      </c>
      <c r="F3948" s="13" t="n"/>
      <c r="G3948" s="14" t="n"/>
      <c r="H3948" s="14" t="n"/>
      <c r="I3948" s="14" t="n"/>
      <c r="J3948" s="14" t="n"/>
      <c r="K3948" s="53" t="inlineStr"/>
      <c r="L3948" s="53" t="inlineStr">
        <is>
          <t>Не определено</t>
        </is>
      </c>
      <c r="M3948" s="53" t="inlineStr"/>
      <c r="N3948" s="54" t="inlineStr"/>
      <c r="O3948" s="55" t="inlineStr"/>
      <c r="P3948" s="16" t="inlineStr">
        <is>
          <t>Требует обогащения</t>
        </is>
      </c>
      <c r="Q3948" s="16">
        <f>HYPERLINK("https://pb.nalog.ru/search.html?query=2522010614","ФНС: проверить")</f>
        <v/>
      </c>
      <c r="R3948" s="16">
        <f>HYPERLINK("https://checko.ru/search?query=3801001629","Чекко: проверить")</f>
        <v/>
      </c>
      <c r="S3948" t="n">
        <v>1</v>
      </c>
      <c r="T3948" s="35" t="inlineStr">
        <is>
          <t>4 — Не обогащён</t>
        </is>
      </c>
      <c r="U3948" s="35" t="inlineStr">
        <is>
          <t>Нет ОКВЭД/ССЧР</t>
        </is>
      </c>
      <c r="V3948" s="35" t="inlineStr">
        <is>
          <t>Не определено</t>
        </is>
      </c>
      <c r="W3948" s="35" t="inlineStr"/>
      <c r="X3948" s="35" t="inlineStr"/>
    </row>
    <row r="3949" ht="41.25" customHeight="1" s="24">
      <c r="A3949" s="13" t="n">
        <v>5000098329</v>
      </c>
      <c r="B3949" s="13" t="inlineStr">
        <is>
          <t>Государственное бюджетное учреждение здравоохранения "Краевая психиатрическая больница № 2"</t>
        </is>
      </c>
      <c r="C3949" s="13" t="n">
        <v>2510007705</v>
      </c>
      <c r="D3949" s="13" t="inlineStr">
        <is>
          <t>2510007705</t>
        </is>
      </c>
      <c r="E3949" s="13" t="inlineStr">
        <is>
          <t>ЮЛ РФ</t>
        </is>
      </c>
      <c r="F3949" s="13" t="n"/>
      <c r="G3949" s="14" t="n"/>
      <c r="H3949" s="14" t="n"/>
      <c r="I3949" s="14" t="n"/>
      <c r="J3949" s="14" t="n"/>
      <c r="K3949" s="53" t="inlineStr"/>
      <c r="L3949" s="53" t="inlineStr">
        <is>
          <t>Не определено</t>
        </is>
      </c>
      <c r="M3949" s="53" t="inlineStr"/>
      <c r="N3949" s="54" t="inlineStr"/>
      <c r="O3949" s="55" t="inlineStr"/>
      <c r="P3949" s="16" t="inlineStr">
        <is>
          <t>Требует обогащения</t>
        </is>
      </c>
      <c r="Q3949" s="16">
        <f>HYPERLINK("https://pb.nalog.ru/search.html?query=2510007705","ФНС: проверить")</f>
        <v/>
      </c>
      <c r="R3949" s="16">
        <f>HYPERLINK("https://checko.ru/search?query=3801001629","Чекко: проверить")</f>
        <v/>
      </c>
      <c r="S3949" t="n">
        <v>1</v>
      </c>
      <c r="T3949" s="35" t="inlineStr">
        <is>
          <t>4 — Не обогащён</t>
        </is>
      </c>
      <c r="U3949" s="35" t="inlineStr">
        <is>
          <t>Нет ОКВЭД/ССЧР</t>
        </is>
      </c>
      <c r="V3949" s="35" t="inlineStr">
        <is>
          <t>Не определено</t>
        </is>
      </c>
      <c r="W3949" s="35" t="inlineStr"/>
      <c r="X3949" s="35" t="inlineStr"/>
    </row>
    <row r="3950" ht="41.25" customHeight="1" s="24">
      <c r="A3950" s="13" t="n">
        <v>5000117990</v>
      </c>
      <c r="B3950" s="13" t="inlineStr">
        <is>
          <t>ДЕПАРТАМЕНТ ФИНАНСОВ МУНИЦИПАЛЬНОГО ОБРАЗОВАНИЯ "ЮЖНО-КУРИЛЬСКИЙ ГОРОДСКОЙ ОКРУГ"</t>
        </is>
      </c>
      <c r="C3950" s="13" t="n">
        <v>6518002657</v>
      </c>
      <c r="D3950" s="13" t="inlineStr">
        <is>
          <t>6518002657</t>
        </is>
      </c>
      <c r="E3950" s="13" t="inlineStr">
        <is>
          <t>ЮЛ РФ</t>
        </is>
      </c>
      <c r="F3950" s="13" t="n"/>
      <c r="G3950" s="14" t="n"/>
      <c r="H3950" s="14" t="n"/>
      <c r="I3950" s="14" t="n"/>
      <c r="J3950" s="14" t="n"/>
      <c r="K3950" s="53" t="inlineStr"/>
      <c r="L3950" s="53" t="inlineStr">
        <is>
          <t>Не определено</t>
        </is>
      </c>
      <c r="M3950" s="53" t="inlineStr"/>
      <c r="N3950" s="54" t="inlineStr"/>
      <c r="O3950" s="55" t="inlineStr"/>
      <c r="P3950" s="16" t="inlineStr">
        <is>
          <t>Требует обогащения</t>
        </is>
      </c>
      <c r="Q3950" s="16">
        <f>HYPERLINK("https://pb.nalog.ru/search.html?query=6518002657","ФНС: проверить")</f>
        <v/>
      </c>
      <c r="R3950" s="16">
        <f>HYPERLINK("https://checko.ru/search?query=3801001629","Чекко: проверить")</f>
        <v/>
      </c>
      <c r="S3950" t="n">
        <v>1</v>
      </c>
      <c r="T3950" s="35" t="inlineStr">
        <is>
          <t>4 — Не обогащён</t>
        </is>
      </c>
      <c r="U3950" s="35" t="inlineStr">
        <is>
          <t>Нет ОКВЭД/ССЧР</t>
        </is>
      </c>
      <c r="V3950" s="35" t="inlineStr">
        <is>
          <t>Не определено</t>
        </is>
      </c>
      <c r="W3950" s="35" t="inlineStr"/>
      <c r="X3950" s="35" t="inlineStr"/>
    </row>
    <row r="3951" ht="15" customHeight="1" s="24">
      <c r="A3951" s="13" t="n">
        <v>5000098624</v>
      </c>
      <c r="B3951" s="13" t="inlineStr">
        <is>
          <t>ГБУЗ "АНИВСКАЯ ЦРБ"</t>
        </is>
      </c>
      <c r="C3951" s="13" t="n">
        <v>6510003521</v>
      </c>
      <c r="D3951" s="13" t="inlineStr">
        <is>
          <t>6510003521</t>
        </is>
      </c>
      <c r="E3951" s="13" t="inlineStr">
        <is>
          <t>ЮЛ РФ</t>
        </is>
      </c>
      <c r="F3951" s="13" t="n"/>
      <c r="G3951" s="14" t="n"/>
      <c r="H3951" s="14" t="n"/>
      <c r="I3951" s="14" t="n"/>
      <c r="J3951" s="14" t="n"/>
      <c r="K3951" s="53" t="inlineStr"/>
      <c r="L3951" s="53" t="inlineStr">
        <is>
          <t>Не определено</t>
        </is>
      </c>
      <c r="M3951" s="53" t="inlineStr"/>
      <c r="N3951" s="54" t="inlineStr"/>
      <c r="O3951" s="55" t="inlineStr"/>
      <c r="P3951" s="16" t="inlineStr">
        <is>
          <t>Требует обогащения</t>
        </is>
      </c>
      <c r="Q3951" s="16">
        <f>HYPERLINK("https://pb.nalog.ru/search.html?query=6510003521","ФНС: проверить")</f>
        <v/>
      </c>
      <c r="R3951" s="16">
        <f>HYPERLINK("https://checko.ru/search?query=3801001629","Чекко: проверить")</f>
        <v/>
      </c>
      <c r="S3951" t="n">
        <v>1</v>
      </c>
      <c r="T3951" s="35" t="inlineStr">
        <is>
          <t>4 — Не обогащён</t>
        </is>
      </c>
      <c r="U3951" s="35" t="inlineStr">
        <is>
          <t>Нет ОКВЭД/ССЧР</t>
        </is>
      </c>
      <c r="V3951" s="35" t="inlineStr">
        <is>
          <t>Не определено</t>
        </is>
      </c>
      <c r="W3951" s="35" t="inlineStr"/>
      <c r="X3951" s="35" t="inlineStr"/>
    </row>
    <row r="3952" ht="27.75" customHeight="1" s="24">
      <c r="A3952" s="13" t="n">
        <v>5000018327</v>
      </c>
      <c r="B3952" s="13" t="inlineStr">
        <is>
          <t>МКУ «Централизованная бухгалтерия учреждений образования» города Южно-Сахалинска</t>
        </is>
      </c>
      <c r="C3952" s="13" t="n">
        <v>6501243164</v>
      </c>
      <c r="D3952" s="13" t="inlineStr">
        <is>
          <t>6501243164</t>
        </is>
      </c>
      <c r="E3952" s="13" t="inlineStr">
        <is>
          <t>ЮЛ РФ</t>
        </is>
      </c>
      <c r="F3952" s="13" t="n"/>
      <c r="G3952" s="14" t="n"/>
      <c r="H3952" s="14" t="n"/>
      <c r="I3952" s="14" t="n"/>
      <c r="J3952" s="14" t="n"/>
      <c r="K3952" s="53" t="inlineStr"/>
      <c r="L3952" s="53" t="inlineStr">
        <is>
          <t>Не определено</t>
        </is>
      </c>
      <c r="M3952" s="53" t="inlineStr"/>
      <c r="N3952" s="54" t="inlineStr"/>
      <c r="O3952" s="55" t="inlineStr"/>
      <c r="P3952" s="16" t="inlineStr">
        <is>
          <t>Требует обогащения</t>
        </is>
      </c>
      <c r="Q3952" s="16">
        <f>HYPERLINK("https://pb.nalog.ru/search.html?query=6501243164","ФНС: проверить")</f>
        <v/>
      </c>
      <c r="R3952" s="16">
        <f>HYPERLINK("https://checko.ru/search?query=3801001629","Чекко: проверить")</f>
        <v/>
      </c>
      <c r="S3952" t="n">
        <v>1</v>
      </c>
      <c r="T3952" s="35" t="inlineStr">
        <is>
          <t>4 — Не обогащён</t>
        </is>
      </c>
      <c r="U3952" s="35" t="inlineStr">
        <is>
          <t>Нет ОКВЭД/ССЧР</t>
        </is>
      </c>
      <c r="V3952" s="35" t="inlineStr">
        <is>
          <t>Не определено</t>
        </is>
      </c>
      <c r="W3952" s="35" t="inlineStr"/>
      <c r="X3952" s="35" t="inlineStr"/>
    </row>
    <row r="3953" ht="41.25" customHeight="1" s="24">
      <c r="A3953" s="13" t="n">
        <v>5000007416</v>
      </c>
      <c r="B3953" s="13" t="inlineStr">
        <is>
          <t>МБДОУ ДЕТСКИЙ САД № 2 С. КРАСНОПОЛЬЕ УГЛЕГОРСКОГО ГОРОДСКОГО ОКРУГА САХАЛИНСКОЙ ОБЛАСТИ</t>
        </is>
      </c>
      <c r="C3953" s="13" t="n">
        <v>6508009621</v>
      </c>
      <c r="D3953" s="13" t="inlineStr">
        <is>
          <t>6508009621</t>
        </is>
      </c>
      <c r="E3953" s="13" t="inlineStr">
        <is>
          <t>ЮЛ РФ</t>
        </is>
      </c>
      <c r="F3953" s="13" t="n"/>
      <c r="G3953" s="14" t="n"/>
      <c r="H3953" s="14" t="n"/>
      <c r="I3953" s="14" t="n"/>
      <c r="J3953" s="14" t="n"/>
      <c r="K3953" s="53" t="inlineStr"/>
      <c r="L3953" s="53" t="inlineStr">
        <is>
          <t>Не определено</t>
        </is>
      </c>
      <c r="M3953" s="53" t="inlineStr"/>
      <c r="N3953" s="54" t="inlineStr"/>
      <c r="O3953" s="55" t="inlineStr"/>
      <c r="P3953" s="16" t="inlineStr">
        <is>
          <t>Требует обогащения</t>
        </is>
      </c>
      <c r="Q3953" s="16">
        <f>HYPERLINK("https://pb.nalog.ru/search.html?query=6508009621","ФНС: проверить")</f>
        <v/>
      </c>
      <c r="R3953" s="16">
        <f>HYPERLINK("https://checko.ru/search?query=3801001629","Чекко: проверить")</f>
        <v/>
      </c>
      <c r="S3953" t="n">
        <v>1</v>
      </c>
      <c r="T3953" s="35" t="inlineStr">
        <is>
          <t>4 — Не обогащён</t>
        </is>
      </c>
      <c r="U3953" s="35" t="inlineStr">
        <is>
          <t>Нет ОКВЭД/ССЧР</t>
        </is>
      </c>
      <c r="V3953" s="35" t="inlineStr">
        <is>
          <t>Не определено</t>
        </is>
      </c>
      <c r="W3953" s="35" t="inlineStr"/>
      <c r="X3953" s="35" t="inlineStr"/>
    </row>
    <row r="3954" ht="41.25" customHeight="1" s="24">
      <c r="A3954" s="13" t="n">
        <v>5000007417</v>
      </c>
      <c r="B3954" s="13" t="inlineStr">
        <is>
          <t>МБДОУ ДЕТСКИЙ САД КОМБИНИРОВАННОГО ВИДА № 15 ПГТ.ШАХТЕРСК УГЛЕГОРСКОГО ГОРОДСКОГО ОКРУГА САХАЛИНСКОЙ ОБЛАСТИ</t>
        </is>
      </c>
      <c r="C3954" s="13" t="n">
        <v>6508006476</v>
      </c>
      <c r="D3954" s="13" t="inlineStr">
        <is>
          <t>6508006476</t>
        </is>
      </c>
      <c r="E3954" s="13" t="inlineStr">
        <is>
          <t>ЮЛ РФ</t>
        </is>
      </c>
      <c r="F3954" s="13" t="n"/>
      <c r="G3954" s="14" t="n"/>
      <c r="H3954" s="14" t="n"/>
      <c r="I3954" s="14" t="n"/>
      <c r="J3954" s="14" t="n"/>
      <c r="K3954" s="53" t="inlineStr"/>
      <c r="L3954" s="53" t="inlineStr">
        <is>
          <t>Не определено</t>
        </is>
      </c>
      <c r="M3954" s="53" t="inlineStr"/>
      <c r="N3954" s="54" t="inlineStr"/>
      <c r="O3954" s="55" t="inlineStr"/>
      <c r="P3954" s="16" t="inlineStr">
        <is>
          <t>Требует обогащения</t>
        </is>
      </c>
      <c r="Q3954" s="16">
        <f>HYPERLINK("https://pb.nalog.ru/search.html?query=6508006476","ФНС: проверить")</f>
        <v/>
      </c>
      <c r="R3954" s="16">
        <f>HYPERLINK("https://checko.ru/search?query=3801001629","Чекко: проверить")</f>
        <v/>
      </c>
      <c r="S3954" t="n">
        <v>1</v>
      </c>
      <c r="T3954" s="35" t="inlineStr">
        <is>
          <t>4 — Не обогащён</t>
        </is>
      </c>
      <c r="U3954" s="35" t="inlineStr">
        <is>
          <t>Нет ОКВЭД/ССЧР</t>
        </is>
      </c>
      <c r="V3954" s="35" t="inlineStr">
        <is>
          <t>Не определено</t>
        </is>
      </c>
      <c r="W3954" s="35" t="inlineStr"/>
      <c r="X3954" s="35" t="inlineStr"/>
    </row>
    <row r="3955" ht="41.25" customHeight="1" s="24">
      <c r="A3955" s="13" t="n">
        <v>5000007418</v>
      </c>
      <c r="B3955" s="13" t="inlineStr">
        <is>
          <t>МБОУ СРЕДНЯЯ ОБЩЕОБРАЗОВАТЕЛЬНАЯ ШКОЛА С. КРАСНОПОЛЬЕ УГЛЕГОРСКОГО ГОРОДСКОГО ОКРУГА САХАЛИНСКОЙ ОБЛАСТИ</t>
        </is>
      </c>
      <c r="C3955" s="13" t="n">
        <v>6508006540</v>
      </c>
      <c r="D3955" s="13" t="inlineStr">
        <is>
          <t>6508006540</t>
        </is>
      </c>
      <c r="E3955" s="13" t="inlineStr">
        <is>
          <t>ЮЛ РФ</t>
        </is>
      </c>
      <c r="F3955" s="13" t="n"/>
      <c r="G3955" s="14" t="n"/>
      <c r="H3955" s="14" t="n"/>
      <c r="I3955" s="14" t="n"/>
      <c r="J3955" s="14" t="n"/>
      <c r="K3955" s="53" t="inlineStr"/>
      <c r="L3955" s="53" t="inlineStr">
        <is>
          <t>Не определено</t>
        </is>
      </c>
      <c r="M3955" s="53" t="inlineStr"/>
      <c r="N3955" s="54" t="inlineStr"/>
      <c r="O3955" s="55" t="inlineStr"/>
      <c r="P3955" s="16" t="inlineStr">
        <is>
          <t>Требует обогащения</t>
        </is>
      </c>
      <c r="Q3955" s="16">
        <f>HYPERLINK("https://pb.nalog.ru/search.html?query=6508006540","ФНС: проверить")</f>
        <v/>
      </c>
      <c r="R3955" s="16">
        <f>HYPERLINK("https://checko.ru/search?query=3801001629","Чекко: проверить")</f>
        <v/>
      </c>
      <c r="S3955" t="n">
        <v>1</v>
      </c>
      <c r="T3955" s="35" t="inlineStr">
        <is>
          <t>4 — Не обогащён</t>
        </is>
      </c>
      <c r="U3955" s="35" t="inlineStr">
        <is>
          <t>Нет ОКВЭД/ССЧР</t>
        </is>
      </c>
      <c r="V3955" s="35" t="inlineStr">
        <is>
          <t>Не определено</t>
        </is>
      </c>
      <c r="W3955" s="35" t="inlineStr"/>
      <c r="X3955" s="35" t="inlineStr"/>
    </row>
    <row r="3956" ht="41.25" customHeight="1" s="24">
      <c r="A3956" s="13" t="n">
        <v>5000007419</v>
      </c>
      <c r="B3956" s="13" t="inlineStr">
        <is>
          <t>МБДОУ ДЕТСКИЙ САД № 14 ПГТ. ШАХТЕРСК УГЛЕГОРСКОГО ГОРОДСКОГО ОКРУГА САХАЛИНСКОЙ ОБЛАСТИ</t>
        </is>
      </c>
      <c r="C3956" s="13" t="n">
        <v>6508009237</v>
      </c>
      <c r="D3956" s="13" t="inlineStr">
        <is>
          <t>6508009237</t>
        </is>
      </c>
      <c r="E3956" s="13" t="inlineStr">
        <is>
          <t>ЮЛ РФ</t>
        </is>
      </c>
      <c r="F3956" s="13" t="n"/>
      <c r="G3956" s="14" t="n"/>
      <c r="H3956" s="14" t="n"/>
      <c r="I3956" s="14" t="n"/>
      <c r="J3956" s="14" t="n"/>
      <c r="K3956" s="53" t="inlineStr"/>
      <c r="L3956" s="53" t="inlineStr">
        <is>
          <t>Не определено</t>
        </is>
      </c>
      <c r="M3956" s="53" t="inlineStr"/>
      <c r="N3956" s="54" t="inlineStr"/>
      <c r="O3956" s="55" t="inlineStr"/>
      <c r="P3956" s="16" t="inlineStr">
        <is>
          <t>Требует обогащения</t>
        </is>
      </c>
      <c r="Q3956" s="16">
        <f>HYPERLINK("https://pb.nalog.ru/search.html?query=6508009237","ФНС: проверить")</f>
        <v/>
      </c>
      <c r="R3956" s="16">
        <f>HYPERLINK("https://checko.ru/search?query=3801001629","Чекко: проверить")</f>
        <v/>
      </c>
      <c r="S3956" t="n">
        <v>1</v>
      </c>
      <c r="T3956" s="35" t="inlineStr">
        <is>
          <t>4 — Не обогащён</t>
        </is>
      </c>
      <c r="U3956" s="35" t="inlineStr">
        <is>
          <t>Нет ОКВЭД/ССЧР</t>
        </is>
      </c>
      <c r="V3956" s="35" t="inlineStr">
        <is>
          <t>Не определено</t>
        </is>
      </c>
      <c r="W3956" s="35" t="inlineStr"/>
      <c r="X3956" s="35" t="inlineStr"/>
    </row>
    <row r="3957" ht="41.25" customHeight="1" s="24">
      <c r="A3957" s="13" t="n">
        <v>5000007420</v>
      </c>
      <c r="B3957" s="13" t="inlineStr">
        <is>
          <t>МБОУ ДОД ДОМ ДЕТСКОГО ТВОРЧЕСТВА ПГТ. ШАХТЕРСК УГЛЕГОРСКОГО ГОРОДСКОГО ОКРУГА САХАЛИНСКОЙ ОБЛАСТИ</t>
        </is>
      </c>
      <c r="C3957" s="13" t="n">
        <v>6508006395</v>
      </c>
      <c r="D3957" s="13" t="inlineStr">
        <is>
          <t>6508006395</t>
        </is>
      </c>
      <c r="E3957" s="13" t="inlineStr">
        <is>
          <t>ЮЛ РФ</t>
        </is>
      </c>
      <c r="F3957" s="13" t="n"/>
      <c r="G3957" s="14" t="n"/>
      <c r="H3957" s="14" t="n"/>
      <c r="I3957" s="14" t="n"/>
      <c r="J3957" s="14" t="n"/>
      <c r="K3957" s="53" t="inlineStr"/>
      <c r="L3957" s="53" t="inlineStr">
        <is>
          <t>Не определено</t>
        </is>
      </c>
      <c r="M3957" s="53" t="inlineStr"/>
      <c r="N3957" s="54" t="inlineStr"/>
      <c r="O3957" s="55" t="inlineStr"/>
      <c r="P3957" s="16" t="inlineStr">
        <is>
          <t>Требует обогащения</t>
        </is>
      </c>
      <c r="Q3957" s="16">
        <f>HYPERLINK("https://pb.nalog.ru/search.html?query=6508006395","ФНС: проверить")</f>
        <v/>
      </c>
      <c r="R3957" s="16">
        <f>HYPERLINK("https://checko.ru/search?query=3801001629","Чекко: проверить")</f>
        <v/>
      </c>
      <c r="S3957" t="n">
        <v>1</v>
      </c>
      <c r="T3957" s="35" t="inlineStr">
        <is>
          <t>4 — Не обогащён</t>
        </is>
      </c>
      <c r="U3957" s="35" t="inlineStr">
        <is>
          <t>Нет ОКВЭД/ССЧР</t>
        </is>
      </c>
      <c r="V3957" s="35" t="inlineStr">
        <is>
          <t>Не определено</t>
        </is>
      </c>
      <c r="W3957" s="35" t="inlineStr"/>
      <c r="X3957" s="35" t="inlineStr"/>
    </row>
    <row r="3958" ht="27.75" customHeight="1" s="24">
      <c r="A3958" s="13" t="n">
        <v>5000007421</v>
      </c>
      <c r="B3958" s="13" t="inlineStr">
        <is>
          <t>МБОУ ДОД ДЕТСКОГО ТВОРЧЕСТВА Г.УГЛЕГОРСКА САХАЛИНСКОЙ ОБЛАСТИ</t>
        </is>
      </c>
      <c r="C3958" s="13" t="n">
        <v>6508006444</v>
      </c>
      <c r="D3958" s="13" t="inlineStr">
        <is>
          <t>6508006444</t>
        </is>
      </c>
      <c r="E3958" s="13" t="inlineStr">
        <is>
          <t>ЮЛ РФ</t>
        </is>
      </c>
      <c r="F3958" s="13" t="n"/>
      <c r="G3958" s="14" t="n"/>
      <c r="H3958" s="14" t="n"/>
      <c r="I3958" s="14" t="n"/>
      <c r="J3958" s="14" t="n"/>
      <c r="K3958" s="53" t="inlineStr"/>
      <c r="L3958" s="53" t="inlineStr">
        <is>
          <t>Не определено</t>
        </is>
      </c>
      <c r="M3958" s="53" t="inlineStr"/>
      <c r="N3958" s="54" t="inlineStr"/>
      <c r="O3958" s="55" t="inlineStr"/>
      <c r="P3958" s="16" t="inlineStr">
        <is>
          <t>Требует обогащения</t>
        </is>
      </c>
      <c r="Q3958" s="16">
        <f>HYPERLINK("https://pb.nalog.ru/search.html?query=6508006444","ФНС: проверить")</f>
        <v/>
      </c>
      <c r="R3958" s="16">
        <f>HYPERLINK("https://checko.ru/search?query=3801001629","Чекко: проверить")</f>
        <v/>
      </c>
      <c r="S3958" t="n">
        <v>1</v>
      </c>
      <c r="T3958" s="35" t="inlineStr">
        <is>
          <t>4 — Не обогащён</t>
        </is>
      </c>
      <c r="U3958" s="35" t="inlineStr">
        <is>
          <t>Нет ОКВЭД/ССЧР</t>
        </is>
      </c>
      <c r="V3958" s="35" t="inlineStr">
        <is>
          <t>Не определено</t>
        </is>
      </c>
      <c r="W3958" s="35" t="inlineStr"/>
      <c r="X3958" s="35" t="inlineStr"/>
    </row>
    <row r="3959" ht="41.25" customHeight="1" s="24">
      <c r="A3959" s="13" t="n">
        <v>5000007422</v>
      </c>
      <c r="B3959" s="13" t="inlineStr">
        <is>
          <t>МБОУ СРЕДНЯЯ ОБЩЕОБРАЗОВАТЕЛЬНАЯ ШКОЛА С.ЛЕСОГОРСКОЕ УГЛЕГОРСКОГО ГОРОДСКОГО ОКРУГА САХАЛИНСКОЙ ОБЛАСТИ</t>
        </is>
      </c>
      <c r="C3959" s="13" t="n">
        <v>6508006525</v>
      </c>
      <c r="D3959" s="13" t="inlineStr">
        <is>
          <t>6508006525</t>
        </is>
      </c>
      <c r="E3959" s="13" t="inlineStr">
        <is>
          <t>ЮЛ РФ</t>
        </is>
      </c>
      <c r="F3959" s="13" t="n"/>
      <c r="G3959" s="14" t="n"/>
      <c r="H3959" s="14" t="n"/>
      <c r="I3959" s="14" t="n"/>
      <c r="J3959" s="14" t="n"/>
      <c r="K3959" s="53" t="inlineStr"/>
      <c r="L3959" s="53" t="inlineStr">
        <is>
          <t>Не определено</t>
        </is>
      </c>
      <c r="M3959" s="53" t="inlineStr"/>
      <c r="N3959" s="54" t="inlineStr"/>
      <c r="O3959" s="55" t="inlineStr"/>
      <c r="P3959" s="16" t="inlineStr">
        <is>
          <t>Требует обогащения</t>
        </is>
      </c>
      <c r="Q3959" s="16">
        <f>HYPERLINK("https://pb.nalog.ru/search.html?query=6508006525","ФНС: проверить")</f>
        <v/>
      </c>
      <c r="R3959" s="16">
        <f>HYPERLINK("https://checko.ru/search?query=3801001629","Чекко: проверить")</f>
        <v/>
      </c>
      <c r="S3959" t="n">
        <v>1</v>
      </c>
      <c r="T3959" s="35" t="inlineStr">
        <is>
          <t>4 — Не обогащён</t>
        </is>
      </c>
      <c r="U3959" s="35" t="inlineStr">
        <is>
          <t>Нет ОКВЭД/ССЧР</t>
        </is>
      </c>
      <c r="V3959" s="35" t="inlineStr">
        <is>
          <t>Не определено</t>
        </is>
      </c>
      <c r="W3959" s="35" t="inlineStr"/>
      <c r="X3959" s="35" t="inlineStr"/>
    </row>
    <row r="3960" ht="41.25" customHeight="1" s="24">
      <c r="A3960" s="13" t="n">
        <v>5000007423</v>
      </c>
      <c r="B3960" s="13" t="inlineStr">
        <is>
          <t>МБОУ НАЧАЛЬНАЯ ОБЩЕОБРАЗОВАТЕЛЬНАЯ ШКОЛА ЭСТЕТИЧЕСКОГО РАЗВИТИЯ Г. УГЛЕГОРСКА САХАЛИНСКОЙ ОБЛАСТИ</t>
        </is>
      </c>
      <c r="C3960" s="13" t="n">
        <v>6508007984</v>
      </c>
      <c r="D3960" s="13" t="inlineStr">
        <is>
          <t>6508007984</t>
        </is>
      </c>
      <c r="E3960" s="13" t="inlineStr">
        <is>
          <t>ЮЛ РФ</t>
        </is>
      </c>
      <c r="F3960" s="13" t="n"/>
      <c r="G3960" s="14" t="n"/>
      <c r="H3960" s="14" t="n"/>
      <c r="I3960" s="14" t="n"/>
      <c r="J3960" s="14" t="n"/>
      <c r="K3960" s="53" t="inlineStr"/>
      <c r="L3960" s="53" t="inlineStr">
        <is>
          <t>Не определено</t>
        </is>
      </c>
      <c r="M3960" s="53" t="inlineStr"/>
      <c r="N3960" s="54" t="inlineStr"/>
      <c r="O3960" s="55" t="inlineStr"/>
      <c r="P3960" s="16" t="inlineStr">
        <is>
          <t>Требует обогащения</t>
        </is>
      </c>
      <c r="Q3960" s="16">
        <f>HYPERLINK("https://pb.nalog.ru/search.html?query=6508007984","ФНС: проверить")</f>
        <v/>
      </c>
      <c r="R3960" s="16">
        <f>HYPERLINK("https://checko.ru/search?query=3801001629","Чекко: проверить")</f>
        <v/>
      </c>
      <c r="S3960" t="n">
        <v>1</v>
      </c>
      <c r="T3960" s="35" t="inlineStr">
        <is>
          <t>4 — Не обогащён</t>
        </is>
      </c>
      <c r="U3960" s="35" t="inlineStr">
        <is>
          <t>Нет ОКВЭД/ССЧР</t>
        </is>
      </c>
      <c r="V3960" s="35" t="inlineStr">
        <is>
          <t>Не определено</t>
        </is>
      </c>
      <c r="W3960" s="35" t="inlineStr"/>
      <c r="X3960" s="35" t="inlineStr"/>
    </row>
    <row r="3961" ht="41.25" customHeight="1" s="24">
      <c r="A3961" s="13" t="n">
        <v>5000007424</v>
      </c>
      <c r="B3961" s="13" t="inlineStr">
        <is>
          <t>МБОУ СРЕДНЯЯ ОБЩЕОБРАЗОВАТЕЛЬНАЯ ШКОЛА № 2 ПГТ. ШАХТЕРСК УГЛЕГОРСКОГО ГОРОДСКОГО ОКРУГА САХАЛИНСКОЙ ОБЛАСТИ</t>
        </is>
      </c>
      <c r="C3961" s="13" t="n">
        <v>6508006388</v>
      </c>
      <c r="D3961" s="13" t="inlineStr">
        <is>
          <t>6508006388</t>
        </is>
      </c>
      <c r="E3961" s="13" t="inlineStr">
        <is>
          <t>ЮЛ РФ</t>
        </is>
      </c>
      <c r="F3961" s="13" t="n"/>
      <c r="G3961" s="14" t="n"/>
      <c r="H3961" s="14" t="n"/>
      <c r="I3961" s="14" t="n"/>
      <c r="J3961" s="14" t="n"/>
      <c r="K3961" s="53" t="inlineStr"/>
      <c r="L3961" s="53" t="inlineStr">
        <is>
          <t>Не определено</t>
        </is>
      </c>
      <c r="M3961" s="53" t="inlineStr"/>
      <c r="N3961" s="54" t="inlineStr"/>
      <c r="O3961" s="55" t="inlineStr"/>
      <c r="P3961" s="16" t="inlineStr">
        <is>
          <t>Требует обогащения</t>
        </is>
      </c>
      <c r="Q3961" s="16">
        <f>HYPERLINK("https://pb.nalog.ru/search.html?query=6508006388","ФНС: проверить")</f>
        <v/>
      </c>
      <c r="R3961" s="16">
        <f>HYPERLINK("https://checko.ru/search?query=3801001629","Чекко: проверить")</f>
        <v/>
      </c>
      <c r="S3961" t="n">
        <v>1</v>
      </c>
      <c r="T3961" s="35" t="inlineStr">
        <is>
          <t>4 — Не обогащён</t>
        </is>
      </c>
      <c r="U3961" s="35" t="inlineStr">
        <is>
          <t>Нет ОКВЭД/ССЧР</t>
        </is>
      </c>
      <c r="V3961" s="35" t="inlineStr">
        <is>
          <t>Не определено</t>
        </is>
      </c>
      <c r="W3961" s="35" t="inlineStr"/>
      <c r="X3961" s="35" t="inlineStr"/>
    </row>
    <row r="3962" ht="41.25" customHeight="1" s="24">
      <c r="A3962" s="13" t="n">
        <v>5000007426</v>
      </c>
      <c r="B3962" s="13" t="inlineStr">
        <is>
          <t>МБДОУ ДЕТСКИЙ САД № 22 С. БОШНЯКОВО УГЛЕГОРСКОГО ГОРОДСКОГО ОКРУГА САХАЛИНСКОЙ ОБЛАСТИ</t>
        </is>
      </c>
      <c r="C3962" s="13" t="n">
        <v>6508006691</v>
      </c>
      <c r="D3962" s="13" t="inlineStr">
        <is>
          <t>6508006691</t>
        </is>
      </c>
      <c r="E3962" s="13" t="inlineStr">
        <is>
          <t>ЮЛ РФ</t>
        </is>
      </c>
      <c r="F3962" s="13" t="n"/>
      <c r="G3962" s="14" t="n"/>
      <c r="H3962" s="14" t="n"/>
      <c r="I3962" s="14" t="n"/>
      <c r="J3962" s="14" t="n"/>
      <c r="K3962" s="53" t="inlineStr"/>
      <c r="L3962" s="53" t="inlineStr">
        <is>
          <t>Не определено</t>
        </is>
      </c>
      <c r="M3962" s="53" t="inlineStr"/>
      <c r="N3962" s="54" t="inlineStr"/>
      <c r="O3962" s="55" t="inlineStr"/>
      <c r="P3962" s="16" t="inlineStr">
        <is>
          <t>Требует обогащения</t>
        </is>
      </c>
      <c r="Q3962" s="16">
        <f>HYPERLINK("https://pb.nalog.ru/search.html?query=6508006691","ФНС: проверить")</f>
        <v/>
      </c>
      <c r="R3962" s="16">
        <f>HYPERLINK("https://checko.ru/search?query=3801001629","Чекко: проверить")</f>
        <v/>
      </c>
      <c r="S3962" t="n">
        <v>1</v>
      </c>
      <c r="T3962" s="35" t="inlineStr">
        <is>
          <t>4 — Не обогащён</t>
        </is>
      </c>
      <c r="U3962" s="35" t="inlineStr">
        <is>
          <t>Нет ОКВЭД/ССЧР</t>
        </is>
      </c>
      <c r="V3962" s="35" t="inlineStr">
        <is>
          <t>Не определено</t>
        </is>
      </c>
      <c r="W3962" s="35" t="inlineStr"/>
      <c r="X3962" s="35" t="inlineStr"/>
    </row>
    <row r="3963" ht="41.25" customHeight="1" s="24">
      <c r="A3963" s="13" t="n">
        <v>5000007428</v>
      </c>
      <c r="B3963" s="13" t="inlineStr">
        <is>
          <t>МБОУ СРЕДНЯЯ ОБЩЕОБРАЗОВАТЕЛЬНАЯ ШКОЛА С.ПОРЕЧЬЕ УГЛЕГОРСКОГО ГОРОДСКОГО ОКРУГА САХАЛИНСКОЙ ОБЛАСТИ</t>
        </is>
      </c>
      <c r="C3963" s="13" t="n">
        <v>6508006412</v>
      </c>
      <c r="D3963" s="13" t="inlineStr">
        <is>
          <t>6508006412</t>
        </is>
      </c>
      <c r="E3963" s="13" t="inlineStr">
        <is>
          <t>ЮЛ РФ</t>
        </is>
      </c>
      <c r="F3963" s="13" t="n"/>
      <c r="G3963" s="14" t="n"/>
      <c r="H3963" s="14" t="n"/>
      <c r="I3963" s="14" t="n"/>
      <c r="J3963" s="14" t="n"/>
      <c r="K3963" s="53" t="inlineStr"/>
      <c r="L3963" s="53" t="inlineStr">
        <is>
          <t>Не определено</t>
        </is>
      </c>
      <c r="M3963" s="53" t="inlineStr"/>
      <c r="N3963" s="54" t="inlineStr"/>
      <c r="O3963" s="55" t="inlineStr"/>
      <c r="P3963" s="16" t="inlineStr">
        <is>
          <t>Требует обогащения</t>
        </is>
      </c>
      <c r="Q3963" s="16">
        <f>HYPERLINK("https://pb.nalog.ru/search.html?query=6508006412","ФНС: проверить")</f>
        <v/>
      </c>
      <c r="R3963" s="16">
        <f>HYPERLINK("https://checko.ru/search?query=3801001629","Чекко: проверить")</f>
        <v/>
      </c>
      <c r="S3963" t="n">
        <v>1</v>
      </c>
      <c r="T3963" s="35" t="inlineStr">
        <is>
          <t>4 — Не обогащён</t>
        </is>
      </c>
      <c r="U3963" s="35" t="inlineStr">
        <is>
          <t>Нет ОКВЭД/ССЧР</t>
        </is>
      </c>
      <c r="V3963" s="35" t="inlineStr">
        <is>
          <t>Не определено</t>
        </is>
      </c>
      <c r="W3963" s="35" t="inlineStr"/>
      <c r="X3963" s="35" t="inlineStr"/>
    </row>
    <row r="3964" ht="41.25" customHeight="1" s="24">
      <c r="A3964" s="13" t="n">
        <v>5000007429</v>
      </c>
      <c r="B3964" s="13" t="inlineStr">
        <is>
          <t>МБДОУ ДЕТСКОГО САДА КОМБИНИРОВАННОГО ВИДА № 27 Г.УГЛЕГОРСКА САХАЛИНСКОЙ ОБЛАСТИ</t>
        </is>
      </c>
      <c r="C3964" s="13" t="n">
        <v>6508006405</v>
      </c>
      <c r="D3964" s="13" t="inlineStr">
        <is>
          <t>6508006405</t>
        </is>
      </c>
      <c r="E3964" s="13" t="inlineStr">
        <is>
          <t>ЮЛ РФ</t>
        </is>
      </c>
      <c r="F3964" s="13" t="n"/>
      <c r="G3964" s="14" t="n"/>
      <c r="H3964" s="14" t="n"/>
      <c r="I3964" s="14" t="n"/>
      <c r="J3964" s="14" t="n"/>
      <c r="K3964" s="53" t="inlineStr"/>
      <c r="L3964" s="53" t="inlineStr">
        <is>
          <t>Не определено</t>
        </is>
      </c>
      <c r="M3964" s="53" t="inlineStr"/>
      <c r="N3964" s="54" t="inlineStr"/>
      <c r="O3964" s="55" t="inlineStr"/>
      <c r="P3964" s="16" t="inlineStr">
        <is>
          <t>Требует обогащения</t>
        </is>
      </c>
      <c r="Q3964" s="16">
        <f>HYPERLINK("https://pb.nalog.ru/search.html?query=6508006405","ФНС: проверить")</f>
        <v/>
      </c>
      <c r="R3964" s="16">
        <f>HYPERLINK("https://checko.ru/search?query=3801001629","Чекко: проверить")</f>
        <v/>
      </c>
      <c r="S3964" t="n">
        <v>1</v>
      </c>
      <c r="T3964" s="35" t="inlineStr">
        <is>
          <t>4 — Не обогащён</t>
        </is>
      </c>
      <c r="U3964" s="35" t="inlineStr">
        <is>
          <t>Нет ОКВЭД/ССЧР</t>
        </is>
      </c>
      <c r="V3964" s="35" t="inlineStr">
        <is>
          <t>Не определено</t>
        </is>
      </c>
      <c r="W3964" s="35" t="inlineStr"/>
      <c r="X3964" s="35" t="inlineStr"/>
    </row>
    <row r="3965" ht="27.75" customHeight="1" s="24">
      <c r="A3965" s="13" t="n">
        <v>5000007430</v>
      </c>
      <c r="B3965" s="13" t="inlineStr">
        <is>
          <t>МБДОУ ДЕТСКИЙ САД № 26 Г. УГЛЕГОРСКА САХАЛИНСКОЙ ОБЛАСТИ</t>
        </is>
      </c>
      <c r="C3965" s="13" t="n">
        <v>6508006317</v>
      </c>
      <c r="D3965" s="13" t="inlineStr">
        <is>
          <t>6508006317</t>
        </is>
      </c>
      <c r="E3965" s="13" t="inlineStr">
        <is>
          <t>ЮЛ РФ</t>
        </is>
      </c>
      <c r="F3965" s="13" t="n"/>
      <c r="G3965" s="14" t="n"/>
      <c r="H3965" s="14" t="n"/>
      <c r="I3965" s="14" t="n"/>
      <c r="J3965" s="14" t="n"/>
      <c r="K3965" s="53" t="inlineStr"/>
      <c r="L3965" s="53" t="inlineStr">
        <is>
          <t>Не определено</t>
        </is>
      </c>
      <c r="M3965" s="53" t="inlineStr"/>
      <c r="N3965" s="54" t="inlineStr"/>
      <c r="O3965" s="55" t="inlineStr"/>
      <c r="P3965" s="16" t="inlineStr">
        <is>
          <t>Требует обогащения</t>
        </is>
      </c>
      <c r="Q3965" s="16">
        <f>HYPERLINK("https://pb.nalog.ru/search.html?query=6508006317","ФНС: проверить")</f>
        <v/>
      </c>
      <c r="R3965" s="16">
        <f>HYPERLINK("https://checko.ru/search?query=3801001629","Чекко: проверить")</f>
        <v/>
      </c>
      <c r="S3965" t="n">
        <v>1</v>
      </c>
      <c r="T3965" s="35" t="inlineStr">
        <is>
          <t>4 — Не обогащён</t>
        </is>
      </c>
      <c r="U3965" s="35" t="inlineStr">
        <is>
          <t>Нет ОКВЭД/ССЧР</t>
        </is>
      </c>
      <c r="V3965" s="35" t="inlineStr">
        <is>
          <t>Не определено</t>
        </is>
      </c>
      <c r="W3965" s="35" t="inlineStr"/>
      <c r="X3965" s="35" t="inlineStr"/>
    </row>
    <row r="3966" ht="41.25" customHeight="1" s="24">
      <c r="A3966" s="13" t="n">
        <v>5000007431</v>
      </c>
      <c r="B3966" s="13" t="inlineStr">
        <is>
          <t>МБДОУ ДЕТСКИЙ САД КОМБИНИРОВАННОГО ВИДА № 8 ПГТ. ШАХТЕРСК УГЛЕГОРСКОГО ГОРОДСКОГО ОКРУГА САХАЛИНСКОЙ ОБЛАСТИ</t>
        </is>
      </c>
      <c r="C3966" s="13" t="n">
        <v>6508006469</v>
      </c>
      <c r="D3966" s="13" t="inlineStr">
        <is>
          <t>6508006469</t>
        </is>
      </c>
      <c r="E3966" s="13" t="inlineStr">
        <is>
          <t>ЮЛ РФ</t>
        </is>
      </c>
      <c r="F3966" s="13" t="n"/>
      <c r="G3966" s="14" t="n"/>
      <c r="H3966" s="14" t="n"/>
      <c r="I3966" s="14" t="n"/>
      <c r="J3966" s="14" t="n"/>
      <c r="K3966" s="53" t="inlineStr"/>
      <c r="L3966" s="53" t="inlineStr">
        <is>
          <t>Не определено</t>
        </is>
      </c>
      <c r="M3966" s="53" t="inlineStr"/>
      <c r="N3966" s="54" t="inlineStr"/>
      <c r="O3966" s="55" t="inlineStr"/>
      <c r="P3966" s="16" t="inlineStr">
        <is>
          <t>Требует обогащения</t>
        </is>
      </c>
      <c r="Q3966" s="16">
        <f>HYPERLINK("https://pb.nalog.ru/search.html?query=6508006469","ФНС: проверить")</f>
        <v/>
      </c>
      <c r="R3966" s="16">
        <f>HYPERLINK("https://checko.ru/search?query=3801001629","Чекко: проверить")</f>
        <v/>
      </c>
      <c r="S3966" t="n">
        <v>1</v>
      </c>
      <c r="T3966" s="35" t="inlineStr">
        <is>
          <t>4 — Не обогащён</t>
        </is>
      </c>
      <c r="U3966" s="35" t="inlineStr">
        <is>
          <t>Нет ОКВЭД/ССЧР</t>
        </is>
      </c>
      <c r="V3966" s="35" t="inlineStr">
        <is>
          <t>Не определено</t>
        </is>
      </c>
      <c r="W3966" s="35" t="inlineStr"/>
      <c r="X3966" s="35" t="inlineStr"/>
    </row>
    <row r="3967" ht="27.75" customHeight="1" s="24">
      <c r="A3967" s="13" t="n">
        <v>5000007432</v>
      </c>
      <c r="B3967" s="13" t="inlineStr">
        <is>
          <t>МБДОУ ДЕТСКИЙ САД № 1 Г. УГЛЕГОРСКА САХАЛИНСКОЙ ОБЛАСТИ</t>
        </is>
      </c>
      <c r="C3967" s="13" t="n">
        <v>6508006363</v>
      </c>
      <c r="D3967" s="13" t="inlineStr">
        <is>
          <t>6508006363</t>
        </is>
      </c>
      <c r="E3967" s="13" t="inlineStr">
        <is>
          <t>ЮЛ РФ</t>
        </is>
      </c>
      <c r="F3967" s="13" t="n"/>
      <c r="G3967" s="14" t="n"/>
      <c r="H3967" s="14" t="n"/>
      <c r="I3967" s="14" t="n"/>
      <c r="J3967" s="14" t="n"/>
      <c r="K3967" s="53" t="inlineStr"/>
      <c r="L3967" s="53" t="inlineStr">
        <is>
          <t>Не определено</t>
        </is>
      </c>
      <c r="M3967" s="53" t="inlineStr"/>
      <c r="N3967" s="54" t="inlineStr"/>
      <c r="O3967" s="55" t="inlineStr"/>
      <c r="P3967" s="16" t="inlineStr">
        <is>
          <t>Требует обогащения</t>
        </is>
      </c>
      <c r="Q3967" s="16">
        <f>HYPERLINK("https://pb.nalog.ru/search.html?query=6508006363","ФНС: проверить")</f>
        <v/>
      </c>
      <c r="R3967" s="16">
        <f>HYPERLINK("https://checko.ru/search?query=3801001629","Чекко: проверить")</f>
        <v/>
      </c>
      <c r="S3967" t="n">
        <v>1</v>
      </c>
      <c r="T3967" s="35" t="inlineStr">
        <is>
          <t>4 — Не обогащён</t>
        </is>
      </c>
      <c r="U3967" s="35" t="inlineStr">
        <is>
          <t>Нет ОКВЭД/ССЧР</t>
        </is>
      </c>
      <c r="V3967" s="35" t="inlineStr">
        <is>
          <t>Не определено</t>
        </is>
      </c>
      <c r="W3967" s="35" t="inlineStr"/>
      <c r="X3967" s="35" t="inlineStr"/>
    </row>
    <row r="3968" ht="41.25" customHeight="1" s="24">
      <c r="A3968" s="13" t="n">
        <v>5000007433</v>
      </c>
      <c r="B3968" s="13" t="inlineStr">
        <is>
          <t>МБОУ СРЕДНЯЯ ОБЩЕОБРАЗОВАТЕЛЬНАЯ ШКОЛА С.БОШНЯКОВО УГЛЕГОРСКОГО ГОРОДСКОГО ОКРУГА САХАЛИНСКОЙ ОБЛАСТИ</t>
        </is>
      </c>
      <c r="C3968" s="13" t="n">
        <v>6508006596</v>
      </c>
      <c r="D3968" s="13" t="inlineStr">
        <is>
          <t>6508006596</t>
        </is>
      </c>
      <c r="E3968" s="13" t="inlineStr">
        <is>
          <t>ЮЛ РФ</t>
        </is>
      </c>
      <c r="F3968" s="13" t="n"/>
      <c r="G3968" s="14" t="n"/>
      <c r="H3968" s="14" t="n"/>
      <c r="I3968" s="14" t="n"/>
      <c r="J3968" s="14" t="n"/>
      <c r="K3968" s="53" t="inlineStr"/>
      <c r="L3968" s="53" t="inlineStr">
        <is>
          <t>Не определено</t>
        </is>
      </c>
      <c r="M3968" s="53" t="inlineStr"/>
      <c r="N3968" s="54" t="inlineStr"/>
      <c r="O3968" s="55" t="inlineStr"/>
      <c r="P3968" s="16" t="inlineStr">
        <is>
          <t>Требует обогащения</t>
        </is>
      </c>
      <c r="Q3968" s="16">
        <f>HYPERLINK("https://pb.nalog.ru/search.html?query=6508006596","ФНС: проверить")</f>
        <v/>
      </c>
      <c r="R3968" s="16">
        <f>HYPERLINK("https://checko.ru/search?query=3801001629","Чекко: проверить")</f>
        <v/>
      </c>
      <c r="S3968" t="n">
        <v>1</v>
      </c>
      <c r="T3968" s="35" t="inlineStr">
        <is>
          <t>4 — Не обогащён</t>
        </is>
      </c>
      <c r="U3968" s="35" t="inlineStr">
        <is>
          <t>Нет ОКВЭД/ССЧР</t>
        </is>
      </c>
      <c r="V3968" s="35" t="inlineStr">
        <is>
          <t>Не определено</t>
        </is>
      </c>
      <c r="W3968" s="35" t="inlineStr"/>
      <c r="X3968" s="35" t="inlineStr"/>
    </row>
    <row r="3969" ht="27.75" customHeight="1" s="24">
      <c r="A3969" s="13" t="n">
        <v>5000007435</v>
      </c>
      <c r="B3969" s="13" t="inlineStr">
        <is>
          <t>МБОУ СРЕДНЯЯ ОБЩЕОБРАЗОВАТЕЛЬНАЯ ШКОЛА №5 Г.УГЛЕГОРСКА САХАЛИНСКОЙ ОБЛАСТИ</t>
        </is>
      </c>
      <c r="C3969" s="13" t="n">
        <v>6508004398</v>
      </c>
      <c r="D3969" s="13" t="inlineStr">
        <is>
          <t>6508004398</t>
        </is>
      </c>
      <c r="E3969" s="13" t="inlineStr">
        <is>
          <t>ЮЛ РФ</t>
        </is>
      </c>
      <c r="F3969" s="13" t="n"/>
      <c r="G3969" s="14" t="n"/>
      <c r="H3969" s="14" t="n"/>
      <c r="I3969" s="14" t="n"/>
      <c r="J3969" s="14" t="n"/>
      <c r="K3969" s="53" t="inlineStr"/>
      <c r="L3969" s="53" t="inlineStr">
        <is>
          <t>Не определено</t>
        </is>
      </c>
      <c r="M3969" s="53" t="inlineStr"/>
      <c r="N3969" s="54" t="inlineStr"/>
      <c r="O3969" s="55" t="inlineStr"/>
      <c r="P3969" s="16" t="inlineStr">
        <is>
          <t>Требует обогащения</t>
        </is>
      </c>
      <c r="Q3969" s="16">
        <f>HYPERLINK("https://pb.nalog.ru/search.html?query=6508004398","ФНС: проверить")</f>
        <v/>
      </c>
      <c r="R3969" s="16">
        <f>HYPERLINK("https://checko.ru/search?query=3801001629","Чекко: проверить")</f>
        <v/>
      </c>
      <c r="S3969" t="n">
        <v>1</v>
      </c>
      <c r="T3969" s="35" t="inlineStr">
        <is>
          <t>4 — Не обогащён</t>
        </is>
      </c>
      <c r="U3969" s="35" t="inlineStr">
        <is>
          <t>Нет ОКВЭД/ССЧР</t>
        </is>
      </c>
      <c r="V3969" s="35" t="inlineStr">
        <is>
          <t>Не определено</t>
        </is>
      </c>
      <c r="W3969" s="35" t="inlineStr"/>
      <c r="X3969" s="35" t="inlineStr"/>
    </row>
    <row r="3970" ht="41.25" customHeight="1" s="24">
      <c r="A3970" s="13" t="n">
        <v>5000007436</v>
      </c>
      <c r="B3970" s="13" t="inlineStr">
        <is>
          <t>МБОУ ОСНОВНАЯ ОБЩЕОБРАЗОВАТЕЛЬНАЯ ШКОЛА №2 Г.УГЛЕГОРСКА САХАЛИНСКОЙ ОБЛАСТИ</t>
        </is>
      </c>
      <c r="C3970" s="13" t="n">
        <v>6508006300</v>
      </c>
      <c r="D3970" s="13" t="inlineStr">
        <is>
          <t>6508006300</t>
        </is>
      </c>
      <c r="E3970" s="13" t="inlineStr">
        <is>
          <t>ЮЛ РФ</t>
        </is>
      </c>
      <c r="F3970" s="13" t="n"/>
      <c r="G3970" s="14" t="n"/>
      <c r="H3970" s="14" t="n"/>
      <c r="I3970" s="14" t="n"/>
      <c r="J3970" s="14" t="n"/>
      <c r="K3970" s="53" t="inlineStr"/>
      <c r="L3970" s="53" t="inlineStr">
        <is>
          <t>Не определено</t>
        </is>
      </c>
      <c r="M3970" s="53" t="inlineStr"/>
      <c r="N3970" s="54" t="inlineStr"/>
      <c r="O3970" s="55" t="inlineStr"/>
      <c r="P3970" s="16" t="inlineStr">
        <is>
          <t>Требует обогащения</t>
        </is>
      </c>
      <c r="Q3970" s="16">
        <f>HYPERLINK("https://pb.nalog.ru/search.html?query=6508006300","ФНС: проверить")</f>
        <v/>
      </c>
      <c r="R3970" s="16">
        <f>HYPERLINK("https://checko.ru/search?query=3801001629","Чекко: проверить")</f>
        <v/>
      </c>
      <c r="S3970" t="n">
        <v>1</v>
      </c>
      <c r="T3970" s="35" t="inlineStr">
        <is>
          <t>4 — Не обогащён</t>
        </is>
      </c>
      <c r="U3970" s="35" t="inlineStr">
        <is>
          <t>Нет ОКВЭД/ССЧР</t>
        </is>
      </c>
      <c r="V3970" s="35" t="inlineStr">
        <is>
          <t>Не определено</t>
        </is>
      </c>
      <c r="W3970" s="35" t="inlineStr"/>
      <c r="X3970" s="35" t="inlineStr"/>
    </row>
    <row r="3971" ht="27.75" customHeight="1" s="24">
      <c r="A3971" s="13" t="n">
        <v>5000007437</v>
      </c>
      <c r="B3971" s="13" t="inlineStr">
        <is>
          <t>МБОУ СРЕДНЯЯ ОБЩЕОБРАЗОВАТЕЛЬНАЯ ШКОЛА № 1 Г.УГЛЕГОРСКА САХАЛИНСКОЙ ОБЛАСТИ</t>
        </is>
      </c>
      <c r="C3971" s="13" t="n">
        <v>6508006370</v>
      </c>
      <c r="D3971" s="13" t="inlineStr">
        <is>
          <t>6508006370</t>
        </is>
      </c>
      <c r="E3971" s="13" t="inlineStr">
        <is>
          <t>ЮЛ РФ</t>
        </is>
      </c>
      <c r="F3971" s="13" t="n"/>
      <c r="G3971" s="14" t="n"/>
      <c r="H3971" s="14" t="n"/>
      <c r="I3971" s="14" t="n"/>
      <c r="J3971" s="14" t="n"/>
      <c r="K3971" s="53" t="inlineStr"/>
      <c r="L3971" s="53" t="inlineStr">
        <is>
          <t>Не определено</t>
        </is>
      </c>
      <c r="M3971" s="53" t="inlineStr"/>
      <c r="N3971" s="54" t="inlineStr"/>
      <c r="O3971" s="55" t="inlineStr"/>
      <c r="P3971" s="16" t="inlineStr">
        <is>
          <t>Требует обогащения</t>
        </is>
      </c>
      <c r="Q3971" s="16">
        <f>HYPERLINK("https://pb.nalog.ru/search.html?query=6508006370","ФНС: проверить")</f>
        <v/>
      </c>
      <c r="R3971" s="16">
        <f>HYPERLINK("https://checko.ru/search?query=3801001629","Чекко: проверить")</f>
        <v/>
      </c>
      <c r="S3971" t="n">
        <v>1</v>
      </c>
      <c r="T3971" s="35" t="inlineStr">
        <is>
          <t>4 — Не обогащён</t>
        </is>
      </c>
      <c r="U3971" s="35" t="inlineStr">
        <is>
          <t>Нет ОКВЭД/ССЧР</t>
        </is>
      </c>
      <c r="V3971" s="35" t="inlineStr">
        <is>
          <t>Не определено</t>
        </is>
      </c>
      <c r="W3971" s="35" t="inlineStr"/>
      <c r="X3971" s="35" t="inlineStr"/>
    </row>
    <row r="3972" ht="41.25" customHeight="1" s="24">
      <c r="A3972" s="13" t="n">
        <v>5000007438</v>
      </c>
      <c r="B3972" s="13" t="inlineStr">
        <is>
          <t>МБДОУ ДЕТСКИЙ САД № 3 "РАДУГА" Г. УГЛЕГОРСКА УГЛЕГОРСКОГО ГОРОДСКОГО ОКРУГА САХАЛИНСКОЙ ОБЛАСТИ</t>
        </is>
      </c>
      <c r="C3972" s="13" t="n">
        <v>6508010338</v>
      </c>
      <c r="D3972" s="13" t="inlineStr">
        <is>
          <t>6508010338</t>
        </is>
      </c>
      <c r="E3972" s="13" t="inlineStr">
        <is>
          <t>ЮЛ РФ</t>
        </is>
      </c>
      <c r="F3972" s="13" t="n"/>
      <c r="G3972" s="14" t="n"/>
      <c r="H3972" s="14" t="n"/>
      <c r="I3972" s="14" t="n"/>
      <c r="J3972" s="14" t="n"/>
      <c r="K3972" s="53" t="inlineStr"/>
      <c r="L3972" s="53" t="inlineStr">
        <is>
          <t>Не определено</t>
        </is>
      </c>
      <c r="M3972" s="53" t="inlineStr"/>
      <c r="N3972" s="54" t="inlineStr"/>
      <c r="O3972" s="55" t="inlineStr"/>
      <c r="P3972" s="16" t="inlineStr">
        <is>
          <t>Требует обогащения</t>
        </is>
      </c>
      <c r="Q3972" s="16">
        <f>HYPERLINK("https://pb.nalog.ru/search.html?query=6508010338","ФНС: проверить")</f>
        <v/>
      </c>
      <c r="R3972" s="16">
        <f>HYPERLINK("https://checko.ru/search?query=3801001629","Чекко: проверить")</f>
        <v/>
      </c>
      <c r="S3972" t="n">
        <v>1</v>
      </c>
      <c r="T3972" s="35" t="inlineStr">
        <is>
          <t>4 — Не обогащён</t>
        </is>
      </c>
      <c r="U3972" s="35" t="inlineStr">
        <is>
          <t>Нет ОКВЭД/ССЧР</t>
        </is>
      </c>
      <c r="V3972" s="35" t="inlineStr">
        <is>
          <t>Не определено</t>
        </is>
      </c>
      <c r="W3972" s="35" t="inlineStr"/>
      <c r="X3972" s="35" t="inlineStr"/>
    </row>
    <row r="3973" ht="27.75" customHeight="1" s="24">
      <c r="A3973" s="13" t="n">
        <v>5000003198</v>
      </c>
      <c r="B3973" s="13" t="inlineStr">
        <is>
          <t>Комитет по управлению имуществом администрации Невельского городского округа</t>
        </is>
      </c>
      <c r="C3973" s="13" t="n">
        <v>6505007351</v>
      </c>
      <c r="D3973" s="13" t="inlineStr">
        <is>
          <t>6505007351</t>
        </is>
      </c>
      <c r="E3973" s="13" t="inlineStr">
        <is>
          <t>ЮЛ РФ</t>
        </is>
      </c>
      <c r="F3973" s="13" t="n"/>
      <c r="G3973" s="14" t="n"/>
      <c r="H3973" s="14" t="n"/>
      <c r="I3973" s="14" t="n"/>
      <c r="J3973" s="14" t="n"/>
      <c r="K3973" s="53" t="inlineStr"/>
      <c r="L3973" s="53" t="inlineStr">
        <is>
          <t>Не определено</t>
        </is>
      </c>
      <c r="M3973" s="53" t="inlineStr"/>
      <c r="N3973" s="54" t="inlineStr"/>
      <c r="O3973" s="55" t="inlineStr"/>
      <c r="P3973" s="16" t="inlineStr">
        <is>
          <t>Требует обогащения</t>
        </is>
      </c>
      <c r="Q3973" s="16">
        <f>HYPERLINK("https://pb.nalog.ru/search.html?query=6505007351","ФНС: проверить")</f>
        <v/>
      </c>
      <c r="R3973" s="16">
        <f>HYPERLINK("https://checko.ru/search?query=3801001629","Чекко: проверить")</f>
        <v/>
      </c>
      <c r="S3973" t="n">
        <v>1</v>
      </c>
      <c r="T3973" s="35" t="inlineStr">
        <is>
          <t>4 — Не обогащён</t>
        </is>
      </c>
      <c r="U3973" s="35" t="inlineStr">
        <is>
          <t>Нет ОКВЭД/ССЧР</t>
        </is>
      </c>
      <c r="V3973" s="35" t="inlineStr">
        <is>
          <t>Не определено</t>
        </is>
      </c>
      <c r="W3973" s="35" t="inlineStr"/>
      <c r="X3973" s="35" t="inlineStr"/>
    </row>
    <row r="3974" ht="41.25" customHeight="1" s="24">
      <c r="A3974" s="13" t="n">
        <v>5000116865</v>
      </c>
      <c r="B3974" s="13" t="inlineStr">
        <is>
          <t>Муниципальное казенное учреждение "Служба "Заказчик" Администрации городского округа "Александровск-Сахалинский район"</t>
        </is>
      </c>
      <c r="C3974" s="13" t="n">
        <v>6502005772</v>
      </c>
      <c r="D3974" s="13" t="inlineStr">
        <is>
          <t>6502005772</t>
        </is>
      </c>
      <c r="E3974" s="13" t="inlineStr">
        <is>
          <t>ЮЛ РФ</t>
        </is>
      </c>
      <c r="F3974" s="13" t="n"/>
      <c r="G3974" s="14" t="n"/>
      <c r="H3974" s="14" t="n"/>
      <c r="I3974" s="14" t="n"/>
      <c r="J3974" s="14" t="n"/>
      <c r="K3974" s="53" t="inlineStr"/>
      <c r="L3974" s="53" t="inlineStr">
        <is>
          <t>Не определено</t>
        </is>
      </c>
      <c r="M3974" s="53" t="inlineStr"/>
      <c r="N3974" s="54" t="inlineStr"/>
      <c r="O3974" s="55" t="inlineStr"/>
      <c r="P3974" s="16" t="inlineStr">
        <is>
          <t>Требует обогащения</t>
        </is>
      </c>
      <c r="Q3974" s="16">
        <f>HYPERLINK("https://pb.nalog.ru/search.html?query=6502005772","ФНС: проверить")</f>
        <v/>
      </c>
      <c r="R3974" s="16">
        <f>HYPERLINK("https://checko.ru/search?query=3801001629","Чекко: проверить")</f>
        <v/>
      </c>
      <c r="S3974" t="n">
        <v>1</v>
      </c>
      <c r="T3974" s="35" t="inlineStr">
        <is>
          <t>4 — Не обогащён</t>
        </is>
      </c>
      <c r="U3974" s="35" t="inlineStr">
        <is>
          <t>Нет ОКВЭД/ССЧР</t>
        </is>
      </c>
      <c r="V3974" s="35" t="inlineStr">
        <is>
          <t>Не определено</t>
        </is>
      </c>
      <c r="W3974" s="35" t="inlineStr"/>
      <c r="X3974" s="35" t="inlineStr"/>
    </row>
    <row r="3975" ht="15" customHeight="1" s="24">
      <c r="A3975" s="13" t="n">
        <v>5000022104</v>
      </c>
      <c r="B3975" s="13" t="inlineStr">
        <is>
          <t>Дума муниципального образования "Маниловск"</t>
        </is>
      </c>
      <c r="C3975" s="13" t="n">
        <v>8501006329</v>
      </c>
      <c r="D3975" s="13" t="inlineStr">
        <is>
          <t>8501006329</t>
        </is>
      </c>
      <c r="E3975" s="13" t="inlineStr">
        <is>
          <t>ЮЛ РФ</t>
        </is>
      </c>
      <c r="F3975" s="13" t="n"/>
      <c r="G3975" s="14" t="n"/>
      <c r="H3975" s="14" t="n"/>
      <c r="I3975" s="14" t="n"/>
      <c r="J3975" s="14" t="n"/>
      <c r="K3975" s="53" t="inlineStr"/>
      <c r="L3975" s="53" t="inlineStr">
        <is>
          <t>Не определено</t>
        </is>
      </c>
      <c r="M3975" s="53" t="inlineStr"/>
      <c r="N3975" s="54" t="inlineStr"/>
      <c r="O3975" s="55" t="inlineStr"/>
      <c r="P3975" s="16" t="inlineStr">
        <is>
          <t>Требует обогащения</t>
        </is>
      </c>
      <c r="Q3975" s="16">
        <f>HYPERLINK("https://pb.nalog.ru/search.html?query=8501006329","ФНС: проверить")</f>
        <v/>
      </c>
      <c r="R3975" s="16">
        <f>HYPERLINK("https://checko.ru/search?query=3801001629","Чекко: проверить")</f>
        <v/>
      </c>
      <c r="S3975" t="n">
        <v>1</v>
      </c>
      <c r="T3975" s="35" t="inlineStr">
        <is>
          <t>4 — Не обогащён</t>
        </is>
      </c>
      <c r="U3975" s="35" t="inlineStr">
        <is>
          <t>Нет ОКВЭД/ССЧР</t>
        </is>
      </c>
      <c r="V3975" s="35" t="inlineStr">
        <is>
          <t>Не определено</t>
        </is>
      </c>
      <c r="W3975" s="35" t="inlineStr"/>
      <c r="X3975" s="35" t="inlineStr"/>
    </row>
    <row r="3976" ht="27.75" customHeight="1" s="24">
      <c r="A3976" s="13" t="n">
        <v>5000022105</v>
      </c>
      <c r="B3976" s="13" t="inlineStr">
        <is>
          <t>Финансовый отдел администрации муниципального образования "Маниловск"</t>
        </is>
      </c>
      <c r="C3976" s="13" t="n">
        <v>8501005131</v>
      </c>
      <c r="D3976" s="13" t="inlineStr">
        <is>
          <t>8501005131</t>
        </is>
      </c>
      <c r="E3976" s="13" t="inlineStr">
        <is>
          <t>ЮЛ РФ</t>
        </is>
      </c>
      <c r="F3976" s="13" t="n"/>
      <c r="G3976" s="14" t="n"/>
      <c r="H3976" s="14" t="n"/>
      <c r="I3976" s="14" t="n"/>
      <c r="J3976" s="14" t="n"/>
      <c r="K3976" s="53" t="inlineStr"/>
      <c r="L3976" s="53" t="inlineStr">
        <is>
          <t>Не определено</t>
        </is>
      </c>
      <c r="M3976" s="53" t="inlineStr"/>
      <c r="N3976" s="54" t="inlineStr"/>
      <c r="O3976" s="55" t="inlineStr"/>
      <c r="P3976" s="16" t="inlineStr">
        <is>
          <t>Требует обогащения</t>
        </is>
      </c>
      <c r="Q3976" s="16">
        <f>HYPERLINK("https://pb.nalog.ru/search.html?query=8501005131","ФНС: проверить")</f>
        <v/>
      </c>
      <c r="R3976" s="16">
        <f>HYPERLINK("https://checko.ru/search?query=3801001629","Чекко: проверить")</f>
        <v/>
      </c>
      <c r="S3976" t="n">
        <v>1</v>
      </c>
      <c r="T3976" s="35" t="inlineStr">
        <is>
          <t>4 — Не обогащён</t>
        </is>
      </c>
      <c r="U3976" s="35" t="inlineStr">
        <is>
          <t>Нет ОКВЭД/ССЧР</t>
        </is>
      </c>
      <c r="V3976" s="35" t="inlineStr">
        <is>
          <t>Не определено</t>
        </is>
      </c>
      <c r="W3976" s="35" t="inlineStr"/>
      <c r="X3976" s="35" t="inlineStr"/>
    </row>
    <row r="3977" ht="27.75" customHeight="1" s="24">
      <c r="A3977" s="13" t="n">
        <v>5000022106</v>
      </c>
      <c r="B3977" s="13" t="inlineStr">
        <is>
          <t>МБУК "Информационно-культурный центр" муниципального образования "Маниловск"</t>
        </is>
      </c>
      <c r="C3977" s="13" t="n">
        <v>3851999240</v>
      </c>
      <c r="D3977" s="13" t="inlineStr">
        <is>
          <t>3851999240</t>
        </is>
      </c>
      <c r="E3977" s="13" t="inlineStr">
        <is>
          <t>ЮЛ РФ</t>
        </is>
      </c>
      <c r="F3977" s="13" t="n"/>
      <c r="G3977" s="14" t="n"/>
      <c r="H3977" s="14" t="n"/>
      <c r="I3977" s="14" t="n"/>
      <c r="J3977" s="14" t="n"/>
      <c r="K3977" s="53" t="inlineStr"/>
      <c r="L3977" s="53" t="inlineStr">
        <is>
          <t>Не определено</t>
        </is>
      </c>
      <c r="M3977" s="53" t="inlineStr"/>
      <c r="N3977" s="54" t="inlineStr"/>
      <c r="O3977" s="55" t="inlineStr"/>
      <c r="P3977" s="16" t="inlineStr">
        <is>
          <t>Требует обогащения</t>
        </is>
      </c>
      <c r="Q3977" s="16">
        <f>HYPERLINK("https://pb.nalog.ru/search.html?query=3851999240","ФНС: проверить")</f>
        <v/>
      </c>
      <c r="R3977" s="16">
        <f>HYPERLINK("https://checko.ru/search?query=3801001629","Чекко: проверить")</f>
        <v/>
      </c>
      <c r="S3977" t="n">
        <v>1</v>
      </c>
      <c r="T3977" s="35" t="inlineStr">
        <is>
          <t>4 — Не обогащён</t>
        </is>
      </c>
      <c r="U3977" s="35" t="inlineStr">
        <is>
          <t>Нет ОКВЭД/ССЧР</t>
        </is>
      </c>
      <c r="V3977" s="35" t="inlineStr">
        <is>
          <t>Не определено</t>
        </is>
      </c>
      <c r="W3977" s="35" t="inlineStr"/>
      <c r="X3977" s="35" t="inlineStr"/>
    </row>
    <row r="3978" ht="15" customHeight="1" s="24">
      <c r="A3978" s="13" t="n">
        <v>5000107366</v>
      </c>
      <c r="B3978" s="13" t="inlineStr">
        <is>
          <t>СПЦ № 5 с.Горнозавдск</t>
        </is>
      </c>
      <c r="C3978" s="13" t="n">
        <v>6505003533</v>
      </c>
      <c r="D3978" s="13" t="inlineStr">
        <is>
          <t>6505003533</t>
        </is>
      </c>
      <c r="E3978" s="13" t="inlineStr">
        <is>
          <t>ЮЛ РФ</t>
        </is>
      </c>
      <c r="F3978" s="13" t="n"/>
      <c r="G3978" s="14" t="n"/>
      <c r="H3978" s="14" t="n"/>
      <c r="I3978" s="14" t="n"/>
      <c r="J3978" s="14" t="n"/>
      <c r="K3978" s="53" t="inlineStr"/>
      <c r="L3978" s="53" t="inlineStr">
        <is>
          <t>Не определено</t>
        </is>
      </c>
      <c r="M3978" s="53" t="inlineStr"/>
      <c r="N3978" s="54" t="inlineStr"/>
      <c r="O3978" s="55" t="inlineStr"/>
      <c r="P3978" s="16" t="inlineStr">
        <is>
          <t>Требует обогащения</t>
        </is>
      </c>
      <c r="Q3978" s="16">
        <f>HYPERLINK("https://pb.nalog.ru/search.html?query=6505003533","ФНС: проверить")</f>
        <v/>
      </c>
      <c r="R3978" s="16">
        <f>HYPERLINK("https://checko.ru/search?query=3801001629","Чекко: проверить")</f>
        <v/>
      </c>
      <c r="S3978" t="n">
        <v>1</v>
      </c>
      <c r="T3978" s="35" t="inlineStr">
        <is>
          <t>4 — Не обогащён</t>
        </is>
      </c>
      <c r="U3978" s="35" t="inlineStr">
        <is>
          <t>Нет ОКВЭД/ССЧР</t>
        </is>
      </c>
      <c r="V3978" s="35" t="inlineStr">
        <is>
          <t>Не определено</t>
        </is>
      </c>
      <c r="W3978" s="35" t="inlineStr"/>
      <c r="X3978" s="35" t="inlineStr"/>
    </row>
    <row r="3979" ht="15" customHeight="1" s="24">
      <c r="A3979" s="13" t="n">
        <v>5000089278</v>
      </c>
      <c r="B3979" s="13" t="inlineStr">
        <is>
          <t>КГКСКОУ Монастырищенская КШИ</t>
        </is>
      </c>
      <c r="C3979" s="13" t="n">
        <v>2533002559</v>
      </c>
      <c r="D3979" s="13" t="inlineStr">
        <is>
          <t>2533002559</t>
        </is>
      </c>
      <c r="E3979" s="13" t="inlineStr">
        <is>
          <t>ЮЛ РФ</t>
        </is>
      </c>
      <c r="F3979" s="13" t="n"/>
      <c r="G3979" s="14" t="n"/>
      <c r="H3979" s="14" t="n"/>
      <c r="I3979" s="14" t="n"/>
      <c r="J3979" s="14" t="n"/>
      <c r="K3979" s="53" t="inlineStr"/>
      <c r="L3979" s="53" t="inlineStr">
        <is>
          <t>Не определено</t>
        </is>
      </c>
      <c r="M3979" s="53" t="inlineStr"/>
      <c r="N3979" s="54" t="inlineStr"/>
      <c r="O3979" s="55" t="inlineStr"/>
      <c r="P3979" s="16" t="inlineStr">
        <is>
          <t>Требует обогащения</t>
        </is>
      </c>
      <c r="Q3979" s="16">
        <f>HYPERLINK("https://pb.nalog.ru/search.html?query=2533002559","ФНС: проверить")</f>
        <v/>
      </c>
      <c r="R3979" s="16">
        <f>HYPERLINK("https://checko.ru/search?query=3801001629","Чекко: проверить")</f>
        <v/>
      </c>
      <c r="S3979" t="n">
        <v>1</v>
      </c>
      <c r="T3979" s="35" t="inlineStr">
        <is>
          <t>4 — Не обогащён</t>
        </is>
      </c>
      <c r="U3979" s="35" t="inlineStr">
        <is>
          <t>Нет ОКВЭД/ССЧР</t>
        </is>
      </c>
      <c r="V3979" s="35" t="inlineStr">
        <is>
          <t>Не определено</t>
        </is>
      </c>
      <c r="W3979" s="35" t="inlineStr"/>
      <c r="X3979" s="35" t="inlineStr"/>
    </row>
    <row r="3980" ht="15" customHeight="1" s="24">
      <c r="A3980" s="13" t="n">
        <v>5000098648</v>
      </c>
      <c r="B3980" s="13" t="inlineStr">
        <is>
          <t>ГБУЗ "НЕВЕЛЬСКАЯ ЦРБ"</t>
        </is>
      </c>
      <c r="C3980" s="13" t="n">
        <v>6505001871</v>
      </c>
      <c r="D3980" s="13" t="inlineStr">
        <is>
          <t>6505001871</t>
        </is>
      </c>
      <c r="E3980" s="13" t="inlineStr">
        <is>
          <t>ЮЛ РФ</t>
        </is>
      </c>
      <c r="F3980" s="13" t="n"/>
      <c r="G3980" s="14" t="n"/>
      <c r="H3980" s="14" t="n"/>
      <c r="I3980" s="14" t="n"/>
      <c r="J3980" s="14" t="n"/>
      <c r="K3980" s="53" t="inlineStr"/>
      <c r="L3980" s="53" t="inlineStr">
        <is>
          <t>Не определено</t>
        </is>
      </c>
      <c r="M3980" s="53" t="inlineStr"/>
      <c r="N3980" s="54" t="inlineStr"/>
      <c r="O3980" s="55" t="inlineStr"/>
      <c r="P3980" s="16" t="inlineStr">
        <is>
          <t>Требует обогащения</t>
        </is>
      </c>
      <c r="Q3980" s="16">
        <f>HYPERLINK("https://pb.nalog.ru/search.html?query=6505001871","ФНС: проверить")</f>
        <v/>
      </c>
      <c r="R3980" s="16">
        <f>HYPERLINK("https://checko.ru/search?query=3801001629","Чекко: проверить")</f>
        <v/>
      </c>
      <c r="S3980" t="n">
        <v>1</v>
      </c>
      <c r="T3980" s="35" t="inlineStr">
        <is>
          <t>4 — Не обогащён</t>
        </is>
      </c>
      <c r="U3980" s="35" t="inlineStr">
        <is>
          <t>Нет ОКВЭД/ССЧР</t>
        </is>
      </c>
      <c r="V3980" s="35" t="inlineStr">
        <is>
          <t>Не определено</t>
        </is>
      </c>
      <c r="W3980" s="35" t="inlineStr"/>
      <c r="X3980" s="35" t="inlineStr"/>
    </row>
    <row r="3981" ht="15" customHeight="1" s="24">
      <c r="A3981" s="13" t="n">
        <v>5000098209</v>
      </c>
      <c r="B3981" s="13" t="inlineStr">
        <is>
          <t>КГБУЗ "ШКОТОВСКАЯ ЦРБ"</t>
        </is>
      </c>
      <c r="C3981" s="13" t="n">
        <v>2503020053</v>
      </c>
      <c r="D3981" s="13" t="inlineStr">
        <is>
          <t>2503020053</t>
        </is>
      </c>
      <c r="E3981" s="13" t="inlineStr">
        <is>
          <t>ЮЛ РФ</t>
        </is>
      </c>
      <c r="F3981" s="13" t="n"/>
      <c r="G3981" s="14" t="n"/>
      <c r="H3981" s="14" t="n"/>
      <c r="I3981" s="14" t="n"/>
      <c r="J3981" s="14" t="n"/>
      <c r="K3981" s="53" t="inlineStr"/>
      <c r="L3981" s="53" t="inlineStr">
        <is>
          <t>Не определено</t>
        </is>
      </c>
      <c r="M3981" s="53" t="inlineStr"/>
      <c r="N3981" s="54" t="inlineStr"/>
      <c r="O3981" s="55" t="inlineStr"/>
      <c r="P3981" s="16" t="inlineStr">
        <is>
          <t>Требует обогащения</t>
        </is>
      </c>
      <c r="Q3981" s="16">
        <f>HYPERLINK("https://pb.nalog.ru/search.html?query=2503020053","ФНС: проверить")</f>
        <v/>
      </c>
      <c r="R3981" s="16">
        <f>HYPERLINK("https://checko.ru/search?query=3801001629","Чекко: проверить")</f>
        <v/>
      </c>
      <c r="S3981" t="n">
        <v>1</v>
      </c>
      <c r="T3981" s="35" t="inlineStr">
        <is>
          <t>4 — Не обогащён</t>
        </is>
      </c>
      <c r="U3981" s="35" t="inlineStr">
        <is>
          <t>Нет ОКВЭД/ССЧР</t>
        </is>
      </c>
      <c r="V3981" s="35" t="inlineStr">
        <is>
          <t>Не определено</t>
        </is>
      </c>
      <c r="W3981" s="35" t="inlineStr"/>
      <c r="X3981" s="35" t="inlineStr"/>
    </row>
    <row r="3982" ht="27.75" customHeight="1" s="24">
      <c r="A3982" s="13" t="n">
        <v>5000119605</v>
      </c>
      <c r="B3982" s="13" t="inlineStr">
        <is>
          <t>УПОЛНОМОЧЕННЫЙ ПО ЗАЩИТЕ ПРАВ ПРЕДПРИНИМАТЕЛЕЙ В ПРИМОРСКОМ КРАЕ</t>
        </is>
      </c>
      <c r="C3982" s="13" t="n">
        <v>2540205140</v>
      </c>
      <c r="D3982" s="13" t="inlineStr">
        <is>
          <t>2540205140</t>
        </is>
      </c>
      <c r="E3982" s="13" t="inlineStr">
        <is>
          <t>ЮЛ РФ</t>
        </is>
      </c>
      <c r="F3982" s="13" t="n"/>
      <c r="G3982" s="14" t="n"/>
      <c r="H3982" s="14" t="n"/>
      <c r="I3982" s="14" t="n"/>
      <c r="J3982" s="14" t="n"/>
      <c r="K3982" s="53" t="inlineStr"/>
      <c r="L3982" s="53" t="inlineStr">
        <is>
          <t>Не определено</t>
        </is>
      </c>
      <c r="M3982" s="53" t="inlineStr"/>
      <c r="N3982" s="54" t="inlineStr"/>
      <c r="O3982" s="55" t="inlineStr"/>
      <c r="P3982" s="16" t="inlineStr">
        <is>
          <t>Требует обогащения</t>
        </is>
      </c>
      <c r="Q3982" s="16">
        <f>HYPERLINK("https://pb.nalog.ru/search.html?query=2540205140","ФНС: проверить")</f>
        <v/>
      </c>
      <c r="R3982" s="16">
        <f>HYPERLINK("https://checko.ru/search?query=3801001629","Чекко: проверить")</f>
        <v/>
      </c>
      <c r="S3982" t="n">
        <v>1</v>
      </c>
      <c r="T3982" s="35" t="inlineStr">
        <is>
          <t>4 — Не обогащён</t>
        </is>
      </c>
      <c r="U3982" s="35" t="inlineStr">
        <is>
          <t>Нет ОКВЭД/ССЧР</t>
        </is>
      </c>
      <c r="V3982" s="35" t="inlineStr">
        <is>
          <t>Не определено</t>
        </is>
      </c>
      <c r="W3982" s="35" t="inlineStr"/>
      <c r="X3982" s="35" t="inlineStr"/>
    </row>
    <row r="3983" ht="27.75" customHeight="1" s="24">
      <c r="A3983" s="13" t="n">
        <v>5000117215</v>
      </c>
      <c r="B3983" s="13" t="inlineStr">
        <is>
          <t>Финансовое управление по МО "Тымовский городской округ"</t>
        </is>
      </c>
      <c r="C3983" s="13" t="n">
        <v>6517003591</v>
      </c>
      <c r="D3983" s="13" t="inlineStr">
        <is>
          <t>6517003591</t>
        </is>
      </c>
      <c r="E3983" s="13" t="inlineStr">
        <is>
          <t>ЮЛ РФ</t>
        </is>
      </c>
      <c r="F3983" s="13" t="n"/>
      <c r="G3983" s="14" t="n"/>
      <c r="H3983" s="14" t="n"/>
      <c r="I3983" s="14" t="n"/>
      <c r="J3983" s="14" t="n"/>
      <c r="K3983" s="53" t="inlineStr"/>
      <c r="L3983" s="53" t="inlineStr">
        <is>
          <t>Не определено</t>
        </is>
      </c>
      <c r="M3983" s="53" t="inlineStr"/>
      <c r="N3983" s="54" t="inlineStr"/>
      <c r="O3983" s="55" t="inlineStr"/>
      <c r="P3983" s="16" t="inlineStr">
        <is>
          <t>Требует обогащения</t>
        </is>
      </c>
      <c r="Q3983" s="16">
        <f>HYPERLINK("https://pb.nalog.ru/search.html?query=6517003591","ФНС: проверить")</f>
        <v/>
      </c>
      <c r="R3983" s="16">
        <f>HYPERLINK("https://checko.ru/search?query=3801001629","Чекко: проверить")</f>
        <v/>
      </c>
      <c r="S3983" t="n">
        <v>1</v>
      </c>
      <c r="T3983" s="35" t="inlineStr">
        <is>
          <t>4 — Не обогащён</t>
        </is>
      </c>
      <c r="U3983" s="35" t="inlineStr">
        <is>
          <t>Нет ОКВЭД/ССЧР</t>
        </is>
      </c>
      <c r="V3983" s="35" t="inlineStr">
        <is>
          <t>Не определено</t>
        </is>
      </c>
      <c r="W3983" s="35" t="inlineStr"/>
      <c r="X3983" s="35" t="inlineStr"/>
    </row>
    <row r="3984" ht="27.75" customHeight="1" s="24">
      <c r="A3984" s="13" t="n">
        <v>5000117215</v>
      </c>
      <c r="B3984" s="13" t="inlineStr">
        <is>
          <t>Финансовое управление по МО "Тымовский городской округ"</t>
        </is>
      </c>
      <c r="C3984" s="13" t="n">
        <v>6517003591</v>
      </c>
      <c r="D3984" s="13" t="inlineStr">
        <is>
          <t>6517003591</t>
        </is>
      </c>
      <c r="E3984" s="13" t="inlineStr">
        <is>
          <t>ЮЛ РФ</t>
        </is>
      </c>
      <c r="F3984" s="13" t="n"/>
      <c r="G3984" s="14" t="n"/>
      <c r="H3984" s="14" t="n"/>
      <c r="I3984" s="14" t="n"/>
      <c r="J3984" s="14" t="n"/>
      <c r="K3984" s="53" t="inlineStr"/>
      <c r="L3984" s="53" t="inlineStr">
        <is>
          <t>Не определено</t>
        </is>
      </c>
      <c r="M3984" s="53" t="inlineStr"/>
      <c r="N3984" s="54" t="inlineStr"/>
      <c r="O3984" s="55" t="inlineStr"/>
      <c r="P3984" s="16" t="inlineStr">
        <is>
          <t>Требует обогащения</t>
        </is>
      </c>
      <c r="Q3984" s="16">
        <f>HYPERLINK("https://pb.nalog.ru/search.html?query=6517003591","ФНС: проверить")</f>
        <v/>
      </c>
      <c r="R3984" s="16">
        <f>HYPERLINK("https://checko.ru/search?query=3801001629","Чекко: проверить")</f>
        <v/>
      </c>
      <c r="S3984" t="n">
        <v>0</v>
      </c>
      <c r="T3984" s="35" t="inlineStr">
        <is>
          <t>4 — Не обогащён</t>
        </is>
      </c>
      <c r="U3984" s="35" t="inlineStr">
        <is>
          <t>Нет ОКВЭД/ССЧР</t>
        </is>
      </c>
      <c r="V3984" s="35" t="inlineStr">
        <is>
          <t>Не определено</t>
        </is>
      </c>
      <c r="W3984" s="35" t="inlineStr"/>
      <c r="X3984" s="35" t="inlineStr"/>
    </row>
    <row r="3985" ht="15" customHeight="1" s="24">
      <c r="A3985" s="13" t="n">
        <v>5000089275</v>
      </c>
      <c r="B3985" s="13" t="inlineStr">
        <is>
          <t>КГКСКОУ Гражданская КШИ</t>
        </is>
      </c>
      <c r="C3985" s="13" t="n">
        <v>2513003674</v>
      </c>
      <c r="D3985" s="13" t="inlineStr">
        <is>
          <t>2513003674</t>
        </is>
      </c>
      <c r="E3985" s="13" t="inlineStr">
        <is>
          <t>ЮЛ РФ</t>
        </is>
      </c>
      <c r="F3985" s="13" t="n"/>
      <c r="G3985" s="14" t="n"/>
      <c r="H3985" s="14" t="n"/>
      <c r="I3985" s="14" t="n"/>
      <c r="J3985" s="14" t="n"/>
      <c r="K3985" s="53" t="inlineStr"/>
      <c r="L3985" s="53" t="inlineStr">
        <is>
          <t>Не определено</t>
        </is>
      </c>
      <c r="M3985" s="53" t="inlineStr"/>
      <c r="N3985" s="54" t="inlineStr"/>
      <c r="O3985" s="55" t="inlineStr"/>
      <c r="P3985" s="16" t="inlineStr">
        <is>
          <t>Требует обогащения</t>
        </is>
      </c>
      <c r="Q3985" s="16">
        <f>HYPERLINK("https://pb.nalog.ru/search.html?query=2513003674","ФНС: проверить")</f>
        <v/>
      </c>
      <c r="R3985" s="16">
        <f>HYPERLINK("https://checko.ru/search?query=3801001629","Чекко: проверить")</f>
        <v/>
      </c>
      <c r="S3985" t="n">
        <v>1</v>
      </c>
      <c r="T3985" s="35" t="inlineStr">
        <is>
          <t>4 — Не обогащён</t>
        </is>
      </c>
      <c r="U3985" s="35" t="inlineStr">
        <is>
          <t>Нет ОКВЭД/ССЧР</t>
        </is>
      </c>
      <c r="V3985" s="35" t="inlineStr">
        <is>
          <t>Не определено</t>
        </is>
      </c>
      <c r="W3985" s="35" t="inlineStr"/>
      <c r="X3985" s="35" t="inlineStr"/>
    </row>
    <row r="3986" ht="41.25" customHeight="1" s="24">
      <c r="A3986" s="13" t="n">
        <v>5000061106</v>
      </c>
      <c r="B3986" s="13" t="inlineStr">
        <is>
          <t>МБУ "ПТУ" по обеспечению деятельности органов местного самоуправления МО "Тымовский городской округ"</t>
        </is>
      </c>
      <c r="C3986" s="13" t="n">
        <v>6517008078</v>
      </c>
      <c r="D3986" s="13" t="inlineStr">
        <is>
          <t>6517008078</t>
        </is>
      </c>
      <c r="E3986" s="13" t="inlineStr">
        <is>
          <t>ЮЛ РФ</t>
        </is>
      </c>
      <c r="F3986" s="13" t="n"/>
      <c r="G3986" s="14" t="n"/>
      <c r="H3986" s="14" t="n"/>
      <c r="I3986" s="14" t="n"/>
      <c r="J3986" s="14" t="n"/>
      <c r="K3986" s="53" t="inlineStr"/>
      <c r="L3986" s="53" t="inlineStr">
        <is>
          <t>Не определено</t>
        </is>
      </c>
      <c r="M3986" s="53" t="inlineStr"/>
      <c r="N3986" s="54" t="inlineStr"/>
      <c r="O3986" s="55" t="inlineStr"/>
      <c r="P3986" s="16" t="inlineStr">
        <is>
          <t>Требует обогащения</t>
        </is>
      </c>
      <c r="Q3986" s="16">
        <f>HYPERLINK("https://pb.nalog.ru/search.html?query=6517008078","ФНС: проверить")</f>
        <v/>
      </c>
      <c r="R3986" s="16">
        <f>HYPERLINK("https://checko.ru/search?query=3801001629","Чекко: проверить")</f>
        <v/>
      </c>
      <c r="S3986" t="n">
        <v>1</v>
      </c>
      <c r="T3986" s="35" t="inlineStr">
        <is>
          <t>4 — Не обогащён</t>
        </is>
      </c>
      <c r="U3986" s="35" t="inlineStr">
        <is>
          <t>Нет ОКВЭД/ССЧР</t>
        </is>
      </c>
      <c r="V3986" s="35" t="inlineStr">
        <is>
          <t>Не определено</t>
        </is>
      </c>
      <c r="W3986" s="35" t="inlineStr"/>
      <c r="X3986" s="35" t="inlineStr"/>
    </row>
    <row r="3987" ht="27.75" customHeight="1" s="24">
      <c r="A3987" s="13" t="n">
        <v>5000032879</v>
      </c>
      <c r="B3987" s="13" t="inlineStr">
        <is>
          <t>МАУ «Спортивная школа» Корсаковского городского округа Сахалинской области</t>
        </is>
      </c>
      <c r="C3987" s="13" t="n">
        <v>6504036279</v>
      </c>
      <c r="D3987" s="13" t="inlineStr">
        <is>
          <t>6504036279</t>
        </is>
      </c>
      <c r="E3987" s="13" t="inlineStr">
        <is>
          <t>ЮЛ РФ</t>
        </is>
      </c>
      <c r="F3987" s="13" t="n"/>
      <c r="G3987" s="14" t="n"/>
      <c r="H3987" s="14" t="n"/>
      <c r="I3987" s="14" t="n"/>
      <c r="J3987" s="14" t="n"/>
      <c r="K3987" s="53" t="inlineStr"/>
      <c r="L3987" s="53" t="inlineStr">
        <is>
          <t>Не определено</t>
        </is>
      </c>
      <c r="M3987" s="53" t="inlineStr"/>
      <c r="N3987" s="54" t="inlineStr"/>
      <c r="O3987" s="55" t="inlineStr"/>
      <c r="P3987" s="16" t="inlineStr">
        <is>
          <t>Требует обогащения</t>
        </is>
      </c>
      <c r="Q3987" s="16">
        <f>HYPERLINK("https://pb.nalog.ru/search.html?query=6504036279","ФНС: проверить")</f>
        <v/>
      </c>
      <c r="R3987" s="16">
        <f>HYPERLINK("https://checko.ru/search?query=3801001629","Чекко: проверить")</f>
        <v/>
      </c>
      <c r="S3987" t="n">
        <v>1</v>
      </c>
      <c r="T3987" s="35" t="inlineStr">
        <is>
          <t>4 — Не обогащён</t>
        </is>
      </c>
      <c r="U3987" s="35" t="inlineStr">
        <is>
          <t>Нет ОКВЭД/ССЧР</t>
        </is>
      </c>
      <c r="V3987" s="35" t="inlineStr">
        <is>
          <t>Не определено</t>
        </is>
      </c>
      <c r="W3987" s="35" t="inlineStr"/>
      <c r="X3987" s="35" t="inlineStr"/>
    </row>
    <row r="3988" ht="41.25" customHeight="1" s="24">
      <c r="A3988" s="13" t="n">
        <v>5000032880</v>
      </c>
      <c r="B3988" s="13" t="inlineStr">
        <is>
          <t>МАУ «Корсаковский историко-краеведческий музей» Корсаковского городского округа Сахалинской области</t>
        </is>
      </c>
      <c r="C3988" s="13" t="n">
        <v>6504003347</v>
      </c>
      <c r="D3988" s="13" t="inlineStr">
        <is>
          <t>6504003347</t>
        </is>
      </c>
      <c r="E3988" s="13" t="inlineStr">
        <is>
          <t>ЮЛ РФ</t>
        </is>
      </c>
      <c r="F3988" s="13" t="n"/>
      <c r="G3988" s="14" t="n"/>
      <c r="H3988" s="14" t="n"/>
      <c r="I3988" s="14" t="n"/>
      <c r="J3988" s="14" t="n"/>
      <c r="K3988" s="53" t="inlineStr"/>
      <c r="L3988" s="53" t="inlineStr">
        <is>
          <t>Не определено</t>
        </is>
      </c>
      <c r="M3988" s="53" t="inlineStr"/>
      <c r="N3988" s="54" t="inlineStr"/>
      <c r="O3988" s="55" t="inlineStr"/>
      <c r="P3988" s="16" t="inlineStr">
        <is>
          <t>Требует обогащения</t>
        </is>
      </c>
      <c r="Q3988" s="16">
        <f>HYPERLINK("https://pb.nalog.ru/search.html?query=6504003347","ФНС: проверить")</f>
        <v/>
      </c>
      <c r="R3988" s="16">
        <f>HYPERLINK("https://checko.ru/search?query=3801001629","Чекко: проверить")</f>
        <v/>
      </c>
      <c r="S3988" t="n">
        <v>1</v>
      </c>
      <c r="T3988" s="35" t="inlineStr">
        <is>
          <t>4 — Не обогащён</t>
        </is>
      </c>
      <c r="U3988" s="35" t="inlineStr">
        <is>
          <t>Нет ОКВЭД/ССЧР</t>
        </is>
      </c>
      <c r="V3988" s="35" t="inlineStr">
        <is>
          <t>Не определено</t>
        </is>
      </c>
      <c r="W3988" s="35" t="inlineStr"/>
      <c r="X3988" s="35" t="inlineStr"/>
    </row>
    <row r="3989" ht="41.25" customHeight="1" s="24">
      <c r="A3989" s="13" t="n">
        <v>5000032881</v>
      </c>
      <c r="B3989" s="13" t="inlineStr">
        <is>
          <t>МАОУ «Средняя общеобразовательная школа № 2» Корсаковского городского округа Сахалинской области</t>
        </is>
      </c>
      <c r="C3989" s="13" t="n">
        <v>6504025598</v>
      </c>
      <c r="D3989" s="13" t="inlineStr">
        <is>
          <t>6504025598</t>
        </is>
      </c>
      <c r="E3989" s="13" t="inlineStr">
        <is>
          <t>ЮЛ РФ</t>
        </is>
      </c>
      <c r="F3989" s="13" t="n"/>
      <c r="G3989" s="14" t="n"/>
      <c r="H3989" s="14" t="n"/>
      <c r="I3989" s="14" t="n"/>
      <c r="J3989" s="14" t="n"/>
      <c r="K3989" s="53" t="inlineStr"/>
      <c r="L3989" s="53" t="inlineStr">
        <is>
          <t>Не определено</t>
        </is>
      </c>
      <c r="M3989" s="53" t="inlineStr"/>
      <c r="N3989" s="54" t="inlineStr"/>
      <c r="O3989" s="55" t="inlineStr"/>
      <c r="P3989" s="16" t="inlineStr">
        <is>
          <t>Требует обогащения</t>
        </is>
      </c>
      <c r="Q3989" s="16">
        <f>HYPERLINK("https://pb.nalog.ru/search.html?query=6504025598","ФНС: проверить")</f>
        <v/>
      </c>
      <c r="R3989" s="16">
        <f>HYPERLINK("https://checko.ru/search?query=3801001629","Чекко: проверить")</f>
        <v/>
      </c>
      <c r="S3989" t="n">
        <v>1</v>
      </c>
      <c r="T3989" s="35" t="inlineStr">
        <is>
          <t>4 — Не обогащён</t>
        </is>
      </c>
      <c r="U3989" s="35" t="inlineStr">
        <is>
          <t>Нет ОКВЭД/ССЧР</t>
        </is>
      </c>
      <c r="V3989" s="35" t="inlineStr">
        <is>
          <t>Не определено</t>
        </is>
      </c>
      <c r="W3989" s="35" t="inlineStr"/>
      <c r="X3989" s="35" t="inlineStr"/>
    </row>
    <row r="3990" ht="41.25" customHeight="1" s="24">
      <c r="A3990" s="13" t="n">
        <v>5000032882</v>
      </c>
      <c r="B3990" s="13" t="inlineStr">
        <is>
          <t>МАУ «Культурно-досуговый центр «Океан» Корсаковского городского округа Сахалинской области</t>
        </is>
      </c>
      <c r="C3990" s="13" t="n">
        <v>6504043276</v>
      </c>
      <c r="D3990" s="13" t="inlineStr">
        <is>
          <t>6504043276</t>
        </is>
      </c>
      <c r="E3990" s="13" t="inlineStr">
        <is>
          <t>ЮЛ РФ</t>
        </is>
      </c>
      <c r="F3990" s="13" t="n"/>
      <c r="G3990" s="14" t="n"/>
      <c r="H3990" s="14" t="n"/>
      <c r="I3990" s="14" t="n"/>
      <c r="J3990" s="14" t="n"/>
      <c r="K3990" s="53" t="inlineStr"/>
      <c r="L3990" s="53" t="inlineStr">
        <is>
          <t>Не определено</t>
        </is>
      </c>
      <c r="M3990" s="53" t="inlineStr"/>
      <c r="N3990" s="54" t="inlineStr"/>
      <c r="O3990" s="55" t="inlineStr"/>
      <c r="P3990" s="16" t="inlineStr">
        <is>
          <t>Требует обогащения</t>
        </is>
      </c>
      <c r="Q3990" s="16">
        <f>HYPERLINK("https://pb.nalog.ru/search.html?query=6504043276","ФНС: проверить")</f>
        <v/>
      </c>
      <c r="R3990" s="16">
        <f>HYPERLINK("https://checko.ru/search?query=3801001629","Чекко: проверить")</f>
        <v/>
      </c>
      <c r="S3990" t="n">
        <v>1</v>
      </c>
      <c r="T3990" s="35" t="inlineStr">
        <is>
          <t>4 — Не обогащён</t>
        </is>
      </c>
      <c r="U3990" s="35" t="inlineStr">
        <is>
          <t>Нет ОКВЭД/ССЧР</t>
        </is>
      </c>
      <c r="V3990" s="35" t="inlineStr">
        <is>
          <t>Не определено</t>
        </is>
      </c>
      <c r="W3990" s="35" t="inlineStr"/>
      <c r="X3990" s="35" t="inlineStr"/>
    </row>
    <row r="3991" ht="41.25" customHeight="1" s="24">
      <c r="A3991" s="13" t="n">
        <v>5000032883</v>
      </c>
      <c r="B3991" s="13" t="inlineStr">
        <is>
          <t>МАОУ «Средняя общеобразовательная школа с. Озерское» Корсаковского городского округа Сахалинской области</t>
        </is>
      </c>
      <c r="C3991" s="13" t="n">
        <v>6504025686</v>
      </c>
      <c r="D3991" s="13" t="inlineStr">
        <is>
          <t>6504025686</t>
        </is>
      </c>
      <c r="E3991" s="13" t="inlineStr">
        <is>
          <t>ЮЛ РФ</t>
        </is>
      </c>
      <c r="F3991" s="13" t="n"/>
      <c r="G3991" s="14" t="n"/>
      <c r="H3991" s="14" t="n"/>
      <c r="I3991" s="14" t="n"/>
      <c r="J3991" s="14" t="n"/>
      <c r="K3991" s="53" t="inlineStr"/>
      <c r="L3991" s="53" t="inlineStr">
        <is>
          <t>Не определено</t>
        </is>
      </c>
      <c r="M3991" s="53" t="inlineStr"/>
      <c r="N3991" s="54" t="inlineStr"/>
      <c r="O3991" s="55" t="inlineStr"/>
      <c r="P3991" s="16" t="inlineStr">
        <is>
          <t>Требует обогащения</t>
        </is>
      </c>
      <c r="Q3991" s="16">
        <f>HYPERLINK("https://pb.nalog.ru/search.html?query=6504025686","ФНС: проверить")</f>
        <v/>
      </c>
      <c r="R3991" s="16">
        <f>HYPERLINK("https://checko.ru/search?query=3801001629","Чекко: проверить")</f>
        <v/>
      </c>
      <c r="S3991" t="n">
        <v>1</v>
      </c>
      <c r="T3991" s="35" t="inlineStr">
        <is>
          <t>4 — Не обогащён</t>
        </is>
      </c>
      <c r="U3991" s="35" t="inlineStr">
        <is>
          <t>Нет ОКВЭД/ССЧР</t>
        </is>
      </c>
      <c r="V3991" s="35" t="inlineStr">
        <is>
          <t>Не определено</t>
        </is>
      </c>
      <c r="W3991" s="35" t="inlineStr"/>
      <c r="X3991" s="35" t="inlineStr"/>
    </row>
    <row r="3992" ht="54.75" customHeight="1" s="24">
      <c r="A3992" s="13" t="n">
        <v>5000032869</v>
      </c>
      <c r="B3992" s="13" t="inlineStr">
        <is>
          <t>МАДОУ «Детский сад № 30 «Кораблик» общеразвивающего вида с приоритетным осуществлением деятельности по художественно-эстетическому направлению развити</t>
        </is>
      </c>
      <c r="C3992" s="13" t="n">
        <v>6504039093</v>
      </c>
      <c r="D3992" s="13" t="inlineStr">
        <is>
          <t>6504039093</t>
        </is>
      </c>
      <c r="E3992" s="13" t="inlineStr">
        <is>
          <t>ЮЛ РФ</t>
        </is>
      </c>
      <c r="F3992" s="13" t="n"/>
      <c r="G3992" s="14" t="n"/>
      <c r="H3992" s="14" t="n"/>
      <c r="I3992" s="14" t="n"/>
      <c r="J3992" s="14" t="n"/>
      <c r="K3992" s="53" t="inlineStr"/>
      <c r="L3992" s="53" t="inlineStr">
        <is>
          <t>Не определено</t>
        </is>
      </c>
      <c r="M3992" s="53" t="inlineStr"/>
      <c r="N3992" s="54" t="inlineStr"/>
      <c r="O3992" s="55" t="inlineStr"/>
      <c r="P3992" s="16" t="inlineStr">
        <is>
          <t>Требует обогащения</t>
        </is>
      </c>
      <c r="Q3992" s="16">
        <f>HYPERLINK("https://pb.nalog.ru/search.html?query=6504039093","ФНС: проверить")</f>
        <v/>
      </c>
      <c r="R3992" s="16">
        <f>HYPERLINK("https://checko.ru/search?query=3801001629","Чекко: проверить")</f>
        <v/>
      </c>
      <c r="S3992" t="n">
        <v>1</v>
      </c>
      <c r="T3992" s="35" t="inlineStr">
        <is>
          <t>4 — Не обогащён</t>
        </is>
      </c>
      <c r="U3992" s="35" t="inlineStr">
        <is>
          <t>Нет ОКВЭД/ССЧР</t>
        </is>
      </c>
      <c r="V3992" s="35" t="inlineStr">
        <is>
          <t>Не определено</t>
        </is>
      </c>
      <c r="W3992" s="35" t="inlineStr"/>
      <c r="X3992" s="35" t="inlineStr"/>
    </row>
    <row r="3993" ht="27.75" customHeight="1" s="24">
      <c r="A3993" s="13" t="n">
        <v>5000032868</v>
      </c>
      <c r="B3993" s="13" t="inlineStr">
        <is>
          <t>МАДОУ «Детский сад № 8» Корсаковского городского округа Сахалинской области</t>
        </is>
      </c>
      <c r="C3993" s="13" t="n">
        <v>6504036423</v>
      </c>
      <c r="D3993" s="13" t="inlineStr">
        <is>
          <t>6504036423</t>
        </is>
      </c>
      <c r="E3993" s="13" t="inlineStr">
        <is>
          <t>ЮЛ РФ</t>
        </is>
      </c>
      <c r="F3993" s="13" t="n"/>
      <c r="G3993" s="14" t="n"/>
      <c r="H3993" s="14" t="n"/>
      <c r="I3993" s="14" t="n"/>
      <c r="J3993" s="14" t="n"/>
      <c r="K3993" s="53" t="inlineStr"/>
      <c r="L3993" s="53" t="inlineStr">
        <is>
          <t>Не определено</t>
        </is>
      </c>
      <c r="M3993" s="53" t="inlineStr"/>
      <c r="N3993" s="54" t="inlineStr"/>
      <c r="O3993" s="55" t="inlineStr"/>
      <c r="P3993" s="16" t="inlineStr">
        <is>
          <t>Требует обогащения</t>
        </is>
      </c>
      <c r="Q3993" s="16">
        <f>HYPERLINK("https://pb.nalog.ru/search.html?query=6504036423","ФНС: проверить")</f>
        <v/>
      </c>
      <c r="R3993" s="16">
        <f>HYPERLINK("https://checko.ru/search?query=3801001629","Чекко: проверить")</f>
        <v/>
      </c>
      <c r="S3993" t="n">
        <v>1</v>
      </c>
      <c r="T3993" s="35" t="inlineStr">
        <is>
          <t>4 — Не обогащён</t>
        </is>
      </c>
      <c r="U3993" s="35" t="inlineStr">
        <is>
          <t>Нет ОКВЭД/ССЧР</t>
        </is>
      </c>
      <c r="V3993" s="35" t="inlineStr">
        <is>
          <t>Не определено</t>
        </is>
      </c>
      <c r="W3993" s="35" t="inlineStr"/>
      <c r="X3993" s="35" t="inlineStr"/>
    </row>
    <row r="3994" ht="41.25" customHeight="1" s="24">
      <c r="A3994" s="13" t="n">
        <v>5000032866</v>
      </c>
      <c r="B3994" s="13" t="inlineStr">
        <is>
          <t>МАУ дополнительного образования «Дом детства и юношества» Корсаковского городского округа Сахалинской области</t>
        </is>
      </c>
      <c r="C3994" s="13" t="n">
        <v>6504036430</v>
      </c>
      <c r="D3994" s="13" t="inlineStr">
        <is>
          <t>6504036430</t>
        </is>
      </c>
      <c r="E3994" s="13" t="inlineStr">
        <is>
          <t>ЮЛ РФ</t>
        </is>
      </c>
      <c r="F3994" s="13" t="n"/>
      <c r="G3994" s="14" t="n"/>
      <c r="H3994" s="14" t="n"/>
      <c r="I3994" s="14" t="n"/>
      <c r="J3994" s="14" t="n"/>
      <c r="K3994" s="53" t="inlineStr"/>
      <c r="L3994" s="53" t="inlineStr">
        <is>
          <t>Не определено</t>
        </is>
      </c>
      <c r="M3994" s="53" t="inlineStr"/>
      <c r="N3994" s="54" t="inlineStr"/>
      <c r="O3994" s="55" t="inlineStr"/>
      <c r="P3994" s="16" t="inlineStr">
        <is>
          <t>Требует обогащения</t>
        </is>
      </c>
      <c r="Q3994" s="16">
        <f>HYPERLINK("https://pb.nalog.ru/search.html?query=6504036430","ФНС: проверить")</f>
        <v/>
      </c>
      <c r="R3994" s="16">
        <f>HYPERLINK("https://checko.ru/search?query=3801001629","Чекко: проверить")</f>
        <v/>
      </c>
      <c r="S3994" t="n">
        <v>1</v>
      </c>
      <c r="T3994" s="35" t="inlineStr">
        <is>
          <t>4 — Не обогащён</t>
        </is>
      </c>
      <c r="U3994" s="35" t="inlineStr">
        <is>
          <t>Нет ОКВЭД/ССЧР</t>
        </is>
      </c>
      <c r="V3994" s="35" t="inlineStr">
        <is>
          <t>Не определено</t>
        </is>
      </c>
      <c r="W3994" s="35" t="inlineStr"/>
      <c r="X3994" s="35" t="inlineStr"/>
    </row>
    <row r="3995" ht="15" customHeight="1" s="24">
      <c r="A3995" s="13" t="n">
        <v>5000098652</v>
      </c>
      <c r="B3995" s="13" t="inlineStr">
        <is>
          <t>ГБУЗ "ГОРОДСКАЯ ПОЛИКЛИНИКА № 4"</t>
        </is>
      </c>
      <c r="C3995" s="13" t="n">
        <v>6501089233</v>
      </c>
      <c r="D3995" s="13" t="inlineStr">
        <is>
          <t>6501089233</t>
        </is>
      </c>
      <c r="E3995" s="13" t="inlineStr">
        <is>
          <t>ЮЛ РФ</t>
        </is>
      </c>
      <c r="F3995" s="13" t="n"/>
      <c r="G3995" s="14" t="n"/>
      <c r="H3995" s="14" t="n"/>
      <c r="I3995" s="14" t="n"/>
      <c r="J3995" s="14" t="n"/>
      <c r="K3995" s="53" t="inlineStr"/>
      <c r="L3995" s="53" t="inlineStr">
        <is>
          <t>Не определено</t>
        </is>
      </c>
      <c r="M3995" s="53" t="inlineStr"/>
      <c r="N3995" s="54" t="inlineStr"/>
      <c r="O3995" s="55" t="inlineStr"/>
      <c r="P3995" s="16" t="inlineStr">
        <is>
          <t>Требует обогащения</t>
        </is>
      </c>
      <c r="Q3995" s="16">
        <f>HYPERLINK("https://pb.nalog.ru/search.html?query=6501089233","ФНС: проверить")</f>
        <v/>
      </c>
      <c r="R3995" s="16">
        <f>HYPERLINK("https://checko.ru/search?query=3801001629","Чекко: проверить")</f>
        <v/>
      </c>
      <c r="S3995" t="n">
        <v>1</v>
      </c>
      <c r="T3995" s="35" t="inlineStr">
        <is>
          <t>4 — Не обогащён</t>
        </is>
      </c>
      <c r="U3995" s="35" t="inlineStr">
        <is>
          <t>Нет ОКВЭД/ССЧР</t>
        </is>
      </c>
      <c r="V3995" s="35" t="inlineStr">
        <is>
          <t>Не определено</t>
        </is>
      </c>
      <c r="W3995" s="35" t="inlineStr"/>
      <c r="X3995" s="35" t="inlineStr"/>
    </row>
    <row r="3996" ht="27.75" customHeight="1" s="24">
      <c r="A3996" s="13" t="n">
        <v>5000021048</v>
      </c>
      <c r="B3996" s="13" t="inlineStr">
        <is>
          <t>МКУ культуры "Бодайбинский городской краеведческий музей имени В.Ф.Верещагина"</t>
        </is>
      </c>
      <c r="C3996" s="13" t="n">
        <v>3802013240</v>
      </c>
      <c r="D3996" s="13" t="inlineStr">
        <is>
          <t>3802013240</t>
        </is>
      </c>
      <c r="E3996" s="13" t="inlineStr">
        <is>
          <t>ЮЛ РФ</t>
        </is>
      </c>
      <c r="F3996" s="13" t="n"/>
      <c r="G3996" s="14" t="n"/>
      <c r="H3996" s="14" t="n"/>
      <c r="I3996" s="14" t="n"/>
      <c r="J3996" s="14" t="n"/>
      <c r="K3996" s="53" t="inlineStr"/>
      <c r="L3996" s="53" t="inlineStr">
        <is>
          <t>Не определено</t>
        </is>
      </c>
      <c r="M3996" s="53" t="inlineStr"/>
      <c r="N3996" s="54" t="inlineStr"/>
      <c r="O3996" s="55" t="inlineStr"/>
      <c r="P3996" s="16" t="inlineStr">
        <is>
          <t>Требует обогащения</t>
        </is>
      </c>
      <c r="Q3996" s="16">
        <f>HYPERLINK("https://pb.nalog.ru/search.html?query=3802013240","ФНС: проверить")</f>
        <v/>
      </c>
      <c r="R3996" s="16">
        <f>HYPERLINK("https://checko.ru/search?query=3801001629","Чекко: проверить")</f>
        <v/>
      </c>
      <c r="S3996" t="n">
        <v>1</v>
      </c>
      <c r="T3996" s="35" t="inlineStr">
        <is>
          <t>4 — Не обогащён</t>
        </is>
      </c>
      <c r="U3996" s="35" t="inlineStr">
        <is>
          <t>Нет ОКВЭД/ССЧР</t>
        </is>
      </c>
      <c r="V3996" s="35" t="inlineStr">
        <is>
          <t>Не определено</t>
        </is>
      </c>
      <c r="W3996" s="35" t="inlineStr"/>
      <c r="X3996" s="35" t="inlineStr"/>
    </row>
    <row r="3997" ht="27.75" customHeight="1" s="24">
      <c r="A3997" s="13" t="n">
        <v>5000021369</v>
      </c>
      <c r="B3997" s="13" t="inlineStr">
        <is>
          <t>министерство социальной защиты Сахалинской области</t>
        </is>
      </c>
      <c r="C3997" s="13" t="n">
        <v>6501073272</v>
      </c>
      <c r="D3997" s="13" t="inlineStr">
        <is>
          <t>6501073272</t>
        </is>
      </c>
      <c r="E3997" s="13" t="inlineStr">
        <is>
          <t>ЮЛ РФ</t>
        </is>
      </c>
      <c r="F3997" s="13" t="n"/>
      <c r="G3997" s="14" t="n"/>
      <c r="H3997" s="14" t="n"/>
      <c r="I3997" s="14" t="n"/>
      <c r="J3997" s="14" t="n"/>
      <c r="K3997" s="53" t="inlineStr"/>
      <c r="L3997" s="53" t="inlineStr">
        <is>
          <t>Не определено</t>
        </is>
      </c>
      <c r="M3997" s="53" t="inlineStr"/>
      <c r="N3997" s="54" t="inlineStr"/>
      <c r="O3997" s="55" t="inlineStr"/>
      <c r="P3997" s="16" t="inlineStr">
        <is>
          <t>Требует обогащения</t>
        </is>
      </c>
      <c r="Q3997" s="16">
        <f>HYPERLINK("https://pb.nalog.ru/search.html?query=6501073272","ФНС: проверить")</f>
        <v/>
      </c>
      <c r="R3997" s="16">
        <f>HYPERLINK("https://checko.ru/search?query=3801001629","Чекко: проверить")</f>
        <v/>
      </c>
      <c r="S3997" t="n">
        <v>1</v>
      </c>
      <c r="T3997" s="35" t="inlineStr">
        <is>
          <t>4 — Не обогащён</t>
        </is>
      </c>
      <c r="U3997" s="35" t="inlineStr">
        <is>
          <t>Нет ОКВЭД/ССЧР</t>
        </is>
      </c>
      <c r="V3997" s="35" t="inlineStr">
        <is>
          <t>Не определено</t>
        </is>
      </c>
      <c r="W3997" s="35" t="inlineStr"/>
      <c r="X3997" s="35" t="inlineStr"/>
    </row>
    <row r="3998" ht="27.75" customHeight="1" s="24">
      <c r="A3998" s="13" t="n">
        <v>5000021369</v>
      </c>
      <c r="B3998" s="13" t="inlineStr">
        <is>
          <t>министерство социальной защиты Сахалинской области</t>
        </is>
      </c>
      <c r="C3998" s="13" t="n">
        <v>6501073272</v>
      </c>
      <c r="D3998" s="13" t="inlineStr">
        <is>
          <t>6501073272</t>
        </is>
      </c>
      <c r="E3998" s="13" t="inlineStr">
        <is>
          <t>ЮЛ РФ</t>
        </is>
      </c>
      <c r="F3998" s="13" t="n"/>
      <c r="G3998" s="14" t="n"/>
      <c r="H3998" s="14" t="n"/>
      <c r="I3998" s="14" t="n"/>
      <c r="J3998" s="14" t="n"/>
      <c r="K3998" s="53" t="inlineStr"/>
      <c r="L3998" s="53" t="inlineStr">
        <is>
          <t>Не определено</t>
        </is>
      </c>
      <c r="M3998" s="53" t="inlineStr"/>
      <c r="N3998" s="54" t="inlineStr"/>
      <c r="O3998" s="55" t="inlineStr"/>
      <c r="P3998" s="16" t="inlineStr">
        <is>
          <t>Требует обогащения</t>
        </is>
      </c>
      <c r="Q3998" s="16">
        <f>HYPERLINK("https://pb.nalog.ru/search.html?query=6501073272","ФНС: проверить")</f>
        <v/>
      </c>
      <c r="R3998" s="16">
        <f>HYPERLINK("https://checko.ru/search?query=3801001629","Чекко: проверить")</f>
        <v/>
      </c>
      <c r="S3998" t="n">
        <v>0</v>
      </c>
      <c r="T3998" s="35" t="inlineStr">
        <is>
          <t>4 — Не обогащён</t>
        </is>
      </c>
      <c r="U3998" s="35" t="inlineStr">
        <is>
          <t>Нет ОКВЭД/ССЧР</t>
        </is>
      </c>
      <c r="V3998" s="35" t="inlineStr">
        <is>
          <t>Не определено</t>
        </is>
      </c>
      <c r="W3998" s="35" t="inlineStr"/>
      <c r="X3998" s="35" t="inlineStr"/>
    </row>
    <row r="3999" ht="15" customHeight="1" s="24">
      <c r="A3999" s="13" t="n">
        <v>5000089254</v>
      </c>
      <c r="B3999" s="13" t="inlineStr">
        <is>
          <t>КГОКУ "Детский дом пос. Ярославский"</t>
        </is>
      </c>
      <c r="C3999" s="13" t="n">
        <v>2532006173</v>
      </c>
      <c r="D3999" s="13" t="inlineStr">
        <is>
          <t>2532006173</t>
        </is>
      </c>
      <c r="E3999" s="13" t="inlineStr">
        <is>
          <t>ЮЛ РФ</t>
        </is>
      </c>
      <c r="F3999" s="13" t="n"/>
      <c r="G3999" s="14" t="n"/>
      <c r="H3999" s="14" t="n"/>
      <c r="I3999" s="14" t="n"/>
      <c r="J3999" s="14" t="n"/>
      <c r="K3999" s="53" t="inlineStr"/>
      <c r="L3999" s="53" t="inlineStr">
        <is>
          <t>Не определено</t>
        </is>
      </c>
      <c r="M3999" s="53" t="inlineStr"/>
      <c r="N3999" s="54" t="inlineStr"/>
      <c r="O3999" s="55" t="inlineStr"/>
      <c r="P3999" s="16" t="inlineStr">
        <is>
          <t>Требует обогащения</t>
        </is>
      </c>
      <c r="Q3999" s="16">
        <f>HYPERLINK("https://pb.nalog.ru/search.html?query=2532006173","ФНС: проверить")</f>
        <v/>
      </c>
      <c r="R3999" s="16">
        <f>HYPERLINK("https://checko.ru/search?query=3801001629","Чекко: проверить")</f>
        <v/>
      </c>
      <c r="S3999" t="n">
        <v>1</v>
      </c>
      <c r="T3999" s="35" t="inlineStr">
        <is>
          <t>4 — Не обогащён</t>
        </is>
      </c>
      <c r="U3999" s="35" t="inlineStr">
        <is>
          <t>Нет ОКВЭД/ССЧР</t>
        </is>
      </c>
      <c r="V3999" s="35" t="inlineStr">
        <is>
          <t>Не определено</t>
        </is>
      </c>
      <c r="W3999" s="35" t="inlineStr"/>
      <c r="X3999" s="35" t="inlineStr"/>
    </row>
    <row r="4000" ht="27.75" customHeight="1" s="24">
      <c r="A4000" s="13" t="n">
        <v>5000021049</v>
      </c>
      <c r="B4000" s="13" t="inlineStr">
        <is>
          <t>МКОУ ДО "Детская Музыкальная Школа г. Бодайбо и Района"</t>
        </is>
      </c>
      <c r="C4000" s="13" t="n">
        <v>3802005249</v>
      </c>
      <c r="D4000" s="13" t="inlineStr">
        <is>
          <t>3802005249</t>
        </is>
      </c>
      <c r="E4000" s="13" t="inlineStr">
        <is>
          <t>ЮЛ РФ</t>
        </is>
      </c>
      <c r="F4000" s="13" t="n"/>
      <c r="G4000" s="14" t="n"/>
      <c r="H4000" s="14" t="n"/>
      <c r="I4000" s="14" t="n"/>
      <c r="J4000" s="14" t="n"/>
      <c r="K4000" s="53" t="inlineStr"/>
      <c r="L4000" s="53" t="inlineStr">
        <is>
          <t>Не определено</t>
        </is>
      </c>
      <c r="M4000" s="53" t="inlineStr"/>
      <c r="N4000" s="54" t="inlineStr"/>
      <c r="O4000" s="55" t="inlineStr"/>
      <c r="P4000" s="16" t="inlineStr">
        <is>
          <t>Требует обогащения</t>
        </is>
      </c>
      <c r="Q4000" s="16">
        <f>HYPERLINK("https://pb.nalog.ru/search.html?query=3802005249","ФНС: проверить")</f>
        <v/>
      </c>
      <c r="R4000" s="16">
        <f>HYPERLINK("https://checko.ru/search?query=3801001629","Чекко: проверить")</f>
        <v/>
      </c>
      <c r="S4000" t="n">
        <v>1</v>
      </c>
      <c r="T4000" s="35" t="inlineStr">
        <is>
          <t>4 — Не обогащён</t>
        </is>
      </c>
      <c r="U4000" s="35" t="inlineStr">
        <is>
          <t>Нет ОКВЭД/ССЧР</t>
        </is>
      </c>
      <c r="V4000" s="35" t="inlineStr">
        <is>
          <t>Не определено</t>
        </is>
      </c>
      <c r="W4000" s="35" t="inlineStr"/>
      <c r="X4000" s="35" t="inlineStr"/>
    </row>
    <row r="4001" ht="27.75" customHeight="1" s="24">
      <c r="A4001" s="13" t="n">
        <v>5000021050</v>
      </c>
      <c r="B4001" s="13" t="inlineStr">
        <is>
          <t>МКУ "Культурно-Досуговый Центр г.Бодайбо и Района"</t>
        </is>
      </c>
      <c r="C4001" s="13" t="n">
        <v>3802013257</v>
      </c>
      <c r="D4001" s="13" t="inlineStr">
        <is>
          <t>3802013257</t>
        </is>
      </c>
      <c r="E4001" s="13" t="inlineStr">
        <is>
          <t>ЮЛ РФ</t>
        </is>
      </c>
      <c r="F4001" s="13" t="n"/>
      <c r="G4001" s="14" t="n"/>
      <c r="H4001" s="14" t="n"/>
      <c r="I4001" s="14" t="n"/>
      <c r="J4001" s="14" t="n"/>
      <c r="K4001" s="53" t="inlineStr"/>
      <c r="L4001" s="53" t="inlineStr">
        <is>
          <t>Не определено</t>
        </is>
      </c>
      <c r="M4001" s="53" t="inlineStr"/>
      <c r="N4001" s="54" t="inlineStr"/>
      <c r="O4001" s="55" t="inlineStr"/>
      <c r="P4001" s="16" t="inlineStr">
        <is>
          <t>Требует обогащения</t>
        </is>
      </c>
      <c r="Q4001" s="16">
        <f>HYPERLINK("https://pb.nalog.ru/search.html?query=3802013257","ФНС: проверить")</f>
        <v/>
      </c>
      <c r="R4001" s="16">
        <f>HYPERLINK("https://checko.ru/search?query=3801001629","Чекко: проверить")</f>
        <v/>
      </c>
      <c r="S4001" t="n">
        <v>1</v>
      </c>
      <c r="T4001" s="35" t="inlineStr">
        <is>
          <t>4 — Не обогащён</t>
        </is>
      </c>
      <c r="U4001" s="35" t="inlineStr">
        <is>
          <t>Нет ОКВЭД/ССЧР</t>
        </is>
      </c>
      <c r="V4001" s="35" t="inlineStr">
        <is>
          <t>Не определено</t>
        </is>
      </c>
      <c r="W4001" s="35" t="inlineStr"/>
      <c r="X4001" s="35" t="inlineStr"/>
    </row>
    <row r="4002" ht="27.75" customHeight="1" s="24">
      <c r="A4002" s="13" t="n">
        <v>5000021051</v>
      </c>
      <c r="B4002" s="13" t="inlineStr">
        <is>
          <t>Управление культуры администрации муниципального образования г. Бодайбо и района</t>
        </is>
      </c>
      <c r="C4002" s="13" t="n">
        <v>3802002350</v>
      </c>
      <c r="D4002" s="13" t="inlineStr">
        <is>
          <t>3802002350</t>
        </is>
      </c>
      <c r="E4002" s="13" t="inlineStr">
        <is>
          <t>ЮЛ РФ</t>
        </is>
      </c>
      <c r="F4002" s="13" t="n"/>
      <c r="G4002" s="14" t="n"/>
      <c r="H4002" s="14" t="n"/>
      <c r="I4002" s="14" t="n"/>
      <c r="J4002" s="14" t="n"/>
      <c r="K4002" s="53" t="inlineStr"/>
      <c r="L4002" s="53" t="inlineStr">
        <is>
          <t>Не определено</t>
        </is>
      </c>
      <c r="M4002" s="53" t="inlineStr"/>
      <c r="N4002" s="54" t="inlineStr"/>
      <c r="O4002" s="55" t="inlineStr"/>
      <c r="P4002" s="16" t="inlineStr">
        <is>
          <t>Требует обогащения</t>
        </is>
      </c>
      <c r="Q4002" s="16">
        <f>HYPERLINK("https://pb.nalog.ru/search.html?query=3802002350","ФНС: проверить")</f>
        <v/>
      </c>
      <c r="R4002" s="16">
        <f>HYPERLINK("https://checko.ru/search?query=3801001629","Чекко: проверить")</f>
        <v/>
      </c>
      <c r="S4002" t="n">
        <v>1</v>
      </c>
      <c r="T4002" s="35" t="inlineStr">
        <is>
          <t>4 — Не обогащён</t>
        </is>
      </c>
      <c r="U4002" s="35" t="inlineStr">
        <is>
          <t>Нет ОКВЭД/ССЧР</t>
        </is>
      </c>
      <c r="V4002" s="35" t="inlineStr">
        <is>
          <t>Не определено</t>
        </is>
      </c>
      <c r="W4002" s="35" t="inlineStr"/>
      <c r="X4002" s="35" t="inlineStr"/>
    </row>
    <row r="4003" ht="27.75" customHeight="1" s="24">
      <c r="A4003" s="13" t="n">
        <v>5000021052</v>
      </c>
      <c r="B4003" s="13" t="inlineStr">
        <is>
          <t>МКУ культуры "Централизованная библиотечная система г. Бодайбо и района"</t>
        </is>
      </c>
      <c r="C4003" s="13" t="n">
        <v>3802013264</v>
      </c>
      <c r="D4003" s="13" t="inlineStr">
        <is>
          <t>3802013264</t>
        </is>
      </c>
      <c r="E4003" s="13" t="inlineStr">
        <is>
          <t>ЮЛ РФ</t>
        </is>
      </c>
      <c r="F4003" s="13" t="n"/>
      <c r="G4003" s="14" t="n"/>
      <c r="H4003" s="14" t="n"/>
      <c r="I4003" s="14" t="n"/>
      <c r="J4003" s="14" t="n"/>
      <c r="K4003" s="53" t="inlineStr"/>
      <c r="L4003" s="53" t="inlineStr">
        <is>
          <t>Не определено</t>
        </is>
      </c>
      <c r="M4003" s="53" t="inlineStr"/>
      <c r="N4003" s="54" t="inlineStr"/>
      <c r="O4003" s="55" t="inlineStr"/>
      <c r="P4003" s="16" t="inlineStr">
        <is>
          <t>Требует обогащения</t>
        </is>
      </c>
      <c r="Q4003" s="16">
        <f>HYPERLINK("https://pb.nalog.ru/search.html?query=3802013264","ФНС: проверить")</f>
        <v/>
      </c>
      <c r="R4003" s="16">
        <f>HYPERLINK("https://checko.ru/search?query=3801001629","Чекко: проверить")</f>
        <v/>
      </c>
      <c r="S4003" t="n">
        <v>1</v>
      </c>
      <c r="T4003" s="35" t="inlineStr">
        <is>
          <t>4 — Не обогащён</t>
        </is>
      </c>
      <c r="U4003" s="35" t="inlineStr">
        <is>
          <t>Нет ОКВЭД/ССЧР</t>
        </is>
      </c>
      <c r="V4003" s="35" t="inlineStr">
        <is>
          <t>Не определено</t>
        </is>
      </c>
      <c r="W4003" s="35" t="inlineStr"/>
      <c r="X4003" s="35" t="inlineStr"/>
    </row>
    <row r="4004" ht="54.75" customHeight="1" s="24">
      <c r="A4004" s="13" t="n">
        <v>5000032382</v>
      </c>
      <c r="B4004" s="13" t="inlineStr">
        <is>
          <t>Муниципальное бюджетное дошкольное образовательное учреждение детский сад № 17 "Солнышко" пгт. Смирных муниципального образования городской округ "Сми</t>
        </is>
      </c>
      <c r="C4004" s="13" t="n">
        <v>6514001116</v>
      </c>
      <c r="D4004" s="13" t="inlineStr">
        <is>
          <t>6514001116</t>
        </is>
      </c>
      <c r="E4004" s="13" t="inlineStr">
        <is>
          <t>ЮЛ РФ</t>
        </is>
      </c>
      <c r="F4004" s="13" t="n"/>
      <c r="G4004" s="14" t="n"/>
      <c r="H4004" s="14" t="n"/>
      <c r="I4004" s="14" t="n"/>
      <c r="J4004" s="14" t="n"/>
      <c r="K4004" s="53" t="inlineStr"/>
      <c r="L4004" s="53" t="inlineStr">
        <is>
          <t>Не определено</t>
        </is>
      </c>
      <c r="M4004" s="53" t="inlineStr"/>
      <c r="N4004" s="54" t="inlineStr"/>
      <c r="O4004" s="55" t="inlineStr"/>
      <c r="P4004" s="16" t="inlineStr">
        <is>
          <t>Требует обогащения</t>
        </is>
      </c>
      <c r="Q4004" s="16">
        <f>HYPERLINK("https://pb.nalog.ru/search.html?query=6514001116","ФНС: проверить")</f>
        <v/>
      </c>
      <c r="R4004" s="16">
        <f>HYPERLINK("https://checko.ru/search?query=3801001629","Чекко: проверить")</f>
        <v/>
      </c>
      <c r="S4004" t="n">
        <v>1</v>
      </c>
      <c r="T4004" s="35" t="inlineStr">
        <is>
          <t>4 — Не обогащён</t>
        </is>
      </c>
      <c r="U4004" s="35" t="inlineStr">
        <is>
          <t>Нет ОКВЭД/ССЧР</t>
        </is>
      </c>
      <c r="V4004" s="35" t="inlineStr">
        <is>
          <t>Не определено</t>
        </is>
      </c>
      <c r="W4004" s="35" t="inlineStr"/>
      <c r="X4004" s="35" t="inlineStr"/>
    </row>
    <row r="4005" ht="54.75" customHeight="1" s="24">
      <c r="A4005" s="13" t="n">
        <v>5000032383</v>
      </c>
      <c r="B4005" s="13" t="inlineStr">
        <is>
          <t>Муниципальное бюджетное дошкольное образовательное учреждение детский сад № 1 "Улыбка" пгт. Смирных муниципального образования городской округ "Смирны</t>
        </is>
      </c>
      <c r="C4005" s="13" t="n">
        <v>6514001130</v>
      </c>
      <c r="D4005" s="13" t="inlineStr">
        <is>
          <t>6514001130</t>
        </is>
      </c>
      <c r="E4005" s="13" t="inlineStr">
        <is>
          <t>ЮЛ РФ</t>
        </is>
      </c>
      <c r="F4005" s="13" t="n"/>
      <c r="G4005" s="14" t="n"/>
      <c r="H4005" s="14" t="n"/>
      <c r="I4005" s="14" t="n"/>
      <c r="J4005" s="14" t="n"/>
      <c r="K4005" s="53" t="inlineStr"/>
      <c r="L4005" s="53" t="inlineStr">
        <is>
          <t>Не определено</t>
        </is>
      </c>
      <c r="M4005" s="53" t="inlineStr"/>
      <c r="N4005" s="54" t="inlineStr"/>
      <c r="O4005" s="55" t="inlineStr"/>
      <c r="P4005" s="16" t="inlineStr">
        <is>
          <t>Требует обогащения</t>
        </is>
      </c>
      <c r="Q4005" s="16">
        <f>HYPERLINK("https://pb.nalog.ru/search.html?query=6514001130","ФНС: проверить")</f>
        <v/>
      </c>
      <c r="R4005" s="16">
        <f>HYPERLINK("https://checko.ru/search?query=3801001629","Чекко: проверить")</f>
        <v/>
      </c>
      <c r="S4005" t="n">
        <v>1</v>
      </c>
      <c r="T4005" s="35" t="inlineStr">
        <is>
          <t>4 — Не обогащён</t>
        </is>
      </c>
      <c r="U4005" s="35" t="inlineStr">
        <is>
          <t>Нет ОКВЭД/ССЧР</t>
        </is>
      </c>
      <c r="V4005" s="35" t="inlineStr">
        <is>
          <t>Не определено</t>
        </is>
      </c>
      <c r="W4005" s="35" t="inlineStr"/>
      <c r="X4005" s="35" t="inlineStr"/>
    </row>
    <row r="4006" ht="54.75" customHeight="1" s="24">
      <c r="A4006" s="13" t="n">
        <v>5000032384</v>
      </c>
      <c r="B4006" s="13" t="inlineStr">
        <is>
          <t>Муниципальное бюджетное дошкольное образовательное учреждение детского сада №4 "Звездочка" с. Победино муниципального образования городской округ "Сми</t>
        </is>
      </c>
      <c r="C4006" s="13" t="n">
        <v>6514001074</v>
      </c>
      <c r="D4006" s="13" t="inlineStr">
        <is>
          <t>6514001074</t>
        </is>
      </c>
      <c r="E4006" s="13" t="inlineStr">
        <is>
          <t>ЮЛ РФ</t>
        </is>
      </c>
      <c r="F4006" s="13" t="n"/>
      <c r="G4006" s="14" t="n"/>
      <c r="H4006" s="14" t="n"/>
      <c r="I4006" s="14" t="n"/>
      <c r="J4006" s="14" t="n"/>
      <c r="K4006" s="53" t="inlineStr"/>
      <c r="L4006" s="53" t="inlineStr">
        <is>
          <t>Не определено</t>
        </is>
      </c>
      <c r="M4006" s="53" t="inlineStr"/>
      <c r="N4006" s="54" t="inlineStr"/>
      <c r="O4006" s="55" t="inlineStr"/>
      <c r="P4006" s="16" t="inlineStr">
        <is>
          <t>Требует обогащения</t>
        </is>
      </c>
      <c r="Q4006" s="16">
        <f>HYPERLINK("https://pb.nalog.ru/search.html?query=6514001074","ФНС: проверить")</f>
        <v/>
      </c>
      <c r="R4006" s="16">
        <f>HYPERLINK("https://checko.ru/search?query=3801001629","Чекко: проверить")</f>
        <v/>
      </c>
      <c r="S4006" t="n">
        <v>1</v>
      </c>
      <c r="T4006" s="35" t="inlineStr">
        <is>
          <t>4 — Не обогащён</t>
        </is>
      </c>
      <c r="U4006" s="35" t="inlineStr">
        <is>
          <t>Нет ОКВЭД/ССЧР</t>
        </is>
      </c>
      <c r="V4006" s="35" t="inlineStr">
        <is>
          <t>Не определено</t>
        </is>
      </c>
      <c r="W4006" s="35" t="inlineStr"/>
      <c r="X4006" s="35" t="inlineStr"/>
    </row>
    <row r="4007" ht="41.25" customHeight="1" s="24">
      <c r="A4007" s="13" t="n">
        <v>5000030390</v>
      </c>
      <c r="B4007" s="13" t="inlineStr">
        <is>
          <t>ГБУК "Сахалинский областной научно-методический центр по образованию в сфере культуры и искусства" (ГБУК "СОН</t>
        </is>
      </c>
      <c r="C4007" s="13" t="n">
        <v>6501079764</v>
      </c>
      <c r="D4007" s="13" t="inlineStr">
        <is>
          <t>6501079764</t>
        </is>
      </c>
      <c r="E4007" s="13" t="inlineStr">
        <is>
          <t>ЮЛ РФ</t>
        </is>
      </c>
      <c r="F4007" s="13" t="n"/>
      <c r="G4007" s="14" t="n"/>
      <c r="H4007" s="14" t="n"/>
      <c r="I4007" s="14" t="n"/>
      <c r="J4007" s="14" t="n"/>
      <c r="K4007" s="53" t="inlineStr"/>
      <c r="L4007" s="53" t="inlineStr">
        <is>
          <t>Не определено</t>
        </is>
      </c>
      <c r="M4007" s="53" t="inlineStr"/>
      <c r="N4007" s="54" t="inlineStr"/>
      <c r="O4007" s="55" t="inlineStr"/>
      <c r="P4007" s="16" t="inlineStr">
        <is>
          <t>Требует обогащения</t>
        </is>
      </c>
      <c r="Q4007" s="16">
        <f>HYPERLINK("https://pb.nalog.ru/search.html?query=6501079764","ФНС: проверить")</f>
        <v/>
      </c>
      <c r="R4007" s="16">
        <f>HYPERLINK("https://checko.ru/search?query=3801001629","Чекко: проверить")</f>
        <v/>
      </c>
      <c r="S4007" t="n">
        <v>1</v>
      </c>
      <c r="T4007" s="35" t="inlineStr">
        <is>
          <t>4 — Не обогащён</t>
        </is>
      </c>
      <c r="U4007" s="35" t="inlineStr">
        <is>
          <t>Нет ОКВЭД/ССЧР</t>
        </is>
      </c>
      <c r="V4007" s="35" t="inlineStr">
        <is>
          <t>Не определено</t>
        </is>
      </c>
      <c r="W4007" s="35" t="inlineStr"/>
      <c r="X4007" s="35" t="inlineStr"/>
    </row>
    <row r="4008" ht="27.75" customHeight="1" s="24">
      <c r="A4008" s="13" t="n">
        <v>5000107961</v>
      </c>
      <c r="B4008" s="13" t="inlineStr">
        <is>
          <t>Сахалинский областной методический центр народной культуры "Радуга"</t>
        </is>
      </c>
      <c r="C4008" s="13" t="n">
        <v>6510003271</v>
      </c>
      <c r="D4008" s="13" t="inlineStr">
        <is>
          <t>6510003271</t>
        </is>
      </c>
      <c r="E4008" s="13" t="inlineStr">
        <is>
          <t>ЮЛ РФ</t>
        </is>
      </c>
      <c r="F4008" s="13" t="n"/>
      <c r="G4008" s="14" t="n"/>
      <c r="H4008" s="14" t="n"/>
      <c r="I4008" s="14" t="n"/>
      <c r="J4008" s="14" t="n"/>
      <c r="K4008" s="53" t="inlineStr"/>
      <c r="L4008" s="53" t="inlineStr">
        <is>
          <t>Не определено</t>
        </is>
      </c>
      <c r="M4008" s="53" t="inlineStr"/>
      <c r="N4008" s="54" t="inlineStr"/>
      <c r="O4008" s="55" t="inlineStr"/>
      <c r="P4008" s="16" t="inlineStr">
        <is>
          <t>Требует обогащения</t>
        </is>
      </c>
      <c r="Q4008" s="16">
        <f>HYPERLINK("https://pb.nalog.ru/search.html?query=6510003271","ФНС: проверить")</f>
        <v/>
      </c>
      <c r="R4008" s="16">
        <f>HYPERLINK("https://checko.ru/search?query=3801001629","Чекко: проверить")</f>
        <v/>
      </c>
      <c r="S4008" t="n">
        <v>1</v>
      </c>
      <c r="T4008" s="35" t="inlineStr">
        <is>
          <t>4 — Не обогащён</t>
        </is>
      </c>
      <c r="U4008" s="35" t="inlineStr">
        <is>
          <t>Нет ОКВЭД/ССЧР</t>
        </is>
      </c>
      <c r="V4008" s="35" t="inlineStr">
        <is>
          <t>Не определено</t>
        </is>
      </c>
      <c r="W4008" s="35" t="inlineStr"/>
      <c r="X4008" s="35" t="inlineStr"/>
    </row>
    <row r="4009" ht="27.75" customHeight="1" s="24">
      <c r="A4009" s="13" t="n">
        <v>5000030391</v>
      </c>
      <c r="B4009" s="13" t="inlineStr">
        <is>
          <t>ГБУ "Государственный архив документов по личному составу Сахалинской области"</t>
        </is>
      </c>
      <c r="C4009" s="13" t="n">
        <v>6501215784</v>
      </c>
      <c r="D4009" s="13" t="inlineStr">
        <is>
          <t>6501215784</t>
        </is>
      </c>
      <c r="E4009" s="13" t="inlineStr">
        <is>
          <t>ЮЛ РФ</t>
        </is>
      </c>
      <c r="F4009" s="13" t="n"/>
      <c r="G4009" s="14" t="n"/>
      <c r="H4009" s="14" t="n"/>
      <c r="I4009" s="14" t="n"/>
      <c r="J4009" s="14" t="n"/>
      <c r="K4009" s="53" t="inlineStr"/>
      <c r="L4009" s="53" t="inlineStr">
        <is>
          <t>Не определено</t>
        </is>
      </c>
      <c r="M4009" s="53" t="inlineStr"/>
      <c r="N4009" s="54" t="inlineStr"/>
      <c r="O4009" s="55" t="inlineStr"/>
      <c r="P4009" s="16" t="inlineStr">
        <is>
          <t>Требует обогащения</t>
        </is>
      </c>
      <c r="Q4009" s="16">
        <f>HYPERLINK("https://pb.nalog.ru/search.html?query=6501215784","ФНС: проверить")</f>
        <v/>
      </c>
      <c r="R4009" s="16">
        <f>HYPERLINK("https://checko.ru/search?query=3801001629","Чекко: проверить")</f>
        <v/>
      </c>
      <c r="S4009" t="n">
        <v>1</v>
      </c>
      <c r="T4009" s="35" t="inlineStr">
        <is>
          <t>4 — Не обогащён</t>
        </is>
      </c>
      <c r="U4009" s="35" t="inlineStr">
        <is>
          <t>Нет ОКВЭД/ССЧР</t>
        </is>
      </c>
      <c r="V4009" s="35" t="inlineStr">
        <is>
          <t>Не определено</t>
        </is>
      </c>
      <c r="W4009" s="35" t="inlineStr"/>
      <c r="X4009" s="35" t="inlineStr"/>
    </row>
    <row r="4010" ht="27.75" customHeight="1" s="24">
      <c r="A4010" s="13" t="n">
        <v>5000030392</v>
      </c>
      <c r="B4010" s="13" t="inlineStr">
        <is>
          <t>ГБУК "Сахалинская областная специальная библиотека для слепых"</t>
        </is>
      </c>
      <c r="C4010" s="13" t="n">
        <v>6501074815</v>
      </c>
      <c r="D4010" s="13" t="inlineStr">
        <is>
          <t>6501074815</t>
        </is>
      </c>
      <c r="E4010" s="13" t="inlineStr">
        <is>
          <t>ЮЛ РФ</t>
        </is>
      </c>
      <c r="F4010" s="13" t="n"/>
      <c r="G4010" s="14" t="n"/>
      <c r="H4010" s="14" t="n"/>
      <c r="I4010" s="14" t="n"/>
      <c r="J4010" s="14" t="n"/>
      <c r="K4010" s="53" t="inlineStr"/>
      <c r="L4010" s="53" t="inlineStr">
        <is>
          <t>Не определено</t>
        </is>
      </c>
      <c r="M4010" s="53" t="inlineStr"/>
      <c r="N4010" s="54" t="inlineStr"/>
      <c r="O4010" s="55" t="inlineStr"/>
      <c r="P4010" s="16" t="inlineStr">
        <is>
          <t>Требует обогащения</t>
        </is>
      </c>
      <c r="Q4010" s="16">
        <f>HYPERLINK("https://pb.nalog.ru/search.html?query=6501074815","ФНС: проверить")</f>
        <v/>
      </c>
      <c r="R4010" s="16">
        <f>HYPERLINK("https://checko.ru/search?query=3801001629","Чекко: проверить")</f>
        <v/>
      </c>
      <c r="S4010" t="n">
        <v>1</v>
      </c>
      <c r="T4010" s="35" t="inlineStr">
        <is>
          <t>4 — Не обогащён</t>
        </is>
      </c>
      <c r="U4010" s="35" t="inlineStr">
        <is>
          <t>Нет ОКВЭД/ССЧР</t>
        </is>
      </c>
      <c r="V4010" s="35" t="inlineStr">
        <is>
          <t>Не определено</t>
        </is>
      </c>
      <c r="W4010" s="35" t="inlineStr"/>
      <c r="X4010" s="35" t="inlineStr"/>
    </row>
    <row r="4011" ht="27.75" customHeight="1" s="24">
      <c r="A4011" s="13" t="n">
        <v>5000030393</v>
      </c>
      <c r="B4011" s="13" t="inlineStr">
        <is>
          <t>ГБУ "Государственный исторический архив Сахалинской области"</t>
        </is>
      </c>
      <c r="C4011" s="13" t="n">
        <v>6501215777</v>
      </c>
      <c r="D4011" s="13" t="inlineStr">
        <is>
          <t>6501215777</t>
        </is>
      </c>
      <c r="E4011" s="13" t="inlineStr">
        <is>
          <t>ЮЛ РФ</t>
        </is>
      </c>
      <c r="F4011" s="13" t="n"/>
      <c r="G4011" s="14" t="n"/>
      <c r="H4011" s="14" t="n"/>
      <c r="I4011" s="14" t="n"/>
      <c r="J4011" s="14" t="n"/>
      <c r="K4011" s="53" t="inlineStr"/>
      <c r="L4011" s="53" t="inlineStr">
        <is>
          <t>Не определено</t>
        </is>
      </c>
      <c r="M4011" s="53" t="inlineStr"/>
      <c r="N4011" s="54" t="inlineStr"/>
      <c r="O4011" s="55" t="inlineStr"/>
      <c r="P4011" s="16" t="inlineStr">
        <is>
          <t>Требует обогащения</t>
        </is>
      </c>
      <c r="Q4011" s="16">
        <f>HYPERLINK("https://pb.nalog.ru/search.html?query=6501215777","ФНС: проверить")</f>
        <v/>
      </c>
      <c r="R4011" s="16">
        <f>HYPERLINK("https://checko.ru/search?query=3801001629","Чекко: проверить")</f>
        <v/>
      </c>
      <c r="S4011" t="n">
        <v>1</v>
      </c>
      <c r="T4011" s="35" t="inlineStr">
        <is>
          <t>4 — Не обогащён</t>
        </is>
      </c>
      <c r="U4011" s="35" t="inlineStr">
        <is>
          <t>Нет ОКВЭД/ССЧР</t>
        </is>
      </c>
      <c r="V4011" s="35" t="inlineStr">
        <is>
          <t>Не определено</t>
        </is>
      </c>
      <c r="W4011" s="35" t="inlineStr"/>
      <c r="X4011" s="35" t="inlineStr"/>
    </row>
    <row r="4012" ht="54.75" customHeight="1" s="24">
      <c r="A4012" s="13" t="n">
        <v>5000032854</v>
      </c>
      <c r="B4012" s="13" t="inlineStr">
        <is>
          <t>МАДОУ «Детский сад № 11 «Колокольчик» общеразвивающего вида с приоритетным осуществлением деятельности по художественно-эстетическому направлению разв</t>
        </is>
      </c>
      <c r="C4012" s="13" t="n">
        <v>6504039047</v>
      </c>
      <c r="D4012" s="13" t="inlineStr">
        <is>
          <t>6504039047</t>
        </is>
      </c>
      <c r="E4012" s="13" t="inlineStr">
        <is>
          <t>ЮЛ РФ</t>
        </is>
      </c>
      <c r="F4012" s="13" t="n"/>
      <c r="G4012" s="14" t="n"/>
      <c r="H4012" s="14" t="n"/>
      <c r="I4012" s="14" t="n"/>
      <c r="J4012" s="14" t="n"/>
      <c r="K4012" s="53" t="inlineStr"/>
      <c r="L4012" s="53" t="inlineStr">
        <is>
          <t>Не определено</t>
        </is>
      </c>
      <c r="M4012" s="53" t="inlineStr"/>
      <c r="N4012" s="54" t="inlineStr"/>
      <c r="O4012" s="55" t="inlineStr"/>
      <c r="P4012" s="16" t="inlineStr">
        <is>
          <t>Требует обогащения</t>
        </is>
      </c>
      <c r="Q4012" s="16">
        <f>HYPERLINK("https://pb.nalog.ru/search.html?query=6504039047","ФНС: проверить")</f>
        <v/>
      </c>
      <c r="R4012" s="16">
        <f>HYPERLINK("https://checko.ru/search?query=3801001629","Чекко: проверить")</f>
        <v/>
      </c>
      <c r="S4012" t="n">
        <v>1</v>
      </c>
      <c r="T4012" s="35" t="inlineStr">
        <is>
          <t>4 — Не обогащён</t>
        </is>
      </c>
      <c r="U4012" s="35" t="inlineStr">
        <is>
          <t>Нет ОКВЭД/ССЧР</t>
        </is>
      </c>
      <c r="V4012" s="35" t="inlineStr">
        <is>
          <t>Не определено</t>
        </is>
      </c>
      <c r="W4012" s="35" t="inlineStr"/>
      <c r="X4012" s="35" t="inlineStr"/>
    </row>
    <row r="4013" ht="27.75" customHeight="1" s="24">
      <c r="A4013" s="13" t="n">
        <v>5000032855</v>
      </c>
      <c r="B4013" s="13" t="inlineStr">
        <is>
          <t>МАДОУ «Детский сад № 28» Корсаковского городского округа Сахалинской области</t>
        </is>
      </c>
      <c r="C4013" s="13" t="n">
        <v>6504039142</v>
      </c>
      <c r="D4013" s="13" t="inlineStr">
        <is>
          <t>6504039142</t>
        </is>
      </c>
      <c r="E4013" s="13" t="inlineStr">
        <is>
          <t>ЮЛ РФ</t>
        </is>
      </c>
      <c r="F4013" s="13" t="n"/>
      <c r="G4013" s="14" t="n"/>
      <c r="H4013" s="14" t="n"/>
      <c r="I4013" s="14" t="n"/>
      <c r="J4013" s="14" t="n"/>
      <c r="K4013" s="53" t="inlineStr"/>
      <c r="L4013" s="53" t="inlineStr">
        <is>
          <t>Не определено</t>
        </is>
      </c>
      <c r="M4013" s="53" t="inlineStr"/>
      <c r="N4013" s="54" t="inlineStr"/>
      <c r="O4013" s="55" t="inlineStr"/>
      <c r="P4013" s="16" t="inlineStr">
        <is>
          <t>Требует обогащения</t>
        </is>
      </c>
      <c r="Q4013" s="16">
        <f>HYPERLINK("https://pb.nalog.ru/search.html?query=6504039142","ФНС: проверить")</f>
        <v/>
      </c>
      <c r="R4013" s="16">
        <f>HYPERLINK("https://checko.ru/search?query=3801001629","Чекко: проверить")</f>
        <v/>
      </c>
      <c r="S4013" t="n">
        <v>1</v>
      </c>
      <c r="T4013" s="35" t="inlineStr">
        <is>
          <t>4 — Не обогащён</t>
        </is>
      </c>
      <c r="U4013" s="35" t="inlineStr">
        <is>
          <t>Нет ОКВЭД/ССЧР</t>
        </is>
      </c>
      <c r="V4013" s="35" t="inlineStr">
        <is>
          <t>Не определено</t>
        </is>
      </c>
      <c r="W4013" s="35" t="inlineStr"/>
      <c r="X4013" s="35" t="inlineStr"/>
    </row>
    <row r="4014" ht="41.25" customHeight="1" s="24">
      <c r="A4014" s="13" t="n">
        <v>5000032856</v>
      </c>
      <c r="B4014" s="13" t="inlineStr">
        <is>
          <t>МАДОУ «Детский сад № 25 «Золотая рыбка» Корсаковского городского округа Сахалинской области</t>
        </is>
      </c>
      <c r="C4014" s="13" t="n">
        <v>6504039103</v>
      </c>
      <c r="D4014" s="13" t="inlineStr">
        <is>
          <t>6504039103</t>
        </is>
      </c>
      <c r="E4014" s="13" t="inlineStr">
        <is>
          <t>ЮЛ РФ</t>
        </is>
      </c>
      <c r="F4014" s="13" t="n"/>
      <c r="G4014" s="14" t="n"/>
      <c r="H4014" s="14" t="n"/>
      <c r="I4014" s="14" t="n"/>
      <c r="J4014" s="14" t="n"/>
      <c r="K4014" s="53" t="inlineStr"/>
      <c r="L4014" s="53" t="inlineStr">
        <is>
          <t>Не определено</t>
        </is>
      </c>
      <c r="M4014" s="53" t="inlineStr"/>
      <c r="N4014" s="54" t="inlineStr"/>
      <c r="O4014" s="55" t="inlineStr"/>
      <c r="P4014" s="16" t="inlineStr">
        <is>
          <t>Требует обогащения</t>
        </is>
      </c>
      <c r="Q4014" s="16">
        <f>HYPERLINK("https://pb.nalog.ru/search.html?query=6504039103","ФНС: проверить")</f>
        <v/>
      </c>
      <c r="R4014" s="16">
        <f>HYPERLINK("https://checko.ru/search?query=3801001629","Чекко: проверить")</f>
        <v/>
      </c>
      <c r="S4014" t="n">
        <v>1</v>
      </c>
      <c r="T4014" s="35" t="inlineStr">
        <is>
          <t>4 — Не обогащён</t>
        </is>
      </c>
      <c r="U4014" s="35" t="inlineStr">
        <is>
          <t>Нет ОКВЭД/ССЧР</t>
        </is>
      </c>
      <c r="V4014" s="35" t="inlineStr">
        <is>
          <t>Не определено</t>
        </is>
      </c>
      <c r="W4014" s="35" t="inlineStr"/>
      <c r="X4014" s="35" t="inlineStr"/>
    </row>
    <row r="4015" ht="68.25" customHeight="1" s="24">
      <c r="A4015" s="13" t="n">
        <v>5000032388</v>
      </c>
      <c r="B4015" s="13" t="inlineStr">
        <is>
          <t>Муниципальное бюджетное общеобразовательное учреждение средняя общеобразовательная школа с. Онор муниципального образования городской округ "Смирныхов</t>
        </is>
      </c>
      <c r="C4015" s="13" t="n">
        <v>6514000560</v>
      </c>
      <c r="D4015" s="13" t="inlineStr">
        <is>
          <t>6514000560</t>
        </is>
      </c>
      <c r="E4015" s="13" t="inlineStr">
        <is>
          <t>ЮЛ РФ</t>
        </is>
      </c>
      <c r="F4015" s="13" t="n"/>
      <c r="G4015" s="14" t="n"/>
      <c r="H4015" s="14" t="n"/>
      <c r="I4015" s="14" t="n"/>
      <c r="J4015" s="14" t="n"/>
      <c r="K4015" s="53" t="inlineStr"/>
      <c r="L4015" s="53" t="inlineStr">
        <is>
          <t>Не определено</t>
        </is>
      </c>
      <c r="M4015" s="53" t="inlineStr"/>
      <c r="N4015" s="54" t="inlineStr"/>
      <c r="O4015" s="55" t="inlineStr"/>
      <c r="P4015" s="16" t="inlineStr">
        <is>
          <t>Требует обогащения</t>
        </is>
      </c>
      <c r="Q4015" s="16">
        <f>HYPERLINK("https://pb.nalog.ru/search.html?query=6514000560","ФНС: проверить")</f>
        <v/>
      </c>
      <c r="R4015" s="16">
        <f>HYPERLINK("https://checko.ru/search?query=3801001629","Чекко: проверить")</f>
        <v/>
      </c>
      <c r="S4015" t="n">
        <v>1</v>
      </c>
      <c r="T4015" s="35" t="inlineStr">
        <is>
          <t>4 — Не обогащён</t>
        </is>
      </c>
      <c r="U4015" s="35" t="inlineStr">
        <is>
          <t>Нет ОКВЭД/ССЧР</t>
        </is>
      </c>
      <c r="V4015" s="35" t="inlineStr">
        <is>
          <t>Не определено</t>
        </is>
      </c>
      <c r="W4015" s="35" t="inlineStr"/>
      <c r="X4015" s="35" t="inlineStr"/>
    </row>
    <row r="4016" ht="54.75" customHeight="1" s="24">
      <c r="A4016" s="13" t="n">
        <v>5000032390</v>
      </c>
      <c r="B4016" s="13" t="inlineStr">
        <is>
          <t>Муниципальное бюджетное дошкольное образовательное учреждение "детский сад "Островок" пгт. Смирных муниципального образования городской округ "Смирных</t>
        </is>
      </c>
      <c r="C4016" s="13" t="n">
        <v>6514009299</v>
      </c>
      <c r="D4016" s="13" t="inlineStr">
        <is>
          <t>6514009299</t>
        </is>
      </c>
      <c r="E4016" s="13" t="inlineStr">
        <is>
          <t>ЮЛ РФ</t>
        </is>
      </c>
      <c r="F4016" s="13" t="n"/>
      <c r="G4016" s="14" t="n"/>
      <c r="H4016" s="14" t="n"/>
      <c r="I4016" s="14" t="n"/>
      <c r="J4016" s="14" t="n"/>
      <c r="K4016" s="53" t="inlineStr"/>
      <c r="L4016" s="53" t="inlineStr">
        <is>
          <t>Не определено</t>
        </is>
      </c>
      <c r="M4016" s="53" t="inlineStr"/>
      <c r="N4016" s="54" t="inlineStr"/>
      <c r="O4016" s="55" t="inlineStr"/>
      <c r="P4016" s="16" t="inlineStr">
        <is>
          <t>Требует обогащения</t>
        </is>
      </c>
      <c r="Q4016" s="16">
        <f>HYPERLINK("https://pb.nalog.ru/search.html?query=6514009299","ФНС: проверить")</f>
        <v/>
      </c>
      <c r="R4016" s="16">
        <f>HYPERLINK("https://checko.ru/search?query=3801001629","Чекко: проверить")</f>
        <v/>
      </c>
      <c r="S4016" t="n">
        <v>1</v>
      </c>
      <c r="T4016" s="35" t="inlineStr">
        <is>
          <t>4 — Не обогащён</t>
        </is>
      </c>
      <c r="U4016" s="35" t="inlineStr">
        <is>
          <t>Нет ОКВЭД/ССЧР</t>
        </is>
      </c>
      <c r="V4016" s="35" t="inlineStr">
        <is>
          <t>Не определено</t>
        </is>
      </c>
      <c r="W4016" s="35" t="inlineStr"/>
      <c r="X4016" s="35" t="inlineStr"/>
    </row>
    <row r="4017" ht="54.75" customHeight="1" s="24">
      <c r="A4017" s="13" t="n">
        <v>5000032385</v>
      </c>
      <c r="B4017" s="13" t="inlineStr">
        <is>
          <t>Муниципальное бюджетное общеобразовательное учреждение вечерняя (сменная) общеобразовательная школа № 2 пгт. Смирных муниципального образования городс</t>
        </is>
      </c>
      <c r="C4017" s="13" t="n">
        <v>6514002293</v>
      </c>
      <c r="D4017" s="13" t="inlineStr">
        <is>
          <t>6514002293</t>
        </is>
      </c>
      <c r="E4017" s="13" t="inlineStr">
        <is>
          <t>ЮЛ РФ</t>
        </is>
      </c>
      <c r="F4017" s="13" t="n"/>
      <c r="G4017" s="14" t="n"/>
      <c r="H4017" s="14" t="n"/>
      <c r="I4017" s="14" t="n"/>
      <c r="J4017" s="14" t="n"/>
      <c r="K4017" s="53" t="inlineStr"/>
      <c r="L4017" s="53" t="inlineStr">
        <is>
          <t>Не определено</t>
        </is>
      </c>
      <c r="M4017" s="53" t="inlineStr"/>
      <c r="N4017" s="54" t="inlineStr"/>
      <c r="O4017" s="55" t="inlineStr"/>
      <c r="P4017" s="16" t="inlineStr">
        <is>
          <t>Требует обогащения</t>
        </is>
      </c>
      <c r="Q4017" s="16">
        <f>HYPERLINK("https://pb.nalog.ru/search.html?query=6514002293","ФНС: проверить")</f>
        <v/>
      </c>
      <c r="R4017" s="16">
        <f>HYPERLINK("https://checko.ru/search?query=3801001629","Чекко: проверить")</f>
        <v/>
      </c>
      <c r="S4017" t="n">
        <v>1</v>
      </c>
      <c r="T4017" s="35" t="inlineStr">
        <is>
          <t>4 — Не обогащён</t>
        </is>
      </c>
      <c r="U4017" s="35" t="inlineStr">
        <is>
          <t>Нет ОКВЭД/ССЧР</t>
        </is>
      </c>
      <c r="V4017" s="35" t="inlineStr">
        <is>
          <t>Не определено</t>
        </is>
      </c>
      <c r="W4017" s="35" t="inlineStr"/>
      <c r="X4017" s="35" t="inlineStr"/>
    </row>
    <row r="4018" ht="68.25" customHeight="1" s="24">
      <c r="A4018" s="13" t="n">
        <v>5000032386</v>
      </c>
      <c r="B4018" s="13" t="inlineStr">
        <is>
          <t>Муниципальное бюджетное общеобразовательное учреждение средняя общеобразовательная школа с. Победино муниципального образования городской округ "Смирн</t>
        </is>
      </c>
      <c r="C4018" s="13" t="n">
        <v>6514000539</v>
      </c>
      <c r="D4018" s="13" t="inlineStr">
        <is>
          <t>6514000539</t>
        </is>
      </c>
      <c r="E4018" s="13" t="inlineStr">
        <is>
          <t>ЮЛ РФ</t>
        </is>
      </c>
      <c r="F4018" s="13" t="n"/>
      <c r="G4018" s="14" t="n"/>
      <c r="H4018" s="14" t="n"/>
      <c r="I4018" s="14" t="n"/>
      <c r="J4018" s="14" t="n"/>
      <c r="K4018" s="53" t="inlineStr"/>
      <c r="L4018" s="53" t="inlineStr">
        <is>
          <t>Не определено</t>
        </is>
      </c>
      <c r="M4018" s="53" t="inlineStr"/>
      <c r="N4018" s="54" t="inlineStr"/>
      <c r="O4018" s="55" t="inlineStr"/>
      <c r="P4018" s="16" t="inlineStr">
        <is>
          <t>Требует обогащения</t>
        </is>
      </c>
      <c r="Q4018" s="16">
        <f>HYPERLINK("https://pb.nalog.ru/search.html?query=6514000539","ФНС: проверить")</f>
        <v/>
      </c>
      <c r="R4018" s="16">
        <f>HYPERLINK("https://checko.ru/search?query=3801001629","Чекко: проверить")</f>
        <v/>
      </c>
      <c r="S4018" t="n">
        <v>1</v>
      </c>
      <c r="T4018" s="35" t="inlineStr">
        <is>
          <t>4 — Не обогащён</t>
        </is>
      </c>
      <c r="U4018" s="35" t="inlineStr">
        <is>
          <t>Нет ОКВЭД/ССЧР</t>
        </is>
      </c>
      <c r="V4018" s="35" t="inlineStr">
        <is>
          <t>Не определено</t>
        </is>
      </c>
      <c r="W4018" s="35" t="inlineStr"/>
      <c r="X4018" s="35" t="inlineStr"/>
    </row>
    <row r="4019" ht="68.25" customHeight="1" s="24">
      <c r="A4019" s="13" t="n">
        <v>5000032387</v>
      </c>
      <c r="B4019" s="13" t="inlineStr">
        <is>
          <t>Муниципальное бюджетное общеобразовательное учреждение средняя общеобразовательная школа с. Первомайск муниципального образования городской округ "Сми</t>
        </is>
      </c>
      <c r="C4019" s="13" t="n">
        <v>6514000553</v>
      </c>
      <c r="D4019" s="13" t="inlineStr">
        <is>
          <t>6514000553</t>
        </is>
      </c>
      <c r="E4019" s="13" t="inlineStr">
        <is>
          <t>ЮЛ РФ</t>
        </is>
      </c>
      <c r="F4019" s="13" t="n"/>
      <c r="G4019" s="14" t="n"/>
      <c r="H4019" s="14" t="n"/>
      <c r="I4019" s="14" t="n"/>
      <c r="J4019" s="14" t="n"/>
      <c r="K4019" s="53" t="inlineStr"/>
      <c r="L4019" s="53" t="inlineStr">
        <is>
          <t>Не определено</t>
        </is>
      </c>
      <c r="M4019" s="53" t="inlineStr"/>
      <c r="N4019" s="54" t="inlineStr"/>
      <c r="O4019" s="55" t="inlineStr"/>
      <c r="P4019" s="16" t="inlineStr">
        <is>
          <t>Требует обогащения</t>
        </is>
      </c>
      <c r="Q4019" s="16">
        <f>HYPERLINK("https://pb.nalog.ru/search.html?query=6514000553","ФНС: проверить")</f>
        <v/>
      </c>
      <c r="R4019" s="16">
        <f>HYPERLINK("https://checko.ru/search?query=3801001629","Чекко: проверить")</f>
        <v/>
      </c>
      <c r="S4019" t="n">
        <v>1</v>
      </c>
      <c r="T4019" s="35" t="inlineStr">
        <is>
          <t>4 — Не обогащён</t>
        </is>
      </c>
      <c r="U4019" s="35" t="inlineStr">
        <is>
          <t>Нет ОКВЭД/ССЧР</t>
        </is>
      </c>
      <c r="V4019" s="35" t="inlineStr">
        <is>
          <t>Не определено</t>
        </is>
      </c>
      <c r="W4019" s="35" t="inlineStr"/>
      <c r="X4019" s="35" t="inlineStr"/>
    </row>
    <row r="4020" ht="41.25" customHeight="1" s="24">
      <c r="A4020" s="13" t="n">
        <v>5000032861</v>
      </c>
      <c r="B4020" s="13" t="inlineStr">
        <is>
          <t>МАДОУ «Детский сад № 12 «Теремок» Корсаковского городского округа Сахалинской области</t>
        </is>
      </c>
      <c r="C4020" s="13" t="n">
        <v>6504039030</v>
      </c>
      <c r="D4020" s="13" t="inlineStr">
        <is>
          <t>6504039030</t>
        </is>
      </c>
      <c r="E4020" s="13" t="inlineStr">
        <is>
          <t>ЮЛ РФ</t>
        </is>
      </c>
      <c r="F4020" s="13" t="n"/>
      <c r="G4020" s="14" t="n"/>
      <c r="H4020" s="14" t="n"/>
      <c r="I4020" s="14" t="n"/>
      <c r="J4020" s="14" t="n"/>
      <c r="K4020" s="53" t="inlineStr"/>
      <c r="L4020" s="53" t="inlineStr">
        <is>
          <t>Не определено</t>
        </is>
      </c>
      <c r="M4020" s="53" t="inlineStr"/>
      <c r="N4020" s="54" t="inlineStr"/>
      <c r="O4020" s="55" t="inlineStr"/>
      <c r="P4020" s="16" t="inlineStr">
        <is>
          <t>Требует обогащения</t>
        </is>
      </c>
      <c r="Q4020" s="16">
        <f>HYPERLINK("https://pb.nalog.ru/search.html?query=6504039030","ФНС: проверить")</f>
        <v/>
      </c>
      <c r="R4020" s="16">
        <f>HYPERLINK("https://checko.ru/search?query=3801001629","Чекко: проверить")</f>
        <v/>
      </c>
      <c r="S4020" t="n">
        <v>1</v>
      </c>
      <c r="T4020" s="35" t="inlineStr">
        <is>
          <t>4 — Не обогащён</t>
        </is>
      </c>
      <c r="U4020" s="35" t="inlineStr">
        <is>
          <t>Нет ОКВЭД/ССЧР</t>
        </is>
      </c>
      <c r="V4020" s="35" t="inlineStr">
        <is>
          <t>Не определено</t>
        </is>
      </c>
      <c r="W4020" s="35" t="inlineStr"/>
      <c r="X4020" s="35" t="inlineStr"/>
    </row>
    <row r="4021" ht="54.75" customHeight="1" s="24">
      <c r="A4021" s="13" t="n">
        <v>5000032862</v>
      </c>
      <c r="B4021" s="13" t="inlineStr">
        <is>
          <t>МАДОУ «Детский сад № 23 «Золотой петушок» общеразвивающего вида с приоритетным осуществлением деятельности по познавательно-речевому направлению разви</t>
        </is>
      </c>
      <c r="C4021" s="13" t="n">
        <v>6504039110</v>
      </c>
      <c r="D4021" s="13" t="inlineStr">
        <is>
          <t>6504039110</t>
        </is>
      </c>
      <c r="E4021" s="13" t="inlineStr">
        <is>
          <t>ЮЛ РФ</t>
        </is>
      </c>
      <c r="F4021" s="13" t="n"/>
      <c r="G4021" s="14" t="n"/>
      <c r="H4021" s="14" t="n"/>
      <c r="I4021" s="14" t="n"/>
      <c r="J4021" s="14" t="n"/>
      <c r="K4021" s="53" t="inlineStr"/>
      <c r="L4021" s="53" t="inlineStr">
        <is>
          <t>Не определено</t>
        </is>
      </c>
      <c r="M4021" s="53" t="inlineStr"/>
      <c r="N4021" s="54" t="inlineStr"/>
      <c r="O4021" s="55" t="inlineStr"/>
      <c r="P4021" s="16" t="inlineStr">
        <is>
          <t>Требует обогащения</t>
        </is>
      </c>
      <c r="Q4021" s="16">
        <f>HYPERLINK("https://pb.nalog.ru/search.html?query=6504039110","ФНС: проверить")</f>
        <v/>
      </c>
      <c r="R4021" s="16">
        <f>HYPERLINK("https://checko.ru/search?query=3801001629","Чекко: проверить")</f>
        <v/>
      </c>
      <c r="S4021" t="n">
        <v>1</v>
      </c>
      <c r="T4021" s="35" t="inlineStr">
        <is>
          <t>4 — Не обогащён</t>
        </is>
      </c>
      <c r="U4021" s="35" t="inlineStr">
        <is>
          <t>Нет ОКВЭД/ССЧР</t>
        </is>
      </c>
      <c r="V4021" s="35" t="inlineStr">
        <is>
          <t>Не определено</t>
        </is>
      </c>
      <c r="W4021" s="35" t="inlineStr"/>
      <c r="X4021" s="35" t="inlineStr"/>
    </row>
    <row r="4022" ht="41.25" customHeight="1" s="24">
      <c r="A4022" s="13" t="n">
        <v>5000032863</v>
      </c>
      <c r="B4022" s="13" t="inlineStr">
        <is>
          <t>МАДОУ «Детский сад № 17 с.Озерское» Корсаковского городского округа Сахалинской области</t>
        </is>
      </c>
      <c r="C4022" s="13" t="n">
        <v>6504039150</v>
      </c>
      <c r="D4022" s="13" t="inlineStr">
        <is>
          <t>6504039150</t>
        </is>
      </c>
      <c r="E4022" s="13" t="inlineStr">
        <is>
          <t>ЮЛ РФ</t>
        </is>
      </c>
      <c r="F4022" s="13" t="n"/>
      <c r="G4022" s="14" t="n"/>
      <c r="H4022" s="14" t="n"/>
      <c r="I4022" s="14" t="n"/>
      <c r="J4022" s="14" t="n"/>
      <c r="K4022" s="53" t="inlineStr"/>
      <c r="L4022" s="53" t="inlineStr">
        <is>
          <t>Не определено</t>
        </is>
      </c>
      <c r="M4022" s="53" t="inlineStr"/>
      <c r="N4022" s="54" t="inlineStr"/>
      <c r="O4022" s="55" t="inlineStr"/>
      <c r="P4022" s="16" t="inlineStr">
        <is>
          <t>Требует обогащения</t>
        </is>
      </c>
      <c r="Q4022" s="16">
        <f>HYPERLINK("https://pb.nalog.ru/search.html?query=6504039150","ФНС: проверить")</f>
        <v/>
      </c>
      <c r="R4022" s="16">
        <f>HYPERLINK("https://checko.ru/search?query=3801001629","Чекко: проверить")</f>
        <v/>
      </c>
      <c r="S4022" t="n">
        <v>1</v>
      </c>
      <c r="T4022" s="35" t="inlineStr">
        <is>
          <t>4 — Не обогащён</t>
        </is>
      </c>
      <c r="U4022" s="35" t="inlineStr">
        <is>
          <t>Нет ОКВЭД/ССЧР</t>
        </is>
      </c>
      <c r="V4022" s="35" t="inlineStr">
        <is>
          <t>Не определено</t>
        </is>
      </c>
      <c r="W4022" s="35" t="inlineStr"/>
      <c r="X4022" s="35" t="inlineStr"/>
    </row>
    <row r="4023" ht="41.25" customHeight="1" s="24">
      <c r="A4023" s="13" t="n">
        <v>5000032864</v>
      </c>
      <c r="B4023" s="13" t="inlineStr">
        <is>
          <t>МАОУ «Средняя общеобразовательная школа с.Соловьевка» Корсаковского городского округа Сахалинской области</t>
        </is>
      </c>
      <c r="C4023" s="13" t="n">
        <v>6504025703</v>
      </c>
      <c r="D4023" s="13" t="inlineStr">
        <is>
          <t>6504025703</t>
        </is>
      </c>
      <c r="E4023" s="13" t="inlineStr">
        <is>
          <t>ЮЛ РФ</t>
        </is>
      </c>
      <c r="F4023" s="13" t="n"/>
      <c r="G4023" s="14" t="n"/>
      <c r="H4023" s="14" t="n"/>
      <c r="I4023" s="14" t="n"/>
      <c r="J4023" s="14" t="n"/>
      <c r="K4023" s="53" t="inlineStr"/>
      <c r="L4023" s="53" t="inlineStr">
        <is>
          <t>Не определено</t>
        </is>
      </c>
      <c r="M4023" s="53" t="inlineStr"/>
      <c r="N4023" s="54" t="inlineStr"/>
      <c r="O4023" s="55" t="inlineStr"/>
      <c r="P4023" s="16" t="inlineStr">
        <is>
          <t>Требует обогащения</t>
        </is>
      </c>
      <c r="Q4023" s="16">
        <f>HYPERLINK("https://pb.nalog.ru/search.html?query=6504025703","ФНС: проверить")</f>
        <v/>
      </c>
      <c r="R4023" s="16">
        <f>HYPERLINK("https://checko.ru/search?query=3801001629","Чекко: проверить")</f>
        <v/>
      </c>
      <c r="S4023" t="n">
        <v>1</v>
      </c>
      <c r="T4023" s="35" t="inlineStr">
        <is>
          <t>4 — Не обогащён</t>
        </is>
      </c>
      <c r="U4023" s="35" t="inlineStr">
        <is>
          <t>Нет ОКВЭД/ССЧР</t>
        </is>
      </c>
      <c r="V4023" s="35" t="inlineStr">
        <is>
          <t>Не определено</t>
        </is>
      </c>
      <c r="W4023" s="35" t="inlineStr"/>
      <c r="X4023" s="35" t="inlineStr"/>
    </row>
    <row r="4024" ht="41.25" customHeight="1" s="24">
      <c r="A4024" s="13" t="n">
        <v>5000032865</v>
      </c>
      <c r="B4024" s="13" t="inlineStr">
        <is>
          <t>МАОУ «Средняя общеобразовательная школа № 3» Корсаковского городского округа Сахалинской области</t>
        </is>
      </c>
      <c r="C4024" s="13" t="n">
        <v>6504025608</v>
      </c>
      <c r="D4024" s="13" t="inlineStr">
        <is>
          <t>6504025608</t>
        </is>
      </c>
      <c r="E4024" s="13" t="inlineStr">
        <is>
          <t>ЮЛ РФ</t>
        </is>
      </c>
      <c r="F4024" s="13" t="n"/>
      <c r="G4024" s="14" t="n"/>
      <c r="H4024" s="14" t="n"/>
      <c r="I4024" s="14" t="n"/>
      <c r="J4024" s="14" t="n"/>
      <c r="K4024" s="53" t="inlineStr"/>
      <c r="L4024" s="53" t="inlineStr">
        <is>
          <t>Не определено</t>
        </is>
      </c>
      <c r="M4024" s="53" t="inlineStr"/>
      <c r="N4024" s="54" t="inlineStr"/>
      <c r="O4024" s="55" t="inlineStr"/>
      <c r="P4024" s="16" t="inlineStr">
        <is>
          <t>Требует обогащения</t>
        </is>
      </c>
      <c r="Q4024" s="16">
        <f>HYPERLINK("https://pb.nalog.ru/search.html?query=6504025608","ФНС: проверить")</f>
        <v/>
      </c>
      <c r="R4024" s="16">
        <f>HYPERLINK("https://checko.ru/search?query=3801001629","Чекко: проверить")</f>
        <v/>
      </c>
      <c r="S4024" t="n">
        <v>1</v>
      </c>
      <c r="T4024" s="35" t="inlineStr">
        <is>
          <t>4 — Не обогащён</t>
        </is>
      </c>
      <c r="U4024" s="35" t="inlineStr">
        <is>
          <t>Нет ОКВЭД/ССЧР</t>
        </is>
      </c>
      <c r="V4024" s="35" t="inlineStr">
        <is>
          <t>Не определено</t>
        </is>
      </c>
      <c r="W4024" s="35" t="inlineStr"/>
      <c r="X4024" s="35" t="inlineStr"/>
    </row>
    <row r="4025" ht="41.25" customHeight="1" s="24">
      <c r="A4025" s="13" t="n">
        <v>5000032859</v>
      </c>
      <c r="B4025" s="13" t="inlineStr">
        <is>
          <t>МАДОУ комбинированного вида «Детский сад № 3 «Ромашка» Корсаковского городского округа Сахалинской области</t>
        </is>
      </c>
      <c r="C4025" s="13" t="n">
        <v>6504039294</v>
      </c>
      <c r="D4025" s="13" t="inlineStr">
        <is>
          <t>6504039294</t>
        </is>
      </c>
      <c r="E4025" s="13" t="inlineStr">
        <is>
          <t>ЮЛ РФ</t>
        </is>
      </c>
      <c r="F4025" s="13" t="n"/>
      <c r="G4025" s="14" t="n"/>
      <c r="H4025" s="14" t="n"/>
      <c r="I4025" s="14" t="n"/>
      <c r="J4025" s="14" t="n"/>
      <c r="K4025" s="53" t="inlineStr"/>
      <c r="L4025" s="53" t="inlineStr">
        <is>
          <t>Не определено</t>
        </is>
      </c>
      <c r="M4025" s="53" t="inlineStr"/>
      <c r="N4025" s="54" t="inlineStr"/>
      <c r="O4025" s="55" t="inlineStr"/>
      <c r="P4025" s="16" t="inlineStr">
        <is>
          <t>Требует обогащения</t>
        </is>
      </c>
      <c r="Q4025" s="16">
        <f>HYPERLINK("https://pb.nalog.ru/search.html?query=6504039294","ФНС: проверить")</f>
        <v/>
      </c>
      <c r="R4025" s="16">
        <f>HYPERLINK("https://checko.ru/search?query=3801001629","Чекко: проверить")</f>
        <v/>
      </c>
      <c r="S4025" t="n">
        <v>1</v>
      </c>
      <c r="T4025" s="35" t="inlineStr">
        <is>
          <t>4 — Не обогащён</t>
        </is>
      </c>
      <c r="U4025" s="35" t="inlineStr">
        <is>
          <t>Нет ОКВЭД/ССЧР</t>
        </is>
      </c>
      <c r="V4025" s="35" t="inlineStr">
        <is>
          <t>Не определено</t>
        </is>
      </c>
      <c r="W4025" s="35" t="inlineStr"/>
      <c r="X4025" s="35" t="inlineStr"/>
    </row>
    <row r="4026" ht="41.25" customHeight="1" s="24">
      <c r="A4026" s="13" t="n">
        <v>5000032860</v>
      </c>
      <c r="B4026" s="13" t="inlineStr">
        <is>
          <t>МАОУ «Средняя общеобразовательная школа № 1» Корсаковского городского округа Сахалинской области</t>
        </is>
      </c>
      <c r="C4026" s="13" t="n">
        <v>6504025580</v>
      </c>
      <c r="D4026" s="13" t="inlineStr">
        <is>
          <t>6504025580</t>
        </is>
      </c>
      <c r="E4026" s="13" t="inlineStr">
        <is>
          <t>ЮЛ РФ</t>
        </is>
      </c>
      <c r="F4026" s="13" t="n"/>
      <c r="G4026" s="14" t="n"/>
      <c r="H4026" s="14" t="n"/>
      <c r="I4026" s="14" t="n"/>
      <c r="J4026" s="14" t="n"/>
      <c r="K4026" s="53" t="inlineStr"/>
      <c r="L4026" s="53" t="inlineStr">
        <is>
          <t>Не определено</t>
        </is>
      </c>
      <c r="M4026" s="53" t="inlineStr"/>
      <c r="N4026" s="54" t="inlineStr"/>
      <c r="O4026" s="55" t="inlineStr"/>
      <c r="P4026" s="16" t="inlineStr">
        <is>
          <t>Требует обогащения</t>
        </is>
      </c>
      <c r="Q4026" s="16">
        <f>HYPERLINK("https://pb.nalog.ru/search.html?query=6504025580","ФНС: проверить")</f>
        <v/>
      </c>
      <c r="R4026" s="16">
        <f>HYPERLINK("https://checko.ru/search?query=3801001629","Чекко: проверить")</f>
        <v/>
      </c>
      <c r="S4026" t="n">
        <v>1</v>
      </c>
      <c r="T4026" s="35" t="inlineStr">
        <is>
          <t>4 — Не обогащён</t>
        </is>
      </c>
      <c r="U4026" s="35" t="inlineStr">
        <is>
          <t>Нет ОКВЭД/ССЧР</t>
        </is>
      </c>
      <c r="V4026" s="35" t="inlineStr">
        <is>
          <t>Не определено</t>
        </is>
      </c>
      <c r="W4026" s="35" t="inlineStr"/>
      <c r="X4026" s="35" t="inlineStr"/>
    </row>
    <row r="4027" ht="54.75" customHeight="1" s="24">
      <c r="A4027" s="13" t="n">
        <v>5000032857</v>
      </c>
      <c r="B4027" s="13" t="inlineStr">
        <is>
          <t>МАДОУ «Детский сад № 2 «Аленький цветочек» общеразщего вида с приоритетным осуществлением деятельности по познавательно-речевому направлению развития</t>
        </is>
      </c>
      <c r="C4027" s="13" t="n">
        <v>6504039054</v>
      </c>
      <c r="D4027" s="13" t="inlineStr">
        <is>
          <t>6504039054</t>
        </is>
      </c>
      <c r="E4027" s="13" t="inlineStr">
        <is>
          <t>ЮЛ РФ</t>
        </is>
      </c>
      <c r="F4027" s="13" t="n"/>
      <c r="G4027" s="14" t="n"/>
      <c r="H4027" s="14" t="n"/>
      <c r="I4027" s="14" t="n"/>
      <c r="J4027" s="14" t="n"/>
      <c r="K4027" s="53" t="inlineStr"/>
      <c r="L4027" s="53" t="inlineStr">
        <is>
          <t>Не определено</t>
        </is>
      </c>
      <c r="M4027" s="53" t="inlineStr"/>
      <c r="N4027" s="54" t="inlineStr"/>
      <c r="O4027" s="55" t="inlineStr"/>
      <c r="P4027" s="16" t="inlineStr">
        <is>
          <t>Требует обогащения</t>
        </is>
      </c>
      <c r="Q4027" s="16">
        <f>HYPERLINK("https://pb.nalog.ru/search.html?query=6504039054","ФНС: проверить")</f>
        <v/>
      </c>
      <c r="R4027" s="16">
        <f>HYPERLINK("https://checko.ru/search?query=3801001629","Чекко: проверить")</f>
        <v/>
      </c>
      <c r="S4027" t="n">
        <v>1</v>
      </c>
      <c r="T4027" s="35" t="inlineStr">
        <is>
          <t>4 — Не обогащён</t>
        </is>
      </c>
      <c r="U4027" s="35" t="inlineStr">
        <is>
          <t>Нет ОКВЭД/ССЧР</t>
        </is>
      </c>
      <c r="V4027" s="35" t="inlineStr">
        <is>
          <t>Не определено</t>
        </is>
      </c>
      <c r="W4027" s="35" t="inlineStr"/>
      <c r="X4027" s="35" t="inlineStr"/>
    </row>
    <row r="4028" ht="41.25" customHeight="1" s="24">
      <c r="A4028" s="13" t="n">
        <v>5000032858</v>
      </c>
      <c r="B4028" s="13" t="inlineStr">
        <is>
          <t>МАОУ «Средняя общеобразовательная школа № 4» Корсаковского городского округа Сахалинской области</t>
        </is>
      </c>
      <c r="C4028" s="13" t="n">
        <v>6504025615</v>
      </c>
      <c r="D4028" s="13" t="inlineStr">
        <is>
          <t>6504025615</t>
        </is>
      </c>
      <c r="E4028" s="13" t="inlineStr">
        <is>
          <t>ЮЛ РФ</t>
        </is>
      </c>
      <c r="F4028" s="13" t="n"/>
      <c r="G4028" s="14" t="n"/>
      <c r="H4028" s="14" t="n"/>
      <c r="I4028" s="14" t="n"/>
      <c r="J4028" s="14" t="n"/>
      <c r="K4028" s="53" t="inlineStr"/>
      <c r="L4028" s="53" t="inlineStr">
        <is>
          <t>Не определено</t>
        </is>
      </c>
      <c r="M4028" s="53" t="inlineStr"/>
      <c r="N4028" s="54" t="inlineStr"/>
      <c r="O4028" s="55" t="inlineStr"/>
      <c r="P4028" s="16" t="inlineStr">
        <is>
          <t>Требует обогащения</t>
        </is>
      </c>
      <c r="Q4028" s="16">
        <f>HYPERLINK("https://pb.nalog.ru/search.html?query=6504025615","ФНС: проверить")</f>
        <v/>
      </c>
      <c r="R4028" s="16">
        <f>HYPERLINK("https://checko.ru/search?query=3801001629","Чекко: проверить")</f>
        <v/>
      </c>
      <c r="S4028" t="n">
        <v>1</v>
      </c>
      <c r="T4028" s="35" t="inlineStr">
        <is>
          <t>4 — Не обогащён</t>
        </is>
      </c>
      <c r="U4028" s="35" t="inlineStr">
        <is>
          <t>Нет ОКВЭД/ССЧР</t>
        </is>
      </c>
      <c r="V4028" s="35" t="inlineStr">
        <is>
          <t>Не определено</t>
        </is>
      </c>
      <c r="W4028" s="35" t="inlineStr"/>
      <c r="X4028" s="35" t="inlineStr"/>
    </row>
    <row r="4029" ht="41.25" customHeight="1" s="24">
      <c r="A4029" s="13" t="n">
        <v>5000032870</v>
      </c>
      <c r="B4029" s="13" t="inlineStr">
        <is>
          <t>МАОУ «Средняя общеобразовательная школа с. Дачное» Корсаковского городского округа Сахалинской области</t>
        </is>
      </c>
      <c r="C4029" s="13" t="n">
        <v>6504025710</v>
      </c>
      <c r="D4029" s="13" t="inlineStr">
        <is>
          <t>6504025710</t>
        </is>
      </c>
      <c r="E4029" s="13" t="inlineStr">
        <is>
          <t>ЮЛ РФ</t>
        </is>
      </c>
      <c r="F4029" s="13" t="n"/>
      <c r="G4029" s="14" t="n"/>
      <c r="H4029" s="14" t="n"/>
      <c r="I4029" s="14" t="n"/>
      <c r="J4029" s="14" t="n"/>
      <c r="K4029" s="53" t="inlineStr"/>
      <c r="L4029" s="53" t="inlineStr">
        <is>
          <t>Не определено</t>
        </is>
      </c>
      <c r="M4029" s="53" t="inlineStr"/>
      <c r="N4029" s="54" t="inlineStr"/>
      <c r="O4029" s="55" t="inlineStr"/>
      <c r="P4029" s="16" t="inlineStr">
        <is>
          <t>Требует обогащения</t>
        </is>
      </c>
      <c r="Q4029" s="16">
        <f>HYPERLINK("https://pb.nalog.ru/search.html?query=6504025710","ФНС: проверить")</f>
        <v/>
      </c>
      <c r="R4029" s="16">
        <f>HYPERLINK("https://checko.ru/search?query=3801001629","Чекко: проверить")</f>
        <v/>
      </c>
      <c r="S4029" t="n">
        <v>1</v>
      </c>
      <c r="T4029" s="35" t="inlineStr">
        <is>
          <t>4 — Не обогащён</t>
        </is>
      </c>
      <c r="U4029" s="35" t="inlineStr">
        <is>
          <t>Нет ОКВЭД/ССЧР</t>
        </is>
      </c>
      <c r="V4029" s="35" t="inlineStr">
        <is>
          <t>Не определено</t>
        </is>
      </c>
      <c r="W4029" s="35" t="inlineStr"/>
      <c r="X4029" s="35" t="inlineStr"/>
    </row>
    <row r="4030" ht="41.25" customHeight="1" s="24">
      <c r="A4030" s="13" t="n">
        <v>5000032871</v>
      </c>
      <c r="B4030" s="13" t="inlineStr">
        <is>
          <t>МАОУ «Средняя общеобразовательная школа с. Раздольное» Корсаковского городского округа Сахалинской области</t>
        </is>
      </c>
      <c r="C4030" s="13" t="n">
        <v>6504025654</v>
      </c>
      <c r="D4030" s="13" t="inlineStr">
        <is>
          <t>6504025654</t>
        </is>
      </c>
      <c r="E4030" s="13" t="inlineStr">
        <is>
          <t>ЮЛ РФ</t>
        </is>
      </c>
      <c r="F4030" s="13" t="n"/>
      <c r="G4030" s="14" t="n"/>
      <c r="H4030" s="14" t="n"/>
      <c r="I4030" s="14" t="n"/>
      <c r="J4030" s="14" t="n"/>
      <c r="K4030" s="53" t="inlineStr"/>
      <c r="L4030" s="53" t="inlineStr">
        <is>
          <t>Не определено</t>
        </is>
      </c>
      <c r="M4030" s="53" t="inlineStr"/>
      <c r="N4030" s="54" t="inlineStr"/>
      <c r="O4030" s="55" t="inlineStr"/>
      <c r="P4030" s="16" t="inlineStr">
        <is>
          <t>Требует обогащения</t>
        </is>
      </c>
      <c r="Q4030" s="16">
        <f>HYPERLINK("https://pb.nalog.ru/search.html?query=6504025654","ФНС: проверить")</f>
        <v/>
      </c>
      <c r="R4030" s="16">
        <f>HYPERLINK("https://checko.ru/search?query=3801001629","Чекко: проверить")</f>
        <v/>
      </c>
      <c r="S4030" t="n">
        <v>1</v>
      </c>
      <c r="T4030" s="35" t="inlineStr">
        <is>
          <t>4 — Не обогащён</t>
        </is>
      </c>
      <c r="U4030" s="35" t="inlineStr">
        <is>
          <t>Нет ОКВЭД/ССЧР</t>
        </is>
      </c>
      <c r="V4030" s="35" t="inlineStr">
        <is>
          <t>Не определено</t>
        </is>
      </c>
      <c r="W4030" s="35" t="inlineStr"/>
      <c r="X4030" s="35" t="inlineStr"/>
    </row>
    <row r="4031" ht="41.25" customHeight="1" s="24">
      <c r="A4031" s="13" t="n">
        <v>5000032872</v>
      </c>
      <c r="B4031" s="13" t="inlineStr">
        <is>
          <t>МАДОУ «Детский сад № 7 «Солнышко» Корсаковского городского округа Сахалинской области</t>
        </is>
      </c>
      <c r="C4031" s="13" t="n">
        <v>6504007790</v>
      </c>
      <c r="D4031" s="13" t="inlineStr">
        <is>
          <t>6504007790</t>
        </is>
      </c>
      <c r="E4031" s="13" t="inlineStr">
        <is>
          <t>ЮЛ РФ</t>
        </is>
      </c>
      <c r="F4031" s="13" t="n"/>
      <c r="G4031" s="14" t="n"/>
      <c r="H4031" s="14" t="n"/>
      <c r="I4031" s="14" t="n"/>
      <c r="J4031" s="14" t="n"/>
      <c r="K4031" s="53" t="inlineStr"/>
      <c r="L4031" s="53" t="inlineStr">
        <is>
          <t>Не определено</t>
        </is>
      </c>
      <c r="M4031" s="53" t="inlineStr"/>
      <c r="N4031" s="54" t="inlineStr"/>
      <c r="O4031" s="55" t="inlineStr"/>
      <c r="P4031" s="16" t="inlineStr">
        <is>
          <t>Требует обогащения</t>
        </is>
      </c>
      <c r="Q4031" s="16">
        <f>HYPERLINK("https://pb.nalog.ru/search.html?query=6504007790","ФНС: проверить")</f>
        <v/>
      </c>
      <c r="R4031" s="16">
        <f>HYPERLINK("https://checko.ru/search?query=3801001629","Чекко: проверить")</f>
        <v/>
      </c>
      <c r="S4031" t="n">
        <v>1</v>
      </c>
      <c r="T4031" s="35" t="inlineStr">
        <is>
          <t>4 — Не обогащён</t>
        </is>
      </c>
      <c r="U4031" s="35" t="inlineStr">
        <is>
          <t>Нет ОКВЭД/ССЧР</t>
        </is>
      </c>
      <c r="V4031" s="35" t="inlineStr">
        <is>
          <t>Не определено</t>
        </is>
      </c>
      <c r="W4031" s="35" t="inlineStr"/>
      <c r="X4031" s="35" t="inlineStr"/>
    </row>
    <row r="4032" ht="41.25" customHeight="1" s="24">
      <c r="A4032" s="13" t="n">
        <v>5000032873</v>
      </c>
      <c r="B4032" s="13" t="inlineStr">
        <is>
          <t>МАУ дополнительного образования «Детская школа искусств» Корсаковского городского округа Сахалинской области</t>
        </is>
      </c>
      <c r="C4032" s="13" t="n">
        <v>6504025291</v>
      </c>
      <c r="D4032" s="13" t="inlineStr">
        <is>
          <t>6504025291</t>
        </is>
      </c>
      <c r="E4032" s="13" t="inlineStr">
        <is>
          <t>ЮЛ РФ</t>
        </is>
      </c>
      <c r="F4032" s="13" t="n"/>
      <c r="G4032" s="14" t="n"/>
      <c r="H4032" s="14" t="n"/>
      <c r="I4032" s="14" t="n"/>
      <c r="J4032" s="14" t="n"/>
      <c r="K4032" s="53" t="inlineStr"/>
      <c r="L4032" s="53" t="inlineStr">
        <is>
          <t>Не определено</t>
        </is>
      </c>
      <c r="M4032" s="53" t="inlineStr"/>
      <c r="N4032" s="54" t="inlineStr"/>
      <c r="O4032" s="55" t="inlineStr"/>
      <c r="P4032" s="16" t="inlineStr">
        <is>
          <t>Требует обогащения</t>
        </is>
      </c>
      <c r="Q4032" s="16">
        <f>HYPERLINK("https://pb.nalog.ru/search.html?query=6504025291","ФНС: проверить")</f>
        <v/>
      </c>
      <c r="R4032" s="16">
        <f>HYPERLINK("https://checko.ru/search?query=3801001629","Чекко: проверить")</f>
        <v/>
      </c>
      <c r="S4032" t="n">
        <v>1</v>
      </c>
      <c r="T4032" s="35" t="inlineStr">
        <is>
          <t>4 — Не обогащён</t>
        </is>
      </c>
      <c r="U4032" s="35" t="inlineStr">
        <is>
          <t>Нет ОКВЭД/ССЧР</t>
        </is>
      </c>
      <c r="V4032" s="35" t="inlineStr">
        <is>
          <t>Не определено</t>
        </is>
      </c>
      <c r="W4032" s="35" t="inlineStr"/>
      <c r="X4032" s="35" t="inlineStr"/>
    </row>
    <row r="4033" ht="41.25" customHeight="1" s="24">
      <c r="A4033" s="13" t="n">
        <v>5000032874</v>
      </c>
      <c r="B4033" s="13" t="inlineStr">
        <is>
          <t>МАУ «Центр молодежных инициатив» Корсаковского городского округа Сахалинской области</t>
        </is>
      </c>
      <c r="C4033" s="13" t="n">
        <v>6504016265</v>
      </c>
      <c r="D4033" s="13" t="inlineStr">
        <is>
          <t>6504016265</t>
        </is>
      </c>
      <c r="E4033" s="13" t="inlineStr">
        <is>
          <t>ЮЛ РФ</t>
        </is>
      </c>
      <c r="F4033" s="13" t="n"/>
      <c r="G4033" s="14" t="n"/>
      <c r="H4033" s="14" t="n"/>
      <c r="I4033" s="14" t="n"/>
      <c r="J4033" s="14" t="n"/>
      <c r="K4033" s="53" t="inlineStr"/>
      <c r="L4033" s="53" t="inlineStr">
        <is>
          <t>Не определено</t>
        </is>
      </c>
      <c r="M4033" s="53" t="inlineStr"/>
      <c r="N4033" s="54" t="inlineStr"/>
      <c r="O4033" s="55" t="inlineStr"/>
      <c r="P4033" s="16" t="inlineStr">
        <is>
          <t>Требует обогащения</t>
        </is>
      </c>
      <c r="Q4033" s="16">
        <f>HYPERLINK("https://pb.nalog.ru/search.html?query=6504016265","ФНС: проверить")</f>
        <v/>
      </c>
      <c r="R4033" s="16">
        <f>HYPERLINK("https://checko.ru/search?query=3801001629","Чекко: проверить")</f>
        <v/>
      </c>
      <c r="S4033" t="n">
        <v>1</v>
      </c>
      <c r="T4033" s="35" t="inlineStr">
        <is>
          <t>4 — Не обогащён</t>
        </is>
      </c>
      <c r="U4033" s="35" t="inlineStr">
        <is>
          <t>Нет ОКВЭД/ССЧР</t>
        </is>
      </c>
      <c r="V4033" s="35" t="inlineStr">
        <is>
          <t>Не определено</t>
        </is>
      </c>
      <c r="W4033" s="35" t="inlineStr"/>
      <c r="X4033" s="35" t="inlineStr"/>
    </row>
    <row r="4034" ht="41.25" customHeight="1" s="24">
      <c r="A4034" s="13" t="n">
        <v>5000032875</v>
      </c>
      <c r="B4034" s="13" t="inlineStr">
        <is>
          <t>МАДОУ «Детский сад № 14 «Родничок» Корсаковского городского округа Сахалинской области</t>
        </is>
      </c>
      <c r="C4034" s="13" t="n">
        <v>6504039199</v>
      </c>
      <c r="D4034" s="13" t="inlineStr">
        <is>
          <t>6504039199</t>
        </is>
      </c>
      <c r="E4034" s="13" t="inlineStr">
        <is>
          <t>ЮЛ РФ</t>
        </is>
      </c>
      <c r="F4034" s="13" t="n"/>
      <c r="G4034" s="14" t="n"/>
      <c r="H4034" s="14" t="n"/>
      <c r="I4034" s="14" t="n"/>
      <c r="J4034" s="14" t="n"/>
      <c r="K4034" s="53" t="inlineStr"/>
      <c r="L4034" s="53" t="inlineStr">
        <is>
          <t>Не определено</t>
        </is>
      </c>
      <c r="M4034" s="53" t="inlineStr"/>
      <c r="N4034" s="54" t="inlineStr"/>
      <c r="O4034" s="55" t="inlineStr"/>
      <c r="P4034" s="16" t="inlineStr">
        <is>
          <t>Требует обогащения</t>
        </is>
      </c>
      <c r="Q4034" s="16">
        <f>HYPERLINK("https://pb.nalog.ru/search.html?query=6504039199","ФНС: проверить")</f>
        <v/>
      </c>
      <c r="R4034" s="16">
        <f>HYPERLINK("https://checko.ru/search?query=3801001629","Чекко: проверить")</f>
        <v/>
      </c>
      <c r="S4034" t="n">
        <v>1</v>
      </c>
      <c r="T4034" s="35" t="inlineStr">
        <is>
          <t>4 — Не обогащён</t>
        </is>
      </c>
      <c r="U4034" s="35" t="inlineStr">
        <is>
          <t>Нет ОКВЭД/ССЧР</t>
        </is>
      </c>
      <c r="V4034" s="35" t="inlineStr">
        <is>
          <t>Не определено</t>
        </is>
      </c>
      <c r="W4034" s="35" t="inlineStr"/>
      <c r="X4034" s="35" t="inlineStr"/>
    </row>
    <row r="4035" ht="41.25" customHeight="1" s="24">
      <c r="A4035" s="13" t="n">
        <v>5000032876</v>
      </c>
      <c r="B4035" s="13" t="inlineStr">
        <is>
          <t>МАОУ «Средняя общеобразовательная школа с. Новиково» Корсаковского городского округа Сахалинской области</t>
        </is>
      </c>
      <c r="C4035" s="13" t="n">
        <v>6504029338</v>
      </c>
      <c r="D4035" s="13" t="inlineStr">
        <is>
          <t>6504029338</t>
        </is>
      </c>
      <c r="E4035" s="13" t="inlineStr">
        <is>
          <t>ЮЛ РФ</t>
        </is>
      </c>
      <c r="F4035" s="13" t="n"/>
      <c r="G4035" s="14" t="n"/>
      <c r="H4035" s="14" t="n"/>
      <c r="I4035" s="14" t="n"/>
      <c r="J4035" s="14" t="n"/>
      <c r="K4035" s="53" t="inlineStr"/>
      <c r="L4035" s="53" t="inlineStr">
        <is>
          <t>Не определено</t>
        </is>
      </c>
      <c r="M4035" s="53" t="inlineStr"/>
      <c r="N4035" s="54" t="inlineStr"/>
      <c r="O4035" s="55" t="inlineStr"/>
      <c r="P4035" s="16" t="inlineStr">
        <is>
          <t>Требует обогащения</t>
        </is>
      </c>
      <c r="Q4035" s="16">
        <f>HYPERLINK("https://pb.nalog.ru/search.html?query=6504029338","ФНС: проверить")</f>
        <v/>
      </c>
      <c r="R4035" s="16">
        <f>HYPERLINK("https://checko.ru/search?query=3801001629","Чекко: проверить")</f>
        <v/>
      </c>
      <c r="S4035" t="n">
        <v>1</v>
      </c>
      <c r="T4035" s="35" t="inlineStr">
        <is>
          <t>4 — Не обогащён</t>
        </is>
      </c>
      <c r="U4035" s="35" t="inlineStr">
        <is>
          <t>Нет ОКВЭД/ССЧР</t>
        </is>
      </c>
      <c r="V4035" s="35" t="inlineStr">
        <is>
          <t>Не определено</t>
        </is>
      </c>
      <c r="W4035" s="35" t="inlineStr"/>
      <c r="X4035" s="35" t="inlineStr"/>
    </row>
    <row r="4036" ht="41.25" customHeight="1" s="24">
      <c r="A4036" s="13" t="n">
        <v>5000032877</v>
      </c>
      <c r="B4036" s="13" t="inlineStr">
        <is>
          <t>МАОУ «Начальная общеобразовательная школа № 5» Корсаковского городского округа Сахалинской области</t>
        </is>
      </c>
      <c r="C4036" s="13" t="n">
        <v>6504025630</v>
      </c>
      <c r="D4036" s="13" t="inlineStr">
        <is>
          <t>6504025630</t>
        </is>
      </c>
      <c r="E4036" s="13" t="inlineStr">
        <is>
          <t>ЮЛ РФ</t>
        </is>
      </c>
      <c r="F4036" s="13" t="n"/>
      <c r="G4036" s="14" t="n"/>
      <c r="H4036" s="14" t="n"/>
      <c r="I4036" s="14" t="n"/>
      <c r="J4036" s="14" t="n"/>
      <c r="K4036" s="53" t="inlineStr"/>
      <c r="L4036" s="53" t="inlineStr">
        <is>
          <t>Не определено</t>
        </is>
      </c>
      <c r="M4036" s="53" t="inlineStr"/>
      <c r="N4036" s="54" t="inlineStr"/>
      <c r="O4036" s="55" t="inlineStr"/>
      <c r="P4036" s="16" t="inlineStr">
        <is>
          <t>Требует обогащения</t>
        </is>
      </c>
      <c r="Q4036" s="16">
        <f>HYPERLINK("https://pb.nalog.ru/search.html?query=6504025630","ФНС: проверить")</f>
        <v/>
      </c>
      <c r="R4036" s="16">
        <f>HYPERLINK("https://checko.ru/search?query=3801001629","Чекко: проверить")</f>
        <v/>
      </c>
      <c r="S4036" t="n">
        <v>1</v>
      </c>
      <c r="T4036" s="35" t="inlineStr">
        <is>
          <t>4 — Не обогащён</t>
        </is>
      </c>
      <c r="U4036" s="35" t="inlineStr">
        <is>
          <t>Нет ОКВЭД/ССЧР</t>
        </is>
      </c>
      <c r="V4036" s="35" t="inlineStr">
        <is>
          <t>Не определено</t>
        </is>
      </c>
      <c r="W4036" s="35" t="inlineStr"/>
      <c r="X4036" s="35" t="inlineStr"/>
    </row>
    <row r="4037" ht="41.25" customHeight="1" s="24">
      <c r="A4037" s="13" t="n">
        <v>5000032878</v>
      </c>
      <c r="B4037" s="13" t="inlineStr">
        <is>
          <t>МАОУ «Средняя общеобразовательная школа с. Чапаево» Корсаковского городского округа Сахалинской области</t>
        </is>
      </c>
      <c r="C4037" s="13" t="n">
        <v>6504025661</v>
      </c>
      <c r="D4037" s="13" t="inlineStr">
        <is>
          <t>6504025661</t>
        </is>
      </c>
      <c r="E4037" s="13" t="inlineStr">
        <is>
          <t>ЮЛ РФ</t>
        </is>
      </c>
      <c r="F4037" s="13" t="n"/>
      <c r="G4037" s="14" t="n"/>
      <c r="H4037" s="14" t="n"/>
      <c r="I4037" s="14" t="n"/>
      <c r="J4037" s="14" t="n"/>
      <c r="K4037" s="53" t="inlineStr"/>
      <c r="L4037" s="53" t="inlineStr">
        <is>
          <t>Не определено</t>
        </is>
      </c>
      <c r="M4037" s="53" t="inlineStr"/>
      <c r="N4037" s="54" t="inlineStr"/>
      <c r="O4037" s="55" t="inlineStr"/>
      <c r="P4037" s="16" t="inlineStr">
        <is>
          <t>Требует обогащения</t>
        </is>
      </c>
      <c r="Q4037" s="16">
        <f>HYPERLINK("https://pb.nalog.ru/search.html?query=6504025661","ФНС: проверить")</f>
        <v/>
      </c>
      <c r="R4037" s="16">
        <f>HYPERLINK("https://checko.ru/search?query=3801001629","Чекко: проверить")</f>
        <v/>
      </c>
      <c r="S4037" t="n">
        <v>1</v>
      </c>
      <c r="T4037" s="35" t="inlineStr">
        <is>
          <t>4 — Не обогащён</t>
        </is>
      </c>
      <c r="U4037" s="35" t="inlineStr">
        <is>
          <t>Нет ОКВЭД/ССЧР</t>
        </is>
      </c>
      <c r="V4037" s="35" t="inlineStr">
        <is>
          <t>Не определено</t>
        </is>
      </c>
      <c r="W4037" s="35" t="inlineStr"/>
      <c r="X4037" s="35" t="inlineStr"/>
    </row>
    <row r="4038" ht="27.75" customHeight="1" s="24">
      <c r="A4038" s="13" t="n">
        <v>5000100119</v>
      </c>
      <c r="B4038" s="13" t="inlineStr">
        <is>
          <t>ОбГКУ "Учреждение по обеспечению деятельности мировых судей"</t>
        </is>
      </c>
      <c r="C4038" s="13" t="n">
        <v>6501258139</v>
      </c>
      <c r="D4038" s="13" t="inlineStr">
        <is>
          <t>6501258139</t>
        </is>
      </c>
      <c r="E4038" s="13" t="inlineStr">
        <is>
          <t>ЮЛ РФ</t>
        </is>
      </c>
      <c r="F4038" s="13" t="n"/>
      <c r="G4038" s="14" t="n"/>
      <c r="H4038" s="14" t="n"/>
      <c r="I4038" s="14" t="n"/>
      <c r="J4038" s="14" t="n"/>
      <c r="K4038" s="53" t="inlineStr"/>
      <c r="L4038" s="53" t="inlineStr">
        <is>
          <t>Не определено</t>
        </is>
      </c>
      <c r="M4038" s="53" t="inlineStr"/>
      <c r="N4038" s="54" t="inlineStr"/>
      <c r="O4038" s="55" t="inlineStr"/>
      <c r="P4038" s="16" t="inlineStr">
        <is>
          <t>Требует обогащения</t>
        </is>
      </c>
      <c r="Q4038" s="16">
        <f>HYPERLINK("https://pb.nalog.ru/search.html?query=6501258139","ФНС: проверить")</f>
        <v/>
      </c>
      <c r="R4038" s="16">
        <f>HYPERLINK("https://checko.ru/search?query=3801001629","Чекко: проверить")</f>
        <v/>
      </c>
      <c r="S4038" t="n">
        <v>1</v>
      </c>
      <c r="T4038" s="35" t="inlineStr">
        <is>
          <t>4 — Не обогащён</t>
        </is>
      </c>
      <c r="U4038" s="35" t="inlineStr">
        <is>
          <t>Нет ОКВЭД/ССЧР</t>
        </is>
      </c>
      <c r="V4038" s="35" t="inlineStr">
        <is>
          <t>Не определено</t>
        </is>
      </c>
      <c r="W4038" s="35" t="inlineStr"/>
      <c r="X4038" s="35" t="inlineStr"/>
    </row>
    <row r="4039" ht="15" customHeight="1" s="24">
      <c r="A4039" s="13" t="n">
        <v>5000109948</v>
      </c>
      <c r="B4039" s="13" t="inlineStr">
        <is>
          <t>Городская Дума города Южно-Сахалинска</t>
        </is>
      </c>
      <c r="C4039" s="13" t="n">
        <v>6501089755</v>
      </c>
      <c r="D4039" s="13" t="inlineStr">
        <is>
          <t>6501089755</t>
        </is>
      </c>
      <c r="E4039" s="13" t="inlineStr">
        <is>
          <t>ЮЛ РФ</t>
        </is>
      </c>
      <c r="F4039" s="13" t="n"/>
      <c r="G4039" s="14" t="n"/>
      <c r="H4039" s="14" t="n"/>
      <c r="I4039" s="14" t="n"/>
      <c r="J4039" s="14" t="n"/>
      <c r="K4039" s="53" t="inlineStr"/>
      <c r="L4039" s="53" t="inlineStr">
        <is>
          <t>Не определено</t>
        </is>
      </c>
      <c r="M4039" s="53" t="inlineStr"/>
      <c r="N4039" s="54" t="inlineStr"/>
      <c r="O4039" s="55" t="inlineStr"/>
      <c r="P4039" s="16" t="inlineStr">
        <is>
          <t>Требует обогащения</t>
        </is>
      </c>
      <c r="Q4039" s="16">
        <f>HYPERLINK("https://pb.nalog.ru/search.html?query=6501089755","ФНС: проверить")</f>
        <v/>
      </c>
      <c r="R4039" s="16">
        <f>HYPERLINK("https://checko.ru/search?query=3801001629","Чекко: проверить")</f>
        <v/>
      </c>
      <c r="S4039" t="n">
        <v>1</v>
      </c>
      <c r="T4039" s="35" t="inlineStr">
        <is>
          <t>4 — Не обогащён</t>
        </is>
      </c>
      <c r="U4039" s="35" t="inlineStr">
        <is>
          <t>Нет ОКВЭД/ССЧР</t>
        </is>
      </c>
      <c r="V4039" s="35" t="inlineStr">
        <is>
          <t>Не определено</t>
        </is>
      </c>
      <c r="W4039" s="35" t="inlineStr"/>
      <c r="X4039" s="35" t="inlineStr"/>
    </row>
    <row r="4040" ht="27.75" customHeight="1" s="24">
      <c r="A4040" s="13" t="n">
        <v>5000015630</v>
      </c>
      <c r="B4040" s="13" t="inlineStr">
        <is>
          <t>МБУ «Спортивная школа игровых видов спорта г. Южно-Сахалинска»</t>
        </is>
      </c>
      <c r="C4040" s="13" t="n">
        <v>6501038976</v>
      </c>
      <c r="D4040" s="13" t="inlineStr">
        <is>
          <t>6501038976</t>
        </is>
      </c>
      <c r="E4040" s="13" t="inlineStr">
        <is>
          <t>ЮЛ РФ</t>
        </is>
      </c>
      <c r="F4040" s="13" t="n"/>
      <c r="G4040" s="14" t="n"/>
      <c r="H4040" s="14" t="n"/>
      <c r="I4040" s="14" t="n"/>
      <c r="J4040" s="14" t="n"/>
      <c r="K4040" s="53" t="inlineStr"/>
      <c r="L4040" s="53" t="inlineStr">
        <is>
          <t>Не определено</t>
        </is>
      </c>
      <c r="M4040" s="53" t="inlineStr"/>
      <c r="N4040" s="54" t="inlineStr"/>
      <c r="O4040" s="55" t="inlineStr"/>
      <c r="P4040" s="16" t="inlineStr">
        <is>
          <t>Требует обогащения</t>
        </is>
      </c>
      <c r="Q4040" s="16">
        <f>HYPERLINK("https://pb.nalog.ru/search.html?query=6501038976","ФНС: проверить")</f>
        <v/>
      </c>
      <c r="R4040" s="16">
        <f>HYPERLINK("https://checko.ru/search?query=3801001629","Чекко: проверить")</f>
        <v/>
      </c>
      <c r="S4040" t="n">
        <v>1</v>
      </c>
      <c r="T4040" s="35" t="inlineStr">
        <is>
          <t>4 — Не обогащён</t>
        </is>
      </c>
      <c r="U4040" s="35" t="inlineStr">
        <is>
          <t>Нет ОКВЭД/ССЧР</t>
        </is>
      </c>
      <c r="V4040" s="35" t="inlineStr">
        <is>
          <t>Не определено</t>
        </is>
      </c>
      <c r="W4040" s="35" t="inlineStr"/>
      <c r="X4040" s="35" t="inlineStr"/>
    </row>
    <row r="4041" ht="15" customHeight="1" s="24">
      <c r="A4041" s="13" t="n">
        <v>5000100109</v>
      </c>
      <c r="B4041" s="13" t="inlineStr">
        <is>
          <t>ОГАУ "ЦМСР"Чайка"</t>
        </is>
      </c>
      <c r="C4041" s="13" t="n">
        <v>6509005644</v>
      </c>
      <c r="D4041" s="13" t="inlineStr">
        <is>
          <t>6509005644</t>
        </is>
      </c>
      <c r="E4041" s="13" t="inlineStr">
        <is>
          <t>ЮЛ РФ</t>
        </is>
      </c>
      <c r="F4041" s="13" t="n"/>
      <c r="G4041" s="14" t="n"/>
      <c r="H4041" s="14" t="n"/>
      <c r="I4041" s="14" t="n"/>
      <c r="J4041" s="14" t="n"/>
      <c r="K4041" s="53" t="inlineStr"/>
      <c r="L4041" s="53" t="inlineStr">
        <is>
          <t>Не определено</t>
        </is>
      </c>
      <c r="M4041" s="53" t="inlineStr"/>
      <c r="N4041" s="54" t="inlineStr"/>
      <c r="O4041" s="55" t="inlineStr"/>
      <c r="P4041" s="16" t="inlineStr">
        <is>
          <t>Требует обогащения</t>
        </is>
      </c>
      <c r="Q4041" s="16">
        <f>HYPERLINK("https://pb.nalog.ru/search.html?query=6509005644","ФНС: проверить")</f>
        <v/>
      </c>
      <c r="R4041" s="16">
        <f>HYPERLINK("https://checko.ru/search?query=3801001629","Чекко: проверить")</f>
        <v/>
      </c>
      <c r="S4041" t="n">
        <v>1</v>
      </c>
      <c r="T4041" s="35" t="inlineStr">
        <is>
          <t>4 — Не обогащён</t>
        </is>
      </c>
      <c r="U4041" s="35" t="inlineStr">
        <is>
          <t>Нет ОКВЭД/ССЧР</t>
        </is>
      </c>
      <c r="V4041" s="35" t="inlineStr">
        <is>
          <t>Не определено</t>
        </is>
      </c>
      <c r="W4041" s="35" t="inlineStr"/>
      <c r="X4041" s="35" t="inlineStr"/>
    </row>
    <row r="4042" ht="27.75" customHeight="1" s="24">
      <c r="A4042" s="13" t="n">
        <v>5000098665</v>
      </c>
      <c r="B4042" s="13" t="inlineStr">
        <is>
          <t>ГБУ "Станция по борьбе с болезнями животных №8"</t>
        </is>
      </c>
      <c r="C4042" s="13" t="n">
        <v>6509012360</v>
      </c>
      <c r="D4042" s="13" t="inlineStr">
        <is>
          <t>6509012360</t>
        </is>
      </c>
      <c r="E4042" s="13" t="inlineStr">
        <is>
          <t>ЮЛ РФ</t>
        </is>
      </c>
      <c r="F4042" s="13" t="n"/>
      <c r="G4042" s="14" t="n"/>
      <c r="H4042" s="14" t="n"/>
      <c r="I4042" s="14" t="n"/>
      <c r="J4042" s="14" t="n"/>
      <c r="K4042" s="53" t="inlineStr"/>
      <c r="L4042" s="53" t="inlineStr">
        <is>
          <t>Не определено</t>
        </is>
      </c>
      <c r="M4042" s="53" t="inlineStr"/>
      <c r="N4042" s="54" t="inlineStr"/>
      <c r="O4042" s="55" t="inlineStr"/>
      <c r="P4042" s="16" t="inlineStr">
        <is>
          <t>Требует обогащения</t>
        </is>
      </c>
      <c r="Q4042" s="16">
        <f>HYPERLINK("https://pb.nalog.ru/search.html?query=6509012360","ФНС: проверить")</f>
        <v/>
      </c>
      <c r="R4042" s="16">
        <f>HYPERLINK("https://checko.ru/search?query=3801001629","Чекко: проверить")</f>
        <v/>
      </c>
      <c r="S4042" t="n">
        <v>1</v>
      </c>
      <c r="T4042" s="35" t="inlineStr">
        <is>
          <t>4 — Не обогащён</t>
        </is>
      </c>
      <c r="U4042" s="35" t="inlineStr">
        <is>
          <t>Нет ОКВЭД/ССЧР</t>
        </is>
      </c>
      <c r="V4042" s="35" t="inlineStr">
        <is>
          <t>Не определено</t>
        </is>
      </c>
      <c r="W4042" s="35" t="inlineStr"/>
      <c r="X4042" s="35" t="inlineStr"/>
    </row>
    <row r="4043" ht="27.75" customHeight="1" s="24">
      <c r="A4043" s="13" t="n">
        <v>5000117581</v>
      </c>
      <c r="B4043" s="13" t="inlineStr">
        <is>
          <t>МБОУ средняя общеобразовательная школа №9 г. Холмска</t>
        </is>
      </c>
      <c r="C4043" s="13" t="n">
        <v>6509004591</v>
      </c>
      <c r="D4043" s="13" t="inlineStr">
        <is>
          <t>6509004591</t>
        </is>
      </c>
      <c r="E4043" s="13" t="inlineStr">
        <is>
          <t>ЮЛ РФ</t>
        </is>
      </c>
      <c r="F4043" s="13" t="n"/>
      <c r="G4043" s="14" t="n"/>
      <c r="H4043" s="14" t="n"/>
      <c r="I4043" s="14" t="n"/>
      <c r="J4043" s="14" t="n"/>
      <c r="K4043" s="53" t="inlineStr"/>
      <c r="L4043" s="53" t="inlineStr">
        <is>
          <t>Не определено</t>
        </is>
      </c>
      <c r="M4043" s="53" t="inlineStr"/>
      <c r="N4043" s="54" t="inlineStr"/>
      <c r="O4043" s="55" t="inlineStr"/>
      <c r="P4043" s="16" t="inlineStr">
        <is>
          <t>Требует обогащения</t>
        </is>
      </c>
      <c r="Q4043" s="16">
        <f>HYPERLINK("https://pb.nalog.ru/search.html?query=6509004591","ФНС: проверить")</f>
        <v/>
      </c>
      <c r="R4043" s="16">
        <f>HYPERLINK("https://checko.ru/search?query=3801001629","Чекко: проверить")</f>
        <v/>
      </c>
      <c r="S4043" t="n">
        <v>1</v>
      </c>
      <c r="T4043" s="35" t="inlineStr">
        <is>
          <t>4 — Не обогащён</t>
        </is>
      </c>
      <c r="U4043" s="35" t="inlineStr">
        <is>
          <t>Нет ОКВЭД/ССЧР</t>
        </is>
      </c>
      <c r="V4043" s="35" t="inlineStr">
        <is>
          <t>Не определено</t>
        </is>
      </c>
      <c r="W4043" s="35" t="inlineStr"/>
      <c r="X4043" s="35" t="inlineStr"/>
    </row>
    <row r="4044" ht="41.25" customHeight="1" s="24">
      <c r="A4044" s="13" t="n">
        <v>5000101080</v>
      </c>
      <c r="B4044" s="13" t="inlineStr">
        <is>
          <t>Муниципальное бюджетное Дошкольное Образовательное учреждение "Детский Сад "Василёк"</t>
        </is>
      </c>
      <c r="C4044" s="13" t="n">
        <v>3836002334</v>
      </c>
      <c r="D4044" s="13" t="inlineStr">
        <is>
          <t>3836002334</t>
        </is>
      </c>
      <c r="E4044" s="13" t="inlineStr">
        <is>
          <t>ЮЛ РФ</t>
        </is>
      </c>
      <c r="F4044" s="13" t="n"/>
      <c r="G4044" s="14" t="n"/>
      <c r="H4044" s="14" t="n"/>
      <c r="I4044" s="14" t="n"/>
      <c r="J4044" s="14" t="n"/>
      <c r="K4044" s="53" t="inlineStr"/>
      <c r="L4044" s="53" t="inlineStr">
        <is>
          <t>Не определено</t>
        </is>
      </c>
      <c r="M4044" s="53" t="inlineStr"/>
      <c r="N4044" s="54" t="inlineStr"/>
      <c r="O4044" s="55" t="inlineStr"/>
      <c r="P4044" s="16" t="inlineStr">
        <is>
          <t>Требует обогащения</t>
        </is>
      </c>
      <c r="Q4044" s="16">
        <f>HYPERLINK("https://pb.nalog.ru/search.html?query=3836002334","ФНС: проверить")</f>
        <v/>
      </c>
      <c r="R4044" s="16">
        <f>HYPERLINK("https://checko.ru/search?query=3801001629","Чекко: проверить")</f>
        <v/>
      </c>
      <c r="S4044" t="n">
        <v>1</v>
      </c>
      <c r="T4044" s="35" t="inlineStr">
        <is>
          <t>4 — Не обогащён</t>
        </is>
      </c>
      <c r="U4044" s="35" t="inlineStr">
        <is>
          <t>Нет ОКВЭД/ССЧР</t>
        </is>
      </c>
      <c r="V4044" s="35" t="inlineStr">
        <is>
          <t>Не определено</t>
        </is>
      </c>
      <c r="W4044" s="35" t="inlineStr"/>
      <c r="X4044" s="35" t="inlineStr"/>
    </row>
    <row r="4045" ht="15" customHeight="1" s="24">
      <c r="A4045" s="13" t="n">
        <v>5000098626</v>
      </c>
      <c r="B4045" s="13" t="inlineStr">
        <is>
          <t>МБУЗ "ДЦРБ им. Н.К. Орлова"</t>
        </is>
      </c>
      <c r="C4045" s="13" t="n">
        <v>6503001731</v>
      </c>
      <c r="D4045" s="13" t="inlineStr">
        <is>
          <t>6503001731</t>
        </is>
      </c>
      <c r="E4045" s="13" t="inlineStr">
        <is>
          <t>ЮЛ РФ</t>
        </is>
      </c>
      <c r="F4045" s="13" t="n"/>
      <c r="G4045" s="14" t="n"/>
      <c r="H4045" s="14" t="n"/>
      <c r="I4045" s="14" t="n"/>
      <c r="J4045" s="14" t="n"/>
      <c r="K4045" s="53" t="inlineStr"/>
      <c r="L4045" s="53" t="inlineStr">
        <is>
          <t>Не определено</t>
        </is>
      </c>
      <c r="M4045" s="53" t="inlineStr"/>
      <c r="N4045" s="54" t="inlineStr"/>
      <c r="O4045" s="55" t="inlineStr"/>
      <c r="P4045" s="16" t="inlineStr">
        <is>
          <t>Требует обогащения</t>
        </is>
      </c>
      <c r="Q4045" s="16">
        <f>HYPERLINK("https://pb.nalog.ru/search.html?query=6503001731","ФНС: проверить")</f>
        <v/>
      </c>
      <c r="R4045" s="16">
        <f>HYPERLINK("https://checko.ru/search?query=3801001629","Чекко: проверить")</f>
        <v/>
      </c>
      <c r="S4045" t="n">
        <v>1</v>
      </c>
      <c r="T4045" s="35" t="inlineStr">
        <is>
          <t>4 — Не обогащён</t>
        </is>
      </c>
      <c r="U4045" s="35" t="inlineStr">
        <is>
          <t>Нет ОКВЭД/ССЧР</t>
        </is>
      </c>
      <c r="V4045" s="35" t="inlineStr">
        <is>
          <t>Не определено</t>
        </is>
      </c>
      <c r="W4045" s="35" t="inlineStr"/>
      <c r="X4045" s="35" t="inlineStr"/>
    </row>
    <row r="4046" ht="41.25" customHeight="1" s="24">
      <c r="A4046" s="13" t="n">
        <v>5000098265</v>
      </c>
      <c r="B4046" s="13" t="inlineStr">
        <is>
          <t>Краевое Государственное Учреждение "Центр спортивной подготовки - школа высшего спортивного мастерства"</t>
        </is>
      </c>
      <c r="C4046" s="13" t="n">
        <v>2540009636</v>
      </c>
      <c r="D4046" s="13" t="inlineStr">
        <is>
          <t>2540009636</t>
        </is>
      </c>
      <c r="E4046" s="13" t="inlineStr">
        <is>
          <t>ЮЛ РФ</t>
        </is>
      </c>
      <c r="F4046" s="13" t="n"/>
      <c r="G4046" s="14" t="n"/>
      <c r="H4046" s="14" t="n"/>
      <c r="I4046" s="14" t="n"/>
      <c r="J4046" s="14" t="n"/>
      <c r="K4046" s="53" t="inlineStr"/>
      <c r="L4046" s="53" t="inlineStr">
        <is>
          <t>Не определено</t>
        </is>
      </c>
      <c r="M4046" s="53" t="inlineStr"/>
      <c r="N4046" s="54" t="inlineStr"/>
      <c r="O4046" s="55" t="inlineStr"/>
      <c r="P4046" s="16" t="inlineStr">
        <is>
          <t>Требует обогащения</t>
        </is>
      </c>
      <c r="Q4046" s="16">
        <f>HYPERLINK("https://pb.nalog.ru/search.html?query=2540009636","ФНС: проверить")</f>
        <v/>
      </c>
      <c r="R4046" s="16">
        <f>HYPERLINK("https://checko.ru/search?query=3801001629","Чекко: проверить")</f>
        <v/>
      </c>
      <c r="S4046" t="n">
        <v>1</v>
      </c>
      <c r="T4046" s="35" t="inlineStr">
        <is>
          <t>4 — Не обогащён</t>
        </is>
      </c>
      <c r="U4046" s="35" t="inlineStr">
        <is>
          <t>Нет ОКВЭД/ССЧР</t>
        </is>
      </c>
      <c r="V4046" s="35" t="inlineStr">
        <is>
          <t>Не определено</t>
        </is>
      </c>
      <c r="W4046" s="35" t="inlineStr"/>
      <c r="X4046" s="35" t="inlineStr"/>
    </row>
    <row r="4047" ht="41.25" customHeight="1" s="24">
      <c r="A4047" s="13" t="n">
        <v>5000101073</v>
      </c>
      <c r="B4047" s="13" t="inlineStr">
        <is>
          <t>Муниципальное бюджетное общеобразовательное учреждение "Хужирская средняя общеобразовательная школа"</t>
        </is>
      </c>
      <c r="C4047" s="13" t="n">
        <v>3836002380</v>
      </c>
      <c r="D4047" s="13" t="inlineStr">
        <is>
          <t>3836002380</t>
        </is>
      </c>
      <c r="E4047" s="13" t="inlineStr">
        <is>
          <t>ЮЛ РФ</t>
        </is>
      </c>
      <c r="F4047" s="13" t="n"/>
      <c r="G4047" s="14" t="n"/>
      <c r="H4047" s="14" t="n"/>
      <c r="I4047" s="14" t="n"/>
      <c r="J4047" s="14" t="n"/>
      <c r="K4047" s="53" t="inlineStr"/>
      <c r="L4047" s="53" t="inlineStr">
        <is>
          <t>Не определено</t>
        </is>
      </c>
      <c r="M4047" s="53" t="inlineStr"/>
      <c r="N4047" s="54" t="inlineStr"/>
      <c r="O4047" s="55" t="inlineStr"/>
      <c r="P4047" s="16" t="inlineStr">
        <is>
          <t>Требует обогащения</t>
        </is>
      </c>
      <c r="Q4047" s="16">
        <f>HYPERLINK("https://pb.nalog.ru/search.html?query=3836002380","ФНС: проверить")</f>
        <v/>
      </c>
      <c r="R4047" s="16">
        <f>HYPERLINK("https://checko.ru/search?query=3801001629","Чекко: проверить")</f>
        <v/>
      </c>
      <c r="S4047" t="n">
        <v>1</v>
      </c>
      <c r="T4047" s="35" t="inlineStr">
        <is>
          <t>4 — Не обогащён</t>
        </is>
      </c>
      <c r="U4047" s="35" t="inlineStr">
        <is>
          <t>Нет ОКВЭД/ССЧР</t>
        </is>
      </c>
      <c r="V4047" s="35" t="inlineStr">
        <is>
          <t>Не определено</t>
        </is>
      </c>
      <c r="W4047" s="35" t="inlineStr"/>
      <c r="X4047" s="35" t="inlineStr"/>
    </row>
    <row r="4048" ht="27.75" customHeight="1" s="24">
      <c r="A4048" s="13" t="n">
        <v>5000070165</v>
      </c>
      <c r="B4048" s="13" t="inlineStr">
        <is>
          <t>МКУ "ЦОФСО НЕВЕЛЬСКОГО ГОРОДСКОГО ОКРУГА"</t>
        </is>
      </c>
      <c r="C4048" s="13" t="n">
        <v>6505999748</v>
      </c>
      <c r="D4048" s="13" t="inlineStr">
        <is>
          <t>6505999748</t>
        </is>
      </c>
      <c r="E4048" s="13" t="inlineStr">
        <is>
          <t>ЮЛ РФ</t>
        </is>
      </c>
      <c r="F4048" s="13" t="n"/>
      <c r="G4048" s="14" t="n"/>
      <c r="H4048" s="14" t="n"/>
      <c r="I4048" s="14" t="n"/>
      <c r="J4048" s="14" t="n"/>
      <c r="K4048" s="53" t="inlineStr"/>
      <c r="L4048" s="53" t="inlineStr">
        <is>
          <t>Не определено</t>
        </is>
      </c>
      <c r="M4048" s="53" t="inlineStr"/>
      <c r="N4048" s="54" t="inlineStr"/>
      <c r="O4048" s="55" t="inlineStr"/>
      <c r="P4048" s="16" t="inlineStr">
        <is>
          <t>Требует обогащения</t>
        </is>
      </c>
      <c r="Q4048" s="16">
        <f>HYPERLINK("https://pb.nalog.ru/search.html?query=6505999748","ФНС: проверить")</f>
        <v/>
      </c>
      <c r="R4048" s="16">
        <f>HYPERLINK("https://checko.ru/search?query=3801001629","Чекко: проверить")</f>
        <v/>
      </c>
      <c r="S4048" t="n">
        <v>1</v>
      </c>
      <c r="T4048" s="35" t="inlineStr">
        <is>
          <t>4 — Не обогащён</t>
        </is>
      </c>
      <c r="U4048" s="35" t="inlineStr">
        <is>
          <t>Нет ОКВЭД/ССЧР</t>
        </is>
      </c>
      <c r="V4048" s="35" t="inlineStr">
        <is>
          <t>Не определено</t>
        </is>
      </c>
      <c r="W4048" s="35" t="inlineStr"/>
      <c r="X4048" s="35" t="inlineStr"/>
    </row>
    <row r="4049" ht="15" customHeight="1" s="24">
      <c r="A4049" s="13" t="n">
        <v>5000098170</v>
      </c>
      <c r="B4049" s="13" t="inlineStr">
        <is>
          <t>КГБУСО "ОКТЯБРЬСКИЙ СРЦН"</t>
        </is>
      </c>
      <c r="C4049" s="13" t="n">
        <v>2522042038</v>
      </c>
      <c r="D4049" s="13" t="inlineStr">
        <is>
          <t>2522042038</t>
        </is>
      </c>
      <c r="E4049" s="13" t="inlineStr">
        <is>
          <t>ЮЛ РФ</t>
        </is>
      </c>
      <c r="F4049" s="13" t="n"/>
      <c r="G4049" s="14" t="n"/>
      <c r="H4049" s="14" t="n"/>
      <c r="I4049" s="14" t="n"/>
      <c r="J4049" s="14" t="n"/>
      <c r="K4049" s="53" t="inlineStr"/>
      <c r="L4049" s="53" t="inlineStr">
        <is>
          <t>Не определено</t>
        </is>
      </c>
      <c r="M4049" s="53" t="inlineStr"/>
      <c r="N4049" s="54" t="inlineStr"/>
      <c r="O4049" s="55" t="inlineStr"/>
      <c r="P4049" s="16" t="inlineStr">
        <is>
          <t>Требует обогащения</t>
        </is>
      </c>
      <c r="Q4049" s="16">
        <f>HYPERLINK("https://pb.nalog.ru/search.html?query=2522042038","ФНС: проверить")</f>
        <v/>
      </c>
      <c r="R4049" s="16">
        <f>HYPERLINK("https://checko.ru/search?query=3801001629","Чекко: проверить")</f>
        <v/>
      </c>
      <c r="S4049" t="n">
        <v>1</v>
      </c>
      <c r="T4049" s="35" t="inlineStr">
        <is>
          <t>4 — Не обогащён</t>
        </is>
      </c>
      <c r="U4049" s="35" t="inlineStr">
        <is>
          <t>Нет ОКВЭД/ССЧР</t>
        </is>
      </c>
      <c r="V4049" s="35" t="inlineStr">
        <is>
          <t>Не определено</t>
        </is>
      </c>
      <c r="W4049" s="35" t="inlineStr"/>
      <c r="X4049" s="35" t="inlineStr"/>
    </row>
    <row r="4050" ht="27.75" customHeight="1" s="24">
      <c r="A4050" s="13" t="n">
        <v>5000119681</v>
      </c>
      <c r="B4050" s="13" t="inlineStr">
        <is>
          <t>МКУ «Служба административно-технического обеспечения и благоустройства»</t>
        </is>
      </c>
      <c r="C4050" s="13" t="n">
        <v>6515003250</v>
      </c>
      <c r="D4050" s="13" t="inlineStr">
        <is>
          <t>6515003250</t>
        </is>
      </c>
      <c r="E4050" s="13" t="inlineStr">
        <is>
          <t>ЮЛ РФ</t>
        </is>
      </c>
      <c r="F4050" s="13" t="n"/>
      <c r="G4050" s="14" t="n"/>
      <c r="H4050" s="14" t="n"/>
      <c r="I4050" s="14" t="n"/>
      <c r="J4050" s="14" t="n"/>
      <c r="K4050" s="53" t="inlineStr"/>
      <c r="L4050" s="53" t="inlineStr">
        <is>
          <t>Не определено</t>
        </is>
      </c>
      <c r="M4050" s="53" t="inlineStr"/>
      <c r="N4050" s="54" t="inlineStr"/>
      <c r="O4050" s="55" t="inlineStr"/>
      <c r="P4050" s="16" t="inlineStr">
        <is>
          <t>Требует обогащения</t>
        </is>
      </c>
      <c r="Q4050" s="16">
        <f>HYPERLINK("https://pb.nalog.ru/search.html?query=6515003250","ФНС: проверить")</f>
        <v/>
      </c>
      <c r="R4050" s="16">
        <f>HYPERLINK("https://checko.ru/search?query=3801001629","Чекко: проверить")</f>
        <v/>
      </c>
      <c r="S4050" t="n">
        <v>1</v>
      </c>
      <c r="T4050" s="35" t="inlineStr">
        <is>
          <t>4 — Не обогащён</t>
        </is>
      </c>
      <c r="U4050" s="35" t="inlineStr">
        <is>
          <t>Нет ОКВЭД/ССЧР</t>
        </is>
      </c>
      <c r="V4050" s="35" t="inlineStr">
        <is>
          <t>Не определено</t>
        </is>
      </c>
      <c r="W4050" s="35" t="inlineStr"/>
      <c r="X4050" s="35" t="inlineStr"/>
    </row>
    <row r="4051" ht="27.75" customHeight="1" s="24">
      <c r="A4051" s="13" t="n">
        <v>5000018356</v>
      </c>
      <c r="B4051" s="13" t="inlineStr">
        <is>
          <t>МБДОУ Центр развития ребенка - детский сад  №5 "Полянка"</t>
        </is>
      </c>
      <c r="C4051" s="13" t="n">
        <v>6501141420</v>
      </c>
      <c r="D4051" s="13" t="inlineStr">
        <is>
          <t>6501141420</t>
        </is>
      </c>
      <c r="E4051" s="13" t="inlineStr">
        <is>
          <t>ЮЛ РФ</t>
        </is>
      </c>
      <c r="F4051" s="13" t="n"/>
      <c r="G4051" s="14" t="n"/>
      <c r="H4051" s="14" t="n"/>
      <c r="I4051" s="14" t="n"/>
      <c r="J4051" s="14" t="n"/>
      <c r="K4051" s="53" t="inlineStr"/>
      <c r="L4051" s="53" t="inlineStr">
        <is>
          <t>Не определено</t>
        </is>
      </c>
      <c r="M4051" s="53" t="inlineStr"/>
      <c r="N4051" s="54" t="inlineStr"/>
      <c r="O4051" s="55" t="inlineStr"/>
      <c r="P4051" s="16" t="inlineStr">
        <is>
          <t>Требует обогащения</t>
        </is>
      </c>
      <c r="Q4051" s="16">
        <f>HYPERLINK("https://pb.nalog.ru/search.html?query=6501141420","ФНС: проверить")</f>
        <v/>
      </c>
      <c r="R4051" s="16">
        <f>HYPERLINK("https://checko.ru/search?query=3801001629","Чекко: проверить")</f>
        <v/>
      </c>
      <c r="S4051" t="n">
        <v>1</v>
      </c>
      <c r="T4051" s="35" t="inlineStr">
        <is>
          <t>4 — Не обогащён</t>
        </is>
      </c>
      <c r="U4051" s="35" t="inlineStr">
        <is>
          <t>Нет ОКВЭД/ССЧР</t>
        </is>
      </c>
      <c r="V4051" s="35" t="inlineStr">
        <is>
          <t>Не определено</t>
        </is>
      </c>
      <c r="W4051" s="35" t="inlineStr"/>
      <c r="X4051" s="35" t="inlineStr"/>
    </row>
    <row r="4052" ht="27.75" customHeight="1" s="24">
      <c r="A4052" s="13" t="n">
        <v>5000119180</v>
      </c>
      <c r="B4052" s="13" t="inlineStr">
        <is>
          <t>МБДОУ Центр развития ребенка - детский сад №55 "Веснушка"</t>
        </is>
      </c>
      <c r="C4052" s="13" t="n">
        <v>6501100085</v>
      </c>
      <c r="D4052" s="13" t="inlineStr">
        <is>
          <t>6501100085</t>
        </is>
      </c>
      <c r="E4052" s="13" t="inlineStr">
        <is>
          <t>ЮЛ РФ</t>
        </is>
      </c>
      <c r="F4052" s="13" t="n"/>
      <c r="G4052" s="14" t="n"/>
      <c r="H4052" s="14" t="n"/>
      <c r="I4052" s="14" t="n"/>
      <c r="J4052" s="14" t="n"/>
      <c r="K4052" s="53" t="inlineStr"/>
      <c r="L4052" s="53" t="inlineStr">
        <is>
          <t>Не определено</t>
        </is>
      </c>
      <c r="M4052" s="53" t="inlineStr"/>
      <c r="N4052" s="54" t="inlineStr"/>
      <c r="O4052" s="55" t="inlineStr"/>
      <c r="P4052" s="16" t="inlineStr">
        <is>
          <t>Требует обогащения</t>
        </is>
      </c>
      <c r="Q4052" s="16">
        <f>HYPERLINK("https://pb.nalog.ru/search.html?query=6501100085","ФНС: проверить")</f>
        <v/>
      </c>
      <c r="R4052" s="16">
        <f>HYPERLINK("https://checko.ru/search?query=3801001629","Чекко: проверить")</f>
        <v/>
      </c>
      <c r="S4052" t="n">
        <v>1</v>
      </c>
      <c r="T4052" s="35" t="inlineStr">
        <is>
          <t>4 — Не обогащён</t>
        </is>
      </c>
      <c r="U4052" s="35" t="inlineStr">
        <is>
          <t>Нет ОКВЭД/ССЧР</t>
        </is>
      </c>
      <c r="V4052" s="35" t="inlineStr">
        <is>
          <t>Не определено</t>
        </is>
      </c>
      <c r="W4052" s="35" t="inlineStr"/>
      <c r="X4052" s="35" t="inlineStr"/>
    </row>
    <row r="4053" ht="41.25" customHeight="1" s="24">
      <c r="A4053" s="13" t="n">
        <v>5000061512</v>
      </c>
      <c r="B4053" s="13" t="inlineStr">
        <is>
          <t>Финансовое управление муниципального образования городской округ "Долинский" Сахалинской области Российской Федерации</t>
        </is>
      </c>
      <c r="C4053" s="13" t="n">
        <v>6503005895</v>
      </c>
      <c r="D4053" s="13" t="inlineStr">
        <is>
          <t>6503005895</t>
        </is>
      </c>
      <c r="E4053" s="13" t="inlineStr">
        <is>
          <t>ЮЛ РФ</t>
        </is>
      </c>
      <c r="F4053" s="13" t="n"/>
      <c r="G4053" s="14" t="n"/>
      <c r="H4053" s="14" t="n"/>
      <c r="I4053" s="14" t="n"/>
      <c r="J4053" s="14" t="n"/>
      <c r="K4053" s="53" t="inlineStr"/>
      <c r="L4053" s="53" t="inlineStr">
        <is>
          <t>Не определено</t>
        </is>
      </c>
      <c r="M4053" s="53" t="inlineStr"/>
      <c r="N4053" s="54" t="inlineStr"/>
      <c r="O4053" s="55" t="inlineStr"/>
      <c r="P4053" s="16" t="inlineStr">
        <is>
          <t>Требует обогащения</t>
        </is>
      </c>
      <c r="Q4053" s="16">
        <f>HYPERLINK("https://pb.nalog.ru/search.html?query=6503005895","ФНС: проверить")</f>
        <v/>
      </c>
      <c r="R4053" s="16">
        <f>HYPERLINK("https://checko.ru/search?query=3801001629","Чекко: проверить")</f>
        <v/>
      </c>
      <c r="S4053" t="n">
        <v>1</v>
      </c>
      <c r="T4053" s="35" t="inlineStr">
        <is>
          <t>4 — Не обогащён</t>
        </is>
      </c>
      <c r="U4053" s="35" t="inlineStr">
        <is>
          <t>Нет ОКВЭД/ССЧР</t>
        </is>
      </c>
      <c r="V4053" s="35" t="inlineStr">
        <is>
          <t>Не определено</t>
        </is>
      </c>
      <c r="W4053" s="35" t="inlineStr"/>
      <c r="X4053" s="35" t="inlineStr"/>
    </row>
    <row r="4054" ht="41.25" customHeight="1" s="24">
      <c r="A4054" s="13" t="n">
        <v>5000061512</v>
      </c>
      <c r="B4054" s="13" t="inlineStr">
        <is>
          <t>Финансовое управление муниципального образования городской округ "Долинский" Сахалинской области Российской Федерации</t>
        </is>
      </c>
      <c r="C4054" s="13" t="n">
        <v>6503005895</v>
      </c>
      <c r="D4054" s="13" t="inlineStr">
        <is>
          <t>6503005895</t>
        </is>
      </c>
      <c r="E4054" s="13" t="inlineStr">
        <is>
          <t>ЮЛ РФ</t>
        </is>
      </c>
      <c r="F4054" s="13" t="n"/>
      <c r="G4054" s="14" t="n"/>
      <c r="H4054" s="14" t="n"/>
      <c r="I4054" s="14" t="n"/>
      <c r="J4054" s="14" t="n"/>
      <c r="K4054" s="53" t="inlineStr"/>
      <c r="L4054" s="53" t="inlineStr">
        <is>
          <t>Не определено</t>
        </is>
      </c>
      <c r="M4054" s="53" t="inlineStr"/>
      <c r="N4054" s="54" t="inlineStr"/>
      <c r="O4054" s="55" t="inlineStr"/>
      <c r="P4054" s="16" t="inlineStr">
        <is>
          <t>Требует обогащения</t>
        </is>
      </c>
      <c r="Q4054" s="16">
        <f>HYPERLINK("https://pb.nalog.ru/search.html?query=6503005895","ФНС: проверить")</f>
        <v/>
      </c>
      <c r="R4054" s="16">
        <f>HYPERLINK("https://checko.ru/search?query=3801001629","Чекко: проверить")</f>
        <v/>
      </c>
      <c r="S4054" t="n">
        <v>0</v>
      </c>
      <c r="T4054" s="35" t="inlineStr">
        <is>
          <t>4 — Не обогащён</t>
        </is>
      </c>
      <c r="U4054" s="35" t="inlineStr">
        <is>
          <t>Нет ОКВЭД/ССЧР</t>
        </is>
      </c>
      <c r="V4054" s="35" t="inlineStr">
        <is>
          <t>Не определено</t>
        </is>
      </c>
      <c r="W4054" s="35" t="inlineStr"/>
      <c r="X4054" s="35" t="inlineStr"/>
    </row>
    <row r="4055" ht="27.75" customHeight="1" s="24">
      <c r="A4055" s="13" t="n">
        <v>5000109384</v>
      </c>
      <c r="B4055" s="13" t="inlineStr">
        <is>
          <t>Муниципальное казенное учреждение "Централизованная система образования" г.Охи</t>
        </is>
      </c>
      <c r="C4055" s="13" t="n">
        <v>6506010501</v>
      </c>
      <c r="D4055" s="13" t="inlineStr">
        <is>
          <t>6506010501</t>
        </is>
      </c>
      <c r="E4055" s="13" t="inlineStr">
        <is>
          <t>ЮЛ РФ</t>
        </is>
      </c>
      <c r="F4055" s="13" t="n"/>
      <c r="G4055" s="14" t="n"/>
      <c r="H4055" s="14" t="n"/>
      <c r="I4055" s="14" t="n"/>
      <c r="J4055" s="14" t="n"/>
      <c r="K4055" s="53" t="inlineStr"/>
      <c r="L4055" s="53" t="inlineStr">
        <is>
          <t>Не определено</t>
        </is>
      </c>
      <c r="M4055" s="53" t="inlineStr"/>
      <c r="N4055" s="54" t="inlineStr"/>
      <c r="O4055" s="55" t="inlineStr"/>
      <c r="P4055" s="16" t="inlineStr">
        <is>
          <t>Требует обогащения</t>
        </is>
      </c>
      <c r="Q4055" s="16">
        <f>HYPERLINK("https://pb.nalog.ru/search.html?query=6506010501","ФНС: проверить")</f>
        <v/>
      </c>
      <c r="R4055" s="16">
        <f>HYPERLINK("https://checko.ru/search?query=3801001629","Чекко: проверить")</f>
        <v/>
      </c>
      <c r="S4055" t="n">
        <v>1</v>
      </c>
      <c r="T4055" s="35" t="inlineStr">
        <is>
          <t>4 — Не обогащён</t>
        </is>
      </c>
      <c r="U4055" s="35" t="inlineStr">
        <is>
          <t>Нет ОКВЭД/ССЧР</t>
        </is>
      </c>
      <c r="V4055" s="35" t="inlineStr">
        <is>
          <t>Не определено</t>
        </is>
      </c>
      <c r="W4055" s="35" t="inlineStr"/>
      <c r="X4055" s="35" t="inlineStr"/>
    </row>
    <row r="4056" ht="27.75" customHeight="1" s="24">
      <c r="A4056" s="13" t="n">
        <v>5000098178</v>
      </c>
      <c r="B4056" s="13" t="inlineStr">
        <is>
          <t>КГБУЗ "Кавалеровская центральная районная больн"</t>
        </is>
      </c>
      <c r="C4056" s="13" t="n">
        <v>2515002563</v>
      </c>
      <c r="D4056" s="13" t="inlineStr">
        <is>
          <t>2515002563</t>
        </is>
      </c>
      <c r="E4056" s="13" t="inlineStr">
        <is>
          <t>ЮЛ РФ</t>
        </is>
      </c>
      <c r="F4056" s="13" t="n"/>
      <c r="G4056" s="14" t="n"/>
      <c r="H4056" s="14" t="n"/>
      <c r="I4056" s="14" t="n"/>
      <c r="J4056" s="14" t="n"/>
      <c r="K4056" s="53" t="inlineStr"/>
      <c r="L4056" s="53" t="inlineStr">
        <is>
          <t>Не определено</t>
        </is>
      </c>
      <c r="M4056" s="53" t="inlineStr"/>
      <c r="N4056" s="54" t="inlineStr"/>
      <c r="O4056" s="55" t="inlineStr"/>
      <c r="P4056" s="16" t="inlineStr">
        <is>
          <t>Требует обогащения</t>
        </is>
      </c>
      <c r="Q4056" s="16">
        <f>HYPERLINK("https://pb.nalog.ru/search.html?query=2515002563","ФНС: проверить")</f>
        <v/>
      </c>
      <c r="R4056" s="16">
        <f>HYPERLINK("https://checko.ru/search?query=3801001629","Чекко: проверить")</f>
        <v/>
      </c>
      <c r="S4056" t="n">
        <v>1</v>
      </c>
      <c r="T4056" s="35" t="inlineStr">
        <is>
          <t>4 — Не обогащён</t>
        </is>
      </c>
      <c r="U4056" s="35" t="inlineStr">
        <is>
          <t>Нет ОКВЭД/ССЧР</t>
        </is>
      </c>
      <c r="V4056" s="35" t="inlineStr">
        <is>
          <t>Не определено</t>
        </is>
      </c>
      <c r="W4056" s="35" t="inlineStr"/>
      <c r="X4056" s="35" t="inlineStr"/>
    </row>
    <row r="4057" ht="27.75" customHeight="1" s="24">
      <c r="A4057" s="13" t="n">
        <v>5000015625</v>
      </c>
      <c r="B4057" s="13" t="inlineStr">
        <is>
          <t>МКУ «Централизованная бухгалтерия учреждений спорта города Южно-Сахалинска»</t>
        </is>
      </c>
      <c r="C4057" s="13" t="n">
        <v>6501243372</v>
      </c>
      <c r="D4057" s="13" t="inlineStr">
        <is>
          <t>6501243372</t>
        </is>
      </c>
      <c r="E4057" s="13" t="inlineStr">
        <is>
          <t>ЮЛ РФ</t>
        </is>
      </c>
      <c r="F4057" s="13" t="n"/>
      <c r="G4057" s="14" t="n"/>
      <c r="H4057" s="14" t="n"/>
      <c r="I4057" s="14" t="n"/>
      <c r="J4057" s="14" t="n"/>
      <c r="K4057" s="53" t="inlineStr"/>
      <c r="L4057" s="53" t="inlineStr">
        <is>
          <t>Не определено</t>
        </is>
      </c>
      <c r="M4057" s="53" t="inlineStr"/>
      <c r="N4057" s="54" t="inlineStr"/>
      <c r="O4057" s="55" t="inlineStr"/>
      <c r="P4057" s="16" t="inlineStr">
        <is>
          <t>Требует обогащения</t>
        </is>
      </c>
      <c r="Q4057" s="16">
        <f>HYPERLINK("https://pb.nalog.ru/search.html?query=6501243372","ФНС: проверить")</f>
        <v/>
      </c>
      <c r="R4057" s="16">
        <f>HYPERLINK("https://checko.ru/search?query=3801001629","Чекко: проверить")</f>
        <v/>
      </c>
      <c r="S4057" t="n">
        <v>1</v>
      </c>
      <c r="T4057" s="35" t="inlineStr">
        <is>
          <t>4 — Не обогащён</t>
        </is>
      </c>
      <c r="U4057" s="35" t="inlineStr">
        <is>
          <t>Нет ОКВЭД/ССЧР</t>
        </is>
      </c>
      <c r="V4057" s="35" t="inlineStr">
        <is>
          <t>Не определено</t>
        </is>
      </c>
      <c r="W4057" s="35" t="inlineStr"/>
      <c r="X4057" s="35" t="inlineStr"/>
    </row>
    <row r="4058" ht="15" customHeight="1" s="24">
      <c r="A4058" s="13" t="n">
        <v>5000012968</v>
      </c>
      <c r="B4058" s="13" t="inlineStr">
        <is>
          <t>Агентство по рыболовству Сахалинской области</t>
        </is>
      </c>
      <c r="C4058" s="13" t="n">
        <v>6501231666</v>
      </c>
      <c r="D4058" s="13" t="inlineStr">
        <is>
          <t>6501231666</t>
        </is>
      </c>
      <c r="E4058" s="13" t="inlineStr">
        <is>
          <t>ЮЛ РФ</t>
        </is>
      </c>
      <c r="F4058" s="13" t="n"/>
      <c r="G4058" s="14" t="n"/>
      <c r="H4058" s="14" t="n"/>
      <c r="I4058" s="14" t="n"/>
      <c r="J4058" s="14" t="n"/>
      <c r="K4058" s="53" t="inlineStr"/>
      <c r="L4058" s="53" t="inlineStr">
        <is>
          <t>Не определено</t>
        </is>
      </c>
      <c r="M4058" s="53" t="inlineStr"/>
      <c r="N4058" s="54" t="inlineStr"/>
      <c r="O4058" s="55" t="inlineStr"/>
      <c r="P4058" s="16" t="inlineStr">
        <is>
          <t>Требует обогащения</t>
        </is>
      </c>
      <c r="Q4058" s="16">
        <f>HYPERLINK("https://pb.nalog.ru/search.html?query=6501231666","ФНС: проверить")</f>
        <v/>
      </c>
      <c r="R4058" s="16">
        <f>HYPERLINK("https://checko.ru/search?query=3801001629","Чекко: проверить")</f>
        <v/>
      </c>
      <c r="S4058" t="n">
        <v>0</v>
      </c>
      <c r="T4058" s="35" t="inlineStr">
        <is>
          <t>4 — Не обогащён</t>
        </is>
      </c>
      <c r="U4058" s="35" t="inlineStr">
        <is>
          <t>Нет ОКВЭД/ССЧР</t>
        </is>
      </c>
      <c r="V4058" s="35" t="inlineStr">
        <is>
          <t>Не определено</t>
        </is>
      </c>
      <c r="W4058" s="35" t="inlineStr"/>
      <c r="X4058" s="35" t="inlineStr"/>
    </row>
    <row r="4059" ht="15" customHeight="1" s="24">
      <c r="A4059" s="13" t="n">
        <v>5000098272</v>
      </c>
      <c r="B4059" s="13" t="inlineStr">
        <is>
          <t>КГБ ПОУ "КМТ"</t>
        </is>
      </c>
      <c r="C4059" s="13" t="n">
        <v>2538027250</v>
      </c>
      <c r="D4059" s="13" t="inlineStr">
        <is>
          <t>2538027250</t>
        </is>
      </c>
      <c r="E4059" s="13" t="inlineStr">
        <is>
          <t>ЮЛ РФ</t>
        </is>
      </c>
      <c r="F4059" s="13" t="n"/>
      <c r="G4059" s="14" t="n"/>
      <c r="H4059" s="14" t="n"/>
      <c r="I4059" s="14" t="n"/>
      <c r="J4059" s="14" t="n"/>
      <c r="K4059" s="53" t="inlineStr"/>
      <c r="L4059" s="53" t="inlineStr">
        <is>
          <t>Не определено</t>
        </is>
      </c>
      <c r="M4059" s="53" t="inlineStr"/>
      <c r="N4059" s="54" t="inlineStr"/>
      <c r="O4059" s="55" t="inlineStr"/>
      <c r="P4059" s="16" t="inlineStr">
        <is>
          <t>Требует обогащения</t>
        </is>
      </c>
      <c r="Q4059" s="16">
        <f>HYPERLINK("https://pb.nalog.ru/search.html?query=2538027250","ФНС: проверить")</f>
        <v/>
      </c>
      <c r="R4059" s="16">
        <f>HYPERLINK("https://checko.ru/search?query=3801001629","Чекко: проверить")</f>
        <v/>
      </c>
      <c r="S4059" t="n">
        <v>1</v>
      </c>
      <c r="T4059" s="35" t="inlineStr">
        <is>
          <t>4 — Не обогащён</t>
        </is>
      </c>
      <c r="U4059" s="35" t="inlineStr">
        <is>
          <t>Нет ОКВЭД/ССЧР</t>
        </is>
      </c>
      <c r="V4059" s="35" t="inlineStr">
        <is>
          <t>Не определено</t>
        </is>
      </c>
      <c r="W4059" s="35" t="inlineStr"/>
      <c r="X4059" s="35" t="inlineStr"/>
    </row>
    <row r="4060" ht="27.75" customHeight="1" s="24">
      <c r="A4060" s="13" t="n">
        <v>5000098185</v>
      </c>
      <c r="B4060" s="13" t="inlineStr">
        <is>
          <t>КГБ ПОУ "Лазовский колледж технологий и туризма"</t>
        </is>
      </c>
      <c r="C4060" s="13" t="n">
        <v>2518000998</v>
      </c>
      <c r="D4060" s="13" t="inlineStr">
        <is>
          <t>2518000998</t>
        </is>
      </c>
      <c r="E4060" s="13" t="inlineStr">
        <is>
          <t>ЮЛ РФ</t>
        </is>
      </c>
      <c r="F4060" s="13" t="n"/>
      <c r="G4060" s="14" t="n"/>
      <c r="H4060" s="14" t="n"/>
      <c r="I4060" s="14" t="n"/>
      <c r="J4060" s="14" t="n"/>
      <c r="K4060" s="53" t="inlineStr"/>
      <c r="L4060" s="53" t="inlineStr">
        <is>
          <t>Не определено</t>
        </is>
      </c>
      <c r="M4060" s="53" t="inlineStr"/>
      <c r="N4060" s="54" t="inlineStr"/>
      <c r="O4060" s="55" t="inlineStr"/>
      <c r="P4060" s="16" t="inlineStr">
        <is>
          <t>Требует обогащения</t>
        </is>
      </c>
      <c r="Q4060" s="16">
        <f>HYPERLINK("https://pb.nalog.ru/search.html?query=2518000998","ФНС: проверить")</f>
        <v/>
      </c>
      <c r="R4060" s="16">
        <f>HYPERLINK("https://checko.ru/search?query=3801001629","Чекко: проверить")</f>
        <v/>
      </c>
      <c r="S4060" t="n">
        <v>1</v>
      </c>
      <c r="T4060" s="35" t="inlineStr">
        <is>
          <t>4 — Не обогащён</t>
        </is>
      </c>
      <c r="U4060" s="35" t="inlineStr">
        <is>
          <t>Нет ОКВЭД/ССЧР</t>
        </is>
      </c>
      <c r="V4060" s="35" t="inlineStr">
        <is>
          <t>Не определено</t>
        </is>
      </c>
      <c r="W4060" s="35" t="inlineStr"/>
      <c r="X4060" s="35" t="inlineStr"/>
    </row>
    <row r="4061" ht="15" customHeight="1" s="24">
      <c r="A4061" s="13" t="n">
        <v>5000098289</v>
      </c>
      <c r="B4061" s="13" t="inlineStr">
        <is>
          <t>Центр занятости населения г. Владивосток, КГКУ</t>
        </is>
      </c>
      <c r="C4061" s="13" t="n">
        <v>2540076791</v>
      </c>
      <c r="D4061" s="13" t="inlineStr">
        <is>
          <t>2540076791</t>
        </is>
      </c>
      <c r="E4061" s="13" t="inlineStr">
        <is>
          <t>ЮЛ РФ</t>
        </is>
      </c>
      <c r="F4061" s="13" t="n"/>
      <c r="G4061" s="14" t="n"/>
      <c r="H4061" s="14" t="n"/>
      <c r="I4061" s="14" t="n"/>
      <c r="J4061" s="14" t="n"/>
      <c r="K4061" s="53" t="inlineStr"/>
      <c r="L4061" s="53" t="inlineStr">
        <is>
          <t>Не определено</t>
        </is>
      </c>
      <c r="M4061" s="53" t="inlineStr"/>
      <c r="N4061" s="54" t="inlineStr"/>
      <c r="O4061" s="55" t="inlineStr"/>
      <c r="P4061" s="16" t="inlineStr">
        <is>
          <t>Требует обогащения</t>
        </is>
      </c>
      <c r="Q4061" s="16">
        <f>HYPERLINK("https://pb.nalog.ru/search.html?query=2540076791","ФНС: проверить")</f>
        <v/>
      </c>
      <c r="R4061" s="16">
        <f>HYPERLINK("https://checko.ru/search?query=3801001629","Чекко: проверить")</f>
        <v/>
      </c>
      <c r="S4061" t="n">
        <v>1</v>
      </c>
      <c r="T4061" s="35" t="inlineStr">
        <is>
          <t>4 — Не обогащён</t>
        </is>
      </c>
      <c r="U4061" s="35" t="inlineStr">
        <is>
          <t>Нет ОКВЭД/ССЧР</t>
        </is>
      </c>
      <c r="V4061" s="35" t="inlineStr">
        <is>
          <t>Не определено</t>
        </is>
      </c>
      <c r="W4061" s="35" t="inlineStr"/>
      <c r="X4061" s="35" t="inlineStr"/>
    </row>
    <row r="4062" ht="15" customHeight="1" s="24">
      <c r="A4062" s="13" t="n">
        <v>5000098333</v>
      </c>
      <c r="B4062" s="13" t="inlineStr">
        <is>
          <t>КГБУ "Спасский СФЦН"</t>
        </is>
      </c>
      <c r="C4062" s="13" t="n">
        <v>2510009300</v>
      </c>
      <c r="D4062" s="13" t="inlineStr">
        <is>
          <t>2510009300</t>
        </is>
      </c>
      <c r="E4062" s="13" t="inlineStr">
        <is>
          <t>ЮЛ РФ</t>
        </is>
      </c>
      <c r="F4062" s="13" t="n"/>
      <c r="G4062" s="14" t="n"/>
      <c r="H4062" s="14" t="n"/>
      <c r="I4062" s="14" t="n"/>
      <c r="J4062" s="14" t="n"/>
      <c r="K4062" s="53" t="inlineStr"/>
      <c r="L4062" s="53" t="inlineStr">
        <is>
          <t>Не определено</t>
        </is>
      </c>
      <c r="M4062" s="53" t="inlineStr"/>
      <c r="N4062" s="54" t="inlineStr"/>
      <c r="O4062" s="55" t="inlineStr"/>
      <c r="P4062" s="16" t="inlineStr">
        <is>
          <t>Требует обогащения</t>
        </is>
      </c>
      <c r="Q4062" s="16">
        <f>HYPERLINK("https://pb.nalog.ru/search.html?query=2510009300","ФНС: проверить")</f>
        <v/>
      </c>
      <c r="R4062" s="16">
        <f>HYPERLINK("https://checko.ru/search?query=3801001629","Чекко: проверить")</f>
        <v/>
      </c>
      <c r="S4062" t="n">
        <v>1</v>
      </c>
      <c r="T4062" s="35" t="inlineStr">
        <is>
          <t>4 — Не обогащён</t>
        </is>
      </c>
      <c r="U4062" s="35" t="inlineStr">
        <is>
          <t>Нет ОКВЭД/ССЧР</t>
        </is>
      </c>
      <c r="V4062" s="35" t="inlineStr">
        <is>
          <t>Не определено</t>
        </is>
      </c>
      <c r="W4062" s="35" t="inlineStr"/>
      <c r="X4062" s="35" t="inlineStr"/>
    </row>
    <row r="4063" ht="27.75" customHeight="1" s="24">
      <c r="A4063" s="13" t="n">
        <v>5000098229</v>
      </c>
      <c r="B4063" s="13" t="inlineStr">
        <is>
          <t>ГАУЗ "КРАЕВАЯ СТОМАТОЛОГИЧЕСКАЯ ПОЛИКЛИНИКА"</t>
        </is>
      </c>
      <c r="C4063" s="13" t="n">
        <v>2536026364</v>
      </c>
      <c r="D4063" s="13" t="inlineStr">
        <is>
          <t>2536026364</t>
        </is>
      </c>
      <c r="E4063" s="13" t="inlineStr">
        <is>
          <t>ЮЛ РФ</t>
        </is>
      </c>
      <c r="F4063" s="13" t="n"/>
      <c r="G4063" s="14" t="n"/>
      <c r="H4063" s="14" t="n"/>
      <c r="I4063" s="14" t="n"/>
      <c r="J4063" s="14" t="n"/>
      <c r="K4063" s="53" t="inlineStr"/>
      <c r="L4063" s="53" t="inlineStr">
        <is>
          <t>Не определено</t>
        </is>
      </c>
      <c r="M4063" s="53" t="inlineStr"/>
      <c r="N4063" s="54" t="inlineStr"/>
      <c r="O4063" s="55" t="inlineStr"/>
      <c r="P4063" s="16" t="inlineStr">
        <is>
          <t>Требует обогащения</t>
        </is>
      </c>
      <c r="Q4063" s="16">
        <f>HYPERLINK("https://pb.nalog.ru/search.html?query=2536026364","ФНС: проверить")</f>
        <v/>
      </c>
      <c r="R4063" s="16">
        <f>HYPERLINK("https://checko.ru/search?query=3801001629","Чекко: проверить")</f>
        <v/>
      </c>
      <c r="S4063" t="n">
        <v>1</v>
      </c>
      <c r="T4063" s="35" t="inlineStr">
        <is>
          <t>4 — Не обогащён</t>
        </is>
      </c>
      <c r="U4063" s="35" t="inlineStr">
        <is>
          <t>Нет ОКВЭД/ССЧР</t>
        </is>
      </c>
      <c r="V4063" s="35" t="inlineStr">
        <is>
          <t>Не определено</t>
        </is>
      </c>
      <c r="W4063" s="35" t="inlineStr"/>
      <c r="X4063" s="35" t="inlineStr"/>
    </row>
    <row r="4064" ht="15" customHeight="1" s="24">
      <c r="A4064" s="13" t="n">
        <v>5000117985</v>
      </c>
      <c r="B4064" s="13" t="inlineStr">
        <is>
          <t>Финансовое управление МО "ГО Ногликский"</t>
        </is>
      </c>
      <c r="C4064" s="13" t="n">
        <v>6513001219</v>
      </c>
      <c r="D4064" s="13" t="inlineStr">
        <is>
          <t>6513001219</t>
        </is>
      </c>
      <c r="E4064" s="13" t="inlineStr">
        <is>
          <t>ЮЛ РФ</t>
        </is>
      </c>
      <c r="F4064" s="13" t="n"/>
      <c r="G4064" s="14" t="n"/>
      <c r="H4064" s="14" t="n"/>
      <c r="I4064" s="14" t="n"/>
      <c r="J4064" s="14" t="n"/>
      <c r="K4064" s="53" t="inlineStr"/>
      <c r="L4064" s="53" t="inlineStr">
        <is>
          <t>Не определено</t>
        </is>
      </c>
      <c r="M4064" s="53" t="inlineStr"/>
      <c r="N4064" s="54" t="inlineStr"/>
      <c r="O4064" s="55" t="inlineStr"/>
      <c r="P4064" s="16" t="inlineStr">
        <is>
          <t>Требует обогащения</t>
        </is>
      </c>
      <c r="Q4064" s="16">
        <f>HYPERLINK("https://pb.nalog.ru/search.html?query=6513001219","ФНС: проверить")</f>
        <v/>
      </c>
      <c r="R4064" s="16">
        <f>HYPERLINK("https://checko.ru/search?query=3801001629","Чекко: проверить")</f>
        <v/>
      </c>
      <c r="S4064" t="n">
        <v>1</v>
      </c>
      <c r="T4064" s="35" t="inlineStr">
        <is>
          <t>4 — Не обогащён</t>
        </is>
      </c>
      <c r="U4064" s="35" t="inlineStr">
        <is>
          <t>Нет ОКВЭД/ССЧР</t>
        </is>
      </c>
      <c r="V4064" s="35" t="inlineStr">
        <is>
          <t>Не определено</t>
        </is>
      </c>
      <c r="W4064" s="35" t="inlineStr"/>
      <c r="X4064" s="35" t="inlineStr"/>
    </row>
    <row r="4065" ht="15" customHeight="1" s="24">
      <c r="A4065" s="13" t="n">
        <v>5000117985</v>
      </c>
      <c r="B4065" s="13" t="inlineStr">
        <is>
          <t>Финансовое управление МО "ГО Ногликский"</t>
        </is>
      </c>
      <c r="C4065" s="13" t="n">
        <v>6513001219</v>
      </c>
      <c r="D4065" s="13" t="inlineStr">
        <is>
          <t>6513001219</t>
        </is>
      </c>
      <c r="E4065" s="13" t="inlineStr">
        <is>
          <t>ЮЛ РФ</t>
        </is>
      </c>
      <c r="F4065" s="13" t="n"/>
      <c r="G4065" s="14" t="n"/>
      <c r="H4065" s="14" t="n"/>
      <c r="I4065" s="14" t="n"/>
      <c r="J4065" s="14" t="n"/>
      <c r="K4065" s="53" t="inlineStr"/>
      <c r="L4065" s="53" t="inlineStr">
        <is>
          <t>Не определено</t>
        </is>
      </c>
      <c r="M4065" s="53" t="inlineStr"/>
      <c r="N4065" s="54" t="inlineStr"/>
      <c r="O4065" s="55" t="inlineStr"/>
      <c r="P4065" s="16" t="inlineStr">
        <is>
          <t>Требует обогащения</t>
        </is>
      </c>
      <c r="Q4065" s="16">
        <f>HYPERLINK("https://pb.nalog.ru/search.html?query=6513001219","ФНС: проверить")</f>
        <v/>
      </c>
      <c r="R4065" s="16">
        <f>HYPERLINK("https://checko.ru/search?query=3801001629","Чекко: проверить")</f>
        <v/>
      </c>
      <c r="S4065" t="n">
        <v>0</v>
      </c>
      <c r="T4065" s="35" t="inlineStr">
        <is>
          <t>4 — Не обогащён</t>
        </is>
      </c>
      <c r="U4065" s="35" t="inlineStr">
        <is>
          <t>Нет ОКВЭД/ССЧР</t>
        </is>
      </c>
      <c r="V4065" s="35" t="inlineStr">
        <is>
          <t>Не определено</t>
        </is>
      </c>
      <c r="W4065" s="35" t="inlineStr"/>
      <c r="X4065" s="35" t="inlineStr"/>
    </row>
    <row r="4066" ht="15" customHeight="1" s="24">
      <c r="A4066" s="13" t="n">
        <v>5000116124</v>
      </c>
      <c r="B4066" s="13" t="inlineStr">
        <is>
          <t>Администрация городского округа "Охинский"</t>
        </is>
      </c>
      <c r="C4066" s="13" t="n">
        <v>6506004089</v>
      </c>
      <c r="D4066" s="13" t="inlineStr">
        <is>
          <t>6506004089</t>
        </is>
      </c>
      <c r="E4066" s="13" t="inlineStr">
        <is>
          <t>ЮЛ РФ</t>
        </is>
      </c>
      <c r="F4066" s="13" t="n"/>
      <c r="G4066" s="14" t="n"/>
      <c r="H4066" s="14" t="n"/>
      <c r="I4066" s="14" t="n"/>
      <c r="J4066" s="14" t="n"/>
      <c r="K4066" s="53" t="inlineStr"/>
      <c r="L4066" s="53" t="inlineStr">
        <is>
          <t>Не определено</t>
        </is>
      </c>
      <c r="M4066" s="53" t="inlineStr"/>
      <c r="N4066" s="54" t="inlineStr"/>
      <c r="O4066" s="55" t="inlineStr"/>
      <c r="P4066" s="16" t="inlineStr">
        <is>
          <t>Требует обогащения</t>
        </is>
      </c>
      <c r="Q4066" s="16">
        <f>HYPERLINK("https://pb.nalog.ru/search.html?query=6506004089","ФНС: проверить")</f>
        <v/>
      </c>
      <c r="R4066" s="16">
        <f>HYPERLINK("https://checko.ru/search?query=3801001629","Чекко: проверить")</f>
        <v/>
      </c>
      <c r="S4066" t="n">
        <v>1</v>
      </c>
      <c r="T4066" s="35" t="inlineStr">
        <is>
          <t>4 — Не обогащён</t>
        </is>
      </c>
      <c r="U4066" s="35" t="inlineStr">
        <is>
          <t>Нет ОКВЭД/ССЧР</t>
        </is>
      </c>
      <c r="V4066" s="35" t="inlineStr">
        <is>
          <t>Не определено</t>
        </is>
      </c>
      <c r="W4066" s="35" t="inlineStr"/>
      <c r="X4066" s="35" t="inlineStr"/>
    </row>
    <row r="4067" ht="15" customHeight="1" s="24">
      <c r="A4067" s="13" t="n">
        <v>5000116124</v>
      </c>
      <c r="B4067" s="13" t="inlineStr">
        <is>
          <t>Администрация городского округа "Охинский"</t>
        </is>
      </c>
      <c r="C4067" s="13" t="n">
        <v>6506004089</v>
      </c>
      <c r="D4067" s="13" t="inlineStr">
        <is>
          <t>6506004089</t>
        </is>
      </c>
      <c r="E4067" s="13" t="inlineStr">
        <is>
          <t>ЮЛ РФ</t>
        </is>
      </c>
      <c r="F4067" s="13" t="n"/>
      <c r="G4067" s="14" t="n"/>
      <c r="H4067" s="14" t="n"/>
      <c r="I4067" s="14" t="n"/>
      <c r="J4067" s="14" t="n"/>
      <c r="K4067" s="53" t="inlineStr"/>
      <c r="L4067" s="53" t="inlineStr">
        <is>
          <t>Не определено</t>
        </is>
      </c>
      <c r="M4067" s="53" t="inlineStr"/>
      <c r="N4067" s="54" t="inlineStr"/>
      <c r="O4067" s="55" t="inlineStr"/>
      <c r="P4067" s="16" t="inlineStr">
        <is>
          <t>Требует обогащения</t>
        </is>
      </c>
      <c r="Q4067" s="16">
        <f>HYPERLINK("https://pb.nalog.ru/search.html?query=6506004089","ФНС: проверить")</f>
        <v/>
      </c>
      <c r="R4067" s="16">
        <f>HYPERLINK("https://checko.ru/search?query=3801001629","Чекко: проверить")</f>
        <v/>
      </c>
      <c r="S4067" t="n">
        <v>0</v>
      </c>
      <c r="T4067" s="35" t="inlineStr">
        <is>
          <t>4 — Не обогащён</t>
        </is>
      </c>
      <c r="U4067" s="35" t="inlineStr">
        <is>
          <t>Нет ОКВЭД/ССЧР</t>
        </is>
      </c>
      <c r="V4067" s="35" t="inlineStr">
        <is>
          <t>Не определено</t>
        </is>
      </c>
      <c r="W4067" s="35" t="inlineStr"/>
      <c r="X4067" s="35" t="inlineStr"/>
    </row>
    <row r="4068" ht="27.75" customHeight="1" s="24">
      <c r="A4068" s="13" t="n">
        <v>5000033860</v>
      </c>
      <c r="B4068" s="13" t="inlineStr">
        <is>
          <t>Управление образования Углегорского городского округа Сахалинской области</t>
        </is>
      </c>
      <c r="C4068" s="13" t="n">
        <v>6508004694</v>
      </c>
      <c r="D4068" s="13" t="inlineStr">
        <is>
          <t>6508004694</t>
        </is>
      </c>
      <c r="E4068" s="13" t="inlineStr">
        <is>
          <t>ЮЛ РФ</t>
        </is>
      </c>
      <c r="F4068" s="13" t="n"/>
      <c r="G4068" s="14" t="n"/>
      <c r="H4068" s="14" t="n"/>
      <c r="I4068" s="14" t="n"/>
      <c r="J4068" s="14" t="n"/>
      <c r="K4068" s="53" t="inlineStr"/>
      <c r="L4068" s="53" t="inlineStr">
        <is>
          <t>Не определено</t>
        </is>
      </c>
      <c r="M4068" s="53" t="inlineStr"/>
      <c r="N4068" s="54" t="inlineStr"/>
      <c r="O4068" s="55" t="inlineStr"/>
      <c r="P4068" s="16" t="inlineStr">
        <is>
          <t>Требует обогащения</t>
        </is>
      </c>
      <c r="Q4068" s="16">
        <f>HYPERLINK("https://pb.nalog.ru/search.html?query=6508004694","ФНС: проверить")</f>
        <v/>
      </c>
      <c r="R4068" s="16">
        <f>HYPERLINK("https://checko.ru/search?query=3801001629","Чекко: проверить")</f>
        <v/>
      </c>
      <c r="S4068" t="n">
        <v>1</v>
      </c>
      <c r="T4068" s="35" t="inlineStr">
        <is>
          <t>4 — Не обогащён</t>
        </is>
      </c>
      <c r="U4068" s="35" t="inlineStr">
        <is>
          <t>Нет ОКВЭД/ССЧР</t>
        </is>
      </c>
      <c r="V4068" s="35" t="inlineStr">
        <is>
          <t>Не определено</t>
        </is>
      </c>
      <c r="W4068" s="35" t="inlineStr"/>
      <c r="X4068" s="35" t="inlineStr"/>
    </row>
    <row r="4069" ht="27.75" customHeight="1" s="24">
      <c r="A4069" s="13" t="n">
        <v>5000033860</v>
      </c>
      <c r="B4069" s="13" t="inlineStr">
        <is>
          <t>Управление образования Углегорского городского округа Сахалинской области</t>
        </is>
      </c>
      <c r="C4069" s="13" t="n">
        <v>6508004694</v>
      </c>
      <c r="D4069" s="13" t="inlineStr">
        <is>
          <t>6508004694</t>
        </is>
      </c>
      <c r="E4069" s="13" t="inlineStr">
        <is>
          <t>ЮЛ РФ</t>
        </is>
      </c>
      <c r="F4069" s="13" t="n"/>
      <c r="G4069" s="14" t="n"/>
      <c r="H4069" s="14" t="n"/>
      <c r="I4069" s="14" t="n"/>
      <c r="J4069" s="14" t="n"/>
      <c r="K4069" s="53" t="inlineStr"/>
      <c r="L4069" s="53" t="inlineStr">
        <is>
          <t>Не определено</t>
        </is>
      </c>
      <c r="M4069" s="53" t="inlineStr"/>
      <c r="N4069" s="54" t="inlineStr"/>
      <c r="O4069" s="55" t="inlineStr"/>
      <c r="P4069" s="16" t="inlineStr">
        <is>
          <t>Требует обогащения</t>
        </is>
      </c>
      <c r="Q4069" s="16">
        <f>HYPERLINK("https://pb.nalog.ru/search.html?query=6508004694","ФНС: проверить")</f>
        <v/>
      </c>
      <c r="R4069" s="16">
        <f>HYPERLINK("https://checko.ru/search?query=3801001629","Чекко: проверить")</f>
        <v/>
      </c>
      <c r="S4069" t="n">
        <v>0</v>
      </c>
      <c r="T4069" s="35" t="inlineStr">
        <is>
          <t>4 — Не обогащён</t>
        </is>
      </c>
      <c r="U4069" s="35" t="inlineStr">
        <is>
          <t>Нет ОКВЭД/ССЧР</t>
        </is>
      </c>
      <c r="V4069" s="35" t="inlineStr">
        <is>
          <t>Не определено</t>
        </is>
      </c>
      <c r="W4069" s="35" t="inlineStr"/>
      <c r="X4069" s="35" t="inlineStr"/>
    </row>
    <row r="4070" ht="41.25" customHeight="1" s="24">
      <c r="A4070" s="13" t="n">
        <v>5000098231</v>
      </c>
      <c r="B4070" s="13" t="inlineStr">
        <is>
          <t>ГАУЗ "Краевой клинический центр специализированных видов медицинской помощи"</t>
        </is>
      </c>
      <c r="C4070" s="13" t="n">
        <v>2536063006</v>
      </c>
      <c r="D4070" s="13" t="inlineStr">
        <is>
          <t>2536063006</t>
        </is>
      </c>
      <c r="E4070" s="13" t="inlineStr">
        <is>
          <t>ЮЛ РФ</t>
        </is>
      </c>
      <c r="F4070" s="13" t="n"/>
      <c r="G4070" s="14" t="n"/>
      <c r="H4070" s="14" t="n"/>
      <c r="I4070" s="14" t="n"/>
      <c r="J4070" s="14" t="n"/>
      <c r="K4070" s="53" t="inlineStr"/>
      <c r="L4070" s="53" t="inlineStr">
        <is>
          <t>Не определено</t>
        </is>
      </c>
      <c r="M4070" s="53" t="inlineStr"/>
      <c r="N4070" s="54" t="inlineStr"/>
      <c r="O4070" s="55" t="inlineStr"/>
      <c r="P4070" s="16" t="inlineStr">
        <is>
          <t>Требует обогащения</t>
        </is>
      </c>
      <c r="Q4070" s="16">
        <f>HYPERLINK("https://pb.nalog.ru/search.html?query=2536063006","ФНС: проверить")</f>
        <v/>
      </c>
      <c r="R4070" s="16">
        <f>HYPERLINK("https://checko.ru/search?query=3801001629","Чекко: проверить")</f>
        <v/>
      </c>
      <c r="S4070" t="n">
        <v>1</v>
      </c>
      <c r="T4070" s="35" t="inlineStr">
        <is>
          <t>4 — Не обогащён</t>
        </is>
      </c>
      <c r="U4070" s="35" t="inlineStr">
        <is>
          <t>Нет ОКВЭД/ССЧР</t>
        </is>
      </c>
      <c r="V4070" s="35" t="inlineStr">
        <is>
          <t>Не определено</t>
        </is>
      </c>
      <c r="W4070" s="35" t="inlineStr"/>
      <c r="X4070" s="35" t="inlineStr"/>
    </row>
    <row r="4071" ht="54.75" customHeight="1" s="24">
      <c r="A4071" s="13" t="n">
        <v>5000101074</v>
      </c>
      <c r="B4071" s="13" t="inlineStr">
        <is>
          <t>Муниципальное бюджетное общеобразовательное учреждение "Чернорудская средняя общеобразовательная школа"</t>
        </is>
      </c>
      <c r="C4071" s="13" t="n">
        <v>3836002278</v>
      </c>
      <c r="D4071" s="13" t="inlineStr">
        <is>
          <t>3836002278</t>
        </is>
      </c>
      <c r="E4071" s="13" t="inlineStr">
        <is>
          <t>ЮЛ РФ</t>
        </is>
      </c>
      <c r="F4071" s="13" t="n"/>
      <c r="G4071" s="14" t="n"/>
      <c r="H4071" s="14" t="n"/>
      <c r="I4071" s="14" t="n"/>
      <c r="J4071" s="14" t="n"/>
      <c r="K4071" s="53" t="inlineStr"/>
      <c r="L4071" s="53" t="inlineStr">
        <is>
          <t>Не определено</t>
        </is>
      </c>
      <c r="M4071" s="53" t="inlineStr"/>
      <c r="N4071" s="54" t="inlineStr"/>
      <c r="O4071" s="55" t="inlineStr"/>
      <c r="P4071" s="16" t="inlineStr">
        <is>
          <t>Требует обогащения</t>
        </is>
      </c>
      <c r="Q4071" s="16">
        <f>HYPERLINK("https://pb.nalog.ru/search.html?query=3836002278","ФНС: проверить")</f>
        <v/>
      </c>
      <c r="R4071" s="16">
        <f>HYPERLINK("https://checko.ru/search?query=3801001629","Чекко: проверить")</f>
        <v/>
      </c>
      <c r="S4071" t="n">
        <v>1</v>
      </c>
      <c r="T4071" s="35" t="inlineStr">
        <is>
          <t>4 — Не обогащён</t>
        </is>
      </c>
      <c r="U4071" s="35" t="inlineStr">
        <is>
          <t>Нет ОКВЭД/ССЧР</t>
        </is>
      </c>
      <c r="V4071" s="35" t="inlineStr">
        <is>
          <t>Не определено</t>
        </is>
      </c>
      <c r="W4071" s="35" t="inlineStr"/>
      <c r="X4071" s="35" t="inlineStr"/>
    </row>
    <row r="4072" ht="15" customHeight="1" s="24">
      <c r="A4072" s="13" t="n">
        <v>5000089259</v>
      </c>
      <c r="B4072" s="13" t="inlineStr">
        <is>
          <t>ГОАУ ДПО ПК ИРО</t>
        </is>
      </c>
      <c r="C4072" s="13" t="n">
        <v>2540019440</v>
      </c>
      <c r="D4072" s="13" t="inlineStr">
        <is>
          <t>2540019440</t>
        </is>
      </c>
      <c r="E4072" s="13" t="inlineStr">
        <is>
          <t>ЮЛ РФ</t>
        </is>
      </c>
      <c r="F4072" s="13" t="n"/>
      <c r="G4072" s="14" t="n"/>
      <c r="H4072" s="14" t="n"/>
      <c r="I4072" s="14" t="n"/>
      <c r="J4072" s="14" t="n"/>
      <c r="K4072" s="53" t="inlineStr"/>
      <c r="L4072" s="53" t="inlineStr">
        <is>
          <t>Не определено</t>
        </is>
      </c>
      <c r="M4072" s="53" t="inlineStr"/>
      <c r="N4072" s="54" t="inlineStr"/>
      <c r="O4072" s="55" t="inlineStr"/>
      <c r="P4072" s="16" t="inlineStr">
        <is>
          <t>Требует обогащения</t>
        </is>
      </c>
      <c r="Q4072" s="16">
        <f>HYPERLINK("https://pb.nalog.ru/search.html?query=2540019440","ФНС: проверить")</f>
        <v/>
      </c>
      <c r="R4072" s="16">
        <f>HYPERLINK("https://checko.ru/search?query=3801001629","Чекко: проверить")</f>
        <v/>
      </c>
      <c r="S4072" t="n">
        <v>1</v>
      </c>
      <c r="T4072" s="35" t="inlineStr">
        <is>
          <t>4 — Не обогащён</t>
        </is>
      </c>
      <c r="U4072" s="35" t="inlineStr">
        <is>
          <t>Нет ОКВЭД/ССЧР</t>
        </is>
      </c>
      <c r="V4072" s="35" t="inlineStr">
        <is>
          <t>Не определено</t>
        </is>
      </c>
      <c r="W4072" s="35" t="inlineStr"/>
      <c r="X4072" s="35" t="inlineStr"/>
    </row>
    <row r="4073" ht="41.25" customHeight="1" s="24">
      <c r="A4073" s="13" t="n">
        <v>5000101075</v>
      </c>
      <c r="B4073" s="13" t="inlineStr">
        <is>
          <t>Муниципальное бюджетное Дошкольное Образовательное учреждение "Детский Сад "Радуга"</t>
        </is>
      </c>
      <c r="C4073" s="13" t="n">
        <v>3827038694</v>
      </c>
      <c r="D4073" s="13" t="inlineStr">
        <is>
          <t>3827038694</t>
        </is>
      </c>
      <c r="E4073" s="13" t="inlineStr">
        <is>
          <t>ЮЛ РФ</t>
        </is>
      </c>
      <c r="F4073" s="13" t="n"/>
      <c r="G4073" s="14" t="n"/>
      <c r="H4073" s="14" t="n"/>
      <c r="I4073" s="14" t="n"/>
      <c r="J4073" s="14" t="n"/>
      <c r="K4073" s="53" t="inlineStr"/>
      <c r="L4073" s="53" t="inlineStr">
        <is>
          <t>Не определено</t>
        </is>
      </c>
      <c r="M4073" s="53" t="inlineStr"/>
      <c r="N4073" s="54" t="inlineStr"/>
      <c r="O4073" s="55" t="inlineStr"/>
      <c r="P4073" s="16" t="inlineStr">
        <is>
          <t>Требует обогащения</t>
        </is>
      </c>
      <c r="Q4073" s="16">
        <f>HYPERLINK("https://pb.nalog.ru/search.html?query=3827038694","ФНС: проверить")</f>
        <v/>
      </c>
      <c r="R4073" s="16">
        <f>HYPERLINK("https://checko.ru/search?query=3801001629","Чекко: проверить")</f>
        <v/>
      </c>
      <c r="S4073" t="n">
        <v>1</v>
      </c>
      <c r="T4073" s="35" t="inlineStr">
        <is>
          <t>4 — Не обогащён</t>
        </is>
      </c>
      <c r="U4073" s="35" t="inlineStr">
        <is>
          <t>Нет ОКВЭД/ССЧР</t>
        </is>
      </c>
      <c r="V4073" s="35" t="inlineStr">
        <is>
          <t>Не определено</t>
        </is>
      </c>
      <c r="W4073" s="35" t="inlineStr"/>
      <c r="X4073" s="35" t="inlineStr"/>
    </row>
    <row r="4074" ht="27.75" customHeight="1" s="24">
      <c r="A4074" s="13" t="n">
        <v>5000106384</v>
      </c>
      <c r="B4074" s="13" t="inlineStr">
        <is>
          <t>Дума Муниципального Образования "Боханский Район"</t>
        </is>
      </c>
      <c r="C4074" s="13" t="n">
        <v>8503005793</v>
      </c>
      <c r="D4074" s="13" t="inlineStr">
        <is>
          <t>8503005793</t>
        </is>
      </c>
      <c r="E4074" s="13" t="inlineStr">
        <is>
          <t>ЮЛ РФ</t>
        </is>
      </c>
      <c r="F4074" s="13" t="n"/>
      <c r="G4074" s="14" t="n"/>
      <c r="H4074" s="14" t="n"/>
      <c r="I4074" s="14" t="n"/>
      <c r="J4074" s="14" t="n"/>
      <c r="K4074" s="53" t="inlineStr"/>
      <c r="L4074" s="53" t="inlineStr">
        <is>
          <t>Не определено</t>
        </is>
      </c>
      <c r="M4074" s="53" t="inlineStr"/>
      <c r="N4074" s="54" t="inlineStr"/>
      <c r="O4074" s="55" t="inlineStr"/>
      <c r="P4074" s="16" t="inlineStr">
        <is>
          <t>Требует обогащения</t>
        </is>
      </c>
      <c r="Q4074" s="16">
        <f>HYPERLINK("https://pb.nalog.ru/search.html?query=8503005793","ФНС: проверить")</f>
        <v/>
      </c>
      <c r="R4074" s="16">
        <f>HYPERLINK("https://checko.ru/search?query=3801001629","Чекко: проверить")</f>
        <v/>
      </c>
      <c r="S4074" t="n">
        <v>1</v>
      </c>
      <c r="T4074" s="35" t="inlineStr">
        <is>
          <t>4 — Не обогащён</t>
        </is>
      </c>
      <c r="U4074" s="35" t="inlineStr">
        <is>
          <t>Нет ОКВЭД/ССЧР</t>
        </is>
      </c>
      <c r="V4074" s="35" t="inlineStr">
        <is>
          <t>Не определено</t>
        </is>
      </c>
      <c r="W4074" s="35" t="inlineStr"/>
      <c r="X4074" s="35" t="inlineStr"/>
    </row>
    <row r="4075" ht="15" customHeight="1" s="24">
      <c r="A4075" s="13" t="n">
        <v>5000098283</v>
      </c>
      <c r="B4075" s="13" t="inlineStr">
        <is>
          <t>КГБУЗ "ВЛАДИВОСТОКСКАЯ ПОЛИКЛИНИКА № 1"</t>
        </is>
      </c>
      <c r="C4075" s="13" t="n">
        <v>2540018140</v>
      </c>
      <c r="D4075" s="13" t="inlineStr">
        <is>
          <t>2540018140</t>
        </is>
      </c>
      <c r="E4075" s="13" t="inlineStr">
        <is>
          <t>ЮЛ РФ</t>
        </is>
      </c>
      <c r="F4075" s="13" t="n"/>
      <c r="G4075" s="14" t="n"/>
      <c r="H4075" s="14" t="n"/>
      <c r="I4075" s="14" t="n"/>
      <c r="J4075" s="14" t="n"/>
      <c r="K4075" s="53" t="inlineStr"/>
      <c r="L4075" s="53" t="inlineStr">
        <is>
          <t>Не определено</t>
        </is>
      </c>
      <c r="M4075" s="53" t="inlineStr"/>
      <c r="N4075" s="54" t="inlineStr"/>
      <c r="O4075" s="55" t="inlineStr"/>
      <c r="P4075" s="16" t="inlineStr">
        <is>
          <t>Требует обогащения</t>
        </is>
      </c>
      <c r="Q4075" s="16">
        <f>HYPERLINK("https://pb.nalog.ru/search.html?query=2540018140","ФНС: проверить")</f>
        <v/>
      </c>
      <c r="R4075" s="16">
        <f>HYPERLINK("https://checko.ru/search?query=3801001629","Чекко: проверить")</f>
        <v/>
      </c>
      <c r="S4075" t="n">
        <v>1</v>
      </c>
      <c r="T4075" s="35" t="inlineStr">
        <is>
          <t>4 — Не обогащён</t>
        </is>
      </c>
      <c r="U4075" s="35" t="inlineStr">
        <is>
          <t>Нет ОКВЭД/ССЧР</t>
        </is>
      </c>
      <c r="V4075" s="35" t="inlineStr">
        <is>
          <t>Не определено</t>
        </is>
      </c>
      <c r="W4075" s="35" t="inlineStr"/>
      <c r="X4075" s="35" t="inlineStr"/>
    </row>
    <row r="4076" ht="15" customHeight="1" s="24">
      <c r="A4076" s="13" t="n">
        <v>5000074585</v>
      </c>
      <c r="B4076" s="13" t="inlineStr">
        <is>
          <t>МУК Королевский исторический музей</t>
        </is>
      </c>
      <c r="C4076" s="13" t="n">
        <v>5018097634</v>
      </c>
      <c r="D4076" s="13" t="inlineStr">
        <is>
          <t>5018097634</t>
        </is>
      </c>
      <c r="E4076" s="13" t="inlineStr">
        <is>
          <t>ЮЛ РФ</t>
        </is>
      </c>
      <c r="F4076" s="13" t="n"/>
      <c r="G4076" s="14" t="n"/>
      <c r="H4076" s="14" t="n"/>
      <c r="I4076" s="14" t="n"/>
      <c r="J4076" s="14" t="n"/>
      <c r="K4076" s="53" t="inlineStr"/>
      <c r="L4076" s="53" t="inlineStr">
        <is>
          <t>Не определено</t>
        </is>
      </c>
      <c r="M4076" s="53" t="inlineStr"/>
      <c r="N4076" s="54" t="inlineStr"/>
      <c r="O4076" s="55" t="inlineStr"/>
      <c r="P4076" s="16" t="inlineStr">
        <is>
          <t>Требует обогащения</t>
        </is>
      </c>
      <c r="Q4076" s="16">
        <f>HYPERLINK("https://pb.nalog.ru/search.html?query=5018097634","ФНС: проверить")</f>
        <v/>
      </c>
      <c r="R4076" s="16">
        <f>HYPERLINK("https://checko.ru/search?query=3801001629","Чекко: проверить")</f>
        <v/>
      </c>
      <c r="S4076" t="n">
        <v>1</v>
      </c>
      <c r="T4076" s="35" t="inlineStr">
        <is>
          <t>4 — Не обогащён</t>
        </is>
      </c>
      <c r="U4076" s="35" t="inlineStr">
        <is>
          <t>Нет ОКВЭД/ССЧР</t>
        </is>
      </c>
      <c r="V4076" s="35" t="inlineStr">
        <is>
          <t>Не определено</t>
        </is>
      </c>
      <c r="W4076" s="35" t="inlineStr"/>
      <c r="X4076" s="35" t="inlineStr"/>
    </row>
    <row r="4077" ht="27.75" customHeight="1" s="24">
      <c r="A4077" s="13" t="n">
        <v>5000089269</v>
      </c>
      <c r="B4077" s="13" t="inlineStr">
        <is>
          <t>Коррекционная школа II вида, КГКСКОУ Владивостокская КШ II вида</t>
        </is>
      </c>
      <c r="C4077" s="13" t="n">
        <v>2538058530</v>
      </c>
      <c r="D4077" s="13" t="inlineStr">
        <is>
          <t>2538058530</t>
        </is>
      </c>
      <c r="E4077" s="13" t="inlineStr">
        <is>
          <t>ЮЛ РФ</t>
        </is>
      </c>
      <c r="F4077" s="13" t="n"/>
      <c r="G4077" s="14" t="n"/>
      <c r="H4077" s="14" t="n"/>
      <c r="I4077" s="14" t="n"/>
      <c r="J4077" s="14" t="n"/>
      <c r="K4077" s="53" t="inlineStr"/>
      <c r="L4077" s="53" t="inlineStr">
        <is>
          <t>Не определено</t>
        </is>
      </c>
      <c r="M4077" s="53" t="inlineStr"/>
      <c r="N4077" s="54" t="inlineStr"/>
      <c r="O4077" s="55" t="inlineStr"/>
      <c r="P4077" s="16" t="inlineStr">
        <is>
          <t>Требует обогащения</t>
        </is>
      </c>
      <c r="Q4077" s="16">
        <f>HYPERLINK("https://pb.nalog.ru/search.html?query=2538058530","ФНС: проверить")</f>
        <v/>
      </c>
      <c r="R4077" s="16">
        <f>HYPERLINK("https://checko.ru/search?query=3801001629","Чекко: проверить")</f>
        <v/>
      </c>
      <c r="S4077" t="n">
        <v>1</v>
      </c>
      <c r="T4077" s="35" t="inlineStr">
        <is>
          <t>4 — Не обогащён</t>
        </is>
      </c>
      <c r="U4077" s="35" t="inlineStr">
        <is>
          <t>Нет ОКВЭД/ССЧР</t>
        </is>
      </c>
      <c r="V4077" s="35" t="inlineStr">
        <is>
          <t>Не определено</t>
        </is>
      </c>
      <c r="W4077" s="35" t="inlineStr"/>
      <c r="X4077" s="35" t="inlineStr"/>
    </row>
    <row r="4078" ht="15" customHeight="1" s="24">
      <c r="A4078" s="13" t="n">
        <v>5000100121</v>
      </c>
      <c r="B4078" s="13" t="inlineStr">
        <is>
          <t>ОбАУ "Северное лесное хозяйство"</t>
        </is>
      </c>
      <c r="C4078" s="13" t="n">
        <v>6513001184</v>
      </c>
      <c r="D4078" s="13" t="inlineStr">
        <is>
          <t>6513001184</t>
        </is>
      </c>
      <c r="E4078" s="13" t="inlineStr">
        <is>
          <t>ЮЛ РФ</t>
        </is>
      </c>
      <c r="F4078" s="13" t="n"/>
      <c r="G4078" s="14" t="n"/>
      <c r="H4078" s="14" t="n"/>
      <c r="I4078" s="14" t="n"/>
      <c r="J4078" s="14" t="n"/>
      <c r="K4078" s="53" t="inlineStr"/>
      <c r="L4078" s="53" t="inlineStr">
        <is>
          <t>Не определено</t>
        </is>
      </c>
      <c r="M4078" s="53" t="inlineStr"/>
      <c r="N4078" s="54" t="inlineStr"/>
      <c r="O4078" s="55" t="inlineStr"/>
      <c r="P4078" s="16" t="inlineStr">
        <is>
          <t>Требует обогащения</t>
        </is>
      </c>
      <c r="Q4078" s="16">
        <f>HYPERLINK("https://pb.nalog.ru/search.html?query=6513001184","ФНС: проверить")</f>
        <v/>
      </c>
      <c r="R4078" s="16">
        <f>HYPERLINK("https://checko.ru/search?query=3801001629","Чекко: проверить")</f>
        <v/>
      </c>
      <c r="S4078" t="n">
        <v>1</v>
      </c>
      <c r="T4078" s="35" t="inlineStr">
        <is>
          <t>4 — Не обогащён</t>
        </is>
      </c>
      <c r="U4078" s="35" t="inlineStr">
        <is>
          <t>Нет ОКВЭД/ССЧР</t>
        </is>
      </c>
      <c r="V4078" s="35" t="inlineStr">
        <is>
          <t>Не определено</t>
        </is>
      </c>
      <c r="W4078" s="35" t="inlineStr"/>
      <c r="X4078" s="35" t="inlineStr"/>
    </row>
    <row r="4079" ht="27.75" customHeight="1" s="24">
      <c r="A4079" s="13" t="n">
        <v>5000100106</v>
      </c>
      <c r="B4079" s="13" t="inlineStr">
        <is>
          <t>Областное автономное учреждение Издательский дом "Губернские ведомости"</t>
        </is>
      </c>
      <c r="C4079" s="13" t="n">
        <v>6501071902</v>
      </c>
      <c r="D4079" s="13" t="inlineStr">
        <is>
          <t>6501071902</t>
        </is>
      </c>
      <c r="E4079" s="13" t="inlineStr">
        <is>
          <t>ЮЛ РФ</t>
        </is>
      </c>
      <c r="F4079" s="13" t="n"/>
      <c r="G4079" s="14" t="n"/>
      <c r="H4079" s="14" t="n"/>
      <c r="I4079" s="14" t="n"/>
      <c r="J4079" s="14" t="n"/>
      <c r="K4079" s="53" t="inlineStr"/>
      <c r="L4079" s="53" t="inlineStr">
        <is>
          <t>Не определено</t>
        </is>
      </c>
      <c r="M4079" s="53" t="inlineStr"/>
      <c r="N4079" s="54" t="inlineStr"/>
      <c r="O4079" s="55" t="inlineStr"/>
      <c r="P4079" s="16" t="inlineStr">
        <is>
          <t>Требует обогащения</t>
        </is>
      </c>
      <c r="Q4079" s="16">
        <f>HYPERLINK("https://pb.nalog.ru/search.html?query=6501071902","ФНС: проверить")</f>
        <v/>
      </c>
      <c r="R4079" s="16">
        <f>HYPERLINK("https://checko.ru/search?query=3801001629","Чекко: проверить")</f>
        <v/>
      </c>
      <c r="S4079" t="n">
        <v>1</v>
      </c>
      <c r="T4079" s="35" t="inlineStr">
        <is>
          <t>4 — Не обогащён</t>
        </is>
      </c>
      <c r="U4079" s="35" t="inlineStr">
        <is>
          <t>Нет ОКВЭД/ССЧР</t>
        </is>
      </c>
      <c r="V4079" s="35" t="inlineStr">
        <is>
          <t>Не определено</t>
        </is>
      </c>
      <c r="W4079" s="35" t="inlineStr"/>
      <c r="X4079" s="35" t="inlineStr"/>
    </row>
    <row r="4080" ht="27.75" customHeight="1" s="24">
      <c r="A4080" s="13" t="n">
        <v>5000100106</v>
      </c>
      <c r="B4080" s="13" t="inlineStr">
        <is>
          <t>Областное автономное учреждение Издательский дом "Губернские ведомости"</t>
        </is>
      </c>
      <c r="C4080" s="13" t="n">
        <v>6501071902</v>
      </c>
      <c r="D4080" s="13" t="inlineStr">
        <is>
          <t>6501071902</t>
        </is>
      </c>
      <c r="E4080" s="13" t="inlineStr">
        <is>
          <t>ЮЛ РФ</t>
        </is>
      </c>
      <c r="F4080" s="13" t="n"/>
      <c r="G4080" s="14" t="n"/>
      <c r="H4080" s="14" t="n"/>
      <c r="I4080" s="14" t="n"/>
      <c r="J4080" s="14" t="n"/>
      <c r="K4080" s="53" t="inlineStr"/>
      <c r="L4080" s="53" t="inlineStr">
        <is>
          <t>Не определено</t>
        </is>
      </c>
      <c r="M4080" s="53" t="inlineStr"/>
      <c r="N4080" s="54" t="inlineStr"/>
      <c r="O4080" s="55" t="inlineStr"/>
      <c r="P4080" s="16" t="inlineStr">
        <is>
          <t>Требует обогащения</t>
        </is>
      </c>
      <c r="Q4080" s="16">
        <f>HYPERLINK("https://pb.nalog.ru/search.html?query=6501071902","ФНС: проверить")</f>
        <v/>
      </c>
      <c r="R4080" s="16">
        <f>HYPERLINK("https://checko.ru/search?query=3801001629","Чекко: проверить")</f>
        <v/>
      </c>
      <c r="S4080" t="n">
        <v>0</v>
      </c>
      <c r="T4080" s="35" t="inlineStr">
        <is>
          <t>4 — Не обогащён</t>
        </is>
      </c>
      <c r="U4080" s="35" t="inlineStr">
        <is>
          <t>Нет ОКВЭД/ССЧР</t>
        </is>
      </c>
      <c r="V4080" s="35" t="inlineStr">
        <is>
          <t>Не определено</t>
        </is>
      </c>
      <c r="W4080" s="35" t="inlineStr"/>
      <c r="X4080" s="35" t="inlineStr"/>
    </row>
    <row r="4081" ht="15" customHeight="1" s="24">
      <c r="A4081" s="13" t="n">
        <v>5000101744</v>
      </c>
      <c r="B4081" s="13" t="inlineStr">
        <is>
          <t>МКУ "УКС" ГОРОДА ЮЖНО-САХАЛИНСКА</t>
        </is>
      </c>
      <c r="C4081" s="13" t="n">
        <v>6501238975</v>
      </c>
      <c r="D4081" s="13" t="inlineStr">
        <is>
          <t>6501238975</t>
        </is>
      </c>
      <c r="E4081" s="13" t="inlineStr">
        <is>
          <t>ЮЛ РФ</t>
        </is>
      </c>
      <c r="F4081" s="13" t="n"/>
      <c r="G4081" s="14" t="n"/>
      <c r="H4081" s="14" t="n"/>
      <c r="I4081" s="14" t="n"/>
      <c r="J4081" s="14" t="n"/>
      <c r="K4081" s="53" t="inlineStr"/>
      <c r="L4081" s="53" t="inlineStr">
        <is>
          <t>Не определено</t>
        </is>
      </c>
      <c r="M4081" s="53" t="inlineStr"/>
      <c r="N4081" s="54" t="inlineStr"/>
      <c r="O4081" s="55" t="inlineStr"/>
      <c r="P4081" s="16" t="inlineStr">
        <is>
          <t>Требует обогащения</t>
        </is>
      </c>
      <c r="Q4081" s="16">
        <f>HYPERLINK("https://pb.nalog.ru/search.html?query=6501238975","ФНС: проверить")</f>
        <v/>
      </c>
      <c r="R4081" s="16">
        <f>HYPERLINK("https://checko.ru/search?query=3801001629","Чекко: проверить")</f>
        <v/>
      </c>
      <c r="S4081" t="n">
        <v>1</v>
      </c>
      <c r="T4081" s="35" t="inlineStr">
        <is>
          <t>4 — Не обогащён</t>
        </is>
      </c>
      <c r="U4081" s="35" t="inlineStr">
        <is>
          <t>Нет ОКВЭД/ССЧР</t>
        </is>
      </c>
      <c r="V4081" s="35" t="inlineStr">
        <is>
          <t>Не определено</t>
        </is>
      </c>
      <c r="W4081" s="35" t="inlineStr"/>
      <c r="X4081" s="35" t="inlineStr"/>
    </row>
    <row r="4082" ht="15" customHeight="1" s="24">
      <c r="A4082" s="13" t="n">
        <v>5000089281</v>
      </c>
      <c r="B4082" s="13" t="inlineStr">
        <is>
          <t>КГКСКОУ Школа интернат №1</t>
        </is>
      </c>
      <c r="C4082" s="13" t="n">
        <v>2536096273</v>
      </c>
      <c r="D4082" s="13" t="inlineStr">
        <is>
          <t>2536096273</t>
        </is>
      </c>
      <c r="E4082" s="13" t="inlineStr">
        <is>
          <t>ЮЛ РФ</t>
        </is>
      </c>
      <c r="F4082" s="13" t="n"/>
      <c r="G4082" s="14" t="n"/>
      <c r="H4082" s="14" t="n"/>
      <c r="I4082" s="14" t="n"/>
      <c r="J4082" s="14" t="n"/>
      <c r="K4082" s="53" t="inlineStr"/>
      <c r="L4082" s="53" t="inlineStr">
        <is>
          <t>Не определено</t>
        </is>
      </c>
      <c r="M4082" s="53" t="inlineStr"/>
      <c r="N4082" s="54" t="inlineStr"/>
      <c r="O4082" s="55" t="inlineStr"/>
      <c r="P4082" s="16" t="inlineStr">
        <is>
          <t>Требует обогащения</t>
        </is>
      </c>
      <c r="Q4082" s="16">
        <f>HYPERLINK("https://pb.nalog.ru/search.html?query=2536096273","ФНС: проверить")</f>
        <v/>
      </c>
      <c r="R4082" s="16">
        <f>HYPERLINK("https://checko.ru/search?query=3801001629","Чекко: проверить")</f>
        <v/>
      </c>
      <c r="S4082" t="n">
        <v>1</v>
      </c>
      <c r="T4082" s="35" t="inlineStr">
        <is>
          <t>4 — Не обогащён</t>
        </is>
      </c>
      <c r="U4082" s="35" t="inlineStr">
        <is>
          <t>Нет ОКВЭД/ССЧР</t>
        </is>
      </c>
      <c r="V4082" s="35" t="inlineStr">
        <is>
          <t>Не определено</t>
        </is>
      </c>
      <c r="W4082" s="35" t="inlineStr"/>
      <c r="X4082" s="35" t="inlineStr"/>
    </row>
    <row r="4083" ht="15" customHeight="1" s="24">
      <c r="A4083" s="13" t="n">
        <v>5000122882</v>
      </c>
      <c r="B4083" s="13" t="inlineStr">
        <is>
          <t>МБОУ ДОД ДШИ "Хоровая школа Подлипки"</t>
        </is>
      </c>
      <c r="C4083" s="13" t="n">
        <v>5018040902</v>
      </c>
      <c r="D4083" s="13" t="inlineStr">
        <is>
          <t>5018040902</t>
        </is>
      </c>
      <c r="E4083" s="13" t="inlineStr">
        <is>
          <t>ЮЛ РФ</t>
        </is>
      </c>
      <c r="F4083" s="13" t="n"/>
      <c r="G4083" s="14" t="n"/>
      <c r="H4083" s="14" t="n"/>
      <c r="I4083" s="14" t="n"/>
      <c r="J4083" s="14" t="n"/>
      <c r="K4083" s="53" t="inlineStr"/>
      <c r="L4083" s="53" t="inlineStr">
        <is>
          <t>Не определено</t>
        </is>
      </c>
      <c r="M4083" s="53" t="inlineStr"/>
      <c r="N4083" s="54" t="inlineStr"/>
      <c r="O4083" s="55" t="inlineStr"/>
      <c r="P4083" s="16" t="inlineStr">
        <is>
          <t>Требует обогащения</t>
        </is>
      </c>
      <c r="Q4083" s="16">
        <f>HYPERLINK("https://pb.nalog.ru/search.html?query=5018040902","ФНС: проверить")</f>
        <v/>
      </c>
      <c r="R4083" s="16">
        <f>HYPERLINK("https://checko.ru/search?query=3801001629","Чекко: проверить")</f>
        <v/>
      </c>
      <c r="S4083" t="n">
        <v>1</v>
      </c>
      <c r="T4083" s="35" t="inlineStr">
        <is>
          <t>4 — Не обогащён</t>
        </is>
      </c>
      <c r="U4083" s="35" t="inlineStr">
        <is>
          <t>Нет ОКВЭД/ССЧР</t>
        </is>
      </c>
      <c r="V4083" s="35" t="inlineStr">
        <is>
          <t>Не определено</t>
        </is>
      </c>
      <c r="W4083" s="35" t="inlineStr"/>
      <c r="X4083" s="35" t="inlineStr"/>
    </row>
    <row r="4084" ht="41.25" customHeight="1" s="24">
      <c r="A4084" s="13" t="n">
        <v>5000100127</v>
      </c>
      <c r="B4084" s="13" t="inlineStr">
        <is>
          <t>ГКУ "Дирекция по реализации Федеральной программы социально-экономического развития Курильских остро</t>
        </is>
      </c>
      <c r="C4084" s="13" t="n">
        <v>6501153778</v>
      </c>
      <c r="D4084" s="13" t="inlineStr">
        <is>
          <t>6501153778</t>
        </is>
      </c>
      <c r="E4084" s="13" t="inlineStr">
        <is>
          <t>ЮЛ РФ</t>
        </is>
      </c>
      <c r="F4084" s="13" t="n"/>
      <c r="G4084" s="14" t="n"/>
      <c r="H4084" s="14" t="n"/>
      <c r="I4084" s="14" t="n"/>
      <c r="J4084" s="14" t="n"/>
      <c r="K4084" s="53" t="inlineStr"/>
      <c r="L4084" s="53" t="inlineStr">
        <is>
          <t>Не определено</t>
        </is>
      </c>
      <c r="M4084" s="53" t="inlineStr"/>
      <c r="N4084" s="54" t="inlineStr"/>
      <c r="O4084" s="55" t="inlineStr"/>
      <c r="P4084" s="16" t="inlineStr">
        <is>
          <t>Требует обогащения</t>
        </is>
      </c>
      <c r="Q4084" s="16">
        <f>HYPERLINK("https://pb.nalog.ru/search.html?query=6501153778","ФНС: проверить")</f>
        <v/>
      </c>
      <c r="R4084" s="16">
        <f>HYPERLINK("https://checko.ru/search?query=3801001629","Чекко: проверить")</f>
        <v/>
      </c>
      <c r="S4084" t="n">
        <v>1</v>
      </c>
      <c r="T4084" s="35" t="inlineStr">
        <is>
          <t>4 — Не обогащён</t>
        </is>
      </c>
      <c r="U4084" s="35" t="inlineStr">
        <is>
          <t>Нет ОКВЭД/ССЧР</t>
        </is>
      </c>
      <c r="V4084" s="35" t="inlineStr">
        <is>
          <t>Не определено</t>
        </is>
      </c>
      <c r="W4084" s="35" t="inlineStr"/>
      <c r="X4084" s="35" t="inlineStr"/>
    </row>
    <row r="4085" ht="15" customHeight="1" s="24">
      <c r="A4085" s="13" t="n">
        <v>5000025706</v>
      </c>
      <c r="B4085" s="13" t="inlineStr">
        <is>
          <t>МОУ "Школа №3 г.Черемхово"</t>
        </is>
      </c>
      <c r="C4085" s="13" t="n">
        <v>3820001335</v>
      </c>
      <c r="D4085" s="13" t="inlineStr">
        <is>
          <t>3820001335</t>
        </is>
      </c>
      <c r="E4085" s="13" t="inlineStr">
        <is>
          <t>ЮЛ РФ</t>
        </is>
      </c>
      <c r="F4085" s="13" t="n"/>
      <c r="G4085" s="14" t="n"/>
      <c r="H4085" s="14" t="n"/>
      <c r="I4085" s="14" t="n"/>
      <c r="J4085" s="14" t="n"/>
      <c r="K4085" s="53" t="inlineStr"/>
      <c r="L4085" s="53" t="inlineStr">
        <is>
          <t>Не определено</t>
        </is>
      </c>
      <c r="M4085" s="53" t="inlineStr"/>
      <c r="N4085" s="54" t="inlineStr"/>
      <c r="O4085" s="55" t="inlineStr"/>
      <c r="P4085" s="16" t="inlineStr">
        <is>
          <t>Требует обогащения</t>
        </is>
      </c>
      <c r="Q4085" s="16">
        <f>HYPERLINK("https://pb.nalog.ru/search.html?query=3820001335","ФНС: проверить")</f>
        <v/>
      </c>
      <c r="R4085" s="16">
        <f>HYPERLINK("https://checko.ru/search?query=3801001629","Чекко: проверить")</f>
        <v/>
      </c>
      <c r="S4085" t="n">
        <v>1</v>
      </c>
      <c r="T4085" s="35" t="inlineStr">
        <is>
          <t>4 — Не обогащён</t>
        </is>
      </c>
      <c r="U4085" s="35" t="inlineStr">
        <is>
          <t>Нет ОКВЭД/ССЧР</t>
        </is>
      </c>
      <c r="V4085" s="35" t="inlineStr">
        <is>
          <t>Не определено</t>
        </is>
      </c>
      <c r="W4085" s="35" t="inlineStr"/>
      <c r="X4085" s="35" t="inlineStr"/>
    </row>
    <row r="4086" ht="15" customHeight="1" s="24">
      <c r="A4086" s="13" t="n">
        <v>5000098315</v>
      </c>
      <c r="B4086" s="13" t="inlineStr">
        <is>
          <t>КГКУСО "Дальнереченский СРЦН "Надежда"</t>
        </is>
      </c>
      <c r="C4086" s="13" t="n">
        <v>2506008671</v>
      </c>
      <c r="D4086" s="13" t="inlineStr">
        <is>
          <t>2506008671</t>
        </is>
      </c>
      <c r="E4086" s="13" t="inlineStr">
        <is>
          <t>ЮЛ РФ</t>
        </is>
      </c>
      <c r="F4086" s="13" t="n"/>
      <c r="G4086" s="14" t="n"/>
      <c r="H4086" s="14" t="n"/>
      <c r="I4086" s="14" t="n"/>
      <c r="J4086" s="14" t="n"/>
      <c r="K4086" s="53" t="inlineStr"/>
      <c r="L4086" s="53" t="inlineStr">
        <is>
          <t>Не определено</t>
        </is>
      </c>
      <c r="M4086" s="53" t="inlineStr"/>
      <c r="N4086" s="54" t="inlineStr"/>
      <c r="O4086" s="55" t="inlineStr"/>
      <c r="P4086" s="16" t="inlineStr">
        <is>
          <t>Требует обогащения</t>
        </is>
      </c>
      <c r="Q4086" s="16">
        <f>HYPERLINK("https://pb.nalog.ru/search.html?query=2506008671","ФНС: проверить")</f>
        <v/>
      </c>
      <c r="R4086" s="16">
        <f>HYPERLINK("https://checko.ru/search?query=3801001629","Чекко: проверить")</f>
        <v/>
      </c>
      <c r="S4086" t="n">
        <v>1</v>
      </c>
      <c r="T4086" s="35" t="inlineStr">
        <is>
          <t>4 — Не обогащён</t>
        </is>
      </c>
      <c r="U4086" s="35" t="inlineStr">
        <is>
          <t>Нет ОКВЭД/ССЧР</t>
        </is>
      </c>
      <c r="V4086" s="35" t="inlineStr">
        <is>
          <t>Не определено</t>
        </is>
      </c>
      <c r="W4086" s="35" t="inlineStr"/>
      <c r="X4086" s="35" t="inlineStr"/>
    </row>
    <row r="4087" ht="41.25" customHeight="1" s="24">
      <c r="A4087" s="13" t="n">
        <v>5000098318</v>
      </c>
      <c r="B4087" s="13" t="inlineStr">
        <is>
          <t>ГУСО "Лесозаводский социально-реабилитационный центр для несовершеннолетних "Жемчужинка"</t>
        </is>
      </c>
      <c r="C4087" s="13" t="n">
        <v>2507006701</v>
      </c>
      <c r="D4087" s="13" t="inlineStr">
        <is>
          <t>2507006701</t>
        </is>
      </c>
      <c r="E4087" s="13" t="inlineStr">
        <is>
          <t>ЮЛ РФ</t>
        </is>
      </c>
      <c r="F4087" s="13" t="n"/>
      <c r="G4087" s="14" t="n"/>
      <c r="H4087" s="14" t="n"/>
      <c r="I4087" s="14" t="n"/>
      <c r="J4087" s="14" t="n"/>
      <c r="K4087" s="53" t="inlineStr"/>
      <c r="L4087" s="53" t="inlineStr">
        <is>
          <t>Не определено</t>
        </is>
      </c>
      <c r="M4087" s="53" t="inlineStr"/>
      <c r="N4087" s="54" t="inlineStr"/>
      <c r="O4087" s="55" t="inlineStr"/>
      <c r="P4087" s="16" t="inlineStr">
        <is>
          <t>Требует обогащения</t>
        </is>
      </c>
      <c r="Q4087" s="16">
        <f>HYPERLINK("https://pb.nalog.ru/search.html?query=2507006701","ФНС: проверить")</f>
        <v/>
      </c>
      <c r="R4087" s="16">
        <f>HYPERLINK("https://checko.ru/search?query=3801001629","Чекко: проверить")</f>
        <v/>
      </c>
      <c r="S4087" t="n">
        <v>1</v>
      </c>
      <c r="T4087" s="35" t="inlineStr">
        <is>
          <t>4 — Не обогащён</t>
        </is>
      </c>
      <c r="U4087" s="35" t="inlineStr">
        <is>
          <t>Нет ОКВЭД/ССЧР</t>
        </is>
      </c>
      <c r="V4087" s="35" t="inlineStr">
        <is>
          <t>Не определено</t>
        </is>
      </c>
      <c r="W4087" s="35" t="inlineStr"/>
      <c r="X4087" s="35" t="inlineStr"/>
    </row>
    <row r="4088" ht="15" customHeight="1" s="24">
      <c r="A4088" s="13" t="n">
        <v>5000074575</v>
      </c>
      <c r="B4088" s="13" t="inlineStr">
        <is>
          <t>МБУ СШОР "Металлист"</t>
        </is>
      </c>
      <c r="C4088" s="13" t="n">
        <v>5018050837</v>
      </c>
      <c r="D4088" s="13" t="inlineStr">
        <is>
          <t>5018050837</t>
        </is>
      </c>
      <c r="E4088" s="13" t="inlineStr">
        <is>
          <t>ЮЛ РФ</t>
        </is>
      </c>
      <c r="F4088" s="13" t="n"/>
      <c r="G4088" s="14" t="n"/>
      <c r="H4088" s="14" t="n"/>
      <c r="I4088" s="14" t="n"/>
      <c r="J4088" s="14" t="n"/>
      <c r="K4088" s="53" t="inlineStr"/>
      <c r="L4088" s="53" t="inlineStr">
        <is>
          <t>Не определено</t>
        </is>
      </c>
      <c r="M4088" s="53" t="inlineStr"/>
      <c r="N4088" s="54" t="inlineStr"/>
      <c r="O4088" s="55" t="inlineStr"/>
      <c r="P4088" s="16" t="inlineStr">
        <is>
          <t>Требует обогащения</t>
        </is>
      </c>
      <c r="Q4088" s="16">
        <f>HYPERLINK("https://pb.nalog.ru/search.html?query=5018050837","ФНС: проверить")</f>
        <v/>
      </c>
      <c r="R4088" s="16">
        <f>HYPERLINK("https://checko.ru/search?query=3801001629","Чекко: проверить")</f>
        <v/>
      </c>
      <c r="S4088" t="n">
        <v>1</v>
      </c>
      <c r="T4088" s="35" t="inlineStr">
        <is>
          <t>4 — Не обогащён</t>
        </is>
      </c>
      <c r="U4088" s="35" t="inlineStr">
        <is>
          <t>Нет ОКВЭД/ССЧР</t>
        </is>
      </c>
      <c r="V4088" s="35" t="inlineStr">
        <is>
          <t>Не определено</t>
        </is>
      </c>
      <c r="W4088" s="35" t="inlineStr"/>
      <c r="X4088" s="35" t="inlineStr"/>
    </row>
    <row r="4089" ht="15" customHeight="1" s="24">
      <c r="A4089" s="13" t="n">
        <v>5000098261</v>
      </c>
      <c r="B4089" s="13" t="inlineStr">
        <is>
          <t>Приморский политехнический колледж</t>
        </is>
      </c>
      <c r="C4089" s="13" t="n">
        <v>2538032035</v>
      </c>
      <c r="D4089" s="13" t="inlineStr">
        <is>
          <t>2538032035</t>
        </is>
      </c>
      <c r="E4089" s="13" t="inlineStr">
        <is>
          <t>ЮЛ РФ</t>
        </is>
      </c>
      <c r="F4089" s="13" t="n"/>
      <c r="G4089" s="14" t="n"/>
      <c r="H4089" s="14" t="n"/>
      <c r="I4089" s="14" t="n"/>
      <c r="J4089" s="14" t="n"/>
      <c r="K4089" s="53" t="inlineStr"/>
      <c r="L4089" s="53" t="inlineStr">
        <is>
          <t>Не определено</t>
        </is>
      </c>
      <c r="M4089" s="53" t="inlineStr"/>
      <c r="N4089" s="54" t="inlineStr"/>
      <c r="O4089" s="55" t="inlineStr"/>
      <c r="P4089" s="16" t="inlineStr">
        <is>
          <t>Требует обогащения</t>
        </is>
      </c>
      <c r="Q4089" s="16">
        <f>HYPERLINK("https://pb.nalog.ru/search.html?query=2538032035","ФНС: проверить")</f>
        <v/>
      </c>
      <c r="R4089" s="16">
        <f>HYPERLINK("https://checko.ru/search?query=3801001629","Чекко: проверить")</f>
        <v/>
      </c>
      <c r="S4089" t="n">
        <v>1</v>
      </c>
      <c r="T4089" s="35" t="inlineStr">
        <is>
          <t>4 — Не обогащён</t>
        </is>
      </c>
      <c r="U4089" s="35" t="inlineStr">
        <is>
          <t>Нет ОКВЭД/ССЧР</t>
        </is>
      </c>
      <c r="V4089" s="35" t="inlineStr">
        <is>
          <t>Не определено</t>
        </is>
      </c>
      <c r="W4089" s="35" t="inlineStr"/>
      <c r="X4089" s="35" t="inlineStr"/>
    </row>
    <row r="4090" ht="27.75" customHeight="1" s="24">
      <c r="A4090" s="13" t="n">
        <v>5000098232</v>
      </c>
      <c r="B4090" s="13" t="inlineStr">
        <is>
          <t>ГАУЗ "Приморский краевой медицинский информационно-аналитический центр"</t>
        </is>
      </c>
      <c r="C4090" s="13" t="n">
        <v>2536028160</v>
      </c>
      <c r="D4090" s="13" t="inlineStr">
        <is>
          <t>2536028160</t>
        </is>
      </c>
      <c r="E4090" s="13" t="inlineStr">
        <is>
          <t>ЮЛ РФ</t>
        </is>
      </c>
      <c r="F4090" s="13" t="n"/>
      <c r="G4090" s="14" t="n"/>
      <c r="H4090" s="14" t="n"/>
      <c r="I4090" s="14" t="n"/>
      <c r="J4090" s="14" t="n"/>
      <c r="K4090" s="53" t="inlineStr"/>
      <c r="L4090" s="53" t="inlineStr">
        <is>
          <t>Не определено</t>
        </is>
      </c>
      <c r="M4090" s="53" t="inlineStr"/>
      <c r="N4090" s="54" t="inlineStr"/>
      <c r="O4090" s="55" t="inlineStr"/>
      <c r="P4090" s="16" t="inlineStr">
        <is>
          <t>Требует обогащения</t>
        </is>
      </c>
      <c r="Q4090" s="16">
        <f>HYPERLINK("https://pb.nalog.ru/search.html?query=2536028160","ФНС: проверить")</f>
        <v/>
      </c>
      <c r="R4090" s="16">
        <f>HYPERLINK("https://checko.ru/search?query=3801001629","Чекко: проверить")</f>
        <v/>
      </c>
      <c r="S4090" t="n">
        <v>1</v>
      </c>
      <c r="T4090" s="35" t="inlineStr">
        <is>
          <t>4 — Не обогащён</t>
        </is>
      </c>
      <c r="U4090" s="35" t="inlineStr">
        <is>
          <t>Нет ОКВЭД/ССЧР</t>
        </is>
      </c>
      <c r="V4090" s="35" t="inlineStr">
        <is>
          <t>Не определено</t>
        </is>
      </c>
      <c r="W4090" s="35" t="inlineStr"/>
      <c r="X4090" s="35" t="inlineStr"/>
    </row>
    <row r="4091" ht="27.75" customHeight="1" s="24">
      <c r="A4091" s="13" t="n">
        <v>5000107369</v>
      </c>
      <c r="B4091" s="13" t="inlineStr">
        <is>
          <t>ГОУ СПО "Сахалинский техникум отраслевых технологий и сервиса"</t>
        </is>
      </c>
      <c r="C4091" s="13" t="n">
        <v>6509019301</v>
      </c>
      <c r="D4091" s="13" t="inlineStr">
        <is>
          <t>6509019301</t>
        </is>
      </c>
      <c r="E4091" s="13" t="inlineStr">
        <is>
          <t>ЮЛ РФ</t>
        </is>
      </c>
      <c r="F4091" s="13" t="n"/>
      <c r="G4091" s="14" t="n"/>
      <c r="H4091" s="14" t="n"/>
      <c r="I4091" s="14" t="n"/>
      <c r="J4091" s="14" t="n"/>
      <c r="K4091" s="53" t="inlineStr"/>
      <c r="L4091" s="53" t="inlineStr">
        <is>
          <t>Не определено</t>
        </is>
      </c>
      <c r="M4091" s="53" t="inlineStr"/>
      <c r="N4091" s="54" t="inlineStr"/>
      <c r="O4091" s="55" t="inlineStr"/>
      <c r="P4091" s="16" t="inlineStr">
        <is>
          <t>Требует обогащения</t>
        </is>
      </c>
      <c r="Q4091" s="16">
        <f>HYPERLINK("https://pb.nalog.ru/search.html?query=6509019301","ФНС: проверить")</f>
        <v/>
      </c>
      <c r="R4091" s="16">
        <f>HYPERLINK("https://checko.ru/search?query=3801001629","Чекко: проверить")</f>
        <v/>
      </c>
      <c r="S4091" t="n">
        <v>1</v>
      </c>
      <c r="T4091" s="35" t="inlineStr">
        <is>
          <t>4 — Не обогащён</t>
        </is>
      </c>
      <c r="U4091" s="35" t="inlineStr">
        <is>
          <t>Нет ОКВЭД/ССЧР</t>
        </is>
      </c>
      <c r="V4091" s="35" t="inlineStr">
        <is>
          <t>Не определено</t>
        </is>
      </c>
      <c r="W4091" s="35" t="inlineStr"/>
      <c r="X4091" s="35" t="inlineStr"/>
    </row>
    <row r="4092" ht="15" customHeight="1" s="24">
      <c r="A4092" s="13" t="n">
        <v>5000107355</v>
      </c>
      <c r="B4092" s="13" t="inlineStr">
        <is>
          <t>ГБУ санаторий-профилакторий "Лесное озеро"</t>
        </is>
      </c>
      <c r="C4092" s="13" t="n">
        <v>6504024185</v>
      </c>
      <c r="D4092" s="13" t="inlineStr">
        <is>
          <t>6504024185</t>
        </is>
      </c>
      <c r="E4092" s="13" t="inlineStr">
        <is>
          <t>ЮЛ РФ</t>
        </is>
      </c>
      <c r="F4092" s="13" t="n"/>
      <c r="G4092" s="14" t="n"/>
      <c r="H4092" s="14" t="n"/>
      <c r="I4092" s="14" t="n"/>
      <c r="J4092" s="14" t="n"/>
      <c r="K4092" s="53" t="inlineStr"/>
      <c r="L4092" s="53" t="inlineStr">
        <is>
          <t>Не определено</t>
        </is>
      </c>
      <c r="M4092" s="53" t="inlineStr"/>
      <c r="N4092" s="54" t="inlineStr"/>
      <c r="O4092" s="55" t="inlineStr"/>
      <c r="P4092" s="16" t="inlineStr">
        <is>
          <t>Требует обогащения</t>
        </is>
      </c>
      <c r="Q4092" s="16">
        <f>HYPERLINK("https://pb.nalog.ru/search.html?query=6504024185","ФНС: проверить")</f>
        <v/>
      </c>
      <c r="R4092" s="16">
        <f>HYPERLINK("https://checko.ru/search?query=3801001629","Чекко: проверить")</f>
        <v/>
      </c>
      <c r="S4092" t="n">
        <v>1</v>
      </c>
      <c r="T4092" s="35" t="inlineStr">
        <is>
          <t>4 — Не обогащён</t>
        </is>
      </c>
      <c r="U4092" s="35" t="inlineStr">
        <is>
          <t>Нет ОКВЭД/ССЧР</t>
        </is>
      </c>
      <c r="V4092" s="35" t="inlineStr">
        <is>
          <t>Не определено</t>
        </is>
      </c>
      <c r="W4092" s="35" t="inlineStr"/>
      <c r="X4092" s="35" t="inlineStr"/>
    </row>
    <row r="4093" ht="27.75" customHeight="1" s="24">
      <c r="A4093" s="13" t="n">
        <v>5000098191</v>
      </c>
      <c r="B4093" s="13" t="inlineStr">
        <is>
          <t>КГБУ "Октябрьская ветеринарная станция по борьбе с болезнями животных"</t>
        </is>
      </c>
      <c r="C4093" s="13" t="n">
        <v>2522002959</v>
      </c>
      <c r="D4093" s="13" t="inlineStr">
        <is>
          <t>2522002959</t>
        </is>
      </c>
      <c r="E4093" s="13" t="inlineStr">
        <is>
          <t>ЮЛ РФ</t>
        </is>
      </c>
      <c r="F4093" s="13" t="n"/>
      <c r="G4093" s="14" t="n"/>
      <c r="H4093" s="14" t="n"/>
      <c r="I4093" s="14" t="n"/>
      <c r="J4093" s="14" t="n"/>
      <c r="K4093" s="53" t="inlineStr"/>
      <c r="L4093" s="53" t="inlineStr">
        <is>
          <t>Не определено</t>
        </is>
      </c>
      <c r="M4093" s="53" t="inlineStr"/>
      <c r="N4093" s="54" t="inlineStr"/>
      <c r="O4093" s="55" t="inlineStr"/>
      <c r="P4093" s="16" t="inlineStr">
        <is>
          <t>Требует обогащения</t>
        </is>
      </c>
      <c r="Q4093" s="16">
        <f>HYPERLINK("https://pb.nalog.ru/search.html?query=2522002959","ФНС: проверить")</f>
        <v/>
      </c>
      <c r="R4093" s="16">
        <f>HYPERLINK("https://checko.ru/search?query=3801001629","Чекко: проверить")</f>
        <v/>
      </c>
      <c r="S4093" t="n">
        <v>1</v>
      </c>
      <c r="T4093" s="35" t="inlineStr">
        <is>
          <t>4 — Не обогащён</t>
        </is>
      </c>
      <c r="U4093" s="35" t="inlineStr">
        <is>
          <t>Нет ОКВЭД/ССЧР</t>
        </is>
      </c>
      <c r="V4093" s="35" t="inlineStr">
        <is>
          <t>Не определено</t>
        </is>
      </c>
      <c r="W4093" s="35" t="inlineStr"/>
      <c r="X4093" s="35" t="inlineStr"/>
    </row>
    <row r="4094" ht="27.75" customHeight="1" s="24">
      <c r="A4094" s="13" t="n">
        <v>5000117098</v>
      </c>
      <c r="B4094" s="13" t="inlineStr">
        <is>
          <t>Комитет по управлению имуществом администрации МО "Холмский городской округ"</t>
        </is>
      </c>
      <c r="C4094" s="13" t="n">
        <v>6509002636</v>
      </c>
      <c r="D4094" s="13" t="inlineStr">
        <is>
          <t>6509002636</t>
        </is>
      </c>
      <c r="E4094" s="13" t="inlineStr">
        <is>
          <t>ЮЛ РФ</t>
        </is>
      </c>
      <c r="F4094" s="13" t="n"/>
      <c r="G4094" s="14" t="n"/>
      <c r="H4094" s="14" t="n"/>
      <c r="I4094" s="14" t="n"/>
      <c r="J4094" s="14" t="n"/>
      <c r="K4094" s="53" t="inlineStr"/>
      <c r="L4094" s="53" t="inlineStr">
        <is>
          <t>Не определено</t>
        </is>
      </c>
      <c r="M4094" s="53" t="inlineStr"/>
      <c r="N4094" s="54" t="inlineStr"/>
      <c r="O4094" s="55" t="inlineStr"/>
      <c r="P4094" s="16" t="inlineStr">
        <is>
          <t>Требует обогащения</t>
        </is>
      </c>
      <c r="Q4094" s="16">
        <f>HYPERLINK("https://pb.nalog.ru/search.html?query=6509002636","ФНС: проверить")</f>
        <v/>
      </c>
      <c r="R4094" s="16">
        <f>HYPERLINK("https://checko.ru/search?query=3801001629","Чекко: проверить")</f>
        <v/>
      </c>
      <c r="S4094" t="n">
        <v>1</v>
      </c>
      <c r="T4094" s="35" t="inlineStr">
        <is>
          <t>4 — Не обогащён</t>
        </is>
      </c>
      <c r="U4094" s="35" t="inlineStr">
        <is>
          <t>Нет ОКВЭД/ССЧР</t>
        </is>
      </c>
      <c r="V4094" s="35" t="inlineStr">
        <is>
          <t>Не определено</t>
        </is>
      </c>
      <c r="W4094" s="35" t="inlineStr"/>
      <c r="X4094" s="35" t="inlineStr"/>
    </row>
    <row r="4095" ht="27.75" customHeight="1" s="24">
      <c r="A4095" s="13" t="n">
        <v>5000117098</v>
      </c>
      <c r="B4095" s="13" t="inlineStr">
        <is>
          <t>Комитет по управлению имуществом администрации МО "Холмский городской округ"</t>
        </is>
      </c>
      <c r="C4095" s="13" t="n">
        <v>6509002636</v>
      </c>
      <c r="D4095" s="13" t="inlineStr">
        <is>
          <t>6509002636</t>
        </is>
      </c>
      <c r="E4095" s="13" t="inlineStr">
        <is>
          <t>ЮЛ РФ</t>
        </is>
      </c>
      <c r="F4095" s="13" t="n"/>
      <c r="G4095" s="14" t="n"/>
      <c r="H4095" s="14" t="n"/>
      <c r="I4095" s="14" t="n"/>
      <c r="J4095" s="14" t="n"/>
      <c r="K4095" s="53" t="inlineStr"/>
      <c r="L4095" s="53" t="inlineStr">
        <is>
          <t>Не определено</t>
        </is>
      </c>
      <c r="M4095" s="53" t="inlineStr"/>
      <c r="N4095" s="54" t="inlineStr"/>
      <c r="O4095" s="55" t="inlineStr"/>
      <c r="P4095" s="16" t="inlineStr">
        <is>
          <t>Требует обогащения</t>
        </is>
      </c>
      <c r="Q4095" s="16">
        <f>HYPERLINK("https://pb.nalog.ru/search.html?query=6509002636","ФНС: проверить")</f>
        <v/>
      </c>
      <c r="R4095" s="16">
        <f>HYPERLINK("https://checko.ru/search?query=3801001629","Чекко: проверить")</f>
        <v/>
      </c>
      <c r="S4095" t="n">
        <v>0</v>
      </c>
      <c r="T4095" s="35" t="inlineStr">
        <is>
          <t>4 — Не обогащён</t>
        </is>
      </c>
      <c r="U4095" s="35" t="inlineStr">
        <is>
          <t>Нет ОКВЭД/ССЧР</t>
        </is>
      </c>
      <c r="V4095" s="35" t="inlineStr">
        <is>
          <t>Не определено</t>
        </is>
      </c>
      <c r="W4095" s="35" t="inlineStr"/>
      <c r="X4095" s="35" t="inlineStr"/>
    </row>
    <row r="4096" ht="41.25" customHeight="1" s="24">
      <c r="A4096" s="13" t="n">
        <v>5000098175</v>
      </c>
      <c r="B4096" s="13" t="inlineStr">
        <is>
          <t>КРАЕВОЕ ГОСУДАРСТВЕННОЕ БЮДЖЕТНОЕ УЧРЕЖДЕНИЕ ЗДРАВООХРАНЕНИЯ "АНУЧИНСКАЯ ЦЕНТРАЛЬНАЯ РАЙОННАЯ БОЛЬНИЦА"</t>
        </is>
      </c>
      <c r="C4096" s="13" t="n">
        <v>2513000930</v>
      </c>
      <c r="D4096" s="13" t="inlineStr">
        <is>
          <t>2513000930</t>
        </is>
      </c>
      <c r="E4096" s="13" t="inlineStr">
        <is>
          <t>ЮЛ РФ</t>
        </is>
      </c>
      <c r="F4096" s="13" t="n"/>
      <c r="G4096" s="14" t="n"/>
      <c r="H4096" s="14" t="n"/>
      <c r="I4096" s="14" t="n"/>
      <c r="J4096" s="14" t="n"/>
      <c r="K4096" s="53" t="inlineStr"/>
      <c r="L4096" s="53" t="inlineStr">
        <is>
          <t>Не определено</t>
        </is>
      </c>
      <c r="M4096" s="53" t="inlineStr"/>
      <c r="N4096" s="54" t="inlineStr"/>
      <c r="O4096" s="55" t="inlineStr"/>
      <c r="P4096" s="16" t="inlineStr">
        <is>
          <t>Требует обогащения</t>
        </is>
      </c>
      <c r="Q4096" s="16">
        <f>HYPERLINK("https://pb.nalog.ru/search.html?query=2513000930","ФНС: проверить")</f>
        <v/>
      </c>
      <c r="R4096" s="16">
        <f>HYPERLINK("https://checko.ru/search?query=3801001629","Чекко: проверить")</f>
        <v/>
      </c>
      <c r="S4096" t="n">
        <v>1</v>
      </c>
      <c r="T4096" s="35" t="inlineStr">
        <is>
          <t>4 — Не обогащён</t>
        </is>
      </c>
      <c r="U4096" s="35" t="inlineStr">
        <is>
          <t>Нет ОКВЭД/ССЧР</t>
        </is>
      </c>
      <c r="V4096" s="35" t="inlineStr">
        <is>
          <t>Не определено</t>
        </is>
      </c>
      <c r="W4096" s="35" t="inlineStr"/>
      <c r="X4096" s="35" t="inlineStr"/>
    </row>
    <row r="4097" ht="27.75" customHeight="1" s="24">
      <c r="A4097" s="13" t="n">
        <v>5000089293</v>
      </c>
      <c r="B4097" s="13" t="inlineStr">
        <is>
          <t>КГКУ «Центр содействия семейному устройству г. Дальнереченска»</t>
        </is>
      </c>
      <c r="C4097" s="13" t="n">
        <v>2506007332</v>
      </c>
      <c r="D4097" s="13" t="inlineStr">
        <is>
          <t>2506007332</t>
        </is>
      </c>
      <c r="E4097" s="13" t="inlineStr">
        <is>
          <t>ЮЛ РФ</t>
        </is>
      </c>
      <c r="F4097" s="13" t="n"/>
      <c r="G4097" s="14" t="n"/>
      <c r="H4097" s="14" t="n"/>
      <c r="I4097" s="14" t="n"/>
      <c r="J4097" s="14" t="n"/>
      <c r="K4097" s="53" t="inlineStr"/>
      <c r="L4097" s="53" t="inlineStr">
        <is>
          <t>Не определено</t>
        </is>
      </c>
      <c r="M4097" s="53" t="inlineStr"/>
      <c r="N4097" s="54" t="inlineStr"/>
      <c r="O4097" s="55" t="inlineStr"/>
      <c r="P4097" s="16" t="inlineStr">
        <is>
          <t>Требует обогащения</t>
        </is>
      </c>
      <c r="Q4097" s="16">
        <f>HYPERLINK("https://pb.nalog.ru/search.html?query=2506007332","ФНС: проверить")</f>
        <v/>
      </c>
      <c r="R4097" s="16">
        <f>HYPERLINK("https://checko.ru/search?query=3801001629","Чекко: проверить")</f>
        <v/>
      </c>
      <c r="S4097" t="n">
        <v>1</v>
      </c>
      <c r="T4097" s="35" t="inlineStr">
        <is>
          <t>4 — Не обогащён</t>
        </is>
      </c>
      <c r="U4097" s="35" t="inlineStr">
        <is>
          <t>Нет ОКВЭД/ССЧР</t>
        </is>
      </c>
      <c r="V4097" s="35" t="inlineStr">
        <is>
          <t>Не определено</t>
        </is>
      </c>
      <c r="W4097" s="35" t="inlineStr"/>
      <c r="X4097" s="35" t="inlineStr"/>
    </row>
    <row r="4098" ht="27.75" customHeight="1" s="24">
      <c r="A4098" s="13" t="n">
        <v>5000085023</v>
      </c>
      <c r="B4098" s="13" t="inlineStr">
        <is>
          <t>ОбКУ "ПОРОНАЙСКИЙ ЦЕНТР ЗАНЯТОСТИ НАСЕЛЕНИЯ"</t>
        </is>
      </c>
      <c r="C4098" s="13" t="n">
        <v>6507009996</v>
      </c>
      <c r="D4098" s="13" t="inlineStr">
        <is>
          <t>6507009996</t>
        </is>
      </c>
      <c r="E4098" s="13" t="inlineStr">
        <is>
          <t>ЮЛ РФ</t>
        </is>
      </c>
      <c r="F4098" s="13" t="n"/>
      <c r="G4098" s="14" t="n"/>
      <c r="H4098" s="14" t="n"/>
      <c r="I4098" s="14" t="n"/>
      <c r="J4098" s="14" t="n"/>
      <c r="K4098" s="53" t="inlineStr"/>
      <c r="L4098" s="53" t="inlineStr">
        <is>
          <t>Не определено</t>
        </is>
      </c>
      <c r="M4098" s="53" t="inlineStr"/>
      <c r="N4098" s="54" t="inlineStr"/>
      <c r="O4098" s="55" t="inlineStr"/>
      <c r="P4098" s="16" t="inlineStr">
        <is>
          <t>Требует обогащения</t>
        </is>
      </c>
      <c r="Q4098" s="16">
        <f>HYPERLINK("https://pb.nalog.ru/search.html?query=6507009996","ФНС: проверить")</f>
        <v/>
      </c>
      <c r="R4098" s="16">
        <f>HYPERLINK("https://checko.ru/search?query=3801001629","Чекко: проверить")</f>
        <v/>
      </c>
      <c r="S4098" t="n">
        <v>1</v>
      </c>
      <c r="T4098" s="35" t="inlineStr">
        <is>
          <t>4 — Не обогащён</t>
        </is>
      </c>
      <c r="U4098" s="35" t="inlineStr">
        <is>
          <t>Нет ОКВЭД/ССЧР</t>
        </is>
      </c>
      <c r="V4098" s="35" t="inlineStr">
        <is>
          <t>Не определено</t>
        </is>
      </c>
      <c r="W4098" s="35" t="inlineStr"/>
      <c r="X4098" s="35" t="inlineStr"/>
    </row>
    <row r="4099" ht="41.25" customHeight="1" s="24">
      <c r="A4099" s="13" t="n">
        <v>5000098171</v>
      </c>
      <c r="B4099" s="13" t="inlineStr">
        <is>
          <t>Краевое государственное бюджетное учреждение здравоохранения «Пластунская районная больница»</t>
        </is>
      </c>
      <c r="C4099" s="13" t="n">
        <v>2528005554</v>
      </c>
      <c r="D4099" s="13" t="inlineStr">
        <is>
          <t>2528005554</t>
        </is>
      </c>
      <c r="E4099" s="13" t="inlineStr">
        <is>
          <t>ЮЛ РФ</t>
        </is>
      </c>
      <c r="F4099" s="13" t="n"/>
      <c r="G4099" s="14" t="n"/>
      <c r="H4099" s="14" t="n"/>
      <c r="I4099" s="14" t="n"/>
      <c r="J4099" s="14" t="n"/>
      <c r="K4099" s="53" t="inlineStr"/>
      <c r="L4099" s="53" t="inlineStr">
        <is>
          <t>Не определено</t>
        </is>
      </c>
      <c r="M4099" s="53" t="inlineStr"/>
      <c r="N4099" s="54" t="inlineStr"/>
      <c r="O4099" s="55" t="inlineStr"/>
      <c r="P4099" s="16" t="inlineStr">
        <is>
          <t>Требует обогащения</t>
        </is>
      </c>
      <c r="Q4099" s="16">
        <f>HYPERLINK("https://pb.nalog.ru/search.html?query=2528005554","ФНС: проверить")</f>
        <v/>
      </c>
      <c r="R4099" s="16">
        <f>HYPERLINK("https://checko.ru/search?query=3801001629","Чекко: проверить")</f>
        <v/>
      </c>
      <c r="S4099" t="n">
        <v>1</v>
      </c>
      <c r="T4099" s="35" t="inlineStr">
        <is>
          <t>4 — Не обогащён</t>
        </is>
      </c>
      <c r="U4099" s="35" t="inlineStr">
        <is>
          <t>Нет ОКВЭД/ССЧР</t>
        </is>
      </c>
      <c r="V4099" s="35" t="inlineStr">
        <is>
          <t>Не определено</t>
        </is>
      </c>
      <c r="W4099" s="35" t="inlineStr"/>
      <c r="X4099" s="35" t="inlineStr"/>
    </row>
    <row r="4100" ht="15" customHeight="1" s="24">
      <c r="A4100" s="13" t="n">
        <v>5000098346</v>
      </c>
      <c r="B4100" s="13" t="inlineStr">
        <is>
          <t>МУЗ "Городская стоматологическая поликлиника"</t>
        </is>
      </c>
      <c r="C4100" s="13" t="n">
        <v>2511007779</v>
      </c>
      <c r="D4100" s="13" t="inlineStr">
        <is>
          <t>2511007779</t>
        </is>
      </c>
      <c r="E4100" s="13" t="inlineStr">
        <is>
          <t>ЮЛ РФ</t>
        </is>
      </c>
      <c r="F4100" s="13" t="n"/>
      <c r="G4100" s="14" t="n"/>
      <c r="H4100" s="14" t="n"/>
      <c r="I4100" s="14" t="n"/>
      <c r="J4100" s="14" t="n"/>
      <c r="K4100" s="53" t="inlineStr"/>
      <c r="L4100" s="53" t="inlineStr">
        <is>
          <t>Не определено</t>
        </is>
      </c>
      <c r="M4100" s="53" t="inlineStr"/>
      <c r="N4100" s="54" t="inlineStr"/>
      <c r="O4100" s="55" t="inlineStr"/>
      <c r="P4100" s="16" t="inlineStr">
        <is>
          <t>Требует обогащения</t>
        </is>
      </c>
      <c r="Q4100" s="16">
        <f>HYPERLINK("https://pb.nalog.ru/search.html?query=2511007779","ФНС: проверить")</f>
        <v/>
      </c>
      <c r="R4100" s="16">
        <f>HYPERLINK("https://checko.ru/search?query=3801001629","Чекко: проверить")</f>
        <v/>
      </c>
      <c r="S4100" t="n">
        <v>1</v>
      </c>
      <c r="T4100" s="35" t="inlineStr">
        <is>
          <t>4 — Не обогащён</t>
        </is>
      </c>
      <c r="U4100" s="35" t="inlineStr">
        <is>
          <t>Нет ОКВЭД/ССЧР</t>
        </is>
      </c>
      <c r="V4100" s="35" t="inlineStr">
        <is>
          <t>Не определено</t>
        </is>
      </c>
      <c r="W4100" s="35" t="inlineStr"/>
      <c r="X4100" s="35" t="inlineStr"/>
    </row>
    <row r="4101" ht="15" customHeight="1" s="24">
      <c r="A4101" s="13" t="n">
        <v>5000089289</v>
      </c>
      <c r="B4101" s="13" t="inlineStr">
        <is>
          <t>КГОКУ "Детский дом" г. Артема</t>
        </is>
      </c>
      <c r="C4101" s="13" t="n">
        <v>2502015460</v>
      </c>
      <c r="D4101" s="13" t="inlineStr">
        <is>
          <t>2502015460</t>
        </is>
      </c>
      <c r="E4101" s="13" t="inlineStr">
        <is>
          <t>ЮЛ РФ</t>
        </is>
      </c>
      <c r="F4101" s="13" t="n"/>
      <c r="G4101" s="14" t="n"/>
      <c r="H4101" s="14" t="n"/>
      <c r="I4101" s="14" t="n"/>
      <c r="J4101" s="14" t="n"/>
      <c r="K4101" s="53" t="inlineStr"/>
      <c r="L4101" s="53" t="inlineStr">
        <is>
          <t>Не определено</t>
        </is>
      </c>
      <c r="M4101" s="53" t="inlineStr"/>
      <c r="N4101" s="54" t="inlineStr"/>
      <c r="O4101" s="55" t="inlineStr"/>
      <c r="P4101" s="16" t="inlineStr">
        <is>
          <t>Требует обогащения</t>
        </is>
      </c>
      <c r="Q4101" s="16">
        <f>HYPERLINK("https://pb.nalog.ru/search.html?query=2502015460","ФНС: проверить")</f>
        <v/>
      </c>
      <c r="R4101" s="16">
        <f>HYPERLINK("https://checko.ru/search?query=3801001629","Чекко: проверить")</f>
        <v/>
      </c>
      <c r="S4101" t="n">
        <v>1</v>
      </c>
      <c r="T4101" s="35" t="inlineStr">
        <is>
          <t>4 — Не обогащён</t>
        </is>
      </c>
      <c r="U4101" s="35" t="inlineStr">
        <is>
          <t>Нет ОКВЭД/ССЧР</t>
        </is>
      </c>
      <c r="V4101" s="35" t="inlineStr">
        <is>
          <t>Не определено</t>
        </is>
      </c>
      <c r="W4101" s="35" t="inlineStr"/>
      <c r="X4101" s="35" t="inlineStr"/>
    </row>
    <row r="4102" ht="27.75" customHeight="1" s="24">
      <c r="A4102" s="13" t="n">
        <v>5000107359</v>
      </c>
      <c r="B4102" s="13" t="inlineStr">
        <is>
          <t>ГКОУ специальная (коррекционная) школа интернат 2</t>
        </is>
      </c>
      <c r="C4102" s="13" t="n">
        <v>6514000200</v>
      </c>
      <c r="D4102" s="13" t="inlineStr">
        <is>
          <t>6514000200</t>
        </is>
      </c>
      <c r="E4102" s="13" t="inlineStr">
        <is>
          <t>ЮЛ РФ</t>
        </is>
      </c>
      <c r="F4102" s="13" t="n"/>
      <c r="G4102" s="14" t="n"/>
      <c r="H4102" s="14" t="n"/>
      <c r="I4102" s="14" t="n"/>
      <c r="J4102" s="14" t="n"/>
      <c r="K4102" s="53" t="inlineStr"/>
      <c r="L4102" s="53" t="inlineStr">
        <is>
          <t>Не определено</t>
        </is>
      </c>
      <c r="M4102" s="53" t="inlineStr"/>
      <c r="N4102" s="54" t="inlineStr"/>
      <c r="O4102" s="55" t="inlineStr"/>
      <c r="P4102" s="16" t="inlineStr">
        <is>
          <t>Требует обогащения</t>
        </is>
      </c>
      <c r="Q4102" s="16">
        <f>HYPERLINK("https://pb.nalog.ru/search.html?query=6514000200","ФНС: проверить")</f>
        <v/>
      </c>
      <c r="R4102" s="16">
        <f>HYPERLINK("https://checko.ru/search?query=3801001629","Чекко: проверить")</f>
        <v/>
      </c>
      <c r="S4102" t="n">
        <v>1</v>
      </c>
      <c r="T4102" s="35" t="inlineStr">
        <is>
          <t>4 — Не обогащён</t>
        </is>
      </c>
      <c r="U4102" s="35" t="inlineStr">
        <is>
          <t>Нет ОКВЭД/ССЧР</t>
        </is>
      </c>
      <c r="V4102" s="35" t="inlineStr">
        <is>
          <t>Не определено</t>
        </is>
      </c>
      <c r="W4102" s="35" t="inlineStr"/>
      <c r="X4102" s="35" t="inlineStr"/>
    </row>
    <row r="4103" ht="15" customHeight="1" s="24">
      <c r="A4103" s="13" t="n">
        <v>5000122932</v>
      </c>
      <c r="B4103" s="13" t="inlineStr">
        <is>
          <t>МБУ  Гимназия №11</t>
        </is>
      </c>
      <c r="C4103" s="13" t="n">
        <v>5018045019</v>
      </c>
      <c r="D4103" s="13" t="inlineStr">
        <is>
          <t>5018045019</t>
        </is>
      </c>
      <c r="E4103" s="13" t="inlineStr">
        <is>
          <t>ЮЛ РФ</t>
        </is>
      </c>
      <c r="F4103" s="13" t="n"/>
      <c r="G4103" s="14" t="n"/>
      <c r="H4103" s="14" t="n"/>
      <c r="I4103" s="14" t="n"/>
      <c r="J4103" s="14" t="n"/>
      <c r="K4103" s="53" t="inlineStr"/>
      <c r="L4103" s="53" t="inlineStr">
        <is>
          <t>Не определено</t>
        </is>
      </c>
      <c r="M4103" s="53" t="inlineStr"/>
      <c r="N4103" s="54" t="inlineStr"/>
      <c r="O4103" s="55" t="inlineStr"/>
      <c r="P4103" s="16" t="inlineStr">
        <is>
          <t>Требует обогащения</t>
        </is>
      </c>
      <c r="Q4103" s="16">
        <f>HYPERLINK("https://pb.nalog.ru/search.html?query=5018045019","ФНС: проверить")</f>
        <v/>
      </c>
      <c r="R4103" s="16">
        <f>HYPERLINK("https://checko.ru/search?query=3801001629","Чекко: проверить")</f>
        <v/>
      </c>
      <c r="S4103" t="n">
        <v>1</v>
      </c>
      <c r="T4103" s="35" t="inlineStr">
        <is>
          <t>4 — Не обогащён</t>
        </is>
      </c>
      <c r="U4103" s="35" t="inlineStr">
        <is>
          <t>Нет ОКВЭД/ССЧР</t>
        </is>
      </c>
      <c r="V4103" s="35" t="inlineStr">
        <is>
          <t>Не определено</t>
        </is>
      </c>
      <c r="W4103" s="35" t="inlineStr"/>
      <c r="X4103" s="35" t="inlineStr"/>
    </row>
    <row r="4104" ht="27.75" customHeight="1" s="24">
      <c r="A4104" s="13" t="n">
        <v>5000098172</v>
      </c>
      <c r="B4104" s="13" t="inlineStr">
        <is>
          <t>МУЗ "Ханкайская центральная районная больница" Ханкайский муниципальный район</t>
        </is>
      </c>
      <c r="C4104" s="13" t="n">
        <v>2530001229</v>
      </c>
      <c r="D4104" s="13" t="inlineStr">
        <is>
          <t>2530001229</t>
        </is>
      </c>
      <c r="E4104" s="13" t="inlineStr">
        <is>
          <t>ЮЛ РФ</t>
        </is>
      </c>
      <c r="F4104" s="13" t="n"/>
      <c r="G4104" s="14" t="n"/>
      <c r="H4104" s="14" t="n"/>
      <c r="I4104" s="14" t="n"/>
      <c r="J4104" s="14" t="n"/>
      <c r="K4104" s="53" t="inlineStr"/>
      <c r="L4104" s="53" t="inlineStr">
        <is>
          <t>Не определено</t>
        </is>
      </c>
      <c r="M4104" s="53" t="inlineStr"/>
      <c r="N4104" s="54" t="inlineStr"/>
      <c r="O4104" s="55" t="inlineStr"/>
      <c r="P4104" s="16" t="inlineStr">
        <is>
          <t>Требует обогащения</t>
        </is>
      </c>
      <c r="Q4104" s="16">
        <f>HYPERLINK("https://pb.nalog.ru/search.html?query=2530001229","ФНС: проверить")</f>
        <v/>
      </c>
      <c r="R4104" s="16">
        <f>HYPERLINK("https://checko.ru/search?query=3801001629","Чекко: проверить")</f>
        <v/>
      </c>
      <c r="S4104" t="n">
        <v>1</v>
      </c>
      <c r="T4104" s="35" t="inlineStr">
        <is>
          <t>4 — Не обогащён</t>
        </is>
      </c>
      <c r="U4104" s="35" t="inlineStr">
        <is>
          <t>Нет ОКВЭД/ССЧР</t>
        </is>
      </c>
      <c r="V4104" s="35" t="inlineStr">
        <is>
          <t>Не определено</t>
        </is>
      </c>
      <c r="W4104" s="35" t="inlineStr"/>
      <c r="X4104" s="35" t="inlineStr"/>
    </row>
    <row r="4105" ht="41.25" customHeight="1" s="24">
      <c r="A4105" s="13" t="n">
        <v>5000116327</v>
      </c>
      <c r="B4105" s="13" t="inlineStr">
        <is>
          <t>МУ Администрация МО Дмитриевское сельское поселение Радищевского района Ульяновской области</t>
        </is>
      </c>
      <c r="C4105" s="13" t="n">
        <v>6508004207</v>
      </c>
      <c r="D4105" s="13" t="inlineStr">
        <is>
          <t>6508004207</t>
        </is>
      </c>
      <c r="E4105" s="13" t="inlineStr">
        <is>
          <t>ЮЛ РФ</t>
        </is>
      </c>
      <c r="F4105" s="13" t="n"/>
      <c r="G4105" s="14" t="n"/>
      <c r="H4105" s="14" t="n"/>
      <c r="I4105" s="14" t="n"/>
      <c r="J4105" s="14" t="n"/>
      <c r="K4105" s="53" t="inlineStr"/>
      <c r="L4105" s="53" t="inlineStr">
        <is>
          <t>Не определено</t>
        </is>
      </c>
      <c r="M4105" s="53" t="inlineStr"/>
      <c r="N4105" s="54" t="inlineStr"/>
      <c r="O4105" s="55" t="inlineStr"/>
      <c r="P4105" s="16" t="inlineStr">
        <is>
          <t>Требует обогащения</t>
        </is>
      </c>
      <c r="Q4105" s="16">
        <f>HYPERLINK("https://pb.nalog.ru/search.html?query=6508004207","ФНС: проверить")</f>
        <v/>
      </c>
      <c r="R4105" s="16">
        <f>HYPERLINK("https://checko.ru/search?query=3801001629","Чекко: проверить")</f>
        <v/>
      </c>
      <c r="S4105" t="n">
        <v>1</v>
      </c>
      <c r="T4105" s="35" t="inlineStr">
        <is>
          <t>4 — Не обогащён</t>
        </is>
      </c>
      <c r="U4105" s="35" t="inlineStr">
        <is>
          <t>Нет ОКВЭД/ССЧР</t>
        </is>
      </c>
      <c r="V4105" s="35" t="inlineStr">
        <is>
          <t>Не определено</t>
        </is>
      </c>
      <c r="W4105" s="35" t="inlineStr"/>
      <c r="X4105" s="35" t="inlineStr"/>
    </row>
    <row r="4106" ht="41.25" customHeight="1" s="24">
      <c r="A4106" s="13" t="n">
        <v>5000116327</v>
      </c>
      <c r="B4106" s="13" t="inlineStr">
        <is>
          <t>МУ Администрация МО Дмитриевское сельское поселение Радищевского района Ульяновской области</t>
        </is>
      </c>
      <c r="C4106" s="13" t="n">
        <v>6508004207</v>
      </c>
      <c r="D4106" s="13" t="inlineStr">
        <is>
          <t>6508004207</t>
        </is>
      </c>
      <c r="E4106" s="13" t="inlineStr">
        <is>
          <t>ЮЛ РФ</t>
        </is>
      </c>
      <c r="F4106" s="13" t="n"/>
      <c r="G4106" s="14" t="n"/>
      <c r="H4106" s="14" t="n"/>
      <c r="I4106" s="14" t="n"/>
      <c r="J4106" s="14" t="n"/>
      <c r="K4106" s="53" t="inlineStr"/>
      <c r="L4106" s="53" t="inlineStr">
        <is>
          <t>Не определено</t>
        </is>
      </c>
      <c r="M4106" s="53" t="inlineStr"/>
      <c r="N4106" s="54" t="inlineStr"/>
      <c r="O4106" s="55" t="inlineStr"/>
      <c r="P4106" s="16" t="inlineStr">
        <is>
          <t>Требует обогащения</t>
        </is>
      </c>
      <c r="Q4106" s="16">
        <f>HYPERLINK("https://pb.nalog.ru/search.html?query=6508004207","ФНС: проверить")</f>
        <v/>
      </c>
      <c r="R4106" s="16">
        <f>HYPERLINK("https://checko.ru/search?query=3801001629","Чекко: проверить")</f>
        <v/>
      </c>
      <c r="S4106" t="n">
        <v>0</v>
      </c>
      <c r="T4106" s="35" t="inlineStr">
        <is>
          <t>4 — Не обогащён</t>
        </is>
      </c>
      <c r="U4106" s="35" t="inlineStr">
        <is>
          <t>Нет ОКВЭД/ССЧР</t>
        </is>
      </c>
      <c r="V4106" s="35" t="inlineStr">
        <is>
          <t>Не определено</t>
        </is>
      </c>
      <c r="W4106" s="35" t="inlineStr"/>
      <c r="X4106" s="35" t="inlineStr"/>
    </row>
    <row r="4107" ht="15" customHeight="1" s="24">
      <c r="A4107" s="13" t="n">
        <v>5000098181</v>
      </c>
      <c r="B4107" s="13" t="inlineStr">
        <is>
          <t>Сельскохозяйственный технологический колледж</t>
        </is>
      </c>
      <c r="C4107" s="13" t="n">
        <v>2516001058</v>
      </c>
      <c r="D4107" s="13" t="inlineStr">
        <is>
          <t>2516001058</t>
        </is>
      </c>
      <c r="E4107" s="13" t="inlineStr">
        <is>
          <t>ЮЛ РФ</t>
        </is>
      </c>
      <c r="F4107" s="13" t="n"/>
      <c r="G4107" s="14" t="n"/>
      <c r="H4107" s="14" t="n"/>
      <c r="I4107" s="14" t="n"/>
      <c r="J4107" s="14" t="n"/>
      <c r="K4107" s="53" t="inlineStr"/>
      <c r="L4107" s="53" t="inlineStr">
        <is>
          <t>Не определено</t>
        </is>
      </c>
      <c r="M4107" s="53" t="inlineStr"/>
      <c r="N4107" s="54" t="inlineStr"/>
      <c r="O4107" s="55" t="inlineStr"/>
      <c r="P4107" s="16" t="inlineStr">
        <is>
          <t>Требует обогащения</t>
        </is>
      </c>
      <c r="Q4107" s="16">
        <f>HYPERLINK("https://pb.nalog.ru/search.html?query=2516001058","ФНС: проверить")</f>
        <v/>
      </c>
      <c r="R4107" s="16">
        <f>HYPERLINK("https://checko.ru/search?query=3801001629","Чекко: проверить")</f>
        <v/>
      </c>
      <c r="S4107" t="n">
        <v>1</v>
      </c>
      <c r="T4107" s="35" t="inlineStr">
        <is>
          <t>4 — Не обогащён</t>
        </is>
      </c>
      <c r="U4107" s="35" t="inlineStr">
        <is>
          <t>Нет ОКВЭД/ССЧР</t>
        </is>
      </c>
      <c r="V4107" s="35" t="inlineStr">
        <is>
          <t>Не определено</t>
        </is>
      </c>
      <c r="W4107" s="35" t="inlineStr"/>
      <c r="X4107" s="35" t="inlineStr"/>
    </row>
    <row r="4108" ht="15" customHeight="1" s="24">
      <c r="A4108" s="13" t="n">
        <v>5000035969</v>
      </c>
      <c r="B4108" s="13" t="inlineStr">
        <is>
          <t>МБУ "Редакция газеты "Новая газета"</t>
        </is>
      </c>
      <c r="C4108" s="13" t="n">
        <v>6512002467</v>
      </c>
      <c r="D4108" s="13" t="inlineStr">
        <is>
          <t>6512002467</t>
        </is>
      </c>
      <c r="E4108" s="13" t="inlineStr">
        <is>
          <t>ЮЛ РФ</t>
        </is>
      </c>
      <c r="F4108" s="13" t="n"/>
      <c r="G4108" s="14" t="n"/>
      <c r="H4108" s="14" t="n"/>
      <c r="I4108" s="14" t="n"/>
      <c r="J4108" s="14" t="n"/>
      <c r="K4108" s="53" t="inlineStr"/>
      <c r="L4108" s="53" t="inlineStr">
        <is>
          <t>Не определено</t>
        </is>
      </c>
      <c r="M4108" s="53" t="inlineStr"/>
      <c r="N4108" s="54" t="inlineStr"/>
      <c r="O4108" s="55" t="inlineStr"/>
      <c r="P4108" s="16" t="inlineStr">
        <is>
          <t>Требует обогащения</t>
        </is>
      </c>
      <c r="Q4108" s="16">
        <f>HYPERLINK("https://pb.nalog.ru/search.html?query=6512002467","ФНС: проверить")</f>
        <v/>
      </c>
      <c r="R4108" s="16">
        <f>HYPERLINK("https://checko.ru/search?query=3801001629","Чекко: проверить")</f>
        <v/>
      </c>
      <c r="S4108" t="n">
        <v>1</v>
      </c>
      <c r="T4108" s="35" t="inlineStr">
        <is>
          <t>4 — Не обогащён</t>
        </is>
      </c>
      <c r="U4108" s="35" t="inlineStr">
        <is>
          <t>Нет ОКВЭД/ССЧР</t>
        </is>
      </c>
      <c r="V4108" s="35" t="inlineStr">
        <is>
          <t>Не определено</t>
        </is>
      </c>
      <c r="W4108" s="35" t="inlineStr"/>
      <c r="X4108" s="35" t="inlineStr"/>
    </row>
    <row r="4109" ht="15" customHeight="1" s="24">
      <c r="A4109" s="13" t="n">
        <v>5000032391</v>
      </c>
      <c r="B4109" s="13" t="inlineStr">
        <is>
          <t>МБОУ СОШ с. Буюклы</t>
        </is>
      </c>
      <c r="C4109" s="13" t="n">
        <v>6514000232</v>
      </c>
      <c r="D4109" s="13" t="inlineStr">
        <is>
          <t>6514000232</t>
        </is>
      </c>
      <c r="E4109" s="13" t="inlineStr">
        <is>
          <t>ЮЛ РФ</t>
        </is>
      </c>
      <c r="F4109" s="13" t="n"/>
      <c r="G4109" s="14" t="n"/>
      <c r="H4109" s="14" t="n"/>
      <c r="I4109" s="14" t="n"/>
      <c r="J4109" s="14" t="n"/>
      <c r="K4109" s="53" t="inlineStr"/>
      <c r="L4109" s="53" t="inlineStr">
        <is>
          <t>Не определено</t>
        </is>
      </c>
      <c r="M4109" s="53" t="inlineStr"/>
      <c r="N4109" s="54" t="inlineStr"/>
      <c r="O4109" s="55" t="inlineStr"/>
      <c r="P4109" s="16" t="inlineStr">
        <is>
          <t>Требует обогащения</t>
        </is>
      </c>
      <c r="Q4109" s="16">
        <f>HYPERLINK("https://pb.nalog.ru/search.html?query=6514000232","ФНС: проверить")</f>
        <v/>
      </c>
      <c r="R4109" s="16">
        <f>HYPERLINK("https://checko.ru/search?query=3801001629","Чекко: проверить")</f>
        <v/>
      </c>
      <c r="S4109" t="n">
        <v>1</v>
      </c>
      <c r="T4109" s="35" t="inlineStr">
        <is>
          <t>4 — Не обогащён</t>
        </is>
      </c>
      <c r="U4109" s="35" t="inlineStr">
        <is>
          <t>Нет ОКВЭД/ССЧР</t>
        </is>
      </c>
      <c r="V4109" s="35" t="inlineStr">
        <is>
          <t>Не определено</t>
        </is>
      </c>
      <c r="W4109" s="35" t="inlineStr"/>
      <c r="X4109" s="35" t="inlineStr"/>
    </row>
    <row r="4110" ht="15" customHeight="1" s="24">
      <c r="A4110" s="13" t="n">
        <v>5000097272</v>
      </c>
      <c r="B4110" s="13" t="inlineStr">
        <is>
          <t>МУ «Спортивно-оздоровительный центр»</t>
        </is>
      </c>
      <c r="C4110" s="13" t="n">
        <v>3818013830</v>
      </c>
      <c r="D4110" s="13" t="inlineStr">
        <is>
          <t>3818013830</t>
        </is>
      </c>
      <c r="E4110" s="13" t="inlineStr">
        <is>
          <t>ЮЛ РФ</t>
        </is>
      </c>
      <c r="F4110" s="13" t="n"/>
      <c r="G4110" s="14" t="n"/>
      <c r="H4110" s="14" t="n"/>
      <c r="I4110" s="14" t="n"/>
      <c r="J4110" s="14" t="n"/>
      <c r="K4110" s="53" t="inlineStr"/>
      <c r="L4110" s="53" t="inlineStr">
        <is>
          <t>Не определено</t>
        </is>
      </c>
      <c r="M4110" s="53" t="inlineStr"/>
      <c r="N4110" s="54" t="inlineStr"/>
      <c r="O4110" s="55" t="inlineStr"/>
      <c r="P4110" s="16" t="inlineStr">
        <is>
          <t>Требует обогащения</t>
        </is>
      </c>
      <c r="Q4110" s="16">
        <f>HYPERLINK("https://pb.nalog.ru/search.html?query=3818013830","ФНС: проверить")</f>
        <v/>
      </c>
      <c r="R4110" s="16">
        <f>HYPERLINK("https://checko.ru/search?query=3801001629","Чекко: проверить")</f>
        <v/>
      </c>
      <c r="S4110" t="n">
        <v>1</v>
      </c>
      <c r="T4110" s="35" t="inlineStr">
        <is>
          <t>4 — Не обогащён</t>
        </is>
      </c>
      <c r="U4110" s="35" t="inlineStr">
        <is>
          <t>Нет ОКВЭД/ССЧР</t>
        </is>
      </c>
      <c r="V4110" s="35" t="inlineStr">
        <is>
          <t>Не определено</t>
        </is>
      </c>
      <c r="W4110" s="35" t="inlineStr"/>
      <c r="X4110" s="35" t="inlineStr"/>
    </row>
    <row r="4111" ht="41.25" customHeight="1" s="24">
      <c r="A4111" s="13" t="n">
        <v>5000107574</v>
      </c>
      <c r="B4111" s="13" t="inlineStr">
        <is>
          <t>ГБОУ ДОД "Областная детско-юношеская спортивная школа летних видов спорта им. заслуженного тренера Р</t>
        </is>
      </c>
      <c r="C4111" s="13" t="n">
        <v>6501067303</v>
      </c>
      <c r="D4111" s="13" t="inlineStr">
        <is>
          <t>6501067303</t>
        </is>
      </c>
      <c r="E4111" s="13" t="inlineStr">
        <is>
          <t>ЮЛ РФ</t>
        </is>
      </c>
      <c r="F4111" s="13" t="n"/>
      <c r="G4111" s="14" t="n"/>
      <c r="H4111" s="14" t="n"/>
      <c r="I4111" s="14" t="n"/>
      <c r="J4111" s="14" t="n"/>
      <c r="K4111" s="53" t="inlineStr"/>
      <c r="L4111" s="53" t="inlineStr">
        <is>
          <t>Не определено</t>
        </is>
      </c>
      <c r="M4111" s="53" t="inlineStr"/>
      <c r="N4111" s="54" t="inlineStr"/>
      <c r="O4111" s="55" t="inlineStr"/>
      <c r="P4111" s="16" t="inlineStr">
        <is>
          <t>Требует обогащения</t>
        </is>
      </c>
      <c r="Q4111" s="16">
        <f>HYPERLINK("https://pb.nalog.ru/search.html?query=6501067303","ФНС: проверить")</f>
        <v/>
      </c>
      <c r="R4111" s="16">
        <f>HYPERLINK("https://checko.ru/search?query=3801001629","Чекко: проверить")</f>
        <v/>
      </c>
      <c r="S4111" t="n">
        <v>1</v>
      </c>
      <c r="T4111" s="35" t="inlineStr">
        <is>
          <t>4 — Не обогащён</t>
        </is>
      </c>
      <c r="U4111" s="35" t="inlineStr">
        <is>
          <t>Нет ОКВЭД/ССЧР</t>
        </is>
      </c>
      <c r="V4111" s="35" t="inlineStr">
        <is>
          <t>Не определено</t>
        </is>
      </c>
      <c r="W4111" s="35" t="inlineStr"/>
      <c r="X4111" s="35" t="inlineStr"/>
    </row>
    <row r="4112" ht="15" customHeight="1" s="24">
      <c r="A4112" s="13" t="n">
        <v>5000098243</v>
      </c>
      <c r="B4112" s="13" t="inlineStr">
        <is>
          <t>Наркологический диспансер краевой (ГУЗ ПКНД)</t>
        </is>
      </c>
      <c r="C4112" s="13" t="n">
        <v>2540011219</v>
      </c>
      <c r="D4112" s="13" t="inlineStr">
        <is>
          <t>2540011219</t>
        </is>
      </c>
      <c r="E4112" s="13" t="inlineStr">
        <is>
          <t>ЮЛ РФ</t>
        </is>
      </c>
      <c r="F4112" s="13" t="n"/>
      <c r="G4112" s="14" t="n"/>
      <c r="H4112" s="14" t="n"/>
      <c r="I4112" s="14" t="n"/>
      <c r="J4112" s="14" t="n"/>
      <c r="K4112" s="53" t="inlineStr"/>
      <c r="L4112" s="53" t="inlineStr">
        <is>
          <t>Не определено</t>
        </is>
      </c>
      <c r="M4112" s="53" t="inlineStr"/>
      <c r="N4112" s="54" t="inlineStr"/>
      <c r="O4112" s="55" t="inlineStr"/>
      <c r="P4112" s="16" t="inlineStr">
        <is>
          <t>Требует обогащения</t>
        </is>
      </c>
      <c r="Q4112" s="16">
        <f>HYPERLINK("https://pb.nalog.ru/search.html?query=2540011219","ФНС: проверить")</f>
        <v/>
      </c>
      <c r="R4112" s="16">
        <f>HYPERLINK("https://checko.ru/search?query=3801001629","Чекко: проверить")</f>
        <v/>
      </c>
      <c r="S4112" t="n">
        <v>1</v>
      </c>
      <c r="T4112" s="35" t="inlineStr">
        <is>
          <t>4 — Не обогащён</t>
        </is>
      </c>
      <c r="U4112" s="35" t="inlineStr">
        <is>
          <t>Нет ОКВЭД/ССЧР</t>
        </is>
      </c>
      <c r="V4112" s="35" t="inlineStr">
        <is>
          <t>Не определено</t>
        </is>
      </c>
      <c r="W4112" s="35" t="inlineStr"/>
      <c r="X4112" s="35" t="inlineStr"/>
    </row>
    <row r="4113" ht="15" customHeight="1" s="24">
      <c r="A4113" s="13" t="n">
        <v>5000107151</v>
      </c>
      <c r="B4113" s="13" t="inlineStr">
        <is>
          <t>ОГУК "Сахалинский областной театр кукол"</t>
        </is>
      </c>
      <c r="C4113" s="13" t="n">
        <v>6501023553</v>
      </c>
      <c r="D4113" s="13" t="inlineStr">
        <is>
          <t>6501023553</t>
        </is>
      </c>
      <c r="E4113" s="13" t="inlineStr">
        <is>
          <t>ЮЛ РФ</t>
        </is>
      </c>
      <c r="F4113" s="13" t="n"/>
      <c r="G4113" s="14" t="n"/>
      <c r="H4113" s="14" t="n"/>
      <c r="I4113" s="14" t="n"/>
      <c r="J4113" s="14" t="n"/>
      <c r="K4113" s="53" t="inlineStr"/>
      <c r="L4113" s="53" t="inlineStr">
        <is>
          <t>Не определено</t>
        </is>
      </c>
      <c r="M4113" s="53" t="inlineStr"/>
      <c r="N4113" s="54" t="inlineStr"/>
      <c r="O4113" s="55" t="inlineStr"/>
      <c r="P4113" s="16" t="inlineStr">
        <is>
          <t>Требует обогащения</t>
        </is>
      </c>
      <c r="Q4113" s="16">
        <f>HYPERLINK("https://pb.nalog.ru/search.html?query=6501023553","ФНС: проверить")</f>
        <v/>
      </c>
      <c r="R4113" s="16">
        <f>HYPERLINK("https://checko.ru/search?query=3801001629","Чекко: проверить")</f>
        <v/>
      </c>
      <c r="S4113" t="n">
        <v>1</v>
      </c>
      <c r="T4113" s="35" t="inlineStr">
        <is>
          <t>4 — Не обогащён</t>
        </is>
      </c>
      <c r="U4113" s="35" t="inlineStr">
        <is>
          <t>Нет ОКВЭД/ССЧР</t>
        </is>
      </c>
      <c r="V4113" s="35" t="inlineStr">
        <is>
          <t>Не определено</t>
        </is>
      </c>
      <c r="W4113" s="35" t="inlineStr"/>
      <c r="X4113" s="35" t="inlineStr"/>
    </row>
    <row r="4114" ht="41.25" customHeight="1" s="24">
      <c r="A4114" s="13" t="n">
        <v>5000090924</v>
      </c>
      <c r="B4114" s="13" t="inlineStr">
        <is>
          <t>МКУ городского округа "Город Южно-Сахалинск" "Управление дорожного хозяйства и благоустройства" (МКУ "УДХиБ")</t>
        </is>
      </c>
      <c r="C4114" s="13" t="n">
        <v>6501294521</v>
      </c>
      <c r="D4114" s="13" t="inlineStr">
        <is>
          <t>6501294521</t>
        </is>
      </c>
      <c r="E4114" s="13" t="inlineStr">
        <is>
          <t>ЮЛ РФ</t>
        </is>
      </c>
      <c r="F4114" s="13" t="n"/>
      <c r="G4114" s="14" t="n"/>
      <c r="H4114" s="14" t="n"/>
      <c r="I4114" s="14" t="n"/>
      <c r="J4114" s="14" t="n"/>
      <c r="K4114" s="53" t="inlineStr"/>
      <c r="L4114" s="53" t="inlineStr">
        <is>
          <t>Не определено</t>
        </is>
      </c>
      <c r="M4114" s="53" t="inlineStr"/>
      <c r="N4114" s="54" t="inlineStr"/>
      <c r="O4114" s="55" t="inlineStr"/>
      <c r="P4114" s="16" t="inlineStr">
        <is>
          <t>Требует обогащения</t>
        </is>
      </c>
      <c r="Q4114" s="16">
        <f>HYPERLINK("https://pb.nalog.ru/search.html?query=6501294521","ФНС: проверить")</f>
        <v/>
      </c>
      <c r="R4114" s="16">
        <f>HYPERLINK("https://checko.ru/search?query=3801001629","Чекко: проверить")</f>
        <v/>
      </c>
      <c r="S4114" t="n">
        <v>1</v>
      </c>
      <c r="T4114" s="35" t="inlineStr">
        <is>
          <t>4 — Не обогащён</t>
        </is>
      </c>
      <c r="U4114" s="35" t="inlineStr">
        <is>
          <t>Нет ОКВЭД/ССЧР</t>
        </is>
      </c>
      <c r="V4114" s="35" t="inlineStr">
        <is>
          <t>Не определено</t>
        </is>
      </c>
      <c r="W4114" s="35" t="inlineStr"/>
      <c r="X4114" s="35" t="inlineStr"/>
    </row>
    <row r="4115" ht="15" customHeight="1" s="24">
      <c r="A4115" s="13" t="n">
        <v>5000098216</v>
      </c>
      <c r="B4115" s="13" t="inlineStr">
        <is>
          <t>ГУЗ Госпиталь для ветеранов войн</t>
        </is>
      </c>
      <c r="C4115" s="13" t="n">
        <v>2537061153</v>
      </c>
      <c r="D4115" s="13" t="inlineStr">
        <is>
          <t>2537061153</t>
        </is>
      </c>
      <c r="E4115" s="13" t="inlineStr">
        <is>
          <t>ЮЛ РФ</t>
        </is>
      </c>
      <c r="F4115" s="13" t="n"/>
      <c r="G4115" s="14" t="n"/>
      <c r="H4115" s="14" t="n"/>
      <c r="I4115" s="14" t="n"/>
      <c r="J4115" s="14" t="n"/>
      <c r="K4115" s="53" t="inlineStr"/>
      <c r="L4115" s="53" t="inlineStr">
        <is>
          <t>Не определено</t>
        </is>
      </c>
      <c r="M4115" s="53" t="inlineStr"/>
      <c r="N4115" s="54" t="inlineStr"/>
      <c r="O4115" s="55" t="inlineStr"/>
      <c r="P4115" s="16" t="inlineStr">
        <is>
          <t>Требует обогащения</t>
        </is>
      </c>
      <c r="Q4115" s="16">
        <f>HYPERLINK("https://pb.nalog.ru/search.html?query=2537061153","ФНС: проверить")</f>
        <v/>
      </c>
      <c r="R4115" s="16">
        <f>HYPERLINK("https://checko.ru/search?query=3801001629","Чекко: проверить")</f>
        <v/>
      </c>
      <c r="S4115" t="n">
        <v>1</v>
      </c>
      <c r="T4115" s="35" t="inlineStr">
        <is>
          <t>4 — Не обогащён</t>
        </is>
      </c>
      <c r="U4115" s="35" t="inlineStr">
        <is>
          <t>Нет ОКВЭД/ССЧР</t>
        </is>
      </c>
      <c r="V4115" s="35" t="inlineStr">
        <is>
          <t>Не определено</t>
        </is>
      </c>
      <c r="W4115" s="35" t="inlineStr"/>
      <c r="X4115" s="35" t="inlineStr"/>
    </row>
    <row r="4116" ht="27.75" customHeight="1" s="24">
      <c r="A4116" s="13" t="n">
        <v>5000117578</v>
      </c>
      <c r="B4116" s="13" t="inlineStr">
        <is>
          <t>Финансовое управление Северо-Курильского городского округа</t>
        </is>
      </c>
      <c r="C4116" s="13" t="n">
        <v>6515000740</v>
      </c>
      <c r="D4116" s="13" t="inlineStr">
        <is>
          <t>6515000740</t>
        </is>
      </c>
      <c r="E4116" s="13" t="inlineStr">
        <is>
          <t>ЮЛ РФ</t>
        </is>
      </c>
      <c r="F4116" s="13" t="n"/>
      <c r="G4116" s="14" t="n"/>
      <c r="H4116" s="14" t="n"/>
      <c r="I4116" s="14" t="n"/>
      <c r="J4116" s="14" t="n"/>
      <c r="K4116" s="53" t="inlineStr"/>
      <c r="L4116" s="53" t="inlineStr">
        <is>
          <t>Не определено</t>
        </is>
      </c>
      <c r="M4116" s="53" t="inlineStr"/>
      <c r="N4116" s="54" t="inlineStr"/>
      <c r="O4116" s="55" t="inlineStr"/>
      <c r="P4116" s="16" t="inlineStr">
        <is>
          <t>Требует обогащения</t>
        </is>
      </c>
      <c r="Q4116" s="16">
        <f>HYPERLINK("https://pb.nalog.ru/search.html?query=6515000740","ФНС: проверить")</f>
        <v/>
      </c>
      <c r="R4116" s="16">
        <f>HYPERLINK("https://checko.ru/search?query=3801001629","Чекко: проверить")</f>
        <v/>
      </c>
      <c r="S4116" t="n">
        <v>0</v>
      </c>
      <c r="T4116" s="35" t="inlineStr">
        <is>
          <t>4 — Не обогащён</t>
        </is>
      </c>
      <c r="U4116" s="35" t="inlineStr">
        <is>
          <t>Нет ОКВЭД/ССЧР</t>
        </is>
      </c>
      <c r="V4116" s="35" t="inlineStr">
        <is>
          <t>Не определено</t>
        </is>
      </c>
      <c r="W4116" s="35" t="inlineStr"/>
      <c r="X4116" s="35" t="inlineStr"/>
    </row>
    <row r="4117" ht="15" customHeight="1" s="24">
      <c r="A4117" s="13" t="n">
        <v>5000122881</v>
      </c>
      <c r="B4117" s="13" t="inlineStr">
        <is>
          <t>АУК ДиКЦ "Костино"</t>
        </is>
      </c>
      <c r="C4117" s="13" t="n">
        <v>5018040532</v>
      </c>
      <c r="D4117" s="13" t="inlineStr">
        <is>
          <t>5018040532</t>
        </is>
      </c>
      <c r="E4117" s="13" t="inlineStr">
        <is>
          <t>ЮЛ РФ</t>
        </is>
      </c>
      <c r="F4117" s="13" t="n"/>
      <c r="G4117" s="14" t="n"/>
      <c r="H4117" s="14" t="n"/>
      <c r="I4117" s="14" t="n"/>
      <c r="J4117" s="14" t="n"/>
      <c r="K4117" s="53" t="inlineStr"/>
      <c r="L4117" s="53" t="inlineStr">
        <is>
          <t>Не определено</t>
        </is>
      </c>
      <c r="M4117" s="53" t="inlineStr"/>
      <c r="N4117" s="54" t="inlineStr"/>
      <c r="O4117" s="55" t="inlineStr"/>
      <c r="P4117" s="16" t="inlineStr">
        <is>
          <t>Требует обогащения</t>
        </is>
      </c>
      <c r="Q4117" s="16">
        <f>HYPERLINK("https://pb.nalog.ru/search.html?query=5018040532","ФНС: проверить")</f>
        <v/>
      </c>
      <c r="R4117" s="16">
        <f>HYPERLINK("https://checko.ru/search?query=3801001629","Чекко: проверить")</f>
        <v/>
      </c>
      <c r="S4117" t="n">
        <v>1</v>
      </c>
      <c r="T4117" s="35" t="inlineStr">
        <is>
          <t>4 — Не обогащён</t>
        </is>
      </c>
      <c r="U4117" s="35" t="inlineStr">
        <is>
          <t>Нет ОКВЭД/ССЧР</t>
        </is>
      </c>
      <c r="V4117" s="35" t="inlineStr">
        <is>
          <t>Не определено</t>
        </is>
      </c>
      <c r="W4117" s="35" t="inlineStr"/>
      <c r="X4117" s="35" t="inlineStr"/>
    </row>
    <row r="4118" ht="41.25" customHeight="1" s="24">
      <c r="A4118" s="13" t="n">
        <v>5000097883</v>
      </c>
      <c r="B4118" s="13" t="inlineStr">
        <is>
          <t>КОНТРОЛЬНО-СЧЕТНАЯ ПАЛАТА МУНИЦИПАЛЬНОГО ОБРАЗОВАНИЯ "ТЫМОВСКИЙ ГОРОДСКОЙ ОКРУГ"</t>
        </is>
      </c>
      <c r="C4118" s="13" t="n">
        <v>6500007848</v>
      </c>
      <c r="D4118" s="13" t="inlineStr">
        <is>
          <t>6500007848</t>
        </is>
      </c>
      <c r="E4118" s="13" t="inlineStr">
        <is>
          <t>ЮЛ РФ</t>
        </is>
      </c>
      <c r="F4118" s="13" t="n"/>
      <c r="G4118" s="14" t="n"/>
      <c r="H4118" s="14" t="n"/>
      <c r="I4118" s="14" t="n"/>
      <c r="J4118" s="14" t="n"/>
      <c r="K4118" s="53" t="inlineStr"/>
      <c r="L4118" s="53" t="inlineStr">
        <is>
          <t>Не определено</t>
        </is>
      </c>
      <c r="M4118" s="53" t="inlineStr"/>
      <c r="N4118" s="54" t="inlineStr"/>
      <c r="O4118" s="55" t="inlineStr"/>
      <c r="P4118" s="16" t="inlineStr">
        <is>
          <t>Требует обогащения</t>
        </is>
      </c>
      <c r="Q4118" s="16">
        <f>HYPERLINK("https://pb.nalog.ru/search.html?query=6500007848","ФНС: проверить")</f>
        <v/>
      </c>
      <c r="R4118" s="16">
        <f>HYPERLINK("https://checko.ru/search?query=3801001629","Чекко: проверить")</f>
        <v/>
      </c>
      <c r="S4118" t="n">
        <v>1</v>
      </c>
      <c r="T4118" s="35" t="inlineStr">
        <is>
          <t>4 — Не обогащён</t>
        </is>
      </c>
      <c r="U4118" s="35" t="inlineStr">
        <is>
          <t>Нет ОКВЭД/ССЧР</t>
        </is>
      </c>
      <c r="V4118" s="35" t="inlineStr">
        <is>
          <t>Не определено</t>
        </is>
      </c>
      <c r="W4118" s="35" t="inlineStr"/>
      <c r="X4118" s="35" t="inlineStr"/>
    </row>
    <row r="4119" ht="41.25" customHeight="1" s="24">
      <c r="A4119" s="13" t="n">
        <v>5000098244</v>
      </c>
      <c r="B4119" s="13" t="inlineStr">
        <is>
          <t>государственное бюджетное учреждение здравоохранения "Приморская детская краевая клиническая туберкулезная больница"</t>
        </is>
      </c>
      <c r="C4119" s="13" t="n">
        <v>2539026700</v>
      </c>
      <c r="D4119" s="13" t="inlineStr">
        <is>
          <t>2539026700</t>
        </is>
      </c>
      <c r="E4119" s="13" t="inlineStr">
        <is>
          <t>ЮЛ РФ</t>
        </is>
      </c>
      <c r="F4119" s="13" t="n"/>
      <c r="G4119" s="14" t="n"/>
      <c r="H4119" s="14" t="n"/>
      <c r="I4119" s="14" t="n"/>
      <c r="J4119" s="14" t="n"/>
      <c r="K4119" s="53" t="inlineStr"/>
      <c r="L4119" s="53" t="inlineStr">
        <is>
          <t>Не определено</t>
        </is>
      </c>
      <c r="M4119" s="53" t="inlineStr"/>
      <c r="N4119" s="54" t="inlineStr"/>
      <c r="O4119" s="55" t="inlineStr"/>
      <c r="P4119" s="16" t="inlineStr">
        <is>
          <t>Требует обогащения</t>
        </is>
      </c>
      <c r="Q4119" s="16">
        <f>HYPERLINK("https://pb.nalog.ru/search.html?query=2539026700","ФНС: проверить")</f>
        <v/>
      </c>
      <c r="R4119" s="16">
        <f>HYPERLINK("https://checko.ru/search?query=3801001629","Чекко: проверить")</f>
        <v/>
      </c>
      <c r="S4119" t="n">
        <v>1</v>
      </c>
      <c r="T4119" s="35" t="inlineStr">
        <is>
          <t>4 — Не обогащён</t>
        </is>
      </c>
      <c r="U4119" s="35" t="inlineStr">
        <is>
          <t>Нет ОКВЭД/ССЧР</t>
        </is>
      </c>
      <c r="V4119" s="35" t="inlineStr">
        <is>
          <t>Не определено</t>
        </is>
      </c>
      <c r="W4119" s="35" t="inlineStr"/>
      <c r="X4119" s="35" t="inlineStr"/>
    </row>
    <row r="4120" ht="41.25" customHeight="1" s="24">
      <c r="A4120" s="13" t="n">
        <v>5000098246</v>
      </c>
      <c r="B4120" s="13" t="inlineStr">
        <is>
          <t>государственное бюджетное учреждение здравоохранения "Приморский краевой онкологический диспансер"</t>
        </is>
      </c>
      <c r="C4120" s="13" t="n">
        <v>2539021244</v>
      </c>
      <c r="D4120" s="13" t="inlineStr">
        <is>
          <t>2539021244</t>
        </is>
      </c>
      <c r="E4120" s="13" t="inlineStr">
        <is>
          <t>ЮЛ РФ</t>
        </is>
      </c>
      <c r="F4120" s="13" t="n"/>
      <c r="G4120" s="14" t="n"/>
      <c r="H4120" s="14" t="n"/>
      <c r="I4120" s="14" t="n"/>
      <c r="J4120" s="14" t="n"/>
      <c r="K4120" s="53" t="inlineStr"/>
      <c r="L4120" s="53" t="inlineStr">
        <is>
          <t>Не определено</t>
        </is>
      </c>
      <c r="M4120" s="53" t="inlineStr"/>
      <c r="N4120" s="54" t="inlineStr"/>
      <c r="O4120" s="55" t="inlineStr"/>
      <c r="P4120" s="16" t="inlineStr">
        <is>
          <t>Требует обогащения</t>
        </is>
      </c>
      <c r="Q4120" s="16">
        <f>HYPERLINK("https://pb.nalog.ru/search.html?query=2539021244","ФНС: проверить")</f>
        <v/>
      </c>
      <c r="R4120" s="16">
        <f>HYPERLINK("https://checko.ru/search?query=3801001629","Чекко: проверить")</f>
        <v/>
      </c>
      <c r="S4120" t="n">
        <v>1</v>
      </c>
      <c r="T4120" s="35" t="inlineStr">
        <is>
          <t>4 — Не обогащён</t>
        </is>
      </c>
      <c r="U4120" s="35" t="inlineStr">
        <is>
          <t>Нет ОКВЭД/ССЧР</t>
        </is>
      </c>
      <c r="V4120" s="35" t="inlineStr">
        <is>
          <t>Не определено</t>
        </is>
      </c>
      <c r="W4120" s="35" t="inlineStr"/>
      <c r="X4120" s="35" t="inlineStr"/>
    </row>
    <row r="4121" ht="41.25" customHeight="1" s="24">
      <c r="A4121" s="13" t="n">
        <v>5000098247</v>
      </c>
      <c r="B4121" s="13" t="inlineStr">
        <is>
          <t>государственное бюджетное учреждение здравоохранения "Приморский краевой перинатальный центр"</t>
        </is>
      </c>
      <c r="C4121" s="13" t="n">
        <v>2543049860</v>
      </c>
      <c r="D4121" s="13" t="inlineStr">
        <is>
          <t>2543049860</t>
        </is>
      </c>
      <c r="E4121" s="13" t="inlineStr">
        <is>
          <t>ЮЛ РФ</t>
        </is>
      </c>
      <c r="F4121" s="13" t="n"/>
      <c r="G4121" s="14" t="n"/>
      <c r="H4121" s="14" t="n"/>
      <c r="I4121" s="14" t="n"/>
      <c r="J4121" s="14" t="n"/>
      <c r="K4121" s="53" t="inlineStr"/>
      <c r="L4121" s="53" t="inlineStr">
        <is>
          <t>Не определено</t>
        </is>
      </c>
      <c r="M4121" s="53" t="inlineStr"/>
      <c r="N4121" s="54" t="inlineStr"/>
      <c r="O4121" s="55" t="inlineStr"/>
      <c r="P4121" s="16" t="inlineStr">
        <is>
          <t>Требует обогащения</t>
        </is>
      </c>
      <c r="Q4121" s="16">
        <f>HYPERLINK("https://pb.nalog.ru/search.html?query=2543049860","ФНС: проверить")</f>
        <v/>
      </c>
      <c r="R4121" s="16">
        <f>HYPERLINK("https://checko.ru/search?query=3801001629","Чекко: проверить")</f>
        <v/>
      </c>
      <c r="S4121" t="n">
        <v>1</v>
      </c>
      <c r="T4121" s="35" t="inlineStr">
        <is>
          <t>4 — Не обогащён</t>
        </is>
      </c>
      <c r="U4121" s="35" t="inlineStr">
        <is>
          <t>Нет ОКВЭД/ССЧР</t>
        </is>
      </c>
      <c r="V4121" s="35" t="inlineStr">
        <is>
          <t>Не определено</t>
        </is>
      </c>
      <c r="W4121" s="35" t="inlineStr"/>
      <c r="X4121" s="35" t="inlineStr"/>
    </row>
    <row r="4122" ht="41.25" customHeight="1" s="24">
      <c r="A4122" s="13" t="n">
        <v>5000098248</v>
      </c>
      <c r="B4122" s="13" t="inlineStr">
        <is>
          <t>государственное бюджетное учреждение здравоохранения "Приморский краевой противотуберкулезный диспансер"</t>
        </is>
      </c>
      <c r="C4122" s="13" t="n">
        <v>2539009991</v>
      </c>
      <c r="D4122" s="13" t="inlineStr">
        <is>
          <t>2539009991</t>
        </is>
      </c>
      <c r="E4122" s="13" t="inlineStr">
        <is>
          <t>ЮЛ РФ</t>
        </is>
      </c>
      <c r="F4122" s="13" t="n"/>
      <c r="G4122" s="14" t="n"/>
      <c r="H4122" s="14" t="n"/>
      <c r="I4122" s="14" t="n"/>
      <c r="J4122" s="14" t="n"/>
      <c r="K4122" s="53" t="inlineStr"/>
      <c r="L4122" s="53" t="inlineStr">
        <is>
          <t>Не определено</t>
        </is>
      </c>
      <c r="M4122" s="53" t="inlineStr"/>
      <c r="N4122" s="54" t="inlineStr"/>
      <c r="O4122" s="55" t="inlineStr"/>
      <c r="P4122" s="16" t="inlineStr">
        <is>
          <t>Требует обогащения</t>
        </is>
      </c>
      <c r="Q4122" s="16">
        <f>HYPERLINK("https://pb.nalog.ru/search.html?query=2539009991","ФНС: проверить")</f>
        <v/>
      </c>
      <c r="R4122" s="16">
        <f>HYPERLINK("https://checko.ru/search?query=3801001629","Чекко: проверить")</f>
        <v/>
      </c>
      <c r="S4122" t="n">
        <v>1</v>
      </c>
      <c r="T4122" s="35" t="inlineStr">
        <is>
          <t>4 — Не обогащён</t>
        </is>
      </c>
      <c r="U4122" s="35" t="inlineStr">
        <is>
          <t>Нет ОКВЭД/ССЧР</t>
        </is>
      </c>
      <c r="V4122" s="35" t="inlineStr">
        <is>
          <t>Не определено</t>
        </is>
      </c>
      <c r="W4122" s="35" t="inlineStr"/>
      <c r="X4122" s="35" t="inlineStr"/>
    </row>
    <row r="4123" ht="41.25" customHeight="1" s="24">
      <c r="A4123" s="13" t="n">
        <v>5000098249</v>
      </c>
      <c r="B4123" s="13" t="inlineStr">
        <is>
          <t>государственное бюджетное учреждение здравоохранения "Приморское краевое бюро судебно-медицинской экспертизы"</t>
        </is>
      </c>
      <c r="C4123" s="13" t="n">
        <v>2536024977</v>
      </c>
      <c r="D4123" s="13" t="inlineStr">
        <is>
          <t>2536024977</t>
        </is>
      </c>
      <c r="E4123" s="13" t="inlineStr">
        <is>
          <t>ЮЛ РФ</t>
        </is>
      </c>
      <c r="F4123" s="13" t="n"/>
      <c r="G4123" s="14" t="n"/>
      <c r="H4123" s="14" t="n"/>
      <c r="I4123" s="14" t="n"/>
      <c r="J4123" s="14" t="n"/>
      <c r="K4123" s="53" t="inlineStr"/>
      <c r="L4123" s="53" t="inlineStr">
        <is>
          <t>Не определено</t>
        </is>
      </c>
      <c r="M4123" s="53" t="inlineStr"/>
      <c r="N4123" s="54" t="inlineStr"/>
      <c r="O4123" s="55" t="inlineStr"/>
      <c r="P4123" s="16" t="inlineStr">
        <is>
          <t>Требует обогащения</t>
        </is>
      </c>
      <c r="Q4123" s="16">
        <f>HYPERLINK("https://pb.nalog.ru/search.html?query=2536024977","ФНС: проверить")</f>
        <v/>
      </c>
      <c r="R4123" s="16">
        <f>HYPERLINK("https://checko.ru/search?query=3801001629","Чекко: проверить")</f>
        <v/>
      </c>
      <c r="S4123" t="n">
        <v>1</v>
      </c>
      <c r="T4123" s="35" t="inlineStr">
        <is>
          <t>4 — Не обогащён</t>
        </is>
      </c>
      <c r="U4123" s="35" t="inlineStr">
        <is>
          <t>Нет ОКВЭД/ССЧР</t>
        </is>
      </c>
      <c r="V4123" s="35" t="inlineStr">
        <is>
          <t>Не определено</t>
        </is>
      </c>
      <c r="W4123" s="35" t="inlineStr"/>
      <c r="X4123" s="35" t="inlineStr"/>
    </row>
    <row r="4124" ht="27.75" customHeight="1" s="24">
      <c r="A4124" s="13" t="n">
        <v>5000098253</v>
      </c>
      <c r="B4124" s="13" t="inlineStr">
        <is>
          <t>государственное казённое учреждение "Государственный архив Приморского края"</t>
        </is>
      </c>
      <c r="C4124" s="13" t="n">
        <v>2540054678</v>
      </c>
      <c r="D4124" s="13" t="inlineStr">
        <is>
          <t>2540054678</t>
        </is>
      </c>
      <c r="E4124" s="13" t="inlineStr">
        <is>
          <t>ЮЛ РФ</t>
        </is>
      </c>
      <c r="F4124" s="13" t="n"/>
      <c r="G4124" s="14" t="n"/>
      <c r="H4124" s="14" t="n"/>
      <c r="I4124" s="14" t="n"/>
      <c r="J4124" s="14" t="n"/>
      <c r="K4124" s="53" t="inlineStr"/>
      <c r="L4124" s="53" t="inlineStr">
        <is>
          <t>Не определено</t>
        </is>
      </c>
      <c r="M4124" s="53" t="inlineStr"/>
      <c r="N4124" s="54" t="inlineStr"/>
      <c r="O4124" s="55" t="inlineStr"/>
      <c r="P4124" s="16" t="inlineStr">
        <is>
          <t>Требует обогащения</t>
        </is>
      </c>
      <c r="Q4124" s="16">
        <f>HYPERLINK("https://pb.nalog.ru/search.html?query=2540054678","ФНС: проверить")</f>
        <v/>
      </c>
      <c r="R4124" s="16">
        <f>HYPERLINK("https://checko.ru/search?query=3801001629","Чекко: проверить")</f>
        <v/>
      </c>
      <c r="S4124" t="n">
        <v>1</v>
      </c>
      <c r="T4124" s="35" t="inlineStr">
        <is>
          <t>4 — Не обогащён</t>
        </is>
      </c>
      <c r="U4124" s="35" t="inlineStr">
        <is>
          <t>Нет ОКВЭД/ССЧР</t>
        </is>
      </c>
      <c r="V4124" s="35" t="inlineStr">
        <is>
          <t>Не определено</t>
        </is>
      </c>
      <c r="W4124" s="35" t="inlineStr"/>
      <c r="X4124" s="35" t="inlineStr"/>
    </row>
    <row r="4125" ht="41.25" customHeight="1" s="24">
      <c r="A4125" s="13" t="n">
        <v>5000098254</v>
      </c>
      <c r="B4125" s="13" t="inlineStr">
        <is>
          <t>государственное казенное учреждение здравоохранения "Краевой психоневрологический дом ребенка"</t>
        </is>
      </c>
      <c r="C4125" s="13" t="n">
        <v>2537017549</v>
      </c>
      <c r="D4125" s="13" t="inlineStr">
        <is>
          <t>2537017549</t>
        </is>
      </c>
      <c r="E4125" s="13" t="inlineStr">
        <is>
          <t>ЮЛ РФ</t>
        </is>
      </c>
      <c r="F4125" s="13" t="n"/>
      <c r="G4125" s="14" t="n"/>
      <c r="H4125" s="14" t="n"/>
      <c r="I4125" s="14" t="n"/>
      <c r="J4125" s="14" t="n"/>
      <c r="K4125" s="53" t="inlineStr"/>
      <c r="L4125" s="53" t="inlineStr">
        <is>
          <t>Не определено</t>
        </is>
      </c>
      <c r="M4125" s="53" t="inlineStr"/>
      <c r="N4125" s="54" t="inlineStr"/>
      <c r="O4125" s="55" t="inlineStr"/>
      <c r="P4125" s="16" t="inlineStr">
        <is>
          <t>Требует обогащения</t>
        </is>
      </c>
      <c r="Q4125" s="16">
        <f>HYPERLINK("https://pb.nalog.ru/search.html?query=2537017549","ФНС: проверить")</f>
        <v/>
      </c>
      <c r="R4125" s="16">
        <f>HYPERLINK("https://checko.ru/search?query=3801001629","Чекко: проверить")</f>
        <v/>
      </c>
      <c r="S4125" t="n">
        <v>1</v>
      </c>
      <c r="T4125" s="35" t="inlineStr">
        <is>
          <t>4 — Не обогащён</t>
        </is>
      </c>
      <c r="U4125" s="35" t="inlineStr">
        <is>
          <t>Нет ОКВЭД/ССЧР</t>
        </is>
      </c>
      <c r="V4125" s="35" t="inlineStr">
        <is>
          <t>Не определено</t>
        </is>
      </c>
      <c r="W4125" s="35" t="inlineStr"/>
      <c r="X4125" s="35" t="inlineStr"/>
    </row>
    <row r="4126" ht="41.25" customHeight="1" s="24">
      <c r="A4126" s="13" t="n">
        <v>5000098238</v>
      </c>
      <c r="B4126" s="13" t="inlineStr">
        <is>
          <t>государственное бюджетное учреждение здравоохранения "Краевая детская клиническая больница № 2"</t>
        </is>
      </c>
      <c r="C4126" s="13" t="n">
        <v>2537017323</v>
      </c>
      <c r="D4126" s="13" t="inlineStr">
        <is>
          <t>2537017323</t>
        </is>
      </c>
      <c r="E4126" s="13" t="inlineStr">
        <is>
          <t>ЮЛ РФ</t>
        </is>
      </c>
      <c r="F4126" s="13" t="n"/>
      <c r="G4126" s="14" t="n"/>
      <c r="H4126" s="14" t="n"/>
      <c r="I4126" s="14" t="n"/>
      <c r="J4126" s="14" t="n"/>
      <c r="K4126" s="53" t="inlineStr"/>
      <c r="L4126" s="53" t="inlineStr">
        <is>
          <t>Не определено</t>
        </is>
      </c>
      <c r="M4126" s="53" t="inlineStr"/>
      <c r="N4126" s="54" t="inlineStr"/>
      <c r="O4126" s="55" t="inlineStr"/>
      <c r="P4126" s="16" t="inlineStr">
        <is>
          <t>Требует обогащения</t>
        </is>
      </c>
      <c r="Q4126" s="16">
        <f>HYPERLINK("https://pb.nalog.ru/search.html?query=2537017323","ФНС: проверить")</f>
        <v/>
      </c>
      <c r="R4126" s="16">
        <f>HYPERLINK("https://checko.ru/search?query=3801001629","Чекко: проверить")</f>
        <v/>
      </c>
      <c r="S4126" t="n">
        <v>1</v>
      </c>
      <c r="T4126" s="35" t="inlineStr">
        <is>
          <t>4 — Не обогащён</t>
        </is>
      </c>
      <c r="U4126" s="35" t="inlineStr">
        <is>
          <t>Нет ОКВЭД/ССЧР</t>
        </is>
      </c>
      <c r="V4126" s="35" t="inlineStr">
        <is>
          <t>Не определено</t>
        </is>
      </c>
      <c r="W4126" s="35" t="inlineStr"/>
      <c r="X4126" s="35" t="inlineStr"/>
    </row>
    <row r="4127" ht="41.25" customHeight="1" s="24">
      <c r="A4127" s="13" t="n">
        <v>5000098241</v>
      </c>
      <c r="B4127" s="13" t="inlineStr">
        <is>
          <t>государственное бюджетное учреждение здравоохранения "Краевая клиническая психиатрическая больница"</t>
        </is>
      </c>
      <c r="C4127" s="13" t="n">
        <v>2536008728</v>
      </c>
      <c r="D4127" s="13" t="inlineStr">
        <is>
          <t>2536008728</t>
        </is>
      </c>
      <c r="E4127" s="13" t="inlineStr">
        <is>
          <t>ЮЛ РФ</t>
        </is>
      </c>
      <c r="F4127" s="13" t="n"/>
      <c r="G4127" s="14" t="n"/>
      <c r="H4127" s="14" t="n"/>
      <c r="I4127" s="14" t="n"/>
      <c r="J4127" s="14" t="n"/>
      <c r="K4127" s="53" t="inlineStr"/>
      <c r="L4127" s="53" t="inlineStr">
        <is>
          <t>Не определено</t>
        </is>
      </c>
      <c r="M4127" s="53" t="inlineStr"/>
      <c r="N4127" s="54" t="inlineStr"/>
      <c r="O4127" s="55" t="inlineStr"/>
      <c r="P4127" s="16" t="inlineStr">
        <is>
          <t>Требует обогащения</t>
        </is>
      </c>
      <c r="Q4127" s="16">
        <f>HYPERLINK("https://pb.nalog.ru/search.html?query=2536008728","ФНС: проверить")</f>
        <v/>
      </c>
      <c r="R4127" s="16">
        <f>HYPERLINK("https://checko.ru/search?query=3801001629","Чекко: проверить")</f>
        <v/>
      </c>
      <c r="S4127" t="n">
        <v>1</v>
      </c>
      <c r="T4127" s="35" t="inlineStr">
        <is>
          <t>4 — Не обогащён</t>
        </is>
      </c>
      <c r="U4127" s="35" t="inlineStr">
        <is>
          <t>Нет ОКВЭД/ССЧР</t>
        </is>
      </c>
      <c r="V4127" s="35" t="inlineStr">
        <is>
          <t>Не определено</t>
        </is>
      </c>
      <c r="W4127" s="35" t="inlineStr"/>
      <c r="X4127" s="35" t="inlineStr"/>
    </row>
    <row r="4128" ht="27.75" customHeight="1" s="24">
      <c r="A4128" s="13" t="n">
        <v>5000098255</v>
      </c>
      <c r="B4128" s="13" t="inlineStr">
        <is>
          <t>государственное казенное учреждение культуры "Приморская краевая библиотека для слепых"</t>
        </is>
      </c>
      <c r="C4128" s="13" t="n">
        <v>2539011052</v>
      </c>
      <c r="D4128" s="13" t="inlineStr">
        <is>
          <t>2539011052</t>
        </is>
      </c>
      <c r="E4128" s="13" t="inlineStr">
        <is>
          <t>ЮЛ РФ</t>
        </is>
      </c>
      <c r="F4128" s="13" t="n"/>
      <c r="G4128" s="14" t="n"/>
      <c r="H4128" s="14" t="n"/>
      <c r="I4128" s="14" t="n"/>
      <c r="J4128" s="14" t="n"/>
      <c r="K4128" s="53" t="inlineStr"/>
      <c r="L4128" s="53" t="inlineStr">
        <is>
          <t>Не определено</t>
        </is>
      </c>
      <c r="M4128" s="53" t="inlineStr"/>
      <c r="N4128" s="54" t="inlineStr"/>
      <c r="O4128" s="55" t="inlineStr"/>
      <c r="P4128" s="16" t="inlineStr">
        <is>
          <t>Требует обогащения</t>
        </is>
      </c>
      <c r="Q4128" s="16">
        <f>HYPERLINK("https://pb.nalog.ru/search.html?query=2539011052","ФНС: проверить")</f>
        <v/>
      </c>
      <c r="R4128" s="16">
        <f>HYPERLINK("https://checko.ru/search?query=3801001629","Чекко: проверить")</f>
        <v/>
      </c>
      <c r="S4128" t="n">
        <v>1</v>
      </c>
      <c r="T4128" s="35" t="inlineStr">
        <is>
          <t>4 — Не обогащён</t>
        </is>
      </c>
      <c r="U4128" s="35" t="inlineStr">
        <is>
          <t>Нет ОКВЭД/ССЧР</t>
        </is>
      </c>
      <c r="V4128" s="35" t="inlineStr">
        <is>
          <t>Не определено</t>
        </is>
      </c>
      <c r="W4128" s="35" t="inlineStr"/>
      <c r="X4128" s="35" t="inlineStr"/>
    </row>
    <row r="4129" ht="41.25" customHeight="1" s="24">
      <c r="A4129" s="13" t="n">
        <v>5000098257</v>
      </c>
      <c r="B4129" s="13" t="inlineStr">
        <is>
          <t>краевое государственное автономное профессиональное образовательное учреждение "Владивостокский судостроительный колледж"</t>
        </is>
      </c>
      <c r="C4129" s="13" t="n">
        <v>2536044388</v>
      </c>
      <c r="D4129" s="13" t="inlineStr">
        <is>
          <t>2536044388</t>
        </is>
      </c>
      <c r="E4129" s="13" t="inlineStr">
        <is>
          <t>ЮЛ РФ</t>
        </is>
      </c>
      <c r="F4129" s="13" t="n"/>
      <c r="G4129" s="14" t="n"/>
      <c r="H4129" s="14" t="n"/>
      <c r="I4129" s="14" t="n"/>
      <c r="J4129" s="14" t="n"/>
      <c r="K4129" s="53" t="inlineStr"/>
      <c r="L4129" s="53" t="inlineStr">
        <is>
          <t>Не определено</t>
        </is>
      </c>
      <c r="M4129" s="53" t="inlineStr"/>
      <c r="N4129" s="54" t="inlineStr"/>
      <c r="O4129" s="55" t="inlineStr"/>
      <c r="P4129" s="16" t="inlineStr">
        <is>
          <t>Требует обогащения</t>
        </is>
      </c>
      <c r="Q4129" s="16">
        <f>HYPERLINK("https://pb.nalog.ru/search.html?query=2536044388","ФНС: проверить")</f>
        <v/>
      </c>
      <c r="R4129" s="16">
        <f>HYPERLINK("https://checko.ru/search?query=3801001629","Чекко: проверить")</f>
        <v/>
      </c>
      <c r="S4129" t="n">
        <v>1</v>
      </c>
      <c r="T4129" s="35" t="inlineStr">
        <is>
          <t>4 — Не обогащён</t>
        </is>
      </c>
      <c r="U4129" s="35" t="inlineStr">
        <is>
          <t>Нет ОКВЭД/ССЧР</t>
        </is>
      </c>
      <c r="V4129" s="35" t="inlineStr">
        <is>
          <t>Не определено</t>
        </is>
      </c>
      <c r="W4129" s="35" t="inlineStr"/>
      <c r="X4129" s="35" t="inlineStr"/>
    </row>
    <row r="4130" ht="41.25" customHeight="1" s="24">
      <c r="A4130" s="13" t="n">
        <v>5000098260</v>
      </c>
      <c r="B4130" s="13" t="inlineStr">
        <is>
          <t>краевое государственное автономное профессиональное образовательное учреждение "Приморский краевой художественный колледж"</t>
        </is>
      </c>
      <c r="C4130" s="13" t="n">
        <v>2540029015</v>
      </c>
      <c r="D4130" s="13" t="inlineStr">
        <is>
          <t>2540029015</t>
        </is>
      </c>
      <c r="E4130" s="13" t="inlineStr">
        <is>
          <t>ЮЛ РФ</t>
        </is>
      </c>
      <c r="F4130" s="13" t="n"/>
      <c r="G4130" s="14" t="n"/>
      <c r="H4130" s="14" t="n"/>
      <c r="I4130" s="14" t="n"/>
      <c r="J4130" s="14" t="n"/>
      <c r="K4130" s="53" t="inlineStr"/>
      <c r="L4130" s="53" t="inlineStr">
        <is>
          <t>Не определено</t>
        </is>
      </c>
      <c r="M4130" s="53" t="inlineStr"/>
      <c r="N4130" s="54" t="inlineStr"/>
      <c r="O4130" s="55" t="inlineStr"/>
      <c r="P4130" s="16" t="inlineStr">
        <is>
          <t>Требует обогащения</t>
        </is>
      </c>
      <c r="Q4130" s="16">
        <f>HYPERLINK("https://pb.nalog.ru/search.html?query=2540029015","ФНС: проверить")</f>
        <v/>
      </c>
      <c r="R4130" s="16">
        <f>HYPERLINK("https://checko.ru/search?query=3801001629","Чекко: проверить")</f>
        <v/>
      </c>
      <c r="S4130" t="n">
        <v>1</v>
      </c>
      <c r="T4130" s="35" t="inlineStr">
        <is>
          <t>4 — Не обогащён</t>
        </is>
      </c>
      <c r="U4130" s="35" t="inlineStr">
        <is>
          <t>Нет ОКВЭД/ССЧР</t>
        </is>
      </c>
      <c r="V4130" s="35" t="inlineStr">
        <is>
          <t>Не определено</t>
        </is>
      </c>
      <c r="W4130" s="35" t="inlineStr"/>
      <c r="X4130" s="35" t="inlineStr"/>
    </row>
    <row r="4131" ht="41.25" customHeight="1" s="24">
      <c r="A4131" s="13" t="n">
        <v>5000098266</v>
      </c>
      <c r="B4131" s="13" t="inlineStr">
        <is>
          <t>краевое государственное автономное учреждение здравоохранения "Владивостокская клиническая больница № 2"</t>
        </is>
      </c>
      <c r="C4131" s="13" t="n">
        <v>2539007602</v>
      </c>
      <c r="D4131" s="13" t="inlineStr">
        <is>
          <t>2539007602</t>
        </is>
      </c>
      <c r="E4131" s="13" t="inlineStr">
        <is>
          <t>ЮЛ РФ</t>
        </is>
      </c>
      <c r="F4131" s="13" t="n"/>
      <c r="G4131" s="14" t="n"/>
      <c r="H4131" s="14" t="n"/>
      <c r="I4131" s="14" t="n"/>
      <c r="J4131" s="14" t="n"/>
      <c r="K4131" s="53" t="inlineStr"/>
      <c r="L4131" s="53" t="inlineStr">
        <is>
          <t>Не определено</t>
        </is>
      </c>
      <c r="M4131" s="53" t="inlineStr"/>
      <c r="N4131" s="54" t="inlineStr"/>
      <c r="O4131" s="55" t="inlineStr"/>
      <c r="P4131" s="16" t="inlineStr">
        <is>
          <t>Требует обогащения</t>
        </is>
      </c>
      <c r="Q4131" s="16">
        <f>HYPERLINK("https://pb.nalog.ru/search.html?query=2539007602","ФНС: проверить")</f>
        <v/>
      </c>
      <c r="R4131" s="16">
        <f>HYPERLINK("https://checko.ru/search?query=3801001629","Чекко: проверить")</f>
        <v/>
      </c>
      <c r="S4131" t="n">
        <v>1</v>
      </c>
      <c r="T4131" s="35" t="inlineStr">
        <is>
          <t>4 — Не обогащён</t>
        </is>
      </c>
      <c r="U4131" s="35" t="inlineStr">
        <is>
          <t>Нет ОКВЭД/ССЧР</t>
        </is>
      </c>
      <c r="V4131" s="35" t="inlineStr">
        <is>
          <t>Не определено</t>
        </is>
      </c>
      <c r="W4131" s="35" t="inlineStr"/>
      <c r="X4131" s="35" t="inlineStr"/>
    </row>
    <row r="4132" ht="41.25" customHeight="1" s="24">
      <c r="A4132" s="13" t="n">
        <v>5000098268</v>
      </c>
      <c r="B4132" s="13" t="inlineStr">
        <is>
          <t>краевое государственное автономное учреждение социального обслуживания "Приморский центр социального обслуживания населения"</t>
        </is>
      </c>
      <c r="C4132" s="13" t="n">
        <v>2536133084</v>
      </c>
      <c r="D4132" s="13" t="inlineStr">
        <is>
          <t>2536133084</t>
        </is>
      </c>
      <c r="E4132" s="13" t="inlineStr">
        <is>
          <t>ЮЛ РФ</t>
        </is>
      </c>
      <c r="F4132" s="13" t="n"/>
      <c r="G4132" s="14" t="n"/>
      <c r="H4132" s="14" t="n"/>
      <c r="I4132" s="14" t="n"/>
      <c r="J4132" s="14" t="n"/>
      <c r="K4132" s="53" t="inlineStr"/>
      <c r="L4132" s="53" t="inlineStr">
        <is>
          <t>Не определено</t>
        </is>
      </c>
      <c r="M4132" s="53" t="inlineStr"/>
      <c r="N4132" s="54" t="inlineStr"/>
      <c r="O4132" s="55" t="inlineStr"/>
      <c r="P4132" s="16" t="inlineStr">
        <is>
          <t>Требует обогащения</t>
        </is>
      </c>
      <c r="Q4132" s="16">
        <f>HYPERLINK("https://pb.nalog.ru/search.html?query=2536133084","ФНС: проверить")</f>
        <v/>
      </c>
      <c r="R4132" s="16">
        <f>HYPERLINK("https://checko.ru/search?query=3801001629","Чекко: проверить")</f>
        <v/>
      </c>
      <c r="S4132" t="n">
        <v>1</v>
      </c>
      <c r="T4132" s="35" t="inlineStr">
        <is>
          <t>4 — Не обогащён</t>
        </is>
      </c>
      <c r="U4132" s="35" t="inlineStr">
        <is>
          <t>Нет ОКВЭД/ССЧР</t>
        </is>
      </c>
      <c r="V4132" s="35" t="inlineStr">
        <is>
          <t>Не определено</t>
        </is>
      </c>
      <c r="W4132" s="35" t="inlineStr"/>
      <c r="X4132" s="35" t="inlineStr"/>
    </row>
    <row r="4133" ht="54.75" customHeight="1" s="24">
      <c r="A4133" s="13" t="n">
        <v>5000098269</v>
      </c>
      <c r="B4133" s="13" t="inlineStr">
        <is>
          <t>Краевое государственное автономное учреждение социального обслуживания "Седанкинский дом-интернат для престарелых и инвалидов"</t>
        </is>
      </c>
      <c r="C4133" s="13" t="n">
        <v>2543030428</v>
      </c>
      <c r="D4133" s="13" t="inlineStr">
        <is>
          <t>2543030428</t>
        </is>
      </c>
      <c r="E4133" s="13" t="inlineStr">
        <is>
          <t>ЮЛ РФ</t>
        </is>
      </c>
      <c r="F4133" s="13" t="n"/>
      <c r="G4133" s="14" t="n"/>
      <c r="H4133" s="14" t="n"/>
      <c r="I4133" s="14" t="n"/>
      <c r="J4133" s="14" t="n"/>
      <c r="K4133" s="53" t="inlineStr"/>
      <c r="L4133" s="53" t="inlineStr">
        <is>
          <t>Не определено</t>
        </is>
      </c>
      <c r="M4133" s="53" t="inlineStr"/>
      <c r="N4133" s="54" t="inlineStr"/>
      <c r="O4133" s="55" t="inlineStr"/>
      <c r="P4133" s="16" t="inlineStr">
        <is>
          <t>Требует обогащения</t>
        </is>
      </c>
      <c r="Q4133" s="16">
        <f>HYPERLINK("https://pb.nalog.ru/search.html?query=2543030428","ФНС: проверить")</f>
        <v/>
      </c>
      <c r="R4133" s="16">
        <f>HYPERLINK("https://checko.ru/search?query=3801001629","Чекко: проверить")</f>
        <v/>
      </c>
      <c r="S4133" t="n">
        <v>1</v>
      </c>
      <c r="T4133" s="35" t="inlineStr">
        <is>
          <t>4 — Не обогащён</t>
        </is>
      </c>
      <c r="U4133" s="35" t="inlineStr">
        <is>
          <t>Нет ОКВЭД/ССЧР</t>
        </is>
      </c>
      <c r="V4133" s="35" t="inlineStr">
        <is>
          <t>Не определено</t>
        </is>
      </c>
      <c r="W4133" s="35" t="inlineStr"/>
      <c r="X4133" s="35" t="inlineStr"/>
    </row>
    <row r="4134" ht="54.75" customHeight="1" s="24">
      <c r="A4134" s="13" t="n">
        <v>5000098270</v>
      </c>
      <c r="B4134" s="13" t="inlineStr">
        <is>
          <t>краевое государственное буджетное учреждение Социального обслуживания "Социально-реабилитационный центр для несовершеннолетних "Парус надежды"</t>
        </is>
      </c>
      <c r="C4134" s="13" t="n">
        <v>2539012183</v>
      </c>
      <c r="D4134" s="13" t="inlineStr">
        <is>
          <t>2539012183</t>
        </is>
      </c>
      <c r="E4134" s="13" t="inlineStr">
        <is>
          <t>ЮЛ РФ</t>
        </is>
      </c>
      <c r="F4134" s="13" t="n"/>
      <c r="G4134" s="14" t="n"/>
      <c r="H4134" s="14" t="n"/>
      <c r="I4134" s="14" t="n"/>
      <c r="J4134" s="14" t="n"/>
      <c r="K4134" s="53" t="inlineStr"/>
      <c r="L4134" s="53" t="inlineStr">
        <is>
          <t>Не определено</t>
        </is>
      </c>
      <c r="M4134" s="53" t="inlineStr"/>
      <c r="N4134" s="54" t="inlineStr"/>
      <c r="O4134" s="55" t="inlineStr"/>
      <c r="P4134" s="16" t="inlineStr">
        <is>
          <t>Требует обогащения</t>
        </is>
      </c>
      <c r="Q4134" s="16">
        <f>HYPERLINK("https://pb.nalog.ru/search.html?query=2539012183","ФНС: проверить")</f>
        <v/>
      </c>
      <c r="R4134" s="16">
        <f>HYPERLINK("https://checko.ru/search?query=3801001629","Чекко: проверить")</f>
        <v/>
      </c>
      <c r="S4134" t="n">
        <v>1</v>
      </c>
      <c r="T4134" s="35" t="inlineStr">
        <is>
          <t>4 — Не обогащён</t>
        </is>
      </c>
      <c r="U4134" s="35" t="inlineStr">
        <is>
          <t>Нет ОКВЭД/ССЧР</t>
        </is>
      </c>
      <c r="V4134" s="35" t="inlineStr">
        <is>
          <t>Не определено</t>
        </is>
      </c>
      <c r="W4134" s="35" t="inlineStr"/>
      <c r="X4134" s="35" t="inlineStr"/>
    </row>
    <row r="4135" ht="54.75" customHeight="1" s="24">
      <c r="A4135" s="13" t="n">
        <v>5000098271</v>
      </c>
      <c r="B4135" s="13" t="inlineStr">
        <is>
          <t>краевое государственное бюджетное профессиональное образовательное учреждение "Владивостокский базовый медицинский колледж"</t>
        </is>
      </c>
      <c r="C4135" s="13" t="n">
        <v>2536052438</v>
      </c>
      <c r="D4135" s="13" t="inlineStr">
        <is>
          <t>2536052438</t>
        </is>
      </c>
      <c r="E4135" s="13" t="inlineStr">
        <is>
          <t>ЮЛ РФ</t>
        </is>
      </c>
      <c r="F4135" s="13" t="n"/>
      <c r="G4135" s="14" t="n"/>
      <c r="H4135" s="14" t="n"/>
      <c r="I4135" s="14" t="n"/>
      <c r="J4135" s="14" t="n"/>
      <c r="K4135" s="53" t="inlineStr"/>
      <c r="L4135" s="53" t="inlineStr">
        <is>
          <t>Не определено</t>
        </is>
      </c>
      <c r="M4135" s="53" t="inlineStr"/>
      <c r="N4135" s="54" t="inlineStr"/>
      <c r="O4135" s="55" t="inlineStr"/>
      <c r="P4135" s="16" t="inlineStr">
        <is>
          <t>Требует обогащения</t>
        </is>
      </c>
      <c r="Q4135" s="16">
        <f>HYPERLINK("https://pb.nalog.ru/search.html?query=2536052438","ФНС: проверить")</f>
        <v/>
      </c>
      <c r="R4135" s="16">
        <f>HYPERLINK("https://checko.ru/search?query=3801001629","Чекко: проверить")</f>
        <v/>
      </c>
      <c r="S4135" t="n">
        <v>1</v>
      </c>
      <c r="T4135" s="35" t="inlineStr">
        <is>
          <t>4 — Не обогащён</t>
        </is>
      </c>
      <c r="U4135" s="35" t="inlineStr">
        <is>
          <t>Нет ОКВЭД/ССЧР</t>
        </is>
      </c>
      <c r="V4135" s="35" t="inlineStr">
        <is>
          <t>Не определено</t>
        </is>
      </c>
      <c r="W4135" s="35" t="inlineStr"/>
      <c r="X4135" s="35" t="inlineStr"/>
    </row>
    <row r="4136" ht="41.25" customHeight="1" s="24">
      <c r="A4136" s="13" t="n">
        <v>5000098273</v>
      </c>
      <c r="B4136" s="13" t="inlineStr">
        <is>
          <t>краевое государственное бюджетное учреждение "Агентство по использованию и сохранению имущества Примоского края"</t>
        </is>
      </c>
      <c r="C4136" s="13" t="n">
        <v>2540255230</v>
      </c>
      <c r="D4136" s="13" t="inlineStr">
        <is>
          <t>2540255230</t>
        </is>
      </c>
      <c r="E4136" s="13" t="inlineStr">
        <is>
          <t>ЮЛ РФ</t>
        </is>
      </c>
      <c r="F4136" s="13" t="n"/>
      <c r="G4136" s="14" t="n"/>
      <c r="H4136" s="14" t="n"/>
      <c r="I4136" s="14" t="n"/>
      <c r="J4136" s="14" t="n"/>
      <c r="K4136" s="53" t="inlineStr"/>
      <c r="L4136" s="53" t="inlineStr">
        <is>
          <t>Не определено</t>
        </is>
      </c>
      <c r="M4136" s="53" t="inlineStr"/>
      <c r="N4136" s="54" t="inlineStr"/>
      <c r="O4136" s="55" t="inlineStr"/>
      <c r="P4136" s="16" t="inlineStr">
        <is>
          <t>Требует обогащения</t>
        </is>
      </c>
      <c r="Q4136" s="16">
        <f>HYPERLINK("https://pb.nalog.ru/search.html?query=2540255230","ФНС: проверить")</f>
        <v/>
      </c>
      <c r="R4136" s="16">
        <f>HYPERLINK("https://checko.ru/search?query=3801001629","Чекко: проверить")</f>
        <v/>
      </c>
      <c r="S4136" t="n">
        <v>1</v>
      </c>
      <c r="T4136" s="35" t="inlineStr">
        <is>
          <t>4 — Не обогащён</t>
        </is>
      </c>
      <c r="U4136" s="35" t="inlineStr">
        <is>
          <t>Нет ОКВЭД/ССЧР</t>
        </is>
      </c>
      <c r="V4136" s="35" t="inlineStr">
        <is>
          <t>Не определено</t>
        </is>
      </c>
      <c r="W4136" s="35" t="inlineStr"/>
      <c r="X4136" s="35" t="inlineStr"/>
    </row>
    <row r="4137" ht="41.25" customHeight="1" s="24">
      <c r="A4137" s="13" t="n">
        <v>5000098274</v>
      </c>
      <c r="B4137" s="13" t="inlineStr">
        <is>
          <t>Краевое государственное бюджетное учреждение "Владивостокская ветеринарная станция по борьбе с болезнями животных "</t>
        </is>
      </c>
      <c r="C4137" s="13" t="n">
        <v>2543039808</v>
      </c>
      <c r="D4137" s="13" t="inlineStr">
        <is>
          <t>2543039808</t>
        </is>
      </c>
      <c r="E4137" s="13" t="inlineStr">
        <is>
          <t>ЮЛ РФ</t>
        </is>
      </c>
      <c r="F4137" s="13" t="n"/>
      <c r="G4137" s="14" t="n"/>
      <c r="H4137" s="14" t="n"/>
      <c r="I4137" s="14" t="n"/>
      <c r="J4137" s="14" t="n"/>
      <c r="K4137" s="53" t="inlineStr"/>
      <c r="L4137" s="53" t="inlineStr">
        <is>
          <t>Не определено</t>
        </is>
      </c>
      <c r="M4137" s="53" t="inlineStr"/>
      <c r="N4137" s="54" t="inlineStr"/>
      <c r="O4137" s="55" t="inlineStr"/>
      <c r="P4137" s="16" t="inlineStr">
        <is>
          <t>Требует обогащения</t>
        </is>
      </c>
      <c r="Q4137" s="16">
        <f>HYPERLINK("https://pb.nalog.ru/search.html?query=2543039808","ФНС: проверить")</f>
        <v/>
      </c>
      <c r="R4137" s="16">
        <f>HYPERLINK("https://checko.ru/search?query=3801001629","Чекко: проверить")</f>
        <v/>
      </c>
      <c r="S4137" t="n">
        <v>1</v>
      </c>
      <c r="T4137" s="35" t="inlineStr">
        <is>
          <t>4 — Не обогащён</t>
        </is>
      </c>
      <c r="U4137" s="35" t="inlineStr">
        <is>
          <t>Нет ОКВЭД/ССЧР</t>
        </is>
      </c>
      <c r="V4137" s="35" t="inlineStr">
        <is>
          <t>Не определено</t>
        </is>
      </c>
      <c r="W4137" s="35" t="inlineStr"/>
      <c r="X4137" s="35" t="inlineStr"/>
    </row>
    <row r="4138" ht="27.75" customHeight="1" s="24">
      <c r="A4138" s="13" t="n">
        <v>5000098275</v>
      </c>
      <c r="B4138" s="13" t="inlineStr">
        <is>
          <t>краевое государственное бюджетное учреждение "Общественное телевидение Приморья"</t>
        </is>
      </c>
      <c r="C4138" s="13" t="n">
        <v>2540056114</v>
      </c>
      <c r="D4138" s="13" t="inlineStr">
        <is>
          <t>2540056114</t>
        </is>
      </c>
      <c r="E4138" s="13" t="inlineStr">
        <is>
          <t>ЮЛ РФ</t>
        </is>
      </c>
      <c r="F4138" s="13" t="n"/>
      <c r="G4138" s="14" t="n"/>
      <c r="H4138" s="14" t="n"/>
      <c r="I4138" s="14" t="n"/>
      <c r="J4138" s="14" t="n"/>
      <c r="K4138" s="53" t="inlineStr"/>
      <c r="L4138" s="53" t="inlineStr">
        <is>
          <t>Не определено</t>
        </is>
      </c>
      <c r="M4138" s="53" t="inlineStr"/>
      <c r="N4138" s="54" t="inlineStr"/>
      <c r="O4138" s="55" t="inlineStr"/>
      <c r="P4138" s="16" t="inlineStr">
        <is>
          <t>Требует обогащения</t>
        </is>
      </c>
      <c r="Q4138" s="16">
        <f>HYPERLINK("https://pb.nalog.ru/search.html?query=2540056114","ФНС: проверить")</f>
        <v/>
      </c>
      <c r="R4138" s="16">
        <f>HYPERLINK("https://checko.ru/search?query=3801001629","Чекко: проверить")</f>
        <v/>
      </c>
      <c r="S4138" t="n">
        <v>1</v>
      </c>
      <c r="T4138" s="35" t="inlineStr">
        <is>
          <t>4 — Не обогащён</t>
        </is>
      </c>
      <c r="U4138" s="35" t="inlineStr">
        <is>
          <t>Нет ОКВЭД/ССЧР</t>
        </is>
      </c>
      <c r="V4138" s="35" t="inlineStr">
        <is>
          <t>Не определено</t>
        </is>
      </c>
      <c r="W4138" s="35" t="inlineStr"/>
      <c r="X4138" s="35" t="inlineStr"/>
    </row>
    <row r="4139" ht="27.75" customHeight="1" s="24">
      <c r="A4139" s="13" t="n">
        <v>5000098276</v>
      </c>
      <c r="B4139" s="13" t="inlineStr">
        <is>
          <t>Краевое государственное бюджетное учреждение "Центр кадастровой оценки Приморского края"</t>
        </is>
      </c>
      <c r="C4139" s="13" t="n">
        <v>2540232352</v>
      </c>
      <c r="D4139" s="13" t="inlineStr">
        <is>
          <t>2540232352</t>
        </is>
      </c>
      <c r="E4139" s="13" t="inlineStr">
        <is>
          <t>ЮЛ РФ</t>
        </is>
      </c>
      <c r="F4139" s="13" t="n"/>
      <c r="G4139" s="14" t="n"/>
      <c r="H4139" s="14" t="n"/>
      <c r="I4139" s="14" t="n"/>
      <c r="J4139" s="14" t="n"/>
      <c r="K4139" s="53" t="inlineStr"/>
      <c r="L4139" s="53" t="inlineStr">
        <is>
          <t>Не определено</t>
        </is>
      </c>
      <c r="M4139" s="53" t="inlineStr"/>
      <c r="N4139" s="54" t="inlineStr"/>
      <c r="O4139" s="55" t="inlineStr"/>
      <c r="P4139" s="16" t="inlineStr">
        <is>
          <t>Требует обогащения</t>
        </is>
      </c>
      <c r="Q4139" s="16">
        <f>HYPERLINK("https://pb.nalog.ru/search.html?query=2540232352","ФНС: проверить")</f>
        <v/>
      </c>
      <c r="R4139" s="16">
        <f>HYPERLINK("https://checko.ru/search?query=3801001629","Чекко: проверить")</f>
        <v/>
      </c>
      <c r="S4139" t="n">
        <v>1</v>
      </c>
      <c r="T4139" s="35" t="inlineStr">
        <is>
          <t>4 — Не обогащён</t>
        </is>
      </c>
      <c r="U4139" s="35" t="inlineStr">
        <is>
          <t>Нет ОКВЭД/ССЧР</t>
        </is>
      </c>
      <c r="V4139" s="35" t="inlineStr">
        <is>
          <t>Не определено</t>
        </is>
      </c>
      <c r="W4139" s="35" t="inlineStr"/>
      <c r="X4139" s="35" t="inlineStr"/>
    </row>
    <row r="4140" ht="41.25" customHeight="1" s="24">
      <c r="A4140" s="13" t="n">
        <v>5000098343</v>
      </c>
      <c r="B4140" s="13" t="inlineStr">
        <is>
          <t>Краевое государственное бюджетное учреждение "Уссурийская ветеринарная станция по борьбе с болезнями животных "</t>
        </is>
      </c>
      <c r="C4140" s="13" t="n">
        <v>2511086548</v>
      </c>
      <c r="D4140" s="13" t="inlineStr">
        <is>
          <t>2511086548</t>
        </is>
      </c>
      <c r="E4140" s="13" t="inlineStr">
        <is>
          <t>ЮЛ РФ</t>
        </is>
      </c>
      <c r="F4140" s="13" t="n"/>
      <c r="G4140" s="14" t="n"/>
      <c r="H4140" s="14" t="n"/>
      <c r="I4140" s="14" t="n"/>
      <c r="J4140" s="14" t="n"/>
      <c r="K4140" s="53" t="inlineStr"/>
      <c r="L4140" s="53" t="inlineStr">
        <is>
          <t>Не определено</t>
        </is>
      </c>
      <c r="M4140" s="53" t="inlineStr"/>
      <c r="N4140" s="54" t="inlineStr"/>
      <c r="O4140" s="55" t="inlineStr"/>
      <c r="P4140" s="16" t="inlineStr">
        <is>
          <t>Требует обогащения</t>
        </is>
      </c>
      <c r="Q4140" s="16">
        <f>HYPERLINK("https://pb.nalog.ru/search.html?query=2511086548","ФНС: проверить")</f>
        <v/>
      </c>
      <c r="R4140" s="16">
        <f>HYPERLINK("https://checko.ru/search?query=3801001629","Чекко: проверить")</f>
        <v/>
      </c>
      <c r="S4140" t="n">
        <v>1</v>
      </c>
      <c r="T4140" s="35" t="inlineStr">
        <is>
          <t>4 — Не обогащён</t>
        </is>
      </c>
      <c r="U4140" s="35" t="inlineStr">
        <is>
          <t>Нет ОКВЭД/ССЧР</t>
        </is>
      </c>
      <c r="V4140" s="35" t="inlineStr">
        <is>
          <t>Не определено</t>
        </is>
      </c>
      <c r="W4140" s="35" t="inlineStr"/>
      <c r="X4140" s="35" t="inlineStr"/>
    </row>
    <row r="4141" ht="41.25" customHeight="1" s="24">
      <c r="A4141" s="13" t="n">
        <v>5000098347</v>
      </c>
      <c r="B4141" s="13" t="inlineStr">
        <is>
          <t>краевое государственное бюджетное учреждение здравоохранения «Уссурийская центральная городская больница»</t>
        </is>
      </c>
      <c r="C4141" s="13" t="n">
        <v>2511076701</v>
      </c>
      <c r="D4141" s="13" t="inlineStr">
        <is>
          <t>2511076701</t>
        </is>
      </c>
      <c r="E4141" s="13" t="inlineStr">
        <is>
          <t>ЮЛ РФ</t>
        </is>
      </c>
      <c r="F4141" s="13" t="n"/>
      <c r="G4141" s="14" t="n"/>
      <c r="H4141" s="14" t="n"/>
      <c r="I4141" s="14" t="n"/>
      <c r="J4141" s="14" t="n"/>
      <c r="K4141" s="53" t="inlineStr"/>
      <c r="L4141" s="53" t="inlineStr">
        <is>
          <t>Не определено</t>
        </is>
      </c>
      <c r="M4141" s="53" t="inlineStr"/>
      <c r="N4141" s="54" t="inlineStr"/>
      <c r="O4141" s="55" t="inlineStr"/>
      <c r="P4141" s="16" t="inlineStr">
        <is>
          <t>Требует обогащения</t>
        </is>
      </c>
      <c r="Q4141" s="16">
        <f>HYPERLINK("https://pb.nalog.ru/search.html?query=2511076701","ФНС: проверить")</f>
        <v/>
      </c>
      <c r="R4141" s="16">
        <f>HYPERLINK("https://checko.ru/search?query=3801001629","Чекко: проверить")</f>
        <v/>
      </c>
      <c r="S4141" t="n">
        <v>1</v>
      </c>
      <c r="T4141" s="35" t="inlineStr">
        <is>
          <t>4 — Не обогащён</t>
        </is>
      </c>
      <c r="U4141" s="35" t="inlineStr">
        <is>
          <t>Нет ОКВЭД/ССЧР</t>
        </is>
      </c>
      <c r="V4141" s="35" t="inlineStr">
        <is>
          <t>Не определено</t>
        </is>
      </c>
      <c r="W4141" s="35" t="inlineStr"/>
      <c r="X4141" s="35" t="inlineStr"/>
    </row>
    <row r="4142" ht="41.25" customHeight="1" s="24">
      <c r="A4142" s="13" t="n">
        <v>5000098311</v>
      </c>
      <c r="B4142" s="13" t="inlineStr">
        <is>
          <t>краевое государственное бюджетное учреждение здравоохранения «Дальнегорская центральная городская больница»</t>
        </is>
      </c>
      <c r="C4142" s="13" t="n">
        <v>2505003871</v>
      </c>
      <c r="D4142" s="13" t="inlineStr">
        <is>
          <t>2505003871</t>
        </is>
      </c>
      <c r="E4142" s="13" t="inlineStr">
        <is>
          <t>ЮЛ РФ</t>
        </is>
      </c>
      <c r="F4142" s="13" t="n"/>
      <c r="G4142" s="14" t="n"/>
      <c r="H4142" s="14" t="n"/>
      <c r="I4142" s="14" t="n"/>
      <c r="J4142" s="14" t="n"/>
      <c r="K4142" s="53" t="inlineStr"/>
      <c r="L4142" s="53" t="inlineStr">
        <is>
          <t>Не определено</t>
        </is>
      </c>
      <c r="M4142" s="53" t="inlineStr"/>
      <c r="N4142" s="54" t="inlineStr"/>
      <c r="O4142" s="55" t="inlineStr"/>
      <c r="P4142" s="16" t="inlineStr">
        <is>
          <t>Требует обогащения</t>
        </is>
      </c>
      <c r="Q4142" s="16">
        <f>HYPERLINK("https://pb.nalog.ru/search.html?query=2505003871","ФНС: проверить")</f>
        <v/>
      </c>
      <c r="R4142" s="16">
        <f>HYPERLINK("https://checko.ru/search?query=3801001629","Чекко: проверить")</f>
        <v/>
      </c>
      <c r="S4142" t="n">
        <v>1</v>
      </c>
      <c r="T4142" s="35" t="inlineStr">
        <is>
          <t>4 — Не обогащён</t>
        </is>
      </c>
      <c r="U4142" s="35" t="inlineStr">
        <is>
          <t>Нет ОКВЭД/ССЧР</t>
        </is>
      </c>
      <c r="V4142" s="35" t="inlineStr">
        <is>
          <t>Не определено</t>
        </is>
      </c>
      <c r="W4142" s="35" t="inlineStr"/>
      <c r="X4142" s="35" t="inlineStr"/>
    </row>
    <row r="4143" ht="41.25" customHeight="1" s="24">
      <c r="A4143" s="13" t="n">
        <v>5000098331</v>
      </c>
      <c r="B4143" s="13" t="inlineStr">
        <is>
          <t>краевое государственное бюджетное профессиональное образовательное учреждение "Спасский политехнический колледж"</t>
        </is>
      </c>
      <c r="C4143" s="13" t="n">
        <v>2510003330</v>
      </c>
      <c r="D4143" s="13" t="inlineStr">
        <is>
          <t>2510003330</t>
        </is>
      </c>
      <c r="E4143" s="13" t="inlineStr">
        <is>
          <t>ЮЛ РФ</t>
        </is>
      </c>
      <c r="F4143" s="13" t="n"/>
      <c r="G4143" s="14" t="n"/>
      <c r="H4143" s="14" t="n"/>
      <c r="I4143" s="14" t="n"/>
      <c r="J4143" s="14" t="n"/>
      <c r="K4143" s="53" t="inlineStr"/>
      <c r="L4143" s="53" t="inlineStr">
        <is>
          <t>Не определено</t>
        </is>
      </c>
      <c r="M4143" s="53" t="inlineStr"/>
      <c r="N4143" s="54" t="inlineStr"/>
      <c r="O4143" s="55" t="inlineStr"/>
      <c r="P4143" s="16" t="inlineStr">
        <is>
          <t>Требует обогащения</t>
        </is>
      </c>
      <c r="Q4143" s="16">
        <f>HYPERLINK("https://pb.nalog.ru/search.html?query=2510003330","ФНС: проверить")</f>
        <v/>
      </c>
      <c r="R4143" s="16">
        <f>HYPERLINK("https://checko.ru/search?query=3801001629","Чекко: проверить")</f>
        <v/>
      </c>
      <c r="S4143" t="n">
        <v>1</v>
      </c>
      <c r="T4143" s="35" t="inlineStr">
        <is>
          <t>4 — Не обогащён</t>
        </is>
      </c>
      <c r="U4143" s="35" t="inlineStr">
        <is>
          <t>Нет ОКВЭД/ССЧР</t>
        </is>
      </c>
      <c r="V4143" s="35" t="inlineStr">
        <is>
          <t>Не определено</t>
        </is>
      </c>
      <c r="W4143" s="35" t="inlineStr"/>
      <c r="X4143" s="35" t="inlineStr"/>
    </row>
    <row r="4144" ht="15" customHeight="1" s="24">
      <c r="A4144" s="13" t="n">
        <v>5000097353</v>
      </c>
      <c r="B4144" s="13" t="inlineStr">
        <is>
          <t>МБУК «Парки Королёва»</t>
        </is>
      </c>
      <c r="C4144" s="13" t="n">
        <v>5018211940</v>
      </c>
      <c r="D4144" s="13" t="inlineStr">
        <is>
          <t>5018211940</t>
        </is>
      </c>
      <c r="E4144" s="13" t="inlineStr">
        <is>
          <t>ЮЛ РФ</t>
        </is>
      </c>
      <c r="F4144" s="13" t="n"/>
      <c r="G4144" s="14" t="n"/>
      <c r="H4144" s="14" t="n"/>
      <c r="I4144" s="14" t="n"/>
      <c r="J4144" s="14" t="n"/>
      <c r="K4144" s="53" t="inlineStr"/>
      <c r="L4144" s="53" t="inlineStr">
        <is>
          <t>Не определено</t>
        </is>
      </c>
      <c r="M4144" s="53" t="inlineStr"/>
      <c r="N4144" s="54" t="inlineStr"/>
      <c r="O4144" s="55" t="inlineStr"/>
      <c r="P4144" s="16" t="inlineStr">
        <is>
          <t>Требует обогащения</t>
        </is>
      </c>
      <c r="Q4144" s="16">
        <f>HYPERLINK("https://pb.nalog.ru/search.html?query=5018211940","ФНС: проверить")</f>
        <v/>
      </c>
      <c r="R4144" s="16">
        <f>HYPERLINK("https://checko.ru/search?query=3801001629","Чекко: проверить")</f>
        <v/>
      </c>
      <c r="S4144" t="n">
        <v>1</v>
      </c>
      <c r="T4144" s="35" t="inlineStr">
        <is>
          <t>4 — Не обогащён</t>
        </is>
      </c>
      <c r="U4144" s="35" t="inlineStr">
        <is>
          <t>Нет ОКВЭД/ССЧР</t>
        </is>
      </c>
      <c r="V4144" s="35" t="inlineStr">
        <is>
          <t>Не определено</t>
        </is>
      </c>
      <c r="W4144" s="35" t="inlineStr"/>
      <c r="X4144" s="35" t="inlineStr"/>
    </row>
    <row r="4145" ht="41.25" customHeight="1" s="24">
      <c r="A4145" s="13" t="n">
        <v>5000098332</v>
      </c>
      <c r="B4145" s="13" t="inlineStr">
        <is>
          <t>краевое государственное бюджетное учреждение социального обслуживания "Спасский дом-интернат для престарелых и инвалидов"</t>
        </is>
      </c>
      <c r="C4145" s="13" t="n">
        <v>2510008441</v>
      </c>
      <c r="D4145" s="13" t="inlineStr">
        <is>
          <t>2510008441</t>
        </is>
      </c>
      <c r="E4145" s="13" t="inlineStr">
        <is>
          <t>ЮЛ РФ</t>
        </is>
      </c>
      <c r="F4145" s="13" t="n"/>
      <c r="G4145" s="14" t="n"/>
      <c r="H4145" s="14" t="n"/>
      <c r="I4145" s="14" t="n"/>
      <c r="J4145" s="14" t="n"/>
      <c r="K4145" s="53" t="inlineStr"/>
      <c r="L4145" s="53" t="inlineStr">
        <is>
          <t>Не определено</t>
        </is>
      </c>
      <c r="M4145" s="53" t="inlineStr"/>
      <c r="N4145" s="54" t="inlineStr"/>
      <c r="O4145" s="55" t="inlineStr"/>
      <c r="P4145" s="16" t="inlineStr">
        <is>
          <t>Требует обогащения</t>
        </is>
      </c>
      <c r="Q4145" s="16">
        <f>HYPERLINK("https://pb.nalog.ru/search.html?query=2510008441","ФНС: проверить")</f>
        <v/>
      </c>
      <c r="R4145" s="16">
        <f>HYPERLINK("https://checko.ru/search?query=3801001629","Чекко: проверить")</f>
        <v/>
      </c>
      <c r="S4145" t="n">
        <v>1</v>
      </c>
      <c r="T4145" s="35" t="inlineStr">
        <is>
          <t>4 — Не обогащён</t>
        </is>
      </c>
      <c r="U4145" s="35" t="inlineStr">
        <is>
          <t>Нет ОКВЭД/ССЧР</t>
        </is>
      </c>
      <c r="V4145" s="35" t="inlineStr">
        <is>
          <t>Не определено</t>
        </is>
      </c>
      <c r="W4145" s="35" t="inlineStr"/>
      <c r="X4145" s="35" t="inlineStr"/>
    </row>
    <row r="4146" ht="41.25" customHeight="1" s="24">
      <c r="A4146" s="13" t="n">
        <v>5000098335</v>
      </c>
      <c r="B4146" s="13" t="inlineStr">
        <is>
          <t>государственное бюджетное учреждение здравоохранения "Краевая психиатрическая больница № 1"</t>
        </is>
      </c>
      <c r="C4146" s="13" t="n">
        <v>2529002203</v>
      </c>
      <c r="D4146" s="13" t="inlineStr">
        <is>
          <t>2529002203</t>
        </is>
      </c>
      <c r="E4146" s="13" t="inlineStr">
        <is>
          <t>ЮЛ РФ</t>
        </is>
      </c>
      <c r="F4146" s="13" t="n"/>
      <c r="G4146" s="14" t="n"/>
      <c r="H4146" s="14" t="n"/>
      <c r="I4146" s="14" t="n"/>
      <c r="J4146" s="14" t="n"/>
      <c r="K4146" s="53" t="inlineStr"/>
      <c r="L4146" s="53" t="inlineStr">
        <is>
          <t>Не определено</t>
        </is>
      </c>
      <c r="M4146" s="53" t="inlineStr"/>
      <c r="N4146" s="54" t="inlineStr"/>
      <c r="O4146" s="55" t="inlineStr"/>
      <c r="P4146" s="16" t="inlineStr">
        <is>
          <t>Требует обогащения</t>
        </is>
      </c>
      <c r="Q4146" s="16">
        <f>HYPERLINK("https://pb.nalog.ru/search.html?query=2529002203","ФНС: проверить")</f>
        <v/>
      </c>
      <c r="R4146" s="16">
        <f>HYPERLINK("https://checko.ru/search?query=3801001629","Чекко: проверить")</f>
        <v/>
      </c>
      <c r="S4146" t="n">
        <v>1</v>
      </c>
      <c r="T4146" s="35" t="inlineStr">
        <is>
          <t>4 — Не обогащён</t>
        </is>
      </c>
      <c r="U4146" s="35" t="inlineStr">
        <is>
          <t>Нет ОКВЭД/ССЧР</t>
        </is>
      </c>
      <c r="V4146" s="35" t="inlineStr">
        <is>
          <t>Не определено</t>
        </is>
      </c>
      <c r="W4146" s="35" t="inlineStr"/>
      <c r="X4146" s="35" t="inlineStr"/>
    </row>
    <row r="4147" ht="41.25" customHeight="1" s="24">
      <c r="A4147" s="13" t="n">
        <v>5000098278</v>
      </c>
      <c r="B4147" s="13" t="inlineStr">
        <is>
          <t>краевое государственное бюджетное учреждение здравоохранения «Владивостокская детская поликлиника № 2»</t>
        </is>
      </c>
      <c r="C4147" s="13" t="n">
        <v>2536025226</v>
      </c>
      <c r="D4147" s="13" t="inlineStr">
        <is>
          <t>2536025226</t>
        </is>
      </c>
      <c r="E4147" s="13" t="inlineStr">
        <is>
          <t>ЮЛ РФ</t>
        </is>
      </c>
      <c r="F4147" s="13" t="n"/>
      <c r="G4147" s="14" t="n"/>
      <c r="H4147" s="14" t="n"/>
      <c r="I4147" s="14" t="n"/>
      <c r="J4147" s="14" t="n"/>
      <c r="K4147" s="53" t="inlineStr"/>
      <c r="L4147" s="53" t="inlineStr">
        <is>
          <t>Не определено</t>
        </is>
      </c>
      <c r="M4147" s="53" t="inlineStr"/>
      <c r="N4147" s="54" t="inlineStr"/>
      <c r="O4147" s="55" t="inlineStr"/>
      <c r="P4147" s="16" t="inlineStr">
        <is>
          <t>Требует обогащения</t>
        </is>
      </c>
      <c r="Q4147" s="16">
        <f>HYPERLINK("https://pb.nalog.ru/search.html?query=2536025226","ФНС: проверить")</f>
        <v/>
      </c>
      <c r="R4147" s="16">
        <f>HYPERLINK("https://checko.ru/search?query=3801001629","Чекко: проверить")</f>
        <v/>
      </c>
      <c r="S4147" t="n">
        <v>1</v>
      </c>
      <c r="T4147" s="35" t="inlineStr">
        <is>
          <t>4 — Не обогащён</t>
        </is>
      </c>
      <c r="U4147" s="35" t="inlineStr">
        <is>
          <t>Нет ОКВЭД/ССЧР</t>
        </is>
      </c>
      <c r="V4147" s="35" t="inlineStr">
        <is>
          <t>Не определено</t>
        </is>
      </c>
      <c r="W4147" s="35" t="inlineStr"/>
      <c r="X4147" s="35" t="inlineStr"/>
    </row>
    <row r="4148" ht="41.25" customHeight="1" s="24">
      <c r="A4148" s="13" t="n">
        <v>5000098282</v>
      </c>
      <c r="B4148" s="13" t="inlineStr">
        <is>
          <t>краевое государственное бюджетное учреждение здравоохранения «Владивостокская клиническая больница № 4»</t>
        </is>
      </c>
      <c r="C4148" s="13" t="n">
        <v>2536010685</v>
      </c>
      <c r="D4148" s="13" t="inlineStr">
        <is>
          <t>2536010685</t>
        </is>
      </c>
      <c r="E4148" s="13" t="inlineStr">
        <is>
          <t>ЮЛ РФ</t>
        </is>
      </c>
      <c r="F4148" s="13" t="n"/>
      <c r="G4148" s="14" t="n"/>
      <c r="H4148" s="14" t="n"/>
      <c r="I4148" s="14" t="n"/>
      <c r="J4148" s="14" t="n"/>
      <c r="K4148" s="53" t="inlineStr"/>
      <c r="L4148" s="53" t="inlineStr">
        <is>
          <t>Не определено</t>
        </is>
      </c>
      <c r="M4148" s="53" t="inlineStr"/>
      <c r="N4148" s="54" t="inlineStr"/>
      <c r="O4148" s="55" t="inlineStr"/>
      <c r="P4148" s="16" t="inlineStr">
        <is>
          <t>Требует обогащения</t>
        </is>
      </c>
      <c r="Q4148" s="16">
        <f>HYPERLINK("https://pb.nalog.ru/search.html?query=2536010685","ФНС: проверить")</f>
        <v/>
      </c>
      <c r="R4148" s="16">
        <f>HYPERLINK("https://checko.ru/search?query=3801001629","Чекко: проверить")</f>
        <v/>
      </c>
      <c r="S4148" t="n">
        <v>1</v>
      </c>
      <c r="T4148" s="35" t="inlineStr">
        <is>
          <t>4 — Не обогащён</t>
        </is>
      </c>
      <c r="U4148" s="35" t="inlineStr">
        <is>
          <t>Нет ОКВЭД/ССЧР</t>
        </is>
      </c>
      <c r="V4148" s="35" t="inlineStr">
        <is>
          <t>Не определено</t>
        </is>
      </c>
      <c r="W4148" s="35" t="inlineStr"/>
      <c r="X4148" s="35" t="inlineStr"/>
    </row>
    <row r="4149" ht="41.25" customHeight="1" s="24">
      <c r="A4149" s="13" t="n">
        <v>5000098284</v>
      </c>
      <c r="B4149" s="13" t="inlineStr">
        <is>
          <t>краевое государственное бюджетное учреждение здравоохранения «Владивостокская поликлиника № 3»</t>
        </is>
      </c>
      <c r="C4149" s="13" t="n">
        <v>2536054724</v>
      </c>
      <c r="D4149" s="13" t="inlineStr">
        <is>
          <t>2536054724</t>
        </is>
      </c>
      <c r="E4149" s="13" t="inlineStr">
        <is>
          <t>ЮЛ РФ</t>
        </is>
      </c>
      <c r="F4149" s="13" t="n"/>
      <c r="G4149" s="14" t="n"/>
      <c r="H4149" s="14" t="n"/>
      <c r="I4149" s="14" t="n"/>
      <c r="J4149" s="14" t="n"/>
      <c r="K4149" s="53" t="inlineStr"/>
      <c r="L4149" s="53" t="inlineStr">
        <is>
          <t>Не определено</t>
        </is>
      </c>
      <c r="M4149" s="53" t="inlineStr"/>
      <c r="N4149" s="54" t="inlineStr"/>
      <c r="O4149" s="55" t="inlineStr"/>
      <c r="P4149" s="16" t="inlineStr">
        <is>
          <t>Требует обогащения</t>
        </is>
      </c>
      <c r="Q4149" s="16">
        <f>HYPERLINK("https://pb.nalog.ru/search.html?query=2536054724","ФНС: проверить")</f>
        <v/>
      </c>
      <c r="R4149" s="16">
        <f>HYPERLINK("https://checko.ru/search?query=3801001629","Чекко: проверить")</f>
        <v/>
      </c>
      <c r="S4149" t="n">
        <v>1</v>
      </c>
      <c r="T4149" s="35" t="inlineStr">
        <is>
          <t>4 — Не обогащён</t>
        </is>
      </c>
      <c r="U4149" s="35" t="inlineStr">
        <is>
          <t>Нет ОКВЭД/ССЧР</t>
        </is>
      </c>
      <c r="V4149" s="35" t="inlineStr">
        <is>
          <t>Не определено</t>
        </is>
      </c>
      <c r="W4149" s="35" t="inlineStr"/>
      <c r="X4149" s="35" t="inlineStr"/>
    </row>
    <row r="4150" ht="15" customHeight="1" s="24">
      <c r="A4150" s="13" t="n">
        <v>5000092745</v>
      </c>
      <c r="B4150" s="13" t="inlineStr">
        <is>
          <t>ЭНЕРГЕТИЧЕСКИЙ КОЛЛЕДЖ</t>
        </is>
      </c>
      <c r="C4150" s="13" t="n">
        <v>2536038419</v>
      </c>
      <c r="D4150" s="13" t="inlineStr">
        <is>
          <t>2536038419</t>
        </is>
      </c>
      <c r="E4150" s="13" t="inlineStr">
        <is>
          <t>ЮЛ РФ</t>
        </is>
      </c>
      <c r="F4150" s="13" t="n"/>
      <c r="G4150" s="14" t="n"/>
      <c r="H4150" s="14" t="n"/>
      <c r="I4150" s="14" t="n"/>
      <c r="J4150" s="14" t="n"/>
      <c r="K4150" s="53" t="inlineStr"/>
      <c r="L4150" s="53" t="inlineStr">
        <is>
          <t>Не определено</t>
        </is>
      </c>
      <c r="M4150" s="53" t="inlineStr"/>
      <c r="N4150" s="54" t="inlineStr"/>
      <c r="O4150" s="55" t="inlineStr"/>
      <c r="P4150" s="16" t="inlineStr">
        <is>
          <t>Требует обогащения</t>
        </is>
      </c>
      <c r="Q4150" s="16">
        <f>HYPERLINK("https://pb.nalog.ru/search.html?query=2536038419","ФНС: проверить")</f>
        <v/>
      </c>
      <c r="R4150" s="16">
        <f>HYPERLINK("https://checko.ru/search?query=3801001629","Чекко: проверить")</f>
        <v/>
      </c>
      <c r="S4150" t="n">
        <v>1</v>
      </c>
      <c r="T4150" s="35" t="inlineStr">
        <is>
          <t>4 — Не обогащён</t>
        </is>
      </c>
      <c r="U4150" s="35" t="inlineStr">
        <is>
          <t>Нет ОКВЭД/ССЧР</t>
        </is>
      </c>
      <c r="V4150" s="35" t="inlineStr">
        <is>
          <t>Не определено</t>
        </is>
      </c>
      <c r="W4150" s="35" t="inlineStr"/>
      <c r="X4150" s="35" t="inlineStr"/>
    </row>
    <row r="4151" ht="41.25" customHeight="1" s="24">
      <c r="A4151" s="13" t="n">
        <v>5000098285</v>
      </c>
      <c r="B4151" s="13" t="inlineStr">
        <is>
          <t>краевое государственное бюджетное учреждение здравоохранения «Владивостокская поликлиника № 6»</t>
        </is>
      </c>
      <c r="C4151" s="13" t="n">
        <v>2537017387</v>
      </c>
      <c r="D4151" s="13" t="inlineStr">
        <is>
          <t>2537017387</t>
        </is>
      </c>
      <c r="E4151" s="13" t="inlineStr">
        <is>
          <t>ЮЛ РФ</t>
        </is>
      </c>
      <c r="F4151" s="13" t="n"/>
      <c r="G4151" s="14" t="n"/>
      <c r="H4151" s="14" t="n"/>
      <c r="I4151" s="14" t="n"/>
      <c r="J4151" s="14" t="n"/>
      <c r="K4151" s="53" t="inlineStr"/>
      <c r="L4151" s="53" t="inlineStr">
        <is>
          <t>Не определено</t>
        </is>
      </c>
      <c r="M4151" s="53" t="inlineStr"/>
      <c r="N4151" s="54" t="inlineStr"/>
      <c r="O4151" s="55" t="inlineStr"/>
      <c r="P4151" s="16" t="inlineStr">
        <is>
          <t>Требует обогащения</t>
        </is>
      </c>
      <c r="Q4151" s="16">
        <f>HYPERLINK("https://pb.nalog.ru/search.html?query=2537017387","ФНС: проверить")</f>
        <v/>
      </c>
      <c r="R4151" s="16">
        <f>HYPERLINK("https://checko.ru/search?query=3801001629","Чекко: проверить")</f>
        <v/>
      </c>
      <c r="S4151" t="n">
        <v>1</v>
      </c>
      <c r="T4151" s="35" t="inlineStr">
        <is>
          <t>4 — Не обогащён</t>
        </is>
      </c>
      <c r="U4151" s="35" t="inlineStr">
        <is>
          <t>Нет ОКВЭД/ССЧР</t>
        </is>
      </c>
      <c r="V4151" s="35" t="inlineStr">
        <is>
          <t>Не определено</t>
        </is>
      </c>
      <c r="W4151" s="35" t="inlineStr"/>
      <c r="X4151" s="35" t="inlineStr"/>
    </row>
    <row r="4152" ht="41.25" customHeight="1" s="24">
      <c r="A4152" s="13" t="n">
        <v>5000098287</v>
      </c>
      <c r="B4152" s="13" t="inlineStr">
        <is>
          <t>краевое государственное бюджетное учреждение здравоохранения «Владивостокский клинический родильный дом № 3»</t>
        </is>
      </c>
      <c r="C4152" s="13" t="n">
        <v>2537021785</v>
      </c>
      <c r="D4152" s="13" t="inlineStr">
        <is>
          <t>2537021785</t>
        </is>
      </c>
      <c r="E4152" s="13" t="inlineStr">
        <is>
          <t>ЮЛ РФ</t>
        </is>
      </c>
      <c r="F4152" s="13" t="n"/>
      <c r="G4152" s="14" t="n"/>
      <c r="H4152" s="14" t="n"/>
      <c r="I4152" s="14" t="n"/>
      <c r="J4152" s="14" t="n"/>
      <c r="K4152" s="53" t="inlineStr"/>
      <c r="L4152" s="53" t="inlineStr">
        <is>
          <t>Не определено</t>
        </is>
      </c>
      <c r="M4152" s="53" t="inlineStr"/>
      <c r="N4152" s="54" t="inlineStr"/>
      <c r="O4152" s="55" t="inlineStr"/>
      <c r="P4152" s="16" t="inlineStr">
        <is>
          <t>Требует обогащения</t>
        </is>
      </c>
      <c r="Q4152" s="16">
        <f>HYPERLINK("https://pb.nalog.ru/search.html?query=2537021785","ФНС: проверить")</f>
        <v/>
      </c>
      <c r="R4152" s="16">
        <f>HYPERLINK("https://checko.ru/search?query=3801001629","Чекко: проверить")</f>
        <v/>
      </c>
      <c r="S4152" t="n">
        <v>1</v>
      </c>
      <c r="T4152" s="35" t="inlineStr">
        <is>
          <t>4 — Не обогащён</t>
        </is>
      </c>
      <c r="U4152" s="35" t="inlineStr">
        <is>
          <t>Нет ОКВЭД/ССЧР</t>
        </is>
      </c>
      <c r="V4152" s="35" t="inlineStr">
        <is>
          <t>Не определено</t>
        </is>
      </c>
      <c r="W4152" s="35" t="inlineStr"/>
      <c r="X4152" s="35" t="inlineStr"/>
    </row>
    <row r="4153" ht="41.25" customHeight="1" s="24">
      <c r="A4153" s="13" t="n">
        <v>5000098288</v>
      </c>
      <c r="B4153" s="13" t="inlineStr">
        <is>
          <t>краевое государственное казенное учреждение "Аппарат Общественной палаты Приморского края"</t>
        </is>
      </c>
      <c r="C4153" s="13" t="n">
        <v>2540201883</v>
      </c>
      <c r="D4153" s="13" t="inlineStr">
        <is>
          <t>2540201883</t>
        </is>
      </c>
      <c r="E4153" s="13" t="inlineStr">
        <is>
          <t>ЮЛ РФ</t>
        </is>
      </c>
      <c r="F4153" s="13" t="n"/>
      <c r="G4153" s="14" t="n"/>
      <c r="H4153" s="14" t="n"/>
      <c r="I4153" s="14" t="n"/>
      <c r="J4153" s="14" t="n"/>
      <c r="K4153" s="53" t="inlineStr"/>
      <c r="L4153" s="53" t="inlineStr">
        <is>
          <t>Не определено</t>
        </is>
      </c>
      <c r="M4153" s="53" t="inlineStr"/>
      <c r="N4153" s="54" t="inlineStr"/>
      <c r="O4153" s="55" t="inlineStr"/>
      <c r="P4153" s="16" t="inlineStr">
        <is>
          <t>Требует обогащения</t>
        </is>
      </c>
      <c r="Q4153" s="16">
        <f>HYPERLINK("https://pb.nalog.ru/search.html?query=2540201883","ФНС: проверить")</f>
        <v/>
      </c>
      <c r="R4153" s="16">
        <f>HYPERLINK("https://checko.ru/search?query=3801001629","Чекко: проверить")</f>
        <v/>
      </c>
      <c r="S4153" t="n">
        <v>1</v>
      </c>
      <c r="T4153" s="35" t="inlineStr">
        <is>
          <t>4 — Не обогащён</t>
        </is>
      </c>
      <c r="U4153" s="35" t="inlineStr">
        <is>
          <t>Нет ОКВЭД/ССЧР</t>
        </is>
      </c>
      <c r="V4153" s="35" t="inlineStr">
        <is>
          <t>Не определено</t>
        </is>
      </c>
      <c r="W4153" s="35" t="inlineStr"/>
      <c r="X4153" s="35" t="inlineStr"/>
    </row>
    <row r="4154" ht="41.25" customHeight="1" s="24">
      <c r="A4154" s="13" t="n">
        <v>5000098290</v>
      </c>
      <c r="B4154" s="13" t="inlineStr">
        <is>
          <t>краевое государственное казенное учреждение "Управление автомобильных дорог Приморского края"</t>
        </is>
      </c>
      <c r="C4154" s="13" t="n">
        <v>2543059970</v>
      </c>
      <c r="D4154" s="13" t="inlineStr">
        <is>
          <t>2543059970</t>
        </is>
      </c>
      <c r="E4154" s="13" t="inlineStr">
        <is>
          <t>ЮЛ РФ</t>
        </is>
      </c>
      <c r="F4154" s="13" t="n"/>
      <c r="G4154" s="14" t="n"/>
      <c r="H4154" s="14" t="n"/>
      <c r="I4154" s="14" t="n"/>
      <c r="J4154" s="14" t="n"/>
      <c r="K4154" s="53" t="inlineStr"/>
      <c r="L4154" s="53" t="inlineStr">
        <is>
          <t>Не определено</t>
        </is>
      </c>
      <c r="M4154" s="53" t="inlineStr"/>
      <c r="N4154" s="54" t="inlineStr"/>
      <c r="O4154" s="55" t="inlineStr"/>
      <c r="P4154" s="16" t="inlineStr">
        <is>
          <t>Требует обогащения</t>
        </is>
      </c>
      <c r="Q4154" s="16">
        <f>HYPERLINK("https://pb.nalog.ru/search.html?query=2543059970","ФНС: проверить")</f>
        <v/>
      </c>
      <c r="R4154" s="16">
        <f>HYPERLINK("https://checko.ru/search?query=3801001629","Чекко: проверить")</f>
        <v/>
      </c>
      <c r="S4154" t="n">
        <v>1</v>
      </c>
      <c r="T4154" s="35" t="inlineStr">
        <is>
          <t>4 — Не обогащён</t>
        </is>
      </c>
      <c r="U4154" s="35" t="inlineStr">
        <is>
          <t>Нет ОКВЭД/ССЧР</t>
        </is>
      </c>
      <c r="V4154" s="35" t="inlineStr">
        <is>
          <t>Не определено</t>
        </is>
      </c>
      <c r="W4154" s="35" t="inlineStr"/>
      <c r="X4154" s="35" t="inlineStr"/>
    </row>
    <row r="4155" ht="41.25" customHeight="1" s="24">
      <c r="A4155" s="13" t="n">
        <v>5000098291</v>
      </c>
      <c r="B4155" s="13" t="inlineStr">
        <is>
          <t>краевое государственное казенное учреждение "Центр социальной поддержки населения Приморского края"</t>
        </is>
      </c>
      <c r="C4155" s="13" t="n">
        <v>2537108468</v>
      </c>
      <c r="D4155" s="13" t="inlineStr">
        <is>
          <t>2537108468</t>
        </is>
      </c>
      <c r="E4155" s="13" t="inlineStr">
        <is>
          <t>ЮЛ РФ</t>
        </is>
      </c>
      <c r="F4155" s="13" t="n"/>
      <c r="G4155" s="14" t="n"/>
      <c r="H4155" s="14" t="n"/>
      <c r="I4155" s="14" t="n"/>
      <c r="J4155" s="14" t="n"/>
      <c r="K4155" s="53" t="inlineStr"/>
      <c r="L4155" s="53" t="inlineStr">
        <is>
          <t>Не определено</t>
        </is>
      </c>
      <c r="M4155" s="53" t="inlineStr"/>
      <c r="N4155" s="54" t="inlineStr"/>
      <c r="O4155" s="55" t="inlineStr"/>
      <c r="P4155" s="16" t="inlineStr">
        <is>
          <t>Требует обогащения</t>
        </is>
      </c>
      <c r="Q4155" s="16">
        <f>HYPERLINK("https://pb.nalog.ru/search.html?query=2537108468","ФНС: проверить")</f>
        <v/>
      </c>
      <c r="R4155" s="16">
        <f>HYPERLINK("https://checko.ru/search?query=3801001629","Чекко: проверить")</f>
        <v/>
      </c>
      <c r="S4155" t="n">
        <v>1</v>
      </c>
      <c r="T4155" s="35" t="inlineStr">
        <is>
          <t>4 — Не обогащён</t>
        </is>
      </c>
      <c r="U4155" s="35" t="inlineStr">
        <is>
          <t>Нет ОКВЭД/ССЧР</t>
        </is>
      </c>
      <c r="V4155" s="35" t="inlineStr">
        <is>
          <t>Не определено</t>
        </is>
      </c>
      <c r="W4155" s="35" t="inlineStr"/>
      <c r="X4155" s="35" t="inlineStr"/>
    </row>
    <row r="4156" ht="41.25" customHeight="1" s="24">
      <c r="A4156" s="13" t="n">
        <v>5000098292</v>
      </c>
      <c r="B4156" s="13" t="inlineStr">
        <is>
          <t>краевое государственное казенное учреждение Приморского края "Приморский краевой центр производства социально значимой информации"</t>
        </is>
      </c>
      <c r="C4156" s="13" t="n">
        <v>2536270718</v>
      </c>
      <c r="D4156" s="13" t="inlineStr">
        <is>
          <t>2536270718</t>
        </is>
      </c>
      <c r="E4156" s="13" t="inlineStr">
        <is>
          <t>ЮЛ РФ</t>
        </is>
      </c>
      <c r="F4156" s="13" t="n"/>
      <c r="G4156" s="14" t="n"/>
      <c r="H4156" s="14" t="n"/>
      <c r="I4156" s="14" t="n"/>
      <c r="J4156" s="14" t="n"/>
      <c r="K4156" s="53" t="inlineStr"/>
      <c r="L4156" s="53" t="inlineStr">
        <is>
          <t>Не определено</t>
        </is>
      </c>
      <c r="M4156" s="53" t="inlineStr"/>
      <c r="N4156" s="54" t="inlineStr"/>
      <c r="O4156" s="55" t="inlineStr"/>
      <c r="P4156" s="16" t="inlineStr">
        <is>
          <t>Требует обогащения</t>
        </is>
      </c>
      <c r="Q4156" s="16">
        <f>HYPERLINK("https://pb.nalog.ru/search.html?query=2536270718","ФНС: проверить")</f>
        <v/>
      </c>
      <c r="R4156" s="16">
        <f>HYPERLINK("https://checko.ru/search?query=3801001629","Чекко: проверить")</f>
        <v/>
      </c>
      <c r="S4156" t="n">
        <v>1</v>
      </c>
      <c r="T4156" s="35" t="inlineStr">
        <is>
          <t>4 — Не обогащён</t>
        </is>
      </c>
      <c r="U4156" s="35" t="inlineStr">
        <is>
          <t>Нет ОКВЭД/ССЧР</t>
        </is>
      </c>
      <c r="V4156" s="35" t="inlineStr">
        <is>
          <t>Не определено</t>
        </is>
      </c>
      <c r="W4156" s="35" t="inlineStr"/>
      <c r="X4156" s="35" t="inlineStr"/>
    </row>
    <row r="4157" ht="41.25" customHeight="1" s="24">
      <c r="A4157" s="13" t="n">
        <v>5000098296</v>
      </c>
      <c r="B4157" s="13" t="inlineStr">
        <is>
          <t>Краевое государственное бюджетное учреждение "Арсеньевская ветеринарная станция по борьбе с болезнями животных "</t>
        </is>
      </c>
      <c r="C4157" s="13" t="n">
        <v>2501016911</v>
      </c>
      <c r="D4157" s="13" t="inlineStr">
        <is>
          <t>2501016911</t>
        </is>
      </c>
      <c r="E4157" s="13" t="inlineStr">
        <is>
          <t>ЮЛ РФ</t>
        </is>
      </c>
      <c r="F4157" s="13" t="n"/>
      <c r="G4157" s="14" t="n"/>
      <c r="H4157" s="14" t="n"/>
      <c r="I4157" s="14" t="n"/>
      <c r="J4157" s="14" t="n"/>
      <c r="K4157" s="53" t="inlineStr"/>
      <c r="L4157" s="53" t="inlineStr">
        <is>
          <t>Не определено</t>
        </is>
      </c>
      <c r="M4157" s="53" t="inlineStr"/>
      <c r="N4157" s="54" t="inlineStr"/>
      <c r="O4157" s="55" t="inlineStr"/>
      <c r="P4157" s="16" t="inlineStr">
        <is>
          <t>Требует обогащения</t>
        </is>
      </c>
      <c r="Q4157" s="16">
        <f>HYPERLINK("https://pb.nalog.ru/search.html?query=2501016911","ФНС: проверить")</f>
        <v/>
      </c>
      <c r="R4157" s="16">
        <f>HYPERLINK("https://checko.ru/search?query=3801001629","Чекко: проверить")</f>
        <v/>
      </c>
      <c r="S4157" t="n">
        <v>1</v>
      </c>
      <c r="T4157" s="35" t="inlineStr">
        <is>
          <t>4 — Не обогащён</t>
        </is>
      </c>
      <c r="U4157" s="35" t="inlineStr">
        <is>
          <t>Нет ОКВЭД/ССЧР</t>
        </is>
      </c>
      <c r="V4157" s="35" t="inlineStr">
        <is>
          <t>Не определено</t>
        </is>
      </c>
      <c r="W4157" s="35" t="inlineStr"/>
      <c r="X4157" s="35" t="inlineStr"/>
    </row>
    <row r="4158" ht="41.25" customHeight="1" s="24">
      <c r="A4158" s="13" t="n">
        <v>5000098303</v>
      </c>
      <c r="B4158" s="13" t="inlineStr">
        <is>
          <t>краевое государственное бюджетное учреждение "Приморская база авиационной, наземной охраны и защиты лесов"</t>
        </is>
      </c>
      <c r="C4158" s="13" t="n">
        <v>2538111015</v>
      </c>
      <c r="D4158" s="13" t="inlineStr">
        <is>
          <t>2538111015</t>
        </is>
      </c>
      <c r="E4158" s="13" t="inlineStr">
        <is>
          <t>ЮЛ РФ</t>
        </is>
      </c>
      <c r="F4158" s="13" t="n"/>
      <c r="G4158" s="14" t="n"/>
      <c r="H4158" s="14" t="n"/>
      <c r="I4158" s="14" t="n"/>
      <c r="J4158" s="14" t="n"/>
      <c r="K4158" s="53" t="inlineStr"/>
      <c r="L4158" s="53" t="inlineStr">
        <is>
          <t>Не определено</t>
        </is>
      </c>
      <c r="M4158" s="53" t="inlineStr"/>
      <c r="N4158" s="54" t="inlineStr"/>
      <c r="O4158" s="55" t="inlineStr"/>
      <c r="P4158" s="16" t="inlineStr">
        <is>
          <t>Требует обогащения</t>
        </is>
      </c>
      <c r="Q4158" s="16">
        <f>HYPERLINK("https://pb.nalog.ru/search.html?query=2538111015","ФНС: проверить")</f>
        <v/>
      </c>
      <c r="R4158" s="16">
        <f>HYPERLINK("https://checko.ru/search?query=3801001629","Чекко: проверить")</f>
        <v/>
      </c>
      <c r="S4158" t="n">
        <v>1</v>
      </c>
      <c r="T4158" s="35" t="inlineStr">
        <is>
          <t>4 — Не обогащён</t>
        </is>
      </c>
      <c r="U4158" s="35" t="inlineStr">
        <is>
          <t>Нет ОКВЭД/ССЧР</t>
        </is>
      </c>
      <c r="V4158" s="35" t="inlineStr">
        <is>
          <t>Не определено</t>
        </is>
      </c>
      <c r="W4158" s="35" t="inlineStr"/>
      <c r="X4158" s="35" t="inlineStr"/>
    </row>
    <row r="4159" ht="41.25" customHeight="1" s="24">
      <c r="A4159" s="13" t="n">
        <v>5000098304</v>
      </c>
      <c r="B4159" s="13" t="inlineStr">
        <is>
          <t>краевое государственное бюджетное учреждение здравоохранения "Артемовская городская больница №1"</t>
        </is>
      </c>
      <c r="C4159" s="13" t="n">
        <v>2502013800</v>
      </c>
      <c r="D4159" s="13" t="inlineStr">
        <is>
          <t>2502013800</t>
        </is>
      </c>
      <c r="E4159" s="13" t="inlineStr">
        <is>
          <t>ЮЛ РФ</t>
        </is>
      </c>
      <c r="F4159" s="13" t="n"/>
      <c r="G4159" s="14" t="n"/>
      <c r="H4159" s="14" t="n"/>
      <c r="I4159" s="14" t="n"/>
      <c r="J4159" s="14" t="n"/>
      <c r="K4159" s="53" t="inlineStr"/>
      <c r="L4159" s="53" t="inlineStr">
        <is>
          <t>Не определено</t>
        </is>
      </c>
      <c r="M4159" s="53" t="inlineStr"/>
      <c r="N4159" s="54" t="inlineStr"/>
      <c r="O4159" s="55" t="inlineStr"/>
      <c r="P4159" s="16" t="inlineStr">
        <is>
          <t>Требует обогащения</t>
        </is>
      </c>
      <c r="Q4159" s="16">
        <f>HYPERLINK("https://pb.nalog.ru/search.html?query=2502013800","ФНС: проверить")</f>
        <v/>
      </c>
      <c r="R4159" s="16">
        <f>HYPERLINK("https://checko.ru/search?query=3801001629","Чекко: проверить")</f>
        <v/>
      </c>
      <c r="S4159" t="n">
        <v>1</v>
      </c>
      <c r="T4159" s="35" t="inlineStr">
        <is>
          <t>4 — Не обогащён</t>
        </is>
      </c>
      <c r="U4159" s="35" t="inlineStr">
        <is>
          <t>Нет ОКВЭД/ССЧР</t>
        </is>
      </c>
      <c r="V4159" s="35" t="inlineStr">
        <is>
          <t>Не определено</t>
        </is>
      </c>
      <c r="W4159" s="35" t="inlineStr"/>
      <c r="X4159" s="35" t="inlineStr"/>
    </row>
    <row r="4160" ht="54.75" customHeight="1" s="24">
      <c r="A4160" s="13" t="n">
        <v>5000098307</v>
      </c>
      <c r="B4160" s="13" t="inlineStr">
        <is>
          <t>краевое государственное бюджетное учреждение социального обслуживания "Артемовский социально-реабилитационный центр для несовершеннолетних"</t>
        </is>
      </c>
      <c r="C4160" s="13" t="n">
        <v>2502028356</v>
      </c>
      <c r="D4160" s="13" t="inlineStr">
        <is>
          <t>2502028356</t>
        </is>
      </c>
      <c r="E4160" s="13" t="inlineStr">
        <is>
          <t>ЮЛ РФ</t>
        </is>
      </c>
      <c r="F4160" s="13" t="n"/>
      <c r="G4160" s="14" t="n"/>
      <c r="H4160" s="14" t="n"/>
      <c r="I4160" s="14" t="n"/>
      <c r="J4160" s="14" t="n"/>
      <c r="K4160" s="53" t="inlineStr"/>
      <c r="L4160" s="53" t="inlineStr">
        <is>
          <t>Не определено</t>
        </is>
      </c>
      <c r="M4160" s="53" t="inlineStr"/>
      <c r="N4160" s="54" t="inlineStr"/>
      <c r="O4160" s="55" t="inlineStr"/>
      <c r="P4160" s="16" t="inlineStr">
        <is>
          <t>Требует обогащения</t>
        </is>
      </c>
      <c r="Q4160" s="16">
        <f>HYPERLINK("https://pb.nalog.ru/search.html?query=2502028356","ФНС: проверить")</f>
        <v/>
      </c>
      <c r="R4160" s="16">
        <f>HYPERLINK("https://checko.ru/search?query=3801001629","Чекко: проверить")</f>
        <v/>
      </c>
      <c r="S4160" t="n">
        <v>1</v>
      </c>
      <c r="T4160" s="35" t="inlineStr">
        <is>
          <t>4 — Не обогащён</t>
        </is>
      </c>
      <c r="U4160" s="35" t="inlineStr">
        <is>
          <t>Нет ОКВЭД/ССЧР</t>
        </is>
      </c>
      <c r="V4160" s="35" t="inlineStr">
        <is>
          <t>Не определено</t>
        </is>
      </c>
      <c r="W4160" s="35" t="inlineStr"/>
      <c r="X4160" s="35" t="inlineStr"/>
    </row>
    <row r="4161" ht="41.25" customHeight="1" s="24">
      <c r="A4161" s="13" t="n">
        <v>5000098308</v>
      </c>
      <c r="B4161" s="13" t="inlineStr">
        <is>
          <t>краевое государственное автономное профессиональное образовательное учреждение "Дальневосточный судостроительный колледж"</t>
        </is>
      </c>
      <c r="C4161" s="13" t="n">
        <v>2503006683</v>
      </c>
      <c r="D4161" s="13" t="inlineStr">
        <is>
          <t>2503006683</t>
        </is>
      </c>
      <c r="E4161" s="13" t="inlineStr">
        <is>
          <t>ЮЛ РФ</t>
        </is>
      </c>
      <c r="F4161" s="13" t="n"/>
      <c r="G4161" s="14" t="n"/>
      <c r="H4161" s="14" t="n"/>
      <c r="I4161" s="14" t="n"/>
      <c r="J4161" s="14" t="n"/>
      <c r="K4161" s="53" t="inlineStr"/>
      <c r="L4161" s="53" t="inlineStr">
        <is>
          <t>Не определено</t>
        </is>
      </c>
      <c r="M4161" s="53" t="inlineStr"/>
      <c r="N4161" s="54" t="inlineStr"/>
      <c r="O4161" s="55" t="inlineStr"/>
      <c r="P4161" s="16" t="inlineStr">
        <is>
          <t>Требует обогащения</t>
        </is>
      </c>
      <c r="Q4161" s="16">
        <f>HYPERLINK("https://pb.nalog.ru/search.html?query=2503006683","ФНС: проверить")</f>
        <v/>
      </c>
      <c r="R4161" s="16">
        <f>HYPERLINK("https://checko.ru/search?query=3801001629","Чекко: проверить")</f>
        <v/>
      </c>
      <c r="S4161" t="n">
        <v>1</v>
      </c>
      <c r="T4161" s="35" t="inlineStr">
        <is>
          <t>4 — Не обогащён</t>
        </is>
      </c>
      <c r="U4161" s="35" t="inlineStr">
        <is>
          <t>Нет ОКВЭД/ССЧР</t>
        </is>
      </c>
      <c r="V4161" s="35" t="inlineStr">
        <is>
          <t>Не определено</t>
        </is>
      </c>
      <c r="W4161" s="35" t="inlineStr"/>
      <c r="X4161" s="35" t="inlineStr"/>
    </row>
    <row r="4162" ht="41.25" customHeight="1" s="24">
      <c r="A4162" s="13" t="n">
        <v>5000098168</v>
      </c>
      <c r="B4162" s="13" t="inlineStr">
        <is>
          <t>краевое государственное бюджетное учреждение здравоохранения «Лазовская центральная районная больница»</t>
        </is>
      </c>
      <c r="C4162" s="13" t="n">
        <v>2518001328</v>
      </c>
      <c r="D4162" s="13" t="inlineStr">
        <is>
          <t>2518001328</t>
        </is>
      </c>
      <c r="E4162" s="13" t="inlineStr">
        <is>
          <t>ЮЛ РФ</t>
        </is>
      </c>
      <c r="F4162" s="13" t="n"/>
      <c r="G4162" s="14" t="n"/>
      <c r="H4162" s="14" t="n"/>
      <c r="I4162" s="14" t="n"/>
      <c r="J4162" s="14" t="n"/>
      <c r="K4162" s="53" t="inlineStr"/>
      <c r="L4162" s="53" t="inlineStr">
        <is>
          <t>Не определено</t>
        </is>
      </c>
      <c r="M4162" s="53" t="inlineStr"/>
      <c r="N4162" s="54" t="inlineStr"/>
      <c r="O4162" s="55" t="inlineStr"/>
      <c r="P4162" s="16" t="inlineStr">
        <is>
          <t>Требует обогащения</t>
        </is>
      </c>
      <c r="Q4162" s="16">
        <f>HYPERLINK("https://pb.nalog.ru/search.html?query=2518001328","ФНС: проверить")</f>
        <v/>
      </c>
      <c r="R4162" s="16">
        <f>HYPERLINK("https://checko.ru/search?query=3801001629","Чекко: проверить")</f>
        <v/>
      </c>
      <c r="S4162" t="n">
        <v>1</v>
      </c>
      <c r="T4162" s="35" t="inlineStr">
        <is>
          <t>4 — Не обогащён</t>
        </is>
      </c>
      <c r="U4162" s="35" t="inlineStr">
        <is>
          <t>Нет ОКВЭД/ССЧР</t>
        </is>
      </c>
      <c r="V4162" s="35" t="inlineStr">
        <is>
          <t>Не определено</t>
        </is>
      </c>
      <c r="W4162" s="35" t="inlineStr"/>
      <c r="X4162" s="35" t="inlineStr"/>
    </row>
    <row r="4163" ht="41.25" customHeight="1" s="24">
      <c r="A4163" s="13" t="n">
        <v>5000098194</v>
      </c>
      <c r="B4163" s="13" t="inlineStr">
        <is>
          <t>краевое государственное бюджетное учреждение социального обслуживания «Екатериновский детский психоневрологический дом - интернат»</t>
        </is>
      </c>
      <c r="C4163" s="13" t="n">
        <v>2524003387</v>
      </c>
      <c r="D4163" s="13" t="inlineStr">
        <is>
          <t>2524003387</t>
        </is>
      </c>
      <c r="E4163" s="13" t="inlineStr">
        <is>
          <t>ЮЛ РФ</t>
        </is>
      </c>
      <c r="F4163" s="13" t="n"/>
      <c r="G4163" s="14" t="n"/>
      <c r="H4163" s="14" t="n"/>
      <c r="I4163" s="14" t="n"/>
      <c r="J4163" s="14" t="n"/>
      <c r="K4163" s="53" t="inlineStr"/>
      <c r="L4163" s="53" t="inlineStr">
        <is>
          <t>Не определено</t>
        </is>
      </c>
      <c r="M4163" s="53" t="inlineStr"/>
      <c r="N4163" s="54" t="inlineStr"/>
      <c r="O4163" s="55" t="inlineStr"/>
      <c r="P4163" s="16" t="inlineStr">
        <is>
          <t>Требует обогащения</t>
        </is>
      </c>
      <c r="Q4163" s="16">
        <f>HYPERLINK("https://pb.nalog.ru/search.html?query=2524003387","ФНС: проверить")</f>
        <v/>
      </c>
      <c r="R4163" s="16">
        <f>HYPERLINK("https://checko.ru/search?query=3801001629","Чекко: проверить")</f>
        <v/>
      </c>
      <c r="S4163" t="n">
        <v>1</v>
      </c>
      <c r="T4163" s="35" t="inlineStr">
        <is>
          <t>4 — Не обогащён</t>
        </is>
      </c>
      <c r="U4163" s="35" t="inlineStr">
        <is>
          <t>Нет ОКВЭД/ССЧР</t>
        </is>
      </c>
      <c r="V4163" s="35" t="inlineStr">
        <is>
          <t>Не определено</t>
        </is>
      </c>
      <c r="W4163" s="35" t="inlineStr"/>
      <c r="X4163" s="35" t="inlineStr"/>
    </row>
    <row r="4164" ht="41.25" customHeight="1" s="24">
      <c r="A4164" s="13" t="n">
        <v>5000098197</v>
      </c>
      <c r="B4164" s="13" t="inlineStr">
        <is>
          <t>краевое государственное бюджетное учреждение социального обслуживания "Дом-интернат для престарелых и инвалидов" Пожарский район</t>
        </is>
      </c>
      <c r="C4164" s="13" t="n">
        <v>2526002660</v>
      </c>
      <c r="D4164" s="13" t="inlineStr">
        <is>
          <t>2526002660</t>
        </is>
      </c>
      <c r="E4164" s="13" t="inlineStr">
        <is>
          <t>ЮЛ РФ</t>
        </is>
      </c>
      <c r="F4164" s="13" t="n"/>
      <c r="G4164" s="14" t="n"/>
      <c r="H4164" s="14" t="n"/>
      <c r="I4164" s="14" t="n"/>
      <c r="J4164" s="14" t="n"/>
      <c r="K4164" s="53" t="inlineStr"/>
      <c r="L4164" s="53" t="inlineStr">
        <is>
          <t>Не определено</t>
        </is>
      </c>
      <c r="M4164" s="53" t="inlineStr"/>
      <c r="N4164" s="54" t="inlineStr"/>
      <c r="O4164" s="55" t="inlineStr"/>
      <c r="P4164" s="16" t="inlineStr">
        <is>
          <t>Требует обогащения</t>
        </is>
      </c>
      <c r="Q4164" s="16">
        <f>HYPERLINK("https://pb.nalog.ru/search.html?query=2526002660","ФНС: проверить")</f>
        <v/>
      </c>
      <c r="R4164" s="16">
        <f>HYPERLINK("https://checko.ru/search?query=3801001629","Чекко: проверить")</f>
        <v/>
      </c>
      <c r="S4164" t="n">
        <v>1</v>
      </c>
      <c r="T4164" s="35" t="inlineStr">
        <is>
          <t>4 — Не обогащён</t>
        </is>
      </c>
      <c r="U4164" s="35" t="inlineStr">
        <is>
          <t>Нет ОКВЭД/ССЧР</t>
        </is>
      </c>
      <c r="V4164" s="35" t="inlineStr">
        <is>
          <t>Не определено</t>
        </is>
      </c>
      <c r="W4164" s="35" t="inlineStr"/>
      <c r="X4164" s="35" t="inlineStr"/>
    </row>
    <row r="4165" ht="41.25" customHeight="1" s="24">
      <c r="A4165" s="13" t="n">
        <v>5000098198</v>
      </c>
      <c r="B4165" s="13" t="inlineStr">
        <is>
          <t>краевое государственное автономное профессиональное образовательное учреждение "Спасский педагогический колледж"</t>
        </is>
      </c>
      <c r="C4165" s="13" t="n">
        <v>2527000049</v>
      </c>
      <c r="D4165" s="13" t="inlineStr">
        <is>
          <t>2527000049</t>
        </is>
      </c>
      <c r="E4165" s="13" t="inlineStr">
        <is>
          <t>ЮЛ РФ</t>
        </is>
      </c>
      <c r="F4165" s="13" t="n"/>
      <c r="G4165" s="14" t="n"/>
      <c r="H4165" s="14" t="n"/>
      <c r="I4165" s="14" t="n"/>
      <c r="J4165" s="14" t="n"/>
      <c r="K4165" s="53" t="inlineStr"/>
      <c r="L4165" s="53" t="inlineStr">
        <is>
          <t>Не определено</t>
        </is>
      </c>
      <c r="M4165" s="53" t="inlineStr"/>
      <c r="N4165" s="54" t="inlineStr"/>
      <c r="O4165" s="55" t="inlineStr"/>
      <c r="P4165" s="16" t="inlineStr">
        <is>
          <t>Требует обогащения</t>
        </is>
      </c>
      <c r="Q4165" s="16">
        <f>HYPERLINK("https://pb.nalog.ru/search.html?query=2527000049","ФНС: проверить")</f>
        <v/>
      </c>
      <c r="R4165" s="16">
        <f>HYPERLINK("https://checko.ru/search?query=3801001629","Чекко: проверить")</f>
        <v/>
      </c>
      <c r="S4165" t="n">
        <v>1</v>
      </c>
      <c r="T4165" s="35" t="inlineStr">
        <is>
          <t>4 — Не обогащён</t>
        </is>
      </c>
      <c r="U4165" s="35" t="inlineStr">
        <is>
          <t>Нет ОКВЭД/ССЧР</t>
        </is>
      </c>
      <c r="V4165" s="35" t="inlineStr">
        <is>
          <t>Не определено</t>
        </is>
      </c>
      <c r="W4165" s="35" t="inlineStr"/>
      <c r="X4165" s="35" t="inlineStr"/>
    </row>
    <row r="4166" ht="41.25" customHeight="1" s="24">
      <c r="A4166" s="13" t="n">
        <v>5000098199</v>
      </c>
      <c r="B4166" s="13" t="inlineStr">
        <is>
          <t>Краевое государственное бюджетное учреждение "Спасская ветеринарная станция по борьбе с болезнями животных "</t>
        </is>
      </c>
      <c r="C4166" s="13" t="n">
        <v>2510009090</v>
      </c>
      <c r="D4166" s="13" t="inlineStr">
        <is>
          <t>2510009090</t>
        </is>
      </c>
      <c r="E4166" s="13" t="inlineStr">
        <is>
          <t>ЮЛ РФ</t>
        </is>
      </c>
      <c r="F4166" s="13" t="n"/>
      <c r="G4166" s="14" t="n"/>
      <c r="H4166" s="14" t="n"/>
      <c r="I4166" s="14" t="n"/>
      <c r="J4166" s="14" t="n"/>
      <c r="K4166" s="53" t="inlineStr"/>
      <c r="L4166" s="53" t="inlineStr">
        <is>
          <t>Не определено</t>
        </is>
      </c>
      <c r="M4166" s="53" t="inlineStr"/>
      <c r="N4166" s="54" t="inlineStr"/>
      <c r="O4166" s="55" t="inlineStr"/>
      <c r="P4166" s="16" t="inlineStr">
        <is>
          <t>Требует обогащения</t>
        </is>
      </c>
      <c r="Q4166" s="16">
        <f>HYPERLINK("https://pb.nalog.ru/search.html?query=2510009090","ФНС: проверить")</f>
        <v/>
      </c>
      <c r="R4166" s="16">
        <f>HYPERLINK("https://checko.ru/search?query=3801001629","Чекко: проверить")</f>
        <v/>
      </c>
      <c r="S4166" t="n">
        <v>1</v>
      </c>
      <c r="T4166" s="35" t="inlineStr">
        <is>
          <t>4 — Не обогащён</t>
        </is>
      </c>
      <c r="U4166" s="35" t="inlineStr">
        <is>
          <t>Нет ОКВЭД/ССЧР</t>
        </is>
      </c>
      <c r="V4166" s="35" t="inlineStr">
        <is>
          <t>Не определено</t>
        </is>
      </c>
      <c r="W4166" s="35" t="inlineStr"/>
      <c r="X4166" s="35" t="inlineStr"/>
    </row>
    <row r="4167" ht="27.75" customHeight="1" s="24">
      <c r="A4167" s="13" t="n">
        <v>5000098200</v>
      </c>
      <c r="B4167" s="13" t="inlineStr">
        <is>
          <t>краевое государственное бюджетное учреждение здравоохранения «Спасская городская больница»</t>
        </is>
      </c>
      <c r="C4167" s="13" t="n">
        <v>2510003933</v>
      </c>
      <c r="D4167" s="13" t="inlineStr">
        <is>
          <t>2510003933</t>
        </is>
      </c>
      <c r="E4167" s="13" t="inlineStr">
        <is>
          <t>ЮЛ РФ</t>
        </is>
      </c>
      <c r="F4167" s="13" t="n"/>
      <c r="G4167" s="14" t="n"/>
      <c r="H4167" s="14" t="n"/>
      <c r="I4167" s="14" t="n"/>
      <c r="J4167" s="14" t="n"/>
      <c r="K4167" s="53" t="inlineStr"/>
      <c r="L4167" s="53" t="inlineStr">
        <is>
          <t>Не определено</t>
        </is>
      </c>
      <c r="M4167" s="53" t="inlineStr"/>
      <c r="N4167" s="54" t="inlineStr"/>
      <c r="O4167" s="55" t="inlineStr"/>
      <c r="P4167" s="16" t="inlineStr">
        <is>
          <t>Требует обогащения</t>
        </is>
      </c>
      <c r="Q4167" s="16">
        <f>HYPERLINK("https://pb.nalog.ru/search.html?query=2510003933","ФНС: проверить")</f>
        <v/>
      </c>
      <c r="R4167" s="16">
        <f>HYPERLINK("https://checko.ru/search?query=3801001629","Чекко: проверить")</f>
        <v/>
      </c>
      <c r="S4167" t="n">
        <v>1</v>
      </c>
      <c r="T4167" s="35" t="inlineStr">
        <is>
          <t>4 — Не обогащён</t>
        </is>
      </c>
      <c r="U4167" s="35" t="inlineStr">
        <is>
          <t>Нет ОКВЭД/ССЧР</t>
        </is>
      </c>
      <c r="V4167" s="35" t="inlineStr">
        <is>
          <t>Не определено</t>
        </is>
      </c>
      <c r="W4167" s="35" t="inlineStr"/>
      <c r="X4167" s="35" t="inlineStr"/>
    </row>
    <row r="4168" ht="41.25" customHeight="1" s="24">
      <c r="A4168" s="13" t="n">
        <v>5000098202</v>
      </c>
      <c r="B4168" s="13" t="inlineStr">
        <is>
          <t>Краевое государственное бюджетное учреждение "Хорольская ветеринарная станция по борьбе с болезнями животных "</t>
        </is>
      </c>
      <c r="C4168" s="13" t="n">
        <v>2532010412</v>
      </c>
      <c r="D4168" s="13" t="inlineStr">
        <is>
          <t>2532010412</t>
        </is>
      </c>
      <c r="E4168" s="13" t="inlineStr">
        <is>
          <t>ЮЛ РФ</t>
        </is>
      </c>
      <c r="F4168" s="13" t="n"/>
      <c r="G4168" s="14" t="n"/>
      <c r="H4168" s="14" t="n"/>
      <c r="I4168" s="14" t="n"/>
      <c r="J4168" s="14" t="n"/>
      <c r="K4168" s="53" t="inlineStr"/>
      <c r="L4168" s="53" t="inlineStr">
        <is>
          <t>Не определено</t>
        </is>
      </c>
      <c r="M4168" s="53" t="inlineStr"/>
      <c r="N4168" s="54" t="inlineStr"/>
      <c r="O4168" s="55" t="inlineStr"/>
      <c r="P4168" s="16" t="inlineStr">
        <is>
          <t>Требует обогащения</t>
        </is>
      </c>
      <c r="Q4168" s="16">
        <f>HYPERLINK("https://pb.nalog.ru/search.html?query=2532010412","ФНС: проверить")</f>
        <v/>
      </c>
      <c r="R4168" s="16">
        <f>HYPERLINK("https://checko.ru/search?query=3801001629","Чекко: проверить")</f>
        <v/>
      </c>
      <c r="S4168" t="n">
        <v>1</v>
      </c>
      <c r="T4168" s="35" t="inlineStr">
        <is>
          <t>4 — Не обогащён</t>
        </is>
      </c>
      <c r="U4168" s="35" t="inlineStr">
        <is>
          <t>Нет ОКВЭД/ССЧР</t>
        </is>
      </c>
      <c r="V4168" s="35" t="inlineStr">
        <is>
          <t>Не определено</t>
        </is>
      </c>
      <c r="W4168" s="35" t="inlineStr"/>
      <c r="X4168" s="35" t="inlineStr"/>
    </row>
    <row r="4169" ht="41.25" customHeight="1" s="24">
      <c r="A4169" s="13" t="n">
        <v>5000098207</v>
      </c>
      <c r="B4169" s="13" t="inlineStr">
        <is>
          <t>краевое государственное бюджетное профессиональное образовательное учреждение "Черниговский сельскохозяйственный колледж"</t>
        </is>
      </c>
      <c r="C4169" s="13" t="n">
        <v>2533000167</v>
      </c>
      <c r="D4169" s="13" t="inlineStr">
        <is>
          <t>2533000167</t>
        </is>
      </c>
      <c r="E4169" s="13" t="inlineStr">
        <is>
          <t>ЮЛ РФ</t>
        </is>
      </c>
      <c r="F4169" s="13" t="n"/>
      <c r="G4169" s="14" t="n"/>
      <c r="H4169" s="14" t="n"/>
      <c r="I4169" s="14" t="n"/>
      <c r="J4169" s="14" t="n"/>
      <c r="K4169" s="53" t="inlineStr"/>
      <c r="L4169" s="53" t="inlineStr">
        <is>
          <t>Не определено</t>
        </is>
      </c>
      <c r="M4169" s="53" t="inlineStr"/>
      <c r="N4169" s="54" t="inlineStr"/>
      <c r="O4169" s="55" t="inlineStr"/>
      <c r="P4169" s="16" t="inlineStr">
        <is>
          <t>Требует обогащения</t>
        </is>
      </c>
      <c r="Q4169" s="16">
        <f>HYPERLINK("https://pb.nalog.ru/search.html?query=2533000167","ФНС: проверить")</f>
        <v/>
      </c>
      <c r="R4169" s="16">
        <f>HYPERLINK("https://checko.ru/search?query=3801001629","Чекко: проверить")</f>
        <v/>
      </c>
      <c r="S4169" t="n">
        <v>1</v>
      </c>
      <c r="T4169" s="35" t="inlineStr">
        <is>
          <t>4 — Не обогащён</t>
        </is>
      </c>
      <c r="U4169" s="35" t="inlineStr">
        <is>
          <t>Нет ОКВЭД/ССЧР</t>
        </is>
      </c>
      <c r="V4169" s="35" t="inlineStr">
        <is>
          <t>Не определено</t>
        </is>
      </c>
      <c r="W4169" s="35" t="inlineStr"/>
      <c r="X4169" s="35" t="inlineStr"/>
    </row>
    <row r="4170" ht="27.75" customHeight="1" s="24">
      <c r="A4170" s="13" t="n">
        <v>5000098220</v>
      </c>
      <c r="B4170" s="13" t="inlineStr">
        <is>
          <t>краевое государственное казенное учреждение "ПРИМГОСАВТОНАДЗОР"</t>
        </is>
      </c>
      <c r="C4170" s="13" t="n">
        <v>2540056611</v>
      </c>
      <c r="D4170" s="13" t="inlineStr">
        <is>
          <t>2540056611</t>
        </is>
      </c>
      <c r="E4170" s="13" t="inlineStr">
        <is>
          <t>ЮЛ РФ</t>
        </is>
      </c>
      <c r="F4170" s="13" t="n"/>
      <c r="G4170" s="14" t="n"/>
      <c r="H4170" s="14" t="n"/>
      <c r="I4170" s="14" t="n"/>
      <c r="J4170" s="14" t="n"/>
      <c r="K4170" s="53" t="inlineStr"/>
      <c r="L4170" s="53" t="inlineStr">
        <is>
          <t>Не определено</t>
        </is>
      </c>
      <c r="M4170" s="53" t="inlineStr"/>
      <c r="N4170" s="54" t="inlineStr"/>
      <c r="O4170" s="55" t="inlineStr"/>
      <c r="P4170" s="16" t="inlineStr">
        <is>
          <t>Требует обогащения</t>
        </is>
      </c>
      <c r="Q4170" s="16">
        <f>HYPERLINK("https://pb.nalog.ru/search.html?query=2540056611","ФНС: проверить")</f>
        <v/>
      </c>
      <c r="R4170" s="16">
        <f>HYPERLINK("https://checko.ru/search?query=3801001629","Чекко: проверить")</f>
        <v/>
      </c>
      <c r="S4170" t="n">
        <v>1</v>
      </c>
      <c r="T4170" s="35" t="inlineStr">
        <is>
          <t>4 — Не обогащён</t>
        </is>
      </c>
      <c r="U4170" s="35" t="inlineStr">
        <is>
          <t>Нет ОКВЭД/ССЧР</t>
        </is>
      </c>
      <c r="V4170" s="35" t="inlineStr">
        <is>
          <t>Не определено</t>
        </is>
      </c>
      <c r="W4170" s="35" t="inlineStr"/>
      <c r="X4170" s="35" t="inlineStr"/>
    </row>
    <row r="4171" ht="27.75" customHeight="1" s="24">
      <c r="A4171" s="13" t="n">
        <v>5000098221</v>
      </c>
      <c r="B4171" s="13" t="inlineStr">
        <is>
          <t>краевое государственное казенное учреждение "Приморское лесничество"</t>
        </is>
      </c>
      <c r="C4171" s="13" t="n">
        <v>2539081525</v>
      </c>
      <c r="D4171" s="13" t="inlineStr">
        <is>
          <t>2539081525</t>
        </is>
      </c>
      <c r="E4171" s="13" t="inlineStr">
        <is>
          <t>ЮЛ РФ</t>
        </is>
      </c>
      <c r="F4171" s="13" t="n"/>
      <c r="G4171" s="14" t="n"/>
      <c r="H4171" s="14" t="n"/>
      <c r="I4171" s="14" t="n"/>
      <c r="J4171" s="14" t="n"/>
      <c r="K4171" s="53" t="inlineStr"/>
      <c r="L4171" s="53" t="inlineStr">
        <is>
          <t>Не определено</t>
        </is>
      </c>
      <c r="M4171" s="53" t="inlineStr"/>
      <c r="N4171" s="54" t="inlineStr"/>
      <c r="O4171" s="55" t="inlineStr"/>
      <c r="P4171" s="16" t="inlineStr">
        <is>
          <t>Требует обогащения</t>
        </is>
      </c>
      <c r="Q4171" s="16">
        <f>HYPERLINK("https://pb.nalog.ru/search.html?query=2539081525","ФНС: проверить")</f>
        <v/>
      </c>
      <c r="R4171" s="16">
        <f>HYPERLINK("https://checko.ru/search?query=3801001629","Чекко: проверить")</f>
        <v/>
      </c>
      <c r="S4171" t="n">
        <v>1</v>
      </c>
      <c r="T4171" s="35" t="inlineStr">
        <is>
          <t>4 — Не обогащён</t>
        </is>
      </c>
      <c r="U4171" s="35" t="inlineStr">
        <is>
          <t>Нет ОКВЭД/ССЧР</t>
        </is>
      </c>
      <c r="V4171" s="35" t="inlineStr">
        <is>
          <t>Не определено</t>
        </is>
      </c>
      <c r="W4171" s="35" t="inlineStr"/>
      <c r="X4171" s="35" t="inlineStr"/>
    </row>
    <row r="4172" ht="41.25" customHeight="1" s="24">
      <c r="A4172" s="13" t="n">
        <v>5000098222</v>
      </c>
      <c r="B4172" s="13" t="inlineStr">
        <is>
          <t>краевое государственное казенное учреждение "Управление землями и имуществом на территории Приморского края"</t>
        </is>
      </c>
      <c r="C4172" s="13" t="n">
        <v>2502045418</v>
      </c>
      <c r="D4172" s="13" t="inlineStr">
        <is>
          <t>2502045418</t>
        </is>
      </c>
      <c r="E4172" s="13" t="inlineStr">
        <is>
          <t>ЮЛ РФ</t>
        </is>
      </c>
      <c r="F4172" s="13" t="n"/>
      <c r="G4172" s="14" t="n"/>
      <c r="H4172" s="14" t="n"/>
      <c r="I4172" s="14" t="n"/>
      <c r="J4172" s="14" t="n"/>
      <c r="K4172" s="53" t="inlineStr"/>
      <c r="L4172" s="53" t="inlineStr">
        <is>
          <t>Не определено</t>
        </is>
      </c>
      <c r="M4172" s="53" t="inlineStr"/>
      <c r="N4172" s="54" t="inlineStr"/>
      <c r="O4172" s="55" t="inlineStr"/>
      <c r="P4172" s="16" t="inlineStr">
        <is>
          <t>Требует обогащения</t>
        </is>
      </c>
      <c r="Q4172" s="16">
        <f>HYPERLINK("https://pb.nalog.ru/search.html?query=2502045418","ФНС: проверить")</f>
        <v/>
      </c>
      <c r="R4172" s="16">
        <f>HYPERLINK("https://checko.ru/search?query=3801001629","Чекко: проверить")</f>
        <v/>
      </c>
      <c r="S4172" t="n">
        <v>1</v>
      </c>
      <c r="T4172" s="35" t="inlineStr">
        <is>
          <t>4 — Не обогащён</t>
        </is>
      </c>
      <c r="U4172" s="35" t="inlineStr">
        <is>
          <t>Нет ОКВЭД/ССЧР</t>
        </is>
      </c>
      <c r="V4172" s="35" t="inlineStr">
        <is>
          <t>Не определено</t>
        </is>
      </c>
      <c r="W4172" s="35" t="inlineStr"/>
      <c r="X4172" s="35" t="inlineStr"/>
    </row>
    <row r="4173" ht="15" customHeight="1" s="24">
      <c r="A4173" s="13" t="n">
        <v>5000098226</v>
      </c>
      <c r="B4173" s="13" t="inlineStr">
        <is>
          <t>ГАПОУ "Приморский краевой колледж искусcтв"</t>
        </is>
      </c>
      <c r="C4173" s="13" t="n">
        <v>2539009825</v>
      </c>
      <c r="D4173" s="13" t="inlineStr">
        <is>
          <t>2539009825</t>
        </is>
      </c>
      <c r="E4173" s="13" t="inlineStr">
        <is>
          <t>ЮЛ РФ</t>
        </is>
      </c>
      <c r="F4173" s="13" t="n"/>
      <c r="G4173" s="14" t="n"/>
      <c r="H4173" s="14" t="n"/>
      <c r="I4173" s="14" t="n"/>
      <c r="J4173" s="14" t="n"/>
      <c r="K4173" s="53" t="inlineStr"/>
      <c r="L4173" s="53" t="inlineStr">
        <is>
          <t>Не определено</t>
        </is>
      </c>
      <c r="M4173" s="53" t="inlineStr"/>
      <c r="N4173" s="54" t="inlineStr"/>
      <c r="O4173" s="55" t="inlineStr"/>
      <c r="P4173" s="16" t="inlineStr">
        <is>
          <t>Требует обогащения</t>
        </is>
      </c>
      <c r="Q4173" s="16">
        <f>HYPERLINK("https://pb.nalog.ru/search.html?query=2539009825","ФНС: проверить")</f>
        <v/>
      </c>
      <c r="R4173" s="16">
        <f>HYPERLINK("https://checko.ru/search?query=3801001629","Чекко: проверить")</f>
        <v/>
      </c>
      <c r="S4173" t="n">
        <v>1</v>
      </c>
      <c r="T4173" s="35" t="inlineStr">
        <is>
          <t>4 — Не обогащён</t>
        </is>
      </c>
      <c r="U4173" s="35" t="inlineStr">
        <is>
          <t>Нет ОКВЭД/ССЧР</t>
        </is>
      </c>
      <c r="V4173" s="35" t="inlineStr">
        <is>
          <t>Не определено</t>
        </is>
      </c>
      <c r="W4173" s="35" t="inlineStr"/>
      <c r="X4173" s="35" t="inlineStr"/>
    </row>
    <row r="4174" ht="54.75" customHeight="1" s="24">
      <c r="A4174" s="13" t="n">
        <v>5000098228</v>
      </c>
      <c r="B4174" s="13" t="inlineStr">
        <is>
          <t>государственное автономное учреждение дополнительного профессионального образования "Учебный центр подготовки кадров для края"</t>
        </is>
      </c>
      <c r="C4174" s="13" t="n">
        <v>2536007604</v>
      </c>
      <c r="D4174" s="13" t="inlineStr">
        <is>
          <t>2536007604</t>
        </is>
      </c>
      <c r="E4174" s="13" t="inlineStr">
        <is>
          <t>ЮЛ РФ</t>
        </is>
      </c>
      <c r="F4174" s="13" t="n"/>
      <c r="G4174" s="14" t="n"/>
      <c r="H4174" s="14" t="n"/>
      <c r="I4174" s="14" t="n"/>
      <c r="J4174" s="14" t="n"/>
      <c r="K4174" s="53" t="inlineStr"/>
      <c r="L4174" s="53" t="inlineStr">
        <is>
          <t>Не определено</t>
        </is>
      </c>
      <c r="M4174" s="53" t="inlineStr"/>
      <c r="N4174" s="54" t="inlineStr"/>
      <c r="O4174" s="55" t="inlineStr"/>
      <c r="P4174" s="16" t="inlineStr">
        <is>
          <t>Требует обогащения</t>
        </is>
      </c>
      <c r="Q4174" s="16">
        <f>HYPERLINK("https://pb.nalog.ru/search.html?query=2536007604","ФНС: проверить")</f>
        <v/>
      </c>
      <c r="R4174" s="16">
        <f>HYPERLINK("https://checko.ru/search?query=3801001629","Чекко: проверить")</f>
        <v/>
      </c>
      <c r="S4174" t="n">
        <v>1</v>
      </c>
      <c r="T4174" s="35" t="inlineStr">
        <is>
          <t>4 — Не обогащён</t>
        </is>
      </c>
      <c r="U4174" s="35" t="inlineStr">
        <is>
          <t>Нет ОКВЭД/ССЧР</t>
        </is>
      </c>
      <c r="V4174" s="35" t="inlineStr">
        <is>
          <t>Не определено</t>
        </is>
      </c>
      <c r="W4174" s="35" t="inlineStr"/>
      <c r="X4174" s="35" t="inlineStr"/>
    </row>
    <row r="4175" ht="41.25" customHeight="1" s="24">
      <c r="A4175" s="13" t="n">
        <v>5000098234</v>
      </c>
      <c r="B4175" s="13" t="inlineStr">
        <is>
          <t>государственное автономное учреждение культуры "Приморский академический краевой драматический театр имени М.Горького"</t>
        </is>
      </c>
      <c r="C4175" s="13" t="n">
        <v>2536014986</v>
      </c>
      <c r="D4175" s="13" t="inlineStr">
        <is>
          <t>2536014986</t>
        </is>
      </c>
      <c r="E4175" s="13" t="inlineStr">
        <is>
          <t>ЮЛ РФ</t>
        </is>
      </c>
      <c r="F4175" s="13" t="n"/>
      <c r="G4175" s="14" t="n"/>
      <c r="H4175" s="14" t="n"/>
      <c r="I4175" s="14" t="n"/>
      <c r="J4175" s="14" t="n"/>
      <c r="K4175" s="53" t="inlineStr"/>
      <c r="L4175" s="53" t="inlineStr">
        <is>
          <t>Не определено</t>
        </is>
      </c>
      <c r="M4175" s="53" t="inlineStr"/>
      <c r="N4175" s="54" t="inlineStr"/>
      <c r="O4175" s="55" t="inlineStr"/>
      <c r="P4175" s="16" t="inlineStr">
        <is>
          <t>Требует обогащения</t>
        </is>
      </c>
      <c r="Q4175" s="16">
        <f>HYPERLINK("https://pb.nalog.ru/search.html?query=2536014986","ФНС: проверить")</f>
        <v/>
      </c>
      <c r="R4175" s="16">
        <f>HYPERLINK("https://checko.ru/search?query=3801001629","Чекко: проверить")</f>
        <v/>
      </c>
      <c r="S4175" t="n">
        <v>1</v>
      </c>
      <c r="T4175" s="35" t="inlineStr">
        <is>
          <t>4 — Не обогащён</t>
        </is>
      </c>
      <c r="U4175" s="35" t="inlineStr">
        <is>
          <t>Нет ОКВЭД/ССЧР</t>
        </is>
      </c>
      <c r="V4175" s="35" t="inlineStr">
        <is>
          <t>Не определено</t>
        </is>
      </c>
      <c r="W4175" s="35" t="inlineStr"/>
      <c r="X4175" s="35" t="inlineStr"/>
    </row>
    <row r="4176" ht="27.75" customHeight="1" s="24">
      <c r="A4176" s="13" t="n">
        <v>5000098236</v>
      </c>
      <c r="B4176" s="13" t="inlineStr">
        <is>
          <t>государственное автономное учреждение культуры "Приморский краевой театр кукол"</t>
        </is>
      </c>
      <c r="C4176" s="13" t="n">
        <v>2536017419</v>
      </c>
      <c r="D4176" s="13" t="inlineStr">
        <is>
          <t>2536017419</t>
        </is>
      </c>
      <c r="E4176" s="13" t="inlineStr">
        <is>
          <t>ЮЛ РФ</t>
        </is>
      </c>
      <c r="F4176" s="13" t="n"/>
      <c r="G4176" s="14" t="n"/>
      <c r="H4176" s="14" t="n"/>
      <c r="I4176" s="14" t="n"/>
      <c r="J4176" s="14" t="n"/>
      <c r="K4176" s="53" t="inlineStr"/>
      <c r="L4176" s="53" t="inlineStr">
        <is>
          <t>Не определено</t>
        </is>
      </c>
      <c r="M4176" s="53" t="inlineStr"/>
      <c r="N4176" s="54" t="inlineStr"/>
      <c r="O4176" s="55" t="inlineStr"/>
      <c r="P4176" s="16" t="inlineStr">
        <is>
          <t>Требует обогащения</t>
        </is>
      </c>
      <c r="Q4176" s="16">
        <f>HYPERLINK("https://pb.nalog.ru/search.html?query=2536017419","ФНС: проверить")</f>
        <v/>
      </c>
      <c r="R4176" s="16">
        <f>HYPERLINK("https://checko.ru/search?query=3801001629","Чекко: проверить")</f>
        <v/>
      </c>
      <c r="S4176" t="n">
        <v>1</v>
      </c>
      <c r="T4176" s="35" t="inlineStr">
        <is>
          <t>4 — Не обогащён</t>
        </is>
      </c>
      <c r="U4176" s="35" t="inlineStr">
        <is>
          <t>Нет ОКВЭД/ССЧР</t>
        </is>
      </c>
      <c r="V4176" s="35" t="inlineStr">
        <is>
          <t>Не определено</t>
        </is>
      </c>
      <c r="W4176" s="35" t="inlineStr"/>
      <c r="X4176" s="35" t="inlineStr"/>
    </row>
    <row r="4177" ht="41.25" customHeight="1" s="24">
      <c r="A4177" s="13" t="n">
        <v>5000098689</v>
      </c>
      <c r="B4177" s="13" t="inlineStr">
        <is>
          <t>ОКОУ ДПО "Учебно-методический центр по гражданской обороне, чрезвычайным ситуациям и пожарной безопасности Сахалинской области"</t>
        </is>
      </c>
      <c r="C4177" s="13" t="n">
        <v>6501112958</v>
      </c>
      <c r="D4177" s="13" t="inlineStr">
        <is>
          <t>6501112958</t>
        </is>
      </c>
      <c r="E4177" s="13" t="inlineStr">
        <is>
          <t>ЮЛ РФ</t>
        </is>
      </c>
      <c r="F4177" s="13" t="n"/>
      <c r="G4177" s="14" t="n"/>
      <c r="H4177" s="14" t="n"/>
      <c r="I4177" s="14" t="n"/>
      <c r="J4177" s="14" t="n"/>
      <c r="K4177" s="53" t="inlineStr"/>
      <c r="L4177" s="53" t="inlineStr">
        <is>
          <t>Не определено</t>
        </is>
      </c>
      <c r="M4177" s="53" t="inlineStr"/>
      <c r="N4177" s="54" t="inlineStr"/>
      <c r="O4177" s="55" t="inlineStr"/>
      <c r="P4177" s="16" t="inlineStr">
        <is>
          <t>Требует обогащения</t>
        </is>
      </c>
      <c r="Q4177" s="16">
        <f>HYPERLINK("https://pb.nalog.ru/search.html?query=6501112958","ФНС: проверить")</f>
        <v/>
      </c>
      <c r="R4177" s="16">
        <f>HYPERLINK("https://checko.ru/search?query=3801001629","Чекко: проверить")</f>
        <v/>
      </c>
      <c r="S4177" t="n">
        <v>1</v>
      </c>
      <c r="T4177" s="35" t="inlineStr">
        <is>
          <t>4 — Не обогащён</t>
        </is>
      </c>
      <c r="U4177" s="35" t="inlineStr">
        <is>
          <t>Нет ОКВЭД/ССЧР</t>
        </is>
      </c>
      <c r="V4177" s="35" t="inlineStr">
        <is>
          <t>Не определено</t>
        </is>
      </c>
      <c r="W4177" s="35" t="inlineStr"/>
      <c r="X4177" s="35" t="inlineStr"/>
    </row>
    <row r="4178" ht="27.75" customHeight="1" s="24">
      <c r="A4178" s="13" t="n">
        <v>5000098688</v>
      </c>
      <c r="B4178" s="13" t="inlineStr">
        <is>
          <t>ГБУ "Углегорский психоневрологический интернат"</t>
        </is>
      </c>
      <c r="C4178" s="13" t="n">
        <v>6508006532</v>
      </c>
      <c r="D4178" s="13" t="inlineStr">
        <is>
          <t>6508006532</t>
        </is>
      </c>
      <c r="E4178" s="13" t="inlineStr">
        <is>
          <t>ЮЛ РФ</t>
        </is>
      </c>
      <c r="F4178" s="13" t="n"/>
      <c r="G4178" s="14" t="n"/>
      <c r="H4178" s="14" t="n"/>
      <c r="I4178" s="14" t="n"/>
      <c r="J4178" s="14" t="n"/>
      <c r="K4178" s="53" t="inlineStr"/>
      <c r="L4178" s="53" t="inlineStr">
        <is>
          <t>Не определено</t>
        </is>
      </c>
      <c r="M4178" s="53" t="inlineStr"/>
      <c r="N4178" s="54" t="inlineStr"/>
      <c r="O4178" s="55" t="inlineStr"/>
      <c r="P4178" s="16" t="inlineStr">
        <is>
          <t>Требует обогащения</t>
        </is>
      </c>
      <c r="Q4178" s="16">
        <f>HYPERLINK("https://pb.nalog.ru/search.html?query=6508006532","ФНС: проверить")</f>
        <v/>
      </c>
      <c r="R4178" s="16">
        <f>HYPERLINK("https://checko.ru/search?query=3801001629","Чекко: проверить")</f>
        <v/>
      </c>
      <c r="S4178" t="n">
        <v>1</v>
      </c>
      <c r="T4178" s="35" t="inlineStr">
        <is>
          <t>4 — Не обогащён</t>
        </is>
      </c>
      <c r="U4178" s="35" t="inlineStr">
        <is>
          <t>Нет ОКВЭД/ССЧР</t>
        </is>
      </c>
      <c r="V4178" s="35" t="inlineStr">
        <is>
          <t>Не определено</t>
        </is>
      </c>
      <c r="W4178" s="35" t="inlineStr"/>
      <c r="X4178" s="35" t="inlineStr"/>
    </row>
    <row r="4179" ht="27.75" customHeight="1" s="24">
      <c r="A4179" s="13" t="n">
        <v>5000098685</v>
      </c>
      <c r="B4179" s="13" t="inlineStr">
        <is>
          <t>ГБУ "Южно-Сахалинский психоневрологический интернат"</t>
        </is>
      </c>
      <c r="C4179" s="13" t="n">
        <v>6501073963</v>
      </c>
      <c r="D4179" s="13" t="inlineStr">
        <is>
          <t>6501073963</t>
        </is>
      </c>
      <c r="E4179" s="13" t="inlineStr">
        <is>
          <t>ЮЛ РФ</t>
        </is>
      </c>
      <c r="F4179" s="13" t="n"/>
      <c r="G4179" s="14" t="n"/>
      <c r="H4179" s="14" t="n"/>
      <c r="I4179" s="14" t="n"/>
      <c r="J4179" s="14" t="n"/>
      <c r="K4179" s="53" t="inlineStr"/>
      <c r="L4179" s="53" t="inlineStr">
        <is>
          <t>Не определено</t>
        </is>
      </c>
      <c r="M4179" s="53" t="inlineStr"/>
      <c r="N4179" s="54" t="inlineStr"/>
      <c r="O4179" s="55" t="inlineStr"/>
      <c r="P4179" s="16" t="inlineStr">
        <is>
          <t>Требует обогащения</t>
        </is>
      </c>
      <c r="Q4179" s="16">
        <f>HYPERLINK("https://pb.nalog.ru/search.html?query=6501073963","ФНС: проверить")</f>
        <v/>
      </c>
      <c r="R4179" s="16">
        <f>HYPERLINK("https://checko.ru/search?query=3801001629","Чекко: проверить")</f>
        <v/>
      </c>
      <c r="S4179" t="n">
        <v>1</v>
      </c>
      <c r="T4179" s="35" t="inlineStr">
        <is>
          <t>4 — Не обогащён</t>
        </is>
      </c>
      <c r="U4179" s="35" t="inlineStr">
        <is>
          <t>Нет ОКВЭД/ССЧР</t>
        </is>
      </c>
      <c r="V4179" s="35" t="inlineStr">
        <is>
          <t>Не определено</t>
        </is>
      </c>
      <c r="W4179" s="35" t="inlineStr"/>
      <c r="X4179" s="35" t="inlineStr"/>
    </row>
    <row r="4180" ht="27.75" customHeight="1" s="24">
      <c r="A4180" s="13" t="n">
        <v>5000098682</v>
      </c>
      <c r="B4180" s="13" t="inlineStr">
        <is>
          <t>ГКУ "Социально-реабилитационный центр для несовершеннолетних "Добродея"</t>
        </is>
      </c>
      <c r="C4180" s="13" t="n">
        <v>6502002884</v>
      </c>
      <c r="D4180" s="13" t="inlineStr">
        <is>
          <t>6502002884</t>
        </is>
      </c>
      <c r="E4180" s="13" t="inlineStr">
        <is>
          <t>ЮЛ РФ</t>
        </is>
      </c>
      <c r="F4180" s="13" t="n"/>
      <c r="G4180" s="14" t="n"/>
      <c r="H4180" s="14" t="n"/>
      <c r="I4180" s="14" t="n"/>
      <c r="J4180" s="14" t="n"/>
      <c r="K4180" s="53" t="inlineStr"/>
      <c r="L4180" s="53" t="inlineStr">
        <is>
          <t>Не определено</t>
        </is>
      </c>
      <c r="M4180" s="53" t="inlineStr"/>
      <c r="N4180" s="54" t="inlineStr"/>
      <c r="O4180" s="55" t="inlineStr"/>
      <c r="P4180" s="16" t="inlineStr">
        <is>
          <t>Требует обогащения</t>
        </is>
      </c>
      <c r="Q4180" s="16">
        <f>HYPERLINK("https://pb.nalog.ru/search.html?query=6502002884","ФНС: проверить")</f>
        <v/>
      </c>
      <c r="R4180" s="16">
        <f>HYPERLINK("https://checko.ru/search?query=3801001629","Чекко: проверить")</f>
        <v/>
      </c>
      <c r="S4180" t="n">
        <v>1</v>
      </c>
      <c r="T4180" s="35" t="inlineStr">
        <is>
          <t>4 — Не обогащён</t>
        </is>
      </c>
      <c r="U4180" s="35" t="inlineStr">
        <is>
          <t>Нет ОКВЭД/ССЧР</t>
        </is>
      </c>
      <c r="V4180" s="35" t="inlineStr">
        <is>
          <t>Не определено</t>
        </is>
      </c>
      <c r="W4180" s="35" t="inlineStr"/>
      <c r="X4180" s="35" t="inlineStr"/>
    </row>
    <row r="4181" ht="27.75" customHeight="1" s="24">
      <c r="A4181" s="13" t="n">
        <v>5000098683</v>
      </c>
      <c r="B4181" s="13" t="inlineStr">
        <is>
          <t>ГБУ "Южно-Сахалинский дом-интернат для престарелых и инвалидов"</t>
        </is>
      </c>
      <c r="C4181" s="13" t="n">
        <v>6501025670</v>
      </c>
      <c r="D4181" s="13" t="inlineStr">
        <is>
          <t>6501025670</t>
        </is>
      </c>
      <c r="E4181" s="13" t="inlineStr">
        <is>
          <t>ЮЛ РФ</t>
        </is>
      </c>
      <c r="F4181" s="13" t="n"/>
      <c r="G4181" s="14" t="n"/>
      <c r="H4181" s="14" t="n"/>
      <c r="I4181" s="14" t="n"/>
      <c r="J4181" s="14" t="n"/>
      <c r="K4181" s="53" t="inlineStr"/>
      <c r="L4181" s="53" t="inlineStr">
        <is>
          <t>Не определено</t>
        </is>
      </c>
      <c r="M4181" s="53" t="inlineStr"/>
      <c r="N4181" s="54" t="inlineStr"/>
      <c r="O4181" s="55" t="inlineStr"/>
      <c r="P4181" s="16" t="inlineStr">
        <is>
          <t>Требует обогащения</t>
        </is>
      </c>
      <c r="Q4181" s="16">
        <f>HYPERLINK("https://pb.nalog.ru/search.html?query=6501025670","ФНС: проверить")</f>
        <v/>
      </c>
      <c r="R4181" s="16">
        <f>HYPERLINK("https://checko.ru/search?query=3801001629","Чекко: проверить")</f>
        <v/>
      </c>
      <c r="S4181" t="n">
        <v>1</v>
      </c>
      <c r="T4181" s="35" t="inlineStr">
        <is>
          <t>4 — Не обогащён</t>
        </is>
      </c>
      <c r="U4181" s="35" t="inlineStr">
        <is>
          <t>Нет ОКВЭД/ССЧР</t>
        </is>
      </c>
      <c r="V4181" s="35" t="inlineStr">
        <is>
          <t>Не определено</t>
        </is>
      </c>
      <c r="W4181" s="35" t="inlineStr"/>
      <c r="X4181" s="35" t="inlineStr"/>
    </row>
    <row r="4182" ht="27.75" customHeight="1" s="24">
      <c r="A4182" s="13" t="n">
        <v>5000098676</v>
      </c>
      <c r="B4182" s="13" t="inlineStr">
        <is>
          <t>ГКУ "Социально-реабилитационный центр для несовершеннолетних "Алый парус"</t>
        </is>
      </c>
      <c r="C4182" s="13" t="n">
        <v>6510003497</v>
      </c>
      <c r="D4182" s="13" t="inlineStr">
        <is>
          <t>6510003497</t>
        </is>
      </c>
      <c r="E4182" s="13" t="inlineStr">
        <is>
          <t>ЮЛ РФ</t>
        </is>
      </c>
      <c r="F4182" s="13" t="n"/>
      <c r="G4182" s="14" t="n"/>
      <c r="H4182" s="14" t="n"/>
      <c r="I4182" s="14" t="n"/>
      <c r="J4182" s="14" t="n"/>
      <c r="K4182" s="53" t="inlineStr"/>
      <c r="L4182" s="53" t="inlineStr">
        <is>
          <t>Не определено</t>
        </is>
      </c>
      <c r="M4182" s="53" t="inlineStr"/>
      <c r="N4182" s="54" t="inlineStr"/>
      <c r="O4182" s="55" t="inlineStr"/>
      <c r="P4182" s="16" t="inlineStr">
        <is>
          <t>Требует обогащения</t>
        </is>
      </c>
      <c r="Q4182" s="16">
        <f>HYPERLINK("https://pb.nalog.ru/search.html?query=6510003497","ФНС: проверить")</f>
        <v/>
      </c>
      <c r="R4182" s="16">
        <f>HYPERLINK("https://checko.ru/search?query=3801001629","Чекко: проверить")</f>
        <v/>
      </c>
      <c r="S4182" t="n">
        <v>1</v>
      </c>
      <c r="T4182" s="35" t="inlineStr">
        <is>
          <t>4 — Не обогащён</t>
        </is>
      </c>
      <c r="U4182" s="35" t="inlineStr">
        <is>
          <t>Нет ОКВЭД/ССЧР</t>
        </is>
      </c>
      <c r="V4182" s="35" t="inlineStr">
        <is>
          <t>Не определено</t>
        </is>
      </c>
      <c r="W4182" s="35" t="inlineStr"/>
      <c r="X4182" s="35" t="inlineStr"/>
    </row>
    <row r="4183" ht="41.25" customHeight="1" s="24">
      <c r="A4183" s="13" t="n">
        <v>5000098680</v>
      </c>
      <c r="B4183" s="13" t="inlineStr">
        <is>
          <t>ГБУ "Сахалинский областной специализированный дом ветеранов и инвалидов"</t>
        </is>
      </c>
      <c r="C4183" s="13" t="n">
        <v>6501309087</v>
      </c>
      <c r="D4183" s="13" t="inlineStr">
        <is>
          <t>6501309087</t>
        </is>
      </c>
      <c r="E4183" s="13" t="inlineStr">
        <is>
          <t>ЮЛ РФ</t>
        </is>
      </c>
      <c r="F4183" s="13" t="n"/>
      <c r="G4183" s="14" t="n"/>
      <c r="H4183" s="14" t="n"/>
      <c r="I4183" s="14" t="n"/>
      <c r="J4183" s="14" t="n"/>
      <c r="K4183" s="53" t="inlineStr"/>
      <c r="L4183" s="53" t="inlineStr">
        <is>
          <t>Не определено</t>
        </is>
      </c>
      <c r="M4183" s="53" t="inlineStr"/>
      <c r="N4183" s="54" t="inlineStr"/>
      <c r="O4183" s="55" t="inlineStr"/>
      <c r="P4183" s="16" t="inlineStr">
        <is>
          <t>Требует обогащения</t>
        </is>
      </c>
      <c r="Q4183" s="16">
        <f>HYPERLINK("https://pb.nalog.ru/search.html?query=6501309087","ФНС: проверить")</f>
        <v/>
      </c>
      <c r="R4183" s="16">
        <f>HYPERLINK("https://checko.ru/search?query=3801001629","Чекко: проверить")</f>
        <v/>
      </c>
      <c r="S4183" t="n">
        <v>1</v>
      </c>
      <c r="T4183" s="35" t="inlineStr">
        <is>
          <t>4 — Не обогащён</t>
        </is>
      </c>
      <c r="U4183" s="35" t="inlineStr">
        <is>
          <t>Нет ОКВЭД/ССЧР</t>
        </is>
      </c>
      <c r="V4183" s="35" t="inlineStr">
        <is>
          <t>Не определено</t>
        </is>
      </c>
      <c r="W4183" s="35" t="inlineStr"/>
      <c r="X4183" s="35" t="inlineStr"/>
    </row>
    <row r="4184" ht="15" customHeight="1" s="24">
      <c r="A4184" s="13" t="n">
        <v>5000098627</v>
      </c>
      <c r="B4184" s="13" t="inlineStr">
        <is>
          <t>ГБУЗ "Дезинфекционная станция им.Ю.А.Заккис"</t>
        </is>
      </c>
      <c r="C4184" s="13" t="n">
        <v>6501027029</v>
      </c>
      <c r="D4184" s="13" t="inlineStr">
        <is>
          <t>6501027029</t>
        </is>
      </c>
      <c r="E4184" s="13" t="inlineStr">
        <is>
          <t>ЮЛ РФ</t>
        </is>
      </c>
      <c r="F4184" s="13" t="n"/>
      <c r="G4184" s="14" t="n"/>
      <c r="H4184" s="14" t="n"/>
      <c r="I4184" s="14" t="n"/>
      <c r="J4184" s="14" t="n"/>
      <c r="K4184" s="53" t="inlineStr"/>
      <c r="L4184" s="53" t="inlineStr">
        <is>
          <t>Не определено</t>
        </is>
      </c>
      <c r="M4184" s="53" t="inlineStr"/>
      <c r="N4184" s="54" t="inlineStr"/>
      <c r="O4184" s="55" t="inlineStr"/>
      <c r="P4184" s="16" t="inlineStr">
        <is>
          <t>Требует обогащения</t>
        </is>
      </c>
      <c r="Q4184" s="16">
        <f>HYPERLINK("https://pb.nalog.ru/search.html?query=6501027029","ФНС: проверить")</f>
        <v/>
      </c>
      <c r="R4184" s="16">
        <f>HYPERLINK("https://checko.ru/search?query=3801001629","Чекко: проверить")</f>
        <v/>
      </c>
      <c r="S4184" t="n">
        <v>1</v>
      </c>
      <c r="T4184" s="35" t="inlineStr">
        <is>
          <t>4 — Не обогащён</t>
        </is>
      </c>
      <c r="U4184" s="35" t="inlineStr">
        <is>
          <t>Нет ОКВЭД/ССЧР</t>
        </is>
      </c>
      <c r="V4184" s="35" t="inlineStr">
        <is>
          <t>Не определено</t>
        </is>
      </c>
      <c r="W4184" s="35" t="inlineStr"/>
      <c r="X4184" s="35" t="inlineStr"/>
    </row>
    <row r="4185" ht="27.75" customHeight="1" s="24">
      <c r="A4185" s="13" t="n">
        <v>5000098629</v>
      </c>
      <c r="B4185" s="13" t="inlineStr">
        <is>
          <t>ГБУЗ "Сахалинский областной наркологический диспансер"</t>
        </is>
      </c>
      <c r="C4185" s="13" t="n">
        <v>6501130650</v>
      </c>
      <c r="D4185" s="13" t="inlineStr">
        <is>
          <t>6501130650</t>
        </is>
      </c>
      <c r="E4185" s="13" t="inlineStr">
        <is>
          <t>ЮЛ РФ</t>
        </is>
      </c>
      <c r="F4185" s="13" t="n"/>
      <c r="G4185" s="14" t="n"/>
      <c r="H4185" s="14" t="n"/>
      <c r="I4185" s="14" t="n"/>
      <c r="J4185" s="14" t="n"/>
      <c r="K4185" s="53" t="inlineStr"/>
      <c r="L4185" s="53" t="inlineStr">
        <is>
          <t>Не определено</t>
        </is>
      </c>
      <c r="M4185" s="53" t="inlineStr"/>
      <c r="N4185" s="54" t="inlineStr"/>
      <c r="O4185" s="55" t="inlineStr"/>
      <c r="P4185" s="16" t="inlineStr">
        <is>
          <t>Требует обогащения</t>
        </is>
      </c>
      <c r="Q4185" s="16">
        <f>HYPERLINK("https://pb.nalog.ru/search.html?query=6501130650","ФНС: проверить")</f>
        <v/>
      </c>
      <c r="R4185" s="16">
        <f>HYPERLINK("https://checko.ru/search?query=3801001629","Чекко: проверить")</f>
        <v/>
      </c>
      <c r="S4185" t="n">
        <v>1</v>
      </c>
      <c r="T4185" s="35" t="inlineStr">
        <is>
          <t>4 — Не обогащён</t>
        </is>
      </c>
      <c r="U4185" s="35" t="inlineStr">
        <is>
          <t>Нет ОКВЭД/ССЧР</t>
        </is>
      </c>
      <c r="V4185" s="35" t="inlineStr">
        <is>
          <t>Не определено</t>
        </is>
      </c>
      <c r="W4185" s="35" t="inlineStr"/>
      <c r="X4185" s="35" t="inlineStr"/>
    </row>
    <row r="4186" ht="15" customHeight="1" s="24">
      <c r="A4186" s="13" t="n">
        <v>5000098634</v>
      </c>
      <c r="B4186" s="13" t="inlineStr">
        <is>
          <t>ГБУЗ "Областная стоматологическая поликлиника"</t>
        </is>
      </c>
      <c r="C4186" s="13" t="n">
        <v>6501070546</v>
      </c>
      <c r="D4186" s="13" t="inlineStr">
        <is>
          <t>6501070546</t>
        </is>
      </c>
      <c r="E4186" s="13" t="inlineStr">
        <is>
          <t>ЮЛ РФ</t>
        </is>
      </c>
      <c r="F4186" s="13" t="n"/>
      <c r="G4186" s="14" t="n"/>
      <c r="H4186" s="14" t="n"/>
      <c r="I4186" s="14" t="n"/>
      <c r="J4186" s="14" t="n"/>
      <c r="K4186" s="53" t="inlineStr"/>
      <c r="L4186" s="53" t="inlineStr">
        <is>
          <t>Не определено</t>
        </is>
      </c>
      <c r="M4186" s="53" t="inlineStr"/>
      <c r="N4186" s="54" t="inlineStr"/>
      <c r="O4186" s="55" t="inlineStr"/>
      <c r="P4186" s="16" t="inlineStr">
        <is>
          <t>Требует обогащения</t>
        </is>
      </c>
      <c r="Q4186" s="16">
        <f>HYPERLINK("https://pb.nalog.ru/search.html?query=6501070546","ФНС: проверить")</f>
        <v/>
      </c>
      <c r="R4186" s="16">
        <f>HYPERLINK("https://checko.ru/search?query=3801001629","Чекко: проверить")</f>
        <v/>
      </c>
      <c r="S4186" t="n">
        <v>1</v>
      </c>
      <c r="T4186" s="35" t="inlineStr">
        <is>
          <t>4 — Не обогащён</t>
        </is>
      </c>
      <c r="U4186" s="35" t="inlineStr">
        <is>
          <t>Нет ОКВЭД/ССЧР</t>
        </is>
      </c>
      <c r="V4186" s="35" t="inlineStr">
        <is>
          <t>Не определено</t>
        </is>
      </c>
      <c r="W4186" s="35" t="inlineStr"/>
      <c r="X4186" s="35" t="inlineStr"/>
    </row>
    <row r="4187" ht="27.75" customHeight="1" s="24">
      <c r="A4187" s="13" t="n">
        <v>5000098635</v>
      </c>
      <c r="B4187" s="13" t="inlineStr">
        <is>
          <t>ГБУЗ СО  "Тымовская центральная районная больница"</t>
        </is>
      </c>
      <c r="C4187" s="13" t="n">
        <v>6517001442</v>
      </c>
      <c r="D4187" s="13" t="inlineStr">
        <is>
          <t>6517001442</t>
        </is>
      </c>
      <c r="E4187" s="13" t="inlineStr">
        <is>
          <t>ЮЛ РФ</t>
        </is>
      </c>
      <c r="F4187" s="13" t="n"/>
      <c r="G4187" s="14" t="n"/>
      <c r="H4187" s="14" t="n"/>
      <c r="I4187" s="14" t="n"/>
      <c r="J4187" s="14" t="n"/>
      <c r="K4187" s="53" t="inlineStr"/>
      <c r="L4187" s="53" t="inlineStr">
        <is>
          <t>Не определено</t>
        </is>
      </c>
      <c r="M4187" s="53" t="inlineStr"/>
      <c r="N4187" s="54" t="inlineStr"/>
      <c r="O4187" s="55" t="inlineStr"/>
      <c r="P4187" s="16" t="inlineStr">
        <is>
          <t>Требует обогащения</t>
        </is>
      </c>
      <c r="Q4187" s="16">
        <f>HYPERLINK("https://pb.nalog.ru/search.html?query=6517001442","ФНС: проверить")</f>
        <v/>
      </c>
      <c r="R4187" s="16">
        <f>HYPERLINK("https://checko.ru/search?query=3801001629","Чекко: проверить")</f>
        <v/>
      </c>
      <c r="S4187" t="n">
        <v>1</v>
      </c>
      <c r="T4187" s="35" t="inlineStr">
        <is>
          <t>4 — Не обогащён</t>
        </is>
      </c>
      <c r="U4187" s="35" t="inlineStr">
        <is>
          <t>Нет ОКВЭД/ССЧР</t>
        </is>
      </c>
      <c r="V4187" s="35" t="inlineStr">
        <is>
          <t>Не определено</t>
        </is>
      </c>
      <c r="W4187" s="35" t="inlineStr"/>
      <c r="X4187" s="35" t="inlineStr"/>
    </row>
    <row r="4188" ht="27.75" customHeight="1" s="24">
      <c r="A4188" s="13" t="n">
        <v>5000098637</v>
      </c>
      <c r="B4188" s="13" t="inlineStr">
        <is>
          <t>ГБУЗ "Сахалинский областной центр по профилактике и борьбе со СПИДом"</t>
        </is>
      </c>
      <c r="C4188" s="13" t="n">
        <v>6501121110</v>
      </c>
      <c r="D4188" s="13" t="inlineStr">
        <is>
          <t>6501121110</t>
        </is>
      </c>
      <c r="E4188" s="13" t="inlineStr">
        <is>
          <t>ЮЛ РФ</t>
        </is>
      </c>
      <c r="F4188" s="13" t="n"/>
      <c r="G4188" s="14" t="n"/>
      <c r="H4188" s="14" t="n"/>
      <c r="I4188" s="14" t="n"/>
      <c r="J4188" s="14" t="n"/>
      <c r="K4188" s="53" t="inlineStr"/>
      <c r="L4188" s="53" t="inlineStr">
        <is>
          <t>Не определено</t>
        </is>
      </c>
      <c r="M4188" s="53" t="inlineStr"/>
      <c r="N4188" s="54" t="inlineStr"/>
      <c r="O4188" s="55" t="inlineStr"/>
      <c r="P4188" s="16" t="inlineStr">
        <is>
          <t>Требует обогащения</t>
        </is>
      </c>
      <c r="Q4188" s="16">
        <f>HYPERLINK("https://pb.nalog.ru/search.html?query=6501121110","ФНС: проверить")</f>
        <v/>
      </c>
      <c r="R4188" s="16">
        <f>HYPERLINK("https://checko.ru/search?query=3801001629","Чекко: проверить")</f>
        <v/>
      </c>
      <c r="S4188" t="n">
        <v>1</v>
      </c>
      <c r="T4188" s="35" t="inlineStr">
        <is>
          <t>4 — Не обогащён</t>
        </is>
      </c>
      <c r="U4188" s="35" t="inlineStr">
        <is>
          <t>Нет ОКВЭД/ССЧР</t>
        </is>
      </c>
      <c r="V4188" s="35" t="inlineStr">
        <is>
          <t>Не определено</t>
        </is>
      </c>
      <c r="W4188" s="35" t="inlineStr"/>
      <c r="X4188" s="35" t="inlineStr"/>
    </row>
    <row r="4189" ht="15" customHeight="1" s="24">
      <c r="A4189" s="13" t="n">
        <v>5000098642</v>
      </c>
      <c r="B4189" s="13" t="inlineStr">
        <is>
          <t>ГБУЗ "Областная детская больница"</t>
        </is>
      </c>
      <c r="C4189" s="13" t="n">
        <v>6501232250</v>
      </c>
      <c r="D4189" s="13" t="inlineStr">
        <is>
          <t>6501232250</t>
        </is>
      </c>
      <c r="E4189" s="13" t="inlineStr">
        <is>
          <t>ЮЛ РФ</t>
        </is>
      </c>
      <c r="F4189" s="13" t="n"/>
      <c r="G4189" s="14" t="n"/>
      <c r="H4189" s="14" t="n"/>
      <c r="I4189" s="14" t="n"/>
      <c r="J4189" s="14" t="n"/>
      <c r="K4189" s="53" t="inlineStr"/>
      <c r="L4189" s="53" t="inlineStr">
        <is>
          <t>Не определено</t>
        </is>
      </c>
      <c r="M4189" s="53" t="inlineStr"/>
      <c r="N4189" s="54" t="inlineStr"/>
      <c r="O4189" s="55" t="inlineStr"/>
      <c r="P4189" s="16" t="inlineStr">
        <is>
          <t>Требует обогащения</t>
        </is>
      </c>
      <c r="Q4189" s="16">
        <f>HYPERLINK("https://pb.nalog.ru/search.html?query=6501232250","ФНС: проверить")</f>
        <v/>
      </c>
      <c r="R4189" s="16">
        <f>HYPERLINK("https://checko.ru/search?query=3801001629","Чекко: проверить")</f>
        <v/>
      </c>
      <c r="S4189" t="n">
        <v>1</v>
      </c>
      <c r="T4189" s="35" t="inlineStr">
        <is>
          <t>4 — Не обогащён</t>
        </is>
      </c>
      <c r="U4189" s="35" t="inlineStr">
        <is>
          <t>Нет ОКВЭД/ССЧР</t>
        </is>
      </c>
      <c r="V4189" s="35" t="inlineStr">
        <is>
          <t>Не определено</t>
        </is>
      </c>
      <c r="W4189" s="35" t="inlineStr"/>
      <c r="X4189" s="35" t="inlineStr"/>
    </row>
    <row r="4190" ht="27.75" customHeight="1" s="24">
      <c r="A4190" s="13" t="n">
        <v>5000098643</v>
      </c>
      <c r="B4190" s="13" t="inlineStr">
        <is>
          <t>ГБСКУЗ "Детский областной многопрофильный санаторий"</t>
        </is>
      </c>
      <c r="C4190" s="13" t="n">
        <v>6501069565</v>
      </c>
      <c r="D4190" s="13" t="inlineStr">
        <is>
          <t>6501069565</t>
        </is>
      </c>
      <c r="E4190" s="13" t="inlineStr">
        <is>
          <t>ЮЛ РФ</t>
        </is>
      </c>
      <c r="F4190" s="13" t="n"/>
      <c r="G4190" s="14" t="n"/>
      <c r="H4190" s="14" t="n"/>
      <c r="I4190" s="14" t="n"/>
      <c r="J4190" s="14" t="n"/>
      <c r="K4190" s="53" t="inlineStr"/>
      <c r="L4190" s="53" t="inlineStr">
        <is>
          <t>Не определено</t>
        </is>
      </c>
      <c r="M4190" s="53" t="inlineStr"/>
      <c r="N4190" s="54" t="inlineStr"/>
      <c r="O4190" s="55" t="inlineStr"/>
      <c r="P4190" s="16" t="inlineStr">
        <is>
          <t>Требует обогащения</t>
        </is>
      </c>
      <c r="Q4190" s="16">
        <f>HYPERLINK("https://pb.nalog.ru/search.html?query=6501069565","ФНС: проверить")</f>
        <v/>
      </c>
      <c r="R4190" s="16">
        <f>HYPERLINK("https://checko.ru/search?query=3801001629","Чекко: проверить")</f>
        <v/>
      </c>
      <c r="S4190" t="n">
        <v>1</v>
      </c>
      <c r="T4190" s="35" t="inlineStr">
        <is>
          <t>4 — Не обогащён</t>
        </is>
      </c>
      <c r="U4190" s="35" t="inlineStr">
        <is>
          <t>Нет ОКВЭД/ССЧР</t>
        </is>
      </c>
      <c r="V4190" s="35" t="inlineStr">
        <is>
          <t>Не определено</t>
        </is>
      </c>
      <c r="W4190" s="35" t="inlineStr"/>
      <c r="X4190" s="35" t="inlineStr"/>
    </row>
    <row r="4191" ht="27.75" customHeight="1" s="24">
      <c r="A4191" s="13" t="n">
        <v>5000098645</v>
      </c>
      <c r="B4191" s="13" t="inlineStr">
        <is>
          <t>ГБУЗ "Корсаковская центральная районная больница"</t>
        </is>
      </c>
      <c r="C4191" s="13" t="n">
        <v>6504020670</v>
      </c>
      <c r="D4191" s="13" t="inlineStr">
        <is>
          <t>6504020670</t>
        </is>
      </c>
      <c r="E4191" s="13" t="inlineStr">
        <is>
          <t>ЮЛ РФ</t>
        </is>
      </c>
      <c r="F4191" s="13" t="n"/>
      <c r="G4191" s="14" t="n"/>
      <c r="H4191" s="14" t="n"/>
      <c r="I4191" s="14" t="n"/>
      <c r="J4191" s="14" t="n"/>
      <c r="K4191" s="53" t="inlineStr"/>
      <c r="L4191" s="53" t="inlineStr">
        <is>
          <t>Не определено</t>
        </is>
      </c>
      <c r="M4191" s="53" t="inlineStr"/>
      <c r="N4191" s="54" t="inlineStr"/>
      <c r="O4191" s="55" t="inlineStr"/>
      <c r="P4191" s="16" t="inlineStr">
        <is>
          <t>Требует обогащения</t>
        </is>
      </c>
      <c r="Q4191" s="16">
        <f>HYPERLINK("https://pb.nalog.ru/search.html?query=6504020670","ФНС: проверить")</f>
        <v/>
      </c>
      <c r="R4191" s="16">
        <f>HYPERLINK("https://checko.ru/search?query=3801001629","Чекко: проверить")</f>
        <v/>
      </c>
      <c r="S4191" t="n">
        <v>1</v>
      </c>
      <c r="T4191" s="35" t="inlineStr">
        <is>
          <t>4 — Не обогащён</t>
        </is>
      </c>
      <c r="U4191" s="35" t="inlineStr">
        <is>
          <t>Нет ОКВЭД/ССЧР</t>
        </is>
      </c>
      <c r="V4191" s="35" t="inlineStr">
        <is>
          <t>Не определено</t>
        </is>
      </c>
      <c r="W4191" s="35" t="inlineStr"/>
      <c r="X4191" s="35" t="inlineStr"/>
    </row>
    <row r="4192" ht="27.75" customHeight="1" s="24">
      <c r="A4192" s="13" t="n">
        <v>5000098647</v>
      </c>
      <c r="B4192" s="13" t="inlineStr">
        <is>
          <t>ГБУЗ "Макаровская центральная районная больница"</t>
        </is>
      </c>
      <c r="C4192" s="13" t="n">
        <v>6512000702</v>
      </c>
      <c r="D4192" s="13" t="inlineStr">
        <is>
          <t>6512000702</t>
        </is>
      </c>
      <c r="E4192" s="13" t="inlineStr">
        <is>
          <t>ЮЛ РФ</t>
        </is>
      </c>
      <c r="F4192" s="13" t="n"/>
      <c r="G4192" s="14" t="n"/>
      <c r="H4192" s="14" t="n"/>
      <c r="I4192" s="14" t="n"/>
      <c r="J4192" s="14" t="n"/>
      <c r="K4192" s="53" t="inlineStr"/>
      <c r="L4192" s="53" t="inlineStr">
        <is>
          <t>Не определено</t>
        </is>
      </c>
      <c r="M4192" s="53" t="inlineStr"/>
      <c r="N4192" s="54" t="inlineStr"/>
      <c r="O4192" s="55" t="inlineStr"/>
      <c r="P4192" s="16" t="inlineStr">
        <is>
          <t>Требует обогащения</t>
        </is>
      </c>
      <c r="Q4192" s="16">
        <f>HYPERLINK("https://pb.nalog.ru/search.html?query=6512000702","ФНС: проверить")</f>
        <v/>
      </c>
      <c r="R4192" s="16">
        <f>HYPERLINK("https://checko.ru/search?query=3801001629","Чекко: проверить")</f>
        <v/>
      </c>
      <c r="S4192" t="n">
        <v>1</v>
      </c>
      <c r="T4192" s="35" t="inlineStr">
        <is>
          <t>4 — Не обогащён</t>
        </is>
      </c>
      <c r="U4192" s="35" t="inlineStr">
        <is>
          <t>Нет ОКВЭД/ССЧР</t>
        </is>
      </c>
      <c r="V4192" s="35" t="inlineStr">
        <is>
          <t>Не определено</t>
        </is>
      </c>
      <c r="W4192" s="35" t="inlineStr"/>
      <c r="X4192" s="35" t="inlineStr"/>
    </row>
    <row r="4193" ht="15" customHeight="1" s="24">
      <c r="A4193" s="13" t="n">
        <v>5000098650</v>
      </c>
      <c r="B4193" s="13" t="inlineStr">
        <is>
          <t>ГБУЗ "Охинская центральная районная больница"</t>
        </is>
      </c>
      <c r="C4193" s="13" t="n">
        <v>6506003092</v>
      </c>
      <c r="D4193" s="13" t="inlineStr">
        <is>
          <t>6506003092</t>
        </is>
      </c>
      <c r="E4193" s="13" t="inlineStr">
        <is>
          <t>ЮЛ РФ</t>
        </is>
      </c>
      <c r="F4193" s="13" t="n"/>
      <c r="G4193" s="14" t="n"/>
      <c r="H4193" s="14" t="n"/>
      <c r="I4193" s="14" t="n"/>
      <c r="J4193" s="14" t="n"/>
      <c r="K4193" s="53" t="inlineStr"/>
      <c r="L4193" s="53" t="inlineStr">
        <is>
          <t>Не определено</t>
        </is>
      </c>
      <c r="M4193" s="53" t="inlineStr"/>
      <c r="N4193" s="54" t="inlineStr"/>
      <c r="O4193" s="55" t="inlineStr"/>
      <c r="P4193" s="16" t="inlineStr">
        <is>
          <t>Требует обогащения</t>
        </is>
      </c>
      <c r="Q4193" s="16">
        <f>HYPERLINK("https://pb.nalog.ru/search.html?query=6506003092","ФНС: проверить")</f>
        <v/>
      </c>
      <c r="R4193" s="16">
        <f>HYPERLINK("https://checko.ru/search?query=3801001629","Чекко: проверить")</f>
        <v/>
      </c>
      <c r="S4193" t="n">
        <v>1</v>
      </c>
      <c r="T4193" s="35" t="inlineStr">
        <is>
          <t>4 — Не обогащён</t>
        </is>
      </c>
      <c r="U4193" s="35" t="inlineStr">
        <is>
          <t>Нет ОКВЭД/ССЧР</t>
        </is>
      </c>
      <c r="V4193" s="35" t="inlineStr">
        <is>
          <t>Не определено</t>
        </is>
      </c>
      <c r="W4193" s="35" t="inlineStr"/>
      <c r="X4193" s="35" t="inlineStr"/>
    </row>
    <row r="4194" ht="27.75" customHeight="1" s="24">
      <c r="A4194" s="13" t="n">
        <v>5000098664</v>
      </c>
      <c r="B4194" s="13" t="inlineStr">
        <is>
          <t>ГБУ Сахалинской области "Корсаковский пансионат для пожилых граждан и инвалидов"</t>
        </is>
      </c>
      <c r="C4194" s="13" t="n">
        <v>6500007460</v>
      </c>
      <c r="D4194" s="13" t="inlineStr">
        <is>
          <t>6500007460</t>
        </is>
      </c>
      <c r="E4194" s="13" t="inlineStr">
        <is>
          <t>ЮЛ РФ</t>
        </is>
      </c>
      <c r="F4194" s="13" t="n"/>
      <c r="G4194" s="14" t="n"/>
      <c r="H4194" s="14" t="n"/>
      <c r="I4194" s="14" t="n"/>
      <c r="J4194" s="14" t="n"/>
      <c r="K4194" s="53" t="inlineStr"/>
      <c r="L4194" s="53" t="inlineStr">
        <is>
          <t>Не определено</t>
        </is>
      </c>
      <c r="M4194" s="53" t="inlineStr"/>
      <c r="N4194" s="54" t="inlineStr"/>
      <c r="O4194" s="55" t="inlineStr"/>
      <c r="P4194" s="16" t="inlineStr">
        <is>
          <t>Требует обогащения</t>
        </is>
      </c>
      <c r="Q4194" s="16">
        <f>HYPERLINK("https://pb.nalog.ru/search.html?query=6500007460","ФНС: проверить")</f>
        <v/>
      </c>
      <c r="R4194" s="16">
        <f>HYPERLINK("https://checko.ru/search?query=3801001629","Чекко: проверить")</f>
        <v/>
      </c>
      <c r="S4194" t="n">
        <v>1</v>
      </c>
      <c r="T4194" s="35" t="inlineStr">
        <is>
          <t>4 — Не обогащён</t>
        </is>
      </c>
      <c r="U4194" s="35" t="inlineStr">
        <is>
          <t>Нет ОКВЭД/ССЧР</t>
        </is>
      </c>
      <c r="V4194" s="35" t="inlineStr">
        <is>
          <t>Не определено</t>
        </is>
      </c>
      <c r="W4194" s="35" t="inlineStr"/>
      <c r="X4194" s="35" t="inlineStr"/>
    </row>
    <row r="4195" ht="41.25" customHeight="1" s="24">
      <c r="A4195" s="13" t="n">
        <v>5000098781</v>
      </c>
      <c r="B4195" s="13" t="inlineStr">
        <is>
          <t>Муниципальное казенное учреждение культуры "Культурно-досуговый центр" Верхнемарковского муниципального образования</t>
        </is>
      </c>
      <c r="C4195" s="13" t="n">
        <v>3818030787</v>
      </c>
      <c r="D4195" s="13" t="inlineStr">
        <is>
          <t>3818030787</t>
        </is>
      </c>
      <c r="E4195" s="13" t="inlineStr">
        <is>
          <t>ЮЛ РФ</t>
        </is>
      </c>
      <c r="F4195" s="13" t="n"/>
      <c r="G4195" s="14" t="n"/>
      <c r="H4195" s="14" t="n"/>
      <c r="I4195" s="14" t="n"/>
      <c r="J4195" s="14" t="n"/>
      <c r="K4195" s="53" t="inlineStr"/>
      <c r="L4195" s="53" t="inlineStr">
        <is>
          <t>Не определено</t>
        </is>
      </c>
      <c r="M4195" s="53" t="inlineStr"/>
      <c r="N4195" s="54" t="inlineStr"/>
      <c r="O4195" s="55" t="inlineStr"/>
      <c r="P4195" s="16" t="inlineStr">
        <is>
          <t>Требует обогащения</t>
        </is>
      </c>
      <c r="Q4195" s="16">
        <f>HYPERLINK("https://pb.nalog.ru/search.html?query=3818030787","ФНС: проверить")</f>
        <v/>
      </c>
      <c r="R4195" s="16">
        <f>HYPERLINK("https://checko.ru/search?query=3801001629","Чекко: проверить")</f>
        <v/>
      </c>
      <c r="S4195" t="n">
        <v>1</v>
      </c>
      <c r="T4195" s="35" t="inlineStr">
        <is>
          <t>4 — Не обогащён</t>
        </is>
      </c>
      <c r="U4195" s="35" t="inlineStr">
        <is>
          <t>Нет ОКВЭД/ССЧР</t>
        </is>
      </c>
      <c r="V4195" s="35" t="inlineStr">
        <is>
          <t>Не определено</t>
        </is>
      </c>
      <c r="W4195" s="35" t="inlineStr"/>
      <c r="X4195" s="35" t="inlineStr"/>
    </row>
    <row r="4196" ht="41.25" customHeight="1" s="24">
      <c r="A4196" s="13" t="n">
        <v>5000098782</v>
      </c>
      <c r="B4196" s="13" t="inlineStr">
        <is>
          <t>Муниципальное казенное учреждение культуры "Культурно-досуговый центр" Нийского муниципального образования</t>
        </is>
      </c>
      <c r="C4196" s="13" t="n">
        <v>3818030875</v>
      </c>
      <c r="D4196" s="13" t="inlineStr">
        <is>
          <t>3818030875</t>
        </is>
      </c>
      <c r="E4196" s="13" t="inlineStr">
        <is>
          <t>ЮЛ РФ</t>
        </is>
      </c>
      <c r="F4196" s="13" t="n"/>
      <c r="G4196" s="14" t="n"/>
      <c r="H4196" s="14" t="n"/>
      <c r="I4196" s="14" t="n"/>
      <c r="J4196" s="14" t="n"/>
      <c r="K4196" s="53" t="inlineStr"/>
      <c r="L4196" s="53" t="inlineStr">
        <is>
          <t>Не определено</t>
        </is>
      </c>
      <c r="M4196" s="53" t="inlineStr"/>
      <c r="N4196" s="54" t="inlineStr"/>
      <c r="O4196" s="55" t="inlineStr"/>
      <c r="P4196" s="16" t="inlineStr">
        <is>
          <t>Требует обогащения</t>
        </is>
      </c>
      <c r="Q4196" s="16">
        <f>HYPERLINK("https://pb.nalog.ru/search.html?query=3818030875","ФНС: проверить")</f>
        <v/>
      </c>
      <c r="R4196" s="16">
        <f>HYPERLINK("https://checko.ru/search?query=3801001629","Чекко: проверить")</f>
        <v/>
      </c>
      <c r="S4196" t="n">
        <v>0</v>
      </c>
      <c r="T4196" s="35" t="inlineStr">
        <is>
          <t>4 — Не обогащён</t>
        </is>
      </c>
      <c r="U4196" s="35" t="inlineStr">
        <is>
          <t>Нет ОКВЭД/ССЧР</t>
        </is>
      </c>
      <c r="V4196" s="35" t="inlineStr">
        <is>
          <t>Не определено</t>
        </is>
      </c>
      <c r="W4196" s="35" t="inlineStr"/>
      <c r="X4196" s="35" t="inlineStr"/>
    </row>
    <row r="4197" ht="27.75" customHeight="1" s="24">
      <c r="A4197" s="13" t="n">
        <v>5000068966</v>
      </c>
      <c r="B4197" s="13" t="inlineStr">
        <is>
          <t>МКУ "УПРАВЛЕНИЕ ДЕЛАМИ АДМИНИСТРАЦИИ ГОРОДА ЮЖНО-САХАЛИНСКА"</t>
        </is>
      </c>
      <c r="C4197" s="13" t="n">
        <v>6501246990</v>
      </c>
      <c r="D4197" s="13" t="inlineStr">
        <is>
          <t>6501246990</t>
        </is>
      </c>
      <c r="E4197" s="13" t="inlineStr">
        <is>
          <t>ЮЛ РФ</t>
        </is>
      </c>
      <c r="F4197" s="13" t="n"/>
      <c r="G4197" s="14" t="n"/>
      <c r="H4197" s="14" t="n"/>
      <c r="I4197" s="14" t="n"/>
      <c r="J4197" s="14" t="n"/>
      <c r="K4197" s="53" t="inlineStr"/>
      <c r="L4197" s="53" t="inlineStr">
        <is>
          <t>Не определено</t>
        </is>
      </c>
      <c r="M4197" s="53" t="inlineStr"/>
      <c r="N4197" s="54" t="inlineStr"/>
      <c r="O4197" s="55" t="inlineStr"/>
      <c r="P4197" s="16" t="inlineStr">
        <is>
          <t>Требует обогащения</t>
        </is>
      </c>
      <c r="Q4197" s="16">
        <f>HYPERLINK("https://pb.nalog.ru/search.html?query=6501246990","ФНС: проверить")</f>
        <v/>
      </c>
      <c r="R4197" s="16">
        <f>HYPERLINK("https://checko.ru/search?query=3801001629","Чекко: проверить")</f>
        <v/>
      </c>
      <c r="S4197" t="n">
        <v>1</v>
      </c>
      <c r="T4197" s="35" t="inlineStr">
        <is>
          <t>4 — Не обогащён</t>
        </is>
      </c>
      <c r="U4197" s="35" t="inlineStr">
        <is>
          <t>Нет ОКВЭД/ССЧР</t>
        </is>
      </c>
      <c r="V4197" s="35" t="inlineStr">
        <is>
          <t>Не определено</t>
        </is>
      </c>
      <c r="W4197" s="35" t="inlineStr"/>
      <c r="X4197" s="35" t="inlineStr"/>
    </row>
    <row r="4198" ht="54.75" customHeight="1" s="24">
      <c r="A4198" s="13" t="n">
        <v>5000100116</v>
      </c>
      <c r="B4198" s="13" t="inlineStr">
        <is>
          <t>Областное казенное учреждение "Управление обеспечения мероприятий в области гражданской обороны, защиты от чрезвычайных ситуаций и пожарной безопаснос</t>
        </is>
      </c>
      <c r="C4198" s="13" t="n">
        <v>6501156338</v>
      </c>
      <c r="D4198" s="13" t="inlineStr">
        <is>
          <t>6501156338</t>
        </is>
      </c>
      <c r="E4198" s="13" t="inlineStr">
        <is>
          <t>ЮЛ РФ</t>
        </is>
      </c>
      <c r="F4198" s="13" t="n"/>
      <c r="G4198" s="14" t="n"/>
      <c r="H4198" s="14" t="n"/>
      <c r="I4198" s="14" t="n"/>
      <c r="J4198" s="14" t="n"/>
      <c r="K4198" s="53" t="inlineStr"/>
      <c r="L4198" s="53" t="inlineStr">
        <is>
          <t>Не определено</t>
        </is>
      </c>
      <c r="M4198" s="53" t="inlineStr"/>
      <c r="N4198" s="54" t="inlineStr"/>
      <c r="O4198" s="55" t="inlineStr"/>
      <c r="P4198" s="16" t="inlineStr">
        <is>
          <t>Требует обогащения</t>
        </is>
      </c>
      <c r="Q4198" s="16">
        <f>HYPERLINK("https://pb.nalog.ru/search.html?query=6501156338","ФНС: проверить")</f>
        <v/>
      </c>
      <c r="R4198" s="16">
        <f>HYPERLINK("https://checko.ru/search?query=3801001629","Чекко: проверить")</f>
        <v/>
      </c>
      <c r="S4198" t="n">
        <v>1</v>
      </c>
      <c r="T4198" s="35" t="inlineStr">
        <is>
          <t>4 — Не обогащён</t>
        </is>
      </c>
      <c r="U4198" s="35" t="inlineStr">
        <is>
          <t>Нет ОКВЭД/ССЧР</t>
        </is>
      </c>
      <c r="V4198" s="35" t="inlineStr">
        <is>
          <t>Не определено</t>
        </is>
      </c>
      <c r="W4198" s="35" t="inlineStr"/>
      <c r="X4198" s="35" t="inlineStr"/>
    </row>
    <row r="4199" ht="27.75" customHeight="1" s="24">
      <c r="A4199" s="13" t="n">
        <v>5000100117</v>
      </c>
      <c r="B4199" s="13" t="inlineStr">
        <is>
          <t>Областное Казённое учреждение "Управление Противопожарной Службы Сахалинской Области"</t>
        </is>
      </c>
      <c r="C4199" s="13" t="n">
        <v>6504001903</v>
      </c>
      <c r="D4199" s="13" t="inlineStr">
        <is>
          <t>6504001903</t>
        </is>
      </c>
      <c r="E4199" s="13" t="inlineStr">
        <is>
          <t>ЮЛ РФ</t>
        </is>
      </c>
      <c r="F4199" s="13" t="n"/>
      <c r="G4199" s="14" t="n"/>
      <c r="H4199" s="14" t="n"/>
      <c r="I4199" s="14" t="n"/>
      <c r="J4199" s="14" t="n"/>
      <c r="K4199" s="53" t="inlineStr"/>
      <c r="L4199" s="53" t="inlineStr">
        <is>
          <t>Не определено</t>
        </is>
      </c>
      <c r="M4199" s="53" t="inlineStr"/>
      <c r="N4199" s="54" t="inlineStr"/>
      <c r="O4199" s="55" t="inlineStr"/>
      <c r="P4199" s="16" t="inlineStr">
        <is>
          <t>Требует обогащения</t>
        </is>
      </c>
      <c r="Q4199" s="16">
        <f>HYPERLINK("https://pb.nalog.ru/search.html?query=6504001903","ФНС: проверить")</f>
        <v/>
      </c>
      <c r="R4199" s="16">
        <f>HYPERLINK("https://checko.ru/search?query=3801001629","Чекко: проверить")</f>
        <v/>
      </c>
      <c r="S4199" t="n">
        <v>1</v>
      </c>
      <c r="T4199" s="35" t="inlineStr">
        <is>
          <t>4 — Не обогащён</t>
        </is>
      </c>
      <c r="U4199" s="35" t="inlineStr">
        <is>
          <t>Нет ОКВЭД/ССЧР</t>
        </is>
      </c>
      <c r="V4199" s="35" t="inlineStr">
        <is>
          <t>Не определено</t>
        </is>
      </c>
      <c r="W4199" s="35" t="inlineStr"/>
      <c r="X4199" s="35" t="inlineStr"/>
    </row>
    <row r="4200" ht="27.75" customHeight="1" s="24">
      <c r="A4200" s="13" t="n">
        <v>5000100120</v>
      </c>
      <c r="B4200" s="13" t="inlineStr">
        <is>
          <t>Государственное казенное учреждение "Сахалинские лесничества"</t>
        </is>
      </c>
      <c r="C4200" s="13" t="n">
        <v>6503012451</v>
      </c>
      <c r="D4200" s="13" t="inlineStr">
        <is>
          <t>6503012451</t>
        </is>
      </c>
      <c r="E4200" s="13" t="inlineStr">
        <is>
          <t>ЮЛ РФ</t>
        </is>
      </c>
      <c r="F4200" s="13" t="n"/>
      <c r="G4200" s="14" t="n"/>
      <c r="H4200" s="14" t="n"/>
      <c r="I4200" s="14" t="n"/>
      <c r="J4200" s="14" t="n"/>
      <c r="K4200" s="53" t="inlineStr"/>
      <c r="L4200" s="53" t="inlineStr">
        <is>
          <t>Не определено</t>
        </is>
      </c>
      <c r="M4200" s="53" t="inlineStr"/>
      <c r="N4200" s="54" t="inlineStr"/>
      <c r="O4200" s="55" t="inlineStr"/>
      <c r="P4200" s="16" t="inlineStr">
        <is>
          <t>Требует обогащения</t>
        </is>
      </c>
      <c r="Q4200" s="16">
        <f>HYPERLINK("https://pb.nalog.ru/search.html?query=6503012451","ФНС: проверить")</f>
        <v/>
      </c>
      <c r="R4200" s="16">
        <f>HYPERLINK("https://checko.ru/search?query=3801001629","Чекко: проверить")</f>
        <v/>
      </c>
      <c r="S4200" t="n">
        <v>1</v>
      </c>
      <c r="T4200" s="35" t="inlineStr">
        <is>
          <t>4 — Не обогащён</t>
        </is>
      </c>
      <c r="U4200" s="35" t="inlineStr">
        <is>
          <t>Нет ОКВЭД/ССЧР</t>
        </is>
      </c>
      <c r="V4200" s="35" t="inlineStr">
        <is>
          <t>Не определено</t>
        </is>
      </c>
      <c r="W4200" s="35" t="inlineStr"/>
      <c r="X4200" s="35" t="inlineStr"/>
    </row>
    <row r="4201" ht="41.25" customHeight="1" s="24">
      <c r="A4201" s="13" t="n">
        <v>5000100130</v>
      </c>
      <c r="B4201" s="13" t="inlineStr">
        <is>
          <t>Областное автономное учреждение "Сахалинский Региональный Центр по Ценообразованию в Строительстве"</t>
        </is>
      </c>
      <c r="C4201" s="13" t="n">
        <v>6501298325</v>
      </c>
      <c r="D4201" s="13" t="inlineStr">
        <is>
          <t>6501298325</t>
        </is>
      </c>
      <c r="E4201" s="13" t="inlineStr">
        <is>
          <t>ЮЛ РФ</t>
        </is>
      </c>
      <c r="F4201" s="13" t="n"/>
      <c r="G4201" s="14" t="n"/>
      <c r="H4201" s="14" t="n"/>
      <c r="I4201" s="14" t="n"/>
      <c r="J4201" s="14" t="n"/>
      <c r="K4201" s="53" t="inlineStr"/>
      <c r="L4201" s="53" t="inlineStr">
        <is>
          <t>Не определено</t>
        </is>
      </c>
      <c r="M4201" s="53" t="inlineStr"/>
      <c r="N4201" s="54" t="inlineStr"/>
      <c r="O4201" s="55" t="inlineStr"/>
      <c r="P4201" s="16" t="inlineStr">
        <is>
          <t>Требует обогащения</t>
        </is>
      </c>
      <c r="Q4201" s="16">
        <f>HYPERLINK("https://pb.nalog.ru/search.html?query=6501298325","ФНС: проверить")</f>
        <v/>
      </c>
      <c r="R4201" s="16">
        <f>HYPERLINK("https://checko.ru/search?query=3801001629","Чекко: проверить")</f>
        <v/>
      </c>
      <c r="S4201" t="n">
        <v>1</v>
      </c>
      <c r="T4201" s="35" t="inlineStr">
        <is>
          <t>4 — Не обогащён</t>
        </is>
      </c>
      <c r="U4201" s="35" t="inlineStr">
        <is>
          <t>Нет ОКВЭД/ССЧР</t>
        </is>
      </c>
      <c r="V4201" s="35" t="inlineStr">
        <is>
          <t>Не определено</t>
        </is>
      </c>
      <c r="W4201" s="35" t="inlineStr"/>
      <c r="X4201" s="35" t="inlineStr"/>
    </row>
    <row r="4202" ht="41.25" customHeight="1" s="24">
      <c r="A4202" s="13" t="n">
        <v>5000100131</v>
      </c>
      <c r="B4202" s="13" t="inlineStr">
        <is>
          <t>Областное государственное казенное учреждение "Центр Экономического Мониторинга Сахалинской Области"</t>
        </is>
      </c>
      <c r="C4202" s="13" t="n">
        <v>6501266563</v>
      </c>
      <c r="D4202" s="13" t="inlineStr">
        <is>
          <t>6501266563</t>
        </is>
      </c>
      <c r="E4202" s="13" t="inlineStr">
        <is>
          <t>ЮЛ РФ</t>
        </is>
      </c>
      <c r="F4202" s="13" t="n"/>
      <c r="G4202" s="14" t="n"/>
      <c r="H4202" s="14" t="n"/>
      <c r="I4202" s="14" t="n"/>
      <c r="J4202" s="14" t="n"/>
      <c r="K4202" s="53" t="inlineStr"/>
      <c r="L4202" s="53" t="inlineStr">
        <is>
          <t>Не определено</t>
        </is>
      </c>
      <c r="M4202" s="53" t="inlineStr"/>
      <c r="N4202" s="54" t="inlineStr"/>
      <c r="O4202" s="55" t="inlineStr"/>
      <c r="P4202" s="16" t="inlineStr">
        <is>
          <t>Требует обогащения</t>
        </is>
      </c>
      <c r="Q4202" s="16">
        <f>HYPERLINK("https://pb.nalog.ru/search.html?query=6501266563","ФНС: проверить")</f>
        <v/>
      </c>
      <c r="R4202" s="16">
        <f>HYPERLINK("https://checko.ru/search?query=3801001629","Чекко: проверить")</f>
        <v/>
      </c>
      <c r="S4202" t="n">
        <v>1</v>
      </c>
      <c r="T4202" s="35" t="inlineStr">
        <is>
          <t>4 — Не обогащён</t>
        </is>
      </c>
      <c r="U4202" s="35" t="inlineStr">
        <is>
          <t>Нет ОКВЭД/ССЧР</t>
        </is>
      </c>
      <c r="V4202" s="35" t="inlineStr">
        <is>
          <t>Не определено</t>
        </is>
      </c>
      <c r="W4202" s="35" t="inlineStr"/>
      <c r="X4202" s="35" t="inlineStr"/>
    </row>
    <row r="4203" ht="41.25" customHeight="1" s="24">
      <c r="A4203" s="13" t="n">
        <v>5000100131</v>
      </c>
      <c r="B4203" s="13" t="inlineStr">
        <is>
          <t>Областное государственное казенное учреждение "Центр Экономического Мониторинга Сахалинской Области"</t>
        </is>
      </c>
      <c r="C4203" s="13" t="n">
        <v>6501266563</v>
      </c>
      <c r="D4203" s="13" t="inlineStr">
        <is>
          <t>6501266563</t>
        </is>
      </c>
      <c r="E4203" s="13" t="inlineStr">
        <is>
          <t>ЮЛ РФ</t>
        </is>
      </c>
      <c r="F4203" s="13" t="n"/>
      <c r="G4203" s="14" t="n"/>
      <c r="H4203" s="14" t="n"/>
      <c r="I4203" s="14" t="n"/>
      <c r="J4203" s="14" t="n"/>
      <c r="K4203" s="53" t="inlineStr"/>
      <c r="L4203" s="53" t="inlineStr">
        <is>
          <t>Не определено</t>
        </is>
      </c>
      <c r="M4203" s="53" t="inlineStr"/>
      <c r="N4203" s="54" t="inlineStr"/>
      <c r="O4203" s="55" t="inlineStr"/>
      <c r="P4203" s="16" t="inlineStr">
        <is>
          <t>Требует обогащения</t>
        </is>
      </c>
      <c r="Q4203" s="16">
        <f>HYPERLINK("https://pb.nalog.ru/search.html?query=6501266563","ФНС: проверить")</f>
        <v/>
      </c>
      <c r="R4203" s="16">
        <f>HYPERLINK("https://checko.ru/search?query=3801001629","Чекко: проверить")</f>
        <v/>
      </c>
      <c r="S4203" t="n">
        <v>0</v>
      </c>
      <c r="T4203" s="35" t="inlineStr">
        <is>
          <t>4 — Не обогащён</t>
        </is>
      </c>
      <c r="U4203" s="35" t="inlineStr">
        <is>
          <t>Нет ОКВЭД/ССЧР</t>
        </is>
      </c>
      <c r="V4203" s="35" t="inlineStr">
        <is>
          <t>Не определено</t>
        </is>
      </c>
      <c r="W4203" s="35" t="inlineStr"/>
      <c r="X4203" s="35" t="inlineStr"/>
    </row>
    <row r="4204" ht="41.25" customHeight="1" s="24">
      <c r="A4204" s="13" t="n">
        <v>5000100110</v>
      </c>
      <c r="B4204" s="13" t="inlineStr">
        <is>
          <t>Государственное казенное учреждение "Социально-реабилитационный центр для несовершеннолетних "Маячок"</t>
        </is>
      </c>
      <c r="C4204" s="13" t="n">
        <v>6501150632</v>
      </c>
      <c r="D4204" s="13" t="inlineStr">
        <is>
          <t>6501150632</t>
        </is>
      </c>
      <c r="E4204" s="13" t="inlineStr">
        <is>
          <t>ЮЛ РФ</t>
        </is>
      </c>
      <c r="F4204" s="13" t="n"/>
      <c r="G4204" s="14" t="n"/>
      <c r="H4204" s="14" t="n"/>
      <c r="I4204" s="14" t="n"/>
      <c r="J4204" s="14" t="n"/>
      <c r="K4204" s="53" t="inlineStr"/>
      <c r="L4204" s="53" t="inlineStr">
        <is>
          <t>Не определено</t>
        </is>
      </c>
      <c r="M4204" s="53" t="inlineStr"/>
      <c r="N4204" s="54" t="inlineStr"/>
      <c r="O4204" s="55" t="inlineStr"/>
      <c r="P4204" s="16" t="inlineStr">
        <is>
          <t>Требует обогащения</t>
        </is>
      </c>
      <c r="Q4204" s="16">
        <f>HYPERLINK("https://pb.nalog.ru/search.html?query=6501150632","ФНС: проверить")</f>
        <v/>
      </c>
      <c r="R4204" s="16">
        <f>HYPERLINK("https://checko.ru/search?query=3801001629","Чекко: проверить")</f>
        <v/>
      </c>
      <c r="S4204" t="n">
        <v>1</v>
      </c>
      <c r="T4204" s="35" t="inlineStr">
        <is>
          <t>4 — Не обогащён</t>
        </is>
      </c>
      <c r="U4204" s="35" t="inlineStr">
        <is>
          <t>Нет ОКВЭД/ССЧР</t>
        </is>
      </c>
      <c r="V4204" s="35" t="inlineStr">
        <is>
          <t>Не определено</t>
        </is>
      </c>
      <c r="W4204" s="35" t="inlineStr"/>
      <c r="X4204" s="35" t="inlineStr"/>
    </row>
    <row r="4205" ht="41.25" customHeight="1" s="24">
      <c r="A4205" s="13" t="n">
        <v>5000100111</v>
      </c>
      <c r="B4205" s="13" t="inlineStr">
        <is>
          <t>Государственное казенное учреждение "Центр Социальной Адаптации Для Лиц Без Определенного Места Жительства и Занятий"</t>
        </is>
      </c>
      <c r="C4205" s="13" t="n">
        <v>6501142550</v>
      </c>
      <c r="D4205" s="13" t="inlineStr">
        <is>
          <t>6501142550</t>
        </is>
      </c>
      <c r="E4205" s="13" t="inlineStr">
        <is>
          <t>ЮЛ РФ</t>
        </is>
      </c>
      <c r="F4205" s="13" t="n"/>
      <c r="G4205" s="14" t="n"/>
      <c r="H4205" s="14" t="n"/>
      <c r="I4205" s="14" t="n"/>
      <c r="J4205" s="14" t="n"/>
      <c r="K4205" s="53" t="inlineStr"/>
      <c r="L4205" s="53" t="inlineStr">
        <is>
          <t>Не определено</t>
        </is>
      </c>
      <c r="M4205" s="53" t="inlineStr"/>
      <c r="N4205" s="54" t="inlineStr"/>
      <c r="O4205" s="55" t="inlineStr"/>
      <c r="P4205" s="16" t="inlineStr">
        <is>
          <t>Требует обогащения</t>
        </is>
      </c>
      <c r="Q4205" s="16">
        <f>HYPERLINK("https://pb.nalog.ru/search.html?query=6501142550","ФНС: проверить")</f>
        <v/>
      </c>
      <c r="R4205" s="16">
        <f>HYPERLINK("https://checko.ru/search?query=3801001629","Чекко: проверить")</f>
        <v/>
      </c>
      <c r="S4205" t="n">
        <v>1</v>
      </c>
      <c r="T4205" s="35" t="inlineStr">
        <is>
          <t>4 — Не обогащён</t>
        </is>
      </c>
      <c r="U4205" s="35" t="inlineStr">
        <is>
          <t>Нет ОКВЭД/ССЧР</t>
        </is>
      </c>
      <c r="V4205" s="35" t="inlineStr">
        <is>
          <t>Не определено</t>
        </is>
      </c>
      <c r="W4205" s="35" t="inlineStr"/>
      <c r="X4205" s="35" t="inlineStr"/>
    </row>
    <row r="4206" ht="41.25" customHeight="1" s="24">
      <c r="A4206" s="13" t="n">
        <v>5000100114</v>
      </c>
      <c r="B4206" s="13" t="inlineStr">
        <is>
          <t>Государственное казенное учреждение Сахалинской Области "Центр Региональной Цифровой Трансформации"</t>
        </is>
      </c>
      <c r="C4206" s="13" t="n">
        <v>6501233462</v>
      </c>
      <c r="D4206" s="13" t="inlineStr">
        <is>
          <t>6501233462</t>
        </is>
      </c>
      <c r="E4206" s="13" t="inlineStr">
        <is>
          <t>ЮЛ РФ</t>
        </is>
      </c>
      <c r="F4206" s="13" t="n"/>
      <c r="G4206" s="14" t="n"/>
      <c r="H4206" s="14" t="n"/>
      <c r="I4206" s="14" t="n"/>
      <c r="J4206" s="14" t="n"/>
      <c r="K4206" s="53" t="inlineStr"/>
      <c r="L4206" s="53" t="inlineStr">
        <is>
          <t>Не определено</t>
        </is>
      </c>
      <c r="M4206" s="53" t="inlineStr"/>
      <c r="N4206" s="54" t="inlineStr"/>
      <c r="O4206" s="55" t="inlineStr"/>
      <c r="P4206" s="16" t="inlineStr">
        <is>
          <t>Требует обогащения</t>
        </is>
      </c>
      <c r="Q4206" s="16">
        <f>HYPERLINK("https://pb.nalog.ru/search.html?query=6501233462","ФНС: проверить")</f>
        <v/>
      </c>
      <c r="R4206" s="16">
        <f>HYPERLINK("https://checko.ru/search?query=3801001629","Чекко: проверить")</f>
        <v/>
      </c>
      <c r="S4206" t="n">
        <v>1</v>
      </c>
      <c r="T4206" s="35" t="inlineStr">
        <is>
          <t>4 — Не обогащён</t>
        </is>
      </c>
      <c r="U4206" s="35" t="inlineStr">
        <is>
          <t>Нет ОКВЭД/ССЧР</t>
        </is>
      </c>
      <c r="V4206" s="35" t="inlineStr">
        <is>
          <t>Не определено</t>
        </is>
      </c>
      <c r="W4206" s="35" t="inlineStr"/>
      <c r="X4206" s="35" t="inlineStr"/>
    </row>
    <row r="4207" ht="41.25" customHeight="1" s="24">
      <c r="A4207" s="13" t="n">
        <v>5000100114</v>
      </c>
      <c r="B4207" s="13" t="inlineStr">
        <is>
          <t>Государственное казенное учреждение Сахалинской Области "Центр Региональной Цифровой Трансформации"</t>
        </is>
      </c>
      <c r="C4207" s="13" t="n">
        <v>6501233462</v>
      </c>
      <c r="D4207" s="13" t="inlineStr">
        <is>
          <t>6501233462</t>
        </is>
      </c>
      <c r="E4207" s="13" t="inlineStr">
        <is>
          <t>ЮЛ РФ</t>
        </is>
      </c>
      <c r="F4207" s="13" t="n"/>
      <c r="G4207" s="14" t="n"/>
      <c r="H4207" s="14" t="n"/>
      <c r="I4207" s="14" t="n"/>
      <c r="J4207" s="14" t="n"/>
      <c r="K4207" s="53" t="inlineStr"/>
      <c r="L4207" s="53" t="inlineStr">
        <is>
          <t>Не определено</t>
        </is>
      </c>
      <c r="M4207" s="53" t="inlineStr"/>
      <c r="N4207" s="54" t="inlineStr"/>
      <c r="O4207" s="55" t="inlineStr"/>
      <c r="P4207" s="16" t="inlineStr">
        <is>
          <t>Требует обогащения</t>
        </is>
      </c>
      <c r="Q4207" s="16">
        <f>HYPERLINK("https://pb.nalog.ru/search.html?query=6501233462","ФНС: проверить")</f>
        <v/>
      </c>
      <c r="R4207" s="16">
        <f>HYPERLINK("https://checko.ru/search?query=3801001629","Чекко: проверить")</f>
        <v/>
      </c>
      <c r="S4207" t="n">
        <v>0</v>
      </c>
      <c r="T4207" s="35" t="inlineStr">
        <is>
          <t>4 — Не обогащён</t>
        </is>
      </c>
      <c r="U4207" s="35" t="inlineStr">
        <is>
          <t>Нет ОКВЭД/ССЧР</t>
        </is>
      </c>
      <c r="V4207" s="35" t="inlineStr">
        <is>
          <t>Не определено</t>
        </is>
      </c>
      <c r="W4207" s="35" t="inlineStr"/>
      <c r="X4207" s="35" t="inlineStr"/>
    </row>
    <row r="4208" ht="41.25" customHeight="1" s="24">
      <c r="A4208" s="13" t="n">
        <v>5000098779</v>
      </c>
      <c r="B4208" s="13" t="inlineStr">
        <is>
          <t>Муниципальное казенное учреждение культуры "Культурно-досуговый центр "Сибиряк" Ручейского муниципального образования</t>
        </is>
      </c>
      <c r="C4208" s="13" t="n">
        <v>3818030868</v>
      </c>
      <c r="D4208" s="13" t="inlineStr">
        <is>
          <t>3818030868</t>
        </is>
      </c>
      <c r="E4208" s="13" t="inlineStr">
        <is>
          <t>ЮЛ РФ</t>
        </is>
      </c>
      <c r="F4208" s="13" t="n"/>
      <c r="G4208" s="14" t="n"/>
      <c r="H4208" s="14" t="n"/>
      <c r="I4208" s="14" t="n"/>
      <c r="J4208" s="14" t="n"/>
      <c r="K4208" s="53" t="inlineStr"/>
      <c r="L4208" s="53" t="inlineStr">
        <is>
          <t>Не определено</t>
        </is>
      </c>
      <c r="M4208" s="53" t="inlineStr"/>
      <c r="N4208" s="54" t="inlineStr"/>
      <c r="O4208" s="55" t="inlineStr"/>
      <c r="P4208" s="16" t="inlineStr">
        <is>
          <t>Требует обогащения</t>
        </is>
      </c>
      <c r="Q4208" s="16">
        <f>HYPERLINK("https://pb.nalog.ru/search.html?query=3818030868","ФНС: проверить")</f>
        <v/>
      </c>
      <c r="R4208" s="16">
        <f>HYPERLINK("https://checko.ru/search?query=3801001629","Чекко: проверить")</f>
        <v/>
      </c>
      <c r="S4208" t="n">
        <v>0</v>
      </c>
      <c r="T4208" s="35" t="inlineStr">
        <is>
          <t>4 — Не обогащён</t>
        </is>
      </c>
      <c r="U4208" s="35" t="inlineStr">
        <is>
          <t>Нет ОКВЭД/ССЧР</t>
        </is>
      </c>
      <c r="V4208" s="35" t="inlineStr">
        <is>
          <t>Не определено</t>
        </is>
      </c>
      <c r="W4208" s="35" t="inlineStr"/>
      <c r="X4208" s="35" t="inlineStr"/>
    </row>
    <row r="4209" ht="41.25" customHeight="1" s="24">
      <c r="A4209" s="13" t="n">
        <v>5000098780</v>
      </c>
      <c r="B4209" s="13" t="inlineStr">
        <is>
          <t>Муниципальное казенное учреждение культуры "Культурно-досуговый центр "Украина" Янтальского муниципального образования</t>
        </is>
      </c>
      <c r="C4209" s="13" t="n">
        <v>3818030924</v>
      </c>
      <c r="D4209" s="13" t="inlineStr">
        <is>
          <t>3818030924</t>
        </is>
      </c>
      <c r="E4209" s="13" t="inlineStr">
        <is>
          <t>ЮЛ РФ</t>
        </is>
      </c>
      <c r="F4209" s="13" t="n"/>
      <c r="G4209" s="14" t="n"/>
      <c r="H4209" s="14" t="n"/>
      <c r="I4209" s="14" t="n"/>
      <c r="J4209" s="14" t="n"/>
      <c r="K4209" s="53" t="inlineStr"/>
      <c r="L4209" s="53" t="inlineStr">
        <is>
          <t>Не определено</t>
        </is>
      </c>
      <c r="M4209" s="53" t="inlineStr"/>
      <c r="N4209" s="54" t="inlineStr"/>
      <c r="O4209" s="55" t="inlineStr"/>
      <c r="P4209" s="16" t="inlineStr">
        <is>
          <t>Требует обогащения</t>
        </is>
      </c>
      <c r="Q4209" s="16">
        <f>HYPERLINK("https://pb.nalog.ru/search.html?query=3818030924","ФНС: проверить")</f>
        <v/>
      </c>
      <c r="R4209" s="16">
        <f>HYPERLINK("https://checko.ru/search?query=3801001629","Чекко: проверить")</f>
        <v/>
      </c>
      <c r="S4209" t="n">
        <v>0</v>
      </c>
      <c r="T4209" s="35" t="inlineStr">
        <is>
          <t>4 — Не обогащён</t>
        </is>
      </c>
      <c r="U4209" s="35" t="inlineStr">
        <is>
          <t>Нет ОКВЭД/ССЧР</t>
        </is>
      </c>
      <c r="V4209" s="35" t="inlineStr">
        <is>
          <t>Не определено</t>
        </is>
      </c>
      <c r="W4209" s="35" t="inlineStr"/>
      <c r="X4209" s="35" t="inlineStr"/>
    </row>
    <row r="4210" ht="41.25" customHeight="1" s="24">
      <c r="A4210" s="13" t="n">
        <v>5000100103</v>
      </c>
      <c r="B4210" s="13" t="inlineStr">
        <is>
          <t>Государственное казенное учреждение "Управление автомобильных дорог Сахалинской области"</t>
        </is>
      </c>
      <c r="C4210" s="13" t="n">
        <v>6501155038</v>
      </c>
      <c r="D4210" s="13" t="inlineStr">
        <is>
          <t>6501155038</t>
        </is>
      </c>
      <c r="E4210" s="13" t="inlineStr">
        <is>
          <t>ЮЛ РФ</t>
        </is>
      </c>
      <c r="F4210" s="13" t="n"/>
      <c r="G4210" s="14" t="n"/>
      <c r="H4210" s="14" t="n"/>
      <c r="I4210" s="14" t="n"/>
      <c r="J4210" s="14" t="n"/>
      <c r="K4210" s="53" t="inlineStr"/>
      <c r="L4210" s="53" t="inlineStr">
        <is>
          <t>Не определено</t>
        </is>
      </c>
      <c r="M4210" s="53" t="inlineStr"/>
      <c r="N4210" s="54" t="inlineStr"/>
      <c r="O4210" s="55" t="inlineStr"/>
      <c r="P4210" s="16" t="inlineStr">
        <is>
          <t>Требует обогащения</t>
        </is>
      </c>
      <c r="Q4210" s="16">
        <f>HYPERLINK("https://pb.nalog.ru/search.html?query=6501155038","ФНС: проверить")</f>
        <v/>
      </c>
      <c r="R4210" s="16">
        <f>HYPERLINK("https://checko.ru/search?query=3801001629","Чекко: проверить")</f>
        <v/>
      </c>
      <c r="S4210" t="n">
        <v>1</v>
      </c>
      <c r="T4210" s="35" t="inlineStr">
        <is>
          <t>4 — Не обогащён</t>
        </is>
      </c>
      <c r="U4210" s="35" t="inlineStr">
        <is>
          <t>Нет ОКВЭД/ССЧР</t>
        </is>
      </c>
      <c r="V4210" s="35" t="inlineStr">
        <is>
          <t>Не определено</t>
        </is>
      </c>
      <c r="W4210" s="35" t="inlineStr"/>
      <c r="X4210" s="35" t="inlineStr"/>
    </row>
    <row r="4211" ht="41.25" customHeight="1" s="24">
      <c r="A4211" s="13" t="n">
        <v>5000100104</v>
      </c>
      <c r="B4211" s="13" t="inlineStr">
        <is>
          <t>Государственное казенное учреждение "Управление Транспорта и Дорожного Мониторинга Сахалинской Области"</t>
        </is>
      </c>
      <c r="C4211" s="13" t="n">
        <v>6501281755</v>
      </c>
      <c r="D4211" s="13" t="inlineStr">
        <is>
          <t>6501281755</t>
        </is>
      </c>
      <c r="E4211" s="13" t="inlineStr">
        <is>
          <t>ЮЛ РФ</t>
        </is>
      </c>
      <c r="F4211" s="13" t="n"/>
      <c r="G4211" s="14" t="n"/>
      <c r="H4211" s="14" t="n"/>
      <c r="I4211" s="14" t="n"/>
      <c r="J4211" s="14" t="n"/>
      <c r="K4211" s="53" t="inlineStr"/>
      <c r="L4211" s="53" t="inlineStr">
        <is>
          <t>Не определено</t>
        </is>
      </c>
      <c r="M4211" s="53" t="inlineStr"/>
      <c r="N4211" s="54" t="inlineStr"/>
      <c r="O4211" s="55" t="inlineStr"/>
      <c r="P4211" s="16" t="inlineStr">
        <is>
          <t>Требует обогащения</t>
        </is>
      </c>
      <c r="Q4211" s="16">
        <f>HYPERLINK("https://pb.nalog.ru/search.html?query=6501281755","ФНС: проверить")</f>
        <v/>
      </c>
      <c r="R4211" s="16">
        <f>HYPERLINK("https://checko.ru/search?query=3801001629","Чекко: проверить")</f>
        <v/>
      </c>
      <c r="S4211" t="n">
        <v>1</v>
      </c>
      <c r="T4211" s="35" t="inlineStr">
        <is>
          <t>4 — Не обогащён</t>
        </is>
      </c>
      <c r="U4211" s="35" t="inlineStr">
        <is>
          <t>Нет ОКВЭД/ССЧР</t>
        </is>
      </c>
      <c r="V4211" s="35" t="inlineStr">
        <is>
          <t>Не определено</t>
        </is>
      </c>
      <c r="W4211" s="35" t="inlineStr"/>
      <c r="X4211" s="35" t="inlineStr"/>
    </row>
    <row r="4212" ht="27.75" customHeight="1" s="24">
      <c r="A4212" s="13" t="n">
        <v>5000100101</v>
      </c>
      <c r="B4212" s="13" t="inlineStr">
        <is>
          <t>Областное бюджетное учреждение "Природный парк "Остров Монерон"</t>
        </is>
      </c>
      <c r="C4212" s="13" t="n">
        <v>6505009334</v>
      </c>
      <c r="D4212" s="13" t="inlineStr">
        <is>
          <t>6505009334</t>
        </is>
      </c>
      <c r="E4212" s="13" t="inlineStr">
        <is>
          <t>ЮЛ РФ</t>
        </is>
      </c>
      <c r="F4212" s="13" t="n"/>
      <c r="G4212" s="14" t="n"/>
      <c r="H4212" s="14" t="n"/>
      <c r="I4212" s="14" t="n"/>
      <c r="J4212" s="14" t="n"/>
      <c r="K4212" s="53" t="inlineStr"/>
      <c r="L4212" s="53" t="inlineStr">
        <is>
          <t>Не определено</t>
        </is>
      </c>
      <c r="M4212" s="53" t="inlineStr"/>
      <c r="N4212" s="54" t="inlineStr"/>
      <c r="O4212" s="55" t="inlineStr"/>
      <c r="P4212" s="16" t="inlineStr">
        <is>
          <t>Требует обогащения</t>
        </is>
      </c>
      <c r="Q4212" s="16">
        <f>HYPERLINK("https://pb.nalog.ru/search.html?query=6505009334","ФНС: проверить")</f>
        <v/>
      </c>
      <c r="R4212" s="16">
        <f>HYPERLINK("https://checko.ru/search?query=3801001629","Чекко: проверить")</f>
        <v/>
      </c>
      <c r="S4212" t="n">
        <v>1</v>
      </c>
      <c r="T4212" s="35" t="inlineStr">
        <is>
          <t>4 — Не обогащён</t>
        </is>
      </c>
      <c r="U4212" s="35" t="inlineStr">
        <is>
          <t>Нет ОКВЭД/ССЧР</t>
        </is>
      </c>
      <c r="V4212" s="35" t="inlineStr">
        <is>
          <t>Не определено</t>
        </is>
      </c>
      <c r="W4212" s="35" t="inlineStr"/>
      <c r="X4212" s="35" t="inlineStr"/>
    </row>
    <row r="4213" ht="41.25" customHeight="1" s="24">
      <c r="A4213" s="13" t="n">
        <v>5000100102</v>
      </c>
      <c r="B4213" s="13" t="inlineStr">
        <is>
          <t>Областное государственное автономное учреждение "Сахалинский Молодежный Ресурсный Центр"</t>
        </is>
      </c>
      <c r="C4213" s="13" t="n">
        <v>6501307548</v>
      </c>
      <c r="D4213" s="13" t="inlineStr">
        <is>
          <t>6501307548</t>
        </is>
      </c>
      <c r="E4213" s="13" t="inlineStr">
        <is>
          <t>ЮЛ РФ</t>
        </is>
      </c>
      <c r="F4213" s="13" t="n"/>
      <c r="G4213" s="14" t="n"/>
      <c r="H4213" s="14" t="n"/>
      <c r="I4213" s="14" t="n"/>
      <c r="J4213" s="14" t="n"/>
      <c r="K4213" s="53" t="inlineStr"/>
      <c r="L4213" s="53" t="inlineStr">
        <is>
          <t>Не определено</t>
        </is>
      </c>
      <c r="M4213" s="53" t="inlineStr"/>
      <c r="N4213" s="54" t="inlineStr"/>
      <c r="O4213" s="55" t="inlineStr"/>
      <c r="P4213" s="16" t="inlineStr">
        <is>
          <t>Требует обогащения</t>
        </is>
      </c>
      <c r="Q4213" s="16">
        <f>HYPERLINK("https://pb.nalog.ru/search.html?query=6501307548","ФНС: проверить")</f>
        <v/>
      </c>
      <c r="R4213" s="16">
        <f>HYPERLINK("https://checko.ru/search?query=3801001629","Чекко: проверить")</f>
        <v/>
      </c>
      <c r="S4213" t="n">
        <v>1</v>
      </c>
      <c r="T4213" s="35" t="inlineStr">
        <is>
          <t>4 — Не обогащён</t>
        </is>
      </c>
      <c r="U4213" s="35" t="inlineStr">
        <is>
          <t>Нет ОКВЭД/ССЧР</t>
        </is>
      </c>
      <c r="V4213" s="35" t="inlineStr">
        <is>
          <t>Не определено</t>
        </is>
      </c>
      <c r="W4213" s="35" t="inlineStr"/>
      <c r="X4213" s="35" t="inlineStr"/>
    </row>
    <row r="4214" ht="41.25" customHeight="1" s="24">
      <c r="A4214" s="13" t="n">
        <v>5000100102</v>
      </c>
      <c r="B4214" s="13" t="inlineStr">
        <is>
          <t>Областное государственное автономное учреждение "Сахалинский Молодежный Ресурсный Центр"</t>
        </is>
      </c>
      <c r="C4214" s="13" t="n">
        <v>6501307548</v>
      </c>
      <c r="D4214" s="13" t="inlineStr">
        <is>
          <t>6501307548</t>
        </is>
      </c>
      <c r="E4214" s="13" t="inlineStr">
        <is>
          <t>ЮЛ РФ</t>
        </is>
      </c>
      <c r="F4214" s="13" t="n"/>
      <c r="G4214" s="14" t="n"/>
      <c r="H4214" s="14" t="n"/>
      <c r="I4214" s="14" t="n"/>
      <c r="J4214" s="14" t="n"/>
      <c r="K4214" s="53" t="inlineStr"/>
      <c r="L4214" s="53" t="inlineStr">
        <is>
          <t>Не определено</t>
        </is>
      </c>
      <c r="M4214" s="53" t="inlineStr"/>
      <c r="N4214" s="54" t="inlineStr"/>
      <c r="O4214" s="55" t="inlineStr"/>
      <c r="P4214" s="16" t="inlineStr">
        <is>
          <t>Требует обогащения</t>
        </is>
      </c>
      <c r="Q4214" s="16">
        <f>HYPERLINK("https://pb.nalog.ru/search.html?query=6501307548","ФНС: проверить")</f>
        <v/>
      </c>
      <c r="R4214" s="16">
        <f>HYPERLINK("https://checko.ru/search?query=3801001629","Чекко: проверить")</f>
        <v/>
      </c>
      <c r="S4214" t="n">
        <v>0</v>
      </c>
      <c r="T4214" s="35" t="inlineStr">
        <is>
          <t>4 — Не обогащён</t>
        </is>
      </c>
      <c r="U4214" s="35" t="inlineStr">
        <is>
          <t>Нет ОКВЭД/ССЧР</t>
        </is>
      </c>
      <c r="V4214" s="35" t="inlineStr">
        <is>
          <t>Не определено</t>
        </is>
      </c>
      <c r="W4214" s="35" t="inlineStr"/>
      <c r="X4214" s="35" t="inlineStr"/>
    </row>
    <row r="4215" ht="27.75" customHeight="1" s="24">
      <c r="A4215" s="13" t="n">
        <v>5000100099</v>
      </c>
      <c r="B4215" s="13" t="inlineStr">
        <is>
          <t>ГБУЗ "САХАЛИНСКИЙ КЛИНИЧЕСКИЙ ОНКОДИСПАНСЕР"</t>
        </is>
      </c>
      <c r="C4215" s="13" t="n">
        <v>6501068674</v>
      </c>
      <c r="D4215" s="13" t="inlineStr">
        <is>
          <t>6501068674</t>
        </is>
      </c>
      <c r="E4215" s="13" t="inlineStr">
        <is>
          <t>ЮЛ РФ</t>
        </is>
      </c>
      <c r="F4215" s="13" t="n"/>
      <c r="G4215" s="14" t="n"/>
      <c r="H4215" s="14" t="n"/>
      <c r="I4215" s="14" t="n"/>
      <c r="J4215" s="14" t="n"/>
      <c r="K4215" s="53" t="inlineStr"/>
      <c r="L4215" s="53" t="inlineStr">
        <is>
          <t>Не определено</t>
        </is>
      </c>
      <c r="M4215" s="53" t="inlineStr"/>
      <c r="N4215" s="54" t="inlineStr"/>
      <c r="O4215" s="55" t="inlineStr"/>
      <c r="P4215" s="16" t="inlineStr">
        <is>
          <t>Требует обогащения</t>
        </is>
      </c>
      <c r="Q4215" s="16">
        <f>HYPERLINK("https://pb.nalog.ru/search.html?query=6501068674","ФНС: проверить")</f>
        <v/>
      </c>
      <c r="R4215" s="16">
        <f>HYPERLINK("https://checko.ru/search?query=3801001629","Чекко: проверить")</f>
        <v/>
      </c>
      <c r="S4215" t="n">
        <v>1</v>
      </c>
      <c r="T4215" s="35" t="inlineStr">
        <is>
          <t>4 — Не обогащён</t>
        </is>
      </c>
      <c r="U4215" s="35" t="inlineStr">
        <is>
          <t>Нет ОКВЭД/ССЧР</t>
        </is>
      </c>
      <c r="V4215" s="35" t="inlineStr">
        <is>
          <t>Не определено</t>
        </is>
      </c>
      <c r="W4215" s="35" t="inlineStr"/>
      <c r="X4215" s="35" t="inlineStr"/>
    </row>
    <row r="4216" ht="41.25" customHeight="1" s="24">
      <c r="A4216" s="13" t="n">
        <v>5000100100</v>
      </c>
      <c r="B4216" s="13" t="inlineStr">
        <is>
          <t>Государственное бюджетное учреждение здравоохранения "Областная станция переливания крови"</t>
        </is>
      </c>
      <c r="C4216" s="13" t="n">
        <v>6501074692</v>
      </c>
      <c r="D4216" s="13" t="inlineStr">
        <is>
          <t>6501074692</t>
        </is>
      </c>
      <c r="E4216" s="13" t="inlineStr">
        <is>
          <t>ЮЛ РФ</t>
        </is>
      </c>
      <c r="F4216" s="13" t="n"/>
      <c r="G4216" s="14" t="n"/>
      <c r="H4216" s="14" t="n"/>
      <c r="I4216" s="14" t="n"/>
      <c r="J4216" s="14" t="n"/>
      <c r="K4216" s="53" t="inlineStr"/>
      <c r="L4216" s="53" t="inlineStr">
        <is>
          <t>Не определено</t>
        </is>
      </c>
      <c r="M4216" s="53" t="inlineStr"/>
      <c r="N4216" s="54" t="inlineStr"/>
      <c r="O4216" s="55" t="inlineStr"/>
      <c r="P4216" s="16" t="inlineStr">
        <is>
          <t>Требует обогащения</t>
        </is>
      </c>
      <c r="Q4216" s="16">
        <f>HYPERLINK("https://pb.nalog.ru/search.html?query=6501074692","ФНС: проверить")</f>
        <v/>
      </c>
      <c r="R4216" s="16">
        <f>HYPERLINK("https://checko.ru/search?query=3801001629","Чекко: проверить")</f>
        <v/>
      </c>
      <c r="S4216" t="n">
        <v>1</v>
      </c>
      <c r="T4216" s="35" t="inlineStr">
        <is>
          <t>4 — Не обогащён</t>
        </is>
      </c>
      <c r="U4216" s="35" t="inlineStr">
        <is>
          <t>Нет ОКВЭД/ССЧР</t>
        </is>
      </c>
      <c r="V4216" s="35" t="inlineStr">
        <is>
          <t>Не определено</t>
        </is>
      </c>
      <c r="W4216" s="35" t="inlineStr"/>
      <c r="X4216" s="35" t="inlineStr"/>
    </row>
    <row r="4217" ht="54.75" customHeight="1" s="24">
      <c r="A4217" s="13" t="n">
        <v>5000093172</v>
      </c>
      <c r="B4217" s="13" t="inlineStr">
        <is>
          <t>МКУ "Централизованная бухгалтерия муниципальных учреждений образования, культуры, спорта и молодежной политики Поронайск</t>
        </is>
      </c>
      <c r="C4217" s="13" t="n">
        <v>6507015083</v>
      </c>
      <c r="D4217" s="13" t="inlineStr">
        <is>
          <t>6507015083</t>
        </is>
      </c>
      <c r="E4217" s="13" t="inlineStr">
        <is>
          <t>ЮЛ РФ</t>
        </is>
      </c>
      <c r="F4217" s="13" t="n"/>
      <c r="G4217" s="14" t="n"/>
      <c r="H4217" s="14" t="n"/>
      <c r="I4217" s="14" t="n"/>
      <c r="J4217" s="14" t="n"/>
      <c r="K4217" s="53" t="inlineStr"/>
      <c r="L4217" s="53" t="inlineStr">
        <is>
          <t>Не определено</t>
        </is>
      </c>
      <c r="M4217" s="53" t="inlineStr"/>
      <c r="N4217" s="54" t="inlineStr"/>
      <c r="O4217" s="55" t="inlineStr"/>
      <c r="P4217" s="16" t="inlineStr">
        <is>
          <t>Требует обогащения</t>
        </is>
      </c>
      <c r="Q4217" s="16">
        <f>HYPERLINK("https://pb.nalog.ru/search.html?query=6507015083","ФНС: проверить")</f>
        <v/>
      </c>
      <c r="R4217" s="16">
        <f>HYPERLINK("https://checko.ru/search?query=3801001629","Чекко: проверить")</f>
        <v/>
      </c>
      <c r="S4217" t="n">
        <v>1</v>
      </c>
      <c r="T4217" s="35" t="inlineStr">
        <is>
          <t>4 — Не обогащён</t>
        </is>
      </c>
      <c r="U4217" s="35" t="inlineStr">
        <is>
          <t>Нет ОКВЭД/ССЧР</t>
        </is>
      </c>
      <c r="V4217" s="35" t="inlineStr">
        <is>
          <t>Не определено</t>
        </is>
      </c>
      <c r="W4217" s="35" t="inlineStr"/>
      <c r="X4217" s="35" t="inlineStr"/>
    </row>
    <row r="4218" ht="15" customHeight="1" s="24">
      <c r="A4218" s="13" t="n">
        <v>5000093173</v>
      </c>
      <c r="B4218" s="13" t="inlineStr">
        <is>
          <t>МБОУ СОШ № 1 Г. ПОРОНАЙСКА</t>
        </is>
      </c>
      <c r="C4218" s="13" t="n">
        <v>6507010173</v>
      </c>
      <c r="D4218" s="13" t="inlineStr">
        <is>
          <t>6507010173</t>
        </is>
      </c>
      <c r="E4218" s="13" t="inlineStr">
        <is>
          <t>ЮЛ РФ</t>
        </is>
      </c>
      <c r="F4218" s="13" t="n"/>
      <c r="G4218" s="14" t="n"/>
      <c r="H4218" s="14" t="n"/>
      <c r="I4218" s="14" t="n"/>
      <c r="J4218" s="14" t="n"/>
      <c r="K4218" s="53" t="inlineStr"/>
      <c r="L4218" s="53" t="inlineStr">
        <is>
          <t>Не определено</t>
        </is>
      </c>
      <c r="M4218" s="53" t="inlineStr"/>
      <c r="N4218" s="54" t="inlineStr"/>
      <c r="O4218" s="55" t="inlineStr"/>
      <c r="P4218" s="16" t="inlineStr">
        <is>
          <t>Требует обогащения</t>
        </is>
      </c>
      <c r="Q4218" s="16">
        <f>HYPERLINK("https://pb.nalog.ru/search.html?query=6507010173","ФНС: проверить")</f>
        <v/>
      </c>
      <c r="R4218" s="16">
        <f>HYPERLINK("https://checko.ru/search?query=3801001629","Чекко: проверить")</f>
        <v/>
      </c>
      <c r="S4218" t="n">
        <v>1</v>
      </c>
      <c r="T4218" s="35" t="inlineStr">
        <is>
          <t>4 — Не обогащён</t>
        </is>
      </c>
      <c r="U4218" s="35" t="inlineStr">
        <is>
          <t>Нет ОКВЭД/ССЧР</t>
        </is>
      </c>
      <c r="V4218" s="35" t="inlineStr">
        <is>
          <t>Не определено</t>
        </is>
      </c>
      <c r="W4218" s="35" t="inlineStr"/>
      <c r="X4218" s="35" t="inlineStr"/>
    </row>
    <row r="4219" ht="15" customHeight="1" s="24">
      <c r="A4219" s="13" t="n">
        <v>5000093174</v>
      </c>
      <c r="B4219" s="13" t="inlineStr">
        <is>
          <t>МБОУ СОШ № 2 Г. ПОРОНАЙСКА</t>
        </is>
      </c>
      <c r="C4219" s="13" t="n">
        <v>6507010159</v>
      </c>
      <c r="D4219" s="13" t="inlineStr">
        <is>
          <t>6507010159</t>
        </is>
      </c>
      <c r="E4219" s="13" t="inlineStr">
        <is>
          <t>ЮЛ РФ</t>
        </is>
      </c>
      <c r="F4219" s="13" t="n"/>
      <c r="G4219" s="14" t="n"/>
      <c r="H4219" s="14" t="n"/>
      <c r="I4219" s="14" t="n"/>
      <c r="J4219" s="14" t="n"/>
      <c r="K4219" s="53" t="inlineStr"/>
      <c r="L4219" s="53" t="inlineStr">
        <is>
          <t>Не определено</t>
        </is>
      </c>
      <c r="M4219" s="53" t="inlineStr"/>
      <c r="N4219" s="54" t="inlineStr"/>
      <c r="O4219" s="55" t="inlineStr"/>
      <c r="P4219" s="16" t="inlineStr">
        <is>
          <t>Требует обогащения</t>
        </is>
      </c>
      <c r="Q4219" s="16">
        <f>HYPERLINK("https://pb.nalog.ru/search.html?query=6507010159","ФНС: проверить")</f>
        <v/>
      </c>
      <c r="R4219" s="16">
        <f>HYPERLINK("https://checko.ru/search?query=3801001629","Чекко: проверить")</f>
        <v/>
      </c>
      <c r="S4219" t="n">
        <v>1</v>
      </c>
      <c r="T4219" s="35" t="inlineStr">
        <is>
          <t>4 — Не обогащён</t>
        </is>
      </c>
      <c r="U4219" s="35" t="inlineStr">
        <is>
          <t>Нет ОКВЭД/ССЧР</t>
        </is>
      </c>
      <c r="V4219" s="35" t="inlineStr">
        <is>
          <t>Не определено</t>
        </is>
      </c>
      <c r="W4219" s="35" t="inlineStr"/>
      <c r="X4219" s="35" t="inlineStr"/>
    </row>
    <row r="4220" ht="15" customHeight="1" s="24">
      <c r="A4220" s="13" t="n">
        <v>5000093175</v>
      </c>
      <c r="B4220" s="13" t="inlineStr">
        <is>
          <t>МБОУ ШКОЛА-ИНТЕРНАТ № 3 Г. ПОРОНАЙСКА</t>
        </is>
      </c>
      <c r="C4220" s="13" t="n">
        <v>6507004589</v>
      </c>
      <c r="D4220" s="13" t="inlineStr">
        <is>
          <t>6507004589</t>
        </is>
      </c>
      <c r="E4220" s="13" t="inlineStr">
        <is>
          <t>ЮЛ РФ</t>
        </is>
      </c>
      <c r="F4220" s="13" t="n"/>
      <c r="G4220" s="14" t="n"/>
      <c r="H4220" s="14" t="n"/>
      <c r="I4220" s="14" t="n"/>
      <c r="J4220" s="14" t="n"/>
      <c r="K4220" s="53" t="inlineStr"/>
      <c r="L4220" s="53" t="inlineStr">
        <is>
          <t>Не определено</t>
        </is>
      </c>
      <c r="M4220" s="53" t="inlineStr"/>
      <c r="N4220" s="54" t="inlineStr"/>
      <c r="O4220" s="55" t="inlineStr"/>
      <c r="P4220" s="16" t="inlineStr">
        <is>
          <t>Требует обогащения</t>
        </is>
      </c>
      <c r="Q4220" s="16">
        <f>HYPERLINK("https://pb.nalog.ru/search.html?query=6507004589","ФНС: проверить")</f>
        <v/>
      </c>
      <c r="R4220" s="16">
        <f>HYPERLINK("https://checko.ru/search?query=3801001629","Чекко: проверить")</f>
        <v/>
      </c>
      <c r="S4220" t="n">
        <v>1</v>
      </c>
      <c r="T4220" s="35" t="inlineStr">
        <is>
          <t>4 — Не обогащён</t>
        </is>
      </c>
      <c r="U4220" s="35" t="inlineStr">
        <is>
          <t>Нет ОКВЭД/ССЧР</t>
        </is>
      </c>
      <c r="V4220" s="35" t="inlineStr">
        <is>
          <t>Не определено</t>
        </is>
      </c>
      <c r="W4220" s="35" t="inlineStr"/>
      <c r="X4220" s="35" t="inlineStr"/>
    </row>
    <row r="4221" ht="15" customHeight="1" s="24">
      <c r="A4221" s="13" t="n">
        <v>5000093176</v>
      </c>
      <c r="B4221" s="13" t="inlineStr">
        <is>
          <t>МБОУ В (С) ОШ Г.ПОРОНАЙСКА</t>
        </is>
      </c>
      <c r="C4221" s="13" t="n">
        <v>6507010127</v>
      </c>
      <c r="D4221" s="13" t="inlineStr">
        <is>
          <t>6507010127</t>
        </is>
      </c>
      <c r="E4221" s="13" t="inlineStr">
        <is>
          <t>ЮЛ РФ</t>
        </is>
      </c>
      <c r="F4221" s="13" t="n"/>
      <c r="G4221" s="14" t="n"/>
      <c r="H4221" s="14" t="n"/>
      <c r="I4221" s="14" t="n"/>
      <c r="J4221" s="14" t="n"/>
      <c r="K4221" s="53" t="inlineStr"/>
      <c r="L4221" s="53" t="inlineStr">
        <is>
          <t>Не определено</t>
        </is>
      </c>
      <c r="M4221" s="53" t="inlineStr"/>
      <c r="N4221" s="54" t="inlineStr"/>
      <c r="O4221" s="55" t="inlineStr"/>
      <c r="P4221" s="16" t="inlineStr">
        <is>
          <t>Требует обогащения</t>
        </is>
      </c>
      <c r="Q4221" s="16">
        <f>HYPERLINK("https://pb.nalog.ru/search.html?query=6507010127","ФНС: проверить")</f>
        <v/>
      </c>
      <c r="R4221" s="16">
        <f>HYPERLINK("https://checko.ru/search?query=3801001629","Чекко: проверить")</f>
        <v/>
      </c>
      <c r="S4221" t="n">
        <v>1</v>
      </c>
      <c r="T4221" s="35" t="inlineStr">
        <is>
          <t>4 — Не обогащён</t>
        </is>
      </c>
      <c r="U4221" s="35" t="inlineStr">
        <is>
          <t>Нет ОКВЭД/ССЧР</t>
        </is>
      </c>
      <c r="V4221" s="35" t="inlineStr">
        <is>
          <t>Не определено</t>
        </is>
      </c>
      <c r="W4221" s="35" t="inlineStr"/>
      <c r="X4221" s="35" t="inlineStr"/>
    </row>
    <row r="4222" ht="15" customHeight="1" s="24">
      <c r="A4222" s="13" t="n">
        <v>5000093177</v>
      </c>
      <c r="B4222" s="13" t="inlineStr">
        <is>
          <t>МБОУ СОШ №7 Г. ПОРОНАЙСКА</t>
        </is>
      </c>
      <c r="C4222" s="13" t="n">
        <v>6507010007</v>
      </c>
      <c r="D4222" s="13" t="inlineStr">
        <is>
          <t>6507010007</t>
        </is>
      </c>
      <c r="E4222" s="13" t="inlineStr">
        <is>
          <t>ЮЛ РФ</t>
        </is>
      </c>
      <c r="F4222" s="13" t="n"/>
      <c r="G4222" s="14" t="n"/>
      <c r="H4222" s="14" t="n"/>
      <c r="I4222" s="14" t="n"/>
      <c r="J4222" s="14" t="n"/>
      <c r="K4222" s="53" t="inlineStr"/>
      <c r="L4222" s="53" t="inlineStr">
        <is>
          <t>Не определено</t>
        </is>
      </c>
      <c r="M4222" s="53" t="inlineStr"/>
      <c r="N4222" s="54" t="inlineStr"/>
      <c r="O4222" s="55" t="inlineStr"/>
      <c r="P4222" s="16" t="inlineStr">
        <is>
          <t>Требует обогащения</t>
        </is>
      </c>
      <c r="Q4222" s="16">
        <f>HYPERLINK("https://pb.nalog.ru/search.html?query=6507010007","ФНС: проверить")</f>
        <v/>
      </c>
      <c r="R4222" s="16">
        <f>HYPERLINK("https://checko.ru/search?query=3801001629","Чекко: проверить")</f>
        <v/>
      </c>
      <c r="S4222" t="n">
        <v>1</v>
      </c>
      <c r="T4222" s="35" t="inlineStr">
        <is>
          <t>4 — Не обогащён</t>
        </is>
      </c>
      <c r="U4222" s="35" t="inlineStr">
        <is>
          <t>Нет ОКВЭД/ССЧР</t>
        </is>
      </c>
      <c r="V4222" s="35" t="inlineStr">
        <is>
          <t>Не определено</t>
        </is>
      </c>
      <c r="W4222" s="35" t="inlineStr"/>
      <c r="X4222" s="35" t="inlineStr"/>
    </row>
    <row r="4223" ht="15" customHeight="1" s="24">
      <c r="A4223" s="13" t="n">
        <v>5000093178</v>
      </c>
      <c r="B4223" s="13" t="inlineStr">
        <is>
          <t>МБОУ СОШ № 8 Г.ПОРОНАЙСКА</t>
        </is>
      </c>
      <c r="C4223" s="13" t="n">
        <v>6507010078</v>
      </c>
      <c r="D4223" s="13" t="inlineStr">
        <is>
          <t>6507010078</t>
        </is>
      </c>
      <c r="E4223" s="13" t="inlineStr">
        <is>
          <t>ЮЛ РФ</t>
        </is>
      </c>
      <c r="F4223" s="13" t="n"/>
      <c r="G4223" s="14" t="n"/>
      <c r="H4223" s="14" t="n"/>
      <c r="I4223" s="14" t="n"/>
      <c r="J4223" s="14" t="n"/>
      <c r="K4223" s="53" t="inlineStr"/>
      <c r="L4223" s="53" t="inlineStr">
        <is>
          <t>Не определено</t>
        </is>
      </c>
      <c r="M4223" s="53" t="inlineStr"/>
      <c r="N4223" s="54" t="inlineStr"/>
      <c r="O4223" s="55" t="inlineStr"/>
      <c r="P4223" s="16" t="inlineStr">
        <is>
          <t>Требует обогащения</t>
        </is>
      </c>
      <c r="Q4223" s="16">
        <f>HYPERLINK("https://pb.nalog.ru/search.html?query=6507010078","ФНС: проверить")</f>
        <v/>
      </c>
      <c r="R4223" s="16">
        <f>HYPERLINK("https://checko.ru/search?query=3801001629","Чекко: проверить")</f>
        <v/>
      </c>
      <c r="S4223" t="n">
        <v>1</v>
      </c>
      <c r="T4223" s="35" t="inlineStr">
        <is>
          <t>4 — Не обогащён</t>
        </is>
      </c>
      <c r="U4223" s="35" t="inlineStr">
        <is>
          <t>Нет ОКВЭД/ССЧР</t>
        </is>
      </c>
      <c r="V4223" s="35" t="inlineStr">
        <is>
          <t>Не определено</t>
        </is>
      </c>
      <c r="W4223" s="35" t="inlineStr"/>
      <c r="X4223" s="35" t="inlineStr"/>
    </row>
    <row r="4224" ht="15" customHeight="1" s="24">
      <c r="A4224" s="13" t="n">
        <v>5000093179</v>
      </c>
      <c r="B4224" s="13" t="inlineStr">
        <is>
          <t>МБОУ СОШ ПГТ.ВАХРУШЕВ</t>
        </is>
      </c>
      <c r="C4224" s="13" t="n">
        <v>6507010783</v>
      </c>
      <c r="D4224" s="13" t="inlineStr">
        <is>
          <t>6507010783</t>
        </is>
      </c>
      <c r="E4224" s="13" t="inlineStr">
        <is>
          <t>ЮЛ РФ</t>
        </is>
      </c>
      <c r="F4224" s="13" t="n"/>
      <c r="G4224" s="14" t="n"/>
      <c r="H4224" s="14" t="n"/>
      <c r="I4224" s="14" t="n"/>
      <c r="J4224" s="14" t="n"/>
      <c r="K4224" s="53" t="inlineStr"/>
      <c r="L4224" s="53" t="inlineStr">
        <is>
          <t>Не определено</t>
        </is>
      </c>
      <c r="M4224" s="53" t="inlineStr"/>
      <c r="N4224" s="54" t="inlineStr"/>
      <c r="O4224" s="55" t="inlineStr"/>
      <c r="P4224" s="16" t="inlineStr">
        <is>
          <t>Требует обогащения</t>
        </is>
      </c>
      <c r="Q4224" s="16">
        <f>HYPERLINK("https://pb.nalog.ru/search.html?query=6507010783","ФНС: проверить")</f>
        <v/>
      </c>
      <c r="R4224" s="16">
        <f>HYPERLINK("https://checko.ru/search?query=3801001629","Чекко: проверить")</f>
        <v/>
      </c>
      <c r="S4224" t="n">
        <v>1</v>
      </c>
      <c r="T4224" s="35" t="inlineStr">
        <is>
          <t>4 — Не обогащён</t>
        </is>
      </c>
      <c r="U4224" s="35" t="inlineStr">
        <is>
          <t>Нет ОКВЭД/ССЧР</t>
        </is>
      </c>
      <c r="V4224" s="35" t="inlineStr">
        <is>
          <t>Не определено</t>
        </is>
      </c>
      <c r="W4224" s="35" t="inlineStr"/>
      <c r="X4224" s="35" t="inlineStr"/>
    </row>
    <row r="4225" ht="15" customHeight="1" s="24">
      <c r="A4225" s="13" t="n">
        <v>5000093180</v>
      </c>
      <c r="B4225" s="13" t="inlineStr">
        <is>
          <t>МКОУ СОШ с.Гастелло</t>
        </is>
      </c>
      <c r="C4225" s="13" t="n">
        <v>6507010085</v>
      </c>
      <c r="D4225" s="13" t="inlineStr">
        <is>
          <t>6507010085</t>
        </is>
      </c>
      <c r="E4225" s="13" t="inlineStr">
        <is>
          <t>ЮЛ РФ</t>
        </is>
      </c>
      <c r="F4225" s="13" t="n"/>
      <c r="G4225" s="14" t="n"/>
      <c r="H4225" s="14" t="n"/>
      <c r="I4225" s="14" t="n"/>
      <c r="J4225" s="14" t="n"/>
      <c r="K4225" s="53" t="inlineStr"/>
      <c r="L4225" s="53" t="inlineStr">
        <is>
          <t>Не определено</t>
        </is>
      </c>
      <c r="M4225" s="53" t="inlineStr"/>
      <c r="N4225" s="54" t="inlineStr"/>
      <c r="O4225" s="55" t="inlineStr"/>
      <c r="P4225" s="16" t="inlineStr">
        <is>
          <t>Требует обогащения</t>
        </is>
      </c>
      <c r="Q4225" s="16">
        <f>HYPERLINK("https://pb.nalog.ru/search.html?query=6507010085","ФНС: проверить")</f>
        <v/>
      </c>
      <c r="R4225" s="16">
        <f>HYPERLINK("https://checko.ru/search?query=3801001629","Чекко: проверить")</f>
        <v/>
      </c>
      <c r="S4225" t="n">
        <v>1</v>
      </c>
      <c r="T4225" s="35" t="inlineStr">
        <is>
          <t>4 — Не обогащён</t>
        </is>
      </c>
      <c r="U4225" s="35" t="inlineStr">
        <is>
          <t>Нет ОКВЭД/ССЧР</t>
        </is>
      </c>
      <c r="V4225" s="35" t="inlineStr">
        <is>
          <t>Не определено</t>
        </is>
      </c>
      <c r="W4225" s="35" t="inlineStr"/>
      <c r="X4225" s="35" t="inlineStr"/>
    </row>
    <row r="4226" ht="15" customHeight="1" s="24">
      <c r="A4226" s="13" t="n">
        <v>5000093181</v>
      </c>
      <c r="B4226" s="13" t="inlineStr">
        <is>
          <t>МБОУ СОШ С. ВОСТОК</t>
        </is>
      </c>
      <c r="C4226" s="13" t="n">
        <v>6507010014</v>
      </c>
      <c r="D4226" s="13" t="inlineStr">
        <is>
          <t>6507010014</t>
        </is>
      </c>
      <c r="E4226" s="13" t="inlineStr">
        <is>
          <t>ЮЛ РФ</t>
        </is>
      </c>
      <c r="F4226" s="13" t="n"/>
      <c r="G4226" s="14" t="n"/>
      <c r="H4226" s="14" t="n"/>
      <c r="I4226" s="14" t="n"/>
      <c r="J4226" s="14" t="n"/>
      <c r="K4226" s="53" t="inlineStr"/>
      <c r="L4226" s="53" t="inlineStr">
        <is>
          <t>Не определено</t>
        </is>
      </c>
      <c r="M4226" s="53" t="inlineStr"/>
      <c r="N4226" s="54" t="inlineStr"/>
      <c r="O4226" s="55" t="inlineStr"/>
      <c r="P4226" s="16" t="inlineStr">
        <is>
          <t>Требует обогащения</t>
        </is>
      </c>
      <c r="Q4226" s="16">
        <f>HYPERLINK("https://pb.nalog.ru/search.html?query=6507010014","ФНС: проверить")</f>
        <v/>
      </c>
      <c r="R4226" s="16">
        <f>HYPERLINK("https://checko.ru/search?query=3801001629","Чекко: проверить")</f>
        <v/>
      </c>
      <c r="S4226" t="n">
        <v>1</v>
      </c>
      <c r="T4226" s="35" t="inlineStr">
        <is>
          <t>4 — Не обогащён</t>
        </is>
      </c>
      <c r="U4226" s="35" t="inlineStr">
        <is>
          <t>Нет ОКВЭД/ССЧР</t>
        </is>
      </c>
      <c r="V4226" s="35" t="inlineStr">
        <is>
          <t>Не определено</t>
        </is>
      </c>
      <c r="W4226" s="35" t="inlineStr"/>
      <c r="X4226" s="35" t="inlineStr"/>
    </row>
    <row r="4227" ht="15" customHeight="1" s="24">
      <c r="A4227" s="13" t="n">
        <v>5000093182</v>
      </c>
      <c r="B4227" s="13" t="inlineStr">
        <is>
          <t>МБОУ СОШ С. ЛЕОНИДОВО</t>
        </is>
      </c>
      <c r="C4227" s="13" t="n">
        <v>6507010092</v>
      </c>
      <c r="D4227" s="13" t="inlineStr">
        <is>
          <t>6507010092</t>
        </is>
      </c>
      <c r="E4227" s="13" t="inlineStr">
        <is>
          <t>ЮЛ РФ</t>
        </is>
      </c>
      <c r="F4227" s="13" t="n"/>
      <c r="G4227" s="14" t="n"/>
      <c r="H4227" s="14" t="n"/>
      <c r="I4227" s="14" t="n"/>
      <c r="J4227" s="14" t="n"/>
      <c r="K4227" s="53" t="inlineStr"/>
      <c r="L4227" s="53" t="inlineStr">
        <is>
          <t>Не определено</t>
        </is>
      </c>
      <c r="M4227" s="53" t="inlineStr"/>
      <c r="N4227" s="54" t="inlineStr"/>
      <c r="O4227" s="55" t="inlineStr"/>
      <c r="P4227" s="16" t="inlineStr">
        <is>
          <t>Требует обогащения</t>
        </is>
      </c>
      <c r="Q4227" s="16">
        <f>HYPERLINK("https://pb.nalog.ru/search.html?query=6507010092","ФНС: проверить")</f>
        <v/>
      </c>
      <c r="R4227" s="16">
        <f>HYPERLINK("https://checko.ru/search?query=3801001629","Чекко: проверить")</f>
        <v/>
      </c>
      <c r="S4227" t="n">
        <v>1</v>
      </c>
      <c r="T4227" s="35" t="inlineStr">
        <is>
          <t>4 — Не обогащён</t>
        </is>
      </c>
      <c r="U4227" s="35" t="inlineStr">
        <is>
          <t>Нет ОКВЭД/ССЧР</t>
        </is>
      </c>
      <c r="V4227" s="35" t="inlineStr">
        <is>
          <t>Не определено</t>
        </is>
      </c>
      <c r="W4227" s="35" t="inlineStr"/>
      <c r="X4227" s="35" t="inlineStr"/>
    </row>
    <row r="4228" ht="15" customHeight="1" s="24">
      <c r="A4228" s="13" t="n">
        <v>5000093184</v>
      </c>
      <c r="B4228" s="13" t="inlineStr">
        <is>
          <t>МКОУ СОШ С.МАЛИНОВКА</t>
        </is>
      </c>
      <c r="C4228" s="13" t="n">
        <v>6507010230</v>
      </c>
      <c r="D4228" s="13" t="inlineStr">
        <is>
          <t>6507010230</t>
        </is>
      </c>
      <c r="E4228" s="13" t="inlineStr">
        <is>
          <t>ЮЛ РФ</t>
        </is>
      </c>
      <c r="F4228" s="13" t="n"/>
      <c r="G4228" s="14" t="n"/>
      <c r="H4228" s="14" t="n"/>
      <c r="I4228" s="14" t="n"/>
      <c r="J4228" s="14" t="n"/>
      <c r="K4228" s="53" t="inlineStr"/>
      <c r="L4228" s="53" t="inlineStr">
        <is>
          <t>Не определено</t>
        </is>
      </c>
      <c r="M4228" s="53" t="inlineStr"/>
      <c r="N4228" s="54" t="inlineStr"/>
      <c r="O4228" s="55" t="inlineStr"/>
      <c r="P4228" s="16" t="inlineStr">
        <is>
          <t>Требует обогащения</t>
        </is>
      </c>
      <c r="Q4228" s="16">
        <f>HYPERLINK("https://pb.nalog.ru/search.html?query=6507010230","ФНС: проверить")</f>
        <v/>
      </c>
      <c r="R4228" s="16">
        <f>HYPERLINK("https://checko.ru/search?query=3801001629","Чекко: проверить")</f>
        <v/>
      </c>
      <c r="S4228" t="n">
        <v>1</v>
      </c>
      <c r="T4228" s="35" t="inlineStr">
        <is>
          <t>4 — Не обогащён</t>
        </is>
      </c>
      <c r="U4228" s="35" t="inlineStr">
        <is>
          <t>Нет ОКВЭД/ССЧР</t>
        </is>
      </c>
      <c r="V4228" s="35" t="inlineStr">
        <is>
          <t>Не определено</t>
        </is>
      </c>
      <c r="W4228" s="35" t="inlineStr"/>
      <c r="X4228" s="35" t="inlineStr"/>
    </row>
    <row r="4229" ht="15" customHeight="1" s="24">
      <c r="A4229" s="13" t="n">
        <v>5000093185</v>
      </c>
      <c r="B4229" s="13" t="inlineStr">
        <is>
          <t>МБДОУ № 1 "ДРУЖНЫЕ РЕБЯТА" Г. ПОРОНАЙСКА</t>
        </is>
      </c>
      <c r="C4229" s="13" t="n">
        <v>6507010180</v>
      </c>
      <c r="D4229" s="13" t="inlineStr">
        <is>
          <t>6507010180</t>
        </is>
      </c>
      <c r="E4229" s="13" t="inlineStr">
        <is>
          <t>ЮЛ РФ</t>
        </is>
      </c>
      <c r="F4229" s="13" t="n"/>
      <c r="G4229" s="14" t="n"/>
      <c r="H4229" s="14" t="n"/>
      <c r="I4229" s="14" t="n"/>
      <c r="J4229" s="14" t="n"/>
      <c r="K4229" s="53" t="inlineStr"/>
      <c r="L4229" s="53" t="inlineStr">
        <is>
          <t>Не определено</t>
        </is>
      </c>
      <c r="M4229" s="53" t="inlineStr"/>
      <c r="N4229" s="54" t="inlineStr"/>
      <c r="O4229" s="55" t="inlineStr"/>
      <c r="P4229" s="16" t="inlineStr">
        <is>
          <t>Требует обогащения</t>
        </is>
      </c>
      <c r="Q4229" s="16">
        <f>HYPERLINK("https://pb.nalog.ru/search.html?query=6507010180","ФНС: проверить")</f>
        <v/>
      </c>
      <c r="R4229" s="16">
        <f>HYPERLINK("https://checko.ru/search?query=3801001629","Чекко: проверить")</f>
        <v/>
      </c>
      <c r="S4229" t="n">
        <v>1</v>
      </c>
      <c r="T4229" s="35" t="inlineStr">
        <is>
          <t>4 — Не обогащён</t>
        </is>
      </c>
      <c r="U4229" s="35" t="inlineStr">
        <is>
          <t>Нет ОКВЭД/ССЧР</t>
        </is>
      </c>
      <c r="V4229" s="35" t="inlineStr">
        <is>
          <t>Не определено</t>
        </is>
      </c>
      <c r="W4229" s="35" t="inlineStr"/>
      <c r="X4229" s="35" t="inlineStr"/>
    </row>
    <row r="4230" ht="41.25" customHeight="1" s="24">
      <c r="A4230" s="13" t="n">
        <v>5000081665</v>
      </c>
      <c r="B4230" s="13" t="inlineStr">
        <is>
          <t>Департамент дорожного хозяйства и благоустройства администрации города Южно-Сахалинска</t>
        </is>
      </c>
      <c r="C4230" s="13" t="n">
        <v>6501312523</v>
      </c>
      <c r="D4230" s="13" t="inlineStr">
        <is>
          <t>6501312523</t>
        </is>
      </c>
      <c r="E4230" s="13" t="inlineStr">
        <is>
          <t>ЮЛ РФ</t>
        </is>
      </c>
      <c r="F4230" s="13" t="n"/>
      <c r="G4230" s="14" t="n"/>
      <c r="H4230" s="14" t="n"/>
      <c r="I4230" s="14" t="n"/>
      <c r="J4230" s="14" t="n"/>
      <c r="K4230" s="53" t="inlineStr"/>
      <c r="L4230" s="53" t="inlineStr">
        <is>
          <t>Не определено</t>
        </is>
      </c>
      <c r="M4230" s="53" t="inlineStr"/>
      <c r="N4230" s="54" t="inlineStr"/>
      <c r="O4230" s="55" t="inlineStr"/>
      <c r="P4230" s="16" t="inlineStr">
        <is>
          <t>Требует обогащения</t>
        </is>
      </c>
      <c r="Q4230" s="16">
        <f>HYPERLINK("https://pb.nalog.ru/search.html?query=6501312523","ФНС: проверить")</f>
        <v/>
      </c>
      <c r="R4230" s="16">
        <f>HYPERLINK("https://checko.ru/search?query=3801001629","Чекко: проверить")</f>
        <v/>
      </c>
      <c r="S4230" t="n">
        <v>1</v>
      </c>
      <c r="T4230" s="35" t="inlineStr">
        <is>
          <t>4 — Не обогащён</t>
        </is>
      </c>
      <c r="U4230" s="35" t="inlineStr">
        <is>
          <t>Нет ОКВЭД/ССЧР</t>
        </is>
      </c>
      <c r="V4230" s="35" t="inlineStr">
        <is>
          <t>Не определено</t>
        </is>
      </c>
      <c r="W4230" s="35" t="inlineStr"/>
      <c r="X4230" s="35" t="inlineStr"/>
    </row>
    <row r="4231" ht="41.25" customHeight="1" s="24">
      <c r="A4231" s="13" t="n">
        <v>5000081665</v>
      </c>
      <c r="B4231" s="13" t="inlineStr">
        <is>
          <t>Департамент дорожного хозяйства и благоустройства администрации города Южно-Сахалинска</t>
        </is>
      </c>
      <c r="C4231" s="13" t="n">
        <v>6501312523</v>
      </c>
      <c r="D4231" s="13" t="inlineStr">
        <is>
          <t>6501312523</t>
        </is>
      </c>
      <c r="E4231" s="13" t="inlineStr">
        <is>
          <t>ЮЛ РФ</t>
        </is>
      </c>
      <c r="F4231" s="13" t="n"/>
      <c r="G4231" s="14" t="n"/>
      <c r="H4231" s="14" t="n"/>
      <c r="I4231" s="14" t="n"/>
      <c r="J4231" s="14" t="n"/>
      <c r="K4231" s="53" t="inlineStr"/>
      <c r="L4231" s="53" t="inlineStr">
        <is>
          <t>Не определено</t>
        </is>
      </c>
      <c r="M4231" s="53" t="inlineStr"/>
      <c r="N4231" s="54" t="inlineStr"/>
      <c r="O4231" s="55" t="inlineStr"/>
      <c r="P4231" s="16" t="inlineStr">
        <is>
          <t>Требует обогащения</t>
        </is>
      </c>
      <c r="Q4231" s="16">
        <f>HYPERLINK("https://pb.nalog.ru/search.html?query=6501312523","ФНС: проверить")</f>
        <v/>
      </c>
      <c r="R4231" s="16">
        <f>HYPERLINK("https://checko.ru/search?query=3801001629","Чекко: проверить")</f>
        <v/>
      </c>
      <c r="S4231" t="n">
        <v>0</v>
      </c>
      <c r="T4231" s="35" t="inlineStr">
        <is>
          <t>4 — Не обогащён</t>
        </is>
      </c>
      <c r="U4231" s="35" t="inlineStr">
        <is>
          <t>Нет ОКВЭД/ССЧР</t>
        </is>
      </c>
      <c r="V4231" s="35" t="inlineStr">
        <is>
          <t>Не определено</t>
        </is>
      </c>
      <c r="W4231" s="35" t="inlineStr"/>
      <c r="X4231" s="35" t="inlineStr"/>
    </row>
    <row r="4232" ht="41.25" customHeight="1" s="24">
      <c r="A4232" s="13" t="n">
        <v>5000081666</v>
      </c>
      <c r="B4232" s="13" t="inlineStr">
        <is>
          <t>Муниципальное казённое учреждение «Управление охраны окружающей среды и озеленения города Южно-Сахалинска»</t>
        </is>
      </c>
      <c r="C4232" s="13" t="n">
        <v>6501308943</v>
      </c>
      <c r="D4232" s="13" t="inlineStr">
        <is>
          <t>6501308943</t>
        </is>
      </c>
      <c r="E4232" s="13" t="inlineStr">
        <is>
          <t>ЮЛ РФ</t>
        </is>
      </c>
      <c r="F4232" s="13" t="n"/>
      <c r="G4232" s="14" t="n"/>
      <c r="H4232" s="14" t="n"/>
      <c r="I4232" s="14" t="n"/>
      <c r="J4232" s="14" t="n"/>
      <c r="K4232" s="53" t="inlineStr"/>
      <c r="L4232" s="53" t="inlineStr">
        <is>
          <t>Не определено</t>
        </is>
      </c>
      <c r="M4232" s="53" t="inlineStr"/>
      <c r="N4232" s="54" t="inlineStr"/>
      <c r="O4232" s="55" t="inlineStr"/>
      <c r="P4232" s="16" t="inlineStr">
        <is>
          <t>Требует обогащения</t>
        </is>
      </c>
      <c r="Q4232" s="16">
        <f>HYPERLINK("https://pb.nalog.ru/search.html?query=6501308943","ФНС: проверить")</f>
        <v/>
      </c>
      <c r="R4232" s="16">
        <f>HYPERLINK("https://checko.ru/search?query=3801001629","Чекко: проверить")</f>
        <v/>
      </c>
      <c r="S4232" t="n">
        <v>1</v>
      </c>
      <c r="T4232" s="35" t="inlineStr">
        <is>
          <t>4 — Не обогащён</t>
        </is>
      </c>
      <c r="U4232" s="35" t="inlineStr">
        <is>
          <t>Нет ОКВЭД/ССЧР</t>
        </is>
      </c>
      <c r="V4232" s="35" t="inlineStr">
        <is>
          <t>Не определено</t>
        </is>
      </c>
      <c r="W4232" s="35" t="inlineStr"/>
      <c r="X4232" s="35" t="inlineStr"/>
    </row>
    <row r="4233" ht="27.75" customHeight="1" s="24">
      <c r="A4233" s="13" t="n">
        <v>5000081667</v>
      </c>
      <c r="B4233" s="13" t="inlineStr">
        <is>
          <t>Муниципальное бюджетное учреждение «Зеленый город»</t>
        </is>
      </c>
      <c r="C4233" s="13" t="n">
        <v>6501238735</v>
      </c>
      <c r="D4233" s="13" t="inlineStr">
        <is>
          <t>6501238735</t>
        </is>
      </c>
      <c r="E4233" s="13" t="inlineStr">
        <is>
          <t>ЮЛ РФ</t>
        </is>
      </c>
      <c r="F4233" s="13" t="n"/>
      <c r="G4233" s="14" t="n"/>
      <c r="H4233" s="14" t="n"/>
      <c r="I4233" s="14" t="n"/>
      <c r="J4233" s="14" t="n"/>
      <c r="K4233" s="53" t="inlineStr"/>
      <c r="L4233" s="53" t="inlineStr">
        <is>
          <t>Не определено</t>
        </is>
      </c>
      <c r="M4233" s="53" t="inlineStr"/>
      <c r="N4233" s="54" t="inlineStr"/>
      <c r="O4233" s="55" t="inlineStr"/>
      <c r="P4233" s="16" t="inlineStr">
        <is>
          <t>Требует обогащения</t>
        </is>
      </c>
      <c r="Q4233" s="16">
        <f>HYPERLINK("https://pb.nalog.ru/search.html?query=6501238735","ФНС: проверить")</f>
        <v/>
      </c>
      <c r="R4233" s="16">
        <f>HYPERLINK("https://checko.ru/search?query=3801001629","Чекко: проверить")</f>
        <v/>
      </c>
      <c r="S4233" t="n">
        <v>1</v>
      </c>
      <c r="T4233" s="35" t="inlineStr">
        <is>
          <t>4 — Не обогащён</t>
        </is>
      </c>
      <c r="U4233" s="35" t="inlineStr">
        <is>
          <t>Нет ОКВЭД/ССЧР</t>
        </is>
      </c>
      <c r="V4233" s="35" t="inlineStr">
        <is>
          <t>Не определено</t>
        </is>
      </c>
      <c r="W4233" s="35" t="inlineStr"/>
      <c r="X4233" s="35" t="inlineStr"/>
    </row>
    <row r="4234" ht="41.25" customHeight="1" s="24">
      <c r="A4234" s="13" t="n">
        <v>5000081686</v>
      </c>
      <c r="B4234" s="13" t="inlineStr">
        <is>
          <t>МУНИЦИПАЛЬНОЕ КАЗЕННОЕ УЧРЕЖДЕНИЕ "СЛУЖБА ГРАЖДАНСКОЙ ОБОРОНЫ И ЧРЕЗВЫЧАЙНЫХ СИТУАЦИЙ"</t>
        </is>
      </c>
      <c r="C4234" s="13" t="n">
        <v>6513004393</v>
      </c>
      <c r="D4234" s="13" t="inlineStr">
        <is>
          <t>6513004393</t>
        </is>
      </c>
      <c r="E4234" s="13" t="inlineStr">
        <is>
          <t>ЮЛ РФ</t>
        </is>
      </c>
      <c r="F4234" s="13" t="n"/>
      <c r="G4234" s="14" t="n"/>
      <c r="H4234" s="14" t="n"/>
      <c r="I4234" s="14" t="n"/>
      <c r="J4234" s="14" t="n"/>
      <c r="K4234" s="53" t="inlineStr"/>
      <c r="L4234" s="53" t="inlineStr">
        <is>
          <t>Не определено</t>
        </is>
      </c>
      <c r="M4234" s="53" t="inlineStr"/>
      <c r="N4234" s="54" t="inlineStr"/>
      <c r="O4234" s="55" t="inlineStr"/>
      <c r="P4234" s="16" t="inlineStr">
        <is>
          <t>Требует обогащения</t>
        </is>
      </c>
      <c r="Q4234" s="16">
        <f>HYPERLINK("https://pb.nalog.ru/search.html?query=6513004393","ФНС: проверить")</f>
        <v/>
      </c>
      <c r="R4234" s="16">
        <f>HYPERLINK("https://checko.ru/search?query=3801001629","Чекко: проверить")</f>
        <v/>
      </c>
      <c r="S4234" t="n">
        <v>1</v>
      </c>
      <c r="T4234" s="35" t="inlineStr">
        <is>
          <t>4 — Не обогащён</t>
        </is>
      </c>
      <c r="U4234" s="35" t="inlineStr">
        <is>
          <t>Нет ОКВЭД/ССЧР</t>
        </is>
      </c>
      <c r="V4234" s="35" t="inlineStr">
        <is>
          <t>Не определено</t>
        </is>
      </c>
      <c r="W4234" s="35" t="inlineStr"/>
      <c r="X4234" s="35" t="inlineStr"/>
    </row>
    <row r="4235" ht="15" customHeight="1" s="24">
      <c r="A4235" s="13" t="n">
        <v>5000082323</v>
      </c>
      <c r="B4235" s="13" t="inlineStr">
        <is>
          <t>МБОУ до "ДШИ г. Невельска", МБУ</t>
        </is>
      </c>
      <c r="C4235" s="13" t="n">
        <v>6505009493</v>
      </c>
      <c r="D4235" s="13" t="inlineStr">
        <is>
          <t>6505009493</t>
        </is>
      </c>
      <c r="E4235" s="13" t="inlineStr">
        <is>
          <t>ЮЛ РФ</t>
        </is>
      </c>
      <c r="F4235" s="13" t="n"/>
      <c r="G4235" s="14" t="n"/>
      <c r="H4235" s="14" t="n"/>
      <c r="I4235" s="14" t="n"/>
      <c r="J4235" s="14" t="n"/>
      <c r="K4235" s="53" t="inlineStr"/>
      <c r="L4235" s="53" t="inlineStr">
        <is>
          <t>Не определено</t>
        </is>
      </c>
      <c r="M4235" s="53" t="inlineStr"/>
      <c r="N4235" s="54" t="inlineStr"/>
      <c r="O4235" s="55" t="inlineStr"/>
      <c r="P4235" s="16" t="inlineStr">
        <is>
          <t>Требует обогащения</t>
        </is>
      </c>
      <c r="Q4235" s="16">
        <f>HYPERLINK("https://pb.nalog.ru/search.html?query=6505009493","ФНС: проверить")</f>
        <v/>
      </c>
      <c r="R4235" s="16">
        <f>HYPERLINK("https://checko.ru/search?query=3801001629","Чекко: проверить")</f>
        <v/>
      </c>
      <c r="S4235" t="n">
        <v>1</v>
      </c>
      <c r="T4235" s="35" t="inlineStr">
        <is>
          <t>4 — Не обогащён</t>
        </is>
      </c>
      <c r="U4235" s="35" t="inlineStr">
        <is>
          <t>Нет ОКВЭД/ССЧР</t>
        </is>
      </c>
      <c r="V4235" s="35" t="inlineStr">
        <is>
          <t>Не определено</t>
        </is>
      </c>
      <c r="W4235" s="35" t="inlineStr"/>
      <c r="X4235" s="35" t="inlineStr"/>
    </row>
    <row r="4236" ht="15" customHeight="1" s="24">
      <c r="A4236" s="13" t="n">
        <v>5000082324</v>
      </c>
      <c r="B4236" s="13" t="inlineStr">
        <is>
          <t>РДК им.Г.И.Невельского, МБУК</t>
        </is>
      </c>
      <c r="C4236" s="13" t="n">
        <v>6505005611</v>
      </c>
      <c r="D4236" s="13" t="inlineStr">
        <is>
          <t>6505005611</t>
        </is>
      </c>
      <c r="E4236" s="13" t="inlineStr">
        <is>
          <t>ЮЛ РФ</t>
        </is>
      </c>
      <c r="F4236" s="13" t="n"/>
      <c r="G4236" s="14" t="n"/>
      <c r="H4236" s="14" t="n"/>
      <c r="I4236" s="14" t="n"/>
      <c r="J4236" s="14" t="n"/>
      <c r="K4236" s="53" t="inlineStr"/>
      <c r="L4236" s="53" t="inlineStr">
        <is>
          <t>Не определено</t>
        </is>
      </c>
      <c r="M4236" s="53" t="inlineStr"/>
      <c r="N4236" s="54" t="inlineStr"/>
      <c r="O4236" s="55" t="inlineStr"/>
      <c r="P4236" s="16" t="inlineStr">
        <is>
          <t>Требует обогащения</t>
        </is>
      </c>
      <c r="Q4236" s="16">
        <f>HYPERLINK("https://pb.nalog.ru/search.html?query=6505005611","ФНС: проверить")</f>
        <v/>
      </c>
      <c r="R4236" s="16">
        <f>HYPERLINK("https://checko.ru/search?query=3801001629","Чекко: проверить")</f>
        <v/>
      </c>
      <c r="S4236" t="n">
        <v>1</v>
      </c>
      <c r="T4236" s="35" t="inlineStr">
        <is>
          <t>4 — Не обогащён</t>
        </is>
      </c>
      <c r="U4236" s="35" t="inlineStr">
        <is>
          <t>Нет ОКВЭД/ССЧР</t>
        </is>
      </c>
      <c r="V4236" s="35" t="inlineStr">
        <is>
          <t>Не определено</t>
        </is>
      </c>
      <c r="W4236" s="35" t="inlineStr"/>
      <c r="X4236" s="35" t="inlineStr"/>
    </row>
    <row r="4237" ht="15" customHeight="1" s="24">
      <c r="A4237" s="13" t="n">
        <v>5000082325</v>
      </c>
      <c r="B4237" s="13" t="inlineStr">
        <is>
          <t>Невельская ЦБС, МБУК</t>
        </is>
      </c>
      <c r="C4237" s="13" t="n">
        <v>6505005604</v>
      </c>
      <c r="D4237" s="13" t="inlineStr">
        <is>
          <t>6505005604</t>
        </is>
      </c>
      <c r="E4237" s="13" t="inlineStr">
        <is>
          <t>ЮЛ РФ</t>
        </is>
      </c>
      <c r="F4237" s="13" t="n"/>
      <c r="G4237" s="14" t="n"/>
      <c r="H4237" s="14" t="n"/>
      <c r="I4237" s="14" t="n"/>
      <c r="J4237" s="14" t="n"/>
      <c r="K4237" s="53" t="inlineStr"/>
      <c r="L4237" s="53" t="inlineStr">
        <is>
          <t>Не определено</t>
        </is>
      </c>
      <c r="M4237" s="53" t="inlineStr"/>
      <c r="N4237" s="54" t="inlineStr"/>
      <c r="O4237" s="55" t="inlineStr"/>
      <c r="P4237" s="16" t="inlineStr">
        <is>
          <t>Требует обогащения</t>
        </is>
      </c>
      <c r="Q4237" s="16">
        <f>HYPERLINK("https://pb.nalog.ru/search.html?query=6505005604","ФНС: проверить")</f>
        <v/>
      </c>
      <c r="R4237" s="16">
        <f>HYPERLINK("https://checko.ru/search?query=3801001629","Чекко: проверить")</f>
        <v/>
      </c>
      <c r="S4237" t="n">
        <v>1</v>
      </c>
      <c r="T4237" s="35" t="inlineStr">
        <is>
          <t>4 — Не обогащён</t>
        </is>
      </c>
      <c r="U4237" s="35" t="inlineStr">
        <is>
          <t>Нет ОКВЭД/ССЧР</t>
        </is>
      </c>
      <c r="V4237" s="35" t="inlineStr">
        <is>
          <t>Не определено</t>
        </is>
      </c>
      <c r="W4237" s="35" t="inlineStr"/>
      <c r="X4237" s="35" t="inlineStr"/>
    </row>
    <row r="4238" ht="15" customHeight="1" s="24">
      <c r="A4238" s="13" t="n">
        <v>5000082326</v>
      </c>
      <c r="B4238" s="13" t="inlineStr">
        <is>
          <t>"Спортивная Школа" г.Невельска, МБУ</t>
        </is>
      </c>
      <c r="C4238" s="13" t="n">
        <v>6505009422</v>
      </c>
      <c r="D4238" s="13" t="inlineStr">
        <is>
          <t>6505009422</t>
        </is>
      </c>
      <c r="E4238" s="13" t="inlineStr">
        <is>
          <t>ЮЛ РФ</t>
        </is>
      </c>
      <c r="F4238" s="13" t="n"/>
      <c r="G4238" s="14" t="n"/>
      <c r="H4238" s="14" t="n"/>
      <c r="I4238" s="14" t="n"/>
      <c r="J4238" s="14" t="n"/>
      <c r="K4238" s="53" t="inlineStr"/>
      <c r="L4238" s="53" t="inlineStr">
        <is>
          <t>Не определено</t>
        </is>
      </c>
      <c r="M4238" s="53" t="inlineStr"/>
      <c r="N4238" s="54" t="inlineStr"/>
      <c r="O4238" s="55" t="inlineStr"/>
      <c r="P4238" s="16" t="inlineStr">
        <is>
          <t>Требует обогащения</t>
        </is>
      </c>
      <c r="Q4238" s="16">
        <f>HYPERLINK("https://pb.nalog.ru/search.html?query=6505009422","ФНС: проверить")</f>
        <v/>
      </c>
      <c r="R4238" s="16">
        <f>HYPERLINK("https://checko.ru/search?query=3801001629","Чекко: проверить")</f>
        <v/>
      </c>
      <c r="S4238" t="n">
        <v>1</v>
      </c>
      <c r="T4238" s="35" t="inlineStr">
        <is>
          <t>4 — Не обогащён</t>
        </is>
      </c>
      <c r="U4238" s="35" t="inlineStr">
        <is>
          <t>Нет ОКВЭД/ССЧР</t>
        </is>
      </c>
      <c r="V4238" s="35" t="inlineStr">
        <is>
          <t>Не определено</t>
        </is>
      </c>
      <c r="W4238" s="35" t="inlineStr"/>
      <c r="X4238" s="35" t="inlineStr"/>
    </row>
    <row r="4239" ht="27.75" customHeight="1" s="24">
      <c r="A4239" s="13" t="n">
        <v>5000082327</v>
      </c>
      <c r="B4239" s="13" t="inlineStr">
        <is>
          <t>Невельский Историко-Краеведческий Музей, МБУК</t>
        </is>
      </c>
      <c r="C4239" s="13" t="n">
        <v>6505005403</v>
      </c>
      <c r="D4239" s="13" t="inlineStr">
        <is>
          <t>6505005403</t>
        </is>
      </c>
      <c r="E4239" s="13" t="inlineStr">
        <is>
          <t>ЮЛ РФ</t>
        </is>
      </c>
      <c r="F4239" s="13" t="n"/>
      <c r="G4239" s="14" t="n"/>
      <c r="H4239" s="14" t="n"/>
      <c r="I4239" s="14" t="n"/>
      <c r="J4239" s="14" t="n"/>
      <c r="K4239" s="53" t="inlineStr"/>
      <c r="L4239" s="53" t="inlineStr">
        <is>
          <t>Не определено</t>
        </is>
      </c>
      <c r="M4239" s="53" t="inlineStr"/>
      <c r="N4239" s="54" t="inlineStr"/>
      <c r="O4239" s="55" t="inlineStr"/>
      <c r="P4239" s="16" t="inlineStr">
        <is>
          <t>Требует обогащения</t>
        </is>
      </c>
      <c r="Q4239" s="16">
        <f>HYPERLINK("https://pb.nalog.ru/search.html?query=6505005403","ФНС: проверить")</f>
        <v/>
      </c>
      <c r="R4239" s="16">
        <f>HYPERLINK("https://checko.ru/search?query=3801001629","Чекко: проверить")</f>
        <v/>
      </c>
      <c r="S4239" t="n">
        <v>1</v>
      </c>
      <c r="T4239" s="35" t="inlineStr">
        <is>
          <t>4 — Не обогащён</t>
        </is>
      </c>
      <c r="U4239" s="35" t="inlineStr">
        <is>
          <t>Нет ОКВЭД/ССЧР</t>
        </is>
      </c>
      <c r="V4239" s="35" t="inlineStr">
        <is>
          <t>Не определено</t>
        </is>
      </c>
      <c r="W4239" s="35" t="inlineStr"/>
      <c r="X4239" s="35" t="inlineStr"/>
    </row>
    <row r="4240" ht="41.25" customHeight="1" s="24">
      <c r="A4240" s="13" t="n">
        <v>5000082328</v>
      </c>
      <c r="B4240" s="13" t="inlineStr">
        <is>
          <t>ОТДЕЛ КУЛЬТУРЫ, СПОРТА И МОЛОДЕЖНОЙ ПОЛИТИКИ АДМИНИСТРАЦИИ НЕВЕЛЬСКОГО ГОРОДСКОГО ОКРУГА</t>
        </is>
      </c>
      <c r="C4240" s="13" t="n">
        <v>6505004512</v>
      </c>
      <c r="D4240" s="13" t="inlineStr">
        <is>
          <t>6505004512</t>
        </is>
      </c>
      <c r="E4240" s="13" t="inlineStr">
        <is>
          <t>ЮЛ РФ</t>
        </is>
      </c>
      <c r="F4240" s="13" t="n"/>
      <c r="G4240" s="14" t="n"/>
      <c r="H4240" s="14" t="n"/>
      <c r="I4240" s="14" t="n"/>
      <c r="J4240" s="14" t="n"/>
      <c r="K4240" s="53" t="inlineStr"/>
      <c r="L4240" s="53" t="inlineStr">
        <is>
          <t>Не определено</t>
        </is>
      </c>
      <c r="M4240" s="53" t="inlineStr"/>
      <c r="N4240" s="54" t="inlineStr"/>
      <c r="O4240" s="55" t="inlineStr"/>
      <c r="P4240" s="16" t="inlineStr">
        <is>
          <t>Требует обогащения</t>
        </is>
      </c>
      <c r="Q4240" s="16">
        <f>HYPERLINK("https://pb.nalog.ru/search.html?query=6505004512","ФНС: проверить")</f>
        <v/>
      </c>
      <c r="R4240" s="16">
        <f>HYPERLINK("https://checko.ru/search?query=3801001629","Чекко: проверить")</f>
        <v/>
      </c>
      <c r="S4240" t="n">
        <v>1</v>
      </c>
      <c r="T4240" s="35" t="inlineStr">
        <is>
          <t>4 — Не обогащён</t>
        </is>
      </c>
      <c r="U4240" s="35" t="inlineStr">
        <is>
          <t>Нет ОКВЭД/ССЧР</t>
        </is>
      </c>
      <c r="V4240" s="35" t="inlineStr">
        <is>
          <t>Не определено</t>
        </is>
      </c>
      <c r="W4240" s="35" t="inlineStr"/>
      <c r="X4240" s="35" t="inlineStr"/>
    </row>
    <row r="4241" ht="41.25" customHeight="1" s="24">
      <c r="A4241" s="13" t="n">
        <v>5000098297</v>
      </c>
      <c r="B4241" s="13" t="inlineStr">
        <is>
          <t>Краевое государственное бюджетное учреждение дополнительного образования "Детская школа циркового искусства ИМ. В.М. АГАРЁВА"</t>
        </is>
      </c>
      <c r="C4241" s="13" t="n">
        <v>2501007071</v>
      </c>
      <c r="D4241" s="13" t="inlineStr">
        <is>
          <t>2501007071</t>
        </is>
      </c>
      <c r="E4241" s="13" t="inlineStr">
        <is>
          <t>ЮЛ РФ</t>
        </is>
      </c>
      <c r="F4241" s="13" t="n"/>
      <c r="G4241" s="14" t="n"/>
      <c r="H4241" s="14" t="n"/>
      <c r="I4241" s="14" t="n"/>
      <c r="J4241" s="14" t="n"/>
      <c r="K4241" s="53" t="inlineStr"/>
      <c r="L4241" s="53" t="inlineStr">
        <is>
          <t>Не определено</t>
        </is>
      </c>
      <c r="M4241" s="53" t="inlineStr"/>
      <c r="N4241" s="54" t="inlineStr"/>
      <c r="O4241" s="55" t="inlineStr"/>
      <c r="P4241" s="16" t="inlineStr">
        <is>
          <t>Требует обогащения</t>
        </is>
      </c>
      <c r="Q4241" s="16">
        <f>HYPERLINK("https://pb.nalog.ru/search.html?query=2501007071","ФНС: проверить")</f>
        <v/>
      </c>
      <c r="R4241" s="16">
        <f>HYPERLINK("https://checko.ru/search?query=3801001629","Чекко: проверить")</f>
        <v/>
      </c>
      <c r="S4241" t="n">
        <v>1</v>
      </c>
      <c r="T4241" s="35" t="inlineStr">
        <is>
          <t>4 — Не обогащён</t>
        </is>
      </c>
      <c r="U4241" s="35" t="inlineStr">
        <is>
          <t>Нет ОКВЭД/ССЧР</t>
        </is>
      </c>
      <c r="V4241" s="35" t="inlineStr">
        <is>
          <t>Не определено</t>
        </is>
      </c>
      <c r="W4241" s="35" t="inlineStr"/>
      <c r="X4241" s="35" t="inlineStr"/>
    </row>
    <row r="4242" ht="54.75" customHeight="1" s="24">
      <c r="A4242" s="13" t="n">
        <v>5000030388</v>
      </c>
      <c r="B4242" s="13" t="inlineStr">
        <is>
          <t>ГКУ Сахалинской области "Централизованная бухгалтерия культуры";6501282156;650101001;2;;Гребе  Татьяна Александровна;</t>
        </is>
      </c>
      <c r="C4242" s="13" t="n">
        <v>6501282156</v>
      </c>
      <c r="D4242" s="13" t="inlineStr">
        <is>
          <t>6501282156</t>
        </is>
      </c>
      <c r="E4242" s="13" t="inlineStr">
        <is>
          <t>ЮЛ РФ</t>
        </is>
      </c>
      <c r="F4242" s="13" t="n"/>
      <c r="G4242" s="14" t="n"/>
      <c r="H4242" s="14" t="n"/>
      <c r="I4242" s="14" t="n"/>
      <c r="J4242" s="14" t="n"/>
      <c r="K4242" s="53" t="inlineStr"/>
      <c r="L4242" s="53" t="inlineStr">
        <is>
          <t>Не определено</t>
        </is>
      </c>
      <c r="M4242" s="53" t="inlineStr"/>
      <c r="N4242" s="54" t="inlineStr"/>
      <c r="O4242" s="55" t="inlineStr"/>
      <c r="P4242" s="16" t="inlineStr">
        <is>
          <t>Требует обогащения</t>
        </is>
      </c>
      <c r="Q4242" s="16">
        <f>HYPERLINK("https://pb.nalog.ru/search.html?query=6501282156","ФНС: проверить")</f>
        <v/>
      </c>
      <c r="R4242" s="16">
        <f>HYPERLINK("https://checko.ru/search?query=3801001629","Чекко: проверить")</f>
        <v/>
      </c>
      <c r="S4242" t="n">
        <v>1</v>
      </c>
      <c r="T4242" s="35" t="inlineStr">
        <is>
          <t>4 — Не обогащён</t>
        </is>
      </c>
      <c r="U4242" s="35" t="inlineStr">
        <is>
          <t>Нет ОКВЭД/ССЧР</t>
        </is>
      </c>
      <c r="V4242" s="35" t="inlineStr">
        <is>
          <t>Не определено</t>
        </is>
      </c>
      <c r="W4242" s="35" t="inlineStr"/>
      <c r="X4242" s="35" t="inlineStr"/>
    </row>
    <row r="4243" ht="15" customHeight="1" s="24">
      <c r="A4243" s="13" t="n">
        <v>5000098313</v>
      </c>
      <c r="B4243" s="13" t="inlineStr">
        <is>
          <t>КГБУ "ДАЛЬНЕРЕЧЕНСКАЯ ВСББЖ"</t>
        </is>
      </c>
      <c r="C4243" s="13" t="n">
        <v>2506013142</v>
      </c>
      <c r="D4243" s="13" t="inlineStr">
        <is>
          <t>2506013142</t>
        </is>
      </c>
      <c r="E4243" s="13" t="inlineStr">
        <is>
          <t>ЮЛ РФ</t>
        </is>
      </c>
      <c r="F4243" s="13" t="n"/>
      <c r="G4243" s="14" t="n"/>
      <c r="H4243" s="14" t="n"/>
      <c r="I4243" s="14" t="n"/>
      <c r="J4243" s="14" t="n"/>
      <c r="K4243" s="53" t="inlineStr"/>
      <c r="L4243" s="53" t="inlineStr">
        <is>
          <t>Не определено</t>
        </is>
      </c>
      <c r="M4243" s="53" t="inlineStr"/>
      <c r="N4243" s="54" t="inlineStr"/>
      <c r="O4243" s="55" t="inlineStr"/>
      <c r="P4243" s="16" t="inlineStr">
        <is>
          <t>Требует обогащения</t>
        </is>
      </c>
      <c r="Q4243" s="16">
        <f>HYPERLINK("https://pb.nalog.ru/search.html?query=2506013142","ФНС: проверить")</f>
        <v/>
      </c>
      <c r="R4243" s="16">
        <f>HYPERLINK("https://checko.ru/search?query=3801001629","Чекко: проверить")</f>
        <v/>
      </c>
      <c r="S4243" t="n">
        <v>1</v>
      </c>
      <c r="T4243" s="35" t="inlineStr">
        <is>
          <t>4 — Не обогащён</t>
        </is>
      </c>
      <c r="U4243" s="35" t="inlineStr">
        <is>
          <t>Нет ОКВЭД/ССЧР</t>
        </is>
      </c>
      <c r="V4243" s="35" t="inlineStr">
        <is>
          <t>Не определено</t>
        </is>
      </c>
      <c r="W4243" s="35" t="inlineStr"/>
      <c r="X4243" s="35" t="inlineStr"/>
    </row>
    <row r="4244" ht="27.75" customHeight="1" s="24">
      <c r="A4244" s="13" t="n">
        <v>5000088487</v>
      </c>
      <c r="B4244" s="13" t="inlineStr">
        <is>
          <t>МКУ РАЙОННАЯ РЕДАКЦИЯ «ТЫМОВСКИЙ ВЕСТНИК»</t>
        </is>
      </c>
      <c r="C4244" s="13" t="n">
        <v>6517008960</v>
      </c>
      <c r="D4244" s="13" t="inlineStr">
        <is>
          <t>6517008960</t>
        </is>
      </c>
      <c r="E4244" s="13" t="inlineStr">
        <is>
          <t>ЮЛ РФ</t>
        </is>
      </c>
      <c r="F4244" s="13" t="n"/>
      <c r="G4244" s="14" t="n"/>
      <c r="H4244" s="14" t="n"/>
      <c r="I4244" s="14" t="n"/>
      <c r="J4244" s="14" t="n"/>
      <c r="K4244" s="53" t="inlineStr"/>
      <c r="L4244" s="53" t="inlineStr">
        <is>
          <t>Не определено</t>
        </is>
      </c>
      <c r="M4244" s="53" t="inlineStr"/>
      <c r="N4244" s="54" t="inlineStr"/>
      <c r="O4244" s="55" t="inlineStr"/>
      <c r="P4244" s="16" t="inlineStr">
        <is>
          <t>Требует обогащения</t>
        </is>
      </c>
      <c r="Q4244" s="16">
        <f>HYPERLINK("https://pb.nalog.ru/search.html?query=6517008960","ФНС: проверить")</f>
        <v/>
      </c>
      <c r="R4244" s="16">
        <f>HYPERLINK("https://checko.ru/search?query=3801001629","Чекко: проверить")</f>
        <v/>
      </c>
      <c r="S4244" t="n">
        <v>1</v>
      </c>
      <c r="T4244" s="35" t="inlineStr">
        <is>
          <t>4 — Не обогащён</t>
        </is>
      </c>
      <c r="U4244" s="35" t="inlineStr">
        <is>
          <t>Нет ОКВЭД/ССЧР</t>
        </is>
      </c>
      <c r="V4244" s="35" t="inlineStr">
        <is>
          <t>Не определено</t>
        </is>
      </c>
      <c r="W4244" s="35" t="inlineStr"/>
      <c r="X4244" s="35" t="inlineStr"/>
    </row>
    <row r="4245" ht="54.75" customHeight="1" s="24">
      <c r="A4245" s="13" t="n">
        <v>5000089236</v>
      </c>
      <c r="B4245" s="13" t="inlineStr">
        <is>
          <t>Департамент по координации правоохранительной деятельности, исполнения административного законодательства и обеспечения деятельности мировых судей При</t>
        </is>
      </c>
      <c r="C4245" s="13" t="n">
        <v>2540188015</v>
      </c>
      <c r="D4245" s="13" t="inlineStr">
        <is>
          <t>2540188015</t>
        </is>
      </c>
      <c r="E4245" s="13" t="inlineStr">
        <is>
          <t>ЮЛ РФ</t>
        </is>
      </c>
      <c r="F4245" s="13" t="n"/>
      <c r="G4245" s="14" t="n"/>
      <c r="H4245" s="14" t="n"/>
      <c r="I4245" s="14" t="n"/>
      <c r="J4245" s="14" t="n"/>
      <c r="K4245" s="53" t="inlineStr"/>
      <c r="L4245" s="53" t="inlineStr">
        <is>
          <t>Не определено</t>
        </is>
      </c>
      <c r="M4245" s="53" t="inlineStr"/>
      <c r="N4245" s="54" t="inlineStr"/>
      <c r="O4245" s="55" t="inlineStr"/>
      <c r="P4245" s="16" t="inlineStr">
        <is>
          <t>Требует обогащения</t>
        </is>
      </c>
      <c r="Q4245" s="16">
        <f>HYPERLINK("https://pb.nalog.ru/search.html?query=2540188015","ФНС: проверить")</f>
        <v/>
      </c>
      <c r="R4245" s="16">
        <f>HYPERLINK("https://checko.ru/search?query=3801001629","Чекко: проверить")</f>
        <v/>
      </c>
      <c r="S4245" t="n">
        <v>1</v>
      </c>
      <c r="T4245" s="35" t="inlineStr">
        <is>
          <t>4 — Не обогащён</t>
        </is>
      </c>
      <c r="U4245" s="35" t="inlineStr">
        <is>
          <t>Нет ОКВЭД/ССЧР</t>
        </is>
      </c>
      <c r="V4245" s="35" t="inlineStr">
        <is>
          <t>Не определено</t>
        </is>
      </c>
      <c r="W4245" s="35" t="inlineStr"/>
      <c r="X4245" s="35" t="inlineStr"/>
    </row>
    <row r="4246" ht="41.25" customHeight="1" s="24">
      <c r="A4246" s="13" t="n">
        <v>5000089237</v>
      </c>
      <c r="B4246" s="13" t="inlineStr">
        <is>
          <t>Департамент по защите государственной тайны, информационной безопасности и мобилизационной подготовки Приморского края</t>
        </is>
      </c>
      <c r="C4246" s="13" t="n">
        <v>2540217474</v>
      </c>
      <c r="D4246" s="13" t="inlineStr">
        <is>
          <t>2540217474</t>
        </is>
      </c>
      <c r="E4246" s="13" t="inlineStr">
        <is>
          <t>ЮЛ РФ</t>
        </is>
      </c>
      <c r="F4246" s="13" t="n"/>
      <c r="G4246" s="14" t="n"/>
      <c r="H4246" s="14" t="n"/>
      <c r="I4246" s="14" t="n"/>
      <c r="J4246" s="14" t="n"/>
      <c r="K4246" s="53" t="inlineStr"/>
      <c r="L4246" s="53" t="inlineStr">
        <is>
          <t>Не определено</t>
        </is>
      </c>
      <c r="M4246" s="53" t="inlineStr"/>
      <c r="N4246" s="54" t="inlineStr"/>
      <c r="O4246" s="55" t="inlineStr"/>
      <c r="P4246" s="16" t="inlineStr">
        <is>
          <t>Требует обогащения</t>
        </is>
      </c>
      <c r="Q4246" s="16">
        <f>HYPERLINK("https://pb.nalog.ru/search.html?query=2540217474","ФНС: проверить")</f>
        <v/>
      </c>
      <c r="R4246" s="16">
        <f>HYPERLINK("https://checko.ru/search?query=3801001629","Чекко: проверить")</f>
        <v/>
      </c>
      <c r="S4246" t="n">
        <v>1</v>
      </c>
      <c r="T4246" s="35" t="inlineStr">
        <is>
          <t>4 — Не обогащён</t>
        </is>
      </c>
      <c r="U4246" s="35" t="inlineStr">
        <is>
          <t>Нет ОКВЭД/ССЧР</t>
        </is>
      </c>
      <c r="V4246" s="35" t="inlineStr">
        <is>
          <t>Не определено</t>
        </is>
      </c>
      <c r="W4246" s="35" t="inlineStr"/>
      <c r="X4246" s="35" t="inlineStr"/>
    </row>
    <row r="4247" ht="27.75" customHeight="1" s="24">
      <c r="A4247" s="13" t="n">
        <v>5000089238</v>
      </c>
      <c r="B4247" s="13" t="inlineStr">
        <is>
          <t>Департамент по делам молодежи Приморского края</t>
        </is>
      </c>
      <c r="C4247" s="13" t="n">
        <v>2540170610</v>
      </c>
      <c r="D4247" s="13" t="inlineStr">
        <is>
          <t>2540170610</t>
        </is>
      </c>
      <c r="E4247" s="13" t="inlineStr">
        <is>
          <t>ЮЛ РФ</t>
        </is>
      </c>
      <c r="F4247" s="13" t="n"/>
      <c r="G4247" s="14" t="n"/>
      <c r="H4247" s="14" t="n"/>
      <c r="I4247" s="14" t="n"/>
      <c r="J4247" s="14" t="n"/>
      <c r="K4247" s="53" t="inlineStr"/>
      <c r="L4247" s="53" t="inlineStr">
        <is>
          <t>Не определено</t>
        </is>
      </c>
      <c r="M4247" s="53" t="inlineStr"/>
      <c r="N4247" s="54" t="inlineStr"/>
      <c r="O4247" s="55" t="inlineStr"/>
      <c r="P4247" s="16" t="inlineStr">
        <is>
          <t>Требует обогащения</t>
        </is>
      </c>
      <c r="Q4247" s="16">
        <f>HYPERLINK("https://pb.nalog.ru/search.html?query=2540170610","ФНС: проверить")</f>
        <v/>
      </c>
      <c r="R4247" s="16">
        <f>HYPERLINK("https://checko.ru/search?query=3801001629","Чекко: проверить")</f>
        <v/>
      </c>
      <c r="S4247" t="n">
        <v>1</v>
      </c>
      <c r="T4247" s="35" t="inlineStr">
        <is>
          <t>4 — Не обогащён</t>
        </is>
      </c>
      <c r="U4247" s="35" t="inlineStr">
        <is>
          <t>Нет ОКВЭД/ССЧР</t>
        </is>
      </c>
      <c r="V4247" s="35" t="inlineStr">
        <is>
          <t>Не определено</t>
        </is>
      </c>
      <c r="W4247" s="35" t="inlineStr"/>
      <c r="X4247" s="35" t="inlineStr"/>
    </row>
    <row r="4248" ht="27.75" customHeight="1" s="24">
      <c r="A4248" s="13" t="n">
        <v>5000089239</v>
      </c>
      <c r="B4248" s="13" t="inlineStr">
        <is>
          <t>Департамент информационной политики Приморского края</t>
        </is>
      </c>
      <c r="C4248" s="13" t="n">
        <v>2540187981</v>
      </c>
      <c r="D4248" s="13" t="inlineStr">
        <is>
          <t>2540187981</t>
        </is>
      </c>
      <c r="E4248" s="13" t="inlineStr">
        <is>
          <t>ЮЛ РФ</t>
        </is>
      </c>
      <c r="F4248" s="13" t="n"/>
      <c r="G4248" s="14" t="n"/>
      <c r="H4248" s="14" t="n"/>
      <c r="I4248" s="14" t="n"/>
      <c r="J4248" s="14" t="n"/>
      <c r="K4248" s="53" t="inlineStr"/>
      <c r="L4248" s="53" t="inlineStr">
        <is>
          <t>Не определено</t>
        </is>
      </c>
      <c r="M4248" s="53" t="inlineStr"/>
      <c r="N4248" s="54" t="inlineStr"/>
      <c r="O4248" s="55" t="inlineStr"/>
      <c r="P4248" s="16" t="inlineStr">
        <is>
          <t>Требует обогащения</t>
        </is>
      </c>
      <c r="Q4248" s="16">
        <f>HYPERLINK("https://pb.nalog.ru/search.html?query=2540187981","ФНС: проверить")</f>
        <v/>
      </c>
      <c r="R4248" s="16">
        <f>HYPERLINK("https://checko.ru/search?query=3801001629","Чекко: проверить")</f>
        <v/>
      </c>
      <c r="S4248" t="n">
        <v>1</v>
      </c>
      <c r="T4248" s="35" t="inlineStr">
        <is>
          <t>4 — Не обогащён</t>
        </is>
      </c>
      <c r="U4248" s="35" t="inlineStr">
        <is>
          <t>Нет ОКВЭД/ССЧР</t>
        </is>
      </c>
      <c r="V4248" s="35" t="inlineStr">
        <is>
          <t>Не определено</t>
        </is>
      </c>
      <c r="W4248" s="35" t="inlineStr"/>
      <c r="X4248" s="35" t="inlineStr"/>
    </row>
    <row r="4249" ht="27.75" customHeight="1" s="24">
      <c r="A4249" s="13" t="n">
        <v>5000089240</v>
      </c>
      <c r="B4249" s="13" t="inlineStr">
        <is>
          <t>Департамент записи актов гражданского состояния Приморского края</t>
        </is>
      </c>
      <c r="C4249" s="13" t="n">
        <v>2540137525</v>
      </c>
      <c r="D4249" s="13" t="inlineStr">
        <is>
          <t>2540137525</t>
        </is>
      </c>
      <c r="E4249" s="13" t="inlineStr">
        <is>
          <t>ЮЛ РФ</t>
        </is>
      </c>
      <c r="F4249" s="13" t="n"/>
      <c r="G4249" s="14" t="n"/>
      <c r="H4249" s="14" t="n"/>
      <c r="I4249" s="14" t="n"/>
      <c r="J4249" s="14" t="n"/>
      <c r="K4249" s="53" t="inlineStr"/>
      <c r="L4249" s="53" t="inlineStr">
        <is>
          <t>Не определено</t>
        </is>
      </c>
      <c r="M4249" s="53" t="inlineStr"/>
      <c r="N4249" s="54" t="inlineStr"/>
      <c r="O4249" s="55" t="inlineStr"/>
      <c r="P4249" s="16" t="inlineStr">
        <is>
          <t>Требует обогащения</t>
        </is>
      </c>
      <c r="Q4249" s="16">
        <f>HYPERLINK("https://pb.nalog.ru/search.html?query=2540137525","ФНС: проверить")</f>
        <v/>
      </c>
      <c r="R4249" s="16">
        <f>HYPERLINK("https://checko.ru/search?query=3801001629","Чекко: проверить")</f>
        <v/>
      </c>
      <c r="S4249" t="n">
        <v>1</v>
      </c>
      <c r="T4249" s="35" t="inlineStr">
        <is>
          <t>4 — Не обогащён</t>
        </is>
      </c>
      <c r="U4249" s="35" t="inlineStr">
        <is>
          <t>Нет ОКВЭД/ССЧР</t>
        </is>
      </c>
      <c r="V4249" s="35" t="inlineStr">
        <is>
          <t>Не определено</t>
        </is>
      </c>
      <c r="W4249" s="35" t="inlineStr"/>
      <c r="X4249" s="35" t="inlineStr"/>
    </row>
    <row r="4250" ht="27.75" customHeight="1" s="24">
      <c r="A4250" s="13" t="n">
        <v>5000089241</v>
      </c>
      <c r="B4250" s="13" t="inlineStr">
        <is>
          <t>Департамент внутренней политики Приморского края</t>
        </is>
      </c>
      <c r="C4250" s="13" t="n">
        <v>2540151495</v>
      </c>
      <c r="D4250" s="13" t="inlineStr">
        <is>
          <t>2540151495</t>
        </is>
      </c>
      <c r="E4250" s="13" t="inlineStr">
        <is>
          <t>ЮЛ РФ</t>
        </is>
      </c>
      <c r="F4250" s="13" t="n"/>
      <c r="G4250" s="14" t="n"/>
      <c r="H4250" s="14" t="n"/>
      <c r="I4250" s="14" t="n"/>
      <c r="J4250" s="14" t="n"/>
      <c r="K4250" s="53" t="inlineStr"/>
      <c r="L4250" s="53" t="inlineStr">
        <is>
          <t>Не определено</t>
        </is>
      </c>
      <c r="M4250" s="53" t="inlineStr"/>
      <c r="N4250" s="54" t="inlineStr"/>
      <c r="O4250" s="55" t="inlineStr"/>
      <c r="P4250" s="16" t="inlineStr">
        <is>
          <t>Требует обогащения</t>
        </is>
      </c>
      <c r="Q4250" s="16">
        <f>HYPERLINK("https://pb.nalog.ru/search.html?query=2540151495","ФНС: проверить")</f>
        <v/>
      </c>
      <c r="R4250" s="16">
        <f>HYPERLINK("https://checko.ru/search?query=3801001629","Чекко: проверить")</f>
        <v/>
      </c>
      <c r="S4250" t="n">
        <v>1</v>
      </c>
      <c r="T4250" s="35" t="inlineStr">
        <is>
          <t>4 — Не обогащён</t>
        </is>
      </c>
      <c r="U4250" s="35" t="inlineStr">
        <is>
          <t>Нет ОКВЭД/ССЧР</t>
        </is>
      </c>
      <c r="V4250" s="35" t="inlineStr">
        <is>
          <t>Не определено</t>
        </is>
      </c>
      <c r="W4250" s="35" t="inlineStr"/>
      <c r="X4250" s="35" t="inlineStr"/>
    </row>
    <row r="4251" ht="27.75" customHeight="1" s="24">
      <c r="A4251" s="13" t="n">
        <v>5000086892</v>
      </c>
      <c r="B4251" s="13" t="inlineStr">
        <is>
          <t>Муниципальное казенное учреждение "Центр развития физической культуры и спорта"</t>
        </is>
      </c>
      <c r="C4251" s="13" t="n">
        <v>6518008923</v>
      </c>
      <c r="D4251" s="13" t="inlineStr">
        <is>
          <t>6518008923</t>
        </is>
      </c>
      <c r="E4251" s="13" t="inlineStr">
        <is>
          <t>ЮЛ РФ</t>
        </is>
      </c>
      <c r="F4251" s="13" t="n"/>
      <c r="G4251" s="14" t="n"/>
      <c r="H4251" s="14" t="n"/>
      <c r="I4251" s="14" t="n"/>
      <c r="J4251" s="14" t="n"/>
      <c r="K4251" s="53" t="inlineStr"/>
      <c r="L4251" s="53" t="inlineStr">
        <is>
          <t>Не определено</t>
        </is>
      </c>
      <c r="M4251" s="53" t="inlineStr"/>
      <c r="N4251" s="54" t="inlineStr"/>
      <c r="O4251" s="55" t="inlineStr"/>
      <c r="P4251" s="16" t="inlineStr">
        <is>
          <t>Требует обогащения</t>
        </is>
      </c>
      <c r="Q4251" s="16">
        <f>HYPERLINK("https://pb.nalog.ru/search.html?query=6518008923","ФНС: проверить")</f>
        <v/>
      </c>
      <c r="R4251" s="16">
        <f>HYPERLINK("https://checko.ru/search?query=3801001629","Чекко: проверить")</f>
        <v/>
      </c>
      <c r="S4251" t="n">
        <v>1</v>
      </c>
      <c r="T4251" s="35" t="inlineStr">
        <is>
          <t>4 — Не обогащён</t>
        </is>
      </c>
      <c r="U4251" s="35" t="inlineStr">
        <is>
          <t>Нет ОКВЭД/ССЧР</t>
        </is>
      </c>
      <c r="V4251" s="35" t="inlineStr">
        <is>
          <t>Не определено</t>
        </is>
      </c>
      <c r="W4251" s="35" t="inlineStr"/>
      <c r="X4251" s="35" t="inlineStr"/>
    </row>
    <row r="4252" ht="27.75" customHeight="1" s="24">
      <c r="A4252" s="13" t="n">
        <v>5000087432</v>
      </c>
      <c r="B4252" s="13" t="inlineStr">
        <is>
          <t>МАОУ средняя общеобразовательная школа № 20 г. Южно-Сахалинска.</t>
        </is>
      </c>
      <c r="C4252" s="13" t="n">
        <v>6501308100</v>
      </c>
      <c r="D4252" s="13" t="inlineStr">
        <is>
          <t>6501308100</t>
        </is>
      </c>
      <c r="E4252" s="13" t="inlineStr">
        <is>
          <t>ЮЛ РФ</t>
        </is>
      </c>
      <c r="F4252" s="13" t="n"/>
      <c r="G4252" s="14" t="n"/>
      <c r="H4252" s="14" t="n"/>
      <c r="I4252" s="14" t="n"/>
      <c r="J4252" s="14" t="n"/>
      <c r="K4252" s="53" t="inlineStr"/>
      <c r="L4252" s="53" t="inlineStr">
        <is>
          <t>Не определено</t>
        </is>
      </c>
      <c r="M4252" s="53" t="inlineStr"/>
      <c r="N4252" s="54" t="inlineStr"/>
      <c r="O4252" s="55" t="inlineStr"/>
      <c r="P4252" s="16" t="inlineStr">
        <is>
          <t>Требует обогащения</t>
        </is>
      </c>
      <c r="Q4252" s="16">
        <f>HYPERLINK("https://pb.nalog.ru/search.html?query=6501308100","ФНС: проверить")</f>
        <v/>
      </c>
      <c r="R4252" s="16">
        <f>HYPERLINK("https://checko.ru/search?query=3801001629","Чекко: проверить")</f>
        <v/>
      </c>
      <c r="S4252" t="n">
        <v>1</v>
      </c>
      <c r="T4252" s="35" t="inlineStr">
        <is>
          <t>4 — Не обогащён</t>
        </is>
      </c>
      <c r="U4252" s="35" t="inlineStr">
        <is>
          <t>Нет ОКВЭД/ССЧР</t>
        </is>
      </c>
      <c r="V4252" s="35" t="inlineStr">
        <is>
          <t>Не определено</t>
        </is>
      </c>
      <c r="W4252" s="35" t="inlineStr"/>
      <c r="X4252" s="35" t="inlineStr"/>
    </row>
    <row r="4253" ht="54.75" customHeight="1" s="24">
      <c r="A4253" s="13" t="n">
        <v>5000087434</v>
      </c>
      <c r="B4253" s="13" t="inlineStr">
        <is>
          <t>Муниципальное автономное дошкольное образовательное учреждение детский сад общеразвивающего вида № 36 «Мальвина» г. Южно-Сахалинска</t>
        </is>
      </c>
      <c r="C4253" s="13" t="n">
        <v>6501240011</v>
      </c>
      <c r="D4253" s="13" t="inlineStr">
        <is>
          <t>6501240011</t>
        </is>
      </c>
      <c r="E4253" s="13" t="inlineStr">
        <is>
          <t>ЮЛ РФ</t>
        </is>
      </c>
      <c r="F4253" s="13" t="n"/>
      <c r="G4253" s="14" t="n"/>
      <c r="H4253" s="14" t="n"/>
      <c r="I4253" s="14" t="n"/>
      <c r="J4253" s="14" t="n"/>
      <c r="K4253" s="53" t="inlineStr"/>
      <c r="L4253" s="53" t="inlineStr">
        <is>
          <t>Не определено</t>
        </is>
      </c>
      <c r="M4253" s="53" t="inlineStr"/>
      <c r="N4253" s="54" t="inlineStr"/>
      <c r="O4253" s="55" t="inlineStr"/>
      <c r="P4253" s="16" t="inlineStr">
        <is>
          <t>Требует обогащения</t>
        </is>
      </c>
      <c r="Q4253" s="16">
        <f>HYPERLINK("https://pb.nalog.ru/search.html?query=6501240011","ФНС: проверить")</f>
        <v/>
      </c>
      <c r="R4253" s="16">
        <f>HYPERLINK("https://checko.ru/search?query=3801001629","Чекко: проверить")</f>
        <v/>
      </c>
      <c r="S4253" t="n">
        <v>1</v>
      </c>
      <c r="T4253" s="35" t="inlineStr">
        <is>
          <t>4 — Не обогащён</t>
        </is>
      </c>
      <c r="U4253" s="35" t="inlineStr">
        <is>
          <t>Нет ОКВЭД/ССЧР</t>
        </is>
      </c>
      <c r="V4253" s="35" t="inlineStr">
        <is>
          <t>Не определено</t>
        </is>
      </c>
      <c r="W4253" s="35" t="inlineStr"/>
      <c r="X4253" s="35" t="inlineStr"/>
    </row>
    <row r="4254" ht="41.25" customHeight="1" s="24">
      <c r="A4254" s="13" t="n">
        <v>5000087435</v>
      </c>
      <c r="B4254" s="13" t="inlineStr">
        <is>
          <t>Муниципальное бюджетное дошкольное образовательное учреждение № 56 детский сад «Лукоморье» г. Южно-Сахалинска</t>
        </is>
      </c>
      <c r="C4254" s="13" t="n">
        <v>6501313693</v>
      </c>
      <c r="D4254" s="13" t="inlineStr">
        <is>
          <t>6501313693</t>
        </is>
      </c>
      <c r="E4254" s="13" t="inlineStr">
        <is>
          <t>ЮЛ РФ</t>
        </is>
      </c>
      <c r="F4254" s="13" t="n"/>
      <c r="G4254" s="14" t="n"/>
      <c r="H4254" s="14" t="n"/>
      <c r="I4254" s="14" t="n"/>
      <c r="J4254" s="14" t="n"/>
      <c r="K4254" s="53" t="inlineStr"/>
      <c r="L4254" s="53" t="inlineStr">
        <is>
          <t>Не определено</t>
        </is>
      </c>
      <c r="M4254" s="53" t="inlineStr"/>
      <c r="N4254" s="54" t="inlineStr"/>
      <c r="O4254" s="55" t="inlineStr"/>
      <c r="P4254" s="16" t="inlineStr">
        <is>
          <t>Требует обогащения</t>
        </is>
      </c>
      <c r="Q4254" s="16">
        <f>HYPERLINK("https://pb.nalog.ru/search.html?query=6501313693","ФНС: проверить")</f>
        <v/>
      </c>
      <c r="R4254" s="16">
        <f>HYPERLINK("https://checko.ru/search?query=3801001629","Чекко: проверить")</f>
        <v/>
      </c>
      <c r="S4254" t="n">
        <v>1</v>
      </c>
      <c r="T4254" s="35" t="inlineStr">
        <is>
          <t>4 — Не обогащён</t>
        </is>
      </c>
      <c r="U4254" s="35" t="inlineStr">
        <is>
          <t>Нет ОКВЭД/ССЧР</t>
        </is>
      </c>
      <c r="V4254" s="35" t="inlineStr">
        <is>
          <t>Не определено</t>
        </is>
      </c>
      <c r="W4254" s="35" t="inlineStr"/>
      <c r="X4254" s="35" t="inlineStr"/>
    </row>
    <row r="4255" ht="41.25" customHeight="1" s="24">
      <c r="A4255" s="13" t="n">
        <v>5000044993</v>
      </c>
      <c r="B4255" s="13" t="inlineStr">
        <is>
          <t>МКУ "Централизованная бухгалтерия муниципальных учреждений Анивского городского округа"</t>
        </is>
      </c>
      <c r="C4255" s="13" t="n">
        <v>6501251623</v>
      </c>
      <c r="D4255" s="13" t="inlineStr">
        <is>
          <t>6501251623</t>
        </is>
      </c>
      <c r="E4255" s="13" t="inlineStr">
        <is>
          <t>ЮЛ РФ</t>
        </is>
      </c>
      <c r="F4255" s="13" t="n"/>
      <c r="G4255" s="14" t="n"/>
      <c r="H4255" s="14" t="n"/>
      <c r="I4255" s="14" t="n"/>
      <c r="J4255" s="14" t="n"/>
      <c r="K4255" s="53" t="inlineStr"/>
      <c r="L4255" s="53" t="inlineStr">
        <is>
          <t>Не определено</t>
        </is>
      </c>
      <c r="M4255" s="53" t="inlineStr"/>
      <c r="N4255" s="54" t="inlineStr"/>
      <c r="O4255" s="55" t="inlineStr"/>
      <c r="P4255" s="16" t="inlineStr">
        <is>
          <t>Требует обогащения</t>
        </is>
      </c>
      <c r="Q4255" s="16">
        <f>HYPERLINK("https://pb.nalog.ru/search.html?query=6501251623","ФНС: проверить")</f>
        <v/>
      </c>
      <c r="R4255" s="16">
        <f>HYPERLINK("https://checko.ru/search?query=3801001629","Чекко: проверить")</f>
        <v/>
      </c>
      <c r="S4255" t="n">
        <v>1</v>
      </c>
      <c r="T4255" s="35" t="inlineStr">
        <is>
          <t>4 — Не обогащён</t>
        </is>
      </c>
      <c r="U4255" s="35" t="inlineStr">
        <is>
          <t>Нет ОКВЭД/ССЧР</t>
        </is>
      </c>
      <c r="V4255" s="35" t="inlineStr">
        <is>
          <t>Не определено</t>
        </is>
      </c>
      <c r="W4255" s="35" t="inlineStr"/>
      <c r="X4255" s="35" t="inlineStr"/>
    </row>
    <row r="4256" ht="15" customHeight="1" s="24">
      <c r="A4256" s="13" t="n">
        <v>5000086105</v>
      </c>
      <c r="B4256" s="13" t="inlineStr">
        <is>
          <t>МКУ ДО "Юртинская детская музыкальная школа»</t>
        </is>
      </c>
      <c r="C4256" s="13" t="n">
        <v>3815005278</v>
      </c>
      <c r="D4256" s="13" t="inlineStr">
        <is>
          <t>3815005278</t>
        </is>
      </c>
      <c r="E4256" s="13" t="inlineStr">
        <is>
          <t>ЮЛ РФ</t>
        </is>
      </c>
      <c r="F4256" s="13" t="n"/>
      <c r="G4256" s="14" t="n"/>
      <c r="H4256" s="14" t="n"/>
      <c r="I4256" s="14" t="n"/>
      <c r="J4256" s="14" t="n"/>
      <c r="K4256" s="53" t="inlineStr"/>
      <c r="L4256" s="53" t="inlineStr">
        <is>
          <t>Не определено</t>
        </is>
      </c>
      <c r="M4256" s="53" t="inlineStr"/>
      <c r="N4256" s="54" t="inlineStr"/>
      <c r="O4256" s="55" t="inlineStr"/>
      <c r="P4256" s="16" t="inlineStr">
        <is>
          <t>Требует обогащения</t>
        </is>
      </c>
      <c r="Q4256" s="16">
        <f>HYPERLINK("https://pb.nalog.ru/search.html?query=3815005278","ФНС: проверить")</f>
        <v/>
      </c>
      <c r="R4256" s="16">
        <f>HYPERLINK("https://checko.ru/search?query=3801001629","Чекко: проверить")</f>
        <v/>
      </c>
      <c r="S4256" t="n">
        <v>1</v>
      </c>
      <c r="T4256" s="35" t="inlineStr">
        <is>
          <t>4 — Не обогащён</t>
        </is>
      </c>
      <c r="U4256" s="35" t="inlineStr">
        <is>
          <t>Нет ОКВЭД/ССЧР</t>
        </is>
      </c>
      <c r="V4256" s="35" t="inlineStr">
        <is>
          <t>Не определено</t>
        </is>
      </c>
      <c r="W4256" s="35" t="inlineStr"/>
      <c r="X4256" s="35" t="inlineStr"/>
    </row>
    <row r="4257" ht="15" customHeight="1" s="24">
      <c r="A4257" s="13" t="n">
        <v>5000086111</v>
      </c>
      <c r="B4257" s="13" t="inlineStr">
        <is>
          <t>МБУК «Центр культуры и кино «Надежда»</t>
        </is>
      </c>
      <c r="C4257" s="13" t="n">
        <v>3816032267</v>
      </c>
      <c r="D4257" s="13" t="inlineStr">
        <is>
          <t>3816032267</t>
        </is>
      </c>
      <c r="E4257" s="13" t="inlineStr">
        <is>
          <t>ЮЛ РФ</t>
        </is>
      </c>
      <c r="F4257" s="13" t="n"/>
      <c r="G4257" s="14" t="n"/>
      <c r="H4257" s="14" t="n"/>
      <c r="I4257" s="14" t="n"/>
      <c r="J4257" s="14" t="n"/>
      <c r="K4257" s="53" t="inlineStr"/>
      <c r="L4257" s="53" t="inlineStr">
        <is>
          <t>Не определено</t>
        </is>
      </c>
      <c r="M4257" s="53" t="inlineStr"/>
      <c r="N4257" s="54" t="inlineStr"/>
      <c r="O4257" s="55" t="inlineStr"/>
      <c r="P4257" s="16" t="inlineStr">
        <is>
          <t>Требует обогащения</t>
        </is>
      </c>
      <c r="Q4257" s="16">
        <f>HYPERLINK("https://pb.nalog.ru/search.html?query=3816032267","ФНС: проверить")</f>
        <v/>
      </c>
      <c r="R4257" s="16">
        <f>HYPERLINK("https://checko.ru/search?query=3801001629","Чекко: проверить")</f>
        <v/>
      </c>
      <c r="S4257" t="n">
        <v>1</v>
      </c>
      <c r="T4257" s="35" t="inlineStr">
        <is>
          <t>4 — Не обогащён</t>
        </is>
      </c>
      <c r="U4257" s="35" t="inlineStr">
        <is>
          <t>Нет ОКВЭД/ССЧР</t>
        </is>
      </c>
      <c r="V4257" s="35" t="inlineStr">
        <is>
          <t>Не определено</t>
        </is>
      </c>
      <c r="W4257" s="35" t="inlineStr"/>
      <c r="X4257" s="35" t="inlineStr"/>
    </row>
    <row r="4258" ht="41.25" customHeight="1" s="24">
      <c r="A4258" s="13" t="n">
        <v>5000014005</v>
      </c>
      <c r="B4258" s="13" t="inlineStr">
        <is>
          <t>Государственное казенное учреждение Сахалинской области "Централизованная бухгалтерия спорта"</t>
        </is>
      </c>
      <c r="C4258" s="13" t="n">
        <v>6501243862</v>
      </c>
      <c r="D4258" s="13" t="inlineStr">
        <is>
          <t>6501243862</t>
        </is>
      </c>
      <c r="E4258" s="13" t="inlineStr">
        <is>
          <t>ЮЛ РФ</t>
        </is>
      </c>
      <c r="F4258" s="13" t="n"/>
      <c r="G4258" s="14" t="n"/>
      <c r="H4258" s="14" t="n"/>
      <c r="I4258" s="14" t="n"/>
      <c r="J4258" s="14" t="n"/>
      <c r="K4258" s="53" t="inlineStr"/>
      <c r="L4258" s="53" t="inlineStr">
        <is>
          <t>Не определено</t>
        </is>
      </c>
      <c r="M4258" s="53" t="inlineStr"/>
      <c r="N4258" s="54" t="inlineStr"/>
      <c r="O4258" s="55" t="inlineStr"/>
      <c r="P4258" s="16" t="inlineStr">
        <is>
          <t>Требует обогащения</t>
        </is>
      </c>
      <c r="Q4258" s="16">
        <f>HYPERLINK("https://pb.nalog.ru/search.html?query=6501243862","ФНС: проверить")</f>
        <v/>
      </c>
      <c r="R4258" s="16">
        <f>HYPERLINK("https://checko.ru/search?query=3801001629","Чекко: проверить")</f>
        <v/>
      </c>
      <c r="S4258" t="n">
        <v>1</v>
      </c>
      <c r="T4258" s="35" t="inlineStr">
        <is>
          <t>4 — Не обогащён</t>
        </is>
      </c>
      <c r="U4258" s="35" t="inlineStr">
        <is>
          <t>Нет ОКВЭД/ССЧР</t>
        </is>
      </c>
      <c r="V4258" s="35" t="inlineStr">
        <is>
          <t>Не определено</t>
        </is>
      </c>
      <c r="W4258" s="35" t="inlineStr"/>
      <c r="X4258" s="35" t="inlineStr"/>
    </row>
    <row r="4259" ht="41.25" customHeight="1" s="24">
      <c r="A4259" s="13" t="n">
        <v>5000097565</v>
      </c>
      <c r="B4259" s="13" t="inlineStr">
        <is>
          <t>Муниципальное казенное учреждение культуры "Культурно-досуговый центр" Звёзднинского муниципального образования</t>
        </is>
      </c>
      <c r="C4259" s="13" t="n">
        <v>3818030843</v>
      </c>
      <c r="D4259" s="13" t="inlineStr">
        <is>
          <t>3818030843</t>
        </is>
      </c>
      <c r="E4259" s="13" t="inlineStr">
        <is>
          <t>ЮЛ РФ</t>
        </is>
      </c>
      <c r="F4259" s="13" t="n"/>
      <c r="G4259" s="14" t="n"/>
      <c r="H4259" s="14" t="n"/>
      <c r="I4259" s="14" t="n"/>
      <c r="J4259" s="14" t="n"/>
      <c r="K4259" s="53" t="inlineStr"/>
      <c r="L4259" s="53" t="inlineStr">
        <is>
          <t>Не определено</t>
        </is>
      </c>
      <c r="M4259" s="53" t="inlineStr"/>
      <c r="N4259" s="54" t="inlineStr"/>
      <c r="O4259" s="55" t="inlineStr"/>
      <c r="P4259" s="16" t="inlineStr">
        <is>
          <t>Требует обогащения</t>
        </is>
      </c>
      <c r="Q4259" s="16">
        <f>HYPERLINK("https://pb.nalog.ru/search.html?query=3818030843","ФНС: проверить")</f>
        <v/>
      </c>
      <c r="R4259" s="16">
        <f>HYPERLINK("https://checko.ru/search?query=3801001629","Чекко: проверить")</f>
        <v/>
      </c>
      <c r="S4259" t="n">
        <v>1</v>
      </c>
      <c r="T4259" s="35" t="inlineStr">
        <is>
          <t>4 — Не обогащён</t>
        </is>
      </c>
      <c r="U4259" s="35" t="inlineStr">
        <is>
          <t>Нет ОКВЭД/ССЧР</t>
        </is>
      </c>
      <c r="V4259" s="35" t="inlineStr">
        <is>
          <t>Не определено</t>
        </is>
      </c>
      <c r="W4259" s="35" t="inlineStr"/>
      <c r="X4259" s="35" t="inlineStr"/>
    </row>
    <row r="4260" ht="15" customHeight="1" s="24">
      <c r="A4260" s="13" t="n">
        <v>5000097560</v>
      </c>
      <c r="B4260" s="13" t="inlineStr">
        <is>
          <t>Правительство Сахалинской области</t>
        </is>
      </c>
      <c r="C4260" s="13" t="n">
        <v>6500000680</v>
      </c>
      <c r="D4260" s="13" t="inlineStr">
        <is>
          <t>6500000680</t>
        </is>
      </c>
      <c r="E4260" s="13" t="inlineStr">
        <is>
          <t>ЮЛ РФ</t>
        </is>
      </c>
      <c r="F4260" s="13" t="n"/>
      <c r="G4260" s="14" t="n"/>
      <c r="H4260" s="14" t="n"/>
      <c r="I4260" s="14" t="n"/>
      <c r="J4260" s="14" t="n"/>
      <c r="K4260" s="53" t="inlineStr"/>
      <c r="L4260" s="53" t="inlineStr">
        <is>
          <t>Не определено</t>
        </is>
      </c>
      <c r="M4260" s="53" t="inlineStr"/>
      <c r="N4260" s="54" t="inlineStr"/>
      <c r="O4260" s="55" t="inlineStr"/>
      <c r="P4260" s="16" t="inlineStr">
        <is>
          <t>Требует обогащения</t>
        </is>
      </c>
      <c r="Q4260" s="16">
        <f>HYPERLINK("https://pb.nalog.ru/search.html?query=6500000680","ФНС: проверить")</f>
        <v/>
      </c>
      <c r="R4260" s="16">
        <f>HYPERLINK("https://checko.ru/search?query=3801001629","Чекко: проверить")</f>
        <v/>
      </c>
      <c r="S4260" t="n">
        <v>1</v>
      </c>
      <c r="T4260" s="35" t="inlineStr">
        <is>
          <t>4 — Не обогащён</t>
        </is>
      </c>
      <c r="U4260" s="35" t="inlineStr">
        <is>
          <t>Нет ОКВЭД/ССЧР</t>
        </is>
      </c>
      <c r="V4260" s="35" t="inlineStr">
        <is>
          <t>Не определено</t>
        </is>
      </c>
      <c r="W4260" s="35" t="inlineStr"/>
      <c r="X4260" s="35" t="inlineStr"/>
    </row>
    <row r="4261" ht="15" customHeight="1" s="24">
      <c r="A4261" s="13" t="n">
        <v>5000097560</v>
      </c>
      <c r="B4261" s="13" t="inlineStr">
        <is>
          <t>Правительство Сахалинской области</t>
        </is>
      </c>
      <c r="C4261" s="13" t="n">
        <v>6500000680</v>
      </c>
      <c r="D4261" s="13" t="inlineStr">
        <is>
          <t>6500000680</t>
        </is>
      </c>
      <c r="E4261" s="13" t="inlineStr">
        <is>
          <t>ЮЛ РФ</t>
        </is>
      </c>
      <c r="F4261" s="13" t="n"/>
      <c r="G4261" s="14" t="n"/>
      <c r="H4261" s="14" t="n"/>
      <c r="I4261" s="14" t="n"/>
      <c r="J4261" s="14" t="n"/>
      <c r="K4261" s="53" t="inlineStr"/>
      <c r="L4261" s="53" t="inlineStr">
        <is>
          <t>Не определено</t>
        </is>
      </c>
      <c r="M4261" s="53" t="inlineStr"/>
      <c r="N4261" s="54" t="inlineStr"/>
      <c r="O4261" s="55" t="inlineStr"/>
      <c r="P4261" s="16" t="inlineStr">
        <is>
          <t>Требует обогащения</t>
        </is>
      </c>
      <c r="Q4261" s="16">
        <f>HYPERLINK("https://pb.nalog.ru/search.html?query=6500000680","ФНС: проверить")</f>
        <v/>
      </c>
      <c r="R4261" s="16">
        <f>HYPERLINK("https://checko.ru/search?query=3801001629","Чекко: проверить")</f>
        <v/>
      </c>
      <c r="S4261" t="n">
        <v>0</v>
      </c>
      <c r="T4261" s="35" t="inlineStr">
        <is>
          <t>4 — Не обогащён</t>
        </is>
      </c>
      <c r="U4261" s="35" t="inlineStr">
        <is>
          <t>Нет ОКВЭД/ССЧР</t>
        </is>
      </c>
      <c r="V4261" s="35" t="inlineStr">
        <is>
          <t>Не определено</t>
        </is>
      </c>
      <c r="W4261" s="35" t="inlineStr"/>
      <c r="X4261" s="35" t="inlineStr"/>
    </row>
    <row r="4262" ht="27.75" customHeight="1" s="24">
      <c r="A4262" s="13" t="n">
        <v>5000097556</v>
      </c>
      <c r="B4262" s="13" t="inlineStr">
        <is>
          <t>Министерство транспорта и дорожного хозяйства Сахалинской области</t>
        </is>
      </c>
      <c r="C4262" s="13" t="n">
        <v>6501155310</v>
      </c>
      <c r="D4262" s="13" t="inlineStr">
        <is>
          <t>6501155310</t>
        </is>
      </c>
      <c r="E4262" s="13" t="inlineStr">
        <is>
          <t>ЮЛ РФ</t>
        </is>
      </c>
      <c r="F4262" s="13" t="n"/>
      <c r="G4262" s="14" t="n"/>
      <c r="H4262" s="14" t="n"/>
      <c r="I4262" s="14" t="n"/>
      <c r="J4262" s="14" t="n"/>
      <c r="K4262" s="53" t="inlineStr"/>
      <c r="L4262" s="53" t="inlineStr">
        <is>
          <t>Не определено</t>
        </is>
      </c>
      <c r="M4262" s="53" t="inlineStr"/>
      <c r="N4262" s="54" t="inlineStr"/>
      <c r="O4262" s="55" t="inlineStr"/>
      <c r="P4262" s="16" t="inlineStr">
        <is>
          <t>Требует обогащения</t>
        </is>
      </c>
      <c r="Q4262" s="16">
        <f>HYPERLINK("https://pb.nalog.ru/search.html?query=6501155310","ФНС: проверить")</f>
        <v/>
      </c>
      <c r="R4262" s="16">
        <f>HYPERLINK("https://checko.ru/search?query=3801001629","Чекко: проверить")</f>
        <v/>
      </c>
      <c r="S4262" t="n">
        <v>1</v>
      </c>
      <c r="T4262" s="35" t="inlineStr">
        <is>
          <t>4 — Не обогащён</t>
        </is>
      </c>
      <c r="U4262" s="35" t="inlineStr">
        <is>
          <t>Нет ОКВЭД/ССЧР</t>
        </is>
      </c>
      <c r="V4262" s="35" t="inlineStr">
        <is>
          <t>Не определено</t>
        </is>
      </c>
      <c r="W4262" s="35" t="inlineStr"/>
      <c r="X4262" s="35" t="inlineStr"/>
    </row>
    <row r="4263" ht="27.75" customHeight="1" s="24">
      <c r="A4263" s="13" t="n">
        <v>5000097556</v>
      </c>
      <c r="B4263" s="13" t="inlineStr">
        <is>
          <t>Министерство транспорта и дорожного хозяйства Сахалинской области</t>
        </is>
      </c>
      <c r="C4263" s="13" t="n">
        <v>6501155310</v>
      </c>
      <c r="D4263" s="13" t="inlineStr">
        <is>
          <t>6501155310</t>
        </is>
      </c>
      <c r="E4263" s="13" t="inlineStr">
        <is>
          <t>ЮЛ РФ</t>
        </is>
      </c>
      <c r="F4263" s="13" t="n"/>
      <c r="G4263" s="14" t="n"/>
      <c r="H4263" s="14" t="n"/>
      <c r="I4263" s="14" t="n"/>
      <c r="J4263" s="14" t="n"/>
      <c r="K4263" s="53" t="inlineStr"/>
      <c r="L4263" s="53" t="inlineStr">
        <is>
          <t>Не определено</t>
        </is>
      </c>
      <c r="M4263" s="53" t="inlineStr"/>
      <c r="N4263" s="54" t="inlineStr"/>
      <c r="O4263" s="55" t="inlineStr"/>
      <c r="P4263" s="16" t="inlineStr">
        <is>
          <t>Требует обогащения</t>
        </is>
      </c>
      <c r="Q4263" s="16">
        <f>HYPERLINK("https://pb.nalog.ru/search.html?query=6501155310","ФНС: проверить")</f>
        <v/>
      </c>
      <c r="R4263" s="16">
        <f>HYPERLINK("https://checko.ru/search?query=3801001629","Чекко: проверить")</f>
        <v/>
      </c>
      <c r="S4263" t="n">
        <v>0</v>
      </c>
      <c r="T4263" s="35" t="inlineStr">
        <is>
          <t>4 — Не обогащён</t>
        </is>
      </c>
      <c r="U4263" s="35" t="inlineStr">
        <is>
          <t>Нет ОКВЭД/ССЧР</t>
        </is>
      </c>
      <c r="V4263" s="35" t="inlineStr">
        <is>
          <t>Не определено</t>
        </is>
      </c>
      <c r="W4263" s="35" t="inlineStr"/>
      <c r="X4263" s="35" t="inlineStr"/>
    </row>
    <row r="4264" ht="41.25" customHeight="1" s="24">
      <c r="A4264" s="13" t="n">
        <v>5000097557</v>
      </c>
      <c r="B4264" s="13" t="inlineStr">
        <is>
          <t>Агентство по делам гражданской обороны, защиты от чрезвычайных ситуаций и пожарной безопасности Сахалинской области</t>
        </is>
      </c>
      <c r="C4264" s="13" t="n">
        <v>6501252401</v>
      </c>
      <c r="D4264" s="13" t="inlineStr">
        <is>
          <t>6501252401</t>
        </is>
      </c>
      <c r="E4264" s="13" t="inlineStr">
        <is>
          <t>ЮЛ РФ</t>
        </is>
      </c>
      <c r="F4264" s="13" t="n"/>
      <c r="G4264" s="14" t="n"/>
      <c r="H4264" s="14" t="n"/>
      <c r="I4264" s="14" t="n"/>
      <c r="J4264" s="14" t="n"/>
      <c r="K4264" s="53" t="inlineStr"/>
      <c r="L4264" s="53" t="inlineStr">
        <is>
          <t>Не определено</t>
        </is>
      </c>
      <c r="M4264" s="53" t="inlineStr"/>
      <c r="N4264" s="54" t="inlineStr"/>
      <c r="O4264" s="55" t="inlineStr"/>
      <c r="P4264" s="16" t="inlineStr">
        <is>
          <t>Требует обогащения</t>
        </is>
      </c>
      <c r="Q4264" s="16">
        <f>HYPERLINK("https://pb.nalog.ru/search.html?query=6501252401","ФНС: проверить")</f>
        <v/>
      </c>
      <c r="R4264" s="16">
        <f>HYPERLINK("https://checko.ru/search?query=3801001629","Чекко: проверить")</f>
        <v/>
      </c>
      <c r="S4264" t="n">
        <v>1</v>
      </c>
      <c r="T4264" s="35" t="inlineStr">
        <is>
          <t>4 — Не обогащён</t>
        </is>
      </c>
      <c r="U4264" s="35" t="inlineStr">
        <is>
          <t>Нет ОКВЭД/ССЧР</t>
        </is>
      </c>
      <c r="V4264" s="35" t="inlineStr">
        <is>
          <t>Не определено</t>
        </is>
      </c>
      <c r="W4264" s="35" t="inlineStr"/>
      <c r="X4264" s="35" t="inlineStr"/>
    </row>
    <row r="4265" ht="41.25" customHeight="1" s="24">
      <c r="A4265" s="13" t="n">
        <v>5000097557</v>
      </c>
      <c r="B4265" s="13" t="inlineStr">
        <is>
          <t>Агентство по делам гражданской обороны, защиты от чрезвычайных ситуаций и пожарной безопасности Сахалинской области</t>
        </is>
      </c>
      <c r="C4265" s="13" t="n">
        <v>6501252401</v>
      </c>
      <c r="D4265" s="13" t="inlineStr">
        <is>
          <t>6501252401</t>
        </is>
      </c>
      <c r="E4265" s="13" t="inlineStr">
        <is>
          <t>ЮЛ РФ</t>
        </is>
      </c>
      <c r="F4265" s="13" t="n"/>
      <c r="G4265" s="14" t="n"/>
      <c r="H4265" s="14" t="n"/>
      <c r="I4265" s="14" t="n"/>
      <c r="J4265" s="14" t="n"/>
      <c r="K4265" s="53" t="inlineStr"/>
      <c r="L4265" s="53" t="inlineStr">
        <is>
          <t>Не определено</t>
        </is>
      </c>
      <c r="M4265" s="53" t="inlineStr"/>
      <c r="N4265" s="54" t="inlineStr"/>
      <c r="O4265" s="55" t="inlineStr"/>
      <c r="P4265" s="16" t="inlineStr">
        <is>
          <t>Требует обогащения</t>
        </is>
      </c>
      <c r="Q4265" s="16">
        <f>HYPERLINK("https://pb.nalog.ru/search.html?query=6501252401","ФНС: проверить")</f>
        <v/>
      </c>
      <c r="R4265" s="16">
        <f>HYPERLINK("https://checko.ru/search?query=3801001629","Чекко: проверить")</f>
        <v/>
      </c>
      <c r="S4265" t="n">
        <v>0</v>
      </c>
      <c r="T4265" s="35" t="inlineStr">
        <is>
          <t>4 — Не обогащён</t>
        </is>
      </c>
      <c r="U4265" s="35" t="inlineStr">
        <is>
          <t>Нет ОКВЭД/ССЧР</t>
        </is>
      </c>
      <c r="V4265" s="35" t="inlineStr">
        <is>
          <t>Не определено</t>
        </is>
      </c>
      <c r="W4265" s="35" t="inlineStr"/>
      <c r="X4265" s="35" t="inlineStr"/>
    </row>
    <row r="4266" ht="27.75" customHeight="1" s="24">
      <c r="A4266" s="13" t="n">
        <v>5000083035</v>
      </c>
      <c r="B4266" s="13" t="inlineStr">
        <is>
          <t>Отдел образования администрации Невельского городского округа</t>
        </is>
      </c>
      <c r="C4266" s="13" t="n">
        <v>6505003558</v>
      </c>
      <c r="D4266" s="13" t="inlineStr">
        <is>
          <t>6505003558</t>
        </is>
      </c>
      <c r="E4266" s="13" t="inlineStr">
        <is>
          <t>ЮЛ РФ</t>
        </is>
      </c>
      <c r="F4266" s="13" t="n"/>
      <c r="G4266" s="14" t="n"/>
      <c r="H4266" s="14" t="n"/>
      <c r="I4266" s="14" t="n"/>
      <c r="J4266" s="14" t="n"/>
      <c r="K4266" s="53" t="inlineStr"/>
      <c r="L4266" s="53" t="inlineStr">
        <is>
          <t>Не определено</t>
        </is>
      </c>
      <c r="M4266" s="53" t="inlineStr"/>
      <c r="N4266" s="54" t="inlineStr"/>
      <c r="O4266" s="55" t="inlineStr"/>
      <c r="P4266" s="16" t="inlineStr">
        <is>
          <t>Требует обогащения</t>
        </is>
      </c>
      <c r="Q4266" s="16">
        <f>HYPERLINK("https://pb.nalog.ru/search.html?query=6505003558","ФНС: проверить")</f>
        <v/>
      </c>
      <c r="R4266" s="16">
        <f>HYPERLINK("https://checko.ru/search?query=3801001629","Чекко: проверить")</f>
        <v/>
      </c>
      <c r="S4266" t="n">
        <v>1</v>
      </c>
      <c r="T4266" s="35" t="inlineStr">
        <is>
          <t>4 — Не обогащён</t>
        </is>
      </c>
      <c r="U4266" s="35" t="inlineStr">
        <is>
          <t>Нет ОКВЭД/ССЧР</t>
        </is>
      </c>
      <c r="V4266" s="35" t="inlineStr">
        <is>
          <t>Не определено</t>
        </is>
      </c>
      <c r="W4266" s="35" t="inlineStr"/>
      <c r="X4266" s="35" t="inlineStr"/>
    </row>
    <row r="4267" ht="27.75" customHeight="1" s="24">
      <c r="A4267" s="13" t="n">
        <v>5000083037</v>
      </c>
      <c r="B4267" s="13" t="inlineStr">
        <is>
          <t>МБДОУ ''Детский сад №2 «Рябинка» с. Горнозаводска</t>
        </is>
      </c>
      <c r="C4267" s="13" t="n">
        <v>6505009920</v>
      </c>
      <c r="D4267" s="13" t="inlineStr">
        <is>
          <t>6505009920</t>
        </is>
      </c>
      <c r="E4267" s="13" t="inlineStr">
        <is>
          <t>ЮЛ РФ</t>
        </is>
      </c>
      <c r="F4267" s="13" t="n"/>
      <c r="G4267" s="14" t="n"/>
      <c r="H4267" s="14" t="n"/>
      <c r="I4267" s="14" t="n"/>
      <c r="J4267" s="14" t="n"/>
      <c r="K4267" s="53" t="inlineStr"/>
      <c r="L4267" s="53" t="inlineStr">
        <is>
          <t>Не определено</t>
        </is>
      </c>
      <c r="M4267" s="53" t="inlineStr"/>
      <c r="N4267" s="54" t="inlineStr"/>
      <c r="O4267" s="55" t="inlineStr"/>
      <c r="P4267" s="16" t="inlineStr">
        <is>
          <t>Требует обогащения</t>
        </is>
      </c>
      <c r="Q4267" s="16">
        <f>HYPERLINK("https://pb.nalog.ru/search.html?query=6505009920","ФНС: проверить")</f>
        <v/>
      </c>
      <c r="R4267" s="16">
        <f>HYPERLINK("https://checko.ru/search?query=3801001629","Чекко: проверить")</f>
        <v/>
      </c>
      <c r="S4267" t="n">
        <v>1</v>
      </c>
      <c r="T4267" s="35" t="inlineStr">
        <is>
          <t>4 — Не обогащён</t>
        </is>
      </c>
      <c r="U4267" s="35" t="inlineStr">
        <is>
          <t>Нет ОКВЭД/ССЧР</t>
        </is>
      </c>
      <c r="V4267" s="35" t="inlineStr">
        <is>
          <t>Не определено</t>
        </is>
      </c>
      <c r="W4267" s="35" t="inlineStr"/>
      <c r="X4267" s="35" t="inlineStr"/>
    </row>
    <row r="4268" ht="41.25" customHeight="1" s="24">
      <c r="A4268" s="13" t="n">
        <v>5000018703</v>
      </c>
      <c r="B4268" s="13" t="inlineStr">
        <is>
          <t>МКУ «Управление мониторинга дорожного хозяйства и благоустройства города Южно-Сахалинска»</t>
        </is>
      </c>
      <c r="C4268" s="13" t="n">
        <v>6501296230</v>
      </c>
      <c r="D4268" s="13" t="inlineStr">
        <is>
          <t>6501296230</t>
        </is>
      </c>
      <c r="E4268" s="13" t="inlineStr">
        <is>
          <t>ЮЛ РФ</t>
        </is>
      </c>
      <c r="F4268" s="13" t="n"/>
      <c r="G4268" s="14" t="n"/>
      <c r="H4268" s="14" t="n"/>
      <c r="I4268" s="14" t="n"/>
      <c r="J4268" s="14" t="n"/>
      <c r="K4268" s="53" t="inlineStr"/>
      <c r="L4268" s="53" t="inlineStr">
        <is>
          <t>Не определено</t>
        </is>
      </c>
      <c r="M4268" s="53" t="inlineStr"/>
      <c r="N4268" s="54" t="inlineStr"/>
      <c r="O4268" s="55" t="inlineStr"/>
      <c r="P4268" s="16" t="inlineStr">
        <is>
          <t>Требует обогащения</t>
        </is>
      </c>
      <c r="Q4268" s="16">
        <f>HYPERLINK("https://pb.nalog.ru/search.html?query=6501296230","ФНС: проверить")</f>
        <v/>
      </c>
      <c r="R4268" s="16">
        <f>HYPERLINK("https://checko.ru/search?query=3801001629","Чекко: проверить")</f>
        <v/>
      </c>
      <c r="S4268" t="n">
        <v>1</v>
      </c>
      <c r="T4268" s="35" t="inlineStr">
        <is>
          <t>4 — Не обогащён</t>
        </is>
      </c>
      <c r="U4268" s="35" t="inlineStr">
        <is>
          <t>Нет ОКВЭД/ССЧР</t>
        </is>
      </c>
      <c r="V4268" s="35" t="inlineStr">
        <is>
          <t>Не определено</t>
        </is>
      </c>
      <c r="W4268" s="35" t="inlineStr"/>
      <c r="X4268" s="35" t="inlineStr"/>
    </row>
    <row r="4269" ht="15" customHeight="1" s="24">
      <c r="A4269" s="13" t="n">
        <v>5000098224</v>
      </c>
      <c r="B4269" s="13" t="inlineStr">
        <is>
          <t>КГКУ "ПРИМЛАБ"</t>
        </is>
      </c>
      <c r="C4269" s="13" t="n">
        <v>2540254123</v>
      </c>
      <c r="D4269" s="13" t="inlineStr">
        <is>
          <t>2540254123</t>
        </is>
      </c>
      <c r="E4269" s="13" t="inlineStr">
        <is>
          <t>ЮЛ РФ</t>
        </is>
      </c>
      <c r="F4269" s="13" t="n"/>
      <c r="G4269" s="14" t="n"/>
      <c r="H4269" s="14" t="n"/>
      <c r="I4269" s="14" t="n"/>
      <c r="J4269" s="14" t="n"/>
      <c r="K4269" s="53" t="inlineStr"/>
      <c r="L4269" s="53" t="inlineStr">
        <is>
          <t>Не определено</t>
        </is>
      </c>
      <c r="M4269" s="53" t="inlineStr"/>
      <c r="N4269" s="54" t="inlineStr"/>
      <c r="O4269" s="55" t="inlineStr"/>
      <c r="P4269" s="16" t="inlineStr">
        <is>
          <t>Требует обогащения</t>
        </is>
      </c>
      <c r="Q4269" s="16">
        <f>HYPERLINK("https://pb.nalog.ru/search.html?query=2540254123","ФНС: проверить")</f>
        <v/>
      </c>
      <c r="R4269" s="16">
        <f>HYPERLINK("https://checko.ru/search?query=3801001629","Чекко: проверить")</f>
        <v/>
      </c>
      <c r="S4269" t="n">
        <v>1</v>
      </c>
      <c r="T4269" s="35" t="inlineStr">
        <is>
          <t>4 — Не обогащён</t>
        </is>
      </c>
      <c r="U4269" s="35" t="inlineStr">
        <is>
          <t>Нет ОКВЭД/ССЧР</t>
        </is>
      </c>
      <c r="V4269" s="35" t="inlineStr">
        <is>
          <t>Не определено</t>
        </is>
      </c>
      <c r="W4269" s="35" t="inlineStr"/>
      <c r="X4269" s="35" t="inlineStr"/>
    </row>
    <row r="4270" ht="15" customHeight="1" s="24">
      <c r="A4270" s="13" t="n">
        <v>5000085026</v>
      </c>
      <c r="B4270" s="13" t="inlineStr">
        <is>
          <t>Смирныховская ЦКС</t>
        </is>
      </c>
      <c r="C4270" s="13" t="n">
        <v>6514008859</v>
      </c>
      <c r="D4270" s="13" t="inlineStr">
        <is>
          <t>6514008859</t>
        </is>
      </c>
      <c r="E4270" s="13" t="inlineStr">
        <is>
          <t>ЮЛ РФ</t>
        </is>
      </c>
      <c r="F4270" s="13" t="n"/>
      <c r="G4270" s="14" t="n"/>
      <c r="H4270" s="14" t="n"/>
      <c r="I4270" s="14" t="n"/>
      <c r="J4270" s="14" t="n"/>
      <c r="K4270" s="53" t="inlineStr"/>
      <c r="L4270" s="53" t="inlineStr">
        <is>
          <t>Не определено</t>
        </is>
      </c>
      <c r="M4270" s="53" t="inlineStr"/>
      <c r="N4270" s="54" t="inlineStr"/>
      <c r="O4270" s="55" t="inlineStr"/>
      <c r="P4270" s="16" t="inlineStr">
        <is>
          <t>Требует обогащения</t>
        </is>
      </c>
      <c r="Q4270" s="16">
        <f>HYPERLINK("https://pb.nalog.ru/search.html?query=6514008859","ФНС: проверить")</f>
        <v/>
      </c>
      <c r="R4270" s="16">
        <f>HYPERLINK("https://checko.ru/search?query=3801001629","Чекко: проверить")</f>
        <v/>
      </c>
      <c r="S4270" t="n">
        <v>1</v>
      </c>
      <c r="T4270" s="35" t="inlineStr">
        <is>
          <t>4 — Не обогащён</t>
        </is>
      </c>
      <c r="U4270" s="35" t="inlineStr">
        <is>
          <t>Нет ОКВЭД/ССЧР</t>
        </is>
      </c>
      <c r="V4270" s="35" t="inlineStr">
        <is>
          <t>Не определено</t>
        </is>
      </c>
      <c r="W4270" s="35" t="inlineStr"/>
      <c r="X4270" s="35" t="inlineStr"/>
    </row>
    <row r="4271" ht="15" customHeight="1" s="24">
      <c r="A4271" s="13" t="n">
        <v>5000085027</v>
      </c>
      <c r="B4271" s="13" t="inlineStr">
        <is>
          <t>Смирныховская ЦБС, МБУК</t>
        </is>
      </c>
      <c r="C4271" s="13" t="n">
        <v>6514008866</v>
      </c>
      <c r="D4271" s="13" t="inlineStr">
        <is>
          <t>6514008866</t>
        </is>
      </c>
      <c r="E4271" s="13" t="inlineStr">
        <is>
          <t>ЮЛ РФ</t>
        </is>
      </c>
      <c r="F4271" s="13" t="n"/>
      <c r="G4271" s="14" t="n"/>
      <c r="H4271" s="14" t="n"/>
      <c r="I4271" s="14" t="n"/>
      <c r="J4271" s="14" t="n"/>
      <c r="K4271" s="53" t="inlineStr"/>
      <c r="L4271" s="53" t="inlineStr">
        <is>
          <t>Не определено</t>
        </is>
      </c>
      <c r="M4271" s="53" t="inlineStr"/>
      <c r="N4271" s="54" t="inlineStr"/>
      <c r="O4271" s="55" t="inlineStr"/>
      <c r="P4271" s="16" t="inlineStr">
        <is>
          <t>Требует обогащения</t>
        </is>
      </c>
      <c r="Q4271" s="16">
        <f>HYPERLINK("https://pb.nalog.ru/search.html?query=6514008866","ФНС: проверить")</f>
        <v/>
      </c>
      <c r="R4271" s="16">
        <f>HYPERLINK("https://checko.ru/search?query=3801001629","Чекко: проверить")</f>
        <v/>
      </c>
      <c r="S4271" t="n">
        <v>1</v>
      </c>
      <c r="T4271" s="35" t="inlineStr">
        <is>
          <t>4 — Не обогащён</t>
        </is>
      </c>
      <c r="U4271" s="35" t="inlineStr">
        <is>
          <t>Нет ОКВЭД/ССЧР</t>
        </is>
      </c>
      <c r="V4271" s="35" t="inlineStr">
        <is>
          <t>Не определено</t>
        </is>
      </c>
      <c r="W4271" s="35" t="inlineStr"/>
      <c r="X4271" s="35" t="inlineStr"/>
    </row>
    <row r="4272" ht="27.75" customHeight="1" s="24">
      <c r="A4272" s="13" t="n">
        <v>5000085028</v>
      </c>
      <c r="B4272" s="13" t="inlineStr">
        <is>
          <t>Музей Южно-Сахалинской Наступательной Операции, МБУК</t>
        </is>
      </c>
      <c r="C4272" s="13" t="n">
        <v>6514008841</v>
      </c>
      <c r="D4272" s="13" t="inlineStr">
        <is>
          <t>6514008841</t>
        </is>
      </c>
      <c r="E4272" s="13" t="inlineStr">
        <is>
          <t>ЮЛ РФ</t>
        </is>
      </c>
      <c r="F4272" s="13" t="n"/>
      <c r="G4272" s="14" t="n"/>
      <c r="H4272" s="14" t="n"/>
      <c r="I4272" s="14" t="n"/>
      <c r="J4272" s="14" t="n"/>
      <c r="K4272" s="53" t="inlineStr"/>
      <c r="L4272" s="53" t="inlineStr">
        <is>
          <t>Не определено</t>
        </is>
      </c>
      <c r="M4272" s="53" t="inlineStr"/>
      <c r="N4272" s="54" t="inlineStr"/>
      <c r="O4272" s="55" t="inlineStr"/>
      <c r="P4272" s="16" t="inlineStr">
        <is>
          <t>Требует обогащения</t>
        </is>
      </c>
      <c r="Q4272" s="16">
        <f>HYPERLINK("https://pb.nalog.ru/search.html?query=6514008841","ФНС: проверить")</f>
        <v/>
      </c>
      <c r="R4272" s="16">
        <f>HYPERLINK("https://checko.ru/search?query=3801001629","Чекко: проверить")</f>
        <v/>
      </c>
      <c r="S4272" t="n">
        <v>1</v>
      </c>
      <c r="T4272" s="35" t="inlineStr">
        <is>
          <t>4 — Не обогащён</t>
        </is>
      </c>
      <c r="U4272" s="35" t="inlineStr">
        <is>
          <t>Нет ОКВЭД/ССЧР</t>
        </is>
      </c>
      <c r="V4272" s="35" t="inlineStr">
        <is>
          <t>Не определено</t>
        </is>
      </c>
      <c r="W4272" s="35" t="inlineStr"/>
      <c r="X4272" s="35" t="inlineStr"/>
    </row>
    <row r="4273" ht="27.75" customHeight="1" s="24">
      <c r="A4273" s="13" t="n">
        <v>5000085029</v>
      </c>
      <c r="B4273" s="13" t="inlineStr">
        <is>
          <t>ДШИ пгт. Смирных Сахалинской Области ДО, МБОУ</t>
        </is>
      </c>
      <c r="C4273" s="13" t="n">
        <v>6514000546</v>
      </c>
      <c r="D4273" s="13" t="inlineStr">
        <is>
          <t>6514000546</t>
        </is>
      </c>
      <c r="E4273" s="13" t="inlineStr">
        <is>
          <t>ЮЛ РФ</t>
        </is>
      </c>
      <c r="F4273" s="13" t="n"/>
      <c r="G4273" s="14" t="n"/>
      <c r="H4273" s="14" t="n"/>
      <c r="I4273" s="14" t="n"/>
      <c r="J4273" s="14" t="n"/>
      <c r="K4273" s="53" t="inlineStr"/>
      <c r="L4273" s="53" t="inlineStr">
        <is>
          <t>Не определено</t>
        </is>
      </c>
      <c r="M4273" s="53" t="inlineStr"/>
      <c r="N4273" s="54" t="inlineStr"/>
      <c r="O4273" s="55" t="inlineStr"/>
      <c r="P4273" s="16" t="inlineStr">
        <is>
          <t>Требует обогащения</t>
        </is>
      </c>
      <c r="Q4273" s="16">
        <f>HYPERLINK("https://pb.nalog.ru/search.html?query=6514000546","ФНС: проверить")</f>
        <v/>
      </c>
      <c r="R4273" s="16">
        <f>HYPERLINK("https://checko.ru/search?query=3801001629","Чекко: проверить")</f>
        <v/>
      </c>
      <c r="S4273" t="n">
        <v>1</v>
      </c>
      <c r="T4273" s="35" t="inlineStr">
        <is>
          <t>4 — Не обогащён</t>
        </is>
      </c>
      <c r="U4273" s="35" t="inlineStr">
        <is>
          <t>Нет ОКВЭД/ССЧР</t>
        </is>
      </c>
      <c r="V4273" s="35" t="inlineStr">
        <is>
          <t>Не определено</t>
        </is>
      </c>
      <c r="W4273" s="35" t="inlineStr"/>
      <c r="X4273" s="35" t="inlineStr"/>
    </row>
    <row r="4274" ht="15" customHeight="1" s="24">
      <c r="A4274" s="13" t="n">
        <v>5000085030</v>
      </c>
      <c r="B4274" s="13" t="inlineStr">
        <is>
          <t>Спортивная Школа П.Г.Т. Смирных, МАУ</t>
        </is>
      </c>
      <c r="C4274" s="13" t="n">
        <v>6514000754</v>
      </c>
      <c r="D4274" s="13" t="inlineStr">
        <is>
          <t>6514000754</t>
        </is>
      </c>
      <c r="E4274" s="13" t="inlineStr">
        <is>
          <t>ЮЛ РФ</t>
        </is>
      </c>
      <c r="F4274" s="13" t="n"/>
      <c r="G4274" s="14" t="n"/>
      <c r="H4274" s="14" t="n"/>
      <c r="I4274" s="14" t="n"/>
      <c r="J4274" s="14" t="n"/>
      <c r="K4274" s="53" t="inlineStr"/>
      <c r="L4274" s="53" t="inlineStr">
        <is>
          <t>Не определено</t>
        </is>
      </c>
      <c r="M4274" s="53" t="inlineStr"/>
      <c r="N4274" s="54" t="inlineStr"/>
      <c r="O4274" s="55" t="inlineStr"/>
      <c r="P4274" s="16" t="inlineStr">
        <is>
          <t>Требует обогащения</t>
        </is>
      </c>
      <c r="Q4274" s="16">
        <f>HYPERLINK("https://pb.nalog.ru/search.html?query=6514000754","ФНС: проверить")</f>
        <v/>
      </c>
      <c r="R4274" s="16">
        <f>HYPERLINK("https://checko.ru/search?query=3801001629","Чекко: проверить")</f>
        <v/>
      </c>
      <c r="S4274" t="n">
        <v>1</v>
      </c>
      <c r="T4274" s="35" t="inlineStr">
        <is>
          <t>4 — Не обогащён</t>
        </is>
      </c>
      <c r="U4274" s="35" t="inlineStr">
        <is>
          <t>Нет ОКВЭД/ССЧР</t>
        </is>
      </c>
      <c r="V4274" s="35" t="inlineStr">
        <is>
          <t>Не определено</t>
        </is>
      </c>
      <c r="W4274" s="35" t="inlineStr"/>
      <c r="X4274" s="35" t="inlineStr"/>
    </row>
    <row r="4275" ht="15" customHeight="1" s="24">
      <c r="A4275" s="13" t="n">
        <v>5000084765</v>
      </c>
      <c r="B4275" s="13" t="inlineStr">
        <is>
          <t>МКУ "Централизованная система обслуживания"</t>
        </is>
      </c>
      <c r="C4275" s="13" t="n">
        <v>6513003713</v>
      </c>
      <c r="D4275" s="13" t="inlineStr">
        <is>
          <t>6513003713</t>
        </is>
      </c>
      <c r="E4275" s="13" t="inlineStr">
        <is>
          <t>ЮЛ РФ</t>
        </is>
      </c>
      <c r="F4275" s="13" t="n"/>
      <c r="G4275" s="14" t="n"/>
      <c r="H4275" s="14" t="n"/>
      <c r="I4275" s="14" t="n"/>
      <c r="J4275" s="14" t="n"/>
      <c r="K4275" s="53" t="inlineStr"/>
      <c r="L4275" s="53" t="inlineStr">
        <is>
          <t>Не определено</t>
        </is>
      </c>
      <c r="M4275" s="53" t="inlineStr"/>
      <c r="N4275" s="54" t="inlineStr"/>
      <c r="O4275" s="55" t="inlineStr"/>
      <c r="P4275" s="16" t="inlineStr">
        <is>
          <t>Требует обогащения</t>
        </is>
      </c>
      <c r="Q4275" s="16">
        <f>HYPERLINK("https://pb.nalog.ru/search.html?query=6513003713","ФНС: проверить")</f>
        <v/>
      </c>
      <c r="R4275" s="16">
        <f>HYPERLINK("https://checko.ru/search?query=3801001629","Чекко: проверить")</f>
        <v/>
      </c>
      <c r="S4275" t="n">
        <v>1</v>
      </c>
      <c r="T4275" s="35" t="inlineStr">
        <is>
          <t>4 — Не обогащён</t>
        </is>
      </c>
      <c r="U4275" s="35" t="inlineStr">
        <is>
          <t>Нет ОКВЭД/ССЧР</t>
        </is>
      </c>
      <c r="V4275" s="35" t="inlineStr">
        <is>
          <t>Не определено</t>
        </is>
      </c>
      <c r="W4275" s="35" t="inlineStr"/>
      <c r="X4275" s="35" t="inlineStr"/>
    </row>
    <row r="4276" ht="41.25" customHeight="1" s="24">
      <c r="A4276" s="13" t="n">
        <v>5000084766</v>
      </c>
      <c r="B4276" s="13" t="inlineStr">
        <is>
          <t>Департамент социальной политики администрации муниципального образования «Городской округ Ногликский»</t>
        </is>
      </c>
      <c r="C4276" s="13" t="n">
        <v>6513002124</v>
      </c>
      <c r="D4276" s="13" t="inlineStr">
        <is>
          <t>6513002124</t>
        </is>
      </c>
      <c r="E4276" s="13" t="inlineStr">
        <is>
          <t>ЮЛ РФ</t>
        </is>
      </c>
      <c r="F4276" s="13" t="n"/>
      <c r="G4276" s="14" t="n"/>
      <c r="H4276" s="14" t="n"/>
      <c r="I4276" s="14" t="n"/>
      <c r="J4276" s="14" t="n"/>
      <c r="K4276" s="53" t="inlineStr"/>
      <c r="L4276" s="53" t="inlineStr">
        <is>
          <t>Не определено</t>
        </is>
      </c>
      <c r="M4276" s="53" t="inlineStr"/>
      <c r="N4276" s="54" t="inlineStr"/>
      <c r="O4276" s="55" t="inlineStr"/>
      <c r="P4276" s="16" t="inlineStr">
        <is>
          <t>Требует обогащения</t>
        </is>
      </c>
      <c r="Q4276" s="16">
        <f>HYPERLINK("https://pb.nalog.ru/search.html?query=6513002124","ФНС: проверить")</f>
        <v/>
      </c>
      <c r="R4276" s="16">
        <f>HYPERLINK("https://checko.ru/search?query=3801001629","Чекко: проверить")</f>
        <v/>
      </c>
      <c r="S4276" t="n">
        <v>1</v>
      </c>
      <c r="T4276" s="35" t="inlineStr">
        <is>
          <t>4 — Не обогащён</t>
        </is>
      </c>
      <c r="U4276" s="35" t="inlineStr">
        <is>
          <t>Нет ОКВЭД/ССЧР</t>
        </is>
      </c>
      <c r="V4276" s="35" t="inlineStr">
        <is>
          <t>Не определено</t>
        </is>
      </c>
      <c r="W4276" s="35" t="inlineStr"/>
      <c r="X4276" s="35" t="inlineStr"/>
    </row>
    <row r="4277" ht="41.25" customHeight="1" s="24">
      <c r="A4277" s="13" t="n">
        <v>5000084766</v>
      </c>
      <c r="B4277" s="13" t="inlineStr">
        <is>
          <t>Департамент социальной политики администрации муниципального образования «Городской округ Ногликский»</t>
        </is>
      </c>
      <c r="C4277" s="13" t="n">
        <v>6513002124</v>
      </c>
      <c r="D4277" s="13" t="inlineStr">
        <is>
          <t>6513002124</t>
        </is>
      </c>
      <c r="E4277" s="13" t="inlineStr">
        <is>
          <t>ЮЛ РФ</t>
        </is>
      </c>
      <c r="F4277" s="13" t="n"/>
      <c r="G4277" s="14" t="n"/>
      <c r="H4277" s="14" t="n"/>
      <c r="I4277" s="14" t="n"/>
      <c r="J4277" s="14" t="n"/>
      <c r="K4277" s="53" t="inlineStr"/>
      <c r="L4277" s="53" t="inlineStr">
        <is>
          <t>Не определено</t>
        </is>
      </c>
      <c r="M4277" s="53" t="inlineStr"/>
      <c r="N4277" s="54" t="inlineStr"/>
      <c r="O4277" s="55" t="inlineStr"/>
      <c r="P4277" s="16" t="inlineStr">
        <is>
          <t>Требует обогащения</t>
        </is>
      </c>
      <c r="Q4277" s="16">
        <f>HYPERLINK("https://pb.nalog.ru/search.html?query=6513002124","ФНС: проверить")</f>
        <v/>
      </c>
      <c r="R4277" s="16">
        <f>HYPERLINK("https://checko.ru/search?query=3801001629","Чекко: проверить")</f>
        <v/>
      </c>
      <c r="S4277" t="n">
        <v>0</v>
      </c>
      <c r="T4277" s="35" t="inlineStr">
        <is>
          <t>4 — Не обогащён</t>
        </is>
      </c>
      <c r="U4277" s="35" t="inlineStr">
        <is>
          <t>Нет ОКВЭД/ССЧР</t>
        </is>
      </c>
      <c r="V4277" s="35" t="inlineStr">
        <is>
          <t>Не определено</t>
        </is>
      </c>
      <c r="W4277" s="35" t="inlineStr"/>
      <c r="X4277" s="35" t="inlineStr"/>
    </row>
    <row r="4278" ht="27.75" customHeight="1" s="24">
      <c r="A4278" s="13" t="n">
        <v>5000084767</v>
      </c>
      <c r="B4278" s="13" t="inlineStr">
        <is>
          <t>Муниципальное казенное учреждение «Архив Ногликского района»</t>
        </is>
      </c>
      <c r="C4278" s="13" t="n">
        <v>6513000896</v>
      </c>
      <c r="D4278" s="13" t="inlineStr">
        <is>
          <t>6513000896</t>
        </is>
      </c>
      <c r="E4278" s="13" t="inlineStr">
        <is>
          <t>ЮЛ РФ</t>
        </is>
      </c>
      <c r="F4278" s="13" t="n"/>
      <c r="G4278" s="14" t="n"/>
      <c r="H4278" s="14" t="n"/>
      <c r="I4278" s="14" t="n"/>
      <c r="J4278" s="14" t="n"/>
      <c r="K4278" s="53" t="inlineStr"/>
      <c r="L4278" s="53" t="inlineStr">
        <is>
          <t>Не определено</t>
        </is>
      </c>
      <c r="M4278" s="53" t="inlineStr"/>
      <c r="N4278" s="54" t="inlineStr"/>
      <c r="O4278" s="55" t="inlineStr"/>
      <c r="P4278" s="16" t="inlineStr">
        <is>
          <t>Требует обогащения</t>
        </is>
      </c>
      <c r="Q4278" s="16">
        <f>HYPERLINK("https://pb.nalog.ru/search.html?query=6513000896","ФНС: проверить")</f>
        <v/>
      </c>
      <c r="R4278" s="16">
        <f>HYPERLINK("https://checko.ru/search?query=3801001629","Чекко: проверить")</f>
        <v/>
      </c>
      <c r="S4278" t="n">
        <v>1</v>
      </c>
      <c r="T4278" s="35" t="inlineStr">
        <is>
          <t>4 — Не обогащён</t>
        </is>
      </c>
      <c r="U4278" s="35" t="inlineStr">
        <is>
          <t>Нет ОКВЭД/ССЧР</t>
        </is>
      </c>
      <c r="V4278" s="35" t="inlineStr">
        <is>
          <t>Не определено</t>
        </is>
      </c>
      <c r="W4278" s="35" t="inlineStr"/>
      <c r="X4278" s="35" t="inlineStr"/>
    </row>
    <row r="4279" ht="54.75" customHeight="1" s="24">
      <c r="A4279" s="13" t="n">
        <v>5000084768</v>
      </c>
      <c r="B4279" s="13" t="inlineStr">
        <is>
          <t>Муниципальное бюджетное общеобразовательное учреждение средняя общеобразовательная школа № 1 пгт. Ноглики имени Героя Советского Союза Григория Петров</t>
        </is>
      </c>
      <c r="C4279" s="13" t="n">
        <v>6513000060</v>
      </c>
      <c r="D4279" s="13" t="inlineStr">
        <is>
          <t>6513000060</t>
        </is>
      </c>
      <c r="E4279" s="13" t="inlineStr">
        <is>
          <t>ЮЛ РФ</t>
        </is>
      </c>
      <c r="F4279" s="13" t="n"/>
      <c r="G4279" s="14" t="n"/>
      <c r="H4279" s="14" t="n"/>
      <c r="I4279" s="14" t="n"/>
      <c r="J4279" s="14" t="n"/>
      <c r="K4279" s="53" t="inlineStr"/>
      <c r="L4279" s="53" t="inlineStr">
        <is>
          <t>Не определено</t>
        </is>
      </c>
      <c r="M4279" s="53" t="inlineStr"/>
      <c r="N4279" s="54" t="inlineStr"/>
      <c r="O4279" s="55" t="inlineStr"/>
      <c r="P4279" s="16" t="inlineStr">
        <is>
          <t>Требует обогащения</t>
        </is>
      </c>
      <c r="Q4279" s="16">
        <f>HYPERLINK("https://pb.nalog.ru/search.html?query=6513000060","ФНС: проверить")</f>
        <v/>
      </c>
      <c r="R4279" s="16">
        <f>HYPERLINK("https://checko.ru/search?query=3801001629","Чекко: проверить")</f>
        <v/>
      </c>
      <c r="S4279" t="n">
        <v>1</v>
      </c>
      <c r="T4279" s="35" t="inlineStr">
        <is>
          <t>4 — Не обогащён</t>
        </is>
      </c>
      <c r="U4279" s="35" t="inlineStr">
        <is>
          <t>Нет ОКВЭД/ССЧР</t>
        </is>
      </c>
      <c r="V4279" s="35" t="inlineStr">
        <is>
          <t>Не определено</t>
        </is>
      </c>
      <c r="W4279" s="35" t="inlineStr"/>
      <c r="X4279" s="35" t="inlineStr"/>
    </row>
    <row r="4280" ht="41.25" customHeight="1" s="24">
      <c r="A4280" s="13" t="n">
        <v>5000084769</v>
      </c>
      <c r="B4280" s="13" t="inlineStr">
        <is>
          <t>Муниципальное бюджетное общеобразовательное учреждение средняя общеобразовательная школа № 2 пгт. Ноглики</t>
        </is>
      </c>
      <c r="C4280" s="13" t="n">
        <v>6513000092</v>
      </c>
      <c r="D4280" s="13" t="inlineStr">
        <is>
          <t>6513000092</t>
        </is>
      </c>
      <c r="E4280" s="13" t="inlineStr">
        <is>
          <t>ЮЛ РФ</t>
        </is>
      </c>
      <c r="F4280" s="13" t="n"/>
      <c r="G4280" s="14" t="n"/>
      <c r="H4280" s="14" t="n"/>
      <c r="I4280" s="14" t="n"/>
      <c r="J4280" s="14" t="n"/>
      <c r="K4280" s="53" t="inlineStr"/>
      <c r="L4280" s="53" t="inlineStr">
        <is>
          <t>Не определено</t>
        </is>
      </c>
      <c r="M4280" s="53" t="inlineStr"/>
      <c r="N4280" s="54" t="inlineStr"/>
      <c r="O4280" s="55" t="inlineStr"/>
      <c r="P4280" s="16" t="inlineStr">
        <is>
          <t>Требует обогащения</t>
        </is>
      </c>
      <c r="Q4280" s="16">
        <f>HYPERLINK("https://pb.nalog.ru/search.html?query=6513000092","ФНС: проверить")</f>
        <v/>
      </c>
      <c r="R4280" s="16">
        <f>HYPERLINK("https://checko.ru/search?query=3801001629","Чекко: проверить")</f>
        <v/>
      </c>
      <c r="S4280" t="n">
        <v>1</v>
      </c>
      <c r="T4280" s="35" t="inlineStr">
        <is>
          <t>4 — Не обогащён</t>
        </is>
      </c>
      <c r="U4280" s="35" t="inlineStr">
        <is>
          <t>Нет ОКВЭД/ССЧР</t>
        </is>
      </c>
      <c r="V4280" s="35" t="inlineStr">
        <is>
          <t>Не определено</t>
        </is>
      </c>
      <c r="W4280" s="35" t="inlineStr"/>
      <c r="X4280" s="35" t="inlineStr"/>
    </row>
    <row r="4281" ht="41.25" customHeight="1" s="24">
      <c r="A4281" s="13" t="n">
        <v>5000084770</v>
      </c>
      <c r="B4281" s="13" t="inlineStr">
        <is>
          <t>Муниципальное бюджетное общеобразовательное учреждение Гимназия п. Ноглики</t>
        </is>
      </c>
      <c r="C4281" s="13" t="n">
        <v>6513000254</v>
      </c>
      <c r="D4281" s="13" t="inlineStr">
        <is>
          <t>6513000254</t>
        </is>
      </c>
      <c r="E4281" s="13" t="inlineStr">
        <is>
          <t>ЮЛ РФ</t>
        </is>
      </c>
      <c r="F4281" s="13" t="n"/>
      <c r="G4281" s="14" t="n"/>
      <c r="H4281" s="14" t="n"/>
      <c r="I4281" s="14" t="n"/>
      <c r="J4281" s="14" t="n"/>
      <c r="K4281" s="53" t="inlineStr"/>
      <c r="L4281" s="53" t="inlineStr">
        <is>
          <t>Не определено</t>
        </is>
      </c>
      <c r="M4281" s="53" t="inlineStr"/>
      <c r="N4281" s="54" t="inlineStr"/>
      <c r="O4281" s="55" t="inlineStr"/>
      <c r="P4281" s="16" t="inlineStr">
        <is>
          <t>Требует обогащения</t>
        </is>
      </c>
      <c r="Q4281" s="16">
        <f>HYPERLINK("https://pb.nalog.ru/search.html?query=6513000254","ФНС: проверить")</f>
        <v/>
      </c>
      <c r="R4281" s="16">
        <f>HYPERLINK("https://checko.ru/search?query=3801001629","Чекко: проверить")</f>
        <v/>
      </c>
      <c r="S4281" t="n">
        <v>1</v>
      </c>
      <c r="T4281" s="35" t="inlineStr">
        <is>
          <t>4 — Не обогащён</t>
        </is>
      </c>
      <c r="U4281" s="35" t="inlineStr">
        <is>
          <t>Нет ОКВЭД/ССЧР</t>
        </is>
      </c>
      <c r="V4281" s="35" t="inlineStr">
        <is>
          <t>Не определено</t>
        </is>
      </c>
      <c r="W4281" s="35" t="inlineStr"/>
      <c r="X4281" s="35" t="inlineStr"/>
    </row>
    <row r="4282" ht="41.25" customHeight="1" s="24">
      <c r="A4282" s="13" t="n">
        <v>5000084771</v>
      </c>
      <c r="B4282" s="13" t="inlineStr">
        <is>
          <t>Муниципальное бюджетное общеобразовательное учреждение средняя общеобразовательная школа с. Вал</t>
        </is>
      </c>
      <c r="C4282" s="13" t="n">
        <v>6513000173</v>
      </c>
      <c r="D4282" s="13" t="inlineStr">
        <is>
          <t>6513000173</t>
        </is>
      </c>
      <c r="E4282" s="13" t="inlineStr">
        <is>
          <t>ЮЛ РФ</t>
        </is>
      </c>
      <c r="F4282" s="13" t="n"/>
      <c r="G4282" s="14" t="n"/>
      <c r="H4282" s="14" t="n"/>
      <c r="I4282" s="14" t="n"/>
      <c r="J4282" s="14" t="n"/>
      <c r="K4282" s="53" t="inlineStr"/>
      <c r="L4282" s="53" t="inlineStr">
        <is>
          <t>Не определено</t>
        </is>
      </c>
      <c r="M4282" s="53" t="inlineStr"/>
      <c r="N4282" s="54" t="inlineStr"/>
      <c r="O4282" s="55" t="inlineStr"/>
      <c r="P4282" s="16" t="inlineStr">
        <is>
          <t>Требует обогащения</t>
        </is>
      </c>
      <c r="Q4282" s="16">
        <f>HYPERLINK("https://pb.nalog.ru/search.html?query=6513000173","ФНС: проверить")</f>
        <v/>
      </c>
      <c r="R4282" s="16">
        <f>HYPERLINK("https://checko.ru/search?query=3801001629","Чекко: проверить")</f>
        <v/>
      </c>
      <c r="S4282" t="n">
        <v>1</v>
      </c>
      <c r="T4282" s="35" t="inlineStr">
        <is>
          <t>4 — Не обогащён</t>
        </is>
      </c>
      <c r="U4282" s="35" t="inlineStr">
        <is>
          <t>Нет ОКВЭД/ССЧР</t>
        </is>
      </c>
      <c r="V4282" s="35" t="inlineStr">
        <is>
          <t>Не определено</t>
        </is>
      </c>
      <c r="W4282" s="35" t="inlineStr"/>
      <c r="X4282" s="35" t="inlineStr"/>
    </row>
    <row r="4283" ht="41.25" customHeight="1" s="24">
      <c r="A4283" s="13" t="n">
        <v>5000084772</v>
      </c>
      <c r="B4283" s="13" t="inlineStr">
        <is>
          <t>Муниципальное бюджетное общеобразовательное учреждение средняя общеобразовательная школа с. Ныш</t>
        </is>
      </c>
      <c r="C4283" s="13" t="n">
        <v>6513000159</v>
      </c>
      <c r="D4283" s="13" t="inlineStr">
        <is>
          <t>6513000159</t>
        </is>
      </c>
      <c r="E4283" s="13" t="inlineStr">
        <is>
          <t>ЮЛ РФ</t>
        </is>
      </c>
      <c r="F4283" s="13" t="n"/>
      <c r="G4283" s="14" t="n"/>
      <c r="H4283" s="14" t="n"/>
      <c r="I4283" s="14" t="n"/>
      <c r="J4283" s="14" t="n"/>
      <c r="K4283" s="53" t="inlineStr"/>
      <c r="L4283" s="53" t="inlineStr">
        <is>
          <t>Не определено</t>
        </is>
      </c>
      <c r="M4283" s="53" t="inlineStr"/>
      <c r="N4283" s="54" t="inlineStr"/>
      <c r="O4283" s="55" t="inlineStr"/>
      <c r="P4283" s="16" t="inlineStr">
        <is>
          <t>Требует обогащения</t>
        </is>
      </c>
      <c r="Q4283" s="16">
        <f>HYPERLINK("https://pb.nalog.ru/search.html?query=6513000159","ФНС: проверить")</f>
        <v/>
      </c>
      <c r="R4283" s="16">
        <f>HYPERLINK("https://checko.ru/search?query=3801001629","Чекко: проверить")</f>
        <v/>
      </c>
      <c r="S4283" t="n">
        <v>1</v>
      </c>
      <c r="T4283" s="35" t="inlineStr">
        <is>
          <t>4 — Не обогащён</t>
        </is>
      </c>
      <c r="U4283" s="35" t="inlineStr">
        <is>
          <t>Нет ОКВЭД/ССЧР</t>
        </is>
      </c>
      <c r="V4283" s="35" t="inlineStr">
        <is>
          <t>Не определено</t>
        </is>
      </c>
      <c r="W4283" s="35" t="inlineStr"/>
      <c r="X4283" s="35" t="inlineStr"/>
    </row>
    <row r="4284" ht="41.25" customHeight="1" s="24">
      <c r="A4284" s="13" t="n">
        <v>5000084773</v>
      </c>
      <c r="B4284" s="13" t="inlineStr">
        <is>
          <t>Муниципальное бюджетное дошкольное образовательное учреждение детский сад № 1 «Светлячок» пгт. Ноглики</t>
        </is>
      </c>
      <c r="C4284" s="13" t="n">
        <v>6513000014</v>
      </c>
      <c r="D4284" s="13" t="inlineStr">
        <is>
          <t>6513000014</t>
        </is>
      </c>
      <c r="E4284" s="13" t="inlineStr">
        <is>
          <t>ЮЛ РФ</t>
        </is>
      </c>
      <c r="F4284" s="13" t="n"/>
      <c r="G4284" s="14" t="n"/>
      <c r="H4284" s="14" t="n"/>
      <c r="I4284" s="14" t="n"/>
      <c r="J4284" s="14" t="n"/>
      <c r="K4284" s="53" t="inlineStr"/>
      <c r="L4284" s="53" t="inlineStr">
        <is>
          <t>Не определено</t>
        </is>
      </c>
      <c r="M4284" s="53" t="inlineStr"/>
      <c r="N4284" s="54" t="inlineStr"/>
      <c r="O4284" s="55" t="inlineStr"/>
      <c r="P4284" s="16" t="inlineStr">
        <is>
          <t>Требует обогащения</t>
        </is>
      </c>
      <c r="Q4284" s="16">
        <f>HYPERLINK("https://pb.nalog.ru/search.html?query=6513000014","ФНС: проверить")</f>
        <v/>
      </c>
      <c r="R4284" s="16">
        <f>HYPERLINK("https://checko.ru/search?query=3801001629","Чекко: проверить")</f>
        <v/>
      </c>
      <c r="S4284" t="n">
        <v>1</v>
      </c>
      <c r="T4284" s="35" t="inlineStr">
        <is>
          <t>4 — Не обогащён</t>
        </is>
      </c>
      <c r="U4284" s="35" t="inlineStr">
        <is>
          <t>Нет ОКВЭД/ССЧР</t>
        </is>
      </c>
      <c r="V4284" s="35" t="inlineStr">
        <is>
          <t>Не определено</t>
        </is>
      </c>
      <c r="W4284" s="35" t="inlineStr"/>
      <c r="X4284" s="35" t="inlineStr"/>
    </row>
    <row r="4285" ht="41.25" customHeight="1" s="24">
      <c r="A4285" s="13" t="n">
        <v>5000084774</v>
      </c>
      <c r="B4285" s="13" t="inlineStr">
        <is>
          <t>Муниципальное бюджетное дошкольное образовательное учреждение детский сад № 2 «Ромашка» пгт. Ноглики</t>
        </is>
      </c>
      <c r="C4285" s="13" t="n">
        <v>6513000166</v>
      </c>
      <c r="D4285" s="13" t="inlineStr">
        <is>
          <t>6513000166</t>
        </is>
      </c>
      <c r="E4285" s="13" t="inlineStr">
        <is>
          <t>ЮЛ РФ</t>
        </is>
      </c>
      <c r="F4285" s="13" t="n"/>
      <c r="G4285" s="14" t="n"/>
      <c r="H4285" s="14" t="n"/>
      <c r="I4285" s="14" t="n"/>
      <c r="J4285" s="14" t="n"/>
      <c r="K4285" s="53" t="inlineStr"/>
      <c r="L4285" s="53" t="inlineStr">
        <is>
          <t>Не определено</t>
        </is>
      </c>
      <c r="M4285" s="53" t="inlineStr"/>
      <c r="N4285" s="54" t="inlineStr"/>
      <c r="O4285" s="55" t="inlineStr"/>
      <c r="P4285" s="16" t="inlineStr">
        <is>
          <t>Требует обогащения</t>
        </is>
      </c>
      <c r="Q4285" s="16">
        <f>HYPERLINK("https://pb.nalog.ru/search.html?query=6513000166","ФНС: проверить")</f>
        <v/>
      </c>
      <c r="R4285" s="16">
        <f>HYPERLINK("https://checko.ru/search?query=3801001629","Чекко: проверить")</f>
        <v/>
      </c>
      <c r="S4285" t="n">
        <v>1</v>
      </c>
      <c r="T4285" s="35" t="inlineStr">
        <is>
          <t>4 — Не обогащён</t>
        </is>
      </c>
      <c r="U4285" s="35" t="inlineStr">
        <is>
          <t>Нет ОКВЭД/ССЧР</t>
        </is>
      </c>
      <c r="V4285" s="35" t="inlineStr">
        <is>
          <t>Не определено</t>
        </is>
      </c>
      <c r="W4285" s="35" t="inlineStr"/>
      <c r="X4285" s="35" t="inlineStr"/>
    </row>
    <row r="4286" ht="41.25" customHeight="1" s="24">
      <c r="A4286" s="13" t="n">
        <v>5000084775</v>
      </c>
      <c r="B4286" s="13" t="inlineStr">
        <is>
          <t>Муниципальное бюджетное дошкольное образовательное учреждение детский сад № 7 «Островок» пгт. Ноглики</t>
        </is>
      </c>
      <c r="C4286" s="13" t="n">
        <v>6513002999</v>
      </c>
      <c r="D4286" s="13" t="inlineStr">
        <is>
          <t>6513002999</t>
        </is>
      </c>
      <c r="E4286" s="13" t="inlineStr">
        <is>
          <t>ЮЛ РФ</t>
        </is>
      </c>
      <c r="F4286" s="13" t="n"/>
      <c r="G4286" s="14" t="n"/>
      <c r="H4286" s="14" t="n"/>
      <c r="I4286" s="14" t="n"/>
      <c r="J4286" s="14" t="n"/>
      <c r="K4286" s="53" t="inlineStr"/>
      <c r="L4286" s="53" t="inlineStr">
        <is>
          <t>Не определено</t>
        </is>
      </c>
      <c r="M4286" s="53" t="inlineStr"/>
      <c r="N4286" s="54" t="inlineStr"/>
      <c r="O4286" s="55" t="inlineStr"/>
      <c r="P4286" s="16" t="inlineStr">
        <is>
          <t>Требует обогащения</t>
        </is>
      </c>
      <c r="Q4286" s="16">
        <f>HYPERLINK("https://pb.nalog.ru/search.html?query=6513002999","ФНС: проверить")</f>
        <v/>
      </c>
      <c r="R4286" s="16">
        <f>HYPERLINK("https://checko.ru/search?query=3801001629","Чекко: проверить")</f>
        <v/>
      </c>
      <c r="S4286" t="n">
        <v>1</v>
      </c>
      <c r="T4286" s="35" t="inlineStr">
        <is>
          <t>4 — Не обогащён</t>
        </is>
      </c>
      <c r="U4286" s="35" t="inlineStr">
        <is>
          <t>Нет ОКВЭД/ССЧР</t>
        </is>
      </c>
      <c r="V4286" s="35" t="inlineStr">
        <is>
          <t>Не определено</t>
        </is>
      </c>
      <c r="W4286" s="35" t="inlineStr"/>
      <c r="X4286" s="35" t="inlineStr"/>
    </row>
    <row r="4287" ht="41.25" customHeight="1" s="24">
      <c r="A4287" s="13" t="n">
        <v>5000084776</v>
      </c>
      <c r="B4287" s="13" t="inlineStr">
        <is>
          <t>Муниципальное бюджетное дошкольное образовательное учреждение детский сад № 9 «Березка» пгт. Ноглики</t>
        </is>
      </c>
      <c r="C4287" s="13" t="n">
        <v>6513000021</v>
      </c>
      <c r="D4287" s="13" t="inlineStr">
        <is>
          <t>6513000021</t>
        </is>
      </c>
      <c r="E4287" s="13" t="inlineStr">
        <is>
          <t>ЮЛ РФ</t>
        </is>
      </c>
      <c r="F4287" s="13" t="n"/>
      <c r="G4287" s="14" t="n"/>
      <c r="H4287" s="14" t="n"/>
      <c r="I4287" s="14" t="n"/>
      <c r="J4287" s="14" t="n"/>
      <c r="K4287" s="53" t="inlineStr"/>
      <c r="L4287" s="53" t="inlineStr">
        <is>
          <t>Не определено</t>
        </is>
      </c>
      <c r="M4287" s="53" t="inlineStr"/>
      <c r="N4287" s="54" t="inlineStr"/>
      <c r="O4287" s="55" t="inlineStr"/>
      <c r="P4287" s="16" t="inlineStr">
        <is>
          <t>Требует обогащения</t>
        </is>
      </c>
      <c r="Q4287" s="16">
        <f>HYPERLINK("https://pb.nalog.ru/search.html?query=6513000021","ФНС: проверить")</f>
        <v/>
      </c>
      <c r="R4287" s="16">
        <f>HYPERLINK("https://checko.ru/search?query=3801001629","Чекко: проверить")</f>
        <v/>
      </c>
      <c r="S4287" t="n">
        <v>1</v>
      </c>
      <c r="T4287" s="35" t="inlineStr">
        <is>
          <t>4 — Не обогащён</t>
        </is>
      </c>
      <c r="U4287" s="35" t="inlineStr">
        <is>
          <t>Нет ОКВЭД/ССЧР</t>
        </is>
      </c>
      <c r="V4287" s="35" t="inlineStr">
        <is>
          <t>Не определено</t>
        </is>
      </c>
      <c r="W4287" s="35" t="inlineStr"/>
      <c r="X4287" s="35" t="inlineStr"/>
    </row>
    <row r="4288" ht="41.25" customHeight="1" s="24">
      <c r="A4288" s="13" t="n">
        <v>5000084777</v>
      </c>
      <c r="B4288" s="13" t="inlineStr">
        <is>
          <t>Муниципальное бюджетное дошкольное образовательное учреждение детский сад № 11 «Сказка» пгт. Ноглики</t>
        </is>
      </c>
      <c r="C4288" s="13" t="n">
        <v>6513000134</v>
      </c>
      <c r="D4288" s="13" t="inlineStr">
        <is>
          <t>6513000134</t>
        </is>
      </c>
      <c r="E4288" s="13" t="inlineStr">
        <is>
          <t>ЮЛ РФ</t>
        </is>
      </c>
      <c r="F4288" s="13" t="n"/>
      <c r="G4288" s="14" t="n"/>
      <c r="H4288" s="14" t="n"/>
      <c r="I4288" s="14" t="n"/>
      <c r="J4288" s="14" t="n"/>
      <c r="K4288" s="53" t="inlineStr"/>
      <c r="L4288" s="53" t="inlineStr">
        <is>
          <t>Не определено</t>
        </is>
      </c>
      <c r="M4288" s="53" t="inlineStr"/>
      <c r="N4288" s="54" t="inlineStr"/>
      <c r="O4288" s="55" t="inlineStr"/>
      <c r="P4288" s="16" t="inlineStr">
        <is>
          <t>Требует обогащения</t>
        </is>
      </c>
      <c r="Q4288" s="16">
        <f>HYPERLINK("https://pb.nalog.ru/search.html?query=6513000134","ФНС: проверить")</f>
        <v/>
      </c>
      <c r="R4288" s="16">
        <f>HYPERLINK("https://checko.ru/search?query=3801001629","Чекко: проверить")</f>
        <v/>
      </c>
      <c r="S4288" t="n">
        <v>1</v>
      </c>
      <c r="T4288" s="35" t="inlineStr">
        <is>
          <t>4 — Не обогащён</t>
        </is>
      </c>
      <c r="U4288" s="35" t="inlineStr">
        <is>
          <t>Нет ОКВЭД/ССЧР</t>
        </is>
      </c>
      <c r="V4288" s="35" t="inlineStr">
        <is>
          <t>Не определено</t>
        </is>
      </c>
      <c r="W4288" s="35" t="inlineStr"/>
      <c r="X4288" s="35" t="inlineStr"/>
    </row>
    <row r="4289" ht="41.25" customHeight="1" s="24">
      <c r="A4289" s="13" t="n">
        <v>5000084778</v>
      </c>
      <c r="B4289" s="13" t="inlineStr">
        <is>
          <t>Муниципальное бюджетное образовательное учреждение дополнительного образования центр творчества и воспитания п. Ноглики</t>
        </is>
      </c>
      <c r="C4289" s="13" t="n">
        <v>6513000141</v>
      </c>
      <c r="D4289" s="13" t="inlineStr">
        <is>
          <t>6513000141</t>
        </is>
      </c>
      <c r="E4289" s="13" t="inlineStr">
        <is>
          <t>ЮЛ РФ</t>
        </is>
      </c>
      <c r="F4289" s="13" t="n"/>
      <c r="G4289" s="14" t="n"/>
      <c r="H4289" s="14" t="n"/>
      <c r="I4289" s="14" t="n"/>
      <c r="J4289" s="14" t="n"/>
      <c r="K4289" s="53" t="inlineStr"/>
      <c r="L4289" s="53" t="inlineStr">
        <is>
          <t>Не определено</t>
        </is>
      </c>
      <c r="M4289" s="53" t="inlineStr"/>
      <c r="N4289" s="54" t="inlineStr"/>
      <c r="O4289" s="55" t="inlineStr"/>
      <c r="P4289" s="16" t="inlineStr">
        <is>
          <t>Требует обогащения</t>
        </is>
      </c>
      <c r="Q4289" s="16">
        <f>HYPERLINK("https://pb.nalog.ru/search.html?query=6513000141","ФНС: проверить")</f>
        <v/>
      </c>
      <c r="R4289" s="16">
        <f>HYPERLINK("https://checko.ru/search?query=3801001629","Чекко: проверить")</f>
        <v/>
      </c>
      <c r="S4289" t="n">
        <v>1</v>
      </c>
      <c r="T4289" s="35" t="inlineStr">
        <is>
          <t>4 — Не обогащён</t>
        </is>
      </c>
      <c r="U4289" s="35" t="inlineStr">
        <is>
          <t>Нет ОКВЭД/ССЧР</t>
        </is>
      </c>
      <c r="V4289" s="35" t="inlineStr">
        <is>
          <t>Не определено</t>
        </is>
      </c>
      <c r="W4289" s="35" t="inlineStr"/>
      <c r="X4289" s="35" t="inlineStr"/>
    </row>
    <row r="4290" ht="41.25" customHeight="1" s="24">
      <c r="A4290" s="13" t="n">
        <v>5000084779</v>
      </c>
      <c r="B4290" s="13" t="inlineStr">
        <is>
          <t>Муниципальное бюджетное учреждение культуры Ногликский муниципальный краеведческий музей</t>
        </is>
      </c>
      <c r="C4290" s="13" t="n">
        <v>6513000286</v>
      </c>
      <c r="D4290" s="13" t="inlineStr">
        <is>
          <t>6513000286</t>
        </is>
      </c>
      <c r="E4290" s="13" t="inlineStr">
        <is>
          <t>ЮЛ РФ</t>
        </is>
      </c>
      <c r="F4290" s="13" t="n"/>
      <c r="G4290" s="14" t="n"/>
      <c r="H4290" s="14" t="n"/>
      <c r="I4290" s="14" t="n"/>
      <c r="J4290" s="14" t="n"/>
      <c r="K4290" s="53" t="inlineStr"/>
      <c r="L4290" s="53" t="inlineStr">
        <is>
          <t>Не определено</t>
        </is>
      </c>
      <c r="M4290" s="53" t="inlineStr"/>
      <c r="N4290" s="54" t="inlineStr"/>
      <c r="O4290" s="55" t="inlineStr"/>
      <c r="P4290" s="16" t="inlineStr">
        <is>
          <t>Требует обогащения</t>
        </is>
      </c>
      <c r="Q4290" s="16">
        <f>HYPERLINK("https://pb.nalog.ru/search.html?query=6513000286","ФНС: проверить")</f>
        <v/>
      </c>
      <c r="R4290" s="16">
        <f>HYPERLINK("https://checko.ru/search?query=3801001629","Чекко: проверить")</f>
        <v/>
      </c>
      <c r="S4290" t="n">
        <v>1</v>
      </c>
      <c r="T4290" s="35" t="inlineStr">
        <is>
          <t>4 — Не обогащён</t>
        </is>
      </c>
      <c r="U4290" s="35" t="inlineStr">
        <is>
          <t>Нет ОКВЭД/ССЧР</t>
        </is>
      </c>
      <c r="V4290" s="35" t="inlineStr">
        <is>
          <t>Не определено</t>
        </is>
      </c>
      <c r="W4290" s="35" t="inlineStr"/>
      <c r="X4290" s="35" t="inlineStr"/>
    </row>
    <row r="4291" ht="27.75" customHeight="1" s="24">
      <c r="A4291" s="13" t="n">
        <v>5000084780</v>
      </c>
      <c r="B4291" s="13" t="inlineStr">
        <is>
          <t>Муниципальное бюджетное учреждение культуры Районный центр досуга</t>
        </is>
      </c>
      <c r="C4291" s="13" t="n">
        <v>6513000046</v>
      </c>
      <c r="D4291" s="13" t="inlineStr">
        <is>
          <t>6513000046</t>
        </is>
      </c>
      <c r="E4291" s="13" t="inlineStr">
        <is>
          <t>ЮЛ РФ</t>
        </is>
      </c>
      <c r="F4291" s="13" t="n"/>
      <c r="G4291" s="14" t="n"/>
      <c r="H4291" s="14" t="n"/>
      <c r="I4291" s="14" t="n"/>
      <c r="J4291" s="14" t="n"/>
      <c r="K4291" s="53" t="inlineStr"/>
      <c r="L4291" s="53" t="inlineStr">
        <is>
          <t>Не определено</t>
        </is>
      </c>
      <c r="M4291" s="53" t="inlineStr"/>
      <c r="N4291" s="54" t="inlineStr"/>
      <c r="O4291" s="55" t="inlineStr"/>
      <c r="P4291" s="16" t="inlineStr">
        <is>
          <t>Требует обогащения</t>
        </is>
      </c>
      <c r="Q4291" s="16">
        <f>HYPERLINK("https://pb.nalog.ru/search.html?query=6513000046","ФНС: проверить")</f>
        <v/>
      </c>
      <c r="R4291" s="16">
        <f>HYPERLINK("https://checko.ru/search?query=3801001629","Чекко: проверить")</f>
        <v/>
      </c>
      <c r="S4291" t="n">
        <v>1</v>
      </c>
      <c r="T4291" s="35" t="inlineStr">
        <is>
          <t>4 — Не обогащён</t>
        </is>
      </c>
      <c r="U4291" s="35" t="inlineStr">
        <is>
          <t>Нет ОКВЭД/ССЧР</t>
        </is>
      </c>
      <c r="V4291" s="35" t="inlineStr">
        <is>
          <t>Не определено</t>
        </is>
      </c>
      <c r="W4291" s="35" t="inlineStr"/>
      <c r="X4291" s="35" t="inlineStr"/>
    </row>
    <row r="4292" ht="41.25" customHeight="1" s="24">
      <c r="A4292" s="13" t="n">
        <v>5000084781</v>
      </c>
      <c r="B4292" s="13" t="inlineStr">
        <is>
          <t>Муниципальное бюджетное учреждение дополнительного образования детей Детская школа искусств</t>
        </is>
      </c>
      <c r="C4292" s="13" t="n">
        <v>6513000053</v>
      </c>
      <c r="D4292" s="13" t="inlineStr">
        <is>
          <t>6513000053</t>
        </is>
      </c>
      <c r="E4292" s="13" t="inlineStr">
        <is>
          <t>ЮЛ РФ</t>
        </is>
      </c>
      <c r="F4292" s="13" t="n"/>
      <c r="G4292" s="14" t="n"/>
      <c r="H4292" s="14" t="n"/>
      <c r="I4292" s="14" t="n"/>
      <c r="J4292" s="14" t="n"/>
      <c r="K4292" s="53" t="inlineStr"/>
      <c r="L4292" s="53" t="inlineStr">
        <is>
          <t>Не определено</t>
        </is>
      </c>
      <c r="M4292" s="53" t="inlineStr"/>
      <c r="N4292" s="54" t="inlineStr"/>
      <c r="O4292" s="55" t="inlineStr"/>
      <c r="P4292" s="16" t="inlineStr">
        <is>
          <t>Требует обогащения</t>
        </is>
      </c>
      <c r="Q4292" s="16">
        <f>HYPERLINK("https://pb.nalog.ru/search.html?query=6513000053","ФНС: проверить")</f>
        <v/>
      </c>
      <c r="R4292" s="16">
        <f>HYPERLINK("https://checko.ru/search?query=3801001629","Чекко: проверить")</f>
        <v/>
      </c>
      <c r="S4292" t="n">
        <v>1</v>
      </c>
      <c r="T4292" s="35" t="inlineStr">
        <is>
          <t>4 — Не обогащён</t>
        </is>
      </c>
      <c r="U4292" s="35" t="inlineStr">
        <is>
          <t>Нет ОКВЭД/ССЧР</t>
        </is>
      </c>
      <c r="V4292" s="35" t="inlineStr">
        <is>
          <t>Не определено</t>
        </is>
      </c>
      <c r="W4292" s="35" t="inlineStr"/>
      <c r="X4292" s="35" t="inlineStr"/>
    </row>
    <row r="4293" ht="41.25" customHeight="1" s="24">
      <c r="A4293" s="13" t="n">
        <v>5000084782</v>
      </c>
      <c r="B4293" s="13" t="inlineStr">
        <is>
          <t>Муниципальное бюджетное учреждение культуры Ногликская централизованная библиотечная система</t>
        </is>
      </c>
      <c r="C4293" s="13" t="n">
        <v>6513000039</v>
      </c>
      <c r="D4293" s="13" t="inlineStr">
        <is>
          <t>6513000039</t>
        </is>
      </c>
      <c r="E4293" s="13" t="inlineStr">
        <is>
          <t>ЮЛ РФ</t>
        </is>
      </c>
      <c r="F4293" s="13" t="n"/>
      <c r="G4293" s="14" t="n"/>
      <c r="H4293" s="14" t="n"/>
      <c r="I4293" s="14" t="n"/>
      <c r="J4293" s="14" t="n"/>
      <c r="K4293" s="53" t="inlineStr"/>
      <c r="L4293" s="53" t="inlineStr">
        <is>
          <t>Не определено</t>
        </is>
      </c>
      <c r="M4293" s="53" t="inlineStr"/>
      <c r="N4293" s="54" t="inlineStr"/>
      <c r="O4293" s="55" t="inlineStr"/>
      <c r="P4293" s="16" t="inlineStr">
        <is>
          <t>Требует обогащения</t>
        </is>
      </c>
      <c r="Q4293" s="16">
        <f>HYPERLINK("https://pb.nalog.ru/search.html?query=6513000039","ФНС: проверить")</f>
        <v/>
      </c>
      <c r="R4293" s="16">
        <f>HYPERLINK("https://checko.ru/search?query=3801001629","Чекко: проверить")</f>
        <v/>
      </c>
      <c r="S4293" t="n">
        <v>1</v>
      </c>
      <c r="T4293" s="35" t="inlineStr">
        <is>
          <t>4 — Не обогащён</t>
        </is>
      </c>
      <c r="U4293" s="35" t="inlineStr">
        <is>
          <t>Нет ОКВЭД/ССЧР</t>
        </is>
      </c>
      <c r="V4293" s="35" t="inlineStr">
        <is>
          <t>Не определено</t>
        </is>
      </c>
      <c r="W4293" s="35" t="inlineStr"/>
      <c r="X4293" s="35" t="inlineStr"/>
    </row>
    <row r="4294" ht="27.75" customHeight="1" s="24">
      <c r="A4294" s="13" t="n">
        <v>5000084783</v>
      </c>
      <c r="B4294" s="13" t="inlineStr">
        <is>
          <t>Муниципальное бюджетное учреждение культуры Сельский дом культуры с. Ныш</t>
        </is>
      </c>
      <c r="C4294" s="13" t="n">
        <v>6513000624</v>
      </c>
      <c r="D4294" s="13" t="inlineStr">
        <is>
          <t>6513000624</t>
        </is>
      </c>
      <c r="E4294" s="13" t="inlineStr">
        <is>
          <t>ЮЛ РФ</t>
        </is>
      </c>
      <c r="F4294" s="13" t="n"/>
      <c r="G4294" s="14" t="n"/>
      <c r="H4294" s="14" t="n"/>
      <c r="I4294" s="14" t="n"/>
      <c r="J4294" s="14" t="n"/>
      <c r="K4294" s="53" t="inlineStr"/>
      <c r="L4294" s="53" t="inlineStr">
        <is>
          <t>Не определено</t>
        </is>
      </c>
      <c r="M4294" s="53" t="inlineStr"/>
      <c r="N4294" s="54" t="inlineStr"/>
      <c r="O4294" s="55" t="inlineStr"/>
      <c r="P4294" s="16" t="inlineStr">
        <is>
          <t>Требует обогащения</t>
        </is>
      </c>
      <c r="Q4294" s="16">
        <f>HYPERLINK("https://pb.nalog.ru/search.html?query=6513000624","ФНС: проверить")</f>
        <v/>
      </c>
      <c r="R4294" s="16">
        <f>HYPERLINK("https://checko.ru/search?query=3801001629","Чекко: проверить")</f>
        <v/>
      </c>
      <c r="S4294" t="n">
        <v>1</v>
      </c>
      <c r="T4294" s="35" t="inlineStr">
        <is>
          <t>4 — Не обогащён</t>
        </is>
      </c>
      <c r="U4294" s="35" t="inlineStr">
        <is>
          <t>Нет ОКВЭД/ССЧР</t>
        </is>
      </c>
      <c r="V4294" s="35" t="inlineStr">
        <is>
          <t>Не определено</t>
        </is>
      </c>
      <c r="W4294" s="35" t="inlineStr"/>
      <c r="X4294" s="35" t="inlineStr"/>
    </row>
    <row r="4295" ht="27.75" customHeight="1" s="24">
      <c r="A4295" s="13" t="n">
        <v>5000084784</v>
      </c>
      <c r="B4295" s="13" t="inlineStr">
        <is>
          <t>Муниципальное бюджетное учреждение культуры Сельский дом культуры с. Вал</t>
        </is>
      </c>
      <c r="C4295" s="13" t="n">
        <v>6513000631</v>
      </c>
      <c r="D4295" s="13" t="inlineStr">
        <is>
          <t>6513000631</t>
        </is>
      </c>
      <c r="E4295" s="13" t="inlineStr">
        <is>
          <t>ЮЛ РФ</t>
        </is>
      </c>
      <c r="F4295" s="13" t="n"/>
      <c r="G4295" s="14" t="n"/>
      <c r="H4295" s="14" t="n"/>
      <c r="I4295" s="14" t="n"/>
      <c r="J4295" s="14" t="n"/>
      <c r="K4295" s="53" t="inlineStr"/>
      <c r="L4295" s="53" t="inlineStr">
        <is>
          <t>Не определено</t>
        </is>
      </c>
      <c r="M4295" s="53" t="inlineStr"/>
      <c r="N4295" s="54" t="inlineStr"/>
      <c r="O4295" s="55" t="inlineStr"/>
      <c r="P4295" s="16" t="inlineStr">
        <is>
          <t>Требует обогащения</t>
        </is>
      </c>
      <c r="Q4295" s="16">
        <f>HYPERLINK("https://pb.nalog.ru/search.html?query=6513000631","ФНС: проверить")</f>
        <v/>
      </c>
      <c r="R4295" s="16">
        <f>HYPERLINK("https://checko.ru/search?query=3801001629","Чекко: проверить")</f>
        <v/>
      </c>
      <c r="S4295" t="n">
        <v>1</v>
      </c>
      <c r="T4295" s="35" t="inlineStr">
        <is>
          <t>4 — Не обогащён</t>
        </is>
      </c>
      <c r="U4295" s="35" t="inlineStr">
        <is>
          <t>Нет ОКВЭД/ССЧР</t>
        </is>
      </c>
      <c r="V4295" s="35" t="inlineStr">
        <is>
          <t>Не определено</t>
        </is>
      </c>
      <c r="W4295" s="35" t="inlineStr"/>
      <c r="X4295" s="35" t="inlineStr"/>
    </row>
    <row r="4296" ht="41.25" customHeight="1" s="24">
      <c r="A4296" s="13" t="n">
        <v>5000084785</v>
      </c>
      <c r="B4296" s="13" t="inlineStr">
        <is>
          <t>Муниципальное бюджетное учреждение дополнительного образования детей детско-юношеская спортивная школа п. Ноглики</t>
        </is>
      </c>
      <c r="C4296" s="13" t="n">
        <v>6513000328</v>
      </c>
      <c r="D4296" s="13" t="inlineStr">
        <is>
          <t>6513000328</t>
        </is>
      </c>
      <c r="E4296" s="13" t="inlineStr">
        <is>
          <t>ЮЛ РФ</t>
        </is>
      </c>
      <c r="F4296" s="13" t="n"/>
      <c r="G4296" s="14" t="n"/>
      <c r="H4296" s="14" t="n"/>
      <c r="I4296" s="14" t="n"/>
      <c r="J4296" s="14" t="n"/>
      <c r="K4296" s="53" t="inlineStr"/>
      <c r="L4296" s="53" t="inlineStr">
        <is>
          <t>Не определено</t>
        </is>
      </c>
      <c r="M4296" s="53" t="inlineStr"/>
      <c r="N4296" s="54" t="inlineStr"/>
      <c r="O4296" s="55" t="inlineStr"/>
      <c r="P4296" s="16" t="inlineStr">
        <is>
          <t>Требует обогащения</t>
        </is>
      </c>
      <c r="Q4296" s="16">
        <f>HYPERLINK("https://pb.nalog.ru/search.html?query=6513000328","ФНС: проверить")</f>
        <v/>
      </c>
      <c r="R4296" s="16">
        <f>HYPERLINK("https://checko.ru/search?query=3801001629","Чекко: проверить")</f>
        <v/>
      </c>
      <c r="S4296" t="n">
        <v>1</v>
      </c>
      <c r="T4296" s="35" t="inlineStr">
        <is>
          <t>4 — Не обогащён</t>
        </is>
      </c>
      <c r="U4296" s="35" t="inlineStr">
        <is>
          <t>Нет ОКВЭД/ССЧР</t>
        </is>
      </c>
      <c r="V4296" s="35" t="inlineStr">
        <is>
          <t>Не определено</t>
        </is>
      </c>
      <c r="W4296" s="35" t="inlineStr"/>
      <c r="X4296" s="35" t="inlineStr"/>
    </row>
    <row r="4297" ht="15" customHeight="1" s="24">
      <c r="A4297" s="13" t="n">
        <v>5000089251</v>
      </c>
      <c r="B4297" s="13" t="inlineStr">
        <is>
          <t>КГОБУ НИКОЛАЕВСКАЯ КШИ</t>
        </is>
      </c>
      <c r="C4297" s="13" t="n">
        <v>2524005708</v>
      </c>
      <c r="D4297" s="13" t="inlineStr">
        <is>
          <t>2524005708</t>
        </is>
      </c>
      <c r="E4297" s="13" t="inlineStr">
        <is>
          <t>ЮЛ РФ</t>
        </is>
      </c>
      <c r="F4297" s="13" t="n"/>
      <c r="G4297" s="14" t="n"/>
      <c r="H4297" s="14" t="n"/>
      <c r="I4297" s="14" t="n"/>
      <c r="J4297" s="14" t="n"/>
      <c r="K4297" s="53" t="inlineStr"/>
      <c r="L4297" s="53" t="inlineStr">
        <is>
          <t>Не определено</t>
        </is>
      </c>
      <c r="M4297" s="53" t="inlineStr"/>
      <c r="N4297" s="54" t="inlineStr"/>
      <c r="O4297" s="55" t="inlineStr"/>
      <c r="P4297" s="16" t="inlineStr">
        <is>
          <t>Требует обогащения</t>
        </is>
      </c>
      <c r="Q4297" s="16">
        <f>HYPERLINK("https://pb.nalog.ru/search.html?query=2524005708","ФНС: проверить")</f>
        <v/>
      </c>
      <c r="R4297" s="16">
        <f>HYPERLINK("https://checko.ru/search?query=3801001629","Чекко: проверить")</f>
        <v/>
      </c>
      <c r="S4297" t="n">
        <v>1</v>
      </c>
      <c r="T4297" s="35" t="inlineStr">
        <is>
          <t>4 — Не обогащён</t>
        </is>
      </c>
      <c r="U4297" s="35" t="inlineStr">
        <is>
          <t>Нет ОКВЭД/ССЧР</t>
        </is>
      </c>
      <c r="V4297" s="35" t="inlineStr">
        <is>
          <t>Не определено</t>
        </is>
      </c>
      <c r="W4297" s="35" t="inlineStr"/>
      <c r="X4297" s="35" t="inlineStr"/>
    </row>
    <row r="4298" ht="15" customHeight="1" s="24">
      <c r="A4298" s="13" t="n">
        <v>5000085010</v>
      </c>
      <c r="B4298" s="13" t="inlineStr">
        <is>
          <t>ОбКУ "Корсаковский центр занятости населения"</t>
        </is>
      </c>
      <c r="C4298" s="13" t="n">
        <v>6504043526</v>
      </c>
      <c r="D4298" s="13" t="inlineStr">
        <is>
          <t>6504043526</t>
        </is>
      </c>
      <c r="E4298" s="13" t="inlineStr">
        <is>
          <t>ЮЛ РФ</t>
        </is>
      </c>
      <c r="F4298" s="13" t="n"/>
      <c r="G4298" s="14" t="n"/>
      <c r="H4298" s="14" t="n"/>
      <c r="I4298" s="14" t="n"/>
      <c r="J4298" s="14" t="n"/>
      <c r="K4298" s="53" t="inlineStr"/>
      <c r="L4298" s="53" t="inlineStr">
        <is>
          <t>Не определено</t>
        </is>
      </c>
      <c r="M4298" s="53" t="inlineStr"/>
      <c r="N4298" s="54" t="inlineStr"/>
      <c r="O4298" s="55" t="inlineStr"/>
      <c r="P4298" s="16" t="inlineStr">
        <is>
          <t>Требует обогащения</t>
        </is>
      </c>
      <c r="Q4298" s="16">
        <f>HYPERLINK("https://pb.nalog.ru/search.html?query=6504043526","ФНС: проверить")</f>
        <v/>
      </c>
      <c r="R4298" s="16">
        <f>HYPERLINK("https://checko.ru/search?query=3801001629","Чекко: проверить")</f>
        <v/>
      </c>
      <c r="S4298" t="n">
        <v>1</v>
      </c>
      <c r="T4298" s="35" t="inlineStr">
        <is>
          <t>4 — Не обогащён</t>
        </is>
      </c>
      <c r="U4298" s="35" t="inlineStr">
        <is>
          <t>Нет ОКВЭД/ССЧР</t>
        </is>
      </c>
      <c r="V4298" s="35" t="inlineStr">
        <is>
          <t>Не определено</t>
        </is>
      </c>
      <c r="W4298" s="35" t="inlineStr"/>
      <c r="X4298" s="35" t="inlineStr"/>
    </row>
    <row r="4299" ht="15" customHeight="1" s="24">
      <c r="A4299" s="13" t="n">
        <v>5000085012</v>
      </c>
      <c r="B4299" s="13" t="inlineStr">
        <is>
          <t>ОбКУ "Невельский центр занятости населения"</t>
        </is>
      </c>
      <c r="C4299" s="13" t="n">
        <v>6505009461</v>
      </c>
      <c r="D4299" s="13" t="inlineStr">
        <is>
          <t>6505009461</t>
        </is>
      </c>
      <c r="E4299" s="13" t="inlineStr">
        <is>
          <t>ЮЛ РФ</t>
        </is>
      </c>
      <c r="F4299" s="13" t="n"/>
      <c r="G4299" s="14" t="n"/>
      <c r="H4299" s="14" t="n"/>
      <c r="I4299" s="14" t="n"/>
      <c r="J4299" s="14" t="n"/>
      <c r="K4299" s="53" t="inlineStr"/>
      <c r="L4299" s="53" t="inlineStr">
        <is>
          <t>Не определено</t>
        </is>
      </c>
      <c r="M4299" s="53" t="inlineStr"/>
      <c r="N4299" s="54" t="inlineStr"/>
      <c r="O4299" s="55" t="inlineStr"/>
      <c r="P4299" s="16" t="inlineStr">
        <is>
          <t>Требует обогащения</t>
        </is>
      </c>
      <c r="Q4299" s="16">
        <f>HYPERLINK("https://pb.nalog.ru/search.html?query=6505009461","ФНС: проверить")</f>
        <v/>
      </c>
      <c r="R4299" s="16">
        <f>HYPERLINK("https://checko.ru/search?query=3801001629","Чекко: проверить")</f>
        <v/>
      </c>
      <c r="S4299" t="n">
        <v>1</v>
      </c>
      <c r="T4299" s="35" t="inlineStr">
        <is>
          <t>4 — Не обогащён</t>
        </is>
      </c>
      <c r="U4299" s="35" t="inlineStr">
        <is>
          <t>Нет ОКВЭД/ССЧР</t>
        </is>
      </c>
      <c r="V4299" s="35" t="inlineStr">
        <is>
          <t>Не определено</t>
        </is>
      </c>
      <c r="W4299" s="35" t="inlineStr"/>
      <c r="X4299" s="35" t="inlineStr"/>
    </row>
    <row r="4300" ht="27.75" customHeight="1" s="24">
      <c r="A4300" s="13" t="n">
        <v>5000085015</v>
      </c>
      <c r="B4300" s="13" t="inlineStr">
        <is>
          <t>ОбКУ "Александровск-Сахалинский центр занятости населения"</t>
        </is>
      </c>
      <c r="C4300" s="13" t="n">
        <v>6502003951</v>
      </c>
      <c r="D4300" s="13" t="inlineStr">
        <is>
          <t>6502003951</t>
        </is>
      </c>
      <c r="E4300" s="13" t="inlineStr">
        <is>
          <t>ЮЛ РФ</t>
        </is>
      </c>
      <c r="F4300" s="13" t="n"/>
      <c r="G4300" s="14" t="n"/>
      <c r="H4300" s="14" t="n"/>
      <c r="I4300" s="14" t="n"/>
      <c r="J4300" s="14" t="n"/>
      <c r="K4300" s="53" t="inlineStr"/>
      <c r="L4300" s="53" t="inlineStr">
        <is>
          <t>Не определено</t>
        </is>
      </c>
      <c r="M4300" s="53" t="inlineStr"/>
      <c r="N4300" s="54" t="inlineStr"/>
      <c r="O4300" s="55" t="inlineStr"/>
      <c r="P4300" s="16" t="inlineStr">
        <is>
          <t>Требует обогащения</t>
        </is>
      </c>
      <c r="Q4300" s="16">
        <f>HYPERLINK("https://pb.nalog.ru/search.html?query=6502003951","ФНС: проверить")</f>
        <v/>
      </c>
      <c r="R4300" s="16">
        <f>HYPERLINK("https://checko.ru/search?query=3801001629","Чекко: проверить")</f>
        <v/>
      </c>
      <c r="S4300" t="n">
        <v>1</v>
      </c>
      <c r="T4300" s="35" t="inlineStr">
        <is>
          <t>4 — Не обогащён</t>
        </is>
      </c>
      <c r="U4300" s="35" t="inlineStr">
        <is>
          <t>Нет ОКВЭД/ССЧР</t>
        </is>
      </c>
      <c r="V4300" s="35" t="inlineStr">
        <is>
          <t>Не определено</t>
        </is>
      </c>
      <c r="W4300" s="35" t="inlineStr"/>
      <c r="X4300" s="35" t="inlineStr"/>
    </row>
    <row r="4301" ht="15" customHeight="1" s="24">
      <c r="A4301" s="13" t="n">
        <v>5000085017</v>
      </c>
      <c r="B4301" s="13" t="inlineStr">
        <is>
          <t>ОбКУ "Курильский центр занятости населения"</t>
        </is>
      </c>
      <c r="C4301" s="13" t="n">
        <v>6511003845</v>
      </c>
      <c r="D4301" s="13" t="inlineStr">
        <is>
          <t>6511003845</t>
        </is>
      </c>
      <c r="E4301" s="13" t="inlineStr">
        <is>
          <t>ЮЛ РФ</t>
        </is>
      </c>
      <c r="F4301" s="13" t="n"/>
      <c r="G4301" s="14" t="n"/>
      <c r="H4301" s="14" t="n"/>
      <c r="I4301" s="14" t="n"/>
      <c r="J4301" s="14" t="n"/>
      <c r="K4301" s="53" t="inlineStr"/>
      <c r="L4301" s="53" t="inlineStr">
        <is>
          <t>Не определено</t>
        </is>
      </c>
      <c r="M4301" s="53" t="inlineStr"/>
      <c r="N4301" s="54" t="inlineStr"/>
      <c r="O4301" s="55" t="inlineStr"/>
      <c r="P4301" s="16" t="inlineStr">
        <is>
          <t>Требует обогащения</t>
        </is>
      </c>
      <c r="Q4301" s="16">
        <f>HYPERLINK("https://pb.nalog.ru/search.html?query=6511003845","ФНС: проверить")</f>
        <v/>
      </c>
      <c r="R4301" s="16">
        <f>HYPERLINK("https://checko.ru/search?query=3801001629","Чекко: проверить")</f>
        <v/>
      </c>
      <c r="S4301" t="n">
        <v>1</v>
      </c>
      <c r="T4301" s="35" t="inlineStr">
        <is>
          <t>4 — Не обогащён</t>
        </is>
      </c>
      <c r="U4301" s="35" t="inlineStr">
        <is>
          <t>Нет ОКВЭД/ССЧР</t>
        </is>
      </c>
      <c r="V4301" s="35" t="inlineStr">
        <is>
          <t>Не определено</t>
        </is>
      </c>
      <c r="W4301" s="35" t="inlineStr"/>
      <c r="X4301" s="35" t="inlineStr"/>
    </row>
    <row r="4302" ht="15" customHeight="1" s="24">
      <c r="A4302" s="13" t="n">
        <v>5000085022</v>
      </c>
      <c r="B4302" s="13" t="inlineStr">
        <is>
          <t>ОбКУ "Ногликский центр занятости населения"</t>
        </is>
      </c>
      <c r="C4302" s="13" t="n">
        <v>6513000656</v>
      </c>
      <c r="D4302" s="13" t="inlineStr">
        <is>
          <t>6513000656</t>
        </is>
      </c>
      <c r="E4302" s="13" t="inlineStr">
        <is>
          <t>ЮЛ РФ</t>
        </is>
      </c>
      <c r="F4302" s="13" t="n"/>
      <c r="G4302" s="14" t="n"/>
      <c r="H4302" s="14" t="n"/>
      <c r="I4302" s="14" t="n"/>
      <c r="J4302" s="14" t="n"/>
      <c r="K4302" s="53" t="inlineStr"/>
      <c r="L4302" s="53" t="inlineStr">
        <is>
          <t>Не определено</t>
        </is>
      </c>
      <c r="M4302" s="53" t="inlineStr"/>
      <c r="N4302" s="54" t="inlineStr"/>
      <c r="O4302" s="55" t="inlineStr"/>
      <c r="P4302" s="16" t="inlineStr">
        <is>
          <t>Требует обогащения</t>
        </is>
      </c>
      <c r="Q4302" s="16">
        <f>HYPERLINK("https://pb.nalog.ru/search.html?query=6513000656","ФНС: проверить")</f>
        <v/>
      </c>
      <c r="R4302" s="16">
        <f>HYPERLINK("https://checko.ru/search?query=3801001629","Чекко: проверить")</f>
        <v/>
      </c>
      <c r="S4302" t="n">
        <v>1</v>
      </c>
      <c r="T4302" s="35" t="inlineStr">
        <is>
          <t>4 — Не обогащён</t>
        </is>
      </c>
      <c r="U4302" s="35" t="inlineStr">
        <is>
          <t>Нет ОКВЭД/ССЧР</t>
        </is>
      </c>
      <c r="V4302" s="35" t="inlineStr">
        <is>
          <t>Не определено</t>
        </is>
      </c>
      <c r="W4302" s="35" t="inlineStr"/>
      <c r="X4302" s="35" t="inlineStr"/>
    </row>
    <row r="4303" ht="15" customHeight="1" s="24">
      <c r="A4303" s="13" t="n">
        <v>5000107365</v>
      </c>
      <c r="B4303" s="13" t="inlineStr">
        <is>
          <t>ГБПОУ СПЦ № 3</t>
        </is>
      </c>
      <c r="C4303" s="13" t="n">
        <v>6507001122</v>
      </c>
      <c r="D4303" s="13" t="inlineStr">
        <is>
          <t>6507001122</t>
        </is>
      </c>
      <c r="E4303" s="13" t="inlineStr">
        <is>
          <t>ЮЛ РФ</t>
        </is>
      </c>
      <c r="F4303" s="13" t="n"/>
      <c r="G4303" s="14" t="n"/>
      <c r="H4303" s="14" t="n"/>
      <c r="I4303" s="14" t="n"/>
      <c r="J4303" s="14" t="n"/>
      <c r="K4303" s="53" t="inlineStr"/>
      <c r="L4303" s="53" t="inlineStr">
        <is>
          <t>Не определено</t>
        </is>
      </c>
      <c r="M4303" s="53" t="inlineStr"/>
      <c r="N4303" s="54" t="inlineStr"/>
      <c r="O4303" s="55" t="inlineStr"/>
      <c r="P4303" s="16" t="inlineStr">
        <is>
          <t>Требует обогащения</t>
        </is>
      </c>
      <c r="Q4303" s="16">
        <f>HYPERLINK("https://pb.nalog.ru/search.html?query=6507001122","ФНС: проверить")</f>
        <v/>
      </c>
      <c r="R4303" s="16">
        <f>HYPERLINK("https://checko.ru/search?query=3801001629","Чекко: проверить")</f>
        <v/>
      </c>
      <c r="S4303" t="n">
        <v>1</v>
      </c>
      <c r="T4303" s="35" t="inlineStr">
        <is>
          <t>4 — Не обогащён</t>
        </is>
      </c>
      <c r="U4303" s="35" t="inlineStr">
        <is>
          <t>Нет ОКВЭД/ССЧР</t>
        </is>
      </c>
      <c r="V4303" s="35" t="inlineStr">
        <is>
          <t>Не определено</t>
        </is>
      </c>
      <c r="W4303" s="35" t="inlineStr"/>
      <c r="X4303" s="35" t="inlineStr"/>
    </row>
    <row r="4304" ht="27.75" customHeight="1" s="24">
      <c r="A4304" s="13" t="n">
        <v>5000018704</v>
      </c>
      <c r="B4304" s="13" t="inlineStr">
        <is>
          <t>Департамент городского хозяйства администрации города Южно-Сахалинска</t>
        </is>
      </c>
      <c r="C4304" s="13" t="n">
        <v>6501172040</v>
      </c>
      <c r="D4304" s="13" t="inlineStr">
        <is>
          <t>6501172040</t>
        </is>
      </c>
      <c r="E4304" s="13" t="inlineStr">
        <is>
          <t>ЮЛ РФ</t>
        </is>
      </c>
      <c r="F4304" s="13" t="n"/>
      <c r="G4304" s="14" t="n"/>
      <c r="H4304" s="14" t="n"/>
      <c r="I4304" s="14" t="n"/>
      <c r="J4304" s="14" t="n"/>
      <c r="K4304" s="53" t="inlineStr"/>
      <c r="L4304" s="53" t="inlineStr">
        <is>
          <t>Не определено</t>
        </is>
      </c>
      <c r="M4304" s="53" t="inlineStr"/>
      <c r="N4304" s="54" t="inlineStr"/>
      <c r="O4304" s="55" t="inlineStr"/>
      <c r="P4304" s="16" t="inlineStr">
        <is>
          <t>Требует обогащения</t>
        </is>
      </c>
      <c r="Q4304" s="16">
        <f>HYPERLINK("https://pb.nalog.ru/search.html?query=6501172040","ФНС: проверить")</f>
        <v/>
      </c>
      <c r="R4304" s="16">
        <f>HYPERLINK("https://checko.ru/search?query=3801001629","Чекко: проверить")</f>
        <v/>
      </c>
      <c r="S4304" t="n">
        <v>1</v>
      </c>
      <c r="T4304" s="35" t="inlineStr">
        <is>
          <t>4 — Не обогащён</t>
        </is>
      </c>
      <c r="U4304" s="35" t="inlineStr">
        <is>
          <t>Нет ОКВЭД/ССЧР</t>
        </is>
      </c>
      <c r="V4304" s="35" t="inlineStr">
        <is>
          <t>Не определено</t>
        </is>
      </c>
      <c r="W4304" s="35" t="inlineStr"/>
      <c r="X4304" s="35" t="inlineStr"/>
    </row>
    <row r="4305" ht="27.75" customHeight="1" s="24">
      <c r="A4305" s="13" t="n">
        <v>5000018704</v>
      </c>
      <c r="B4305" s="13" t="inlineStr">
        <is>
          <t>Департамент городского хозяйства администрации города Южно-Сахалинска</t>
        </is>
      </c>
      <c r="C4305" s="13" t="n">
        <v>6501172040</v>
      </c>
      <c r="D4305" s="13" t="inlineStr">
        <is>
          <t>6501172040</t>
        </is>
      </c>
      <c r="E4305" s="13" t="inlineStr">
        <is>
          <t>ЮЛ РФ</t>
        </is>
      </c>
      <c r="F4305" s="13" t="n"/>
      <c r="G4305" s="14" t="n"/>
      <c r="H4305" s="14" t="n"/>
      <c r="I4305" s="14" t="n"/>
      <c r="J4305" s="14" t="n"/>
      <c r="K4305" s="53" t="inlineStr"/>
      <c r="L4305" s="53" t="inlineStr">
        <is>
          <t>Не определено</t>
        </is>
      </c>
      <c r="M4305" s="53" t="inlineStr"/>
      <c r="N4305" s="54" t="inlineStr"/>
      <c r="O4305" s="55" t="inlineStr"/>
      <c r="P4305" s="16" t="inlineStr">
        <is>
          <t>Требует обогащения</t>
        </is>
      </c>
      <c r="Q4305" s="16">
        <f>HYPERLINK("https://pb.nalog.ru/search.html?query=6501172040","ФНС: проверить")</f>
        <v/>
      </c>
      <c r="R4305" s="16">
        <f>HYPERLINK("https://checko.ru/search?query=3801001629","Чекко: проверить")</f>
        <v/>
      </c>
      <c r="S4305" t="n">
        <v>0</v>
      </c>
      <c r="T4305" s="35" t="inlineStr">
        <is>
          <t>4 — Не обогащён</t>
        </is>
      </c>
      <c r="U4305" s="35" t="inlineStr">
        <is>
          <t>Нет ОКВЭД/ССЧР</t>
        </is>
      </c>
      <c r="V4305" s="35" t="inlineStr">
        <is>
          <t>Не определено</t>
        </is>
      </c>
      <c r="W4305" s="35" t="inlineStr"/>
      <c r="X4305" s="35" t="inlineStr"/>
    </row>
    <row r="4306" ht="27.75" customHeight="1" s="24">
      <c r="A4306" s="13" t="n">
        <v>5000076487</v>
      </c>
      <c r="B4306" s="13" t="inlineStr">
        <is>
          <t>МКУ "Центр муниципальных закупок МО "Южно-Курильский городской округ""</t>
        </is>
      </c>
      <c r="C4306" s="13" t="n">
        <v>6518009370</v>
      </c>
      <c r="D4306" s="13" t="inlineStr">
        <is>
          <t>6518009370</t>
        </is>
      </c>
      <c r="E4306" s="13" t="inlineStr">
        <is>
          <t>ЮЛ РФ</t>
        </is>
      </c>
      <c r="F4306" s="13" t="n"/>
      <c r="G4306" s="14" t="n"/>
      <c r="H4306" s="14" t="n"/>
      <c r="I4306" s="14" t="n"/>
      <c r="J4306" s="14" t="n"/>
      <c r="K4306" s="53" t="inlineStr"/>
      <c r="L4306" s="53" t="inlineStr">
        <is>
          <t>Не определено</t>
        </is>
      </c>
      <c r="M4306" s="53" t="inlineStr"/>
      <c r="N4306" s="54" t="inlineStr"/>
      <c r="O4306" s="55" t="inlineStr"/>
      <c r="P4306" s="16" t="inlineStr">
        <is>
          <t>Требует обогащения</t>
        </is>
      </c>
      <c r="Q4306" s="16">
        <f>HYPERLINK("https://pb.nalog.ru/search.html?query=6518009370","ФНС: проверить")</f>
        <v/>
      </c>
      <c r="R4306" s="16">
        <f>HYPERLINK("https://checko.ru/search?query=3801001629","Чекко: проверить")</f>
        <v/>
      </c>
      <c r="S4306" t="n">
        <v>1</v>
      </c>
      <c r="T4306" s="35" t="inlineStr">
        <is>
          <t>4 — Не обогащён</t>
        </is>
      </c>
      <c r="U4306" s="35" t="inlineStr">
        <is>
          <t>Нет ОКВЭД/ССЧР</t>
        </is>
      </c>
      <c r="V4306" s="35" t="inlineStr">
        <is>
          <t>Не определено</t>
        </is>
      </c>
      <c r="W4306" s="35" t="inlineStr"/>
      <c r="X4306" s="35" t="inlineStr"/>
    </row>
    <row r="4307" ht="41.25" customHeight="1" s="24">
      <c r="A4307" s="13" t="n">
        <v>5000076488</v>
      </c>
      <c r="B4307" s="13" t="inlineStr">
        <is>
          <t>МКУ "Единая дежурно-диспетчерская служба муниципального образования "Южно-Курильский городской округ"</t>
        </is>
      </c>
      <c r="C4307" s="13" t="n">
        <v>6518009388</v>
      </c>
      <c r="D4307" s="13" t="inlineStr">
        <is>
          <t>6518009388</t>
        </is>
      </c>
      <c r="E4307" s="13" t="inlineStr">
        <is>
          <t>ЮЛ РФ</t>
        </is>
      </c>
      <c r="F4307" s="13" t="n"/>
      <c r="G4307" s="14" t="n"/>
      <c r="H4307" s="14" t="n"/>
      <c r="I4307" s="14" t="n"/>
      <c r="J4307" s="14" t="n"/>
      <c r="K4307" s="53" t="inlineStr"/>
      <c r="L4307" s="53" t="inlineStr">
        <is>
          <t>Не определено</t>
        </is>
      </c>
      <c r="M4307" s="53" t="inlineStr"/>
      <c r="N4307" s="54" t="inlineStr"/>
      <c r="O4307" s="55" t="inlineStr"/>
      <c r="P4307" s="16" t="inlineStr">
        <is>
          <t>Требует обогащения</t>
        </is>
      </c>
      <c r="Q4307" s="16">
        <f>HYPERLINK("https://pb.nalog.ru/search.html?query=6518009388","ФНС: проверить")</f>
        <v/>
      </c>
      <c r="R4307" s="16">
        <f>HYPERLINK("https://checko.ru/search?query=3801001629","Чекко: проверить")</f>
        <v/>
      </c>
      <c r="S4307" t="n">
        <v>1</v>
      </c>
      <c r="T4307" s="35" t="inlineStr">
        <is>
          <t>4 — Не обогащён</t>
        </is>
      </c>
      <c r="U4307" s="35" t="inlineStr">
        <is>
          <t>Нет ОКВЭД/ССЧР</t>
        </is>
      </c>
      <c r="V4307" s="35" t="inlineStr">
        <is>
          <t>Не определено</t>
        </is>
      </c>
      <c r="W4307" s="35" t="inlineStr"/>
      <c r="X4307" s="35" t="inlineStr"/>
    </row>
    <row r="4308" ht="15" customHeight="1" s="24">
      <c r="A4308" s="13" t="n">
        <v>5000074581</v>
      </c>
      <c r="B4308" s="13" t="inlineStr">
        <is>
          <t>Комитет по культуре Королев</t>
        </is>
      </c>
      <c r="C4308" s="13" t="n">
        <v>5018041141</v>
      </c>
      <c r="D4308" s="13" t="inlineStr">
        <is>
          <t>5018041141</t>
        </is>
      </c>
      <c r="E4308" s="13" t="inlineStr">
        <is>
          <t>ЮЛ РФ</t>
        </is>
      </c>
      <c r="F4308" s="13" t="n"/>
      <c r="G4308" s="14" t="n"/>
      <c r="H4308" s="14" t="n"/>
      <c r="I4308" s="14" t="n"/>
      <c r="J4308" s="14" t="n"/>
      <c r="K4308" s="53" t="inlineStr"/>
      <c r="L4308" s="53" t="inlineStr">
        <is>
          <t>Не определено</t>
        </is>
      </c>
      <c r="M4308" s="53" t="inlineStr"/>
      <c r="N4308" s="54" t="inlineStr"/>
      <c r="O4308" s="55" t="inlineStr"/>
      <c r="P4308" s="16" t="inlineStr">
        <is>
          <t>Требует обогащения</t>
        </is>
      </c>
      <c r="Q4308" s="16">
        <f>HYPERLINK("https://pb.nalog.ru/search.html?query=5018041141","ФНС: проверить")</f>
        <v/>
      </c>
      <c r="R4308" s="16">
        <f>HYPERLINK("https://checko.ru/search?query=3801001629","Чекко: проверить")</f>
        <v/>
      </c>
      <c r="S4308" t="n">
        <v>1</v>
      </c>
      <c r="T4308" s="35" t="inlineStr">
        <is>
          <t>4 — Не обогащён</t>
        </is>
      </c>
      <c r="U4308" s="35" t="inlineStr">
        <is>
          <t>Нет ОКВЭД/ССЧР</t>
        </is>
      </c>
      <c r="V4308" s="35" t="inlineStr">
        <is>
          <t>Не определено</t>
        </is>
      </c>
      <c r="W4308" s="35" t="inlineStr"/>
      <c r="X4308" s="35" t="inlineStr"/>
    </row>
    <row r="4309" ht="15" customHeight="1" s="24">
      <c r="A4309" s="13" t="n">
        <v>5000074583</v>
      </c>
      <c r="B4309" s="13" t="inlineStr">
        <is>
          <t>МБУ ДО ДШИ Королев</t>
        </is>
      </c>
      <c r="C4309" s="13" t="n">
        <v>5018068383</v>
      </c>
      <c r="D4309" s="13" t="inlineStr">
        <is>
          <t>5018068383</t>
        </is>
      </c>
      <c r="E4309" s="13" t="inlineStr">
        <is>
          <t>ЮЛ РФ</t>
        </is>
      </c>
      <c r="F4309" s="13" t="n"/>
      <c r="G4309" s="14" t="n"/>
      <c r="H4309" s="14" t="n"/>
      <c r="I4309" s="14" t="n"/>
      <c r="J4309" s="14" t="n"/>
      <c r="K4309" s="53" t="inlineStr"/>
      <c r="L4309" s="53" t="inlineStr">
        <is>
          <t>Не определено</t>
        </is>
      </c>
      <c r="M4309" s="53" t="inlineStr"/>
      <c r="N4309" s="54" t="inlineStr"/>
      <c r="O4309" s="55" t="inlineStr"/>
      <c r="P4309" s="16" t="inlineStr">
        <is>
          <t>Требует обогащения</t>
        </is>
      </c>
      <c r="Q4309" s="16">
        <f>HYPERLINK("https://pb.nalog.ru/search.html?query=5018068383","ФНС: проверить")</f>
        <v/>
      </c>
      <c r="R4309" s="16">
        <f>HYPERLINK("https://checko.ru/search?query=3801001629","Чекко: проверить")</f>
        <v/>
      </c>
      <c r="S4309" t="n">
        <v>1</v>
      </c>
      <c r="T4309" s="35" t="inlineStr">
        <is>
          <t>4 — Не обогащён</t>
        </is>
      </c>
      <c r="U4309" s="35" t="inlineStr">
        <is>
          <t>Нет ОКВЭД/ССЧР</t>
        </is>
      </c>
      <c r="V4309" s="35" t="inlineStr">
        <is>
          <t>Не определено</t>
        </is>
      </c>
      <c r="W4309" s="35" t="inlineStr"/>
      <c r="X4309" s="35" t="inlineStr"/>
    </row>
    <row r="4310" ht="15" customHeight="1" s="24">
      <c r="A4310" s="13" t="n">
        <v>5000076481</v>
      </c>
      <c r="B4310" s="13" t="inlineStr">
        <is>
          <t>Администрация МО "Южно-Курильский ГО"</t>
        </is>
      </c>
      <c r="C4310" s="13" t="n">
        <v>6518001607</v>
      </c>
      <c r="D4310" s="13" t="inlineStr">
        <is>
          <t>6518001607</t>
        </is>
      </c>
      <c r="E4310" s="13" t="inlineStr">
        <is>
          <t>ЮЛ РФ</t>
        </is>
      </c>
      <c r="F4310" s="13" t="n"/>
      <c r="G4310" s="14" t="n"/>
      <c r="H4310" s="14" t="n"/>
      <c r="I4310" s="14" t="n"/>
      <c r="J4310" s="14" t="n"/>
      <c r="K4310" s="53" t="inlineStr"/>
      <c r="L4310" s="53" t="inlineStr">
        <is>
          <t>Не определено</t>
        </is>
      </c>
      <c r="M4310" s="53" t="inlineStr"/>
      <c r="N4310" s="54" t="inlineStr"/>
      <c r="O4310" s="55" t="inlineStr"/>
      <c r="P4310" s="16" t="inlineStr">
        <is>
          <t>Требует обогащения</t>
        </is>
      </c>
      <c r="Q4310" s="16">
        <f>HYPERLINK("https://pb.nalog.ru/search.html?query=6518001607","ФНС: проверить")</f>
        <v/>
      </c>
      <c r="R4310" s="16">
        <f>HYPERLINK("https://checko.ru/search?query=3801001629","Чекко: проверить")</f>
        <v/>
      </c>
      <c r="S4310" t="n">
        <v>1</v>
      </c>
      <c r="T4310" s="35" t="inlineStr">
        <is>
          <t>4 — Не обогащён</t>
        </is>
      </c>
      <c r="U4310" s="35" t="inlineStr">
        <is>
          <t>Нет ОКВЭД/ССЧР</t>
        </is>
      </c>
      <c r="V4310" s="35" t="inlineStr">
        <is>
          <t>Не определено</t>
        </is>
      </c>
      <c r="W4310" s="35" t="inlineStr"/>
      <c r="X4310" s="35" t="inlineStr"/>
    </row>
    <row r="4311" ht="15" customHeight="1" s="24">
      <c r="A4311" s="13" t="n">
        <v>5000076481</v>
      </c>
      <c r="B4311" s="13" t="inlineStr">
        <is>
          <t>Администрация МО "Южно-Курильский ГО"</t>
        </is>
      </c>
      <c r="C4311" s="13" t="n">
        <v>6518001607</v>
      </c>
      <c r="D4311" s="13" t="inlineStr">
        <is>
          <t>6518001607</t>
        </is>
      </c>
      <c r="E4311" s="13" t="inlineStr">
        <is>
          <t>ЮЛ РФ</t>
        </is>
      </c>
      <c r="F4311" s="13" t="n"/>
      <c r="G4311" s="14" t="n"/>
      <c r="H4311" s="14" t="n"/>
      <c r="I4311" s="14" t="n"/>
      <c r="J4311" s="14" t="n"/>
      <c r="K4311" s="53" t="inlineStr"/>
      <c r="L4311" s="53" t="inlineStr">
        <is>
          <t>Не определено</t>
        </is>
      </c>
      <c r="M4311" s="53" t="inlineStr"/>
      <c r="N4311" s="54" t="inlineStr"/>
      <c r="O4311" s="55" t="inlineStr"/>
      <c r="P4311" s="16" t="inlineStr">
        <is>
          <t>Требует обогащения</t>
        </is>
      </c>
      <c r="Q4311" s="16">
        <f>HYPERLINK("https://pb.nalog.ru/search.html?query=6518001607","ФНС: проверить")</f>
        <v/>
      </c>
      <c r="R4311" s="16">
        <f>HYPERLINK("https://checko.ru/search?query=3801001629","Чекко: проверить")</f>
        <v/>
      </c>
      <c r="S4311" t="n">
        <v>0</v>
      </c>
      <c r="T4311" s="35" t="inlineStr">
        <is>
          <t>4 — Не обогащён</t>
        </is>
      </c>
      <c r="U4311" s="35" t="inlineStr">
        <is>
          <t>Нет ОКВЭД/ССЧР</t>
        </is>
      </c>
      <c r="V4311" s="35" t="inlineStr">
        <is>
          <t>Не определено</t>
        </is>
      </c>
      <c r="W4311" s="35" t="inlineStr"/>
      <c r="X4311" s="35" t="inlineStr"/>
    </row>
    <row r="4312" ht="27.75" customHeight="1" s="24">
      <c r="A4312" s="13" t="n">
        <v>5000076482</v>
      </c>
      <c r="B4312" s="13" t="inlineStr">
        <is>
          <t>Собрание муниципального образования "Южно-Курильский городской округ"</t>
        </is>
      </c>
      <c r="C4312" s="13" t="n">
        <v>6518004566</v>
      </c>
      <c r="D4312" s="13" t="inlineStr">
        <is>
          <t>6518004566</t>
        </is>
      </c>
      <c r="E4312" s="13" t="inlineStr">
        <is>
          <t>ЮЛ РФ</t>
        </is>
      </c>
      <c r="F4312" s="13" t="n"/>
      <c r="G4312" s="14" t="n"/>
      <c r="H4312" s="14" t="n"/>
      <c r="I4312" s="14" t="n"/>
      <c r="J4312" s="14" t="n"/>
      <c r="K4312" s="53" t="inlineStr"/>
      <c r="L4312" s="53" t="inlineStr">
        <is>
          <t>Не определено</t>
        </is>
      </c>
      <c r="M4312" s="53" t="inlineStr"/>
      <c r="N4312" s="54" t="inlineStr"/>
      <c r="O4312" s="55" t="inlineStr"/>
      <c r="P4312" s="16" t="inlineStr">
        <is>
          <t>Требует обогащения</t>
        </is>
      </c>
      <c r="Q4312" s="16">
        <f>HYPERLINK("https://pb.nalog.ru/search.html?query=6518004566","ФНС: проверить")</f>
        <v/>
      </c>
      <c r="R4312" s="16">
        <f>HYPERLINK("https://checko.ru/search?query=3801001629","Чекко: проверить")</f>
        <v/>
      </c>
      <c r="S4312" t="n">
        <v>1</v>
      </c>
      <c r="T4312" s="35" t="inlineStr">
        <is>
          <t>4 — Не обогащён</t>
        </is>
      </c>
      <c r="U4312" s="35" t="inlineStr">
        <is>
          <t>Нет ОКВЭД/ССЧР</t>
        </is>
      </c>
      <c r="V4312" s="35" t="inlineStr">
        <is>
          <t>Не определено</t>
        </is>
      </c>
      <c r="W4312" s="35" t="inlineStr"/>
      <c r="X4312" s="35" t="inlineStr"/>
    </row>
    <row r="4313" ht="27.75" customHeight="1" s="24">
      <c r="A4313" s="13" t="n">
        <v>5000076483</v>
      </c>
      <c r="B4313" s="13" t="inlineStr">
        <is>
          <t>Контрольно-счетная палата муниципального образования "Южно-Курильский городской округ"</t>
        </is>
      </c>
      <c r="C4313" s="13" t="n">
        <v>6518008747</v>
      </c>
      <c r="D4313" s="13" t="inlineStr">
        <is>
          <t>6518008747</t>
        </is>
      </c>
      <c r="E4313" s="13" t="inlineStr">
        <is>
          <t>ЮЛ РФ</t>
        </is>
      </c>
      <c r="F4313" s="13" t="n"/>
      <c r="G4313" s="14" t="n"/>
      <c r="H4313" s="14" t="n"/>
      <c r="I4313" s="14" t="n"/>
      <c r="J4313" s="14" t="n"/>
      <c r="K4313" s="53" t="inlineStr"/>
      <c r="L4313" s="53" t="inlineStr">
        <is>
          <t>Не определено</t>
        </is>
      </c>
      <c r="M4313" s="53" t="inlineStr"/>
      <c r="N4313" s="54" t="inlineStr"/>
      <c r="O4313" s="55" t="inlineStr"/>
      <c r="P4313" s="16" t="inlineStr">
        <is>
          <t>Требует обогащения</t>
        </is>
      </c>
      <c r="Q4313" s="16">
        <f>HYPERLINK("https://pb.nalog.ru/search.html?query=6518008747","ФНС: проверить")</f>
        <v/>
      </c>
      <c r="R4313" s="16">
        <f>HYPERLINK("https://checko.ru/search?query=3801001629","Чекко: проверить")</f>
        <v/>
      </c>
      <c r="S4313" t="n">
        <v>1</v>
      </c>
      <c r="T4313" s="35" t="inlineStr">
        <is>
          <t>4 — Не обогащён</t>
        </is>
      </c>
      <c r="U4313" s="35" t="inlineStr">
        <is>
          <t>Нет ОКВЭД/ССЧР</t>
        </is>
      </c>
      <c r="V4313" s="35" t="inlineStr">
        <is>
          <t>Не определено</t>
        </is>
      </c>
      <c r="W4313" s="35" t="inlineStr"/>
      <c r="X4313" s="35" t="inlineStr"/>
    </row>
    <row r="4314" ht="27.75" customHeight="1" s="24">
      <c r="A4314" s="13" t="n">
        <v>5000076486</v>
      </c>
      <c r="B4314" s="13" t="inlineStr">
        <is>
          <t>МКУ "Служба заказчика и муниципального строительного контроля"</t>
        </is>
      </c>
      <c r="C4314" s="13" t="n">
        <v>6518008722</v>
      </c>
      <c r="D4314" s="13" t="inlineStr">
        <is>
          <t>6518008722</t>
        </is>
      </c>
      <c r="E4314" s="13" t="inlineStr">
        <is>
          <t>ЮЛ РФ</t>
        </is>
      </c>
      <c r="F4314" s="13" t="n"/>
      <c r="G4314" s="14" t="n"/>
      <c r="H4314" s="14" t="n"/>
      <c r="I4314" s="14" t="n"/>
      <c r="J4314" s="14" t="n"/>
      <c r="K4314" s="53" t="inlineStr"/>
      <c r="L4314" s="53" t="inlineStr">
        <is>
          <t>Не определено</t>
        </is>
      </c>
      <c r="M4314" s="53" t="inlineStr"/>
      <c r="N4314" s="54" t="inlineStr"/>
      <c r="O4314" s="55" t="inlineStr"/>
      <c r="P4314" s="16" t="inlineStr">
        <is>
          <t>Требует обогащения</t>
        </is>
      </c>
      <c r="Q4314" s="16">
        <f>HYPERLINK("https://pb.nalog.ru/search.html?query=6518008722","ФНС: проверить")</f>
        <v/>
      </c>
      <c r="R4314" s="16">
        <f>HYPERLINK("https://checko.ru/search?query=3801001629","Чекко: проверить")</f>
        <v/>
      </c>
      <c r="S4314" t="n">
        <v>1</v>
      </c>
      <c r="T4314" s="35" t="inlineStr">
        <is>
          <t>4 — Не обогащён</t>
        </is>
      </c>
      <c r="U4314" s="35" t="inlineStr">
        <is>
          <t>Нет ОКВЭД/ССЧР</t>
        </is>
      </c>
      <c r="V4314" s="35" t="inlineStr">
        <is>
          <t>Не определено</t>
        </is>
      </c>
      <c r="W4314" s="35" t="inlineStr"/>
      <c r="X4314" s="35" t="inlineStr"/>
    </row>
    <row r="4315" ht="41.25" customHeight="1" s="24">
      <c r="A4315" s="13" t="n">
        <v>5000076484</v>
      </c>
      <c r="B4315" s="13" t="inlineStr">
        <is>
          <t>Департамент по управлению муниципальной собственностью муниципального образования "Южно-Курильский городской округ"</t>
        </is>
      </c>
      <c r="C4315" s="13" t="n">
        <v>6518003844</v>
      </c>
      <c r="D4315" s="13" t="inlineStr">
        <is>
          <t>6518003844</t>
        </is>
      </c>
      <c r="E4315" s="13" t="inlineStr">
        <is>
          <t>ЮЛ РФ</t>
        </is>
      </c>
      <c r="F4315" s="13" t="n"/>
      <c r="G4315" s="14" t="n"/>
      <c r="H4315" s="14" t="n"/>
      <c r="I4315" s="14" t="n"/>
      <c r="J4315" s="14" t="n"/>
      <c r="K4315" s="53" t="inlineStr"/>
      <c r="L4315" s="53" t="inlineStr">
        <is>
          <t>Не определено</t>
        </is>
      </c>
      <c r="M4315" s="53" t="inlineStr"/>
      <c r="N4315" s="54" t="inlineStr"/>
      <c r="O4315" s="55" t="inlineStr"/>
      <c r="P4315" s="16" t="inlineStr">
        <is>
          <t>Требует обогащения</t>
        </is>
      </c>
      <c r="Q4315" s="16">
        <f>HYPERLINK("https://pb.nalog.ru/search.html?query=6518003844","ФНС: проверить")</f>
        <v/>
      </c>
      <c r="R4315" s="16">
        <f>HYPERLINK("https://checko.ru/search?query=3801001629","Чекко: проверить")</f>
        <v/>
      </c>
      <c r="S4315" t="n">
        <v>1</v>
      </c>
      <c r="T4315" s="35" t="inlineStr">
        <is>
          <t>4 — Не обогащён</t>
        </is>
      </c>
      <c r="U4315" s="35" t="inlineStr">
        <is>
          <t>Нет ОКВЭД/ССЧР</t>
        </is>
      </c>
      <c r="V4315" s="35" t="inlineStr">
        <is>
          <t>Не определено</t>
        </is>
      </c>
      <c r="W4315" s="35" t="inlineStr"/>
      <c r="X4315" s="35" t="inlineStr"/>
    </row>
    <row r="4316" ht="41.25" customHeight="1" s="24">
      <c r="A4316" s="13" t="n">
        <v>5000076484</v>
      </c>
      <c r="B4316" s="13" t="inlineStr">
        <is>
          <t>Департамент по управлению муниципальной собственностью муниципального образования "Южно-Курильский городской округ"</t>
        </is>
      </c>
      <c r="C4316" s="13" t="n">
        <v>6518003844</v>
      </c>
      <c r="D4316" s="13" t="inlineStr">
        <is>
          <t>6518003844</t>
        </is>
      </c>
      <c r="E4316" s="13" t="inlineStr">
        <is>
          <t>ЮЛ РФ</t>
        </is>
      </c>
      <c r="F4316" s="13" t="n"/>
      <c r="G4316" s="14" t="n"/>
      <c r="H4316" s="14" t="n"/>
      <c r="I4316" s="14" t="n"/>
      <c r="J4316" s="14" t="n"/>
      <c r="K4316" s="53" t="inlineStr"/>
      <c r="L4316" s="53" t="inlineStr">
        <is>
          <t>Не определено</t>
        </is>
      </c>
      <c r="M4316" s="53" t="inlineStr"/>
      <c r="N4316" s="54" t="inlineStr"/>
      <c r="O4316" s="55" t="inlineStr"/>
      <c r="P4316" s="16" t="inlineStr">
        <is>
          <t>Требует обогащения</t>
        </is>
      </c>
      <c r="Q4316" s="16">
        <f>HYPERLINK("https://pb.nalog.ru/search.html?query=6518003844","ФНС: проверить")</f>
        <v/>
      </c>
      <c r="R4316" s="16">
        <f>HYPERLINK("https://checko.ru/search?query=3801001629","Чекко: проверить")</f>
        <v/>
      </c>
      <c r="S4316" t="n">
        <v>0</v>
      </c>
      <c r="T4316" s="35" t="inlineStr">
        <is>
          <t>4 — Не обогащён</t>
        </is>
      </c>
      <c r="U4316" s="35" t="inlineStr">
        <is>
          <t>Нет ОКВЭД/ССЧР</t>
        </is>
      </c>
      <c r="V4316" s="35" t="inlineStr">
        <is>
          <t>Не определено</t>
        </is>
      </c>
      <c r="W4316" s="35" t="inlineStr"/>
      <c r="X4316" s="35" t="inlineStr"/>
    </row>
    <row r="4317" ht="27.75" customHeight="1" s="24">
      <c r="A4317" s="13" t="n">
        <v>5000076485</v>
      </c>
      <c r="B4317" s="13" t="inlineStr">
        <is>
          <t>МКУ "Производственно-техническое объединение"</t>
        </is>
      </c>
      <c r="C4317" s="13" t="n">
        <v>6518008338</v>
      </c>
      <c r="D4317" s="13" t="inlineStr">
        <is>
          <t>6518008338</t>
        </is>
      </c>
      <c r="E4317" s="13" t="inlineStr">
        <is>
          <t>ЮЛ РФ</t>
        </is>
      </c>
      <c r="F4317" s="13" t="n"/>
      <c r="G4317" s="14" t="n"/>
      <c r="H4317" s="14" t="n"/>
      <c r="I4317" s="14" t="n"/>
      <c r="J4317" s="14" t="n"/>
      <c r="K4317" s="53" t="inlineStr"/>
      <c r="L4317" s="53" t="inlineStr">
        <is>
          <t>Не определено</t>
        </is>
      </c>
      <c r="M4317" s="53" t="inlineStr"/>
      <c r="N4317" s="54" t="inlineStr"/>
      <c r="O4317" s="55" t="inlineStr"/>
      <c r="P4317" s="16" t="inlineStr">
        <is>
          <t>Требует обогащения</t>
        </is>
      </c>
      <c r="Q4317" s="16">
        <f>HYPERLINK("https://pb.nalog.ru/search.html?query=6518008338","ФНС: проверить")</f>
        <v/>
      </c>
      <c r="R4317" s="16">
        <f>HYPERLINK("https://checko.ru/search?query=3801001629","Чекко: проверить")</f>
        <v/>
      </c>
      <c r="S4317" t="n">
        <v>1</v>
      </c>
      <c r="T4317" s="35" t="inlineStr">
        <is>
          <t>4 — Не обогащён</t>
        </is>
      </c>
      <c r="U4317" s="35" t="inlineStr">
        <is>
          <t>Нет ОКВЭД/ССЧР</t>
        </is>
      </c>
      <c r="V4317" s="35" t="inlineStr">
        <is>
          <t>Не определено</t>
        </is>
      </c>
      <c r="W4317" s="35" t="inlineStr"/>
      <c r="X4317" s="35" t="inlineStr"/>
    </row>
    <row r="4318" ht="27.75" customHeight="1" s="24">
      <c r="A4318" s="13" t="n">
        <v>5000075555</v>
      </c>
      <c r="B4318" s="13" t="inlineStr">
        <is>
          <t>МАОУ "СРЕДНЯЯ ОБЩЕОБРАЗОВАТЕЛЬНАЯ ШКОЛА Г. МАКАРОВА"</t>
        </is>
      </c>
      <c r="C4318" s="13" t="n">
        <v>6512005235</v>
      </c>
      <c r="D4318" s="13" t="inlineStr">
        <is>
          <t>6512005235</t>
        </is>
      </c>
      <c r="E4318" s="13" t="inlineStr">
        <is>
          <t>ЮЛ РФ</t>
        </is>
      </c>
      <c r="F4318" s="13" t="n"/>
      <c r="G4318" s="14" t="n"/>
      <c r="H4318" s="14" t="n"/>
      <c r="I4318" s="14" t="n"/>
      <c r="J4318" s="14" t="n"/>
      <c r="K4318" s="53" t="inlineStr"/>
      <c r="L4318" s="53" t="inlineStr">
        <is>
          <t>Не определено</t>
        </is>
      </c>
      <c r="M4318" s="53" t="inlineStr"/>
      <c r="N4318" s="54" t="inlineStr"/>
      <c r="O4318" s="55" t="inlineStr"/>
      <c r="P4318" s="16" t="inlineStr">
        <is>
          <t>Требует обогащения</t>
        </is>
      </c>
      <c r="Q4318" s="16">
        <f>HYPERLINK("https://pb.nalog.ru/search.html?query=6512005235","ФНС: проверить")</f>
        <v/>
      </c>
      <c r="R4318" s="16">
        <f>HYPERLINK("https://checko.ru/search?query=3801001629","Чекко: проверить")</f>
        <v/>
      </c>
      <c r="S4318" t="n">
        <v>1</v>
      </c>
      <c r="T4318" s="35" t="inlineStr">
        <is>
          <t>4 — Не обогащён</t>
        </is>
      </c>
      <c r="U4318" s="35" t="inlineStr">
        <is>
          <t>Нет ОКВЭД/ССЧР</t>
        </is>
      </c>
      <c r="V4318" s="35" t="inlineStr">
        <is>
          <t>Не определено</t>
        </is>
      </c>
      <c r="W4318" s="35" t="inlineStr"/>
      <c r="X4318" s="35" t="inlineStr"/>
    </row>
    <row r="4319" ht="68.25" customHeight="1" s="24">
      <c r="A4319" s="13" t="n">
        <v>5000089294</v>
      </c>
      <c r="B4319" s="13" t="inlineStr">
        <is>
          <t>КРАЕВОЕ ГОСУДАРСТВЕННОЕ КАЗЕННОЕ УЧРЕЖДЕНИЕ "ЦЕНТР СОДЕЙСТВИЯ СЕМЕЙНОМУ УСТРОЙСТВУ ДЕТЕЙ-СИРОТ И ДЕТЕЙ, ОСТАВШИХСЯ БЕЗ ПОПЕЧЕНИЯ РОДИТЕЛЕЙ, Г. ЛЕСОЗАВ</t>
        </is>
      </c>
      <c r="C4319" s="13" t="n">
        <v>2507227348</v>
      </c>
      <c r="D4319" s="13" t="inlineStr">
        <is>
          <t>2507227348</t>
        </is>
      </c>
      <c r="E4319" s="13" t="inlineStr">
        <is>
          <t>ЮЛ РФ</t>
        </is>
      </c>
      <c r="F4319" s="13" t="n"/>
      <c r="G4319" s="14" t="n"/>
      <c r="H4319" s="14" t="n"/>
      <c r="I4319" s="14" t="n"/>
      <c r="J4319" s="14" t="n"/>
      <c r="K4319" s="53" t="inlineStr"/>
      <c r="L4319" s="53" t="inlineStr">
        <is>
          <t>Не определено</t>
        </is>
      </c>
      <c r="M4319" s="53" t="inlineStr"/>
      <c r="N4319" s="54" t="inlineStr"/>
      <c r="O4319" s="55" t="inlineStr"/>
      <c r="P4319" s="16" t="inlineStr">
        <is>
          <t>Требует обогащения</t>
        </is>
      </c>
      <c r="Q4319" s="16">
        <f>HYPERLINK("https://pb.nalog.ru/search.html?query=2507227348","ФНС: проверить")</f>
        <v/>
      </c>
      <c r="R4319" s="16">
        <f>HYPERLINK("https://checko.ru/search?query=3801001629","Чекко: проверить")</f>
        <v/>
      </c>
      <c r="S4319" t="n">
        <v>1</v>
      </c>
      <c r="T4319" s="35" t="inlineStr">
        <is>
          <t>4 — Не обогащён</t>
        </is>
      </c>
      <c r="U4319" s="35" t="inlineStr">
        <is>
          <t>Нет ОКВЭД/ССЧР</t>
        </is>
      </c>
      <c r="V4319" s="35" t="inlineStr">
        <is>
          <t>Не определено</t>
        </is>
      </c>
      <c r="W4319" s="35" t="inlineStr"/>
      <c r="X4319" s="35" t="inlineStr"/>
    </row>
    <row r="4320" ht="15" customHeight="1" s="24">
      <c r="A4320" s="13" t="n">
        <v>5000070166</v>
      </c>
      <c r="B4320" s="13" t="inlineStr">
        <is>
          <t>МБДОУ ''Детский сад №2 ''Журавушка''</t>
        </is>
      </c>
      <c r="C4320" s="13" t="n">
        <v>6505009888</v>
      </c>
      <c r="D4320" s="13" t="inlineStr">
        <is>
          <t>6505009888</t>
        </is>
      </c>
      <c r="E4320" s="13" t="inlineStr">
        <is>
          <t>ЮЛ РФ</t>
        </is>
      </c>
      <c r="F4320" s="13" t="n"/>
      <c r="G4320" s="14" t="n"/>
      <c r="H4320" s="14" t="n"/>
      <c r="I4320" s="14" t="n"/>
      <c r="J4320" s="14" t="n"/>
      <c r="K4320" s="53" t="inlineStr"/>
      <c r="L4320" s="53" t="inlineStr">
        <is>
          <t>Не определено</t>
        </is>
      </c>
      <c r="M4320" s="53" t="inlineStr"/>
      <c r="N4320" s="54" t="inlineStr"/>
      <c r="O4320" s="55" t="inlineStr"/>
      <c r="P4320" s="16" t="inlineStr">
        <is>
          <t>Требует обогащения</t>
        </is>
      </c>
      <c r="Q4320" s="16">
        <f>HYPERLINK("https://pb.nalog.ru/search.html?query=6505009888","ФНС: проверить")</f>
        <v/>
      </c>
      <c r="R4320" s="16">
        <f>HYPERLINK("https://checko.ru/search?query=3801001629","Чекко: проверить")</f>
        <v/>
      </c>
      <c r="S4320" t="n">
        <v>1</v>
      </c>
      <c r="T4320" s="35" t="inlineStr">
        <is>
          <t>4 — Не обогащён</t>
        </is>
      </c>
      <c r="U4320" s="35" t="inlineStr">
        <is>
          <t>Нет ОКВЭД/ССЧР</t>
        </is>
      </c>
      <c r="V4320" s="35" t="inlineStr">
        <is>
          <t>Не определено</t>
        </is>
      </c>
      <c r="W4320" s="35" t="inlineStr"/>
      <c r="X4320" s="35" t="inlineStr"/>
    </row>
    <row r="4321" ht="15" customHeight="1" s="24">
      <c r="A4321" s="13" t="n">
        <v>5000070167</v>
      </c>
      <c r="B4321" s="13" t="inlineStr">
        <is>
          <t>МБДОУ ''Детский сад №4 ''Золотая рыбка''</t>
        </is>
      </c>
      <c r="C4321" s="13" t="n">
        <v>6505009870</v>
      </c>
      <c r="D4321" s="13" t="inlineStr">
        <is>
          <t>6505009870</t>
        </is>
      </c>
      <c r="E4321" s="13" t="inlineStr">
        <is>
          <t>ЮЛ РФ</t>
        </is>
      </c>
      <c r="F4321" s="13" t="n"/>
      <c r="G4321" s="14" t="n"/>
      <c r="H4321" s="14" t="n"/>
      <c r="I4321" s="14" t="n"/>
      <c r="J4321" s="14" t="n"/>
      <c r="K4321" s="53" t="inlineStr"/>
      <c r="L4321" s="53" t="inlineStr">
        <is>
          <t>Не определено</t>
        </is>
      </c>
      <c r="M4321" s="53" t="inlineStr"/>
      <c r="N4321" s="54" t="inlineStr"/>
      <c r="O4321" s="55" t="inlineStr"/>
      <c r="P4321" s="16" t="inlineStr">
        <is>
          <t>Требует обогащения</t>
        </is>
      </c>
      <c r="Q4321" s="16">
        <f>HYPERLINK("https://pb.nalog.ru/search.html?query=6505009870","ФНС: проверить")</f>
        <v/>
      </c>
      <c r="R4321" s="16">
        <f>HYPERLINK("https://checko.ru/search?query=3801001629","Чекко: проверить")</f>
        <v/>
      </c>
      <c r="S4321" t="n">
        <v>1</v>
      </c>
      <c r="T4321" s="35" t="inlineStr">
        <is>
          <t>4 — Не обогащён</t>
        </is>
      </c>
      <c r="U4321" s="35" t="inlineStr">
        <is>
          <t>Нет ОКВЭД/ССЧР</t>
        </is>
      </c>
      <c r="V4321" s="35" t="inlineStr">
        <is>
          <t>Не определено</t>
        </is>
      </c>
      <c r="W4321" s="35" t="inlineStr"/>
      <c r="X4321" s="35" t="inlineStr"/>
    </row>
    <row r="4322" ht="15" customHeight="1" s="24">
      <c r="A4322" s="13" t="n">
        <v>5000070168</v>
      </c>
      <c r="B4322" s="13" t="inlineStr">
        <is>
          <t>МБДОУ ''Детский сад №5 ''Солнышко''</t>
        </is>
      </c>
      <c r="C4322" s="13" t="n">
        <v>6505009895</v>
      </c>
      <c r="D4322" s="13" t="inlineStr">
        <is>
          <t>6505009895</t>
        </is>
      </c>
      <c r="E4322" s="13" t="inlineStr">
        <is>
          <t>ЮЛ РФ</t>
        </is>
      </c>
      <c r="F4322" s="13" t="n"/>
      <c r="G4322" s="14" t="n"/>
      <c r="H4322" s="14" t="n"/>
      <c r="I4322" s="14" t="n"/>
      <c r="J4322" s="14" t="n"/>
      <c r="K4322" s="53" t="inlineStr"/>
      <c r="L4322" s="53" t="inlineStr">
        <is>
          <t>Не определено</t>
        </is>
      </c>
      <c r="M4322" s="53" t="inlineStr"/>
      <c r="N4322" s="54" t="inlineStr"/>
      <c r="O4322" s="55" t="inlineStr"/>
      <c r="P4322" s="16" t="inlineStr">
        <is>
          <t>Требует обогащения</t>
        </is>
      </c>
      <c r="Q4322" s="16">
        <f>HYPERLINK("https://pb.nalog.ru/search.html?query=6505009895","ФНС: проверить")</f>
        <v/>
      </c>
      <c r="R4322" s="16">
        <f>HYPERLINK("https://checko.ru/search?query=3801001629","Чекко: проверить")</f>
        <v/>
      </c>
      <c r="S4322" t="n">
        <v>1</v>
      </c>
      <c r="T4322" s="35" t="inlineStr">
        <is>
          <t>4 — Не обогащён</t>
        </is>
      </c>
      <c r="U4322" s="35" t="inlineStr">
        <is>
          <t>Нет ОКВЭД/ССЧР</t>
        </is>
      </c>
      <c r="V4322" s="35" t="inlineStr">
        <is>
          <t>Не определено</t>
        </is>
      </c>
      <c r="W4322" s="35" t="inlineStr"/>
      <c r="X4322" s="35" t="inlineStr"/>
    </row>
    <row r="4323" ht="15" customHeight="1" s="24">
      <c r="A4323" s="13" t="n">
        <v>5000070169</v>
      </c>
      <c r="B4323" s="13" t="inlineStr">
        <is>
          <t>МБДОУ ''Детский сад №11 ''Аленький цветочек''</t>
        </is>
      </c>
      <c r="C4323" s="13" t="n">
        <v>6505010019</v>
      </c>
      <c r="D4323" s="13" t="inlineStr">
        <is>
          <t>6505010019</t>
        </is>
      </c>
      <c r="E4323" s="13" t="inlineStr">
        <is>
          <t>ЮЛ РФ</t>
        </is>
      </c>
      <c r="F4323" s="13" t="n"/>
      <c r="G4323" s="14" t="n"/>
      <c r="H4323" s="14" t="n"/>
      <c r="I4323" s="14" t="n"/>
      <c r="J4323" s="14" t="n"/>
      <c r="K4323" s="53" t="inlineStr"/>
      <c r="L4323" s="53" t="inlineStr">
        <is>
          <t>Не определено</t>
        </is>
      </c>
      <c r="M4323" s="53" t="inlineStr"/>
      <c r="N4323" s="54" t="inlineStr"/>
      <c r="O4323" s="55" t="inlineStr"/>
      <c r="P4323" s="16" t="inlineStr">
        <is>
          <t>Требует обогащения</t>
        </is>
      </c>
      <c r="Q4323" s="16">
        <f>HYPERLINK("https://pb.nalog.ru/search.html?query=6505010019","ФНС: проверить")</f>
        <v/>
      </c>
      <c r="R4323" s="16">
        <f>HYPERLINK("https://checko.ru/search?query=3801001629","Чекко: проверить")</f>
        <v/>
      </c>
      <c r="S4323" t="n">
        <v>1</v>
      </c>
      <c r="T4323" s="35" t="inlineStr">
        <is>
          <t>4 — Не обогащён</t>
        </is>
      </c>
      <c r="U4323" s="35" t="inlineStr">
        <is>
          <t>Нет ОКВЭД/ССЧР</t>
        </is>
      </c>
      <c r="V4323" s="35" t="inlineStr">
        <is>
          <t>Не определено</t>
        </is>
      </c>
      <c r="W4323" s="35" t="inlineStr"/>
      <c r="X4323" s="35" t="inlineStr"/>
    </row>
    <row r="4324" ht="15" customHeight="1" s="24">
      <c r="A4324" s="13" t="n">
        <v>5000070170</v>
      </c>
      <c r="B4324" s="13" t="inlineStr">
        <is>
          <t>МБДОУ ''Детский сад №16 ''Малышка''</t>
        </is>
      </c>
      <c r="C4324" s="13" t="n">
        <v>6505009905</v>
      </c>
      <c r="D4324" s="13" t="inlineStr">
        <is>
          <t>6505009905</t>
        </is>
      </c>
      <c r="E4324" s="13" t="inlineStr">
        <is>
          <t>ЮЛ РФ</t>
        </is>
      </c>
      <c r="F4324" s="13" t="n"/>
      <c r="G4324" s="14" t="n"/>
      <c r="H4324" s="14" t="n"/>
      <c r="I4324" s="14" t="n"/>
      <c r="J4324" s="14" t="n"/>
      <c r="K4324" s="53" t="inlineStr"/>
      <c r="L4324" s="53" t="inlineStr">
        <is>
          <t>Не определено</t>
        </is>
      </c>
      <c r="M4324" s="53" t="inlineStr"/>
      <c r="N4324" s="54" t="inlineStr"/>
      <c r="O4324" s="55" t="inlineStr"/>
      <c r="P4324" s="16" t="inlineStr">
        <is>
          <t>Требует обогащения</t>
        </is>
      </c>
      <c r="Q4324" s="16">
        <f>HYPERLINK("https://pb.nalog.ru/search.html?query=6505009905","ФНС: проверить")</f>
        <v/>
      </c>
      <c r="R4324" s="16">
        <f>HYPERLINK("https://checko.ru/search?query=3801001629","Чекко: проверить")</f>
        <v/>
      </c>
      <c r="S4324" t="n">
        <v>1</v>
      </c>
      <c r="T4324" s="35" t="inlineStr">
        <is>
          <t>4 — Не обогащён</t>
        </is>
      </c>
      <c r="U4324" s="35" t="inlineStr">
        <is>
          <t>Нет ОКВЭД/ССЧР</t>
        </is>
      </c>
      <c r="V4324" s="35" t="inlineStr">
        <is>
          <t>Не определено</t>
        </is>
      </c>
      <c r="W4324" s="35" t="inlineStr"/>
      <c r="X4324" s="35" t="inlineStr"/>
    </row>
    <row r="4325" ht="15" customHeight="1" s="24">
      <c r="A4325" s="13" t="n">
        <v>5000070171</v>
      </c>
      <c r="B4325" s="13" t="inlineStr">
        <is>
          <t>МБДОУ ''Детский сад №17 ''Кораблик''</t>
        </is>
      </c>
      <c r="C4325" s="13" t="n">
        <v>6505009863</v>
      </c>
      <c r="D4325" s="13" t="inlineStr">
        <is>
          <t>6505009863</t>
        </is>
      </c>
      <c r="E4325" s="13" t="inlineStr">
        <is>
          <t>ЮЛ РФ</t>
        </is>
      </c>
      <c r="F4325" s="13" t="n"/>
      <c r="G4325" s="14" t="n"/>
      <c r="H4325" s="14" t="n"/>
      <c r="I4325" s="14" t="n"/>
      <c r="J4325" s="14" t="n"/>
      <c r="K4325" s="53" t="inlineStr"/>
      <c r="L4325" s="53" t="inlineStr">
        <is>
          <t>Не определено</t>
        </is>
      </c>
      <c r="M4325" s="53" t="inlineStr"/>
      <c r="N4325" s="54" t="inlineStr"/>
      <c r="O4325" s="55" t="inlineStr"/>
      <c r="P4325" s="16" t="inlineStr">
        <is>
          <t>Требует обогащения</t>
        </is>
      </c>
      <c r="Q4325" s="16">
        <f>HYPERLINK("https://pb.nalog.ru/search.html?query=6505009863","ФНС: проверить")</f>
        <v/>
      </c>
      <c r="R4325" s="16">
        <f>HYPERLINK("https://checko.ru/search?query=3801001629","Чекко: проверить")</f>
        <v/>
      </c>
      <c r="S4325" t="n">
        <v>1</v>
      </c>
      <c r="T4325" s="35" t="inlineStr">
        <is>
          <t>4 — Не обогащён</t>
        </is>
      </c>
      <c r="U4325" s="35" t="inlineStr">
        <is>
          <t>Нет ОКВЭД/ССЧР</t>
        </is>
      </c>
      <c r="V4325" s="35" t="inlineStr">
        <is>
          <t>Не определено</t>
        </is>
      </c>
      <c r="W4325" s="35" t="inlineStr"/>
      <c r="X4325" s="35" t="inlineStr"/>
    </row>
    <row r="4326" ht="15" customHeight="1" s="24">
      <c r="A4326" s="13" t="n">
        <v>5000070172</v>
      </c>
      <c r="B4326" s="13" t="inlineStr">
        <is>
          <t>МБДОУ ''Детский сад №1 ''Родничок»</t>
        </is>
      </c>
      <c r="C4326" s="13" t="n">
        <v>6505008965</v>
      </c>
      <c r="D4326" s="13" t="inlineStr">
        <is>
          <t>6505008965</t>
        </is>
      </c>
      <c r="E4326" s="13" t="inlineStr">
        <is>
          <t>ЮЛ РФ</t>
        </is>
      </c>
      <c r="F4326" s="13" t="n"/>
      <c r="G4326" s="14" t="n"/>
      <c r="H4326" s="14" t="n"/>
      <c r="I4326" s="14" t="n"/>
      <c r="J4326" s="14" t="n"/>
      <c r="K4326" s="53" t="inlineStr"/>
      <c r="L4326" s="53" t="inlineStr">
        <is>
          <t>Не определено</t>
        </is>
      </c>
      <c r="M4326" s="53" t="inlineStr"/>
      <c r="N4326" s="54" t="inlineStr"/>
      <c r="O4326" s="55" t="inlineStr"/>
      <c r="P4326" s="16" t="inlineStr">
        <is>
          <t>Требует обогащения</t>
        </is>
      </c>
      <c r="Q4326" s="16">
        <f>HYPERLINK("https://pb.nalog.ru/search.html?query=6505008965","ФНС: проверить")</f>
        <v/>
      </c>
      <c r="R4326" s="16">
        <f>HYPERLINK("https://checko.ru/search?query=3801001629","Чекко: проверить")</f>
        <v/>
      </c>
      <c r="S4326" t="n">
        <v>1</v>
      </c>
      <c r="T4326" s="35" t="inlineStr">
        <is>
          <t>4 — Не обогащён</t>
        </is>
      </c>
      <c r="U4326" s="35" t="inlineStr">
        <is>
          <t>Нет ОКВЭД/ССЧР</t>
        </is>
      </c>
      <c r="V4326" s="35" t="inlineStr">
        <is>
          <t>Не определено</t>
        </is>
      </c>
      <c r="W4326" s="35" t="inlineStr"/>
      <c r="X4326" s="35" t="inlineStr"/>
    </row>
    <row r="4327" ht="15" customHeight="1" s="24">
      <c r="A4327" s="13" t="n">
        <v>5000070174</v>
      </c>
      <c r="B4327" s="13" t="inlineStr">
        <is>
          <t>МБОУ ''СОШ №2''</t>
        </is>
      </c>
      <c r="C4327" s="13" t="n">
        <v>6505009944</v>
      </c>
      <c r="D4327" s="13" t="inlineStr">
        <is>
          <t>6505009944</t>
        </is>
      </c>
      <c r="E4327" s="13" t="inlineStr">
        <is>
          <t>ЮЛ РФ</t>
        </is>
      </c>
      <c r="F4327" s="13" t="n"/>
      <c r="G4327" s="14" t="n"/>
      <c r="H4327" s="14" t="n"/>
      <c r="I4327" s="14" t="n"/>
      <c r="J4327" s="14" t="n"/>
      <c r="K4327" s="53" t="inlineStr"/>
      <c r="L4327" s="53" t="inlineStr">
        <is>
          <t>Не определено</t>
        </is>
      </c>
      <c r="M4327" s="53" t="inlineStr"/>
      <c r="N4327" s="54" t="inlineStr"/>
      <c r="O4327" s="55" t="inlineStr"/>
      <c r="P4327" s="16" t="inlineStr">
        <is>
          <t>Требует обогащения</t>
        </is>
      </c>
      <c r="Q4327" s="16">
        <f>HYPERLINK("https://pb.nalog.ru/search.html?query=6505009944","ФНС: проверить")</f>
        <v/>
      </c>
      <c r="R4327" s="16">
        <f>HYPERLINK("https://checko.ru/search?query=3801001629","Чекко: проверить")</f>
        <v/>
      </c>
      <c r="S4327" t="n">
        <v>1</v>
      </c>
      <c r="T4327" s="35" t="inlineStr">
        <is>
          <t>4 — Не обогащён</t>
        </is>
      </c>
      <c r="U4327" s="35" t="inlineStr">
        <is>
          <t>Нет ОКВЭД/ССЧР</t>
        </is>
      </c>
      <c r="V4327" s="35" t="inlineStr">
        <is>
          <t>Не определено</t>
        </is>
      </c>
      <c r="W4327" s="35" t="inlineStr"/>
      <c r="X4327" s="35" t="inlineStr"/>
    </row>
    <row r="4328" ht="15" customHeight="1" s="24">
      <c r="A4328" s="13" t="n">
        <v>5000070175</v>
      </c>
      <c r="B4328" s="13" t="inlineStr">
        <is>
          <t>МБОУ ''СОШ №3''</t>
        </is>
      </c>
      <c r="C4328" s="13" t="n">
        <v>6505009969</v>
      </c>
      <c r="D4328" s="13" t="inlineStr">
        <is>
          <t>6505009969</t>
        </is>
      </c>
      <c r="E4328" s="13" t="inlineStr">
        <is>
          <t>ЮЛ РФ</t>
        </is>
      </c>
      <c r="F4328" s="13" t="n"/>
      <c r="G4328" s="14" t="n"/>
      <c r="H4328" s="14" t="n"/>
      <c r="I4328" s="14" t="n"/>
      <c r="J4328" s="14" t="n"/>
      <c r="K4328" s="53" t="inlineStr"/>
      <c r="L4328" s="53" t="inlineStr">
        <is>
          <t>Не определено</t>
        </is>
      </c>
      <c r="M4328" s="53" t="inlineStr"/>
      <c r="N4328" s="54" t="inlineStr"/>
      <c r="O4328" s="55" t="inlineStr"/>
      <c r="P4328" s="16" t="inlineStr">
        <is>
          <t>Требует обогащения</t>
        </is>
      </c>
      <c r="Q4328" s="16">
        <f>HYPERLINK("https://pb.nalog.ru/search.html?query=6505009969","ФНС: проверить")</f>
        <v/>
      </c>
      <c r="R4328" s="16">
        <f>HYPERLINK("https://checko.ru/search?query=3801001629","Чекко: проверить")</f>
        <v/>
      </c>
      <c r="S4328" t="n">
        <v>1</v>
      </c>
      <c r="T4328" s="35" t="inlineStr">
        <is>
          <t>4 — Не обогащён</t>
        </is>
      </c>
      <c r="U4328" s="35" t="inlineStr">
        <is>
          <t>Нет ОКВЭД/ССЧР</t>
        </is>
      </c>
      <c r="V4328" s="35" t="inlineStr">
        <is>
          <t>Не определено</t>
        </is>
      </c>
      <c r="W4328" s="35" t="inlineStr"/>
      <c r="X4328" s="35" t="inlineStr"/>
    </row>
    <row r="4329" ht="15" customHeight="1" s="24">
      <c r="A4329" s="13" t="n">
        <v>5000070177</v>
      </c>
      <c r="B4329" s="13" t="inlineStr">
        <is>
          <t>МБОУ ''СОШ с. Горнозаводска''</t>
        </is>
      </c>
      <c r="C4329" s="13" t="n">
        <v>6505011407</v>
      </c>
      <c r="D4329" s="13" t="inlineStr">
        <is>
          <t>6505011407</t>
        </is>
      </c>
      <c r="E4329" s="13" t="inlineStr">
        <is>
          <t>ЮЛ РФ</t>
        </is>
      </c>
      <c r="F4329" s="13" t="n"/>
      <c r="G4329" s="14" t="n"/>
      <c r="H4329" s="14" t="n"/>
      <c r="I4329" s="14" t="n"/>
      <c r="J4329" s="14" t="n"/>
      <c r="K4329" s="53" t="inlineStr"/>
      <c r="L4329" s="53" t="inlineStr">
        <is>
          <t>Не определено</t>
        </is>
      </c>
      <c r="M4329" s="53" t="inlineStr"/>
      <c r="N4329" s="54" t="inlineStr"/>
      <c r="O4329" s="55" t="inlineStr"/>
      <c r="P4329" s="16" t="inlineStr">
        <is>
          <t>Требует обогащения</t>
        </is>
      </c>
      <c r="Q4329" s="16">
        <f>HYPERLINK("https://pb.nalog.ru/search.html?query=6505011407","ФНС: проверить")</f>
        <v/>
      </c>
      <c r="R4329" s="16">
        <f>HYPERLINK("https://checko.ru/search?query=3801001629","Чекко: проверить")</f>
        <v/>
      </c>
      <c r="S4329" t="n">
        <v>1</v>
      </c>
      <c r="T4329" s="35" t="inlineStr">
        <is>
          <t>4 — Не обогащён</t>
        </is>
      </c>
      <c r="U4329" s="35" t="inlineStr">
        <is>
          <t>Нет ОКВЭД/ССЧР</t>
        </is>
      </c>
      <c r="V4329" s="35" t="inlineStr">
        <is>
          <t>Не определено</t>
        </is>
      </c>
      <c r="W4329" s="35" t="inlineStr"/>
      <c r="X4329" s="35" t="inlineStr"/>
    </row>
    <row r="4330" ht="27.75" customHeight="1" s="24">
      <c r="A4330" s="13" t="n">
        <v>5000083036</v>
      </c>
      <c r="B4330" s="13" t="inlineStr">
        <is>
          <t>МБОУ ДО ''Центр детского творчества'' г. Невельска</t>
        </is>
      </c>
      <c r="C4330" s="13" t="n">
        <v>6505009831</v>
      </c>
      <c r="D4330" s="13" t="inlineStr">
        <is>
          <t>6505009831</t>
        </is>
      </c>
      <c r="E4330" s="13" t="inlineStr">
        <is>
          <t>ЮЛ РФ</t>
        </is>
      </c>
      <c r="F4330" s="13" t="n"/>
      <c r="G4330" s="14" t="n"/>
      <c r="H4330" s="14" t="n"/>
      <c r="I4330" s="14" t="n"/>
      <c r="J4330" s="14" t="n"/>
      <c r="K4330" s="53" t="inlineStr"/>
      <c r="L4330" s="53" t="inlineStr">
        <is>
          <t>Не определено</t>
        </is>
      </c>
      <c r="M4330" s="53" t="inlineStr"/>
      <c r="N4330" s="54" t="inlineStr"/>
      <c r="O4330" s="55" t="inlineStr"/>
      <c r="P4330" s="16" t="inlineStr">
        <is>
          <t>Требует обогащения</t>
        </is>
      </c>
      <c r="Q4330" s="16">
        <f>HYPERLINK("https://pb.nalog.ru/search.html?query=6505009831","ФНС: проверить")</f>
        <v/>
      </c>
      <c r="R4330" s="16">
        <f>HYPERLINK("https://checko.ru/search?query=3801001629","Чекко: проверить")</f>
        <v/>
      </c>
      <c r="S4330" t="n">
        <v>1</v>
      </c>
      <c r="T4330" s="35" t="inlineStr">
        <is>
          <t>4 — Не обогащён</t>
        </is>
      </c>
      <c r="U4330" s="35" t="inlineStr">
        <is>
          <t>Нет ОКВЭД/ССЧР</t>
        </is>
      </c>
      <c r="V4330" s="35" t="inlineStr">
        <is>
          <t>Не определено</t>
        </is>
      </c>
      <c r="W4330" s="35" t="inlineStr"/>
      <c r="X4330" s="35" t="inlineStr"/>
    </row>
    <row r="4331" ht="15" customHeight="1" s="24">
      <c r="A4331" s="13" t="n">
        <v>5000098322</v>
      </c>
      <c r="B4331" s="13" t="inlineStr">
        <is>
          <t>КГБУЗ Находкинская городская больница</t>
        </is>
      </c>
      <c r="C4331" s="13" t="n">
        <v>2508099530</v>
      </c>
      <c r="D4331" s="13" t="inlineStr">
        <is>
          <t>2508099530</t>
        </is>
      </c>
      <c r="E4331" s="13" t="inlineStr">
        <is>
          <t>ЮЛ РФ</t>
        </is>
      </c>
      <c r="F4331" s="13" t="n"/>
      <c r="G4331" s="14" t="n"/>
      <c r="H4331" s="14" t="n"/>
      <c r="I4331" s="14" t="n"/>
      <c r="J4331" s="14" t="n"/>
      <c r="K4331" s="53" t="inlineStr"/>
      <c r="L4331" s="53" t="inlineStr">
        <is>
          <t>Не определено</t>
        </is>
      </c>
      <c r="M4331" s="53" t="inlineStr"/>
      <c r="N4331" s="54" t="inlineStr"/>
      <c r="O4331" s="55" t="inlineStr"/>
      <c r="P4331" s="16" t="inlineStr">
        <is>
          <t>Требует обогащения</t>
        </is>
      </c>
      <c r="Q4331" s="16">
        <f>HYPERLINK("https://pb.nalog.ru/search.html?query=2508099530","ФНС: проверить")</f>
        <v/>
      </c>
      <c r="R4331" s="16">
        <f>HYPERLINK("https://checko.ru/search?query=3801001629","Чекко: проверить")</f>
        <v/>
      </c>
      <c r="S4331" t="n">
        <v>1</v>
      </c>
      <c r="T4331" s="35" t="inlineStr">
        <is>
          <t>4 — Не обогащён</t>
        </is>
      </c>
      <c r="U4331" s="35" t="inlineStr">
        <is>
          <t>Нет ОКВЭД/ССЧР</t>
        </is>
      </c>
      <c r="V4331" s="35" t="inlineStr">
        <is>
          <t>Не определено</t>
        </is>
      </c>
      <c r="W4331" s="35" t="inlineStr"/>
      <c r="X4331" s="35" t="inlineStr"/>
    </row>
    <row r="4332" ht="41.25" customHeight="1" s="24">
      <c r="A4332" s="13" t="n">
        <v>5000046153</v>
      </c>
      <c r="B4332" s="13" t="inlineStr">
        <is>
          <t>УПРАВЛЕНИЕ КУЛЬТУРЫ И СПОРТА МУНИЦИПАЛЬНОГО ОБРАЗОВАНИЯ "ТЫМОВСКИЙ ГОРОДСКОЙ ОКРУГ"</t>
        </is>
      </c>
      <c r="C4332" s="13" t="n">
        <v>6517002380</v>
      </c>
      <c r="D4332" s="13" t="inlineStr">
        <is>
          <t>6517002380</t>
        </is>
      </c>
      <c r="E4332" s="13" t="inlineStr">
        <is>
          <t>ЮЛ РФ</t>
        </is>
      </c>
      <c r="F4332" s="13" t="n"/>
      <c r="G4332" s="14" t="n"/>
      <c r="H4332" s="14" t="n"/>
      <c r="I4332" s="14" t="n"/>
      <c r="J4332" s="14" t="n"/>
      <c r="K4332" s="53" t="inlineStr"/>
      <c r="L4332" s="53" t="inlineStr">
        <is>
          <t>Не определено</t>
        </is>
      </c>
      <c r="M4332" s="53" t="inlineStr"/>
      <c r="N4332" s="54" t="inlineStr"/>
      <c r="O4332" s="55" t="inlineStr"/>
      <c r="P4332" s="16" t="inlineStr">
        <is>
          <t>Требует обогащения</t>
        </is>
      </c>
      <c r="Q4332" s="16">
        <f>HYPERLINK("https://pb.nalog.ru/search.html?query=6517002380","ФНС: проверить")</f>
        <v/>
      </c>
      <c r="R4332" s="16">
        <f>HYPERLINK("https://checko.ru/search?query=3801001629","Чекко: проверить")</f>
        <v/>
      </c>
      <c r="S4332" t="n">
        <v>1</v>
      </c>
      <c r="T4332" s="35" t="inlineStr">
        <is>
          <t>4 — Не обогащён</t>
        </is>
      </c>
      <c r="U4332" s="35" t="inlineStr">
        <is>
          <t>Нет ОКВЭД/ССЧР</t>
        </is>
      </c>
      <c r="V4332" s="35" t="inlineStr">
        <is>
          <t>Не определено</t>
        </is>
      </c>
      <c r="W4332" s="35" t="inlineStr"/>
      <c r="X4332" s="35" t="inlineStr"/>
    </row>
    <row r="4333" ht="41.25" customHeight="1" s="24">
      <c r="A4333" s="13" t="n">
        <v>5000046153</v>
      </c>
      <c r="B4333" s="13" t="inlineStr">
        <is>
          <t>УПРАВЛЕНИЕ КУЛЬТУРЫ И СПОРТА МУНИЦИПАЛЬНОГО ОБРАЗОВАНИЯ "ТЫМОВСКИЙ ГОРОДСКОЙ ОКРУГ"</t>
        </is>
      </c>
      <c r="C4333" s="13" t="n">
        <v>6517002380</v>
      </c>
      <c r="D4333" s="13" t="inlineStr">
        <is>
          <t>6517002380</t>
        </is>
      </c>
      <c r="E4333" s="13" t="inlineStr">
        <is>
          <t>ЮЛ РФ</t>
        </is>
      </c>
      <c r="F4333" s="13" t="n"/>
      <c r="G4333" s="14" t="n"/>
      <c r="H4333" s="14" t="n"/>
      <c r="I4333" s="14" t="n"/>
      <c r="J4333" s="14" t="n"/>
      <c r="K4333" s="53" t="inlineStr"/>
      <c r="L4333" s="53" t="inlineStr">
        <is>
          <t>Не определено</t>
        </is>
      </c>
      <c r="M4333" s="53" t="inlineStr"/>
      <c r="N4333" s="54" t="inlineStr"/>
      <c r="O4333" s="55" t="inlineStr"/>
      <c r="P4333" s="16" t="inlineStr">
        <is>
          <t>Требует обогащения</t>
        </is>
      </c>
      <c r="Q4333" s="16">
        <f>HYPERLINK("https://pb.nalog.ru/search.html?query=6517002380","ФНС: проверить")</f>
        <v/>
      </c>
      <c r="R4333" s="16">
        <f>HYPERLINK("https://checko.ru/search?query=3801001629","Чекко: проверить")</f>
        <v/>
      </c>
      <c r="S4333" t="n">
        <v>0</v>
      </c>
      <c r="T4333" s="35" t="inlineStr">
        <is>
          <t>4 — Не обогащён</t>
        </is>
      </c>
      <c r="U4333" s="35" t="inlineStr">
        <is>
          <t>Нет ОКВЭД/ССЧР</t>
        </is>
      </c>
      <c r="V4333" s="35" t="inlineStr">
        <is>
          <t>Не определено</t>
        </is>
      </c>
      <c r="W4333" s="35" t="inlineStr"/>
      <c r="X4333" s="35" t="inlineStr"/>
    </row>
    <row r="4334" ht="15" customHeight="1" s="24">
      <c r="A4334" s="13" t="n">
        <v>5000070176</v>
      </c>
      <c r="B4334" s="13" t="inlineStr">
        <is>
          <t>МБОУ ''СОШ с. Шебунино''</t>
        </is>
      </c>
      <c r="C4334" s="13" t="n">
        <v>6505009380</v>
      </c>
      <c r="D4334" s="13" t="inlineStr">
        <is>
          <t>6505009380</t>
        </is>
      </c>
      <c r="E4334" s="13" t="inlineStr">
        <is>
          <t>ЮЛ РФ</t>
        </is>
      </c>
      <c r="F4334" s="13" t="n"/>
      <c r="G4334" s="14" t="n"/>
      <c r="H4334" s="14" t="n"/>
      <c r="I4334" s="14" t="n"/>
      <c r="J4334" s="14" t="n"/>
      <c r="K4334" s="53" t="inlineStr"/>
      <c r="L4334" s="53" t="inlineStr">
        <is>
          <t>Не определено</t>
        </is>
      </c>
      <c r="M4334" s="53" t="inlineStr"/>
      <c r="N4334" s="54" t="inlineStr"/>
      <c r="O4334" s="55" t="inlineStr"/>
      <c r="P4334" s="16" t="inlineStr">
        <is>
          <t>Требует обогащения</t>
        </is>
      </c>
      <c r="Q4334" s="16">
        <f>HYPERLINK("https://pb.nalog.ru/search.html?query=6505009380","ФНС: проверить")</f>
        <v/>
      </c>
      <c r="R4334" s="16">
        <f>HYPERLINK("https://checko.ru/search?query=3801001629","Чекко: проверить")</f>
        <v/>
      </c>
      <c r="S4334" t="n">
        <v>1</v>
      </c>
      <c r="T4334" s="35" t="inlineStr">
        <is>
          <t>4 — Не обогащён</t>
        </is>
      </c>
      <c r="U4334" s="35" t="inlineStr">
        <is>
          <t>Нет ОКВЭД/ССЧР</t>
        </is>
      </c>
      <c r="V4334" s="35" t="inlineStr">
        <is>
          <t>Не определено</t>
        </is>
      </c>
      <c r="W4334" s="35" t="inlineStr"/>
      <c r="X4334" s="35" t="inlineStr"/>
    </row>
    <row r="4335" ht="41.25" customHeight="1" s="24">
      <c r="A4335" s="13" t="n">
        <v>5000090732</v>
      </c>
      <c r="B4335" s="13" t="inlineStr">
        <is>
          <t>МАОУ СРЕДНЯЯ ОБЩЕОБРАЗОВАТЕЛЬНАЯ ШКОЛА СЕЛА ЧЕХОВА МУНИЦИПАЛЬНОГО ОБРАЗОВАНИЯ "ХОЛМСКИЙ ГОРОДСКОЙ О</t>
        </is>
      </c>
      <c r="C4335" s="13" t="n">
        <v>6509017738</v>
      </c>
      <c r="D4335" s="13" t="inlineStr">
        <is>
          <t>6509017738</t>
        </is>
      </c>
      <c r="E4335" s="13" t="inlineStr">
        <is>
          <t>ЮЛ РФ</t>
        </is>
      </c>
      <c r="F4335" s="13" t="n"/>
      <c r="G4335" s="14" t="n"/>
      <c r="H4335" s="14" t="n"/>
      <c r="I4335" s="14" t="n"/>
      <c r="J4335" s="14" t="n"/>
      <c r="K4335" s="53" t="inlineStr"/>
      <c r="L4335" s="53" t="inlineStr">
        <is>
          <t>Не определено</t>
        </is>
      </c>
      <c r="M4335" s="53" t="inlineStr"/>
      <c r="N4335" s="54" t="inlineStr"/>
      <c r="O4335" s="55" t="inlineStr"/>
      <c r="P4335" s="16" t="inlineStr">
        <is>
          <t>Требует обогащения</t>
        </is>
      </c>
      <c r="Q4335" s="16">
        <f>HYPERLINK("https://pb.nalog.ru/search.html?query=6509017738","ФНС: проверить")</f>
        <v/>
      </c>
      <c r="R4335" s="16">
        <f>HYPERLINK("https://checko.ru/search?query=3801001629","Чекко: проверить")</f>
        <v/>
      </c>
      <c r="S4335" t="n">
        <v>1</v>
      </c>
      <c r="T4335" s="35" t="inlineStr">
        <is>
          <t>4 — Не обогащён</t>
        </is>
      </c>
      <c r="U4335" s="35" t="inlineStr">
        <is>
          <t>Нет ОКВЭД/ССЧР</t>
        </is>
      </c>
      <c r="V4335" s="35" t="inlineStr">
        <is>
          <t>Не определено</t>
        </is>
      </c>
      <c r="W4335" s="35" t="inlineStr"/>
      <c r="X4335" s="35" t="inlineStr"/>
    </row>
    <row r="4336" ht="41.25" customHeight="1" s="24">
      <c r="A4336" s="13" t="n">
        <v>5000081476</v>
      </c>
      <c r="B4336" s="13" t="inlineStr">
        <is>
          <t>МУНИЦИПАЛЬНОЕ КАЗЕННОЕ УЧРЕЖДЕНИЕ "ЕДИНАЯ ДЕЖУРНО-ДИСПЕТЧЕРСКАЯ СЛУЖБА УГЛЕГОРСКОГО ГОРОДСКОГО ОКРУГА"</t>
        </is>
      </c>
      <c r="C4336" s="13" t="n">
        <v>6508010923</v>
      </c>
      <c r="D4336" s="13" t="inlineStr">
        <is>
          <t>6508010923</t>
        </is>
      </c>
      <c r="E4336" s="13" t="inlineStr">
        <is>
          <t>ЮЛ РФ</t>
        </is>
      </c>
      <c r="F4336" s="13" t="n"/>
      <c r="G4336" s="14" t="n"/>
      <c r="H4336" s="14" t="n"/>
      <c r="I4336" s="14" t="n"/>
      <c r="J4336" s="14" t="n"/>
      <c r="K4336" s="53" t="inlineStr"/>
      <c r="L4336" s="53" t="inlineStr">
        <is>
          <t>Не определено</t>
        </is>
      </c>
      <c r="M4336" s="53" t="inlineStr"/>
      <c r="N4336" s="54" t="inlineStr"/>
      <c r="O4336" s="55" t="inlineStr"/>
      <c r="P4336" s="16" t="inlineStr">
        <is>
          <t>Требует обогащения</t>
        </is>
      </c>
      <c r="Q4336" s="16">
        <f>HYPERLINK("https://pb.nalog.ru/search.html?query=6508010923","ФНС: проверить")</f>
        <v/>
      </c>
      <c r="R4336" s="16">
        <f>HYPERLINK("https://checko.ru/search?query=3801001629","Чекко: проверить")</f>
        <v/>
      </c>
      <c r="S4336" t="n">
        <v>1</v>
      </c>
      <c r="T4336" s="35" t="inlineStr">
        <is>
          <t>4 — Не обогащён</t>
        </is>
      </c>
      <c r="U4336" s="35" t="inlineStr">
        <is>
          <t>Нет ОКВЭД/ССЧР</t>
        </is>
      </c>
      <c r="V4336" s="35" t="inlineStr">
        <is>
          <t>Не определено</t>
        </is>
      </c>
      <c r="W4336" s="35" t="inlineStr"/>
      <c r="X4336" s="35" t="inlineStr"/>
    </row>
    <row r="4337" ht="41.25" customHeight="1" s="24">
      <c r="A4337" s="13" t="n">
        <v>5000116330</v>
      </c>
      <c r="B4337" s="13" t="inlineStr">
        <is>
          <t>муниципальное бюджетное учреждение Корсаковское ДРСУ Корсаковского городского округа</t>
        </is>
      </c>
      <c r="C4337" s="13" t="n">
        <v>6500001300</v>
      </c>
      <c r="D4337" s="13" t="inlineStr">
        <is>
          <t>6500001300</t>
        </is>
      </c>
      <c r="E4337" s="13" t="inlineStr">
        <is>
          <t>ЮЛ РФ</t>
        </is>
      </c>
      <c r="F4337" s="13" t="n"/>
      <c r="G4337" s="14" t="n"/>
      <c r="H4337" s="14" t="n"/>
      <c r="I4337" s="14" t="n"/>
      <c r="J4337" s="14" t="n"/>
      <c r="K4337" s="53" t="inlineStr"/>
      <c r="L4337" s="53" t="inlineStr">
        <is>
          <t>Не определено</t>
        </is>
      </c>
      <c r="M4337" s="53" t="inlineStr"/>
      <c r="N4337" s="54" t="inlineStr"/>
      <c r="O4337" s="55" t="inlineStr"/>
      <c r="P4337" s="16" t="inlineStr">
        <is>
          <t>Требует обогащения</t>
        </is>
      </c>
      <c r="Q4337" s="16">
        <f>HYPERLINK("https://pb.nalog.ru/search.html?query=6500001300","ФНС: проверить")</f>
        <v/>
      </c>
      <c r="R4337" s="16">
        <f>HYPERLINK("https://checko.ru/search?query=3801001629","Чекко: проверить")</f>
        <v/>
      </c>
      <c r="S4337" t="n">
        <v>1</v>
      </c>
      <c r="T4337" s="35" t="inlineStr">
        <is>
          <t>4 — Не обогащён</t>
        </is>
      </c>
      <c r="U4337" s="35" t="inlineStr">
        <is>
          <t>Нет ОКВЭД/ССЧР</t>
        </is>
      </c>
      <c r="V4337" s="35" t="inlineStr">
        <is>
          <t>Не определено</t>
        </is>
      </c>
      <c r="W4337" s="35" t="inlineStr"/>
      <c r="X4337" s="35" t="inlineStr"/>
    </row>
    <row r="4338" ht="54.75" customHeight="1" s="24">
      <c r="A4338" s="13" t="n">
        <v>5000082322</v>
      </c>
      <c r="B4338" s="13" t="inlineStr">
        <is>
          <t>МКУ "ЦЕНТР ПО ОБЕСПЕЧЕНИЮ ДЕЯТЕЛЬНОСТИ ОТДЕЛА КУЛЬТУРЫ, СПОРТА И МОЛОДЕЖНОЙ ПОЛИТИКИ АДМИНИСТРАЦИИ НЕВЕЛЬСКОГО ГОРОДСКОГ</t>
        </is>
      </c>
      <c r="C4338" s="13" t="n">
        <v>6505999755</v>
      </c>
      <c r="D4338" s="13" t="inlineStr">
        <is>
          <t>6505999755</t>
        </is>
      </c>
      <c r="E4338" s="13" t="inlineStr">
        <is>
          <t>ЮЛ РФ</t>
        </is>
      </c>
      <c r="F4338" s="13" t="n"/>
      <c r="G4338" s="14" t="n"/>
      <c r="H4338" s="14" t="n"/>
      <c r="I4338" s="14" t="n"/>
      <c r="J4338" s="14" t="n"/>
      <c r="K4338" s="53" t="inlineStr"/>
      <c r="L4338" s="53" t="inlineStr">
        <is>
          <t>Не определено</t>
        </is>
      </c>
      <c r="M4338" s="53" t="inlineStr"/>
      <c r="N4338" s="54" t="inlineStr"/>
      <c r="O4338" s="55" t="inlineStr"/>
      <c r="P4338" s="16" t="inlineStr">
        <is>
          <t>Требует обогащения</t>
        </is>
      </c>
      <c r="Q4338" s="16">
        <f>HYPERLINK("https://pb.nalog.ru/search.html?query=6505999755","ФНС: проверить")</f>
        <v/>
      </c>
      <c r="R4338" s="16">
        <f>HYPERLINK("https://checko.ru/search?query=3801001629","Чекко: проверить")</f>
        <v/>
      </c>
      <c r="S4338" t="n">
        <v>1</v>
      </c>
      <c r="T4338" s="35" t="inlineStr">
        <is>
          <t>4 — Не обогащён</t>
        </is>
      </c>
      <c r="U4338" s="35" t="inlineStr">
        <is>
          <t>Нет ОКВЭД/ССЧР</t>
        </is>
      </c>
      <c r="V4338" s="35" t="inlineStr">
        <is>
          <t>Не определено</t>
        </is>
      </c>
      <c r="W4338" s="35" t="inlineStr"/>
      <c r="X4338" s="35" t="inlineStr"/>
    </row>
    <row r="4339" ht="41.25" customHeight="1" s="24">
      <c r="A4339" s="13" t="n">
        <v>5000100115</v>
      </c>
      <c r="B4339" s="13" t="inlineStr">
        <is>
          <t>ГБУ Сахалинской области "Многофункциональный центр предоставления государственных и муниципальных услуг"</t>
        </is>
      </c>
      <c r="C4339" s="13" t="n">
        <v>6501250531</v>
      </c>
      <c r="D4339" s="13" t="inlineStr">
        <is>
          <t>6501250531</t>
        </is>
      </c>
      <c r="E4339" s="13" t="inlineStr">
        <is>
          <t>ЮЛ РФ</t>
        </is>
      </c>
      <c r="F4339" s="13" t="n"/>
      <c r="G4339" s="14" t="n"/>
      <c r="H4339" s="14" t="n"/>
      <c r="I4339" s="14" t="n"/>
      <c r="J4339" s="14" t="n"/>
      <c r="K4339" s="53" t="inlineStr"/>
      <c r="L4339" s="53" t="inlineStr">
        <is>
          <t>Не определено</t>
        </is>
      </c>
      <c r="M4339" s="53" t="inlineStr"/>
      <c r="N4339" s="54" t="inlineStr"/>
      <c r="O4339" s="55" t="inlineStr"/>
      <c r="P4339" s="16" t="inlineStr">
        <is>
          <t>Требует обогащения</t>
        </is>
      </c>
      <c r="Q4339" s="16">
        <f>HYPERLINK("https://pb.nalog.ru/search.html?query=6501250531","ФНС: проверить")</f>
        <v/>
      </c>
      <c r="R4339" s="16">
        <f>HYPERLINK("https://checko.ru/search?query=3801001629","Чекко: проверить")</f>
        <v/>
      </c>
      <c r="S4339" t="n">
        <v>1</v>
      </c>
      <c r="T4339" s="35" t="inlineStr">
        <is>
          <t>4 — Не обогащён</t>
        </is>
      </c>
      <c r="U4339" s="35" t="inlineStr">
        <is>
          <t>Нет ОКВЭД/ССЧР</t>
        </is>
      </c>
      <c r="V4339" s="35" t="inlineStr">
        <is>
          <t>Не определено</t>
        </is>
      </c>
      <c r="W4339" s="35" t="inlineStr"/>
      <c r="X4339" s="35" t="inlineStr"/>
    </row>
    <row r="4340" ht="15" customHeight="1" s="24">
      <c r="A4340" s="13" t="n">
        <v>5000035406</v>
      </c>
      <c r="B4340" s="13" t="inlineStr">
        <is>
          <t>Администрация Невельского городского округа</t>
        </is>
      </c>
      <c r="C4340" s="13" t="n">
        <v>6505001864</v>
      </c>
      <c r="D4340" s="13" t="inlineStr">
        <is>
          <t>6505001864</t>
        </is>
      </c>
      <c r="E4340" s="13" t="inlineStr">
        <is>
          <t>ЮЛ РФ</t>
        </is>
      </c>
      <c r="F4340" s="13" t="n"/>
      <c r="G4340" s="14" t="n"/>
      <c r="H4340" s="14" t="n"/>
      <c r="I4340" s="14" t="n"/>
      <c r="J4340" s="14" t="n"/>
      <c r="K4340" s="53" t="inlineStr"/>
      <c r="L4340" s="53" t="inlineStr">
        <is>
          <t>Не определено</t>
        </is>
      </c>
      <c r="M4340" s="53" t="inlineStr"/>
      <c r="N4340" s="54" t="inlineStr"/>
      <c r="O4340" s="55" t="inlineStr"/>
      <c r="P4340" s="16" t="inlineStr">
        <is>
          <t>Требует обогащения</t>
        </is>
      </c>
      <c r="Q4340" s="16">
        <f>HYPERLINK("https://pb.nalog.ru/search.html?query=6505001864","ФНС: проверить")</f>
        <v/>
      </c>
      <c r="R4340" s="16">
        <f>HYPERLINK("https://checko.ru/search?query=3801001629","Чекко: проверить")</f>
        <v/>
      </c>
      <c r="S4340" t="n">
        <v>1</v>
      </c>
      <c r="T4340" s="35" t="inlineStr">
        <is>
          <t>4 — Не обогащён</t>
        </is>
      </c>
      <c r="U4340" s="35" t="inlineStr">
        <is>
          <t>Нет ОКВЭД/ССЧР</t>
        </is>
      </c>
      <c r="V4340" s="35" t="inlineStr">
        <is>
          <t>Не определено</t>
        </is>
      </c>
      <c r="W4340" s="35" t="inlineStr"/>
      <c r="X4340" s="35" t="inlineStr"/>
    </row>
    <row r="4341" ht="15" customHeight="1" s="24">
      <c r="A4341" s="13" t="n">
        <v>5000035406</v>
      </c>
      <c r="B4341" s="13" t="inlineStr">
        <is>
          <t>Администрация Невельского городского округа</t>
        </is>
      </c>
      <c r="C4341" s="13" t="n">
        <v>6505001864</v>
      </c>
      <c r="D4341" s="13" t="inlineStr">
        <is>
          <t>6505001864</t>
        </is>
      </c>
      <c r="E4341" s="13" t="inlineStr">
        <is>
          <t>ЮЛ РФ</t>
        </is>
      </c>
      <c r="F4341" s="13" t="n"/>
      <c r="G4341" s="14" t="n"/>
      <c r="H4341" s="14" t="n"/>
      <c r="I4341" s="14" t="n"/>
      <c r="J4341" s="14" t="n"/>
      <c r="K4341" s="53" t="inlineStr"/>
      <c r="L4341" s="53" t="inlineStr">
        <is>
          <t>Не определено</t>
        </is>
      </c>
      <c r="M4341" s="53" t="inlineStr"/>
      <c r="N4341" s="54" t="inlineStr"/>
      <c r="O4341" s="55" t="inlineStr"/>
      <c r="P4341" s="16" t="inlineStr">
        <is>
          <t>Требует обогащения</t>
        </is>
      </c>
      <c r="Q4341" s="16">
        <f>HYPERLINK("https://pb.nalog.ru/search.html?query=6505001864","ФНС: проверить")</f>
        <v/>
      </c>
      <c r="R4341" s="16">
        <f>HYPERLINK("https://checko.ru/search?query=3801001629","Чекко: проверить")</f>
        <v/>
      </c>
      <c r="S4341" t="n">
        <v>0</v>
      </c>
      <c r="T4341" s="35" t="inlineStr">
        <is>
          <t>4 — Не обогащён</t>
        </is>
      </c>
      <c r="U4341" s="35" t="inlineStr">
        <is>
          <t>Нет ОКВЭД/ССЧР</t>
        </is>
      </c>
      <c r="V4341" s="35" t="inlineStr">
        <is>
          <t>Не определено</t>
        </is>
      </c>
      <c r="W4341" s="35" t="inlineStr"/>
      <c r="X4341" s="35" t="inlineStr"/>
    </row>
    <row r="4342" ht="41.25" customHeight="1" s="24">
      <c r="A4342" s="13" t="n">
        <v>5000117782</v>
      </c>
      <c r="B4342" s="13" t="inlineStr">
        <is>
          <t>МАОУ средняя общеобразовательная школа № 6 г. Холмска муниципального образования «Холмский городско</t>
        </is>
      </c>
      <c r="C4342" s="13" t="n">
        <v>6509006180</v>
      </c>
      <c r="D4342" s="13" t="inlineStr">
        <is>
          <t>6509006180</t>
        </is>
      </c>
      <c r="E4342" s="13" t="inlineStr">
        <is>
          <t>ЮЛ РФ</t>
        </is>
      </c>
      <c r="F4342" s="13" t="n"/>
      <c r="G4342" s="14" t="n"/>
      <c r="H4342" s="14" t="n"/>
      <c r="I4342" s="14" t="n"/>
      <c r="J4342" s="14" t="n"/>
      <c r="K4342" s="53" t="inlineStr"/>
      <c r="L4342" s="53" t="inlineStr">
        <is>
          <t>Не определено</t>
        </is>
      </c>
      <c r="M4342" s="53" t="inlineStr"/>
      <c r="N4342" s="54" t="inlineStr"/>
      <c r="O4342" s="55" t="inlineStr"/>
      <c r="P4342" s="16" t="inlineStr">
        <is>
          <t>Требует обогащения</t>
        </is>
      </c>
      <c r="Q4342" s="16">
        <f>HYPERLINK("https://pb.nalog.ru/search.html?query=6509006180","ФНС: проверить")</f>
        <v/>
      </c>
      <c r="R4342" s="16">
        <f>HYPERLINK("https://checko.ru/search?query=3801001629","Чекко: проверить")</f>
        <v/>
      </c>
      <c r="S4342" t="n">
        <v>1</v>
      </c>
      <c r="T4342" s="35" t="inlineStr">
        <is>
          <t>4 — Не обогащён</t>
        </is>
      </c>
      <c r="U4342" s="35" t="inlineStr">
        <is>
          <t>Нет ОКВЭД/ССЧР</t>
        </is>
      </c>
      <c r="V4342" s="35" t="inlineStr">
        <is>
          <t>Не определено</t>
        </is>
      </c>
      <c r="W4342" s="35" t="inlineStr"/>
      <c r="X4342" s="35" t="inlineStr"/>
    </row>
    <row r="4343" ht="15" customHeight="1" s="24">
      <c r="A4343" s="13" t="n">
        <v>5000089261</v>
      </c>
      <c r="B4343" s="13" t="inlineStr">
        <is>
          <t>КГОБУ РАКИТНЕНСКАЯ КШИ</t>
        </is>
      </c>
      <c r="C4343" s="13" t="n">
        <v>2506008030</v>
      </c>
      <c r="D4343" s="13" t="inlineStr">
        <is>
          <t>2506008030</t>
        </is>
      </c>
      <c r="E4343" s="13" t="inlineStr">
        <is>
          <t>ЮЛ РФ</t>
        </is>
      </c>
      <c r="F4343" s="13" t="n"/>
      <c r="G4343" s="14" t="n"/>
      <c r="H4343" s="14" t="n"/>
      <c r="I4343" s="14" t="n"/>
      <c r="J4343" s="14" t="n"/>
      <c r="K4343" s="53" t="inlineStr"/>
      <c r="L4343" s="53" t="inlineStr">
        <is>
          <t>Не определено</t>
        </is>
      </c>
      <c r="M4343" s="53" t="inlineStr"/>
      <c r="N4343" s="54" t="inlineStr"/>
      <c r="O4343" s="55" t="inlineStr"/>
      <c r="P4343" s="16" t="inlineStr">
        <is>
          <t>Требует обогащения</t>
        </is>
      </c>
      <c r="Q4343" s="16">
        <f>HYPERLINK("https://pb.nalog.ru/search.html?query=2506008030","ФНС: проверить")</f>
        <v/>
      </c>
      <c r="R4343" s="16">
        <f>HYPERLINK("https://checko.ru/search?query=3801001629","Чекко: проверить")</f>
        <v/>
      </c>
      <c r="S4343" t="n">
        <v>1</v>
      </c>
      <c r="T4343" s="35" t="inlineStr">
        <is>
          <t>4 — Не обогащён</t>
        </is>
      </c>
      <c r="U4343" s="35" t="inlineStr">
        <is>
          <t>Нет ОКВЭД/ССЧР</t>
        </is>
      </c>
      <c r="V4343" s="35" t="inlineStr">
        <is>
          <t>Не определено</t>
        </is>
      </c>
      <c r="W4343" s="35" t="inlineStr"/>
      <c r="X4343" s="35" t="inlineStr"/>
    </row>
    <row r="4344" ht="15" customHeight="1" s="24">
      <c r="A4344" s="13" t="n">
        <v>5000116323</v>
      </c>
      <c r="B4344" s="13" t="inlineStr">
        <is>
          <t>МБУ «Ногликская телевизионная студия»</t>
        </is>
      </c>
      <c r="C4344" s="13" t="n">
        <v>6513000504</v>
      </c>
      <c r="D4344" s="13" t="inlineStr">
        <is>
          <t>6513000504</t>
        </is>
      </c>
      <c r="E4344" s="13" t="inlineStr">
        <is>
          <t>ЮЛ РФ</t>
        </is>
      </c>
      <c r="F4344" s="13" t="n"/>
      <c r="G4344" s="14" t="n"/>
      <c r="H4344" s="14" t="n"/>
      <c r="I4344" s="14" t="n"/>
      <c r="J4344" s="14" t="n"/>
      <c r="K4344" s="53" t="inlineStr"/>
      <c r="L4344" s="53" t="inlineStr">
        <is>
          <t>Не определено</t>
        </is>
      </c>
      <c r="M4344" s="53" t="inlineStr"/>
      <c r="N4344" s="54" t="inlineStr"/>
      <c r="O4344" s="55" t="inlineStr"/>
      <c r="P4344" s="16" t="inlineStr">
        <is>
          <t>Требует обогащения</t>
        </is>
      </c>
      <c r="Q4344" s="16">
        <f>HYPERLINK("https://pb.nalog.ru/search.html?query=6513000504","ФНС: проверить")</f>
        <v/>
      </c>
      <c r="R4344" s="16">
        <f>HYPERLINK("https://checko.ru/search?query=3801001629","Чекко: проверить")</f>
        <v/>
      </c>
      <c r="S4344" t="n">
        <v>1</v>
      </c>
      <c r="T4344" s="35" t="inlineStr">
        <is>
          <t>4 — Не обогащён</t>
        </is>
      </c>
      <c r="U4344" s="35" t="inlineStr">
        <is>
          <t>Нет ОКВЭД/ССЧР</t>
        </is>
      </c>
      <c r="V4344" s="35" t="inlineStr">
        <is>
          <t>Не определено</t>
        </is>
      </c>
      <c r="W4344" s="35" t="inlineStr"/>
      <c r="X4344" s="35" t="inlineStr"/>
    </row>
    <row r="4345" ht="15" customHeight="1" s="24">
      <c r="A4345" s="13" t="n">
        <v>5000089285</v>
      </c>
      <c r="B4345" s="13" t="inlineStr">
        <is>
          <t>КГОБУ "Спасская КШИ"</t>
        </is>
      </c>
      <c r="C4345" s="13" t="n">
        <v>2510008360</v>
      </c>
      <c r="D4345" s="13" t="inlineStr">
        <is>
          <t>2510008360</t>
        </is>
      </c>
      <c r="E4345" s="13" t="inlineStr">
        <is>
          <t>ЮЛ РФ</t>
        </is>
      </c>
      <c r="F4345" s="13" t="n"/>
      <c r="G4345" s="14" t="n"/>
      <c r="H4345" s="14" t="n"/>
      <c r="I4345" s="14" t="n"/>
      <c r="J4345" s="14" t="n"/>
      <c r="K4345" s="53" t="inlineStr"/>
      <c r="L4345" s="53" t="inlineStr">
        <is>
          <t>Не определено</t>
        </is>
      </c>
      <c r="M4345" s="53" t="inlineStr"/>
      <c r="N4345" s="54" t="inlineStr"/>
      <c r="O4345" s="55" t="inlineStr"/>
      <c r="P4345" s="16" t="inlineStr">
        <is>
          <t>Требует обогащения</t>
        </is>
      </c>
      <c r="Q4345" s="16">
        <f>HYPERLINK("https://pb.nalog.ru/search.html?query=2510008360","ФНС: проверить")</f>
        <v/>
      </c>
      <c r="R4345" s="16">
        <f>HYPERLINK("https://checko.ru/search?query=3801001629","Чекко: проверить")</f>
        <v/>
      </c>
      <c r="S4345" t="n">
        <v>1</v>
      </c>
      <c r="T4345" s="35" t="inlineStr">
        <is>
          <t>4 — Не обогащён</t>
        </is>
      </c>
      <c r="U4345" s="35" t="inlineStr">
        <is>
          <t>Нет ОКВЭД/ССЧР</t>
        </is>
      </c>
      <c r="V4345" s="35" t="inlineStr">
        <is>
          <t>Не определено</t>
        </is>
      </c>
      <c r="W4345" s="35" t="inlineStr"/>
      <c r="X4345" s="35" t="inlineStr"/>
    </row>
    <row r="4346" ht="15" customHeight="1" s="24">
      <c r="A4346" s="13" t="n">
        <v>5000071654</v>
      </c>
      <c r="B4346" s="13" t="inlineStr">
        <is>
          <t>Министерство экологии Сахалинской области</t>
        </is>
      </c>
      <c r="C4346" s="13" t="n">
        <v>6501231673</v>
      </c>
      <c r="D4346" s="13" t="inlineStr">
        <is>
          <t>6501231673</t>
        </is>
      </c>
      <c r="E4346" s="13" t="inlineStr">
        <is>
          <t>ЮЛ РФ</t>
        </is>
      </c>
      <c r="F4346" s="13" t="n"/>
      <c r="G4346" s="14" t="n"/>
      <c r="H4346" s="14" t="n"/>
      <c r="I4346" s="14" t="n"/>
      <c r="J4346" s="14" t="n"/>
      <c r="K4346" s="53" t="inlineStr"/>
      <c r="L4346" s="53" t="inlineStr">
        <is>
          <t>Не определено</t>
        </is>
      </c>
      <c r="M4346" s="53" t="inlineStr"/>
      <c r="N4346" s="54" t="inlineStr"/>
      <c r="O4346" s="55" t="inlineStr"/>
      <c r="P4346" s="16" t="inlineStr">
        <is>
          <t>Требует обогащения</t>
        </is>
      </c>
      <c r="Q4346" s="16">
        <f>HYPERLINK("https://pb.nalog.ru/search.html?query=6501231673","ФНС: проверить")</f>
        <v/>
      </c>
      <c r="R4346" s="16">
        <f>HYPERLINK("https://checko.ru/search?query=3801001629","Чекко: проверить")</f>
        <v/>
      </c>
      <c r="S4346" t="n">
        <v>1</v>
      </c>
      <c r="T4346" s="35" t="inlineStr">
        <is>
          <t>4 — Не обогащён</t>
        </is>
      </c>
      <c r="U4346" s="35" t="inlineStr">
        <is>
          <t>Нет ОКВЭД/ССЧР</t>
        </is>
      </c>
      <c r="V4346" s="35" t="inlineStr">
        <is>
          <t>Не определено</t>
        </is>
      </c>
      <c r="W4346" s="35" t="inlineStr"/>
      <c r="X4346" s="35" t="inlineStr"/>
    </row>
    <row r="4347" ht="15" customHeight="1" s="24">
      <c r="A4347" s="13" t="n">
        <v>5000071654</v>
      </c>
      <c r="B4347" s="13" t="inlineStr">
        <is>
          <t>Министерство экологии Сахалинской области</t>
        </is>
      </c>
      <c r="C4347" s="13" t="n">
        <v>6501231673</v>
      </c>
      <c r="D4347" s="13" t="inlineStr">
        <is>
          <t>6501231673</t>
        </is>
      </c>
      <c r="E4347" s="13" t="inlineStr">
        <is>
          <t>ЮЛ РФ</t>
        </is>
      </c>
      <c r="F4347" s="13" t="n"/>
      <c r="G4347" s="14" t="n"/>
      <c r="H4347" s="14" t="n"/>
      <c r="I4347" s="14" t="n"/>
      <c r="J4347" s="14" t="n"/>
      <c r="K4347" s="53" t="inlineStr"/>
      <c r="L4347" s="53" t="inlineStr">
        <is>
          <t>Не определено</t>
        </is>
      </c>
      <c r="M4347" s="53" t="inlineStr"/>
      <c r="N4347" s="54" t="inlineStr"/>
      <c r="O4347" s="55" t="inlineStr"/>
      <c r="P4347" s="16" t="inlineStr">
        <is>
          <t>Требует обогащения</t>
        </is>
      </c>
      <c r="Q4347" s="16">
        <f>HYPERLINK("https://pb.nalog.ru/search.html?query=6501231673","ФНС: проверить")</f>
        <v/>
      </c>
      <c r="R4347" s="16">
        <f>HYPERLINK("https://checko.ru/search?query=3801001629","Чекко: проверить")</f>
        <v/>
      </c>
      <c r="S4347" t="n">
        <v>0</v>
      </c>
      <c r="T4347" s="35" t="inlineStr">
        <is>
          <t>4 — Не обогащён</t>
        </is>
      </c>
      <c r="U4347" s="35" t="inlineStr">
        <is>
          <t>Нет ОКВЭД/ССЧР</t>
        </is>
      </c>
      <c r="V4347" s="35" t="inlineStr">
        <is>
          <t>Не определено</t>
        </is>
      </c>
      <c r="W4347" s="35" t="inlineStr"/>
      <c r="X4347" s="35" t="inlineStr"/>
    </row>
    <row r="4348" ht="27.75" customHeight="1" s="24">
      <c r="A4348" s="13" t="n">
        <v>5000071697</v>
      </c>
      <c r="B4348" s="13" t="inlineStr">
        <is>
          <t>МКУ "ЮРИДИЧЕСКАЯ СЛУЖБА" УГЛЕГОРСКОГО ГОРОДСКОГО ОКРУГА САХАЛИНСКОЙ ОБЛАСТИ</t>
        </is>
      </c>
      <c r="C4348" s="13" t="n">
        <v>6508010793</v>
      </c>
      <c r="D4348" s="13" t="inlineStr">
        <is>
          <t>6508010793</t>
        </is>
      </c>
      <c r="E4348" s="13" t="inlineStr">
        <is>
          <t>ЮЛ РФ</t>
        </is>
      </c>
      <c r="F4348" s="13" t="n"/>
      <c r="G4348" s="14" t="n"/>
      <c r="H4348" s="14" t="n"/>
      <c r="I4348" s="14" t="n"/>
      <c r="J4348" s="14" t="n"/>
      <c r="K4348" s="53" t="inlineStr"/>
      <c r="L4348" s="53" t="inlineStr">
        <is>
          <t>Не определено</t>
        </is>
      </c>
      <c r="M4348" s="53" t="inlineStr"/>
      <c r="N4348" s="54" t="inlineStr"/>
      <c r="O4348" s="55" t="inlineStr"/>
      <c r="P4348" s="16" t="inlineStr">
        <is>
          <t>Требует обогащения</t>
        </is>
      </c>
      <c r="Q4348" s="16">
        <f>HYPERLINK("https://pb.nalog.ru/search.html?query=6508010793","ФНС: проверить")</f>
        <v/>
      </c>
      <c r="R4348" s="16">
        <f>HYPERLINK("https://checko.ru/search?query=3801001629","Чекко: проверить")</f>
        <v/>
      </c>
      <c r="S4348" t="n">
        <v>1</v>
      </c>
      <c r="T4348" s="35" t="inlineStr">
        <is>
          <t>4 — Не обогащён</t>
        </is>
      </c>
      <c r="U4348" s="35" t="inlineStr">
        <is>
          <t>Нет ОКВЭД/ССЧР</t>
        </is>
      </c>
      <c r="V4348" s="35" t="inlineStr">
        <is>
          <t>Не определено</t>
        </is>
      </c>
      <c r="W4348" s="35" t="inlineStr"/>
      <c r="X4348" s="35" t="inlineStr"/>
    </row>
    <row r="4349" ht="15" customHeight="1" s="24">
      <c r="A4349" s="13" t="n">
        <v>5000098204</v>
      </c>
      <c r="B4349" s="13" t="inlineStr">
        <is>
          <t>КГБУСО "Хорольское ДИПИ"</t>
        </is>
      </c>
      <c r="C4349" s="13" t="n">
        <v>2532008822</v>
      </c>
      <c r="D4349" s="13" t="inlineStr">
        <is>
          <t>2532008822</t>
        </is>
      </c>
      <c r="E4349" s="13" t="inlineStr">
        <is>
          <t>ЮЛ РФ</t>
        </is>
      </c>
      <c r="F4349" s="13" t="n"/>
      <c r="G4349" s="14" t="n"/>
      <c r="H4349" s="14" t="n"/>
      <c r="I4349" s="14" t="n"/>
      <c r="J4349" s="14" t="n"/>
      <c r="K4349" s="53" t="inlineStr"/>
      <c r="L4349" s="53" t="inlineStr">
        <is>
          <t>Не определено</t>
        </is>
      </c>
      <c r="M4349" s="53" t="inlineStr"/>
      <c r="N4349" s="54" t="inlineStr"/>
      <c r="O4349" s="55" t="inlineStr"/>
      <c r="P4349" s="16" t="inlineStr">
        <is>
          <t>Требует обогащения</t>
        </is>
      </c>
      <c r="Q4349" s="16">
        <f>HYPERLINK("https://pb.nalog.ru/search.html?query=2532008822","ФНС: проверить")</f>
        <v/>
      </c>
      <c r="R4349" s="16">
        <f>HYPERLINK("https://checko.ru/search?query=3801001629","Чекко: проверить")</f>
        <v/>
      </c>
      <c r="S4349" t="n">
        <v>1</v>
      </c>
      <c r="T4349" s="35" t="inlineStr">
        <is>
          <t>4 — Не обогащён</t>
        </is>
      </c>
      <c r="U4349" s="35" t="inlineStr">
        <is>
          <t>Нет ОКВЭД/ССЧР</t>
        </is>
      </c>
      <c r="V4349" s="35" t="inlineStr">
        <is>
          <t>Не определено</t>
        </is>
      </c>
      <c r="W4349" s="35" t="inlineStr"/>
      <c r="X4349" s="35" t="inlineStr"/>
    </row>
    <row r="4350" ht="41.25" customHeight="1" s="24">
      <c r="A4350" s="13" t="n">
        <v>5000044830</v>
      </c>
      <c r="B4350" s="13" t="inlineStr">
        <is>
          <t>Муниципальное бюджетное дошкольное образовательное учреждение "Детский сад № 1 "Солнышко" г.Макарова"</t>
        </is>
      </c>
      <c r="C4350" s="13" t="n">
        <v>6512016220</v>
      </c>
      <c r="D4350" s="13" t="inlineStr">
        <is>
          <t>6512016220</t>
        </is>
      </c>
      <c r="E4350" s="13" t="inlineStr">
        <is>
          <t>ЮЛ РФ</t>
        </is>
      </c>
      <c r="F4350" s="13" t="n"/>
      <c r="G4350" s="14" t="n"/>
      <c r="H4350" s="14" t="n"/>
      <c r="I4350" s="14" t="n"/>
      <c r="J4350" s="14" t="n"/>
      <c r="K4350" s="53" t="inlineStr"/>
      <c r="L4350" s="53" t="inlineStr">
        <is>
          <t>Не определено</t>
        </is>
      </c>
      <c r="M4350" s="53" t="inlineStr"/>
      <c r="N4350" s="54" t="inlineStr"/>
      <c r="O4350" s="55" t="inlineStr"/>
      <c r="P4350" s="16" t="inlineStr">
        <is>
          <t>Требует обогащения</t>
        </is>
      </c>
      <c r="Q4350" s="16">
        <f>HYPERLINK("https://pb.nalog.ru/search.html?query=6512016220","ФНС: проверить")</f>
        <v/>
      </c>
      <c r="R4350" s="16">
        <f>HYPERLINK("https://checko.ru/search?query=3801001629","Чекко: проверить")</f>
        <v/>
      </c>
      <c r="S4350" t="n">
        <v>1</v>
      </c>
      <c r="T4350" s="35" t="inlineStr">
        <is>
          <t>4 — Не обогащён</t>
        </is>
      </c>
      <c r="U4350" s="35" t="inlineStr">
        <is>
          <t>Нет ОКВЭД/ССЧР</t>
        </is>
      </c>
      <c r="V4350" s="35" t="inlineStr">
        <is>
          <t>Не определено</t>
        </is>
      </c>
      <c r="W4350" s="35" t="inlineStr"/>
      <c r="X4350" s="35" t="inlineStr"/>
    </row>
    <row r="4351" ht="41.25" customHeight="1" s="24">
      <c r="A4351" s="13" t="n">
        <v>5000044831</v>
      </c>
      <c r="B4351" s="13" t="inlineStr">
        <is>
          <t>Муниципальное бюджетное дошкольное образовательное учреждение "Детский сад № 2 "Аленький цветочек" г.Макарова"</t>
        </is>
      </c>
      <c r="C4351" s="13" t="n">
        <v>6512003541</v>
      </c>
      <c r="D4351" s="13" t="inlineStr">
        <is>
          <t>6512003541</t>
        </is>
      </c>
      <c r="E4351" s="13" t="inlineStr">
        <is>
          <t>ЮЛ РФ</t>
        </is>
      </c>
      <c r="F4351" s="13" t="n"/>
      <c r="G4351" s="14" t="n"/>
      <c r="H4351" s="14" t="n"/>
      <c r="I4351" s="14" t="n"/>
      <c r="J4351" s="14" t="n"/>
      <c r="K4351" s="53" t="inlineStr"/>
      <c r="L4351" s="53" t="inlineStr">
        <is>
          <t>Не определено</t>
        </is>
      </c>
      <c r="M4351" s="53" t="inlineStr"/>
      <c r="N4351" s="54" t="inlineStr"/>
      <c r="O4351" s="55" t="inlineStr"/>
      <c r="P4351" s="16" t="inlineStr">
        <is>
          <t>Требует обогащения</t>
        </is>
      </c>
      <c r="Q4351" s="16">
        <f>HYPERLINK("https://pb.nalog.ru/search.html?query=6512003541","ФНС: проверить")</f>
        <v/>
      </c>
      <c r="R4351" s="16">
        <f>HYPERLINK("https://checko.ru/search?query=3801001629","Чекко: проверить")</f>
        <v/>
      </c>
      <c r="S4351" t="n">
        <v>1</v>
      </c>
      <c r="T4351" s="35" t="inlineStr">
        <is>
          <t>4 — Не обогащён</t>
        </is>
      </c>
      <c r="U4351" s="35" t="inlineStr">
        <is>
          <t>Нет ОКВЭД/ССЧР</t>
        </is>
      </c>
      <c r="V4351" s="35" t="inlineStr">
        <is>
          <t>Не определено</t>
        </is>
      </c>
      <c r="W4351" s="35" t="inlineStr"/>
      <c r="X4351" s="35" t="inlineStr"/>
    </row>
    <row r="4352" ht="41.25" customHeight="1" s="24">
      <c r="A4352" s="13" t="n">
        <v>5000044832</v>
      </c>
      <c r="B4352" s="13" t="inlineStr">
        <is>
          <t>Муниципальное бюджетное общеобразовательное учреждение "Средняя общеобразовательная школа с.Новое"</t>
        </is>
      </c>
      <c r="C4352" s="13" t="n">
        <v>6512003446</v>
      </c>
      <c r="D4352" s="13" t="inlineStr">
        <is>
          <t>6512003446</t>
        </is>
      </c>
      <c r="E4352" s="13" t="inlineStr">
        <is>
          <t>ЮЛ РФ</t>
        </is>
      </c>
      <c r="F4352" s="13" t="n"/>
      <c r="G4352" s="14" t="n"/>
      <c r="H4352" s="14" t="n"/>
      <c r="I4352" s="14" t="n"/>
      <c r="J4352" s="14" t="n"/>
      <c r="K4352" s="53" t="inlineStr"/>
      <c r="L4352" s="53" t="inlineStr">
        <is>
          <t>Не определено</t>
        </is>
      </c>
      <c r="M4352" s="53" t="inlineStr"/>
      <c r="N4352" s="54" t="inlineStr"/>
      <c r="O4352" s="55" t="inlineStr"/>
      <c r="P4352" s="16" t="inlineStr">
        <is>
          <t>Требует обогащения</t>
        </is>
      </c>
      <c r="Q4352" s="16">
        <f>HYPERLINK("https://pb.nalog.ru/search.html?query=6512003446","ФНС: проверить")</f>
        <v/>
      </c>
      <c r="R4352" s="16">
        <f>HYPERLINK("https://checko.ru/search?query=3801001629","Чекко: проверить")</f>
        <v/>
      </c>
      <c r="S4352" t="n">
        <v>1</v>
      </c>
      <c r="T4352" s="35" t="inlineStr">
        <is>
          <t>4 — Не обогащён</t>
        </is>
      </c>
      <c r="U4352" s="35" t="inlineStr">
        <is>
          <t>Нет ОКВЭД/ССЧР</t>
        </is>
      </c>
      <c r="V4352" s="35" t="inlineStr">
        <is>
          <t>Не определено</t>
        </is>
      </c>
      <c r="W4352" s="35" t="inlineStr"/>
      <c r="X4352" s="35" t="inlineStr"/>
    </row>
    <row r="4353" ht="41.25" customHeight="1" s="24">
      <c r="A4353" s="13" t="n">
        <v>5000044833</v>
      </c>
      <c r="B4353" s="13" t="inlineStr">
        <is>
          <t>Муниципальное бюджетное общеобразовательное учреждение "Основная общеобразовательная школа с. Восточное"</t>
        </is>
      </c>
      <c r="C4353" s="13" t="n">
        <v>6512003559</v>
      </c>
      <c r="D4353" s="13" t="inlineStr">
        <is>
          <t>6512003559</t>
        </is>
      </c>
      <c r="E4353" s="13" t="inlineStr">
        <is>
          <t>ЮЛ РФ</t>
        </is>
      </c>
      <c r="F4353" s="13" t="n"/>
      <c r="G4353" s="14" t="n"/>
      <c r="H4353" s="14" t="n"/>
      <c r="I4353" s="14" t="n"/>
      <c r="J4353" s="14" t="n"/>
      <c r="K4353" s="53" t="inlineStr"/>
      <c r="L4353" s="53" t="inlineStr">
        <is>
          <t>Не определено</t>
        </is>
      </c>
      <c r="M4353" s="53" t="inlineStr"/>
      <c r="N4353" s="54" t="inlineStr"/>
      <c r="O4353" s="55" t="inlineStr"/>
      <c r="P4353" s="16" t="inlineStr">
        <is>
          <t>Требует обогащения</t>
        </is>
      </c>
      <c r="Q4353" s="16">
        <f>HYPERLINK("https://pb.nalog.ru/search.html?query=6512003559","ФНС: проверить")</f>
        <v/>
      </c>
      <c r="R4353" s="16">
        <f>HYPERLINK("https://checko.ru/search?query=3801001629","Чекко: проверить")</f>
        <v/>
      </c>
      <c r="S4353" t="n">
        <v>1</v>
      </c>
      <c r="T4353" s="35" t="inlineStr">
        <is>
          <t>4 — Не обогащён</t>
        </is>
      </c>
      <c r="U4353" s="35" t="inlineStr">
        <is>
          <t>Нет ОКВЭД/ССЧР</t>
        </is>
      </c>
      <c r="V4353" s="35" t="inlineStr">
        <is>
          <t>Не определено</t>
        </is>
      </c>
      <c r="W4353" s="35" t="inlineStr"/>
      <c r="X4353" s="35" t="inlineStr"/>
    </row>
    <row r="4354" ht="54.75" customHeight="1" s="24">
      <c r="A4354" s="13" t="n">
        <v>5000044834</v>
      </c>
      <c r="B4354" s="13" t="inlineStr">
        <is>
          <t>Муниципальное бюджетное общеобразовательное учреждение "Начальная общеобразовательная школа с.Поречье" Сахалинской области</t>
        </is>
      </c>
      <c r="C4354" s="13" t="n">
        <v>6512003510</v>
      </c>
      <c r="D4354" s="13" t="inlineStr">
        <is>
          <t>6512003510</t>
        </is>
      </c>
      <c r="E4354" s="13" t="inlineStr">
        <is>
          <t>ЮЛ РФ</t>
        </is>
      </c>
      <c r="F4354" s="13" t="n"/>
      <c r="G4354" s="14" t="n"/>
      <c r="H4354" s="14" t="n"/>
      <c r="I4354" s="14" t="n"/>
      <c r="J4354" s="14" t="n"/>
      <c r="K4354" s="53" t="inlineStr"/>
      <c r="L4354" s="53" t="inlineStr">
        <is>
          <t>Не определено</t>
        </is>
      </c>
      <c r="M4354" s="53" t="inlineStr"/>
      <c r="N4354" s="54" t="inlineStr"/>
      <c r="O4354" s="55" t="inlineStr"/>
      <c r="P4354" s="16" t="inlineStr">
        <is>
          <t>Требует обогащения</t>
        </is>
      </c>
      <c r="Q4354" s="16">
        <f>HYPERLINK("https://pb.nalog.ru/search.html?query=6512003510","ФНС: проверить")</f>
        <v/>
      </c>
      <c r="R4354" s="16">
        <f>HYPERLINK("https://checko.ru/search?query=3801001629","Чекко: проверить")</f>
        <v/>
      </c>
      <c r="S4354" t="n">
        <v>1</v>
      </c>
      <c r="T4354" s="35" t="inlineStr">
        <is>
          <t>4 — Не обогащён</t>
        </is>
      </c>
      <c r="U4354" s="35" t="inlineStr">
        <is>
          <t>Нет ОКВЭД/ССЧР</t>
        </is>
      </c>
      <c r="V4354" s="35" t="inlineStr">
        <is>
          <t>Не определено</t>
        </is>
      </c>
      <c r="W4354" s="35" t="inlineStr"/>
      <c r="X4354" s="35" t="inlineStr"/>
    </row>
    <row r="4355" ht="15" customHeight="1" s="24">
      <c r="A4355" s="13" t="n">
        <v>5000067365</v>
      </c>
      <c r="B4355" s="13" t="inlineStr">
        <is>
          <t>УКС МО ГО "Смирныховский"</t>
        </is>
      </c>
      <c r="C4355" s="13" t="n">
        <v>6514009531</v>
      </c>
      <c r="D4355" s="13" t="inlineStr">
        <is>
          <t>6514009531</t>
        </is>
      </c>
      <c r="E4355" s="13" t="inlineStr">
        <is>
          <t>ЮЛ РФ</t>
        </is>
      </c>
      <c r="F4355" s="13" t="n"/>
      <c r="G4355" s="14" t="n"/>
      <c r="H4355" s="14" t="n"/>
      <c r="I4355" s="14" t="n"/>
      <c r="J4355" s="14" t="n"/>
      <c r="K4355" s="53" t="inlineStr"/>
      <c r="L4355" s="53" t="inlineStr">
        <is>
          <t>Не определено</t>
        </is>
      </c>
      <c r="M4355" s="53" t="inlineStr"/>
      <c r="N4355" s="54" t="inlineStr"/>
      <c r="O4355" s="55" t="inlineStr"/>
      <c r="P4355" s="16" t="inlineStr">
        <is>
          <t>Требует обогащения</t>
        </is>
      </c>
      <c r="Q4355" s="16">
        <f>HYPERLINK("https://pb.nalog.ru/search.html?query=6514009531","ФНС: проверить")</f>
        <v/>
      </c>
      <c r="R4355" s="16">
        <f>HYPERLINK("https://checko.ru/search?query=3801001629","Чекко: проверить")</f>
        <v/>
      </c>
      <c r="S4355" t="n">
        <v>1</v>
      </c>
      <c r="T4355" s="35" t="inlineStr">
        <is>
          <t>4 — Не обогащён</t>
        </is>
      </c>
      <c r="U4355" s="35" t="inlineStr">
        <is>
          <t>Нет ОКВЭД/ССЧР</t>
        </is>
      </c>
      <c r="V4355" s="35" t="inlineStr">
        <is>
          <t>Не определено</t>
        </is>
      </c>
      <c r="W4355" s="35" t="inlineStr"/>
      <c r="X4355" s="35" t="inlineStr"/>
    </row>
    <row r="4356" ht="27.75" customHeight="1" s="24">
      <c r="A4356" s="13" t="n">
        <v>5000111552</v>
      </c>
      <c r="B4356" s="13" t="inlineStr">
        <is>
          <t>МБОУ ДОД "Центральная детская музыкальная школа города Южно-Сахалинска"</t>
        </is>
      </c>
      <c r="C4356" s="13" t="n">
        <v>6501074438</v>
      </c>
      <c r="D4356" s="13" t="inlineStr">
        <is>
          <t>6501074438</t>
        </is>
      </c>
      <c r="E4356" s="13" t="inlineStr">
        <is>
          <t>ЮЛ РФ</t>
        </is>
      </c>
      <c r="F4356" s="13" t="n"/>
      <c r="G4356" s="14" t="n"/>
      <c r="H4356" s="14" t="n"/>
      <c r="I4356" s="14" t="n"/>
      <c r="J4356" s="14" t="n"/>
      <c r="K4356" s="53" t="inlineStr"/>
      <c r="L4356" s="53" t="inlineStr">
        <is>
          <t>Не определено</t>
        </is>
      </c>
      <c r="M4356" s="53" t="inlineStr"/>
      <c r="N4356" s="54" t="inlineStr"/>
      <c r="O4356" s="55" t="inlineStr"/>
      <c r="P4356" s="16" t="inlineStr">
        <is>
          <t>Требует обогащения</t>
        </is>
      </c>
      <c r="Q4356" s="16">
        <f>HYPERLINK("https://pb.nalog.ru/search.html?query=6501074438","ФНС: проверить")</f>
        <v/>
      </c>
      <c r="R4356" s="16">
        <f>HYPERLINK("https://checko.ru/search?query=3801001629","Чекко: проверить")</f>
        <v/>
      </c>
      <c r="S4356" t="n">
        <v>1</v>
      </c>
      <c r="T4356" s="35" t="inlineStr">
        <is>
          <t>4 — Не обогащён</t>
        </is>
      </c>
      <c r="U4356" s="35" t="inlineStr">
        <is>
          <t>Нет ОКВЭД/ССЧР</t>
        </is>
      </c>
      <c r="V4356" s="35" t="inlineStr">
        <is>
          <t>Не определено</t>
        </is>
      </c>
      <c r="W4356" s="35" t="inlineStr"/>
      <c r="X4356" s="35" t="inlineStr"/>
    </row>
    <row r="4357" ht="27.75" customHeight="1" s="24">
      <c r="A4357" s="13" t="n">
        <v>5000111551</v>
      </c>
      <c r="B4357" s="13" t="inlineStr">
        <is>
          <t>МБУ "Южно-Сахалинская централизованная библиотечная система"</t>
        </is>
      </c>
      <c r="C4357" s="13" t="n">
        <v>6501073868</v>
      </c>
      <c r="D4357" s="13" t="inlineStr">
        <is>
          <t>6501073868</t>
        </is>
      </c>
      <c r="E4357" s="13" t="inlineStr">
        <is>
          <t>ЮЛ РФ</t>
        </is>
      </c>
      <c r="F4357" s="13" t="n"/>
      <c r="G4357" s="14" t="n"/>
      <c r="H4357" s="14" t="n"/>
      <c r="I4357" s="14" t="n"/>
      <c r="J4357" s="14" t="n"/>
      <c r="K4357" s="53" t="inlineStr"/>
      <c r="L4357" s="53" t="inlineStr">
        <is>
          <t>Не определено</t>
        </is>
      </c>
      <c r="M4357" s="53" t="inlineStr"/>
      <c r="N4357" s="54" t="inlineStr"/>
      <c r="O4357" s="55" t="inlineStr"/>
      <c r="P4357" s="16" t="inlineStr">
        <is>
          <t>Требует обогащения</t>
        </is>
      </c>
      <c r="Q4357" s="16">
        <f>HYPERLINK("https://pb.nalog.ru/search.html?query=6501073868","ФНС: проверить")</f>
        <v/>
      </c>
      <c r="R4357" s="16">
        <f>HYPERLINK("https://checko.ru/search?query=3801001629","Чекко: проверить")</f>
        <v/>
      </c>
      <c r="S4357" t="n">
        <v>1</v>
      </c>
      <c r="T4357" s="35" t="inlineStr">
        <is>
          <t>4 — Не обогащён</t>
        </is>
      </c>
      <c r="U4357" s="35" t="inlineStr">
        <is>
          <t>Нет ОКВЭД/ССЧР</t>
        </is>
      </c>
      <c r="V4357" s="35" t="inlineStr">
        <is>
          <t>Не определено</t>
        </is>
      </c>
      <c r="W4357" s="35" t="inlineStr"/>
      <c r="X4357" s="35" t="inlineStr"/>
    </row>
    <row r="4358" ht="27.75" customHeight="1" s="24">
      <c r="A4358" s="13" t="n">
        <v>5000098631</v>
      </c>
      <c r="B4358" s="13" t="inlineStr">
        <is>
          <t>ГБУЗ Сахалинской области "Синегорская участковая больница"</t>
        </is>
      </c>
      <c r="C4358" s="13" t="n">
        <v>6501073498</v>
      </c>
      <c r="D4358" s="13" t="inlineStr">
        <is>
          <t>6501073498</t>
        </is>
      </c>
      <c r="E4358" s="13" t="inlineStr">
        <is>
          <t>ЮЛ РФ</t>
        </is>
      </c>
      <c r="F4358" s="13" t="n"/>
      <c r="G4358" s="14" t="n"/>
      <c r="H4358" s="14" t="n"/>
      <c r="I4358" s="14" t="n"/>
      <c r="J4358" s="14" t="n"/>
      <c r="K4358" s="53" t="inlineStr"/>
      <c r="L4358" s="53" t="inlineStr">
        <is>
          <t>Не определено</t>
        </is>
      </c>
      <c r="M4358" s="53" t="inlineStr"/>
      <c r="N4358" s="54" t="inlineStr"/>
      <c r="O4358" s="55" t="inlineStr"/>
      <c r="P4358" s="16" t="inlineStr">
        <is>
          <t>Требует обогащения</t>
        </is>
      </c>
      <c r="Q4358" s="16">
        <f>HYPERLINK("https://pb.nalog.ru/search.html?query=6501073498","ФНС: проверить")</f>
        <v/>
      </c>
      <c r="R4358" s="16">
        <f>HYPERLINK("https://checko.ru/search?query=3801001629","Чекко: проверить")</f>
        <v/>
      </c>
      <c r="S4358" t="n">
        <v>1</v>
      </c>
      <c r="T4358" s="35" t="inlineStr">
        <is>
          <t>4 — Не обогащён</t>
        </is>
      </c>
      <c r="U4358" s="35" t="inlineStr">
        <is>
          <t>Нет ОКВЭД/ССЧР</t>
        </is>
      </c>
      <c r="V4358" s="35" t="inlineStr">
        <is>
          <t>Не определено</t>
        </is>
      </c>
      <c r="W4358" s="35" t="inlineStr"/>
      <c r="X4358" s="35" t="inlineStr"/>
    </row>
    <row r="4359" ht="27.75" customHeight="1" s="24">
      <c r="A4359" s="13" t="n">
        <v>5000117579</v>
      </c>
      <c r="B4359" s="13" t="inlineStr">
        <is>
          <t>МБУ "Управление городским дорожным хозяйством МО "Холмский городской округ"</t>
        </is>
      </c>
      <c r="C4359" s="13" t="n">
        <v>6509023001</v>
      </c>
      <c r="D4359" s="13" t="inlineStr">
        <is>
          <t>6509023001</t>
        </is>
      </c>
      <c r="E4359" s="13" t="inlineStr">
        <is>
          <t>ЮЛ РФ</t>
        </is>
      </c>
      <c r="F4359" s="13" t="n"/>
      <c r="G4359" s="14" t="n"/>
      <c r="H4359" s="14" t="n"/>
      <c r="I4359" s="14" t="n"/>
      <c r="J4359" s="14" t="n"/>
      <c r="K4359" s="53" t="inlineStr"/>
      <c r="L4359" s="53" t="inlineStr">
        <is>
          <t>Не определено</t>
        </is>
      </c>
      <c r="M4359" s="53" t="inlineStr"/>
      <c r="N4359" s="54" t="inlineStr"/>
      <c r="O4359" s="55" t="inlineStr"/>
      <c r="P4359" s="16" t="inlineStr">
        <is>
          <t>Требует обогащения</t>
        </is>
      </c>
      <c r="Q4359" s="16">
        <f>HYPERLINK("https://pb.nalog.ru/search.html?query=6509023001","ФНС: проверить")</f>
        <v/>
      </c>
      <c r="R4359" s="16">
        <f>HYPERLINK("https://checko.ru/search?query=3801001629","Чекко: проверить")</f>
        <v/>
      </c>
      <c r="S4359" t="n">
        <v>1</v>
      </c>
      <c r="T4359" s="35" t="inlineStr">
        <is>
          <t>4 — Не обогащён</t>
        </is>
      </c>
      <c r="U4359" s="35" t="inlineStr">
        <is>
          <t>Нет ОКВЭД/ССЧР</t>
        </is>
      </c>
      <c r="V4359" s="35" t="inlineStr">
        <is>
          <t>Не определено</t>
        </is>
      </c>
      <c r="W4359" s="35" t="inlineStr"/>
      <c r="X4359" s="35" t="inlineStr"/>
    </row>
    <row r="4360" ht="27.75" customHeight="1" s="24">
      <c r="A4360" s="13" t="n">
        <v>5000098328</v>
      </c>
      <c r="B4360" s="13" t="inlineStr">
        <is>
          <t>КГБУСО  "Партизанский психоневрологический интернат"</t>
        </is>
      </c>
      <c r="C4360" s="13" t="n">
        <v>2509003784</v>
      </c>
      <c r="D4360" s="13" t="inlineStr">
        <is>
          <t>2509003784</t>
        </is>
      </c>
      <c r="E4360" s="13" t="inlineStr">
        <is>
          <t>ЮЛ РФ</t>
        </is>
      </c>
      <c r="F4360" s="13" t="n"/>
      <c r="G4360" s="14" t="n"/>
      <c r="H4360" s="14" t="n"/>
      <c r="I4360" s="14" t="n"/>
      <c r="J4360" s="14" t="n"/>
      <c r="K4360" s="53" t="inlineStr"/>
      <c r="L4360" s="53" t="inlineStr">
        <is>
          <t>Не определено</t>
        </is>
      </c>
      <c r="M4360" s="53" t="inlineStr"/>
      <c r="N4360" s="54" t="inlineStr"/>
      <c r="O4360" s="55" t="inlineStr"/>
      <c r="P4360" s="16" t="inlineStr">
        <is>
          <t>Требует обогащения</t>
        </is>
      </c>
      <c r="Q4360" s="16">
        <f>HYPERLINK("https://pb.nalog.ru/search.html?query=2509003784","ФНС: проверить")</f>
        <v/>
      </c>
      <c r="R4360" s="16">
        <f>HYPERLINK("https://checko.ru/search?query=3801001629","Чекко: проверить")</f>
        <v/>
      </c>
      <c r="S4360" t="n">
        <v>1</v>
      </c>
      <c r="T4360" s="35" t="inlineStr">
        <is>
          <t>4 — Не обогащён</t>
        </is>
      </c>
      <c r="U4360" s="35" t="inlineStr">
        <is>
          <t>Нет ОКВЭД/ССЧР</t>
        </is>
      </c>
      <c r="V4360" s="35" t="inlineStr">
        <is>
          <t>Не определено</t>
        </is>
      </c>
      <c r="W4360" s="35" t="inlineStr"/>
      <c r="X4360" s="35" t="inlineStr"/>
    </row>
    <row r="4361" ht="27.75" customHeight="1" s="24">
      <c r="A4361" s="13" t="n">
        <v>5000100124</v>
      </c>
      <c r="B4361" s="13" t="inlineStr">
        <is>
          <t>Областное автономное учреждение «Восточное лесное хозяйство»</t>
        </is>
      </c>
      <c r="C4361" s="13" t="n">
        <v>6507001147</v>
      </c>
      <c r="D4361" s="13" t="inlineStr">
        <is>
          <t>6507001147</t>
        </is>
      </c>
      <c r="E4361" s="13" t="inlineStr">
        <is>
          <t>ЮЛ РФ</t>
        </is>
      </c>
      <c r="F4361" s="13" t="n"/>
      <c r="G4361" s="14" t="n"/>
      <c r="H4361" s="14" t="n"/>
      <c r="I4361" s="14" t="n"/>
      <c r="J4361" s="14" t="n"/>
      <c r="K4361" s="53" t="inlineStr"/>
      <c r="L4361" s="53" t="inlineStr">
        <is>
          <t>Не определено</t>
        </is>
      </c>
      <c r="M4361" s="53" t="inlineStr"/>
      <c r="N4361" s="54" t="inlineStr"/>
      <c r="O4361" s="55" t="inlineStr"/>
      <c r="P4361" s="16" t="inlineStr">
        <is>
          <t>Требует обогащения</t>
        </is>
      </c>
      <c r="Q4361" s="16">
        <f>HYPERLINK("https://pb.nalog.ru/search.html?query=6507001147","ФНС: проверить")</f>
        <v/>
      </c>
      <c r="R4361" s="16">
        <f>HYPERLINK("https://checko.ru/search?query=3801001629","Чекко: проверить")</f>
        <v/>
      </c>
      <c r="S4361" t="n">
        <v>1</v>
      </c>
      <c r="T4361" s="35" t="inlineStr">
        <is>
          <t>4 — Не обогащён</t>
        </is>
      </c>
      <c r="U4361" s="35" t="inlineStr">
        <is>
          <t>Нет ОКВЭД/ССЧР</t>
        </is>
      </c>
      <c r="V4361" s="35" t="inlineStr">
        <is>
          <t>Не определено</t>
        </is>
      </c>
      <c r="W4361" s="35" t="inlineStr"/>
      <c r="X4361" s="35" t="inlineStr"/>
    </row>
    <row r="4362" ht="27.75" customHeight="1" s="24">
      <c r="A4362" s="13" t="n">
        <v>5000097148</v>
      </c>
      <c r="B4362" s="13" t="inlineStr">
        <is>
          <t>МБОУ средняя общеобразовательная школа №8 г. Холмска</t>
        </is>
      </c>
      <c r="C4362" s="13" t="n">
        <v>6509006278</v>
      </c>
      <c r="D4362" s="13" t="inlineStr">
        <is>
          <t>6509006278</t>
        </is>
      </c>
      <c r="E4362" s="13" t="inlineStr">
        <is>
          <t>ЮЛ РФ</t>
        </is>
      </c>
      <c r="F4362" s="13" t="n"/>
      <c r="G4362" s="14" t="n"/>
      <c r="H4362" s="14" t="n"/>
      <c r="I4362" s="14" t="n"/>
      <c r="J4362" s="14" t="n"/>
      <c r="K4362" s="53" t="inlineStr"/>
      <c r="L4362" s="53" t="inlineStr">
        <is>
          <t>Не определено</t>
        </is>
      </c>
      <c r="M4362" s="53" t="inlineStr"/>
      <c r="N4362" s="54" t="inlineStr"/>
      <c r="O4362" s="55" t="inlineStr"/>
      <c r="P4362" s="16" t="inlineStr">
        <is>
          <t>Требует обогащения</t>
        </is>
      </c>
      <c r="Q4362" s="16">
        <f>HYPERLINK("https://pb.nalog.ru/search.html?query=6509006278","ФНС: проверить")</f>
        <v/>
      </c>
      <c r="R4362" s="16">
        <f>HYPERLINK("https://checko.ru/search?query=3801001629","Чекко: проверить")</f>
        <v/>
      </c>
      <c r="S4362" t="n">
        <v>1</v>
      </c>
      <c r="T4362" s="35" t="inlineStr">
        <is>
          <t>4 — Не обогащён</t>
        </is>
      </c>
      <c r="U4362" s="35" t="inlineStr">
        <is>
          <t>Нет ОКВЭД/ССЧР</t>
        </is>
      </c>
      <c r="V4362" s="35" t="inlineStr">
        <is>
          <t>Не определено</t>
        </is>
      </c>
      <c r="W4362" s="35" t="inlineStr"/>
      <c r="X4362" s="35" t="inlineStr"/>
    </row>
    <row r="4363" ht="27.75" customHeight="1" s="24">
      <c r="A4363" s="13" t="n">
        <v>5000098663</v>
      </c>
      <c r="B4363" s="13" t="inlineStr">
        <is>
          <t>представительство Сахалинской области при Правительстве РФ</t>
        </is>
      </c>
      <c r="C4363" s="13" t="n">
        <v>7704136339</v>
      </c>
      <c r="D4363" s="13" t="inlineStr">
        <is>
          <t>7704136339</t>
        </is>
      </c>
      <c r="E4363" s="13" t="inlineStr">
        <is>
          <t>ЮЛ РФ</t>
        </is>
      </c>
      <c r="F4363" s="13" t="n"/>
      <c r="G4363" s="14" t="n"/>
      <c r="H4363" s="14" t="n"/>
      <c r="I4363" s="14" t="n"/>
      <c r="J4363" s="14" t="n"/>
      <c r="K4363" s="53" t="inlineStr"/>
      <c r="L4363" s="53" t="inlineStr">
        <is>
          <t>Не определено</t>
        </is>
      </c>
      <c r="M4363" s="53" t="inlineStr"/>
      <c r="N4363" s="54" t="inlineStr"/>
      <c r="O4363" s="55" t="inlineStr"/>
      <c r="P4363" s="16" t="inlineStr">
        <is>
          <t>Требует обогащения</t>
        </is>
      </c>
      <c r="Q4363" s="16">
        <f>HYPERLINK("https://pb.nalog.ru/search.html?query=7704136339","ФНС: проверить")</f>
        <v/>
      </c>
      <c r="R4363" s="16">
        <f>HYPERLINK("https://checko.ru/search?query=3801001629","Чекко: проверить")</f>
        <v/>
      </c>
      <c r="S4363" t="n">
        <v>1</v>
      </c>
      <c r="T4363" s="35" t="inlineStr">
        <is>
          <t>4 — Не обогащён</t>
        </is>
      </c>
      <c r="U4363" s="35" t="inlineStr">
        <is>
          <t>Нет ОКВЭД/ССЧР</t>
        </is>
      </c>
      <c r="V4363" s="35" t="inlineStr">
        <is>
          <t>Не определено</t>
        </is>
      </c>
      <c r="W4363" s="35" t="inlineStr"/>
      <c r="X4363" s="35" t="inlineStr"/>
    </row>
    <row r="4364" ht="27.75" customHeight="1" s="24">
      <c r="A4364" s="13" t="n">
        <v>5000098663</v>
      </c>
      <c r="B4364" s="13" t="inlineStr">
        <is>
          <t>представительство Сахалинской области при Правительстве РФ</t>
        </is>
      </c>
      <c r="C4364" s="13" t="n">
        <v>7704136339</v>
      </c>
      <c r="D4364" s="13" t="inlineStr">
        <is>
          <t>7704136339</t>
        </is>
      </c>
      <c r="E4364" s="13" t="inlineStr">
        <is>
          <t>ЮЛ РФ</t>
        </is>
      </c>
      <c r="F4364" s="13" t="n"/>
      <c r="G4364" s="14" t="n"/>
      <c r="H4364" s="14" t="n"/>
      <c r="I4364" s="14" t="n"/>
      <c r="J4364" s="14" t="n"/>
      <c r="K4364" s="53" t="inlineStr"/>
      <c r="L4364" s="53" t="inlineStr">
        <is>
          <t>Не определено</t>
        </is>
      </c>
      <c r="M4364" s="53" t="inlineStr"/>
      <c r="N4364" s="54" t="inlineStr"/>
      <c r="O4364" s="55" t="inlineStr"/>
      <c r="P4364" s="16" t="inlineStr">
        <is>
          <t>Требует обогащения</t>
        </is>
      </c>
      <c r="Q4364" s="16">
        <f>HYPERLINK("https://pb.nalog.ru/search.html?query=7704136339","ФНС: проверить")</f>
        <v/>
      </c>
      <c r="R4364" s="16">
        <f>HYPERLINK("https://checko.ru/search?query=3801001629","Чекко: проверить")</f>
        <v/>
      </c>
      <c r="S4364" t="n">
        <v>0</v>
      </c>
      <c r="T4364" s="35" t="inlineStr">
        <is>
          <t>4 — Не обогащён</t>
        </is>
      </c>
      <c r="U4364" s="35" t="inlineStr">
        <is>
          <t>Нет ОКВЭД/ССЧР</t>
        </is>
      </c>
      <c r="V4364" s="35" t="inlineStr">
        <is>
          <t>Не определено</t>
        </is>
      </c>
      <c r="W4364" s="35" t="inlineStr"/>
      <c r="X4364" s="35" t="inlineStr"/>
    </row>
    <row r="4365" ht="15" customHeight="1" s="24">
      <c r="A4365" s="13" t="n">
        <v>5000098301</v>
      </c>
      <c r="B4365" s="13" t="inlineStr">
        <is>
          <t>ГОУ НПО ПУ-24 Учпрофстрой</t>
        </is>
      </c>
      <c r="C4365" s="13" t="n">
        <v>2502012660</v>
      </c>
      <c r="D4365" s="13" t="inlineStr">
        <is>
          <t>2502012660</t>
        </is>
      </c>
      <c r="E4365" s="13" t="inlineStr">
        <is>
          <t>ЮЛ РФ</t>
        </is>
      </c>
      <c r="F4365" s="13" t="n"/>
      <c r="G4365" s="14" t="n"/>
      <c r="H4365" s="14" t="n"/>
      <c r="I4365" s="14" t="n"/>
      <c r="J4365" s="14" t="n"/>
      <c r="K4365" s="53" t="inlineStr"/>
      <c r="L4365" s="53" t="inlineStr">
        <is>
          <t>Не определено</t>
        </is>
      </c>
      <c r="M4365" s="53" t="inlineStr"/>
      <c r="N4365" s="54" t="inlineStr"/>
      <c r="O4365" s="55" t="inlineStr"/>
      <c r="P4365" s="16" t="inlineStr">
        <is>
          <t>Требует обогащения</t>
        </is>
      </c>
      <c r="Q4365" s="16">
        <f>HYPERLINK("https://pb.nalog.ru/search.html?query=2502012660","ФНС: проверить")</f>
        <v/>
      </c>
      <c r="R4365" s="16">
        <f>HYPERLINK("https://checko.ru/search?query=3801001629","Чекко: проверить")</f>
        <v/>
      </c>
      <c r="S4365" t="n">
        <v>1</v>
      </c>
      <c r="T4365" s="35" t="inlineStr">
        <is>
          <t>4 — Не обогащён</t>
        </is>
      </c>
      <c r="U4365" s="35" t="inlineStr">
        <is>
          <t>Нет ОКВЭД/ССЧР</t>
        </is>
      </c>
      <c r="V4365" s="35" t="inlineStr">
        <is>
          <t>Не определено</t>
        </is>
      </c>
      <c r="W4365" s="35" t="inlineStr"/>
      <c r="X4365" s="35" t="inlineStr"/>
    </row>
    <row r="4366" ht="27.75" customHeight="1" s="24">
      <c r="A4366" s="13" t="n">
        <v>5000035963</v>
      </c>
      <c r="B4366" s="13" t="inlineStr">
        <is>
          <t>МКУ "УСП" МО "МАКАРОВСКИЙ ГОРОДСКОЙ ОКРУГ"</t>
        </is>
      </c>
      <c r="C4366" s="13" t="n">
        <v>6512005066</v>
      </c>
      <c r="D4366" s="13" t="inlineStr">
        <is>
          <t>6512005066</t>
        </is>
      </c>
      <c r="E4366" s="13" t="inlineStr">
        <is>
          <t>ЮЛ РФ</t>
        </is>
      </c>
      <c r="F4366" s="13" t="n"/>
      <c r="G4366" s="14" t="n"/>
      <c r="H4366" s="14" t="n"/>
      <c r="I4366" s="14" t="n"/>
      <c r="J4366" s="14" t="n"/>
      <c r="K4366" s="53" t="inlineStr"/>
      <c r="L4366" s="53" t="inlineStr">
        <is>
          <t>Не определено</t>
        </is>
      </c>
      <c r="M4366" s="53" t="inlineStr"/>
      <c r="N4366" s="54" t="inlineStr"/>
      <c r="O4366" s="55" t="inlineStr"/>
      <c r="P4366" s="16" t="inlineStr">
        <is>
          <t>Требует обогащения</t>
        </is>
      </c>
      <c r="Q4366" s="16">
        <f>HYPERLINK("https://pb.nalog.ru/search.html?query=6512005066","ФНС: проверить")</f>
        <v/>
      </c>
      <c r="R4366" s="16">
        <f>HYPERLINK("https://checko.ru/search?query=3801001629","Чекко: проверить")</f>
        <v/>
      </c>
      <c r="S4366" t="n">
        <v>1</v>
      </c>
      <c r="T4366" s="35" t="inlineStr">
        <is>
          <t>4 — Не обогащён</t>
        </is>
      </c>
      <c r="U4366" s="35" t="inlineStr">
        <is>
          <t>Нет ОКВЭД/ССЧР</t>
        </is>
      </c>
      <c r="V4366" s="35" t="inlineStr">
        <is>
          <t>Не определено</t>
        </is>
      </c>
      <c r="W4366" s="35" t="inlineStr"/>
      <c r="X4366" s="35" t="inlineStr"/>
    </row>
    <row r="4367" ht="15" customHeight="1" s="24">
      <c r="A4367" s="13" t="n">
        <v>5000098212</v>
      </c>
      <c r="B4367" s="13" t="inlineStr">
        <is>
          <t>Краевая клиническая больница №2</t>
        </is>
      </c>
      <c r="C4367" s="13" t="n">
        <v>2539010235</v>
      </c>
      <c r="D4367" s="13" t="inlineStr">
        <is>
          <t>2539010235</t>
        </is>
      </c>
      <c r="E4367" s="13" t="inlineStr">
        <is>
          <t>ЮЛ РФ</t>
        </is>
      </c>
      <c r="F4367" s="13" t="n"/>
      <c r="G4367" s="14" t="n"/>
      <c r="H4367" s="14" t="n"/>
      <c r="I4367" s="14" t="n"/>
      <c r="J4367" s="14" t="n"/>
      <c r="K4367" s="53" t="inlineStr"/>
      <c r="L4367" s="53" t="inlineStr">
        <is>
          <t>Не определено</t>
        </is>
      </c>
      <c r="M4367" s="53" t="inlineStr"/>
      <c r="N4367" s="54" t="inlineStr"/>
      <c r="O4367" s="55" t="inlineStr"/>
      <c r="P4367" s="16" t="inlineStr">
        <is>
          <t>Требует обогащения</t>
        </is>
      </c>
      <c r="Q4367" s="16">
        <f>HYPERLINK("https://pb.nalog.ru/search.html?query=2539010235","ФНС: проверить")</f>
        <v/>
      </c>
      <c r="R4367" s="16">
        <f>HYPERLINK("https://checko.ru/search?query=3801001629","Чекко: проверить")</f>
        <v/>
      </c>
      <c r="S4367" t="n">
        <v>1</v>
      </c>
      <c r="T4367" s="35" t="inlineStr">
        <is>
          <t>4 — Не обогащён</t>
        </is>
      </c>
      <c r="U4367" s="35" t="inlineStr">
        <is>
          <t>Нет ОКВЭД/ССЧР</t>
        </is>
      </c>
      <c r="V4367" s="35" t="inlineStr">
        <is>
          <t>Не определено</t>
        </is>
      </c>
      <c r="W4367" s="35" t="inlineStr"/>
      <c r="X4367" s="35" t="inlineStr"/>
    </row>
    <row r="4368" ht="27.75" customHeight="1" s="24">
      <c r="A4368" s="13" t="n">
        <v>5000038449</v>
      </c>
      <c r="B4368" s="13" t="inlineStr">
        <is>
          <t>Администрация городского округа "Александровск-Сахалинский район"</t>
        </is>
      </c>
      <c r="C4368" s="13" t="n">
        <v>6502001418</v>
      </c>
      <c r="D4368" s="13" t="inlineStr">
        <is>
          <t>6502001418</t>
        </is>
      </c>
      <c r="E4368" s="13" t="inlineStr">
        <is>
          <t>ЮЛ РФ</t>
        </is>
      </c>
      <c r="F4368" s="13" t="n"/>
      <c r="G4368" s="14" t="n"/>
      <c r="H4368" s="14" t="n"/>
      <c r="I4368" s="14" t="n"/>
      <c r="J4368" s="14" t="n"/>
      <c r="K4368" s="53" t="inlineStr"/>
      <c r="L4368" s="53" t="inlineStr">
        <is>
          <t>Не определено</t>
        </is>
      </c>
      <c r="M4368" s="53" t="inlineStr"/>
      <c r="N4368" s="54" t="inlineStr"/>
      <c r="O4368" s="55" t="inlineStr"/>
      <c r="P4368" s="16" t="inlineStr">
        <is>
          <t>Требует обогащения</t>
        </is>
      </c>
      <c r="Q4368" s="16">
        <f>HYPERLINK("https://pb.nalog.ru/search.html?query=6502001418","ФНС: проверить")</f>
        <v/>
      </c>
      <c r="R4368" s="16">
        <f>HYPERLINK("https://checko.ru/search?query=3801001629","Чекко: проверить")</f>
        <v/>
      </c>
      <c r="S4368" t="n">
        <v>1</v>
      </c>
      <c r="T4368" s="35" t="inlineStr">
        <is>
          <t>4 — Не обогащён</t>
        </is>
      </c>
      <c r="U4368" s="35" t="inlineStr">
        <is>
          <t>Нет ОКВЭД/ССЧР</t>
        </is>
      </c>
      <c r="V4368" s="35" t="inlineStr">
        <is>
          <t>Не определено</t>
        </is>
      </c>
      <c r="W4368" s="35" t="inlineStr"/>
      <c r="X4368" s="35" t="inlineStr"/>
    </row>
    <row r="4369" ht="27.75" customHeight="1" s="24">
      <c r="A4369" s="13" t="n">
        <v>5000038449</v>
      </c>
      <c r="B4369" s="13" t="inlineStr">
        <is>
          <t>Администрация городского округа "Александровск-Сахалинский район"</t>
        </is>
      </c>
      <c r="C4369" s="13" t="n">
        <v>6502001418</v>
      </c>
      <c r="D4369" s="13" t="inlineStr">
        <is>
          <t>6502001418</t>
        </is>
      </c>
      <c r="E4369" s="13" t="inlineStr">
        <is>
          <t>ЮЛ РФ</t>
        </is>
      </c>
      <c r="F4369" s="13" t="n"/>
      <c r="G4369" s="14" t="n"/>
      <c r="H4369" s="14" t="n"/>
      <c r="I4369" s="14" t="n"/>
      <c r="J4369" s="14" t="n"/>
      <c r="K4369" s="53" t="inlineStr"/>
      <c r="L4369" s="53" t="inlineStr">
        <is>
          <t>Не определено</t>
        </is>
      </c>
      <c r="M4369" s="53" t="inlineStr"/>
      <c r="N4369" s="54" t="inlineStr"/>
      <c r="O4369" s="55" t="inlineStr"/>
      <c r="P4369" s="16" t="inlineStr">
        <is>
          <t>Требует обогащения</t>
        </is>
      </c>
      <c r="Q4369" s="16">
        <f>HYPERLINK("https://pb.nalog.ru/search.html?query=6502001418","ФНС: проверить")</f>
        <v/>
      </c>
      <c r="R4369" s="16">
        <f>HYPERLINK("https://checko.ru/search?query=3801001629","Чекко: проверить")</f>
        <v/>
      </c>
      <c r="S4369" t="n">
        <v>0</v>
      </c>
      <c r="T4369" s="35" t="inlineStr">
        <is>
          <t>4 — Не обогащён</t>
        </is>
      </c>
      <c r="U4369" s="35" t="inlineStr">
        <is>
          <t>Нет ОКВЭД/ССЧР</t>
        </is>
      </c>
      <c r="V4369" s="35" t="inlineStr">
        <is>
          <t>Не определено</t>
        </is>
      </c>
      <c r="W4369" s="35" t="inlineStr"/>
      <c r="X4369" s="35" t="inlineStr"/>
    </row>
    <row r="4370" ht="41.25" customHeight="1" s="24">
      <c r="A4370" s="13" t="n">
        <v>5000107568</v>
      </c>
      <c r="B4370" s="13" t="inlineStr">
        <is>
          <t>ГБОУ дод "Специализированная детско-юношеская спортивная школа олимпийского резерва по горнолыжному</t>
        </is>
      </c>
      <c r="C4370" s="13" t="n">
        <v>6501070320</v>
      </c>
      <c r="D4370" s="13" t="inlineStr">
        <is>
          <t>6501070320</t>
        </is>
      </c>
      <c r="E4370" s="13" t="inlineStr">
        <is>
          <t>ЮЛ РФ</t>
        </is>
      </c>
      <c r="F4370" s="13" t="n"/>
      <c r="G4370" s="14" t="n"/>
      <c r="H4370" s="14" t="n"/>
      <c r="I4370" s="14" t="n"/>
      <c r="J4370" s="14" t="n"/>
      <c r="K4370" s="53" t="inlineStr"/>
      <c r="L4370" s="53" t="inlineStr">
        <is>
          <t>Не определено</t>
        </is>
      </c>
      <c r="M4370" s="53" t="inlineStr"/>
      <c r="N4370" s="54" t="inlineStr"/>
      <c r="O4370" s="55" t="inlineStr"/>
      <c r="P4370" s="16" t="inlineStr">
        <is>
          <t>Требует обогащения</t>
        </is>
      </c>
      <c r="Q4370" s="16">
        <f>HYPERLINK("https://pb.nalog.ru/search.html?query=6501070320","ФНС: проверить")</f>
        <v/>
      </c>
      <c r="R4370" s="16">
        <f>HYPERLINK("https://checko.ru/search?query=3801001629","Чекко: проверить")</f>
        <v/>
      </c>
      <c r="S4370" t="n">
        <v>1</v>
      </c>
      <c r="T4370" s="35" t="inlineStr">
        <is>
          <t>4 — Не обогащён</t>
        </is>
      </c>
      <c r="U4370" s="35" t="inlineStr">
        <is>
          <t>Нет ОКВЭД/ССЧР</t>
        </is>
      </c>
      <c r="V4370" s="35" t="inlineStr">
        <is>
          <t>Не определено</t>
        </is>
      </c>
      <c r="W4370" s="35" t="inlineStr"/>
      <c r="X4370" s="35" t="inlineStr"/>
    </row>
    <row r="4371" ht="27.75" customHeight="1" s="24">
      <c r="A4371" s="13" t="n">
        <v>5000098211</v>
      </c>
      <c r="B4371" s="13" t="inlineStr">
        <is>
          <t>КГБУ СО "Яковлевский специальный дом-интернат для престарелых и инвалидов"</t>
        </is>
      </c>
      <c r="C4371" s="13" t="n">
        <v>2535004103</v>
      </c>
      <c r="D4371" s="13" t="inlineStr">
        <is>
          <t>2535004103</t>
        </is>
      </c>
      <c r="E4371" s="13" t="inlineStr">
        <is>
          <t>ЮЛ РФ</t>
        </is>
      </c>
      <c r="F4371" s="13" t="n"/>
      <c r="G4371" s="14" t="n"/>
      <c r="H4371" s="14" t="n"/>
      <c r="I4371" s="14" t="n"/>
      <c r="J4371" s="14" t="n"/>
      <c r="K4371" s="53" t="inlineStr"/>
      <c r="L4371" s="53" t="inlineStr">
        <is>
          <t>Не определено</t>
        </is>
      </c>
      <c r="M4371" s="53" t="inlineStr"/>
      <c r="N4371" s="54" t="inlineStr"/>
      <c r="O4371" s="55" t="inlineStr"/>
      <c r="P4371" s="16" t="inlineStr">
        <is>
          <t>Требует обогащения</t>
        </is>
      </c>
      <c r="Q4371" s="16">
        <f>HYPERLINK("https://pb.nalog.ru/search.html?query=2535004103","ФНС: проверить")</f>
        <v/>
      </c>
      <c r="R4371" s="16">
        <f>HYPERLINK("https://checko.ru/search?query=3801001629","Чекко: проверить")</f>
        <v/>
      </c>
      <c r="S4371" t="n">
        <v>1</v>
      </c>
      <c r="T4371" s="35" t="inlineStr">
        <is>
          <t>4 — Не обогащён</t>
        </is>
      </c>
      <c r="U4371" s="35" t="inlineStr">
        <is>
          <t>Нет ОКВЭД/ССЧР</t>
        </is>
      </c>
      <c r="V4371" s="35" t="inlineStr">
        <is>
          <t>Не определено</t>
        </is>
      </c>
      <c r="W4371" s="35" t="inlineStr"/>
      <c r="X4371" s="35" t="inlineStr"/>
    </row>
    <row r="4372" ht="41.25" customHeight="1" s="24">
      <c r="A4372" s="13" t="n">
        <v>5000098250</v>
      </c>
      <c r="B4372" s="13" t="inlineStr">
        <is>
          <t>Государственное бюджетное учреждение здравоохранения "Приморское краевое патологоанатомическое бюро"</t>
        </is>
      </c>
      <c r="C4372" s="13" t="n">
        <v>2538050122</v>
      </c>
      <c r="D4372" s="13" t="inlineStr">
        <is>
          <t>2538050122</t>
        </is>
      </c>
      <c r="E4372" s="13" t="inlineStr">
        <is>
          <t>ЮЛ РФ</t>
        </is>
      </c>
      <c r="F4372" s="13" t="n"/>
      <c r="G4372" s="14" t="n"/>
      <c r="H4372" s="14" t="n"/>
      <c r="I4372" s="14" t="n"/>
      <c r="J4372" s="14" t="n"/>
      <c r="K4372" s="53" t="inlineStr"/>
      <c r="L4372" s="53" t="inlineStr">
        <is>
          <t>Не определено</t>
        </is>
      </c>
      <c r="M4372" s="53" t="inlineStr"/>
      <c r="N4372" s="54" t="inlineStr"/>
      <c r="O4372" s="55" t="inlineStr"/>
      <c r="P4372" s="16" t="inlineStr">
        <is>
          <t>Требует обогащения</t>
        </is>
      </c>
      <c r="Q4372" s="16">
        <f>HYPERLINK("https://pb.nalog.ru/search.html?query=2538050122","ФНС: проверить")</f>
        <v/>
      </c>
      <c r="R4372" s="16">
        <f>HYPERLINK("https://checko.ru/search?query=3801001629","Чекко: проверить")</f>
        <v/>
      </c>
      <c r="S4372" t="n">
        <v>1</v>
      </c>
      <c r="T4372" s="35" t="inlineStr">
        <is>
          <t>4 — Не обогащён</t>
        </is>
      </c>
      <c r="U4372" s="35" t="inlineStr">
        <is>
          <t>Нет ОКВЭД/ССЧР</t>
        </is>
      </c>
      <c r="V4372" s="35" t="inlineStr">
        <is>
          <t>Не определено</t>
        </is>
      </c>
      <c r="W4372" s="35" t="inlineStr"/>
      <c r="X4372" s="35" t="inlineStr"/>
    </row>
    <row r="4373" ht="27.75" customHeight="1" s="24">
      <c r="A4373" s="13" t="n">
        <v>5000098622</v>
      </c>
      <c r="B4373" s="13" t="inlineStr">
        <is>
          <t>МУЗ "Южно-Сахалинская городская больница им. Ф. С. Анкудинова"</t>
        </is>
      </c>
      <c r="C4373" s="13" t="n">
        <v>6501026321</v>
      </c>
      <c r="D4373" s="13" t="inlineStr">
        <is>
          <t>6501026321</t>
        </is>
      </c>
      <c r="E4373" s="13" t="inlineStr">
        <is>
          <t>ЮЛ РФ</t>
        </is>
      </c>
      <c r="F4373" s="13" t="n"/>
      <c r="G4373" s="14" t="n"/>
      <c r="H4373" s="14" t="n"/>
      <c r="I4373" s="14" t="n"/>
      <c r="J4373" s="14" t="n"/>
      <c r="K4373" s="53" t="inlineStr"/>
      <c r="L4373" s="53" t="inlineStr">
        <is>
          <t>Не определено</t>
        </is>
      </c>
      <c r="M4373" s="53" t="inlineStr"/>
      <c r="N4373" s="54" t="inlineStr"/>
      <c r="O4373" s="55" t="inlineStr"/>
      <c r="P4373" s="16" t="inlineStr">
        <is>
          <t>Требует обогащения</t>
        </is>
      </c>
      <c r="Q4373" s="16">
        <f>HYPERLINK("https://pb.nalog.ru/search.html?query=6501026321","ФНС: проверить")</f>
        <v/>
      </c>
      <c r="R4373" s="16">
        <f>HYPERLINK("https://checko.ru/search?query=3801001629","Чекко: проверить")</f>
        <v/>
      </c>
      <c r="S4373" t="n">
        <v>1</v>
      </c>
      <c r="T4373" s="35" t="inlineStr">
        <is>
          <t>4 — Не обогащён</t>
        </is>
      </c>
      <c r="U4373" s="35" t="inlineStr">
        <is>
          <t>Нет ОКВЭД/ССЧР</t>
        </is>
      </c>
      <c r="V4373" s="35" t="inlineStr">
        <is>
          <t>Не определено</t>
        </is>
      </c>
      <c r="W4373" s="35" t="inlineStr"/>
      <c r="X4373" s="35" t="inlineStr"/>
    </row>
    <row r="4374" ht="15" customHeight="1" s="24">
      <c r="A4374" s="13" t="n">
        <v>5000098237</v>
      </c>
      <c r="B4374" s="13" t="inlineStr">
        <is>
          <t>ГБУ "ХОЗУ"</t>
        </is>
      </c>
      <c r="C4374" s="13" t="n">
        <v>2540016993</v>
      </c>
      <c r="D4374" s="13" t="inlineStr">
        <is>
          <t>2540016993</t>
        </is>
      </c>
      <c r="E4374" s="13" t="inlineStr">
        <is>
          <t>ЮЛ РФ</t>
        </is>
      </c>
      <c r="F4374" s="13" t="n"/>
      <c r="G4374" s="14" t="n"/>
      <c r="H4374" s="14" t="n"/>
      <c r="I4374" s="14" t="n"/>
      <c r="J4374" s="14" t="n"/>
      <c r="K4374" s="53" t="inlineStr"/>
      <c r="L4374" s="53" t="inlineStr">
        <is>
          <t>Не определено</t>
        </is>
      </c>
      <c r="M4374" s="53" t="inlineStr"/>
      <c r="N4374" s="54" t="inlineStr"/>
      <c r="O4374" s="55" t="inlineStr"/>
      <c r="P4374" s="16" t="inlineStr">
        <is>
          <t>Требует обогащения</t>
        </is>
      </c>
      <c r="Q4374" s="16">
        <f>HYPERLINK("https://pb.nalog.ru/search.html?query=2540016993","ФНС: проверить")</f>
        <v/>
      </c>
      <c r="R4374" s="16">
        <f>HYPERLINK("https://checko.ru/search?query=3801001629","Чекко: проверить")</f>
        <v/>
      </c>
      <c r="S4374" t="n">
        <v>1</v>
      </c>
      <c r="T4374" s="35" t="inlineStr">
        <is>
          <t>4 — Не обогащён</t>
        </is>
      </c>
      <c r="U4374" s="35" t="inlineStr">
        <is>
          <t>Нет ОКВЭД/ССЧР</t>
        </is>
      </c>
      <c r="V4374" s="35" t="inlineStr">
        <is>
          <t>Не определено</t>
        </is>
      </c>
      <c r="W4374" s="35" t="inlineStr"/>
      <c r="X4374" s="35" t="inlineStr"/>
    </row>
    <row r="4375" ht="15" customHeight="1" s="24">
      <c r="A4375" s="13" t="n">
        <v>5000089290</v>
      </c>
      <c r="B4375" s="13" t="inlineStr">
        <is>
          <t>КГОКУ "Детский дом Мысовое"</t>
        </is>
      </c>
      <c r="C4375" s="13" t="n">
        <v>2503020582</v>
      </c>
      <c r="D4375" s="13" t="inlineStr">
        <is>
          <t>2503020582</t>
        </is>
      </c>
      <c r="E4375" s="13" t="inlineStr">
        <is>
          <t>ЮЛ РФ</t>
        </is>
      </c>
      <c r="F4375" s="13" t="n"/>
      <c r="G4375" s="14" t="n"/>
      <c r="H4375" s="14" t="n"/>
      <c r="I4375" s="14" t="n"/>
      <c r="J4375" s="14" t="n"/>
      <c r="K4375" s="53" t="inlineStr"/>
      <c r="L4375" s="53" t="inlineStr">
        <is>
          <t>Не определено</t>
        </is>
      </c>
      <c r="M4375" s="53" t="inlineStr"/>
      <c r="N4375" s="54" t="inlineStr"/>
      <c r="O4375" s="55" t="inlineStr"/>
      <c r="P4375" s="16" t="inlineStr">
        <is>
          <t>Требует обогащения</t>
        </is>
      </c>
      <c r="Q4375" s="16">
        <f>HYPERLINK("https://pb.nalog.ru/search.html?query=2503020582","ФНС: проверить")</f>
        <v/>
      </c>
      <c r="R4375" s="16">
        <f>HYPERLINK("https://checko.ru/search?query=3801001629","Чекко: проверить")</f>
        <v/>
      </c>
      <c r="S4375" t="n">
        <v>1</v>
      </c>
      <c r="T4375" s="35" t="inlineStr">
        <is>
          <t>4 — Не обогащён</t>
        </is>
      </c>
      <c r="U4375" s="35" t="inlineStr">
        <is>
          <t>Нет ОКВЭД/ССЧР</t>
        </is>
      </c>
      <c r="V4375" s="35" t="inlineStr">
        <is>
          <t>Не определено</t>
        </is>
      </c>
      <c r="W4375" s="35" t="inlineStr"/>
      <c r="X4375" s="35" t="inlineStr"/>
    </row>
    <row r="4376" ht="15" customHeight="1" s="24">
      <c r="A4376" s="13" t="n">
        <v>5000092744</v>
      </c>
      <c r="B4376" s="13" t="inlineStr">
        <is>
          <t>КГОАУ СПО "Региональный технический колледж"</t>
        </is>
      </c>
      <c r="C4376" s="13" t="n">
        <v>2537019320</v>
      </c>
      <c r="D4376" s="13" t="inlineStr">
        <is>
          <t>2537019320</t>
        </is>
      </c>
      <c r="E4376" s="13" t="inlineStr">
        <is>
          <t>ЮЛ РФ</t>
        </is>
      </c>
      <c r="F4376" s="13" t="n"/>
      <c r="G4376" s="14" t="n"/>
      <c r="H4376" s="14" t="n"/>
      <c r="I4376" s="14" t="n"/>
      <c r="J4376" s="14" t="n"/>
      <c r="K4376" s="53" t="inlineStr"/>
      <c r="L4376" s="53" t="inlineStr">
        <is>
          <t>Не определено</t>
        </is>
      </c>
      <c r="M4376" s="53" t="inlineStr"/>
      <c r="N4376" s="54" t="inlineStr"/>
      <c r="O4376" s="55" t="inlineStr"/>
      <c r="P4376" s="16" t="inlineStr">
        <is>
          <t>Требует обогащения</t>
        </is>
      </c>
      <c r="Q4376" s="16">
        <f>HYPERLINK("https://pb.nalog.ru/search.html?query=2537019320","ФНС: проверить")</f>
        <v/>
      </c>
      <c r="R4376" s="16">
        <f>HYPERLINK("https://checko.ru/search?query=3801001629","Чекко: проверить")</f>
        <v/>
      </c>
      <c r="S4376" t="n">
        <v>1</v>
      </c>
      <c r="T4376" s="35" t="inlineStr">
        <is>
          <t>4 — Не обогащён</t>
        </is>
      </c>
      <c r="U4376" s="35" t="inlineStr">
        <is>
          <t>Нет ОКВЭД/ССЧР</t>
        </is>
      </c>
      <c r="V4376" s="35" t="inlineStr">
        <is>
          <t>Не определено</t>
        </is>
      </c>
      <c r="W4376" s="35" t="inlineStr"/>
      <c r="X4376" s="35" t="inlineStr"/>
    </row>
    <row r="4377" ht="15" customHeight="1" s="24">
      <c r="A4377" s="13" t="n">
        <v>5000025722</v>
      </c>
      <c r="B4377" s="13" t="inlineStr">
        <is>
          <t>МДОУ "Детский сад  № 3 г. Черемхово"</t>
        </is>
      </c>
      <c r="C4377" s="13" t="n">
        <v>3851992936</v>
      </c>
      <c r="D4377" s="13" t="inlineStr">
        <is>
          <t>3851992936</t>
        </is>
      </c>
      <c r="E4377" s="13" t="inlineStr">
        <is>
          <t>ЮЛ РФ</t>
        </is>
      </c>
      <c r="F4377" s="13" t="n"/>
      <c r="G4377" s="14" t="n"/>
      <c r="H4377" s="14" t="n"/>
      <c r="I4377" s="14" t="n"/>
      <c r="J4377" s="14" t="n"/>
      <c r="K4377" s="53" t="inlineStr"/>
      <c r="L4377" s="53" t="inlineStr">
        <is>
          <t>Не определено</t>
        </is>
      </c>
      <c r="M4377" s="53" t="inlineStr"/>
      <c r="N4377" s="54" t="inlineStr"/>
      <c r="O4377" s="55" t="inlineStr"/>
      <c r="P4377" s="16" t="inlineStr">
        <is>
          <t>Требует обогащения</t>
        </is>
      </c>
      <c r="Q4377" s="16">
        <f>HYPERLINK("https://pb.nalog.ru/search.html?query=3851992936","ФНС: проверить")</f>
        <v/>
      </c>
      <c r="R4377" s="16">
        <f>HYPERLINK("https://checko.ru/search?query=3801001629","Чекко: проверить")</f>
        <v/>
      </c>
      <c r="S4377" t="n">
        <v>1</v>
      </c>
      <c r="T4377" s="35" t="inlineStr">
        <is>
          <t>4 — Не обогащён</t>
        </is>
      </c>
      <c r="U4377" s="35" t="inlineStr">
        <is>
          <t>Нет ОКВЭД/ССЧР</t>
        </is>
      </c>
      <c r="V4377" s="35" t="inlineStr">
        <is>
          <t>Не определено</t>
        </is>
      </c>
      <c r="W4377" s="35" t="inlineStr"/>
      <c r="X4377" s="35" t="inlineStr"/>
    </row>
    <row r="4378" ht="27.75" customHeight="1" s="24">
      <c r="A4378" s="13" t="n">
        <v>5000109945</v>
      </c>
      <c r="B4378" s="13" t="inlineStr">
        <is>
          <t>Управление муниципального заказа администрации Поронайского городского округа</t>
        </is>
      </c>
      <c r="C4378" s="13" t="n">
        <v>6507014227</v>
      </c>
      <c r="D4378" s="13" t="inlineStr">
        <is>
          <t>6507014227</t>
        </is>
      </c>
      <c r="E4378" s="13" t="inlineStr">
        <is>
          <t>ЮЛ РФ</t>
        </is>
      </c>
      <c r="F4378" s="13" t="n"/>
      <c r="G4378" s="14" t="n"/>
      <c r="H4378" s="14" t="n"/>
      <c r="I4378" s="14" t="n"/>
      <c r="J4378" s="14" t="n"/>
      <c r="K4378" s="53" t="inlineStr"/>
      <c r="L4378" s="53" t="inlineStr">
        <is>
          <t>Не определено</t>
        </is>
      </c>
      <c r="M4378" s="53" t="inlineStr"/>
      <c r="N4378" s="54" t="inlineStr"/>
      <c r="O4378" s="55" t="inlineStr"/>
      <c r="P4378" s="16" t="inlineStr">
        <is>
          <t>Требует обогащения</t>
        </is>
      </c>
      <c r="Q4378" s="16">
        <f>HYPERLINK("https://pb.nalog.ru/search.html?query=6507014227","ФНС: проверить")</f>
        <v/>
      </c>
      <c r="R4378" s="16">
        <f>HYPERLINK("https://checko.ru/search?query=3801001629","Чекко: проверить")</f>
        <v/>
      </c>
      <c r="S4378" t="n">
        <v>1</v>
      </c>
      <c r="T4378" s="35" t="inlineStr">
        <is>
          <t>4 — Не обогащён</t>
        </is>
      </c>
      <c r="U4378" s="35" t="inlineStr">
        <is>
          <t>Нет ОКВЭД/ССЧР</t>
        </is>
      </c>
      <c r="V4378" s="35" t="inlineStr">
        <is>
          <t>Не определено</t>
        </is>
      </c>
      <c r="W4378" s="35" t="inlineStr"/>
      <c r="X4378" s="35" t="inlineStr"/>
    </row>
    <row r="4379" ht="27.75" customHeight="1" s="24">
      <c r="A4379" s="13" t="n">
        <v>5000109945</v>
      </c>
      <c r="B4379" s="13" t="inlineStr">
        <is>
          <t>Управление муниципального заказа администрации Поронайского городского округа</t>
        </is>
      </c>
      <c r="C4379" s="13" t="n">
        <v>6507014227</v>
      </c>
      <c r="D4379" s="13" t="inlineStr">
        <is>
          <t>6507014227</t>
        </is>
      </c>
      <c r="E4379" s="13" t="inlineStr">
        <is>
          <t>ЮЛ РФ</t>
        </is>
      </c>
      <c r="F4379" s="13" t="n"/>
      <c r="G4379" s="14" t="n"/>
      <c r="H4379" s="14" t="n"/>
      <c r="I4379" s="14" t="n"/>
      <c r="J4379" s="14" t="n"/>
      <c r="K4379" s="53" t="inlineStr"/>
      <c r="L4379" s="53" t="inlineStr">
        <is>
          <t>Не определено</t>
        </is>
      </c>
      <c r="M4379" s="53" t="inlineStr"/>
      <c r="N4379" s="54" t="inlineStr"/>
      <c r="O4379" s="55" t="inlineStr"/>
      <c r="P4379" s="16" t="inlineStr">
        <is>
          <t>Требует обогащения</t>
        </is>
      </c>
      <c r="Q4379" s="16">
        <f>HYPERLINK("https://pb.nalog.ru/search.html?query=6507014227","ФНС: проверить")</f>
        <v/>
      </c>
      <c r="R4379" s="16">
        <f>HYPERLINK("https://checko.ru/search?query=3801001629","Чекко: проверить")</f>
        <v/>
      </c>
      <c r="S4379" t="n">
        <v>0</v>
      </c>
      <c r="T4379" s="35" t="inlineStr">
        <is>
          <t>4 — Не обогащён</t>
        </is>
      </c>
      <c r="U4379" s="35" t="inlineStr">
        <is>
          <t>Нет ОКВЭД/ССЧР</t>
        </is>
      </c>
      <c r="V4379" s="35" t="inlineStr">
        <is>
          <t>Не определено</t>
        </is>
      </c>
      <c r="W4379" s="35" t="inlineStr"/>
      <c r="X4379" s="35" t="inlineStr"/>
    </row>
    <row r="4380" ht="27.75" customHeight="1" s="24">
      <c r="A4380" s="13" t="n">
        <v>5000109350</v>
      </c>
      <c r="B4380" s="13" t="inlineStr">
        <is>
          <t>Департамент землепользования города Южно-Сахалинска</t>
        </is>
      </c>
      <c r="C4380" s="13" t="n">
        <v>6501053780</v>
      </c>
      <c r="D4380" s="13" t="inlineStr">
        <is>
          <t>6501053780</t>
        </is>
      </c>
      <c r="E4380" s="13" t="inlineStr">
        <is>
          <t>ЮЛ РФ</t>
        </is>
      </c>
      <c r="F4380" s="13" t="n"/>
      <c r="G4380" s="14" t="n"/>
      <c r="H4380" s="14" t="n"/>
      <c r="I4380" s="14" t="n"/>
      <c r="J4380" s="14" t="n"/>
      <c r="K4380" s="53" t="inlineStr"/>
      <c r="L4380" s="53" t="inlineStr">
        <is>
          <t>Не определено</t>
        </is>
      </c>
      <c r="M4380" s="53" t="inlineStr"/>
      <c r="N4380" s="54" t="inlineStr"/>
      <c r="O4380" s="55" t="inlineStr"/>
      <c r="P4380" s="16" t="inlineStr">
        <is>
          <t>Требует обогащения</t>
        </is>
      </c>
      <c r="Q4380" s="16">
        <f>HYPERLINK("https://pb.nalog.ru/search.html?query=6501053780","ФНС: проверить")</f>
        <v/>
      </c>
      <c r="R4380" s="16">
        <f>HYPERLINK("https://checko.ru/search?query=3801001629","Чекко: проверить")</f>
        <v/>
      </c>
      <c r="S4380" t="n">
        <v>1</v>
      </c>
      <c r="T4380" s="35" t="inlineStr">
        <is>
          <t>4 — Не обогащён</t>
        </is>
      </c>
      <c r="U4380" s="35" t="inlineStr">
        <is>
          <t>Нет ОКВЭД/ССЧР</t>
        </is>
      </c>
      <c r="V4380" s="35" t="inlineStr">
        <is>
          <t>Не определено</t>
        </is>
      </c>
      <c r="W4380" s="35" t="inlineStr"/>
      <c r="X4380" s="35" t="inlineStr"/>
    </row>
    <row r="4381" ht="27.75" customHeight="1" s="24">
      <c r="A4381" s="13" t="n">
        <v>5000109350</v>
      </c>
      <c r="B4381" s="13" t="inlineStr">
        <is>
          <t>Департамент землепользования города Южно-Сахалинска</t>
        </is>
      </c>
      <c r="C4381" s="13" t="n">
        <v>6501053780</v>
      </c>
      <c r="D4381" s="13" t="inlineStr">
        <is>
          <t>6501053780</t>
        </is>
      </c>
      <c r="E4381" s="13" t="inlineStr">
        <is>
          <t>ЮЛ РФ</t>
        </is>
      </c>
      <c r="F4381" s="13" t="n"/>
      <c r="G4381" s="14" t="n"/>
      <c r="H4381" s="14" t="n"/>
      <c r="I4381" s="14" t="n"/>
      <c r="J4381" s="14" t="n"/>
      <c r="K4381" s="53" t="inlineStr"/>
      <c r="L4381" s="53" t="inlineStr">
        <is>
          <t>Не определено</t>
        </is>
      </c>
      <c r="M4381" s="53" t="inlineStr"/>
      <c r="N4381" s="54" t="inlineStr"/>
      <c r="O4381" s="55" t="inlineStr"/>
      <c r="P4381" s="16" t="inlineStr">
        <is>
          <t>Требует обогащения</t>
        </is>
      </c>
      <c r="Q4381" s="16">
        <f>HYPERLINK("https://pb.nalog.ru/search.html?query=6501053780","ФНС: проверить")</f>
        <v/>
      </c>
      <c r="R4381" s="16">
        <f>HYPERLINK("https://checko.ru/search?query=3801001629","Чекко: проверить")</f>
        <v/>
      </c>
      <c r="S4381" t="n">
        <v>0</v>
      </c>
      <c r="T4381" s="35" t="inlineStr">
        <is>
          <t>4 — Не обогащён</t>
        </is>
      </c>
      <c r="U4381" s="35" t="inlineStr">
        <is>
          <t>Нет ОКВЭД/ССЧР</t>
        </is>
      </c>
      <c r="V4381" s="35" t="inlineStr">
        <is>
          <t>Не определено</t>
        </is>
      </c>
      <c r="W4381" s="35" t="inlineStr"/>
      <c r="X4381" s="35" t="inlineStr"/>
    </row>
    <row r="4382" ht="41.25" customHeight="1" s="24">
      <c r="A4382" s="13" t="n">
        <v>5000098325</v>
      </c>
      <c r="B4382" s="13" t="inlineStr">
        <is>
          <t>КГКУСО "Находкинский социально-реабилитационный центр для несовершеннолетних "Альбатрос"</t>
        </is>
      </c>
      <c r="C4382" s="13" t="n">
        <v>2508046714</v>
      </c>
      <c r="D4382" s="13" t="inlineStr">
        <is>
          <t>2508046714</t>
        </is>
      </c>
      <c r="E4382" s="13" t="inlineStr">
        <is>
          <t>ЮЛ РФ</t>
        </is>
      </c>
      <c r="F4382" s="13" t="n"/>
      <c r="G4382" s="14" t="n"/>
      <c r="H4382" s="14" t="n"/>
      <c r="I4382" s="14" t="n"/>
      <c r="J4382" s="14" t="n"/>
      <c r="K4382" s="53" t="inlineStr"/>
      <c r="L4382" s="53" t="inlineStr">
        <is>
          <t>Не определено</t>
        </is>
      </c>
      <c r="M4382" s="53" t="inlineStr"/>
      <c r="N4382" s="54" t="inlineStr"/>
      <c r="O4382" s="55" t="inlineStr"/>
      <c r="P4382" s="16" t="inlineStr">
        <is>
          <t>Требует обогащения</t>
        </is>
      </c>
      <c r="Q4382" s="16">
        <f>HYPERLINK("https://pb.nalog.ru/search.html?query=2508046714","ФНС: проверить")</f>
        <v/>
      </c>
      <c r="R4382" s="16">
        <f>HYPERLINK("https://checko.ru/search?query=3801001629","Чекко: проверить")</f>
        <v/>
      </c>
      <c r="S4382" t="n">
        <v>1</v>
      </c>
      <c r="T4382" s="35" t="inlineStr">
        <is>
          <t>4 — Не обогащён</t>
        </is>
      </c>
      <c r="U4382" s="35" t="inlineStr">
        <is>
          <t>Нет ОКВЭД/ССЧР</t>
        </is>
      </c>
      <c r="V4382" s="35" t="inlineStr">
        <is>
          <t>Не определено</t>
        </is>
      </c>
      <c r="W4382" s="35" t="inlineStr"/>
      <c r="X4382" s="35" t="inlineStr"/>
    </row>
    <row r="4383" ht="27.75" customHeight="1" s="24">
      <c r="A4383" s="13" t="n">
        <v>5000098310</v>
      </c>
      <c r="B4383" s="13" t="inlineStr">
        <is>
          <t>КГБУ "Дальнегорская ветеринарная станция по борьбе с болезнями животных"</t>
        </is>
      </c>
      <c r="C4383" s="13" t="n">
        <v>2505013598</v>
      </c>
      <c r="D4383" s="13" t="inlineStr">
        <is>
          <t>2505013598</t>
        </is>
      </c>
      <c r="E4383" s="13" t="inlineStr">
        <is>
          <t>ЮЛ РФ</t>
        </is>
      </c>
      <c r="F4383" s="13" t="n"/>
      <c r="G4383" s="14" t="n"/>
      <c r="H4383" s="14" t="n"/>
      <c r="I4383" s="14" t="n"/>
      <c r="J4383" s="14" t="n"/>
      <c r="K4383" s="53" t="inlineStr"/>
      <c r="L4383" s="53" t="inlineStr">
        <is>
          <t>Не определено</t>
        </is>
      </c>
      <c r="M4383" s="53" t="inlineStr"/>
      <c r="N4383" s="54" t="inlineStr"/>
      <c r="O4383" s="55" t="inlineStr"/>
      <c r="P4383" s="16" t="inlineStr">
        <is>
          <t>Требует обогащения</t>
        </is>
      </c>
      <c r="Q4383" s="16">
        <f>HYPERLINK("https://pb.nalog.ru/search.html?query=2505013598","ФНС: проверить")</f>
        <v/>
      </c>
      <c r="R4383" s="16">
        <f>HYPERLINK("https://checko.ru/search?query=3801001629","Чекко: проверить")</f>
        <v/>
      </c>
      <c r="S4383" t="n">
        <v>1</v>
      </c>
      <c r="T4383" s="35" t="inlineStr">
        <is>
          <t>4 — Не обогащён</t>
        </is>
      </c>
      <c r="U4383" s="35" t="inlineStr">
        <is>
          <t>Нет ОКВЭД/ССЧР</t>
        </is>
      </c>
      <c r="V4383" s="35" t="inlineStr">
        <is>
          <t>Не определено</t>
        </is>
      </c>
      <c r="W4383" s="35" t="inlineStr"/>
      <c r="X4383" s="35" t="inlineStr"/>
    </row>
    <row r="4384" ht="27.75" customHeight="1" s="24">
      <c r="A4384" s="13" t="n">
        <v>5000041707</v>
      </c>
      <c r="B4384" s="13" t="inlineStr">
        <is>
          <t>Отдел образования муниципального образования "город Свирск"</t>
        </is>
      </c>
      <c r="C4384" s="13" t="n">
        <v>3820010562</v>
      </c>
      <c r="D4384" s="13" t="inlineStr">
        <is>
          <t>3820010562</t>
        </is>
      </c>
      <c r="E4384" s="13" t="inlineStr">
        <is>
          <t>ЮЛ РФ</t>
        </is>
      </c>
      <c r="F4384" s="13" t="n"/>
      <c r="G4384" s="14" t="n"/>
      <c r="H4384" s="14" t="n"/>
      <c r="I4384" s="14" t="n"/>
      <c r="J4384" s="14" t="n"/>
      <c r="K4384" s="53" t="inlineStr"/>
      <c r="L4384" s="53" t="inlineStr">
        <is>
          <t>Не определено</t>
        </is>
      </c>
      <c r="M4384" s="53" t="inlineStr"/>
      <c r="N4384" s="54" t="inlineStr"/>
      <c r="O4384" s="55" t="inlineStr"/>
      <c r="P4384" s="16" t="inlineStr">
        <is>
          <t>Требует обогащения</t>
        </is>
      </c>
      <c r="Q4384" s="16">
        <f>HYPERLINK("https://pb.nalog.ru/search.html?query=3820010562","ФНС: проверить")</f>
        <v/>
      </c>
      <c r="R4384" s="16">
        <f>HYPERLINK("https://checko.ru/search?query=3801001629","Чекко: проверить")</f>
        <v/>
      </c>
      <c r="S4384" t="n">
        <v>1</v>
      </c>
      <c r="T4384" s="35" t="inlineStr">
        <is>
          <t>4 — Не обогащён</t>
        </is>
      </c>
      <c r="U4384" s="35" t="inlineStr">
        <is>
          <t>Нет ОКВЭД/ССЧР</t>
        </is>
      </c>
      <c r="V4384" s="35" t="inlineStr">
        <is>
          <t>Не определено</t>
        </is>
      </c>
      <c r="W4384" s="35" t="inlineStr"/>
      <c r="X4384" s="35" t="inlineStr"/>
    </row>
    <row r="4385" ht="15" customHeight="1" s="24">
      <c r="A4385" s="13" t="n">
        <v>5000041708</v>
      </c>
      <c r="B4385" s="13" t="inlineStr">
        <is>
          <t>МДОУ "Детский Сад Комбинированного Вида №1"</t>
        </is>
      </c>
      <c r="C4385" s="13" t="n">
        <v>3820006573</v>
      </c>
      <c r="D4385" s="13" t="inlineStr">
        <is>
          <t>3820006573</t>
        </is>
      </c>
      <c r="E4385" s="13" t="inlineStr">
        <is>
          <t>ЮЛ РФ</t>
        </is>
      </c>
      <c r="F4385" s="13" t="n"/>
      <c r="G4385" s="14" t="n"/>
      <c r="H4385" s="14" t="n"/>
      <c r="I4385" s="14" t="n"/>
      <c r="J4385" s="14" t="n"/>
      <c r="K4385" s="53" t="inlineStr"/>
      <c r="L4385" s="53" t="inlineStr">
        <is>
          <t>Не определено</t>
        </is>
      </c>
      <c r="M4385" s="53" t="inlineStr"/>
      <c r="N4385" s="54" t="inlineStr"/>
      <c r="O4385" s="55" t="inlineStr"/>
      <c r="P4385" s="16" t="inlineStr">
        <is>
          <t>Требует обогащения</t>
        </is>
      </c>
      <c r="Q4385" s="16">
        <f>HYPERLINK("https://pb.nalog.ru/search.html?query=3820006573","ФНС: проверить")</f>
        <v/>
      </c>
      <c r="R4385" s="16">
        <f>HYPERLINK("https://checko.ru/search?query=3801001629","Чекко: проверить")</f>
        <v/>
      </c>
      <c r="S4385" t="n">
        <v>1</v>
      </c>
      <c r="T4385" s="35" t="inlineStr">
        <is>
          <t>4 — Не обогащён</t>
        </is>
      </c>
      <c r="U4385" s="35" t="inlineStr">
        <is>
          <t>Нет ОКВЭД/ССЧР</t>
        </is>
      </c>
      <c r="V4385" s="35" t="inlineStr">
        <is>
          <t>Не определено</t>
        </is>
      </c>
      <c r="W4385" s="35" t="inlineStr"/>
      <c r="X4385" s="35" t="inlineStr"/>
    </row>
    <row r="4386" ht="27.75" customHeight="1" s="24">
      <c r="A4386" s="13" t="n">
        <v>5000041709</v>
      </c>
      <c r="B4386" s="13" t="inlineStr">
        <is>
          <t>МКДОУ "Детский сад общеразвивающего вида №2"</t>
        </is>
      </c>
      <c r="C4386" s="13" t="n">
        <v>3851007383</v>
      </c>
      <c r="D4386" s="13" t="inlineStr">
        <is>
          <t>3851007383</t>
        </is>
      </c>
      <c r="E4386" s="13" t="inlineStr">
        <is>
          <t>ЮЛ РФ</t>
        </is>
      </c>
      <c r="F4386" s="13" t="n"/>
      <c r="G4386" s="14" t="n"/>
      <c r="H4386" s="14" t="n"/>
      <c r="I4386" s="14" t="n"/>
      <c r="J4386" s="14" t="n"/>
      <c r="K4386" s="53" t="inlineStr"/>
      <c r="L4386" s="53" t="inlineStr">
        <is>
          <t>Не определено</t>
        </is>
      </c>
      <c r="M4386" s="53" t="inlineStr"/>
      <c r="N4386" s="54" t="inlineStr"/>
      <c r="O4386" s="55" t="inlineStr"/>
      <c r="P4386" s="16" t="inlineStr">
        <is>
          <t>Требует обогащения</t>
        </is>
      </c>
      <c r="Q4386" s="16">
        <f>HYPERLINK("https://pb.nalog.ru/search.html?query=3851007383","ФНС: проверить")</f>
        <v/>
      </c>
      <c r="R4386" s="16">
        <f>HYPERLINK("https://checko.ru/search?query=3801001629","Чекко: проверить")</f>
        <v/>
      </c>
      <c r="S4386" t="n">
        <v>1</v>
      </c>
      <c r="T4386" s="35" t="inlineStr">
        <is>
          <t>4 — Не обогащён</t>
        </is>
      </c>
      <c r="U4386" s="35" t="inlineStr">
        <is>
          <t>Нет ОКВЭД/ССЧР</t>
        </is>
      </c>
      <c r="V4386" s="35" t="inlineStr">
        <is>
          <t>Не определено</t>
        </is>
      </c>
      <c r="W4386" s="35" t="inlineStr"/>
      <c r="X4386" s="35" t="inlineStr"/>
    </row>
    <row r="4387" ht="27.75" customHeight="1" s="24">
      <c r="A4387" s="13" t="n">
        <v>5000041710</v>
      </c>
      <c r="B4387" s="13" t="inlineStr">
        <is>
          <t>МДОУ "Детский Сад Комбинированного Вида № 3"</t>
        </is>
      </c>
      <c r="C4387" s="13" t="n">
        <v>3851023890</v>
      </c>
      <c r="D4387" s="13" t="inlineStr">
        <is>
          <t>3851023890</t>
        </is>
      </c>
      <c r="E4387" s="13" t="inlineStr">
        <is>
          <t>ЮЛ РФ</t>
        </is>
      </c>
      <c r="F4387" s="13" t="n"/>
      <c r="G4387" s="14" t="n"/>
      <c r="H4387" s="14" t="n"/>
      <c r="I4387" s="14" t="n"/>
      <c r="J4387" s="14" t="n"/>
      <c r="K4387" s="53" t="inlineStr"/>
      <c r="L4387" s="53" t="inlineStr">
        <is>
          <t>Не определено</t>
        </is>
      </c>
      <c r="M4387" s="53" t="inlineStr"/>
      <c r="N4387" s="54" t="inlineStr"/>
      <c r="O4387" s="55" t="inlineStr"/>
      <c r="P4387" s="16" t="inlineStr">
        <is>
          <t>Требует обогащения</t>
        </is>
      </c>
      <c r="Q4387" s="16">
        <f>HYPERLINK("https://pb.nalog.ru/search.html?query=3851023890","ФНС: проверить")</f>
        <v/>
      </c>
      <c r="R4387" s="16">
        <f>HYPERLINK("https://checko.ru/search?query=3801001629","Чекко: проверить")</f>
        <v/>
      </c>
      <c r="S4387" t="n">
        <v>1</v>
      </c>
      <c r="T4387" s="35" t="inlineStr">
        <is>
          <t>4 — Не обогащён</t>
        </is>
      </c>
      <c r="U4387" s="35" t="inlineStr">
        <is>
          <t>Нет ОКВЭД/ССЧР</t>
        </is>
      </c>
      <c r="V4387" s="35" t="inlineStr">
        <is>
          <t>Не определено</t>
        </is>
      </c>
      <c r="W4387" s="35" t="inlineStr"/>
      <c r="X4387" s="35" t="inlineStr"/>
    </row>
    <row r="4388" ht="15" customHeight="1" s="24">
      <c r="A4388" s="13" t="n">
        <v>5000041711</v>
      </c>
      <c r="B4388" s="13" t="inlineStr">
        <is>
          <t>МДОУ "Детский сад № 22"</t>
        </is>
      </c>
      <c r="C4388" s="13" t="n">
        <v>3820006608</v>
      </c>
      <c r="D4388" s="13" t="inlineStr">
        <is>
          <t>3820006608</t>
        </is>
      </c>
      <c r="E4388" s="13" t="inlineStr">
        <is>
          <t>ЮЛ РФ</t>
        </is>
      </c>
      <c r="F4388" s="13" t="n"/>
      <c r="G4388" s="14" t="n"/>
      <c r="H4388" s="14" t="n"/>
      <c r="I4388" s="14" t="n"/>
      <c r="J4388" s="14" t="n"/>
      <c r="K4388" s="53" t="inlineStr"/>
      <c r="L4388" s="53" t="inlineStr">
        <is>
          <t>Не определено</t>
        </is>
      </c>
      <c r="M4388" s="53" t="inlineStr"/>
      <c r="N4388" s="54" t="inlineStr"/>
      <c r="O4388" s="55" t="inlineStr"/>
      <c r="P4388" s="16" t="inlineStr">
        <is>
          <t>Требует обогащения</t>
        </is>
      </c>
      <c r="Q4388" s="16">
        <f>HYPERLINK("https://pb.nalog.ru/search.html?query=3820006608","ФНС: проверить")</f>
        <v/>
      </c>
      <c r="R4388" s="16">
        <f>HYPERLINK("https://checko.ru/search?query=3801001629","Чекко: проверить")</f>
        <v/>
      </c>
      <c r="S4388" t="n">
        <v>1</v>
      </c>
      <c r="T4388" s="35" t="inlineStr">
        <is>
          <t>4 — Не обогащён</t>
        </is>
      </c>
      <c r="U4388" s="35" t="inlineStr">
        <is>
          <t>Нет ОКВЭД/ССЧР</t>
        </is>
      </c>
      <c r="V4388" s="35" t="inlineStr">
        <is>
          <t>Не определено</t>
        </is>
      </c>
      <c r="W4388" s="35" t="inlineStr"/>
      <c r="X4388" s="35" t="inlineStr"/>
    </row>
    <row r="4389" ht="15" customHeight="1" s="24">
      <c r="A4389" s="13" t="n">
        <v>5000041712</v>
      </c>
      <c r="B4389" s="13" t="inlineStr">
        <is>
          <t>МДОУ "Детский сад компенсирующего вида №33"</t>
        </is>
      </c>
      <c r="C4389" s="13" t="n">
        <v>3820006580</v>
      </c>
      <c r="D4389" s="13" t="inlineStr">
        <is>
          <t>3820006580</t>
        </is>
      </c>
      <c r="E4389" s="13" t="inlineStr">
        <is>
          <t>ЮЛ РФ</t>
        </is>
      </c>
      <c r="F4389" s="13" t="n"/>
      <c r="G4389" s="14" t="n"/>
      <c r="H4389" s="14" t="n"/>
      <c r="I4389" s="14" t="n"/>
      <c r="J4389" s="14" t="n"/>
      <c r="K4389" s="53" t="inlineStr"/>
      <c r="L4389" s="53" t="inlineStr">
        <is>
          <t>Не определено</t>
        </is>
      </c>
      <c r="M4389" s="53" t="inlineStr"/>
      <c r="N4389" s="54" t="inlineStr"/>
      <c r="O4389" s="55" t="inlineStr"/>
      <c r="P4389" s="16" t="inlineStr">
        <is>
          <t>Требует обогащения</t>
        </is>
      </c>
      <c r="Q4389" s="16">
        <f>HYPERLINK("https://pb.nalog.ru/search.html?query=3820006580","ФНС: проверить")</f>
        <v/>
      </c>
      <c r="R4389" s="16">
        <f>HYPERLINK("https://checko.ru/search?query=3801001629","Чекко: проверить")</f>
        <v/>
      </c>
      <c r="S4389" t="n">
        <v>1</v>
      </c>
      <c r="T4389" s="35" t="inlineStr">
        <is>
          <t>4 — Не обогащён</t>
        </is>
      </c>
      <c r="U4389" s="35" t="inlineStr">
        <is>
          <t>Нет ОКВЭД/ССЧР</t>
        </is>
      </c>
      <c r="V4389" s="35" t="inlineStr">
        <is>
          <t>Не определено</t>
        </is>
      </c>
      <c r="W4389" s="35" t="inlineStr"/>
      <c r="X4389" s="35" t="inlineStr"/>
    </row>
    <row r="4390" ht="27.75" customHeight="1" s="24">
      <c r="A4390" s="13" t="n">
        <v>5000041713</v>
      </c>
      <c r="B4390" s="13" t="inlineStr">
        <is>
          <t>МОУ "Средняя общеобразовательная школа №1 г.Свирска"</t>
        </is>
      </c>
      <c r="C4390" s="13" t="n">
        <v>3820007200</v>
      </c>
      <c r="D4390" s="13" t="inlineStr">
        <is>
          <t>3820007200</t>
        </is>
      </c>
      <c r="E4390" s="13" t="inlineStr">
        <is>
          <t>ЮЛ РФ</t>
        </is>
      </c>
      <c r="F4390" s="13" t="n"/>
      <c r="G4390" s="14" t="n"/>
      <c r="H4390" s="14" t="n"/>
      <c r="I4390" s="14" t="n"/>
      <c r="J4390" s="14" t="n"/>
      <c r="K4390" s="53" t="inlineStr"/>
      <c r="L4390" s="53" t="inlineStr">
        <is>
          <t>Не определено</t>
        </is>
      </c>
      <c r="M4390" s="53" t="inlineStr"/>
      <c r="N4390" s="54" t="inlineStr"/>
      <c r="O4390" s="55" t="inlineStr"/>
      <c r="P4390" s="16" t="inlineStr">
        <is>
          <t>Требует обогащения</t>
        </is>
      </c>
      <c r="Q4390" s="16">
        <f>HYPERLINK("https://pb.nalog.ru/search.html?query=3820007200","ФНС: проверить")</f>
        <v/>
      </c>
      <c r="R4390" s="16">
        <f>HYPERLINK("https://checko.ru/search?query=3801001629","Чекко: проверить")</f>
        <v/>
      </c>
      <c r="S4390" t="n">
        <v>1</v>
      </c>
      <c r="T4390" s="35" t="inlineStr">
        <is>
          <t>4 — Не обогащён</t>
        </is>
      </c>
      <c r="U4390" s="35" t="inlineStr">
        <is>
          <t>Нет ОКВЭД/ССЧР</t>
        </is>
      </c>
      <c r="V4390" s="35" t="inlineStr">
        <is>
          <t>Не определено</t>
        </is>
      </c>
      <c r="W4390" s="35" t="inlineStr"/>
      <c r="X4390" s="35" t="inlineStr"/>
    </row>
    <row r="4391" ht="27.75" customHeight="1" s="24">
      <c r="A4391" s="13" t="n">
        <v>5000041714</v>
      </c>
      <c r="B4391" s="13" t="inlineStr">
        <is>
          <t>МОУ "Средняя общеобразовательная школа №2 г.Свирска"</t>
        </is>
      </c>
      <c r="C4391" s="13" t="n">
        <v>3820007190</v>
      </c>
      <c r="D4391" s="13" t="inlineStr">
        <is>
          <t>3820007190</t>
        </is>
      </c>
      <c r="E4391" s="13" t="inlineStr">
        <is>
          <t>ЮЛ РФ</t>
        </is>
      </c>
      <c r="F4391" s="13" t="n"/>
      <c r="G4391" s="14" t="n"/>
      <c r="H4391" s="14" t="n"/>
      <c r="I4391" s="14" t="n"/>
      <c r="J4391" s="14" t="n"/>
      <c r="K4391" s="53" t="inlineStr"/>
      <c r="L4391" s="53" t="inlineStr">
        <is>
          <t>Не определено</t>
        </is>
      </c>
      <c r="M4391" s="53" t="inlineStr"/>
      <c r="N4391" s="54" t="inlineStr"/>
      <c r="O4391" s="55" t="inlineStr"/>
      <c r="P4391" s="16" t="inlineStr">
        <is>
          <t>Требует обогащения</t>
        </is>
      </c>
      <c r="Q4391" s="16">
        <f>HYPERLINK("https://pb.nalog.ru/search.html?query=3820007190","ФНС: проверить")</f>
        <v/>
      </c>
      <c r="R4391" s="16">
        <f>HYPERLINK("https://checko.ru/search?query=3801001629","Чекко: проверить")</f>
        <v/>
      </c>
      <c r="S4391" t="n">
        <v>1</v>
      </c>
      <c r="T4391" s="35" t="inlineStr">
        <is>
          <t>4 — Не обогащён</t>
        </is>
      </c>
      <c r="U4391" s="35" t="inlineStr">
        <is>
          <t>Нет ОКВЭД/ССЧР</t>
        </is>
      </c>
      <c r="V4391" s="35" t="inlineStr">
        <is>
          <t>Не определено</t>
        </is>
      </c>
      <c r="W4391" s="35" t="inlineStr"/>
      <c r="X4391" s="35" t="inlineStr"/>
    </row>
    <row r="4392" ht="41.25" customHeight="1" s="24">
      <c r="A4392" s="13" t="n">
        <v>5000041715</v>
      </c>
      <c r="B4392" s="13" t="inlineStr">
        <is>
          <t>Муниципальное общеобразовательное учреждение "Средняя общеобразовательная школа №3 г.Свирск"</t>
        </is>
      </c>
      <c r="C4392" s="13" t="n">
        <v>3820007680</v>
      </c>
      <c r="D4392" s="13" t="inlineStr">
        <is>
          <t>3820007680</t>
        </is>
      </c>
      <c r="E4392" s="13" t="inlineStr">
        <is>
          <t>ЮЛ РФ</t>
        </is>
      </c>
      <c r="F4392" s="13" t="n"/>
      <c r="G4392" s="14" t="n"/>
      <c r="H4392" s="14" t="n"/>
      <c r="I4392" s="14" t="n"/>
      <c r="J4392" s="14" t="n"/>
      <c r="K4392" s="53" t="inlineStr"/>
      <c r="L4392" s="53" t="inlineStr">
        <is>
          <t>Не определено</t>
        </is>
      </c>
      <c r="M4392" s="53" t="inlineStr"/>
      <c r="N4392" s="54" t="inlineStr"/>
      <c r="O4392" s="55" t="inlineStr"/>
      <c r="P4392" s="16" t="inlineStr">
        <is>
          <t>Требует обогащения</t>
        </is>
      </c>
      <c r="Q4392" s="16">
        <f>HYPERLINK("https://pb.nalog.ru/search.html?query=3820007680","ФНС: проверить")</f>
        <v/>
      </c>
      <c r="R4392" s="16">
        <f>HYPERLINK("https://checko.ru/search?query=3801001629","Чекко: проверить")</f>
        <v/>
      </c>
      <c r="S4392" t="n">
        <v>1</v>
      </c>
      <c r="T4392" s="35" t="inlineStr">
        <is>
          <t>4 — Не обогащён</t>
        </is>
      </c>
      <c r="U4392" s="35" t="inlineStr">
        <is>
          <t>Нет ОКВЭД/ССЧР</t>
        </is>
      </c>
      <c r="V4392" s="35" t="inlineStr">
        <is>
          <t>Не определено</t>
        </is>
      </c>
      <c r="W4392" s="35" t="inlineStr"/>
      <c r="X4392" s="35" t="inlineStr"/>
    </row>
    <row r="4393" ht="41.25" customHeight="1" s="24">
      <c r="A4393" s="13" t="n">
        <v>5000041716</v>
      </c>
      <c r="B4393" s="13" t="inlineStr">
        <is>
          <t>Муниципальное общеобразовательное учреждение "Макарьевская средняя общеобразовательная школа" г.Свирск</t>
        </is>
      </c>
      <c r="C4393" s="13" t="n">
        <v>3820007464</v>
      </c>
      <c r="D4393" s="13" t="inlineStr">
        <is>
          <t>3820007464</t>
        </is>
      </c>
      <c r="E4393" s="13" t="inlineStr">
        <is>
          <t>ЮЛ РФ</t>
        </is>
      </c>
      <c r="F4393" s="13" t="n"/>
      <c r="G4393" s="14" t="n"/>
      <c r="H4393" s="14" t="n"/>
      <c r="I4393" s="14" t="n"/>
      <c r="J4393" s="14" t="n"/>
      <c r="K4393" s="53" t="inlineStr"/>
      <c r="L4393" s="53" t="inlineStr">
        <is>
          <t>Не определено</t>
        </is>
      </c>
      <c r="M4393" s="53" t="inlineStr"/>
      <c r="N4393" s="54" t="inlineStr"/>
      <c r="O4393" s="55" t="inlineStr"/>
      <c r="P4393" s="16" t="inlineStr">
        <is>
          <t>Требует обогащения</t>
        </is>
      </c>
      <c r="Q4393" s="16">
        <f>HYPERLINK("https://pb.nalog.ru/search.html?query=3820007464","ФНС: проверить")</f>
        <v/>
      </c>
      <c r="R4393" s="16">
        <f>HYPERLINK("https://checko.ru/search?query=3801001629","Чекко: проверить")</f>
        <v/>
      </c>
      <c r="S4393" t="n">
        <v>1</v>
      </c>
      <c r="T4393" s="35" t="inlineStr">
        <is>
          <t>4 — Не обогащён</t>
        </is>
      </c>
      <c r="U4393" s="35" t="inlineStr">
        <is>
          <t>Нет ОКВЭД/ССЧР</t>
        </is>
      </c>
      <c r="V4393" s="35" t="inlineStr">
        <is>
          <t>Не определено</t>
        </is>
      </c>
      <c r="W4393" s="35" t="inlineStr"/>
      <c r="X4393" s="35" t="inlineStr"/>
    </row>
    <row r="4394" ht="41.25" customHeight="1" s="24">
      <c r="A4394" s="13" t="n">
        <v>5000041717</v>
      </c>
      <c r="B4394" s="13" t="inlineStr">
        <is>
          <t>Муниципальное общеобразовательное учреждение "Основная общеобразовательная школа" п. Березовый города Свирска</t>
        </is>
      </c>
      <c r="C4394" s="13" t="n">
        <v>3820007263</v>
      </c>
      <c r="D4394" s="13" t="inlineStr">
        <is>
          <t>3820007263</t>
        </is>
      </c>
      <c r="E4394" s="13" t="inlineStr">
        <is>
          <t>ЮЛ РФ</t>
        </is>
      </c>
      <c r="F4394" s="13" t="n"/>
      <c r="G4394" s="14" t="n"/>
      <c r="H4394" s="14" t="n"/>
      <c r="I4394" s="14" t="n"/>
      <c r="J4394" s="14" t="n"/>
      <c r="K4394" s="53" t="inlineStr"/>
      <c r="L4394" s="53" t="inlineStr">
        <is>
          <t>Не определено</t>
        </is>
      </c>
      <c r="M4394" s="53" t="inlineStr"/>
      <c r="N4394" s="54" t="inlineStr"/>
      <c r="O4394" s="55" t="inlineStr"/>
      <c r="P4394" s="16" t="inlineStr">
        <is>
          <t>Требует обогащения</t>
        </is>
      </c>
      <c r="Q4394" s="16">
        <f>HYPERLINK("https://pb.nalog.ru/search.html?query=3820007263","ФНС: проверить")</f>
        <v/>
      </c>
      <c r="R4394" s="16">
        <f>HYPERLINK("https://checko.ru/search?query=3801001629","Чекко: проверить")</f>
        <v/>
      </c>
      <c r="S4394" t="n">
        <v>1</v>
      </c>
      <c r="T4394" s="35" t="inlineStr">
        <is>
          <t>4 — Не обогащён</t>
        </is>
      </c>
      <c r="U4394" s="35" t="inlineStr">
        <is>
          <t>Нет ОКВЭД/ССЧР</t>
        </is>
      </c>
      <c r="V4394" s="35" t="inlineStr">
        <is>
          <t>Не определено</t>
        </is>
      </c>
      <c r="W4394" s="35" t="inlineStr"/>
      <c r="X4394" s="35" t="inlineStr"/>
    </row>
    <row r="4395" ht="41.25" customHeight="1" s="24">
      <c r="A4395" s="13" t="n">
        <v>5000041718</v>
      </c>
      <c r="B4395" s="13" t="inlineStr">
        <is>
          <t>Муниципальное казенное Образовательное учреждение Дополнительного Образования "Дом Детского Творчества г.Свирск"</t>
        </is>
      </c>
      <c r="C4395" s="13" t="n">
        <v>3820007457</v>
      </c>
      <c r="D4395" s="13" t="inlineStr">
        <is>
          <t>3820007457</t>
        </is>
      </c>
      <c r="E4395" s="13" t="inlineStr">
        <is>
          <t>ЮЛ РФ</t>
        </is>
      </c>
      <c r="F4395" s="13" t="n"/>
      <c r="G4395" s="14" t="n"/>
      <c r="H4395" s="14" t="n"/>
      <c r="I4395" s="14" t="n"/>
      <c r="J4395" s="14" t="n"/>
      <c r="K4395" s="53" t="inlineStr"/>
      <c r="L4395" s="53" t="inlineStr">
        <is>
          <t>Не определено</t>
        </is>
      </c>
      <c r="M4395" s="53" t="inlineStr"/>
      <c r="N4395" s="54" t="inlineStr"/>
      <c r="O4395" s="55" t="inlineStr"/>
      <c r="P4395" s="16" t="inlineStr">
        <is>
          <t>Требует обогащения</t>
        </is>
      </c>
      <c r="Q4395" s="16">
        <f>HYPERLINK("https://pb.nalog.ru/search.html?query=3820007457","ФНС: проверить")</f>
        <v/>
      </c>
      <c r="R4395" s="16">
        <f>HYPERLINK("https://checko.ru/search?query=3801001629","Чекко: проверить")</f>
        <v/>
      </c>
      <c r="S4395" t="n">
        <v>1</v>
      </c>
      <c r="T4395" s="35" t="inlineStr">
        <is>
          <t>4 — Не обогащён</t>
        </is>
      </c>
      <c r="U4395" s="35" t="inlineStr">
        <is>
          <t>Нет ОКВЭД/ССЧР</t>
        </is>
      </c>
      <c r="V4395" s="35" t="inlineStr">
        <is>
          <t>Не определено</t>
        </is>
      </c>
      <c r="W4395" s="35" t="inlineStr"/>
      <c r="X4395" s="35" t="inlineStr"/>
    </row>
    <row r="4396" ht="54.75" customHeight="1" s="24">
      <c r="A4396" s="13" t="n">
        <v>5000041719</v>
      </c>
      <c r="B4396" s="13" t="inlineStr">
        <is>
          <t>Муниципальное казенное Образовательное учреждение Дополнительного Образования "Детско-Юношеская Спортивная Школа г. Свирска"</t>
        </is>
      </c>
      <c r="C4396" s="13" t="n">
        <v>3820007577</v>
      </c>
      <c r="D4396" s="13" t="inlineStr">
        <is>
          <t>3820007577</t>
        </is>
      </c>
      <c r="E4396" s="13" t="inlineStr">
        <is>
          <t>ЮЛ РФ</t>
        </is>
      </c>
      <c r="F4396" s="13" t="n"/>
      <c r="G4396" s="14" t="n"/>
      <c r="H4396" s="14" t="n"/>
      <c r="I4396" s="14" t="n"/>
      <c r="J4396" s="14" t="n"/>
      <c r="K4396" s="53" t="inlineStr"/>
      <c r="L4396" s="53" t="inlineStr">
        <is>
          <t>Не определено</t>
        </is>
      </c>
      <c r="M4396" s="53" t="inlineStr"/>
      <c r="N4396" s="54" t="inlineStr"/>
      <c r="O4396" s="55" t="inlineStr"/>
      <c r="P4396" s="16" t="inlineStr">
        <is>
          <t>Требует обогащения</t>
        </is>
      </c>
      <c r="Q4396" s="16">
        <f>HYPERLINK("https://pb.nalog.ru/search.html?query=3820007577","ФНС: проверить")</f>
        <v/>
      </c>
      <c r="R4396" s="16">
        <f>HYPERLINK("https://checko.ru/search?query=3801001629","Чекко: проверить")</f>
        <v/>
      </c>
      <c r="S4396" t="n">
        <v>1</v>
      </c>
      <c r="T4396" s="35" t="inlineStr">
        <is>
          <t>4 — Не обогащён</t>
        </is>
      </c>
      <c r="U4396" s="35" t="inlineStr">
        <is>
          <t>Нет ОКВЭД/ССЧР</t>
        </is>
      </c>
      <c r="V4396" s="35" t="inlineStr">
        <is>
          <t>Не определено</t>
        </is>
      </c>
      <c r="W4396" s="35" t="inlineStr"/>
      <c r="X4396" s="35" t="inlineStr"/>
    </row>
    <row r="4397" ht="41.25" customHeight="1" s="24">
      <c r="A4397" s="13" t="n">
        <v>5000040819</v>
      </c>
      <c r="B4397" s="13" t="inlineStr">
        <is>
          <t>Отдел культуры, спорта, туризма и молодежной политики муниципального образования «Южно-Курильский городской округ»</t>
        </is>
      </c>
      <c r="C4397" s="13" t="n">
        <v>6518006436</v>
      </c>
      <c r="D4397" s="13" t="inlineStr">
        <is>
          <t>6518006436</t>
        </is>
      </c>
      <c r="E4397" s="13" t="inlineStr">
        <is>
          <t>ЮЛ РФ</t>
        </is>
      </c>
      <c r="F4397" s="13" t="n"/>
      <c r="G4397" s="14" t="n"/>
      <c r="H4397" s="14" t="n"/>
      <c r="I4397" s="14" t="n"/>
      <c r="J4397" s="14" t="n"/>
      <c r="K4397" s="53" t="inlineStr"/>
      <c r="L4397" s="53" t="inlineStr">
        <is>
          <t>Не определено</t>
        </is>
      </c>
      <c r="M4397" s="53" t="inlineStr"/>
      <c r="N4397" s="54" t="inlineStr"/>
      <c r="O4397" s="55" t="inlineStr"/>
      <c r="P4397" s="16" t="inlineStr">
        <is>
          <t>Требует обогащения</t>
        </is>
      </c>
      <c r="Q4397" s="16">
        <f>HYPERLINK("https://pb.nalog.ru/search.html?query=6518006436","ФНС: проверить")</f>
        <v/>
      </c>
      <c r="R4397" s="16">
        <f>HYPERLINK("https://checko.ru/search?query=3801001629","Чекко: проверить")</f>
        <v/>
      </c>
      <c r="S4397" t="n">
        <v>1</v>
      </c>
      <c r="T4397" s="35" t="inlineStr">
        <is>
          <t>4 — Не обогащён</t>
        </is>
      </c>
      <c r="U4397" s="35" t="inlineStr">
        <is>
          <t>Нет ОКВЭД/ССЧР</t>
        </is>
      </c>
      <c r="V4397" s="35" t="inlineStr">
        <is>
          <t>Не определено</t>
        </is>
      </c>
      <c r="W4397" s="35" t="inlineStr"/>
      <c r="X4397" s="35" t="inlineStr"/>
    </row>
    <row r="4398" ht="41.25" customHeight="1" s="24">
      <c r="A4398" s="13" t="n">
        <v>5000040819</v>
      </c>
      <c r="B4398" s="13" t="inlineStr">
        <is>
          <t>Отдел культуры, спорта, туризма и молодежной политики муниципального образования «Южно-Курильский городской округ»</t>
        </is>
      </c>
      <c r="C4398" s="13" t="n">
        <v>6518006436</v>
      </c>
      <c r="D4398" s="13" t="inlineStr">
        <is>
          <t>6518006436</t>
        </is>
      </c>
      <c r="E4398" s="13" t="inlineStr">
        <is>
          <t>ЮЛ РФ</t>
        </is>
      </c>
      <c r="F4398" s="13" t="n"/>
      <c r="G4398" s="14" t="n"/>
      <c r="H4398" s="14" t="n"/>
      <c r="I4398" s="14" t="n"/>
      <c r="J4398" s="14" t="n"/>
      <c r="K4398" s="53" t="inlineStr"/>
      <c r="L4398" s="53" t="inlineStr">
        <is>
          <t>Не определено</t>
        </is>
      </c>
      <c r="M4398" s="53" t="inlineStr"/>
      <c r="N4398" s="54" t="inlineStr"/>
      <c r="O4398" s="55" t="inlineStr"/>
      <c r="P4398" s="16" t="inlineStr">
        <is>
          <t>Требует обогащения</t>
        </is>
      </c>
      <c r="Q4398" s="16">
        <f>HYPERLINK("https://pb.nalog.ru/search.html?query=6518006436","ФНС: проверить")</f>
        <v/>
      </c>
      <c r="R4398" s="16">
        <f>HYPERLINK("https://checko.ru/search?query=3801001629","Чекко: проверить")</f>
        <v/>
      </c>
      <c r="S4398" t="n">
        <v>0</v>
      </c>
      <c r="T4398" s="35" t="inlineStr">
        <is>
          <t>4 — Не обогащён</t>
        </is>
      </c>
      <c r="U4398" s="35" t="inlineStr">
        <is>
          <t>Нет ОКВЭД/ССЧР</t>
        </is>
      </c>
      <c r="V4398" s="35" t="inlineStr">
        <is>
          <t>Не определено</t>
        </is>
      </c>
      <c r="W4398" s="35" t="inlineStr"/>
      <c r="X4398" s="35" t="inlineStr"/>
    </row>
    <row r="4399" ht="27.75" customHeight="1" s="24">
      <c r="A4399" s="13" t="n">
        <v>5000109946</v>
      </c>
      <c r="B4399" s="13" t="inlineStr">
        <is>
          <t>ФИНАНСОВО-ЭКОНОМИЧЕСКИЙ ДЕПАРТАМЕНТ АДМ. ПОРОНАЙСКОГО ГОР. ОКРУГ</t>
        </is>
      </c>
      <c r="C4399" s="13" t="n">
        <v>6507007445</v>
      </c>
      <c r="D4399" s="13" t="inlineStr">
        <is>
          <t>6507007445</t>
        </is>
      </c>
      <c r="E4399" s="13" t="inlineStr">
        <is>
          <t>ЮЛ РФ</t>
        </is>
      </c>
      <c r="F4399" s="13" t="n"/>
      <c r="G4399" s="14" t="n"/>
      <c r="H4399" s="14" t="n"/>
      <c r="I4399" s="14" t="n"/>
      <c r="J4399" s="14" t="n"/>
      <c r="K4399" s="53" t="inlineStr"/>
      <c r="L4399" s="53" t="inlineStr">
        <is>
          <t>Не определено</t>
        </is>
      </c>
      <c r="M4399" s="53" t="inlineStr"/>
      <c r="N4399" s="54" t="inlineStr"/>
      <c r="O4399" s="55" t="inlineStr"/>
      <c r="P4399" s="16" t="inlineStr">
        <is>
          <t>Требует обогащения</t>
        </is>
      </c>
      <c r="Q4399" s="16">
        <f>HYPERLINK("https://pb.nalog.ru/search.html?query=6507007445","ФНС: проверить")</f>
        <v/>
      </c>
      <c r="R4399" s="16">
        <f>HYPERLINK("https://checko.ru/search?query=3801001629","Чекко: проверить")</f>
        <v/>
      </c>
      <c r="S4399" t="n">
        <v>1</v>
      </c>
      <c r="T4399" s="35" t="inlineStr">
        <is>
          <t>4 — Не обогащён</t>
        </is>
      </c>
      <c r="U4399" s="35" t="inlineStr">
        <is>
          <t>Нет ОКВЭД/ССЧР</t>
        </is>
      </c>
      <c r="V4399" s="35" t="inlineStr">
        <is>
          <t>Не определено</t>
        </is>
      </c>
      <c r="W4399" s="35" t="inlineStr"/>
      <c r="X4399" s="35" t="inlineStr"/>
    </row>
    <row r="4400" ht="27.75" customHeight="1" s="24">
      <c r="A4400" s="13" t="n">
        <v>5000109946</v>
      </c>
      <c r="B4400" s="13" t="inlineStr">
        <is>
          <t>ФИНАНСОВО-ЭКОНОМИЧЕСКИЙ ДЕПАРТАМЕНТ АДМ. ПОРОНАЙСКОГО ГОР. ОКРУГ</t>
        </is>
      </c>
      <c r="C4400" s="13" t="n">
        <v>6507007445</v>
      </c>
      <c r="D4400" s="13" t="inlineStr">
        <is>
          <t>6507007445</t>
        </is>
      </c>
      <c r="E4400" s="13" t="inlineStr">
        <is>
          <t>ЮЛ РФ</t>
        </is>
      </c>
      <c r="F4400" s="13" t="n"/>
      <c r="G4400" s="14" t="n"/>
      <c r="H4400" s="14" t="n"/>
      <c r="I4400" s="14" t="n"/>
      <c r="J4400" s="14" t="n"/>
      <c r="K4400" s="53" t="inlineStr"/>
      <c r="L4400" s="53" t="inlineStr">
        <is>
          <t>Не определено</t>
        </is>
      </c>
      <c r="M4400" s="53" t="inlineStr"/>
      <c r="N4400" s="54" t="inlineStr"/>
      <c r="O4400" s="55" t="inlineStr"/>
      <c r="P4400" s="16" t="inlineStr">
        <is>
          <t>Требует обогащения</t>
        </is>
      </c>
      <c r="Q4400" s="16">
        <f>HYPERLINK("https://pb.nalog.ru/search.html?query=6507007445","ФНС: проверить")</f>
        <v/>
      </c>
      <c r="R4400" s="16">
        <f>HYPERLINK("https://checko.ru/search?query=3801001629","Чекко: проверить")</f>
        <v/>
      </c>
      <c r="S4400" t="n">
        <v>0</v>
      </c>
      <c r="T4400" s="35" t="inlineStr">
        <is>
          <t>4 — Не обогащён</t>
        </is>
      </c>
      <c r="U4400" s="35" t="inlineStr">
        <is>
          <t>Нет ОКВЭД/ССЧР</t>
        </is>
      </c>
      <c r="V4400" s="35" t="inlineStr">
        <is>
          <t>Не определено</t>
        </is>
      </c>
      <c r="W4400" s="35" t="inlineStr"/>
      <c r="X4400" s="35" t="inlineStr"/>
    </row>
    <row r="4401" ht="15" customHeight="1" s="24">
      <c r="A4401" s="13" t="n">
        <v>5000109947</v>
      </c>
      <c r="B4401" s="13" t="inlineStr">
        <is>
          <t>МБОУ Школа - Детский Сад С.Тунгор</t>
        </is>
      </c>
      <c r="C4401" s="13" t="n">
        <v>6506008171</v>
      </c>
      <c r="D4401" s="13" t="inlineStr">
        <is>
          <t>6506008171</t>
        </is>
      </c>
      <c r="E4401" s="13" t="inlineStr">
        <is>
          <t>ЮЛ РФ</t>
        </is>
      </c>
      <c r="F4401" s="13" t="n"/>
      <c r="G4401" s="14" t="n"/>
      <c r="H4401" s="14" t="n"/>
      <c r="I4401" s="14" t="n"/>
      <c r="J4401" s="14" t="n"/>
      <c r="K4401" s="53" t="inlineStr"/>
      <c r="L4401" s="53" t="inlineStr">
        <is>
          <t>Не определено</t>
        </is>
      </c>
      <c r="M4401" s="53" t="inlineStr"/>
      <c r="N4401" s="54" t="inlineStr"/>
      <c r="O4401" s="55" t="inlineStr"/>
      <c r="P4401" s="16" t="inlineStr">
        <is>
          <t>Требует обогащения</t>
        </is>
      </c>
      <c r="Q4401" s="16">
        <f>HYPERLINK("https://pb.nalog.ru/search.html?query=6506008171","ФНС: проверить")</f>
        <v/>
      </c>
      <c r="R4401" s="16">
        <f>HYPERLINK("https://checko.ru/search?query=3801001629","Чекко: проверить")</f>
        <v/>
      </c>
      <c r="S4401" t="n">
        <v>1</v>
      </c>
      <c r="T4401" s="35" t="inlineStr">
        <is>
          <t>4 — Не обогащён</t>
        </is>
      </c>
      <c r="U4401" s="35" t="inlineStr">
        <is>
          <t>Нет ОКВЭД/ССЧР</t>
        </is>
      </c>
      <c r="V4401" s="35" t="inlineStr">
        <is>
          <t>Не определено</t>
        </is>
      </c>
      <c r="W4401" s="35" t="inlineStr"/>
      <c r="X4401" s="35" t="inlineStr"/>
    </row>
    <row r="4402" ht="41.25" customHeight="1" s="24">
      <c r="A4402" s="13" t="n">
        <v>5000109741</v>
      </c>
      <c r="B4402" s="13" t="inlineStr">
        <is>
          <t>Муниципальное автономное Дошкольное Образовательное учреждение "Детский Сад № 9 "Зелёный Остров"</t>
        </is>
      </c>
      <c r="C4402" s="13" t="n">
        <v>6501314672</v>
      </c>
      <c r="D4402" s="13" t="inlineStr">
        <is>
          <t>6501314672</t>
        </is>
      </c>
      <c r="E4402" s="13" t="inlineStr">
        <is>
          <t>ЮЛ РФ</t>
        </is>
      </c>
      <c r="F4402" s="13" t="n"/>
      <c r="G4402" s="14" t="n"/>
      <c r="H4402" s="14" t="n"/>
      <c r="I4402" s="14" t="n"/>
      <c r="J4402" s="14" t="n"/>
      <c r="K4402" s="53" t="inlineStr"/>
      <c r="L4402" s="53" t="inlineStr">
        <is>
          <t>Не определено</t>
        </is>
      </c>
      <c r="M4402" s="53" t="inlineStr"/>
      <c r="N4402" s="54" t="inlineStr"/>
      <c r="O4402" s="55" t="inlineStr"/>
      <c r="P4402" s="16" t="inlineStr">
        <is>
          <t>Требует обогащения</t>
        </is>
      </c>
      <c r="Q4402" s="16">
        <f>HYPERLINK("https://pb.nalog.ru/search.html?query=6501314672","ФНС: проверить")</f>
        <v/>
      </c>
      <c r="R4402" s="16">
        <f>HYPERLINK("https://checko.ru/search?query=3801001629","Чекко: проверить")</f>
        <v/>
      </c>
      <c r="S4402" t="n">
        <v>1</v>
      </c>
      <c r="T4402" s="35" t="inlineStr">
        <is>
          <t>4 — Не обогащён</t>
        </is>
      </c>
      <c r="U4402" s="35" t="inlineStr">
        <is>
          <t>Нет ОКВЭД/ССЧР</t>
        </is>
      </c>
      <c r="V4402" s="35" t="inlineStr">
        <is>
          <t>Не определено</t>
        </is>
      </c>
      <c r="W4402" s="35" t="inlineStr"/>
      <c r="X4402" s="35" t="inlineStr"/>
    </row>
    <row r="4403" ht="54.75" customHeight="1" s="24">
      <c r="A4403" s="13" t="n">
        <v>5000108349</v>
      </c>
      <c r="B4403" s="13" t="inlineStr">
        <is>
          <t>МУНИЦИПАЛЬНОЕ АВТОНОМНОЕ ОБЩЕОБРАЗОВАТЕЛЬНОЕ УЧРЕЖДЕНИЕ СРЕДНЯЯ ОБЩЕОБРАЗОВАТЕЛЬНАЯ ШКОЛА № 19 С. ДАЛЬНЕЕ</t>
        </is>
      </c>
      <c r="C4403" s="13" t="n">
        <v>6501102808</v>
      </c>
      <c r="D4403" s="13" t="inlineStr">
        <is>
          <t>6501102808</t>
        </is>
      </c>
      <c r="E4403" s="13" t="inlineStr">
        <is>
          <t>ЮЛ РФ</t>
        </is>
      </c>
      <c r="F4403" s="13" t="n"/>
      <c r="G4403" s="14" t="n"/>
      <c r="H4403" s="14" t="n"/>
      <c r="I4403" s="14" t="n"/>
      <c r="J4403" s="14" t="n"/>
      <c r="K4403" s="53" t="inlineStr"/>
      <c r="L4403" s="53" t="inlineStr">
        <is>
          <t>Не определено</t>
        </is>
      </c>
      <c r="M4403" s="53" t="inlineStr"/>
      <c r="N4403" s="54" t="inlineStr"/>
      <c r="O4403" s="55" t="inlineStr"/>
      <c r="P4403" s="16" t="inlineStr">
        <is>
          <t>Требует обогащения</t>
        </is>
      </c>
      <c r="Q4403" s="16">
        <f>HYPERLINK("https://pb.nalog.ru/search.html?query=6501102808","ФНС: проверить")</f>
        <v/>
      </c>
      <c r="R4403" s="16">
        <f>HYPERLINK("https://checko.ru/search?query=3801001629","Чекко: проверить")</f>
        <v/>
      </c>
      <c r="S4403" t="n">
        <v>1</v>
      </c>
      <c r="T4403" s="35" t="inlineStr">
        <is>
          <t>4 — Не обогащён</t>
        </is>
      </c>
      <c r="U4403" s="35" t="inlineStr">
        <is>
          <t>Нет ОКВЭД/ССЧР</t>
        </is>
      </c>
      <c r="V4403" s="35" t="inlineStr">
        <is>
          <t>Не определено</t>
        </is>
      </c>
      <c r="W4403" s="35" t="inlineStr"/>
      <c r="X4403" s="35" t="inlineStr"/>
    </row>
    <row r="4404" ht="15" customHeight="1" s="24">
      <c r="A4404" s="13" t="n">
        <v>5000109943</v>
      </c>
      <c r="B4404" s="13" t="inlineStr">
        <is>
          <t>Департамент Соцразвития</t>
        </is>
      </c>
      <c r="C4404" s="13" t="n">
        <v>6500014330</v>
      </c>
      <c r="D4404" s="13" t="inlineStr">
        <is>
          <t>6500014330</t>
        </is>
      </c>
      <c r="E4404" s="13" t="inlineStr">
        <is>
          <t>ЮЛ РФ</t>
        </is>
      </c>
      <c r="F4404" s="13" t="n"/>
      <c r="G4404" s="14" t="n"/>
      <c r="H4404" s="14" t="n"/>
      <c r="I4404" s="14" t="n"/>
      <c r="J4404" s="14" t="n"/>
      <c r="K4404" s="53" t="inlineStr"/>
      <c r="L4404" s="53" t="inlineStr">
        <is>
          <t>Не определено</t>
        </is>
      </c>
      <c r="M4404" s="53" t="inlineStr"/>
      <c r="N4404" s="54" t="inlineStr"/>
      <c r="O4404" s="55" t="inlineStr"/>
      <c r="P4404" s="16" t="inlineStr">
        <is>
          <t>Требует обогащения</t>
        </is>
      </c>
      <c r="Q4404" s="16">
        <f>HYPERLINK("https://pb.nalog.ru/search.html?query=6500014330","ФНС: проверить")</f>
        <v/>
      </c>
      <c r="R4404" s="16">
        <f>HYPERLINK("https://checko.ru/search?query=3801001629","Чекко: проверить")</f>
        <v/>
      </c>
      <c r="S4404" t="n">
        <v>1</v>
      </c>
      <c r="T4404" s="35" t="inlineStr">
        <is>
          <t>4 — Не обогащён</t>
        </is>
      </c>
      <c r="U4404" s="35" t="inlineStr">
        <is>
          <t>Нет ОКВЭД/ССЧР</t>
        </is>
      </c>
      <c r="V4404" s="35" t="inlineStr">
        <is>
          <t>Не определено</t>
        </is>
      </c>
      <c r="W4404" s="35" t="inlineStr"/>
      <c r="X4404" s="35" t="inlineStr"/>
    </row>
    <row r="4405" ht="15" customHeight="1" s="24">
      <c r="A4405" s="13" t="n">
        <v>5000109943</v>
      </c>
      <c r="B4405" s="13" t="inlineStr">
        <is>
          <t>Департамент Соцразвития</t>
        </is>
      </c>
      <c r="C4405" s="13" t="n">
        <v>6500014330</v>
      </c>
      <c r="D4405" s="13" t="inlineStr">
        <is>
          <t>6500014330</t>
        </is>
      </c>
      <c r="E4405" s="13" t="inlineStr">
        <is>
          <t>ЮЛ РФ</t>
        </is>
      </c>
      <c r="F4405" s="13" t="n"/>
      <c r="G4405" s="14" t="n"/>
      <c r="H4405" s="14" t="n"/>
      <c r="I4405" s="14" t="n"/>
      <c r="J4405" s="14" t="n"/>
      <c r="K4405" s="53" t="inlineStr"/>
      <c r="L4405" s="53" t="inlineStr">
        <is>
          <t>Не определено</t>
        </is>
      </c>
      <c r="M4405" s="53" t="inlineStr"/>
      <c r="N4405" s="54" t="inlineStr"/>
      <c r="O4405" s="55" t="inlineStr"/>
      <c r="P4405" s="16" t="inlineStr">
        <is>
          <t>Требует обогащения</t>
        </is>
      </c>
      <c r="Q4405" s="16">
        <f>HYPERLINK("https://pb.nalog.ru/search.html?query=6500014330","ФНС: проверить")</f>
        <v/>
      </c>
      <c r="R4405" s="16">
        <f>HYPERLINK("https://checko.ru/search?query=3801001629","Чекко: проверить")</f>
        <v/>
      </c>
      <c r="S4405" t="n">
        <v>0</v>
      </c>
      <c r="T4405" s="35" t="inlineStr">
        <is>
          <t>4 — Не обогащён</t>
        </is>
      </c>
      <c r="U4405" s="35" t="inlineStr">
        <is>
          <t>Нет ОКВЭД/ССЧР</t>
        </is>
      </c>
      <c r="V4405" s="35" t="inlineStr">
        <is>
          <t>Не определено</t>
        </is>
      </c>
      <c r="W4405" s="35" t="inlineStr"/>
      <c r="X4405" s="35" t="inlineStr"/>
    </row>
    <row r="4406" ht="15" customHeight="1" s="24">
      <c r="A4406" s="13" t="n">
        <v>5000109383</v>
      </c>
      <c r="B4406" s="13" t="inlineStr">
        <is>
          <t>МБОУ СОШ № 5 Г. Охи им. А.В. Беляева</t>
        </is>
      </c>
      <c r="C4406" s="13" t="n">
        <v>6506007668</v>
      </c>
      <c r="D4406" s="13" t="inlineStr">
        <is>
          <t>6506007668</t>
        </is>
      </c>
      <c r="E4406" s="13" t="inlineStr">
        <is>
          <t>ЮЛ РФ</t>
        </is>
      </c>
      <c r="F4406" s="13" t="n"/>
      <c r="G4406" s="14" t="n"/>
      <c r="H4406" s="14" t="n"/>
      <c r="I4406" s="14" t="n"/>
      <c r="J4406" s="14" t="n"/>
      <c r="K4406" s="53" t="inlineStr"/>
      <c r="L4406" s="53" t="inlineStr">
        <is>
          <t>Не определено</t>
        </is>
      </c>
      <c r="M4406" s="53" t="inlineStr"/>
      <c r="N4406" s="54" t="inlineStr"/>
      <c r="O4406" s="55" t="inlineStr"/>
      <c r="P4406" s="16" t="inlineStr">
        <is>
          <t>Требует обогащения</t>
        </is>
      </c>
      <c r="Q4406" s="16">
        <f>HYPERLINK("https://pb.nalog.ru/search.html?query=6506007668","ФНС: проверить")</f>
        <v/>
      </c>
      <c r="R4406" s="16">
        <f>HYPERLINK("https://checko.ru/search?query=3801001629","Чекко: проверить")</f>
        <v/>
      </c>
      <c r="S4406" t="n">
        <v>1</v>
      </c>
      <c r="T4406" s="35" t="inlineStr">
        <is>
          <t>4 — Не обогащён</t>
        </is>
      </c>
      <c r="U4406" s="35" t="inlineStr">
        <is>
          <t>Нет ОКВЭД/ССЧР</t>
        </is>
      </c>
      <c r="V4406" s="35" t="inlineStr">
        <is>
          <t>Не определено</t>
        </is>
      </c>
      <c r="W4406" s="35" t="inlineStr"/>
      <c r="X4406" s="35" t="inlineStr"/>
    </row>
    <row r="4407" ht="41.25" customHeight="1" s="24">
      <c r="A4407" s="13" t="n">
        <v>5000108348</v>
      </c>
      <c r="B4407" s="13" t="inlineStr">
        <is>
          <t>МУНИЦИПАЛЬНОЕ БЮДЖЕТНОЕ УЧРЕЖДЕНИЕ ДОПОЛНИТЕЛЬНОГО ОБРАЗОВАНИЯ"ДЕТСКАЯ ШКОЛА ИСКУССТВ"ЭТНОС"</t>
        </is>
      </c>
      <c r="C4407" s="13" t="n">
        <v>6501101988</v>
      </c>
      <c r="D4407" s="13" t="inlineStr">
        <is>
          <t>6501101988</t>
        </is>
      </c>
      <c r="E4407" s="13" t="inlineStr">
        <is>
          <t>ЮЛ РФ</t>
        </is>
      </c>
      <c r="F4407" s="13" t="n"/>
      <c r="G4407" s="14" t="n"/>
      <c r="H4407" s="14" t="n"/>
      <c r="I4407" s="14" t="n"/>
      <c r="J4407" s="14" t="n"/>
      <c r="K4407" s="53" t="inlineStr"/>
      <c r="L4407" s="53" t="inlineStr">
        <is>
          <t>Не определено</t>
        </is>
      </c>
      <c r="M4407" s="53" t="inlineStr"/>
      <c r="N4407" s="54" t="inlineStr"/>
      <c r="O4407" s="55" t="inlineStr"/>
      <c r="P4407" s="16" t="inlineStr">
        <is>
          <t>Требует обогащения</t>
        </is>
      </c>
      <c r="Q4407" s="16">
        <f>HYPERLINK("https://pb.nalog.ru/search.html?query=6501101988","ФНС: проверить")</f>
        <v/>
      </c>
      <c r="R4407" s="16">
        <f>HYPERLINK("https://checko.ru/search?query=3801001629","Чекко: проверить")</f>
        <v/>
      </c>
      <c r="S4407" t="n">
        <v>1</v>
      </c>
      <c r="T4407" s="35" t="inlineStr">
        <is>
          <t>4 — Не обогащён</t>
        </is>
      </c>
      <c r="U4407" s="35" t="inlineStr">
        <is>
          <t>Нет ОКВЭД/ССЧР</t>
        </is>
      </c>
      <c r="V4407" s="35" t="inlineStr">
        <is>
          <t>Не определено</t>
        </is>
      </c>
      <c r="W4407" s="35" t="inlineStr"/>
      <c r="X4407" s="35" t="inlineStr"/>
    </row>
    <row r="4408" ht="27.75" customHeight="1" s="24">
      <c r="A4408" s="13" t="n">
        <v>5000109349</v>
      </c>
      <c r="B4408" s="13" t="inlineStr">
        <is>
          <t>МКУ «Управление информационно-финансового обеспечения земельными ресурсами»</t>
        </is>
      </c>
      <c r="C4408" s="13" t="n">
        <v>6501280790</v>
      </c>
      <c r="D4408" s="13" t="inlineStr">
        <is>
          <t>6501280790</t>
        </is>
      </c>
      <c r="E4408" s="13" t="inlineStr">
        <is>
          <t>ЮЛ РФ</t>
        </is>
      </c>
      <c r="F4408" s="13" t="n"/>
      <c r="G4408" s="14" t="n"/>
      <c r="H4408" s="14" t="n"/>
      <c r="I4408" s="14" t="n"/>
      <c r="J4408" s="14" t="n"/>
      <c r="K4408" s="53" t="inlineStr"/>
      <c r="L4408" s="53" t="inlineStr">
        <is>
          <t>Не определено</t>
        </is>
      </c>
      <c r="M4408" s="53" t="inlineStr"/>
      <c r="N4408" s="54" t="inlineStr"/>
      <c r="O4408" s="55" t="inlineStr"/>
      <c r="P4408" s="16" t="inlineStr">
        <is>
          <t>Требует обогащения</t>
        </is>
      </c>
      <c r="Q4408" s="16">
        <f>HYPERLINK("https://pb.nalog.ru/search.html?query=6501280790","ФНС: проверить")</f>
        <v/>
      </c>
      <c r="R4408" s="16">
        <f>HYPERLINK("https://checko.ru/search?query=3801001629","Чекко: проверить")</f>
        <v/>
      </c>
      <c r="S4408" t="n">
        <v>1</v>
      </c>
      <c r="T4408" s="35" t="inlineStr">
        <is>
          <t>4 — Не обогащён</t>
        </is>
      </c>
      <c r="U4408" s="35" t="inlineStr">
        <is>
          <t>Нет ОКВЭД/ССЧР</t>
        </is>
      </c>
      <c r="V4408" s="35" t="inlineStr">
        <is>
          <t>Не определено</t>
        </is>
      </c>
      <c r="W4408" s="35" t="inlineStr"/>
      <c r="X4408" s="35" t="inlineStr"/>
    </row>
    <row r="4409" ht="15" customHeight="1" s="24">
      <c r="A4409" s="13" t="n">
        <v>5000108347</v>
      </c>
      <c r="B4409" s="13" t="inlineStr">
        <is>
          <t>МБУ Редакция Газеты "Утро Родины"</t>
        </is>
      </c>
      <c r="C4409" s="13" t="n">
        <v>6510900458</v>
      </c>
      <c r="D4409" s="13" t="inlineStr">
        <is>
          <t>6510900458</t>
        </is>
      </c>
      <c r="E4409" s="13" t="inlineStr">
        <is>
          <t>ЮЛ РФ</t>
        </is>
      </c>
      <c r="F4409" s="13" t="n"/>
      <c r="G4409" s="14" t="n"/>
      <c r="H4409" s="14" t="n"/>
      <c r="I4409" s="14" t="n"/>
      <c r="J4409" s="14" t="n"/>
      <c r="K4409" s="53" t="inlineStr"/>
      <c r="L4409" s="53" t="inlineStr">
        <is>
          <t>Не определено</t>
        </is>
      </c>
      <c r="M4409" s="53" t="inlineStr"/>
      <c r="N4409" s="54" t="inlineStr"/>
      <c r="O4409" s="55" t="inlineStr"/>
      <c r="P4409" s="16" t="inlineStr">
        <is>
          <t>Требует обогащения</t>
        </is>
      </c>
      <c r="Q4409" s="16">
        <f>HYPERLINK("https://pb.nalog.ru/search.html?query=6510900458","ФНС: проверить")</f>
        <v/>
      </c>
      <c r="R4409" s="16">
        <f>HYPERLINK("https://checko.ru/search?query=3801001629","Чекко: проверить")</f>
        <v/>
      </c>
      <c r="S4409" t="n">
        <v>1</v>
      </c>
      <c r="T4409" s="35" t="inlineStr">
        <is>
          <t>4 — Не обогащён</t>
        </is>
      </c>
      <c r="U4409" s="35" t="inlineStr">
        <is>
          <t>Нет ОКВЭД/ССЧР</t>
        </is>
      </c>
      <c r="V4409" s="35" t="inlineStr">
        <is>
          <t>Не определено</t>
        </is>
      </c>
      <c r="W4409" s="35" t="inlineStr"/>
      <c r="X4409" s="35" t="inlineStr"/>
    </row>
    <row r="4410" ht="15" customHeight="1" s="24">
      <c r="A4410" s="13" t="n">
        <v>5000108418</v>
      </c>
      <c r="B4410" s="13" t="inlineStr">
        <is>
          <t>МАОУ ГИМНАЗИЯ № 2 г.ЮЖНО-САХАЛИНСКА</t>
        </is>
      </c>
      <c r="C4410" s="13" t="n">
        <v>6501109715</v>
      </c>
      <c r="D4410" s="13" t="inlineStr">
        <is>
          <t>6501109715</t>
        </is>
      </c>
      <c r="E4410" s="13" t="inlineStr">
        <is>
          <t>ЮЛ РФ</t>
        </is>
      </c>
      <c r="F4410" s="13" t="n"/>
      <c r="G4410" s="14" t="n"/>
      <c r="H4410" s="14" t="n"/>
      <c r="I4410" s="14" t="n"/>
      <c r="J4410" s="14" t="n"/>
      <c r="K4410" s="53" t="inlineStr"/>
      <c r="L4410" s="53" t="inlineStr">
        <is>
          <t>Не определено</t>
        </is>
      </c>
      <c r="M4410" s="53" t="inlineStr"/>
      <c r="N4410" s="54" t="inlineStr"/>
      <c r="O4410" s="55" t="inlineStr"/>
      <c r="P4410" s="16" t="inlineStr">
        <is>
          <t>Требует обогащения</t>
        </is>
      </c>
      <c r="Q4410" s="16">
        <f>HYPERLINK("https://pb.nalog.ru/search.html?query=6501109715","ФНС: проверить")</f>
        <v/>
      </c>
      <c r="R4410" s="16">
        <f>HYPERLINK("https://checko.ru/search?query=3801001629","Чекко: проверить")</f>
        <v/>
      </c>
      <c r="S4410" t="n">
        <v>1</v>
      </c>
      <c r="T4410" s="35" t="inlineStr">
        <is>
          <t>4 — Не обогащён</t>
        </is>
      </c>
      <c r="U4410" s="35" t="inlineStr">
        <is>
          <t>Нет ОКВЭД/ССЧР</t>
        </is>
      </c>
      <c r="V4410" s="35" t="inlineStr">
        <is>
          <t>Не определено</t>
        </is>
      </c>
      <c r="W4410" s="35" t="inlineStr"/>
      <c r="X4410" s="35" t="inlineStr"/>
    </row>
    <row r="4411" ht="15" customHeight="1" s="24">
      <c r="A4411" s="13" t="n">
        <v>5000108212</v>
      </c>
      <c r="B4411" s="13" t="inlineStr">
        <is>
          <t>ФДМО "АНИВСКИЙ ГОРОДСКОЙ ОКРУГ"</t>
        </is>
      </c>
      <c r="C4411" s="13" t="n">
        <v>6510003433</v>
      </c>
      <c r="D4411" s="13" t="inlineStr">
        <is>
          <t>6510003433</t>
        </is>
      </c>
      <c r="E4411" s="13" t="inlineStr">
        <is>
          <t>ЮЛ РФ</t>
        </is>
      </c>
      <c r="F4411" s="13" t="n"/>
      <c r="G4411" s="14" t="n"/>
      <c r="H4411" s="14" t="n"/>
      <c r="I4411" s="14" t="n"/>
      <c r="J4411" s="14" t="n"/>
      <c r="K4411" s="53" t="inlineStr"/>
      <c r="L4411" s="53" t="inlineStr">
        <is>
          <t>Не определено</t>
        </is>
      </c>
      <c r="M4411" s="53" t="inlineStr"/>
      <c r="N4411" s="54" t="inlineStr"/>
      <c r="O4411" s="55" t="inlineStr"/>
      <c r="P4411" s="16" t="inlineStr">
        <is>
          <t>Требует обогащения</t>
        </is>
      </c>
      <c r="Q4411" s="16">
        <f>HYPERLINK("https://pb.nalog.ru/search.html?query=6510003433","ФНС: проверить")</f>
        <v/>
      </c>
      <c r="R4411" s="16">
        <f>HYPERLINK("https://checko.ru/search?query=3801001629","Чекко: проверить")</f>
        <v/>
      </c>
      <c r="S4411" t="n">
        <v>1</v>
      </c>
      <c r="T4411" s="35" t="inlineStr">
        <is>
          <t>4 — Не обогащён</t>
        </is>
      </c>
      <c r="U4411" s="35" t="inlineStr">
        <is>
          <t>Нет ОКВЭД/ССЧР</t>
        </is>
      </c>
      <c r="V4411" s="35" t="inlineStr">
        <is>
          <t>Не определено</t>
        </is>
      </c>
      <c r="W4411" s="35" t="inlineStr"/>
      <c r="X4411" s="35" t="inlineStr"/>
    </row>
    <row r="4412" ht="27.75" customHeight="1" s="24">
      <c r="A4412" s="13" t="n">
        <v>5000107346</v>
      </c>
      <c r="B4412" s="13" t="inlineStr">
        <is>
          <t>ГАОУ ДПО "Институт развития образования Сахалинской области"</t>
        </is>
      </c>
      <c r="C4412" s="13" t="n">
        <v>6501021852</v>
      </c>
      <c r="D4412" s="13" t="inlineStr">
        <is>
          <t>6501021852</t>
        </is>
      </c>
      <c r="E4412" s="13" t="inlineStr">
        <is>
          <t>ЮЛ РФ</t>
        </is>
      </c>
      <c r="F4412" s="13" t="n"/>
      <c r="G4412" s="14" t="n"/>
      <c r="H4412" s="14" t="n"/>
      <c r="I4412" s="14" t="n"/>
      <c r="J4412" s="14" t="n"/>
      <c r="K4412" s="53" t="inlineStr"/>
      <c r="L4412" s="53" t="inlineStr">
        <is>
          <t>Не определено</t>
        </is>
      </c>
      <c r="M4412" s="53" t="inlineStr"/>
      <c r="N4412" s="54" t="inlineStr"/>
      <c r="O4412" s="55" t="inlineStr"/>
      <c r="P4412" s="16" t="inlineStr">
        <is>
          <t>Требует обогащения</t>
        </is>
      </c>
      <c r="Q4412" s="16">
        <f>HYPERLINK("https://pb.nalog.ru/search.html?query=6501021852","ФНС: проверить")</f>
        <v/>
      </c>
      <c r="R4412" s="16">
        <f>HYPERLINK("https://checko.ru/search?query=3801001629","Чекко: проверить")</f>
        <v/>
      </c>
      <c r="S4412" t="n">
        <v>1</v>
      </c>
      <c r="T4412" s="35" t="inlineStr">
        <is>
          <t>4 — Не обогащён</t>
        </is>
      </c>
      <c r="U4412" s="35" t="inlineStr">
        <is>
          <t>Нет ОКВЭД/ССЧР</t>
        </is>
      </c>
      <c r="V4412" s="35" t="inlineStr">
        <is>
          <t>Не определено</t>
        </is>
      </c>
      <c r="W4412" s="35" t="inlineStr"/>
      <c r="X4412" s="35" t="inlineStr"/>
    </row>
    <row r="4413" ht="15" customHeight="1" s="24">
      <c r="A4413" s="13" t="n">
        <v>5000107959</v>
      </c>
      <c r="B4413" s="13" t="inlineStr">
        <is>
          <t>МАОУ СОШ № 25 г. Южно-Сахалинска</t>
        </is>
      </c>
      <c r="C4413" s="13" t="n">
        <v>6500016828</v>
      </c>
      <c r="D4413" s="13" t="inlineStr">
        <is>
          <t>6500016828</t>
        </is>
      </c>
      <c r="E4413" s="13" t="inlineStr">
        <is>
          <t>ЮЛ РФ</t>
        </is>
      </c>
      <c r="F4413" s="13" t="n"/>
      <c r="G4413" s="14" t="n"/>
      <c r="H4413" s="14" t="n"/>
      <c r="I4413" s="14" t="n"/>
      <c r="J4413" s="14" t="n"/>
      <c r="K4413" s="53" t="inlineStr"/>
      <c r="L4413" s="53" t="inlineStr">
        <is>
          <t>Не определено</t>
        </is>
      </c>
      <c r="M4413" s="53" t="inlineStr"/>
      <c r="N4413" s="54" t="inlineStr"/>
      <c r="O4413" s="55" t="inlineStr"/>
      <c r="P4413" s="16" t="inlineStr">
        <is>
          <t>Требует обогащения</t>
        </is>
      </c>
      <c r="Q4413" s="16">
        <f>HYPERLINK("https://pb.nalog.ru/search.html?query=6500016828","ФНС: проверить")</f>
        <v/>
      </c>
      <c r="R4413" s="16">
        <f>HYPERLINK("https://checko.ru/search?query=3801001629","Чекко: проверить")</f>
        <v/>
      </c>
      <c r="S4413" t="n">
        <v>1</v>
      </c>
      <c r="T4413" s="35" t="inlineStr">
        <is>
          <t>4 — Не обогащён</t>
        </is>
      </c>
      <c r="U4413" s="35" t="inlineStr">
        <is>
          <t>Нет ОКВЭД/ССЧР</t>
        </is>
      </c>
      <c r="V4413" s="35" t="inlineStr">
        <is>
          <t>Не определено</t>
        </is>
      </c>
      <c r="W4413" s="35" t="inlineStr"/>
      <c r="X4413" s="35" t="inlineStr"/>
    </row>
    <row r="4414" ht="15" customHeight="1" s="24">
      <c r="A4414" s="13" t="n">
        <v>5000108212</v>
      </c>
      <c r="B4414" s="13" t="inlineStr">
        <is>
          <t>ФДМО "АНИВСКИЙ ГОРОДСКОЙ ОКРУГ"</t>
        </is>
      </c>
      <c r="C4414" s="13" t="n">
        <v>6510003433</v>
      </c>
      <c r="D4414" s="13" t="inlineStr">
        <is>
          <t>6510003433</t>
        </is>
      </c>
      <c r="E4414" s="13" t="inlineStr">
        <is>
          <t>ЮЛ РФ</t>
        </is>
      </c>
      <c r="F4414" s="13" t="n"/>
      <c r="G4414" s="14" t="n"/>
      <c r="H4414" s="14" t="n"/>
      <c r="I4414" s="14" t="n"/>
      <c r="J4414" s="14" t="n"/>
      <c r="K4414" s="53" t="inlineStr"/>
      <c r="L4414" s="53" t="inlineStr">
        <is>
          <t>Не определено</t>
        </is>
      </c>
      <c r="M4414" s="53" t="inlineStr"/>
      <c r="N4414" s="54" t="inlineStr"/>
      <c r="O4414" s="55" t="inlineStr"/>
      <c r="P4414" s="16" t="inlineStr">
        <is>
          <t>Требует обогащения</t>
        </is>
      </c>
      <c r="Q4414" s="16">
        <f>HYPERLINK("https://pb.nalog.ru/search.html?query=6510003433","ФНС: проверить")</f>
        <v/>
      </c>
      <c r="R4414" s="16">
        <f>HYPERLINK("https://checko.ru/search?query=3801001629","Чекко: проверить")</f>
        <v/>
      </c>
      <c r="S4414" t="n">
        <v>0</v>
      </c>
      <c r="T4414" s="35" t="inlineStr">
        <is>
          <t>4 — Не обогащён</t>
        </is>
      </c>
      <c r="U4414" s="35" t="inlineStr">
        <is>
          <t>Нет ОКВЭД/ССЧР</t>
        </is>
      </c>
      <c r="V4414" s="35" t="inlineStr">
        <is>
          <t>Не определено</t>
        </is>
      </c>
      <c r="W4414" s="35" t="inlineStr"/>
      <c r="X4414" s="35" t="inlineStr"/>
    </row>
    <row r="4415" ht="27.75" customHeight="1" s="24">
      <c r="A4415" s="13" t="n">
        <v>5000107963</v>
      </c>
      <c r="B4415" s="13" t="inlineStr">
        <is>
          <t>"МУНИЦИПАЛЬНОЕ БЮДЖЕТНОЕ УЧРЕЖДЕНИЕ ГОРОДСКОЙ ДОМ КУЛЬТУРЫ ""РОДИНА"""</t>
        </is>
      </c>
      <c r="C4415" s="13" t="n">
        <v>6501055146</v>
      </c>
      <c r="D4415" s="13" t="inlineStr">
        <is>
          <t>6501055146</t>
        </is>
      </c>
      <c r="E4415" s="13" t="inlineStr">
        <is>
          <t>ЮЛ РФ</t>
        </is>
      </c>
      <c r="F4415" s="13" t="n"/>
      <c r="G4415" s="14" t="n"/>
      <c r="H4415" s="14" t="n"/>
      <c r="I4415" s="14" t="n"/>
      <c r="J4415" s="14" t="n"/>
      <c r="K4415" s="53" t="inlineStr"/>
      <c r="L4415" s="53" t="inlineStr">
        <is>
          <t>Не определено</t>
        </is>
      </c>
      <c r="M4415" s="53" t="inlineStr"/>
      <c r="N4415" s="54" t="inlineStr"/>
      <c r="O4415" s="55" t="inlineStr"/>
      <c r="P4415" s="16" t="inlineStr">
        <is>
          <t>Требует обогащения</t>
        </is>
      </c>
      <c r="Q4415" s="16">
        <f>HYPERLINK("https://pb.nalog.ru/search.html?query=6501055146","ФНС: проверить")</f>
        <v/>
      </c>
      <c r="R4415" s="16">
        <f>HYPERLINK("https://checko.ru/search?query=3801001629","Чекко: проверить")</f>
        <v/>
      </c>
      <c r="S4415" t="n">
        <v>1</v>
      </c>
      <c r="T4415" s="35" t="inlineStr">
        <is>
          <t>4 — Не обогащён</t>
        </is>
      </c>
      <c r="U4415" s="35" t="inlineStr">
        <is>
          <t>Нет ОКВЭД/ССЧР</t>
        </is>
      </c>
      <c r="V4415" s="35" t="inlineStr">
        <is>
          <t>Не определено</t>
        </is>
      </c>
      <c r="W4415" s="35" t="inlineStr"/>
      <c r="X4415" s="35" t="inlineStr"/>
    </row>
    <row r="4416" ht="54.75" customHeight="1" s="24">
      <c r="A4416" s="13" t="n">
        <v>5000108126</v>
      </c>
      <c r="B4416" s="13" t="inlineStr">
        <is>
          <t>Муниципальное автономное Общеобразовательное учреждение Начальная Общеобразовательная Школа № 7 Города Южно-Сахалинска</t>
        </is>
      </c>
      <c r="C4416" s="13" t="n">
        <v>6501184818</v>
      </c>
      <c r="D4416" s="13" t="inlineStr">
        <is>
          <t>6501184818</t>
        </is>
      </c>
      <c r="E4416" s="13" t="inlineStr">
        <is>
          <t>ЮЛ РФ</t>
        </is>
      </c>
      <c r="F4416" s="13" t="n"/>
      <c r="G4416" s="14" t="n"/>
      <c r="H4416" s="14" t="n"/>
      <c r="I4416" s="14" t="n"/>
      <c r="J4416" s="14" t="n"/>
      <c r="K4416" s="53" t="inlineStr"/>
      <c r="L4416" s="53" t="inlineStr">
        <is>
          <t>Не определено</t>
        </is>
      </c>
      <c r="M4416" s="53" t="inlineStr"/>
      <c r="N4416" s="54" t="inlineStr"/>
      <c r="O4416" s="55" t="inlineStr"/>
      <c r="P4416" s="16" t="inlineStr">
        <is>
          <t>Требует обогащения</t>
        </is>
      </c>
      <c r="Q4416" s="16">
        <f>HYPERLINK("https://pb.nalog.ru/search.html?query=6501184818","ФНС: проверить")</f>
        <v/>
      </c>
      <c r="R4416" s="16">
        <f>HYPERLINK("https://checko.ru/search?query=3801001629","Чекко: проверить")</f>
        <v/>
      </c>
      <c r="S4416" t="n">
        <v>1</v>
      </c>
      <c r="T4416" s="35" t="inlineStr">
        <is>
          <t>4 — Не обогащён</t>
        </is>
      </c>
      <c r="U4416" s="35" t="inlineStr">
        <is>
          <t>Нет ОКВЭД/ССЧР</t>
        </is>
      </c>
      <c r="V4416" s="35" t="inlineStr">
        <is>
          <t>Не определено</t>
        </is>
      </c>
      <c r="W4416" s="35" t="inlineStr"/>
      <c r="X4416" s="35" t="inlineStr"/>
    </row>
    <row r="4417" ht="15" customHeight="1" s="24">
      <c r="A4417" s="13" t="n">
        <v>5000117693</v>
      </c>
      <c r="B4417" s="13" t="inlineStr">
        <is>
          <t>КГАНОУ "ГУБЕРНАТОРСКИЙ ЛИЦЕЙ"</t>
        </is>
      </c>
      <c r="C4417" s="13" t="n">
        <v>2543193670</v>
      </c>
      <c r="D4417" s="13" t="inlineStr">
        <is>
          <t>2543193670</t>
        </is>
      </c>
      <c r="E4417" s="13" t="inlineStr">
        <is>
          <t>ЮЛ РФ</t>
        </is>
      </c>
      <c r="F4417" s="13" t="n"/>
      <c r="G4417" s="14" t="n"/>
      <c r="H4417" s="14" t="n"/>
      <c r="I4417" s="14" t="n"/>
      <c r="J4417" s="14" t="n"/>
      <c r="K4417" s="53" t="inlineStr"/>
      <c r="L4417" s="53" t="inlineStr">
        <is>
          <t>Не определено</t>
        </is>
      </c>
      <c r="M4417" s="53" t="inlineStr"/>
      <c r="N4417" s="54" t="inlineStr"/>
      <c r="O4417" s="55" t="inlineStr"/>
      <c r="P4417" s="16" t="inlineStr">
        <is>
          <t>Требует обогащения</t>
        </is>
      </c>
      <c r="Q4417" s="16">
        <f>HYPERLINK("https://pb.nalog.ru/search.html?query=2543193670","ФНС: проверить")</f>
        <v/>
      </c>
      <c r="R4417" s="16">
        <f>HYPERLINK("https://checko.ru/search?query=3801001629","Чекко: проверить")</f>
        <v/>
      </c>
      <c r="S4417" t="n">
        <v>1</v>
      </c>
      <c r="T4417" s="35" t="inlineStr">
        <is>
          <t>4 — Не обогащён</t>
        </is>
      </c>
      <c r="U4417" s="35" t="inlineStr">
        <is>
          <t>Нет ОКВЭД/ССЧР</t>
        </is>
      </c>
      <c r="V4417" s="35" t="inlineStr">
        <is>
          <t>Не определено</t>
        </is>
      </c>
      <c r="W4417" s="35" t="inlineStr"/>
      <c r="X4417" s="35" t="inlineStr"/>
    </row>
    <row r="4418" ht="15" customHeight="1" s="24">
      <c r="A4418" s="13" t="n">
        <v>5000117447</v>
      </c>
      <c r="B4418" s="13" t="inlineStr">
        <is>
          <t>МАУ "ТРК ХОЛМСК"</t>
        </is>
      </c>
      <c r="C4418" s="13" t="n">
        <v>6509021212</v>
      </c>
      <c r="D4418" s="13" t="inlineStr">
        <is>
          <t>6509021212</t>
        </is>
      </c>
      <c r="E4418" s="13" t="inlineStr">
        <is>
          <t>ЮЛ РФ</t>
        </is>
      </c>
      <c r="F4418" s="13" t="n"/>
      <c r="G4418" s="14" t="n"/>
      <c r="H4418" s="14" t="n"/>
      <c r="I4418" s="14" t="n"/>
      <c r="J4418" s="14" t="n"/>
      <c r="K4418" s="53" t="inlineStr"/>
      <c r="L4418" s="53" t="inlineStr">
        <is>
          <t>Не определено</t>
        </is>
      </c>
      <c r="M4418" s="53" t="inlineStr"/>
      <c r="N4418" s="54" t="inlineStr"/>
      <c r="O4418" s="55" t="inlineStr"/>
      <c r="P4418" s="16" t="inlineStr">
        <is>
          <t>Требует обогащения</t>
        </is>
      </c>
      <c r="Q4418" s="16">
        <f>HYPERLINK("https://pb.nalog.ru/search.html?query=6509021212","ФНС: проверить")</f>
        <v/>
      </c>
      <c r="R4418" s="16">
        <f>HYPERLINK("https://checko.ru/search?query=3801001629","Чекко: проверить")</f>
        <v/>
      </c>
      <c r="S4418" t="n">
        <v>1</v>
      </c>
      <c r="T4418" s="35" t="inlineStr">
        <is>
          <t>4 — Не обогащён</t>
        </is>
      </c>
      <c r="U4418" s="35" t="inlineStr">
        <is>
          <t>Нет ОКВЭД/ССЧР</t>
        </is>
      </c>
      <c r="V4418" s="35" t="inlineStr">
        <is>
          <t>Не определено</t>
        </is>
      </c>
      <c r="W4418" s="35" t="inlineStr"/>
      <c r="X4418" s="35" t="inlineStr"/>
    </row>
    <row r="4419" ht="15" customHeight="1" s="24">
      <c r="A4419" s="13" t="n">
        <v>5000116334</v>
      </c>
      <c r="B4419" s="13" t="inlineStr">
        <is>
          <t>МКУ ЦОФО</t>
        </is>
      </c>
      <c r="C4419" s="13" t="n">
        <v>6502005765</v>
      </c>
      <c r="D4419" s="13" t="inlineStr">
        <is>
          <t>6502005765</t>
        </is>
      </c>
      <c r="E4419" s="13" t="inlineStr">
        <is>
          <t>ЮЛ РФ</t>
        </is>
      </c>
      <c r="F4419" s="13" t="n"/>
      <c r="G4419" s="14" t="n"/>
      <c r="H4419" s="14" t="n"/>
      <c r="I4419" s="14" t="n"/>
      <c r="J4419" s="14" t="n"/>
      <c r="K4419" s="53" t="inlineStr"/>
      <c r="L4419" s="53" t="inlineStr">
        <is>
          <t>Не определено</t>
        </is>
      </c>
      <c r="M4419" s="53" t="inlineStr"/>
      <c r="N4419" s="54" t="inlineStr"/>
      <c r="O4419" s="55" t="inlineStr"/>
      <c r="P4419" s="16" t="inlineStr">
        <is>
          <t>Требует обогащения</t>
        </is>
      </c>
      <c r="Q4419" s="16">
        <f>HYPERLINK("https://pb.nalog.ru/search.html?query=6502005765","ФНС: проверить")</f>
        <v/>
      </c>
      <c r="R4419" s="16">
        <f>HYPERLINK("https://checko.ru/search?query=3801001629","Чекко: проверить")</f>
        <v/>
      </c>
      <c r="S4419" t="n">
        <v>1</v>
      </c>
      <c r="T4419" s="35" t="inlineStr">
        <is>
          <t>4 — Не обогащён</t>
        </is>
      </c>
      <c r="U4419" s="35" t="inlineStr">
        <is>
          <t>Нет ОКВЭД/ССЧР</t>
        </is>
      </c>
      <c r="V4419" s="35" t="inlineStr">
        <is>
          <t>Не определено</t>
        </is>
      </c>
      <c r="W4419" s="35" t="inlineStr"/>
      <c r="X4419" s="35" t="inlineStr"/>
    </row>
    <row r="4420" ht="15" customHeight="1" s="24">
      <c r="A4420" s="13" t="n">
        <v>5000116335</v>
      </c>
      <c r="B4420" s="13" t="inlineStr">
        <is>
          <t>МКОУ СОШ С.МГАЧИ</t>
        </is>
      </c>
      <c r="C4420" s="13" t="n">
        <v>6502003750</v>
      </c>
      <c r="D4420" s="13" t="inlineStr">
        <is>
          <t>6502003750</t>
        </is>
      </c>
      <c r="E4420" s="13" t="inlineStr">
        <is>
          <t>ЮЛ РФ</t>
        </is>
      </c>
      <c r="F4420" s="13" t="n"/>
      <c r="G4420" s="14" t="n"/>
      <c r="H4420" s="14" t="n"/>
      <c r="I4420" s="14" t="n"/>
      <c r="J4420" s="14" t="n"/>
      <c r="K4420" s="53" t="inlineStr"/>
      <c r="L4420" s="53" t="inlineStr">
        <is>
          <t>Не определено</t>
        </is>
      </c>
      <c r="M4420" s="53" t="inlineStr"/>
      <c r="N4420" s="54" t="inlineStr"/>
      <c r="O4420" s="55" t="inlineStr"/>
      <c r="P4420" s="16" t="inlineStr">
        <is>
          <t>Требует обогащения</t>
        </is>
      </c>
      <c r="Q4420" s="16">
        <f>HYPERLINK("https://pb.nalog.ru/search.html?query=6502003750","ФНС: проверить")</f>
        <v/>
      </c>
      <c r="R4420" s="16">
        <f>HYPERLINK("https://checko.ru/search?query=3801001629","Чекко: проверить")</f>
        <v/>
      </c>
      <c r="S4420" t="n">
        <v>1</v>
      </c>
      <c r="T4420" s="35" t="inlineStr">
        <is>
          <t>4 — Не обогащён</t>
        </is>
      </c>
      <c r="U4420" s="35" t="inlineStr">
        <is>
          <t>Нет ОКВЭД/ССЧР</t>
        </is>
      </c>
      <c r="V4420" s="35" t="inlineStr">
        <is>
          <t>Не определено</t>
        </is>
      </c>
      <c r="W4420" s="35" t="inlineStr"/>
      <c r="X4420" s="35" t="inlineStr"/>
    </row>
    <row r="4421" ht="15" customHeight="1" s="24">
      <c r="A4421" s="13" t="n">
        <v>5000116318</v>
      </c>
      <c r="B4421" s="13" t="inlineStr">
        <is>
          <t>МКОУ ООШ С. ВИАХТУ</t>
        </is>
      </c>
      <c r="C4421" s="13" t="n">
        <v>6502003905</v>
      </c>
      <c r="D4421" s="13" t="inlineStr">
        <is>
          <t>6502003905</t>
        </is>
      </c>
      <c r="E4421" s="13" t="inlineStr">
        <is>
          <t>ЮЛ РФ</t>
        </is>
      </c>
      <c r="F4421" s="13" t="n"/>
      <c r="G4421" s="14" t="n"/>
      <c r="H4421" s="14" t="n"/>
      <c r="I4421" s="14" t="n"/>
      <c r="J4421" s="14" t="n"/>
      <c r="K4421" s="53" t="inlineStr"/>
      <c r="L4421" s="53" t="inlineStr">
        <is>
          <t>Не определено</t>
        </is>
      </c>
      <c r="M4421" s="53" t="inlineStr"/>
      <c r="N4421" s="54" t="inlineStr"/>
      <c r="O4421" s="55" t="inlineStr"/>
      <c r="P4421" s="16" t="inlineStr">
        <is>
          <t>Требует обогащения</t>
        </is>
      </c>
      <c r="Q4421" s="16">
        <f>HYPERLINK("https://pb.nalog.ru/search.html?query=6502003905","ФНС: проверить")</f>
        <v/>
      </c>
      <c r="R4421" s="16">
        <f>HYPERLINK("https://checko.ru/search?query=3801001629","Чекко: проверить")</f>
        <v/>
      </c>
      <c r="S4421" t="n">
        <v>1</v>
      </c>
      <c r="T4421" s="35" t="inlineStr">
        <is>
          <t>4 — Не обогащён</t>
        </is>
      </c>
      <c r="U4421" s="35" t="inlineStr">
        <is>
          <t>Нет ОКВЭД/ССЧР</t>
        </is>
      </c>
      <c r="V4421" s="35" t="inlineStr">
        <is>
          <t>Не определено</t>
        </is>
      </c>
      <c r="W4421" s="35" t="inlineStr"/>
      <c r="X4421" s="35" t="inlineStr"/>
    </row>
    <row r="4422" ht="15" customHeight="1" s="24">
      <c r="A4422" s="13" t="n">
        <v>5000116319</v>
      </c>
      <c r="B4422" s="13" t="inlineStr">
        <is>
          <t>МАДОУ ДЕТСКИЙ САД №2 "РОМАШКА"</t>
        </is>
      </c>
      <c r="C4422" s="13" t="n">
        <v>6502003849</v>
      </c>
      <c r="D4422" s="13" t="inlineStr">
        <is>
          <t>6502003849</t>
        </is>
      </c>
      <c r="E4422" s="13" t="inlineStr">
        <is>
          <t>ЮЛ РФ</t>
        </is>
      </c>
      <c r="F4422" s="13" t="n"/>
      <c r="G4422" s="14" t="n"/>
      <c r="H4422" s="14" t="n"/>
      <c r="I4422" s="14" t="n"/>
      <c r="J4422" s="14" t="n"/>
      <c r="K4422" s="53" t="inlineStr"/>
      <c r="L4422" s="53" t="inlineStr">
        <is>
          <t>Не определено</t>
        </is>
      </c>
      <c r="M4422" s="53" t="inlineStr"/>
      <c r="N4422" s="54" t="inlineStr"/>
      <c r="O4422" s="55" t="inlineStr"/>
      <c r="P4422" s="16" t="inlineStr">
        <is>
          <t>Требует обогащения</t>
        </is>
      </c>
      <c r="Q4422" s="16">
        <f>HYPERLINK("https://pb.nalog.ru/search.html?query=6502003849","ФНС: проверить")</f>
        <v/>
      </c>
      <c r="R4422" s="16">
        <f>HYPERLINK("https://checko.ru/search?query=3801001629","Чекко: проверить")</f>
        <v/>
      </c>
      <c r="S4422" t="n">
        <v>1</v>
      </c>
      <c r="T4422" s="35" t="inlineStr">
        <is>
          <t>4 — Не обогащён</t>
        </is>
      </c>
      <c r="U4422" s="35" t="inlineStr">
        <is>
          <t>Нет ОКВЭД/ССЧР</t>
        </is>
      </c>
      <c r="V4422" s="35" t="inlineStr">
        <is>
          <t>Не определено</t>
        </is>
      </c>
      <c r="W4422" s="35" t="inlineStr"/>
      <c r="X4422" s="35" t="inlineStr"/>
    </row>
    <row r="4423" ht="15" customHeight="1" s="24">
      <c r="A4423" s="13" t="n">
        <v>5000116320</v>
      </c>
      <c r="B4423" s="13" t="inlineStr">
        <is>
          <t>МАДОУ ДЕТСКИЙ САД №3 "ТЕРЕМОК"</t>
        </is>
      </c>
      <c r="C4423" s="13" t="n">
        <v>6502005860</v>
      </c>
      <c r="D4423" s="13" t="inlineStr">
        <is>
          <t>6502005860</t>
        </is>
      </c>
      <c r="E4423" s="13" t="inlineStr">
        <is>
          <t>ЮЛ РФ</t>
        </is>
      </c>
      <c r="F4423" s="13" t="n"/>
      <c r="G4423" s="14" t="n"/>
      <c r="H4423" s="14" t="n"/>
      <c r="I4423" s="14" t="n"/>
      <c r="J4423" s="14" t="n"/>
      <c r="K4423" s="53" t="inlineStr"/>
      <c r="L4423" s="53" t="inlineStr">
        <is>
          <t>Не определено</t>
        </is>
      </c>
      <c r="M4423" s="53" t="inlineStr"/>
      <c r="N4423" s="54" t="inlineStr"/>
      <c r="O4423" s="55" t="inlineStr"/>
      <c r="P4423" s="16" t="inlineStr">
        <is>
          <t>Требует обогащения</t>
        </is>
      </c>
      <c r="Q4423" s="16">
        <f>HYPERLINK("https://pb.nalog.ru/search.html?query=6502005860","ФНС: проверить")</f>
        <v/>
      </c>
      <c r="R4423" s="16">
        <f>HYPERLINK("https://checko.ru/search?query=3801001629","Чекко: проверить")</f>
        <v/>
      </c>
      <c r="S4423" t="n">
        <v>1</v>
      </c>
      <c r="T4423" s="35" t="inlineStr">
        <is>
          <t>4 — Не обогащён</t>
        </is>
      </c>
      <c r="U4423" s="35" t="inlineStr">
        <is>
          <t>Нет ОКВЭД/ССЧР</t>
        </is>
      </c>
      <c r="V4423" s="35" t="inlineStr">
        <is>
          <t>Не определено</t>
        </is>
      </c>
      <c r="W4423" s="35" t="inlineStr"/>
      <c r="X4423" s="35" t="inlineStr"/>
    </row>
    <row r="4424" ht="15" customHeight="1" s="24">
      <c r="A4424" s="13" t="n">
        <v>5000116321</v>
      </c>
      <c r="B4424" s="13" t="inlineStr">
        <is>
          <t>МАДОУ ДЕТСКИЙ САД №4 "УЛЫБКА"</t>
        </is>
      </c>
      <c r="C4424" s="13" t="n">
        <v>6502006159</v>
      </c>
      <c r="D4424" s="13" t="inlineStr">
        <is>
          <t>6502006159</t>
        </is>
      </c>
      <c r="E4424" s="13" t="inlineStr">
        <is>
          <t>ЮЛ РФ</t>
        </is>
      </c>
      <c r="F4424" s="13" t="n"/>
      <c r="G4424" s="14" t="n"/>
      <c r="H4424" s="14" t="n"/>
      <c r="I4424" s="14" t="n"/>
      <c r="J4424" s="14" t="n"/>
      <c r="K4424" s="53" t="inlineStr"/>
      <c r="L4424" s="53" t="inlineStr">
        <is>
          <t>Не определено</t>
        </is>
      </c>
      <c r="M4424" s="53" t="inlineStr"/>
      <c r="N4424" s="54" t="inlineStr"/>
      <c r="O4424" s="55" t="inlineStr"/>
      <c r="P4424" s="16" t="inlineStr">
        <is>
          <t>Требует обогащения</t>
        </is>
      </c>
      <c r="Q4424" s="16">
        <f>HYPERLINK("https://pb.nalog.ru/search.html?query=6502006159","ФНС: проверить")</f>
        <v/>
      </c>
      <c r="R4424" s="16">
        <f>HYPERLINK("https://checko.ru/search?query=3801001629","Чекко: проверить")</f>
        <v/>
      </c>
      <c r="S4424" t="n">
        <v>1</v>
      </c>
      <c r="T4424" s="35" t="inlineStr">
        <is>
          <t>4 — Не обогащён</t>
        </is>
      </c>
      <c r="U4424" s="35" t="inlineStr">
        <is>
          <t>Нет ОКВЭД/ССЧР</t>
        </is>
      </c>
      <c r="V4424" s="35" t="inlineStr">
        <is>
          <t>Не определено</t>
        </is>
      </c>
      <c r="W4424" s="35" t="inlineStr"/>
      <c r="X4424" s="35" t="inlineStr"/>
    </row>
    <row r="4425" ht="15" customHeight="1" s="24">
      <c r="A4425" s="13" t="n">
        <v>5000116322</v>
      </c>
      <c r="B4425" s="13" t="inlineStr">
        <is>
          <t>МБУ ДО ЦДТ "РАДУГА"</t>
        </is>
      </c>
      <c r="C4425" s="13" t="n">
        <v>6502003817</v>
      </c>
      <c r="D4425" s="13" t="inlineStr">
        <is>
          <t>6502003817</t>
        </is>
      </c>
      <c r="E4425" s="13" t="inlineStr">
        <is>
          <t>ЮЛ РФ</t>
        </is>
      </c>
      <c r="F4425" s="13" t="n"/>
      <c r="G4425" s="14" t="n"/>
      <c r="H4425" s="14" t="n"/>
      <c r="I4425" s="14" t="n"/>
      <c r="J4425" s="14" t="n"/>
      <c r="K4425" s="53" t="inlineStr"/>
      <c r="L4425" s="53" t="inlineStr">
        <is>
          <t>Не определено</t>
        </is>
      </c>
      <c r="M4425" s="53" t="inlineStr"/>
      <c r="N4425" s="54" t="inlineStr"/>
      <c r="O4425" s="55" t="inlineStr"/>
      <c r="P4425" s="16" t="inlineStr">
        <is>
          <t>Требует обогащения</t>
        </is>
      </c>
      <c r="Q4425" s="16">
        <f>HYPERLINK("https://pb.nalog.ru/search.html?query=6502003817","ФНС: проверить")</f>
        <v/>
      </c>
      <c r="R4425" s="16">
        <f>HYPERLINK("https://checko.ru/search?query=3801001629","Чекко: проверить")</f>
        <v/>
      </c>
      <c r="S4425" t="n">
        <v>1</v>
      </c>
      <c r="T4425" s="35" t="inlineStr">
        <is>
          <t>4 — Не обогащён</t>
        </is>
      </c>
      <c r="U4425" s="35" t="inlineStr">
        <is>
          <t>Нет ОКВЭД/ССЧР</t>
        </is>
      </c>
      <c r="V4425" s="35" t="inlineStr">
        <is>
          <t>Не определено</t>
        </is>
      </c>
      <c r="W4425" s="35" t="inlineStr"/>
      <c r="X4425" s="35" t="inlineStr"/>
    </row>
    <row r="4426" ht="15" customHeight="1" s="24">
      <c r="A4426" s="13" t="n">
        <v>5000116326</v>
      </c>
      <c r="B4426" s="13" t="inlineStr">
        <is>
          <t>ФО 02</t>
        </is>
      </c>
      <c r="C4426" s="13" t="n">
        <v>6502002387</v>
      </c>
      <c r="D4426" s="13" t="inlineStr">
        <is>
          <t>6502002387</t>
        </is>
      </c>
      <c r="E4426" s="13" t="inlineStr">
        <is>
          <t>ЮЛ РФ</t>
        </is>
      </c>
      <c r="F4426" s="13" t="n"/>
      <c r="G4426" s="14" t="n"/>
      <c r="H4426" s="14" t="n"/>
      <c r="I4426" s="14" t="n"/>
      <c r="J4426" s="14" t="n"/>
      <c r="K4426" s="53" t="inlineStr"/>
      <c r="L4426" s="53" t="inlineStr">
        <is>
          <t>Не определено</t>
        </is>
      </c>
      <c r="M4426" s="53" t="inlineStr"/>
      <c r="N4426" s="54" t="inlineStr"/>
      <c r="O4426" s="55" t="inlineStr"/>
      <c r="P4426" s="16" t="inlineStr">
        <is>
          <t>Требует обогащения</t>
        </is>
      </c>
      <c r="Q4426" s="16">
        <f>HYPERLINK("https://pb.nalog.ru/search.html?query=6502002387","ФНС: проверить")</f>
        <v/>
      </c>
      <c r="R4426" s="16">
        <f>HYPERLINK("https://checko.ru/search?query=3801001629","Чекко: проверить")</f>
        <v/>
      </c>
      <c r="S4426" t="n">
        <v>1</v>
      </c>
      <c r="T4426" s="35" t="inlineStr">
        <is>
          <t>4 — Не обогащён</t>
        </is>
      </c>
      <c r="U4426" s="35" t="inlineStr">
        <is>
          <t>Нет ОКВЭД/ССЧР</t>
        </is>
      </c>
      <c r="V4426" s="35" t="inlineStr">
        <is>
          <t>Не определено</t>
        </is>
      </c>
      <c r="W4426" s="35" t="inlineStr"/>
      <c r="X4426" s="35" t="inlineStr"/>
    </row>
    <row r="4427" ht="15" customHeight="1" s="24">
      <c r="A4427" s="13" t="n">
        <v>5000116326</v>
      </c>
      <c r="B4427" s="13" t="inlineStr">
        <is>
          <t>ФО 02</t>
        </is>
      </c>
      <c r="C4427" s="13" t="n">
        <v>6502002387</v>
      </c>
      <c r="D4427" s="13" t="inlineStr">
        <is>
          <t>6502002387</t>
        </is>
      </c>
      <c r="E4427" s="13" t="inlineStr">
        <is>
          <t>ЮЛ РФ</t>
        </is>
      </c>
      <c r="F4427" s="13" t="n"/>
      <c r="G4427" s="14" t="n"/>
      <c r="H4427" s="14" t="n"/>
      <c r="I4427" s="14" t="n"/>
      <c r="J4427" s="14" t="n"/>
      <c r="K4427" s="53" t="inlineStr"/>
      <c r="L4427" s="53" t="inlineStr">
        <is>
          <t>Не определено</t>
        </is>
      </c>
      <c r="M4427" s="53" t="inlineStr"/>
      <c r="N4427" s="54" t="inlineStr"/>
      <c r="O4427" s="55" t="inlineStr"/>
      <c r="P4427" s="16" t="inlineStr">
        <is>
          <t>Требует обогащения</t>
        </is>
      </c>
      <c r="Q4427" s="16">
        <f>HYPERLINK("https://pb.nalog.ru/search.html?query=6502002387","ФНС: проверить")</f>
        <v/>
      </c>
      <c r="R4427" s="16">
        <f>HYPERLINK("https://checko.ru/search?query=3801001629","Чекко: проверить")</f>
        <v/>
      </c>
      <c r="S4427" t="n">
        <v>0</v>
      </c>
      <c r="T4427" s="35" t="inlineStr">
        <is>
          <t>4 — Не обогащён</t>
        </is>
      </c>
      <c r="U4427" s="35" t="inlineStr">
        <is>
          <t>Нет ОКВЭД/ССЧР</t>
        </is>
      </c>
      <c r="V4427" s="35" t="inlineStr">
        <is>
          <t>Не определено</t>
        </is>
      </c>
      <c r="W4427" s="35" t="inlineStr"/>
      <c r="X4427" s="35" t="inlineStr"/>
    </row>
    <row r="4428" ht="15" customHeight="1" s="24">
      <c r="A4428" s="13" t="n">
        <v>5000116328</v>
      </c>
      <c r="B4428" s="13" t="inlineStr">
        <is>
          <t>Томаринское финуправление</t>
        </is>
      </c>
      <c r="C4428" s="13" t="n">
        <v>6516001785</v>
      </c>
      <c r="D4428" s="13" t="inlineStr">
        <is>
          <t>6516001785</t>
        </is>
      </c>
      <c r="E4428" s="13" t="inlineStr">
        <is>
          <t>ЮЛ РФ</t>
        </is>
      </c>
      <c r="F4428" s="13" t="n"/>
      <c r="G4428" s="14" t="n"/>
      <c r="H4428" s="14" t="n"/>
      <c r="I4428" s="14" t="n"/>
      <c r="J4428" s="14" t="n"/>
      <c r="K4428" s="53" t="inlineStr"/>
      <c r="L4428" s="53" t="inlineStr">
        <is>
          <t>Не определено</t>
        </is>
      </c>
      <c r="M4428" s="53" t="inlineStr"/>
      <c r="N4428" s="54" t="inlineStr"/>
      <c r="O4428" s="55" t="inlineStr"/>
      <c r="P4428" s="16" t="inlineStr">
        <is>
          <t>Требует обогащения</t>
        </is>
      </c>
      <c r="Q4428" s="16">
        <f>HYPERLINK("https://pb.nalog.ru/search.html?query=6516001785","ФНС: проверить")</f>
        <v/>
      </c>
      <c r="R4428" s="16">
        <f>HYPERLINK("https://checko.ru/search?query=3801001629","Чекко: проверить")</f>
        <v/>
      </c>
      <c r="S4428" t="n">
        <v>1</v>
      </c>
      <c r="T4428" s="35" t="inlineStr">
        <is>
          <t>4 — Не обогащён</t>
        </is>
      </c>
      <c r="U4428" s="35" t="inlineStr">
        <is>
          <t>Нет ОКВЭД/ССЧР</t>
        </is>
      </c>
      <c r="V4428" s="35" t="inlineStr">
        <is>
          <t>Не определено</t>
        </is>
      </c>
      <c r="W4428" s="35" t="inlineStr"/>
      <c r="X4428" s="35" t="inlineStr"/>
    </row>
    <row r="4429" ht="15" customHeight="1" s="24">
      <c r="A4429" s="13" t="n">
        <v>5000116328</v>
      </c>
      <c r="B4429" s="13" t="inlineStr">
        <is>
          <t>Томаринское финуправление</t>
        </is>
      </c>
      <c r="C4429" s="13" t="n">
        <v>6516001785</v>
      </c>
      <c r="D4429" s="13" t="inlineStr">
        <is>
          <t>6516001785</t>
        </is>
      </c>
      <c r="E4429" s="13" t="inlineStr">
        <is>
          <t>ЮЛ РФ</t>
        </is>
      </c>
      <c r="F4429" s="13" t="n"/>
      <c r="G4429" s="14" t="n"/>
      <c r="H4429" s="14" t="n"/>
      <c r="I4429" s="14" t="n"/>
      <c r="J4429" s="14" t="n"/>
      <c r="K4429" s="53" t="inlineStr"/>
      <c r="L4429" s="53" t="inlineStr">
        <is>
          <t>Не определено</t>
        </is>
      </c>
      <c r="M4429" s="53" t="inlineStr"/>
      <c r="N4429" s="54" t="inlineStr"/>
      <c r="O4429" s="55" t="inlineStr"/>
      <c r="P4429" s="16" t="inlineStr">
        <is>
          <t>Требует обогащения</t>
        </is>
      </c>
      <c r="Q4429" s="16">
        <f>HYPERLINK("https://pb.nalog.ru/search.html?query=6516001785","ФНС: проверить")</f>
        <v/>
      </c>
      <c r="R4429" s="16">
        <f>HYPERLINK("https://checko.ru/search?query=3801001629","Чекко: проверить")</f>
        <v/>
      </c>
      <c r="S4429" t="n">
        <v>0</v>
      </c>
      <c r="T4429" s="35" t="inlineStr">
        <is>
          <t>4 — Не обогащён</t>
        </is>
      </c>
      <c r="U4429" s="35" t="inlineStr">
        <is>
          <t>Нет ОКВЭД/ССЧР</t>
        </is>
      </c>
      <c r="V4429" s="35" t="inlineStr">
        <is>
          <t>Не определено</t>
        </is>
      </c>
      <c r="W4429" s="35" t="inlineStr"/>
      <c r="X4429" s="35" t="inlineStr"/>
    </row>
    <row r="4430" ht="15" customHeight="1" s="24">
      <c r="A4430" s="13" t="n">
        <v>5000116329</v>
      </c>
      <c r="B4430" s="13" t="inlineStr">
        <is>
          <t>Александровск-Сахалинский КУМС</t>
        </is>
      </c>
      <c r="C4430" s="13" t="n">
        <v>6502004200</v>
      </c>
      <c r="D4430" s="13" t="inlineStr">
        <is>
          <t>6502004200</t>
        </is>
      </c>
      <c r="E4430" s="13" t="inlineStr">
        <is>
          <t>ЮЛ РФ</t>
        </is>
      </c>
      <c r="F4430" s="13" t="n"/>
      <c r="G4430" s="14" t="n"/>
      <c r="H4430" s="14" t="n"/>
      <c r="I4430" s="14" t="n"/>
      <c r="J4430" s="14" t="n"/>
      <c r="K4430" s="53" t="inlineStr"/>
      <c r="L4430" s="53" t="inlineStr">
        <is>
          <t>Не определено</t>
        </is>
      </c>
      <c r="M4430" s="53" t="inlineStr"/>
      <c r="N4430" s="54" t="inlineStr"/>
      <c r="O4430" s="55" t="inlineStr"/>
      <c r="P4430" s="16" t="inlineStr">
        <is>
          <t>Требует обогащения</t>
        </is>
      </c>
      <c r="Q4430" s="16">
        <f>HYPERLINK("https://pb.nalog.ru/search.html?query=6502004200","ФНС: проверить")</f>
        <v/>
      </c>
      <c r="R4430" s="16">
        <f>HYPERLINK("https://checko.ru/search?query=3801001629","Чекко: проверить")</f>
        <v/>
      </c>
      <c r="S4430" t="n">
        <v>1</v>
      </c>
      <c r="T4430" s="35" t="inlineStr">
        <is>
          <t>4 — Не обогащён</t>
        </is>
      </c>
      <c r="U4430" s="35" t="inlineStr">
        <is>
          <t>Нет ОКВЭД/ССЧР</t>
        </is>
      </c>
      <c r="V4430" s="35" t="inlineStr">
        <is>
          <t>Не определено</t>
        </is>
      </c>
      <c r="W4430" s="35" t="inlineStr"/>
      <c r="X4430" s="35" t="inlineStr"/>
    </row>
    <row r="4431" ht="15" customHeight="1" s="24">
      <c r="A4431" s="13" t="n">
        <v>5000116329</v>
      </c>
      <c r="B4431" s="13" t="inlineStr">
        <is>
          <t>Александровск-Сахалинский КУМС</t>
        </is>
      </c>
      <c r="C4431" s="13" t="n">
        <v>6502004200</v>
      </c>
      <c r="D4431" s="13" t="inlineStr">
        <is>
          <t>6502004200</t>
        </is>
      </c>
      <c r="E4431" s="13" t="inlineStr">
        <is>
          <t>ЮЛ РФ</t>
        </is>
      </c>
      <c r="F4431" s="13" t="n"/>
      <c r="G4431" s="14" t="n"/>
      <c r="H4431" s="14" t="n"/>
      <c r="I4431" s="14" t="n"/>
      <c r="J4431" s="14" t="n"/>
      <c r="K4431" s="53" t="inlineStr"/>
      <c r="L4431" s="53" t="inlineStr">
        <is>
          <t>Не определено</t>
        </is>
      </c>
      <c r="M4431" s="53" t="inlineStr"/>
      <c r="N4431" s="54" t="inlineStr"/>
      <c r="O4431" s="55" t="inlineStr"/>
      <c r="P4431" s="16" t="inlineStr">
        <is>
          <t>Требует обогащения</t>
        </is>
      </c>
      <c r="Q4431" s="16">
        <f>HYPERLINK("https://pb.nalog.ru/search.html?query=6502004200","ФНС: проверить")</f>
        <v/>
      </c>
      <c r="R4431" s="16">
        <f>HYPERLINK("https://checko.ru/search?query=3801001629","Чекко: проверить")</f>
        <v/>
      </c>
      <c r="S4431" t="n">
        <v>0</v>
      </c>
      <c r="T4431" s="35" t="inlineStr">
        <is>
          <t>4 — Не обогащён</t>
        </is>
      </c>
      <c r="U4431" s="35" t="inlineStr">
        <is>
          <t>Нет ОКВЭД/ССЧР</t>
        </is>
      </c>
      <c r="V4431" s="35" t="inlineStr">
        <is>
          <t>Не определено</t>
        </is>
      </c>
      <c r="W4431" s="35" t="inlineStr"/>
      <c r="X4431" s="35" t="inlineStr"/>
    </row>
    <row r="4432" ht="15" customHeight="1" s="24">
      <c r="A4432" s="13" t="n">
        <v>5000116331</v>
      </c>
      <c r="B4432" s="13" t="inlineStr">
        <is>
          <t>МАУ "Редакция газеты "Экспресс"</t>
        </is>
      </c>
      <c r="C4432" s="13" t="n">
        <v>6507009844</v>
      </c>
      <c r="D4432" s="13" t="inlineStr">
        <is>
          <t>6507009844</t>
        </is>
      </c>
      <c r="E4432" s="13" t="inlineStr">
        <is>
          <t>ЮЛ РФ</t>
        </is>
      </c>
      <c r="F4432" s="13" t="n"/>
      <c r="G4432" s="14" t="n"/>
      <c r="H4432" s="14" t="n"/>
      <c r="I4432" s="14" t="n"/>
      <c r="J4432" s="14" t="n"/>
      <c r="K4432" s="53" t="inlineStr"/>
      <c r="L4432" s="53" t="inlineStr">
        <is>
          <t>Не определено</t>
        </is>
      </c>
      <c r="M4432" s="53" t="inlineStr"/>
      <c r="N4432" s="54" t="inlineStr"/>
      <c r="O4432" s="55" t="inlineStr"/>
      <c r="P4432" s="16" t="inlineStr">
        <is>
          <t>Требует обогащения</t>
        </is>
      </c>
      <c r="Q4432" s="16">
        <f>HYPERLINK("https://pb.nalog.ru/search.html?query=6507009844","ФНС: проверить")</f>
        <v/>
      </c>
      <c r="R4432" s="16">
        <f>HYPERLINK("https://checko.ru/search?query=3801001629","Чекко: проверить")</f>
        <v/>
      </c>
      <c r="S4432" t="n">
        <v>1</v>
      </c>
      <c r="T4432" s="35" t="inlineStr">
        <is>
          <t>4 — Не обогащён</t>
        </is>
      </c>
      <c r="U4432" s="35" t="inlineStr">
        <is>
          <t>Нет ОКВЭД/ССЧР</t>
        </is>
      </c>
      <c r="V4432" s="35" t="inlineStr">
        <is>
          <t>Не определено</t>
        </is>
      </c>
      <c r="W4432" s="35" t="inlineStr"/>
      <c r="X4432" s="35" t="inlineStr"/>
    </row>
    <row r="4433" ht="15" customHeight="1" s="24">
      <c r="A4433" s="13" t="n">
        <v>5000116332</v>
      </c>
      <c r="B4433" s="13" t="inlineStr">
        <is>
          <t>МКУ "ЦЕНТРАЛИЗОВАННАЯ БУХГАЛТЕРИЯ"</t>
        </is>
      </c>
      <c r="C4433" s="13" t="n">
        <v>6500001170</v>
      </c>
      <c r="D4433" s="13" t="inlineStr">
        <is>
          <t>6500001170</t>
        </is>
      </c>
      <c r="E4433" s="13" t="inlineStr">
        <is>
          <t>ЮЛ РФ</t>
        </is>
      </c>
      <c r="F4433" s="13" t="n"/>
      <c r="G4433" s="14" t="n"/>
      <c r="H4433" s="14" t="n"/>
      <c r="I4433" s="14" t="n"/>
      <c r="J4433" s="14" t="n"/>
      <c r="K4433" s="53" t="inlineStr"/>
      <c r="L4433" s="53" t="inlineStr">
        <is>
          <t>Не определено</t>
        </is>
      </c>
      <c r="M4433" s="53" t="inlineStr"/>
      <c r="N4433" s="54" t="inlineStr"/>
      <c r="O4433" s="55" t="inlineStr"/>
      <c r="P4433" s="16" t="inlineStr">
        <is>
          <t>Требует обогащения</t>
        </is>
      </c>
      <c r="Q4433" s="16">
        <f>HYPERLINK("https://pb.nalog.ru/search.html?query=6500001170","ФНС: проверить")</f>
        <v/>
      </c>
      <c r="R4433" s="16">
        <f>HYPERLINK("https://checko.ru/search?query=3801001629","Чекко: проверить")</f>
        <v/>
      </c>
      <c r="S4433" t="n">
        <v>1</v>
      </c>
      <c r="T4433" s="35" t="inlineStr">
        <is>
          <t>4 — Не обогащён</t>
        </is>
      </c>
      <c r="U4433" s="35" t="inlineStr">
        <is>
          <t>Нет ОКВЭД/ССЧР</t>
        </is>
      </c>
      <c r="V4433" s="35" t="inlineStr">
        <is>
          <t>Не определено</t>
        </is>
      </c>
      <c r="W4433" s="35" t="inlineStr"/>
      <c r="X4433" s="35" t="inlineStr"/>
    </row>
    <row r="4434" ht="15" customHeight="1" s="24">
      <c r="A4434" s="13" t="n">
        <v>5000116333</v>
      </c>
      <c r="B4434" s="13" t="inlineStr">
        <is>
          <t>МКУ УПРАВЛЕНИЕ ПО ДЕЛАМ ГО И ЧС</t>
        </is>
      </c>
      <c r="C4434" s="13" t="n">
        <v>6507015598</v>
      </c>
      <c r="D4434" s="13" t="inlineStr">
        <is>
          <t>6507015598</t>
        </is>
      </c>
      <c r="E4434" s="13" t="inlineStr">
        <is>
          <t>ЮЛ РФ</t>
        </is>
      </c>
      <c r="F4434" s="13" t="n"/>
      <c r="G4434" s="14" t="n"/>
      <c r="H4434" s="14" t="n"/>
      <c r="I4434" s="14" t="n"/>
      <c r="J4434" s="14" t="n"/>
      <c r="K4434" s="53" t="inlineStr"/>
      <c r="L4434" s="53" t="inlineStr">
        <is>
          <t>Не определено</t>
        </is>
      </c>
      <c r="M4434" s="53" t="inlineStr"/>
      <c r="N4434" s="54" t="inlineStr"/>
      <c r="O4434" s="55" t="inlineStr"/>
      <c r="P4434" s="16" t="inlineStr">
        <is>
          <t>Требует обогащения</t>
        </is>
      </c>
      <c r="Q4434" s="16">
        <f>HYPERLINK("https://pb.nalog.ru/search.html?query=6507015598","ФНС: проверить")</f>
        <v/>
      </c>
      <c r="R4434" s="16">
        <f>HYPERLINK("https://checko.ru/search?query=3801001629","Чекко: проверить")</f>
        <v/>
      </c>
      <c r="S4434" t="n">
        <v>1</v>
      </c>
      <c r="T4434" s="35" t="inlineStr">
        <is>
          <t>4 — Не обогащён</t>
        </is>
      </c>
      <c r="U4434" s="35" t="inlineStr">
        <is>
          <t>Нет ОКВЭД/ССЧР</t>
        </is>
      </c>
      <c r="V4434" s="35" t="inlineStr">
        <is>
          <t>Не определено</t>
        </is>
      </c>
      <c r="W4434" s="35" t="inlineStr"/>
      <c r="X4434" s="35" t="inlineStr"/>
    </row>
    <row r="4435" ht="15" customHeight="1" s="24">
      <c r="A4435" s="13" t="n">
        <v>5000107569</v>
      </c>
      <c r="B4435" s="13" t="inlineStr">
        <is>
          <t>ГБУ "СШ по волейболу"</t>
        </is>
      </c>
      <c r="C4435" s="13" t="n">
        <v>6501072092</v>
      </c>
      <c r="D4435" s="13" t="inlineStr">
        <is>
          <t>6501072092</t>
        </is>
      </c>
      <c r="E4435" s="13" t="inlineStr">
        <is>
          <t>ЮЛ РФ</t>
        </is>
      </c>
      <c r="F4435" s="13" t="n"/>
      <c r="G4435" s="14" t="n"/>
      <c r="H4435" s="14" t="n"/>
      <c r="I4435" s="14" t="n"/>
      <c r="J4435" s="14" t="n"/>
      <c r="K4435" s="53" t="inlineStr"/>
      <c r="L4435" s="53" t="inlineStr">
        <is>
          <t>Не определено</t>
        </is>
      </c>
      <c r="M4435" s="53" t="inlineStr"/>
      <c r="N4435" s="54" t="inlineStr"/>
      <c r="O4435" s="55" t="inlineStr"/>
      <c r="P4435" s="16" t="inlineStr">
        <is>
          <t>Требует обогащения</t>
        </is>
      </c>
      <c r="Q4435" s="16">
        <f>HYPERLINK("https://pb.nalog.ru/search.html?query=6501072092","ФНС: проверить")</f>
        <v/>
      </c>
      <c r="R4435" s="16">
        <f>HYPERLINK("https://checko.ru/search?query=3801001629","Чекко: проверить")</f>
        <v/>
      </c>
      <c r="S4435" t="n">
        <v>1</v>
      </c>
      <c r="T4435" s="35" t="inlineStr">
        <is>
          <t>4 — Не обогащён</t>
        </is>
      </c>
      <c r="U4435" s="35" t="inlineStr">
        <is>
          <t>Нет ОКВЭД/ССЧР</t>
        </is>
      </c>
      <c r="V4435" s="35" t="inlineStr">
        <is>
          <t>Не определено</t>
        </is>
      </c>
      <c r="W4435" s="35" t="inlineStr"/>
      <c r="X4435" s="35" t="inlineStr"/>
    </row>
    <row r="4436" ht="15" customHeight="1" s="24">
      <c r="A4436" s="13" t="n">
        <v>5000107575</v>
      </c>
      <c r="B4436" s="13" t="inlineStr">
        <is>
          <t>ГАУ "СШОР ЗВС"</t>
        </is>
      </c>
      <c r="C4436" s="13" t="n">
        <v>6501119978</v>
      </c>
      <c r="D4436" s="13" t="inlineStr">
        <is>
          <t>6501119978</t>
        </is>
      </c>
      <c r="E4436" s="13" t="inlineStr">
        <is>
          <t>ЮЛ РФ</t>
        </is>
      </c>
      <c r="F4436" s="13" t="n"/>
      <c r="G4436" s="14" t="n"/>
      <c r="H4436" s="14" t="n"/>
      <c r="I4436" s="14" t="n"/>
      <c r="J4436" s="14" t="n"/>
      <c r="K4436" s="53" t="inlineStr"/>
      <c r="L4436" s="53" t="inlineStr">
        <is>
          <t>Не определено</t>
        </is>
      </c>
      <c r="M4436" s="53" t="inlineStr"/>
      <c r="N4436" s="54" t="inlineStr"/>
      <c r="O4436" s="55" t="inlineStr"/>
      <c r="P4436" s="16" t="inlineStr">
        <is>
          <t>Требует обогащения</t>
        </is>
      </c>
      <c r="Q4436" s="16">
        <f>HYPERLINK("https://pb.nalog.ru/search.html?query=6501119978","ФНС: проверить")</f>
        <v/>
      </c>
      <c r="R4436" s="16">
        <f>HYPERLINK("https://checko.ru/search?query=3801001629","Чекко: проверить")</f>
        <v/>
      </c>
      <c r="S4436" t="n">
        <v>1</v>
      </c>
      <c r="T4436" s="35" t="inlineStr">
        <is>
          <t>4 — Не обогащён</t>
        </is>
      </c>
      <c r="U4436" s="35" t="inlineStr">
        <is>
          <t>Нет ОКВЭД/ССЧР</t>
        </is>
      </c>
      <c r="V4436" s="35" t="inlineStr">
        <is>
          <t>Не определено</t>
        </is>
      </c>
      <c r="W4436" s="35" t="inlineStr"/>
      <c r="X4436" s="35" t="inlineStr"/>
    </row>
    <row r="4437" ht="15" customHeight="1" s="24">
      <c r="A4437" s="13" t="n">
        <v>5000107566</v>
      </c>
      <c r="B4437" s="13" t="inlineStr">
        <is>
          <t>ГБУ ДО «СШ ВВЕ»</t>
        </is>
      </c>
      <c r="C4437" s="13" t="n">
        <v>6501150696</v>
      </c>
      <c r="D4437" s="13" t="inlineStr">
        <is>
          <t>6501150696</t>
        </is>
      </c>
      <c r="E4437" s="13" t="inlineStr">
        <is>
          <t>ЮЛ РФ</t>
        </is>
      </c>
      <c r="F4437" s="13" t="n"/>
      <c r="G4437" s="14" t="n"/>
      <c r="H4437" s="14" t="n"/>
      <c r="I4437" s="14" t="n"/>
      <c r="J4437" s="14" t="n"/>
      <c r="K4437" s="53" t="inlineStr"/>
      <c r="L4437" s="53" t="inlineStr">
        <is>
          <t>Не определено</t>
        </is>
      </c>
      <c r="M4437" s="53" t="inlineStr"/>
      <c r="N4437" s="54" t="inlineStr"/>
      <c r="O4437" s="55" t="inlineStr"/>
      <c r="P4437" s="16" t="inlineStr">
        <is>
          <t>Требует обогащения</t>
        </is>
      </c>
      <c r="Q4437" s="16">
        <f>HYPERLINK("https://pb.nalog.ru/search.html?query=6501150696","ФНС: проверить")</f>
        <v/>
      </c>
      <c r="R4437" s="16">
        <f>HYPERLINK("https://checko.ru/search?query=3801001629","Чекко: проверить")</f>
        <v/>
      </c>
      <c r="S4437" t="n">
        <v>1</v>
      </c>
      <c r="T4437" s="35" t="inlineStr">
        <is>
          <t>4 — Не обогащён</t>
        </is>
      </c>
      <c r="U4437" s="35" t="inlineStr">
        <is>
          <t>Нет ОКВЭД/ССЧР</t>
        </is>
      </c>
      <c r="V4437" s="35" t="inlineStr">
        <is>
          <t>Не определено</t>
        </is>
      </c>
      <c r="W4437" s="35" t="inlineStr"/>
      <c r="X4437" s="35" t="inlineStr"/>
    </row>
    <row r="4438" ht="15" customHeight="1" s="24">
      <c r="A4438" s="13" t="n">
        <v>5000107567</v>
      </c>
      <c r="B4438" s="13" t="inlineStr">
        <is>
          <t>ГБПОУ "СТС И ЖКХ"</t>
        </is>
      </c>
      <c r="C4438" s="13" t="n">
        <v>6501247218</v>
      </c>
      <c r="D4438" s="13" t="inlineStr">
        <is>
          <t>6501247218</t>
        </is>
      </c>
      <c r="E4438" s="13" t="inlineStr">
        <is>
          <t>ЮЛ РФ</t>
        </is>
      </c>
      <c r="F4438" s="13" t="n"/>
      <c r="G4438" s="14" t="n"/>
      <c r="H4438" s="14" t="n"/>
      <c r="I4438" s="14" t="n"/>
      <c r="J4438" s="14" t="n"/>
      <c r="K4438" s="53" t="inlineStr"/>
      <c r="L4438" s="53" t="inlineStr">
        <is>
          <t>Не определено</t>
        </is>
      </c>
      <c r="M4438" s="53" t="inlineStr"/>
      <c r="N4438" s="54" t="inlineStr"/>
      <c r="O4438" s="55" t="inlineStr"/>
      <c r="P4438" s="16" t="inlineStr">
        <is>
          <t>Требует обогащения</t>
        </is>
      </c>
      <c r="Q4438" s="16">
        <f>HYPERLINK("https://pb.nalog.ru/search.html?query=6501247218","ФНС: проверить")</f>
        <v/>
      </c>
      <c r="R4438" s="16">
        <f>HYPERLINK("https://checko.ru/search?query=3801001629","Чекко: проверить")</f>
        <v/>
      </c>
      <c r="S4438" t="n">
        <v>1</v>
      </c>
      <c r="T4438" s="35" t="inlineStr">
        <is>
          <t>4 — Не обогащён</t>
        </is>
      </c>
      <c r="U4438" s="35" t="inlineStr">
        <is>
          <t>Нет ОКВЭД/ССЧР</t>
        </is>
      </c>
      <c r="V4438" s="35" t="inlineStr">
        <is>
          <t>Не определено</t>
        </is>
      </c>
      <c r="W4438" s="35" t="inlineStr"/>
      <c r="X4438" s="35" t="inlineStr"/>
    </row>
    <row r="4439" ht="27.75" customHeight="1" s="24">
      <c r="A4439" s="13" t="n">
        <v>5000116596</v>
      </c>
      <c r="B4439" s="13" t="inlineStr">
        <is>
          <t>ДАЗИИО АДМИНИСТРАЦИИ ОХИНСКОГО МУНИЦИПАЛЬНОГО ОКРУГА</t>
        </is>
      </c>
      <c r="C4439" s="13" t="n">
        <v>6500014323</v>
      </c>
      <c r="D4439" s="13" t="inlineStr">
        <is>
          <t>6500014323</t>
        </is>
      </c>
      <c r="E4439" s="13" t="inlineStr">
        <is>
          <t>ЮЛ РФ</t>
        </is>
      </c>
      <c r="F4439" s="13" t="n"/>
      <c r="G4439" s="14" t="n"/>
      <c r="H4439" s="14" t="n"/>
      <c r="I4439" s="14" t="n"/>
      <c r="J4439" s="14" t="n"/>
      <c r="K4439" s="53" t="inlineStr"/>
      <c r="L4439" s="53" t="inlineStr">
        <is>
          <t>Не определено</t>
        </is>
      </c>
      <c r="M4439" s="53" t="inlineStr"/>
      <c r="N4439" s="54" t="inlineStr"/>
      <c r="O4439" s="55" t="inlineStr"/>
      <c r="P4439" s="16" t="inlineStr">
        <is>
          <t>Требует обогащения</t>
        </is>
      </c>
      <c r="Q4439" s="16">
        <f>HYPERLINK("https://pb.nalog.ru/search.html?query=6500014323","ФНС: проверить")</f>
        <v/>
      </c>
      <c r="R4439" s="16">
        <f>HYPERLINK("https://checko.ru/search?query=3801001629","Чекко: проверить")</f>
        <v/>
      </c>
      <c r="S4439" t="n">
        <v>1</v>
      </c>
      <c r="T4439" s="35" t="inlineStr">
        <is>
          <t>4 — Не обогащён</t>
        </is>
      </c>
      <c r="U4439" s="35" t="inlineStr">
        <is>
          <t>Нет ОКВЭД/ССЧР</t>
        </is>
      </c>
      <c r="V4439" s="35" t="inlineStr">
        <is>
          <t>Не определено</t>
        </is>
      </c>
      <c r="W4439" s="35" t="inlineStr"/>
      <c r="X4439" s="35" t="inlineStr"/>
    </row>
    <row r="4440" ht="27.75" customHeight="1" s="24">
      <c r="A4440" s="13" t="n">
        <v>5000116596</v>
      </c>
      <c r="B4440" s="13" t="inlineStr">
        <is>
          <t>ДАЗИИО АДМИНИСТРАЦИИ ОХИНСКОГО МУНИЦИПАЛЬНОГО ОКРУГА</t>
        </is>
      </c>
      <c r="C4440" s="13" t="n">
        <v>6500014323</v>
      </c>
      <c r="D4440" s="13" t="inlineStr">
        <is>
          <t>6500014323</t>
        </is>
      </c>
      <c r="E4440" s="13" t="inlineStr">
        <is>
          <t>ЮЛ РФ</t>
        </is>
      </c>
      <c r="F4440" s="13" t="n"/>
      <c r="G4440" s="14" t="n"/>
      <c r="H4440" s="14" t="n"/>
      <c r="I4440" s="14" t="n"/>
      <c r="J4440" s="14" t="n"/>
      <c r="K4440" s="53" t="inlineStr"/>
      <c r="L4440" s="53" t="inlineStr">
        <is>
          <t>Не определено</t>
        </is>
      </c>
      <c r="M4440" s="53" t="inlineStr"/>
      <c r="N4440" s="54" t="inlineStr"/>
      <c r="O4440" s="55" t="inlineStr"/>
      <c r="P4440" s="16" t="inlineStr">
        <is>
          <t>Требует обогащения</t>
        </is>
      </c>
      <c r="Q4440" s="16">
        <f>HYPERLINK("https://pb.nalog.ru/search.html?query=6500014323","ФНС: проверить")</f>
        <v/>
      </c>
      <c r="R4440" s="16">
        <f>HYPERLINK("https://checko.ru/search?query=3801001629","Чекко: проверить")</f>
        <v/>
      </c>
      <c r="S4440" t="n">
        <v>0</v>
      </c>
      <c r="T4440" s="35" t="inlineStr">
        <is>
          <t>4 — Не обогащён</t>
        </is>
      </c>
      <c r="U4440" s="35" t="inlineStr">
        <is>
          <t>Нет ОКВЭД/ССЧР</t>
        </is>
      </c>
      <c r="V4440" s="35" t="inlineStr">
        <is>
          <t>Не определено</t>
        </is>
      </c>
      <c r="W4440" s="35" t="inlineStr"/>
      <c r="X4440" s="35" t="inlineStr"/>
    </row>
    <row r="4441" ht="41.25" customHeight="1" s="24">
      <c r="A4441" s="13" t="n">
        <v>5000107352</v>
      </c>
      <c r="B4441" s="13" t="inlineStr">
        <is>
          <t>Государственное казенное учреждение Сахалинской Области "Отраслевой Функциональный Центр Системы Образования"</t>
        </is>
      </c>
      <c r="C4441" s="13" t="n">
        <v>6501243446</v>
      </c>
      <c r="D4441" s="13" t="inlineStr">
        <is>
          <t>6501243446</t>
        </is>
      </c>
      <c r="E4441" s="13" t="inlineStr">
        <is>
          <t>ЮЛ РФ</t>
        </is>
      </c>
      <c r="F4441" s="13" t="n"/>
      <c r="G4441" s="14" t="n"/>
      <c r="H4441" s="14" t="n"/>
      <c r="I4441" s="14" t="n"/>
      <c r="J4441" s="14" t="n"/>
      <c r="K4441" s="53" t="inlineStr"/>
      <c r="L4441" s="53" t="inlineStr">
        <is>
          <t>Не определено</t>
        </is>
      </c>
      <c r="M4441" s="53" t="inlineStr"/>
      <c r="N4441" s="54" t="inlineStr"/>
      <c r="O4441" s="55" t="inlineStr"/>
      <c r="P4441" s="16" t="inlineStr">
        <is>
          <t>Требует обогащения</t>
        </is>
      </c>
      <c r="Q4441" s="16">
        <f>HYPERLINK("https://pb.nalog.ru/search.html?query=6501243446","ФНС: проверить")</f>
        <v/>
      </c>
      <c r="R4441" s="16">
        <f>HYPERLINK("https://checko.ru/search?query=3801001629","Чекко: проверить")</f>
        <v/>
      </c>
      <c r="S4441" t="n">
        <v>1</v>
      </c>
      <c r="T4441" s="35" t="inlineStr">
        <is>
          <t>4 — Не обогащён</t>
        </is>
      </c>
      <c r="U4441" s="35" t="inlineStr">
        <is>
          <t>Нет ОКВЭД/ССЧР</t>
        </is>
      </c>
      <c r="V4441" s="35" t="inlineStr">
        <is>
          <t>Не определено</t>
        </is>
      </c>
      <c r="W4441" s="35" t="inlineStr"/>
      <c r="X4441" s="35" t="inlineStr"/>
    </row>
    <row r="4442" ht="27.75" customHeight="1" s="24">
      <c r="A4442" s="13" t="n">
        <v>5000107353</v>
      </c>
      <c r="B4442" s="13" t="inlineStr">
        <is>
          <t>ГБУ «Центр психолого-педагогической помощи семье и детям»</t>
        </is>
      </c>
      <c r="C4442" s="13" t="n">
        <v>6501183780</v>
      </c>
      <c r="D4442" s="13" t="inlineStr">
        <is>
          <t>6501183780</t>
        </is>
      </c>
      <c r="E4442" s="13" t="inlineStr">
        <is>
          <t>ЮЛ РФ</t>
        </is>
      </c>
      <c r="F4442" s="13" t="n"/>
      <c r="G4442" s="14" t="n"/>
      <c r="H4442" s="14" t="n"/>
      <c r="I4442" s="14" t="n"/>
      <c r="J4442" s="14" t="n"/>
      <c r="K4442" s="53" t="inlineStr"/>
      <c r="L4442" s="53" t="inlineStr">
        <is>
          <t>Не определено</t>
        </is>
      </c>
      <c r="M4442" s="53" t="inlineStr"/>
      <c r="N4442" s="54" t="inlineStr"/>
      <c r="O4442" s="55" t="inlineStr"/>
      <c r="P4442" s="16" t="inlineStr">
        <is>
          <t>Требует обогащения</t>
        </is>
      </c>
      <c r="Q4442" s="16">
        <f>HYPERLINK("https://pb.nalog.ru/search.html?query=6501183780","ФНС: проверить")</f>
        <v/>
      </c>
      <c r="R4442" s="16">
        <f>HYPERLINK("https://checko.ru/search?query=3801001629","Чекко: проверить")</f>
        <v/>
      </c>
      <c r="S4442" t="n">
        <v>1</v>
      </c>
      <c r="T4442" s="35" t="inlineStr">
        <is>
          <t>4 — Не обогащён</t>
        </is>
      </c>
      <c r="U4442" s="35" t="inlineStr">
        <is>
          <t>Нет ОКВЭД/ССЧР</t>
        </is>
      </c>
      <c r="V4442" s="35" t="inlineStr">
        <is>
          <t>Не определено</t>
        </is>
      </c>
      <c r="W4442" s="35" t="inlineStr"/>
      <c r="X4442" s="35" t="inlineStr"/>
    </row>
    <row r="4443" ht="27.75" customHeight="1" s="24">
      <c r="A4443" s="13" t="n">
        <v>5000107357</v>
      </c>
      <c r="B4443" s="13" t="inlineStr">
        <is>
          <t>ГБОУДО "Областной центр внешкольной воспитательной работы"</t>
        </is>
      </c>
      <c r="C4443" s="13" t="n">
        <v>6501160253</v>
      </c>
      <c r="D4443" s="13" t="inlineStr">
        <is>
          <t>6501160253</t>
        </is>
      </c>
      <c r="E4443" s="13" t="inlineStr">
        <is>
          <t>ЮЛ РФ</t>
        </is>
      </c>
      <c r="F4443" s="13" t="n"/>
      <c r="G4443" s="14" t="n"/>
      <c r="H4443" s="14" t="n"/>
      <c r="I4443" s="14" t="n"/>
      <c r="J4443" s="14" t="n"/>
      <c r="K4443" s="53" t="inlineStr"/>
      <c r="L4443" s="53" t="inlineStr">
        <is>
          <t>Не определено</t>
        </is>
      </c>
      <c r="M4443" s="53" t="inlineStr"/>
      <c r="N4443" s="54" t="inlineStr"/>
      <c r="O4443" s="55" t="inlineStr"/>
      <c r="P4443" s="16" t="inlineStr">
        <is>
          <t>Требует обогащения</t>
        </is>
      </c>
      <c r="Q4443" s="16">
        <f>HYPERLINK("https://pb.nalog.ru/search.html?query=6501160253","ФНС: проверить")</f>
        <v/>
      </c>
      <c r="R4443" s="16">
        <f>HYPERLINK("https://checko.ru/search?query=3801001629","Чекко: проверить")</f>
        <v/>
      </c>
      <c r="S4443" t="n">
        <v>1</v>
      </c>
      <c r="T4443" s="35" t="inlineStr">
        <is>
          <t>4 — Не обогащён</t>
        </is>
      </c>
      <c r="U4443" s="35" t="inlineStr">
        <is>
          <t>Нет ОКВЭД/ССЧР</t>
        </is>
      </c>
      <c r="V4443" s="35" t="inlineStr">
        <is>
          <t>Не определено</t>
        </is>
      </c>
      <c r="W4443" s="35" t="inlineStr"/>
      <c r="X4443" s="35" t="inlineStr"/>
    </row>
    <row r="4444" ht="15" customHeight="1" s="24">
      <c r="A4444" s="13" t="n">
        <v>5000107363</v>
      </c>
      <c r="B4444" s="13" t="inlineStr">
        <is>
          <t>ГБПОУ "Сахалинский индустриальный техникум"</t>
        </is>
      </c>
      <c r="C4444" s="13" t="n">
        <v>6506003159</v>
      </c>
      <c r="D4444" s="13" t="inlineStr">
        <is>
          <t>6506003159</t>
        </is>
      </c>
      <c r="E4444" s="13" t="inlineStr">
        <is>
          <t>ЮЛ РФ</t>
        </is>
      </c>
      <c r="F4444" s="13" t="n"/>
      <c r="G4444" s="14" t="n"/>
      <c r="H4444" s="14" t="n"/>
      <c r="I4444" s="14" t="n"/>
      <c r="J4444" s="14" t="n"/>
      <c r="K4444" s="53" t="inlineStr"/>
      <c r="L4444" s="53" t="inlineStr">
        <is>
          <t>Не определено</t>
        </is>
      </c>
      <c r="M4444" s="53" t="inlineStr"/>
      <c r="N4444" s="54" t="inlineStr"/>
      <c r="O4444" s="55" t="inlineStr"/>
      <c r="P4444" s="16" t="inlineStr">
        <is>
          <t>Требует обогащения</t>
        </is>
      </c>
      <c r="Q4444" s="16">
        <f>HYPERLINK("https://pb.nalog.ru/search.html?query=6506003159","ФНС: проверить")</f>
        <v/>
      </c>
      <c r="R4444" s="16">
        <f>HYPERLINK("https://checko.ru/search?query=3801001629","Чекко: проверить")</f>
        <v/>
      </c>
      <c r="S4444" t="n">
        <v>1</v>
      </c>
      <c r="T4444" s="35" t="inlineStr">
        <is>
          <t>4 — Не обогащён</t>
        </is>
      </c>
      <c r="U4444" s="35" t="inlineStr">
        <is>
          <t>Нет ОКВЭД/ССЧР</t>
        </is>
      </c>
      <c r="V4444" s="35" t="inlineStr">
        <is>
          <t>Не определено</t>
        </is>
      </c>
      <c r="W4444" s="35" t="inlineStr"/>
      <c r="X4444" s="35" t="inlineStr"/>
    </row>
    <row r="4445" ht="15" customHeight="1" s="24">
      <c r="A4445" s="13" t="n">
        <v>5000107364</v>
      </c>
      <c r="B4445" s="13" t="inlineStr">
        <is>
          <t>ГБПОУ "Сахалинский политехнический центр №1"</t>
        </is>
      </c>
      <c r="C4445" s="13" t="n">
        <v>6502004634</v>
      </c>
      <c r="D4445" s="13" t="inlineStr">
        <is>
          <t>6502004634</t>
        </is>
      </c>
      <c r="E4445" s="13" t="inlineStr">
        <is>
          <t>ЮЛ РФ</t>
        </is>
      </c>
      <c r="F4445" s="13" t="n"/>
      <c r="G4445" s="14" t="n"/>
      <c r="H4445" s="14" t="n"/>
      <c r="I4445" s="14" t="n"/>
      <c r="J4445" s="14" t="n"/>
      <c r="K4445" s="53" t="inlineStr"/>
      <c r="L4445" s="53" t="inlineStr">
        <is>
          <t>Не определено</t>
        </is>
      </c>
      <c r="M4445" s="53" t="inlineStr"/>
      <c r="N4445" s="54" t="inlineStr"/>
      <c r="O4445" s="55" t="inlineStr"/>
      <c r="P4445" s="16" t="inlineStr">
        <is>
          <t>Требует обогащения</t>
        </is>
      </c>
      <c r="Q4445" s="16">
        <f>HYPERLINK("https://pb.nalog.ru/search.html?query=6502004634","ФНС: проверить")</f>
        <v/>
      </c>
      <c r="R4445" s="16">
        <f>HYPERLINK("https://checko.ru/search?query=3801001629","Чекко: проверить")</f>
        <v/>
      </c>
      <c r="S4445" t="n">
        <v>1</v>
      </c>
      <c r="T4445" s="35" t="inlineStr">
        <is>
          <t>4 — Не обогащён</t>
        </is>
      </c>
      <c r="U4445" s="35" t="inlineStr">
        <is>
          <t>Нет ОКВЭД/ССЧР</t>
        </is>
      </c>
      <c r="V4445" s="35" t="inlineStr">
        <is>
          <t>Не определено</t>
        </is>
      </c>
      <c r="W4445" s="35" t="inlineStr"/>
      <c r="X4445" s="35" t="inlineStr"/>
    </row>
    <row r="4446" ht="27.75" customHeight="1" s="24">
      <c r="A4446" s="13" t="n">
        <v>5000107368</v>
      </c>
      <c r="B4446" s="13" t="inlineStr">
        <is>
          <t>ГБПОУ "Сахалинский техникум механизации сельского хозяйства"</t>
        </is>
      </c>
      <c r="C4446" s="13" t="n">
        <v>6501247391</v>
      </c>
      <c r="D4446" s="13" t="inlineStr">
        <is>
          <t>6501247391</t>
        </is>
      </c>
      <c r="E4446" s="13" t="inlineStr">
        <is>
          <t>ЮЛ РФ</t>
        </is>
      </c>
      <c r="F4446" s="13" t="n"/>
      <c r="G4446" s="14" t="n"/>
      <c r="H4446" s="14" t="n"/>
      <c r="I4446" s="14" t="n"/>
      <c r="J4446" s="14" t="n"/>
      <c r="K4446" s="53" t="inlineStr"/>
      <c r="L4446" s="53" t="inlineStr">
        <is>
          <t>Не определено</t>
        </is>
      </c>
      <c r="M4446" s="53" t="inlineStr"/>
      <c r="N4446" s="54" t="inlineStr"/>
      <c r="O4446" s="55" t="inlineStr"/>
      <c r="P4446" s="16" t="inlineStr">
        <is>
          <t>Требует обогащения</t>
        </is>
      </c>
      <c r="Q4446" s="16">
        <f>HYPERLINK("https://pb.nalog.ru/search.html?query=6501247391","ФНС: проверить")</f>
        <v/>
      </c>
      <c r="R4446" s="16">
        <f>HYPERLINK("https://checko.ru/search?query=3801001629","Чекко: проверить")</f>
        <v/>
      </c>
      <c r="S4446" t="n">
        <v>1</v>
      </c>
      <c r="T4446" s="35" t="inlineStr">
        <is>
          <t>4 — Не обогащён</t>
        </is>
      </c>
      <c r="U4446" s="35" t="inlineStr">
        <is>
          <t>Нет ОКВЭД/ССЧР</t>
        </is>
      </c>
      <c r="V4446" s="35" t="inlineStr">
        <is>
          <t>Не определено</t>
        </is>
      </c>
      <c r="W4446" s="35" t="inlineStr"/>
      <c r="X4446" s="35" t="inlineStr"/>
    </row>
    <row r="4447" ht="27.75" customHeight="1" s="24">
      <c r="A4447" s="13" t="n">
        <v>5000117099</v>
      </c>
      <c r="B4447" s="13" t="inlineStr">
        <is>
          <t>Департамент финансов администрации Холмского муниципального округа Сахалинской области</t>
        </is>
      </c>
      <c r="C4447" s="13" t="n">
        <v>6509003407</v>
      </c>
      <c r="D4447" s="13" t="inlineStr">
        <is>
          <t>6509003407</t>
        </is>
      </c>
      <c r="E4447" s="13" t="inlineStr">
        <is>
          <t>ЮЛ РФ</t>
        </is>
      </c>
      <c r="F4447" s="13" t="n"/>
      <c r="G4447" s="14" t="n"/>
      <c r="H4447" s="14" t="n"/>
      <c r="I4447" s="14" t="n"/>
      <c r="J4447" s="14" t="n"/>
      <c r="K4447" s="53" t="inlineStr"/>
      <c r="L4447" s="53" t="inlineStr">
        <is>
          <t>Не определено</t>
        </is>
      </c>
      <c r="M4447" s="53" t="inlineStr"/>
      <c r="N4447" s="54" t="inlineStr"/>
      <c r="O4447" s="55" t="inlineStr"/>
      <c r="P4447" s="16" t="inlineStr">
        <is>
          <t>Требует обогащения</t>
        </is>
      </c>
      <c r="Q4447" s="16">
        <f>HYPERLINK("https://pb.nalog.ru/search.html?query=6509003407","ФНС: проверить")</f>
        <v/>
      </c>
      <c r="R4447" s="16">
        <f>HYPERLINK("https://checko.ru/search?query=3801001629","Чекко: проверить")</f>
        <v/>
      </c>
      <c r="S4447" t="n">
        <v>1</v>
      </c>
      <c r="T4447" s="35" t="inlineStr">
        <is>
          <t>4 — Не обогащён</t>
        </is>
      </c>
      <c r="U4447" s="35" t="inlineStr">
        <is>
          <t>Нет ОКВЭД/ССЧР</t>
        </is>
      </c>
      <c r="V4447" s="35" t="inlineStr">
        <is>
          <t>Не определено</t>
        </is>
      </c>
      <c r="W4447" s="35" t="inlineStr"/>
      <c r="X4447" s="35" t="inlineStr"/>
    </row>
    <row r="4448" ht="27.75" customHeight="1" s="24">
      <c r="A4448" s="13" t="n">
        <v>5000117099</v>
      </c>
      <c r="B4448" s="13" t="inlineStr">
        <is>
          <t>Департамент финансов администрации Холмского муниципального округа Сахалинской области</t>
        </is>
      </c>
      <c r="C4448" s="13" t="n">
        <v>6509003407</v>
      </c>
      <c r="D4448" s="13" t="inlineStr">
        <is>
          <t>6509003407</t>
        </is>
      </c>
      <c r="E4448" s="13" t="inlineStr">
        <is>
          <t>ЮЛ РФ</t>
        </is>
      </c>
      <c r="F4448" s="13" t="n"/>
      <c r="G4448" s="14" t="n"/>
      <c r="H4448" s="14" t="n"/>
      <c r="I4448" s="14" t="n"/>
      <c r="J4448" s="14" t="n"/>
      <c r="K4448" s="53" t="inlineStr"/>
      <c r="L4448" s="53" t="inlineStr">
        <is>
          <t>Не определено</t>
        </is>
      </c>
      <c r="M4448" s="53" t="inlineStr"/>
      <c r="N4448" s="54" t="inlineStr"/>
      <c r="O4448" s="55" t="inlineStr"/>
      <c r="P4448" s="16" t="inlineStr">
        <is>
          <t>Требует обогащения</t>
        </is>
      </c>
      <c r="Q4448" s="16">
        <f>HYPERLINK("https://pb.nalog.ru/search.html?query=6509003407","ФНС: проверить")</f>
        <v/>
      </c>
      <c r="R4448" s="16">
        <f>HYPERLINK("https://checko.ru/search?query=3801001629","Чекко: проверить")</f>
        <v/>
      </c>
      <c r="S4448" t="n">
        <v>0</v>
      </c>
      <c r="T4448" s="35" t="inlineStr">
        <is>
          <t>4 — Не обогащён</t>
        </is>
      </c>
      <c r="U4448" s="35" t="inlineStr">
        <is>
          <t>Нет ОКВЭД/ССЧР</t>
        </is>
      </c>
      <c r="V4448" s="35" t="inlineStr">
        <is>
          <t>Не определено</t>
        </is>
      </c>
      <c r="W4448" s="35" t="inlineStr"/>
      <c r="X4448" s="35" t="inlineStr"/>
    </row>
    <row r="4449" ht="41.25" customHeight="1" s="24">
      <c r="A4449" s="13" t="n">
        <v>5000117094</v>
      </c>
      <c r="B4449" s="13" t="inlineStr">
        <is>
          <t>Департамента жилищно-коммунального хозяйства администрации Холмского муниципального округа Сахалинской области</t>
        </is>
      </c>
      <c r="C4449" s="13" t="n">
        <v>6509022512</v>
      </c>
      <c r="D4449" s="13" t="inlineStr">
        <is>
          <t>6509022512</t>
        </is>
      </c>
      <c r="E4449" s="13" t="inlineStr">
        <is>
          <t>ЮЛ РФ</t>
        </is>
      </c>
      <c r="F4449" s="13" t="n"/>
      <c r="G4449" s="14" t="n"/>
      <c r="H4449" s="14" t="n"/>
      <c r="I4449" s="14" t="n"/>
      <c r="J4449" s="14" t="n"/>
      <c r="K4449" s="53" t="inlineStr"/>
      <c r="L4449" s="53" t="inlineStr">
        <is>
          <t>Не определено</t>
        </is>
      </c>
      <c r="M4449" s="53" t="inlineStr"/>
      <c r="N4449" s="54" t="inlineStr"/>
      <c r="O4449" s="55" t="inlineStr"/>
      <c r="P4449" s="16" t="inlineStr">
        <is>
          <t>Требует обогащения</t>
        </is>
      </c>
      <c r="Q4449" s="16">
        <f>HYPERLINK("https://pb.nalog.ru/search.html?query=6509022512","ФНС: проверить")</f>
        <v/>
      </c>
      <c r="R4449" s="16">
        <f>HYPERLINK("https://checko.ru/search?query=3801001629","Чекко: проверить")</f>
        <v/>
      </c>
      <c r="S4449" t="n">
        <v>1</v>
      </c>
      <c r="T4449" s="35" t="inlineStr">
        <is>
          <t>4 — Не обогащён</t>
        </is>
      </c>
      <c r="U4449" s="35" t="inlineStr">
        <is>
          <t>Нет ОКВЭД/ССЧР</t>
        </is>
      </c>
      <c r="V4449" s="35" t="inlineStr">
        <is>
          <t>Не определено</t>
        </is>
      </c>
      <c r="W4449" s="35" t="inlineStr"/>
      <c r="X4449" s="35" t="inlineStr"/>
    </row>
    <row r="4450" ht="41.25" customHeight="1" s="24">
      <c r="A4450" s="13" t="n">
        <v>5000117094</v>
      </c>
      <c r="B4450" s="13" t="inlineStr">
        <is>
          <t>Департамента жилищно-коммунального хозяйства администрации Холмского муниципального округа Сахалинской области</t>
        </is>
      </c>
      <c r="C4450" s="13" t="n">
        <v>6509022512</v>
      </c>
      <c r="D4450" s="13" t="inlineStr">
        <is>
          <t>6509022512</t>
        </is>
      </c>
      <c r="E4450" s="13" t="inlineStr">
        <is>
          <t>ЮЛ РФ</t>
        </is>
      </c>
      <c r="F4450" s="13" t="n"/>
      <c r="G4450" s="14" t="n"/>
      <c r="H4450" s="14" t="n"/>
      <c r="I4450" s="14" t="n"/>
      <c r="J4450" s="14" t="n"/>
      <c r="K4450" s="53" t="inlineStr"/>
      <c r="L4450" s="53" t="inlineStr">
        <is>
          <t>Не определено</t>
        </is>
      </c>
      <c r="M4450" s="53" t="inlineStr"/>
      <c r="N4450" s="54" t="inlineStr"/>
      <c r="O4450" s="55" t="inlineStr"/>
      <c r="P4450" s="16" t="inlineStr">
        <is>
          <t>Требует обогащения</t>
        </is>
      </c>
      <c r="Q4450" s="16">
        <f>HYPERLINK("https://pb.nalog.ru/search.html?query=6509022512","ФНС: проверить")</f>
        <v/>
      </c>
      <c r="R4450" s="16">
        <f>HYPERLINK("https://checko.ru/search?query=3801001629","Чекко: проверить")</f>
        <v/>
      </c>
      <c r="S4450" t="n">
        <v>0</v>
      </c>
      <c r="T4450" s="35" t="inlineStr">
        <is>
          <t>4 — Не обогащён</t>
        </is>
      </c>
      <c r="U4450" s="35" t="inlineStr">
        <is>
          <t>Нет ОКВЭД/ССЧР</t>
        </is>
      </c>
      <c r="V4450" s="35" t="inlineStr">
        <is>
          <t>Не определено</t>
        </is>
      </c>
      <c r="W4450" s="35" t="inlineStr"/>
      <c r="X4450" s="35" t="inlineStr"/>
    </row>
    <row r="4451" ht="27.75" customHeight="1" s="24">
      <c r="A4451" s="13" t="n">
        <v>5000117092</v>
      </c>
      <c r="B4451" s="13" t="inlineStr">
        <is>
          <t>Департамент финансов администрации Корсаковского муниципального округа</t>
        </is>
      </c>
      <c r="C4451" s="13" t="n">
        <v>6504016339</v>
      </c>
      <c r="D4451" s="13" t="inlineStr">
        <is>
          <t>6504016339</t>
        </is>
      </c>
      <c r="E4451" s="13" t="inlineStr">
        <is>
          <t>ЮЛ РФ</t>
        </is>
      </c>
      <c r="F4451" s="13" t="n"/>
      <c r="G4451" s="14" t="n"/>
      <c r="H4451" s="14" t="n"/>
      <c r="I4451" s="14" t="n"/>
      <c r="J4451" s="14" t="n"/>
      <c r="K4451" s="53" t="inlineStr"/>
      <c r="L4451" s="53" t="inlineStr">
        <is>
          <t>Не определено</t>
        </is>
      </c>
      <c r="M4451" s="53" t="inlineStr"/>
      <c r="N4451" s="54" t="inlineStr"/>
      <c r="O4451" s="55" t="inlineStr"/>
      <c r="P4451" s="16" t="inlineStr">
        <is>
          <t>Требует обогащения</t>
        </is>
      </c>
      <c r="Q4451" s="16">
        <f>HYPERLINK("https://pb.nalog.ru/search.html?query=6504016339","ФНС: проверить")</f>
        <v/>
      </c>
      <c r="R4451" s="16">
        <f>HYPERLINK("https://checko.ru/search?query=3801001629","Чекко: проверить")</f>
        <v/>
      </c>
      <c r="S4451" t="n">
        <v>1</v>
      </c>
      <c r="T4451" s="35" t="inlineStr">
        <is>
          <t>4 — Не обогащён</t>
        </is>
      </c>
      <c r="U4451" s="35" t="inlineStr">
        <is>
          <t>Нет ОКВЭД/ССЧР</t>
        </is>
      </c>
      <c r="V4451" s="35" t="inlineStr">
        <is>
          <t>Не определено</t>
        </is>
      </c>
      <c r="W4451" s="35" t="inlineStr"/>
      <c r="X4451" s="35" t="inlineStr"/>
    </row>
    <row r="4452" ht="41.25" customHeight="1" s="24">
      <c r="A4452" s="13" t="n">
        <v>5000117218</v>
      </c>
      <c r="B4452" s="13" t="inlineStr">
        <is>
          <t>Департамент имущенственных отношений администрации Корсаковского муниципального округа</t>
        </is>
      </c>
      <c r="C4452" s="13" t="n">
        <v>6504016434</v>
      </c>
      <c r="D4452" s="13" t="inlineStr">
        <is>
          <t>6504016434</t>
        </is>
      </c>
      <c r="E4452" s="13" t="inlineStr">
        <is>
          <t>ЮЛ РФ</t>
        </is>
      </c>
      <c r="F4452" s="13" t="n"/>
      <c r="G4452" s="14" t="n"/>
      <c r="H4452" s="14" t="n"/>
      <c r="I4452" s="14" t="n"/>
      <c r="J4452" s="14" t="n"/>
      <c r="K4452" s="53" t="inlineStr"/>
      <c r="L4452" s="53" t="inlineStr">
        <is>
          <t>Не определено</t>
        </is>
      </c>
      <c r="M4452" s="53" t="inlineStr"/>
      <c r="N4452" s="54" t="inlineStr"/>
      <c r="O4452" s="55" t="inlineStr"/>
      <c r="P4452" s="16" t="inlineStr">
        <is>
          <t>Требует обогащения</t>
        </is>
      </c>
      <c r="Q4452" s="16">
        <f>HYPERLINK("https://pb.nalog.ru/search.html?query=6504016434","ФНС: проверить")</f>
        <v/>
      </c>
      <c r="R4452" s="16">
        <f>HYPERLINK("https://checko.ru/search?query=3801001629","Чекко: проверить")</f>
        <v/>
      </c>
      <c r="S4452" t="n">
        <v>1</v>
      </c>
      <c r="T4452" s="35" t="inlineStr">
        <is>
          <t>4 — Не обогащён</t>
        </is>
      </c>
      <c r="U4452" s="35" t="inlineStr">
        <is>
          <t>Нет ОКВЭД/ССЧР</t>
        </is>
      </c>
      <c r="V4452" s="35" t="inlineStr">
        <is>
          <t>Не определено</t>
        </is>
      </c>
      <c r="W4452" s="35" t="inlineStr"/>
      <c r="X4452" s="35" t="inlineStr"/>
    </row>
    <row r="4453" ht="15" customHeight="1" s="24">
      <c r="A4453" s="13" t="n">
        <v>5000117111</v>
      </c>
      <c r="B4453" s="13" t="inlineStr">
        <is>
          <t>КСП КМО</t>
        </is>
      </c>
      <c r="C4453" s="13" t="n">
        <v>6504015624</v>
      </c>
      <c r="D4453" s="13" t="inlineStr">
        <is>
          <t>6504015624</t>
        </is>
      </c>
      <c r="E4453" s="13" t="inlineStr">
        <is>
          <t>ЮЛ РФ</t>
        </is>
      </c>
      <c r="F4453" s="13" t="n"/>
      <c r="G4453" s="14" t="n"/>
      <c r="H4453" s="14" t="n"/>
      <c r="I4453" s="14" t="n"/>
      <c r="J4453" s="14" t="n"/>
      <c r="K4453" s="53" t="inlineStr"/>
      <c r="L4453" s="53" t="inlineStr">
        <is>
          <t>Не определено</t>
        </is>
      </c>
      <c r="M4453" s="53" t="inlineStr"/>
      <c r="N4453" s="54" t="inlineStr"/>
      <c r="O4453" s="55" t="inlineStr"/>
      <c r="P4453" s="16" t="inlineStr">
        <is>
          <t>Требует обогащения</t>
        </is>
      </c>
      <c r="Q4453" s="16">
        <f>HYPERLINK("https://pb.nalog.ru/search.html?query=6504015624","ФНС: проверить")</f>
        <v/>
      </c>
      <c r="R4453" s="16">
        <f>HYPERLINK("https://checko.ru/search?query=3801001629","Чекко: проверить")</f>
        <v/>
      </c>
      <c r="S4453" t="n">
        <v>1</v>
      </c>
      <c r="T4453" s="35" t="inlineStr">
        <is>
          <t>4 — Не обогащён</t>
        </is>
      </c>
      <c r="U4453" s="35" t="inlineStr">
        <is>
          <t>Нет ОКВЭД/ССЧР</t>
        </is>
      </c>
      <c r="V4453" s="35" t="inlineStr">
        <is>
          <t>Не определено</t>
        </is>
      </c>
      <c r="W4453" s="35" t="inlineStr"/>
      <c r="X4453" s="35" t="inlineStr"/>
    </row>
    <row r="4454" ht="15" customHeight="1" s="24">
      <c r="A4454" s="13" t="n">
        <v>5000117113</v>
      </c>
      <c r="B4454" s="13" t="inlineStr">
        <is>
          <t>Управление по делам ГОЧС</t>
        </is>
      </c>
      <c r="C4454" s="13" t="n">
        <v>6504027740</v>
      </c>
      <c r="D4454" s="13" t="inlineStr">
        <is>
          <t>6504027740</t>
        </is>
      </c>
      <c r="E4454" s="13" t="inlineStr">
        <is>
          <t>ЮЛ РФ</t>
        </is>
      </c>
      <c r="F4454" s="13" t="n"/>
      <c r="G4454" s="14" t="n"/>
      <c r="H4454" s="14" t="n"/>
      <c r="I4454" s="14" t="n"/>
      <c r="J4454" s="14" t="n"/>
      <c r="K4454" s="53" t="inlineStr"/>
      <c r="L4454" s="53" t="inlineStr">
        <is>
          <t>Не определено</t>
        </is>
      </c>
      <c r="M4454" s="53" t="inlineStr"/>
      <c r="N4454" s="54" t="inlineStr"/>
      <c r="O4454" s="55" t="inlineStr"/>
      <c r="P4454" s="16" t="inlineStr">
        <is>
          <t>Требует обогащения</t>
        </is>
      </c>
      <c r="Q4454" s="16">
        <f>HYPERLINK("https://pb.nalog.ru/search.html?query=6504027740","ФНС: проверить")</f>
        <v/>
      </c>
      <c r="R4454" s="16">
        <f>HYPERLINK("https://checko.ru/search?query=3801001629","Чекко: проверить")</f>
        <v/>
      </c>
      <c r="S4454" t="n">
        <v>1</v>
      </c>
      <c r="T4454" s="35" t="inlineStr">
        <is>
          <t>4 — Не обогащён</t>
        </is>
      </c>
      <c r="U4454" s="35" t="inlineStr">
        <is>
          <t>Нет ОКВЭД/ССЧР</t>
        </is>
      </c>
      <c r="V4454" s="35" t="inlineStr">
        <is>
          <t>Не определено</t>
        </is>
      </c>
      <c r="W4454" s="35" t="inlineStr"/>
      <c r="X4454" s="35" t="inlineStr"/>
    </row>
    <row r="4455" ht="15" customHeight="1" s="24">
      <c r="A4455" s="13" t="n">
        <v>5000117580</v>
      </c>
      <c r="B4455" s="13" t="inlineStr">
        <is>
          <t>МБУ ДО СШ ХМО</t>
        </is>
      </c>
      <c r="C4455" s="13" t="n">
        <v>6509017784</v>
      </c>
      <c r="D4455" s="13" t="inlineStr">
        <is>
          <t>6509017784</t>
        </is>
      </c>
      <c r="E4455" s="13" t="inlineStr">
        <is>
          <t>ЮЛ РФ</t>
        </is>
      </c>
      <c r="F4455" s="13" t="n"/>
      <c r="G4455" s="14" t="n"/>
      <c r="H4455" s="14" t="n"/>
      <c r="I4455" s="14" t="n"/>
      <c r="J4455" s="14" t="n"/>
      <c r="K4455" s="53" t="inlineStr"/>
      <c r="L4455" s="53" t="inlineStr">
        <is>
          <t>Не определено</t>
        </is>
      </c>
      <c r="M4455" s="53" t="inlineStr"/>
      <c r="N4455" s="54" t="inlineStr"/>
      <c r="O4455" s="55" t="inlineStr"/>
      <c r="P4455" s="16" t="inlineStr">
        <is>
          <t>Требует обогащения</t>
        </is>
      </c>
      <c r="Q4455" s="16">
        <f>HYPERLINK("https://pb.nalog.ru/search.html?query=6509017784","ФНС: проверить")</f>
        <v/>
      </c>
      <c r="R4455" s="16">
        <f>HYPERLINK("https://checko.ru/search?query=3801001629","Чекко: проверить")</f>
        <v/>
      </c>
      <c r="S4455" t="n">
        <v>1</v>
      </c>
      <c r="T4455" s="35" t="inlineStr">
        <is>
          <t>4 — Не обогащён</t>
        </is>
      </c>
      <c r="U4455" s="35" t="inlineStr">
        <is>
          <t>Нет ОКВЭД/ССЧР</t>
        </is>
      </c>
      <c r="V4455" s="35" t="inlineStr">
        <is>
          <t>Не определено</t>
        </is>
      </c>
      <c r="W4455" s="35" t="inlineStr"/>
      <c r="X4455" s="35" t="inlineStr"/>
    </row>
    <row r="4456" ht="27.75" customHeight="1" s="24">
      <c r="A4456" s="13" t="n">
        <v>5000117582</v>
      </c>
      <c r="B4456" s="13" t="inlineStr">
        <is>
          <t>МКУ "ЦБ" ХОЛМСКОГО МУНИЦИПАЛЬНОГО ОКРУГА</t>
        </is>
      </c>
      <c r="C4456" s="13" t="n">
        <v>6509021484</v>
      </c>
      <c r="D4456" s="13" t="inlineStr">
        <is>
          <t>6509021484</t>
        </is>
      </c>
      <c r="E4456" s="13" t="inlineStr">
        <is>
          <t>ЮЛ РФ</t>
        </is>
      </c>
      <c r="F4456" s="13" t="n"/>
      <c r="G4456" s="14" t="n"/>
      <c r="H4456" s="14" t="n"/>
      <c r="I4456" s="14" t="n"/>
      <c r="J4456" s="14" t="n"/>
      <c r="K4456" s="53" t="inlineStr"/>
      <c r="L4456" s="53" t="inlineStr">
        <is>
          <t>Не определено</t>
        </is>
      </c>
      <c r="M4456" s="53" t="inlineStr"/>
      <c r="N4456" s="54" t="inlineStr"/>
      <c r="O4456" s="55" t="inlineStr"/>
      <c r="P4456" s="16" t="inlineStr">
        <is>
          <t>Требует обогащения</t>
        </is>
      </c>
      <c r="Q4456" s="16">
        <f>HYPERLINK("https://pb.nalog.ru/search.html?query=6509021484","ФНС: проверить")</f>
        <v/>
      </c>
      <c r="R4456" s="16">
        <f>HYPERLINK("https://checko.ru/search?query=3801001629","Чекко: проверить")</f>
        <v/>
      </c>
      <c r="S4456" t="n">
        <v>1</v>
      </c>
      <c r="T4456" s="35" t="inlineStr">
        <is>
          <t>4 — Не обогащён</t>
        </is>
      </c>
      <c r="U4456" s="35" t="inlineStr">
        <is>
          <t>Нет ОКВЭД/ССЧР</t>
        </is>
      </c>
      <c r="V4456" s="35" t="inlineStr">
        <is>
          <t>Не определено</t>
        </is>
      </c>
      <c r="W4456" s="35" t="inlineStr"/>
      <c r="X4456" s="35" t="inlineStr"/>
    </row>
    <row r="4457" ht="15" customHeight="1" s="24">
      <c r="A4457" s="13" t="n">
        <v>5000117584</v>
      </c>
      <c r="B4457" s="13" t="inlineStr">
        <is>
          <t>КСП ХОЛМСКОГО МУНИЦИПАЛЬНОГО ОКРУГА</t>
        </is>
      </c>
      <c r="C4457" s="13" t="n">
        <v>6509022590</v>
      </c>
      <c r="D4457" s="13" t="inlineStr">
        <is>
          <t>6509022590</t>
        </is>
      </c>
      <c r="E4457" s="13" t="inlineStr">
        <is>
          <t>ЮЛ РФ</t>
        </is>
      </c>
      <c r="F4457" s="13" t="n"/>
      <c r="G4457" s="14" t="n"/>
      <c r="H4457" s="14" t="n"/>
      <c r="I4457" s="14" t="n"/>
      <c r="J4457" s="14" t="n"/>
      <c r="K4457" s="53" t="inlineStr"/>
      <c r="L4457" s="53" t="inlineStr">
        <is>
          <t>Не определено</t>
        </is>
      </c>
      <c r="M4457" s="53" t="inlineStr"/>
      <c r="N4457" s="54" t="inlineStr"/>
      <c r="O4457" s="55" t="inlineStr"/>
      <c r="P4457" s="16" t="inlineStr">
        <is>
          <t>Требует обогащения</t>
        </is>
      </c>
      <c r="Q4457" s="16">
        <f>HYPERLINK("https://pb.nalog.ru/search.html?query=6509022590","ФНС: проверить")</f>
        <v/>
      </c>
      <c r="R4457" s="16">
        <f>HYPERLINK("https://checko.ru/search?query=3801001629","Чекко: проверить")</f>
        <v/>
      </c>
      <c r="S4457" t="n">
        <v>1</v>
      </c>
      <c r="T4457" s="35" t="inlineStr">
        <is>
          <t>4 — Не обогащён</t>
        </is>
      </c>
      <c r="U4457" s="35" t="inlineStr">
        <is>
          <t>Нет ОКВЭД/ССЧР</t>
        </is>
      </c>
      <c r="V4457" s="35" t="inlineStr">
        <is>
          <t>Не определено</t>
        </is>
      </c>
      <c r="W4457" s="35" t="inlineStr"/>
      <c r="X4457" s="35" t="inlineStr"/>
    </row>
    <row r="4458" ht="27.75" customHeight="1" s="24">
      <c r="A4458" s="13" t="n">
        <v>5000117585</v>
      </c>
      <c r="B4458" s="13" t="inlineStr">
        <is>
          <t>МКУ "ПТУ ОРГАНОВ МЕСТНОГО САМОУПРАВЛЕНИЯ ХОЛМСКОГО МО</t>
        </is>
      </c>
      <c r="C4458" s="13" t="n">
        <v>6509022914</v>
      </c>
      <c r="D4458" s="13" t="inlineStr">
        <is>
          <t>6509022914</t>
        </is>
      </c>
      <c r="E4458" s="13" t="inlineStr">
        <is>
          <t>ЮЛ РФ</t>
        </is>
      </c>
      <c r="F4458" s="13" t="n"/>
      <c r="G4458" s="14" t="n"/>
      <c r="H4458" s="14" t="n"/>
      <c r="I4458" s="14" t="n"/>
      <c r="J4458" s="14" t="n"/>
      <c r="K4458" s="53" t="inlineStr"/>
      <c r="L4458" s="53" t="inlineStr">
        <is>
          <t>Не определено</t>
        </is>
      </c>
      <c r="M4458" s="53" t="inlineStr"/>
      <c r="N4458" s="54" t="inlineStr"/>
      <c r="O4458" s="55" t="inlineStr"/>
      <c r="P4458" s="16" t="inlineStr">
        <is>
          <t>Требует обогащения</t>
        </is>
      </c>
      <c r="Q4458" s="16">
        <f>HYPERLINK("https://pb.nalog.ru/search.html?query=6509022914","ФНС: проверить")</f>
        <v/>
      </c>
      <c r="R4458" s="16">
        <f>HYPERLINK("https://checko.ru/search?query=3801001629","Чекко: проверить")</f>
        <v/>
      </c>
      <c r="S4458" t="n">
        <v>1</v>
      </c>
      <c r="T4458" s="35" t="inlineStr">
        <is>
          <t>4 — Не обогащён</t>
        </is>
      </c>
      <c r="U4458" s="35" t="inlineStr">
        <is>
          <t>Нет ОКВЭД/ССЧР</t>
        </is>
      </c>
      <c r="V4458" s="35" t="inlineStr">
        <is>
          <t>Не определено</t>
        </is>
      </c>
      <c r="W4458" s="35" t="inlineStr"/>
      <c r="X4458" s="35" t="inlineStr"/>
    </row>
    <row r="4459" ht="15" customHeight="1" s="24">
      <c r="A4459" s="13" t="n">
        <v>5000117586</v>
      </c>
      <c r="B4459" s="13" t="inlineStr">
        <is>
          <t>МКУ "СЛУЖБА ЕДИНОГО ЗАКАЗЧИКА"</t>
        </is>
      </c>
      <c r="C4459" s="13" t="n">
        <v>6509023851</v>
      </c>
      <c r="D4459" s="13" t="inlineStr">
        <is>
          <t>6509023851</t>
        </is>
      </c>
      <c r="E4459" s="13" t="inlineStr">
        <is>
          <t>ЮЛ РФ</t>
        </is>
      </c>
      <c r="F4459" s="13" t="n"/>
      <c r="G4459" s="14" t="n"/>
      <c r="H4459" s="14" t="n"/>
      <c r="I4459" s="14" t="n"/>
      <c r="J4459" s="14" t="n"/>
      <c r="K4459" s="53" t="inlineStr"/>
      <c r="L4459" s="53" t="inlineStr">
        <is>
          <t>Не определено</t>
        </is>
      </c>
      <c r="M4459" s="53" t="inlineStr"/>
      <c r="N4459" s="54" t="inlineStr"/>
      <c r="O4459" s="55" t="inlineStr"/>
      <c r="P4459" s="16" t="inlineStr">
        <is>
          <t>Требует обогащения</t>
        </is>
      </c>
      <c r="Q4459" s="16">
        <f>HYPERLINK("https://pb.nalog.ru/search.html?query=6509023851","ФНС: проверить")</f>
        <v/>
      </c>
      <c r="R4459" s="16">
        <f>HYPERLINK("https://checko.ru/search?query=3801001629","Чекко: проверить")</f>
        <v/>
      </c>
      <c r="S4459" t="n">
        <v>1</v>
      </c>
      <c r="T4459" s="35" t="inlineStr">
        <is>
          <t>4 — Не обогащён</t>
        </is>
      </c>
      <c r="U4459" s="35" t="inlineStr">
        <is>
          <t>Нет ОКВЭД/ССЧР</t>
        </is>
      </c>
      <c r="V4459" s="35" t="inlineStr">
        <is>
          <t>Не определено</t>
        </is>
      </c>
      <c r="W4459" s="35" t="inlineStr"/>
      <c r="X4459" s="35" t="inlineStr"/>
    </row>
    <row r="4460" ht="27.75" customHeight="1" s="24">
      <c r="A4460" s="13" t="n">
        <v>5000117587</v>
      </c>
      <c r="B4460" s="13" t="inlineStr">
        <is>
          <t>МКУ "УПРАВЛЕНИЕ ПО ДЕЛАМ ГО И ЧС ХОЛМСКОГО МО"</t>
        </is>
      </c>
      <c r="C4460" s="13" t="n">
        <v>6509023731</v>
      </c>
      <c r="D4460" s="13" t="inlineStr">
        <is>
          <t>6509023731</t>
        </is>
      </c>
      <c r="E4460" s="13" t="inlineStr">
        <is>
          <t>ЮЛ РФ</t>
        </is>
      </c>
      <c r="F4460" s="13" t="n"/>
      <c r="G4460" s="14" t="n"/>
      <c r="H4460" s="14" t="n"/>
      <c r="I4460" s="14" t="n"/>
      <c r="J4460" s="14" t="n"/>
      <c r="K4460" s="53" t="inlineStr"/>
      <c r="L4460" s="53" t="inlineStr">
        <is>
          <t>Не определено</t>
        </is>
      </c>
      <c r="M4460" s="53" t="inlineStr"/>
      <c r="N4460" s="54" t="inlineStr"/>
      <c r="O4460" s="55" t="inlineStr"/>
      <c r="P4460" s="16" t="inlineStr">
        <is>
          <t>Требует обогащения</t>
        </is>
      </c>
      <c r="Q4460" s="16">
        <f>HYPERLINK("https://pb.nalog.ru/search.html?query=6509023731","ФНС: проверить")</f>
        <v/>
      </c>
      <c r="R4460" s="16">
        <f>HYPERLINK("https://checko.ru/search?query=3801001629","Чекко: проверить")</f>
        <v/>
      </c>
      <c r="S4460" t="n">
        <v>1</v>
      </c>
      <c r="T4460" s="35" t="inlineStr">
        <is>
          <t>4 — Не обогащён</t>
        </is>
      </c>
      <c r="U4460" s="35" t="inlineStr">
        <is>
          <t>Нет ОКВЭД/ССЧР</t>
        </is>
      </c>
      <c r="V4460" s="35" t="inlineStr">
        <is>
          <t>Не определено</t>
        </is>
      </c>
      <c r="W4460" s="35" t="inlineStr"/>
      <c r="X4460" s="35" t="inlineStr"/>
    </row>
    <row r="4461" ht="27.75" customHeight="1" s="24">
      <c r="A4461" s="13" t="n">
        <v>5000117589</v>
      </c>
      <c r="B4461" s="13" t="inlineStr">
        <is>
          <t>МКУ "ФХУ УЧРЕЖДЕНИЙ КУЛЬТУРЫ И СПОРТА" ХОЛМСКОГО МО</t>
        </is>
      </c>
      <c r="C4461" s="13" t="n">
        <v>6509022449</v>
      </c>
      <c r="D4461" s="13" t="inlineStr">
        <is>
          <t>6509022449</t>
        </is>
      </c>
      <c r="E4461" s="13" t="inlineStr">
        <is>
          <t>ЮЛ РФ</t>
        </is>
      </c>
      <c r="F4461" s="13" t="n"/>
      <c r="G4461" s="14" t="n"/>
      <c r="H4461" s="14" t="n"/>
      <c r="I4461" s="14" t="n"/>
      <c r="J4461" s="14" t="n"/>
      <c r="K4461" s="53" t="inlineStr"/>
      <c r="L4461" s="53" t="inlineStr">
        <is>
          <t>Не определено</t>
        </is>
      </c>
      <c r="M4461" s="53" t="inlineStr"/>
      <c r="N4461" s="54" t="inlineStr"/>
      <c r="O4461" s="55" t="inlineStr"/>
      <c r="P4461" s="16" t="inlineStr">
        <is>
          <t>Требует обогащения</t>
        </is>
      </c>
      <c r="Q4461" s="16">
        <f>HYPERLINK("https://pb.nalog.ru/search.html?query=6509022449","ФНС: проверить")</f>
        <v/>
      </c>
      <c r="R4461" s="16">
        <f>HYPERLINK("https://checko.ru/search?query=3801001629","Чекко: проверить")</f>
        <v/>
      </c>
      <c r="S4461" t="n">
        <v>1</v>
      </c>
      <c r="T4461" s="35" t="inlineStr">
        <is>
          <t>4 — Не обогащён</t>
        </is>
      </c>
      <c r="U4461" s="35" t="inlineStr">
        <is>
          <t>Нет ОКВЭД/ССЧР</t>
        </is>
      </c>
      <c r="V4461" s="35" t="inlineStr">
        <is>
          <t>Не определено</t>
        </is>
      </c>
      <c r="W4461" s="35" t="inlineStr"/>
      <c r="X4461" s="35" t="inlineStr"/>
    </row>
    <row r="4462" ht="27.75" customHeight="1" s="24">
      <c r="A4462" s="13" t="n">
        <v>5000117590</v>
      </c>
      <c r="B4462" s="13" t="inlineStr">
        <is>
          <t>МБУК "ЦКС" ХОЛМСКОГО МУНИЦИПАЛЬНОГО ОКРУГА</t>
        </is>
      </c>
      <c r="C4462" s="13" t="n">
        <v>6509006535</v>
      </c>
      <c r="D4462" s="13" t="inlineStr">
        <is>
          <t>6509006535</t>
        </is>
      </c>
      <c r="E4462" s="13" t="inlineStr">
        <is>
          <t>ЮЛ РФ</t>
        </is>
      </c>
      <c r="F4462" s="13" t="n"/>
      <c r="G4462" s="14" t="n"/>
      <c r="H4462" s="14" t="n"/>
      <c r="I4462" s="14" t="n"/>
      <c r="J4462" s="14" t="n"/>
      <c r="K4462" s="53" t="inlineStr"/>
      <c r="L4462" s="53" t="inlineStr">
        <is>
          <t>Не определено</t>
        </is>
      </c>
      <c r="M4462" s="53" t="inlineStr"/>
      <c r="N4462" s="54" t="inlineStr"/>
      <c r="O4462" s="55" t="inlineStr"/>
      <c r="P4462" s="16" t="inlineStr">
        <is>
          <t>Требует обогащения</t>
        </is>
      </c>
      <c r="Q4462" s="16">
        <f>HYPERLINK("https://pb.nalog.ru/search.html?query=6509006535","ФНС: проверить")</f>
        <v/>
      </c>
      <c r="R4462" s="16">
        <f>HYPERLINK("https://checko.ru/search?query=3801001629","Чекко: проверить")</f>
        <v/>
      </c>
      <c r="S4462" t="n">
        <v>1</v>
      </c>
      <c r="T4462" s="35" t="inlineStr">
        <is>
          <t>4 — Не обогащён</t>
        </is>
      </c>
      <c r="U4462" s="35" t="inlineStr">
        <is>
          <t>Нет ОКВЭД/ССЧР</t>
        </is>
      </c>
      <c r="V4462" s="35" t="inlineStr">
        <is>
          <t>Не определено</t>
        </is>
      </c>
      <c r="W4462" s="35" t="inlineStr"/>
      <c r="X4462" s="35" t="inlineStr"/>
    </row>
    <row r="4463" ht="15" customHeight="1" s="24">
      <c r="A4463" s="13" t="n">
        <v>5000117591</v>
      </c>
      <c r="B4463" s="13" t="inlineStr">
        <is>
          <t>МБУК "ХОЛМСКАЯ ЦБС"</t>
        </is>
      </c>
      <c r="C4463" s="13" t="n">
        <v>6509008170</v>
      </c>
      <c r="D4463" s="13" t="inlineStr">
        <is>
          <t>6509008170</t>
        </is>
      </c>
      <c r="E4463" s="13" t="inlineStr">
        <is>
          <t>ЮЛ РФ</t>
        </is>
      </c>
      <c r="F4463" s="13" t="n"/>
      <c r="G4463" s="14" t="n"/>
      <c r="H4463" s="14" t="n"/>
      <c r="I4463" s="14" t="n"/>
      <c r="J4463" s="14" t="n"/>
      <c r="K4463" s="53" t="inlineStr"/>
      <c r="L4463" s="53" t="inlineStr">
        <is>
          <t>Не определено</t>
        </is>
      </c>
      <c r="M4463" s="53" t="inlineStr"/>
      <c r="N4463" s="54" t="inlineStr"/>
      <c r="O4463" s="55" t="inlineStr"/>
      <c r="P4463" s="16" t="inlineStr">
        <is>
          <t>Требует обогащения</t>
        </is>
      </c>
      <c r="Q4463" s="16">
        <f>HYPERLINK("https://pb.nalog.ru/search.html?query=6509008170","ФНС: проверить")</f>
        <v/>
      </c>
      <c r="R4463" s="16">
        <f>HYPERLINK("https://checko.ru/search?query=3801001629","Чекко: проверить")</f>
        <v/>
      </c>
      <c r="S4463" t="n">
        <v>1</v>
      </c>
      <c r="T4463" s="35" t="inlineStr">
        <is>
          <t>4 — Не обогащён</t>
        </is>
      </c>
      <c r="U4463" s="35" t="inlineStr">
        <is>
          <t>Нет ОКВЭД/ССЧР</t>
        </is>
      </c>
      <c r="V4463" s="35" t="inlineStr">
        <is>
          <t>Не определено</t>
        </is>
      </c>
      <c r="W4463" s="35" t="inlineStr"/>
      <c r="X4463" s="35" t="inlineStr"/>
    </row>
    <row r="4464" ht="27.75" customHeight="1" s="24">
      <c r="A4464" s="13" t="n">
        <v>5000117592</v>
      </c>
      <c r="B4464" s="13" t="inlineStr">
        <is>
          <t>МБУК "ПКИО" ХОЛМСКОГО МУНИЦИПАЛЬНОГО ОКРУГА</t>
        </is>
      </c>
      <c r="C4464" s="13" t="n">
        <v>6509021029</v>
      </c>
      <c r="D4464" s="13" t="inlineStr">
        <is>
          <t>6509021029</t>
        </is>
      </c>
      <c r="E4464" s="13" t="inlineStr">
        <is>
          <t>ЮЛ РФ</t>
        </is>
      </c>
      <c r="F4464" s="13" t="n"/>
      <c r="G4464" s="14" t="n"/>
      <c r="H4464" s="14" t="n"/>
      <c r="I4464" s="14" t="n"/>
      <c r="J4464" s="14" t="n"/>
      <c r="K4464" s="53" t="inlineStr"/>
      <c r="L4464" s="53" t="inlineStr">
        <is>
          <t>Не определено</t>
        </is>
      </c>
      <c r="M4464" s="53" t="inlineStr"/>
      <c r="N4464" s="54" t="inlineStr"/>
      <c r="O4464" s="55" t="inlineStr"/>
      <c r="P4464" s="16" t="inlineStr">
        <is>
          <t>Требует обогащения</t>
        </is>
      </c>
      <c r="Q4464" s="16">
        <f>HYPERLINK("https://pb.nalog.ru/search.html?query=6509021029","ФНС: проверить")</f>
        <v/>
      </c>
      <c r="R4464" s="16">
        <f>HYPERLINK("https://checko.ru/search?query=3801001629","Чекко: проверить")</f>
        <v/>
      </c>
      <c r="S4464" t="n">
        <v>1</v>
      </c>
      <c r="T4464" s="35" t="inlineStr">
        <is>
          <t>4 — Не обогащён</t>
        </is>
      </c>
      <c r="U4464" s="35" t="inlineStr">
        <is>
          <t>Нет ОКВЭД/ССЧР</t>
        </is>
      </c>
      <c r="V4464" s="35" t="inlineStr">
        <is>
          <t>Не определено</t>
        </is>
      </c>
      <c r="W4464" s="35" t="inlineStr"/>
      <c r="X4464" s="35" t="inlineStr"/>
    </row>
    <row r="4465" ht="27.75" customHeight="1" s="24">
      <c r="A4465" s="13" t="n">
        <v>5000117593</v>
      </c>
      <c r="B4465" s="13" t="inlineStr">
        <is>
          <t>МБУ ДО ДШИ ХОЛМСКОГО МУНИЦИПАЛЬНОГО ОКРУГА</t>
        </is>
      </c>
      <c r="C4465" s="13" t="n">
        <v>6509006366</v>
      </c>
      <c r="D4465" s="13" t="inlineStr">
        <is>
          <t>6509006366</t>
        </is>
      </c>
      <c r="E4465" s="13" t="inlineStr">
        <is>
          <t>ЮЛ РФ</t>
        </is>
      </c>
      <c r="F4465" s="13" t="n"/>
      <c r="G4465" s="14" t="n"/>
      <c r="H4465" s="14" t="n"/>
      <c r="I4465" s="14" t="n"/>
      <c r="J4465" s="14" t="n"/>
      <c r="K4465" s="53" t="inlineStr"/>
      <c r="L4465" s="53" t="inlineStr">
        <is>
          <t>Не определено</t>
        </is>
      </c>
      <c r="M4465" s="53" t="inlineStr"/>
      <c r="N4465" s="54" t="inlineStr"/>
      <c r="O4465" s="55" t="inlineStr"/>
      <c r="P4465" s="16" t="inlineStr">
        <is>
          <t>Требует обогащения</t>
        </is>
      </c>
      <c r="Q4465" s="16">
        <f>HYPERLINK("https://pb.nalog.ru/search.html?query=6509006366","ФНС: проверить")</f>
        <v/>
      </c>
      <c r="R4465" s="16">
        <f>HYPERLINK("https://checko.ru/search?query=3801001629","Чекко: проверить")</f>
        <v/>
      </c>
      <c r="S4465" t="n">
        <v>1</v>
      </c>
      <c r="T4465" s="35" t="inlineStr">
        <is>
          <t>4 — Не обогащён</t>
        </is>
      </c>
      <c r="U4465" s="35" t="inlineStr">
        <is>
          <t>Нет ОКВЭД/ССЧР</t>
        </is>
      </c>
      <c r="V4465" s="35" t="inlineStr">
        <is>
          <t>Не определено</t>
        </is>
      </c>
      <c r="W4465" s="35" t="inlineStr"/>
      <c r="X4465" s="35" t="inlineStr"/>
    </row>
    <row r="4466" ht="27.75" customHeight="1" s="24">
      <c r="A4466" s="13" t="n">
        <v>5000117594</v>
      </c>
      <c r="B4466" s="13" t="inlineStr">
        <is>
          <t>МБУК КДЦ "РОССИЯ" ХОЛМСКОГО МУНИЦИПАЛЬНОГО ОКРУГА</t>
        </is>
      </c>
      <c r="C4466" s="13" t="n">
        <v>6509004457</v>
      </c>
      <c r="D4466" s="13" t="inlineStr">
        <is>
          <t>6509004457</t>
        </is>
      </c>
      <c r="E4466" s="13" t="inlineStr">
        <is>
          <t>ЮЛ РФ</t>
        </is>
      </c>
      <c r="F4466" s="13" t="n"/>
      <c r="G4466" s="14" t="n"/>
      <c r="H4466" s="14" t="n"/>
      <c r="I4466" s="14" t="n"/>
      <c r="J4466" s="14" t="n"/>
      <c r="K4466" s="53" t="inlineStr"/>
      <c r="L4466" s="53" t="inlineStr">
        <is>
          <t>Не определено</t>
        </is>
      </c>
      <c r="M4466" s="53" t="inlineStr"/>
      <c r="N4466" s="54" t="inlineStr"/>
      <c r="O4466" s="55" t="inlineStr"/>
      <c r="P4466" s="16" t="inlineStr">
        <is>
          <t>Требует обогащения</t>
        </is>
      </c>
      <c r="Q4466" s="16">
        <f>HYPERLINK("https://pb.nalog.ru/search.html?query=6509004457","ФНС: проверить")</f>
        <v/>
      </c>
      <c r="R4466" s="16">
        <f>HYPERLINK("https://checko.ru/search?query=3801001629","Чекко: проверить")</f>
        <v/>
      </c>
      <c r="S4466" t="n">
        <v>1</v>
      </c>
      <c r="T4466" s="35" t="inlineStr">
        <is>
          <t>4 — Не обогащён</t>
        </is>
      </c>
      <c r="U4466" s="35" t="inlineStr">
        <is>
          <t>Нет ОКВЭД/ССЧР</t>
        </is>
      </c>
      <c r="V4466" s="35" t="inlineStr">
        <is>
          <t>Не определено</t>
        </is>
      </c>
      <c r="W4466" s="35" t="inlineStr"/>
      <c r="X4466" s="35" t="inlineStr"/>
    </row>
    <row r="4467" ht="27.75" customHeight="1" s="24">
      <c r="A4467" s="13" t="n">
        <v>5000117595</v>
      </c>
      <c r="B4467" s="13" t="inlineStr">
        <is>
          <t>МБУК "ИКЦ" ХОЛМСКОГО МУНИЦИПАЛЬНОГО ОКРУГА</t>
        </is>
      </c>
      <c r="C4467" s="13" t="n">
        <v>6509021036</v>
      </c>
      <c r="D4467" s="13" t="inlineStr">
        <is>
          <t>6509021036</t>
        </is>
      </c>
      <c r="E4467" s="13" t="inlineStr">
        <is>
          <t>ЮЛ РФ</t>
        </is>
      </c>
      <c r="F4467" s="13" t="n"/>
      <c r="G4467" s="14" t="n"/>
      <c r="H4467" s="14" t="n"/>
      <c r="I4467" s="14" t="n"/>
      <c r="J4467" s="14" t="n"/>
      <c r="K4467" s="53" t="inlineStr"/>
      <c r="L4467" s="53" t="inlineStr">
        <is>
          <t>Не определено</t>
        </is>
      </c>
      <c r="M4467" s="53" t="inlineStr"/>
      <c r="N4467" s="54" t="inlineStr"/>
      <c r="O4467" s="55" t="inlineStr"/>
      <c r="P4467" s="16" t="inlineStr">
        <is>
          <t>Требует обогащения</t>
        </is>
      </c>
      <c r="Q4467" s="16">
        <f>HYPERLINK("https://pb.nalog.ru/search.html?query=6509021036","ФНС: проверить")</f>
        <v/>
      </c>
      <c r="R4467" s="16">
        <f>HYPERLINK("https://checko.ru/search?query=3801001629","Чекко: проверить")</f>
        <v/>
      </c>
      <c r="S4467" t="n">
        <v>1</v>
      </c>
      <c r="T4467" s="35" t="inlineStr">
        <is>
          <t>4 — Не обогащён</t>
        </is>
      </c>
      <c r="U4467" s="35" t="inlineStr">
        <is>
          <t>Нет ОКВЭД/ССЧР</t>
        </is>
      </c>
      <c r="V4467" s="35" t="inlineStr">
        <is>
          <t>Не определено</t>
        </is>
      </c>
      <c r="W4467" s="35" t="inlineStr"/>
      <c r="X4467" s="35" t="inlineStr"/>
    </row>
    <row r="4468" ht="15" customHeight="1" s="24">
      <c r="A4468" s="13" t="n">
        <v>5000117596</v>
      </c>
      <c r="B4468" s="13" t="inlineStr">
        <is>
          <t>УПОЛНОМОЧЕННЫЙ ПО ПРАВАМ ЧЕЛОВЕКА В СО</t>
        </is>
      </c>
      <c r="C4468" s="13" t="n">
        <v>6501248532</v>
      </c>
      <c r="D4468" s="13" t="inlineStr">
        <is>
          <t>6501248532</t>
        </is>
      </c>
      <c r="E4468" s="13" t="inlineStr">
        <is>
          <t>ЮЛ РФ</t>
        </is>
      </c>
      <c r="F4468" s="13" t="n"/>
      <c r="G4468" s="14" t="n"/>
      <c r="H4468" s="14" t="n"/>
      <c r="I4468" s="14" t="n"/>
      <c r="J4468" s="14" t="n"/>
      <c r="K4468" s="53" t="inlineStr"/>
      <c r="L4468" s="53" t="inlineStr">
        <is>
          <t>Не определено</t>
        </is>
      </c>
      <c r="M4468" s="53" t="inlineStr"/>
      <c r="N4468" s="54" t="inlineStr"/>
      <c r="O4468" s="55" t="inlineStr"/>
      <c r="P4468" s="16" t="inlineStr">
        <is>
          <t>Требует обогащения</t>
        </is>
      </c>
      <c r="Q4468" s="16">
        <f>HYPERLINK("https://pb.nalog.ru/search.html?query=6501248532","ФНС: проверить")</f>
        <v/>
      </c>
      <c r="R4468" s="16">
        <f>HYPERLINK("https://checko.ru/search?query=3801001629","Чекко: проверить")</f>
        <v/>
      </c>
      <c r="S4468" t="n">
        <v>1</v>
      </c>
      <c r="T4468" s="35" t="inlineStr">
        <is>
          <t>4 — Не обогащён</t>
        </is>
      </c>
      <c r="U4468" s="35" t="inlineStr">
        <is>
          <t>Нет ОКВЭД/ССЧР</t>
        </is>
      </c>
      <c r="V4468" s="35" t="inlineStr">
        <is>
          <t>Не определено</t>
        </is>
      </c>
      <c r="W4468" s="35" t="inlineStr"/>
      <c r="X4468" s="35" t="inlineStr"/>
    </row>
    <row r="4469" ht="27.75" customHeight="1" s="24">
      <c r="A4469" s="13" t="n">
        <v>5000117117</v>
      </c>
      <c r="B4469" s="13" t="inlineStr">
        <is>
          <t>МКУ "УПРАВЛЕНИЕ ДЕЛАМИ УЧРЕЖДЕНИЙ ДОРОЖНОГО ХОЗЯЙСТВА И БЛАГОУСТРОЙСТВА"</t>
        </is>
      </c>
      <c r="C4469" s="13" t="n">
        <v>6500024804</v>
      </c>
      <c r="D4469" s="13" t="inlineStr">
        <is>
          <t>6500024804</t>
        </is>
      </c>
      <c r="E4469" s="13" t="inlineStr">
        <is>
          <t>ЮЛ РФ</t>
        </is>
      </c>
      <c r="F4469" s="13" t="n"/>
      <c r="G4469" s="14" t="n"/>
      <c r="H4469" s="14" t="n"/>
      <c r="I4469" s="14" t="n"/>
      <c r="J4469" s="14" t="n"/>
      <c r="K4469" s="53" t="inlineStr"/>
      <c r="L4469" s="53" t="inlineStr">
        <is>
          <t>Не определено</t>
        </is>
      </c>
      <c r="M4469" s="53" t="inlineStr"/>
      <c r="N4469" s="54" t="inlineStr"/>
      <c r="O4469" s="55" t="inlineStr"/>
      <c r="P4469" s="16" t="inlineStr">
        <is>
          <t>Требует обогащения</t>
        </is>
      </c>
      <c r="Q4469" s="16">
        <f>HYPERLINK("https://pb.nalog.ru/search.html?query=6500024804","ФНС: проверить")</f>
        <v/>
      </c>
      <c r="R4469" s="16">
        <f>HYPERLINK("https://checko.ru/search?query=3801001629","Чекко: проверить")</f>
        <v/>
      </c>
      <c r="S4469" t="n">
        <v>1</v>
      </c>
      <c r="T4469" s="35" t="inlineStr">
        <is>
          <t>4 — Не обогащён</t>
        </is>
      </c>
      <c r="U4469" s="35" t="inlineStr">
        <is>
          <t>Нет ОКВЭД/ССЧР</t>
        </is>
      </c>
      <c r="V4469" s="35" t="inlineStr">
        <is>
          <t>Не определено</t>
        </is>
      </c>
      <c r="W4469" s="35" t="inlineStr"/>
      <c r="X4469" s="35" t="inlineStr"/>
    </row>
    <row r="4470" ht="41.25" customHeight="1" s="24">
      <c r="A4470" s="13" t="n">
        <v>5000116864</v>
      </c>
      <c r="B4470" s="13" t="inlineStr">
        <is>
          <t>МКУ "УПРАВЛЕНИЕ СЕЛЬСКИМИ ТЕРРИТОРИЯМИ АЛЕКСАНДРОВСК-САХАЛИНСКОГО МУНИЦИПАЛЬНОГО ОКРУГА"</t>
        </is>
      </c>
      <c r="C4470" s="13" t="n">
        <v>6500022123</v>
      </c>
      <c r="D4470" s="13" t="inlineStr">
        <is>
          <t>6500022123</t>
        </is>
      </c>
      <c r="E4470" s="13" t="inlineStr">
        <is>
          <t>ЮЛ РФ</t>
        </is>
      </c>
      <c r="F4470" s="13" t="n"/>
      <c r="G4470" s="14" t="n"/>
      <c r="H4470" s="14" t="n"/>
      <c r="I4470" s="14" t="n"/>
      <c r="J4470" s="14" t="n"/>
      <c r="K4470" s="53" t="inlineStr"/>
      <c r="L4470" s="53" t="inlineStr">
        <is>
          <t>Не определено</t>
        </is>
      </c>
      <c r="M4470" s="53" t="inlineStr"/>
      <c r="N4470" s="54" t="inlineStr"/>
      <c r="O4470" s="55" t="inlineStr"/>
      <c r="P4470" s="16" t="inlineStr">
        <is>
          <t>Требует обогащения</t>
        </is>
      </c>
      <c r="Q4470" s="16">
        <f>HYPERLINK("https://pb.nalog.ru/search.html?query=6500022123","ФНС: проверить")</f>
        <v/>
      </c>
      <c r="R4470" s="16">
        <f>HYPERLINK("https://checko.ru/search?query=3801001629","Чекко: проверить")</f>
        <v/>
      </c>
      <c r="S4470" t="n">
        <v>1</v>
      </c>
      <c r="T4470" s="35" t="inlineStr">
        <is>
          <t>4 — Не обогащён</t>
        </is>
      </c>
      <c r="U4470" s="35" t="inlineStr">
        <is>
          <t>Нет ОКВЭД/ССЧР</t>
        </is>
      </c>
      <c r="V4470" s="35" t="inlineStr">
        <is>
          <t>Не определено</t>
        </is>
      </c>
      <c r="W4470" s="35" t="inlineStr"/>
      <c r="X4470" s="35" t="inlineStr"/>
    </row>
    <row r="4471" ht="15" customHeight="1" s="24">
      <c r="A4471" s="13" t="n">
        <v>5000116863</v>
      </c>
      <c r="B4471" s="13" t="inlineStr">
        <is>
          <t>МАУ ДО СШ "АВАНГАРД"</t>
        </is>
      </c>
      <c r="C4471" s="13" t="n">
        <v>6500009612</v>
      </c>
      <c r="D4471" s="13" t="inlineStr">
        <is>
          <t>6500009612</t>
        </is>
      </c>
      <c r="E4471" s="13" t="inlineStr">
        <is>
          <t>ЮЛ РФ</t>
        </is>
      </c>
      <c r="F4471" s="13" t="n"/>
      <c r="G4471" s="14" t="n"/>
      <c r="H4471" s="14" t="n"/>
      <c r="I4471" s="14" t="n"/>
      <c r="J4471" s="14" t="n"/>
      <c r="K4471" s="53" t="inlineStr"/>
      <c r="L4471" s="53" t="inlineStr">
        <is>
          <t>Не определено</t>
        </is>
      </c>
      <c r="M4471" s="53" t="inlineStr"/>
      <c r="N4471" s="54" t="inlineStr"/>
      <c r="O4471" s="55" t="inlineStr"/>
      <c r="P4471" s="16" t="inlineStr">
        <is>
          <t>Требует обогащения</t>
        </is>
      </c>
      <c r="Q4471" s="16">
        <f>HYPERLINK("https://pb.nalog.ru/search.html?query=6500009612","ФНС: проверить")</f>
        <v/>
      </c>
      <c r="R4471" s="16">
        <f>HYPERLINK("https://checko.ru/search?query=3801001629","Чекко: проверить")</f>
        <v/>
      </c>
      <c r="S4471" t="n">
        <v>1</v>
      </c>
      <c r="T4471" s="35" t="inlineStr">
        <is>
          <t>4 — Не обогащён</t>
        </is>
      </c>
      <c r="U4471" s="35" t="inlineStr">
        <is>
          <t>Нет ОКВЭД/ССЧР</t>
        </is>
      </c>
      <c r="V4471" s="35" t="inlineStr">
        <is>
          <t>Не определено</t>
        </is>
      </c>
      <c r="W4471" s="35" t="inlineStr"/>
      <c r="X4471" s="35" t="inlineStr"/>
    </row>
    <row r="4472" ht="27.75" customHeight="1" s="24">
      <c r="A4472" s="13" t="n">
        <v>5000116860</v>
      </c>
      <c r="B4472" s="13" t="inlineStr">
        <is>
          <t>СОБРАНИЕ МО НОГЛИКСКИЙ МУНИЦИПАЛЬНЫЙ ОКРУГ САХАЛИНСКОЙ ОБЛАСТИ</t>
        </is>
      </c>
      <c r="C4472" s="13" t="n">
        <v>6513003311</v>
      </c>
      <c r="D4472" s="13" t="inlineStr">
        <is>
          <t>6513003311</t>
        </is>
      </c>
      <c r="E4472" s="13" t="inlineStr">
        <is>
          <t>ЮЛ РФ</t>
        </is>
      </c>
      <c r="F4472" s="13" t="n"/>
      <c r="G4472" s="14" t="n"/>
      <c r="H4472" s="14" t="n"/>
      <c r="I4472" s="14" t="n"/>
      <c r="J4472" s="14" t="n"/>
      <c r="K4472" s="53" t="inlineStr"/>
      <c r="L4472" s="53" t="inlineStr">
        <is>
          <t>Не определено</t>
        </is>
      </c>
      <c r="M4472" s="53" t="inlineStr"/>
      <c r="N4472" s="54" t="inlineStr"/>
      <c r="O4472" s="55" t="inlineStr"/>
      <c r="P4472" s="16" t="inlineStr">
        <is>
          <t>Требует обогащения</t>
        </is>
      </c>
      <c r="Q4472" s="16">
        <f>HYPERLINK("https://pb.nalog.ru/search.html?query=6513003311","ФНС: проверить")</f>
        <v/>
      </c>
      <c r="R4472" s="16">
        <f>HYPERLINK("https://checko.ru/search?query=3801001629","Чекко: проверить")</f>
        <v/>
      </c>
      <c r="S4472" t="n">
        <v>1</v>
      </c>
      <c r="T4472" s="35" t="inlineStr">
        <is>
          <t>4 — Не обогащён</t>
        </is>
      </c>
      <c r="U4472" s="35" t="inlineStr">
        <is>
          <t>Нет ОКВЭД/ССЧР</t>
        </is>
      </c>
      <c r="V4472" s="35" t="inlineStr">
        <is>
          <t>Не определено</t>
        </is>
      </c>
      <c r="W4472" s="35" t="inlineStr"/>
      <c r="X4472" s="35" t="inlineStr"/>
    </row>
    <row r="4473" ht="15" customHeight="1" s="24">
      <c r="A4473" s="13" t="n">
        <v>5000116861</v>
      </c>
      <c r="B4473" s="13" t="inlineStr">
        <is>
          <t>МАУ "Редакция газеты "Знамя труда"</t>
        </is>
      </c>
      <c r="C4473" s="13" t="n">
        <v>6513001280</v>
      </c>
      <c r="D4473" s="13" t="inlineStr">
        <is>
          <t>6513001280</t>
        </is>
      </c>
      <c r="E4473" s="13" t="inlineStr">
        <is>
          <t>ЮЛ РФ</t>
        </is>
      </c>
      <c r="F4473" s="13" t="n"/>
      <c r="G4473" s="14" t="n"/>
      <c r="H4473" s="14" t="n"/>
      <c r="I4473" s="14" t="n"/>
      <c r="J4473" s="14" t="n"/>
      <c r="K4473" s="53" t="inlineStr"/>
      <c r="L4473" s="53" t="inlineStr">
        <is>
          <t>Не определено</t>
        </is>
      </c>
      <c r="M4473" s="53" t="inlineStr"/>
      <c r="N4473" s="54" t="inlineStr"/>
      <c r="O4473" s="55" t="inlineStr"/>
      <c r="P4473" s="16" t="inlineStr">
        <is>
          <t>Требует обогащения</t>
        </is>
      </c>
      <c r="Q4473" s="16">
        <f>HYPERLINK("https://pb.nalog.ru/search.html?query=6513001280","ФНС: проверить")</f>
        <v/>
      </c>
      <c r="R4473" s="16">
        <f>HYPERLINK("https://checko.ru/search?query=3801001629","Чекко: проверить")</f>
        <v/>
      </c>
      <c r="S4473" t="n">
        <v>1</v>
      </c>
      <c r="T4473" s="35" t="inlineStr">
        <is>
          <t>4 — Не обогащён</t>
        </is>
      </c>
      <c r="U4473" s="35" t="inlineStr">
        <is>
          <t>Нет ОКВЭД/ССЧР</t>
        </is>
      </c>
      <c r="V4473" s="35" t="inlineStr">
        <is>
          <t>Не определено</t>
        </is>
      </c>
      <c r="W4473" s="35" t="inlineStr"/>
      <c r="X4473" s="35" t="inlineStr"/>
    </row>
    <row r="4474" ht="27.75" customHeight="1" s="24">
      <c r="A4474" s="13" t="n">
        <v>5000116862</v>
      </c>
      <c r="B4474" s="13" t="inlineStr">
        <is>
          <t>МАУ "РЕДАКЦИЯ ГАЗЕТЫ "САХАЛИНСКИЙ НЕФТЯНИК"</t>
        </is>
      </c>
      <c r="C4474" s="13" t="n">
        <v>6506012178</v>
      </c>
      <c r="D4474" s="13" t="inlineStr">
        <is>
          <t>6506012178</t>
        </is>
      </c>
      <c r="E4474" s="13" t="inlineStr">
        <is>
          <t>ЮЛ РФ</t>
        </is>
      </c>
      <c r="F4474" s="13" t="n"/>
      <c r="G4474" s="14" t="n"/>
      <c r="H4474" s="14" t="n"/>
      <c r="I4474" s="14" t="n"/>
      <c r="J4474" s="14" t="n"/>
      <c r="K4474" s="53" t="inlineStr"/>
      <c r="L4474" s="53" t="inlineStr">
        <is>
          <t>Не определено</t>
        </is>
      </c>
      <c r="M4474" s="53" t="inlineStr"/>
      <c r="N4474" s="54" t="inlineStr"/>
      <c r="O4474" s="55" t="inlineStr"/>
      <c r="P4474" s="16" t="inlineStr">
        <is>
          <t>Требует обогащения</t>
        </is>
      </c>
      <c r="Q4474" s="16">
        <f>HYPERLINK("https://pb.nalog.ru/search.html?query=6506012178","ФНС: проверить")</f>
        <v/>
      </c>
      <c r="R4474" s="16">
        <f>HYPERLINK("https://checko.ru/search?query=3801001629","Чекко: проверить")</f>
        <v/>
      </c>
      <c r="S4474" t="n">
        <v>1</v>
      </c>
      <c r="T4474" s="35" t="inlineStr">
        <is>
          <t>4 — Не обогащён</t>
        </is>
      </c>
      <c r="U4474" s="35" t="inlineStr">
        <is>
          <t>Нет ОКВЭД/ССЧР</t>
        </is>
      </c>
      <c r="V4474" s="35" t="inlineStr">
        <is>
          <t>Не определено</t>
        </is>
      </c>
      <c r="W4474" s="35" t="inlineStr"/>
      <c r="X4474" s="35" t="inlineStr"/>
    </row>
    <row r="4475" ht="15" customHeight="1" s="24">
      <c r="A4475" s="13" t="n">
        <v>5000117216</v>
      </c>
      <c r="B4475" s="13" t="inlineStr">
        <is>
          <t>МКУ "Служба обеспечения"</t>
        </is>
      </c>
      <c r="C4475" s="13" t="n">
        <v>6504010055</v>
      </c>
      <c r="D4475" s="13" t="inlineStr">
        <is>
          <t>6504010055</t>
        </is>
      </c>
      <c r="E4475" s="13" t="inlineStr">
        <is>
          <t>ЮЛ РФ</t>
        </is>
      </c>
      <c r="F4475" s="13" t="n"/>
      <c r="G4475" s="14" t="n"/>
      <c r="H4475" s="14" t="n"/>
      <c r="I4475" s="14" t="n"/>
      <c r="J4475" s="14" t="n"/>
      <c r="K4475" s="53" t="inlineStr"/>
      <c r="L4475" s="53" t="inlineStr">
        <is>
          <t>Не определено</t>
        </is>
      </c>
      <c r="M4475" s="53" t="inlineStr"/>
      <c r="N4475" s="54" t="inlineStr"/>
      <c r="O4475" s="55" t="inlineStr"/>
      <c r="P4475" s="16" t="inlineStr">
        <is>
          <t>Требует обогащения</t>
        </is>
      </c>
      <c r="Q4475" s="16">
        <f>HYPERLINK("https://pb.nalog.ru/search.html?query=6504010055","ФНС: проверить")</f>
        <v/>
      </c>
      <c r="R4475" s="16">
        <f>HYPERLINK("https://checko.ru/search?query=3801001629","Чекко: проверить")</f>
        <v/>
      </c>
      <c r="S4475" t="n">
        <v>1</v>
      </c>
      <c r="T4475" s="35" t="inlineStr">
        <is>
          <t>4 — Не обогащён</t>
        </is>
      </c>
      <c r="U4475" s="35" t="inlineStr">
        <is>
          <t>Нет ОКВЭД/ССЧР</t>
        </is>
      </c>
      <c r="V4475" s="35" t="inlineStr">
        <is>
          <t>Не определено</t>
        </is>
      </c>
      <c r="W4475" s="35" t="inlineStr"/>
      <c r="X4475" s="35" t="inlineStr"/>
    </row>
    <row r="4476" ht="27.75" customHeight="1" s="24">
      <c r="A4476" s="13" t="n">
        <v>5000117217</v>
      </c>
      <c r="B4476" s="13" t="inlineStr">
        <is>
          <t>ДЕПАРТАМЕНТ ДОРОЖНОГО ХОЗЯЙСТВА И БЛАГОУСТРОЙСТВА АКМО</t>
        </is>
      </c>
      <c r="C4476" s="13" t="n">
        <v>6504017082</v>
      </c>
      <c r="D4476" s="13" t="inlineStr">
        <is>
          <t>6504017082</t>
        </is>
      </c>
      <c r="E4476" s="13" t="inlineStr">
        <is>
          <t>ЮЛ РФ</t>
        </is>
      </c>
      <c r="F4476" s="13" t="n"/>
      <c r="G4476" s="14" t="n"/>
      <c r="H4476" s="14" t="n"/>
      <c r="I4476" s="14" t="n"/>
      <c r="J4476" s="14" t="n"/>
      <c r="K4476" s="53" t="inlineStr"/>
      <c r="L4476" s="53" t="inlineStr">
        <is>
          <t>Не определено</t>
        </is>
      </c>
      <c r="M4476" s="53" t="inlineStr"/>
      <c r="N4476" s="54" t="inlineStr"/>
      <c r="O4476" s="55" t="inlineStr"/>
      <c r="P4476" s="16" t="inlineStr">
        <is>
          <t>Требует обогащения</t>
        </is>
      </c>
      <c r="Q4476" s="16">
        <f>HYPERLINK("https://pb.nalog.ru/search.html?query=6504017082","ФНС: проверить")</f>
        <v/>
      </c>
      <c r="R4476" s="16">
        <f>HYPERLINK("https://checko.ru/search?query=3801001629","Чекко: проверить")</f>
        <v/>
      </c>
      <c r="S4476" t="n">
        <v>1</v>
      </c>
      <c r="T4476" s="35" t="inlineStr">
        <is>
          <t>4 — Не обогащён</t>
        </is>
      </c>
      <c r="U4476" s="35" t="inlineStr">
        <is>
          <t>Нет ОКВЭД/ССЧР</t>
        </is>
      </c>
      <c r="V4476" s="35" t="inlineStr">
        <is>
          <t>Не определено</t>
        </is>
      </c>
      <c r="W4476" s="35" t="inlineStr"/>
      <c r="X4476" s="35" t="inlineStr"/>
    </row>
    <row r="4477" ht="41.25" customHeight="1" s="24">
      <c r="A4477" s="13" t="n">
        <v>5000117219</v>
      </c>
      <c r="B4477" s="13" t="inlineStr">
        <is>
          <t>Департамент Городского Хозяйства Администрации Корсаковского Муниципального Округа</t>
        </is>
      </c>
      <c r="C4477" s="13" t="n">
        <v>6504000145</v>
      </c>
      <c r="D4477" s="13" t="inlineStr">
        <is>
          <t>6504000145</t>
        </is>
      </c>
      <c r="E4477" s="13" t="inlineStr">
        <is>
          <t>ЮЛ РФ</t>
        </is>
      </c>
      <c r="F4477" s="13" t="n"/>
      <c r="G4477" s="14" t="n"/>
      <c r="H4477" s="14" t="n"/>
      <c r="I4477" s="14" t="n"/>
      <c r="J4477" s="14" t="n"/>
      <c r="K4477" s="53" t="inlineStr"/>
      <c r="L4477" s="53" t="inlineStr">
        <is>
          <t>Не определено</t>
        </is>
      </c>
      <c r="M4477" s="53" t="inlineStr"/>
      <c r="N4477" s="54" t="inlineStr"/>
      <c r="O4477" s="55" t="inlineStr"/>
      <c r="P4477" s="16" t="inlineStr">
        <is>
          <t>Требует обогащения</t>
        </is>
      </c>
      <c r="Q4477" s="16">
        <f>HYPERLINK("https://pb.nalog.ru/search.html?query=6504000145","ФНС: проверить")</f>
        <v/>
      </c>
      <c r="R4477" s="16">
        <f>HYPERLINK("https://checko.ru/search?query=3801001629","Чекко: проверить")</f>
        <v/>
      </c>
      <c r="S4477" t="n">
        <v>1</v>
      </c>
      <c r="T4477" s="35" t="inlineStr">
        <is>
          <t>4 — Не обогащён</t>
        </is>
      </c>
      <c r="U4477" s="35" t="inlineStr">
        <is>
          <t>Нет ОКВЭД/ССЧР</t>
        </is>
      </c>
      <c r="V4477" s="35" t="inlineStr">
        <is>
          <t>Не определено</t>
        </is>
      </c>
      <c r="W4477" s="35" t="inlineStr"/>
      <c r="X4477" s="35" t="inlineStr"/>
    </row>
    <row r="4478" ht="27.75" customHeight="1" s="24">
      <c r="A4478" s="13" t="n">
        <v>5000117220</v>
      </c>
      <c r="B4478" s="13" t="inlineStr">
        <is>
          <t>Администрация Корсаковского Муниципального Округа</t>
        </is>
      </c>
      <c r="C4478" s="13" t="n">
        <v>6504016473</v>
      </c>
      <c r="D4478" s="13" t="inlineStr">
        <is>
          <t>6504016473</t>
        </is>
      </c>
      <c r="E4478" s="13" t="inlineStr">
        <is>
          <t>ЮЛ РФ</t>
        </is>
      </c>
      <c r="F4478" s="13" t="n"/>
      <c r="G4478" s="14" t="n"/>
      <c r="H4478" s="14" t="n"/>
      <c r="I4478" s="14" t="n"/>
      <c r="J4478" s="14" t="n"/>
      <c r="K4478" s="53" t="inlineStr"/>
      <c r="L4478" s="53" t="inlineStr">
        <is>
          <t>Не определено</t>
        </is>
      </c>
      <c r="M4478" s="53" t="inlineStr"/>
      <c r="N4478" s="54" t="inlineStr"/>
      <c r="O4478" s="55" t="inlineStr"/>
      <c r="P4478" s="16" t="inlineStr">
        <is>
          <t>Требует обогащения</t>
        </is>
      </c>
      <c r="Q4478" s="16">
        <f>HYPERLINK("https://pb.nalog.ru/search.html?query=6504016473","ФНС: проверить")</f>
        <v/>
      </c>
      <c r="R4478" s="16">
        <f>HYPERLINK("https://checko.ru/search?query=3801001629","Чекко: проверить")</f>
        <v/>
      </c>
      <c r="S4478" t="n">
        <v>1</v>
      </c>
      <c r="T4478" s="35" t="inlineStr">
        <is>
          <t>4 — Не обогащён</t>
        </is>
      </c>
      <c r="U4478" s="35" t="inlineStr">
        <is>
          <t>Нет ОКВЭД/ССЧР</t>
        </is>
      </c>
      <c r="V4478" s="35" t="inlineStr">
        <is>
          <t>Не определено</t>
        </is>
      </c>
      <c r="W4478" s="35" t="inlineStr"/>
      <c r="X4478" s="35" t="inlineStr"/>
    </row>
    <row r="4479" ht="27.75" customHeight="1" s="24">
      <c r="A4479" s="13" t="n">
        <v>5000117220</v>
      </c>
      <c r="B4479" s="13" t="inlineStr">
        <is>
          <t>Администрация Корсаковского Муниципального Округа</t>
        </is>
      </c>
      <c r="C4479" s="13" t="n">
        <v>6504016473</v>
      </c>
      <c r="D4479" s="13" t="inlineStr">
        <is>
          <t>6504016473</t>
        </is>
      </c>
      <c r="E4479" s="13" t="inlineStr">
        <is>
          <t>ЮЛ РФ</t>
        </is>
      </c>
      <c r="F4479" s="13" t="n"/>
      <c r="G4479" s="14" t="n"/>
      <c r="H4479" s="14" t="n"/>
      <c r="I4479" s="14" t="n"/>
      <c r="J4479" s="14" t="n"/>
      <c r="K4479" s="53" t="inlineStr"/>
      <c r="L4479" s="53" t="inlineStr">
        <is>
          <t>Не определено</t>
        </is>
      </c>
      <c r="M4479" s="53" t="inlineStr"/>
      <c r="N4479" s="54" t="inlineStr"/>
      <c r="O4479" s="55" t="inlineStr"/>
      <c r="P4479" s="16" t="inlineStr">
        <is>
          <t>Требует обогащения</t>
        </is>
      </c>
      <c r="Q4479" s="16">
        <f>HYPERLINK("https://pb.nalog.ru/search.html?query=6504016473","ФНС: проверить")</f>
        <v/>
      </c>
      <c r="R4479" s="16">
        <f>HYPERLINK("https://checko.ru/search?query=3801001629","Чекко: проверить")</f>
        <v/>
      </c>
      <c r="S4479" t="n">
        <v>0</v>
      </c>
      <c r="T4479" s="35" t="inlineStr">
        <is>
          <t>4 — Не обогащён</t>
        </is>
      </c>
      <c r="U4479" s="35" t="inlineStr">
        <is>
          <t>Нет ОКВЭД/ССЧР</t>
        </is>
      </c>
      <c r="V4479" s="35" t="inlineStr">
        <is>
          <t>Не определено</t>
        </is>
      </c>
      <c r="W4479" s="35" t="inlineStr"/>
      <c r="X4479" s="35" t="inlineStr"/>
    </row>
    <row r="4480" ht="15" customHeight="1" s="24">
      <c r="A4480" s="13" t="n">
        <v>5000117221</v>
      </c>
      <c r="B4480" s="13" t="inlineStr">
        <is>
          <t>МКУ "УПРАВЛЕНИЕ ТЕРРИТОРИЯМИ"</t>
        </is>
      </c>
      <c r="C4480" s="13" t="n">
        <v>6500014193</v>
      </c>
      <c r="D4480" s="13" t="inlineStr">
        <is>
          <t>6500014193</t>
        </is>
      </c>
      <c r="E4480" s="13" t="inlineStr">
        <is>
          <t>ЮЛ РФ</t>
        </is>
      </c>
      <c r="F4480" s="13" t="n"/>
      <c r="G4480" s="14" t="n"/>
      <c r="H4480" s="14" t="n"/>
      <c r="I4480" s="14" t="n"/>
      <c r="J4480" s="14" t="n"/>
      <c r="K4480" s="53" t="inlineStr"/>
      <c r="L4480" s="53" t="inlineStr">
        <is>
          <t>Не определено</t>
        </is>
      </c>
      <c r="M4480" s="53" t="inlineStr"/>
      <c r="N4480" s="54" t="inlineStr"/>
      <c r="O4480" s="55" t="inlineStr"/>
      <c r="P4480" s="16" t="inlineStr">
        <is>
          <t>Требует обогащения</t>
        </is>
      </c>
      <c r="Q4480" s="16">
        <f>HYPERLINK("https://pb.nalog.ru/search.html?query=6500014193","ФНС: проверить")</f>
        <v/>
      </c>
      <c r="R4480" s="16">
        <f>HYPERLINK("https://checko.ru/search?query=3801001629","Чекко: проверить")</f>
        <v/>
      </c>
      <c r="S4480" t="n">
        <v>1</v>
      </c>
      <c r="T4480" s="35" t="inlineStr">
        <is>
          <t>4 — Не обогащён</t>
        </is>
      </c>
      <c r="U4480" s="35" t="inlineStr">
        <is>
          <t>Нет ОКВЭД/ССЧР</t>
        </is>
      </c>
      <c r="V4480" s="35" t="inlineStr">
        <is>
          <t>Не определено</t>
        </is>
      </c>
      <c r="W4480" s="35" t="inlineStr"/>
      <c r="X4480" s="35" t="inlineStr"/>
    </row>
    <row r="4481" ht="27.75" customHeight="1" s="24">
      <c r="A4481" s="13" t="n">
        <v>5000116886</v>
      </c>
      <c r="B4481" s="13" t="inlineStr">
        <is>
          <t>КОНТРОЛЬНО-СЧЕТНЫЙ ОРГАН НЕВЕЛЬСКОГО МУНИЦИПАЛЬНОГО ОКРУГА</t>
        </is>
      </c>
      <c r="C4481" s="13" t="n">
        <v>6500007894</v>
      </c>
      <c r="D4481" s="13" t="inlineStr">
        <is>
          <t>6500007894</t>
        </is>
      </c>
      <c r="E4481" s="13" t="inlineStr">
        <is>
          <t>ЮЛ РФ</t>
        </is>
      </c>
      <c r="F4481" s="13" t="n"/>
      <c r="G4481" s="14" t="n"/>
      <c r="H4481" s="14" t="n"/>
      <c r="I4481" s="14" t="n"/>
      <c r="J4481" s="14" t="n"/>
      <c r="K4481" s="53" t="inlineStr"/>
      <c r="L4481" s="53" t="inlineStr">
        <is>
          <t>Не определено</t>
        </is>
      </c>
      <c r="M4481" s="53" t="inlineStr"/>
      <c r="N4481" s="54" t="inlineStr"/>
      <c r="O4481" s="55" t="inlineStr"/>
      <c r="P4481" s="16" t="inlineStr">
        <is>
          <t>Требует обогащения</t>
        </is>
      </c>
      <c r="Q4481" s="16">
        <f>HYPERLINK("https://pb.nalog.ru/search.html?query=6500007894","ФНС: проверить")</f>
        <v/>
      </c>
      <c r="R4481" s="16">
        <f>HYPERLINK("https://checko.ru/search?query=3801001629","Чекко: проверить")</f>
        <v/>
      </c>
      <c r="S4481" t="n">
        <v>1</v>
      </c>
      <c r="T4481" s="35" t="inlineStr">
        <is>
          <t>4 — Не обогащён</t>
        </is>
      </c>
      <c r="U4481" s="35" t="inlineStr">
        <is>
          <t>Нет ОКВЭД/ССЧР</t>
        </is>
      </c>
      <c r="V4481" s="35" t="inlineStr">
        <is>
          <t>Не определено</t>
        </is>
      </c>
      <c r="W4481" s="35" t="inlineStr"/>
      <c r="X4481" s="35" t="inlineStr"/>
    </row>
    <row r="4482" ht="27.75" customHeight="1" s="24">
      <c r="A4482" s="13" t="n">
        <v>5000116885</v>
      </c>
      <c r="B4482" s="13" t="inlineStr">
        <is>
          <t>МКУ "УПРАВЛЕНИЕ СЕЛЬСКИМИ ТЕРРИТОРИЯМИ НЕВЕЛЬСКОГО МУНИЦИПАЛЬНОГО ОКРУГА"</t>
        </is>
      </c>
      <c r="C4482" s="13" t="n">
        <v>6500020528</v>
      </c>
      <c r="D4482" s="13" t="inlineStr">
        <is>
          <t>6500020528</t>
        </is>
      </c>
      <c r="E4482" s="13" t="inlineStr">
        <is>
          <t>ЮЛ РФ</t>
        </is>
      </c>
      <c r="F4482" s="13" t="n"/>
      <c r="G4482" s="14" t="n"/>
      <c r="H4482" s="14" t="n"/>
      <c r="I4482" s="14" t="n"/>
      <c r="J4482" s="14" t="n"/>
      <c r="K4482" s="53" t="inlineStr"/>
      <c r="L4482" s="53" t="inlineStr">
        <is>
          <t>Не определено</t>
        </is>
      </c>
      <c r="M4482" s="53" t="inlineStr"/>
      <c r="N4482" s="54" t="inlineStr"/>
      <c r="O4482" s="55" t="inlineStr"/>
      <c r="P4482" s="16" t="inlineStr">
        <is>
          <t>Требует обогащения</t>
        </is>
      </c>
      <c r="Q4482" s="16">
        <f>HYPERLINK("https://pb.nalog.ru/search.html?query=6500020528","ФНС: проверить")</f>
        <v/>
      </c>
      <c r="R4482" s="16">
        <f>HYPERLINK("https://checko.ru/search?query=3801001629","Чекко: проверить")</f>
        <v/>
      </c>
      <c r="S4482" t="n">
        <v>1</v>
      </c>
      <c r="T4482" s="35" t="inlineStr">
        <is>
          <t>4 — Не обогащён</t>
        </is>
      </c>
      <c r="U4482" s="35" t="inlineStr">
        <is>
          <t>Нет ОКВЭД/ССЧР</t>
        </is>
      </c>
      <c r="V4482" s="35" t="inlineStr">
        <is>
          <t>Не определено</t>
        </is>
      </c>
      <c r="W4482" s="35" t="inlineStr"/>
      <c r="X4482" s="35" t="inlineStr"/>
    </row>
    <row r="4483" ht="15" customHeight="1" s="24">
      <c r="A4483" s="13" t="n">
        <v>5000116884</v>
      </c>
      <c r="B4483" s="13" t="inlineStr">
        <is>
          <t>МКУ "УПРАВЛЕНИЕ ПО ДЕЛАМ ГО И ЧС НМО"</t>
        </is>
      </c>
      <c r="C4483" s="13" t="n">
        <v>6509045855</v>
      </c>
      <c r="D4483" s="13" t="inlineStr">
        <is>
          <t>6509045855</t>
        </is>
      </c>
      <c r="E4483" s="13" t="inlineStr">
        <is>
          <t>ЮЛ РФ</t>
        </is>
      </c>
      <c r="F4483" s="13" t="n"/>
      <c r="G4483" s="14" t="n"/>
      <c r="H4483" s="14" t="n"/>
      <c r="I4483" s="14" t="n"/>
      <c r="J4483" s="14" t="n"/>
      <c r="K4483" s="53" t="inlineStr"/>
      <c r="L4483" s="53" t="inlineStr">
        <is>
          <t>Не определено</t>
        </is>
      </c>
      <c r="M4483" s="53" t="inlineStr"/>
      <c r="N4483" s="54" t="inlineStr"/>
      <c r="O4483" s="55" t="inlineStr"/>
      <c r="P4483" s="16" t="inlineStr">
        <is>
          <t>Требует обогащения</t>
        </is>
      </c>
      <c r="Q4483" s="16">
        <f>HYPERLINK("https://pb.nalog.ru/search.html?query=6509045855","ФНС: проверить")</f>
        <v/>
      </c>
      <c r="R4483" s="16">
        <f>HYPERLINK("https://checko.ru/search?query=3801001629","Чекко: проверить")</f>
        <v/>
      </c>
      <c r="S4483" t="n">
        <v>1</v>
      </c>
      <c r="T4483" s="35" t="inlineStr">
        <is>
          <t>4 — Не обогащён</t>
        </is>
      </c>
      <c r="U4483" s="35" t="inlineStr">
        <is>
          <t>Нет ОКВЭД/ССЧР</t>
        </is>
      </c>
      <c r="V4483" s="35" t="inlineStr">
        <is>
          <t>Не определено</t>
        </is>
      </c>
      <c r="W4483" s="35" t="inlineStr"/>
      <c r="X4483" s="35" t="inlineStr"/>
    </row>
    <row r="4484" ht="41.25" customHeight="1" s="24">
      <c r="A4484" s="13" t="n">
        <v>5000116883</v>
      </c>
      <c r="B4484" s="13" t="inlineStr">
        <is>
          <t>МКУ "УПРАВЛЕНИЕ КАПИТАЛЬНОГО СТРОИТЕЛЬСТВА КОРСАКОВСКОГО МУНИЦИПАЛЬНОГО ОКРУГА"</t>
        </is>
      </c>
      <c r="C4484" s="13" t="n">
        <v>6504033768</v>
      </c>
      <c r="D4484" s="13" t="inlineStr">
        <is>
          <t>6504033768</t>
        </is>
      </c>
      <c r="E4484" s="13" t="inlineStr">
        <is>
          <t>ЮЛ РФ</t>
        </is>
      </c>
      <c r="F4484" s="13" t="n"/>
      <c r="G4484" s="14" t="n"/>
      <c r="H4484" s="14" t="n"/>
      <c r="I4484" s="14" t="n"/>
      <c r="J4484" s="14" t="n"/>
      <c r="K4484" s="53" t="inlineStr"/>
      <c r="L4484" s="53" t="inlineStr">
        <is>
          <t>Не определено</t>
        </is>
      </c>
      <c r="M4484" s="53" t="inlineStr"/>
      <c r="N4484" s="54" t="inlineStr"/>
      <c r="O4484" s="55" t="inlineStr"/>
      <c r="P4484" s="16" t="inlineStr">
        <is>
          <t>Требует обогащения</t>
        </is>
      </c>
      <c r="Q4484" s="16">
        <f>HYPERLINK("https://pb.nalog.ru/search.html?query=6504033768","ФНС: проверить")</f>
        <v/>
      </c>
      <c r="R4484" s="16">
        <f>HYPERLINK("https://checko.ru/search?query=3801001629","Чекко: проверить")</f>
        <v/>
      </c>
      <c r="S4484" t="n">
        <v>1</v>
      </c>
      <c r="T4484" s="35" t="inlineStr">
        <is>
          <t>4 — Не обогащён</t>
        </is>
      </c>
      <c r="U4484" s="35" t="inlineStr">
        <is>
          <t>Нет ОКВЭД/ССЧР</t>
        </is>
      </c>
      <c r="V4484" s="35" t="inlineStr">
        <is>
          <t>Не определено</t>
        </is>
      </c>
      <c r="W4484" s="35" t="inlineStr"/>
      <c r="X4484" s="35" t="inlineStr"/>
    </row>
    <row r="4485" ht="15" customHeight="1" s="24">
      <c r="A4485" s="13" t="n">
        <v>5000117072</v>
      </c>
      <c r="B4485" s="13" t="inlineStr">
        <is>
          <t>МАУ "ЦМИ РОСТ"</t>
        </is>
      </c>
      <c r="C4485" s="13" t="n">
        <v>6500023462</v>
      </c>
      <c r="D4485" s="13" t="inlineStr">
        <is>
          <t>6500023462</t>
        </is>
      </c>
      <c r="E4485" s="13" t="inlineStr">
        <is>
          <t>ЮЛ РФ</t>
        </is>
      </c>
      <c r="F4485" s="13" t="n"/>
      <c r="G4485" s="14" t="n"/>
      <c r="H4485" s="14" t="n"/>
      <c r="I4485" s="14" t="n"/>
      <c r="J4485" s="14" t="n"/>
      <c r="K4485" s="53" t="inlineStr"/>
      <c r="L4485" s="53" t="inlineStr">
        <is>
          <t>Не определено</t>
        </is>
      </c>
      <c r="M4485" s="53" t="inlineStr"/>
      <c r="N4485" s="54" t="inlineStr"/>
      <c r="O4485" s="55" t="inlineStr"/>
      <c r="P4485" s="16" t="inlineStr">
        <is>
          <t>Требует обогащения</t>
        </is>
      </c>
      <c r="Q4485" s="16">
        <f>HYPERLINK("https://pb.nalog.ru/search.html?query=6500023462","ФНС: проверить")</f>
        <v/>
      </c>
      <c r="R4485" s="16">
        <f>HYPERLINK("https://checko.ru/search?query=3801001629","Чекко: проверить")</f>
        <v/>
      </c>
      <c r="S4485" t="n">
        <v>1</v>
      </c>
      <c r="T4485" s="35" t="inlineStr">
        <is>
          <t>4 — Не обогащён</t>
        </is>
      </c>
      <c r="U4485" s="35" t="inlineStr">
        <is>
          <t>Нет ОКВЭД/ССЧР</t>
        </is>
      </c>
      <c r="V4485" s="35" t="inlineStr">
        <is>
          <t>Не определено</t>
        </is>
      </c>
      <c r="W4485" s="35" t="inlineStr"/>
      <c r="X4485" s="35" t="inlineStr"/>
    </row>
    <row r="4486" ht="27.75" customHeight="1" s="24">
      <c r="A4486" s="13" t="n">
        <v>5000117073</v>
      </c>
      <c r="B4486" s="13" t="inlineStr">
        <is>
          <t>КОНТРОЛЬНО-СЧЕТНАЯ ПАЛАТА ОХИНСКОГО МУНИЦИПАЛЬНОГО ОКРУГА</t>
        </is>
      </c>
      <c r="C4486" s="13" t="n">
        <v>6500007622</v>
      </c>
      <c r="D4486" s="13" t="inlineStr">
        <is>
          <t>6500007622</t>
        </is>
      </c>
      <c r="E4486" s="13" t="inlineStr">
        <is>
          <t>ЮЛ РФ</t>
        </is>
      </c>
      <c r="F4486" s="13" t="n"/>
      <c r="G4486" s="14" t="n"/>
      <c r="H4486" s="14" t="n"/>
      <c r="I4486" s="14" t="n"/>
      <c r="J4486" s="14" t="n"/>
      <c r="K4486" s="53" t="inlineStr"/>
      <c r="L4486" s="53" t="inlineStr">
        <is>
          <t>Не определено</t>
        </is>
      </c>
      <c r="M4486" s="53" t="inlineStr"/>
      <c r="N4486" s="54" t="inlineStr"/>
      <c r="O4486" s="55" t="inlineStr"/>
      <c r="P4486" s="16" t="inlineStr">
        <is>
          <t>Требует обогащения</t>
        </is>
      </c>
      <c r="Q4486" s="16">
        <f>HYPERLINK("https://pb.nalog.ru/search.html?query=6500007622","ФНС: проверить")</f>
        <v/>
      </c>
      <c r="R4486" s="16">
        <f>HYPERLINK("https://checko.ru/search?query=3801001629","Чекко: проверить")</f>
        <v/>
      </c>
      <c r="S4486" t="n">
        <v>1</v>
      </c>
      <c r="T4486" s="35" t="inlineStr">
        <is>
          <t>4 — Не обогащён</t>
        </is>
      </c>
      <c r="U4486" s="35" t="inlineStr">
        <is>
          <t>Нет ОКВЭД/ССЧР</t>
        </is>
      </c>
      <c r="V4486" s="35" t="inlineStr">
        <is>
          <t>Не определено</t>
        </is>
      </c>
      <c r="W4486" s="35" t="inlineStr"/>
      <c r="X4486" s="35" t="inlineStr"/>
    </row>
    <row r="4487" ht="27.75" customHeight="1" s="24">
      <c r="A4487" s="13" t="n">
        <v>5000117070</v>
      </c>
      <c r="B4487" s="13" t="inlineStr">
        <is>
          <t>МКУ "УПРАВЛЕНИЕ ДЕЛАМИ" МО "ДОЛИНСКИЙ" МО</t>
        </is>
      </c>
      <c r="C4487" s="13" t="n">
        <v>6504024650</v>
      </c>
      <c r="D4487" s="13" t="inlineStr">
        <is>
          <t>6504024650</t>
        </is>
      </c>
      <c r="E4487" s="13" t="inlineStr">
        <is>
          <t>ЮЛ РФ</t>
        </is>
      </c>
      <c r="F4487" s="13" t="n"/>
      <c r="G4487" s="14" t="n"/>
      <c r="H4487" s="14" t="n"/>
      <c r="I4487" s="14" t="n"/>
      <c r="J4487" s="14" t="n"/>
      <c r="K4487" s="53" t="inlineStr"/>
      <c r="L4487" s="53" t="inlineStr">
        <is>
          <t>Не определено</t>
        </is>
      </c>
      <c r="M4487" s="53" t="inlineStr"/>
      <c r="N4487" s="54" t="inlineStr"/>
      <c r="O4487" s="55" t="inlineStr"/>
      <c r="P4487" s="16" t="inlineStr">
        <is>
          <t>Требует обогащения</t>
        </is>
      </c>
      <c r="Q4487" s="16">
        <f>HYPERLINK("https://pb.nalog.ru/search.html?query=6504024650","ФНС: проверить")</f>
        <v/>
      </c>
      <c r="R4487" s="16">
        <f>HYPERLINK("https://checko.ru/search?query=3801001629","Чекко: проверить")</f>
        <v/>
      </c>
      <c r="S4487" t="n">
        <v>1</v>
      </c>
      <c r="T4487" s="35" t="inlineStr">
        <is>
          <t>4 — Не обогащён</t>
        </is>
      </c>
      <c r="U4487" s="35" t="inlineStr">
        <is>
          <t>Нет ОКВЭД/ССЧР</t>
        </is>
      </c>
      <c r="V4487" s="35" t="inlineStr">
        <is>
          <t>Не определено</t>
        </is>
      </c>
      <c r="W4487" s="35" t="inlineStr"/>
      <c r="X4487" s="35" t="inlineStr"/>
    </row>
    <row r="4488" ht="15" customHeight="1" s="24">
      <c r="A4488" s="13" t="n">
        <v>5000093186</v>
      </c>
      <c r="B4488" s="13" t="inlineStr">
        <is>
          <t>МБДОУ № 2 Г. ПОРОНАЙСКА</t>
        </is>
      </c>
      <c r="C4488" s="13" t="n">
        <v>6507014298</v>
      </c>
      <c r="D4488" s="13" t="inlineStr">
        <is>
          <t>6507014298</t>
        </is>
      </c>
      <c r="E4488" s="13" t="inlineStr">
        <is>
          <t>ЮЛ РФ</t>
        </is>
      </c>
      <c r="F4488" s="13" t="n"/>
      <c r="G4488" s="14" t="n"/>
      <c r="H4488" s="14" t="n"/>
      <c r="I4488" s="14" t="n"/>
      <c r="J4488" s="14" t="n"/>
      <c r="K4488" s="53" t="inlineStr"/>
      <c r="L4488" s="53" t="inlineStr">
        <is>
          <t>Не определено</t>
        </is>
      </c>
      <c r="M4488" s="53" t="inlineStr"/>
      <c r="N4488" s="54" t="inlineStr"/>
      <c r="O4488" s="55" t="inlineStr"/>
      <c r="P4488" s="16" t="inlineStr">
        <is>
          <t>Требует обогащения</t>
        </is>
      </c>
      <c r="Q4488" s="16">
        <f>HYPERLINK("https://pb.nalog.ru/search.html?query=6507014298","ФНС: проверить")</f>
        <v/>
      </c>
      <c r="R4488" s="16">
        <f>HYPERLINK("https://checko.ru/search?query=3801001629","Чекко: проверить")</f>
        <v/>
      </c>
      <c r="S4488" t="n">
        <v>1</v>
      </c>
      <c r="T4488" s="35" t="inlineStr">
        <is>
          <t>4 — Не обогащён</t>
        </is>
      </c>
      <c r="U4488" s="35" t="inlineStr">
        <is>
          <t>Нет ОКВЭД/ССЧР</t>
        </is>
      </c>
      <c r="V4488" s="35" t="inlineStr">
        <is>
          <t>Не определено</t>
        </is>
      </c>
      <c r="W4488" s="35" t="inlineStr"/>
      <c r="X4488" s="35" t="inlineStr"/>
    </row>
    <row r="4489" ht="15" customHeight="1" s="24">
      <c r="A4489" s="13" t="n">
        <v>5000093187</v>
      </c>
      <c r="B4489" s="13" t="inlineStr">
        <is>
          <t>МБДОУ № 4 "ИВУШКА" С. ЛЕОНИДОВО</t>
        </is>
      </c>
      <c r="C4489" s="13" t="n">
        <v>6507010198</v>
      </c>
      <c r="D4489" s="13" t="inlineStr">
        <is>
          <t>6507010198</t>
        </is>
      </c>
      <c r="E4489" s="13" t="inlineStr">
        <is>
          <t>ЮЛ РФ</t>
        </is>
      </c>
      <c r="F4489" s="13" t="n"/>
      <c r="G4489" s="14" t="n"/>
      <c r="H4489" s="14" t="n"/>
      <c r="I4489" s="14" t="n"/>
      <c r="J4489" s="14" t="n"/>
      <c r="K4489" s="53" t="inlineStr"/>
      <c r="L4489" s="53" t="inlineStr">
        <is>
          <t>Не определено</t>
        </is>
      </c>
      <c r="M4489" s="53" t="inlineStr"/>
      <c r="N4489" s="54" t="inlineStr"/>
      <c r="O4489" s="55" t="inlineStr"/>
      <c r="P4489" s="16" t="inlineStr">
        <is>
          <t>Требует обогащения</t>
        </is>
      </c>
      <c r="Q4489" s="16">
        <f>HYPERLINK("https://pb.nalog.ru/search.html?query=6507010198","ФНС: проверить")</f>
        <v/>
      </c>
      <c r="R4489" s="16">
        <f>HYPERLINK("https://checko.ru/search?query=3801001629","Чекко: проверить")</f>
        <v/>
      </c>
      <c r="S4489" t="n">
        <v>1</v>
      </c>
      <c r="T4489" s="35" t="inlineStr">
        <is>
          <t>4 — Не обогащён</t>
        </is>
      </c>
      <c r="U4489" s="35" t="inlineStr">
        <is>
          <t>Нет ОКВЭД/ССЧР</t>
        </is>
      </c>
      <c r="V4489" s="35" t="inlineStr">
        <is>
          <t>Не определено</t>
        </is>
      </c>
      <c r="W4489" s="35" t="inlineStr"/>
      <c r="X4489" s="35" t="inlineStr"/>
    </row>
    <row r="4490" ht="15" customHeight="1" s="24">
      <c r="A4490" s="13" t="n">
        <v>5000093188</v>
      </c>
      <c r="B4490" s="13" t="inlineStr">
        <is>
          <t>МБДОУ № 5 "СКАЗКА" Г. ПОРОНАЙСКА</t>
        </is>
      </c>
      <c r="C4490" s="13" t="n">
        <v>6507009971</v>
      </c>
      <c r="D4490" s="13" t="inlineStr">
        <is>
          <t>6507009971</t>
        </is>
      </c>
      <c r="E4490" s="13" t="inlineStr">
        <is>
          <t>ЮЛ РФ</t>
        </is>
      </c>
      <c r="F4490" s="13" t="n"/>
      <c r="G4490" s="14" t="n"/>
      <c r="H4490" s="14" t="n"/>
      <c r="I4490" s="14" t="n"/>
      <c r="J4490" s="14" t="n"/>
      <c r="K4490" s="53" t="inlineStr"/>
      <c r="L4490" s="53" t="inlineStr">
        <is>
          <t>Не определено</t>
        </is>
      </c>
      <c r="M4490" s="53" t="inlineStr"/>
      <c r="N4490" s="54" t="inlineStr"/>
      <c r="O4490" s="55" t="inlineStr"/>
      <c r="P4490" s="16" t="inlineStr">
        <is>
          <t>Требует обогащения</t>
        </is>
      </c>
      <c r="Q4490" s="16">
        <f>HYPERLINK("https://pb.nalog.ru/search.html?query=6507009971","ФНС: проверить")</f>
        <v/>
      </c>
      <c r="R4490" s="16">
        <f>HYPERLINK("https://checko.ru/search?query=3801001629","Чекко: проверить")</f>
        <v/>
      </c>
      <c r="S4490" t="n">
        <v>1</v>
      </c>
      <c r="T4490" s="35" t="inlineStr">
        <is>
          <t>4 — Не обогащён</t>
        </is>
      </c>
      <c r="U4490" s="35" t="inlineStr">
        <is>
          <t>Нет ОКВЭД/ССЧР</t>
        </is>
      </c>
      <c r="V4490" s="35" t="inlineStr">
        <is>
          <t>Не определено</t>
        </is>
      </c>
      <c r="W4490" s="35" t="inlineStr"/>
      <c r="X4490" s="35" t="inlineStr"/>
    </row>
    <row r="4491" ht="27.75" customHeight="1" s="24">
      <c r="A4491" s="13" t="n">
        <v>5000093189</v>
      </c>
      <c r="B4491" s="13" t="inlineStr">
        <is>
          <t>МБДОУ ДЕТСКИЙ САД № 7 "ДЕЛЬФИН" ПГТ ВАХРУШЕВ</t>
        </is>
      </c>
      <c r="C4491" s="13" t="n">
        <v>6507010776</v>
      </c>
      <c r="D4491" s="13" t="inlineStr">
        <is>
          <t>6507010776</t>
        </is>
      </c>
      <c r="E4491" s="13" t="inlineStr">
        <is>
          <t>ЮЛ РФ</t>
        </is>
      </c>
      <c r="F4491" s="13" t="n"/>
      <c r="G4491" s="14" t="n"/>
      <c r="H4491" s="14" t="n"/>
      <c r="I4491" s="14" t="n"/>
      <c r="J4491" s="14" t="n"/>
      <c r="K4491" s="53" t="inlineStr"/>
      <c r="L4491" s="53" t="inlineStr">
        <is>
          <t>Не определено</t>
        </is>
      </c>
      <c r="M4491" s="53" t="inlineStr"/>
      <c r="N4491" s="54" t="inlineStr"/>
      <c r="O4491" s="55" t="inlineStr"/>
      <c r="P4491" s="16" t="inlineStr">
        <is>
          <t>Требует обогащения</t>
        </is>
      </c>
      <c r="Q4491" s="16">
        <f>HYPERLINK("https://pb.nalog.ru/search.html?query=6507010776","ФНС: проверить")</f>
        <v/>
      </c>
      <c r="R4491" s="16">
        <f>HYPERLINK("https://checko.ru/search?query=3801001629","Чекко: проверить")</f>
        <v/>
      </c>
      <c r="S4491" t="n">
        <v>1</v>
      </c>
      <c r="T4491" s="35" t="inlineStr">
        <is>
          <t>4 — Не обогащён</t>
        </is>
      </c>
      <c r="U4491" s="35" t="inlineStr">
        <is>
          <t>Нет ОКВЭД/ССЧР</t>
        </is>
      </c>
      <c r="V4491" s="35" t="inlineStr">
        <is>
          <t>Не определено</t>
        </is>
      </c>
      <c r="W4491" s="35" t="inlineStr"/>
      <c r="X4491" s="35" t="inlineStr"/>
    </row>
    <row r="4492" ht="15" customHeight="1" s="24">
      <c r="A4492" s="13" t="n">
        <v>5000093190</v>
      </c>
      <c r="B4492" s="13" t="inlineStr">
        <is>
          <t>МБДОУ № 8 Г. ПОРОНАЙСКА</t>
        </is>
      </c>
      <c r="C4492" s="13" t="n">
        <v>6507014139</v>
      </c>
      <c r="D4492" s="13" t="inlineStr">
        <is>
          <t>6507014139</t>
        </is>
      </c>
      <c r="E4492" s="13" t="inlineStr">
        <is>
          <t>ЮЛ РФ</t>
        </is>
      </c>
      <c r="F4492" s="13" t="n"/>
      <c r="G4492" s="14" t="n"/>
      <c r="H4492" s="14" t="n"/>
      <c r="I4492" s="14" t="n"/>
      <c r="J4492" s="14" t="n"/>
      <c r="K4492" s="53" t="inlineStr"/>
      <c r="L4492" s="53" t="inlineStr">
        <is>
          <t>Не определено</t>
        </is>
      </c>
      <c r="M4492" s="53" t="inlineStr"/>
      <c r="N4492" s="54" t="inlineStr"/>
      <c r="O4492" s="55" t="inlineStr"/>
      <c r="P4492" s="16" t="inlineStr">
        <is>
          <t>Требует обогащения</t>
        </is>
      </c>
      <c r="Q4492" s="16">
        <f>HYPERLINK("https://pb.nalog.ru/search.html?query=6507014139","ФНС: проверить")</f>
        <v/>
      </c>
      <c r="R4492" s="16">
        <f>HYPERLINK("https://checko.ru/search?query=3801001629","Чекко: проверить")</f>
        <v/>
      </c>
      <c r="S4492" t="n">
        <v>1</v>
      </c>
      <c r="T4492" s="35" t="inlineStr">
        <is>
          <t>4 — Не обогащён</t>
        </is>
      </c>
      <c r="U4492" s="35" t="inlineStr">
        <is>
          <t>Нет ОКВЭД/ССЧР</t>
        </is>
      </c>
      <c r="V4492" s="35" t="inlineStr">
        <is>
          <t>Не определено</t>
        </is>
      </c>
      <c r="W4492" s="35" t="inlineStr"/>
      <c r="X4492" s="35" t="inlineStr"/>
    </row>
    <row r="4493" ht="27.75" customHeight="1" s="24">
      <c r="A4493" s="13" t="n">
        <v>5000093191</v>
      </c>
      <c r="B4493" s="13" t="inlineStr">
        <is>
          <t>МБДОУ ДЕТСКИЙ САД № 12 "АЛЕНУШКА" С. ВОСТОК</t>
        </is>
      </c>
      <c r="C4493" s="13" t="n">
        <v>6507010039</v>
      </c>
      <c r="D4493" s="13" t="inlineStr">
        <is>
          <t>6507010039</t>
        </is>
      </c>
      <c r="E4493" s="13" t="inlineStr">
        <is>
          <t>ЮЛ РФ</t>
        </is>
      </c>
      <c r="F4493" s="13" t="n"/>
      <c r="G4493" s="14" t="n"/>
      <c r="H4493" s="14" t="n"/>
      <c r="I4493" s="14" t="n"/>
      <c r="J4493" s="14" t="n"/>
      <c r="K4493" s="53" t="inlineStr"/>
      <c r="L4493" s="53" t="inlineStr">
        <is>
          <t>Не определено</t>
        </is>
      </c>
      <c r="M4493" s="53" t="inlineStr"/>
      <c r="N4493" s="54" t="inlineStr"/>
      <c r="O4493" s="55" t="inlineStr"/>
      <c r="P4493" s="16" t="inlineStr">
        <is>
          <t>Требует обогащения</t>
        </is>
      </c>
      <c r="Q4493" s="16">
        <f>HYPERLINK("https://pb.nalog.ru/search.html?query=6507010039","ФНС: проверить")</f>
        <v/>
      </c>
      <c r="R4493" s="16">
        <f>HYPERLINK("https://checko.ru/search?query=3801001629","Чекко: проверить")</f>
        <v/>
      </c>
      <c r="S4493" t="n">
        <v>1</v>
      </c>
      <c r="T4493" s="35" t="inlineStr">
        <is>
          <t>4 — Не обогащён</t>
        </is>
      </c>
      <c r="U4493" s="35" t="inlineStr">
        <is>
          <t>Нет ОКВЭД/ССЧР</t>
        </is>
      </c>
      <c r="V4493" s="35" t="inlineStr">
        <is>
          <t>Не определено</t>
        </is>
      </c>
      <c r="W4493" s="35" t="inlineStr"/>
      <c r="X4493" s="35" t="inlineStr"/>
    </row>
    <row r="4494" ht="15" customHeight="1" s="24">
      <c r="A4494" s="13" t="n">
        <v>5000093192</v>
      </c>
      <c r="B4494" s="13" t="inlineStr">
        <is>
          <t>МБДОУ № 34 "МОРЯЧОК" Г. ПОРОНАЙСКА</t>
        </is>
      </c>
      <c r="C4494" s="13" t="n">
        <v>6507010110</v>
      </c>
      <c r="D4494" s="13" t="inlineStr">
        <is>
          <t>6507010110</t>
        </is>
      </c>
      <c r="E4494" s="13" t="inlineStr">
        <is>
          <t>ЮЛ РФ</t>
        </is>
      </c>
      <c r="F4494" s="13" t="n"/>
      <c r="G4494" s="14" t="n"/>
      <c r="H4494" s="14" t="n"/>
      <c r="I4494" s="14" t="n"/>
      <c r="J4494" s="14" t="n"/>
      <c r="K4494" s="53" t="inlineStr"/>
      <c r="L4494" s="53" t="inlineStr">
        <is>
          <t>Не определено</t>
        </is>
      </c>
      <c r="M4494" s="53" t="inlineStr"/>
      <c r="N4494" s="54" t="inlineStr"/>
      <c r="O4494" s="55" t="inlineStr"/>
      <c r="P4494" s="16" t="inlineStr">
        <is>
          <t>Требует обогащения</t>
        </is>
      </c>
      <c r="Q4494" s="16">
        <f>HYPERLINK("https://pb.nalog.ru/search.html?query=6507010110","ФНС: проверить")</f>
        <v/>
      </c>
      <c r="R4494" s="16">
        <f>HYPERLINK("https://checko.ru/search?query=3801001629","Чекко: проверить")</f>
        <v/>
      </c>
      <c r="S4494" t="n">
        <v>1</v>
      </c>
      <c r="T4494" s="35" t="inlineStr">
        <is>
          <t>4 — Не обогащён</t>
        </is>
      </c>
      <c r="U4494" s="35" t="inlineStr">
        <is>
          <t>Нет ОКВЭД/ССЧР</t>
        </is>
      </c>
      <c r="V4494" s="35" t="inlineStr">
        <is>
          <t>Не определено</t>
        </is>
      </c>
      <c r="W4494" s="35" t="inlineStr"/>
      <c r="X4494" s="35" t="inlineStr"/>
    </row>
    <row r="4495" ht="15" customHeight="1" s="24">
      <c r="A4495" s="13" t="n">
        <v>5000093193</v>
      </c>
      <c r="B4495" s="13" t="inlineStr">
        <is>
          <t>МБУК КДЦ "МИР"</t>
        </is>
      </c>
      <c r="C4495" s="13" t="n">
        <v>6507013921</v>
      </c>
      <c r="D4495" s="13" t="inlineStr">
        <is>
          <t>6507013921</t>
        </is>
      </c>
      <c r="E4495" s="13" t="inlineStr">
        <is>
          <t>ЮЛ РФ</t>
        </is>
      </c>
      <c r="F4495" s="13" t="n"/>
      <c r="G4495" s="14" t="n"/>
      <c r="H4495" s="14" t="n"/>
      <c r="I4495" s="14" t="n"/>
      <c r="J4495" s="14" t="n"/>
      <c r="K4495" s="53" t="inlineStr"/>
      <c r="L4495" s="53" t="inlineStr">
        <is>
          <t>Не определено</t>
        </is>
      </c>
      <c r="M4495" s="53" t="inlineStr"/>
      <c r="N4495" s="54" t="inlineStr"/>
      <c r="O4495" s="55" t="inlineStr"/>
      <c r="P4495" s="16" t="inlineStr">
        <is>
          <t>Требует обогащения</t>
        </is>
      </c>
      <c r="Q4495" s="16">
        <f>HYPERLINK("https://pb.nalog.ru/search.html?query=6507013921","ФНС: проверить")</f>
        <v/>
      </c>
      <c r="R4495" s="16">
        <f>HYPERLINK("https://checko.ru/search?query=3801001629","Чекко: проверить")</f>
        <v/>
      </c>
      <c r="S4495" t="n">
        <v>1</v>
      </c>
      <c r="T4495" s="35" t="inlineStr">
        <is>
          <t>4 — Не обогащён</t>
        </is>
      </c>
      <c r="U4495" s="35" t="inlineStr">
        <is>
          <t>Нет ОКВЭД/ССЧР</t>
        </is>
      </c>
      <c r="V4495" s="35" t="inlineStr">
        <is>
          <t>Не определено</t>
        </is>
      </c>
      <c r="W4495" s="35" t="inlineStr"/>
      <c r="X4495" s="35" t="inlineStr"/>
    </row>
    <row r="4496" ht="15" customHeight="1" s="24">
      <c r="A4496" s="13" t="n">
        <v>5000093197</v>
      </c>
      <c r="B4496" s="13" t="inlineStr">
        <is>
          <t>МБУК ДК "ШАХТЁР" ПГТ. ВАХРУШЕВ</t>
        </is>
      </c>
      <c r="C4496" s="13" t="n">
        <v>6507011635</v>
      </c>
      <c r="D4496" s="13" t="inlineStr">
        <is>
          <t>6507011635</t>
        </is>
      </c>
      <c r="E4496" s="13" t="inlineStr">
        <is>
          <t>ЮЛ РФ</t>
        </is>
      </c>
      <c r="F4496" s="13" t="n"/>
      <c r="G4496" s="14" t="n"/>
      <c r="H4496" s="14" t="n"/>
      <c r="I4496" s="14" t="n"/>
      <c r="J4496" s="14" t="n"/>
      <c r="K4496" s="53" t="inlineStr"/>
      <c r="L4496" s="53" t="inlineStr">
        <is>
          <t>Не определено</t>
        </is>
      </c>
      <c r="M4496" s="53" t="inlineStr"/>
      <c r="N4496" s="54" t="inlineStr"/>
      <c r="O4496" s="55" t="inlineStr"/>
      <c r="P4496" s="16" t="inlineStr">
        <is>
          <t>Требует обогащения</t>
        </is>
      </c>
      <c r="Q4496" s="16">
        <f>HYPERLINK("https://pb.nalog.ru/search.html?query=6507011635","ФНС: проверить")</f>
        <v/>
      </c>
      <c r="R4496" s="16">
        <f>HYPERLINK("https://checko.ru/search?query=3801001629","Чекко: проверить")</f>
        <v/>
      </c>
      <c r="S4496" t="n">
        <v>1</v>
      </c>
      <c r="T4496" s="35" t="inlineStr">
        <is>
          <t>4 — Не обогащён</t>
        </is>
      </c>
      <c r="U4496" s="35" t="inlineStr">
        <is>
          <t>Нет ОКВЭД/ССЧР</t>
        </is>
      </c>
      <c r="V4496" s="35" t="inlineStr">
        <is>
          <t>Не определено</t>
        </is>
      </c>
      <c r="W4496" s="35" t="inlineStr"/>
      <c r="X4496" s="35" t="inlineStr"/>
    </row>
    <row r="4497" ht="15" customHeight="1" s="24">
      <c r="A4497" s="13" t="n">
        <v>5000093198</v>
      </c>
      <c r="B4497" s="13" t="inlineStr">
        <is>
          <t>МБУК ДК "ЭНЕРГЕТИК"</t>
        </is>
      </c>
      <c r="C4497" s="13" t="n">
        <v>6507010656</v>
      </c>
      <c r="D4497" s="13" t="inlineStr">
        <is>
          <t>6507010656</t>
        </is>
      </c>
      <c r="E4497" s="13" t="inlineStr">
        <is>
          <t>ЮЛ РФ</t>
        </is>
      </c>
      <c r="F4497" s="13" t="n"/>
      <c r="G4497" s="14" t="n"/>
      <c r="H4497" s="14" t="n"/>
      <c r="I4497" s="14" t="n"/>
      <c r="J4497" s="14" t="n"/>
      <c r="K4497" s="53" t="inlineStr"/>
      <c r="L4497" s="53" t="inlineStr">
        <is>
          <t>Не определено</t>
        </is>
      </c>
      <c r="M4497" s="53" t="inlineStr"/>
      <c r="N4497" s="54" t="inlineStr"/>
      <c r="O4497" s="55" t="inlineStr"/>
      <c r="P4497" s="16" t="inlineStr">
        <is>
          <t>Требует обогащения</t>
        </is>
      </c>
      <c r="Q4497" s="16">
        <f>HYPERLINK("https://pb.nalog.ru/search.html?query=6507010656","ФНС: проверить")</f>
        <v/>
      </c>
      <c r="R4497" s="16">
        <f>HYPERLINK("https://checko.ru/search?query=3801001629","Чекко: проверить")</f>
        <v/>
      </c>
      <c r="S4497" t="n">
        <v>1</v>
      </c>
      <c r="T4497" s="35" t="inlineStr">
        <is>
          <t>4 — Не обогащён</t>
        </is>
      </c>
      <c r="U4497" s="35" t="inlineStr">
        <is>
          <t>Нет ОКВЭД/ССЧР</t>
        </is>
      </c>
      <c r="V4497" s="35" t="inlineStr">
        <is>
          <t>Не определено</t>
        </is>
      </c>
      <c r="W4497" s="35" t="inlineStr"/>
      <c r="X4497" s="35" t="inlineStr"/>
    </row>
    <row r="4498" ht="15" customHeight="1" s="24">
      <c r="A4498" s="13" t="n">
        <v>5000093199</v>
      </c>
      <c r="B4498" s="13" t="inlineStr">
        <is>
          <t>МБОУ ДО ЦДТ Г.ПОРОНАЙСКА</t>
        </is>
      </c>
      <c r="C4498" s="13" t="n">
        <v>6507010102</v>
      </c>
      <c r="D4498" s="13" t="inlineStr">
        <is>
          <t>6507010102</t>
        </is>
      </c>
      <c r="E4498" s="13" t="inlineStr">
        <is>
          <t>ЮЛ РФ</t>
        </is>
      </c>
      <c r="F4498" s="13" t="n"/>
      <c r="G4498" s="14" t="n"/>
      <c r="H4498" s="14" t="n"/>
      <c r="I4498" s="14" t="n"/>
      <c r="J4498" s="14" t="n"/>
      <c r="K4498" s="53" t="inlineStr"/>
      <c r="L4498" s="53" t="inlineStr">
        <is>
          <t>Не определено</t>
        </is>
      </c>
      <c r="M4498" s="53" t="inlineStr"/>
      <c r="N4498" s="54" t="inlineStr"/>
      <c r="O4498" s="55" t="inlineStr"/>
      <c r="P4498" s="16" t="inlineStr">
        <is>
          <t>Требует обогащения</t>
        </is>
      </c>
      <c r="Q4498" s="16">
        <f>HYPERLINK("https://pb.nalog.ru/search.html?query=6507010102","ФНС: проверить")</f>
        <v/>
      </c>
      <c r="R4498" s="16">
        <f>HYPERLINK("https://checko.ru/search?query=3801001629","Чекко: проверить")</f>
        <v/>
      </c>
      <c r="S4498" t="n">
        <v>1</v>
      </c>
      <c r="T4498" s="35" t="inlineStr">
        <is>
          <t>4 — Не обогащён</t>
        </is>
      </c>
      <c r="U4498" s="35" t="inlineStr">
        <is>
          <t>Нет ОКВЭД/ССЧР</t>
        </is>
      </c>
      <c r="V4498" s="35" t="inlineStr">
        <is>
          <t>Не определено</t>
        </is>
      </c>
      <c r="W4498" s="35" t="inlineStr"/>
      <c r="X4498" s="35" t="inlineStr"/>
    </row>
    <row r="4499" ht="15" customHeight="1" s="24">
      <c r="A4499" s="13" t="n">
        <v>5000093200</v>
      </c>
      <c r="B4499" s="13" t="inlineStr">
        <is>
          <t>МАУ СШ "ПОРОНАЙСК-АРЕНА"</t>
        </is>
      </c>
      <c r="C4499" s="13" t="n">
        <v>6507015245</v>
      </c>
      <c r="D4499" s="13" t="inlineStr">
        <is>
          <t>6507015245</t>
        </is>
      </c>
      <c r="E4499" s="13" t="inlineStr">
        <is>
          <t>ЮЛ РФ</t>
        </is>
      </c>
      <c r="F4499" s="13" t="n"/>
      <c r="G4499" s="14" t="n"/>
      <c r="H4499" s="14" t="n"/>
      <c r="I4499" s="14" t="n"/>
      <c r="J4499" s="14" t="n"/>
      <c r="K4499" s="53" t="inlineStr"/>
      <c r="L4499" s="53" t="inlineStr">
        <is>
          <t>Не определено</t>
        </is>
      </c>
      <c r="M4499" s="53" t="inlineStr"/>
      <c r="N4499" s="54" t="inlineStr"/>
      <c r="O4499" s="55" t="inlineStr"/>
      <c r="P4499" s="16" t="inlineStr">
        <is>
          <t>Требует обогащения</t>
        </is>
      </c>
      <c r="Q4499" s="16">
        <f>HYPERLINK("https://pb.nalog.ru/search.html?query=6507015245","ФНС: проверить")</f>
        <v/>
      </c>
      <c r="R4499" s="16">
        <f>HYPERLINK("https://checko.ru/search?query=3801001629","Чекко: проверить")</f>
        <v/>
      </c>
      <c r="S4499" t="n">
        <v>1</v>
      </c>
      <c r="T4499" s="35" t="inlineStr">
        <is>
          <t>4 — Не обогащён</t>
        </is>
      </c>
      <c r="U4499" s="35" t="inlineStr">
        <is>
          <t>Нет ОКВЭД/ССЧР</t>
        </is>
      </c>
      <c r="V4499" s="35" t="inlineStr">
        <is>
          <t>Не определено</t>
        </is>
      </c>
      <c r="W4499" s="35" t="inlineStr"/>
      <c r="X4499" s="35" t="inlineStr"/>
    </row>
    <row r="4500" ht="27.75" customHeight="1" s="24">
      <c r="A4500" s="13" t="n">
        <v>5000093201</v>
      </c>
      <c r="B4500" s="13" t="inlineStr">
        <is>
          <t>МКУ "ХТУ ПО ОБСЛУЖИВАНИЮ УЧРЕЖДЕНИЙ КУЛЬТУРЫ МО ПОРОНАЙСКИЙ ГО"</t>
        </is>
      </c>
      <c r="C4500" s="13" t="n">
        <v>6507015252</v>
      </c>
      <c r="D4500" s="13" t="inlineStr">
        <is>
          <t>6507015252</t>
        </is>
      </c>
      <c r="E4500" s="13" t="inlineStr">
        <is>
          <t>ЮЛ РФ</t>
        </is>
      </c>
      <c r="F4500" s="13" t="n"/>
      <c r="G4500" s="14" t="n"/>
      <c r="H4500" s="14" t="n"/>
      <c r="I4500" s="14" t="n"/>
      <c r="J4500" s="14" t="n"/>
      <c r="K4500" s="53" t="inlineStr"/>
      <c r="L4500" s="53" t="inlineStr">
        <is>
          <t>Не определено</t>
        </is>
      </c>
      <c r="M4500" s="53" t="inlineStr"/>
      <c r="N4500" s="54" t="inlineStr"/>
      <c r="O4500" s="55" t="inlineStr"/>
      <c r="P4500" s="16" t="inlineStr">
        <is>
          <t>Требует обогащения</t>
        </is>
      </c>
      <c r="Q4500" s="16">
        <f>HYPERLINK("https://pb.nalog.ru/search.html?query=6507015252","ФНС: проверить")</f>
        <v/>
      </c>
      <c r="R4500" s="16">
        <f>HYPERLINK("https://checko.ru/search?query=3801001629","Чекко: проверить")</f>
        <v/>
      </c>
      <c r="S4500" t="n">
        <v>1</v>
      </c>
      <c r="T4500" s="35" t="inlineStr">
        <is>
          <t>4 — Не обогащён</t>
        </is>
      </c>
      <c r="U4500" s="35" t="inlineStr">
        <is>
          <t>Нет ОКВЭД/ССЧР</t>
        </is>
      </c>
      <c r="V4500" s="35" t="inlineStr">
        <is>
          <t>Не определено</t>
        </is>
      </c>
      <c r="W4500" s="35" t="inlineStr"/>
      <c r="X4500" s="35" t="inlineStr"/>
    </row>
    <row r="4501" ht="15" customHeight="1" s="24">
      <c r="A4501" s="13" t="n">
        <v>5000093202</v>
      </c>
      <c r="B4501" s="13" t="inlineStr">
        <is>
          <t>ДЕПАРТАМЕНТ ОКИС</t>
        </is>
      </c>
      <c r="C4501" s="13" t="n">
        <v>6507009058</v>
      </c>
      <c r="D4501" s="13" t="inlineStr">
        <is>
          <t>6507009058</t>
        </is>
      </c>
      <c r="E4501" s="13" t="inlineStr">
        <is>
          <t>ЮЛ РФ</t>
        </is>
      </c>
      <c r="F4501" s="13" t="n"/>
      <c r="G4501" s="14" t="n"/>
      <c r="H4501" s="14" t="n"/>
      <c r="I4501" s="14" t="n"/>
      <c r="J4501" s="14" t="n"/>
      <c r="K4501" s="53" t="inlineStr"/>
      <c r="L4501" s="53" t="inlineStr">
        <is>
          <t>Не определено</t>
        </is>
      </c>
      <c r="M4501" s="53" t="inlineStr"/>
      <c r="N4501" s="54" t="inlineStr"/>
      <c r="O4501" s="55" t="inlineStr"/>
      <c r="P4501" s="16" t="inlineStr">
        <is>
          <t>Требует обогащения</t>
        </is>
      </c>
      <c r="Q4501" s="16">
        <f>HYPERLINK("https://pb.nalog.ru/search.html?query=6507009058","ФНС: проверить")</f>
        <v/>
      </c>
      <c r="R4501" s="16">
        <f>HYPERLINK("https://checko.ru/search?query=3801001629","Чекко: проверить")</f>
        <v/>
      </c>
      <c r="S4501" t="n">
        <v>1</v>
      </c>
      <c r="T4501" s="35" t="inlineStr">
        <is>
          <t>4 — Не обогащён</t>
        </is>
      </c>
      <c r="U4501" s="35" t="inlineStr">
        <is>
          <t>Нет ОКВЭД/ССЧР</t>
        </is>
      </c>
      <c r="V4501" s="35" t="inlineStr">
        <is>
          <t>Не определено</t>
        </is>
      </c>
      <c r="W4501" s="35" t="inlineStr"/>
      <c r="X4501" s="35" t="inlineStr"/>
    </row>
    <row r="4502" ht="15" customHeight="1" s="24">
      <c r="A4502" s="13" t="n">
        <v>5000093202</v>
      </c>
      <c r="B4502" s="13" t="inlineStr">
        <is>
          <t>ДЕПАРТАМЕНТ ОКИС</t>
        </is>
      </c>
      <c r="C4502" s="13" t="n">
        <v>6507009058</v>
      </c>
      <c r="D4502" s="13" t="inlineStr">
        <is>
          <t>6507009058</t>
        </is>
      </c>
      <c r="E4502" s="13" t="inlineStr">
        <is>
          <t>ЮЛ РФ</t>
        </is>
      </c>
      <c r="F4502" s="13" t="n"/>
      <c r="G4502" s="14" t="n"/>
      <c r="H4502" s="14" t="n"/>
      <c r="I4502" s="14" t="n"/>
      <c r="J4502" s="14" t="n"/>
      <c r="K4502" s="53" t="inlineStr"/>
      <c r="L4502" s="53" t="inlineStr">
        <is>
          <t>Не определено</t>
        </is>
      </c>
      <c r="M4502" s="53" t="inlineStr"/>
      <c r="N4502" s="54" t="inlineStr"/>
      <c r="O4502" s="55" t="inlineStr"/>
      <c r="P4502" s="16" t="inlineStr">
        <is>
          <t>Требует обогащения</t>
        </is>
      </c>
      <c r="Q4502" s="16">
        <f>HYPERLINK("https://pb.nalog.ru/search.html?query=6507009058","ФНС: проверить")</f>
        <v/>
      </c>
      <c r="R4502" s="16">
        <f>HYPERLINK("https://checko.ru/search?query=3801001629","Чекко: проверить")</f>
        <v/>
      </c>
      <c r="S4502" t="n">
        <v>0</v>
      </c>
      <c r="T4502" s="35" t="inlineStr">
        <is>
          <t>4 — Не обогащён</t>
        </is>
      </c>
      <c r="U4502" s="35" t="inlineStr">
        <is>
          <t>Нет ОКВЭД/ССЧР</t>
        </is>
      </c>
      <c r="V4502" s="35" t="inlineStr">
        <is>
          <t>Не определено</t>
        </is>
      </c>
      <c r="W4502" s="35" t="inlineStr"/>
      <c r="X4502" s="35" t="inlineStr"/>
    </row>
    <row r="4503" ht="15" customHeight="1" s="24">
      <c r="A4503" s="13" t="n">
        <v>5000093195</v>
      </c>
      <c r="B4503" s="13" t="inlineStr">
        <is>
          <t>МБУК "ПОРОНАЙСКИЙ КРАЕВЕДЧЕСКИЙ МУЗЕЙ"</t>
        </is>
      </c>
      <c r="C4503" s="13" t="n">
        <v>6507010631</v>
      </c>
      <c r="D4503" s="13" t="inlineStr">
        <is>
          <t>6507010631</t>
        </is>
      </c>
      <c r="E4503" s="13" t="inlineStr">
        <is>
          <t>ЮЛ РФ</t>
        </is>
      </c>
      <c r="F4503" s="13" t="n"/>
      <c r="G4503" s="14" t="n"/>
      <c r="H4503" s="14" t="n"/>
      <c r="I4503" s="14" t="n"/>
      <c r="J4503" s="14" t="n"/>
      <c r="K4503" s="53" t="inlineStr"/>
      <c r="L4503" s="53" t="inlineStr">
        <is>
          <t>Не определено</t>
        </is>
      </c>
      <c r="M4503" s="53" t="inlineStr"/>
      <c r="N4503" s="54" t="inlineStr"/>
      <c r="O4503" s="55" t="inlineStr"/>
      <c r="P4503" s="16" t="inlineStr">
        <is>
          <t>Требует обогащения</t>
        </is>
      </c>
      <c r="Q4503" s="16">
        <f>HYPERLINK("https://pb.nalog.ru/search.html?query=6507010631","ФНС: проверить")</f>
        <v/>
      </c>
      <c r="R4503" s="16">
        <f>HYPERLINK("https://checko.ru/search?query=3801001629","Чекко: проверить")</f>
        <v/>
      </c>
      <c r="S4503" t="n">
        <v>1</v>
      </c>
      <c r="T4503" s="35" t="inlineStr">
        <is>
          <t>4 — Не обогащён</t>
        </is>
      </c>
      <c r="U4503" s="35" t="inlineStr">
        <is>
          <t>Нет ОКВЭД/ССЧР</t>
        </is>
      </c>
      <c r="V4503" s="35" t="inlineStr">
        <is>
          <t>Не определено</t>
        </is>
      </c>
      <c r="W4503" s="35" t="inlineStr"/>
      <c r="X4503" s="35" t="inlineStr"/>
    </row>
    <row r="4504" ht="15" customHeight="1" s="24">
      <c r="A4504" s="13" t="n">
        <v>5000093196</v>
      </c>
      <c r="B4504" s="13" t="inlineStr">
        <is>
          <t>МБУК "ПОРОНАЙСКАЯ ЦБС"</t>
        </is>
      </c>
      <c r="C4504" s="13" t="n">
        <v>6507010430</v>
      </c>
      <c r="D4504" s="13" t="inlineStr">
        <is>
          <t>6507010430</t>
        </is>
      </c>
      <c r="E4504" s="13" t="inlineStr">
        <is>
          <t>ЮЛ РФ</t>
        </is>
      </c>
      <c r="F4504" s="13" t="n"/>
      <c r="G4504" s="14" t="n"/>
      <c r="H4504" s="14" t="n"/>
      <c r="I4504" s="14" t="n"/>
      <c r="J4504" s="14" t="n"/>
      <c r="K4504" s="53" t="inlineStr"/>
      <c r="L4504" s="53" t="inlineStr">
        <is>
          <t>Не определено</t>
        </is>
      </c>
      <c r="M4504" s="53" t="inlineStr"/>
      <c r="N4504" s="54" t="inlineStr"/>
      <c r="O4504" s="55" t="inlineStr"/>
      <c r="P4504" s="16" t="inlineStr">
        <is>
          <t>Требует обогащения</t>
        </is>
      </c>
      <c r="Q4504" s="16">
        <f>HYPERLINK("https://pb.nalog.ru/search.html?query=6507010430","ФНС: проверить")</f>
        <v/>
      </c>
      <c r="R4504" s="16">
        <f>HYPERLINK("https://checko.ru/search?query=3801001629","Чекко: проверить")</f>
        <v/>
      </c>
      <c r="S4504" t="n">
        <v>1</v>
      </c>
      <c r="T4504" s="35" t="inlineStr">
        <is>
          <t>4 — Не обогащён</t>
        </is>
      </c>
      <c r="U4504" s="35" t="inlineStr">
        <is>
          <t>Нет ОКВЭД/ССЧР</t>
        </is>
      </c>
      <c r="V4504" s="35" t="inlineStr">
        <is>
          <t>Не определено</t>
        </is>
      </c>
      <c r="W4504" s="35" t="inlineStr"/>
      <c r="X4504" s="35" t="inlineStr"/>
    </row>
    <row r="4505" ht="15" customHeight="1" s="24">
      <c r="A4505" s="13" t="n">
        <v>5000092865</v>
      </c>
      <c r="B4505" s="13" t="inlineStr">
        <is>
          <t>МКУ "ЦИОГД"</t>
        </is>
      </c>
      <c r="C4505" s="13" t="n">
        <v>6500001395</v>
      </c>
      <c r="D4505" s="13" t="inlineStr">
        <is>
          <t>6500001395</t>
        </is>
      </c>
      <c r="E4505" s="13" t="inlineStr">
        <is>
          <t>ЮЛ РФ</t>
        </is>
      </c>
      <c r="F4505" s="13" t="n"/>
      <c r="G4505" s="14" t="n"/>
      <c r="H4505" s="14" t="n"/>
      <c r="I4505" s="14" t="n"/>
      <c r="J4505" s="14" t="n"/>
      <c r="K4505" s="53" t="inlineStr"/>
      <c r="L4505" s="53" t="inlineStr">
        <is>
          <t>Не определено</t>
        </is>
      </c>
      <c r="M4505" s="53" t="inlineStr"/>
      <c r="N4505" s="54" t="inlineStr"/>
      <c r="O4505" s="55" t="inlineStr"/>
      <c r="P4505" s="16" t="inlineStr">
        <is>
          <t>Требует обогащения</t>
        </is>
      </c>
      <c r="Q4505" s="16">
        <f>HYPERLINK("https://pb.nalog.ru/search.html?query=6500001395","ФНС: проверить")</f>
        <v/>
      </c>
      <c r="R4505" s="16">
        <f>HYPERLINK("https://checko.ru/search?query=3801001629","Чекко: проверить")</f>
        <v/>
      </c>
      <c r="S4505" t="n">
        <v>1</v>
      </c>
      <c r="T4505" s="35" t="inlineStr">
        <is>
          <t>4 — Не обогащён</t>
        </is>
      </c>
      <c r="U4505" s="35" t="inlineStr">
        <is>
          <t>Нет ОКВЭД/ССЧР</t>
        </is>
      </c>
      <c r="V4505" s="35" t="inlineStr">
        <is>
          <t>Не определено</t>
        </is>
      </c>
      <c r="W4505" s="35" t="inlineStr"/>
      <c r="X4505" s="35" t="inlineStr"/>
    </row>
    <row r="4506" ht="15" customHeight="1" s="24">
      <c r="A4506" s="13" t="n">
        <v>5000092866</v>
      </c>
      <c r="B4506" s="13" t="inlineStr">
        <is>
          <t>ДАИГ ГОРОДА ЮЖНО-САХАЛИНСКА</t>
        </is>
      </c>
      <c r="C4506" s="13" t="n">
        <v>6501290887</v>
      </c>
      <c r="D4506" s="13" t="inlineStr">
        <is>
          <t>6501290887</t>
        </is>
      </c>
      <c r="E4506" s="13" t="inlineStr">
        <is>
          <t>ЮЛ РФ</t>
        </is>
      </c>
      <c r="F4506" s="13" t="n"/>
      <c r="G4506" s="14" t="n"/>
      <c r="H4506" s="14" t="n"/>
      <c r="I4506" s="14" t="n"/>
      <c r="J4506" s="14" t="n"/>
      <c r="K4506" s="53" t="inlineStr"/>
      <c r="L4506" s="53" t="inlineStr">
        <is>
          <t>Не определено</t>
        </is>
      </c>
      <c r="M4506" s="53" t="inlineStr"/>
      <c r="N4506" s="54" t="inlineStr"/>
      <c r="O4506" s="55" t="inlineStr"/>
      <c r="P4506" s="16" t="inlineStr">
        <is>
          <t>Требует обогащения</t>
        </is>
      </c>
      <c r="Q4506" s="16">
        <f>HYPERLINK("https://pb.nalog.ru/search.html?query=6501290887","ФНС: проверить")</f>
        <v/>
      </c>
      <c r="R4506" s="16">
        <f>HYPERLINK("https://checko.ru/search?query=3801001629","Чекко: проверить")</f>
        <v/>
      </c>
      <c r="S4506" t="n">
        <v>1</v>
      </c>
      <c r="T4506" s="35" t="inlineStr">
        <is>
          <t>4 — Не обогащён</t>
        </is>
      </c>
      <c r="U4506" s="35" t="inlineStr">
        <is>
          <t>Нет ОКВЭД/ССЧР</t>
        </is>
      </c>
      <c r="V4506" s="35" t="inlineStr">
        <is>
          <t>Не определено</t>
        </is>
      </c>
      <c r="W4506" s="35" t="inlineStr"/>
      <c r="X4506" s="35" t="inlineStr"/>
    </row>
    <row r="4507" ht="15" customHeight="1" s="24">
      <c r="A4507" s="13" t="n">
        <v>5000092866</v>
      </c>
      <c r="B4507" s="13" t="inlineStr">
        <is>
          <t>ДАИГ ГОРОДА ЮЖНО-САХАЛИНСКА</t>
        </is>
      </c>
      <c r="C4507" s="13" t="n">
        <v>6501290887</v>
      </c>
      <c r="D4507" s="13" t="inlineStr">
        <is>
          <t>6501290887</t>
        </is>
      </c>
      <c r="E4507" s="13" t="inlineStr">
        <is>
          <t>ЮЛ РФ</t>
        </is>
      </c>
      <c r="F4507" s="13" t="n"/>
      <c r="G4507" s="14" t="n"/>
      <c r="H4507" s="14" t="n"/>
      <c r="I4507" s="14" t="n"/>
      <c r="J4507" s="14" t="n"/>
      <c r="K4507" s="53" t="inlineStr"/>
      <c r="L4507" s="53" t="inlineStr">
        <is>
          <t>Не определено</t>
        </is>
      </c>
      <c r="M4507" s="53" t="inlineStr"/>
      <c r="N4507" s="54" t="inlineStr"/>
      <c r="O4507" s="55" t="inlineStr"/>
      <c r="P4507" s="16" t="inlineStr">
        <is>
          <t>Требует обогащения</t>
        </is>
      </c>
      <c r="Q4507" s="16">
        <f>HYPERLINK("https://pb.nalog.ru/search.html?query=6501290887","ФНС: проверить")</f>
        <v/>
      </c>
      <c r="R4507" s="16">
        <f>HYPERLINK("https://checko.ru/search?query=3801001629","Чекко: проверить")</f>
        <v/>
      </c>
      <c r="S4507" t="n">
        <v>0</v>
      </c>
      <c r="T4507" s="35" t="inlineStr">
        <is>
          <t>4 — Не обогащён</t>
        </is>
      </c>
      <c r="U4507" s="35" t="inlineStr">
        <is>
          <t>Нет ОКВЭД/ССЧР</t>
        </is>
      </c>
      <c r="V4507" s="35" t="inlineStr">
        <is>
          <t>Не определено</t>
        </is>
      </c>
      <c r="W4507" s="35" t="inlineStr"/>
      <c r="X4507" s="35" t="inlineStr"/>
    </row>
    <row r="4508" ht="15" customHeight="1" s="24">
      <c r="A4508" s="13" t="n">
        <v>5000111705</v>
      </c>
      <c r="B4508" s="13" t="inlineStr">
        <is>
          <t>МКУ "МЕДИАЦЕНТР "ПОСТ АЛЕКСАНДРОВСКИЙ"</t>
        </is>
      </c>
      <c r="C4508" s="13" t="n">
        <v>6500019219</v>
      </c>
      <c r="D4508" s="13" t="inlineStr">
        <is>
          <t>6500019219</t>
        </is>
      </c>
      <c r="E4508" s="13" t="inlineStr">
        <is>
          <t>ЮЛ РФ</t>
        </is>
      </c>
      <c r="F4508" s="13" t="n"/>
      <c r="G4508" s="14" t="n"/>
      <c r="H4508" s="14" t="n"/>
      <c r="I4508" s="14" t="n"/>
      <c r="J4508" s="14" t="n"/>
      <c r="K4508" s="53" t="inlineStr"/>
      <c r="L4508" s="53" t="inlineStr">
        <is>
          <t>Не определено</t>
        </is>
      </c>
      <c r="M4508" s="53" t="inlineStr"/>
      <c r="N4508" s="54" t="inlineStr"/>
      <c r="O4508" s="55" t="inlineStr"/>
      <c r="P4508" s="16" t="inlineStr">
        <is>
          <t>Требует обогащения</t>
        </is>
      </c>
      <c r="Q4508" s="16">
        <f>HYPERLINK("https://pb.nalog.ru/search.html?query=6500019219","ФНС: проверить")</f>
        <v/>
      </c>
      <c r="R4508" s="16">
        <f>HYPERLINK("https://checko.ru/search?query=3801001629","Чекко: проверить")</f>
        <v/>
      </c>
      <c r="S4508" t="n">
        <v>1</v>
      </c>
      <c r="T4508" s="35" t="inlineStr">
        <is>
          <t>4 — Не обогащён</t>
        </is>
      </c>
      <c r="U4508" s="35" t="inlineStr">
        <is>
          <t>Нет ОКВЭД/ССЧР</t>
        </is>
      </c>
      <c r="V4508" s="35" t="inlineStr">
        <is>
          <t>Не определено</t>
        </is>
      </c>
      <c r="W4508" s="35" t="inlineStr"/>
      <c r="X4508" s="35" t="inlineStr"/>
    </row>
    <row r="4509" ht="15" customHeight="1" s="24">
      <c r="A4509" s="13" t="n">
        <v>5000109147</v>
      </c>
      <c r="B4509" s="13" t="inlineStr">
        <is>
          <t>МБОУ СОШ № 1 Г.Охи им.А.Е.Буюклы</t>
        </is>
      </c>
      <c r="C4509" s="13" t="n">
        <v>6506007629</v>
      </c>
      <c r="D4509" s="13" t="inlineStr">
        <is>
          <t>6506007629</t>
        </is>
      </c>
      <c r="E4509" s="13" t="inlineStr">
        <is>
          <t>ЮЛ РФ</t>
        </is>
      </c>
      <c r="F4509" s="13" t="n"/>
      <c r="G4509" s="14" t="n"/>
      <c r="H4509" s="14" t="n"/>
      <c r="I4509" s="14" t="n"/>
      <c r="J4509" s="14" t="n"/>
      <c r="K4509" s="53" t="inlineStr"/>
      <c r="L4509" s="53" t="inlineStr">
        <is>
          <t>Не определено</t>
        </is>
      </c>
      <c r="M4509" s="53" t="inlineStr"/>
      <c r="N4509" s="54" t="inlineStr"/>
      <c r="O4509" s="55" t="inlineStr"/>
      <c r="P4509" s="16" t="inlineStr">
        <is>
          <t>Требует обогащения</t>
        </is>
      </c>
      <c r="Q4509" s="16">
        <f>HYPERLINK("https://pb.nalog.ru/search.html?query=6506007629","ФНС: проверить")</f>
        <v/>
      </c>
      <c r="R4509" s="16">
        <f>HYPERLINK("https://checko.ru/search?query=3801001629","Чекко: проверить")</f>
        <v/>
      </c>
      <c r="S4509" t="n">
        <v>1</v>
      </c>
      <c r="T4509" s="35" t="inlineStr">
        <is>
          <t>4 — Не обогащён</t>
        </is>
      </c>
      <c r="U4509" s="35" t="inlineStr">
        <is>
          <t>Нет ОКВЭД/ССЧР</t>
        </is>
      </c>
      <c r="V4509" s="35" t="inlineStr">
        <is>
          <t>Не определено</t>
        </is>
      </c>
      <c r="W4509" s="35" t="inlineStr"/>
      <c r="X4509" s="35" t="inlineStr"/>
    </row>
    <row r="4510" ht="41.25" customHeight="1" s="24">
      <c r="A4510" s="13" t="n">
        <v>5000111567</v>
      </c>
      <c r="B4510" s="13" t="inlineStr">
        <is>
          <t>Муниципальное казенное учреждение "Контрактная служба" Углегорского муниципального округа</t>
        </is>
      </c>
      <c r="C4510" s="13" t="n">
        <v>6500003949</v>
      </c>
      <c r="D4510" s="13" t="inlineStr">
        <is>
          <t>6500003949</t>
        </is>
      </c>
      <c r="E4510" s="13" t="inlineStr">
        <is>
          <t>ЮЛ РФ</t>
        </is>
      </c>
      <c r="F4510" s="13" t="n"/>
      <c r="G4510" s="14" t="n"/>
      <c r="H4510" s="14" t="n"/>
      <c r="I4510" s="14" t="n"/>
      <c r="J4510" s="14" t="n"/>
      <c r="K4510" s="53" t="inlineStr"/>
      <c r="L4510" s="53" t="inlineStr">
        <is>
          <t>Не определено</t>
        </is>
      </c>
      <c r="M4510" s="53" t="inlineStr"/>
      <c r="N4510" s="54" t="inlineStr"/>
      <c r="O4510" s="55" t="inlineStr"/>
      <c r="P4510" s="16" t="inlineStr">
        <is>
          <t>Требует обогащения</t>
        </is>
      </c>
      <c r="Q4510" s="16">
        <f>HYPERLINK("https://pb.nalog.ru/search.html?query=6500003949","ФНС: проверить")</f>
        <v/>
      </c>
      <c r="R4510" s="16">
        <f>HYPERLINK("https://checko.ru/search?query=3801001629","Чекко: проверить")</f>
        <v/>
      </c>
      <c r="S4510" t="n">
        <v>1</v>
      </c>
      <c r="T4510" s="35" t="inlineStr">
        <is>
          <t>4 — Не обогащён</t>
        </is>
      </c>
      <c r="U4510" s="35" t="inlineStr">
        <is>
          <t>Нет ОКВЭД/ССЧР</t>
        </is>
      </c>
      <c r="V4510" s="35" t="inlineStr">
        <is>
          <t>Не определено</t>
        </is>
      </c>
      <c r="W4510" s="35" t="inlineStr"/>
      <c r="X4510" s="35" t="inlineStr"/>
    </row>
    <row r="4511" ht="27.75" customHeight="1" s="24">
      <c r="A4511" s="13" t="n">
        <v>5000111568</v>
      </c>
      <c r="B4511" s="13" t="inlineStr">
        <is>
          <t>КОНТРОЛЬНО-СЧЕТНАЯ ПАЛАТА УГЛЕГОРСКОГО МУНИЦИПАЛЬНОГО ОКРУГА</t>
        </is>
      </c>
      <c r="C4511" s="13" t="n">
        <v>6500009820</v>
      </c>
      <c r="D4511" s="13" t="inlineStr">
        <is>
          <t>6500009820</t>
        </is>
      </c>
      <c r="E4511" s="13" t="inlineStr">
        <is>
          <t>ЮЛ РФ</t>
        </is>
      </c>
      <c r="F4511" s="13" t="n"/>
      <c r="G4511" s="14" t="n"/>
      <c r="H4511" s="14" t="n"/>
      <c r="I4511" s="14" t="n"/>
      <c r="J4511" s="14" t="n"/>
      <c r="K4511" s="53" t="inlineStr"/>
      <c r="L4511" s="53" t="inlineStr">
        <is>
          <t>Не определено</t>
        </is>
      </c>
      <c r="M4511" s="53" t="inlineStr"/>
      <c r="N4511" s="54" t="inlineStr"/>
      <c r="O4511" s="55" t="inlineStr"/>
      <c r="P4511" s="16" t="inlineStr">
        <is>
          <t>Требует обогащения</t>
        </is>
      </c>
      <c r="Q4511" s="16">
        <f>HYPERLINK("https://pb.nalog.ru/search.html?query=6500009820","ФНС: проверить")</f>
        <v/>
      </c>
      <c r="R4511" s="16">
        <f>HYPERLINK("https://checko.ru/search?query=3801001629","Чекко: проверить")</f>
        <v/>
      </c>
      <c r="S4511" t="n">
        <v>1</v>
      </c>
      <c r="T4511" s="35" t="inlineStr">
        <is>
          <t>4 — Не обогащён</t>
        </is>
      </c>
      <c r="U4511" s="35" t="inlineStr">
        <is>
          <t>Нет ОКВЭД/ССЧР</t>
        </is>
      </c>
      <c r="V4511" s="35" t="inlineStr">
        <is>
          <t>Не определено</t>
        </is>
      </c>
      <c r="W4511" s="35" t="inlineStr"/>
      <c r="X4511" s="35" t="inlineStr"/>
    </row>
    <row r="4512" ht="15" customHeight="1" s="24">
      <c r="A4512" s="13" t="n">
        <v>5000110345</v>
      </c>
      <c r="B4512" s="13" t="inlineStr">
        <is>
          <t>МБУ «Редакция газеты «На рубеже»</t>
        </is>
      </c>
      <c r="C4512" s="13" t="n">
        <v>6500020052</v>
      </c>
      <c r="D4512" s="13" t="inlineStr">
        <is>
          <t>6500020052</t>
        </is>
      </c>
      <c r="E4512" s="13" t="inlineStr">
        <is>
          <t>ЮЛ РФ</t>
        </is>
      </c>
      <c r="F4512" s="13" t="n"/>
      <c r="G4512" s="14" t="n"/>
      <c r="H4512" s="14" t="n"/>
      <c r="I4512" s="14" t="n"/>
      <c r="J4512" s="14" t="n"/>
      <c r="K4512" s="53" t="inlineStr"/>
      <c r="L4512" s="53" t="inlineStr">
        <is>
          <t>Не определено</t>
        </is>
      </c>
      <c r="M4512" s="53" t="inlineStr"/>
      <c r="N4512" s="54" t="inlineStr"/>
      <c r="O4512" s="55" t="inlineStr"/>
      <c r="P4512" s="16" t="inlineStr">
        <is>
          <t>Требует обогащения</t>
        </is>
      </c>
      <c r="Q4512" s="16">
        <f>HYPERLINK("https://pb.nalog.ru/search.html?query=6500020052","ФНС: проверить")</f>
        <v/>
      </c>
      <c r="R4512" s="16">
        <f>HYPERLINK("https://checko.ru/search?query=3801001629","Чекко: проверить")</f>
        <v/>
      </c>
      <c r="S4512" t="n">
        <v>1</v>
      </c>
      <c r="T4512" s="35" t="inlineStr">
        <is>
          <t>4 — Не обогащён</t>
        </is>
      </c>
      <c r="U4512" s="35" t="inlineStr">
        <is>
          <t>Нет ОКВЭД/ССЧР</t>
        </is>
      </c>
      <c r="V4512" s="35" t="inlineStr">
        <is>
          <t>Не определено</t>
        </is>
      </c>
      <c r="W4512" s="35" t="inlineStr"/>
      <c r="X4512" s="35" t="inlineStr"/>
    </row>
    <row r="4513" ht="54.75" customHeight="1" s="24">
      <c r="A4513" s="13" t="n">
        <v>5000111554</v>
      </c>
      <c r="B4513" s="13" t="inlineStr">
        <is>
          <t>Муниципальное автономное Дошкольное Образовательное учреждение Детский Сад Общеразвивающего Вида № 48 "Малыш" г. Южно-Сахалинска</t>
        </is>
      </c>
      <c r="C4513" s="13" t="n">
        <v>6501147573</v>
      </c>
      <c r="D4513" s="13" t="inlineStr">
        <is>
          <t>6501147573</t>
        </is>
      </c>
      <c r="E4513" s="13" t="inlineStr">
        <is>
          <t>ЮЛ РФ</t>
        </is>
      </c>
      <c r="F4513" s="13" t="n"/>
      <c r="G4513" s="14" t="n"/>
      <c r="H4513" s="14" t="n"/>
      <c r="I4513" s="14" t="n"/>
      <c r="J4513" s="14" t="n"/>
      <c r="K4513" s="53" t="inlineStr"/>
      <c r="L4513" s="53" t="inlineStr">
        <is>
          <t>Не определено</t>
        </is>
      </c>
      <c r="M4513" s="53" t="inlineStr"/>
      <c r="N4513" s="54" t="inlineStr"/>
      <c r="O4513" s="55" t="inlineStr"/>
      <c r="P4513" s="16" t="inlineStr">
        <is>
          <t>Требует обогащения</t>
        </is>
      </c>
      <c r="Q4513" s="16">
        <f>HYPERLINK("https://pb.nalog.ru/search.html?query=6501147573","ФНС: проверить")</f>
        <v/>
      </c>
      <c r="R4513" s="16">
        <f>HYPERLINK("https://checko.ru/search?query=3801001629","Чекко: проверить")</f>
        <v/>
      </c>
      <c r="S4513" t="n">
        <v>1</v>
      </c>
      <c r="T4513" s="35" t="inlineStr">
        <is>
          <t>4 — Не обогащён</t>
        </is>
      </c>
      <c r="U4513" s="35" t="inlineStr">
        <is>
          <t>Нет ОКВЭД/ССЧР</t>
        </is>
      </c>
      <c r="V4513" s="35" t="inlineStr">
        <is>
          <t>Не определено</t>
        </is>
      </c>
      <c r="W4513" s="35" t="inlineStr"/>
      <c r="X4513" s="35" t="inlineStr"/>
    </row>
    <row r="4514" ht="54.75" customHeight="1" s="24">
      <c r="A4514" s="13" t="n">
        <v>5000111555</v>
      </c>
      <c r="B4514" s="13" t="inlineStr">
        <is>
          <t>Муниципальное автономное Общеобразовательное учреждение Средняя Общеобразовательная Школа № 3 Имени Героя России Сергея Ромашина Города Южно-Сахалинск</t>
        </is>
      </c>
      <c r="C4514" s="13" t="n">
        <v>6501102710</v>
      </c>
      <c r="D4514" s="13" t="inlineStr">
        <is>
          <t>6501102710</t>
        </is>
      </c>
      <c r="E4514" s="13" t="inlineStr">
        <is>
          <t>ЮЛ РФ</t>
        </is>
      </c>
      <c r="F4514" s="13" t="n"/>
      <c r="G4514" s="14" t="n"/>
      <c r="H4514" s="14" t="n"/>
      <c r="I4514" s="14" t="n"/>
      <c r="J4514" s="14" t="n"/>
      <c r="K4514" s="53" t="inlineStr"/>
      <c r="L4514" s="53" t="inlineStr">
        <is>
          <t>Не определено</t>
        </is>
      </c>
      <c r="M4514" s="53" t="inlineStr"/>
      <c r="N4514" s="54" t="inlineStr"/>
      <c r="O4514" s="55" t="inlineStr"/>
      <c r="P4514" s="16" t="inlineStr">
        <is>
          <t>Требует обогащения</t>
        </is>
      </c>
      <c r="Q4514" s="16">
        <f>HYPERLINK("https://pb.nalog.ru/search.html?query=6501102710","ФНС: проверить")</f>
        <v/>
      </c>
      <c r="R4514" s="16">
        <f>HYPERLINK("https://checko.ru/search?query=3801001629","Чекко: проверить")</f>
        <v/>
      </c>
      <c r="S4514" t="n">
        <v>1</v>
      </c>
      <c r="T4514" s="35" t="inlineStr">
        <is>
          <t>4 — Не обогащён</t>
        </is>
      </c>
      <c r="U4514" s="35" t="inlineStr">
        <is>
          <t>Нет ОКВЭД/ССЧР</t>
        </is>
      </c>
      <c r="V4514" s="35" t="inlineStr">
        <is>
          <t>Не определено</t>
        </is>
      </c>
      <c r="W4514" s="35" t="inlineStr"/>
      <c r="X4514" s="35" t="inlineStr"/>
    </row>
    <row r="4515" ht="15" customHeight="1" s="24">
      <c r="A4515" s="13" t="n">
        <v>5000109146</v>
      </c>
      <c r="B4515" s="13" t="inlineStr">
        <is>
          <t>МБДОУ детский сад № 20 "Снегурочка" г. Охи</t>
        </is>
      </c>
      <c r="C4515" s="13" t="n">
        <v>6506007724</v>
      </c>
      <c r="D4515" s="13" t="inlineStr">
        <is>
          <t>6506007724</t>
        </is>
      </c>
      <c r="E4515" s="13" t="inlineStr">
        <is>
          <t>ЮЛ РФ</t>
        </is>
      </c>
      <c r="F4515" s="13" t="n"/>
      <c r="G4515" s="14" t="n"/>
      <c r="H4515" s="14" t="n"/>
      <c r="I4515" s="14" t="n"/>
      <c r="J4515" s="14" t="n"/>
      <c r="K4515" s="53" t="inlineStr"/>
      <c r="L4515" s="53" t="inlineStr">
        <is>
          <t>Не определено</t>
        </is>
      </c>
      <c r="M4515" s="53" t="inlineStr"/>
      <c r="N4515" s="54" t="inlineStr"/>
      <c r="O4515" s="55" t="inlineStr"/>
      <c r="P4515" s="16" t="inlineStr">
        <is>
          <t>Требует обогащения</t>
        </is>
      </c>
      <c r="Q4515" s="16">
        <f>HYPERLINK("https://pb.nalog.ru/search.html?query=6506007724","ФНС: проверить")</f>
        <v/>
      </c>
      <c r="R4515" s="16">
        <f>HYPERLINK("https://checko.ru/search?query=3801001629","Чекко: проверить")</f>
        <v/>
      </c>
      <c r="S4515" t="n">
        <v>1</v>
      </c>
      <c r="T4515" s="35" t="inlineStr">
        <is>
          <t>4 — Не обогащён</t>
        </is>
      </c>
      <c r="U4515" s="35" t="inlineStr">
        <is>
          <t>Нет ОКВЭД/ССЧР</t>
        </is>
      </c>
      <c r="V4515" s="35" t="inlineStr">
        <is>
          <t>Не определено</t>
        </is>
      </c>
      <c r="W4515" s="35" t="inlineStr"/>
      <c r="X4515" s="35" t="inlineStr"/>
    </row>
    <row r="4516" ht="27.75" customHeight="1" s="24">
      <c r="A4516" s="13" t="n">
        <v>5000112436</v>
      </c>
      <c r="B4516" s="13" t="inlineStr">
        <is>
          <t>АДМИНИСТРАЦИЯ ТОМАРИНСКОГО МУНИЦИПАЛЬНОГО ОКРУГА</t>
        </is>
      </c>
      <c r="C4516" s="13" t="n">
        <v>6516005571</v>
      </c>
      <c r="D4516" s="13" t="inlineStr">
        <is>
          <t>6516005571</t>
        </is>
      </c>
      <c r="E4516" s="13" t="inlineStr">
        <is>
          <t>ЮЛ РФ</t>
        </is>
      </c>
      <c r="F4516" s="13" t="n"/>
      <c r="G4516" s="14" t="n"/>
      <c r="H4516" s="14" t="n"/>
      <c r="I4516" s="14" t="n"/>
      <c r="J4516" s="14" t="n"/>
      <c r="K4516" s="53" t="inlineStr"/>
      <c r="L4516" s="53" t="inlineStr">
        <is>
          <t>Не определено</t>
        </is>
      </c>
      <c r="M4516" s="53" t="inlineStr"/>
      <c r="N4516" s="54" t="inlineStr"/>
      <c r="O4516" s="55" t="inlineStr"/>
      <c r="P4516" s="16" t="inlineStr">
        <is>
          <t>Требует обогащения</t>
        </is>
      </c>
      <c r="Q4516" s="16">
        <f>HYPERLINK("https://pb.nalog.ru/search.html?query=6516005571","ФНС: проверить")</f>
        <v/>
      </c>
      <c r="R4516" s="16">
        <f>HYPERLINK("https://checko.ru/search?query=3801001629","Чекко: проверить")</f>
        <v/>
      </c>
      <c r="S4516" t="n">
        <v>1</v>
      </c>
      <c r="T4516" s="35" t="inlineStr">
        <is>
          <t>4 — Не обогащён</t>
        </is>
      </c>
      <c r="U4516" s="35" t="inlineStr">
        <is>
          <t>Нет ОКВЭД/ССЧР</t>
        </is>
      </c>
      <c r="V4516" s="35" t="inlineStr">
        <is>
          <t>Не определено</t>
        </is>
      </c>
      <c r="W4516" s="35" t="inlineStr"/>
      <c r="X4516" s="35" t="inlineStr"/>
    </row>
    <row r="4517" ht="27.75" customHeight="1" s="24">
      <c r="A4517" s="13" t="n">
        <v>5000112436</v>
      </c>
      <c r="B4517" s="13" t="inlineStr">
        <is>
          <t>АДМИНИСТРАЦИЯ ТОМАРИНСКОГО МУНИЦИПАЛЬНОГО ОКРУГА</t>
        </is>
      </c>
      <c r="C4517" s="13" t="n">
        <v>6516005571</v>
      </c>
      <c r="D4517" s="13" t="inlineStr">
        <is>
          <t>6516005571</t>
        </is>
      </c>
      <c r="E4517" s="13" t="inlineStr">
        <is>
          <t>ЮЛ РФ</t>
        </is>
      </c>
      <c r="F4517" s="13" t="n"/>
      <c r="G4517" s="14" t="n"/>
      <c r="H4517" s="14" t="n"/>
      <c r="I4517" s="14" t="n"/>
      <c r="J4517" s="14" t="n"/>
      <c r="K4517" s="53" t="inlineStr"/>
      <c r="L4517" s="53" t="inlineStr">
        <is>
          <t>Не определено</t>
        </is>
      </c>
      <c r="M4517" s="53" t="inlineStr"/>
      <c r="N4517" s="54" t="inlineStr"/>
      <c r="O4517" s="55" t="inlineStr"/>
      <c r="P4517" s="16" t="inlineStr">
        <is>
          <t>Требует обогащения</t>
        </is>
      </c>
      <c r="Q4517" s="16">
        <f>HYPERLINK("https://pb.nalog.ru/search.html?query=6516005571","ФНС: проверить")</f>
        <v/>
      </c>
      <c r="R4517" s="16">
        <f>HYPERLINK("https://checko.ru/search?query=3801001629","Чекко: проверить")</f>
        <v/>
      </c>
      <c r="S4517" t="n">
        <v>0</v>
      </c>
      <c r="T4517" s="35" t="inlineStr">
        <is>
          <t>4 — Не обогащён</t>
        </is>
      </c>
      <c r="U4517" s="35" t="inlineStr">
        <is>
          <t>Нет ОКВЭД/ССЧР</t>
        </is>
      </c>
      <c r="V4517" s="35" t="inlineStr">
        <is>
          <t>Не определено</t>
        </is>
      </c>
      <c r="W4517" s="35" t="inlineStr"/>
      <c r="X4517" s="35" t="inlineStr"/>
    </row>
    <row r="4518" ht="27.75" customHeight="1" s="24">
      <c r="A4518" s="13" t="n">
        <v>5000112437</v>
      </c>
      <c r="B4518" s="13" t="inlineStr">
        <is>
          <t>МКУ "ЦБ" ТОМАРИНСКОГО МУНИЦИПАЛЬНОГО ОКРУГА</t>
        </is>
      </c>
      <c r="C4518" s="13" t="n">
        <v>6516008371</v>
      </c>
      <c r="D4518" s="13" t="inlineStr">
        <is>
          <t>6516008371</t>
        </is>
      </c>
      <c r="E4518" s="13" t="inlineStr">
        <is>
          <t>ЮЛ РФ</t>
        </is>
      </c>
      <c r="F4518" s="13" t="n"/>
      <c r="G4518" s="14" t="n"/>
      <c r="H4518" s="14" t="n"/>
      <c r="I4518" s="14" t="n"/>
      <c r="J4518" s="14" t="n"/>
      <c r="K4518" s="53" t="inlineStr"/>
      <c r="L4518" s="53" t="inlineStr">
        <is>
          <t>Не определено</t>
        </is>
      </c>
      <c r="M4518" s="53" t="inlineStr"/>
      <c r="N4518" s="54" t="inlineStr"/>
      <c r="O4518" s="55" t="inlineStr"/>
      <c r="P4518" s="16" t="inlineStr">
        <is>
          <t>Требует обогащения</t>
        </is>
      </c>
      <c r="Q4518" s="16">
        <f>HYPERLINK("https://pb.nalog.ru/search.html?query=6516008371","ФНС: проверить")</f>
        <v/>
      </c>
      <c r="R4518" s="16">
        <f>HYPERLINK("https://checko.ru/search?query=3801001629","Чекко: проверить")</f>
        <v/>
      </c>
      <c r="S4518" t="n">
        <v>1</v>
      </c>
      <c r="T4518" s="35" t="inlineStr">
        <is>
          <t>4 — Не обогащён</t>
        </is>
      </c>
      <c r="U4518" s="35" t="inlineStr">
        <is>
          <t>Нет ОКВЭД/ССЧР</t>
        </is>
      </c>
      <c r="V4518" s="35" t="inlineStr">
        <is>
          <t>Не определено</t>
        </is>
      </c>
      <c r="W4518" s="35" t="inlineStr"/>
      <c r="X4518" s="35" t="inlineStr"/>
    </row>
    <row r="4519" ht="27.75" customHeight="1" s="24">
      <c r="A4519" s="13" t="n">
        <v>5000112438</v>
      </c>
      <c r="B4519" s="13" t="inlineStr">
        <is>
          <t>МКУ "УКС" ТОМАРИНСКОГО МУНИЦИПАЛЬНОГО ОКРУГА</t>
        </is>
      </c>
      <c r="C4519" s="13" t="n">
        <v>6516008928</v>
      </c>
      <c r="D4519" s="13" t="inlineStr">
        <is>
          <t>6516008928</t>
        </is>
      </c>
      <c r="E4519" s="13" t="inlineStr">
        <is>
          <t>ЮЛ РФ</t>
        </is>
      </c>
      <c r="F4519" s="13" t="n"/>
      <c r="G4519" s="14" t="n"/>
      <c r="H4519" s="14" t="n"/>
      <c r="I4519" s="14" t="n"/>
      <c r="J4519" s="14" t="n"/>
      <c r="K4519" s="53" t="inlineStr"/>
      <c r="L4519" s="53" t="inlineStr">
        <is>
          <t>Не определено</t>
        </is>
      </c>
      <c r="M4519" s="53" t="inlineStr"/>
      <c r="N4519" s="54" t="inlineStr"/>
      <c r="O4519" s="55" t="inlineStr"/>
      <c r="P4519" s="16" t="inlineStr">
        <is>
          <t>Требует обогащения</t>
        </is>
      </c>
      <c r="Q4519" s="16">
        <f>HYPERLINK("https://pb.nalog.ru/search.html?query=6516008928","ФНС: проверить")</f>
        <v/>
      </c>
      <c r="R4519" s="16">
        <f>HYPERLINK("https://checko.ru/search?query=3801001629","Чекко: проверить")</f>
        <v/>
      </c>
      <c r="S4519" t="n">
        <v>1</v>
      </c>
      <c r="T4519" s="35" t="inlineStr">
        <is>
          <t>4 — Не обогащён</t>
        </is>
      </c>
      <c r="U4519" s="35" t="inlineStr">
        <is>
          <t>Нет ОКВЭД/ССЧР</t>
        </is>
      </c>
      <c r="V4519" s="35" t="inlineStr">
        <is>
          <t>Не определено</t>
        </is>
      </c>
      <c r="W4519" s="35" t="inlineStr"/>
      <c r="X4519" s="35" t="inlineStr"/>
    </row>
    <row r="4520" ht="15" customHeight="1" s="24">
      <c r="A4520" s="13" t="n">
        <v>5000112413</v>
      </c>
      <c r="B4520" s="13" t="inlineStr">
        <is>
          <t>МБУ ДО "СШ" Г. ТОМАРИ САХАЛИНСКОЙ ОБЛАСТИ</t>
        </is>
      </c>
      <c r="C4520" s="13" t="n">
        <v>6516002468</v>
      </c>
      <c r="D4520" s="13" t="inlineStr">
        <is>
          <t>6516002468</t>
        </is>
      </c>
      <c r="E4520" s="13" t="inlineStr">
        <is>
          <t>ЮЛ РФ</t>
        </is>
      </c>
      <c r="F4520" s="13" t="n"/>
      <c r="G4520" s="14" t="n"/>
      <c r="H4520" s="14" t="n"/>
      <c r="I4520" s="14" t="n"/>
      <c r="J4520" s="14" t="n"/>
      <c r="K4520" s="53" t="inlineStr"/>
      <c r="L4520" s="53" t="inlineStr">
        <is>
          <t>Не определено</t>
        </is>
      </c>
      <c r="M4520" s="53" t="inlineStr"/>
      <c r="N4520" s="54" t="inlineStr"/>
      <c r="O4520" s="55" t="inlineStr"/>
      <c r="P4520" s="16" t="inlineStr">
        <is>
          <t>Требует обогащения</t>
        </is>
      </c>
      <c r="Q4520" s="16">
        <f>HYPERLINK("https://pb.nalog.ru/search.html?query=6516002468","ФНС: проверить")</f>
        <v/>
      </c>
      <c r="R4520" s="16">
        <f>HYPERLINK("https://checko.ru/search?query=3801001629","Чекко: проверить")</f>
        <v/>
      </c>
      <c r="S4520" t="n">
        <v>1</v>
      </c>
      <c r="T4520" s="35" t="inlineStr">
        <is>
          <t>4 — Не обогащён</t>
        </is>
      </c>
      <c r="U4520" s="35" t="inlineStr">
        <is>
          <t>Нет ОКВЭД/ССЧР</t>
        </is>
      </c>
      <c r="V4520" s="35" t="inlineStr">
        <is>
          <t>Не определено</t>
        </is>
      </c>
      <c r="W4520" s="35" t="inlineStr"/>
      <c r="X4520" s="35" t="inlineStr"/>
    </row>
    <row r="4521" ht="15" customHeight="1" s="24">
      <c r="A4521" s="13" t="n">
        <v>5000112439</v>
      </c>
      <c r="B4521" s="13" t="inlineStr">
        <is>
          <t>МКУ "АХО УО" Г.ТОМАРИ</t>
        </is>
      </c>
      <c r="C4521" s="13" t="n">
        <v>6516008519</v>
      </c>
      <c r="D4521" s="13" t="inlineStr">
        <is>
          <t>6516008519</t>
        </is>
      </c>
      <c r="E4521" s="13" t="inlineStr">
        <is>
          <t>ЮЛ РФ</t>
        </is>
      </c>
      <c r="F4521" s="13" t="n"/>
      <c r="G4521" s="14" t="n"/>
      <c r="H4521" s="14" t="n"/>
      <c r="I4521" s="14" t="n"/>
      <c r="J4521" s="14" t="n"/>
      <c r="K4521" s="53" t="inlineStr"/>
      <c r="L4521" s="53" t="inlineStr">
        <is>
          <t>Не определено</t>
        </is>
      </c>
      <c r="M4521" s="53" t="inlineStr"/>
      <c r="N4521" s="54" t="inlineStr"/>
      <c r="O4521" s="55" t="inlineStr"/>
      <c r="P4521" s="16" t="inlineStr">
        <is>
          <t>Требует обогащения</t>
        </is>
      </c>
      <c r="Q4521" s="16">
        <f>HYPERLINK("https://pb.nalog.ru/search.html?query=6516008519","ФНС: проверить")</f>
        <v/>
      </c>
      <c r="R4521" s="16">
        <f>HYPERLINK("https://checko.ru/search?query=3801001629","Чекко: проверить")</f>
        <v/>
      </c>
      <c r="S4521" t="n">
        <v>1</v>
      </c>
      <c r="T4521" s="35" t="inlineStr">
        <is>
          <t>4 — Не обогащён</t>
        </is>
      </c>
      <c r="U4521" s="35" t="inlineStr">
        <is>
          <t>Нет ОКВЭД/ССЧР</t>
        </is>
      </c>
      <c r="V4521" s="35" t="inlineStr">
        <is>
          <t>Не определено</t>
        </is>
      </c>
      <c r="W4521" s="35" t="inlineStr"/>
      <c r="X4521" s="35" t="inlineStr"/>
    </row>
    <row r="4522" ht="15" customHeight="1" s="24">
      <c r="A4522" s="13" t="n">
        <v>5000112414</v>
      </c>
      <c r="B4522" s="13" t="inlineStr">
        <is>
          <t>УКСИМП</t>
        </is>
      </c>
      <c r="C4522" s="13" t="n">
        <v>6516008491</v>
      </c>
      <c r="D4522" s="13" t="inlineStr">
        <is>
          <t>6516008491</t>
        </is>
      </c>
      <c r="E4522" s="13" t="inlineStr">
        <is>
          <t>ЮЛ РФ</t>
        </is>
      </c>
      <c r="F4522" s="13" t="n"/>
      <c r="G4522" s="14" t="n"/>
      <c r="H4522" s="14" t="n"/>
      <c r="I4522" s="14" t="n"/>
      <c r="J4522" s="14" t="n"/>
      <c r="K4522" s="53" t="inlineStr"/>
      <c r="L4522" s="53" t="inlineStr">
        <is>
          <t>Не определено</t>
        </is>
      </c>
      <c r="M4522" s="53" t="inlineStr"/>
      <c r="N4522" s="54" t="inlineStr"/>
      <c r="O4522" s="55" t="inlineStr"/>
      <c r="P4522" s="16" t="inlineStr">
        <is>
          <t>Требует обогащения</t>
        </is>
      </c>
      <c r="Q4522" s="16">
        <f>HYPERLINK("https://pb.nalog.ru/search.html?query=6516008491","ФНС: проверить")</f>
        <v/>
      </c>
      <c r="R4522" s="16">
        <f>HYPERLINK("https://checko.ru/search?query=3801001629","Чекко: проверить")</f>
        <v/>
      </c>
      <c r="S4522" t="n">
        <v>1</v>
      </c>
      <c r="T4522" s="35" t="inlineStr">
        <is>
          <t>4 — Не обогащён</t>
        </is>
      </c>
      <c r="U4522" s="35" t="inlineStr">
        <is>
          <t>Нет ОКВЭД/ССЧР</t>
        </is>
      </c>
      <c r="V4522" s="35" t="inlineStr">
        <is>
          <t>Не определено</t>
        </is>
      </c>
      <c r="W4522" s="35" t="inlineStr"/>
      <c r="X4522" s="35" t="inlineStr"/>
    </row>
    <row r="4523" ht="15" customHeight="1" s="24">
      <c r="A4523" s="13" t="n">
        <v>5000112414</v>
      </c>
      <c r="B4523" s="13" t="inlineStr">
        <is>
          <t>УКСИМП</t>
        </is>
      </c>
      <c r="C4523" s="13" t="n">
        <v>6516008491</v>
      </c>
      <c r="D4523" s="13" t="inlineStr">
        <is>
          <t>6516008491</t>
        </is>
      </c>
      <c r="E4523" s="13" t="inlineStr">
        <is>
          <t>ЮЛ РФ</t>
        </is>
      </c>
      <c r="F4523" s="13" t="n"/>
      <c r="G4523" s="14" t="n"/>
      <c r="H4523" s="14" t="n"/>
      <c r="I4523" s="14" t="n"/>
      <c r="J4523" s="14" t="n"/>
      <c r="K4523" s="53" t="inlineStr"/>
      <c r="L4523" s="53" t="inlineStr">
        <is>
          <t>Не определено</t>
        </is>
      </c>
      <c r="M4523" s="53" t="inlineStr"/>
      <c r="N4523" s="54" t="inlineStr"/>
      <c r="O4523" s="55" t="inlineStr"/>
      <c r="P4523" s="16" t="inlineStr">
        <is>
          <t>Требует обогащения</t>
        </is>
      </c>
      <c r="Q4523" s="16">
        <f>HYPERLINK("https://pb.nalog.ru/search.html?query=6516008491","ФНС: проверить")</f>
        <v/>
      </c>
      <c r="R4523" s="16">
        <f>HYPERLINK("https://checko.ru/search?query=3801001629","Чекко: проверить")</f>
        <v/>
      </c>
      <c r="S4523" t="n">
        <v>0</v>
      </c>
      <c r="T4523" s="35" t="inlineStr">
        <is>
          <t>4 — Не обогащён</t>
        </is>
      </c>
      <c r="U4523" s="35" t="inlineStr">
        <is>
          <t>Нет ОКВЭД/ССЧР</t>
        </is>
      </c>
      <c r="V4523" s="35" t="inlineStr">
        <is>
          <t>Не определено</t>
        </is>
      </c>
      <c r="W4523" s="35" t="inlineStr"/>
      <c r="X4523" s="35" t="inlineStr"/>
    </row>
    <row r="4524" ht="15" customHeight="1" s="24">
      <c r="A4524" s="13" t="n">
        <v>5000112415</v>
      </c>
      <c r="B4524" s="13" t="inlineStr">
        <is>
          <t>МБУК "ТОМАРИНСКАЯ ЦБС"</t>
        </is>
      </c>
      <c r="C4524" s="13" t="n">
        <v>6516002605</v>
      </c>
      <c r="D4524" s="13" t="inlineStr">
        <is>
          <t>6516002605</t>
        </is>
      </c>
      <c r="E4524" s="13" t="inlineStr">
        <is>
          <t>ЮЛ РФ</t>
        </is>
      </c>
      <c r="F4524" s="13" t="n"/>
      <c r="G4524" s="14" t="n"/>
      <c r="H4524" s="14" t="n"/>
      <c r="I4524" s="14" t="n"/>
      <c r="J4524" s="14" t="n"/>
      <c r="K4524" s="53" t="inlineStr"/>
      <c r="L4524" s="53" t="inlineStr">
        <is>
          <t>Не определено</t>
        </is>
      </c>
      <c r="M4524" s="53" t="inlineStr"/>
      <c r="N4524" s="54" t="inlineStr"/>
      <c r="O4524" s="55" t="inlineStr"/>
      <c r="P4524" s="16" t="inlineStr">
        <is>
          <t>Требует обогащения</t>
        </is>
      </c>
      <c r="Q4524" s="16">
        <f>HYPERLINK("https://pb.nalog.ru/search.html?query=6516002605","ФНС: проверить")</f>
        <v/>
      </c>
      <c r="R4524" s="16">
        <f>HYPERLINK("https://checko.ru/search?query=3801001629","Чекко: проверить")</f>
        <v/>
      </c>
      <c r="S4524" t="n">
        <v>1</v>
      </c>
      <c r="T4524" s="35" t="inlineStr">
        <is>
          <t>4 — Не обогащён</t>
        </is>
      </c>
      <c r="U4524" s="35" t="inlineStr">
        <is>
          <t>Нет ОКВЭД/ССЧР</t>
        </is>
      </c>
      <c r="V4524" s="35" t="inlineStr">
        <is>
          <t>Не определено</t>
        </is>
      </c>
      <c r="W4524" s="35" t="inlineStr"/>
      <c r="X4524" s="35" t="inlineStr"/>
    </row>
    <row r="4525" ht="15" customHeight="1" s="24">
      <c r="A4525" s="13" t="n">
        <v>5000112416</v>
      </c>
      <c r="B4525" s="13" t="inlineStr">
        <is>
          <t>МБУ ДО "ДШИ Г.ТОМАРИ"</t>
        </is>
      </c>
      <c r="C4525" s="13" t="n">
        <v>6516002612</v>
      </c>
      <c r="D4525" s="13" t="inlineStr">
        <is>
          <t>6516002612</t>
        </is>
      </c>
      <c r="E4525" s="13" t="inlineStr">
        <is>
          <t>ЮЛ РФ</t>
        </is>
      </c>
      <c r="F4525" s="13" t="n"/>
      <c r="G4525" s="14" t="n"/>
      <c r="H4525" s="14" t="n"/>
      <c r="I4525" s="14" t="n"/>
      <c r="J4525" s="14" t="n"/>
      <c r="K4525" s="53" t="inlineStr"/>
      <c r="L4525" s="53" t="inlineStr">
        <is>
          <t>Не определено</t>
        </is>
      </c>
      <c r="M4525" s="53" t="inlineStr"/>
      <c r="N4525" s="54" t="inlineStr"/>
      <c r="O4525" s="55" t="inlineStr"/>
      <c r="P4525" s="16" t="inlineStr">
        <is>
          <t>Требует обогащения</t>
        </is>
      </c>
      <c r="Q4525" s="16">
        <f>HYPERLINK("https://pb.nalog.ru/search.html?query=6516002612","ФНС: проверить")</f>
        <v/>
      </c>
      <c r="R4525" s="16">
        <f>HYPERLINK("https://checko.ru/search?query=3801001629","Чекко: проверить")</f>
        <v/>
      </c>
      <c r="S4525" t="n">
        <v>1</v>
      </c>
      <c r="T4525" s="35" t="inlineStr">
        <is>
          <t>4 — Не обогащён</t>
        </is>
      </c>
      <c r="U4525" s="35" t="inlineStr">
        <is>
          <t>Нет ОКВЭД/ССЧР</t>
        </is>
      </c>
      <c r="V4525" s="35" t="inlineStr">
        <is>
          <t>Не определено</t>
        </is>
      </c>
      <c r="W4525" s="35" t="inlineStr"/>
      <c r="X4525" s="35" t="inlineStr"/>
    </row>
    <row r="4526" ht="15" customHeight="1" s="24">
      <c r="A4526" s="13" t="n">
        <v>5000112418</v>
      </c>
      <c r="B4526" s="13" t="inlineStr">
        <is>
          <t>МКУ "ЦБ УО" Г.ТОМАРИ</t>
        </is>
      </c>
      <c r="C4526" s="13" t="n">
        <v>6516008526</v>
      </c>
      <c r="D4526" s="13" t="inlineStr">
        <is>
          <t>6516008526</t>
        </is>
      </c>
      <c r="E4526" s="13" t="inlineStr">
        <is>
          <t>ЮЛ РФ</t>
        </is>
      </c>
      <c r="F4526" s="13" t="n"/>
      <c r="G4526" s="14" t="n"/>
      <c r="H4526" s="14" t="n"/>
      <c r="I4526" s="14" t="n"/>
      <c r="J4526" s="14" t="n"/>
      <c r="K4526" s="53" t="inlineStr"/>
      <c r="L4526" s="53" t="inlineStr">
        <is>
          <t>Не определено</t>
        </is>
      </c>
      <c r="M4526" s="53" t="inlineStr"/>
      <c r="N4526" s="54" t="inlineStr"/>
      <c r="O4526" s="55" t="inlineStr"/>
      <c r="P4526" s="16" t="inlineStr">
        <is>
          <t>Требует обогащения</t>
        </is>
      </c>
      <c r="Q4526" s="16">
        <f>HYPERLINK("https://pb.nalog.ru/search.html?query=6516008526","ФНС: проверить")</f>
        <v/>
      </c>
      <c r="R4526" s="16">
        <f>HYPERLINK("https://checko.ru/search?query=3801001629","Чекко: проверить")</f>
        <v/>
      </c>
      <c r="S4526" t="n">
        <v>1</v>
      </c>
      <c r="T4526" s="35" t="inlineStr">
        <is>
          <t>4 — Не обогащён</t>
        </is>
      </c>
      <c r="U4526" s="35" t="inlineStr">
        <is>
          <t>Нет ОКВЭД/ССЧР</t>
        </is>
      </c>
      <c r="V4526" s="35" t="inlineStr">
        <is>
          <t>Не определено</t>
        </is>
      </c>
      <c r="W4526" s="35" t="inlineStr"/>
      <c r="X4526" s="35" t="inlineStr"/>
    </row>
    <row r="4527" ht="15" customHeight="1" s="24">
      <c r="A4527" s="13" t="n">
        <v>5000112419</v>
      </c>
      <c r="B4527" s="13" t="inlineStr">
        <is>
          <t>МБУК "ТОМАРИНСКИЙ КРАЕВЕДЧЕСКИЙ МУЗЕЙ"</t>
        </is>
      </c>
      <c r="C4527" s="13" t="n">
        <v>6516008477</v>
      </c>
      <c r="D4527" s="13" t="inlineStr">
        <is>
          <t>6516008477</t>
        </is>
      </c>
      <c r="E4527" s="13" t="inlineStr">
        <is>
          <t>ЮЛ РФ</t>
        </is>
      </c>
      <c r="F4527" s="13" t="n"/>
      <c r="G4527" s="14" t="n"/>
      <c r="H4527" s="14" t="n"/>
      <c r="I4527" s="14" t="n"/>
      <c r="J4527" s="14" t="n"/>
      <c r="K4527" s="53" t="inlineStr"/>
      <c r="L4527" s="53" t="inlineStr">
        <is>
          <t>Не определено</t>
        </is>
      </c>
      <c r="M4527" s="53" t="inlineStr"/>
      <c r="N4527" s="54" t="inlineStr"/>
      <c r="O4527" s="55" t="inlineStr"/>
      <c r="P4527" s="16" t="inlineStr">
        <is>
          <t>Требует обогащения</t>
        </is>
      </c>
      <c r="Q4527" s="16">
        <f>HYPERLINK("https://pb.nalog.ru/search.html?query=6516008477","ФНС: проверить")</f>
        <v/>
      </c>
      <c r="R4527" s="16">
        <f>HYPERLINK("https://checko.ru/search?query=3801001629","Чекко: проверить")</f>
        <v/>
      </c>
      <c r="S4527" t="n">
        <v>1</v>
      </c>
      <c r="T4527" s="35" t="inlineStr">
        <is>
          <t>4 — Не обогащён</t>
        </is>
      </c>
      <c r="U4527" s="35" t="inlineStr">
        <is>
          <t>Нет ОКВЭД/ССЧР</t>
        </is>
      </c>
      <c r="V4527" s="35" t="inlineStr">
        <is>
          <t>Не определено</t>
        </is>
      </c>
      <c r="W4527" s="35" t="inlineStr"/>
      <c r="X4527" s="35" t="inlineStr"/>
    </row>
    <row r="4528" ht="27.75" customHeight="1" s="24">
      <c r="A4528" s="13" t="n">
        <v>5000112420</v>
      </c>
      <c r="B4528" s="13" t="inlineStr">
        <is>
          <t>МКУ "АО" ТОМАРИНСКОГО МУНИЦИПАЛЬНОГО ОКРУГА</t>
        </is>
      </c>
      <c r="C4528" s="13" t="n">
        <v>6516008420</v>
      </c>
      <c r="D4528" s="13" t="inlineStr">
        <is>
          <t>6516008420</t>
        </is>
      </c>
      <c r="E4528" s="13" t="inlineStr">
        <is>
          <t>ЮЛ РФ</t>
        </is>
      </c>
      <c r="F4528" s="13" t="n"/>
      <c r="G4528" s="14" t="n"/>
      <c r="H4528" s="14" t="n"/>
      <c r="I4528" s="14" t="n"/>
      <c r="J4528" s="14" t="n"/>
      <c r="K4528" s="53" t="inlineStr"/>
      <c r="L4528" s="53" t="inlineStr">
        <is>
          <t>Не определено</t>
        </is>
      </c>
      <c r="M4528" s="53" t="inlineStr"/>
      <c r="N4528" s="54" t="inlineStr"/>
      <c r="O4528" s="55" t="inlineStr"/>
      <c r="P4528" s="16" t="inlineStr">
        <is>
          <t>Требует обогащения</t>
        </is>
      </c>
      <c r="Q4528" s="16">
        <f>HYPERLINK("https://pb.nalog.ru/search.html?query=6516008420","ФНС: проверить")</f>
        <v/>
      </c>
      <c r="R4528" s="16">
        <f>HYPERLINK("https://checko.ru/search?query=3801001629","Чекко: проверить")</f>
        <v/>
      </c>
      <c r="S4528" t="n">
        <v>1</v>
      </c>
      <c r="T4528" s="35" t="inlineStr">
        <is>
          <t>4 — Не обогащён</t>
        </is>
      </c>
      <c r="U4528" s="35" t="inlineStr">
        <is>
          <t>Нет ОКВЭД/ССЧР</t>
        </is>
      </c>
      <c r="V4528" s="35" t="inlineStr">
        <is>
          <t>Не определено</t>
        </is>
      </c>
      <c r="W4528" s="35" t="inlineStr"/>
      <c r="X4528" s="35" t="inlineStr"/>
    </row>
    <row r="4529" ht="15" customHeight="1" s="24">
      <c r="A4529" s="13" t="n">
        <v>5000112421</v>
      </c>
      <c r="B4529" s="13" t="inlineStr">
        <is>
          <t>МБУК "ТОМАРИНСКАЯ ЦКС"</t>
        </is>
      </c>
      <c r="C4529" s="13" t="n">
        <v>6516008861</v>
      </c>
      <c r="D4529" s="13" t="inlineStr">
        <is>
          <t>6516008861</t>
        </is>
      </c>
      <c r="E4529" s="13" t="inlineStr">
        <is>
          <t>ЮЛ РФ</t>
        </is>
      </c>
      <c r="F4529" s="13" t="n"/>
      <c r="G4529" s="14" t="n"/>
      <c r="H4529" s="14" t="n"/>
      <c r="I4529" s="14" t="n"/>
      <c r="J4529" s="14" t="n"/>
      <c r="K4529" s="53" t="inlineStr"/>
      <c r="L4529" s="53" t="inlineStr">
        <is>
          <t>Не определено</t>
        </is>
      </c>
      <c r="M4529" s="53" t="inlineStr"/>
      <c r="N4529" s="54" t="inlineStr"/>
      <c r="O4529" s="55" t="inlineStr"/>
      <c r="P4529" s="16" t="inlineStr">
        <is>
          <t>Требует обогащения</t>
        </is>
      </c>
      <c r="Q4529" s="16">
        <f>HYPERLINK("https://pb.nalog.ru/search.html?query=6516008861","ФНС: проверить")</f>
        <v/>
      </c>
      <c r="R4529" s="16">
        <f>HYPERLINK("https://checko.ru/search?query=3801001629","Чекко: проверить")</f>
        <v/>
      </c>
      <c r="S4529" t="n">
        <v>1</v>
      </c>
      <c r="T4529" s="35" t="inlineStr">
        <is>
          <t>4 — Не обогащён</t>
        </is>
      </c>
      <c r="U4529" s="35" t="inlineStr">
        <is>
          <t>Нет ОКВЭД/ССЧР</t>
        </is>
      </c>
      <c r="V4529" s="35" t="inlineStr">
        <is>
          <t>Не определено</t>
        </is>
      </c>
      <c r="W4529" s="35" t="inlineStr"/>
      <c r="X4529" s="35" t="inlineStr"/>
    </row>
    <row r="4530" ht="15" customHeight="1" s="24">
      <c r="A4530" s="13" t="n">
        <v>5000112422</v>
      </c>
      <c r="B4530" s="13" t="inlineStr">
        <is>
          <t>КОНТРОЛЬНО-СЧЕТНАЯ ПАЛАТА</t>
        </is>
      </c>
      <c r="C4530" s="13" t="n">
        <v>6500004879</v>
      </c>
      <c r="D4530" s="13" t="inlineStr">
        <is>
          <t>6500004879</t>
        </is>
      </c>
      <c r="E4530" s="13" t="inlineStr">
        <is>
          <t>ЮЛ РФ</t>
        </is>
      </c>
      <c r="F4530" s="13" t="n"/>
      <c r="G4530" s="14" t="n"/>
      <c r="H4530" s="14" t="n"/>
      <c r="I4530" s="14" t="n"/>
      <c r="J4530" s="14" t="n"/>
      <c r="K4530" s="53" t="inlineStr"/>
      <c r="L4530" s="53" t="inlineStr">
        <is>
          <t>Не определено</t>
        </is>
      </c>
      <c r="M4530" s="53" t="inlineStr"/>
      <c r="N4530" s="54" t="inlineStr"/>
      <c r="O4530" s="55" t="inlineStr"/>
      <c r="P4530" s="16" t="inlineStr">
        <is>
          <t>Требует обогащения</t>
        </is>
      </c>
      <c r="Q4530" s="16">
        <f>HYPERLINK("https://pb.nalog.ru/search.html?query=6500004879","ФНС: проверить")</f>
        <v/>
      </c>
      <c r="R4530" s="16">
        <f>HYPERLINK("https://checko.ru/search?query=3801001629","Чекко: проверить")</f>
        <v/>
      </c>
      <c r="S4530" t="n">
        <v>1</v>
      </c>
      <c r="T4530" s="35" t="inlineStr">
        <is>
          <t>4 — Не обогащён</t>
        </is>
      </c>
      <c r="U4530" s="35" t="inlineStr">
        <is>
          <t>Нет ОКВЭД/ССЧР</t>
        </is>
      </c>
      <c r="V4530" s="35" t="inlineStr">
        <is>
          <t>Не определено</t>
        </is>
      </c>
      <c r="W4530" s="35" t="inlineStr"/>
      <c r="X4530" s="35" t="inlineStr"/>
    </row>
    <row r="4531" ht="41.25" customHeight="1" s="24">
      <c r="A4531" s="13" t="n">
        <v>5000112423</v>
      </c>
      <c r="B4531" s="13" t="inlineStr">
        <is>
          <t>МБОУ СОШ С.ПЕНЗЕНСКОЕ ТОМАРИНСКОГО МУНИЦИПАЛЬНОГО ОКРУГА САХАЛИНСКОЙ ОБЛАСТИ</t>
        </is>
      </c>
      <c r="C4531" s="13" t="n">
        <v>6516002620</v>
      </c>
      <c r="D4531" s="13" t="inlineStr">
        <is>
          <t>6516002620</t>
        </is>
      </c>
      <c r="E4531" s="13" t="inlineStr">
        <is>
          <t>ЮЛ РФ</t>
        </is>
      </c>
      <c r="F4531" s="13" t="n"/>
      <c r="G4531" s="14" t="n"/>
      <c r="H4531" s="14" t="n"/>
      <c r="I4531" s="14" t="n"/>
      <c r="J4531" s="14" t="n"/>
      <c r="K4531" s="53" t="inlineStr"/>
      <c r="L4531" s="53" t="inlineStr">
        <is>
          <t>Не определено</t>
        </is>
      </c>
      <c r="M4531" s="53" t="inlineStr"/>
      <c r="N4531" s="54" t="inlineStr"/>
      <c r="O4531" s="55" t="inlineStr"/>
      <c r="P4531" s="16" t="inlineStr">
        <is>
          <t>Требует обогащения</t>
        </is>
      </c>
      <c r="Q4531" s="16">
        <f>HYPERLINK("https://pb.nalog.ru/search.html?query=6516002620","ФНС: проверить")</f>
        <v/>
      </c>
      <c r="R4531" s="16">
        <f>HYPERLINK("https://checko.ru/search?query=3801001629","Чекко: проверить")</f>
        <v/>
      </c>
      <c r="S4531" t="n">
        <v>1</v>
      </c>
      <c r="T4531" s="35" t="inlineStr">
        <is>
          <t>4 — Не обогащён</t>
        </is>
      </c>
      <c r="U4531" s="35" t="inlineStr">
        <is>
          <t>Нет ОКВЭД/ССЧР</t>
        </is>
      </c>
      <c r="V4531" s="35" t="inlineStr">
        <is>
          <t>Не определено</t>
        </is>
      </c>
      <c r="W4531" s="35" t="inlineStr"/>
      <c r="X4531" s="35" t="inlineStr"/>
    </row>
    <row r="4532" ht="15" customHeight="1" s="24">
      <c r="A4532" s="13" t="n">
        <v>5000112424</v>
      </c>
      <c r="B4532" s="13" t="inlineStr">
        <is>
          <t>МБОУ СОШ С.ИЛЬИНСКОЕ</t>
        </is>
      </c>
      <c r="C4532" s="13" t="n">
        <v>6516002651</v>
      </c>
      <c r="D4532" s="13" t="inlineStr">
        <is>
          <t>6516002651</t>
        </is>
      </c>
      <c r="E4532" s="13" t="inlineStr">
        <is>
          <t>ЮЛ РФ</t>
        </is>
      </c>
      <c r="F4532" s="13" t="n"/>
      <c r="G4532" s="14" t="n"/>
      <c r="H4532" s="14" t="n"/>
      <c r="I4532" s="14" t="n"/>
      <c r="J4532" s="14" t="n"/>
      <c r="K4532" s="53" t="inlineStr"/>
      <c r="L4532" s="53" t="inlineStr">
        <is>
          <t>Не определено</t>
        </is>
      </c>
      <c r="M4532" s="53" t="inlineStr"/>
      <c r="N4532" s="54" t="inlineStr"/>
      <c r="O4532" s="55" t="inlineStr"/>
      <c r="P4532" s="16" t="inlineStr">
        <is>
          <t>Требует обогащения</t>
        </is>
      </c>
      <c r="Q4532" s="16">
        <f>HYPERLINK("https://pb.nalog.ru/search.html?query=6516002651","ФНС: проверить")</f>
        <v/>
      </c>
      <c r="R4532" s="16">
        <f>HYPERLINK("https://checko.ru/search?query=3801001629","Чекко: проверить")</f>
        <v/>
      </c>
      <c r="S4532" t="n">
        <v>1</v>
      </c>
      <c r="T4532" s="35" t="inlineStr">
        <is>
          <t>4 — Не обогащён</t>
        </is>
      </c>
      <c r="U4532" s="35" t="inlineStr">
        <is>
          <t>Нет ОКВЭД/ССЧР</t>
        </is>
      </c>
      <c r="V4532" s="35" t="inlineStr">
        <is>
          <t>Не определено</t>
        </is>
      </c>
      <c r="W4532" s="35" t="inlineStr"/>
      <c r="X4532" s="35" t="inlineStr"/>
    </row>
    <row r="4533" ht="27.75" customHeight="1" s="24">
      <c r="A4533" s="13" t="n">
        <v>5000112425</v>
      </c>
      <c r="B4533" s="13" t="inlineStr">
        <is>
          <t>МБДОУ ДЕТСКИЙ САД № 7 "СКАЗКА" Г.ТОМАРИ САХАЛИНСКОЙ ОБЛАСТИ</t>
        </is>
      </c>
      <c r="C4533" s="13" t="n">
        <v>6516002482</v>
      </c>
      <c r="D4533" s="13" t="inlineStr">
        <is>
          <t>6516002482</t>
        </is>
      </c>
      <c r="E4533" s="13" t="inlineStr">
        <is>
          <t>ЮЛ РФ</t>
        </is>
      </c>
      <c r="F4533" s="13" t="n"/>
      <c r="G4533" s="14" t="n"/>
      <c r="H4533" s="14" t="n"/>
      <c r="I4533" s="14" t="n"/>
      <c r="J4533" s="14" t="n"/>
      <c r="K4533" s="53" t="inlineStr"/>
      <c r="L4533" s="53" t="inlineStr">
        <is>
          <t>Не определено</t>
        </is>
      </c>
      <c r="M4533" s="53" t="inlineStr"/>
      <c r="N4533" s="54" t="inlineStr"/>
      <c r="O4533" s="55" t="inlineStr"/>
      <c r="P4533" s="16" t="inlineStr">
        <is>
          <t>Требует обогащения</t>
        </is>
      </c>
      <c r="Q4533" s="16">
        <f>HYPERLINK("https://pb.nalog.ru/search.html?query=6516002482","ФНС: проверить")</f>
        <v/>
      </c>
      <c r="R4533" s="16">
        <f>HYPERLINK("https://checko.ru/search?query=3801001629","Чекко: проверить")</f>
        <v/>
      </c>
      <c r="S4533" t="n">
        <v>1</v>
      </c>
      <c r="T4533" s="35" t="inlineStr">
        <is>
          <t>4 — Не обогащён</t>
        </is>
      </c>
      <c r="U4533" s="35" t="inlineStr">
        <is>
          <t>Нет ОКВЭД/ССЧР</t>
        </is>
      </c>
      <c r="V4533" s="35" t="inlineStr">
        <is>
          <t>Не определено</t>
        </is>
      </c>
      <c r="W4533" s="35" t="inlineStr"/>
      <c r="X4533" s="35" t="inlineStr"/>
    </row>
    <row r="4534" ht="41.25" customHeight="1" s="24">
      <c r="A4534" s="13" t="n">
        <v>5000112426</v>
      </c>
      <c r="B4534" s="13" t="inlineStr">
        <is>
          <t>МБДОУ ДЕТСКИЙ САД №4 С.КРАСНОГОРСК ТОМАРИНСКОГО МУНИЦИПАЛЬНОГО ОКРУГА САХАЛИНСКОЙ ОБЛАСТИ</t>
        </is>
      </c>
      <c r="C4534" s="13" t="n">
        <v>6516002549</v>
      </c>
      <c r="D4534" s="13" t="inlineStr">
        <is>
          <t>6516002549</t>
        </is>
      </c>
      <c r="E4534" s="13" t="inlineStr">
        <is>
          <t>ЮЛ РФ</t>
        </is>
      </c>
      <c r="F4534" s="13" t="n"/>
      <c r="G4534" s="14" t="n"/>
      <c r="H4534" s="14" t="n"/>
      <c r="I4534" s="14" t="n"/>
      <c r="J4534" s="14" t="n"/>
      <c r="K4534" s="53" t="inlineStr"/>
      <c r="L4534" s="53" t="inlineStr">
        <is>
          <t>Не определено</t>
        </is>
      </c>
      <c r="M4534" s="53" t="inlineStr"/>
      <c r="N4534" s="54" t="inlineStr"/>
      <c r="O4534" s="55" t="inlineStr"/>
      <c r="P4534" s="16" t="inlineStr">
        <is>
          <t>Требует обогащения</t>
        </is>
      </c>
      <c r="Q4534" s="16">
        <f>HYPERLINK("https://pb.nalog.ru/search.html?query=6516002549","ФНС: проверить")</f>
        <v/>
      </c>
      <c r="R4534" s="16">
        <f>HYPERLINK("https://checko.ru/search?query=3801001629","Чекко: проверить")</f>
        <v/>
      </c>
      <c r="S4534" t="n">
        <v>1</v>
      </c>
      <c r="T4534" s="35" t="inlineStr">
        <is>
          <t>4 — Не обогащён</t>
        </is>
      </c>
      <c r="U4534" s="35" t="inlineStr">
        <is>
          <t>Нет ОКВЭД/ССЧР</t>
        </is>
      </c>
      <c r="V4534" s="35" t="inlineStr">
        <is>
          <t>Не определено</t>
        </is>
      </c>
      <c r="W4534" s="35" t="inlineStr"/>
      <c r="X4534" s="35" t="inlineStr"/>
    </row>
    <row r="4535" ht="27.75" customHeight="1" s="24">
      <c r="A4535" s="13" t="n">
        <v>5000112427</v>
      </c>
      <c r="B4535" s="13" t="inlineStr">
        <is>
          <t>МБОУ ДО ЦДТ С.КРАСНОГОРСК САХАЛИНСКОЙ ОБЛАСТИ</t>
        </is>
      </c>
      <c r="C4535" s="13" t="n">
        <v>6516002531</v>
      </c>
      <c r="D4535" s="13" t="inlineStr">
        <is>
          <t>6516002531</t>
        </is>
      </c>
      <c r="E4535" s="13" t="inlineStr">
        <is>
          <t>ЮЛ РФ</t>
        </is>
      </c>
      <c r="F4535" s="13" t="n"/>
      <c r="G4535" s="14" t="n"/>
      <c r="H4535" s="14" t="n"/>
      <c r="I4535" s="14" t="n"/>
      <c r="J4535" s="14" t="n"/>
      <c r="K4535" s="53" t="inlineStr"/>
      <c r="L4535" s="53" t="inlineStr">
        <is>
          <t>Не определено</t>
        </is>
      </c>
      <c r="M4535" s="53" t="inlineStr"/>
      <c r="N4535" s="54" t="inlineStr"/>
      <c r="O4535" s="55" t="inlineStr"/>
      <c r="P4535" s="16" t="inlineStr">
        <is>
          <t>Требует обогащения</t>
        </is>
      </c>
      <c r="Q4535" s="16">
        <f>HYPERLINK("https://pb.nalog.ru/search.html?query=6516002531","ФНС: проверить")</f>
        <v/>
      </c>
      <c r="R4535" s="16">
        <f>HYPERLINK("https://checko.ru/search?query=3801001629","Чекко: проверить")</f>
        <v/>
      </c>
      <c r="S4535" t="n">
        <v>1</v>
      </c>
      <c r="T4535" s="35" t="inlineStr">
        <is>
          <t>4 — Не обогащён</t>
        </is>
      </c>
      <c r="U4535" s="35" t="inlineStr">
        <is>
          <t>Нет ОКВЭД/ССЧР</t>
        </is>
      </c>
      <c r="V4535" s="35" t="inlineStr">
        <is>
          <t>Не определено</t>
        </is>
      </c>
      <c r="W4535" s="35" t="inlineStr"/>
      <c r="X4535" s="35" t="inlineStr"/>
    </row>
    <row r="4536" ht="27.75" customHeight="1" s="24">
      <c r="A4536" s="13" t="n">
        <v>5000112428</v>
      </c>
      <c r="B4536" s="13" t="inlineStr">
        <is>
          <t>ОТДЕЛ ОБРАЗОВАНИЯ МУНИЦИПАЛЬНОГО ОКРУГА</t>
        </is>
      </c>
      <c r="C4536" s="13" t="n">
        <v>6516001746</v>
      </c>
      <c r="D4536" s="13" t="inlineStr">
        <is>
          <t>6516001746</t>
        </is>
      </c>
      <c r="E4536" s="13" t="inlineStr">
        <is>
          <t>ЮЛ РФ</t>
        </is>
      </c>
      <c r="F4536" s="13" t="n"/>
      <c r="G4536" s="14" t="n"/>
      <c r="H4536" s="14" t="n"/>
      <c r="I4536" s="14" t="n"/>
      <c r="J4536" s="14" t="n"/>
      <c r="K4536" s="53" t="inlineStr"/>
      <c r="L4536" s="53" t="inlineStr">
        <is>
          <t>Не определено</t>
        </is>
      </c>
      <c r="M4536" s="53" t="inlineStr"/>
      <c r="N4536" s="54" t="inlineStr"/>
      <c r="O4536" s="55" t="inlineStr"/>
      <c r="P4536" s="16" t="inlineStr">
        <is>
          <t>Требует обогащения</t>
        </is>
      </c>
      <c r="Q4536" s="16">
        <f>HYPERLINK("https://pb.nalog.ru/search.html?query=6516001746","ФНС: проверить")</f>
        <v/>
      </c>
      <c r="R4536" s="16">
        <f>HYPERLINK("https://checko.ru/search?query=3801001629","Чекко: проверить")</f>
        <v/>
      </c>
      <c r="S4536" t="n">
        <v>1</v>
      </c>
      <c r="T4536" s="35" t="inlineStr">
        <is>
          <t>4 — Не обогащён</t>
        </is>
      </c>
      <c r="U4536" s="35" t="inlineStr">
        <is>
          <t>Нет ОКВЭД/ССЧР</t>
        </is>
      </c>
      <c r="V4536" s="35" t="inlineStr">
        <is>
          <t>Не определено</t>
        </is>
      </c>
      <c r="W4536" s="35" t="inlineStr"/>
      <c r="X4536" s="35" t="inlineStr"/>
    </row>
    <row r="4537" ht="27.75" customHeight="1" s="24">
      <c r="A4537" s="13" t="n">
        <v>5000112428</v>
      </c>
      <c r="B4537" s="13" t="inlineStr">
        <is>
          <t>ОТДЕЛ ОБРАЗОВАНИЯ МУНИЦИПАЛЬНОГО ОКРУГА</t>
        </is>
      </c>
      <c r="C4537" s="13" t="n">
        <v>6516001746</v>
      </c>
      <c r="D4537" s="13" t="inlineStr">
        <is>
          <t>6516001746</t>
        </is>
      </c>
      <c r="E4537" s="13" t="inlineStr">
        <is>
          <t>ЮЛ РФ</t>
        </is>
      </c>
      <c r="F4537" s="13" t="n"/>
      <c r="G4537" s="14" t="n"/>
      <c r="H4537" s="14" t="n"/>
      <c r="I4537" s="14" t="n"/>
      <c r="J4537" s="14" t="n"/>
      <c r="K4537" s="53" t="inlineStr"/>
      <c r="L4537" s="53" t="inlineStr">
        <is>
          <t>Не определено</t>
        </is>
      </c>
      <c r="M4537" s="53" t="inlineStr"/>
      <c r="N4537" s="54" t="inlineStr"/>
      <c r="O4537" s="55" t="inlineStr"/>
      <c r="P4537" s="16" t="inlineStr">
        <is>
          <t>Требует обогащения</t>
        </is>
      </c>
      <c r="Q4537" s="16">
        <f>HYPERLINK("https://pb.nalog.ru/search.html?query=6516001746","ФНС: проверить")</f>
        <v/>
      </c>
      <c r="R4537" s="16">
        <f>HYPERLINK("https://checko.ru/search?query=3801001629","Чекко: проверить")</f>
        <v/>
      </c>
      <c r="S4537" t="n">
        <v>0</v>
      </c>
      <c r="T4537" s="35" t="inlineStr">
        <is>
          <t>4 — Не обогащён</t>
        </is>
      </c>
      <c r="U4537" s="35" t="inlineStr">
        <is>
          <t>Нет ОКВЭД/ССЧР</t>
        </is>
      </c>
      <c r="V4537" s="35" t="inlineStr">
        <is>
          <t>Не определено</t>
        </is>
      </c>
      <c r="W4537" s="35" t="inlineStr"/>
      <c r="X4537" s="35" t="inlineStr"/>
    </row>
    <row r="4538" ht="27.75" customHeight="1" s="24">
      <c r="A4538" s="13" t="n">
        <v>5000112429</v>
      </c>
      <c r="B4538" s="13" t="inlineStr">
        <is>
          <t>МБДОУ ДЕТСКИЙ САД № 3 "МАЛЫШ" Г.ТОМАРИ САХАЛИНСКОЙ ОБЛАСТИ</t>
        </is>
      </c>
      <c r="C4538" s="13" t="n">
        <v>6516002450</v>
      </c>
      <c r="D4538" s="13" t="inlineStr">
        <is>
          <t>6516002450</t>
        </is>
      </c>
      <c r="E4538" s="13" t="inlineStr">
        <is>
          <t>ЮЛ РФ</t>
        </is>
      </c>
      <c r="F4538" s="13" t="n"/>
      <c r="G4538" s="14" t="n"/>
      <c r="H4538" s="14" t="n"/>
      <c r="I4538" s="14" t="n"/>
      <c r="J4538" s="14" t="n"/>
      <c r="K4538" s="53" t="inlineStr"/>
      <c r="L4538" s="53" t="inlineStr">
        <is>
          <t>Не определено</t>
        </is>
      </c>
      <c r="M4538" s="53" t="inlineStr"/>
      <c r="N4538" s="54" t="inlineStr"/>
      <c r="O4538" s="55" t="inlineStr"/>
      <c r="P4538" s="16" t="inlineStr">
        <is>
          <t>Требует обогащения</t>
        </is>
      </c>
      <c r="Q4538" s="16">
        <f>HYPERLINK("https://pb.nalog.ru/search.html?query=6516002450","ФНС: проверить")</f>
        <v/>
      </c>
      <c r="R4538" s="16">
        <f>HYPERLINK("https://checko.ru/search?query=3801001629","Чекко: проверить")</f>
        <v/>
      </c>
      <c r="S4538" t="n">
        <v>1</v>
      </c>
      <c r="T4538" s="35" t="inlineStr">
        <is>
          <t>4 — Не обогащён</t>
        </is>
      </c>
      <c r="U4538" s="35" t="inlineStr">
        <is>
          <t>Нет ОКВЭД/ССЧР</t>
        </is>
      </c>
      <c r="V4538" s="35" t="inlineStr">
        <is>
          <t>Не определено</t>
        </is>
      </c>
      <c r="W4538" s="35" t="inlineStr"/>
      <c r="X4538" s="35" t="inlineStr"/>
    </row>
    <row r="4539" ht="27.75" customHeight="1" s="24">
      <c r="A4539" s="13" t="n">
        <v>5000112430</v>
      </c>
      <c r="B4539" s="13" t="inlineStr">
        <is>
          <t>МБОУ СОШ С.КРАСНОГОРСК САХАЛИНСКОЙ ОБЛАСТИ</t>
        </is>
      </c>
      <c r="C4539" s="13" t="n">
        <v>6516002570</v>
      </c>
      <c r="D4539" s="13" t="inlineStr">
        <is>
          <t>6516002570</t>
        </is>
      </c>
      <c r="E4539" s="13" t="inlineStr">
        <is>
          <t>ЮЛ РФ</t>
        </is>
      </c>
      <c r="F4539" s="13" t="n"/>
      <c r="G4539" s="14" t="n"/>
      <c r="H4539" s="14" t="n"/>
      <c r="I4539" s="14" t="n"/>
      <c r="J4539" s="14" t="n"/>
      <c r="K4539" s="53" t="inlineStr"/>
      <c r="L4539" s="53" t="inlineStr">
        <is>
          <t>Не определено</t>
        </is>
      </c>
      <c r="M4539" s="53" t="inlineStr"/>
      <c r="N4539" s="54" t="inlineStr"/>
      <c r="O4539" s="55" t="inlineStr"/>
      <c r="P4539" s="16" t="inlineStr">
        <is>
          <t>Требует обогащения</t>
        </is>
      </c>
      <c r="Q4539" s="16">
        <f>HYPERLINK("https://pb.nalog.ru/search.html?query=6516002570","ФНС: проверить")</f>
        <v/>
      </c>
      <c r="R4539" s="16">
        <f>HYPERLINK("https://checko.ru/search?query=3801001629","Чекко: проверить")</f>
        <v/>
      </c>
      <c r="S4539" t="n">
        <v>1</v>
      </c>
      <c r="T4539" s="35" t="inlineStr">
        <is>
          <t>4 — Не обогащён</t>
        </is>
      </c>
      <c r="U4539" s="35" t="inlineStr">
        <is>
          <t>Нет ОКВЭД/ССЧР</t>
        </is>
      </c>
      <c r="V4539" s="35" t="inlineStr">
        <is>
          <t>Не определено</t>
        </is>
      </c>
      <c r="W4539" s="35" t="inlineStr"/>
      <c r="X4539" s="35" t="inlineStr"/>
    </row>
    <row r="4540" ht="15" customHeight="1" s="24">
      <c r="A4540" s="13" t="n">
        <v>5000112432</v>
      </c>
      <c r="B4540" s="13" t="inlineStr">
        <is>
          <t>МБОУ ДО ЦДТ Г.ТОМАРИ САХАЛИНСКОЙ ОБЛАСТИ</t>
        </is>
      </c>
      <c r="C4540" s="13" t="n">
        <v>6516002500</v>
      </c>
      <c r="D4540" s="13" t="inlineStr">
        <is>
          <t>6516002500</t>
        </is>
      </c>
      <c r="E4540" s="13" t="inlineStr">
        <is>
          <t>ЮЛ РФ</t>
        </is>
      </c>
      <c r="F4540" s="13" t="n"/>
      <c r="G4540" s="14" t="n"/>
      <c r="H4540" s="14" t="n"/>
      <c r="I4540" s="14" t="n"/>
      <c r="J4540" s="14" t="n"/>
      <c r="K4540" s="53" t="inlineStr"/>
      <c r="L4540" s="53" t="inlineStr">
        <is>
          <t>Не определено</t>
        </is>
      </c>
      <c r="M4540" s="53" t="inlineStr"/>
      <c r="N4540" s="54" t="inlineStr"/>
      <c r="O4540" s="55" t="inlineStr"/>
      <c r="P4540" s="16" t="inlineStr">
        <is>
          <t>Требует обогащения</t>
        </is>
      </c>
      <c r="Q4540" s="16">
        <f>HYPERLINK("https://pb.nalog.ru/search.html?query=6516002500","ФНС: проверить")</f>
        <v/>
      </c>
      <c r="R4540" s="16">
        <f>HYPERLINK("https://checko.ru/search?query=3801001629","Чекко: проверить")</f>
        <v/>
      </c>
      <c r="S4540" t="n">
        <v>1</v>
      </c>
      <c r="T4540" s="35" t="inlineStr">
        <is>
          <t>4 — Не обогащён</t>
        </is>
      </c>
      <c r="U4540" s="35" t="inlineStr">
        <is>
          <t>Нет ОКВЭД/ССЧР</t>
        </is>
      </c>
      <c r="V4540" s="35" t="inlineStr">
        <is>
          <t>Не определено</t>
        </is>
      </c>
      <c r="W4540" s="35" t="inlineStr"/>
      <c r="X4540" s="35" t="inlineStr"/>
    </row>
    <row r="4541" ht="27.75" customHeight="1" s="24">
      <c r="A4541" s="13" t="n">
        <v>5000112433</v>
      </c>
      <c r="B4541" s="13" t="inlineStr">
        <is>
          <t>МБДОУ ДЕТСКИЙ САД №1 "ОСТРОВ ДЕТСТВА" С. ИЛЬИНСКОЕ САХАЛИНСКОЙ ОБЛАСТИ</t>
        </is>
      </c>
      <c r="C4541" s="13" t="n">
        <v>6516008967</v>
      </c>
      <c r="D4541" s="13" t="inlineStr">
        <is>
          <t>6516008967</t>
        </is>
      </c>
      <c r="E4541" s="13" t="inlineStr">
        <is>
          <t>ЮЛ РФ</t>
        </is>
      </c>
      <c r="F4541" s="13" t="n"/>
      <c r="G4541" s="14" t="n"/>
      <c r="H4541" s="14" t="n"/>
      <c r="I4541" s="14" t="n"/>
      <c r="J4541" s="14" t="n"/>
      <c r="K4541" s="53" t="inlineStr"/>
      <c r="L4541" s="53" t="inlineStr">
        <is>
          <t>Не определено</t>
        </is>
      </c>
      <c r="M4541" s="53" t="inlineStr"/>
      <c r="N4541" s="54" t="inlineStr"/>
      <c r="O4541" s="55" t="inlineStr"/>
      <c r="P4541" s="16" t="inlineStr">
        <is>
          <t>Требует обогащения</t>
        </is>
      </c>
      <c r="Q4541" s="16">
        <f>HYPERLINK("https://pb.nalog.ru/search.html?query=6516008967","ФНС: проверить")</f>
        <v/>
      </c>
      <c r="R4541" s="16">
        <f>HYPERLINK("https://checko.ru/search?query=3801001629","Чекко: проверить")</f>
        <v/>
      </c>
      <c r="S4541" t="n">
        <v>1</v>
      </c>
      <c r="T4541" s="35" t="inlineStr">
        <is>
          <t>4 — Не обогащён</t>
        </is>
      </c>
      <c r="U4541" s="35" t="inlineStr">
        <is>
          <t>Нет ОКВЭД/ССЧР</t>
        </is>
      </c>
      <c r="V4541" s="35" t="inlineStr">
        <is>
          <t>Не определено</t>
        </is>
      </c>
      <c r="W4541" s="35" t="inlineStr"/>
      <c r="X4541" s="35" t="inlineStr"/>
    </row>
    <row r="4542" ht="15" customHeight="1" s="24">
      <c r="A4542" s="13" t="n">
        <v>5000116125</v>
      </c>
      <c r="B4542" s="13" t="inlineStr">
        <is>
          <t>МКУ "УПРАВЛЕНИЕ ПО ДЕЛАМ ГО И ЧС"</t>
        </is>
      </c>
      <c r="C4542" s="13" t="n">
        <v>6516008910</v>
      </c>
      <c r="D4542" s="13" t="inlineStr">
        <is>
          <t>6516008910</t>
        </is>
      </c>
      <c r="E4542" s="13" t="inlineStr">
        <is>
          <t>ЮЛ РФ</t>
        </is>
      </c>
      <c r="F4542" s="13" t="n"/>
      <c r="G4542" s="14" t="n"/>
      <c r="H4542" s="14" t="n"/>
      <c r="I4542" s="14" t="n"/>
      <c r="J4542" s="14" t="n"/>
      <c r="K4542" s="53" t="inlineStr"/>
      <c r="L4542" s="53" t="inlineStr">
        <is>
          <t>Не определено</t>
        </is>
      </c>
      <c r="M4542" s="53" t="inlineStr"/>
      <c r="N4542" s="54" t="inlineStr"/>
      <c r="O4542" s="55" t="inlineStr"/>
      <c r="P4542" s="16" t="inlineStr">
        <is>
          <t>Требует обогащения</t>
        </is>
      </c>
      <c r="Q4542" s="16">
        <f>HYPERLINK("https://pb.nalog.ru/search.html?query=6516008910","ФНС: проверить")</f>
        <v/>
      </c>
      <c r="R4542" s="16">
        <f>HYPERLINK("https://checko.ru/search?query=3801001629","Чекко: проверить")</f>
        <v/>
      </c>
      <c r="S4542" t="n">
        <v>1</v>
      </c>
      <c r="T4542" s="35" t="inlineStr">
        <is>
          <t>4 — Не обогащён</t>
        </is>
      </c>
      <c r="U4542" s="35" t="inlineStr">
        <is>
          <t>Нет ОКВЭД/ССЧР</t>
        </is>
      </c>
      <c r="V4542" s="35" t="inlineStr">
        <is>
          <t>Не определено</t>
        </is>
      </c>
      <c r="W4542" s="35" t="inlineStr"/>
      <c r="X4542" s="35" t="inlineStr"/>
    </row>
    <row r="4543" ht="27.75" customHeight="1" s="24">
      <c r="A4543" s="13" t="n">
        <v>5000116129</v>
      </c>
      <c r="B4543" s="13" t="inlineStr">
        <is>
          <t>МАУ ДО "СШ ПО ПЛАВАНИЮ Г. ЮЖНО-САХАЛИНСКА"</t>
        </is>
      </c>
      <c r="C4543" s="13" t="n">
        <v>6501067504</v>
      </c>
      <c r="D4543" s="13" t="inlineStr">
        <is>
          <t>6501067504</t>
        </is>
      </c>
      <c r="E4543" s="13" t="inlineStr">
        <is>
          <t>ЮЛ РФ</t>
        </is>
      </c>
      <c r="F4543" s="13" t="n"/>
      <c r="G4543" s="14" t="n"/>
      <c r="H4543" s="14" t="n"/>
      <c r="I4543" s="14" t="n"/>
      <c r="J4543" s="14" t="n"/>
      <c r="K4543" s="53" t="inlineStr"/>
      <c r="L4543" s="53" t="inlineStr">
        <is>
          <t>Не определено</t>
        </is>
      </c>
      <c r="M4543" s="53" t="inlineStr"/>
      <c r="N4543" s="54" t="inlineStr"/>
      <c r="O4543" s="55" t="inlineStr"/>
      <c r="P4543" s="16" t="inlineStr">
        <is>
          <t>Требует обогащения</t>
        </is>
      </c>
      <c r="Q4543" s="16">
        <f>HYPERLINK("https://pb.nalog.ru/search.html?query=6501067504","ФНС: проверить")</f>
        <v/>
      </c>
      <c r="R4543" s="16">
        <f>HYPERLINK("https://checko.ru/search?query=3801001629","Чекко: проверить")</f>
        <v/>
      </c>
      <c r="S4543" t="n">
        <v>1</v>
      </c>
      <c r="T4543" s="35" t="inlineStr">
        <is>
          <t>4 — Не обогащён</t>
        </is>
      </c>
      <c r="U4543" s="35" t="inlineStr">
        <is>
          <t>Нет ОКВЭД/ССЧР</t>
        </is>
      </c>
      <c r="V4543" s="35" t="inlineStr">
        <is>
          <t>Не определено</t>
        </is>
      </c>
      <c r="W4543" s="35" t="inlineStr"/>
      <c r="X4543" s="35" t="inlineStr"/>
    </row>
    <row r="4544" ht="15" customHeight="1" s="24">
      <c r="A4544" s="13" t="n">
        <v>5000116130</v>
      </c>
      <c r="B4544" s="13" t="inlineStr">
        <is>
          <t>МАДОУ ДЕТСКИЙ САД №1 "СВЕТЛЯЧОК"</t>
        </is>
      </c>
      <c r="C4544" s="13" t="n">
        <v>6502003775</v>
      </c>
      <c r="D4544" s="13" t="inlineStr">
        <is>
          <t>6502003775</t>
        </is>
      </c>
      <c r="E4544" s="13" t="inlineStr">
        <is>
          <t>ЮЛ РФ</t>
        </is>
      </c>
      <c r="F4544" s="13" t="n"/>
      <c r="G4544" s="14" t="n"/>
      <c r="H4544" s="14" t="n"/>
      <c r="I4544" s="14" t="n"/>
      <c r="J4544" s="14" t="n"/>
      <c r="K4544" s="53" t="inlineStr"/>
      <c r="L4544" s="53" t="inlineStr">
        <is>
          <t>Не определено</t>
        </is>
      </c>
      <c r="M4544" s="53" t="inlineStr"/>
      <c r="N4544" s="54" t="inlineStr"/>
      <c r="O4544" s="55" t="inlineStr"/>
      <c r="P4544" s="16" t="inlineStr">
        <is>
          <t>Требует обогащения</t>
        </is>
      </c>
      <c r="Q4544" s="16">
        <f>HYPERLINK("https://pb.nalog.ru/search.html?query=6502003775","ФНС: проверить")</f>
        <v/>
      </c>
      <c r="R4544" s="16">
        <f>HYPERLINK("https://checko.ru/search?query=3801001629","Чекко: проверить")</f>
        <v/>
      </c>
      <c r="S4544" t="n">
        <v>1</v>
      </c>
      <c r="T4544" s="35" t="inlineStr">
        <is>
          <t>4 — Не обогащён</t>
        </is>
      </c>
      <c r="U4544" s="35" t="inlineStr">
        <is>
          <t>Нет ОКВЭД/ССЧР</t>
        </is>
      </c>
      <c r="V4544" s="35" t="inlineStr">
        <is>
          <t>Не определено</t>
        </is>
      </c>
      <c r="W4544" s="35" t="inlineStr"/>
      <c r="X4544" s="35" t="inlineStr"/>
    </row>
    <row r="4545" ht="15" customHeight="1" s="24">
      <c r="A4545" s="13" t="n">
        <v>5000116131</v>
      </c>
      <c r="B4545" s="13" t="inlineStr">
        <is>
          <t>МАОУ СОШ №6</t>
        </is>
      </c>
      <c r="C4545" s="13" t="n">
        <v>6502003736</v>
      </c>
      <c r="D4545" s="13" t="inlineStr">
        <is>
          <t>6502003736</t>
        </is>
      </c>
      <c r="E4545" s="13" t="inlineStr">
        <is>
          <t>ЮЛ РФ</t>
        </is>
      </c>
      <c r="F4545" s="13" t="n"/>
      <c r="G4545" s="14" t="n"/>
      <c r="H4545" s="14" t="n"/>
      <c r="I4545" s="14" t="n"/>
      <c r="J4545" s="14" t="n"/>
      <c r="K4545" s="53" t="inlineStr"/>
      <c r="L4545" s="53" t="inlineStr">
        <is>
          <t>Не определено</t>
        </is>
      </c>
      <c r="M4545" s="53" t="inlineStr"/>
      <c r="N4545" s="54" t="inlineStr"/>
      <c r="O4545" s="55" t="inlineStr"/>
      <c r="P4545" s="16" t="inlineStr">
        <is>
          <t>Требует обогащения</t>
        </is>
      </c>
      <c r="Q4545" s="16">
        <f>HYPERLINK("https://pb.nalog.ru/search.html?query=6502003736","ФНС: проверить")</f>
        <v/>
      </c>
      <c r="R4545" s="16">
        <f>HYPERLINK("https://checko.ru/search?query=3801001629","Чекко: проверить")</f>
        <v/>
      </c>
      <c r="S4545" t="n">
        <v>1</v>
      </c>
      <c r="T4545" s="35" t="inlineStr">
        <is>
          <t>4 — Не обогащён</t>
        </is>
      </c>
      <c r="U4545" s="35" t="inlineStr">
        <is>
          <t>Нет ОКВЭД/ССЧР</t>
        </is>
      </c>
      <c r="V4545" s="35" t="inlineStr">
        <is>
          <t>Не определено</t>
        </is>
      </c>
      <c r="W4545" s="35" t="inlineStr"/>
      <c r="X4545" s="35" t="inlineStr"/>
    </row>
    <row r="4546" ht="27.75" customHeight="1" s="24">
      <c r="A4546" s="13" t="n">
        <v>5000116132</v>
      </c>
      <c r="B4546" s="13" t="inlineStr">
        <is>
          <t>УСП АЛЕКСАНДРОВСК-САХАЛИНСКОГО МУНИЦИПАЛЬНОГО ОКРУГА</t>
        </is>
      </c>
      <c r="C4546" s="13" t="n">
        <v>6502002330</v>
      </c>
      <c r="D4546" s="13" t="inlineStr">
        <is>
          <t>6502002330</t>
        </is>
      </c>
      <c r="E4546" s="13" t="inlineStr">
        <is>
          <t>ЮЛ РФ</t>
        </is>
      </c>
      <c r="F4546" s="13" t="n"/>
      <c r="G4546" s="14" t="n"/>
      <c r="H4546" s="14" t="n"/>
      <c r="I4546" s="14" t="n"/>
      <c r="J4546" s="14" t="n"/>
      <c r="K4546" s="53" t="inlineStr"/>
      <c r="L4546" s="53" t="inlineStr">
        <is>
          <t>Не определено</t>
        </is>
      </c>
      <c r="M4546" s="53" t="inlineStr"/>
      <c r="N4546" s="54" t="inlineStr"/>
      <c r="O4546" s="55" t="inlineStr"/>
      <c r="P4546" s="16" t="inlineStr">
        <is>
          <t>Требует обогащения</t>
        </is>
      </c>
      <c r="Q4546" s="16">
        <f>HYPERLINK("https://pb.nalog.ru/search.html?query=6502002330","ФНС: проверить")</f>
        <v/>
      </c>
      <c r="R4546" s="16">
        <f>HYPERLINK("https://checko.ru/search?query=3801001629","Чекко: проверить")</f>
        <v/>
      </c>
      <c r="S4546" t="n">
        <v>1</v>
      </c>
      <c r="T4546" s="35" t="inlineStr">
        <is>
          <t>4 — Не обогащён</t>
        </is>
      </c>
      <c r="U4546" s="35" t="inlineStr">
        <is>
          <t>Нет ОКВЭД/ССЧР</t>
        </is>
      </c>
      <c r="V4546" s="35" t="inlineStr">
        <is>
          <t>Не определено</t>
        </is>
      </c>
      <c r="W4546" s="35" t="inlineStr"/>
      <c r="X4546" s="35" t="inlineStr"/>
    </row>
    <row r="4547" ht="27.75" customHeight="1" s="24">
      <c r="A4547" s="13" t="n">
        <v>5000116132</v>
      </c>
      <c r="B4547" s="13" t="inlineStr">
        <is>
          <t>УСП АЛЕКСАНДРОВСК-САХАЛИНСКОГО МУНИЦИПАЛЬНОГО ОКРУГА</t>
        </is>
      </c>
      <c r="C4547" s="13" t="n">
        <v>6502002330</v>
      </c>
      <c r="D4547" s="13" t="inlineStr">
        <is>
          <t>6502002330</t>
        </is>
      </c>
      <c r="E4547" s="13" t="inlineStr">
        <is>
          <t>ЮЛ РФ</t>
        </is>
      </c>
      <c r="F4547" s="13" t="n"/>
      <c r="G4547" s="14" t="n"/>
      <c r="H4547" s="14" t="n"/>
      <c r="I4547" s="14" t="n"/>
      <c r="J4547" s="14" t="n"/>
      <c r="K4547" s="53" t="inlineStr"/>
      <c r="L4547" s="53" t="inlineStr">
        <is>
          <t>Не определено</t>
        </is>
      </c>
      <c r="M4547" s="53" t="inlineStr"/>
      <c r="N4547" s="54" t="inlineStr"/>
      <c r="O4547" s="55" t="inlineStr"/>
      <c r="P4547" s="16" t="inlineStr">
        <is>
          <t>Требует обогащения</t>
        </is>
      </c>
      <c r="Q4547" s="16">
        <f>HYPERLINK("https://pb.nalog.ru/search.html?query=6502002330","ФНС: проверить")</f>
        <v/>
      </c>
      <c r="R4547" s="16">
        <f>HYPERLINK("https://checko.ru/search?query=3801001629","Чекко: проверить")</f>
        <v/>
      </c>
      <c r="S4547" t="n">
        <v>0</v>
      </c>
      <c r="T4547" s="35" t="inlineStr">
        <is>
          <t>4 — Не обогащён</t>
        </is>
      </c>
      <c r="U4547" s="35" t="inlineStr">
        <is>
          <t>Нет ОКВЭД/ССЧР</t>
        </is>
      </c>
      <c r="V4547" s="35" t="inlineStr">
        <is>
          <t>Не определено</t>
        </is>
      </c>
      <c r="W4547" s="35" t="inlineStr"/>
      <c r="X4547" s="35" t="inlineStr"/>
    </row>
    <row r="4548" ht="15" customHeight="1" s="24">
      <c r="A4548" s="13" t="n">
        <v>5000116133</v>
      </c>
      <c r="B4548" s="13" t="inlineStr">
        <is>
          <t>КМАУ "АС ЦРДК"</t>
        </is>
      </c>
      <c r="C4548" s="13" t="n">
        <v>6502003623</v>
      </c>
      <c r="D4548" s="13" t="inlineStr">
        <is>
          <t>6502003623</t>
        </is>
      </c>
      <c r="E4548" s="13" t="inlineStr">
        <is>
          <t>ЮЛ РФ</t>
        </is>
      </c>
      <c r="F4548" s="13" t="n"/>
      <c r="G4548" s="14" t="n"/>
      <c r="H4548" s="14" t="n"/>
      <c r="I4548" s="14" t="n"/>
      <c r="J4548" s="14" t="n"/>
      <c r="K4548" s="53" t="inlineStr"/>
      <c r="L4548" s="53" t="inlineStr">
        <is>
          <t>Не определено</t>
        </is>
      </c>
      <c r="M4548" s="53" t="inlineStr"/>
      <c r="N4548" s="54" t="inlineStr"/>
      <c r="O4548" s="55" t="inlineStr"/>
      <c r="P4548" s="16" t="inlineStr">
        <is>
          <t>Требует обогащения</t>
        </is>
      </c>
      <c r="Q4548" s="16">
        <f>HYPERLINK("https://pb.nalog.ru/search.html?query=6502003623","ФНС: проверить")</f>
        <v/>
      </c>
      <c r="R4548" s="16">
        <f>HYPERLINK("https://checko.ru/search?query=3801001629","Чекко: проверить")</f>
        <v/>
      </c>
      <c r="S4548" t="n">
        <v>1</v>
      </c>
      <c r="T4548" s="35" t="inlineStr">
        <is>
          <t>4 — Не обогащён</t>
        </is>
      </c>
      <c r="U4548" s="35" t="inlineStr">
        <is>
          <t>Нет ОКВЭД/ССЧР</t>
        </is>
      </c>
      <c r="V4548" s="35" t="inlineStr">
        <is>
          <t>Не определено</t>
        </is>
      </c>
      <c r="W4548" s="35" t="inlineStr"/>
      <c r="X4548" s="35" t="inlineStr"/>
    </row>
    <row r="4549" ht="27.75" customHeight="1" s="24">
      <c r="A4549" s="13" t="n">
        <v>5000116134</v>
      </c>
      <c r="B4549" s="13" t="inlineStr">
        <is>
          <t>МАОУ СОШ №2 ИМ. ГЕРОЯ СОВЕТСКОГО СОЮЗА ЛЕОНИДА СМИРНЫХ</t>
        </is>
      </c>
      <c r="C4549" s="13" t="n">
        <v>6502003768</v>
      </c>
      <c r="D4549" s="13" t="inlineStr">
        <is>
          <t>6502003768</t>
        </is>
      </c>
      <c r="E4549" s="13" t="inlineStr">
        <is>
          <t>ЮЛ РФ</t>
        </is>
      </c>
      <c r="F4549" s="13" t="n"/>
      <c r="G4549" s="14" t="n"/>
      <c r="H4549" s="14" t="n"/>
      <c r="I4549" s="14" t="n"/>
      <c r="J4549" s="14" t="n"/>
      <c r="K4549" s="53" t="inlineStr"/>
      <c r="L4549" s="53" t="inlineStr">
        <is>
          <t>Не определено</t>
        </is>
      </c>
      <c r="M4549" s="53" t="inlineStr"/>
      <c r="N4549" s="54" t="inlineStr"/>
      <c r="O4549" s="55" t="inlineStr"/>
      <c r="P4549" s="16" t="inlineStr">
        <is>
          <t>Требует обогащения</t>
        </is>
      </c>
      <c r="Q4549" s="16">
        <f>HYPERLINK("https://pb.nalog.ru/search.html?query=6502003768","ФНС: проверить")</f>
        <v/>
      </c>
      <c r="R4549" s="16">
        <f>HYPERLINK("https://checko.ru/search?query=3801001629","Чекко: проверить")</f>
        <v/>
      </c>
      <c r="S4549" t="n">
        <v>1</v>
      </c>
      <c r="T4549" s="35" t="inlineStr">
        <is>
          <t>4 — Не обогащён</t>
        </is>
      </c>
      <c r="U4549" s="35" t="inlineStr">
        <is>
          <t>Нет ОКВЭД/ССЧР</t>
        </is>
      </c>
      <c r="V4549" s="35" t="inlineStr">
        <is>
          <t>Не определено</t>
        </is>
      </c>
      <c r="W4549" s="35" t="inlineStr"/>
      <c r="X4549" s="35" t="inlineStr"/>
    </row>
    <row r="4550" ht="15" customHeight="1" s="24">
      <c r="A4550" s="13" t="n">
        <v>5000112434</v>
      </c>
      <c r="B4550" s="13" t="inlineStr">
        <is>
          <t>Собрание Томаринского Муниципального Округа</t>
        </is>
      </c>
      <c r="C4550" s="13" t="n">
        <v>6516007681</v>
      </c>
      <c r="D4550" s="13" t="inlineStr">
        <is>
          <t>6516007681</t>
        </is>
      </c>
      <c r="E4550" s="13" t="inlineStr">
        <is>
          <t>ЮЛ РФ</t>
        </is>
      </c>
      <c r="F4550" s="13" t="n"/>
      <c r="G4550" s="14" t="n"/>
      <c r="H4550" s="14" t="n"/>
      <c r="I4550" s="14" t="n"/>
      <c r="J4550" s="14" t="n"/>
      <c r="K4550" s="53" t="inlineStr"/>
      <c r="L4550" s="53" t="inlineStr">
        <is>
          <t>Не определено</t>
        </is>
      </c>
      <c r="M4550" s="53" t="inlineStr"/>
      <c r="N4550" s="54" t="inlineStr"/>
      <c r="O4550" s="55" t="inlineStr"/>
      <c r="P4550" s="16" t="inlineStr">
        <is>
          <t>Требует обогащения</t>
        </is>
      </c>
      <c r="Q4550" s="16">
        <f>HYPERLINK("https://pb.nalog.ru/search.html?query=6516007681","ФНС: проверить")</f>
        <v/>
      </c>
      <c r="R4550" s="16">
        <f>HYPERLINK("https://checko.ru/search?query=3801001629","Чекко: проверить")</f>
        <v/>
      </c>
      <c r="S4550" t="n">
        <v>1</v>
      </c>
      <c r="T4550" s="35" t="inlineStr">
        <is>
          <t>4 — Не обогащён</t>
        </is>
      </c>
      <c r="U4550" s="35" t="inlineStr">
        <is>
          <t>Нет ОКВЭД/ССЧР</t>
        </is>
      </c>
      <c r="V4550" s="35" t="inlineStr">
        <is>
          <t>Не определено</t>
        </is>
      </c>
      <c r="W4550" s="35" t="inlineStr"/>
      <c r="X4550" s="35" t="inlineStr"/>
    </row>
    <row r="4551" ht="27.75" customHeight="1" s="24">
      <c r="A4551" s="13" t="n">
        <v>5000112435</v>
      </c>
      <c r="B4551" s="13" t="inlineStr">
        <is>
          <t>ФИНАНСОВОЕ УПРАВЛЕНИЕ ОХИНСКОГО МУНИЦИПАЛЬНОГО ОКРУГА</t>
        </is>
      </c>
      <c r="C4551" s="13" t="n">
        <v>6506006551</v>
      </c>
      <c r="D4551" s="13" t="inlineStr">
        <is>
          <t>6506006551</t>
        </is>
      </c>
      <c r="E4551" s="13" t="inlineStr">
        <is>
          <t>ЮЛ РФ</t>
        </is>
      </c>
      <c r="F4551" s="13" t="n"/>
      <c r="G4551" s="14" t="n"/>
      <c r="H4551" s="14" t="n"/>
      <c r="I4551" s="14" t="n"/>
      <c r="J4551" s="14" t="n"/>
      <c r="K4551" s="53" t="inlineStr"/>
      <c r="L4551" s="53" t="inlineStr">
        <is>
          <t>Не определено</t>
        </is>
      </c>
      <c r="M4551" s="53" t="inlineStr"/>
      <c r="N4551" s="54" t="inlineStr"/>
      <c r="O4551" s="55" t="inlineStr"/>
      <c r="P4551" s="16" t="inlineStr">
        <is>
          <t>Требует обогащения</t>
        </is>
      </c>
      <c r="Q4551" s="16">
        <f>HYPERLINK("https://pb.nalog.ru/search.html?query=6506006551","ФНС: проверить")</f>
        <v/>
      </c>
      <c r="R4551" s="16">
        <f>HYPERLINK("https://checko.ru/search?query=3801001629","Чекко: проверить")</f>
        <v/>
      </c>
      <c r="S4551" t="n">
        <v>1</v>
      </c>
      <c r="T4551" s="35" t="inlineStr">
        <is>
          <t>4 — Не обогащён</t>
        </is>
      </c>
      <c r="U4551" s="35" t="inlineStr">
        <is>
          <t>Нет ОКВЭД/ССЧР</t>
        </is>
      </c>
      <c r="V4551" s="35" t="inlineStr">
        <is>
          <t>Не определено</t>
        </is>
      </c>
      <c r="W4551" s="35" t="inlineStr"/>
      <c r="X4551" s="35" t="inlineStr"/>
    </row>
    <row r="4552" ht="27.75" customHeight="1" s="24">
      <c r="A4552" s="13" t="n">
        <v>5000112435</v>
      </c>
      <c r="B4552" s="13" t="inlineStr">
        <is>
          <t>ФИНАНСОВОЕ УПРАВЛЕНИЕ ОХИНСКОГО МУНИЦИПАЛЬНОГО ОКРУГА</t>
        </is>
      </c>
      <c r="C4552" s="13" t="n">
        <v>6506006551</v>
      </c>
      <c r="D4552" s="13" t="inlineStr">
        <is>
          <t>6506006551</t>
        </is>
      </c>
      <c r="E4552" s="13" t="inlineStr">
        <is>
          <t>ЮЛ РФ</t>
        </is>
      </c>
      <c r="F4552" s="13" t="n"/>
      <c r="G4552" s="14" t="n"/>
      <c r="H4552" s="14" t="n"/>
      <c r="I4552" s="14" t="n"/>
      <c r="J4552" s="14" t="n"/>
      <c r="K4552" s="53" t="inlineStr"/>
      <c r="L4552" s="53" t="inlineStr">
        <is>
          <t>Не определено</t>
        </is>
      </c>
      <c r="M4552" s="53" t="inlineStr"/>
      <c r="N4552" s="54" t="inlineStr"/>
      <c r="O4552" s="55" t="inlineStr"/>
      <c r="P4552" s="16" t="inlineStr">
        <is>
          <t>Требует обогащения</t>
        </is>
      </c>
      <c r="Q4552" s="16">
        <f>HYPERLINK("https://pb.nalog.ru/search.html?query=6506006551","ФНС: проверить")</f>
        <v/>
      </c>
      <c r="R4552" s="16">
        <f>HYPERLINK("https://checko.ru/search?query=3801001629","Чекко: проверить")</f>
        <v/>
      </c>
      <c r="S4552" t="n">
        <v>0</v>
      </c>
      <c r="T4552" s="35" t="inlineStr">
        <is>
          <t>4 — Не обогащён</t>
        </is>
      </c>
      <c r="U4552" s="35" t="inlineStr">
        <is>
          <t>Нет ОКВЭД/ССЧР</t>
        </is>
      </c>
      <c r="V4552" s="35" t="inlineStr">
        <is>
          <t>Не определено</t>
        </is>
      </c>
      <c r="W4552" s="35" t="inlineStr"/>
      <c r="X4552" s="35" t="inlineStr"/>
    </row>
    <row r="4553" ht="15" customHeight="1" s="24">
      <c r="A4553" s="13" t="n">
        <v>5000116135</v>
      </c>
      <c r="B4553" s="13" t="inlineStr">
        <is>
          <t>МБУ АС ЦБС</t>
        </is>
      </c>
      <c r="C4553" s="13" t="n">
        <v>6502003327</v>
      </c>
      <c r="D4553" s="13" t="inlineStr">
        <is>
          <t>6502003327</t>
        </is>
      </c>
      <c r="E4553" s="13" t="inlineStr">
        <is>
          <t>ЮЛ РФ</t>
        </is>
      </c>
      <c r="F4553" s="13" t="n"/>
      <c r="G4553" s="14" t="n"/>
      <c r="H4553" s="14" t="n"/>
      <c r="I4553" s="14" t="n"/>
      <c r="J4553" s="14" t="n"/>
      <c r="K4553" s="53" t="inlineStr"/>
      <c r="L4553" s="53" t="inlineStr">
        <is>
          <t>Не определено</t>
        </is>
      </c>
      <c r="M4553" s="53" t="inlineStr"/>
      <c r="N4553" s="54" t="inlineStr"/>
      <c r="O4553" s="55" t="inlineStr"/>
      <c r="P4553" s="16" t="inlineStr">
        <is>
          <t>Требует обогащения</t>
        </is>
      </c>
      <c r="Q4553" s="16">
        <f>HYPERLINK("https://pb.nalog.ru/search.html?query=6502003327","ФНС: проверить")</f>
        <v/>
      </c>
      <c r="R4553" s="16">
        <f>HYPERLINK("https://checko.ru/search?query=3801001629","Чекко: проверить")</f>
        <v/>
      </c>
      <c r="S4553" t="n">
        <v>1</v>
      </c>
      <c r="T4553" s="35" t="inlineStr">
        <is>
          <t>4 — Не обогащён</t>
        </is>
      </c>
      <c r="U4553" s="35" t="inlineStr">
        <is>
          <t>Нет ОКВЭД/ССЧР</t>
        </is>
      </c>
      <c r="V4553" s="35" t="inlineStr">
        <is>
          <t>Не определено</t>
        </is>
      </c>
      <c r="W4553" s="35" t="inlineStr"/>
      <c r="X4553" s="35" t="inlineStr"/>
    </row>
    <row r="4554" ht="15" customHeight="1" s="24">
      <c r="A4554" s="13" t="n">
        <v>5000116136</v>
      </c>
      <c r="B4554" s="13" t="inlineStr">
        <is>
          <t>МКОУ СОШ С. ХОЭ</t>
        </is>
      </c>
      <c r="C4554" s="13" t="n">
        <v>6502003782</v>
      </c>
      <c r="D4554" s="13" t="inlineStr">
        <is>
          <t>6502003782</t>
        </is>
      </c>
      <c r="E4554" s="13" t="inlineStr">
        <is>
          <t>ЮЛ РФ</t>
        </is>
      </c>
      <c r="F4554" s="13" t="n"/>
      <c r="G4554" s="14" t="n"/>
      <c r="H4554" s="14" t="n"/>
      <c r="I4554" s="14" t="n"/>
      <c r="J4554" s="14" t="n"/>
      <c r="K4554" s="53" t="inlineStr"/>
      <c r="L4554" s="53" t="inlineStr">
        <is>
          <t>Не определено</t>
        </is>
      </c>
      <c r="M4554" s="53" t="inlineStr"/>
      <c r="N4554" s="54" t="inlineStr"/>
      <c r="O4554" s="55" t="inlineStr"/>
      <c r="P4554" s="16" t="inlineStr">
        <is>
          <t>Требует обогащения</t>
        </is>
      </c>
      <c r="Q4554" s="16">
        <f>HYPERLINK("https://pb.nalog.ru/search.html?query=6502003782","ФНС: проверить")</f>
        <v/>
      </c>
      <c r="R4554" s="16">
        <f>HYPERLINK("https://checko.ru/search?query=3801001629","Чекко: проверить")</f>
        <v/>
      </c>
      <c r="S4554" t="n">
        <v>1</v>
      </c>
      <c r="T4554" s="35" t="inlineStr">
        <is>
          <t>4 — Не обогащён</t>
        </is>
      </c>
      <c r="U4554" s="35" t="inlineStr">
        <is>
          <t>Нет ОКВЭД/ССЧР</t>
        </is>
      </c>
      <c r="V4554" s="35" t="inlineStr">
        <is>
          <t>Не определено</t>
        </is>
      </c>
      <c r="W4554" s="35" t="inlineStr"/>
      <c r="X4554" s="35" t="inlineStr"/>
    </row>
    <row r="4555" ht="15" customHeight="1" s="24">
      <c r="A4555" s="13" t="n">
        <v>5000116137</v>
      </c>
      <c r="B4555" s="13" t="inlineStr">
        <is>
          <t>МАУ ДО "СШ ИМ. В.С. ОЩЕПКОВА"</t>
        </is>
      </c>
      <c r="C4555" s="13" t="n">
        <v>6502003856</v>
      </c>
      <c r="D4555" s="13" t="inlineStr">
        <is>
          <t>6502003856</t>
        </is>
      </c>
      <c r="E4555" s="13" t="inlineStr">
        <is>
          <t>ЮЛ РФ</t>
        </is>
      </c>
      <c r="F4555" s="13" t="n"/>
      <c r="G4555" s="14" t="n"/>
      <c r="H4555" s="14" t="n"/>
      <c r="I4555" s="14" t="n"/>
      <c r="J4555" s="14" t="n"/>
      <c r="K4555" s="53" t="inlineStr"/>
      <c r="L4555" s="53" t="inlineStr">
        <is>
          <t>Не определено</t>
        </is>
      </c>
      <c r="M4555" s="53" t="inlineStr"/>
      <c r="N4555" s="54" t="inlineStr"/>
      <c r="O4555" s="55" t="inlineStr"/>
      <c r="P4555" s="16" t="inlineStr">
        <is>
          <t>Требует обогащения</t>
        </is>
      </c>
      <c r="Q4555" s="16">
        <f>HYPERLINK("https://pb.nalog.ru/search.html?query=6502003856","ФНС: проверить")</f>
        <v/>
      </c>
      <c r="R4555" s="16">
        <f>HYPERLINK("https://checko.ru/search?query=3801001629","Чекко: проверить")</f>
        <v/>
      </c>
      <c r="S4555" t="n">
        <v>1</v>
      </c>
      <c r="T4555" s="35" t="inlineStr">
        <is>
          <t>4 — Не обогащён</t>
        </is>
      </c>
      <c r="U4555" s="35" t="inlineStr">
        <is>
          <t>Нет ОКВЭД/ССЧР</t>
        </is>
      </c>
      <c r="V4555" s="35" t="inlineStr">
        <is>
          <t>Не определено</t>
        </is>
      </c>
      <c r="W4555" s="35" t="inlineStr"/>
      <c r="X4555" s="35" t="inlineStr"/>
    </row>
    <row r="4556" ht="15" customHeight="1" s="24">
      <c r="A4556" s="13" t="n">
        <v>5000116138</v>
      </c>
      <c r="B4556" s="13" t="inlineStr">
        <is>
          <t>МБУ ДО ДШИ</t>
        </is>
      </c>
      <c r="C4556" s="13" t="n">
        <v>6502004183</v>
      </c>
      <c r="D4556" s="13" t="inlineStr">
        <is>
          <t>6502004183</t>
        </is>
      </c>
      <c r="E4556" s="13" t="inlineStr">
        <is>
          <t>ЮЛ РФ</t>
        </is>
      </c>
      <c r="F4556" s="13" t="n"/>
      <c r="G4556" s="14" t="n"/>
      <c r="H4556" s="14" t="n"/>
      <c r="I4556" s="14" t="n"/>
      <c r="J4556" s="14" t="n"/>
      <c r="K4556" s="53" t="inlineStr"/>
      <c r="L4556" s="53" t="inlineStr">
        <is>
          <t>Не определено</t>
        </is>
      </c>
      <c r="M4556" s="53" t="inlineStr"/>
      <c r="N4556" s="54" t="inlineStr"/>
      <c r="O4556" s="55" t="inlineStr"/>
      <c r="P4556" s="16" t="inlineStr">
        <is>
          <t>Требует обогащения</t>
        </is>
      </c>
      <c r="Q4556" s="16">
        <f>HYPERLINK("https://pb.nalog.ru/search.html?query=6502004183","ФНС: проверить")</f>
        <v/>
      </c>
      <c r="R4556" s="16">
        <f>HYPERLINK("https://checko.ru/search?query=3801001629","Чекко: проверить")</f>
        <v/>
      </c>
      <c r="S4556" t="n">
        <v>1</v>
      </c>
      <c r="T4556" s="35" t="inlineStr">
        <is>
          <t>4 — Не обогащён</t>
        </is>
      </c>
      <c r="U4556" s="35" t="inlineStr">
        <is>
          <t>Нет ОКВЭД/ССЧР</t>
        </is>
      </c>
      <c r="V4556" s="35" t="inlineStr">
        <is>
          <t>Не определено</t>
        </is>
      </c>
      <c r="W4556" s="35" t="inlineStr"/>
      <c r="X4556" s="35" t="inlineStr"/>
    </row>
    <row r="4557" ht="15" customHeight="1" s="24">
      <c r="A4557" s="13" t="n">
        <v>5000116128</v>
      </c>
      <c r="B4557" s="13" t="inlineStr">
        <is>
          <t>МАОУ СОШ № 1</t>
        </is>
      </c>
      <c r="C4557" s="13" t="n">
        <v>6502003824</v>
      </c>
      <c r="D4557" s="13" t="inlineStr">
        <is>
          <t>6502003824</t>
        </is>
      </c>
      <c r="E4557" s="13" t="inlineStr">
        <is>
          <t>ЮЛ РФ</t>
        </is>
      </c>
      <c r="F4557" s="13" t="n"/>
      <c r="G4557" s="14" t="n"/>
      <c r="H4557" s="14" t="n"/>
      <c r="I4557" s="14" t="n"/>
      <c r="J4557" s="14" t="n"/>
      <c r="K4557" s="53" t="inlineStr"/>
      <c r="L4557" s="53" t="inlineStr">
        <is>
          <t>Не определено</t>
        </is>
      </c>
      <c r="M4557" s="53" t="inlineStr"/>
      <c r="N4557" s="54" t="inlineStr"/>
      <c r="O4557" s="55" t="inlineStr"/>
      <c r="P4557" s="16" t="inlineStr">
        <is>
          <t>Требует обогащения</t>
        </is>
      </c>
      <c r="Q4557" s="16">
        <f>HYPERLINK("https://pb.nalog.ru/search.html?query=6502003824","ФНС: проверить")</f>
        <v/>
      </c>
      <c r="R4557" s="16">
        <f>HYPERLINK("https://checko.ru/search?query=3801001629","Чекко: проверить")</f>
        <v/>
      </c>
      <c r="S4557" t="n">
        <v>1</v>
      </c>
      <c r="T4557" s="35" t="inlineStr">
        <is>
          <t>4 — Не обогащён</t>
        </is>
      </c>
      <c r="U4557" s="35" t="inlineStr">
        <is>
          <t>Нет ОКВЭД/ССЧР</t>
        </is>
      </c>
      <c r="V4557" s="35" t="inlineStr">
        <is>
          <t>Не определено</t>
        </is>
      </c>
      <c r="W4557" s="35" t="inlineStr"/>
      <c r="X4557" s="35" t="inlineStr"/>
    </row>
    <row r="4558" ht="41.25" customHeight="1" s="24">
      <c r="A4558" s="13" t="n">
        <v>5000098338</v>
      </c>
      <c r="B4558" s="13" t="inlineStr">
        <is>
          <t>краевое государственное автономное профессиональное образовательное учреждение "Уссурийский колледж технологии и управления"</t>
        </is>
      </c>
      <c r="C4558" s="13" t="n">
        <v>2511010651</v>
      </c>
      <c r="D4558" s="13" t="inlineStr">
        <is>
          <t>2511010651</t>
        </is>
      </c>
      <c r="E4558" s="13" t="inlineStr">
        <is>
          <t>ЮЛ РФ</t>
        </is>
      </c>
      <c r="F4558" s="13" t="n"/>
      <c r="G4558" s="14" t="n"/>
      <c r="H4558" s="14" t="n"/>
      <c r="I4558" s="14" t="n"/>
      <c r="J4558" s="14" t="n"/>
      <c r="K4558" s="53" t="inlineStr"/>
      <c r="L4558" s="53" t="inlineStr">
        <is>
          <t>Не определено</t>
        </is>
      </c>
      <c r="M4558" s="53" t="inlineStr"/>
      <c r="N4558" s="54" t="inlineStr"/>
      <c r="O4558" s="55" t="inlineStr"/>
      <c r="P4558" s="16" t="inlineStr">
        <is>
          <t>Требует обогащения</t>
        </is>
      </c>
      <c r="Q4558" s="16">
        <f>HYPERLINK("https://pb.nalog.ru/search.html?query=2511010651","ФНС: проверить")</f>
        <v/>
      </c>
      <c r="R4558" s="16">
        <f>HYPERLINK("https://checko.ru/search?query=3801001629","Чекко: проверить")</f>
        <v/>
      </c>
      <c r="S4558" t="n">
        <v>1</v>
      </c>
      <c r="T4558" s="35" t="inlineStr">
        <is>
          <t>4 — Не обогащён</t>
        </is>
      </c>
      <c r="U4558" s="35" t="inlineStr">
        <is>
          <t>Нет ОКВЭД/ССЧР</t>
        </is>
      </c>
      <c r="V4558" s="35" t="inlineStr">
        <is>
          <t>Не определено</t>
        </is>
      </c>
      <c r="W4558" s="35" t="inlineStr"/>
      <c r="X4558" s="35" t="inlineStr"/>
    </row>
    <row r="4559" ht="41.25" customHeight="1" s="24">
      <c r="A4559" s="13" t="n">
        <v>5000098190</v>
      </c>
      <c r="B4559" s="13" t="inlineStr">
        <is>
          <t>краевое государственное бюджетное учреждение здравоохранения «Октябрьская центральная районная больница»</t>
        </is>
      </c>
      <c r="C4559" s="13" t="n">
        <v>2522020073</v>
      </c>
      <c r="D4559" s="13" t="inlineStr">
        <is>
          <t>2522020073</t>
        </is>
      </c>
      <c r="E4559" s="13" t="inlineStr">
        <is>
          <t>ЮЛ РФ</t>
        </is>
      </c>
      <c r="F4559" s="13" t="n"/>
      <c r="G4559" s="14" t="n"/>
      <c r="H4559" s="14" t="n"/>
      <c r="I4559" s="14" t="n"/>
      <c r="J4559" s="14" t="n"/>
      <c r="K4559" s="53" t="inlineStr"/>
      <c r="L4559" s="53" t="inlineStr">
        <is>
          <t>Не определено</t>
        </is>
      </c>
      <c r="M4559" s="53" t="inlineStr"/>
      <c r="N4559" s="54" t="inlineStr"/>
      <c r="O4559" s="55" t="inlineStr"/>
      <c r="P4559" s="16" t="inlineStr">
        <is>
          <t>Требует обогащения</t>
        </is>
      </c>
      <c r="Q4559" s="16">
        <f>HYPERLINK("https://pb.nalog.ru/search.html?query=2522020073","ФНС: проверить")</f>
        <v/>
      </c>
      <c r="R4559" s="16">
        <f>HYPERLINK("https://checko.ru/search?query=3801001629","Чекко: проверить")</f>
        <v/>
      </c>
      <c r="S4559" t="n">
        <v>1</v>
      </c>
      <c r="T4559" s="35" t="inlineStr">
        <is>
          <t>4 — Не обогащён</t>
        </is>
      </c>
      <c r="U4559" s="35" t="inlineStr">
        <is>
          <t>Нет ОКВЭД/ССЧР</t>
        </is>
      </c>
      <c r="V4559" s="35" t="inlineStr">
        <is>
          <t>Не определено</t>
        </is>
      </c>
      <c r="W4559" s="35" t="inlineStr"/>
      <c r="X4559" s="35" t="inlineStr"/>
    </row>
    <row r="4560" ht="15" customHeight="1" s="24">
      <c r="A4560" s="13" t="n">
        <v>5000109148</v>
      </c>
      <c r="B4560" s="13" t="inlineStr">
        <is>
          <t>МБДОУ Детский Сад № 1 "Родничок" Г.Охи</t>
        </is>
      </c>
      <c r="C4560" s="13" t="n">
        <v>6506010029</v>
      </c>
      <c r="D4560" s="13" t="inlineStr">
        <is>
          <t>6506010029</t>
        </is>
      </c>
      <c r="E4560" s="13" t="inlineStr">
        <is>
          <t>ЮЛ РФ</t>
        </is>
      </c>
      <c r="F4560" s="13" t="n"/>
      <c r="G4560" s="14" t="n"/>
      <c r="H4560" s="14" t="n"/>
      <c r="I4560" s="14" t="n"/>
      <c r="J4560" s="14" t="n"/>
      <c r="K4560" s="53" t="inlineStr"/>
      <c r="L4560" s="53" t="inlineStr">
        <is>
          <t>Не определено</t>
        </is>
      </c>
      <c r="M4560" s="53" t="inlineStr"/>
      <c r="N4560" s="54" t="inlineStr"/>
      <c r="O4560" s="55" t="inlineStr"/>
      <c r="P4560" s="16" t="inlineStr">
        <is>
          <t>Требует обогащения</t>
        </is>
      </c>
      <c r="Q4560" s="16">
        <f>HYPERLINK("https://pb.nalog.ru/search.html?query=6506010029","ФНС: проверить")</f>
        <v/>
      </c>
      <c r="R4560" s="16">
        <f>HYPERLINK("https://checko.ru/search?query=3801001629","Чекко: проверить")</f>
        <v/>
      </c>
      <c r="S4560" t="n">
        <v>1</v>
      </c>
      <c r="T4560" s="35" t="inlineStr">
        <is>
          <t>4 — Не обогащён</t>
        </is>
      </c>
      <c r="U4560" s="35" t="inlineStr">
        <is>
          <t>Нет ОКВЭД/ССЧР</t>
        </is>
      </c>
      <c r="V4560" s="35" t="inlineStr">
        <is>
          <t>Не определено</t>
        </is>
      </c>
      <c r="W4560" s="35" t="inlineStr"/>
      <c r="X4560" s="35" t="inlineStr"/>
    </row>
    <row r="4561" ht="15" customHeight="1" s="24">
      <c r="A4561" s="13" t="n">
        <v>5000109136</v>
      </c>
      <c r="B4561" s="13" t="inlineStr">
        <is>
          <t>МБДОУ Детский Сад № 5 "Звездочка" Г. Охи</t>
        </is>
      </c>
      <c r="C4561" s="13" t="n">
        <v>6506007932</v>
      </c>
      <c r="D4561" s="13" t="inlineStr">
        <is>
          <t>6506007932</t>
        </is>
      </c>
      <c r="E4561" s="13" t="inlineStr">
        <is>
          <t>ЮЛ РФ</t>
        </is>
      </c>
      <c r="F4561" s="13" t="n"/>
      <c r="G4561" s="14" t="n"/>
      <c r="H4561" s="14" t="n"/>
      <c r="I4561" s="14" t="n"/>
      <c r="J4561" s="14" t="n"/>
      <c r="K4561" s="53" t="inlineStr"/>
      <c r="L4561" s="53" t="inlineStr">
        <is>
          <t>Не определено</t>
        </is>
      </c>
      <c r="M4561" s="53" t="inlineStr"/>
      <c r="N4561" s="54" t="inlineStr"/>
      <c r="O4561" s="55" t="inlineStr"/>
      <c r="P4561" s="16" t="inlineStr">
        <is>
          <t>Требует обогащения</t>
        </is>
      </c>
      <c r="Q4561" s="16">
        <f>HYPERLINK("https://pb.nalog.ru/search.html?query=6506007932","ФНС: проверить")</f>
        <v/>
      </c>
      <c r="R4561" s="16">
        <f>HYPERLINK("https://checko.ru/search?query=3801001629","Чекко: проверить")</f>
        <v/>
      </c>
      <c r="S4561" t="n">
        <v>1</v>
      </c>
      <c r="T4561" s="35" t="inlineStr">
        <is>
          <t>4 — Не обогащён</t>
        </is>
      </c>
      <c r="U4561" s="35" t="inlineStr">
        <is>
          <t>Нет ОКВЭД/ССЧР</t>
        </is>
      </c>
      <c r="V4561" s="35" t="inlineStr">
        <is>
          <t>Не определено</t>
        </is>
      </c>
      <c r="W4561" s="35" t="inlineStr"/>
      <c r="X4561" s="35" t="inlineStr"/>
    </row>
    <row r="4562" ht="15" customHeight="1" s="24">
      <c r="A4562" s="13" t="n">
        <v>5000109137</v>
      </c>
      <c r="B4562" s="13" t="inlineStr">
        <is>
          <t>МБДОУ Детский Сад № 7 "Журавушка" Г. Охи</t>
        </is>
      </c>
      <c r="C4562" s="13" t="n">
        <v>6506007700</v>
      </c>
      <c r="D4562" s="13" t="inlineStr">
        <is>
          <t>6506007700</t>
        </is>
      </c>
      <c r="E4562" s="13" t="inlineStr">
        <is>
          <t>ЮЛ РФ</t>
        </is>
      </c>
      <c r="F4562" s="13" t="n"/>
      <c r="G4562" s="14" t="n"/>
      <c r="H4562" s="14" t="n"/>
      <c r="I4562" s="14" t="n"/>
      <c r="J4562" s="14" t="n"/>
      <c r="K4562" s="53" t="inlineStr"/>
      <c r="L4562" s="53" t="inlineStr">
        <is>
          <t>Не определено</t>
        </is>
      </c>
      <c r="M4562" s="53" t="inlineStr"/>
      <c r="N4562" s="54" t="inlineStr"/>
      <c r="O4562" s="55" t="inlineStr"/>
      <c r="P4562" s="16" t="inlineStr">
        <is>
          <t>Требует обогащения</t>
        </is>
      </c>
      <c r="Q4562" s="16">
        <f>HYPERLINK("https://pb.nalog.ru/search.html?query=6506007700","ФНС: проверить")</f>
        <v/>
      </c>
      <c r="R4562" s="16">
        <f>HYPERLINK("https://checko.ru/search?query=3801001629","Чекко: проверить")</f>
        <v/>
      </c>
      <c r="S4562" t="n">
        <v>1</v>
      </c>
      <c r="T4562" s="35" t="inlineStr">
        <is>
          <t>4 — Не обогащён</t>
        </is>
      </c>
      <c r="U4562" s="35" t="inlineStr">
        <is>
          <t>Нет ОКВЭД/ССЧР</t>
        </is>
      </c>
      <c r="V4562" s="35" t="inlineStr">
        <is>
          <t>Не определено</t>
        </is>
      </c>
      <c r="W4562" s="35" t="inlineStr"/>
      <c r="X4562" s="35" t="inlineStr"/>
    </row>
    <row r="4563" ht="15" customHeight="1" s="24">
      <c r="A4563" s="13" t="n">
        <v>5000109139</v>
      </c>
      <c r="B4563" s="13" t="inlineStr">
        <is>
          <t>МБДОУ Детский Сад № 10 "Золушка" Г. Охи</t>
        </is>
      </c>
      <c r="C4563" s="13" t="n">
        <v>6506007717</v>
      </c>
      <c r="D4563" s="13" t="inlineStr">
        <is>
          <t>6506007717</t>
        </is>
      </c>
      <c r="E4563" s="13" t="inlineStr">
        <is>
          <t>ЮЛ РФ</t>
        </is>
      </c>
      <c r="F4563" s="13" t="n"/>
      <c r="G4563" s="14" t="n"/>
      <c r="H4563" s="14" t="n"/>
      <c r="I4563" s="14" t="n"/>
      <c r="J4563" s="14" t="n"/>
      <c r="K4563" s="53" t="inlineStr"/>
      <c r="L4563" s="53" t="inlineStr">
        <is>
          <t>Не определено</t>
        </is>
      </c>
      <c r="M4563" s="53" t="inlineStr"/>
      <c r="N4563" s="54" t="inlineStr"/>
      <c r="O4563" s="55" t="inlineStr"/>
      <c r="P4563" s="16" t="inlineStr">
        <is>
          <t>Требует обогащения</t>
        </is>
      </c>
      <c r="Q4563" s="16">
        <f>HYPERLINK("https://pb.nalog.ru/search.html?query=6506007717","ФНС: проверить")</f>
        <v/>
      </c>
      <c r="R4563" s="16">
        <f>HYPERLINK("https://checko.ru/search?query=3801001629","Чекко: проверить")</f>
        <v/>
      </c>
      <c r="S4563" t="n">
        <v>1</v>
      </c>
      <c r="T4563" s="35" t="inlineStr">
        <is>
          <t>4 — Не обогащён</t>
        </is>
      </c>
      <c r="U4563" s="35" t="inlineStr">
        <is>
          <t>Нет ОКВЭД/ССЧР</t>
        </is>
      </c>
      <c r="V4563" s="35" t="inlineStr">
        <is>
          <t>Не определено</t>
        </is>
      </c>
      <c r="W4563" s="35" t="inlineStr"/>
      <c r="X4563" s="35" t="inlineStr"/>
    </row>
    <row r="4564" ht="15" customHeight="1" s="24">
      <c r="A4564" s="13" t="n">
        <v>5000109140</v>
      </c>
      <c r="B4564" s="13" t="inlineStr">
        <is>
          <t>МБДОУ Детский Сад № 8 "Буратино" Г. Охи</t>
        </is>
      </c>
      <c r="C4564" s="13" t="n">
        <v>6506007682</v>
      </c>
      <c r="D4564" s="13" t="inlineStr">
        <is>
          <t>6506007682</t>
        </is>
      </c>
      <c r="E4564" s="13" t="inlineStr">
        <is>
          <t>ЮЛ РФ</t>
        </is>
      </c>
      <c r="F4564" s="13" t="n"/>
      <c r="G4564" s="14" t="n"/>
      <c r="H4564" s="14" t="n"/>
      <c r="I4564" s="14" t="n"/>
      <c r="J4564" s="14" t="n"/>
      <c r="K4564" s="53" t="inlineStr"/>
      <c r="L4564" s="53" t="inlineStr">
        <is>
          <t>Не определено</t>
        </is>
      </c>
      <c r="M4564" s="53" t="inlineStr"/>
      <c r="N4564" s="54" t="inlineStr"/>
      <c r="O4564" s="55" t="inlineStr"/>
      <c r="P4564" s="16" t="inlineStr">
        <is>
          <t>Требует обогащения</t>
        </is>
      </c>
      <c r="Q4564" s="16">
        <f>HYPERLINK("https://pb.nalog.ru/search.html?query=6506007682","ФНС: проверить")</f>
        <v/>
      </c>
      <c r="R4564" s="16">
        <f>HYPERLINK("https://checko.ru/search?query=3801001629","Чекко: проверить")</f>
        <v/>
      </c>
      <c r="S4564" t="n">
        <v>1</v>
      </c>
      <c r="T4564" s="35" t="inlineStr">
        <is>
          <t>4 — Не обогащён</t>
        </is>
      </c>
      <c r="U4564" s="35" t="inlineStr">
        <is>
          <t>Нет ОКВЭД/ССЧР</t>
        </is>
      </c>
      <c r="V4564" s="35" t="inlineStr">
        <is>
          <t>Не определено</t>
        </is>
      </c>
      <c r="W4564" s="35" t="inlineStr"/>
      <c r="X4564" s="35" t="inlineStr"/>
    </row>
    <row r="4565" ht="15" customHeight="1" s="24">
      <c r="A4565" s="13" t="n">
        <v>5000109141</v>
      </c>
      <c r="B4565" s="13" t="inlineStr">
        <is>
          <t>МБОУ Школа-Интернат С.Некрасовка им.П.Г.Чайка</t>
        </is>
      </c>
      <c r="C4565" s="13" t="n">
        <v>6506008132</v>
      </c>
      <c r="D4565" s="13" t="inlineStr">
        <is>
          <t>6506008132</t>
        </is>
      </c>
      <c r="E4565" s="13" t="inlineStr">
        <is>
          <t>ЮЛ РФ</t>
        </is>
      </c>
      <c r="F4565" s="13" t="n"/>
      <c r="G4565" s="14" t="n"/>
      <c r="H4565" s="14" t="n"/>
      <c r="I4565" s="14" t="n"/>
      <c r="J4565" s="14" t="n"/>
      <c r="K4565" s="53" t="inlineStr"/>
      <c r="L4565" s="53" t="inlineStr">
        <is>
          <t>Не определено</t>
        </is>
      </c>
      <c r="M4565" s="53" t="inlineStr"/>
      <c r="N4565" s="54" t="inlineStr"/>
      <c r="O4565" s="55" t="inlineStr"/>
      <c r="P4565" s="16" t="inlineStr">
        <is>
          <t>Требует обогащения</t>
        </is>
      </c>
      <c r="Q4565" s="16">
        <f>HYPERLINK("https://pb.nalog.ru/search.html?query=6506008132","ФНС: проверить")</f>
        <v/>
      </c>
      <c r="R4565" s="16">
        <f>HYPERLINK("https://checko.ru/search?query=3801001629","Чекко: проверить")</f>
        <v/>
      </c>
      <c r="S4565" t="n">
        <v>1</v>
      </c>
      <c r="T4565" s="35" t="inlineStr">
        <is>
          <t>4 — Не обогащён</t>
        </is>
      </c>
      <c r="U4565" s="35" t="inlineStr">
        <is>
          <t>Нет ОКВЭД/ССЧР</t>
        </is>
      </c>
      <c r="V4565" s="35" t="inlineStr">
        <is>
          <t>Не определено</t>
        </is>
      </c>
      <c r="W4565" s="35" t="inlineStr"/>
      <c r="X4565" s="35" t="inlineStr"/>
    </row>
    <row r="4566" ht="27.75" customHeight="1" s="24">
      <c r="A4566" s="13" t="n">
        <v>5000109142</v>
      </c>
      <c r="B4566" s="13" t="inlineStr">
        <is>
          <t>МБОУ ОБЩЕОБРАЗОВАТЕЛЬНАЯ ШКОЛА № 4 Г.Охи</t>
        </is>
      </c>
      <c r="C4566" s="13" t="n">
        <v>6506007964</v>
      </c>
      <c r="D4566" s="13" t="inlineStr">
        <is>
          <t>6506007964</t>
        </is>
      </c>
      <c r="E4566" s="13" t="inlineStr">
        <is>
          <t>ЮЛ РФ</t>
        </is>
      </c>
      <c r="F4566" s="13" t="n"/>
      <c r="G4566" s="14" t="n"/>
      <c r="H4566" s="14" t="n"/>
      <c r="I4566" s="14" t="n"/>
      <c r="J4566" s="14" t="n"/>
      <c r="K4566" s="53" t="inlineStr"/>
      <c r="L4566" s="53" t="inlineStr">
        <is>
          <t>Не определено</t>
        </is>
      </c>
      <c r="M4566" s="53" t="inlineStr"/>
      <c r="N4566" s="54" t="inlineStr"/>
      <c r="O4566" s="55" t="inlineStr"/>
      <c r="P4566" s="16" t="inlineStr">
        <is>
          <t>Требует обогащения</t>
        </is>
      </c>
      <c r="Q4566" s="16">
        <f>HYPERLINK("https://pb.nalog.ru/search.html?query=6506007964","ФНС: проверить")</f>
        <v/>
      </c>
      <c r="R4566" s="16">
        <f>HYPERLINK("https://checko.ru/search?query=3801001629","Чекко: проверить")</f>
        <v/>
      </c>
      <c r="S4566" t="n">
        <v>1</v>
      </c>
      <c r="T4566" s="35" t="inlineStr">
        <is>
          <t>4 — Не обогащён</t>
        </is>
      </c>
      <c r="U4566" s="35" t="inlineStr">
        <is>
          <t>Нет ОКВЭД/ССЧР</t>
        </is>
      </c>
      <c r="V4566" s="35" t="inlineStr">
        <is>
          <t>Не определено</t>
        </is>
      </c>
      <c r="W4566" s="35" t="inlineStr"/>
      <c r="X4566" s="35" t="inlineStr"/>
    </row>
    <row r="4567" ht="15" customHeight="1" s="24">
      <c r="A4567" s="13" t="n">
        <v>5000109143</v>
      </c>
      <c r="B4567" s="13" t="inlineStr">
        <is>
          <t>МБОУ ДО ДОМ ДЕТСТВА И ЮНОШЕСТВА Г. Охи</t>
        </is>
      </c>
      <c r="C4567" s="13" t="n">
        <v>6506007611</v>
      </c>
      <c r="D4567" s="13" t="inlineStr">
        <is>
          <t>6506007611</t>
        </is>
      </c>
      <c r="E4567" s="13" t="inlineStr">
        <is>
          <t>ЮЛ РФ</t>
        </is>
      </c>
      <c r="F4567" s="13" t="n"/>
      <c r="G4567" s="14" t="n"/>
      <c r="H4567" s="14" t="n"/>
      <c r="I4567" s="14" t="n"/>
      <c r="J4567" s="14" t="n"/>
      <c r="K4567" s="53" t="inlineStr"/>
      <c r="L4567" s="53" t="inlineStr">
        <is>
          <t>Не определено</t>
        </is>
      </c>
      <c r="M4567" s="53" t="inlineStr"/>
      <c r="N4567" s="54" t="inlineStr"/>
      <c r="O4567" s="55" t="inlineStr"/>
      <c r="P4567" s="16" t="inlineStr">
        <is>
          <t>Требует обогащения</t>
        </is>
      </c>
      <c r="Q4567" s="16">
        <f>HYPERLINK("https://pb.nalog.ru/search.html?query=6506007611","ФНС: проверить")</f>
        <v/>
      </c>
      <c r="R4567" s="16">
        <f>HYPERLINK("https://checko.ru/search?query=3801001629","Чекко: проверить")</f>
        <v/>
      </c>
      <c r="S4567" t="n">
        <v>1</v>
      </c>
      <c r="T4567" s="35" t="inlineStr">
        <is>
          <t>4 — Не обогащён</t>
        </is>
      </c>
      <c r="U4567" s="35" t="inlineStr">
        <is>
          <t>Нет ОКВЭД/ССЧР</t>
        </is>
      </c>
      <c r="V4567" s="35" t="inlineStr">
        <is>
          <t>Не определено</t>
        </is>
      </c>
      <c r="W4567" s="35" t="inlineStr"/>
      <c r="X4567" s="35" t="inlineStr"/>
    </row>
    <row r="4568" ht="15" customHeight="1" s="24">
      <c r="A4568" s="13" t="n">
        <v>5000109144</v>
      </c>
      <c r="B4568" s="13" t="inlineStr">
        <is>
          <t>МБОУ СОШ № 7 Г. Охи им. Д. М. Карбышева</t>
        </is>
      </c>
      <c r="C4568" s="13" t="n">
        <v>6506007650</v>
      </c>
      <c r="D4568" s="13" t="inlineStr">
        <is>
          <t>6506007650</t>
        </is>
      </c>
      <c r="E4568" s="13" t="inlineStr">
        <is>
          <t>ЮЛ РФ</t>
        </is>
      </c>
      <c r="F4568" s="13" t="n"/>
      <c r="G4568" s="14" t="n"/>
      <c r="H4568" s="14" t="n"/>
      <c r="I4568" s="14" t="n"/>
      <c r="J4568" s="14" t="n"/>
      <c r="K4568" s="53" t="inlineStr"/>
      <c r="L4568" s="53" t="inlineStr">
        <is>
          <t>Не определено</t>
        </is>
      </c>
      <c r="M4568" s="53" t="inlineStr"/>
      <c r="N4568" s="54" t="inlineStr"/>
      <c r="O4568" s="55" t="inlineStr"/>
      <c r="P4568" s="16" t="inlineStr">
        <is>
          <t>Требует обогащения</t>
        </is>
      </c>
      <c r="Q4568" s="16">
        <f>HYPERLINK("https://pb.nalog.ru/search.html?query=6506007650","ФНС: проверить")</f>
        <v/>
      </c>
      <c r="R4568" s="16">
        <f>HYPERLINK("https://checko.ru/search?query=3801001629","Чекко: проверить")</f>
        <v/>
      </c>
      <c r="S4568" t="n">
        <v>1</v>
      </c>
      <c r="T4568" s="35" t="inlineStr">
        <is>
          <t>4 — Не обогащён</t>
        </is>
      </c>
      <c r="U4568" s="35" t="inlineStr">
        <is>
          <t>Нет ОКВЭД/ССЧР</t>
        </is>
      </c>
      <c r="V4568" s="35" t="inlineStr">
        <is>
          <t>Не определено</t>
        </is>
      </c>
      <c r="W4568" s="35" t="inlineStr"/>
      <c r="X4568" s="35" t="inlineStr"/>
    </row>
    <row r="4569" ht="15" customHeight="1" s="24">
      <c r="A4569" s="13" t="n">
        <v>5000109145</v>
      </c>
      <c r="B4569" s="13" t="inlineStr">
        <is>
          <t>МБДОУ Детский Сад № 2 "Солнышко" Г. Охи</t>
        </is>
      </c>
      <c r="C4569" s="13" t="n">
        <v>6506007690</v>
      </c>
      <c r="D4569" s="13" t="inlineStr">
        <is>
          <t>6506007690</t>
        </is>
      </c>
      <c r="E4569" s="13" t="inlineStr">
        <is>
          <t>ЮЛ РФ</t>
        </is>
      </c>
      <c r="F4569" s="13" t="n"/>
      <c r="G4569" s="14" t="n"/>
      <c r="H4569" s="14" t="n"/>
      <c r="I4569" s="14" t="n"/>
      <c r="J4569" s="14" t="n"/>
      <c r="K4569" s="53" t="inlineStr"/>
      <c r="L4569" s="53" t="inlineStr">
        <is>
          <t>Не определено</t>
        </is>
      </c>
      <c r="M4569" s="53" t="inlineStr"/>
      <c r="N4569" s="54" t="inlineStr"/>
      <c r="O4569" s="55" t="inlineStr"/>
      <c r="P4569" s="16" t="inlineStr">
        <is>
          <t>Требует обогащения</t>
        </is>
      </c>
      <c r="Q4569" s="16">
        <f>HYPERLINK("https://pb.nalog.ru/search.html?query=6506007690","ФНС: проверить")</f>
        <v/>
      </c>
      <c r="R4569" s="16">
        <f>HYPERLINK("https://checko.ru/search?query=3801001629","Чекко: проверить")</f>
        <v/>
      </c>
      <c r="S4569" t="n">
        <v>1</v>
      </c>
      <c r="T4569" s="35" t="inlineStr">
        <is>
          <t>4 — Не обогащён</t>
        </is>
      </c>
      <c r="U4569" s="35" t="inlineStr">
        <is>
          <t>Нет ОКВЭД/ССЧР</t>
        </is>
      </c>
      <c r="V4569" s="35" t="inlineStr">
        <is>
          <t>Не определено</t>
        </is>
      </c>
      <c r="W4569" s="35" t="inlineStr"/>
      <c r="X4569" s="35" t="inlineStr"/>
    </row>
    <row r="4570" ht="27.75" customHeight="1" s="24">
      <c r="A4570" s="13" t="n">
        <v>5000058090</v>
      </c>
      <c r="B4570" s="13" t="inlineStr">
        <is>
          <t>Министерство инвестиционной политики Сахалинской области</t>
        </is>
      </c>
      <c r="C4570" s="13" t="n">
        <v>6501308439</v>
      </c>
      <c r="D4570" s="13" t="inlineStr">
        <is>
          <t>6501308439</t>
        </is>
      </c>
      <c r="E4570" s="13" t="inlineStr">
        <is>
          <t>ЮЛ РФ</t>
        </is>
      </c>
      <c r="F4570" s="13" t="n"/>
      <c r="G4570" s="14" t="n"/>
      <c r="H4570" s="14" t="n"/>
      <c r="I4570" s="14" t="n"/>
      <c r="J4570" s="14" t="n"/>
      <c r="K4570" s="53" t="inlineStr"/>
      <c r="L4570" s="53" t="inlineStr">
        <is>
          <t>Не определено</t>
        </is>
      </c>
      <c r="M4570" s="53" t="inlineStr"/>
      <c r="N4570" s="54" t="inlineStr"/>
      <c r="O4570" s="55" t="inlineStr"/>
      <c r="P4570" s="16" t="inlineStr">
        <is>
          <t>Требует обогащения</t>
        </is>
      </c>
      <c r="Q4570" s="16">
        <f>HYPERLINK("https://pb.nalog.ru/search.html?query=6501308439","ФНС: проверить")</f>
        <v/>
      </c>
      <c r="R4570" s="16">
        <f>HYPERLINK("https://checko.ru/search?query=3801001629","Чекко: проверить")</f>
        <v/>
      </c>
      <c r="S4570" t="n">
        <v>1</v>
      </c>
      <c r="T4570" s="35" t="inlineStr">
        <is>
          <t>4 — Не обогащён</t>
        </is>
      </c>
      <c r="U4570" s="35" t="inlineStr">
        <is>
          <t>Нет ОКВЭД/ССЧР</t>
        </is>
      </c>
      <c r="V4570" s="35" t="inlineStr">
        <is>
          <t>Не определено</t>
        </is>
      </c>
      <c r="W4570" s="35" t="inlineStr"/>
      <c r="X4570" s="35" t="inlineStr"/>
    </row>
    <row r="4571" ht="27.75" customHeight="1" s="24">
      <c r="A4571" s="13" t="n">
        <v>5000058089</v>
      </c>
      <c r="B4571" s="13" t="inlineStr">
        <is>
          <t>Министерство Сахалинской области по эффективному управлению регионом</t>
        </is>
      </c>
      <c r="C4571" s="13" t="n">
        <v>6501307555</v>
      </c>
      <c r="D4571" s="13" t="inlineStr">
        <is>
          <t>6501307555</t>
        </is>
      </c>
      <c r="E4571" s="13" t="inlineStr">
        <is>
          <t>ЮЛ РФ</t>
        </is>
      </c>
      <c r="F4571" s="13" t="n"/>
      <c r="G4571" s="14" t="n"/>
      <c r="H4571" s="14" t="n"/>
      <c r="I4571" s="14" t="n"/>
      <c r="J4571" s="14" t="n"/>
      <c r="K4571" s="53" t="inlineStr"/>
      <c r="L4571" s="53" t="inlineStr">
        <is>
          <t>Не определено</t>
        </is>
      </c>
      <c r="M4571" s="53" t="inlineStr"/>
      <c r="N4571" s="54" t="inlineStr"/>
      <c r="O4571" s="55" t="inlineStr"/>
      <c r="P4571" s="16" t="inlineStr">
        <is>
          <t>Требует обогащения</t>
        </is>
      </c>
      <c r="Q4571" s="16">
        <f>HYPERLINK("https://pb.nalog.ru/search.html?query=6501307555","ФНС: проверить")</f>
        <v/>
      </c>
      <c r="R4571" s="16">
        <f>HYPERLINK("https://checko.ru/search?query=3801001629","Чекко: проверить")</f>
        <v/>
      </c>
      <c r="S4571" t="n">
        <v>1</v>
      </c>
      <c r="T4571" s="35" t="inlineStr">
        <is>
          <t>4 — Не обогащён</t>
        </is>
      </c>
      <c r="U4571" s="35" t="inlineStr">
        <is>
          <t>Нет ОКВЭД/ССЧР</t>
        </is>
      </c>
      <c r="V4571" s="35" t="inlineStr">
        <is>
          <t>Не определено</t>
        </is>
      </c>
      <c r="W4571" s="35" t="inlineStr"/>
      <c r="X4571" s="35" t="inlineStr"/>
    </row>
    <row r="4572" ht="27.75" customHeight="1" s="24">
      <c r="A4572" s="13" t="n">
        <v>5000117222</v>
      </c>
      <c r="B4572" s="13" t="inlineStr">
        <is>
          <t>Финансовое управление администрации Невельского городского округа</t>
        </is>
      </c>
      <c r="C4572" s="13" t="n">
        <v>6505003519</v>
      </c>
      <c r="D4572" s="13" t="inlineStr">
        <is>
          <t>6505003519</t>
        </is>
      </c>
      <c r="E4572" s="13" t="inlineStr">
        <is>
          <t>ЮЛ РФ</t>
        </is>
      </c>
      <c r="F4572" s="13" t="n"/>
      <c r="G4572" s="14" t="n"/>
      <c r="H4572" s="14" t="n"/>
      <c r="I4572" s="14" t="n"/>
      <c r="J4572" s="14" t="n"/>
      <c r="K4572" s="53" t="inlineStr"/>
      <c r="L4572" s="53" t="inlineStr">
        <is>
          <t>Не определено</t>
        </is>
      </c>
      <c r="M4572" s="53" t="inlineStr"/>
      <c r="N4572" s="54" t="inlineStr"/>
      <c r="O4572" s="55" t="inlineStr"/>
      <c r="P4572" s="16" t="inlineStr">
        <is>
          <t>Требует обогащения</t>
        </is>
      </c>
      <c r="Q4572" s="16">
        <f>HYPERLINK("https://pb.nalog.ru/search.html?query=6505003519","ФНС: проверить")</f>
        <v/>
      </c>
      <c r="R4572" s="16">
        <f>HYPERLINK("https://checko.ru/search?query=3801001629","Чекко: проверить")</f>
        <v/>
      </c>
      <c r="S4572" t="n">
        <v>1</v>
      </c>
      <c r="T4572" s="35" t="inlineStr">
        <is>
          <t>4 — Не обогащён</t>
        </is>
      </c>
      <c r="U4572" s="35" t="inlineStr">
        <is>
          <t>Нет ОКВЭД/ССЧР</t>
        </is>
      </c>
      <c r="V4572" s="35" t="inlineStr">
        <is>
          <t>Не определено</t>
        </is>
      </c>
      <c r="W4572" s="35" t="inlineStr"/>
      <c r="X4572" s="35" t="inlineStr"/>
    </row>
    <row r="4573" ht="27.75" customHeight="1" s="24">
      <c r="A4573" s="13" t="n">
        <v>5000102516</v>
      </c>
      <c r="B4573" s="13" t="inlineStr">
        <is>
          <t>КОНТРОЛЬНО-СЧЕТНАЯ ПАЛАТА МО ГО "ДОЛИНСКИЙ"</t>
        </is>
      </c>
      <c r="C4573" s="13" t="n">
        <v>6500011957</v>
      </c>
      <c r="D4573" s="13" t="inlineStr">
        <is>
          <t>6500011957</t>
        </is>
      </c>
      <c r="E4573" s="13" t="inlineStr">
        <is>
          <t>ЮЛ РФ</t>
        </is>
      </c>
      <c r="F4573" s="13" t="n"/>
      <c r="G4573" s="14" t="n"/>
      <c r="H4573" s="14" t="n"/>
      <c r="I4573" s="14" t="n"/>
      <c r="J4573" s="14" t="n"/>
      <c r="K4573" s="53" t="inlineStr"/>
      <c r="L4573" s="53" t="inlineStr">
        <is>
          <t>Не определено</t>
        </is>
      </c>
      <c r="M4573" s="53" t="inlineStr"/>
      <c r="N4573" s="54" t="inlineStr"/>
      <c r="O4573" s="55" t="inlineStr"/>
      <c r="P4573" s="16" t="inlineStr">
        <is>
          <t>Требует обогащения</t>
        </is>
      </c>
      <c r="Q4573" s="16">
        <f>HYPERLINK("https://pb.nalog.ru/search.html?query=6500011957","ФНС: проверить")</f>
        <v/>
      </c>
      <c r="R4573" s="16">
        <f>HYPERLINK("https://checko.ru/search?query=3801001629","Чекко: проверить")</f>
        <v/>
      </c>
      <c r="S4573" t="n">
        <v>1</v>
      </c>
      <c r="T4573" s="35" t="inlineStr">
        <is>
          <t>4 — Не обогащён</t>
        </is>
      </c>
      <c r="U4573" s="35" t="inlineStr">
        <is>
          <t>Нет ОКВЭД/ССЧР</t>
        </is>
      </c>
      <c r="V4573" s="35" t="inlineStr">
        <is>
          <t>Не определено</t>
        </is>
      </c>
      <c r="W4573" s="35" t="inlineStr"/>
      <c r="X4573" s="35" t="inlineStr"/>
    </row>
    <row r="4574" ht="41.25" customHeight="1" s="24">
      <c r="A4574" s="13" t="n">
        <v>5000101083</v>
      </c>
      <c r="B4574" s="13" t="inlineStr">
        <is>
          <t>Муниципальное бюджетное учреждение Дополнительного Образования "Ольхонский Дом Детского Творчества"</t>
        </is>
      </c>
      <c r="C4574" s="13" t="n">
        <v>3836002253</v>
      </c>
      <c r="D4574" s="13" t="inlineStr">
        <is>
          <t>3836002253</t>
        </is>
      </c>
      <c r="E4574" s="13" t="inlineStr">
        <is>
          <t>ЮЛ РФ</t>
        </is>
      </c>
      <c r="F4574" s="13" t="n"/>
      <c r="G4574" s="14" t="n"/>
      <c r="H4574" s="14" t="n"/>
      <c r="I4574" s="14" t="n"/>
      <c r="J4574" s="14" t="n"/>
      <c r="K4574" s="53" t="inlineStr"/>
      <c r="L4574" s="53" t="inlineStr">
        <is>
          <t>Не определено</t>
        </is>
      </c>
      <c r="M4574" s="53" t="inlineStr"/>
      <c r="N4574" s="54" t="inlineStr"/>
      <c r="O4574" s="55" t="inlineStr"/>
      <c r="P4574" s="16" t="inlineStr">
        <is>
          <t>Требует обогащения</t>
        </is>
      </c>
      <c r="Q4574" s="16">
        <f>HYPERLINK("https://pb.nalog.ru/search.html?query=3836002253","ФНС: проверить")</f>
        <v/>
      </c>
      <c r="R4574" s="16">
        <f>HYPERLINK("https://checko.ru/search?query=3801001629","Чекко: проверить")</f>
        <v/>
      </c>
      <c r="S4574" t="n">
        <v>1</v>
      </c>
      <c r="T4574" s="35" t="inlineStr">
        <is>
          <t>4 — Не обогащён</t>
        </is>
      </c>
      <c r="U4574" s="35" t="inlineStr">
        <is>
          <t>Нет ОКВЭД/ССЧР</t>
        </is>
      </c>
      <c r="V4574" s="35" t="inlineStr">
        <is>
          <t>Не определено</t>
        </is>
      </c>
      <c r="W4574" s="35" t="inlineStr"/>
      <c r="X4574" s="35" t="inlineStr"/>
    </row>
    <row r="4575" ht="15" customHeight="1" s="24">
      <c r="A4575" s="13" t="n">
        <v>5000061509</v>
      </c>
      <c r="B4575" s="13" t="inlineStr">
        <is>
          <t>МБУ "Управление городским хозяйством"</t>
        </is>
      </c>
      <c r="C4575" s="13" t="n">
        <v>6503012701</v>
      </c>
      <c r="D4575" s="13" t="inlineStr">
        <is>
          <t>6503012701</t>
        </is>
      </c>
      <c r="E4575" s="13" t="inlineStr">
        <is>
          <t>ЮЛ РФ</t>
        </is>
      </c>
      <c r="F4575" s="13" t="n"/>
      <c r="G4575" s="14" t="n"/>
      <c r="H4575" s="14" t="n"/>
      <c r="I4575" s="14" t="n"/>
      <c r="J4575" s="14" t="n"/>
      <c r="K4575" s="53" t="inlineStr"/>
      <c r="L4575" s="53" t="inlineStr">
        <is>
          <t>Не определено</t>
        </is>
      </c>
      <c r="M4575" s="53" t="inlineStr"/>
      <c r="N4575" s="54" t="inlineStr"/>
      <c r="O4575" s="55" t="inlineStr"/>
      <c r="P4575" s="16" t="inlineStr">
        <is>
          <t>Требует обогащения</t>
        </is>
      </c>
      <c r="Q4575" s="16">
        <f>HYPERLINK("https://pb.nalog.ru/search.html?query=6503012701","ФНС: проверить")</f>
        <v/>
      </c>
      <c r="R4575" s="16">
        <f>HYPERLINK("https://checko.ru/search?query=3801001629","Чекко: проверить")</f>
        <v/>
      </c>
      <c r="S4575" t="n">
        <v>1</v>
      </c>
      <c r="T4575" s="35" t="inlineStr">
        <is>
          <t>4 — Не обогащён</t>
        </is>
      </c>
      <c r="U4575" s="35" t="inlineStr">
        <is>
          <t>Нет ОКВЭД/ССЧР</t>
        </is>
      </c>
      <c r="V4575" s="35" t="inlineStr">
        <is>
          <t>Не определено</t>
        </is>
      </c>
      <c r="W4575" s="35" t="inlineStr"/>
      <c r="X4575" s="35" t="inlineStr"/>
    </row>
    <row r="4576" ht="27.75" customHeight="1" s="24">
      <c r="A4576" s="13" t="n">
        <v>5000085009</v>
      </c>
      <c r="B4576" s="13" t="inlineStr">
        <is>
          <t>ОКУ "Центр занятости населения муниципального образования городской округ "Долинский"</t>
        </is>
      </c>
      <c r="C4576" s="13" t="n">
        <v>6503009628</v>
      </c>
      <c r="D4576" s="13" t="inlineStr">
        <is>
          <t>6503009628</t>
        </is>
      </c>
      <c r="E4576" s="13" t="inlineStr">
        <is>
          <t>ЮЛ РФ</t>
        </is>
      </c>
      <c r="F4576" s="13" t="n"/>
      <c r="G4576" s="14" t="n"/>
      <c r="H4576" s="14" t="n"/>
      <c r="I4576" s="14" t="n"/>
      <c r="J4576" s="14" t="n"/>
      <c r="K4576" s="53" t="inlineStr"/>
      <c r="L4576" s="53" t="inlineStr">
        <is>
          <t>Не определено</t>
        </is>
      </c>
      <c r="M4576" s="53" t="inlineStr"/>
      <c r="N4576" s="54" t="inlineStr"/>
      <c r="O4576" s="55" t="inlineStr"/>
      <c r="P4576" s="16" t="inlineStr">
        <is>
          <t>Требует обогащения</t>
        </is>
      </c>
      <c r="Q4576" s="16">
        <f>HYPERLINK("https://pb.nalog.ru/search.html?query=6503009628","ФНС: проверить")</f>
        <v/>
      </c>
      <c r="R4576" s="16">
        <f>HYPERLINK("https://checko.ru/search?query=3801001629","Чекко: проверить")</f>
        <v/>
      </c>
      <c r="S4576" t="n">
        <v>1</v>
      </c>
      <c r="T4576" s="35" t="inlineStr">
        <is>
          <t>4 — Не обогащён</t>
        </is>
      </c>
      <c r="U4576" s="35" t="inlineStr">
        <is>
          <t>Нет ОКВЭД/ССЧР</t>
        </is>
      </c>
      <c r="V4576" s="35" t="inlineStr">
        <is>
          <t>Не определено</t>
        </is>
      </c>
      <c r="W4576" s="35" t="inlineStr"/>
      <c r="X4576" s="35" t="inlineStr"/>
    </row>
    <row r="4577" ht="41.25" customHeight="1" s="24">
      <c r="A4577" s="13" t="n">
        <v>5000104897</v>
      </c>
      <c r="B4577" s="13" t="inlineStr">
        <is>
          <t>ГОСУДАРСТВЕННОЕ КАЗЕННОЕ УЧРЕЖДЕНИЕ САХАЛИНСКОЙ ОБЛАСТИ "ЦЕНТР ГОСУДАРСТВЕННО-ЧАСТНОГО ПАРТНЕРСТВА"</t>
        </is>
      </c>
      <c r="C4577" s="13" t="n">
        <v>6500013094</v>
      </c>
      <c r="D4577" s="13" t="inlineStr">
        <is>
          <t>6500013094</t>
        </is>
      </c>
      <c r="E4577" s="13" t="inlineStr">
        <is>
          <t>ЮЛ РФ</t>
        </is>
      </c>
      <c r="F4577" s="13" t="n"/>
      <c r="G4577" s="14" t="n"/>
      <c r="H4577" s="14" t="n"/>
      <c r="I4577" s="14" t="n"/>
      <c r="J4577" s="14" t="n"/>
      <c r="K4577" s="53" t="inlineStr"/>
      <c r="L4577" s="53" t="inlineStr">
        <is>
          <t>Не определено</t>
        </is>
      </c>
      <c r="M4577" s="53" t="inlineStr"/>
      <c r="N4577" s="54" t="inlineStr"/>
      <c r="O4577" s="55" t="inlineStr"/>
      <c r="P4577" s="16" t="inlineStr">
        <is>
          <t>Требует обогащения</t>
        </is>
      </c>
      <c r="Q4577" s="16">
        <f>HYPERLINK("https://pb.nalog.ru/search.html?query=6500013094","ФНС: проверить")</f>
        <v/>
      </c>
      <c r="R4577" s="16">
        <f>HYPERLINK("https://checko.ru/search?query=3801001629","Чекко: проверить")</f>
        <v/>
      </c>
      <c r="S4577" t="n">
        <v>1</v>
      </c>
      <c r="T4577" s="35" t="inlineStr">
        <is>
          <t>4 — Не обогащён</t>
        </is>
      </c>
      <c r="U4577" s="35" t="inlineStr">
        <is>
          <t>Нет ОКВЭД/ССЧР</t>
        </is>
      </c>
      <c r="V4577" s="35" t="inlineStr">
        <is>
          <t>Не определено</t>
        </is>
      </c>
      <c r="W4577" s="35" t="inlineStr"/>
      <c r="X4577" s="35" t="inlineStr"/>
    </row>
    <row r="4578" ht="15" customHeight="1" s="24">
      <c r="A4578" s="13" t="n">
        <v>5000089279</v>
      </c>
      <c r="B4578" s="13" t="inlineStr">
        <is>
          <t>Коррекционная школа-интернат VI вида, КГКСКОУ</t>
        </is>
      </c>
      <c r="C4578" s="13" t="n">
        <v>2539036392</v>
      </c>
      <c r="D4578" s="13" t="inlineStr">
        <is>
          <t>2539036392</t>
        </is>
      </c>
      <c r="E4578" s="13" t="inlineStr">
        <is>
          <t>ЮЛ РФ</t>
        </is>
      </c>
      <c r="F4578" s="13" t="n"/>
      <c r="G4578" s="14" t="n"/>
      <c r="H4578" s="14" t="n"/>
      <c r="I4578" s="14" t="n"/>
      <c r="J4578" s="14" t="n"/>
      <c r="K4578" s="53" t="inlineStr"/>
      <c r="L4578" s="53" t="inlineStr">
        <is>
          <t>Не определено</t>
        </is>
      </c>
      <c r="M4578" s="53" t="inlineStr"/>
      <c r="N4578" s="54" t="inlineStr"/>
      <c r="O4578" s="55" t="inlineStr"/>
      <c r="P4578" s="16" t="inlineStr">
        <is>
          <t>Требует обогащения</t>
        </is>
      </c>
      <c r="Q4578" s="16">
        <f>HYPERLINK("https://pb.nalog.ru/search.html?query=2539036392","ФНС: проверить")</f>
        <v/>
      </c>
      <c r="R4578" s="16">
        <f>HYPERLINK("https://checko.ru/search?query=3801001629","Чекко: проверить")</f>
        <v/>
      </c>
      <c r="S4578" t="n">
        <v>1</v>
      </c>
      <c r="T4578" s="35" t="inlineStr">
        <is>
          <t>4 — Не обогащён</t>
        </is>
      </c>
      <c r="U4578" s="35" t="inlineStr">
        <is>
          <t>Нет ОКВЭД/ССЧР</t>
        </is>
      </c>
      <c r="V4578" s="35" t="inlineStr">
        <is>
          <t>Не определено</t>
        </is>
      </c>
      <c r="W4578" s="35" t="inlineStr"/>
      <c r="X4578" s="35" t="inlineStr"/>
    </row>
    <row r="4579" ht="27.75" customHeight="1" s="24">
      <c r="A4579" s="13" t="n">
        <v>5000098345</v>
      </c>
      <c r="B4579" s="13" t="inlineStr">
        <is>
          <t>МУЗ "Станция скорой медицинской помощи"  "ССМП"</t>
        </is>
      </c>
      <c r="C4579" s="13" t="n">
        <v>2511007754</v>
      </c>
      <c r="D4579" s="13" t="inlineStr">
        <is>
          <t>2511007754</t>
        </is>
      </c>
      <c r="E4579" s="13" t="inlineStr">
        <is>
          <t>ЮЛ РФ</t>
        </is>
      </c>
      <c r="F4579" s="13" t="n"/>
      <c r="G4579" s="14" t="n"/>
      <c r="H4579" s="14" t="n"/>
      <c r="I4579" s="14" t="n"/>
      <c r="J4579" s="14" t="n"/>
      <c r="K4579" s="53" t="inlineStr"/>
      <c r="L4579" s="53" t="inlineStr">
        <is>
          <t>Не определено</t>
        </is>
      </c>
      <c r="M4579" s="53" t="inlineStr"/>
      <c r="N4579" s="54" t="inlineStr"/>
      <c r="O4579" s="55" t="inlineStr"/>
      <c r="P4579" s="16" t="inlineStr">
        <is>
          <t>Требует обогащения</t>
        </is>
      </c>
      <c r="Q4579" s="16">
        <f>HYPERLINK("https://pb.nalog.ru/search.html?query=2511007754","ФНС: проверить")</f>
        <v/>
      </c>
      <c r="R4579" s="16">
        <f>HYPERLINK("https://checko.ru/search?query=3801001629","Чекко: проверить")</f>
        <v/>
      </c>
      <c r="S4579" t="n">
        <v>1</v>
      </c>
      <c r="T4579" s="35" t="inlineStr">
        <is>
          <t>4 — Не обогащён</t>
        </is>
      </c>
      <c r="U4579" s="35" t="inlineStr">
        <is>
          <t>Нет ОКВЭД/ССЧР</t>
        </is>
      </c>
      <c r="V4579" s="35" t="inlineStr">
        <is>
          <t>Не определено</t>
        </is>
      </c>
      <c r="W4579" s="35" t="inlineStr"/>
      <c r="X4579" s="35" t="inlineStr"/>
    </row>
    <row r="4580" ht="15" customHeight="1" s="24">
      <c r="A4580" s="13" t="n">
        <v>5000098630</v>
      </c>
      <c r="B4580" s="13" t="inlineStr">
        <is>
          <t>ОГУЗ "Сахалинская областная больница"</t>
        </is>
      </c>
      <c r="C4580" s="13" t="n">
        <v>6501025568</v>
      </c>
      <c r="D4580" s="13" t="inlineStr">
        <is>
          <t>6501025568</t>
        </is>
      </c>
      <c r="E4580" s="13" t="inlineStr">
        <is>
          <t>ЮЛ РФ</t>
        </is>
      </c>
      <c r="F4580" s="13" t="n"/>
      <c r="G4580" s="14" t="n"/>
      <c r="H4580" s="14" t="n"/>
      <c r="I4580" s="14" t="n"/>
      <c r="J4580" s="14" t="n"/>
      <c r="K4580" s="53" t="inlineStr"/>
      <c r="L4580" s="53" t="inlineStr">
        <is>
          <t>Не определено</t>
        </is>
      </c>
      <c r="M4580" s="53" t="inlineStr"/>
      <c r="N4580" s="54" t="inlineStr"/>
      <c r="O4580" s="55" t="inlineStr"/>
      <c r="P4580" s="16" t="inlineStr">
        <is>
          <t>Требует обогащения</t>
        </is>
      </c>
      <c r="Q4580" s="16">
        <f>HYPERLINK("https://pb.nalog.ru/search.html?query=6501025568","ФНС: проверить")</f>
        <v/>
      </c>
      <c r="R4580" s="16">
        <f>HYPERLINK("https://checko.ru/search?query=3801001629","Чекко: проверить")</f>
        <v/>
      </c>
      <c r="S4580" t="n">
        <v>1</v>
      </c>
      <c r="T4580" s="35" t="inlineStr">
        <is>
          <t>4 — Не обогащён</t>
        </is>
      </c>
      <c r="U4580" s="35" t="inlineStr">
        <is>
          <t>Нет ОКВЭД/ССЧР</t>
        </is>
      </c>
      <c r="V4580" s="35" t="inlineStr">
        <is>
          <t>Не определено</t>
        </is>
      </c>
      <c r="W4580" s="35" t="inlineStr"/>
      <c r="X4580" s="35" t="inlineStr"/>
    </row>
    <row r="4581" ht="15" customHeight="1" s="24">
      <c r="A4581" s="13" t="n">
        <v>5000098183</v>
      </c>
      <c r="B4581" s="13" t="inlineStr">
        <is>
          <t>МУЗ "ЦРБ" пгт.Кировский</t>
        </is>
      </c>
      <c r="C4581" s="13" t="n">
        <v>2516002728</v>
      </c>
      <c r="D4581" s="13" t="inlineStr">
        <is>
          <t>2516002728</t>
        </is>
      </c>
      <c r="E4581" s="13" t="inlineStr">
        <is>
          <t>ЮЛ РФ</t>
        </is>
      </c>
      <c r="F4581" s="13" t="n"/>
      <c r="G4581" s="14" t="n"/>
      <c r="H4581" s="14" t="n"/>
      <c r="I4581" s="14" t="n"/>
      <c r="J4581" s="14" t="n"/>
      <c r="K4581" s="53" t="inlineStr"/>
      <c r="L4581" s="53" t="inlineStr">
        <is>
          <t>Не определено</t>
        </is>
      </c>
      <c r="M4581" s="53" t="inlineStr"/>
      <c r="N4581" s="54" t="inlineStr"/>
      <c r="O4581" s="55" t="inlineStr"/>
      <c r="P4581" s="16" t="inlineStr">
        <is>
          <t>Требует обогащения</t>
        </is>
      </c>
      <c r="Q4581" s="16">
        <f>HYPERLINK("https://pb.nalog.ru/search.html?query=2516002728","ФНС: проверить")</f>
        <v/>
      </c>
      <c r="R4581" s="16">
        <f>HYPERLINK("https://checko.ru/search?query=3801001629","Чекко: проверить")</f>
        <v/>
      </c>
      <c r="S4581" t="n">
        <v>1</v>
      </c>
      <c r="T4581" s="35" t="inlineStr">
        <is>
          <t>4 — Не обогащён</t>
        </is>
      </c>
      <c r="U4581" s="35" t="inlineStr">
        <is>
          <t>Нет ОКВЭД/ССЧР</t>
        </is>
      </c>
      <c r="V4581" s="35" t="inlineStr">
        <is>
          <t>Не определено</t>
        </is>
      </c>
      <c r="W4581" s="35" t="inlineStr"/>
      <c r="X4581" s="35" t="inlineStr"/>
    </row>
    <row r="4582" ht="15" customHeight="1" s="24">
      <c r="A4582" s="13" t="n">
        <v>5000107148</v>
      </c>
      <c r="B4582" s="13" t="inlineStr">
        <is>
          <t>Кинодосуговое объединение</t>
        </is>
      </c>
      <c r="C4582" s="13" t="n">
        <v>6501206204</v>
      </c>
      <c r="D4582" s="13" t="inlineStr">
        <is>
          <t>6501206204</t>
        </is>
      </c>
      <c r="E4582" s="13" t="inlineStr">
        <is>
          <t>ЮЛ РФ</t>
        </is>
      </c>
      <c r="F4582" s="13" t="n"/>
      <c r="G4582" s="14" t="n"/>
      <c r="H4582" s="14" t="n"/>
      <c r="I4582" s="14" t="n"/>
      <c r="J4582" s="14" t="n"/>
      <c r="K4582" s="53" t="inlineStr"/>
      <c r="L4582" s="53" t="inlineStr">
        <is>
          <t>Не определено</t>
        </is>
      </c>
      <c r="M4582" s="53" t="inlineStr"/>
      <c r="N4582" s="54" t="inlineStr"/>
      <c r="O4582" s="55" t="inlineStr"/>
      <c r="P4582" s="16" t="inlineStr">
        <is>
          <t>Требует обогащения</t>
        </is>
      </c>
      <c r="Q4582" s="16">
        <f>HYPERLINK("https://pb.nalog.ru/search.html?query=6501206204","ФНС: проверить")</f>
        <v/>
      </c>
      <c r="R4582" s="16">
        <f>HYPERLINK("https://checko.ru/search?query=3801001629","Чекко: проверить")</f>
        <v/>
      </c>
      <c r="S4582" t="n">
        <v>1</v>
      </c>
      <c r="T4582" s="35" t="inlineStr">
        <is>
          <t>4 — Не обогащён</t>
        </is>
      </c>
      <c r="U4582" s="35" t="inlineStr">
        <is>
          <t>Нет ОКВЭД/ССЧР</t>
        </is>
      </c>
      <c r="V4582" s="35" t="inlineStr">
        <is>
          <t>Не определено</t>
        </is>
      </c>
      <c r="W4582" s="35" t="inlineStr"/>
      <c r="X4582" s="35" t="inlineStr"/>
    </row>
    <row r="4583" ht="27.75" customHeight="1" s="24">
      <c r="A4583" s="13" t="n">
        <v>5000029821</v>
      </c>
      <c r="B4583" s="13" t="inlineStr">
        <is>
          <t>ГУЗ "Сахалинский областной центр медицинской профилактики"</t>
        </is>
      </c>
      <c r="C4583" s="13" t="n">
        <v>6501102163</v>
      </c>
      <c r="D4583" s="13" t="inlineStr">
        <is>
          <t>6501102163</t>
        </is>
      </c>
      <c r="E4583" s="13" t="inlineStr">
        <is>
          <t>ЮЛ РФ</t>
        </is>
      </c>
      <c r="F4583" s="13" t="n"/>
      <c r="G4583" s="14" t="n"/>
      <c r="H4583" s="14" t="n"/>
      <c r="I4583" s="14" t="n"/>
      <c r="J4583" s="14" t="n"/>
      <c r="K4583" s="53" t="inlineStr"/>
      <c r="L4583" s="53" t="inlineStr">
        <is>
          <t>Не определено</t>
        </is>
      </c>
      <c r="M4583" s="53" t="inlineStr"/>
      <c r="N4583" s="54" t="inlineStr"/>
      <c r="O4583" s="55" t="inlineStr"/>
      <c r="P4583" s="16" t="inlineStr">
        <is>
          <t>Требует обогащения</t>
        </is>
      </c>
      <c r="Q4583" s="16">
        <f>HYPERLINK("https://pb.nalog.ru/search.html?query=6501102163","ФНС: проверить")</f>
        <v/>
      </c>
      <c r="R4583" s="16">
        <f>HYPERLINK("https://checko.ru/search?query=3801001629","Чекко: проверить")</f>
        <v/>
      </c>
      <c r="S4583" t="n">
        <v>1</v>
      </c>
      <c r="T4583" s="35" t="inlineStr">
        <is>
          <t>4 — Не обогащён</t>
        </is>
      </c>
      <c r="U4583" s="35" t="inlineStr">
        <is>
          <t>Нет ОКВЭД/ССЧР</t>
        </is>
      </c>
      <c r="V4583" s="35" t="inlineStr">
        <is>
          <t>Не определено</t>
        </is>
      </c>
      <c r="W4583" s="35" t="inlineStr"/>
      <c r="X4583" s="35" t="inlineStr"/>
    </row>
    <row r="4584" ht="27.75" customHeight="1" s="24">
      <c r="A4584" s="13" t="n">
        <v>5000021370</v>
      </c>
      <c r="B4584" s="13" t="inlineStr">
        <is>
          <t>ГКУ "Центр социальной поддержки Сахалинской области"</t>
        </is>
      </c>
      <c r="C4584" s="13" t="n">
        <v>6501241008</v>
      </c>
      <c r="D4584" s="13" t="inlineStr">
        <is>
          <t>6501241008</t>
        </is>
      </c>
      <c r="E4584" s="13" t="inlineStr">
        <is>
          <t>ЮЛ РФ</t>
        </is>
      </c>
      <c r="F4584" s="13" t="n"/>
      <c r="G4584" s="14" t="n"/>
      <c r="H4584" s="14" t="n"/>
      <c r="I4584" s="14" t="n"/>
      <c r="J4584" s="14" t="n"/>
      <c r="K4584" s="53" t="inlineStr"/>
      <c r="L4584" s="53" t="inlineStr">
        <is>
          <t>Не определено</t>
        </is>
      </c>
      <c r="M4584" s="53" t="inlineStr"/>
      <c r="N4584" s="54" t="inlineStr"/>
      <c r="O4584" s="55" t="inlineStr"/>
      <c r="P4584" s="16" t="inlineStr">
        <is>
          <t>Требует обогащения</t>
        </is>
      </c>
      <c r="Q4584" s="16">
        <f>HYPERLINK("https://pb.nalog.ru/search.html?query=6501241008","ФНС: проверить")</f>
        <v/>
      </c>
      <c r="R4584" s="16">
        <f>HYPERLINK("https://checko.ru/search?query=3801001629","Чекко: проверить")</f>
        <v/>
      </c>
      <c r="S4584" t="n">
        <v>1</v>
      </c>
      <c r="T4584" s="35" t="inlineStr">
        <is>
          <t>4 — Не обогащён</t>
        </is>
      </c>
      <c r="U4584" s="35" t="inlineStr">
        <is>
          <t>Нет ОКВЭД/ССЧР</t>
        </is>
      </c>
      <c r="V4584" s="35" t="inlineStr">
        <is>
          <t>Не определено</t>
        </is>
      </c>
      <c r="W4584" s="35" t="inlineStr"/>
      <c r="X4584" s="35" t="inlineStr"/>
    </row>
    <row r="4585" ht="27.75" customHeight="1" s="24">
      <c r="A4585" s="13" t="n">
        <v>5000058090</v>
      </c>
      <c r="B4585" s="13" t="inlineStr">
        <is>
          <t>Министерство инвестиционной политики Сахалинской области</t>
        </is>
      </c>
      <c r="C4585" s="13" t="n">
        <v>6501308439</v>
      </c>
      <c r="D4585" s="13" t="inlineStr">
        <is>
          <t>6501308439</t>
        </is>
      </c>
      <c r="E4585" s="13" t="inlineStr">
        <is>
          <t>ЮЛ РФ</t>
        </is>
      </c>
      <c r="F4585" s="13" t="n"/>
      <c r="G4585" s="14" t="n"/>
      <c r="H4585" s="14" t="n"/>
      <c r="I4585" s="14" t="n"/>
      <c r="J4585" s="14" t="n"/>
      <c r="K4585" s="53" t="inlineStr"/>
      <c r="L4585" s="53" t="inlineStr">
        <is>
          <t>Не определено</t>
        </is>
      </c>
      <c r="M4585" s="53" t="inlineStr"/>
      <c r="N4585" s="54" t="inlineStr"/>
      <c r="O4585" s="55" t="inlineStr"/>
      <c r="P4585" s="16" t="inlineStr">
        <is>
          <t>Требует обогащения</t>
        </is>
      </c>
      <c r="Q4585" s="16">
        <f>HYPERLINK("https://pb.nalog.ru/search.html?query=6501308439","ФНС: проверить")</f>
        <v/>
      </c>
      <c r="R4585" s="16">
        <f>HYPERLINK("https://checko.ru/search?query=3801001629","Чекко: проверить")</f>
        <v/>
      </c>
      <c r="S4585" t="n">
        <v>0</v>
      </c>
      <c r="T4585" s="35" t="inlineStr">
        <is>
          <t>4 — Не обогащён</t>
        </is>
      </c>
      <c r="U4585" s="35" t="inlineStr">
        <is>
          <t>Нет ОКВЭД/ССЧР</t>
        </is>
      </c>
      <c r="V4585" s="35" t="inlineStr">
        <is>
          <t>Не определено</t>
        </is>
      </c>
      <c r="W4585" s="35" t="inlineStr"/>
      <c r="X4585" s="35" t="inlineStr"/>
    </row>
    <row r="4586" ht="15" customHeight="1" s="24">
      <c r="A4586" s="13" t="n">
        <v>5000098174</v>
      </c>
      <c r="B4586" s="13" t="inlineStr">
        <is>
          <t>Профессиональное училище N54 с.Чугуевка</t>
        </is>
      </c>
      <c r="C4586" s="13" t="n">
        <v>2534003026</v>
      </c>
      <c r="D4586" s="13" t="inlineStr">
        <is>
          <t>2534003026</t>
        </is>
      </c>
      <c r="E4586" s="13" t="inlineStr">
        <is>
          <t>ЮЛ РФ</t>
        </is>
      </c>
      <c r="F4586" s="13" t="n"/>
      <c r="G4586" s="14" t="n"/>
      <c r="H4586" s="14" t="n"/>
      <c r="I4586" s="14" t="n"/>
      <c r="J4586" s="14" t="n"/>
      <c r="K4586" s="53" t="inlineStr"/>
      <c r="L4586" s="53" t="inlineStr">
        <is>
          <t>Не определено</t>
        </is>
      </c>
      <c r="M4586" s="53" t="inlineStr"/>
      <c r="N4586" s="54" t="inlineStr"/>
      <c r="O4586" s="55" t="inlineStr"/>
      <c r="P4586" s="16" t="inlineStr">
        <is>
          <t>Требует обогащения</t>
        </is>
      </c>
      <c r="Q4586" s="16">
        <f>HYPERLINK("https://pb.nalog.ru/search.html?query=2534003026","ФНС: проверить")</f>
        <v/>
      </c>
      <c r="R4586" s="16">
        <f>HYPERLINK("https://checko.ru/search?query=3801001629","Чекко: проверить")</f>
        <v/>
      </c>
      <c r="S4586" t="n">
        <v>1</v>
      </c>
      <c r="T4586" s="35" t="inlineStr">
        <is>
          <t>4 — Не обогащён</t>
        </is>
      </c>
      <c r="U4586" s="35" t="inlineStr">
        <is>
          <t>Нет ОКВЭД/ССЧР</t>
        </is>
      </c>
      <c r="V4586" s="35" t="inlineStr">
        <is>
          <t>Не определено</t>
        </is>
      </c>
      <c r="W4586" s="35" t="inlineStr"/>
      <c r="X4586" s="35" t="inlineStr"/>
    </row>
    <row r="4587" ht="41.25" customHeight="1" s="24">
      <c r="A4587" s="13" t="n">
        <v>5000098298</v>
      </c>
      <c r="B4587" s="13" t="inlineStr">
        <is>
          <t>Краевое государственное бюджетное учреждение здравоохранения "Арсеньевская городская больница"</t>
        </is>
      </c>
      <c r="C4587" s="13" t="n">
        <v>2501015749</v>
      </c>
      <c r="D4587" s="13" t="inlineStr">
        <is>
          <t>2501015749</t>
        </is>
      </c>
      <c r="E4587" s="13" t="inlineStr">
        <is>
          <t>ЮЛ РФ</t>
        </is>
      </c>
      <c r="F4587" s="13" t="n"/>
      <c r="G4587" s="14" t="n"/>
      <c r="H4587" s="14" t="n"/>
      <c r="I4587" s="14" t="n"/>
      <c r="J4587" s="14" t="n"/>
      <c r="K4587" s="53" t="inlineStr"/>
      <c r="L4587" s="53" t="inlineStr">
        <is>
          <t>Не определено</t>
        </is>
      </c>
      <c r="M4587" s="53" t="inlineStr"/>
      <c r="N4587" s="54" t="inlineStr"/>
      <c r="O4587" s="55" t="inlineStr"/>
      <c r="P4587" s="16" t="inlineStr">
        <is>
          <t>Требует обогащения</t>
        </is>
      </c>
      <c r="Q4587" s="16">
        <f>HYPERLINK("https://pb.nalog.ru/search.html?query=2501015749","ФНС: проверить")</f>
        <v/>
      </c>
      <c r="R4587" s="16">
        <f>HYPERLINK("https://checko.ru/search?query=3801001629","Чекко: проверить")</f>
        <v/>
      </c>
      <c r="S4587" t="n">
        <v>1</v>
      </c>
      <c r="T4587" s="35" t="inlineStr">
        <is>
          <t>4 — Не обогащён</t>
        </is>
      </c>
      <c r="U4587" s="35" t="inlineStr">
        <is>
          <t>Нет ОКВЭД/ССЧР</t>
        </is>
      </c>
      <c r="V4587" s="35" t="inlineStr">
        <is>
          <t>Не определено</t>
        </is>
      </c>
      <c r="W4587" s="35" t="inlineStr"/>
      <c r="X4587" s="35" t="inlineStr"/>
    </row>
    <row r="4588" ht="27.75" customHeight="1" s="24">
      <c r="A4588" s="13" t="n">
        <v>5000032399</v>
      </c>
      <c r="B4588" s="13" t="inlineStr">
        <is>
          <t>ГБУ "Александровск-Сахалинский дом-интернат для престарелых граждан и инвалидов"</t>
        </is>
      </c>
      <c r="C4588" s="13" t="n">
        <v>6502003969</v>
      </c>
      <c r="D4588" s="13" t="inlineStr">
        <is>
          <t>6502003969</t>
        </is>
      </c>
      <c r="E4588" s="13" t="inlineStr">
        <is>
          <t>ЮЛ РФ</t>
        </is>
      </c>
      <c r="F4588" s="13" t="n"/>
      <c r="G4588" s="14" t="n"/>
      <c r="H4588" s="14" t="n"/>
      <c r="I4588" s="14" t="n"/>
      <c r="J4588" s="14" t="n"/>
      <c r="K4588" s="53" t="inlineStr"/>
      <c r="L4588" s="53" t="inlineStr">
        <is>
          <t>Не определено</t>
        </is>
      </c>
      <c r="M4588" s="53" t="inlineStr"/>
      <c r="N4588" s="54" t="inlineStr"/>
      <c r="O4588" s="55" t="inlineStr"/>
      <c r="P4588" s="16" t="inlineStr">
        <is>
          <t>Требует обогащения</t>
        </is>
      </c>
      <c r="Q4588" s="16">
        <f>HYPERLINK("https://pb.nalog.ru/search.html?query=6502003969","ФНС: проверить")</f>
        <v/>
      </c>
      <c r="R4588" s="16">
        <f>HYPERLINK("https://checko.ru/search?query=3801001629","Чекко: проверить")</f>
        <v/>
      </c>
      <c r="S4588" t="n">
        <v>1</v>
      </c>
      <c r="T4588" s="35" t="inlineStr">
        <is>
          <t>4 — Не обогащён</t>
        </is>
      </c>
      <c r="U4588" s="35" t="inlineStr">
        <is>
          <t>Нет ОКВЭД/ССЧР</t>
        </is>
      </c>
      <c r="V4588" s="35" t="inlineStr">
        <is>
          <t>Не определено</t>
        </is>
      </c>
      <c r="W4588" s="35" t="inlineStr"/>
      <c r="X4588" s="35" t="inlineStr"/>
    </row>
    <row r="4589" ht="27.75" customHeight="1" s="24">
      <c r="A4589" s="13" t="n">
        <v>5000012955</v>
      </c>
      <c r="B4589" s="13" t="inlineStr">
        <is>
          <t>ГКУ “Межведомственный центр бухгалтерского обслуживания” (МЦБО)</t>
        </is>
      </c>
      <c r="C4589" s="13" t="n">
        <v>6501145544</v>
      </c>
      <c r="D4589" s="13" t="inlineStr">
        <is>
          <t>6501145544</t>
        </is>
      </c>
      <c r="E4589" s="13" t="inlineStr">
        <is>
          <t>ЮЛ РФ</t>
        </is>
      </c>
      <c r="F4589" s="13" t="n"/>
      <c r="G4589" s="14" t="n"/>
      <c r="H4589" s="14" t="n"/>
      <c r="I4589" s="14" t="n"/>
      <c r="J4589" s="14" t="n"/>
      <c r="K4589" s="53" t="inlineStr"/>
      <c r="L4589" s="53" t="inlineStr">
        <is>
          <t>Не определено</t>
        </is>
      </c>
      <c r="M4589" s="53" t="inlineStr"/>
      <c r="N4589" s="54" t="inlineStr"/>
      <c r="O4589" s="55" t="inlineStr"/>
      <c r="P4589" s="16" t="inlineStr">
        <is>
          <t>Требует обогащения</t>
        </is>
      </c>
      <c r="Q4589" s="16">
        <f>HYPERLINK("https://pb.nalog.ru/search.html?query=6501145544","ФНС: проверить")</f>
        <v/>
      </c>
      <c r="R4589" s="16">
        <f>HYPERLINK("https://checko.ru/search?query=3801001629","Чекко: проверить")</f>
        <v/>
      </c>
      <c r="S4589" t="n">
        <v>1</v>
      </c>
      <c r="T4589" s="35" t="inlineStr">
        <is>
          <t>4 — Не обогащён</t>
        </is>
      </c>
      <c r="U4589" s="35" t="inlineStr">
        <is>
          <t>Нет ОКВЭД/ССЧР</t>
        </is>
      </c>
      <c r="V4589" s="35" t="inlineStr">
        <is>
          <t>Не определено</t>
        </is>
      </c>
      <c r="W4589" s="35" t="inlineStr"/>
      <c r="X4589" s="35" t="inlineStr"/>
    </row>
    <row r="4590" ht="54.75" customHeight="1" s="24">
      <c r="A4590" s="13" t="n">
        <v>5000098662</v>
      </c>
      <c r="B4590" s="13" t="inlineStr">
        <is>
          <t>Государственное казенное учреждение Сахалинской области «Дирекция по реализации программ в сфере жилищно-коммунального хозяйства Сахалинской области»</t>
        </is>
      </c>
      <c r="C4590" s="13" t="n">
        <v>6501307403</v>
      </c>
      <c r="D4590" s="13" t="inlineStr">
        <is>
          <t>6501307403</t>
        </is>
      </c>
      <c r="E4590" s="13" t="inlineStr">
        <is>
          <t>ЮЛ РФ</t>
        </is>
      </c>
      <c r="F4590" s="13" t="n"/>
      <c r="G4590" s="14" t="n"/>
      <c r="H4590" s="14" t="n"/>
      <c r="I4590" s="14" t="n"/>
      <c r="J4590" s="14" t="n"/>
      <c r="K4590" s="53" t="inlineStr"/>
      <c r="L4590" s="53" t="inlineStr">
        <is>
          <t>Не определено</t>
        </is>
      </c>
      <c r="M4590" s="53" t="inlineStr"/>
      <c r="N4590" s="54" t="inlineStr"/>
      <c r="O4590" s="55" t="inlineStr"/>
      <c r="P4590" s="16" t="inlineStr">
        <is>
          <t>Требует обогащения</t>
        </is>
      </c>
      <c r="Q4590" s="16">
        <f>HYPERLINK("https://pb.nalog.ru/search.html?query=6501307403","ФНС: проверить")</f>
        <v/>
      </c>
      <c r="R4590" s="16">
        <f>HYPERLINK("https://checko.ru/search?query=3801001629","Чекко: проверить")</f>
        <v/>
      </c>
      <c r="S4590" t="n">
        <v>1</v>
      </c>
      <c r="T4590" s="35" t="inlineStr">
        <is>
          <t>4 — Не обогащён</t>
        </is>
      </c>
      <c r="U4590" s="35" t="inlineStr">
        <is>
          <t>Нет ОКВЭД/ССЧР</t>
        </is>
      </c>
      <c r="V4590" s="35" t="inlineStr">
        <is>
          <t>Не определено</t>
        </is>
      </c>
      <c r="W4590" s="35" t="inlineStr"/>
      <c r="X4590" s="35" t="inlineStr"/>
    </row>
    <row r="4591" ht="15" customHeight="1" s="24">
      <c r="A4591" s="13" t="n">
        <v>5000122887</v>
      </c>
      <c r="B4591" s="13" t="inlineStr">
        <is>
          <t>МБУ "МФЦ ГОРОДА КОРОЛЁВА"</t>
        </is>
      </c>
      <c r="C4591" s="13" t="n">
        <v>5018157001</v>
      </c>
      <c r="D4591" s="13" t="inlineStr">
        <is>
          <t>5018157001</t>
        </is>
      </c>
      <c r="E4591" s="13" t="inlineStr">
        <is>
          <t>ЮЛ РФ</t>
        </is>
      </c>
      <c r="F4591" s="13" t="n"/>
      <c r="G4591" s="14" t="n"/>
      <c r="H4591" s="14" t="n"/>
      <c r="I4591" s="14" t="n"/>
      <c r="J4591" s="14" t="n"/>
      <c r="K4591" s="53" t="inlineStr"/>
      <c r="L4591" s="53" t="inlineStr">
        <is>
          <t>Не определено</t>
        </is>
      </c>
      <c r="M4591" s="53" t="inlineStr"/>
      <c r="N4591" s="54" t="inlineStr"/>
      <c r="O4591" s="55" t="inlineStr"/>
      <c r="P4591" s="16" t="inlineStr">
        <is>
          <t>Требует обогащения</t>
        </is>
      </c>
      <c r="Q4591" s="16">
        <f>HYPERLINK("https://pb.nalog.ru/search.html?query=5018157001","ФНС: проверить")</f>
        <v/>
      </c>
      <c r="R4591" s="16">
        <f>HYPERLINK("https://checko.ru/search?query=3801001629","Чекко: проверить")</f>
        <v/>
      </c>
      <c r="S4591" t="n">
        <v>1</v>
      </c>
      <c r="T4591" s="35" t="inlineStr">
        <is>
          <t>4 — Не обогащён</t>
        </is>
      </c>
      <c r="U4591" s="35" t="inlineStr">
        <is>
          <t>Нет ОКВЭД/ССЧР</t>
        </is>
      </c>
      <c r="V4591" s="35" t="inlineStr">
        <is>
          <t>Не определено</t>
        </is>
      </c>
      <c r="W4591" s="35" t="inlineStr"/>
      <c r="X4591" s="35" t="inlineStr"/>
    </row>
    <row r="4592" ht="27.75" customHeight="1" s="24">
      <c r="A4592" s="13" t="n">
        <v>5000058235</v>
      </c>
      <c r="B4592" s="13" t="inlineStr">
        <is>
          <t>Отдел по Молодежной Политике Администрации Города Черемхово</t>
        </is>
      </c>
      <c r="C4592" s="13" t="n">
        <v>3851024830</v>
      </c>
      <c r="D4592" s="13" t="inlineStr">
        <is>
          <t>3851024830</t>
        </is>
      </c>
      <c r="E4592" s="13" t="inlineStr">
        <is>
          <t>ЮЛ РФ</t>
        </is>
      </c>
      <c r="F4592" s="13" t="n"/>
      <c r="G4592" s="14" t="n"/>
      <c r="H4592" s="14" t="n"/>
      <c r="I4592" s="14" t="n"/>
      <c r="J4592" s="14" t="n"/>
      <c r="K4592" s="53" t="inlineStr"/>
      <c r="L4592" s="53" t="inlineStr">
        <is>
          <t>Не определено</t>
        </is>
      </c>
      <c r="M4592" s="53" t="inlineStr"/>
      <c r="N4592" s="54" t="inlineStr"/>
      <c r="O4592" s="55" t="inlineStr"/>
      <c r="P4592" s="16" t="inlineStr">
        <is>
          <t>Требует обогащения</t>
        </is>
      </c>
      <c r="Q4592" s="16">
        <f>HYPERLINK("https://pb.nalog.ru/search.html?query=3851024830","ФНС: проверить")</f>
        <v/>
      </c>
      <c r="R4592" s="16">
        <f>HYPERLINK("https://checko.ru/search?query=3801001629","Чекко: проверить")</f>
        <v/>
      </c>
      <c r="S4592" t="n">
        <v>1</v>
      </c>
      <c r="T4592" s="35" t="inlineStr">
        <is>
          <t>4 — Не обогащён</t>
        </is>
      </c>
      <c r="U4592" s="35" t="inlineStr">
        <is>
          <t>Нет ОКВЭД/ССЧР</t>
        </is>
      </c>
      <c r="V4592" s="35" t="inlineStr">
        <is>
          <t>Не определено</t>
        </is>
      </c>
      <c r="W4592" s="35" t="inlineStr"/>
      <c r="X4592" s="35" t="inlineStr"/>
    </row>
    <row r="4593" ht="27.75" customHeight="1" s="24">
      <c r="A4593" s="13" t="n">
        <v>5000058089</v>
      </c>
      <c r="B4593" s="13" t="inlineStr">
        <is>
          <t>Министерство Сахалинской области по эффективному управлению регионом</t>
        </is>
      </c>
      <c r="C4593" s="13" t="n">
        <v>6501307555</v>
      </c>
      <c r="D4593" s="13" t="inlineStr">
        <is>
          <t>6501307555</t>
        </is>
      </c>
      <c r="E4593" s="13" t="inlineStr">
        <is>
          <t>ЮЛ РФ</t>
        </is>
      </c>
      <c r="F4593" s="13" t="n"/>
      <c r="G4593" s="14" t="n"/>
      <c r="H4593" s="14" t="n"/>
      <c r="I4593" s="14" t="n"/>
      <c r="J4593" s="14" t="n"/>
      <c r="K4593" s="53" t="inlineStr"/>
      <c r="L4593" s="53" t="inlineStr">
        <is>
          <t>Не определено</t>
        </is>
      </c>
      <c r="M4593" s="53" t="inlineStr"/>
      <c r="N4593" s="54" t="inlineStr"/>
      <c r="O4593" s="55" t="inlineStr"/>
      <c r="P4593" s="16" t="inlineStr">
        <is>
          <t>Требует обогащения</t>
        </is>
      </c>
      <c r="Q4593" s="16">
        <f>HYPERLINK("https://pb.nalog.ru/search.html?query=6501307555","ФНС: проверить")</f>
        <v/>
      </c>
      <c r="R4593" s="16">
        <f>HYPERLINK("https://checko.ru/search?query=3801001629","Чекко: проверить")</f>
        <v/>
      </c>
      <c r="S4593" t="n">
        <v>0</v>
      </c>
      <c r="T4593" s="35" t="inlineStr">
        <is>
          <t>4 — Не обогащён</t>
        </is>
      </c>
      <c r="U4593" s="35" t="inlineStr">
        <is>
          <t>Нет ОКВЭД/ССЧР</t>
        </is>
      </c>
      <c r="V4593" s="35" t="inlineStr">
        <is>
          <t>Не определено</t>
        </is>
      </c>
      <c r="W4593" s="35" t="inlineStr"/>
      <c r="X4593" s="35" t="inlineStr"/>
    </row>
    <row r="4594" ht="68.25" customHeight="1" s="24">
      <c r="A4594" s="13" t="n">
        <v>5000089300</v>
      </c>
      <c r="B4594" s="13" t="inlineStr">
        <is>
          <t>КРАЕВОЕ ГОСУДАРСТВЕННОЕ КАЗЕННОЕ УЧРЕЖДЕНИЕ "ЦЕНТР СОДЕЙСТВИЯ СЕМЕЙНОМУ УСТРОЙСТВУ ДЕТЕЙ-СИРОТ И ДЕТЕЙ, ОСТАВШИХСЯ БЕЗ ПОПЕЧЕНИЯ РОДИТЕЛЕЙ, ПГТ НОВОША</t>
        </is>
      </c>
      <c r="C4594" s="13" t="n">
        <v>2520007447</v>
      </c>
      <c r="D4594" s="13" t="inlineStr">
        <is>
          <t>2520007447</t>
        </is>
      </c>
      <c r="E4594" s="13" t="inlineStr">
        <is>
          <t>ЮЛ РФ</t>
        </is>
      </c>
      <c r="F4594" s="13" t="n"/>
      <c r="G4594" s="14" t="n"/>
      <c r="H4594" s="14" t="n"/>
      <c r="I4594" s="14" t="n"/>
      <c r="J4594" s="14" t="n"/>
      <c r="K4594" s="53" t="inlineStr"/>
      <c r="L4594" s="53" t="inlineStr">
        <is>
          <t>Не определено</t>
        </is>
      </c>
      <c r="M4594" s="53" t="inlineStr"/>
      <c r="N4594" s="54" t="inlineStr"/>
      <c r="O4594" s="55" t="inlineStr"/>
      <c r="P4594" s="16" t="inlineStr">
        <is>
          <t>Требует обогащения</t>
        </is>
      </c>
      <c r="Q4594" s="16">
        <f>HYPERLINK("https://pb.nalog.ru/search.html?query=2520007447","ФНС: проверить")</f>
        <v/>
      </c>
      <c r="R4594" s="16">
        <f>HYPERLINK("https://checko.ru/search?query=3801001629","Чекко: проверить")</f>
        <v/>
      </c>
      <c r="S4594" t="n">
        <v>1</v>
      </c>
      <c r="T4594" s="35" t="inlineStr">
        <is>
          <t>4 — Не обогащён</t>
        </is>
      </c>
      <c r="U4594" s="35" t="inlineStr">
        <is>
          <t>Нет ОКВЭД/ССЧР</t>
        </is>
      </c>
      <c r="V4594" s="35" t="inlineStr">
        <is>
          <t>Не определено</t>
        </is>
      </c>
      <c r="W4594" s="35" t="inlineStr"/>
      <c r="X4594" s="35" t="inlineStr"/>
    </row>
    <row r="4595" ht="27.75" customHeight="1" s="24">
      <c r="A4595" s="13" t="n">
        <v>5000098324</v>
      </c>
      <c r="B4595" s="13" t="inlineStr">
        <is>
          <t>КГБУЗ Находкинская стоматологическая поликлиника</t>
        </is>
      </c>
      <c r="C4595" s="13" t="n">
        <v>2508000653</v>
      </c>
      <c r="D4595" s="13" t="inlineStr">
        <is>
          <t>2508000653</t>
        </is>
      </c>
      <c r="E4595" s="13" t="inlineStr">
        <is>
          <t>ЮЛ РФ</t>
        </is>
      </c>
      <c r="F4595" s="13" t="n"/>
      <c r="G4595" s="14" t="n"/>
      <c r="H4595" s="14" t="n"/>
      <c r="I4595" s="14" t="n"/>
      <c r="J4595" s="14" t="n"/>
      <c r="K4595" s="53" t="inlineStr"/>
      <c r="L4595" s="53" t="inlineStr">
        <is>
          <t>Не определено</t>
        </is>
      </c>
      <c r="M4595" s="53" t="inlineStr"/>
      <c r="N4595" s="54" t="inlineStr"/>
      <c r="O4595" s="55" t="inlineStr"/>
      <c r="P4595" s="16" t="inlineStr">
        <is>
          <t>Требует обогащения</t>
        </is>
      </c>
      <c r="Q4595" s="16">
        <f>HYPERLINK("https://pb.nalog.ru/search.html?query=2508000653","ФНС: проверить")</f>
        <v/>
      </c>
      <c r="R4595" s="16">
        <f>HYPERLINK("https://checko.ru/search?query=3801001629","Чекко: проверить")</f>
        <v/>
      </c>
      <c r="S4595" t="n">
        <v>1</v>
      </c>
      <c r="T4595" s="35" t="inlineStr">
        <is>
          <t>4 — Не обогащён</t>
        </is>
      </c>
      <c r="U4595" s="35" t="inlineStr">
        <is>
          <t>Нет ОКВЭД/ССЧР</t>
        </is>
      </c>
      <c r="V4595" s="35" t="inlineStr">
        <is>
          <t>Не определено</t>
        </is>
      </c>
      <c r="W4595" s="35" t="inlineStr"/>
      <c r="X4595" s="35" t="inlineStr"/>
    </row>
    <row r="4596" ht="27.75" customHeight="1" s="24">
      <c r="A4596" s="13" t="n">
        <v>5000098263</v>
      </c>
      <c r="B4596" s="13" t="inlineStr">
        <is>
          <t>КГАУ «Приморский научно-исследовательский центр социологии»</t>
        </is>
      </c>
      <c r="C4596" s="13" t="n">
        <v>2540219016</v>
      </c>
      <c r="D4596" s="13" t="inlineStr">
        <is>
          <t>2540219016</t>
        </is>
      </c>
      <c r="E4596" s="13" t="inlineStr">
        <is>
          <t>ЮЛ РФ</t>
        </is>
      </c>
      <c r="F4596" s="13" t="n"/>
      <c r="G4596" s="14" t="n"/>
      <c r="H4596" s="14" t="n"/>
      <c r="I4596" s="14" t="n"/>
      <c r="J4596" s="14" t="n"/>
      <c r="K4596" s="53" t="inlineStr"/>
      <c r="L4596" s="53" t="inlineStr">
        <is>
          <t>Не определено</t>
        </is>
      </c>
      <c r="M4596" s="53" t="inlineStr"/>
      <c r="N4596" s="54" t="inlineStr"/>
      <c r="O4596" s="55" t="inlineStr"/>
      <c r="P4596" s="16" t="inlineStr">
        <is>
          <t>Требует обогащения</t>
        </is>
      </c>
      <c r="Q4596" s="16">
        <f>HYPERLINK("https://pb.nalog.ru/search.html?query=2540219016","ФНС: проверить")</f>
        <v/>
      </c>
      <c r="R4596" s="16">
        <f>HYPERLINK("https://checko.ru/search?query=3801001629","Чекко: проверить")</f>
        <v/>
      </c>
      <c r="S4596" t="n">
        <v>1</v>
      </c>
      <c r="T4596" s="35" t="inlineStr">
        <is>
          <t>4 — Не обогащён</t>
        </is>
      </c>
      <c r="U4596" s="35" t="inlineStr">
        <is>
          <t>Нет ОКВЭД/ССЧР</t>
        </is>
      </c>
      <c r="V4596" s="35" t="inlineStr">
        <is>
          <t>Не определено</t>
        </is>
      </c>
      <c r="W4596" s="35" t="inlineStr"/>
      <c r="X4596" s="35" t="inlineStr"/>
    </row>
    <row r="4597" ht="27.75" customHeight="1" s="24">
      <c r="A4597" s="13" t="n">
        <v>5000100118</v>
      </c>
      <c r="B4597" s="13" t="inlineStr">
        <is>
          <t>Агентство по обеспечению деятельности мировых судей Сахалинской области</t>
        </is>
      </c>
      <c r="C4597" s="13" t="n">
        <v>6501146065</v>
      </c>
      <c r="D4597" s="13" t="inlineStr">
        <is>
          <t>6501146065</t>
        </is>
      </c>
      <c r="E4597" s="13" t="inlineStr">
        <is>
          <t>ЮЛ РФ</t>
        </is>
      </c>
      <c r="F4597" s="13" t="n"/>
      <c r="G4597" s="14" t="n"/>
      <c r="H4597" s="14" t="n"/>
      <c r="I4597" s="14" t="n"/>
      <c r="J4597" s="14" t="n"/>
      <c r="K4597" s="53" t="inlineStr"/>
      <c r="L4597" s="53" t="inlineStr">
        <is>
          <t>Не определено</t>
        </is>
      </c>
      <c r="M4597" s="53" t="inlineStr"/>
      <c r="N4597" s="54" t="inlineStr"/>
      <c r="O4597" s="55" t="inlineStr"/>
      <c r="P4597" s="16" t="inlineStr">
        <is>
          <t>Требует обогащения</t>
        </is>
      </c>
      <c r="Q4597" s="16">
        <f>HYPERLINK("https://pb.nalog.ru/search.html?query=6501146065","ФНС: проверить")</f>
        <v/>
      </c>
      <c r="R4597" s="16">
        <f>HYPERLINK("https://checko.ru/search?query=3801001629","Чекко: проверить")</f>
        <v/>
      </c>
      <c r="S4597" t="n">
        <v>1</v>
      </c>
      <c r="T4597" s="35" t="inlineStr">
        <is>
          <t>4 — Не обогащён</t>
        </is>
      </c>
      <c r="U4597" s="35" t="inlineStr">
        <is>
          <t>Нет ОКВЭД/ССЧР</t>
        </is>
      </c>
      <c r="V4597" s="35" t="inlineStr">
        <is>
          <t>Не определено</t>
        </is>
      </c>
      <c r="W4597" s="35" t="inlineStr"/>
      <c r="X4597" s="35" t="inlineStr"/>
    </row>
    <row r="4598" ht="15" customHeight="1" s="24">
      <c r="A4598" s="13" t="n">
        <v>5000107362</v>
      </c>
      <c r="B4598" s="13" t="inlineStr">
        <is>
          <t>ГБПОУ СахГТ</t>
        </is>
      </c>
      <c r="C4598" s="13" t="n">
        <v>6508007952</v>
      </c>
      <c r="D4598" s="13" t="inlineStr">
        <is>
          <t>6508007952</t>
        </is>
      </c>
      <c r="E4598" s="13" t="inlineStr">
        <is>
          <t>ЮЛ РФ</t>
        </is>
      </c>
      <c r="F4598" s="13" t="n"/>
      <c r="G4598" s="14" t="n"/>
      <c r="H4598" s="14" t="n"/>
      <c r="I4598" s="14" t="n"/>
      <c r="J4598" s="14" t="n"/>
      <c r="K4598" s="53" t="inlineStr"/>
      <c r="L4598" s="53" t="inlineStr">
        <is>
          <t>Не определено</t>
        </is>
      </c>
      <c r="M4598" s="53" t="inlineStr"/>
      <c r="N4598" s="54" t="inlineStr"/>
      <c r="O4598" s="55" t="inlineStr"/>
      <c r="P4598" s="16" t="inlineStr">
        <is>
          <t>Требует обогащения</t>
        </is>
      </c>
      <c r="Q4598" s="16">
        <f>HYPERLINK("https://pb.nalog.ru/search.html?query=6508007952","ФНС: проверить")</f>
        <v/>
      </c>
      <c r="R4598" s="16">
        <f>HYPERLINK("https://checko.ru/search?query=3801001629","Чекко: проверить")</f>
        <v/>
      </c>
      <c r="S4598" t="n">
        <v>1</v>
      </c>
      <c r="T4598" s="35" t="inlineStr">
        <is>
          <t>4 — Не обогащён</t>
        </is>
      </c>
      <c r="U4598" s="35" t="inlineStr">
        <is>
          <t>Нет ОКВЭД/ССЧР</t>
        </is>
      </c>
      <c r="V4598" s="35" t="inlineStr">
        <is>
          <t>Не определено</t>
        </is>
      </c>
      <c r="W4598" s="35" t="inlineStr"/>
      <c r="X4598" s="35" t="inlineStr"/>
    </row>
    <row r="4599" ht="15" customHeight="1" s="24">
      <c r="A4599" s="13" t="n">
        <v>5000098193</v>
      </c>
      <c r="B4599" s="13" t="inlineStr">
        <is>
          <t>КГБУЗ "Ольгинская ЦРБ"</t>
        </is>
      </c>
      <c r="C4599" s="13" t="n">
        <v>2523000760</v>
      </c>
      <c r="D4599" s="13" t="inlineStr">
        <is>
          <t>2523000760</t>
        </is>
      </c>
      <c r="E4599" s="13" t="inlineStr">
        <is>
          <t>ЮЛ РФ</t>
        </is>
      </c>
      <c r="F4599" s="13" t="n"/>
      <c r="G4599" s="14" t="n"/>
      <c r="H4599" s="14" t="n"/>
      <c r="I4599" s="14" t="n"/>
      <c r="J4599" s="14" t="n"/>
      <c r="K4599" s="53" t="inlineStr"/>
      <c r="L4599" s="53" t="inlineStr">
        <is>
          <t>Не определено</t>
        </is>
      </c>
      <c r="M4599" s="53" t="inlineStr"/>
      <c r="N4599" s="54" t="inlineStr"/>
      <c r="O4599" s="55" t="inlineStr"/>
      <c r="P4599" s="16" t="inlineStr">
        <is>
          <t>Требует обогащения</t>
        </is>
      </c>
      <c r="Q4599" s="16">
        <f>HYPERLINK("https://pb.nalog.ru/search.html?query=2523000760","ФНС: проверить")</f>
        <v/>
      </c>
      <c r="R4599" s="16">
        <f>HYPERLINK("https://checko.ru/search?query=3801001629","Чекко: проверить")</f>
        <v/>
      </c>
      <c r="S4599" t="n">
        <v>1</v>
      </c>
      <c r="T4599" s="35" t="inlineStr">
        <is>
          <t>4 — Не обогащён</t>
        </is>
      </c>
      <c r="U4599" s="35" t="inlineStr">
        <is>
          <t>Нет ОКВЭД/ССЧР</t>
        </is>
      </c>
      <c r="V4599" s="35" t="inlineStr">
        <is>
          <t>Не определено</t>
        </is>
      </c>
      <c r="W4599" s="35" t="inlineStr"/>
      <c r="X4599" s="35" t="inlineStr"/>
    </row>
    <row r="4600" ht="41.25" customHeight="1" s="24">
      <c r="A4600" s="13" t="n">
        <v>5000098349</v>
      </c>
      <c r="B4600" s="13" t="inlineStr">
        <is>
          <t>Представительство Правительства Приморского края при Правительстве Российской Федерации, КГКУ</t>
        </is>
      </c>
      <c r="C4600" s="13" t="n">
        <v>7703792240</v>
      </c>
      <c r="D4600" s="13" t="inlineStr">
        <is>
          <t>7703792240</t>
        </is>
      </c>
      <c r="E4600" s="13" t="inlineStr">
        <is>
          <t>ЮЛ РФ</t>
        </is>
      </c>
      <c r="F4600" s="13" t="n"/>
      <c r="G4600" s="14" t="n"/>
      <c r="H4600" s="14" t="n"/>
      <c r="I4600" s="14" t="n"/>
      <c r="J4600" s="14" t="n"/>
      <c r="K4600" s="53" t="inlineStr"/>
      <c r="L4600" s="53" t="inlineStr">
        <is>
          <t>Не определено</t>
        </is>
      </c>
      <c r="M4600" s="53" t="inlineStr"/>
      <c r="N4600" s="54" t="inlineStr"/>
      <c r="O4600" s="55" t="inlineStr"/>
      <c r="P4600" s="16" t="inlineStr">
        <is>
          <t>Требует обогащения</t>
        </is>
      </c>
      <c r="Q4600" s="16">
        <f>HYPERLINK("https://pb.nalog.ru/search.html?query=7703792240","ФНС: проверить")</f>
        <v/>
      </c>
      <c r="R4600" s="16">
        <f>HYPERLINK("https://checko.ru/search?query=3801001629","Чекко: проверить")</f>
        <v/>
      </c>
      <c r="S4600" t="n">
        <v>1</v>
      </c>
      <c r="T4600" s="35" t="inlineStr">
        <is>
          <t>4 — Не обогащён</t>
        </is>
      </c>
      <c r="U4600" s="35" t="inlineStr">
        <is>
          <t>Нет ОКВЭД/ССЧР</t>
        </is>
      </c>
      <c r="V4600" s="35" t="inlineStr">
        <is>
          <t>Не определено</t>
        </is>
      </c>
      <c r="W4600" s="35" t="inlineStr"/>
      <c r="X4600" s="35" t="inlineStr"/>
    </row>
    <row r="4601" ht="15" customHeight="1" s="24">
      <c r="A4601" s="13" t="n">
        <v>5000116324</v>
      </c>
      <c r="B4601" s="13" t="inlineStr">
        <is>
          <t>Контрольно-счетная палата Сахалинской области</t>
        </is>
      </c>
      <c r="C4601" s="13" t="n">
        <v>6501241960</v>
      </c>
      <c r="D4601" s="13" t="inlineStr">
        <is>
          <t>6501241960</t>
        </is>
      </c>
      <c r="E4601" s="13" t="inlineStr">
        <is>
          <t>ЮЛ РФ</t>
        </is>
      </c>
      <c r="F4601" s="13" t="n"/>
      <c r="G4601" s="14" t="n"/>
      <c r="H4601" s="14" t="n"/>
      <c r="I4601" s="14" t="n"/>
      <c r="J4601" s="14" t="n"/>
      <c r="K4601" s="53" t="inlineStr"/>
      <c r="L4601" s="53" t="inlineStr">
        <is>
          <t>Не определено</t>
        </is>
      </c>
      <c r="M4601" s="53" t="inlineStr"/>
      <c r="N4601" s="54" t="inlineStr"/>
      <c r="O4601" s="55" t="inlineStr"/>
      <c r="P4601" s="16" t="inlineStr">
        <is>
          <t>Требует обогащения</t>
        </is>
      </c>
      <c r="Q4601" s="16">
        <f>HYPERLINK("https://pb.nalog.ru/search.html?query=6501241960","ФНС: проверить")</f>
        <v/>
      </c>
      <c r="R4601" s="16">
        <f>HYPERLINK("https://checko.ru/search?query=3801001629","Чекко: проверить")</f>
        <v/>
      </c>
      <c r="S4601" t="n">
        <v>1</v>
      </c>
      <c r="T4601" s="35" t="inlineStr">
        <is>
          <t>4 — Не обогащён</t>
        </is>
      </c>
      <c r="U4601" s="35" t="inlineStr">
        <is>
          <t>Нет ОКВЭД/ССЧР</t>
        </is>
      </c>
      <c r="V4601" s="35" t="inlineStr">
        <is>
          <t>Не определено</t>
        </is>
      </c>
      <c r="W4601" s="35" t="inlineStr"/>
      <c r="X4601" s="35" t="inlineStr"/>
    </row>
    <row r="4602" ht="15" customHeight="1" s="24">
      <c r="A4602" s="13" t="n">
        <v>5000116324</v>
      </c>
      <c r="B4602" s="13" t="inlineStr">
        <is>
          <t>Контрольно-счетная палата Сахалинской области</t>
        </is>
      </c>
      <c r="C4602" s="13" t="n">
        <v>6501241960</v>
      </c>
      <c r="D4602" s="13" t="inlineStr">
        <is>
          <t>6501241960</t>
        </is>
      </c>
      <c r="E4602" s="13" t="inlineStr">
        <is>
          <t>ЮЛ РФ</t>
        </is>
      </c>
      <c r="F4602" s="13" t="n"/>
      <c r="G4602" s="14" t="n"/>
      <c r="H4602" s="14" t="n"/>
      <c r="I4602" s="14" t="n"/>
      <c r="J4602" s="14" t="n"/>
      <c r="K4602" s="53" t="inlineStr"/>
      <c r="L4602" s="53" t="inlineStr">
        <is>
          <t>Не определено</t>
        </is>
      </c>
      <c r="M4602" s="53" t="inlineStr"/>
      <c r="N4602" s="54" t="inlineStr"/>
      <c r="O4602" s="55" t="inlineStr"/>
      <c r="P4602" s="16" t="inlineStr">
        <is>
          <t>Требует обогащения</t>
        </is>
      </c>
      <c r="Q4602" s="16">
        <f>HYPERLINK("https://pb.nalog.ru/search.html?query=6501241960","ФНС: проверить")</f>
        <v/>
      </c>
      <c r="R4602" s="16">
        <f>HYPERLINK("https://checko.ru/search?query=3801001629","Чекко: проверить")</f>
        <v/>
      </c>
      <c r="S4602" t="n">
        <v>0</v>
      </c>
      <c r="T4602" s="35" t="inlineStr">
        <is>
          <t>4 — Не обогащён</t>
        </is>
      </c>
      <c r="U4602" s="35" t="inlineStr">
        <is>
          <t>Нет ОКВЭД/ССЧР</t>
        </is>
      </c>
      <c r="V4602" s="35" t="inlineStr">
        <is>
          <t>Не определено</t>
        </is>
      </c>
      <c r="W4602" s="35" t="inlineStr"/>
      <c r="X4602" s="35" t="inlineStr"/>
    </row>
    <row r="4603" ht="27.75" customHeight="1" s="24">
      <c r="A4603" s="13" t="n">
        <v>5000032075</v>
      </c>
      <c r="B4603" s="13" t="inlineStr">
        <is>
          <t>ГБУ "Кировский дом интернат для умственно отсталых детей"</t>
        </is>
      </c>
      <c r="C4603" s="13" t="n">
        <v>6517001763</v>
      </c>
      <c r="D4603" s="13" t="inlineStr">
        <is>
          <t>6517001763</t>
        </is>
      </c>
      <c r="E4603" s="13" t="inlineStr">
        <is>
          <t>ЮЛ РФ</t>
        </is>
      </c>
      <c r="F4603" s="13" t="n"/>
      <c r="G4603" s="14" t="n"/>
      <c r="H4603" s="14" t="n"/>
      <c r="I4603" s="14" t="n"/>
      <c r="J4603" s="14" t="n"/>
      <c r="K4603" s="53" t="inlineStr"/>
      <c r="L4603" s="53" t="inlineStr">
        <is>
          <t>Не определено</t>
        </is>
      </c>
      <c r="M4603" s="53" t="inlineStr"/>
      <c r="N4603" s="54" t="inlineStr"/>
      <c r="O4603" s="55" t="inlineStr"/>
      <c r="P4603" s="16" t="inlineStr">
        <is>
          <t>Требует обогащения</t>
        </is>
      </c>
      <c r="Q4603" s="16">
        <f>HYPERLINK("https://pb.nalog.ru/search.html?query=6517001763","ФНС: проверить")</f>
        <v/>
      </c>
      <c r="R4603" s="16">
        <f>HYPERLINK("https://checko.ru/search?query=3801001629","Чекко: проверить")</f>
        <v/>
      </c>
      <c r="S4603" t="n">
        <v>1</v>
      </c>
      <c r="T4603" s="35" t="inlineStr">
        <is>
          <t>4 — Не обогащён</t>
        </is>
      </c>
      <c r="U4603" s="35" t="inlineStr">
        <is>
          <t>Нет ОКВЭД/ССЧР</t>
        </is>
      </c>
      <c r="V4603" s="35" t="inlineStr">
        <is>
          <t>Не определено</t>
        </is>
      </c>
      <c r="W4603" s="35" t="inlineStr"/>
      <c r="X4603" s="35" t="inlineStr"/>
    </row>
    <row r="4604" ht="27.75" customHeight="1" s="24">
      <c r="A4604" s="13" t="n">
        <v>5000018705</v>
      </c>
      <c r="B4604" s="13" t="inlineStr">
        <is>
          <t>МКУ "Управление мониторинга городского хозяйства"</t>
        </is>
      </c>
      <c r="C4604" s="13" t="n">
        <v>6501250002</v>
      </c>
      <c r="D4604" s="13" t="inlineStr">
        <is>
          <t>6501250002</t>
        </is>
      </c>
      <c r="E4604" s="13" t="inlineStr">
        <is>
          <t>ЮЛ РФ</t>
        </is>
      </c>
      <c r="F4604" s="13" t="n"/>
      <c r="G4604" s="14" t="n"/>
      <c r="H4604" s="14" t="n"/>
      <c r="I4604" s="14" t="n"/>
      <c r="J4604" s="14" t="n"/>
      <c r="K4604" s="53" t="inlineStr"/>
      <c r="L4604" s="53" t="inlineStr">
        <is>
          <t>Не определено</t>
        </is>
      </c>
      <c r="M4604" s="53" t="inlineStr"/>
      <c r="N4604" s="54" t="inlineStr"/>
      <c r="O4604" s="55" t="inlineStr"/>
      <c r="P4604" s="16" t="inlineStr">
        <is>
          <t>Требует обогащения</t>
        </is>
      </c>
      <c r="Q4604" s="16">
        <f>HYPERLINK("https://pb.nalog.ru/search.html?query=6501250002","ФНС: проверить")</f>
        <v/>
      </c>
      <c r="R4604" s="16">
        <f>HYPERLINK("https://checko.ru/search?query=3801001629","Чекко: проверить")</f>
        <v/>
      </c>
      <c r="S4604" t="n">
        <v>1</v>
      </c>
      <c r="T4604" s="35" t="inlineStr">
        <is>
          <t>4 — Не обогащён</t>
        </is>
      </c>
      <c r="U4604" s="35" t="inlineStr">
        <is>
          <t>Нет ОКВЭД/ССЧР</t>
        </is>
      </c>
      <c r="V4604" s="35" t="inlineStr">
        <is>
          <t>Не определено</t>
        </is>
      </c>
      <c r="W4604" s="35" t="inlineStr"/>
      <c r="X4604" s="35" t="inlineStr"/>
    </row>
    <row r="4605" ht="15" customHeight="1" s="24">
      <c r="A4605" s="13" t="n">
        <v>5000117781</v>
      </c>
      <c r="B4605" s="13" t="inlineStr">
        <is>
          <t>МБУ "БЕЗОПАСНЫЙ ГОРОД"</t>
        </is>
      </c>
      <c r="C4605" s="13" t="n">
        <v>6514009309</v>
      </c>
      <c r="D4605" s="13" t="inlineStr">
        <is>
          <t>6514009309</t>
        </is>
      </c>
      <c r="E4605" s="13" t="inlineStr">
        <is>
          <t>ЮЛ РФ</t>
        </is>
      </c>
      <c r="F4605" s="13" t="n"/>
      <c r="G4605" s="14" t="n"/>
      <c r="H4605" s="14" t="n"/>
      <c r="I4605" s="14" t="n"/>
      <c r="J4605" s="14" t="n"/>
      <c r="K4605" s="53" t="inlineStr"/>
      <c r="L4605" s="53" t="inlineStr">
        <is>
          <t>Не определено</t>
        </is>
      </c>
      <c r="M4605" s="53" t="inlineStr"/>
      <c r="N4605" s="54" t="inlineStr"/>
      <c r="O4605" s="55" t="inlineStr"/>
      <c r="P4605" s="16" t="inlineStr">
        <is>
          <t>Требует обогащения</t>
        </is>
      </c>
      <c r="Q4605" s="16">
        <f>HYPERLINK("https://pb.nalog.ru/search.html?query=6514009309","ФНС: проверить")</f>
        <v/>
      </c>
      <c r="R4605" s="16">
        <f>HYPERLINK("https://checko.ru/search?query=3801001629","Чекко: проверить")</f>
        <v/>
      </c>
      <c r="S4605" t="n">
        <v>1</v>
      </c>
      <c r="T4605" s="35" t="inlineStr">
        <is>
          <t>4 — Не обогащён</t>
        </is>
      </c>
      <c r="U4605" s="35" t="inlineStr">
        <is>
          <t>Нет ОКВЭД/ССЧР</t>
        </is>
      </c>
      <c r="V4605" s="35" t="inlineStr">
        <is>
          <t>Не определено</t>
        </is>
      </c>
      <c r="W4605" s="35" t="inlineStr"/>
      <c r="X4605" s="35" t="inlineStr"/>
    </row>
    <row r="4606" ht="15" customHeight="1" s="24">
      <c r="A4606" s="13" t="n">
        <v>5000098203</v>
      </c>
      <c r="B4606" s="13" t="inlineStr">
        <is>
          <t>КГБУЗ "ХОРОЛЬСКАЯ ЦРБ"</t>
        </is>
      </c>
      <c r="C4606" s="13" t="n">
        <v>2532001231</v>
      </c>
      <c r="D4606" s="13" t="inlineStr">
        <is>
          <t>2532001231</t>
        </is>
      </c>
      <c r="E4606" s="13" t="inlineStr">
        <is>
          <t>ЮЛ РФ</t>
        </is>
      </c>
      <c r="F4606" s="13" t="n"/>
      <c r="G4606" s="14" t="n"/>
      <c r="H4606" s="14" t="n"/>
      <c r="I4606" s="14" t="n"/>
      <c r="J4606" s="14" t="n"/>
      <c r="K4606" s="53" t="inlineStr"/>
      <c r="L4606" s="53" t="inlineStr">
        <is>
          <t>Не определено</t>
        </is>
      </c>
      <c r="M4606" s="53" t="inlineStr"/>
      <c r="N4606" s="54" t="inlineStr"/>
      <c r="O4606" s="55" t="inlineStr"/>
      <c r="P4606" s="16" t="inlineStr">
        <is>
          <t>Требует обогащения</t>
        </is>
      </c>
      <c r="Q4606" s="16">
        <f>HYPERLINK("https://pb.nalog.ru/search.html?query=2532001231","ФНС: проверить")</f>
        <v/>
      </c>
      <c r="R4606" s="16">
        <f>HYPERLINK("https://checko.ru/search?query=3801001629","Чекко: проверить")</f>
        <v/>
      </c>
      <c r="S4606" t="n">
        <v>1</v>
      </c>
      <c r="T4606" s="35" t="inlineStr">
        <is>
          <t>4 — Не обогащён</t>
        </is>
      </c>
      <c r="U4606" s="35" t="inlineStr">
        <is>
          <t>Нет ОКВЭД/ССЧР</t>
        </is>
      </c>
      <c r="V4606" s="35" t="inlineStr">
        <is>
          <t>Не определено</t>
        </is>
      </c>
      <c r="W4606" s="35" t="inlineStr"/>
      <c r="X4606" s="35" t="inlineStr"/>
    </row>
    <row r="4607" ht="27.75" customHeight="1" s="24">
      <c r="A4607" s="13" t="n">
        <v>5000117989</v>
      </c>
      <c r="B4607" s="13" t="inlineStr">
        <is>
          <t>Финансовое управление администрации города Южно-Сахалинска</t>
        </is>
      </c>
      <c r="C4607" s="13" t="n">
        <v>6501025832</v>
      </c>
      <c r="D4607" s="13" t="inlineStr">
        <is>
          <t>6501025832</t>
        </is>
      </c>
      <c r="E4607" s="13" t="inlineStr">
        <is>
          <t>ЮЛ РФ</t>
        </is>
      </c>
      <c r="F4607" s="13" t="n"/>
      <c r="G4607" s="14" t="n"/>
      <c r="H4607" s="14" t="n"/>
      <c r="I4607" s="14" t="n"/>
      <c r="J4607" s="14" t="n"/>
      <c r="K4607" s="53" t="inlineStr"/>
      <c r="L4607" s="53" t="inlineStr">
        <is>
          <t>Не определено</t>
        </is>
      </c>
      <c r="M4607" s="53" t="inlineStr"/>
      <c r="N4607" s="54" t="inlineStr"/>
      <c r="O4607" s="55" t="inlineStr"/>
      <c r="P4607" s="16" t="inlineStr">
        <is>
          <t>Требует обогащения</t>
        </is>
      </c>
      <c r="Q4607" s="16">
        <f>HYPERLINK("https://pb.nalog.ru/search.html?query=6501025832","ФНС: проверить")</f>
        <v/>
      </c>
      <c r="R4607" s="16">
        <f>HYPERLINK("https://checko.ru/search?query=3801001629","Чекко: проверить")</f>
        <v/>
      </c>
      <c r="S4607" t="n">
        <v>1</v>
      </c>
      <c r="T4607" s="35" t="inlineStr">
        <is>
          <t>4 — Не обогащён</t>
        </is>
      </c>
      <c r="U4607" s="35" t="inlineStr">
        <is>
          <t>Нет ОКВЭД/ССЧР</t>
        </is>
      </c>
      <c r="V4607" s="35" t="inlineStr">
        <is>
          <t>Не определено</t>
        </is>
      </c>
      <c r="W4607" s="35" t="inlineStr"/>
      <c r="X4607" s="35" t="inlineStr"/>
    </row>
    <row r="4608" ht="27.75" customHeight="1" s="24">
      <c r="A4608" s="13" t="n">
        <v>5000117989</v>
      </c>
      <c r="B4608" s="13" t="inlineStr">
        <is>
          <t>Финансовое управление администрации города Южно-Сахалинска</t>
        </is>
      </c>
      <c r="C4608" s="13" t="n">
        <v>6501025832</v>
      </c>
      <c r="D4608" s="13" t="inlineStr">
        <is>
          <t>6501025832</t>
        </is>
      </c>
      <c r="E4608" s="13" t="inlineStr">
        <is>
          <t>ЮЛ РФ</t>
        </is>
      </c>
      <c r="F4608" s="13" t="n"/>
      <c r="G4608" s="14" t="n"/>
      <c r="H4608" s="14" t="n"/>
      <c r="I4608" s="14" t="n"/>
      <c r="J4608" s="14" t="n"/>
      <c r="K4608" s="53" t="inlineStr"/>
      <c r="L4608" s="53" t="inlineStr">
        <is>
          <t>Не определено</t>
        </is>
      </c>
      <c r="M4608" s="53" t="inlineStr"/>
      <c r="N4608" s="54" t="inlineStr"/>
      <c r="O4608" s="55" t="inlineStr"/>
      <c r="P4608" s="16" t="inlineStr">
        <is>
          <t>Требует обогащения</t>
        </is>
      </c>
      <c r="Q4608" s="16">
        <f>HYPERLINK("https://pb.nalog.ru/search.html?query=6501025832","ФНС: проверить")</f>
        <v/>
      </c>
      <c r="R4608" s="16">
        <f>HYPERLINK("https://checko.ru/search?query=3801001629","Чекко: проверить")</f>
        <v/>
      </c>
      <c r="S4608" t="n">
        <v>0</v>
      </c>
      <c r="T4608" s="35" t="inlineStr">
        <is>
          <t>4 — Не обогащён</t>
        </is>
      </c>
      <c r="U4608" s="35" t="inlineStr">
        <is>
          <t>Нет ОКВЭД/ССЧР</t>
        </is>
      </c>
      <c r="V4608" s="35" t="inlineStr">
        <is>
          <t>Не определено</t>
        </is>
      </c>
      <c r="W4608" s="35" t="inlineStr"/>
      <c r="X4608" s="35" t="inlineStr"/>
    </row>
    <row r="4609" ht="27.75" customHeight="1" s="24">
      <c r="A4609" s="13" t="n">
        <v>5000098653</v>
      </c>
      <c r="B4609" s="13" t="inlineStr">
        <is>
          <t>МУЗ «Поронайская центральная районная больница»</t>
        </is>
      </c>
      <c r="C4609" s="13" t="n">
        <v>6507005455</v>
      </c>
      <c r="D4609" s="13" t="inlineStr">
        <is>
          <t>6507005455</t>
        </is>
      </c>
      <c r="E4609" s="13" t="inlineStr">
        <is>
          <t>ЮЛ РФ</t>
        </is>
      </c>
      <c r="F4609" s="13" t="n"/>
      <c r="G4609" s="14" t="n"/>
      <c r="H4609" s="14" t="n"/>
      <c r="I4609" s="14" t="n"/>
      <c r="J4609" s="14" t="n"/>
      <c r="K4609" s="53" t="inlineStr"/>
      <c r="L4609" s="53" t="inlineStr">
        <is>
          <t>Не определено</t>
        </is>
      </c>
      <c r="M4609" s="53" t="inlineStr"/>
      <c r="N4609" s="54" t="inlineStr"/>
      <c r="O4609" s="55" t="inlineStr"/>
      <c r="P4609" s="16" t="inlineStr">
        <is>
          <t>Требует обогащения</t>
        </is>
      </c>
      <c r="Q4609" s="16">
        <f>HYPERLINK("https://pb.nalog.ru/search.html?query=6507005455","ФНС: проверить")</f>
        <v/>
      </c>
      <c r="R4609" s="16">
        <f>HYPERLINK("https://checko.ru/search?query=3801001629","Чекко: проверить")</f>
        <v/>
      </c>
      <c r="S4609" t="n">
        <v>1</v>
      </c>
      <c r="T4609" s="35" t="inlineStr">
        <is>
          <t>4 — Не обогащён</t>
        </is>
      </c>
      <c r="U4609" s="35" t="inlineStr">
        <is>
          <t>Нет ОКВЭД/ССЧР</t>
        </is>
      </c>
      <c r="V4609" s="35" t="inlineStr">
        <is>
          <t>Не определено</t>
        </is>
      </c>
      <c r="W4609" s="35" t="inlineStr"/>
      <c r="X4609" s="35" t="inlineStr"/>
    </row>
    <row r="4610" ht="27.75" customHeight="1" s="24">
      <c r="A4610" s="13" t="n">
        <v>5000107573</v>
      </c>
      <c r="B4610" s="13" t="inlineStr">
        <is>
          <t>ОбГОУ ДОД "Детско-юношеская спортивная школа самбо и дзюдо"</t>
        </is>
      </c>
      <c r="C4610" s="13" t="n">
        <v>6501165244</v>
      </c>
      <c r="D4610" s="13" t="inlineStr">
        <is>
          <t>6501165244</t>
        </is>
      </c>
      <c r="E4610" s="13" t="inlineStr">
        <is>
          <t>ЮЛ РФ</t>
        </is>
      </c>
      <c r="F4610" s="13" t="n"/>
      <c r="G4610" s="14" t="n"/>
      <c r="H4610" s="14" t="n"/>
      <c r="I4610" s="14" t="n"/>
      <c r="J4610" s="14" t="n"/>
      <c r="K4610" s="53" t="inlineStr"/>
      <c r="L4610" s="53" t="inlineStr">
        <is>
          <t>Не определено</t>
        </is>
      </c>
      <c r="M4610" s="53" t="inlineStr"/>
      <c r="N4610" s="54" t="inlineStr"/>
      <c r="O4610" s="55" t="inlineStr"/>
      <c r="P4610" s="16" t="inlineStr">
        <is>
          <t>Требует обогащения</t>
        </is>
      </c>
      <c r="Q4610" s="16">
        <f>HYPERLINK("https://pb.nalog.ru/search.html?query=6501165244","ФНС: проверить")</f>
        <v/>
      </c>
      <c r="R4610" s="16">
        <f>HYPERLINK("https://checko.ru/search?query=3801001629","Чекко: проверить")</f>
        <v/>
      </c>
      <c r="S4610" t="n">
        <v>1</v>
      </c>
      <c r="T4610" s="35" t="inlineStr">
        <is>
          <t>4 — Не обогащён</t>
        </is>
      </c>
      <c r="U4610" s="35" t="inlineStr">
        <is>
          <t>Нет ОКВЭД/ССЧР</t>
        </is>
      </c>
      <c r="V4610" s="35" t="inlineStr">
        <is>
          <t>Не определено</t>
        </is>
      </c>
      <c r="W4610" s="35" t="inlineStr"/>
      <c r="X4610" s="35" t="inlineStr"/>
    </row>
    <row r="4611" ht="15" customHeight="1" s="24">
      <c r="A4611" s="13" t="n">
        <v>5000089211</v>
      </c>
      <c r="B4611" s="13" t="inlineStr">
        <is>
          <t>Администрация Приморского края</t>
        </is>
      </c>
      <c r="C4611" s="13" t="n">
        <v>2540037030</v>
      </c>
      <c r="D4611" s="13" t="inlineStr">
        <is>
          <t>2540037030</t>
        </is>
      </c>
      <c r="E4611" s="13" t="inlineStr">
        <is>
          <t>ЮЛ РФ</t>
        </is>
      </c>
      <c r="F4611" s="13" t="n"/>
      <c r="G4611" s="14" t="n"/>
      <c r="H4611" s="14" t="n"/>
      <c r="I4611" s="14" t="n"/>
      <c r="J4611" s="14" t="n"/>
      <c r="K4611" s="53" t="inlineStr"/>
      <c r="L4611" s="53" t="inlineStr">
        <is>
          <t>Не определено</t>
        </is>
      </c>
      <c r="M4611" s="53" t="inlineStr"/>
      <c r="N4611" s="54" t="inlineStr"/>
      <c r="O4611" s="55" t="inlineStr"/>
      <c r="P4611" s="16" t="inlineStr">
        <is>
          <t>Требует обогащения</t>
        </is>
      </c>
      <c r="Q4611" s="16">
        <f>HYPERLINK("https://pb.nalog.ru/search.html?query=2540037030","ФНС: проверить")</f>
        <v/>
      </c>
      <c r="R4611" s="16">
        <f>HYPERLINK("https://checko.ru/search?query=3801001629","Чекко: проверить")</f>
        <v/>
      </c>
      <c r="S4611" t="n">
        <v>1</v>
      </c>
      <c r="T4611" s="35" t="inlineStr">
        <is>
          <t>4 — Не обогащён</t>
        </is>
      </c>
      <c r="U4611" s="35" t="inlineStr">
        <is>
          <t>Нет ОКВЭД/ССЧР</t>
        </is>
      </c>
      <c r="V4611" s="35" t="inlineStr">
        <is>
          <t>Не определено</t>
        </is>
      </c>
      <c r="W4611" s="35" t="inlineStr"/>
      <c r="X4611" s="35" t="inlineStr"/>
    </row>
    <row r="4612" ht="41.25" customHeight="1" s="24">
      <c r="A4612" s="13" t="n">
        <v>5000105527</v>
      </c>
      <c r="B4612" s="13" t="inlineStr">
        <is>
          <t>АГЕНТСТВО ПО ГИДРОТЕХНИЧЕСКИМ СООРУЖЕНИЯМ, МЕЛИОРАЦИИ И ГИДРОЛОГИИ ПРИМОРСКОГО КРАЯ</t>
        </is>
      </c>
      <c r="C4612" s="13" t="n">
        <v>2540282353</v>
      </c>
      <c r="D4612" s="13" t="inlineStr">
        <is>
          <t>2540282353</t>
        </is>
      </c>
      <c r="E4612" s="13" t="inlineStr">
        <is>
          <t>ЮЛ РФ</t>
        </is>
      </c>
      <c r="F4612" s="13" t="n"/>
      <c r="G4612" s="14" t="n"/>
      <c r="H4612" s="14" t="n"/>
      <c r="I4612" s="14" t="n"/>
      <c r="J4612" s="14" t="n"/>
      <c r="K4612" s="53" t="inlineStr"/>
      <c r="L4612" s="53" t="inlineStr">
        <is>
          <t>Не определено</t>
        </is>
      </c>
      <c r="M4612" s="53" t="inlineStr"/>
      <c r="N4612" s="54" t="inlineStr"/>
      <c r="O4612" s="55" t="inlineStr"/>
      <c r="P4612" s="16" t="inlineStr">
        <is>
          <t>Требует обогащения</t>
        </is>
      </c>
      <c r="Q4612" s="16">
        <f>HYPERLINK("https://pb.nalog.ru/search.html?query=2540282353","ФНС: проверить")</f>
        <v/>
      </c>
      <c r="R4612" s="16">
        <f>HYPERLINK("https://checko.ru/search?query=3801001629","Чекко: проверить")</f>
        <v/>
      </c>
      <c r="S4612" t="n">
        <v>1</v>
      </c>
      <c r="T4612" s="35" t="inlineStr">
        <is>
          <t>4 — Не обогащён</t>
        </is>
      </c>
      <c r="U4612" s="35" t="inlineStr">
        <is>
          <t>Нет ОКВЭД/ССЧР</t>
        </is>
      </c>
      <c r="V4612" s="35" t="inlineStr">
        <is>
          <t>Не определено</t>
        </is>
      </c>
      <c r="W4612" s="35" t="inlineStr"/>
      <c r="X4612" s="35" t="inlineStr"/>
    </row>
    <row r="4613" ht="27.75" customHeight="1" s="24">
      <c r="A4613" s="13" t="n">
        <v>5000098240</v>
      </c>
      <c r="B4613" s="13" t="inlineStr">
        <is>
          <t>МУЗ "Городская инфекционная больница № 1" г.Владивостока</t>
        </is>
      </c>
      <c r="C4613" s="13" t="n">
        <v>2540029230</v>
      </c>
      <c r="D4613" s="13" t="inlineStr">
        <is>
          <t>2540029230</t>
        </is>
      </c>
      <c r="E4613" s="13" t="inlineStr">
        <is>
          <t>ЮЛ РФ</t>
        </is>
      </c>
      <c r="F4613" s="13" t="n"/>
      <c r="G4613" s="14" t="n"/>
      <c r="H4613" s="14" t="n"/>
      <c r="I4613" s="14" t="n"/>
      <c r="J4613" s="14" t="n"/>
      <c r="K4613" s="53" t="inlineStr"/>
      <c r="L4613" s="53" t="inlineStr">
        <is>
          <t>Не определено</t>
        </is>
      </c>
      <c r="M4613" s="53" t="inlineStr"/>
      <c r="N4613" s="54" t="inlineStr"/>
      <c r="O4613" s="55" t="inlineStr"/>
      <c r="P4613" s="16" t="inlineStr">
        <is>
          <t>Требует обогащения</t>
        </is>
      </c>
      <c r="Q4613" s="16">
        <f>HYPERLINK("https://pb.nalog.ru/search.html?query=2540029230","ФНС: проверить")</f>
        <v/>
      </c>
      <c r="R4613" s="16">
        <f>HYPERLINK("https://checko.ru/search?query=3801001629","Чекко: проверить")</f>
        <v/>
      </c>
      <c r="S4613" t="n">
        <v>1</v>
      </c>
      <c r="T4613" s="35" t="inlineStr">
        <is>
          <t>4 — Не обогащён</t>
        </is>
      </c>
      <c r="U4613" s="35" t="inlineStr">
        <is>
          <t>Нет ОКВЭД/ССЧР</t>
        </is>
      </c>
      <c r="V4613" s="35" t="inlineStr">
        <is>
          <t>Не определено</t>
        </is>
      </c>
      <c r="W4613" s="35" t="inlineStr"/>
      <c r="X4613" s="35" t="inlineStr"/>
    </row>
    <row r="4614" ht="27.75" customHeight="1" s="24">
      <c r="A4614" s="13" t="n">
        <v>5000100118</v>
      </c>
      <c r="B4614" s="13" t="inlineStr">
        <is>
          <t>Агентство по обеспечению деятельности мировых судей Сахалинской области</t>
        </is>
      </c>
      <c r="C4614" s="13" t="n">
        <v>6501146065</v>
      </c>
      <c r="D4614" s="13" t="inlineStr">
        <is>
          <t>6501146065</t>
        </is>
      </c>
      <c r="E4614" s="13" t="inlineStr">
        <is>
          <t>ЮЛ РФ</t>
        </is>
      </c>
      <c r="F4614" s="13" t="n"/>
      <c r="G4614" s="14" t="n"/>
      <c r="H4614" s="14" t="n"/>
      <c r="I4614" s="14" t="n"/>
      <c r="J4614" s="14" t="n"/>
      <c r="K4614" s="53" t="inlineStr"/>
      <c r="L4614" s="53" t="inlineStr">
        <is>
          <t>Не определено</t>
        </is>
      </c>
      <c r="M4614" s="53" t="inlineStr"/>
      <c r="N4614" s="54" t="inlineStr"/>
      <c r="O4614" s="55" t="inlineStr"/>
      <c r="P4614" s="16" t="inlineStr">
        <is>
          <t>Требует обогащения</t>
        </is>
      </c>
      <c r="Q4614" s="16">
        <f>HYPERLINK("https://pb.nalog.ru/search.html?query=6501146065","ФНС: проверить")</f>
        <v/>
      </c>
      <c r="R4614" s="16">
        <f>HYPERLINK("https://checko.ru/search?query=3801001629","Чекко: проверить")</f>
        <v/>
      </c>
      <c r="S4614" t="n">
        <v>0</v>
      </c>
      <c r="T4614" s="35" t="inlineStr">
        <is>
          <t>4 — Не обогащён</t>
        </is>
      </c>
      <c r="U4614" s="35" t="inlineStr">
        <is>
          <t>Нет ОКВЭД/ССЧР</t>
        </is>
      </c>
      <c r="V4614" s="35" t="inlineStr">
        <is>
          <t>Не определено</t>
        </is>
      </c>
      <c r="W4614" s="35" t="inlineStr"/>
      <c r="X4614" s="35" t="inlineStr"/>
    </row>
    <row r="4615" ht="15" customHeight="1" s="24">
      <c r="A4615" s="13" t="n">
        <v>5000044837</v>
      </c>
      <c r="B4615" s="13" t="inlineStr">
        <is>
          <t>МКУ "УО" МО "Макаровский городской округ"</t>
        </is>
      </c>
      <c r="C4615" s="13" t="n">
        <v>6512005073</v>
      </c>
      <c r="D4615" s="13" t="inlineStr">
        <is>
          <t>6512005073</t>
        </is>
      </c>
      <c r="E4615" s="13" t="inlineStr">
        <is>
          <t>ЮЛ РФ</t>
        </is>
      </c>
      <c r="F4615" s="13" t="n"/>
      <c r="G4615" s="14" t="n"/>
      <c r="H4615" s="14" t="n"/>
      <c r="I4615" s="14" t="n"/>
      <c r="J4615" s="14" t="n"/>
      <c r="K4615" s="53" t="inlineStr"/>
      <c r="L4615" s="53" t="inlineStr">
        <is>
          <t>Не определено</t>
        </is>
      </c>
      <c r="M4615" s="53" t="inlineStr"/>
      <c r="N4615" s="54" t="inlineStr"/>
      <c r="O4615" s="55" t="inlineStr"/>
      <c r="P4615" s="16" t="inlineStr">
        <is>
          <t>Требует обогащения</t>
        </is>
      </c>
      <c r="Q4615" s="16">
        <f>HYPERLINK("https://pb.nalog.ru/search.html?query=6512005073","ФНС: проверить")</f>
        <v/>
      </c>
      <c r="R4615" s="16">
        <f>HYPERLINK("https://checko.ru/search?query=3801001629","Чекко: проверить")</f>
        <v/>
      </c>
      <c r="S4615" t="n">
        <v>1</v>
      </c>
      <c r="T4615" s="35" t="inlineStr">
        <is>
          <t>4 — Не обогащён</t>
        </is>
      </c>
      <c r="U4615" s="35" t="inlineStr">
        <is>
          <t>Нет ОКВЭД/ССЧР</t>
        </is>
      </c>
      <c r="V4615" s="35" t="inlineStr">
        <is>
          <t>Не определено</t>
        </is>
      </c>
      <c r="W4615" s="35" t="inlineStr"/>
      <c r="X4615" s="35" t="inlineStr"/>
    </row>
    <row r="4616" ht="15" customHeight="1" s="24">
      <c r="A4616" s="13" t="n">
        <v>5000100108</v>
      </c>
      <c r="B4616" s="13" t="inlineStr">
        <is>
          <t>ГКУ СРЦН "Надежда"</t>
        </is>
      </c>
      <c r="C4616" s="13" t="n">
        <v>6507002165</v>
      </c>
      <c r="D4616" s="13" t="inlineStr">
        <is>
          <t>6507002165</t>
        </is>
      </c>
      <c r="E4616" s="13" t="inlineStr">
        <is>
          <t>ЮЛ РФ</t>
        </is>
      </c>
      <c r="F4616" s="13" t="n"/>
      <c r="G4616" s="14" t="n"/>
      <c r="H4616" s="14" t="n"/>
      <c r="I4616" s="14" t="n"/>
      <c r="J4616" s="14" t="n"/>
      <c r="K4616" s="53" t="inlineStr"/>
      <c r="L4616" s="53" t="inlineStr">
        <is>
          <t>Не определено</t>
        </is>
      </c>
      <c r="M4616" s="53" t="inlineStr"/>
      <c r="N4616" s="54" t="inlineStr"/>
      <c r="O4616" s="55" t="inlineStr"/>
      <c r="P4616" s="16" t="inlineStr">
        <is>
          <t>Требует обогащения</t>
        </is>
      </c>
      <c r="Q4616" s="16">
        <f>HYPERLINK("https://pb.nalog.ru/search.html?query=6507002165","ФНС: проверить")</f>
        <v/>
      </c>
      <c r="R4616" s="16">
        <f>HYPERLINK("https://checko.ru/search?query=3801001629","Чекко: проверить")</f>
        <v/>
      </c>
      <c r="S4616" t="n">
        <v>1</v>
      </c>
      <c r="T4616" s="35" t="inlineStr">
        <is>
          <t>4 — Не обогащён</t>
        </is>
      </c>
      <c r="U4616" s="35" t="inlineStr">
        <is>
          <t>Нет ОКВЭД/ССЧР</t>
        </is>
      </c>
      <c r="V4616" s="35" t="inlineStr">
        <is>
          <t>Не определено</t>
        </is>
      </c>
      <c r="W4616" s="35" t="inlineStr"/>
      <c r="X4616" s="35" t="inlineStr"/>
    </row>
    <row r="4617" ht="15" customHeight="1" s="24">
      <c r="A4617" s="13" t="n">
        <v>5000032389</v>
      </c>
      <c r="B4617" s="13" t="inlineStr">
        <is>
          <t>МБОУ СОШ пгт. Смирных</t>
        </is>
      </c>
      <c r="C4617" s="13" t="n">
        <v>6514000384</v>
      </c>
      <c r="D4617" s="13" t="inlineStr">
        <is>
          <t>6514000384</t>
        </is>
      </c>
      <c r="E4617" s="13" t="inlineStr">
        <is>
          <t>ЮЛ РФ</t>
        </is>
      </c>
      <c r="F4617" s="13" t="n"/>
      <c r="G4617" s="14" t="n"/>
      <c r="H4617" s="14" t="n"/>
      <c r="I4617" s="14" t="n"/>
      <c r="J4617" s="14" t="n"/>
      <c r="K4617" s="53" t="inlineStr"/>
      <c r="L4617" s="53" t="inlineStr">
        <is>
          <t>Не определено</t>
        </is>
      </c>
      <c r="M4617" s="53" t="inlineStr"/>
      <c r="N4617" s="54" t="inlineStr"/>
      <c r="O4617" s="55" t="inlineStr"/>
      <c r="P4617" s="16" t="inlineStr">
        <is>
          <t>Требует обогащения</t>
        </is>
      </c>
      <c r="Q4617" s="16">
        <f>HYPERLINK("https://pb.nalog.ru/search.html?query=6514000384","ФНС: проверить")</f>
        <v/>
      </c>
      <c r="R4617" s="16">
        <f>HYPERLINK("https://checko.ru/search?query=3801001629","Чекко: проверить")</f>
        <v/>
      </c>
      <c r="S4617" t="n">
        <v>1</v>
      </c>
      <c r="T4617" s="35" t="inlineStr">
        <is>
          <t>4 — Не обогащён</t>
        </is>
      </c>
      <c r="U4617" s="35" t="inlineStr">
        <is>
          <t>Нет ОКВЭД/ССЧР</t>
        </is>
      </c>
      <c r="V4617" s="35" t="inlineStr">
        <is>
          <t>Не определено</t>
        </is>
      </c>
      <c r="W4617" s="35" t="inlineStr"/>
      <c r="X4617" s="35" t="inlineStr"/>
    </row>
    <row r="4618" ht="27.75" customHeight="1" s="24">
      <c r="A4618" s="13" t="n">
        <v>5000107367</v>
      </c>
      <c r="B4618" s="13" t="inlineStr">
        <is>
          <t>Южно-Сахалинский промышленно-экономический техникум</t>
        </is>
      </c>
      <c r="C4618" s="13" t="n">
        <v>6501067374</v>
      </c>
      <c r="D4618" s="13" t="inlineStr">
        <is>
          <t>6501067374</t>
        </is>
      </c>
      <c r="E4618" s="13" t="inlineStr">
        <is>
          <t>ЮЛ РФ</t>
        </is>
      </c>
      <c r="F4618" s="13" t="n"/>
      <c r="G4618" s="14" t="n"/>
      <c r="H4618" s="14" t="n"/>
      <c r="I4618" s="14" t="n"/>
      <c r="J4618" s="14" t="n"/>
      <c r="K4618" s="53" t="inlineStr"/>
      <c r="L4618" s="53" t="inlineStr">
        <is>
          <t>Не определено</t>
        </is>
      </c>
      <c r="M4618" s="53" t="inlineStr"/>
      <c r="N4618" s="54" t="inlineStr"/>
      <c r="O4618" s="55" t="inlineStr"/>
      <c r="P4618" s="16" t="inlineStr">
        <is>
          <t>Требует обогащения</t>
        </is>
      </c>
      <c r="Q4618" s="16">
        <f>HYPERLINK("https://pb.nalog.ru/search.html?query=6501067374","ФНС: проверить")</f>
        <v/>
      </c>
      <c r="R4618" s="16">
        <f>HYPERLINK("https://checko.ru/search?query=3801001629","Чекко: проверить")</f>
        <v/>
      </c>
      <c r="S4618" t="n">
        <v>1</v>
      </c>
      <c r="T4618" s="35" t="inlineStr">
        <is>
          <t>4 — Не обогащён</t>
        </is>
      </c>
      <c r="U4618" s="35" t="inlineStr">
        <is>
          <t>Нет ОКВЭД/ССЧР</t>
        </is>
      </c>
      <c r="V4618" s="35" t="inlineStr">
        <is>
          <t>Не определено</t>
        </is>
      </c>
      <c r="W4618" s="35" t="inlineStr"/>
      <c r="X4618" s="35" t="inlineStr"/>
    </row>
    <row r="4619" ht="15" customHeight="1" s="24">
      <c r="A4619" s="13" t="n">
        <v>5000100123</v>
      </c>
      <c r="B4619" s="13" t="inlineStr">
        <is>
          <t>ОАУ "Южное лесное хозяйство"</t>
        </is>
      </c>
      <c r="C4619" s="13" t="n">
        <v>6501016997</v>
      </c>
      <c r="D4619" s="13" t="inlineStr">
        <is>
          <t>6501016997</t>
        </is>
      </c>
      <c r="E4619" s="13" t="inlineStr">
        <is>
          <t>ЮЛ РФ</t>
        </is>
      </c>
      <c r="F4619" s="13" t="n"/>
      <c r="G4619" s="14" t="n"/>
      <c r="H4619" s="14" t="n"/>
      <c r="I4619" s="14" t="n"/>
      <c r="J4619" s="14" t="n"/>
      <c r="K4619" s="53" t="inlineStr"/>
      <c r="L4619" s="53" t="inlineStr">
        <is>
          <t>Не определено</t>
        </is>
      </c>
      <c r="M4619" s="53" t="inlineStr"/>
      <c r="N4619" s="54" t="inlineStr"/>
      <c r="O4619" s="55" t="inlineStr"/>
      <c r="P4619" s="16" t="inlineStr">
        <is>
          <t>Требует обогащения</t>
        </is>
      </c>
      <c r="Q4619" s="16">
        <f>HYPERLINK("https://pb.nalog.ru/search.html?query=6501016997","ФНС: проверить")</f>
        <v/>
      </c>
      <c r="R4619" s="16">
        <f>HYPERLINK("https://checko.ru/search?query=3801001629","Чекко: проверить")</f>
        <v/>
      </c>
      <c r="S4619" t="n">
        <v>1</v>
      </c>
      <c r="T4619" s="35" t="inlineStr">
        <is>
          <t>4 — Не обогащён</t>
        </is>
      </c>
      <c r="U4619" s="35" t="inlineStr">
        <is>
          <t>Нет ОКВЭД/ССЧР</t>
        </is>
      </c>
      <c r="V4619" s="35" t="inlineStr">
        <is>
          <t>Не определено</t>
        </is>
      </c>
      <c r="W4619" s="35" t="inlineStr"/>
      <c r="X4619" s="35" t="inlineStr"/>
    </row>
    <row r="4620" ht="27.75" customHeight="1" s="24">
      <c r="A4620" s="13" t="n">
        <v>5000118220</v>
      </c>
      <c r="B4620" s="13" t="inlineStr">
        <is>
          <t>МБОУ "Средняя общеобразовательная школа г. Северо-Курильска Сахалинской области"</t>
        </is>
      </c>
      <c r="C4620" s="13" t="n">
        <v>6515001415</v>
      </c>
      <c r="D4620" s="13" t="inlineStr">
        <is>
          <t>6515001415</t>
        </is>
      </c>
      <c r="E4620" s="13" t="inlineStr">
        <is>
          <t>ЮЛ РФ</t>
        </is>
      </c>
      <c r="F4620" s="13" t="n"/>
      <c r="G4620" s="14" t="n"/>
      <c r="H4620" s="14" t="n"/>
      <c r="I4620" s="14" t="n"/>
      <c r="J4620" s="14" t="n"/>
      <c r="K4620" s="53" t="inlineStr"/>
      <c r="L4620" s="53" t="inlineStr">
        <is>
          <t>Не определено</t>
        </is>
      </c>
      <c r="M4620" s="53" t="inlineStr"/>
      <c r="N4620" s="54" t="inlineStr"/>
      <c r="O4620" s="55" t="inlineStr"/>
      <c r="P4620" s="16" t="inlineStr">
        <is>
          <t>Требует обогащения</t>
        </is>
      </c>
      <c r="Q4620" s="16">
        <f>HYPERLINK("https://pb.nalog.ru/search.html?query=6515001415","ФНС: проверить")</f>
        <v/>
      </c>
      <c r="R4620" s="16">
        <f>HYPERLINK("https://checko.ru/search?query=3801001629","Чекко: проверить")</f>
        <v/>
      </c>
      <c r="S4620" t="n">
        <v>1</v>
      </c>
      <c r="T4620" s="35" t="inlineStr">
        <is>
          <t>4 — Не обогащён</t>
        </is>
      </c>
      <c r="U4620" s="35" t="inlineStr">
        <is>
          <t>Нет ОКВЭД/ССЧР</t>
        </is>
      </c>
      <c r="V4620" s="35" t="inlineStr">
        <is>
          <t>Не определено</t>
        </is>
      </c>
      <c r="W4620" s="35" t="inlineStr"/>
      <c r="X4620" s="35" t="inlineStr"/>
    </row>
    <row r="4621" ht="15" customHeight="1" s="24">
      <c r="A4621" s="13" t="n">
        <v>5000089233</v>
      </c>
      <c r="B4621" s="13" t="inlineStr">
        <is>
          <t>Департамент по тарифам Приморского края</t>
        </is>
      </c>
      <c r="C4621" s="13" t="n">
        <v>2540069025</v>
      </c>
      <c r="D4621" s="13" t="inlineStr">
        <is>
          <t>2540069025</t>
        </is>
      </c>
      <c r="E4621" s="13" t="inlineStr">
        <is>
          <t>ЮЛ РФ</t>
        </is>
      </c>
      <c r="F4621" s="13" t="n"/>
      <c r="G4621" s="14" t="n"/>
      <c r="H4621" s="14" t="n"/>
      <c r="I4621" s="14" t="n"/>
      <c r="J4621" s="14" t="n"/>
      <c r="K4621" s="53" t="inlineStr"/>
      <c r="L4621" s="53" t="inlineStr">
        <is>
          <t>Не определено</t>
        </is>
      </c>
      <c r="M4621" s="53" t="inlineStr"/>
      <c r="N4621" s="54" t="inlineStr"/>
      <c r="O4621" s="55" t="inlineStr"/>
      <c r="P4621" s="16" t="inlineStr">
        <is>
          <t>Требует обогащения</t>
        </is>
      </c>
      <c r="Q4621" s="16">
        <f>HYPERLINK("https://pb.nalog.ru/search.html?query=2540069025","ФНС: проверить")</f>
        <v/>
      </c>
      <c r="R4621" s="16">
        <f>HYPERLINK("https://checko.ru/search?query=3801001629","Чекко: проверить")</f>
        <v/>
      </c>
      <c r="S4621" t="n">
        <v>1</v>
      </c>
      <c r="T4621" s="35" t="inlineStr">
        <is>
          <t>4 — Не обогащён</t>
        </is>
      </c>
      <c r="U4621" s="35" t="inlineStr">
        <is>
          <t>Нет ОКВЭД/ССЧР</t>
        </is>
      </c>
      <c r="V4621" s="35" t="inlineStr">
        <is>
          <t>Не определено</t>
        </is>
      </c>
      <c r="W4621" s="35" t="inlineStr"/>
      <c r="X4621" s="35" t="inlineStr"/>
    </row>
    <row r="4622" ht="54.75" customHeight="1" s="24">
      <c r="A4622" s="13" t="n">
        <v>5000098279</v>
      </c>
      <c r="B4622" s="13" t="inlineStr">
        <is>
          <t>КРАЕВОЕ ГОСУДАРСТВЕННОЕ БЮДЖЕТНОЕ УЧРЕЖДЕНИЕ ЗДРАВООХРАНЕНИЯ "ВЛАДИВОСТОКСКАЯ ДЕТСКАЯ ПОЛИКЛИНИКА №3</t>
        </is>
      </c>
      <c r="C4622" s="13" t="n">
        <v>2538033783</v>
      </c>
      <c r="D4622" s="13" t="inlineStr">
        <is>
          <t>2538033783</t>
        </is>
      </c>
      <c r="E4622" s="13" t="inlineStr">
        <is>
          <t>ЮЛ РФ</t>
        </is>
      </c>
      <c r="F4622" s="13" t="n"/>
      <c r="G4622" s="14" t="n"/>
      <c r="H4622" s="14" t="n"/>
      <c r="I4622" s="14" t="n"/>
      <c r="J4622" s="14" t="n"/>
      <c r="K4622" s="53" t="inlineStr"/>
      <c r="L4622" s="53" t="inlineStr">
        <is>
          <t>Не определено</t>
        </is>
      </c>
      <c r="M4622" s="53" t="inlineStr"/>
      <c r="N4622" s="54" t="inlineStr"/>
      <c r="O4622" s="55" t="inlineStr"/>
      <c r="P4622" s="16" t="inlineStr">
        <is>
          <t>Требует обогащения</t>
        </is>
      </c>
      <c r="Q4622" s="16">
        <f>HYPERLINK("https://pb.nalog.ru/search.html?query=2538033783","ФНС: проверить")</f>
        <v/>
      </c>
      <c r="R4622" s="16">
        <f>HYPERLINK("https://checko.ru/search?query=3801001629","Чекко: проверить")</f>
        <v/>
      </c>
      <c r="S4622" t="n">
        <v>1</v>
      </c>
      <c r="T4622" s="35" t="inlineStr">
        <is>
          <t>4 — Не обогащён</t>
        </is>
      </c>
      <c r="U4622" s="35" t="inlineStr">
        <is>
          <t>Нет ОКВЭД/ССЧР</t>
        </is>
      </c>
      <c r="V4622" s="35" t="inlineStr">
        <is>
          <t>Не определено</t>
        </is>
      </c>
      <c r="W4622" s="35" t="inlineStr"/>
      <c r="X4622" s="35" t="inlineStr"/>
    </row>
    <row r="4623" ht="27.75" customHeight="1" s="24">
      <c r="A4623" s="13" t="n">
        <v>5000033354</v>
      </c>
      <c r="B4623" s="13" t="inlineStr">
        <is>
          <t>МКУ "ЦЕНТРАЛИЗОВАННАЯ БУХГАЛТЕРИЯ" УГЛЕГОРСКОГО ГОРОДСКОГО ОКРУГА</t>
        </is>
      </c>
      <c r="C4623" s="13" t="n">
        <v>6508009653</v>
      </c>
      <c r="D4623" s="13" t="inlineStr">
        <is>
          <t>6508009653</t>
        </is>
      </c>
      <c r="E4623" s="13" t="inlineStr">
        <is>
          <t>ЮЛ РФ</t>
        </is>
      </c>
      <c r="F4623" s="13" t="n"/>
      <c r="G4623" s="14" t="n"/>
      <c r="H4623" s="14" t="n"/>
      <c r="I4623" s="14" t="n"/>
      <c r="J4623" s="14" t="n"/>
      <c r="K4623" s="53" t="inlineStr"/>
      <c r="L4623" s="53" t="inlineStr">
        <is>
          <t>Не определено</t>
        </is>
      </c>
      <c r="M4623" s="53" t="inlineStr"/>
      <c r="N4623" s="54" t="inlineStr"/>
      <c r="O4623" s="55" t="inlineStr"/>
      <c r="P4623" s="16" t="inlineStr">
        <is>
          <t>Требует обогащения</t>
        </is>
      </c>
      <c r="Q4623" s="16">
        <f>HYPERLINK("https://pb.nalog.ru/search.html?query=6508009653","ФНС: проверить")</f>
        <v/>
      </c>
      <c r="R4623" s="16">
        <f>HYPERLINK("https://checko.ru/search?query=3801001629","Чекко: проверить")</f>
        <v/>
      </c>
      <c r="S4623" t="n">
        <v>1</v>
      </c>
      <c r="T4623" s="35" t="inlineStr">
        <is>
          <t>4 — Не обогащён</t>
        </is>
      </c>
      <c r="U4623" s="35" t="inlineStr">
        <is>
          <t>Нет ОКВЭД/ССЧР</t>
        </is>
      </c>
      <c r="V4623" s="35" t="inlineStr">
        <is>
          <t>Не определено</t>
        </is>
      </c>
      <c r="W4623" s="35" t="inlineStr"/>
      <c r="X4623" s="35" t="inlineStr"/>
    </row>
    <row r="4624" ht="15" customHeight="1" s="24">
      <c r="A4624" s="13" t="n">
        <v>5000033341</v>
      </c>
      <c r="B4624" s="13" t="inlineStr">
        <is>
          <t>АДМИНИСТРАЦИЯ УГО</t>
        </is>
      </c>
      <c r="C4624" s="13" t="n">
        <v>6508003210</v>
      </c>
      <c r="D4624" s="13" t="inlineStr">
        <is>
          <t>6508003210</t>
        </is>
      </c>
      <c r="E4624" s="13" t="inlineStr">
        <is>
          <t>ЮЛ РФ</t>
        </is>
      </c>
      <c r="F4624" s="13" t="n"/>
      <c r="G4624" s="14" t="n"/>
      <c r="H4624" s="14" t="n"/>
      <c r="I4624" s="14" t="n"/>
      <c r="J4624" s="14" t="n"/>
      <c r="K4624" s="53" t="inlineStr"/>
      <c r="L4624" s="53" t="inlineStr">
        <is>
          <t>Не определено</t>
        </is>
      </c>
      <c r="M4624" s="53" t="inlineStr"/>
      <c r="N4624" s="54" t="inlineStr"/>
      <c r="O4624" s="55" t="inlineStr"/>
      <c r="P4624" s="16" t="inlineStr">
        <is>
          <t>Требует обогащения</t>
        </is>
      </c>
      <c r="Q4624" s="16">
        <f>HYPERLINK("https://pb.nalog.ru/search.html?query=6508003210","ФНС: проверить")</f>
        <v/>
      </c>
      <c r="R4624" s="16">
        <f>HYPERLINK("https://checko.ru/search?query=3801001629","Чекко: проверить")</f>
        <v/>
      </c>
      <c r="S4624" t="n">
        <v>1</v>
      </c>
      <c r="T4624" s="35" t="inlineStr">
        <is>
          <t>4 — Не обогащён</t>
        </is>
      </c>
      <c r="U4624" s="35" t="inlineStr">
        <is>
          <t>Нет ОКВЭД/ССЧР</t>
        </is>
      </c>
      <c r="V4624" s="35" t="inlineStr">
        <is>
          <t>Не определено</t>
        </is>
      </c>
      <c r="W4624" s="35" t="inlineStr"/>
      <c r="X4624" s="35" t="inlineStr"/>
    </row>
    <row r="4625" ht="15" customHeight="1" s="24">
      <c r="A4625" s="13" t="n">
        <v>5000033341</v>
      </c>
      <c r="B4625" s="13" t="inlineStr">
        <is>
          <t>АДМИНИСТРАЦИЯ УГО</t>
        </is>
      </c>
      <c r="C4625" s="13" t="n">
        <v>6508003210</v>
      </c>
      <c r="D4625" s="13" t="inlineStr">
        <is>
          <t>6508003210</t>
        </is>
      </c>
      <c r="E4625" s="13" t="inlineStr">
        <is>
          <t>ЮЛ РФ</t>
        </is>
      </c>
      <c r="F4625" s="13" t="n"/>
      <c r="G4625" s="14" t="n"/>
      <c r="H4625" s="14" t="n"/>
      <c r="I4625" s="14" t="n"/>
      <c r="J4625" s="14" t="n"/>
      <c r="K4625" s="53" t="inlineStr"/>
      <c r="L4625" s="53" t="inlineStr">
        <is>
          <t>Не определено</t>
        </is>
      </c>
      <c r="M4625" s="53" t="inlineStr"/>
      <c r="N4625" s="54" t="inlineStr"/>
      <c r="O4625" s="55" t="inlineStr"/>
      <c r="P4625" s="16" t="inlineStr">
        <is>
          <t>Требует обогащения</t>
        </is>
      </c>
      <c r="Q4625" s="16">
        <f>HYPERLINK("https://pb.nalog.ru/search.html?query=6508003210","ФНС: проверить")</f>
        <v/>
      </c>
      <c r="R4625" s="16">
        <f>HYPERLINK("https://checko.ru/search?query=3801001629","Чекко: проверить")</f>
        <v/>
      </c>
      <c r="S4625" t="n">
        <v>0</v>
      </c>
      <c r="T4625" s="35" t="inlineStr">
        <is>
          <t>4 — Не обогащён</t>
        </is>
      </c>
      <c r="U4625" s="35" t="inlineStr">
        <is>
          <t>Нет ОКВЭД/ССЧР</t>
        </is>
      </c>
      <c r="V4625" s="35" t="inlineStr">
        <is>
          <t>Не определено</t>
        </is>
      </c>
      <c r="W4625" s="35" t="inlineStr"/>
      <c r="X4625" s="35" t="inlineStr"/>
    </row>
    <row r="4626" ht="41.25" customHeight="1" s="24">
      <c r="A4626" s="13" t="n">
        <v>5000033342</v>
      </c>
      <c r="B4626" s="13" t="inlineStr">
        <is>
          <t>КОМИТЕТ ПО УПРАВЛЕНИЮ МУНИЦИПАЛЬНОЙ СОБСТВЕННОСТЬЮ УГЛЕГОРСКОГО ГОРОДСКОГО ОКРУГА</t>
        </is>
      </c>
      <c r="C4626" s="13" t="n">
        <v>6508002908</v>
      </c>
      <c r="D4626" s="13" t="inlineStr">
        <is>
          <t>6508002908</t>
        </is>
      </c>
      <c r="E4626" s="13" t="inlineStr">
        <is>
          <t>ЮЛ РФ</t>
        </is>
      </c>
      <c r="F4626" s="13" t="n"/>
      <c r="G4626" s="14" t="n"/>
      <c r="H4626" s="14" t="n"/>
      <c r="I4626" s="14" t="n"/>
      <c r="J4626" s="14" t="n"/>
      <c r="K4626" s="53" t="inlineStr"/>
      <c r="L4626" s="53" t="inlineStr">
        <is>
          <t>Не определено</t>
        </is>
      </c>
      <c r="M4626" s="53" t="inlineStr"/>
      <c r="N4626" s="54" t="inlineStr"/>
      <c r="O4626" s="55" t="inlineStr"/>
      <c r="P4626" s="16" t="inlineStr">
        <is>
          <t>Требует обогащения</t>
        </is>
      </c>
      <c r="Q4626" s="16">
        <f>HYPERLINK("https://pb.nalog.ru/search.html?query=6508002908","ФНС: проверить")</f>
        <v/>
      </c>
      <c r="R4626" s="16">
        <f>HYPERLINK("https://checko.ru/search?query=3801001629","Чекко: проверить")</f>
        <v/>
      </c>
      <c r="S4626" t="n">
        <v>1</v>
      </c>
      <c r="T4626" s="35" t="inlineStr">
        <is>
          <t>4 — Не обогащён</t>
        </is>
      </c>
      <c r="U4626" s="35" t="inlineStr">
        <is>
          <t>Нет ОКВЭД/ССЧР</t>
        </is>
      </c>
      <c r="V4626" s="35" t="inlineStr">
        <is>
          <t>Не определено</t>
        </is>
      </c>
      <c r="W4626" s="35" t="inlineStr"/>
      <c r="X4626" s="35" t="inlineStr"/>
    </row>
    <row r="4627" ht="41.25" customHeight="1" s="24">
      <c r="A4627" s="13" t="n">
        <v>5000033342</v>
      </c>
      <c r="B4627" s="13" t="inlineStr">
        <is>
          <t>КОМИТЕТ ПО УПРАВЛЕНИЮ МУНИЦИПАЛЬНОЙ СОБСТВЕННОСТЬЮ УГЛЕГОРСКОГО ГОРОДСКОГО ОКРУГА</t>
        </is>
      </c>
      <c r="C4627" s="13" t="n">
        <v>6508002908</v>
      </c>
      <c r="D4627" s="13" t="inlineStr">
        <is>
          <t>6508002908</t>
        </is>
      </c>
      <c r="E4627" s="13" t="inlineStr">
        <is>
          <t>ЮЛ РФ</t>
        </is>
      </c>
      <c r="F4627" s="13" t="n"/>
      <c r="G4627" s="14" t="n"/>
      <c r="H4627" s="14" t="n"/>
      <c r="I4627" s="14" t="n"/>
      <c r="J4627" s="14" t="n"/>
      <c r="K4627" s="53" t="inlineStr"/>
      <c r="L4627" s="53" t="inlineStr">
        <is>
          <t>Не определено</t>
        </is>
      </c>
      <c r="M4627" s="53" t="inlineStr"/>
      <c r="N4627" s="54" t="inlineStr"/>
      <c r="O4627" s="55" t="inlineStr"/>
      <c r="P4627" s="16" t="inlineStr">
        <is>
          <t>Требует обогащения</t>
        </is>
      </c>
      <c r="Q4627" s="16">
        <f>HYPERLINK("https://pb.nalog.ru/search.html?query=6508002908","ФНС: проверить")</f>
        <v/>
      </c>
      <c r="R4627" s="16">
        <f>HYPERLINK("https://checko.ru/search?query=3801001629","Чекко: проверить")</f>
        <v/>
      </c>
      <c r="S4627" t="n">
        <v>0</v>
      </c>
      <c r="T4627" s="35" t="inlineStr">
        <is>
          <t>4 — Не обогащён</t>
        </is>
      </c>
      <c r="U4627" s="35" t="inlineStr">
        <is>
          <t>Нет ОКВЭД/ССЧР</t>
        </is>
      </c>
      <c r="V4627" s="35" t="inlineStr">
        <is>
          <t>Не определено</t>
        </is>
      </c>
      <c r="W4627" s="35" t="inlineStr"/>
      <c r="X4627" s="35" t="inlineStr"/>
    </row>
    <row r="4628" ht="15" customHeight="1" s="24">
      <c r="A4628" s="13" t="n">
        <v>5000033343</v>
      </c>
      <c r="B4628" s="13" t="inlineStr">
        <is>
          <t>СОБРАНИЕ УГО</t>
        </is>
      </c>
      <c r="C4628" s="13" t="n">
        <v>6508007293</v>
      </c>
      <c r="D4628" s="13" t="inlineStr">
        <is>
          <t>6508007293</t>
        </is>
      </c>
      <c r="E4628" s="13" t="inlineStr">
        <is>
          <t>ЮЛ РФ</t>
        </is>
      </c>
      <c r="F4628" s="13" t="n"/>
      <c r="G4628" s="14" t="n"/>
      <c r="H4628" s="14" t="n"/>
      <c r="I4628" s="14" t="n"/>
      <c r="J4628" s="14" t="n"/>
      <c r="K4628" s="53" t="inlineStr"/>
      <c r="L4628" s="53" t="inlineStr">
        <is>
          <t>Не определено</t>
        </is>
      </c>
      <c r="M4628" s="53" t="inlineStr"/>
      <c r="N4628" s="54" t="inlineStr"/>
      <c r="O4628" s="55" t="inlineStr"/>
      <c r="P4628" s="16" t="inlineStr">
        <is>
          <t>Требует обогащения</t>
        </is>
      </c>
      <c r="Q4628" s="16">
        <f>HYPERLINK("https://pb.nalog.ru/search.html?query=6508007293","ФНС: проверить")</f>
        <v/>
      </c>
      <c r="R4628" s="16">
        <f>HYPERLINK("https://checko.ru/search?query=3801001629","Чекко: проверить")</f>
        <v/>
      </c>
      <c r="S4628" t="n">
        <v>1</v>
      </c>
      <c r="T4628" s="35" t="inlineStr">
        <is>
          <t>4 — Не обогащён</t>
        </is>
      </c>
      <c r="U4628" s="35" t="inlineStr">
        <is>
          <t>Нет ОКВЭД/ССЧР</t>
        </is>
      </c>
      <c r="V4628" s="35" t="inlineStr">
        <is>
          <t>Не определено</t>
        </is>
      </c>
      <c r="W4628" s="35" t="inlineStr"/>
      <c r="X4628" s="35" t="inlineStr"/>
    </row>
    <row r="4629" ht="15" customHeight="1" s="24">
      <c r="A4629" s="13" t="n">
        <v>5000033345</v>
      </c>
      <c r="B4629" s="13" t="inlineStr">
        <is>
          <t>МКУ "УКС" УГО</t>
        </is>
      </c>
      <c r="C4629" s="13" t="n">
        <v>6508009646</v>
      </c>
      <c r="D4629" s="13" t="inlineStr">
        <is>
          <t>6508009646</t>
        </is>
      </c>
      <c r="E4629" s="13" t="inlineStr">
        <is>
          <t>ЮЛ РФ</t>
        </is>
      </c>
      <c r="F4629" s="13" t="n"/>
      <c r="G4629" s="14" t="n"/>
      <c r="H4629" s="14" t="n"/>
      <c r="I4629" s="14" t="n"/>
      <c r="J4629" s="14" t="n"/>
      <c r="K4629" s="53" t="inlineStr"/>
      <c r="L4629" s="53" t="inlineStr">
        <is>
          <t>Не определено</t>
        </is>
      </c>
      <c r="M4629" s="53" t="inlineStr"/>
      <c r="N4629" s="54" t="inlineStr"/>
      <c r="O4629" s="55" t="inlineStr"/>
      <c r="P4629" s="16" t="inlineStr">
        <is>
          <t>Требует обогащения</t>
        </is>
      </c>
      <c r="Q4629" s="16">
        <f>HYPERLINK("https://pb.nalog.ru/search.html?query=6508009646","ФНС: проверить")</f>
        <v/>
      </c>
      <c r="R4629" s="16">
        <f>HYPERLINK("https://checko.ru/search?query=3801001629","Чекко: проверить")</f>
        <v/>
      </c>
      <c r="S4629" t="n">
        <v>1</v>
      </c>
      <c r="T4629" s="35" t="inlineStr">
        <is>
          <t>4 — Не обогащён</t>
        </is>
      </c>
      <c r="U4629" s="35" t="inlineStr">
        <is>
          <t>Нет ОКВЭД/ССЧР</t>
        </is>
      </c>
      <c r="V4629" s="35" t="inlineStr">
        <is>
          <t>Не определено</t>
        </is>
      </c>
      <c r="W4629" s="35" t="inlineStr"/>
      <c r="X4629" s="35" t="inlineStr"/>
    </row>
    <row r="4630" ht="15" customHeight="1" s="24">
      <c r="A4630" s="13" t="n">
        <v>5000033347</v>
      </c>
      <c r="B4630" s="13" t="inlineStr">
        <is>
          <t>МКУ "УПРАВЛЕНИЕ ТЕРРИТОРИЕЙ ПГТ.ШАХТЕРСК"</t>
        </is>
      </c>
      <c r="C4630" s="13" t="n">
        <v>6508010225</v>
      </c>
      <c r="D4630" s="13" t="inlineStr">
        <is>
          <t>6508010225</t>
        </is>
      </c>
      <c r="E4630" s="13" t="inlineStr">
        <is>
          <t>ЮЛ РФ</t>
        </is>
      </c>
      <c r="F4630" s="13" t="n"/>
      <c r="G4630" s="14" t="n"/>
      <c r="H4630" s="14" t="n"/>
      <c r="I4630" s="14" t="n"/>
      <c r="J4630" s="14" t="n"/>
      <c r="K4630" s="53" t="inlineStr"/>
      <c r="L4630" s="53" t="inlineStr">
        <is>
          <t>Не определено</t>
        </is>
      </c>
      <c r="M4630" s="53" t="inlineStr"/>
      <c r="N4630" s="54" t="inlineStr"/>
      <c r="O4630" s="55" t="inlineStr"/>
      <c r="P4630" s="16" t="inlineStr">
        <is>
          <t>Требует обогащения</t>
        </is>
      </c>
      <c r="Q4630" s="16">
        <f>HYPERLINK("https://pb.nalog.ru/search.html?query=6508010225","ФНС: проверить")</f>
        <v/>
      </c>
      <c r="R4630" s="16">
        <f>HYPERLINK("https://checko.ru/search?query=3801001629","Чекко: проверить")</f>
        <v/>
      </c>
      <c r="S4630" t="n">
        <v>1</v>
      </c>
      <c r="T4630" s="35" t="inlineStr">
        <is>
          <t>4 — Не обогащён</t>
        </is>
      </c>
      <c r="U4630" s="35" t="inlineStr">
        <is>
          <t>Нет ОКВЭД/ССЧР</t>
        </is>
      </c>
      <c r="V4630" s="35" t="inlineStr">
        <is>
          <t>Не определено</t>
        </is>
      </c>
      <c r="W4630" s="35" t="inlineStr"/>
      <c r="X4630" s="35" t="inlineStr"/>
    </row>
    <row r="4631" ht="27.75" customHeight="1" s="24">
      <c r="A4631" s="13" t="n">
        <v>5000033348</v>
      </c>
      <c r="B4631" s="13" t="inlineStr">
        <is>
          <t>МКУ "УПРАВЛЕНИЕ ТЕРРИТОРИЕЙ С. БОШНЯКОВО"</t>
        </is>
      </c>
      <c r="C4631" s="13" t="n">
        <v>6508010200</v>
      </c>
      <c r="D4631" s="13" t="inlineStr">
        <is>
          <t>6508010200</t>
        </is>
      </c>
      <c r="E4631" s="13" t="inlineStr">
        <is>
          <t>ЮЛ РФ</t>
        </is>
      </c>
      <c r="F4631" s="13" t="n"/>
      <c r="G4631" s="14" t="n"/>
      <c r="H4631" s="14" t="n"/>
      <c r="I4631" s="14" t="n"/>
      <c r="J4631" s="14" t="n"/>
      <c r="K4631" s="53" t="inlineStr"/>
      <c r="L4631" s="53" t="inlineStr">
        <is>
          <t>Не определено</t>
        </is>
      </c>
      <c r="M4631" s="53" t="inlineStr"/>
      <c r="N4631" s="54" t="inlineStr"/>
      <c r="O4631" s="55" t="inlineStr"/>
      <c r="P4631" s="16" t="inlineStr">
        <is>
          <t>Требует обогащения</t>
        </is>
      </c>
      <c r="Q4631" s="16">
        <f>HYPERLINK("https://pb.nalog.ru/search.html?query=6508010200","ФНС: проверить")</f>
        <v/>
      </c>
      <c r="R4631" s="16">
        <f>HYPERLINK("https://checko.ru/search?query=3801001629","Чекко: проверить")</f>
        <v/>
      </c>
      <c r="S4631" t="n">
        <v>1</v>
      </c>
      <c r="T4631" s="35" t="inlineStr">
        <is>
          <t>4 — Не обогащён</t>
        </is>
      </c>
      <c r="U4631" s="35" t="inlineStr">
        <is>
          <t>Нет ОКВЭД/ССЧР</t>
        </is>
      </c>
      <c r="V4631" s="35" t="inlineStr">
        <is>
          <t>Не определено</t>
        </is>
      </c>
      <c r="W4631" s="35" t="inlineStr"/>
      <c r="X4631" s="35" t="inlineStr"/>
    </row>
    <row r="4632" ht="15" customHeight="1" s="24">
      <c r="A4632" s="13" t="n">
        <v>5000033349</v>
      </c>
      <c r="B4632" s="13" t="inlineStr">
        <is>
          <t>МКУ "ЭТУ" УГО</t>
        </is>
      </c>
      <c r="C4632" s="13" t="n">
        <v>6508009438</v>
      </c>
      <c r="D4632" s="13" t="inlineStr">
        <is>
          <t>6508009438</t>
        </is>
      </c>
      <c r="E4632" s="13" t="inlineStr">
        <is>
          <t>ЮЛ РФ</t>
        </is>
      </c>
      <c r="F4632" s="13" t="n"/>
      <c r="G4632" s="14" t="n"/>
      <c r="H4632" s="14" t="n"/>
      <c r="I4632" s="14" t="n"/>
      <c r="J4632" s="14" t="n"/>
      <c r="K4632" s="53" t="inlineStr"/>
      <c r="L4632" s="53" t="inlineStr">
        <is>
          <t>Не определено</t>
        </is>
      </c>
      <c r="M4632" s="53" t="inlineStr"/>
      <c r="N4632" s="54" t="inlineStr"/>
      <c r="O4632" s="55" t="inlineStr"/>
      <c r="P4632" s="16" t="inlineStr">
        <is>
          <t>Требует обогащения</t>
        </is>
      </c>
      <c r="Q4632" s="16">
        <f>HYPERLINK("https://pb.nalog.ru/search.html?query=6508009438","ФНС: проверить")</f>
        <v/>
      </c>
      <c r="R4632" s="16">
        <f>HYPERLINK("https://checko.ru/search?query=3801001629","Чекко: проверить")</f>
        <v/>
      </c>
      <c r="S4632" t="n">
        <v>1</v>
      </c>
      <c r="T4632" s="35" t="inlineStr">
        <is>
          <t>4 — Не обогащён</t>
        </is>
      </c>
      <c r="U4632" s="35" t="inlineStr">
        <is>
          <t>Нет ОКВЭД/ССЧР</t>
        </is>
      </c>
      <c r="V4632" s="35" t="inlineStr">
        <is>
          <t>Не определено</t>
        </is>
      </c>
      <c r="W4632" s="35" t="inlineStr"/>
      <c r="X4632" s="35" t="inlineStr"/>
    </row>
    <row r="4633" ht="15" customHeight="1" s="24">
      <c r="A4633" s="13" t="n">
        <v>5000033350</v>
      </c>
      <c r="B4633" s="13" t="inlineStr">
        <is>
          <t>МБУ "АРХИВ УГЛЕГОРСКОГО РАЙОНА"</t>
        </is>
      </c>
      <c r="C4633" s="13" t="n">
        <v>6508009639</v>
      </c>
      <c r="D4633" s="13" t="inlineStr">
        <is>
          <t>6508009639</t>
        </is>
      </c>
      <c r="E4633" s="13" t="inlineStr">
        <is>
          <t>ЮЛ РФ</t>
        </is>
      </c>
      <c r="F4633" s="13" t="n"/>
      <c r="G4633" s="14" t="n"/>
      <c r="H4633" s="14" t="n"/>
      <c r="I4633" s="14" t="n"/>
      <c r="J4633" s="14" t="n"/>
      <c r="K4633" s="53" t="inlineStr"/>
      <c r="L4633" s="53" t="inlineStr">
        <is>
          <t>Не определено</t>
        </is>
      </c>
      <c r="M4633" s="53" t="inlineStr"/>
      <c r="N4633" s="54" t="inlineStr"/>
      <c r="O4633" s="55" t="inlineStr"/>
      <c r="P4633" s="16" t="inlineStr">
        <is>
          <t>Требует обогащения</t>
        </is>
      </c>
      <c r="Q4633" s="16">
        <f>HYPERLINK("https://pb.nalog.ru/search.html?query=6508009639","ФНС: проверить")</f>
        <v/>
      </c>
      <c r="R4633" s="16">
        <f>HYPERLINK("https://checko.ru/search?query=3801001629","Чекко: проверить")</f>
        <v/>
      </c>
      <c r="S4633" t="n">
        <v>1</v>
      </c>
      <c r="T4633" s="35" t="inlineStr">
        <is>
          <t>4 — Не обогащён</t>
        </is>
      </c>
      <c r="U4633" s="35" t="inlineStr">
        <is>
          <t>Нет ОКВЭД/ССЧР</t>
        </is>
      </c>
      <c r="V4633" s="35" t="inlineStr">
        <is>
          <t>Не определено</t>
        </is>
      </c>
      <c r="W4633" s="35" t="inlineStr"/>
      <c r="X4633" s="35" t="inlineStr"/>
    </row>
    <row r="4634" ht="15" customHeight="1" s="24">
      <c r="A4634" s="13" t="n">
        <v>5000033351</v>
      </c>
      <c r="B4634" s="13" t="inlineStr">
        <is>
          <t>МБУ ДО ДШИ "ГАРМОНИЯ"</t>
        </is>
      </c>
      <c r="C4634" s="13" t="n">
        <v>6508003500</v>
      </c>
      <c r="D4634" s="13" t="inlineStr">
        <is>
          <t>6508003500</t>
        </is>
      </c>
      <c r="E4634" s="13" t="inlineStr">
        <is>
          <t>ЮЛ РФ</t>
        </is>
      </c>
      <c r="F4634" s="13" t="n"/>
      <c r="G4634" s="14" t="n"/>
      <c r="H4634" s="14" t="n"/>
      <c r="I4634" s="14" t="n"/>
      <c r="J4634" s="14" t="n"/>
      <c r="K4634" s="53" t="inlineStr"/>
      <c r="L4634" s="53" t="inlineStr">
        <is>
          <t>Не определено</t>
        </is>
      </c>
      <c r="M4634" s="53" t="inlineStr"/>
      <c r="N4634" s="54" t="inlineStr"/>
      <c r="O4634" s="55" t="inlineStr"/>
      <c r="P4634" s="16" t="inlineStr">
        <is>
          <t>Требует обогащения</t>
        </is>
      </c>
      <c r="Q4634" s="16">
        <f>HYPERLINK("https://pb.nalog.ru/search.html?query=6508003500","ФНС: проверить")</f>
        <v/>
      </c>
      <c r="R4634" s="16">
        <f>HYPERLINK("https://checko.ru/search?query=3801001629","Чекко: проверить")</f>
        <v/>
      </c>
      <c r="S4634" t="n">
        <v>1</v>
      </c>
      <c r="T4634" s="35" t="inlineStr">
        <is>
          <t>4 — Не обогащён</t>
        </is>
      </c>
      <c r="U4634" s="35" t="inlineStr">
        <is>
          <t>Нет ОКВЭД/ССЧР</t>
        </is>
      </c>
      <c r="V4634" s="35" t="inlineStr">
        <is>
          <t>Не определено</t>
        </is>
      </c>
      <c r="W4634" s="35" t="inlineStr"/>
      <c r="X4634" s="35" t="inlineStr"/>
    </row>
    <row r="4635" ht="15" customHeight="1" s="24">
      <c r="A4635" s="13" t="n">
        <v>5000033352</v>
      </c>
      <c r="B4635" s="13" t="inlineStr">
        <is>
          <t>МБУ ДО ДШИ ИМ. А.К. ЛЯДОВА</t>
        </is>
      </c>
      <c r="C4635" s="13" t="n">
        <v>6508006613</v>
      </c>
      <c r="D4635" s="13" t="inlineStr">
        <is>
          <t>6508006613</t>
        </is>
      </c>
      <c r="E4635" s="13" t="inlineStr">
        <is>
          <t>ЮЛ РФ</t>
        </is>
      </c>
      <c r="F4635" s="13" t="n"/>
      <c r="G4635" s="14" t="n"/>
      <c r="H4635" s="14" t="n"/>
      <c r="I4635" s="14" t="n"/>
      <c r="J4635" s="14" t="n"/>
      <c r="K4635" s="53" t="inlineStr"/>
      <c r="L4635" s="53" t="inlineStr">
        <is>
          <t>Не определено</t>
        </is>
      </c>
      <c r="M4635" s="53" t="inlineStr"/>
      <c r="N4635" s="54" t="inlineStr"/>
      <c r="O4635" s="55" t="inlineStr"/>
      <c r="P4635" s="16" t="inlineStr">
        <is>
          <t>Требует обогащения</t>
        </is>
      </c>
      <c r="Q4635" s="16">
        <f>HYPERLINK("https://pb.nalog.ru/search.html?query=6508006613","ФНС: проверить")</f>
        <v/>
      </c>
      <c r="R4635" s="16">
        <f>HYPERLINK("https://checko.ru/search?query=3801001629","Чекко: проверить")</f>
        <v/>
      </c>
      <c r="S4635" t="n">
        <v>1</v>
      </c>
      <c r="T4635" s="35" t="inlineStr">
        <is>
          <t>4 — Не обогащён</t>
        </is>
      </c>
      <c r="U4635" s="35" t="inlineStr">
        <is>
          <t>Нет ОКВЭД/ССЧР</t>
        </is>
      </c>
      <c r="V4635" s="35" t="inlineStr">
        <is>
          <t>Не определено</t>
        </is>
      </c>
      <c r="W4635" s="35" t="inlineStr"/>
      <c r="X4635" s="35" t="inlineStr"/>
    </row>
    <row r="4636" ht="15" customHeight="1" s="24">
      <c r="A4636" s="13" t="n">
        <v>5000033353</v>
      </c>
      <c r="B4636" s="13" t="inlineStr">
        <is>
          <t>МБУ СШ им. Н.П. Карпенко УГО</t>
        </is>
      </c>
      <c r="C4636" s="13" t="n">
        <v>6508006564</v>
      </c>
      <c r="D4636" s="13" t="inlineStr">
        <is>
          <t>6508006564</t>
        </is>
      </c>
      <c r="E4636" s="13" t="inlineStr">
        <is>
          <t>ЮЛ РФ</t>
        </is>
      </c>
      <c r="F4636" s="13" t="n"/>
      <c r="G4636" s="14" t="n"/>
      <c r="H4636" s="14" t="n"/>
      <c r="I4636" s="14" t="n"/>
      <c r="J4636" s="14" t="n"/>
      <c r="K4636" s="53" t="inlineStr"/>
      <c r="L4636" s="53" t="inlineStr">
        <is>
          <t>Не определено</t>
        </is>
      </c>
      <c r="M4636" s="53" t="inlineStr"/>
      <c r="N4636" s="54" t="inlineStr"/>
      <c r="O4636" s="55" t="inlineStr"/>
      <c r="P4636" s="16" t="inlineStr">
        <is>
          <t>Требует обогащения</t>
        </is>
      </c>
      <c r="Q4636" s="16">
        <f>HYPERLINK("https://pb.nalog.ru/search.html?query=6508006564","ФНС: проверить")</f>
        <v/>
      </c>
      <c r="R4636" s="16">
        <f>HYPERLINK("https://checko.ru/search?query=3801001629","Чекко: проверить")</f>
        <v/>
      </c>
      <c r="S4636" t="n">
        <v>1</v>
      </c>
      <c r="T4636" s="35" t="inlineStr">
        <is>
          <t>4 — Не обогащён</t>
        </is>
      </c>
      <c r="U4636" s="35" t="inlineStr">
        <is>
          <t>Нет ОКВЭД/ССЧР</t>
        </is>
      </c>
      <c r="V4636" s="35" t="inlineStr">
        <is>
          <t>Не определено</t>
        </is>
      </c>
      <c r="W4636" s="35" t="inlineStr"/>
      <c r="X4636" s="35" t="inlineStr"/>
    </row>
    <row r="4637" ht="15" customHeight="1" s="24">
      <c r="A4637" s="13" t="n">
        <v>5000033355</v>
      </c>
      <c r="B4637" s="13" t="inlineStr">
        <is>
          <t>МБУ "УДТХ"</t>
        </is>
      </c>
      <c r="C4637" s="13" t="n">
        <v>6508009371</v>
      </c>
      <c r="D4637" s="13" t="inlineStr">
        <is>
          <t>6508009371</t>
        </is>
      </c>
      <c r="E4637" s="13" t="inlineStr">
        <is>
          <t>ЮЛ РФ</t>
        </is>
      </c>
      <c r="F4637" s="13" t="n"/>
      <c r="G4637" s="14" t="n"/>
      <c r="H4637" s="14" t="n"/>
      <c r="I4637" s="14" t="n"/>
      <c r="J4637" s="14" t="n"/>
      <c r="K4637" s="53" t="inlineStr"/>
      <c r="L4637" s="53" t="inlineStr">
        <is>
          <t>Не определено</t>
        </is>
      </c>
      <c r="M4637" s="53" t="inlineStr"/>
      <c r="N4637" s="54" t="inlineStr"/>
      <c r="O4637" s="55" t="inlineStr"/>
      <c r="P4637" s="16" t="inlineStr">
        <is>
          <t>Требует обогащения</t>
        </is>
      </c>
      <c r="Q4637" s="16">
        <f>HYPERLINK("https://pb.nalog.ru/search.html?query=6508009371","ФНС: проверить")</f>
        <v/>
      </c>
      <c r="R4637" s="16">
        <f>HYPERLINK("https://checko.ru/search?query=3801001629","Чекко: проверить")</f>
        <v/>
      </c>
      <c r="S4637" t="n">
        <v>1</v>
      </c>
      <c r="T4637" s="35" t="inlineStr">
        <is>
          <t>4 — Не обогащён</t>
        </is>
      </c>
      <c r="U4637" s="35" t="inlineStr">
        <is>
          <t>Нет ОКВЭД/ССЧР</t>
        </is>
      </c>
      <c r="V4637" s="35" t="inlineStr">
        <is>
          <t>Не определено</t>
        </is>
      </c>
      <c r="W4637" s="35" t="inlineStr"/>
      <c r="X4637" s="35" t="inlineStr"/>
    </row>
    <row r="4638" ht="15" customHeight="1" s="24">
      <c r="A4638" s="13" t="n">
        <v>5000033356</v>
      </c>
      <c r="B4638" s="13" t="inlineStr">
        <is>
          <t>МБУК РДК "ОКТЯБРЬ"</t>
        </is>
      </c>
      <c r="C4638" s="13" t="n">
        <v>6508009251</v>
      </c>
      <c r="D4638" s="13" t="inlineStr">
        <is>
          <t>6508009251</t>
        </is>
      </c>
      <c r="E4638" s="13" t="inlineStr">
        <is>
          <t>ЮЛ РФ</t>
        </is>
      </c>
      <c r="F4638" s="13" t="n"/>
      <c r="G4638" s="14" t="n"/>
      <c r="H4638" s="14" t="n"/>
      <c r="I4638" s="14" t="n"/>
      <c r="J4638" s="14" t="n"/>
      <c r="K4638" s="53" t="inlineStr"/>
      <c r="L4638" s="53" t="inlineStr">
        <is>
          <t>Не определено</t>
        </is>
      </c>
      <c r="M4638" s="53" t="inlineStr"/>
      <c r="N4638" s="54" t="inlineStr"/>
      <c r="O4638" s="55" t="inlineStr"/>
      <c r="P4638" s="16" t="inlineStr">
        <is>
          <t>Требует обогащения</t>
        </is>
      </c>
      <c r="Q4638" s="16">
        <f>HYPERLINK("https://pb.nalog.ru/search.html?query=6508009251","ФНС: проверить")</f>
        <v/>
      </c>
      <c r="R4638" s="16">
        <f>HYPERLINK("https://checko.ru/search?query=3801001629","Чекко: проверить")</f>
        <v/>
      </c>
      <c r="S4638" t="n">
        <v>1</v>
      </c>
      <c r="T4638" s="35" t="inlineStr">
        <is>
          <t>4 — Не обогащён</t>
        </is>
      </c>
      <c r="U4638" s="35" t="inlineStr">
        <is>
          <t>Нет ОКВЭД/ССЧР</t>
        </is>
      </c>
      <c r="V4638" s="35" t="inlineStr">
        <is>
          <t>Не определено</t>
        </is>
      </c>
      <c r="W4638" s="35" t="inlineStr"/>
      <c r="X4638" s="35" t="inlineStr"/>
    </row>
    <row r="4639" ht="41.25" customHeight="1" s="24">
      <c r="A4639" s="13" t="n">
        <v>5000033357</v>
      </c>
      <c r="B4639" s="13" t="inlineStr">
        <is>
          <t>МБУК ЦЕНТРАЛИЗОВАННАЯ БИБЛИОТЕЧНАЯ СИСТЕМА УГЛЕГОРСКОГО ГОРОДСКОГО ОКРУГА САХАЛИНСКОЙ ОБЛАСТИ</t>
        </is>
      </c>
      <c r="C4639" s="13" t="n">
        <v>6508008530</v>
      </c>
      <c r="D4639" s="13" t="inlineStr">
        <is>
          <t>6508008530</t>
        </is>
      </c>
      <c r="E4639" s="13" t="inlineStr">
        <is>
          <t>ЮЛ РФ</t>
        </is>
      </c>
      <c r="F4639" s="13" t="n"/>
      <c r="G4639" s="14" t="n"/>
      <c r="H4639" s="14" t="n"/>
      <c r="I4639" s="14" t="n"/>
      <c r="J4639" s="14" t="n"/>
      <c r="K4639" s="53" t="inlineStr"/>
      <c r="L4639" s="53" t="inlineStr">
        <is>
          <t>Не определено</t>
        </is>
      </c>
      <c r="M4639" s="53" t="inlineStr"/>
      <c r="N4639" s="54" t="inlineStr"/>
      <c r="O4639" s="55" t="inlineStr"/>
      <c r="P4639" s="16" t="inlineStr">
        <is>
          <t>Требует обогащения</t>
        </is>
      </c>
      <c r="Q4639" s="16">
        <f>HYPERLINK("https://pb.nalog.ru/search.html?query=6508008530","ФНС: проверить")</f>
        <v/>
      </c>
      <c r="R4639" s="16">
        <f>HYPERLINK("https://checko.ru/search?query=3801001629","Чекко: проверить")</f>
        <v/>
      </c>
      <c r="S4639" t="n">
        <v>1</v>
      </c>
      <c r="T4639" s="35" t="inlineStr">
        <is>
          <t>4 — Не обогащён</t>
        </is>
      </c>
      <c r="U4639" s="35" t="inlineStr">
        <is>
          <t>Нет ОКВЭД/ССЧР</t>
        </is>
      </c>
      <c r="V4639" s="35" t="inlineStr">
        <is>
          <t>Не определено</t>
        </is>
      </c>
      <c r="W4639" s="35" t="inlineStr"/>
      <c r="X4639" s="35" t="inlineStr"/>
    </row>
    <row r="4640" ht="15" customHeight="1" s="24">
      <c r="A4640" s="13" t="n">
        <v>5000033358</v>
      </c>
      <c r="B4640" s="13" t="inlineStr">
        <is>
          <t>МБУК "УГЛЕГОРСКИЙ КРАЕВЕДЧЕСКИЙ МУЗЕЙ"</t>
        </is>
      </c>
      <c r="C4640" s="13" t="n">
        <v>6508009283</v>
      </c>
      <c r="D4640" s="13" t="inlineStr">
        <is>
          <t>6508009283</t>
        </is>
      </c>
      <c r="E4640" s="13" t="inlineStr">
        <is>
          <t>ЮЛ РФ</t>
        </is>
      </c>
      <c r="F4640" s="13" t="n"/>
      <c r="G4640" s="14" t="n"/>
      <c r="H4640" s="14" t="n"/>
      <c r="I4640" s="14" t="n"/>
      <c r="J4640" s="14" t="n"/>
      <c r="K4640" s="53" t="inlineStr"/>
      <c r="L4640" s="53" t="inlineStr">
        <is>
          <t>Не определено</t>
        </is>
      </c>
      <c r="M4640" s="53" t="inlineStr"/>
      <c r="N4640" s="54" t="inlineStr"/>
      <c r="O4640" s="55" t="inlineStr"/>
      <c r="P4640" s="16" t="inlineStr">
        <is>
          <t>Требует обогащения</t>
        </is>
      </c>
      <c r="Q4640" s="16">
        <f>HYPERLINK("https://pb.nalog.ru/search.html?query=6508009283","ФНС: проверить")</f>
        <v/>
      </c>
      <c r="R4640" s="16">
        <f>HYPERLINK("https://checko.ru/search?query=3801001629","Чекко: проверить")</f>
        <v/>
      </c>
      <c r="S4640" t="n">
        <v>1</v>
      </c>
      <c r="T4640" s="35" t="inlineStr">
        <is>
          <t>4 — Не обогащён</t>
        </is>
      </c>
      <c r="U4640" s="35" t="inlineStr">
        <is>
          <t>Нет ОКВЭД/ССЧР</t>
        </is>
      </c>
      <c r="V4640" s="35" t="inlineStr">
        <is>
          <t>Не определено</t>
        </is>
      </c>
      <c r="W4640" s="35" t="inlineStr"/>
      <c r="X4640" s="35" t="inlineStr"/>
    </row>
    <row r="4641" ht="15" customHeight="1" s="24">
      <c r="A4641" s="13" t="n">
        <v>5000091378</v>
      </c>
      <c r="B4641" s="13" t="inlineStr">
        <is>
          <t>МИНГОСУПРАВЛЕНИЯ САХАЛИНСКОЙ ОБЛАСТИ</t>
        </is>
      </c>
      <c r="C4641" s="13" t="n">
        <v>6501307562</v>
      </c>
      <c r="D4641" s="13" t="inlineStr">
        <is>
          <t>6501307562</t>
        </is>
      </c>
      <c r="E4641" s="13" t="inlineStr">
        <is>
          <t>ЮЛ РФ</t>
        </is>
      </c>
      <c r="F4641" s="13" t="n"/>
      <c r="G4641" s="14" t="n"/>
      <c r="H4641" s="14" t="n"/>
      <c r="I4641" s="14" t="n"/>
      <c r="J4641" s="14" t="n"/>
      <c r="K4641" s="53" t="inlineStr"/>
      <c r="L4641" s="53" t="inlineStr">
        <is>
          <t>Не определено</t>
        </is>
      </c>
      <c r="M4641" s="53" t="inlineStr"/>
      <c r="N4641" s="54" t="inlineStr"/>
      <c r="O4641" s="55" t="inlineStr"/>
      <c r="P4641" s="16" t="inlineStr">
        <is>
          <t>Требует обогащения</t>
        </is>
      </c>
      <c r="Q4641" s="16">
        <f>HYPERLINK("https://pb.nalog.ru/search.html?query=6501307562","ФНС: проверить")</f>
        <v/>
      </c>
      <c r="R4641" s="16">
        <f>HYPERLINK("https://checko.ru/search?query=3801001629","Чекко: проверить")</f>
        <v/>
      </c>
      <c r="S4641" t="n">
        <v>0</v>
      </c>
      <c r="T4641" s="35" t="inlineStr">
        <is>
          <t>4 — Не обогащён</t>
        </is>
      </c>
      <c r="U4641" s="35" t="inlineStr">
        <is>
          <t>Нет ОКВЭД/ССЧР</t>
        </is>
      </c>
      <c r="V4641" s="35" t="inlineStr">
        <is>
          <t>Не определено</t>
        </is>
      </c>
      <c r="W4641" s="35" t="inlineStr"/>
      <c r="X4641" s="35" t="inlineStr"/>
    </row>
    <row r="4642" ht="41.25" customHeight="1" s="24">
      <c r="A4642" s="13" t="n">
        <v>5000055079</v>
      </c>
      <c r="B4642" s="13" t="inlineStr">
        <is>
          <t>Отдел по исполнению полномочий местного самоуправления о. Шикотаи МО "Южно-Курильский городской округ"</t>
        </is>
      </c>
      <c r="C4642" s="13" t="n">
        <v>6518006186</v>
      </c>
      <c r="D4642" s="13" t="inlineStr">
        <is>
          <t>6518006186</t>
        </is>
      </c>
      <c r="E4642" s="13" t="inlineStr">
        <is>
          <t>ЮЛ РФ</t>
        </is>
      </c>
      <c r="F4642" s="13" t="n"/>
      <c r="G4642" s="14" t="n"/>
      <c r="H4642" s="14" t="n"/>
      <c r="I4642" s="14" t="n"/>
      <c r="J4642" s="14" t="n"/>
      <c r="K4642" s="53" t="inlineStr"/>
      <c r="L4642" s="53" t="inlineStr">
        <is>
          <t>Не определено</t>
        </is>
      </c>
      <c r="M4642" s="53" t="inlineStr"/>
      <c r="N4642" s="54" t="inlineStr"/>
      <c r="O4642" s="55" t="inlineStr"/>
      <c r="P4642" s="16" t="inlineStr">
        <is>
          <t>Требует обогащения</t>
        </is>
      </c>
      <c r="Q4642" s="16">
        <f>HYPERLINK("https://pb.nalog.ru/search.html?query=6518006186","ФНС: проверить")</f>
        <v/>
      </c>
      <c r="R4642" s="16">
        <f>HYPERLINK("https://checko.ru/search?query=3801001629","Чекко: проверить")</f>
        <v/>
      </c>
      <c r="S4642" t="n">
        <v>1</v>
      </c>
      <c r="T4642" s="35" t="inlineStr">
        <is>
          <t>4 — Не обогащён</t>
        </is>
      </c>
      <c r="U4642" s="35" t="inlineStr">
        <is>
          <t>Нет ОКВЭД/ССЧР</t>
        </is>
      </c>
      <c r="V4642" s="35" t="inlineStr">
        <is>
          <t>Не определено</t>
        </is>
      </c>
      <c r="W4642" s="35" t="inlineStr"/>
      <c r="X4642" s="35" t="inlineStr"/>
    </row>
    <row r="4643" ht="41.25" customHeight="1" s="24">
      <c r="A4643" s="13" t="n">
        <v>5000055079</v>
      </c>
      <c r="B4643" s="13" t="inlineStr">
        <is>
          <t>Отдел по исполнению полномочий местного самоуправления о. Шикотаи МО "Южно-Курильский городской округ"</t>
        </is>
      </c>
      <c r="C4643" s="13" t="n">
        <v>6518006186</v>
      </c>
      <c r="D4643" s="13" t="inlineStr">
        <is>
          <t>6518006186</t>
        </is>
      </c>
      <c r="E4643" s="13" t="inlineStr">
        <is>
          <t>ЮЛ РФ</t>
        </is>
      </c>
      <c r="F4643" s="13" t="n"/>
      <c r="G4643" s="14" t="n"/>
      <c r="H4643" s="14" t="n"/>
      <c r="I4643" s="14" t="n"/>
      <c r="J4643" s="14" t="n"/>
      <c r="K4643" s="53" t="inlineStr"/>
      <c r="L4643" s="53" t="inlineStr">
        <is>
          <t>Не определено</t>
        </is>
      </c>
      <c r="M4643" s="53" t="inlineStr"/>
      <c r="N4643" s="54" t="inlineStr"/>
      <c r="O4643" s="55" t="inlineStr"/>
      <c r="P4643" s="16" t="inlineStr">
        <is>
          <t>Требует обогащения</t>
        </is>
      </c>
      <c r="Q4643" s="16">
        <f>HYPERLINK("https://pb.nalog.ru/search.html?query=6518006186","ФНС: проверить")</f>
        <v/>
      </c>
      <c r="R4643" s="16">
        <f>HYPERLINK("https://checko.ru/search?query=3801001629","Чекко: проверить")</f>
        <v/>
      </c>
      <c r="S4643" t="n">
        <v>0</v>
      </c>
      <c r="T4643" s="35" t="inlineStr">
        <is>
          <t>4 — Не обогащён</t>
        </is>
      </c>
      <c r="U4643" s="35" t="inlineStr">
        <is>
          <t>Нет ОКВЭД/ССЧР</t>
        </is>
      </c>
      <c r="V4643" s="35" t="inlineStr">
        <is>
          <t>Не определено</t>
        </is>
      </c>
      <c r="W4643" s="35" t="inlineStr"/>
      <c r="X4643" s="35" t="inlineStr"/>
    </row>
    <row r="4644" ht="27.75" customHeight="1" s="24">
      <c r="A4644" s="13" t="n">
        <v>5000097559</v>
      </c>
      <c r="B4644" s="13" t="inlineStr">
        <is>
          <t>УПРАВЛЕНИЕ ДЕЛАМИ ГУБЕРНАТОРА И ПРАВИТЕЛЬСТВА САХАЛИНСКОЙ ОБЛАСТИ</t>
        </is>
      </c>
      <c r="C4644" s="13" t="n">
        <v>6501307795</v>
      </c>
      <c r="D4644" s="13" t="inlineStr">
        <is>
          <t>6501307795</t>
        </is>
      </c>
      <c r="E4644" s="13" t="inlineStr">
        <is>
          <t>ЮЛ РФ</t>
        </is>
      </c>
      <c r="F4644" s="13" t="n"/>
      <c r="G4644" s="14" t="n"/>
      <c r="H4644" s="14" t="n"/>
      <c r="I4644" s="14" t="n"/>
      <c r="J4644" s="14" t="n"/>
      <c r="K4644" s="53" t="inlineStr"/>
      <c r="L4644" s="53" t="inlineStr">
        <is>
          <t>Не определено</t>
        </is>
      </c>
      <c r="M4644" s="53" t="inlineStr"/>
      <c r="N4644" s="54" t="inlineStr"/>
      <c r="O4644" s="55" t="inlineStr"/>
      <c r="P4644" s="16" t="inlineStr">
        <is>
          <t>Требует обогащения</t>
        </is>
      </c>
      <c r="Q4644" s="16">
        <f>HYPERLINK("https://pb.nalog.ru/search.html?query=6501307795","ФНС: проверить")</f>
        <v/>
      </c>
      <c r="R4644" s="16">
        <f>HYPERLINK("https://checko.ru/search?query=3801001629","Чекко: проверить")</f>
        <v/>
      </c>
      <c r="S4644" t="n">
        <v>1</v>
      </c>
      <c r="T4644" s="35" t="inlineStr">
        <is>
          <t>4 — Не обогащён</t>
        </is>
      </c>
      <c r="U4644" s="35" t="inlineStr">
        <is>
          <t>Нет ОКВЭД/ССЧР</t>
        </is>
      </c>
      <c r="V4644" s="35" t="inlineStr">
        <is>
          <t>Не определено</t>
        </is>
      </c>
      <c r="W4644" s="35" t="inlineStr"/>
      <c r="X4644" s="35" t="inlineStr"/>
    </row>
    <row r="4645" ht="27.75" customHeight="1" s="24">
      <c r="A4645" s="13" t="n">
        <v>5000097559</v>
      </c>
      <c r="B4645" s="13" t="inlineStr">
        <is>
          <t>УПРАВЛЕНИЕ ДЕЛАМИ ГУБЕРНАТОРА И ПРАВИТЕЛЬСТВА САХАЛИНСКОЙ ОБЛАСТИ</t>
        </is>
      </c>
      <c r="C4645" s="13" t="n">
        <v>6501307795</v>
      </c>
      <c r="D4645" s="13" t="inlineStr">
        <is>
          <t>6501307795</t>
        </is>
      </c>
      <c r="E4645" s="13" t="inlineStr">
        <is>
          <t>ЮЛ РФ</t>
        </is>
      </c>
      <c r="F4645" s="13" t="n"/>
      <c r="G4645" s="14" t="n"/>
      <c r="H4645" s="14" t="n"/>
      <c r="I4645" s="14" t="n"/>
      <c r="J4645" s="14" t="n"/>
      <c r="K4645" s="53" t="inlineStr"/>
      <c r="L4645" s="53" t="inlineStr">
        <is>
          <t>Не определено</t>
        </is>
      </c>
      <c r="M4645" s="53" t="inlineStr"/>
      <c r="N4645" s="54" t="inlineStr"/>
      <c r="O4645" s="55" t="inlineStr"/>
      <c r="P4645" s="16" t="inlineStr">
        <is>
          <t>Требует обогащения</t>
        </is>
      </c>
      <c r="Q4645" s="16">
        <f>HYPERLINK("https://pb.nalog.ru/search.html?query=6501307795","ФНС: проверить")</f>
        <v/>
      </c>
      <c r="R4645" s="16">
        <f>HYPERLINK("https://checko.ru/search?query=3801001629","Чекко: проверить")</f>
        <v/>
      </c>
      <c r="S4645" t="n">
        <v>0</v>
      </c>
      <c r="T4645" s="35" t="inlineStr">
        <is>
          <t>4 — Не обогащён</t>
        </is>
      </c>
      <c r="U4645" s="35" t="inlineStr">
        <is>
          <t>Нет ОКВЭД/ССЧР</t>
        </is>
      </c>
      <c r="V4645" s="35" t="inlineStr">
        <is>
          <t>Не определено</t>
        </is>
      </c>
      <c r="W4645" s="35" t="inlineStr"/>
      <c r="X4645" s="35" t="inlineStr"/>
    </row>
    <row r="4646" ht="27.75" customHeight="1" s="24">
      <c r="A4646" s="13" t="n">
        <v>5000097558</v>
      </c>
      <c r="B4646" s="13" t="inlineStr">
        <is>
          <t>Агентство Лесного и Охотничьего Хозяйства Сахалинской Области</t>
        </is>
      </c>
      <c r="C4646" s="13" t="n">
        <v>6501312393</v>
      </c>
      <c r="D4646" s="13" t="inlineStr">
        <is>
          <t>6501312393</t>
        </is>
      </c>
      <c r="E4646" s="13" t="inlineStr">
        <is>
          <t>ЮЛ РФ</t>
        </is>
      </c>
      <c r="F4646" s="13" t="n"/>
      <c r="G4646" s="14" t="n"/>
      <c r="H4646" s="14" t="n"/>
      <c r="I4646" s="14" t="n"/>
      <c r="J4646" s="14" t="n"/>
      <c r="K4646" s="53" t="inlineStr"/>
      <c r="L4646" s="53" t="inlineStr">
        <is>
          <t>Не определено</t>
        </is>
      </c>
      <c r="M4646" s="53" t="inlineStr"/>
      <c r="N4646" s="54" t="inlineStr"/>
      <c r="O4646" s="55" t="inlineStr"/>
      <c r="P4646" s="16" t="inlineStr">
        <is>
          <t>Требует обогащения</t>
        </is>
      </c>
      <c r="Q4646" s="16">
        <f>HYPERLINK("https://pb.nalog.ru/search.html?query=6501312393","ФНС: проверить")</f>
        <v/>
      </c>
      <c r="R4646" s="16">
        <f>HYPERLINK("https://checko.ru/search?query=3801001629","Чекко: проверить")</f>
        <v/>
      </c>
      <c r="S4646" t="n">
        <v>1</v>
      </c>
      <c r="T4646" s="35" t="inlineStr">
        <is>
          <t>4 — Не обогащён</t>
        </is>
      </c>
      <c r="U4646" s="35" t="inlineStr">
        <is>
          <t>Нет ОКВЭД/ССЧР</t>
        </is>
      </c>
      <c r="V4646" s="35" t="inlineStr">
        <is>
          <t>Не определено</t>
        </is>
      </c>
      <c r="W4646" s="35" t="inlineStr"/>
      <c r="X4646" s="35" t="inlineStr"/>
    </row>
    <row r="4647" ht="27.75" customHeight="1" s="24">
      <c r="A4647" s="13" t="n">
        <v>5000097558</v>
      </c>
      <c r="B4647" s="13" t="inlineStr">
        <is>
          <t>Агентство Лесного и Охотничьего Хозяйства Сахалинской Области</t>
        </is>
      </c>
      <c r="C4647" s="13" t="n">
        <v>6501312393</v>
      </c>
      <c r="D4647" s="13" t="inlineStr">
        <is>
          <t>6501312393</t>
        </is>
      </c>
      <c r="E4647" s="13" t="inlineStr">
        <is>
          <t>ЮЛ РФ</t>
        </is>
      </c>
      <c r="F4647" s="13" t="n"/>
      <c r="G4647" s="14" t="n"/>
      <c r="H4647" s="14" t="n"/>
      <c r="I4647" s="14" t="n"/>
      <c r="J4647" s="14" t="n"/>
      <c r="K4647" s="53" t="inlineStr"/>
      <c r="L4647" s="53" t="inlineStr">
        <is>
          <t>Не определено</t>
        </is>
      </c>
      <c r="M4647" s="53" t="inlineStr"/>
      <c r="N4647" s="54" t="inlineStr"/>
      <c r="O4647" s="55" t="inlineStr"/>
      <c r="P4647" s="16" t="inlineStr">
        <is>
          <t>Требует обогащения</t>
        </is>
      </c>
      <c r="Q4647" s="16">
        <f>HYPERLINK("https://pb.nalog.ru/search.html?query=6501312393","ФНС: проверить")</f>
        <v/>
      </c>
      <c r="R4647" s="16">
        <f>HYPERLINK("https://checko.ru/search?query=3801001629","Чекко: проверить")</f>
        <v/>
      </c>
      <c r="S4647" t="n">
        <v>0</v>
      </c>
      <c r="T4647" s="35" t="inlineStr">
        <is>
          <t>4 — Не обогащён</t>
        </is>
      </c>
      <c r="U4647" s="35" t="inlineStr">
        <is>
          <t>Нет ОКВЭД/ССЧР</t>
        </is>
      </c>
      <c r="V4647" s="35" t="inlineStr">
        <is>
          <t>Не определено</t>
        </is>
      </c>
      <c r="W4647" s="35" t="inlineStr"/>
      <c r="X4647" s="35" t="inlineStr"/>
    </row>
    <row r="4648" ht="41.25" customHeight="1" s="24">
      <c r="A4648" s="13" t="n">
        <v>5000097267</v>
      </c>
      <c r="B4648" s="13" t="inlineStr">
        <is>
          <t>МБУК «Районный культурно-досуговый Центр Магистраль»  Усть-Кутского муниципального образования</t>
        </is>
      </c>
      <c r="C4648" s="13" t="n">
        <v>3818029157</v>
      </c>
      <c r="D4648" s="13" t="inlineStr">
        <is>
          <t>3818029157</t>
        </is>
      </c>
      <c r="E4648" s="13" t="inlineStr">
        <is>
          <t>ЮЛ РФ</t>
        </is>
      </c>
      <c r="F4648" s="13" t="n"/>
      <c r="G4648" s="14" t="n"/>
      <c r="H4648" s="14" t="n"/>
      <c r="I4648" s="14" t="n"/>
      <c r="J4648" s="14" t="n"/>
      <c r="K4648" s="53" t="inlineStr"/>
      <c r="L4648" s="53" t="inlineStr">
        <is>
          <t>Не определено</t>
        </is>
      </c>
      <c r="M4648" s="53" t="inlineStr"/>
      <c r="N4648" s="54" t="inlineStr"/>
      <c r="O4648" s="55" t="inlineStr"/>
      <c r="P4648" s="16" t="inlineStr">
        <is>
          <t>Требует обогащения</t>
        </is>
      </c>
      <c r="Q4648" s="16">
        <f>HYPERLINK("https://pb.nalog.ru/search.html?query=3818029157","ФНС: проверить")</f>
        <v/>
      </c>
      <c r="R4648" s="16">
        <f>HYPERLINK("https://checko.ru/search?query=3801001629","Чекко: проверить")</f>
        <v/>
      </c>
      <c r="S4648" t="n">
        <v>1</v>
      </c>
      <c r="T4648" s="35" t="inlineStr">
        <is>
          <t>4 — Не обогащён</t>
        </is>
      </c>
      <c r="U4648" s="35" t="inlineStr">
        <is>
          <t>Нет ОКВЭД/ССЧР</t>
        </is>
      </c>
      <c r="V4648" s="35" t="inlineStr">
        <is>
          <t>Не определено</t>
        </is>
      </c>
      <c r="W4648" s="35" t="inlineStr"/>
      <c r="X4648" s="35" t="inlineStr"/>
    </row>
    <row r="4649" ht="41.25" customHeight="1" s="24">
      <c r="A4649" s="13" t="n">
        <v>5000097268</v>
      </c>
      <c r="B4649" s="13" t="inlineStr">
        <is>
          <t>МКУК «Городской культурно-библиотечный центр» Усть-Кутского муниципального образования (городского по</t>
        </is>
      </c>
      <c r="C4649" s="13" t="n">
        <v>3818030836</v>
      </c>
      <c r="D4649" s="13" t="inlineStr">
        <is>
          <t>3818030836</t>
        </is>
      </c>
      <c r="E4649" s="13" t="inlineStr">
        <is>
          <t>ЮЛ РФ</t>
        </is>
      </c>
      <c r="F4649" s="13" t="n"/>
      <c r="G4649" s="14" t="n"/>
      <c r="H4649" s="14" t="n"/>
      <c r="I4649" s="14" t="n"/>
      <c r="J4649" s="14" t="n"/>
      <c r="K4649" s="53" t="inlineStr"/>
      <c r="L4649" s="53" t="inlineStr">
        <is>
          <t>Не определено</t>
        </is>
      </c>
      <c r="M4649" s="53" t="inlineStr"/>
      <c r="N4649" s="54" t="inlineStr"/>
      <c r="O4649" s="55" t="inlineStr"/>
      <c r="P4649" s="16" t="inlineStr">
        <is>
          <t>Требует обогащения</t>
        </is>
      </c>
      <c r="Q4649" s="16">
        <f>HYPERLINK("https://pb.nalog.ru/search.html?query=3818030836","ФНС: проверить")</f>
        <v/>
      </c>
      <c r="R4649" s="16">
        <f>HYPERLINK("https://checko.ru/search?query=3801001629","Чекко: проверить")</f>
        <v/>
      </c>
      <c r="S4649" t="n">
        <v>1</v>
      </c>
      <c r="T4649" s="35" t="inlineStr">
        <is>
          <t>4 — Не обогащён</t>
        </is>
      </c>
      <c r="U4649" s="35" t="inlineStr">
        <is>
          <t>Нет ОКВЭД/ССЧР</t>
        </is>
      </c>
      <c r="V4649" s="35" t="inlineStr">
        <is>
          <t>Не определено</t>
        </is>
      </c>
      <c r="W4649" s="35" t="inlineStr"/>
      <c r="X4649" s="35" t="inlineStr"/>
    </row>
    <row r="4650" ht="27.75" customHeight="1" s="24">
      <c r="A4650" s="13" t="n">
        <v>5000097269</v>
      </c>
      <c r="B4650" s="13" t="inlineStr">
        <is>
          <t>МКУК «Усть-Кутская межпоселенческая» Усть-Кутского муниципального образования</t>
        </is>
      </c>
      <c r="C4650" s="13" t="n">
        <v>3818020595</v>
      </c>
      <c r="D4650" s="13" t="inlineStr">
        <is>
          <t>3818020595</t>
        </is>
      </c>
      <c r="E4650" s="13" t="inlineStr">
        <is>
          <t>ЮЛ РФ</t>
        </is>
      </c>
      <c r="F4650" s="13" t="n"/>
      <c r="G4650" s="14" t="n"/>
      <c r="H4650" s="14" t="n"/>
      <c r="I4650" s="14" t="n"/>
      <c r="J4650" s="14" t="n"/>
      <c r="K4650" s="53" t="inlineStr"/>
      <c r="L4650" s="53" t="inlineStr">
        <is>
          <t>Не определено</t>
        </is>
      </c>
      <c r="M4650" s="53" t="inlineStr"/>
      <c r="N4650" s="54" t="inlineStr"/>
      <c r="O4650" s="55" t="inlineStr"/>
      <c r="P4650" s="16" t="inlineStr">
        <is>
          <t>Требует обогащения</t>
        </is>
      </c>
      <c r="Q4650" s="16">
        <f>HYPERLINK("https://pb.nalog.ru/search.html?query=3818020595","ФНС: проверить")</f>
        <v/>
      </c>
      <c r="R4650" s="16">
        <f>HYPERLINK("https://checko.ru/search?query=3801001629","Чекко: проверить")</f>
        <v/>
      </c>
      <c r="S4650" t="n">
        <v>1</v>
      </c>
      <c r="T4650" s="35" t="inlineStr">
        <is>
          <t>4 — Не обогащён</t>
        </is>
      </c>
      <c r="U4650" s="35" t="inlineStr">
        <is>
          <t>Нет ОКВЭД/ССЧР</t>
        </is>
      </c>
      <c r="V4650" s="35" t="inlineStr">
        <is>
          <t>Не определено</t>
        </is>
      </c>
      <c r="W4650" s="35" t="inlineStr"/>
      <c r="X4650" s="35" t="inlineStr"/>
    </row>
    <row r="4651" ht="41.25" customHeight="1" s="24">
      <c r="A4651" s="13" t="n">
        <v>5000097270</v>
      </c>
      <c r="B4651" s="13" t="inlineStr">
        <is>
          <t>МКУК «Межпоселенческий культурно-досуговый центр» Усть-Кутского муниципального образования</t>
        </is>
      </c>
      <c r="C4651" s="13" t="n">
        <v>3818029774</v>
      </c>
      <c r="D4651" s="13" t="inlineStr">
        <is>
          <t>3818029774</t>
        </is>
      </c>
      <c r="E4651" s="13" t="inlineStr">
        <is>
          <t>ЮЛ РФ</t>
        </is>
      </c>
      <c r="F4651" s="13" t="n"/>
      <c r="G4651" s="14" t="n"/>
      <c r="H4651" s="14" t="n"/>
      <c r="I4651" s="14" t="n"/>
      <c r="J4651" s="14" t="n"/>
      <c r="K4651" s="53" t="inlineStr"/>
      <c r="L4651" s="53" t="inlineStr">
        <is>
          <t>Не определено</t>
        </is>
      </c>
      <c r="M4651" s="53" t="inlineStr"/>
      <c r="N4651" s="54" t="inlineStr"/>
      <c r="O4651" s="55" t="inlineStr"/>
      <c r="P4651" s="16" t="inlineStr">
        <is>
          <t>Требует обогащения</t>
        </is>
      </c>
      <c r="Q4651" s="16">
        <f>HYPERLINK("https://pb.nalog.ru/search.html?query=3818029774","ФНС: проверить")</f>
        <v/>
      </c>
      <c r="R4651" s="16">
        <f>HYPERLINK("https://checko.ru/search?query=3801001629","Чекко: проверить")</f>
        <v/>
      </c>
      <c r="S4651" t="n">
        <v>1</v>
      </c>
      <c r="T4651" s="35" t="inlineStr">
        <is>
          <t>4 — Не обогащён</t>
        </is>
      </c>
      <c r="U4651" s="35" t="inlineStr">
        <is>
          <t>Нет ОКВЭД/ССЧР</t>
        </is>
      </c>
      <c r="V4651" s="35" t="inlineStr">
        <is>
          <t>Не определено</t>
        </is>
      </c>
      <c r="W4651" s="35" t="inlineStr"/>
      <c r="X4651" s="35" t="inlineStr"/>
    </row>
    <row r="4652" ht="27.75" customHeight="1" s="24">
      <c r="A4652" s="13" t="n">
        <v>5000097271</v>
      </c>
      <c r="B4652" s="13" t="inlineStr">
        <is>
          <t>МКУК «Усть-Кутский исторический музей» Усть-Кутского муниципального образования</t>
        </is>
      </c>
      <c r="C4652" s="13" t="n">
        <v>3818023758</v>
      </c>
      <c r="D4652" s="13" t="inlineStr">
        <is>
          <t>3818023758</t>
        </is>
      </c>
      <c r="E4652" s="13" t="inlineStr">
        <is>
          <t>ЮЛ РФ</t>
        </is>
      </c>
      <c r="F4652" s="13" t="n"/>
      <c r="G4652" s="14" t="n"/>
      <c r="H4652" s="14" t="n"/>
      <c r="I4652" s="14" t="n"/>
      <c r="J4652" s="14" t="n"/>
      <c r="K4652" s="53" t="inlineStr"/>
      <c r="L4652" s="53" t="inlineStr">
        <is>
          <t>Не определено</t>
        </is>
      </c>
      <c r="M4652" s="53" t="inlineStr"/>
      <c r="N4652" s="54" t="inlineStr"/>
      <c r="O4652" s="55" t="inlineStr"/>
      <c r="P4652" s="16" t="inlineStr">
        <is>
          <t>Требует обогащения</t>
        </is>
      </c>
      <c r="Q4652" s="16">
        <f>HYPERLINK("https://pb.nalog.ru/search.html?query=3818023758","ФНС: проверить")</f>
        <v/>
      </c>
      <c r="R4652" s="16">
        <f>HYPERLINK("https://checko.ru/search?query=3801001629","Чекко: проверить")</f>
        <v/>
      </c>
      <c r="S4652" t="n">
        <v>1</v>
      </c>
      <c r="T4652" s="35" t="inlineStr">
        <is>
          <t>4 — Не обогащён</t>
        </is>
      </c>
      <c r="U4652" s="35" t="inlineStr">
        <is>
          <t>Нет ОКВЭД/ССЧР</t>
        </is>
      </c>
      <c r="V4652" s="35" t="inlineStr">
        <is>
          <t>Не определено</t>
        </is>
      </c>
      <c r="W4652" s="35" t="inlineStr"/>
      <c r="X4652" s="35" t="inlineStr"/>
    </row>
    <row r="4653" ht="41.25" customHeight="1" s="24">
      <c r="A4653" s="13" t="n">
        <v>5000097274</v>
      </c>
      <c r="B4653" s="13" t="inlineStr">
        <is>
          <t>Управление культуры, спорта и молодёжной политики Администрации Усть-Кутского муниципального образования</t>
        </is>
      </c>
      <c r="C4653" s="13" t="n">
        <v>3818008118</v>
      </c>
      <c r="D4653" s="13" t="inlineStr">
        <is>
          <t>3818008118</t>
        </is>
      </c>
      <c r="E4653" s="13" t="inlineStr">
        <is>
          <t>ЮЛ РФ</t>
        </is>
      </c>
      <c r="F4653" s="13" t="n"/>
      <c r="G4653" s="14" t="n"/>
      <c r="H4653" s="14" t="n"/>
      <c r="I4653" s="14" t="n"/>
      <c r="J4653" s="14" t="n"/>
      <c r="K4653" s="53" t="inlineStr"/>
      <c r="L4653" s="53" t="inlineStr">
        <is>
          <t>Не определено</t>
        </is>
      </c>
      <c r="M4653" s="53" t="inlineStr"/>
      <c r="N4653" s="54" t="inlineStr"/>
      <c r="O4653" s="55" t="inlineStr"/>
      <c r="P4653" s="16" t="inlineStr">
        <is>
          <t>Требует обогащения</t>
        </is>
      </c>
      <c r="Q4653" s="16">
        <f>HYPERLINK("https://pb.nalog.ru/search.html?query=3818008118","ФНС: проверить")</f>
        <v/>
      </c>
      <c r="R4653" s="16">
        <f>HYPERLINK("https://checko.ru/search?query=3801001629","Чекко: проверить")</f>
        <v/>
      </c>
      <c r="S4653" t="n">
        <v>1</v>
      </c>
      <c r="T4653" s="35" t="inlineStr">
        <is>
          <t>4 — Не обогащён</t>
        </is>
      </c>
      <c r="U4653" s="35" t="inlineStr">
        <is>
          <t>Нет ОКВЭД/ССЧР</t>
        </is>
      </c>
      <c r="V4653" s="35" t="inlineStr">
        <is>
          <t>Не определено</t>
        </is>
      </c>
      <c r="W4653" s="35" t="inlineStr"/>
      <c r="X4653" s="35" t="inlineStr"/>
    </row>
    <row r="4654" ht="27.75" customHeight="1" s="24">
      <c r="A4654" s="13" t="n">
        <v>5000097265</v>
      </c>
      <c r="B4654" s="13" t="inlineStr">
        <is>
          <t>МБУ ДО «Детская школа искусств» Усть-Кутского муниципального образования</t>
        </is>
      </c>
      <c r="C4654" s="13" t="n">
        <v>3818018437</v>
      </c>
      <c r="D4654" s="13" t="inlineStr">
        <is>
          <t>3818018437</t>
        </is>
      </c>
      <c r="E4654" s="13" t="inlineStr">
        <is>
          <t>ЮЛ РФ</t>
        </is>
      </c>
      <c r="F4654" s="13" t="n"/>
      <c r="G4654" s="14" t="n"/>
      <c r="H4654" s="14" t="n"/>
      <c r="I4654" s="14" t="n"/>
      <c r="J4654" s="14" t="n"/>
      <c r="K4654" s="53" t="inlineStr"/>
      <c r="L4654" s="53" t="inlineStr">
        <is>
          <t>Не определено</t>
        </is>
      </c>
      <c r="M4654" s="53" t="inlineStr"/>
      <c r="N4654" s="54" t="inlineStr"/>
      <c r="O4654" s="55" t="inlineStr"/>
      <c r="P4654" s="16" t="inlineStr">
        <is>
          <t>Требует обогащения</t>
        </is>
      </c>
      <c r="Q4654" s="16">
        <f>HYPERLINK("https://pb.nalog.ru/search.html?query=3818018437","ФНС: проверить")</f>
        <v/>
      </c>
      <c r="R4654" s="16">
        <f>HYPERLINK("https://checko.ru/search?query=3801001629","Чекко: проверить")</f>
        <v/>
      </c>
      <c r="S4654" t="n">
        <v>1</v>
      </c>
      <c r="T4654" s="35" t="inlineStr">
        <is>
          <t>4 — Не обогащён</t>
        </is>
      </c>
      <c r="U4654" s="35" t="inlineStr">
        <is>
          <t>Нет ОКВЭД/ССЧР</t>
        </is>
      </c>
      <c r="V4654" s="35" t="inlineStr">
        <is>
          <t>Не определено</t>
        </is>
      </c>
      <c r="W4654" s="35" t="inlineStr"/>
      <c r="X4654" s="35" t="inlineStr"/>
    </row>
    <row r="4655" ht="41.25" customHeight="1" s="24">
      <c r="A4655" s="13" t="n">
        <v>5000097266</v>
      </c>
      <c r="B4655" s="13" t="inlineStr">
        <is>
          <t>МБУК "Дом культуры Речники» Усть-Кутского муниципального образования (городского поселения)</t>
        </is>
      </c>
      <c r="C4655" s="13" t="n">
        <v>3818029132</v>
      </c>
      <c r="D4655" s="13" t="inlineStr">
        <is>
          <t>3818029132</t>
        </is>
      </c>
      <c r="E4655" s="13" t="inlineStr">
        <is>
          <t>ЮЛ РФ</t>
        </is>
      </c>
      <c r="F4655" s="13" t="n"/>
      <c r="G4655" s="14" t="n"/>
      <c r="H4655" s="14" t="n"/>
      <c r="I4655" s="14" t="n"/>
      <c r="J4655" s="14" t="n"/>
      <c r="K4655" s="53" t="inlineStr"/>
      <c r="L4655" s="53" t="inlineStr">
        <is>
          <t>Не определено</t>
        </is>
      </c>
      <c r="M4655" s="53" t="inlineStr"/>
      <c r="N4655" s="54" t="inlineStr"/>
      <c r="O4655" s="55" t="inlineStr"/>
      <c r="P4655" s="16" t="inlineStr">
        <is>
          <t>Требует обогащения</t>
        </is>
      </c>
      <c r="Q4655" s="16">
        <f>HYPERLINK("https://pb.nalog.ru/search.html?query=3818029132","ФНС: проверить")</f>
        <v/>
      </c>
      <c r="R4655" s="16">
        <f>HYPERLINK("https://checko.ru/search?query=3801001629","Чекко: проверить")</f>
        <v/>
      </c>
      <c r="S4655" t="n">
        <v>1</v>
      </c>
      <c r="T4655" s="35" t="inlineStr">
        <is>
          <t>4 — Не обогащён</t>
        </is>
      </c>
      <c r="U4655" s="35" t="inlineStr">
        <is>
          <t>Нет ОКВЭД/ССЧР</t>
        </is>
      </c>
      <c r="V4655" s="35" t="inlineStr">
        <is>
          <t>Не определено</t>
        </is>
      </c>
      <c r="W4655" s="35" t="inlineStr"/>
      <c r="X4655" s="35" t="inlineStr"/>
    </row>
    <row r="4656" ht="41.25" customHeight="1" s="24">
      <c r="A4656" s="13" t="n">
        <v>5000097281</v>
      </c>
      <c r="B4656" s="13" t="inlineStr">
        <is>
          <t>МАУ «Центр дополнительного образования и оздоровления детей»  муниципального образования городской округ «Долинский» С</t>
        </is>
      </c>
      <c r="C4656" s="13" t="n">
        <v>6500007213</v>
      </c>
      <c r="D4656" s="13" t="inlineStr">
        <is>
          <t>6500007213</t>
        </is>
      </c>
      <c r="E4656" s="13" t="inlineStr">
        <is>
          <t>ЮЛ РФ</t>
        </is>
      </c>
      <c r="F4656" s="13" t="n"/>
      <c r="G4656" s="14" t="n"/>
      <c r="H4656" s="14" t="n"/>
      <c r="I4656" s="14" t="n"/>
      <c r="J4656" s="14" t="n"/>
      <c r="K4656" s="53" t="inlineStr"/>
      <c r="L4656" s="53" t="inlineStr">
        <is>
          <t>Не определено</t>
        </is>
      </c>
      <c r="M4656" s="53" t="inlineStr"/>
      <c r="N4656" s="54" t="inlineStr"/>
      <c r="O4656" s="55" t="inlineStr"/>
      <c r="P4656" s="16" t="inlineStr">
        <is>
          <t>Требует обогащения</t>
        </is>
      </c>
      <c r="Q4656" s="16">
        <f>HYPERLINK("https://pb.nalog.ru/search.html?query=6500007213","ФНС: проверить")</f>
        <v/>
      </c>
      <c r="R4656" s="16">
        <f>HYPERLINK("https://checko.ru/search?query=3801001629","Чекко: проверить")</f>
        <v/>
      </c>
      <c r="S4656" t="n">
        <v>1</v>
      </c>
      <c r="T4656" s="35" t="inlineStr">
        <is>
          <t>4 — Не обогащён</t>
        </is>
      </c>
      <c r="U4656" s="35" t="inlineStr">
        <is>
          <t>Нет ОКВЭД/ССЧР</t>
        </is>
      </c>
      <c r="V4656" s="35" t="inlineStr">
        <is>
          <t>Не определено</t>
        </is>
      </c>
      <c r="W4656" s="35" t="inlineStr"/>
      <c r="X4656" s="35" t="inlineStr"/>
    </row>
    <row r="4657" ht="15" customHeight="1" s="24">
      <c r="A4657" s="13" t="n">
        <v>5000098658</v>
      </c>
      <c r="B4657" s="13" t="inlineStr">
        <is>
          <t>ГБУЗ "Томаринская ЦРБ"</t>
        </is>
      </c>
      <c r="C4657" s="13" t="n">
        <v>6516001633</v>
      </c>
      <c r="D4657" s="13" t="inlineStr">
        <is>
          <t>6516001633</t>
        </is>
      </c>
      <c r="E4657" s="13" t="inlineStr">
        <is>
          <t>ЮЛ РФ</t>
        </is>
      </c>
      <c r="F4657" s="13" t="n"/>
      <c r="G4657" s="14" t="n"/>
      <c r="H4657" s="14" t="n"/>
      <c r="I4657" s="14" t="n"/>
      <c r="J4657" s="14" t="n"/>
      <c r="K4657" s="53" t="inlineStr"/>
      <c r="L4657" s="53" t="inlineStr">
        <is>
          <t>Не определено</t>
        </is>
      </c>
      <c r="M4657" s="53" t="inlineStr"/>
      <c r="N4657" s="54" t="inlineStr"/>
      <c r="O4657" s="55" t="inlineStr"/>
      <c r="P4657" s="16" t="inlineStr">
        <is>
          <t>Требует обогащения</t>
        </is>
      </c>
      <c r="Q4657" s="16">
        <f>HYPERLINK("https://pb.nalog.ru/search.html?query=6516001633","ФНС: проверить")</f>
        <v/>
      </c>
      <c r="R4657" s="16">
        <f>HYPERLINK("https://checko.ru/search?query=3801001629","Чекко: проверить")</f>
        <v/>
      </c>
      <c r="S4657" t="n">
        <v>1</v>
      </c>
      <c r="T4657" s="35" t="inlineStr">
        <is>
          <t>4 — Не обогащён</t>
        </is>
      </c>
      <c r="U4657" s="35" t="inlineStr">
        <is>
          <t>Нет ОКВЭД/ССЧР</t>
        </is>
      </c>
      <c r="V4657" s="35" t="inlineStr">
        <is>
          <t>Не определено</t>
        </is>
      </c>
      <c r="W4657" s="35" t="inlineStr"/>
      <c r="X4657" s="35" t="inlineStr"/>
    </row>
    <row r="4658" ht="27.75" customHeight="1" s="24">
      <c r="A4658" s="13" t="n">
        <v>5000089212</v>
      </c>
      <c r="B4658" s="13" t="inlineStr">
        <is>
          <t>Министерство энергетики и газоснабжения Приморского края</t>
        </is>
      </c>
      <c r="C4658" s="13" t="n">
        <v>2540187967</v>
      </c>
      <c r="D4658" s="13" t="inlineStr">
        <is>
          <t>2540187967</t>
        </is>
      </c>
      <c r="E4658" s="13" t="inlineStr">
        <is>
          <t>ЮЛ РФ</t>
        </is>
      </c>
      <c r="F4658" s="13" t="n"/>
      <c r="G4658" s="14" t="n"/>
      <c r="H4658" s="14" t="n"/>
      <c r="I4658" s="14" t="n"/>
      <c r="J4658" s="14" t="n"/>
      <c r="K4658" s="53" t="inlineStr"/>
      <c r="L4658" s="53" t="inlineStr">
        <is>
          <t>Не определено</t>
        </is>
      </c>
      <c r="M4658" s="53" t="inlineStr"/>
      <c r="N4658" s="54" t="inlineStr"/>
      <c r="O4658" s="55" t="inlineStr"/>
      <c r="P4658" s="16" t="inlineStr">
        <is>
          <t>Требует обогащения</t>
        </is>
      </c>
      <c r="Q4658" s="16">
        <f>HYPERLINK("https://pb.nalog.ru/search.html?query=2540187967","ФНС: проверить")</f>
        <v/>
      </c>
      <c r="R4658" s="16">
        <f>HYPERLINK("https://checko.ru/search?query=3801001629","Чекко: проверить")</f>
        <v/>
      </c>
      <c r="S4658" t="n">
        <v>1</v>
      </c>
      <c r="T4658" s="35" t="inlineStr">
        <is>
          <t>4 — Не обогащён</t>
        </is>
      </c>
      <c r="U4658" s="35" t="inlineStr">
        <is>
          <t>Нет ОКВЭД/ССЧР</t>
        </is>
      </c>
      <c r="V4658" s="35" t="inlineStr">
        <is>
          <t>Не определено</t>
        </is>
      </c>
      <c r="W4658" s="35" t="inlineStr"/>
      <c r="X4658" s="35" t="inlineStr"/>
    </row>
    <row r="4659" ht="27.75" customHeight="1" s="24">
      <c r="A4659" s="13" t="n">
        <v>5000089213</v>
      </c>
      <c r="B4659" s="13" t="inlineStr">
        <is>
          <t>Министерство экономического развития Приморского края</t>
        </is>
      </c>
      <c r="C4659" s="13" t="n">
        <v>2540150332</v>
      </c>
      <c r="D4659" s="13" t="inlineStr">
        <is>
          <t>2540150332</t>
        </is>
      </c>
      <c r="E4659" s="13" t="inlineStr">
        <is>
          <t>ЮЛ РФ</t>
        </is>
      </c>
      <c r="F4659" s="13" t="n"/>
      <c r="G4659" s="14" t="n"/>
      <c r="H4659" s="14" t="n"/>
      <c r="I4659" s="14" t="n"/>
      <c r="J4659" s="14" t="n"/>
      <c r="K4659" s="53" t="inlineStr"/>
      <c r="L4659" s="53" t="inlineStr">
        <is>
          <t>Не определено</t>
        </is>
      </c>
      <c r="M4659" s="53" t="inlineStr"/>
      <c r="N4659" s="54" t="inlineStr"/>
      <c r="O4659" s="55" t="inlineStr"/>
      <c r="P4659" s="16" t="inlineStr">
        <is>
          <t>Требует обогащения</t>
        </is>
      </c>
      <c r="Q4659" s="16">
        <f>HYPERLINK("https://pb.nalog.ru/search.html?query=2540150332","ФНС: проверить")</f>
        <v/>
      </c>
      <c r="R4659" s="16">
        <f>HYPERLINK("https://checko.ru/search?query=3801001629","Чекко: проверить")</f>
        <v/>
      </c>
      <c r="S4659" t="n">
        <v>1</v>
      </c>
      <c r="T4659" s="35" t="inlineStr">
        <is>
          <t>4 — Не обогащён</t>
        </is>
      </c>
      <c r="U4659" s="35" t="inlineStr">
        <is>
          <t>Нет ОКВЭД/ССЧР</t>
        </is>
      </c>
      <c r="V4659" s="35" t="inlineStr">
        <is>
          <t>Не определено</t>
        </is>
      </c>
      <c r="W4659" s="35" t="inlineStr"/>
      <c r="X4659" s="35" t="inlineStr"/>
    </row>
    <row r="4660" ht="27.75" customHeight="1" s="24">
      <c r="A4660" s="13" t="n">
        <v>5000089214</v>
      </c>
      <c r="B4660" s="13" t="inlineStr">
        <is>
          <t>Министерство цифрового развития и связи Приморского края</t>
        </is>
      </c>
      <c r="C4660" s="13" t="n">
        <v>2540187974</v>
      </c>
      <c r="D4660" s="13" t="inlineStr">
        <is>
          <t>2540187974</t>
        </is>
      </c>
      <c r="E4660" s="13" t="inlineStr">
        <is>
          <t>ЮЛ РФ</t>
        </is>
      </c>
      <c r="F4660" s="13" t="n"/>
      <c r="G4660" s="14" t="n"/>
      <c r="H4660" s="14" t="n"/>
      <c r="I4660" s="14" t="n"/>
      <c r="J4660" s="14" t="n"/>
      <c r="K4660" s="53" t="inlineStr"/>
      <c r="L4660" s="53" t="inlineStr">
        <is>
          <t>Не определено</t>
        </is>
      </c>
      <c r="M4660" s="53" t="inlineStr"/>
      <c r="N4660" s="54" t="inlineStr"/>
      <c r="O4660" s="55" t="inlineStr"/>
      <c r="P4660" s="16" t="inlineStr">
        <is>
          <t>Требует обогащения</t>
        </is>
      </c>
      <c r="Q4660" s="16">
        <f>HYPERLINK("https://pb.nalog.ru/search.html?query=2540187974","ФНС: проверить")</f>
        <v/>
      </c>
      <c r="R4660" s="16">
        <f>HYPERLINK("https://checko.ru/search?query=3801001629","Чекко: проверить")</f>
        <v/>
      </c>
      <c r="S4660" t="n">
        <v>1</v>
      </c>
      <c r="T4660" s="35" t="inlineStr">
        <is>
          <t>4 — Не обогащён</t>
        </is>
      </c>
      <c r="U4660" s="35" t="inlineStr">
        <is>
          <t>Нет ОКВЭД/ССЧР</t>
        </is>
      </c>
      <c r="V4660" s="35" t="inlineStr">
        <is>
          <t>Не определено</t>
        </is>
      </c>
      <c r="W4660" s="35" t="inlineStr"/>
      <c r="X4660" s="35" t="inlineStr"/>
    </row>
    <row r="4661" ht="27.75" customHeight="1" s="24">
      <c r="A4661" s="13" t="n">
        <v>5000089227</v>
      </c>
      <c r="B4661" s="13" t="inlineStr">
        <is>
          <t>Министерство культуры и архивного дела Приморского края</t>
        </is>
      </c>
      <c r="C4661" s="13" t="n">
        <v>2540254726</v>
      </c>
      <c r="D4661" s="13" t="inlineStr">
        <is>
          <t>2540254726</t>
        </is>
      </c>
      <c r="E4661" s="13" t="inlineStr">
        <is>
          <t>ЮЛ РФ</t>
        </is>
      </c>
      <c r="F4661" s="13" t="n"/>
      <c r="G4661" s="14" t="n"/>
      <c r="H4661" s="14" t="n"/>
      <c r="I4661" s="14" t="n"/>
      <c r="J4661" s="14" t="n"/>
      <c r="K4661" s="53" t="inlineStr"/>
      <c r="L4661" s="53" t="inlineStr">
        <is>
          <t>Не определено</t>
        </is>
      </c>
      <c r="M4661" s="53" t="inlineStr"/>
      <c r="N4661" s="54" t="inlineStr"/>
      <c r="O4661" s="55" t="inlineStr"/>
      <c r="P4661" s="16" t="inlineStr">
        <is>
          <t>Требует обогащения</t>
        </is>
      </c>
      <c r="Q4661" s="16">
        <f>HYPERLINK("https://pb.nalog.ru/search.html?query=2540254726","ФНС: проверить")</f>
        <v/>
      </c>
      <c r="R4661" s="16">
        <f>HYPERLINK("https://checko.ru/search?query=3801001629","Чекко: проверить")</f>
        <v/>
      </c>
      <c r="S4661" t="n">
        <v>1</v>
      </c>
      <c r="T4661" s="35" t="inlineStr">
        <is>
          <t>4 — Не обогащён</t>
        </is>
      </c>
      <c r="U4661" s="35" t="inlineStr">
        <is>
          <t>Нет ОКВЭД/ССЧР</t>
        </is>
      </c>
      <c r="V4661" s="35" t="inlineStr">
        <is>
          <t>Не определено</t>
        </is>
      </c>
      <c r="W4661" s="35" t="inlineStr"/>
      <c r="X4661" s="35" t="inlineStr"/>
    </row>
    <row r="4662" ht="27.75" customHeight="1" s="24">
      <c r="A4662" s="13" t="n">
        <v>5000089228</v>
      </c>
      <c r="B4662" s="13" t="inlineStr">
        <is>
          <t>Министерство имущественных и земельных отношений Приморского края</t>
        </is>
      </c>
      <c r="C4662" s="13" t="n">
        <v>2538111008</v>
      </c>
      <c r="D4662" s="13" t="inlineStr">
        <is>
          <t>2538111008</t>
        </is>
      </c>
      <c r="E4662" s="13" t="inlineStr">
        <is>
          <t>ЮЛ РФ</t>
        </is>
      </c>
      <c r="F4662" s="13" t="n"/>
      <c r="G4662" s="14" t="n"/>
      <c r="H4662" s="14" t="n"/>
      <c r="I4662" s="14" t="n"/>
      <c r="J4662" s="14" t="n"/>
      <c r="K4662" s="53" t="inlineStr"/>
      <c r="L4662" s="53" t="inlineStr">
        <is>
          <t>Не определено</t>
        </is>
      </c>
      <c r="M4662" s="53" t="inlineStr"/>
      <c r="N4662" s="54" t="inlineStr"/>
      <c r="O4662" s="55" t="inlineStr"/>
      <c r="P4662" s="16" t="inlineStr">
        <is>
          <t>Требует обогащения</t>
        </is>
      </c>
      <c r="Q4662" s="16">
        <f>HYPERLINK("https://pb.nalog.ru/search.html?query=2538111008","ФНС: проверить")</f>
        <v/>
      </c>
      <c r="R4662" s="16">
        <f>HYPERLINK("https://checko.ru/search?query=3801001629","Чекко: проверить")</f>
        <v/>
      </c>
      <c r="S4662" t="n">
        <v>1</v>
      </c>
      <c r="T4662" s="35" t="inlineStr">
        <is>
          <t>4 — Не обогащён</t>
        </is>
      </c>
      <c r="U4662" s="35" t="inlineStr">
        <is>
          <t>Нет ОКВЭД/ССЧР</t>
        </is>
      </c>
      <c r="V4662" s="35" t="inlineStr">
        <is>
          <t>Не определено</t>
        </is>
      </c>
      <c r="W4662" s="35" t="inlineStr"/>
      <c r="X4662" s="35" t="inlineStr"/>
    </row>
    <row r="4663" ht="27.75" customHeight="1" s="24">
      <c r="A4663" s="13" t="n">
        <v>5000089229</v>
      </c>
      <c r="B4663" s="13" t="inlineStr">
        <is>
          <t>Министерство здравоохранения Приморского края</t>
        </is>
      </c>
      <c r="C4663" s="13" t="n">
        <v>2540018454</v>
      </c>
      <c r="D4663" s="13" t="inlineStr">
        <is>
          <t>2540018454</t>
        </is>
      </c>
      <c r="E4663" s="13" t="inlineStr">
        <is>
          <t>ЮЛ РФ</t>
        </is>
      </c>
      <c r="F4663" s="13" t="n"/>
      <c r="G4663" s="14" t="n"/>
      <c r="H4663" s="14" t="n"/>
      <c r="I4663" s="14" t="n"/>
      <c r="J4663" s="14" t="n"/>
      <c r="K4663" s="53" t="inlineStr"/>
      <c r="L4663" s="53" t="inlineStr">
        <is>
          <t>Не определено</t>
        </is>
      </c>
      <c r="M4663" s="53" t="inlineStr"/>
      <c r="N4663" s="54" t="inlineStr"/>
      <c r="O4663" s="55" t="inlineStr"/>
      <c r="P4663" s="16" t="inlineStr">
        <is>
          <t>Требует обогащения</t>
        </is>
      </c>
      <c r="Q4663" s="16">
        <f>HYPERLINK("https://pb.nalog.ru/search.html?query=2540018454","ФНС: проверить")</f>
        <v/>
      </c>
      <c r="R4663" s="16">
        <f>HYPERLINK("https://checko.ru/search?query=3801001629","Чекко: проверить")</f>
        <v/>
      </c>
      <c r="S4663" t="n">
        <v>1</v>
      </c>
      <c r="T4663" s="35" t="inlineStr">
        <is>
          <t>4 — Не обогащён</t>
        </is>
      </c>
      <c r="U4663" s="35" t="inlineStr">
        <is>
          <t>Нет ОКВЭД/ССЧР</t>
        </is>
      </c>
      <c r="V4663" s="35" t="inlineStr">
        <is>
          <t>Не определено</t>
        </is>
      </c>
      <c r="W4663" s="35" t="inlineStr"/>
      <c r="X4663" s="35" t="inlineStr"/>
    </row>
    <row r="4664" ht="27.75" customHeight="1" s="24">
      <c r="A4664" s="13" t="n">
        <v>5000089215</v>
      </c>
      <c r="B4664" s="13" t="inlineStr">
        <is>
          <t>Министерство физической культуры и спорта Приморского края</t>
        </is>
      </c>
      <c r="C4664" s="13" t="n">
        <v>2538014734</v>
      </c>
      <c r="D4664" s="13" t="inlineStr">
        <is>
          <t>2538014734</t>
        </is>
      </c>
      <c r="E4664" s="13" t="inlineStr">
        <is>
          <t>ЮЛ РФ</t>
        </is>
      </c>
      <c r="F4664" s="13" t="n"/>
      <c r="G4664" s="14" t="n"/>
      <c r="H4664" s="14" t="n"/>
      <c r="I4664" s="14" t="n"/>
      <c r="J4664" s="14" t="n"/>
      <c r="K4664" s="53" t="inlineStr"/>
      <c r="L4664" s="53" t="inlineStr">
        <is>
          <t>Не определено</t>
        </is>
      </c>
      <c r="M4664" s="53" t="inlineStr"/>
      <c r="N4664" s="54" t="inlineStr"/>
      <c r="O4664" s="55" t="inlineStr"/>
      <c r="P4664" s="16" t="inlineStr">
        <is>
          <t>Требует обогащения</t>
        </is>
      </c>
      <c r="Q4664" s="16">
        <f>HYPERLINK("https://pb.nalog.ru/search.html?query=2538014734","ФНС: проверить")</f>
        <v/>
      </c>
      <c r="R4664" s="16">
        <f>HYPERLINK("https://checko.ru/search?query=3801001629","Чекко: проверить")</f>
        <v/>
      </c>
      <c r="S4664" t="n">
        <v>1</v>
      </c>
      <c r="T4664" s="35" t="inlineStr">
        <is>
          <t>4 — Не обогащён</t>
        </is>
      </c>
      <c r="U4664" s="35" t="inlineStr">
        <is>
          <t>Нет ОКВЭД/ССЧР</t>
        </is>
      </c>
      <c r="V4664" s="35" t="inlineStr">
        <is>
          <t>Не определено</t>
        </is>
      </c>
      <c r="W4664" s="35" t="inlineStr"/>
      <c r="X4664" s="35" t="inlineStr"/>
    </row>
    <row r="4665" ht="27.75" customHeight="1" s="24">
      <c r="A4665" s="13" t="n">
        <v>5000089219</v>
      </c>
      <c r="B4665" s="13" t="inlineStr">
        <is>
          <t>Министерство сельского хозяйства Приморского края</t>
        </is>
      </c>
      <c r="C4665" s="13" t="n">
        <v>2540011280</v>
      </c>
      <c r="D4665" s="13" t="inlineStr">
        <is>
          <t>2540011280</t>
        </is>
      </c>
      <c r="E4665" s="13" t="inlineStr">
        <is>
          <t>ЮЛ РФ</t>
        </is>
      </c>
      <c r="F4665" s="13" t="n"/>
      <c r="G4665" s="14" t="n"/>
      <c r="H4665" s="14" t="n"/>
      <c r="I4665" s="14" t="n"/>
      <c r="J4665" s="14" t="n"/>
      <c r="K4665" s="53" t="inlineStr"/>
      <c r="L4665" s="53" t="inlineStr">
        <is>
          <t>Не определено</t>
        </is>
      </c>
      <c r="M4665" s="53" t="inlineStr"/>
      <c r="N4665" s="54" t="inlineStr"/>
      <c r="O4665" s="55" t="inlineStr"/>
      <c r="P4665" s="16" t="inlineStr">
        <is>
          <t>Требует обогащения</t>
        </is>
      </c>
      <c r="Q4665" s="16">
        <f>HYPERLINK("https://pb.nalog.ru/search.html?query=2540011280","ФНС: проверить")</f>
        <v/>
      </c>
      <c r="R4665" s="16">
        <f>HYPERLINK("https://checko.ru/search?query=3801001629","Чекко: проверить")</f>
        <v/>
      </c>
      <c r="S4665" t="n">
        <v>1</v>
      </c>
      <c r="T4665" s="35" t="inlineStr">
        <is>
          <t>4 — Не обогащён</t>
        </is>
      </c>
      <c r="U4665" s="35" t="inlineStr">
        <is>
          <t>Нет ОКВЭД/ССЧР</t>
        </is>
      </c>
      <c r="V4665" s="35" t="inlineStr">
        <is>
          <t>Не определено</t>
        </is>
      </c>
      <c r="W4665" s="35" t="inlineStr"/>
      <c r="X4665" s="35" t="inlineStr"/>
    </row>
    <row r="4666" ht="27.75" customHeight="1" s="24">
      <c r="A4666" s="13" t="n">
        <v>5000089230</v>
      </c>
      <c r="B4666" s="13" t="inlineStr">
        <is>
          <t>Министерство жилищно-коммунального хозяйства Приморского края</t>
        </is>
      </c>
      <c r="C4666" s="13" t="n">
        <v>2540138254</v>
      </c>
      <c r="D4666" s="13" t="inlineStr">
        <is>
          <t>2540138254</t>
        </is>
      </c>
      <c r="E4666" s="13" t="inlineStr">
        <is>
          <t>ЮЛ РФ</t>
        </is>
      </c>
      <c r="F4666" s="13" t="n"/>
      <c r="G4666" s="14" t="n"/>
      <c r="H4666" s="14" t="n"/>
      <c r="I4666" s="14" t="n"/>
      <c r="J4666" s="14" t="n"/>
      <c r="K4666" s="53" t="inlineStr"/>
      <c r="L4666" s="53" t="inlineStr">
        <is>
          <t>Не определено</t>
        </is>
      </c>
      <c r="M4666" s="53" t="inlineStr"/>
      <c r="N4666" s="54" t="inlineStr"/>
      <c r="O4666" s="55" t="inlineStr"/>
      <c r="P4666" s="16" t="inlineStr">
        <is>
          <t>Требует обогащения</t>
        </is>
      </c>
      <c r="Q4666" s="16">
        <f>HYPERLINK("https://pb.nalog.ru/search.html?query=2540138254","ФНС: проверить")</f>
        <v/>
      </c>
      <c r="R4666" s="16">
        <f>HYPERLINK("https://checko.ru/search?query=3801001629","Чекко: проверить")</f>
        <v/>
      </c>
      <c r="S4666" t="n">
        <v>1</v>
      </c>
      <c r="T4666" s="35" t="inlineStr">
        <is>
          <t>4 — Не обогащён</t>
        </is>
      </c>
      <c r="U4666" s="35" t="inlineStr">
        <is>
          <t>Нет ОКВЭД/ССЧР</t>
        </is>
      </c>
      <c r="V4666" s="35" t="inlineStr">
        <is>
          <t>Не определено</t>
        </is>
      </c>
      <c r="W4666" s="35" t="inlineStr"/>
      <c r="X4666" s="35" t="inlineStr"/>
    </row>
    <row r="4667" ht="27.75" customHeight="1" s="24">
      <c r="A4667" s="13" t="n">
        <v>5000089220</v>
      </c>
      <c r="B4667" s="13" t="inlineStr">
        <is>
          <t>Министерство профессионального образования и занятости населения приморского края</t>
        </is>
      </c>
      <c r="C4667" s="13" t="n">
        <v>2536328260</v>
      </c>
      <c r="D4667" s="13" t="inlineStr">
        <is>
          <t>2536328260</t>
        </is>
      </c>
      <c r="E4667" s="13" t="inlineStr">
        <is>
          <t>ЮЛ РФ</t>
        </is>
      </c>
      <c r="F4667" s="13" t="n"/>
      <c r="G4667" s="14" t="n"/>
      <c r="H4667" s="14" t="n"/>
      <c r="I4667" s="14" t="n"/>
      <c r="J4667" s="14" t="n"/>
      <c r="K4667" s="53" t="inlineStr"/>
      <c r="L4667" s="53" t="inlineStr">
        <is>
          <t>Не определено</t>
        </is>
      </c>
      <c r="M4667" s="53" t="inlineStr"/>
      <c r="N4667" s="54" t="inlineStr"/>
      <c r="O4667" s="55" t="inlineStr"/>
      <c r="P4667" s="16" t="inlineStr">
        <is>
          <t>Требует обогащения</t>
        </is>
      </c>
      <c r="Q4667" s="16">
        <f>HYPERLINK("https://pb.nalog.ru/search.html?query=2536328260","ФНС: проверить")</f>
        <v/>
      </c>
      <c r="R4667" s="16">
        <f>HYPERLINK("https://checko.ru/search?query=3801001629","Чекко: проверить")</f>
        <v/>
      </c>
      <c r="S4667" t="n">
        <v>1</v>
      </c>
      <c r="T4667" s="35" t="inlineStr">
        <is>
          <t>4 — Не обогащён</t>
        </is>
      </c>
      <c r="U4667" s="35" t="inlineStr">
        <is>
          <t>Нет ОКВЭД/ССЧР</t>
        </is>
      </c>
      <c r="V4667" s="35" t="inlineStr">
        <is>
          <t>Не определено</t>
        </is>
      </c>
      <c r="W4667" s="35" t="inlineStr"/>
      <c r="X4667" s="35" t="inlineStr"/>
    </row>
    <row r="4668" ht="27.75" customHeight="1" s="24">
      <c r="A4668" s="13" t="n">
        <v>5000089221</v>
      </c>
      <c r="B4668" s="13" t="inlineStr">
        <is>
          <t>Министерство промышленности и торговли Приморского края</t>
        </is>
      </c>
      <c r="C4668" s="13" t="n">
        <v>2540254701</v>
      </c>
      <c r="D4668" s="13" t="inlineStr">
        <is>
          <t>2540254701</t>
        </is>
      </c>
      <c r="E4668" s="13" t="inlineStr">
        <is>
          <t>ЮЛ РФ</t>
        </is>
      </c>
      <c r="F4668" s="13" t="n"/>
      <c r="G4668" s="14" t="n"/>
      <c r="H4668" s="14" t="n"/>
      <c r="I4668" s="14" t="n"/>
      <c r="J4668" s="14" t="n"/>
      <c r="K4668" s="53" t="inlineStr"/>
      <c r="L4668" s="53" t="inlineStr">
        <is>
          <t>Не определено</t>
        </is>
      </c>
      <c r="M4668" s="53" t="inlineStr"/>
      <c r="N4668" s="54" t="inlineStr"/>
      <c r="O4668" s="55" t="inlineStr"/>
      <c r="P4668" s="16" t="inlineStr">
        <is>
          <t>Требует обогащения</t>
        </is>
      </c>
      <c r="Q4668" s="16">
        <f>HYPERLINK("https://pb.nalog.ru/search.html?query=2540254701","ФНС: проверить")</f>
        <v/>
      </c>
      <c r="R4668" s="16">
        <f>HYPERLINK("https://checko.ru/search?query=3801001629","Чекко: проверить")</f>
        <v/>
      </c>
      <c r="S4668" t="n">
        <v>1</v>
      </c>
      <c r="T4668" s="35" t="inlineStr">
        <is>
          <t>4 — Не обогащён</t>
        </is>
      </c>
      <c r="U4668" s="35" t="inlineStr">
        <is>
          <t>Нет ОКВЭД/ССЧР</t>
        </is>
      </c>
      <c r="V4668" s="35" t="inlineStr">
        <is>
          <t>Не определено</t>
        </is>
      </c>
      <c r="W4668" s="35" t="inlineStr"/>
      <c r="X4668" s="35" t="inlineStr"/>
    </row>
    <row r="4669" ht="27.75" customHeight="1" s="24">
      <c r="A4669" s="13" t="n">
        <v>5000089223</v>
      </c>
      <c r="B4669" s="13" t="inlineStr">
        <is>
          <t>Министерство по регулированию контрактной системы в сфере закупок Приморского края</t>
        </is>
      </c>
      <c r="C4669" s="13" t="n">
        <v>2540188311</v>
      </c>
      <c r="D4669" s="13" t="inlineStr">
        <is>
          <t>2540188311</t>
        </is>
      </c>
      <c r="E4669" s="13" t="inlineStr">
        <is>
          <t>ЮЛ РФ</t>
        </is>
      </c>
      <c r="F4669" s="13" t="n"/>
      <c r="G4669" s="14" t="n"/>
      <c r="H4669" s="14" t="n"/>
      <c r="I4669" s="14" t="n"/>
      <c r="J4669" s="14" t="n"/>
      <c r="K4669" s="53" t="inlineStr"/>
      <c r="L4669" s="53" t="inlineStr">
        <is>
          <t>Не определено</t>
        </is>
      </c>
      <c r="M4669" s="53" t="inlineStr"/>
      <c r="N4669" s="54" t="inlineStr"/>
      <c r="O4669" s="55" t="inlineStr"/>
      <c r="P4669" s="16" t="inlineStr">
        <is>
          <t>Требует обогащения</t>
        </is>
      </c>
      <c r="Q4669" s="16">
        <f>HYPERLINK("https://pb.nalog.ru/search.html?query=2540188311","ФНС: проверить")</f>
        <v/>
      </c>
      <c r="R4669" s="16">
        <f>HYPERLINK("https://checko.ru/search?query=3801001629","Чекко: проверить")</f>
        <v/>
      </c>
      <c r="S4669" t="n">
        <v>1</v>
      </c>
      <c r="T4669" s="35" t="inlineStr">
        <is>
          <t>4 — Не обогащён</t>
        </is>
      </c>
      <c r="U4669" s="35" t="inlineStr">
        <is>
          <t>Нет ОКВЭД/ССЧР</t>
        </is>
      </c>
      <c r="V4669" s="35" t="inlineStr">
        <is>
          <t>Не определено</t>
        </is>
      </c>
      <c r="W4669" s="35" t="inlineStr"/>
      <c r="X4669" s="35" t="inlineStr"/>
    </row>
    <row r="4670" ht="54.75" customHeight="1" s="24">
      <c r="A4670" s="13" t="n">
        <v>5000089224</v>
      </c>
      <c r="B4670" s="13" t="inlineStr">
        <is>
          <t>Министерство по делам гражданской обороны, защиты от чрезвычайных ситуаций и ликвидации последствий стихийных бедствий Приморского края</t>
        </is>
      </c>
      <c r="C4670" s="13" t="n">
        <v>2540151390</v>
      </c>
      <c r="D4670" s="13" t="inlineStr">
        <is>
          <t>2540151390</t>
        </is>
      </c>
      <c r="E4670" s="13" t="inlineStr">
        <is>
          <t>ЮЛ РФ</t>
        </is>
      </c>
      <c r="F4670" s="13" t="n"/>
      <c r="G4670" s="14" t="n"/>
      <c r="H4670" s="14" t="n"/>
      <c r="I4670" s="14" t="n"/>
      <c r="J4670" s="14" t="n"/>
      <c r="K4670" s="53" t="inlineStr"/>
      <c r="L4670" s="53" t="inlineStr">
        <is>
          <t>Не определено</t>
        </is>
      </c>
      <c r="M4670" s="53" t="inlineStr"/>
      <c r="N4670" s="54" t="inlineStr"/>
      <c r="O4670" s="55" t="inlineStr"/>
      <c r="P4670" s="16" t="inlineStr">
        <is>
          <t>Требует обогащения</t>
        </is>
      </c>
      <c r="Q4670" s="16">
        <f>HYPERLINK("https://pb.nalog.ru/search.html?query=2540151390","ФНС: проверить")</f>
        <v/>
      </c>
      <c r="R4670" s="16">
        <f>HYPERLINK("https://checko.ru/search?query=3801001629","Чекко: проверить")</f>
        <v/>
      </c>
      <c r="S4670" t="n">
        <v>1</v>
      </c>
      <c r="T4670" s="35" t="inlineStr">
        <is>
          <t>4 — Не обогащён</t>
        </is>
      </c>
      <c r="U4670" s="35" t="inlineStr">
        <is>
          <t>Нет ОКВЭД/ССЧР</t>
        </is>
      </c>
      <c r="V4670" s="35" t="inlineStr">
        <is>
          <t>Не определено</t>
        </is>
      </c>
      <c r="W4670" s="35" t="inlineStr"/>
      <c r="X4670" s="35" t="inlineStr"/>
    </row>
    <row r="4671" ht="15" customHeight="1" s="24">
      <c r="A4671" s="13" t="n">
        <v>5000089232</v>
      </c>
      <c r="B4671" s="13" t="inlineStr">
        <is>
          <t>Агентство по туризму Приморского края</t>
        </is>
      </c>
      <c r="C4671" s="13" t="n">
        <v>2540208208</v>
      </c>
      <c r="D4671" s="13" t="inlineStr">
        <is>
          <t>2540208208</t>
        </is>
      </c>
      <c r="E4671" s="13" t="inlineStr">
        <is>
          <t>ЮЛ РФ</t>
        </is>
      </c>
      <c r="F4671" s="13" t="n"/>
      <c r="G4671" s="14" t="n"/>
      <c r="H4671" s="14" t="n"/>
      <c r="I4671" s="14" t="n"/>
      <c r="J4671" s="14" t="n"/>
      <c r="K4671" s="53" t="inlineStr"/>
      <c r="L4671" s="53" t="inlineStr">
        <is>
          <t>Не определено</t>
        </is>
      </c>
      <c r="M4671" s="53" t="inlineStr"/>
      <c r="N4671" s="54" t="inlineStr"/>
      <c r="O4671" s="55" t="inlineStr"/>
      <c r="P4671" s="16" t="inlineStr">
        <is>
          <t>Требует обогащения</t>
        </is>
      </c>
      <c r="Q4671" s="16">
        <f>HYPERLINK("https://pb.nalog.ru/search.html?query=2540208208","ФНС: проверить")</f>
        <v/>
      </c>
      <c r="R4671" s="16">
        <f>HYPERLINK("https://checko.ru/search?query=3801001629","Чекко: проверить")</f>
        <v/>
      </c>
      <c r="S4671" t="n">
        <v>1</v>
      </c>
      <c r="T4671" s="35" t="inlineStr">
        <is>
          <t>4 — Не обогащён</t>
        </is>
      </c>
      <c r="U4671" s="35" t="inlineStr">
        <is>
          <t>Нет ОКВЭД/ССЧР</t>
        </is>
      </c>
      <c r="V4671" s="35" t="inlineStr">
        <is>
          <t>Не определено</t>
        </is>
      </c>
      <c r="W4671" s="35" t="inlineStr"/>
      <c r="X4671" s="35" t="inlineStr"/>
    </row>
    <row r="4672" ht="27.75" customHeight="1" s="24">
      <c r="A4672" s="13" t="n">
        <v>5000089235</v>
      </c>
      <c r="B4672" s="13" t="inlineStr">
        <is>
          <t>Агентство международного сотрудничества Приморского края</t>
        </is>
      </c>
      <c r="C4672" s="13" t="n">
        <v>2540188061</v>
      </c>
      <c r="D4672" s="13" t="inlineStr">
        <is>
          <t>2540188061</t>
        </is>
      </c>
      <c r="E4672" s="13" t="inlineStr">
        <is>
          <t>ЮЛ РФ</t>
        </is>
      </c>
      <c r="F4672" s="13" t="n"/>
      <c r="G4672" s="14" t="n"/>
      <c r="H4672" s="14" t="n"/>
      <c r="I4672" s="14" t="n"/>
      <c r="J4672" s="14" t="n"/>
      <c r="K4672" s="53" t="inlineStr"/>
      <c r="L4672" s="53" t="inlineStr">
        <is>
          <t>Не определено</t>
        </is>
      </c>
      <c r="M4672" s="53" t="inlineStr"/>
      <c r="N4672" s="54" t="inlineStr"/>
      <c r="O4672" s="55" t="inlineStr"/>
      <c r="P4672" s="16" t="inlineStr">
        <is>
          <t>Требует обогащения</t>
        </is>
      </c>
      <c r="Q4672" s="16">
        <f>HYPERLINK("https://pb.nalog.ru/search.html?query=2540188061","ФНС: проверить")</f>
        <v/>
      </c>
      <c r="R4672" s="16">
        <f>HYPERLINK("https://checko.ru/search?query=3801001629","Чекко: проверить")</f>
        <v/>
      </c>
      <c r="S4672" t="n">
        <v>1</v>
      </c>
      <c r="T4672" s="35" t="inlineStr">
        <is>
          <t>4 — Не обогащён</t>
        </is>
      </c>
      <c r="U4672" s="35" t="inlineStr">
        <is>
          <t>Нет ОКВЭД/ССЧР</t>
        </is>
      </c>
      <c r="V4672" s="35" t="inlineStr">
        <is>
          <t>Не определено</t>
        </is>
      </c>
      <c r="W4672" s="35" t="inlineStr"/>
      <c r="X4672" s="35" t="inlineStr"/>
    </row>
    <row r="4673" ht="27.75" customHeight="1" s="24">
      <c r="A4673" s="13" t="n">
        <v>5000089226</v>
      </c>
      <c r="B4673" s="13" t="inlineStr">
        <is>
          <t>Министерство лесного хозяйства и охраны объектов животного мира Приморского края</t>
        </is>
      </c>
      <c r="C4673" s="13" t="n">
        <v>2543146126</v>
      </c>
      <c r="D4673" s="13" t="inlineStr">
        <is>
          <t>2543146126</t>
        </is>
      </c>
      <c r="E4673" s="13" t="inlineStr">
        <is>
          <t>ЮЛ РФ</t>
        </is>
      </c>
      <c r="F4673" s="13" t="n"/>
      <c r="G4673" s="14" t="n"/>
      <c r="H4673" s="14" t="n"/>
      <c r="I4673" s="14" t="n"/>
      <c r="J4673" s="14" t="n"/>
      <c r="K4673" s="53" t="inlineStr"/>
      <c r="L4673" s="53" t="inlineStr">
        <is>
          <t>Не определено</t>
        </is>
      </c>
      <c r="M4673" s="53" t="inlineStr"/>
      <c r="N4673" s="54" t="inlineStr"/>
      <c r="O4673" s="55" t="inlineStr"/>
      <c r="P4673" s="16" t="inlineStr">
        <is>
          <t>Требует обогащения</t>
        </is>
      </c>
      <c r="Q4673" s="16">
        <f>HYPERLINK("https://pb.nalog.ru/search.html?query=2543146126","ФНС: проверить")</f>
        <v/>
      </c>
      <c r="R4673" s="16">
        <f>HYPERLINK("https://checko.ru/search?query=3801001629","Чекко: проверить")</f>
        <v/>
      </c>
      <c r="S4673" t="n">
        <v>1</v>
      </c>
      <c r="T4673" s="35" t="inlineStr">
        <is>
          <t>4 — Не обогащён</t>
        </is>
      </c>
      <c r="U4673" s="35" t="inlineStr">
        <is>
          <t>Нет ОКВЭД/ССЧР</t>
        </is>
      </c>
      <c r="V4673" s="35" t="inlineStr">
        <is>
          <t>Не определено</t>
        </is>
      </c>
      <c r="W4673" s="35" t="inlineStr"/>
      <c r="X4673" s="35" t="inlineStr"/>
    </row>
    <row r="4674" ht="15" customHeight="1" s="24">
      <c r="A4674" s="13" t="n">
        <v>5000089225</v>
      </c>
      <c r="B4674" s="13" t="inlineStr">
        <is>
          <t>Министерство образования Приморского края</t>
        </is>
      </c>
      <c r="C4674" s="13" t="n">
        <v>2540083421</v>
      </c>
      <c r="D4674" s="13" t="inlineStr">
        <is>
          <t>2540083421</t>
        </is>
      </c>
      <c r="E4674" s="13" t="inlineStr">
        <is>
          <t>ЮЛ РФ</t>
        </is>
      </c>
      <c r="F4674" s="13" t="n"/>
      <c r="G4674" s="14" t="n"/>
      <c r="H4674" s="14" t="n"/>
      <c r="I4674" s="14" t="n"/>
      <c r="J4674" s="14" t="n"/>
      <c r="K4674" s="53" t="inlineStr"/>
      <c r="L4674" s="53" t="inlineStr">
        <is>
          <t>Не определено</t>
        </is>
      </c>
      <c r="M4674" s="53" t="inlineStr"/>
      <c r="N4674" s="54" t="inlineStr"/>
      <c r="O4674" s="55" t="inlineStr"/>
      <c r="P4674" s="16" t="inlineStr">
        <is>
          <t>Требует обогащения</t>
        </is>
      </c>
      <c r="Q4674" s="16">
        <f>HYPERLINK("https://pb.nalog.ru/search.html?query=2540083421","ФНС: проверить")</f>
        <v/>
      </c>
      <c r="R4674" s="16">
        <f>HYPERLINK("https://checko.ru/search?query=3801001629","Чекко: проверить")</f>
        <v/>
      </c>
      <c r="S4674" t="n">
        <v>1</v>
      </c>
      <c r="T4674" s="35" t="inlineStr">
        <is>
          <t>4 — Не обогащён</t>
        </is>
      </c>
      <c r="U4674" s="35" t="inlineStr">
        <is>
          <t>Нет ОКВЭД/ССЧР</t>
        </is>
      </c>
      <c r="V4674" s="35" t="inlineStr">
        <is>
          <t>Не определено</t>
        </is>
      </c>
      <c r="W4674" s="35" t="inlineStr"/>
      <c r="X4674" s="35" t="inlineStr"/>
    </row>
    <row r="4675" ht="27.75" customHeight="1" s="24">
      <c r="A4675" s="13" t="n">
        <v>5000089242</v>
      </c>
      <c r="B4675" s="13" t="inlineStr">
        <is>
          <t>Департамент архитектуры и развития территорий Приморского края</t>
        </is>
      </c>
      <c r="C4675" s="13" t="n">
        <v>2540268944</v>
      </c>
      <c r="D4675" s="13" t="inlineStr">
        <is>
          <t>2540268944</t>
        </is>
      </c>
      <c r="E4675" s="13" t="inlineStr">
        <is>
          <t>ЮЛ РФ</t>
        </is>
      </c>
      <c r="F4675" s="13" t="n"/>
      <c r="G4675" s="14" t="n"/>
      <c r="H4675" s="14" t="n"/>
      <c r="I4675" s="14" t="n"/>
      <c r="J4675" s="14" t="n"/>
      <c r="K4675" s="53" t="inlineStr"/>
      <c r="L4675" s="53" t="inlineStr">
        <is>
          <t>Не определено</t>
        </is>
      </c>
      <c r="M4675" s="53" t="inlineStr"/>
      <c r="N4675" s="54" t="inlineStr"/>
      <c r="O4675" s="55" t="inlineStr"/>
      <c r="P4675" s="16" t="inlineStr">
        <is>
          <t>Требует обогащения</t>
        </is>
      </c>
      <c r="Q4675" s="16">
        <f>HYPERLINK("https://pb.nalog.ru/search.html?query=2540268944","ФНС: проверить")</f>
        <v/>
      </c>
      <c r="R4675" s="16">
        <f>HYPERLINK("https://checko.ru/search?query=3801001629","Чекко: проверить")</f>
        <v/>
      </c>
      <c r="S4675" t="n">
        <v>1</v>
      </c>
      <c r="T4675" s="35" t="inlineStr">
        <is>
          <t>4 — Не обогащён</t>
        </is>
      </c>
      <c r="U4675" s="35" t="inlineStr">
        <is>
          <t>Нет ОКВЭД/ССЧР</t>
        </is>
      </c>
      <c r="V4675" s="35" t="inlineStr">
        <is>
          <t>Не определено</t>
        </is>
      </c>
      <c r="W4675" s="35" t="inlineStr"/>
      <c r="X4675" s="35" t="inlineStr"/>
    </row>
    <row r="4676" ht="41.25" customHeight="1" s="24">
      <c r="A4676" s="13" t="n">
        <v>5000089243</v>
      </c>
      <c r="B4676" s="13" t="inlineStr">
        <is>
          <t>Инспекция регионального строительного надзора и контроля в области долевого строительства Приморского края</t>
        </is>
      </c>
      <c r="C4676" s="13" t="n">
        <v>2540188030</v>
      </c>
      <c r="D4676" s="13" t="inlineStr">
        <is>
          <t>2540188030</t>
        </is>
      </c>
      <c r="E4676" s="13" t="inlineStr">
        <is>
          <t>ЮЛ РФ</t>
        </is>
      </c>
      <c r="F4676" s="13" t="n"/>
      <c r="G4676" s="14" t="n"/>
      <c r="H4676" s="14" t="n"/>
      <c r="I4676" s="14" t="n"/>
      <c r="J4676" s="14" t="n"/>
      <c r="K4676" s="53" t="inlineStr"/>
      <c r="L4676" s="53" t="inlineStr">
        <is>
          <t>Не определено</t>
        </is>
      </c>
      <c r="M4676" s="53" t="inlineStr"/>
      <c r="N4676" s="54" t="inlineStr"/>
      <c r="O4676" s="55" t="inlineStr"/>
      <c r="P4676" s="16" t="inlineStr">
        <is>
          <t>Требует обогащения</t>
        </is>
      </c>
      <c r="Q4676" s="16">
        <f>HYPERLINK("https://pb.nalog.ru/search.html?query=2540188030","ФНС: проверить")</f>
        <v/>
      </c>
      <c r="R4676" s="16">
        <f>HYPERLINK("https://checko.ru/search?query=3801001629","Чекко: проверить")</f>
        <v/>
      </c>
      <c r="S4676" t="n">
        <v>1</v>
      </c>
      <c r="T4676" s="35" t="inlineStr">
        <is>
          <t>4 — Не обогащён</t>
        </is>
      </c>
      <c r="U4676" s="35" t="inlineStr">
        <is>
          <t>Нет ОКВЭД/ССЧР</t>
        </is>
      </c>
      <c r="V4676" s="35" t="inlineStr">
        <is>
          <t>Не определено</t>
        </is>
      </c>
      <c r="W4676" s="35" t="inlineStr"/>
      <c r="X4676" s="35" t="inlineStr"/>
    </row>
    <row r="4677" ht="27.75" customHeight="1" s="24">
      <c r="A4677" s="13" t="n">
        <v>5000089244</v>
      </c>
      <c r="B4677" s="13" t="inlineStr">
        <is>
          <t>Инспекция по охране объектов культурного наследия Приморского края</t>
        </is>
      </c>
      <c r="C4677" s="13" t="n">
        <v>2540225637</v>
      </c>
      <c r="D4677" s="13" t="inlineStr">
        <is>
          <t>2540225637</t>
        </is>
      </c>
      <c r="E4677" s="13" t="inlineStr">
        <is>
          <t>ЮЛ РФ</t>
        </is>
      </c>
      <c r="F4677" s="13" t="n"/>
      <c r="G4677" s="14" t="n"/>
      <c r="H4677" s="14" t="n"/>
      <c r="I4677" s="14" t="n"/>
      <c r="J4677" s="14" t="n"/>
      <c r="K4677" s="53" t="inlineStr"/>
      <c r="L4677" s="53" t="inlineStr">
        <is>
          <t>Не определено</t>
        </is>
      </c>
      <c r="M4677" s="53" t="inlineStr"/>
      <c r="N4677" s="54" t="inlineStr"/>
      <c r="O4677" s="55" t="inlineStr"/>
      <c r="P4677" s="16" t="inlineStr">
        <is>
          <t>Требует обогащения</t>
        </is>
      </c>
      <c r="Q4677" s="16">
        <f>HYPERLINK("https://pb.nalog.ru/search.html?query=2540225637","ФНС: проверить")</f>
        <v/>
      </c>
      <c r="R4677" s="16">
        <f>HYPERLINK("https://checko.ru/search?query=3801001629","Чекко: проверить")</f>
        <v/>
      </c>
      <c r="S4677" t="n">
        <v>1</v>
      </c>
      <c r="T4677" s="35" t="inlineStr">
        <is>
          <t>4 — Не обогащён</t>
        </is>
      </c>
      <c r="U4677" s="35" t="inlineStr">
        <is>
          <t>Нет ОКВЭД/ССЧР</t>
        </is>
      </c>
      <c r="V4677" s="35" t="inlineStr">
        <is>
          <t>Не определено</t>
        </is>
      </c>
      <c r="W4677" s="35" t="inlineStr"/>
      <c r="X4677" s="35" t="inlineStr"/>
    </row>
    <row r="4678" ht="54.75" customHeight="1" s="24">
      <c r="A4678" s="13" t="n">
        <v>5000089245</v>
      </c>
      <c r="B4678" s="13" t="inlineStr">
        <is>
          <t>Государственная инспекция по надзору за техническим состоянием и эксплуатацией самоходных машин и других видов техники, аттракционов Приморского края</t>
        </is>
      </c>
      <c r="C4678" s="13" t="n">
        <v>2540254719</v>
      </c>
      <c r="D4678" s="13" t="inlineStr">
        <is>
          <t>2540254719</t>
        </is>
      </c>
      <c r="E4678" s="13" t="inlineStr">
        <is>
          <t>ЮЛ РФ</t>
        </is>
      </c>
      <c r="F4678" s="13" t="n"/>
      <c r="G4678" s="14" t="n"/>
      <c r="H4678" s="14" t="n"/>
      <c r="I4678" s="14" t="n"/>
      <c r="J4678" s="14" t="n"/>
      <c r="K4678" s="53" t="inlineStr"/>
      <c r="L4678" s="53" t="inlineStr">
        <is>
          <t>Не определено</t>
        </is>
      </c>
      <c r="M4678" s="53" t="inlineStr"/>
      <c r="N4678" s="54" t="inlineStr"/>
      <c r="O4678" s="55" t="inlineStr"/>
      <c r="P4678" s="16" t="inlineStr">
        <is>
          <t>Требует обогащения</t>
        </is>
      </c>
      <c r="Q4678" s="16">
        <f>HYPERLINK("https://pb.nalog.ru/search.html?query=2540254719","ФНС: проверить")</f>
        <v/>
      </c>
      <c r="R4678" s="16">
        <f>HYPERLINK("https://checko.ru/search?query=3801001629","Чекко: проверить")</f>
        <v/>
      </c>
      <c r="S4678" t="n">
        <v>1</v>
      </c>
      <c r="T4678" s="35" t="inlineStr">
        <is>
          <t>4 — Не обогащён</t>
        </is>
      </c>
      <c r="U4678" s="35" t="inlineStr">
        <is>
          <t>Нет ОКВЭД/ССЧР</t>
        </is>
      </c>
      <c r="V4678" s="35" t="inlineStr">
        <is>
          <t>Не определено</t>
        </is>
      </c>
      <c r="W4678" s="35" t="inlineStr"/>
      <c r="X4678" s="35" t="inlineStr"/>
    </row>
    <row r="4679" ht="27.75" customHeight="1" s="24">
      <c r="A4679" s="13" t="n">
        <v>5000089246</v>
      </c>
      <c r="B4679" s="13" t="inlineStr">
        <is>
          <t>Государственная жилищная инспекция Приморского края</t>
        </is>
      </c>
      <c r="C4679" s="13" t="n">
        <v>2540171519</v>
      </c>
      <c r="D4679" s="13" t="inlineStr">
        <is>
          <t>2540171519</t>
        </is>
      </c>
      <c r="E4679" s="13" t="inlineStr">
        <is>
          <t>ЮЛ РФ</t>
        </is>
      </c>
      <c r="F4679" s="13" t="n"/>
      <c r="G4679" s="14" t="n"/>
      <c r="H4679" s="14" t="n"/>
      <c r="I4679" s="14" t="n"/>
      <c r="J4679" s="14" t="n"/>
      <c r="K4679" s="53" t="inlineStr"/>
      <c r="L4679" s="53" t="inlineStr">
        <is>
          <t>Не определено</t>
        </is>
      </c>
      <c r="M4679" s="53" t="inlineStr"/>
      <c r="N4679" s="54" t="inlineStr"/>
      <c r="O4679" s="55" t="inlineStr"/>
      <c r="P4679" s="16" t="inlineStr">
        <is>
          <t>Требует обогащения</t>
        </is>
      </c>
      <c r="Q4679" s="16">
        <f>HYPERLINK("https://pb.nalog.ru/search.html?query=2540171519","ФНС: проверить")</f>
        <v/>
      </c>
      <c r="R4679" s="16">
        <f>HYPERLINK("https://checko.ru/search?query=3801001629","Чекко: проверить")</f>
        <v/>
      </c>
      <c r="S4679" t="n">
        <v>1</v>
      </c>
      <c r="T4679" s="35" t="inlineStr">
        <is>
          <t>4 — Не обогащён</t>
        </is>
      </c>
      <c r="U4679" s="35" t="inlineStr">
        <is>
          <t>Нет ОКВЭД/ССЧР</t>
        </is>
      </c>
      <c r="V4679" s="35" t="inlineStr">
        <is>
          <t>Не определено</t>
        </is>
      </c>
      <c r="W4679" s="35" t="inlineStr"/>
      <c r="X4679" s="35" t="inlineStr"/>
    </row>
    <row r="4680" ht="27.75" customHeight="1" s="24">
      <c r="A4680" s="13" t="n">
        <v>5000089247</v>
      </c>
      <c r="B4680" s="13" t="inlineStr">
        <is>
          <t>Государственная ветеринарная инспекция Приморского края</t>
        </is>
      </c>
      <c r="C4680" s="13" t="n">
        <v>2540149496</v>
      </c>
      <c r="D4680" s="13" t="inlineStr">
        <is>
          <t>2540149496</t>
        </is>
      </c>
      <c r="E4680" s="13" t="inlineStr">
        <is>
          <t>ЮЛ РФ</t>
        </is>
      </c>
      <c r="F4680" s="13" t="n"/>
      <c r="G4680" s="14" t="n"/>
      <c r="H4680" s="14" t="n"/>
      <c r="I4680" s="14" t="n"/>
      <c r="J4680" s="14" t="n"/>
      <c r="K4680" s="53" t="inlineStr"/>
      <c r="L4680" s="53" t="inlineStr">
        <is>
          <t>Не определено</t>
        </is>
      </c>
      <c r="M4680" s="53" t="inlineStr"/>
      <c r="N4680" s="54" t="inlineStr"/>
      <c r="O4680" s="55" t="inlineStr"/>
      <c r="P4680" s="16" t="inlineStr">
        <is>
          <t>Требует обогащения</t>
        </is>
      </c>
      <c r="Q4680" s="16">
        <f>HYPERLINK("https://pb.nalog.ru/search.html?query=2540149496","ФНС: проверить")</f>
        <v/>
      </c>
      <c r="R4680" s="16">
        <f>HYPERLINK("https://checko.ru/search?query=3801001629","Чекко: проверить")</f>
        <v/>
      </c>
      <c r="S4680" t="n">
        <v>1</v>
      </c>
      <c r="T4680" s="35" t="inlineStr">
        <is>
          <t>4 — Не обогащён</t>
        </is>
      </c>
      <c r="U4680" s="35" t="inlineStr">
        <is>
          <t>Нет ОКВЭД/ССЧР</t>
        </is>
      </c>
      <c r="V4680" s="35" t="inlineStr">
        <is>
          <t>Не определено</t>
        </is>
      </c>
      <c r="W4680" s="35" t="inlineStr"/>
      <c r="X4680" s="35" t="inlineStr"/>
    </row>
    <row r="4681" ht="54.75" customHeight="1" s="24">
      <c r="A4681" s="13" t="n">
        <v>5000089250</v>
      </c>
      <c r="B4681" s="13" t="inlineStr">
        <is>
          <t>Краевое государственное общеобразовательное бюджетное учреждение "Партизанская специальная (коррекционная) общеобразовательная школа-интернат"</t>
        </is>
      </c>
      <c r="C4681" s="13" t="n">
        <v>2509010319</v>
      </c>
      <c r="D4681" s="13" t="inlineStr">
        <is>
          <t>2509010319</t>
        </is>
      </c>
      <c r="E4681" s="13" t="inlineStr">
        <is>
          <t>ЮЛ РФ</t>
        </is>
      </c>
      <c r="F4681" s="13" t="n"/>
      <c r="G4681" s="14" t="n"/>
      <c r="H4681" s="14" t="n"/>
      <c r="I4681" s="14" t="n"/>
      <c r="J4681" s="14" t="n"/>
      <c r="K4681" s="53" t="inlineStr"/>
      <c r="L4681" s="53" t="inlineStr">
        <is>
          <t>Не определено</t>
        </is>
      </c>
      <c r="M4681" s="53" t="inlineStr"/>
      <c r="N4681" s="54" t="inlineStr"/>
      <c r="O4681" s="55" t="inlineStr"/>
      <c r="P4681" s="16" t="inlineStr">
        <is>
          <t>Требует обогащения</t>
        </is>
      </c>
      <c r="Q4681" s="16">
        <f>HYPERLINK("https://pb.nalog.ru/search.html?query=2509010319","ФНС: проверить")</f>
        <v/>
      </c>
      <c r="R4681" s="16">
        <f>HYPERLINK("https://checko.ru/search?query=3801001629","Чекко: проверить")</f>
        <v/>
      </c>
      <c r="S4681" t="n">
        <v>1</v>
      </c>
      <c r="T4681" s="35" t="inlineStr">
        <is>
          <t>4 — Не обогащён</t>
        </is>
      </c>
      <c r="U4681" s="35" t="inlineStr">
        <is>
          <t>Нет ОКВЭД/ССЧР</t>
        </is>
      </c>
      <c r="V4681" s="35" t="inlineStr">
        <is>
          <t>Не определено</t>
        </is>
      </c>
      <c r="W4681" s="35" t="inlineStr"/>
      <c r="X4681" s="35" t="inlineStr"/>
    </row>
    <row r="4682" ht="27.75" customHeight="1" s="24">
      <c r="A4682" s="13" t="n">
        <v>5000089257</v>
      </c>
      <c r="B4682" s="13" t="inlineStr">
        <is>
          <t>АГЕНТСТВО ПРОЕКТНОГО УПРАВЛЕНИЯ ПРИМОРСКОГО КРАЯ</t>
        </is>
      </c>
      <c r="C4682" s="13" t="n">
        <v>2540213222</v>
      </c>
      <c r="D4682" s="13" t="inlineStr">
        <is>
          <t>2540213222</t>
        </is>
      </c>
      <c r="E4682" s="13" t="inlineStr">
        <is>
          <t>ЮЛ РФ</t>
        </is>
      </c>
      <c r="F4682" s="13" t="n"/>
      <c r="G4682" s="14" t="n"/>
      <c r="H4682" s="14" t="n"/>
      <c r="I4682" s="14" t="n"/>
      <c r="J4682" s="14" t="n"/>
      <c r="K4682" s="53" t="inlineStr"/>
      <c r="L4682" s="53" t="inlineStr">
        <is>
          <t>Не определено</t>
        </is>
      </c>
      <c r="M4682" s="53" t="inlineStr"/>
      <c r="N4682" s="54" t="inlineStr"/>
      <c r="O4682" s="55" t="inlineStr"/>
      <c r="P4682" s="16" t="inlineStr">
        <is>
          <t>Требует обогащения</t>
        </is>
      </c>
      <c r="Q4682" s="16">
        <f>HYPERLINK("https://pb.nalog.ru/search.html?query=2540213222","ФНС: проверить")</f>
        <v/>
      </c>
      <c r="R4682" s="16">
        <f>HYPERLINK("https://checko.ru/search?query=3801001629","Чекко: проверить")</f>
        <v/>
      </c>
      <c r="S4682" t="n">
        <v>1</v>
      </c>
      <c r="T4682" s="35" t="inlineStr">
        <is>
          <t>4 — Не обогащён</t>
        </is>
      </c>
      <c r="U4682" s="35" t="inlineStr">
        <is>
          <t>Нет ОКВЭД/ССЧР</t>
        </is>
      </c>
      <c r="V4682" s="35" t="inlineStr">
        <is>
          <t>Не определено</t>
        </is>
      </c>
      <c r="W4682" s="35" t="inlineStr"/>
      <c r="X4682" s="35" t="inlineStr"/>
    </row>
    <row r="4683" ht="54.75" customHeight="1" s="24">
      <c r="A4683" s="13" t="n">
        <v>5000089263</v>
      </c>
      <c r="B4683" s="13" t="inlineStr">
        <is>
          <t>Краевое государственное общеобразовательное бюджетное учреждение "Специальная (коррекционная) общеобразовательная школа-интернат III-IV видов"</t>
        </is>
      </c>
      <c r="C4683" s="13" t="n">
        <v>2502018157</v>
      </c>
      <c r="D4683" s="13" t="inlineStr">
        <is>
          <t>2502018157</t>
        </is>
      </c>
      <c r="E4683" s="13" t="inlineStr">
        <is>
          <t>ЮЛ РФ</t>
        </is>
      </c>
      <c r="F4683" s="13" t="n"/>
      <c r="G4683" s="14" t="n"/>
      <c r="H4683" s="14" t="n"/>
      <c r="I4683" s="14" t="n"/>
      <c r="J4683" s="14" t="n"/>
      <c r="K4683" s="53" t="inlineStr"/>
      <c r="L4683" s="53" t="inlineStr">
        <is>
          <t>Не определено</t>
        </is>
      </c>
      <c r="M4683" s="53" t="inlineStr"/>
      <c r="N4683" s="54" t="inlineStr"/>
      <c r="O4683" s="55" t="inlineStr"/>
      <c r="P4683" s="16" t="inlineStr">
        <is>
          <t>Требует обогащения</t>
        </is>
      </c>
      <c r="Q4683" s="16">
        <f>HYPERLINK("https://pb.nalog.ru/search.html?query=2502018157","ФНС: проверить")</f>
        <v/>
      </c>
      <c r="R4683" s="16">
        <f>HYPERLINK("https://checko.ru/search?query=3801001629","Чекко: проверить")</f>
        <v/>
      </c>
      <c r="S4683" t="n">
        <v>1</v>
      </c>
      <c r="T4683" s="35" t="inlineStr">
        <is>
          <t>4 — Не обогащён</t>
        </is>
      </c>
      <c r="U4683" s="35" t="inlineStr">
        <is>
          <t>Нет ОКВЭД/ССЧР</t>
        </is>
      </c>
      <c r="V4683" s="35" t="inlineStr">
        <is>
          <t>Не определено</t>
        </is>
      </c>
      <c r="W4683" s="35" t="inlineStr"/>
      <c r="X4683" s="35" t="inlineStr"/>
    </row>
    <row r="4684" ht="54.75" customHeight="1" s="24">
      <c r="A4684" s="13" t="n">
        <v>5000089264</v>
      </c>
      <c r="B4684" s="13" t="inlineStr">
        <is>
          <t>Краевое государственное общеобразовательное бюджетное учреждение "Уссурийская специальная (коррекционная) общеобразовательная школа"</t>
        </is>
      </c>
      <c r="C4684" s="13" t="n">
        <v>2511008028</v>
      </c>
      <c r="D4684" s="13" t="inlineStr">
        <is>
          <t>2511008028</t>
        </is>
      </c>
      <c r="E4684" s="13" t="inlineStr">
        <is>
          <t>ЮЛ РФ</t>
        </is>
      </c>
      <c r="F4684" s="13" t="n"/>
      <c r="G4684" s="14" t="n"/>
      <c r="H4684" s="14" t="n"/>
      <c r="I4684" s="14" t="n"/>
      <c r="J4684" s="14" t="n"/>
      <c r="K4684" s="53" t="inlineStr"/>
      <c r="L4684" s="53" t="inlineStr">
        <is>
          <t>Не определено</t>
        </is>
      </c>
      <c r="M4684" s="53" t="inlineStr"/>
      <c r="N4684" s="54" t="inlineStr"/>
      <c r="O4684" s="55" t="inlineStr"/>
      <c r="P4684" s="16" t="inlineStr">
        <is>
          <t>Требует обогащения</t>
        </is>
      </c>
      <c r="Q4684" s="16">
        <f>HYPERLINK("https://pb.nalog.ru/search.html?query=2511008028","ФНС: проверить")</f>
        <v/>
      </c>
      <c r="R4684" s="16">
        <f>HYPERLINK("https://checko.ru/search?query=3801001629","Чекко: проверить")</f>
        <v/>
      </c>
      <c r="S4684" t="n">
        <v>1</v>
      </c>
      <c r="T4684" s="35" t="inlineStr">
        <is>
          <t>4 — Не обогащён</t>
        </is>
      </c>
      <c r="U4684" s="35" t="inlineStr">
        <is>
          <t>Нет ОКВЭД/ССЧР</t>
        </is>
      </c>
      <c r="V4684" s="35" t="inlineStr">
        <is>
          <t>Не определено</t>
        </is>
      </c>
      <c r="W4684" s="35" t="inlineStr"/>
      <c r="X4684" s="35" t="inlineStr"/>
    </row>
    <row r="4685" ht="54.75" customHeight="1" s="24">
      <c r="A4685" s="13" t="n">
        <v>5000089268</v>
      </c>
      <c r="B4685" s="13" t="inlineStr">
        <is>
          <t>Краевое государственное общеобразовательное бюджетное учреждение "Раздольненская специальная (коррекционная) общеобразовательная школа-интернат"</t>
        </is>
      </c>
      <c r="C4685" s="13" t="n">
        <v>2521005266</v>
      </c>
      <c r="D4685" s="13" t="inlineStr">
        <is>
          <t>2521005266</t>
        </is>
      </c>
      <c r="E4685" s="13" t="inlineStr">
        <is>
          <t>ЮЛ РФ</t>
        </is>
      </c>
      <c r="F4685" s="13" t="n"/>
      <c r="G4685" s="14" t="n"/>
      <c r="H4685" s="14" t="n"/>
      <c r="I4685" s="14" t="n"/>
      <c r="J4685" s="14" t="n"/>
      <c r="K4685" s="53" t="inlineStr"/>
      <c r="L4685" s="53" t="inlineStr">
        <is>
          <t>Не определено</t>
        </is>
      </c>
      <c r="M4685" s="53" t="inlineStr"/>
      <c r="N4685" s="54" t="inlineStr"/>
      <c r="O4685" s="55" t="inlineStr"/>
      <c r="P4685" s="16" t="inlineStr">
        <is>
          <t>Требует обогащения</t>
        </is>
      </c>
      <c r="Q4685" s="16">
        <f>HYPERLINK("https://pb.nalog.ru/search.html?query=2521005266","ФНС: проверить")</f>
        <v/>
      </c>
      <c r="R4685" s="16">
        <f>HYPERLINK("https://checko.ru/search?query=3801001629","Чекко: проверить")</f>
        <v/>
      </c>
      <c r="S4685" t="n">
        <v>1</v>
      </c>
      <c r="T4685" s="35" t="inlineStr">
        <is>
          <t>4 — Не обогащён</t>
        </is>
      </c>
      <c r="U4685" s="35" t="inlineStr">
        <is>
          <t>Нет ОКВЭД/ССЧР</t>
        </is>
      </c>
      <c r="V4685" s="35" t="inlineStr">
        <is>
          <t>Не определено</t>
        </is>
      </c>
      <c r="W4685" s="35" t="inlineStr"/>
      <c r="X4685" s="35" t="inlineStr"/>
    </row>
    <row r="4686" ht="54.75" customHeight="1" s="24">
      <c r="A4686" s="13" t="n">
        <v>5000089277</v>
      </c>
      <c r="B4686" s="13" t="inlineStr">
        <is>
          <t>Краевое государственное общеобразовательное бюджетное учреждение "Черниговская специальная (коррекционная) общеобразовательная школа-интернат"</t>
        </is>
      </c>
      <c r="C4686" s="13" t="n">
        <v>2533008141</v>
      </c>
      <c r="D4686" s="13" t="inlineStr">
        <is>
          <t>2533008141</t>
        </is>
      </c>
      <c r="E4686" s="13" t="inlineStr">
        <is>
          <t>ЮЛ РФ</t>
        </is>
      </c>
      <c r="F4686" s="13" t="n"/>
      <c r="G4686" s="14" t="n"/>
      <c r="H4686" s="14" t="n"/>
      <c r="I4686" s="14" t="n"/>
      <c r="J4686" s="14" t="n"/>
      <c r="K4686" s="53" t="inlineStr"/>
      <c r="L4686" s="53" t="inlineStr">
        <is>
          <t>Не определено</t>
        </is>
      </c>
      <c r="M4686" s="53" t="inlineStr"/>
      <c r="N4686" s="54" t="inlineStr"/>
      <c r="O4686" s="55" t="inlineStr"/>
      <c r="P4686" s="16" t="inlineStr">
        <is>
          <t>Требует обогащения</t>
        </is>
      </c>
      <c r="Q4686" s="16">
        <f>HYPERLINK("https://pb.nalog.ru/search.html?query=2533008141","ФНС: проверить")</f>
        <v/>
      </c>
      <c r="R4686" s="16">
        <f>HYPERLINK("https://checko.ru/search?query=3801001629","Чекко: проверить")</f>
        <v/>
      </c>
      <c r="S4686" t="n">
        <v>1</v>
      </c>
      <c r="T4686" s="35" t="inlineStr">
        <is>
          <t>4 — Не обогащён</t>
        </is>
      </c>
      <c r="U4686" s="35" t="inlineStr">
        <is>
          <t>Нет ОКВЭД/ССЧР</t>
        </is>
      </c>
      <c r="V4686" s="35" t="inlineStr">
        <is>
          <t>Не определено</t>
        </is>
      </c>
      <c r="W4686" s="35" t="inlineStr"/>
      <c r="X4686" s="35" t="inlineStr"/>
    </row>
    <row r="4687" ht="54.75" customHeight="1" s="24">
      <c r="A4687" s="13" t="n">
        <v>5000089286</v>
      </c>
      <c r="B4687" s="13" t="inlineStr">
        <is>
          <t>Краевое государственное общеобразовательное бюджетное учреждение "Шкотовская специальная (коррекционная) общеобразовательная школа-интернат"</t>
        </is>
      </c>
      <c r="C4687" s="13" t="n">
        <v>2503020871</v>
      </c>
      <c r="D4687" s="13" t="inlineStr">
        <is>
          <t>2503020871</t>
        </is>
      </c>
      <c r="E4687" s="13" t="inlineStr">
        <is>
          <t>ЮЛ РФ</t>
        </is>
      </c>
      <c r="F4687" s="13" t="n"/>
      <c r="G4687" s="14" t="n"/>
      <c r="H4687" s="14" t="n"/>
      <c r="I4687" s="14" t="n"/>
      <c r="J4687" s="14" t="n"/>
      <c r="K4687" s="53" t="inlineStr"/>
      <c r="L4687" s="53" t="inlineStr">
        <is>
          <t>Не определено</t>
        </is>
      </c>
      <c r="M4687" s="53" t="inlineStr"/>
      <c r="N4687" s="54" t="inlineStr"/>
      <c r="O4687" s="55" t="inlineStr"/>
      <c r="P4687" s="16" t="inlineStr">
        <is>
          <t>Требует обогащения</t>
        </is>
      </c>
      <c r="Q4687" s="16">
        <f>HYPERLINK("https://pb.nalog.ru/search.html?query=2503020871","ФНС: проверить")</f>
        <v/>
      </c>
      <c r="R4687" s="16">
        <f>HYPERLINK("https://checko.ru/search?query=3801001629","Чекко: проверить")</f>
        <v/>
      </c>
      <c r="S4687" t="n">
        <v>1</v>
      </c>
      <c r="T4687" s="35" t="inlineStr">
        <is>
          <t>4 — Не обогащён</t>
        </is>
      </c>
      <c r="U4687" s="35" t="inlineStr">
        <is>
          <t>Нет ОКВЭД/ССЧР</t>
        </is>
      </c>
      <c r="V4687" s="35" t="inlineStr">
        <is>
          <t>Не определено</t>
        </is>
      </c>
      <c r="W4687" s="35" t="inlineStr"/>
      <c r="X4687" s="35" t="inlineStr"/>
    </row>
    <row r="4688" ht="54.75" customHeight="1" s="24">
      <c r="A4688" s="13" t="n">
        <v>5000089287</v>
      </c>
      <c r="B4688" s="13" t="inlineStr">
        <is>
          <t>Краевое государственное общеобразовательное бюджетное учреждение "Специальная (коррекционная) школа-интернат для детей-сирот и детей, оставшихся без п</t>
        </is>
      </c>
      <c r="C4688" s="13" t="n">
        <v>2508063325</v>
      </c>
      <c r="D4688" s="13" t="inlineStr">
        <is>
          <t>2508063325</t>
        </is>
      </c>
      <c r="E4688" s="13" t="inlineStr">
        <is>
          <t>ЮЛ РФ</t>
        </is>
      </c>
      <c r="F4688" s="13" t="n"/>
      <c r="G4688" s="14" t="n"/>
      <c r="H4688" s="14" t="n"/>
      <c r="I4688" s="14" t="n"/>
      <c r="J4688" s="14" t="n"/>
      <c r="K4688" s="53" t="inlineStr"/>
      <c r="L4688" s="53" t="inlineStr">
        <is>
          <t>Не определено</t>
        </is>
      </c>
      <c r="M4688" s="53" t="inlineStr"/>
      <c r="N4688" s="54" t="inlineStr"/>
      <c r="O4688" s="55" t="inlineStr"/>
      <c r="P4688" s="16" t="inlineStr">
        <is>
          <t>Требует обогащения</t>
        </is>
      </c>
      <c r="Q4688" s="16">
        <f>HYPERLINK("https://pb.nalog.ru/search.html?query=2508063325","ФНС: проверить")</f>
        <v/>
      </c>
      <c r="R4688" s="16">
        <f>HYPERLINK("https://checko.ru/search?query=3801001629","Чекко: проверить")</f>
        <v/>
      </c>
      <c r="S4688" t="n">
        <v>1</v>
      </c>
      <c r="T4688" s="35" t="inlineStr">
        <is>
          <t>4 — Не обогащён</t>
        </is>
      </c>
      <c r="U4688" s="35" t="inlineStr">
        <is>
          <t>Нет ОКВЭД/ССЧР</t>
        </is>
      </c>
      <c r="V4688" s="35" t="inlineStr">
        <is>
          <t>Не определено</t>
        </is>
      </c>
      <c r="W4688" s="35" t="inlineStr"/>
      <c r="X4688" s="35" t="inlineStr"/>
    </row>
    <row r="4689" ht="54.75" customHeight="1" s="24">
      <c r="A4689" s="13" t="n">
        <v>5000089295</v>
      </c>
      <c r="B4689" s="13" t="inlineStr">
        <is>
          <t>Краевое государственное казенное учреждение "Центр содействия семейному устройству детей-сирот и детей, оставшихся без попечения родителей, г. Находки</t>
        </is>
      </c>
      <c r="C4689" s="13" t="n">
        <v>2508056261</v>
      </c>
      <c r="D4689" s="13" t="inlineStr">
        <is>
          <t>2508056261</t>
        </is>
      </c>
      <c r="E4689" s="13" t="inlineStr">
        <is>
          <t>ЮЛ РФ</t>
        </is>
      </c>
      <c r="F4689" s="13" t="n"/>
      <c r="G4689" s="14" t="n"/>
      <c r="H4689" s="14" t="n"/>
      <c r="I4689" s="14" t="n"/>
      <c r="J4689" s="14" t="n"/>
      <c r="K4689" s="53" t="inlineStr"/>
      <c r="L4689" s="53" t="inlineStr">
        <is>
          <t>Не определено</t>
        </is>
      </c>
      <c r="M4689" s="53" t="inlineStr"/>
      <c r="N4689" s="54" t="inlineStr"/>
      <c r="O4689" s="55" t="inlineStr"/>
      <c r="P4689" s="16" t="inlineStr">
        <is>
          <t>Требует обогащения</t>
        </is>
      </c>
      <c r="Q4689" s="16">
        <f>HYPERLINK("https://pb.nalog.ru/search.html?query=2508056261","ФНС: проверить")</f>
        <v/>
      </c>
      <c r="R4689" s="16">
        <f>HYPERLINK("https://checko.ru/search?query=3801001629","Чекко: проверить")</f>
        <v/>
      </c>
      <c r="S4689" t="n">
        <v>1</v>
      </c>
      <c r="T4689" s="35" t="inlineStr">
        <is>
          <t>4 — Не обогащён</t>
        </is>
      </c>
      <c r="U4689" s="35" t="inlineStr">
        <is>
          <t>Нет ОКВЭД/ССЧР</t>
        </is>
      </c>
      <c r="V4689" s="35" t="inlineStr">
        <is>
          <t>Не определено</t>
        </is>
      </c>
      <c r="W4689" s="35" t="inlineStr"/>
      <c r="X4689" s="35" t="inlineStr"/>
    </row>
    <row r="4690" ht="54.75" customHeight="1" s="24">
      <c r="A4690" s="13" t="n">
        <v>5000089296</v>
      </c>
      <c r="B4690" s="13" t="inlineStr">
        <is>
          <t>Краевое государственное казенное учреждение "Центр содействия семейному устройству детей-сирот и детей, оставшихся без попечения родителей, г. Партиза</t>
        </is>
      </c>
      <c r="C4690" s="13" t="n">
        <v>2509009708</v>
      </c>
      <c r="D4690" s="13" t="inlineStr">
        <is>
          <t>2509009708</t>
        </is>
      </c>
      <c r="E4690" s="13" t="inlineStr">
        <is>
          <t>ЮЛ РФ</t>
        </is>
      </c>
      <c r="F4690" s="13" t="n"/>
      <c r="G4690" s="14" t="n"/>
      <c r="H4690" s="14" t="n"/>
      <c r="I4690" s="14" t="n"/>
      <c r="J4690" s="14" t="n"/>
      <c r="K4690" s="53" t="inlineStr"/>
      <c r="L4690" s="53" t="inlineStr">
        <is>
          <t>Не определено</t>
        </is>
      </c>
      <c r="M4690" s="53" t="inlineStr"/>
      <c r="N4690" s="54" t="inlineStr"/>
      <c r="O4690" s="55" t="inlineStr"/>
      <c r="P4690" s="16" t="inlineStr">
        <is>
          <t>Требует обогащения</t>
        </is>
      </c>
      <c r="Q4690" s="16">
        <f>HYPERLINK("https://pb.nalog.ru/search.html?query=2509009708","ФНС: проверить")</f>
        <v/>
      </c>
      <c r="R4690" s="16">
        <f>HYPERLINK("https://checko.ru/search?query=3801001629","Чекко: проверить")</f>
        <v/>
      </c>
      <c r="S4690" t="n">
        <v>1</v>
      </c>
      <c r="T4690" s="35" t="inlineStr">
        <is>
          <t>4 — Не обогащён</t>
        </is>
      </c>
      <c r="U4690" s="35" t="inlineStr">
        <is>
          <t>Нет ОКВЭД/ССЧР</t>
        </is>
      </c>
      <c r="V4690" s="35" t="inlineStr">
        <is>
          <t>Не определено</t>
        </is>
      </c>
      <c r="W4690" s="35" t="inlineStr"/>
      <c r="X4690" s="35" t="inlineStr"/>
    </row>
    <row r="4691" ht="41.25" customHeight="1" s="24">
      <c r="A4691" s="13" t="n">
        <v>5000090561</v>
      </c>
      <c r="B4691" s="13" t="inlineStr">
        <is>
          <t>КОНТРОЛЬНО-ёЧЕТНАЯ ПАЛАТА МУНИЦИПАЛЬНОГО ОБРАЗОВАНИЯ ГОРОДСКОЙ ОКРУГ ”СМИРНЫХОВСКИЙ”</t>
        </is>
      </c>
      <c r="C4691" s="13" t="n">
        <v>6500003360</v>
      </c>
      <c r="D4691" s="13" t="inlineStr">
        <is>
          <t>6500003360</t>
        </is>
      </c>
      <c r="E4691" s="13" t="inlineStr">
        <is>
          <t>ЮЛ РФ</t>
        </is>
      </c>
      <c r="F4691" s="13" t="n"/>
      <c r="G4691" s="14" t="n"/>
      <c r="H4691" s="14" t="n"/>
      <c r="I4691" s="14" t="n"/>
      <c r="J4691" s="14" t="n"/>
      <c r="K4691" s="53" t="inlineStr"/>
      <c r="L4691" s="53" t="inlineStr">
        <is>
          <t>Не определено</t>
        </is>
      </c>
      <c r="M4691" s="53" t="inlineStr"/>
      <c r="N4691" s="54" t="inlineStr"/>
      <c r="O4691" s="55" t="inlineStr"/>
      <c r="P4691" s="16" t="inlineStr">
        <is>
          <t>Требует обогащения</t>
        </is>
      </c>
      <c r="Q4691" s="16">
        <f>HYPERLINK("https://pb.nalog.ru/search.html?query=6500003360","ФНС: проверить")</f>
        <v/>
      </c>
      <c r="R4691" s="16">
        <f>HYPERLINK("https://checko.ru/search?query=3801001629","Чекко: проверить")</f>
        <v/>
      </c>
      <c r="S4691" t="n">
        <v>1</v>
      </c>
      <c r="T4691" s="35" t="inlineStr">
        <is>
          <t>4 — Не обогащён</t>
        </is>
      </c>
      <c r="U4691" s="35" t="inlineStr">
        <is>
          <t>Нет ОКВЭД/ССЧР</t>
        </is>
      </c>
      <c r="V4691" s="35" t="inlineStr">
        <is>
          <t>Не определено</t>
        </is>
      </c>
      <c r="W4691" s="35" t="inlineStr"/>
      <c r="X4691" s="35" t="inlineStr"/>
    </row>
    <row r="4692" ht="15" customHeight="1" s="24">
      <c r="A4692" s="13" t="n">
        <v>5000090703</v>
      </c>
      <c r="B4692" s="13" t="inlineStr">
        <is>
          <t>МКУ "ЦБУО" МО "ХОЛМСКИЙ ГОРОДСКОЙ ОКРУГ"</t>
        </is>
      </c>
      <c r="C4692" s="13" t="n">
        <v>6509022431</v>
      </c>
      <c r="D4692" s="13" t="inlineStr">
        <is>
          <t>6509022431</t>
        </is>
      </c>
      <c r="E4692" s="13" t="inlineStr">
        <is>
          <t>ЮЛ РФ</t>
        </is>
      </c>
      <c r="F4692" s="13" t="n"/>
      <c r="G4692" s="14" t="n"/>
      <c r="H4692" s="14" t="n"/>
      <c r="I4692" s="14" t="n"/>
      <c r="J4692" s="14" t="n"/>
      <c r="K4692" s="53" t="inlineStr"/>
      <c r="L4692" s="53" t="inlineStr">
        <is>
          <t>Не определено</t>
        </is>
      </c>
      <c r="M4692" s="53" t="inlineStr"/>
      <c r="N4692" s="54" t="inlineStr"/>
      <c r="O4692" s="55" t="inlineStr"/>
      <c r="P4692" s="16" t="inlineStr">
        <is>
          <t>Требует обогащения</t>
        </is>
      </c>
      <c r="Q4692" s="16">
        <f>HYPERLINK("https://pb.nalog.ru/search.html?query=6509022431","ФНС: проверить")</f>
        <v/>
      </c>
      <c r="R4692" s="16">
        <f>HYPERLINK("https://checko.ru/search?query=3801001629","Чекко: проверить")</f>
        <v/>
      </c>
      <c r="S4692" t="n">
        <v>1</v>
      </c>
      <c r="T4692" s="35" t="inlineStr">
        <is>
          <t>4 — Не обогащён</t>
        </is>
      </c>
      <c r="U4692" s="35" t="inlineStr">
        <is>
          <t>Нет ОКВЭД/ССЧР</t>
        </is>
      </c>
      <c r="V4692" s="35" t="inlineStr">
        <is>
          <t>Не определено</t>
        </is>
      </c>
      <c r="W4692" s="35" t="inlineStr"/>
      <c r="X4692" s="35" t="inlineStr"/>
    </row>
    <row r="4693" ht="15" customHeight="1" s="24">
      <c r="A4693" s="13" t="n">
        <v>5000090705</v>
      </c>
      <c r="B4693" s="13" t="inlineStr">
        <is>
          <t>МБДОУ № 1 "Солнышко"</t>
        </is>
      </c>
      <c r="C4693" s="13" t="n">
        <v>6509007070</v>
      </c>
      <c r="D4693" s="13" t="inlineStr">
        <is>
          <t>6509007070</t>
        </is>
      </c>
      <c r="E4693" s="13" t="inlineStr">
        <is>
          <t>ЮЛ РФ</t>
        </is>
      </c>
      <c r="F4693" s="13" t="n"/>
      <c r="G4693" s="14" t="n"/>
      <c r="H4693" s="14" t="n"/>
      <c r="I4693" s="14" t="n"/>
      <c r="J4693" s="14" t="n"/>
      <c r="K4693" s="53" t="inlineStr"/>
      <c r="L4693" s="53" t="inlineStr">
        <is>
          <t>Не определено</t>
        </is>
      </c>
      <c r="M4693" s="53" t="inlineStr"/>
      <c r="N4693" s="54" t="inlineStr"/>
      <c r="O4693" s="55" t="inlineStr"/>
      <c r="P4693" s="16" t="inlineStr">
        <is>
          <t>Требует обогащения</t>
        </is>
      </c>
      <c r="Q4693" s="16">
        <f>HYPERLINK("https://pb.nalog.ru/search.html?query=6509007070","ФНС: проверить")</f>
        <v/>
      </c>
      <c r="R4693" s="16">
        <f>HYPERLINK("https://checko.ru/search?query=3801001629","Чекко: проверить")</f>
        <v/>
      </c>
      <c r="S4693" t="n">
        <v>1</v>
      </c>
      <c r="T4693" s="35" t="inlineStr">
        <is>
          <t>4 — Не обогащён</t>
        </is>
      </c>
      <c r="U4693" s="35" t="inlineStr">
        <is>
          <t>Нет ОКВЭД/ССЧР</t>
        </is>
      </c>
      <c r="V4693" s="35" t="inlineStr">
        <is>
          <t>Не определено</t>
        </is>
      </c>
      <c r="W4693" s="35" t="inlineStr"/>
      <c r="X4693" s="35" t="inlineStr"/>
    </row>
    <row r="4694" ht="15" customHeight="1" s="24">
      <c r="A4694" s="13" t="n">
        <v>5000090706</v>
      </c>
      <c r="B4694" s="13" t="inlineStr">
        <is>
          <t>МБДОУ детский сад "Золушка" г. Холмска</t>
        </is>
      </c>
      <c r="C4694" s="13" t="n">
        <v>6509007730</v>
      </c>
      <c r="D4694" s="13" t="inlineStr">
        <is>
          <t>6509007730</t>
        </is>
      </c>
      <c r="E4694" s="13" t="inlineStr">
        <is>
          <t>ЮЛ РФ</t>
        </is>
      </c>
      <c r="F4694" s="13" t="n"/>
      <c r="G4694" s="14" t="n"/>
      <c r="H4694" s="14" t="n"/>
      <c r="I4694" s="14" t="n"/>
      <c r="J4694" s="14" t="n"/>
      <c r="K4694" s="53" t="inlineStr"/>
      <c r="L4694" s="53" t="inlineStr">
        <is>
          <t>Не определено</t>
        </is>
      </c>
      <c r="M4694" s="53" t="inlineStr"/>
      <c r="N4694" s="54" t="inlineStr"/>
      <c r="O4694" s="55" t="inlineStr"/>
      <c r="P4694" s="16" t="inlineStr">
        <is>
          <t>Требует обогащения</t>
        </is>
      </c>
      <c r="Q4694" s="16">
        <f>HYPERLINK("https://pb.nalog.ru/search.html?query=6509007730","ФНС: проверить")</f>
        <v/>
      </c>
      <c r="R4694" s="16">
        <f>HYPERLINK("https://checko.ru/search?query=3801001629","Чекко: проверить")</f>
        <v/>
      </c>
      <c r="S4694" t="n">
        <v>1</v>
      </c>
      <c r="T4694" s="35" t="inlineStr">
        <is>
          <t>4 — Не обогащён</t>
        </is>
      </c>
      <c r="U4694" s="35" t="inlineStr">
        <is>
          <t>Нет ОКВЭД/ССЧР</t>
        </is>
      </c>
      <c r="V4694" s="35" t="inlineStr">
        <is>
          <t>Не определено</t>
        </is>
      </c>
      <c r="W4694" s="35" t="inlineStr"/>
      <c r="X4694" s="35" t="inlineStr"/>
    </row>
    <row r="4695" ht="15" customHeight="1" s="24">
      <c r="A4695" s="13" t="n">
        <v>5000090707</v>
      </c>
      <c r="B4695" s="13" t="inlineStr">
        <is>
          <t>МБДОУ "Теремок" Холмск</t>
        </is>
      </c>
      <c r="C4695" s="13" t="n">
        <v>6509007722</v>
      </c>
      <c r="D4695" s="13" t="inlineStr">
        <is>
          <t>6509007722</t>
        </is>
      </c>
      <c r="E4695" s="13" t="inlineStr">
        <is>
          <t>ЮЛ РФ</t>
        </is>
      </c>
      <c r="F4695" s="13" t="n"/>
      <c r="G4695" s="14" t="n"/>
      <c r="H4695" s="14" t="n"/>
      <c r="I4695" s="14" t="n"/>
      <c r="J4695" s="14" t="n"/>
      <c r="K4695" s="53" t="inlineStr"/>
      <c r="L4695" s="53" t="inlineStr">
        <is>
          <t>Не определено</t>
        </is>
      </c>
      <c r="M4695" s="53" t="inlineStr"/>
      <c r="N4695" s="54" t="inlineStr"/>
      <c r="O4695" s="55" t="inlineStr"/>
      <c r="P4695" s="16" t="inlineStr">
        <is>
          <t>Требует обогащения</t>
        </is>
      </c>
      <c r="Q4695" s="16">
        <f>HYPERLINK("https://pb.nalog.ru/search.html?query=6509007722","ФНС: проверить")</f>
        <v/>
      </c>
      <c r="R4695" s="16">
        <f>HYPERLINK("https://checko.ru/search?query=3801001629","Чекко: проверить")</f>
        <v/>
      </c>
      <c r="S4695" t="n">
        <v>1</v>
      </c>
      <c r="T4695" s="35" t="inlineStr">
        <is>
          <t>4 — Не обогащён</t>
        </is>
      </c>
      <c r="U4695" s="35" t="inlineStr">
        <is>
          <t>Нет ОКВЭД/ССЧР</t>
        </is>
      </c>
      <c r="V4695" s="35" t="inlineStr">
        <is>
          <t>Не определено</t>
        </is>
      </c>
      <c r="W4695" s="35" t="inlineStr"/>
      <c r="X4695" s="35" t="inlineStr"/>
    </row>
    <row r="4696" ht="15" customHeight="1" s="24">
      <c r="A4696" s="13" t="n">
        <v>5000090708</v>
      </c>
      <c r="B4696" s="13" t="inlineStr">
        <is>
          <t>МБДОУ № 2 "Сказка"</t>
        </is>
      </c>
      <c r="C4696" s="13" t="n">
        <v>6509007151</v>
      </c>
      <c r="D4696" s="13" t="inlineStr">
        <is>
          <t>6509007151</t>
        </is>
      </c>
      <c r="E4696" s="13" t="inlineStr">
        <is>
          <t>ЮЛ РФ</t>
        </is>
      </c>
      <c r="F4696" s="13" t="n"/>
      <c r="G4696" s="14" t="n"/>
      <c r="H4696" s="14" t="n"/>
      <c r="I4696" s="14" t="n"/>
      <c r="J4696" s="14" t="n"/>
      <c r="K4696" s="53" t="inlineStr"/>
      <c r="L4696" s="53" t="inlineStr">
        <is>
          <t>Не определено</t>
        </is>
      </c>
      <c r="M4696" s="53" t="inlineStr"/>
      <c r="N4696" s="54" t="inlineStr"/>
      <c r="O4696" s="55" t="inlineStr"/>
      <c r="P4696" s="16" t="inlineStr">
        <is>
          <t>Требует обогащения</t>
        </is>
      </c>
      <c r="Q4696" s="16">
        <f>HYPERLINK("https://pb.nalog.ru/search.html?query=6509007151","ФНС: проверить")</f>
        <v/>
      </c>
      <c r="R4696" s="16">
        <f>HYPERLINK("https://checko.ru/search?query=3801001629","Чекко: проверить")</f>
        <v/>
      </c>
      <c r="S4696" t="n">
        <v>1</v>
      </c>
      <c r="T4696" s="35" t="inlineStr">
        <is>
          <t>4 — Не обогащён</t>
        </is>
      </c>
      <c r="U4696" s="35" t="inlineStr">
        <is>
          <t>Нет ОКВЭД/ССЧР</t>
        </is>
      </c>
      <c r="V4696" s="35" t="inlineStr">
        <is>
          <t>Не определено</t>
        </is>
      </c>
      <c r="W4696" s="35" t="inlineStr"/>
      <c r="X4696" s="35" t="inlineStr"/>
    </row>
    <row r="4697" ht="15" customHeight="1" s="24">
      <c r="A4697" s="13" t="n">
        <v>5000090709</v>
      </c>
      <c r="B4697" s="13" t="inlineStr">
        <is>
          <t>МБДОУ № 20 "Аленушка"</t>
        </is>
      </c>
      <c r="C4697" s="13" t="n">
        <v>6509007095</v>
      </c>
      <c r="D4697" s="13" t="inlineStr">
        <is>
          <t>6509007095</t>
        </is>
      </c>
      <c r="E4697" s="13" t="inlineStr">
        <is>
          <t>ЮЛ РФ</t>
        </is>
      </c>
      <c r="F4697" s="13" t="n"/>
      <c r="G4697" s="14" t="n"/>
      <c r="H4697" s="14" t="n"/>
      <c r="I4697" s="14" t="n"/>
      <c r="J4697" s="14" t="n"/>
      <c r="K4697" s="53" t="inlineStr"/>
      <c r="L4697" s="53" t="inlineStr">
        <is>
          <t>Не определено</t>
        </is>
      </c>
      <c r="M4697" s="53" t="inlineStr"/>
      <c r="N4697" s="54" t="inlineStr"/>
      <c r="O4697" s="55" t="inlineStr"/>
      <c r="P4697" s="16" t="inlineStr">
        <is>
          <t>Требует обогащения</t>
        </is>
      </c>
      <c r="Q4697" s="16">
        <f>HYPERLINK("https://pb.nalog.ru/search.html?query=6509007095","ФНС: проверить")</f>
        <v/>
      </c>
      <c r="R4697" s="16">
        <f>HYPERLINK("https://checko.ru/search?query=3801001629","Чекко: проверить")</f>
        <v/>
      </c>
      <c r="S4697" t="n">
        <v>1</v>
      </c>
      <c r="T4697" s="35" t="inlineStr">
        <is>
          <t>4 — Не обогащён</t>
        </is>
      </c>
      <c r="U4697" s="35" t="inlineStr">
        <is>
          <t>Нет ОКВЭД/ССЧР</t>
        </is>
      </c>
      <c r="V4697" s="35" t="inlineStr">
        <is>
          <t>Не определено</t>
        </is>
      </c>
      <c r="W4697" s="35" t="inlineStr"/>
      <c r="X4697" s="35" t="inlineStr"/>
    </row>
    <row r="4698" ht="15" customHeight="1" s="24">
      <c r="A4698" s="13" t="n">
        <v>5000090710</v>
      </c>
      <c r="B4698" s="13" t="inlineStr">
        <is>
          <t>МБДОУ № 28 "Рябинка"</t>
        </is>
      </c>
      <c r="C4698" s="13" t="n">
        <v>6509007105</v>
      </c>
      <c r="D4698" s="13" t="inlineStr">
        <is>
          <t>6509007105</t>
        </is>
      </c>
      <c r="E4698" s="13" t="inlineStr">
        <is>
          <t>ЮЛ РФ</t>
        </is>
      </c>
      <c r="F4698" s="13" t="n"/>
      <c r="G4698" s="14" t="n"/>
      <c r="H4698" s="14" t="n"/>
      <c r="I4698" s="14" t="n"/>
      <c r="J4698" s="14" t="n"/>
      <c r="K4698" s="53" t="inlineStr"/>
      <c r="L4698" s="53" t="inlineStr">
        <is>
          <t>Не определено</t>
        </is>
      </c>
      <c r="M4698" s="53" t="inlineStr"/>
      <c r="N4698" s="54" t="inlineStr"/>
      <c r="O4698" s="55" t="inlineStr"/>
      <c r="P4698" s="16" t="inlineStr">
        <is>
          <t>Требует обогащения</t>
        </is>
      </c>
      <c r="Q4698" s="16">
        <f>HYPERLINK("https://pb.nalog.ru/search.html?query=6509007105","ФНС: проверить")</f>
        <v/>
      </c>
      <c r="R4698" s="16">
        <f>HYPERLINK("https://checko.ru/search?query=3801001629","Чекко: проверить")</f>
        <v/>
      </c>
      <c r="S4698" t="n">
        <v>1</v>
      </c>
      <c r="T4698" s="35" t="inlineStr">
        <is>
          <t>4 — Не обогащён</t>
        </is>
      </c>
      <c r="U4698" s="35" t="inlineStr">
        <is>
          <t>Нет ОКВЭД/ССЧР</t>
        </is>
      </c>
      <c r="V4698" s="35" t="inlineStr">
        <is>
          <t>Не определено</t>
        </is>
      </c>
      <c r="W4698" s="35" t="inlineStr"/>
      <c r="X4698" s="35" t="inlineStr"/>
    </row>
    <row r="4699" ht="15" customHeight="1" s="24">
      <c r="A4699" s="13" t="n">
        <v>5000090711</v>
      </c>
      <c r="B4699" s="13" t="inlineStr">
        <is>
          <t>МБДОУ № 3 "Родничок"</t>
        </is>
      </c>
      <c r="C4699" s="13" t="n">
        <v>6509017512</v>
      </c>
      <c r="D4699" s="13" t="inlineStr">
        <is>
          <t>6509017512</t>
        </is>
      </c>
      <c r="E4699" s="13" t="inlineStr">
        <is>
          <t>ЮЛ РФ</t>
        </is>
      </c>
      <c r="F4699" s="13" t="n"/>
      <c r="G4699" s="14" t="n"/>
      <c r="H4699" s="14" t="n"/>
      <c r="I4699" s="14" t="n"/>
      <c r="J4699" s="14" t="n"/>
      <c r="K4699" s="53" t="inlineStr"/>
      <c r="L4699" s="53" t="inlineStr">
        <is>
          <t>Не определено</t>
        </is>
      </c>
      <c r="M4699" s="53" t="inlineStr"/>
      <c r="N4699" s="54" t="inlineStr"/>
      <c r="O4699" s="55" t="inlineStr"/>
      <c r="P4699" s="16" t="inlineStr">
        <is>
          <t>Требует обогащения</t>
        </is>
      </c>
      <c r="Q4699" s="16">
        <f>HYPERLINK("https://pb.nalog.ru/search.html?query=6509017512","ФНС: проверить")</f>
        <v/>
      </c>
      <c r="R4699" s="16">
        <f>HYPERLINK("https://checko.ru/search?query=3801001629","Чекко: проверить")</f>
        <v/>
      </c>
      <c r="S4699" t="n">
        <v>1</v>
      </c>
      <c r="T4699" s="35" t="inlineStr">
        <is>
          <t>4 — Не обогащён</t>
        </is>
      </c>
      <c r="U4699" s="35" t="inlineStr">
        <is>
          <t>Нет ОКВЭД/ССЧР</t>
        </is>
      </c>
      <c r="V4699" s="35" t="inlineStr">
        <is>
          <t>Не определено</t>
        </is>
      </c>
      <c r="W4699" s="35" t="inlineStr"/>
      <c r="X4699" s="35" t="inlineStr"/>
    </row>
    <row r="4700" ht="15" customHeight="1" s="24">
      <c r="A4700" s="13" t="n">
        <v>5000090712</v>
      </c>
      <c r="B4700" s="13" t="inlineStr">
        <is>
          <t>МБДОУ № 32 "Ручеек"</t>
        </is>
      </c>
      <c r="C4700" s="13" t="n">
        <v>6509015064</v>
      </c>
      <c r="D4700" s="13" t="inlineStr">
        <is>
          <t>6509015064</t>
        </is>
      </c>
      <c r="E4700" s="13" t="inlineStr">
        <is>
          <t>ЮЛ РФ</t>
        </is>
      </c>
      <c r="F4700" s="13" t="n"/>
      <c r="G4700" s="14" t="n"/>
      <c r="H4700" s="14" t="n"/>
      <c r="I4700" s="14" t="n"/>
      <c r="J4700" s="14" t="n"/>
      <c r="K4700" s="53" t="inlineStr"/>
      <c r="L4700" s="53" t="inlineStr">
        <is>
          <t>Не определено</t>
        </is>
      </c>
      <c r="M4700" s="53" t="inlineStr"/>
      <c r="N4700" s="54" t="inlineStr"/>
      <c r="O4700" s="55" t="inlineStr"/>
      <c r="P4700" s="16" t="inlineStr">
        <is>
          <t>Требует обогащения</t>
        </is>
      </c>
      <c r="Q4700" s="16">
        <f>HYPERLINK("https://pb.nalog.ru/search.html?query=6509015064","ФНС: проверить")</f>
        <v/>
      </c>
      <c r="R4700" s="16">
        <f>HYPERLINK("https://checko.ru/search?query=3801001629","Чекко: проверить")</f>
        <v/>
      </c>
      <c r="S4700" t="n">
        <v>1</v>
      </c>
      <c r="T4700" s="35" t="inlineStr">
        <is>
          <t>4 — Не обогащён</t>
        </is>
      </c>
      <c r="U4700" s="35" t="inlineStr">
        <is>
          <t>Нет ОКВЭД/ССЧР</t>
        </is>
      </c>
      <c r="V4700" s="35" t="inlineStr">
        <is>
          <t>Не определено</t>
        </is>
      </c>
      <c r="W4700" s="35" t="inlineStr"/>
      <c r="X4700" s="35" t="inlineStr"/>
    </row>
    <row r="4701" ht="15" customHeight="1" s="24">
      <c r="A4701" s="13" t="n">
        <v>5000090713</v>
      </c>
      <c r="B4701" s="13" t="inlineStr">
        <is>
          <t>МБДОУ № 39 "Петушок"</t>
        </is>
      </c>
      <c r="C4701" s="13" t="n">
        <v>6509007747</v>
      </c>
      <c r="D4701" s="13" t="inlineStr">
        <is>
          <t>6509007747</t>
        </is>
      </c>
      <c r="E4701" s="13" t="inlineStr">
        <is>
          <t>ЮЛ РФ</t>
        </is>
      </c>
      <c r="F4701" s="13" t="n"/>
      <c r="G4701" s="14" t="n"/>
      <c r="H4701" s="14" t="n"/>
      <c r="I4701" s="14" t="n"/>
      <c r="J4701" s="14" t="n"/>
      <c r="K4701" s="53" t="inlineStr"/>
      <c r="L4701" s="53" t="inlineStr">
        <is>
          <t>Не определено</t>
        </is>
      </c>
      <c r="M4701" s="53" t="inlineStr"/>
      <c r="N4701" s="54" t="inlineStr"/>
      <c r="O4701" s="55" t="inlineStr"/>
      <c r="P4701" s="16" t="inlineStr">
        <is>
          <t>Требует обогащения</t>
        </is>
      </c>
      <c r="Q4701" s="16">
        <f>HYPERLINK("https://pb.nalog.ru/search.html?query=6509007747","ФНС: проверить")</f>
        <v/>
      </c>
      <c r="R4701" s="16">
        <f>HYPERLINK("https://checko.ru/search?query=3801001629","Чекко: проверить")</f>
        <v/>
      </c>
      <c r="S4701" t="n">
        <v>1</v>
      </c>
      <c r="T4701" s="35" t="inlineStr">
        <is>
          <t>4 — Не обогащён</t>
        </is>
      </c>
      <c r="U4701" s="35" t="inlineStr">
        <is>
          <t>Нет ОКВЭД/ССЧР</t>
        </is>
      </c>
      <c r="V4701" s="35" t="inlineStr">
        <is>
          <t>Не определено</t>
        </is>
      </c>
      <c r="W4701" s="35" t="inlineStr"/>
      <c r="X4701" s="35" t="inlineStr"/>
    </row>
    <row r="4702" ht="15" customHeight="1" s="24">
      <c r="A4702" s="13" t="n">
        <v>5000090714</v>
      </c>
      <c r="B4702" s="13" t="inlineStr">
        <is>
          <t>МБДОУ № 4 "Маячок"</t>
        </is>
      </c>
      <c r="C4702" s="13" t="n">
        <v>6509007088</v>
      </c>
      <c r="D4702" s="13" t="inlineStr">
        <is>
          <t>6509007088</t>
        </is>
      </c>
      <c r="E4702" s="13" t="inlineStr">
        <is>
          <t>ЮЛ РФ</t>
        </is>
      </c>
      <c r="F4702" s="13" t="n"/>
      <c r="G4702" s="14" t="n"/>
      <c r="H4702" s="14" t="n"/>
      <c r="I4702" s="14" t="n"/>
      <c r="J4702" s="14" t="n"/>
      <c r="K4702" s="53" t="inlineStr"/>
      <c r="L4702" s="53" t="inlineStr">
        <is>
          <t>Не определено</t>
        </is>
      </c>
      <c r="M4702" s="53" t="inlineStr"/>
      <c r="N4702" s="54" t="inlineStr"/>
      <c r="O4702" s="55" t="inlineStr"/>
      <c r="P4702" s="16" t="inlineStr">
        <is>
          <t>Требует обогащения</t>
        </is>
      </c>
      <c r="Q4702" s="16">
        <f>HYPERLINK("https://pb.nalog.ru/search.html?query=6509007088","ФНС: проверить")</f>
        <v/>
      </c>
      <c r="R4702" s="16">
        <f>HYPERLINK("https://checko.ru/search?query=3801001629","Чекко: проверить")</f>
        <v/>
      </c>
      <c r="S4702" t="n">
        <v>1</v>
      </c>
      <c r="T4702" s="35" t="inlineStr">
        <is>
          <t>4 — Не обогащён</t>
        </is>
      </c>
      <c r="U4702" s="35" t="inlineStr">
        <is>
          <t>Нет ОКВЭД/ССЧР</t>
        </is>
      </c>
      <c r="V4702" s="35" t="inlineStr">
        <is>
          <t>Не определено</t>
        </is>
      </c>
      <c r="W4702" s="35" t="inlineStr"/>
      <c r="X4702" s="35" t="inlineStr"/>
    </row>
    <row r="4703" ht="15" customHeight="1" s="24">
      <c r="A4703" s="13" t="n">
        <v>5000090715</v>
      </c>
      <c r="B4703" s="13" t="inlineStr">
        <is>
          <t>МБДОУ №5 "Радуга"</t>
        </is>
      </c>
      <c r="C4703" s="13" t="n">
        <v>6509021170</v>
      </c>
      <c r="D4703" s="13" t="inlineStr">
        <is>
          <t>6509021170</t>
        </is>
      </c>
      <c r="E4703" s="13" t="inlineStr">
        <is>
          <t>ЮЛ РФ</t>
        </is>
      </c>
      <c r="F4703" s="13" t="n"/>
      <c r="G4703" s="14" t="n"/>
      <c r="H4703" s="14" t="n"/>
      <c r="I4703" s="14" t="n"/>
      <c r="J4703" s="14" t="n"/>
      <c r="K4703" s="53" t="inlineStr"/>
      <c r="L4703" s="53" t="inlineStr">
        <is>
          <t>Не определено</t>
        </is>
      </c>
      <c r="M4703" s="53" t="inlineStr"/>
      <c r="N4703" s="54" t="inlineStr"/>
      <c r="O4703" s="55" t="inlineStr"/>
      <c r="P4703" s="16" t="inlineStr">
        <is>
          <t>Требует обогащения</t>
        </is>
      </c>
      <c r="Q4703" s="16">
        <f>HYPERLINK("https://pb.nalog.ru/search.html?query=6509021170","ФНС: проверить")</f>
        <v/>
      </c>
      <c r="R4703" s="16">
        <f>HYPERLINK("https://checko.ru/search?query=3801001629","Чекко: проверить")</f>
        <v/>
      </c>
      <c r="S4703" t="n">
        <v>1</v>
      </c>
      <c r="T4703" s="35" t="inlineStr">
        <is>
          <t>4 — Не обогащён</t>
        </is>
      </c>
      <c r="U4703" s="35" t="inlineStr">
        <is>
          <t>Нет ОКВЭД/ССЧР</t>
        </is>
      </c>
      <c r="V4703" s="35" t="inlineStr">
        <is>
          <t>Не определено</t>
        </is>
      </c>
      <c r="W4703" s="35" t="inlineStr"/>
      <c r="X4703" s="35" t="inlineStr"/>
    </row>
    <row r="4704" ht="15" customHeight="1" s="24">
      <c r="A4704" s="13" t="n">
        <v>5000090716</v>
      </c>
      <c r="B4704" s="13" t="inlineStr">
        <is>
          <t>МБДОУ № 6 "Ромашка"</t>
        </is>
      </c>
      <c r="C4704" s="13" t="n">
        <v>6509007120</v>
      </c>
      <c r="D4704" s="13" t="inlineStr">
        <is>
          <t>6509007120</t>
        </is>
      </c>
      <c r="E4704" s="13" t="inlineStr">
        <is>
          <t>ЮЛ РФ</t>
        </is>
      </c>
      <c r="F4704" s="13" t="n"/>
      <c r="G4704" s="14" t="n"/>
      <c r="H4704" s="14" t="n"/>
      <c r="I4704" s="14" t="n"/>
      <c r="J4704" s="14" t="n"/>
      <c r="K4704" s="53" t="inlineStr"/>
      <c r="L4704" s="53" t="inlineStr">
        <is>
          <t>Не определено</t>
        </is>
      </c>
      <c r="M4704" s="53" t="inlineStr"/>
      <c r="N4704" s="54" t="inlineStr"/>
      <c r="O4704" s="55" t="inlineStr"/>
      <c r="P4704" s="16" t="inlineStr">
        <is>
          <t>Требует обогащения</t>
        </is>
      </c>
      <c r="Q4704" s="16">
        <f>HYPERLINK("https://pb.nalog.ru/search.html?query=6509007120","ФНС: проверить")</f>
        <v/>
      </c>
      <c r="R4704" s="16">
        <f>HYPERLINK("https://checko.ru/search?query=3801001629","Чекко: проверить")</f>
        <v/>
      </c>
      <c r="S4704" t="n">
        <v>1</v>
      </c>
      <c r="T4704" s="35" t="inlineStr">
        <is>
          <t>4 — Не обогащён</t>
        </is>
      </c>
      <c r="U4704" s="35" t="inlineStr">
        <is>
          <t>Нет ОКВЭД/ССЧР</t>
        </is>
      </c>
      <c r="V4704" s="35" t="inlineStr">
        <is>
          <t>Не определено</t>
        </is>
      </c>
      <c r="W4704" s="35" t="inlineStr"/>
      <c r="X4704" s="35" t="inlineStr"/>
    </row>
    <row r="4705" ht="15" customHeight="1" s="24">
      <c r="A4705" s="13" t="n">
        <v>5000090717</v>
      </c>
      <c r="B4705" s="13" t="inlineStr">
        <is>
          <t>МБДОУ № 7 "Улыбка"</t>
        </is>
      </c>
      <c r="C4705" s="13" t="n">
        <v>6509022008</v>
      </c>
      <c r="D4705" s="13" t="inlineStr">
        <is>
          <t>6509022008</t>
        </is>
      </c>
      <c r="E4705" s="13" t="inlineStr">
        <is>
          <t>ЮЛ РФ</t>
        </is>
      </c>
      <c r="F4705" s="13" t="n"/>
      <c r="G4705" s="14" t="n"/>
      <c r="H4705" s="14" t="n"/>
      <c r="I4705" s="14" t="n"/>
      <c r="J4705" s="14" t="n"/>
      <c r="K4705" s="53" t="inlineStr"/>
      <c r="L4705" s="53" t="inlineStr">
        <is>
          <t>Не определено</t>
        </is>
      </c>
      <c r="M4705" s="53" t="inlineStr"/>
      <c r="N4705" s="54" t="inlineStr"/>
      <c r="O4705" s="55" t="inlineStr"/>
      <c r="P4705" s="16" t="inlineStr">
        <is>
          <t>Требует обогащения</t>
        </is>
      </c>
      <c r="Q4705" s="16">
        <f>HYPERLINK("https://pb.nalog.ru/search.html?query=6509022008","ФНС: проверить")</f>
        <v/>
      </c>
      <c r="R4705" s="16">
        <f>HYPERLINK("https://checko.ru/search?query=3801001629","Чекко: проверить")</f>
        <v/>
      </c>
      <c r="S4705" t="n">
        <v>1</v>
      </c>
      <c r="T4705" s="35" t="inlineStr">
        <is>
          <t>4 — Не обогащён</t>
        </is>
      </c>
      <c r="U4705" s="35" t="inlineStr">
        <is>
          <t>Нет ОКВЭД/ССЧР</t>
        </is>
      </c>
      <c r="V4705" s="35" t="inlineStr">
        <is>
          <t>Не определено</t>
        </is>
      </c>
      <c r="W4705" s="35" t="inlineStr"/>
      <c r="X4705" s="35" t="inlineStr"/>
    </row>
    <row r="4706" ht="15" customHeight="1" s="24">
      <c r="A4706" s="13" t="n">
        <v>5000090718</v>
      </c>
      <c r="B4706" s="13" t="inlineStr">
        <is>
          <t>МБДОУ детский сад № 8</t>
        </is>
      </c>
      <c r="C4706" s="13" t="n">
        <v>6509007112</v>
      </c>
      <c r="D4706" s="13" t="inlineStr">
        <is>
          <t>6509007112</t>
        </is>
      </c>
      <c r="E4706" s="13" t="inlineStr">
        <is>
          <t>ЮЛ РФ</t>
        </is>
      </c>
      <c r="F4706" s="13" t="n"/>
      <c r="G4706" s="14" t="n"/>
      <c r="H4706" s="14" t="n"/>
      <c r="I4706" s="14" t="n"/>
      <c r="J4706" s="14" t="n"/>
      <c r="K4706" s="53" t="inlineStr"/>
      <c r="L4706" s="53" t="inlineStr">
        <is>
          <t>Не определено</t>
        </is>
      </c>
      <c r="M4706" s="53" t="inlineStr"/>
      <c r="N4706" s="54" t="inlineStr"/>
      <c r="O4706" s="55" t="inlineStr"/>
      <c r="P4706" s="16" t="inlineStr">
        <is>
          <t>Требует обогащения</t>
        </is>
      </c>
      <c r="Q4706" s="16">
        <f>HYPERLINK("https://pb.nalog.ru/search.html?query=6509007112","ФНС: проверить")</f>
        <v/>
      </c>
      <c r="R4706" s="16">
        <f>HYPERLINK("https://checko.ru/search?query=3801001629","Чекко: проверить")</f>
        <v/>
      </c>
      <c r="S4706" t="n">
        <v>1</v>
      </c>
      <c r="T4706" s="35" t="inlineStr">
        <is>
          <t>4 — Не обогащён</t>
        </is>
      </c>
      <c r="U4706" s="35" t="inlineStr">
        <is>
          <t>Нет ОКВЭД/ССЧР</t>
        </is>
      </c>
      <c r="V4706" s="35" t="inlineStr">
        <is>
          <t>Не определено</t>
        </is>
      </c>
      <c r="W4706" s="35" t="inlineStr"/>
      <c r="X4706" s="35" t="inlineStr"/>
    </row>
    <row r="4707" ht="15" customHeight="1" s="24">
      <c r="A4707" s="13" t="n">
        <v>5000090719</v>
      </c>
      <c r="B4707" s="13" t="inlineStr">
        <is>
          <t>МБДОУ № 9 "Дружба"</t>
        </is>
      </c>
      <c r="C4707" s="13" t="n">
        <v>6509018516</v>
      </c>
      <c r="D4707" s="13" t="inlineStr">
        <is>
          <t>6509018516</t>
        </is>
      </c>
      <c r="E4707" s="13" t="inlineStr">
        <is>
          <t>ЮЛ РФ</t>
        </is>
      </c>
      <c r="F4707" s="13" t="n"/>
      <c r="G4707" s="14" t="n"/>
      <c r="H4707" s="14" t="n"/>
      <c r="I4707" s="14" t="n"/>
      <c r="J4707" s="14" t="n"/>
      <c r="K4707" s="53" t="inlineStr"/>
      <c r="L4707" s="53" t="inlineStr">
        <is>
          <t>Не определено</t>
        </is>
      </c>
      <c r="M4707" s="53" t="inlineStr"/>
      <c r="N4707" s="54" t="inlineStr"/>
      <c r="O4707" s="55" t="inlineStr"/>
      <c r="P4707" s="16" t="inlineStr">
        <is>
          <t>Требует обогащения</t>
        </is>
      </c>
      <c r="Q4707" s="16">
        <f>HYPERLINK("https://pb.nalog.ru/search.html?query=6509018516","ФНС: проверить")</f>
        <v/>
      </c>
      <c r="R4707" s="16">
        <f>HYPERLINK("https://checko.ru/search?query=3801001629","Чекко: проверить")</f>
        <v/>
      </c>
      <c r="S4707" t="n">
        <v>1</v>
      </c>
      <c r="T4707" s="35" t="inlineStr">
        <is>
          <t>4 — Не обогащён</t>
        </is>
      </c>
      <c r="U4707" s="35" t="inlineStr">
        <is>
          <t>Нет ОКВЭД/ССЧР</t>
        </is>
      </c>
      <c r="V4707" s="35" t="inlineStr">
        <is>
          <t>Не определено</t>
        </is>
      </c>
      <c r="W4707" s="35" t="inlineStr"/>
      <c r="X4707" s="35" t="inlineStr"/>
    </row>
    <row r="4708" ht="15" customHeight="1" s="24">
      <c r="A4708" s="13" t="n">
        <v>5000090720</v>
      </c>
      <c r="B4708" s="13" t="inlineStr">
        <is>
          <t>МБОУ ДО ДДТ г. Холмска</t>
        </is>
      </c>
      <c r="C4708" s="13" t="n">
        <v>6509007754</v>
      </c>
      <c r="D4708" s="13" t="inlineStr">
        <is>
          <t>6509007754</t>
        </is>
      </c>
      <c r="E4708" s="13" t="inlineStr">
        <is>
          <t>ЮЛ РФ</t>
        </is>
      </c>
      <c r="F4708" s="13" t="n"/>
      <c r="G4708" s="14" t="n"/>
      <c r="H4708" s="14" t="n"/>
      <c r="I4708" s="14" t="n"/>
      <c r="J4708" s="14" t="n"/>
      <c r="K4708" s="53" t="inlineStr"/>
      <c r="L4708" s="53" t="inlineStr">
        <is>
          <t>Не определено</t>
        </is>
      </c>
      <c r="M4708" s="53" t="inlineStr"/>
      <c r="N4708" s="54" t="inlineStr"/>
      <c r="O4708" s="55" t="inlineStr"/>
      <c r="P4708" s="16" t="inlineStr">
        <is>
          <t>Требует обогащения</t>
        </is>
      </c>
      <c r="Q4708" s="16">
        <f>HYPERLINK("https://pb.nalog.ru/search.html?query=6509007754","ФНС: проверить")</f>
        <v/>
      </c>
      <c r="R4708" s="16">
        <f>HYPERLINK("https://checko.ru/search?query=3801001629","Чекко: проверить")</f>
        <v/>
      </c>
      <c r="S4708" t="n">
        <v>1</v>
      </c>
      <c r="T4708" s="35" t="inlineStr">
        <is>
          <t>4 — Не обогащён</t>
        </is>
      </c>
      <c r="U4708" s="35" t="inlineStr">
        <is>
          <t>Нет ОКВЭД/ССЧР</t>
        </is>
      </c>
      <c r="V4708" s="35" t="inlineStr">
        <is>
          <t>Не определено</t>
        </is>
      </c>
      <c r="W4708" s="35" t="inlineStr"/>
      <c r="X4708" s="35" t="inlineStr"/>
    </row>
    <row r="4709" ht="15" customHeight="1" s="24">
      <c r="A4709" s="13" t="n">
        <v>5000090721</v>
      </c>
      <c r="B4709" s="13" t="inlineStr">
        <is>
          <t>МБУ ИМЦ СО</t>
        </is>
      </c>
      <c r="C4709" s="13" t="n">
        <v>6509008229</v>
      </c>
      <c r="D4709" s="13" t="inlineStr">
        <is>
          <t>6509008229</t>
        </is>
      </c>
      <c r="E4709" s="13" t="inlineStr">
        <is>
          <t>ЮЛ РФ</t>
        </is>
      </c>
      <c r="F4709" s="13" t="n"/>
      <c r="G4709" s="14" t="n"/>
      <c r="H4709" s="14" t="n"/>
      <c r="I4709" s="14" t="n"/>
      <c r="J4709" s="14" t="n"/>
      <c r="K4709" s="53" t="inlineStr"/>
      <c r="L4709" s="53" t="inlineStr">
        <is>
          <t>Не определено</t>
        </is>
      </c>
      <c r="M4709" s="53" t="inlineStr"/>
      <c r="N4709" s="54" t="inlineStr"/>
      <c r="O4709" s="55" t="inlineStr"/>
      <c r="P4709" s="16" t="inlineStr">
        <is>
          <t>Требует обогащения</t>
        </is>
      </c>
      <c r="Q4709" s="16">
        <f>HYPERLINK("https://pb.nalog.ru/search.html?query=6509008229","ФНС: проверить")</f>
        <v/>
      </c>
      <c r="R4709" s="16">
        <f>HYPERLINK("https://checko.ru/search?query=3801001629","Чекко: проверить")</f>
        <v/>
      </c>
      <c r="S4709" t="n">
        <v>1</v>
      </c>
      <c r="T4709" s="35" t="inlineStr">
        <is>
          <t>4 — Не обогащён</t>
        </is>
      </c>
      <c r="U4709" s="35" t="inlineStr">
        <is>
          <t>Нет ОКВЭД/ССЧР</t>
        </is>
      </c>
      <c r="V4709" s="35" t="inlineStr">
        <is>
          <t>Не определено</t>
        </is>
      </c>
      <c r="W4709" s="35" t="inlineStr"/>
      <c r="X4709" s="35" t="inlineStr"/>
    </row>
    <row r="4710" ht="15" customHeight="1" s="24">
      <c r="A4710" s="13" t="n">
        <v>5000090722</v>
      </c>
      <c r="B4710" s="13" t="inlineStr">
        <is>
          <t>МБОУ СОШ с. Костромское</t>
        </is>
      </c>
      <c r="C4710" s="13" t="n">
        <v>6509007313</v>
      </c>
      <c r="D4710" s="13" t="inlineStr">
        <is>
          <t>6509007313</t>
        </is>
      </c>
      <c r="E4710" s="13" t="inlineStr">
        <is>
          <t>ЮЛ РФ</t>
        </is>
      </c>
      <c r="F4710" s="13" t="n"/>
      <c r="G4710" s="14" t="n"/>
      <c r="H4710" s="14" t="n"/>
      <c r="I4710" s="14" t="n"/>
      <c r="J4710" s="14" t="n"/>
      <c r="K4710" s="53" t="inlineStr"/>
      <c r="L4710" s="53" t="inlineStr">
        <is>
          <t>Не определено</t>
        </is>
      </c>
      <c r="M4710" s="53" t="inlineStr"/>
      <c r="N4710" s="54" t="inlineStr"/>
      <c r="O4710" s="55" t="inlineStr"/>
      <c r="P4710" s="16" t="inlineStr">
        <is>
          <t>Требует обогащения</t>
        </is>
      </c>
      <c r="Q4710" s="16">
        <f>HYPERLINK("https://pb.nalog.ru/search.html?query=6509007313","ФНС: проверить")</f>
        <v/>
      </c>
      <c r="R4710" s="16">
        <f>HYPERLINK("https://checko.ru/search?query=3801001629","Чекко: проверить")</f>
        <v/>
      </c>
      <c r="S4710" t="n">
        <v>1</v>
      </c>
      <c r="T4710" s="35" t="inlineStr">
        <is>
          <t>4 — Не обогащён</t>
        </is>
      </c>
      <c r="U4710" s="35" t="inlineStr">
        <is>
          <t>Нет ОКВЭД/ССЧР</t>
        </is>
      </c>
      <c r="V4710" s="35" t="inlineStr">
        <is>
          <t>Не определено</t>
        </is>
      </c>
      <c r="W4710" s="35" t="inlineStr"/>
      <c r="X4710" s="35" t="inlineStr"/>
    </row>
    <row r="4711" ht="15" customHeight="1" s="24">
      <c r="A4711" s="13" t="n">
        <v>5000090723</v>
      </c>
      <c r="B4711" s="13" t="inlineStr">
        <is>
          <t>МБОУ лицей "Надежда" г. Холмска</t>
        </is>
      </c>
      <c r="C4711" s="13" t="n">
        <v>6509006172</v>
      </c>
      <c r="D4711" s="13" t="inlineStr">
        <is>
          <t>6509006172</t>
        </is>
      </c>
      <c r="E4711" s="13" t="inlineStr">
        <is>
          <t>ЮЛ РФ</t>
        </is>
      </c>
      <c r="F4711" s="13" t="n"/>
      <c r="G4711" s="14" t="n"/>
      <c r="H4711" s="14" t="n"/>
      <c r="I4711" s="14" t="n"/>
      <c r="J4711" s="14" t="n"/>
      <c r="K4711" s="53" t="inlineStr"/>
      <c r="L4711" s="53" t="inlineStr">
        <is>
          <t>Не определено</t>
        </is>
      </c>
      <c r="M4711" s="53" t="inlineStr"/>
      <c r="N4711" s="54" t="inlineStr"/>
      <c r="O4711" s="55" t="inlineStr"/>
      <c r="P4711" s="16" t="inlineStr">
        <is>
          <t>Требует обогащения</t>
        </is>
      </c>
      <c r="Q4711" s="16">
        <f>HYPERLINK("https://pb.nalog.ru/search.html?query=6509006172","ФНС: проверить")</f>
        <v/>
      </c>
      <c r="R4711" s="16">
        <f>HYPERLINK("https://checko.ru/search?query=3801001629","Чекко: проверить")</f>
        <v/>
      </c>
      <c r="S4711" t="n">
        <v>1</v>
      </c>
      <c r="T4711" s="35" t="inlineStr">
        <is>
          <t>4 — Не обогащён</t>
        </is>
      </c>
      <c r="U4711" s="35" t="inlineStr">
        <is>
          <t>Нет ОКВЭД/ССЧР</t>
        </is>
      </c>
      <c r="V4711" s="35" t="inlineStr">
        <is>
          <t>Не определено</t>
        </is>
      </c>
      <c r="W4711" s="35" t="inlineStr"/>
      <c r="X4711" s="35" t="inlineStr"/>
    </row>
    <row r="4712" ht="15" customHeight="1" s="24">
      <c r="A4712" s="13" t="n">
        <v>5000090724</v>
      </c>
      <c r="B4712" s="13" t="inlineStr">
        <is>
          <t>ОКУ г. Холмска</t>
        </is>
      </c>
      <c r="C4712" s="13" t="n">
        <v>6509005877</v>
      </c>
      <c r="D4712" s="13" t="inlineStr">
        <is>
          <t>6509005877</t>
        </is>
      </c>
      <c r="E4712" s="13" t="inlineStr">
        <is>
          <t>ЮЛ РФ</t>
        </is>
      </c>
      <c r="F4712" s="13" t="n"/>
      <c r="G4712" s="14" t="n"/>
      <c r="H4712" s="14" t="n"/>
      <c r="I4712" s="14" t="n"/>
      <c r="J4712" s="14" t="n"/>
      <c r="K4712" s="53" t="inlineStr"/>
      <c r="L4712" s="53" t="inlineStr">
        <is>
          <t>Не определено</t>
        </is>
      </c>
      <c r="M4712" s="53" t="inlineStr"/>
      <c r="N4712" s="54" t="inlineStr"/>
      <c r="O4712" s="55" t="inlineStr"/>
      <c r="P4712" s="16" t="inlineStr">
        <is>
          <t>Требует обогащения</t>
        </is>
      </c>
      <c r="Q4712" s="16">
        <f>HYPERLINK("https://pb.nalog.ru/search.html?query=6509005877","ФНС: проверить")</f>
        <v/>
      </c>
      <c r="R4712" s="16">
        <f>HYPERLINK("https://checko.ru/search?query=3801001629","Чекко: проверить")</f>
        <v/>
      </c>
      <c r="S4712" t="n">
        <v>1</v>
      </c>
      <c r="T4712" s="35" t="inlineStr">
        <is>
          <t>4 — Не обогащён</t>
        </is>
      </c>
      <c r="U4712" s="35" t="inlineStr">
        <is>
          <t>Нет ОКВЭД/ССЧР</t>
        </is>
      </c>
      <c r="V4712" s="35" t="inlineStr">
        <is>
          <t>Не определено</t>
        </is>
      </c>
      <c r="W4712" s="35" t="inlineStr"/>
      <c r="X4712" s="35" t="inlineStr"/>
    </row>
    <row r="4713" ht="15" customHeight="1" s="24">
      <c r="A4713" s="13" t="n">
        <v>5000090725</v>
      </c>
      <c r="B4713" s="13" t="inlineStr">
        <is>
          <t>МКОУ О(С)ОШ г.Холмска</t>
        </is>
      </c>
      <c r="C4713" s="13" t="n">
        <v>6509007289</v>
      </c>
      <c r="D4713" s="13" t="inlineStr">
        <is>
          <t>6509007289</t>
        </is>
      </c>
      <c r="E4713" s="13" t="inlineStr">
        <is>
          <t>ЮЛ РФ</t>
        </is>
      </c>
      <c r="F4713" s="13" t="n"/>
      <c r="G4713" s="14" t="n"/>
      <c r="H4713" s="14" t="n"/>
      <c r="I4713" s="14" t="n"/>
      <c r="J4713" s="14" t="n"/>
      <c r="K4713" s="53" t="inlineStr"/>
      <c r="L4713" s="53" t="inlineStr">
        <is>
          <t>Не определено</t>
        </is>
      </c>
      <c r="M4713" s="53" t="inlineStr"/>
      <c r="N4713" s="54" t="inlineStr"/>
      <c r="O4713" s="55" t="inlineStr"/>
      <c r="P4713" s="16" t="inlineStr">
        <is>
          <t>Требует обогащения</t>
        </is>
      </c>
      <c r="Q4713" s="16">
        <f>HYPERLINK("https://pb.nalog.ru/search.html?query=6509007289","ФНС: проверить")</f>
        <v/>
      </c>
      <c r="R4713" s="16">
        <f>HYPERLINK("https://checko.ru/search?query=3801001629","Чекко: проверить")</f>
        <v/>
      </c>
      <c r="S4713" t="n">
        <v>1</v>
      </c>
      <c r="T4713" s="35" t="inlineStr">
        <is>
          <t>4 — Не обогащён</t>
        </is>
      </c>
      <c r="U4713" s="35" t="inlineStr">
        <is>
          <t>Нет ОКВЭД/ССЧР</t>
        </is>
      </c>
      <c r="V4713" s="35" t="inlineStr">
        <is>
          <t>Не определено</t>
        </is>
      </c>
      <c r="W4713" s="35" t="inlineStr"/>
      <c r="X4713" s="35" t="inlineStr"/>
    </row>
    <row r="4714" ht="15" customHeight="1" s="24">
      <c r="A4714" s="13" t="n">
        <v>5000090726</v>
      </c>
      <c r="B4714" s="13" t="inlineStr">
        <is>
          <t>МБОУ ООШ с. Пионеры</t>
        </is>
      </c>
      <c r="C4714" s="13" t="n">
        <v>6509008324</v>
      </c>
      <c r="D4714" s="13" t="inlineStr">
        <is>
          <t>6509008324</t>
        </is>
      </c>
      <c r="E4714" s="13" t="inlineStr">
        <is>
          <t>ЮЛ РФ</t>
        </is>
      </c>
      <c r="F4714" s="13" t="n"/>
      <c r="G4714" s="14" t="n"/>
      <c r="H4714" s="14" t="n"/>
      <c r="I4714" s="14" t="n"/>
      <c r="J4714" s="14" t="n"/>
      <c r="K4714" s="53" t="inlineStr"/>
      <c r="L4714" s="53" t="inlineStr">
        <is>
          <t>Не определено</t>
        </is>
      </c>
      <c r="M4714" s="53" t="inlineStr"/>
      <c r="N4714" s="54" t="inlineStr"/>
      <c r="O4714" s="55" t="inlineStr"/>
      <c r="P4714" s="16" t="inlineStr">
        <is>
          <t>Требует обогащения</t>
        </is>
      </c>
      <c r="Q4714" s="16">
        <f>HYPERLINK("https://pb.nalog.ru/search.html?query=6509008324","ФНС: проверить")</f>
        <v/>
      </c>
      <c r="R4714" s="16">
        <f>HYPERLINK("https://checko.ru/search?query=3801001629","Чекко: проверить")</f>
        <v/>
      </c>
      <c r="S4714" t="n">
        <v>1</v>
      </c>
      <c r="T4714" s="35" t="inlineStr">
        <is>
          <t>4 — Не обогащён</t>
        </is>
      </c>
      <c r="U4714" s="35" t="inlineStr">
        <is>
          <t>Нет ОКВЭД/ССЧР</t>
        </is>
      </c>
      <c r="V4714" s="35" t="inlineStr">
        <is>
          <t>Не определено</t>
        </is>
      </c>
      <c r="W4714" s="35" t="inlineStr"/>
      <c r="X4714" s="35" t="inlineStr"/>
    </row>
    <row r="4715" ht="15" customHeight="1" s="24">
      <c r="A4715" s="13" t="n">
        <v>5000090727</v>
      </c>
      <c r="B4715" s="13" t="inlineStr">
        <is>
          <t>МАОУ СОШ с. Правда</t>
        </is>
      </c>
      <c r="C4715" s="13" t="n">
        <v>6509007232</v>
      </c>
      <c r="D4715" s="13" t="inlineStr">
        <is>
          <t>6509007232</t>
        </is>
      </c>
      <c r="E4715" s="13" t="inlineStr">
        <is>
          <t>ЮЛ РФ</t>
        </is>
      </c>
      <c r="F4715" s="13" t="n"/>
      <c r="G4715" s="14" t="n"/>
      <c r="H4715" s="14" t="n"/>
      <c r="I4715" s="14" t="n"/>
      <c r="J4715" s="14" t="n"/>
      <c r="K4715" s="53" t="inlineStr"/>
      <c r="L4715" s="53" t="inlineStr">
        <is>
          <t>Не определено</t>
        </is>
      </c>
      <c r="M4715" s="53" t="inlineStr"/>
      <c r="N4715" s="54" t="inlineStr"/>
      <c r="O4715" s="55" t="inlineStr"/>
      <c r="P4715" s="16" t="inlineStr">
        <is>
          <t>Требует обогащения</t>
        </is>
      </c>
      <c r="Q4715" s="16">
        <f>HYPERLINK("https://pb.nalog.ru/search.html?query=6509007232","ФНС: проверить")</f>
        <v/>
      </c>
      <c r="R4715" s="16">
        <f>HYPERLINK("https://checko.ru/search?query=3801001629","Чекко: проверить")</f>
        <v/>
      </c>
      <c r="S4715" t="n">
        <v>1</v>
      </c>
      <c r="T4715" s="35" t="inlineStr">
        <is>
          <t>4 — Не обогащён</t>
        </is>
      </c>
      <c r="U4715" s="35" t="inlineStr">
        <is>
          <t>Нет ОКВЭД/ССЧР</t>
        </is>
      </c>
      <c r="V4715" s="35" t="inlineStr">
        <is>
          <t>Не определено</t>
        </is>
      </c>
      <c r="W4715" s="35" t="inlineStr"/>
      <c r="X4715" s="35" t="inlineStr"/>
    </row>
    <row r="4716" ht="15" customHeight="1" s="24">
      <c r="A4716" s="13" t="n">
        <v>5000090728</v>
      </c>
      <c r="B4716" s="13" t="inlineStr">
        <is>
          <t>МБОУДО СЮН г. Холмска</t>
        </is>
      </c>
      <c r="C4716" s="13" t="n">
        <v>6509004707</v>
      </c>
      <c r="D4716" s="13" t="inlineStr">
        <is>
          <t>6509004707</t>
        </is>
      </c>
      <c r="E4716" s="13" t="inlineStr">
        <is>
          <t>ЮЛ РФ</t>
        </is>
      </c>
      <c r="F4716" s="13" t="n"/>
      <c r="G4716" s="14" t="n"/>
      <c r="H4716" s="14" t="n"/>
      <c r="I4716" s="14" t="n"/>
      <c r="J4716" s="14" t="n"/>
      <c r="K4716" s="53" t="inlineStr"/>
      <c r="L4716" s="53" t="inlineStr">
        <is>
          <t>Не определено</t>
        </is>
      </c>
      <c r="M4716" s="53" t="inlineStr"/>
      <c r="N4716" s="54" t="inlineStr"/>
      <c r="O4716" s="55" t="inlineStr"/>
      <c r="P4716" s="16" t="inlineStr">
        <is>
          <t>Требует обогащения</t>
        </is>
      </c>
      <c r="Q4716" s="16">
        <f>HYPERLINK("https://pb.nalog.ru/search.html?query=6509004707","ФНС: проверить")</f>
        <v/>
      </c>
      <c r="R4716" s="16">
        <f>HYPERLINK("https://checko.ru/search?query=3801001629","Чекко: проверить")</f>
        <v/>
      </c>
      <c r="S4716" t="n">
        <v>1</v>
      </c>
      <c r="T4716" s="35" t="inlineStr">
        <is>
          <t>4 — Не обогащён</t>
        </is>
      </c>
      <c r="U4716" s="35" t="inlineStr">
        <is>
          <t>Нет ОКВЭД/ССЧР</t>
        </is>
      </c>
      <c r="V4716" s="35" t="inlineStr">
        <is>
          <t>Не определено</t>
        </is>
      </c>
      <c r="W4716" s="35" t="inlineStr"/>
      <c r="X4716" s="35" t="inlineStr"/>
    </row>
    <row r="4717" ht="15" customHeight="1" s="24">
      <c r="A4717" s="13" t="n">
        <v>5000090729</v>
      </c>
      <c r="B4717" s="13" t="inlineStr">
        <is>
          <t>МКУ "ХЭС" СИСТЕМЫ ОБРАЗОВАНИЯ</t>
        </is>
      </c>
      <c r="C4717" s="13" t="n">
        <v>6509021780</v>
      </c>
      <c r="D4717" s="13" t="inlineStr">
        <is>
          <t>6509021780</t>
        </is>
      </c>
      <c r="E4717" s="13" t="inlineStr">
        <is>
          <t>ЮЛ РФ</t>
        </is>
      </c>
      <c r="F4717" s="13" t="n"/>
      <c r="G4717" s="14" t="n"/>
      <c r="H4717" s="14" t="n"/>
      <c r="I4717" s="14" t="n"/>
      <c r="J4717" s="14" t="n"/>
      <c r="K4717" s="53" t="inlineStr"/>
      <c r="L4717" s="53" t="inlineStr">
        <is>
          <t>Не определено</t>
        </is>
      </c>
      <c r="M4717" s="53" t="inlineStr"/>
      <c r="N4717" s="54" t="inlineStr"/>
      <c r="O4717" s="55" t="inlineStr"/>
      <c r="P4717" s="16" t="inlineStr">
        <is>
          <t>Требует обогащения</t>
        </is>
      </c>
      <c r="Q4717" s="16">
        <f>HYPERLINK("https://pb.nalog.ru/search.html?query=6509021780","ФНС: проверить")</f>
        <v/>
      </c>
      <c r="R4717" s="16">
        <f>HYPERLINK("https://checko.ru/search?query=3801001629","Чекко: проверить")</f>
        <v/>
      </c>
      <c r="S4717" t="n">
        <v>1</v>
      </c>
      <c r="T4717" s="35" t="inlineStr">
        <is>
          <t>4 — Не обогащён</t>
        </is>
      </c>
      <c r="U4717" s="35" t="inlineStr">
        <is>
          <t>Нет ОКВЭД/ССЧР</t>
        </is>
      </c>
      <c r="V4717" s="35" t="inlineStr">
        <is>
          <t>Не определено</t>
        </is>
      </c>
      <c r="W4717" s="35" t="inlineStr"/>
      <c r="X4717" s="35" t="inlineStr"/>
    </row>
    <row r="4718" ht="15" customHeight="1" s="24">
      <c r="A4718" s="13" t="n">
        <v>5000090730</v>
      </c>
      <c r="B4718" s="13" t="inlineStr">
        <is>
          <t>ЦДТ с. Чехов</t>
        </is>
      </c>
      <c r="C4718" s="13" t="n">
        <v>6509008719</v>
      </c>
      <c r="D4718" s="13" t="inlineStr">
        <is>
          <t>6509008719</t>
        </is>
      </c>
      <c r="E4718" s="13" t="inlineStr">
        <is>
          <t>ЮЛ РФ</t>
        </is>
      </c>
      <c r="F4718" s="13" t="n"/>
      <c r="G4718" s="14" t="n"/>
      <c r="H4718" s="14" t="n"/>
      <c r="I4718" s="14" t="n"/>
      <c r="J4718" s="14" t="n"/>
      <c r="K4718" s="53" t="inlineStr"/>
      <c r="L4718" s="53" t="inlineStr">
        <is>
          <t>Не определено</t>
        </is>
      </c>
      <c r="M4718" s="53" t="inlineStr"/>
      <c r="N4718" s="54" t="inlineStr"/>
      <c r="O4718" s="55" t="inlineStr"/>
      <c r="P4718" s="16" t="inlineStr">
        <is>
          <t>Требует обогащения</t>
        </is>
      </c>
      <c r="Q4718" s="16">
        <f>HYPERLINK("https://pb.nalog.ru/search.html?query=6509008719","ФНС: проверить")</f>
        <v/>
      </c>
      <c r="R4718" s="16">
        <f>HYPERLINK("https://checko.ru/search?query=3801001629","Чекко: проверить")</f>
        <v/>
      </c>
      <c r="S4718" t="n">
        <v>1</v>
      </c>
      <c r="T4718" s="35" t="inlineStr">
        <is>
          <t>4 — Не обогащён</t>
        </is>
      </c>
      <c r="U4718" s="35" t="inlineStr">
        <is>
          <t>Нет ОКВЭД/ССЧР</t>
        </is>
      </c>
      <c r="V4718" s="35" t="inlineStr">
        <is>
          <t>Не определено</t>
        </is>
      </c>
      <c r="W4718" s="35" t="inlineStr"/>
      <c r="X4718" s="35" t="inlineStr"/>
    </row>
    <row r="4719" ht="15" customHeight="1" s="24">
      <c r="A4719" s="13" t="n">
        <v>5000090731</v>
      </c>
      <c r="B4719" s="13" t="inlineStr">
        <is>
          <t>МАОУ СОШ с. Чапланово</t>
        </is>
      </c>
      <c r="C4719" s="13" t="n">
        <v>6509007306</v>
      </c>
      <c r="D4719" s="13" t="inlineStr">
        <is>
          <t>6509007306</t>
        </is>
      </c>
      <c r="E4719" s="13" t="inlineStr">
        <is>
          <t>ЮЛ РФ</t>
        </is>
      </c>
      <c r="F4719" s="13" t="n"/>
      <c r="G4719" s="14" t="n"/>
      <c r="H4719" s="14" t="n"/>
      <c r="I4719" s="14" t="n"/>
      <c r="J4719" s="14" t="n"/>
      <c r="K4719" s="53" t="inlineStr"/>
      <c r="L4719" s="53" t="inlineStr">
        <is>
          <t>Не определено</t>
        </is>
      </c>
      <c r="M4719" s="53" t="inlineStr"/>
      <c r="N4719" s="54" t="inlineStr"/>
      <c r="O4719" s="55" t="inlineStr"/>
      <c r="P4719" s="16" t="inlineStr">
        <is>
          <t>Требует обогащения</t>
        </is>
      </c>
      <c r="Q4719" s="16">
        <f>HYPERLINK("https://pb.nalog.ru/search.html?query=6509007306","ФНС: проверить")</f>
        <v/>
      </c>
      <c r="R4719" s="16">
        <f>HYPERLINK("https://checko.ru/search?query=3801001629","Чекко: проверить")</f>
        <v/>
      </c>
      <c r="S4719" t="n">
        <v>1</v>
      </c>
      <c r="T4719" s="35" t="inlineStr">
        <is>
          <t>4 — Не обогащён</t>
        </is>
      </c>
      <c r="U4719" s="35" t="inlineStr">
        <is>
          <t>Нет ОКВЭД/ССЧР</t>
        </is>
      </c>
      <c r="V4719" s="35" t="inlineStr">
        <is>
          <t>Не определено</t>
        </is>
      </c>
      <c r="W4719" s="35" t="inlineStr"/>
      <c r="X4719" s="35" t="inlineStr"/>
    </row>
    <row r="4720" ht="15" customHeight="1" s="24">
      <c r="A4720" s="13" t="n">
        <v>5000090733</v>
      </c>
      <c r="B4720" s="13" t="inlineStr">
        <is>
          <t>МАОУ СОШ № 1 г. Холмска</t>
        </is>
      </c>
      <c r="C4720" s="13" t="n">
        <v>6509007271</v>
      </c>
      <c r="D4720" s="13" t="inlineStr">
        <is>
          <t>6509007271</t>
        </is>
      </c>
      <c r="E4720" s="13" t="inlineStr">
        <is>
          <t>ЮЛ РФ</t>
        </is>
      </c>
      <c r="F4720" s="13" t="n"/>
      <c r="G4720" s="14" t="n"/>
      <c r="H4720" s="14" t="n"/>
      <c r="I4720" s="14" t="n"/>
      <c r="J4720" s="14" t="n"/>
      <c r="K4720" s="53" t="inlineStr"/>
      <c r="L4720" s="53" t="inlineStr">
        <is>
          <t>Не определено</t>
        </is>
      </c>
      <c r="M4720" s="53" t="inlineStr"/>
      <c r="N4720" s="54" t="inlineStr"/>
      <c r="O4720" s="55" t="inlineStr"/>
      <c r="P4720" s="16" t="inlineStr">
        <is>
          <t>Требует обогащения</t>
        </is>
      </c>
      <c r="Q4720" s="16">
        <f>HYPERLINK("https://pb.nalog.ru/search.html?query=6509007271","ФНС: проверить")</f>
        <v/>
      </c>
      <c r="R4720" s="16">
        <f>HYPERLINK("https://checko.ru/search?query=3801001629","Чекко: проверить")</f>
        <v/>
      </c>
      <c r="S4720" t="n">
        <v>1</v>
      </c>
      <c r="T4720" s="35" t="inlineStr">
        <is>
          <t>4 — Не обогащён</t>
        </is>
      </c>
      <c r="U4720" s="35" t="inlineStr">
        <is>
          <t>Нет ОКВЭД/ССЧР</t>
        </is>
      </c>
      <c r="V4720" s="35" t="inlineStr">
        <is>
          <t>Не определено</t>
        </is>
      </c>
      <c r="W4720" s="35" t="inlineStr"/>
      <c r="X4720" s="35" t="inlineStr"/>
    </row>
    <row r="4721" ht="15" customHeight="1" s="24">
      <c r="A4721" s="13" t="n">
        <v>5000090734</v>
      </c>
      <c r="B4721" s="13" t="inlineStr">
        <is>
          <t>МБОУ ДОД ДДТ "Яблочко"</t>
        </is>
      </c>
      <c r="C4721" s="13" t="n">
        <v>6509008885</v>
      </c>
      <c r="D4721" s="13" t="inlineStr">
        <is>
          <t>6509008885</t>
        </is>
      </c>
      <c r="E4721" s="13" t="inlineStr">
        <is>
          <t>ЮЛ РФ</t>
        </is>
      </c>
      <c r="F4721" s="13" t="n"/>
      <c r="G4721" s="14" t="n"/>
      <c r="H4721" s="14" t="n"/>
      <c r="I4721" s="14" t="n"/>
      <c r="J4721" s="14" t="n"/>
      <c r="K4721" s="53" t="inlineStr"/>
      <c r="L4721" s="53" t="inlineStr">
        <is>
          <t>Не определено</t>
        </is>
      </c>
      <c r="M4721" s="53" t="inlineStr"/>
      <c r="N4721" s="54" t="inlineStr"/>
      <c r="O4721" s="55" t="inlineStr"/>
      <c r="P4721" s="16" t="inlineStr">
        <is>
          <t>Требует обогащения</t>
        </is>
      </c>
      <c r="Q4721" s="16">
        <f>HYPERLINK("https://pb.nalog.ru/search.html?query=6509008885","ФНС: проверить")</f>
        <v/>
      </c>
      <c r="R4721" s="16">
        <f>HYPERLINK("https://checko.ru/search?query=3801001629","Чекко: проверить")</f>
        <v/>
      </c>
      <c r="S4721" t="n">
        <v>1</v>
      </c>
      <c r="T4721" s="35" t="inlineStr">
        <is>
          <t>4 — Не обогащён</t>
        </is>
      </c>
      <c r="U4721" s="35" t="inlineStr">
        <is>
          <t>Нет ОКВЭД/ССЧР</t>
        </is>
      </c>
      <c r="V4721" s="35" t="inlineStr">
        <is>
          <t>Не определено</t>
        </is>
      </c>
      <c r="W4721" s="35" t="inlineStr"/>
      <c r="X4721" s="35" t="inlineStr"/>
    </row>
    <row r="4722" ht="27.75" customHeight="1" s="24">
      <c r="A4722" s="13" t="n">
        <v>5000090115</v>
      </c>
      <c r="B4722" s="13" t="inlineStr">
        <is>
          <t>МКУ «Информационное агентство «Невельские новости»</t>
        </is>
      </c>
      <c r="C4722" s="13" t="n">
        <v>6505001712</v>
      </c>
      <c r="D4722" s="13" t="inlineStr">
        <is>
          <t>6505001712</t>
        </is>
      </c>
      <c r="E4722" s="13" t="inlineStr">
        <is>
          <t>ЮЛ РФ</t>
        </is>
      </c>
      <c r="F4722" s="13" t="n"/>
      <c r="G4722" s="14" t="n"/>
      <c r="H4722" s="14" t="n"/>
      <c r="I4722" s="14" t="n"/>
      <c r="J4722" s="14" t="n"/>
      <c r="K4722" s="53" t="inlineStr"/>
      <c r="L4722" s="53" t="inlineStr">
        <is>
          <t>Не определено</t>
        </is>
      </c>
      <c r="M4722" s="53" t="inlineStr"/>
      <c r="N4722" s="54" t="inlineStr"/>
      <c r="O4722" s="55" t="inlineStr"/>
      <c r="P4722" s="16" t="inlineStr">
        <is>
          <t>Требует обогащения</t>
        </is>
      </c>
      <c r="Q4722" s="16">
        <f>HYPERLINK("https://pb.nalog.ru/search.html?query=6505001712","ФНС: проверить")</f>
        <v/>
      </c>
      <c r="R4722" s="16">
        <f>HYPERLINK("https://checko.ru/search?query=3801001629","Чекко: проверить")</f>
        <v/>
      </c>
      <c r="S4722" t="n">
        <v>1</v>
      </c>
      <c r="T4722" s="35" t="inlineStr">
        <is>
          <t>4 — Не обогащён</t>
        </is>
      </c>
      <c r="U4722" s="35" t="inlineStr">
        <is>
          <t>Нет ОКВЭД/ССЧР</t>
        </is>
      </c>
      <c r="V4722" s="35" t="inlineStr">
        <is>
          <t>Не определено</t>
        </is>
      </c>
      <c r="W4722" s="35" t="inlineStr"/>
      <c r="X4722" s="35" t="inlineStr"/>
    </row>
    <row r="4723" ht="15" customHeight="1" s="24">
      <c r="A4723" s="13" t="n">
        <v>5000090554</v>
      </c>
      <c r="B4723" s="13" t="inlineStr">
        <is>
          <t>МАУ "КУЛЬТУРНО-ТУРИСТИЧЕСКИЙ ЦЕНТР"</t>
        </is>
      </c>
      <c r="C4723" s="13" t="n">
        <v>6501309175</v>
      </c>
      <c r="D4723" s="13" t="inlineStr">
        <is>
          <t>6501309175</t>
        </is>
      </c>
      <c r="E4723" s="13" t="inlineStr">
        <is>
          <t>ЮЛ РФ</t>
        </is>
      </c>
      <c r="F4723" s="13" t="n"/>
      <c r="G4723" s="14" t="n"/>
      <c r="H4723" s="14" t="n"/>
      <c r="I4723" s="14" t="n"/>
      <c r="J4723" s="14" t="n"/>
      <c r="K4723" s="53" t="inlineStr"/>
      <c r="L4723" s="53" t="inlineStr">
        <is>
          <t>Не определено</t>
        </is>
      </c>
      <c r="M4723" s="53" t="inlineStr"/>
      <c r="N4723" s="54" t="inlineStr"/>
      <c r="O4723" s="55" t="inlineStr"/>
      <c r="P4723" s="16" t="inlineStr">
        <is>
          <t>Требует обогащения</t>
        </is>
      </c>
      <c r="Q4723" s="16">
        <f>HYPERLINK("https://pb.nalog.ru/search.html?query=6501309175","ФНС: проверить")</f>
        <v/>
      </c>
      <c r="R4723" s="16">
        <f>HYPERLINK("https://checko.ru/search?query=3801001629","Чекко: проверить")</f>
        <v/>
      </c>
      <c r="S4723" t="n">
        <v>1</v>
      </c>
      <c r="T4723" s="35" t="inlineStr">
        <is>
          <t>4 — Не обогащён</t>
        </is>
      </c>
      <c r="U4723" s="35" t="inlineStr">
        <is>
          <t>Нет ОКВЭД/ССЧР</t>
        </is>
      </c>
      <c r="V4723" s="35" t="inlineStr">
        <is>
          <t>Не определено</t>
        </is>
      </c>
      <c r="W4723" s="35" t="inlineStr"/>
      <c r="X4723" s="35" t="inlineStr"/>
    </row>
    <row r="4724" ht="41.25" customHeight="1" s="24">
      <c r="A4724" s="13" t="n">
        <v>5000098189</v>
      </c>
      <c r="B4724" s="13" t="inlineStr">
        <is>
          <t>Краевое государственное бюджетное учреждение здравоохранения «Медицинский центр мобилизационных резервов «Резерв»,</t>
        </is>
      </c>
      <c r="C4724" s="13" t="n">
        <v>2521002258</v>
      </c>
      <c r="D4724" s="13" t="inlineStr">
        <is>
          <t>2521002258</t>
        </is>
      </c>
      <c r="E4724" s="13" t="inlineStr">
        <is>
          <t>ЮЛ РФ</t>
        </is>
      </c>
      <c r="F4724" s="13" t="n"/>
      <c r="G4724" s="14" t="n"/>
      <c r="H4724" s="14" t="n"/>
      <c r="I4724" s="14" t="n"/>
      <c r="J4724" s="14" t="n"/>
      <c r="K4724" s="53" t="inlineStr"/>
      <c r="L4724" s="53" t="inlineStr">
        <is>
          <t>Не определено</t>
        </is>
      </c>
      <c r="M4724" s="53" t="inlineStr"/>
      <c r="N4724" s="54" t="inlineStr"/>
      <c r="O4724" s="55" t="inlineStr"/>
      <c r="P4724" s="16" t="inlineStr">
        <is>
          <t>Требует обогащения</t>
        </is>
      </c>
      <c r="Q4724" s="16">
        <f>HYPERLINK("https://pb.nalog.ru/search.html?query=2521002258","ФНС: проверить")</f>
        <v/>
      </c>
      <c r="R4724" s="16">
        <f>HYPERLINK("https://checko.ru/search?query=3801001629","Чекко: проверить")</f>
        <v/>
      </c>
      <c r="S4724" t="n">
        <v>1</v>
      </c>
      <c r="T4724" s="35" t="inlineStr">
        <is>
          <t>4 — Не обогащён</t>
        </is>
      </c>
      <c r="U4724" s="35" t="inlineStr">
        <is>
          <t>Нет ОКВЭД/ССЧР</t>
        </is>
      </c>
      <c r="V4724" s="35" t="inlineStr">
        <is>
          <t>Не определено</t>
        </is>
      </c>
      <c r="W4724" s="35" t="inlineStr"/>
      <c r="X4724" s="35" t="inlineStr"/>
    </row>
    <row r="4725" ht="15" customHeight="1" s="24">
      <c r="A4725" s="13" t="n">
        <v>5000090735</v>
      </c>
      <c r="B4725" s="13" t="inlineStr">
        <is>
          <t>МАОУ СОШ с. Яблочное</t>
        </is>
      </c>
      <c r="C4725" s="13" t="n">
        <v>6509007296</v>
      </c>
      <c r="D4725" s="13" t="inlineStr">
        <is>
          <t>6509007296</t>
        </is>
      </c>
      <c r="E4725" s="13" t="inlineStr">
        <is>
          <t>ЮЛ РФ</t>
        </is>
      </c>
      <c r="F4725" s="13" t="n"/>
      <c r="G4725" s="14" t="n"/>
      <c r="H4725" s="14" t="n"/>
      <c r="I4725" s="14" t="n"/>
      <c r="J4725" s="14" t="n"/>
      <c r="K4725" s="53" t="inlineStr"/>
      <c r="L4725" s="53" t="inlineStr">
        <is>
          <t>Не определено</t>
        </is>
      </c>
      <c r="M4725" s="53" t="inlineStr"/>
      <c r="N4725" s="54" t="inlineStr"/>
      <c r="O4725" s="55" t="inlineStr"/>
      <c r="P4725" s="16" t="inlineStr">
        <is>
          <t>Требует обогащения</t>
        </is>
      </c>
      <c r="Q4725" s="16">
        <f>HYPERLINK("https://pb.nalog.ru/search.html?query=6509007296","ФНС: проверить")</f>
        <v/>
      </c>
      <c r="R4725" s="16">
        <f>HYPERLINK("https://checko.ru/search?query=3801001629","Чекко: проверить")</f>
        <v/>
      </c>
      <c r="S4725" t="n">
        <v>1</v>
      </c>
      <c r="T4725" s="35" t="inlineStr">
        <is>
          <t>4 — Не обогащён</t>
        </is>
      </c>
      <c r="U4725" s="35" t="inlineStr">
        <is>
          <t>Нет ОКВЭД/ССЧР</t>
        </is>
      </c>
      <c r="V4725" s="35" t="inlineStr">
        <is>
          <t>Не определено</t>
        </is>
      </c>
      <c r="W4725" s="35" t="inlineStr"/>
      <c r="X4725" s="35" t="inlineStr"/>
    </row>
    <row r="4726" ht="27.75" customHeight="1" s="24">
      <c r="A4726" s="13" t="n">
        <v>5000091380</v>
      </c>
      <c r="B4726" s="13" t="inlineStr">
        <is>
          <t>Агентство записи актов гражданского состояния Сахалинской области</t>
        </is>
      </c>
      <c r="C4726" s="13" t="n">
        <v>6501142310</v>
      </c>
      <c r="D4726" s="13" t="inlineStr">
        <is>
          <t>6501142310</t>
        </is>
      </c>
      <c r="E4726" s="13" t="inlineStr">
        <is>
          <t>ЮЛ РФ</t>
        </is>
      </c>
      <c r="F4726" s="13" t="n"/>
      <c r="G4726" s="14" t="n"/>
      <c r="H4726" s="14" t="n"/>
      <c r="I4726" s="14" t="n"/>
      <c r="J4726" s="14" t="n"/>
      <c r="K4726" s="53" t="inlineStr"/>
      <c r="L4726" s="53" t="inlineStr">
        <is>
          <t>Не определено</t>
        </is>
      </c>
      <c r="M4726" s="53" t="inlineStr"/>
      <c r="N4726" s="54" t="inlineStr"/>
      <c r="O4726" s="55" t="inlineStr"/>
      <c r="P4726" s="16" t="inlineStr">
        <is>
          <t>Требует обогащения</t>
        </is>
      </c>
      <c r="Q4726" s="16">
        <f>HYPERLINK("https://pb.nalog.ru/search.html?query=6501142310","ФНС: проверить")</f>
        <v/>
      </c>
      <c r="R4726" s="16">
        <f>HYPERLINK("https://checko.ru/search?query=3801001629","Чекко: проверить")</f>
        <v/>
      </c>
      <c r="S4726" t="n">
        <v>1</v>
      </c>
      <c r="T4726" s="35" t="inlineStr">
        <is>
          <t>4 — Не обогащён</t>
        </is>
      </c>
      <c r="U4726" s="35" t="inlineStr">
        <is>
          <t>Нет ОКВЭД/ССЧР</t>
        </is>
      </c>
      <c r="V4726" s="35" t="inlineStr">
        <is>
          <t>Не определено</t>
        </is>
      </c>
      <c r="W4726" s="35" t="inlineStr"/>
      <c r="X4726" s="35" t="inlineStr"/>
    </row>
    <row r="4727" ht="27.75" customHeight="1" s="24">
      <c r="A4727" s="13" t="n">
        <v>5000091380</v>
      </c>
      <c r="B4727" s="13" t="inlineStr">
        <is>
          <t>Агентство записи актов гражданского состояния Сахалинской области</t>
        </is>
      </c>
      <c r="C4727" s="13" t="n">
        <v>6501142310</v>
      </c>
      <c r="D4727" s="13" t="inlineStr">
        <is>
          <t>6501142310</t>
        </is>
      </c>
      <c r="E4727" s="13" t="inlineStr">
        <is>
          <t>ЮЛ РФ</t>
        </is>
      </c>
      <c r="F4727" s="13" t="n"/>
      <c r="G4727" s="14" t="n"/>
      <c r="H4727" s="14" t="n"/>
      <c r="I4727" s="14" t="n"/>
      <c r="J4727" s="14" t="n"/>
      <c r="K4727" s="53" t="inlineStr"/>
      <c r="L4727" s="53" t="inlineStr">
        <is>
          <t>Не определено</t>
        </is>
      </c>
      <c r="M4727" s="53" t="inlineStr"/>
      <c r="N4727" s="54" t="inlineStr"/>
      <c r="O4727" s="55" t="inlineStr"/>
      <c r="P4727" s="16" t="inlineStr">
        <is>
          <t>Требует обогащения</t>
        </is>
      </c>
      <c r="Q4727" s="16">
        <f>HYPERLINK("https://pb.nalog.ru/search.html?query=6501142310","ФНС: проверить")</f>
        <v/>
      </c>
      <c r="R4727" s="16">
        <f>HYPERLINK("https://checko.ru/search?query=3801001629","Чекко: проверить")</f>
        <v/>
      </c>
      <c r="S4727" t="n">
        <v>0</v>
      </c>
      <c r="T4727" s="35" t="inlineStr">
        <is>
          <t>4 — Не обогащён</t>
        </is>
      </c>
      <c r="U4727" s="35" t="inlineStr">
        <is>
          <t>Нет ОКВЭД/ССЧР</t>
        </is>
      </c>
      <c r="V4727" s="35" t="inlineStr">
        <is>
          <t>Не определено</t>
        </is>
      </c>
      <c r="W4727" s="35" t="inlineStr"/>
      <c r="X4727" s="35" t="inlineStr"/>
    </row>
    <row r="4728" ht="27.75" customHeight="1" s="24">
      <c r="A4728" s="13" t="n">
        <v>5000090538</v>
      </c>
      <c r="B4728" s="13" t="inlineStr">
        <is>
          <t>Контрольно-счетная палата города Южно-Сахалинска</t>
        </is>
      </c>
      <c r="C4728" s="13" t="n">
        <v>6500001620</v>
      </c>
      <c r="D4728" s="13" t="inlineStr">
        <is>
          <t>6500001620</t>
        </is>
      </c>
      <c r="E4728" s="13" t="inlineStr">
        <is>
          <t>ЮЛ РФ</t>
        </is>
      </c>
      <c r="F4728" s="13" t="n"/>
      <c r="G4728" s="14" t="n"/>
      <c r="H4728" s="14" t="n"/>
      <c r="I4728" s="14" t="n"/>
      <c r="J4728" s="14" t="n"/>
      <c r="K4728" s="53" t="inlineStr"/>
      <c r="L4728" s="53" t="inlineStr">
        <is>
          <t>Не определено</t>
        </is>
      </c>
      <c r="M4728" s="53" t="inlineStr"/>
      <c r="N4728" s="54" t="inlineStr"/>
      <c r="O4728" s="55" t="inlineStr"/>
      <c r="P4728" s="16" t="inlineStr">
        <is>
          <t>Требует обогащения</t>
        </is>
      </c>
      <c r="Q4728" s="16">
        <f>HYPERLINK("https://pb.nalog.ru/search.html?query=6500001620","ФНС: проверить")</f>
        <v/>
      </c>
      <c r="R4728" s="16">
        <f>HYPERLINK("https://checko.ru/search?query=3801001629","Чекко: проверить")</f>
        <v/>
      </c>
      <c r="S4728" t="n">
        <v>1</v>
      </c>
      <c r="T4728" s="35" t="inlineStr">
        <is>
          <t>4 — Не обогащён</t>
        </is>
      </c>
      <c r="U4728" s="35" t="inlineStr">
        <is>
          <t>Нет ОКВЭД/ССЧР</t>
        </is>
      </c>
      <c r="V4728" s="35" t="inlineStr">
        <is>
          <t>Не определено</t>
        </is>
      </c>
      <c r="W4728" s="35" t="inlineStr"/>
      <c r="X4728" s="35" t="inlineStr"/>
    </row>
    <row r="4729" ht="27.75" customHeight="1" s="24">
      <c r="A4729" s="13" t="n">
        <v>5000089908</v>
      </c>
      <c r="B4729" s="13" t="inlineStr">
        <is>
          <t>МКУ «МКУ “ХТУ ПО ОБСЛУЖИВАНИЮ МУНИЦЫПАЛЬНЫХ УЧРЕЖДЕНИЙ”</t>
        </is>
      </c>
      <c r="C4729" s="13" t="n">
        <v>6504025164</v>
      </c>
      <c r="D4729" s="13" t="inlineStr">
        <is>
          <t>6504025164</t>
        </is>
      </c>
      <c r="E4729" s="13" t="inlineStr">
        <is>
          <t>ЮЛ РФ</t>
        </is>
      </c>
      <c r="F4729" s="13" t="n"/>
      <c r="G4729" s="14" t="n"/>
      <c r="H4729" s="14" t="n"/>
      <c r="I4729" s="14" t="n"/>
      <c r="J4729" s="14" t="n"/>
      <c r="K4729" s="53" t="inlineStr"/>
      <c r="L4729" s="53" t="inlineStr">
        <is>
          <t>Не определено</t>
        </is>
      </c>
      <c r="M4729" s="53" t="inlineStr"/>
      <c r="N4729" s="54" t="inlineStr"/>
      <c r="O4729" s="55" t="inlineStr"/>
      <c r="P4729" s="16" t="inlineStr">
        <is>
          <t>Требует обогащения</t>
        </is>
      </c>
      <c r="Q4729" s="16">
        <f>HYPERLINK("https://pb.nalog.ru/search.html?query=6504025164","ФНС: проверить")</f>
        <v/>
      </c>
      <c r="R4729" s="16">
        <f>HYPERLINK("https://checko.ru/search?query=3801001629","Чекко: проверить")</f>
        <v/>
      </c>
      <c r="S4729" t="n">
        <v>1</v>
      </c>
      <c r="T4729" s="35" t="inlineStr">
        <is>
          <t>4 — Не обогащён</t>
        </is>
      </c>
      <c r="U4729" s="35" t="inlineStr">
        <is>
          <t>Нет ОКВЭД/ССЧР</t>
        </is>
      </c>
      <c r="V4729" s="35" t="inlineStr">
        <is>
          <t>Не определено</t>
        </is>
      </c>
      <c r="W4729" s="35" t="inlineStr"/>
      <c r="X4729" s="35" t="inlineStr"/>
    </row>
    <row r="4730" ht="54.75" customHeight="1" s="24">
      <c r="A4730" s="13" t="n">
        <v>5000089912</v>
      </c>
      <c r="B4730" s="13" t="inlineStr">
        <is>
          <t>Департамент финансов администрации Корсаковского городского округа (Департамент социального развития администрации  Корсаковского городского округа)</t>
        </is>
      </c>
      <c r="C4730" s="13" t="n">
        <v>6504000025</v>
      </c>
      <c r="D4730" s="13" t="inlineStr">
        <is>
          <t>6504000025</t>
        </is>
      </c>
      <c r="E4730" s="13" t="inlineStr">
        <is>
          <t>ЮЛ РФ</t>
        </is>
      </c>
      <c r="F4730" s="13" t="n"/>
      <c r="G4730" s="14" t="n"/>
      <c r="H4730" s="14" t="n"/>
      <c r="I4730" s="14" t="n"/>
      <c r="J4730" s="14" t="n"/>
      <c r="K4730" s="53" t="inlineStr"/>
      <c r="L4730" s="53" t="inlineStr">
        <is>
          <t>Не определено</t>
        </is>
      </c>
      <c r="M4730" s="53" t="inlineStr"/>
      <c r="N4730" s="54" t="inlineStr"/>
      <c r="O4730" s="55" t="inlineStr"/>
      <c r="P4730" s="16" t="inlineStr">
        <is>
          <t>Требует обогащения</t>
        </is>
      </c>
      <c r="Q4730" s="16">
        <f>HYPERLINK("https://pb.nalog.ru/search.html?query=6504000025","ФНС: проверить")</f>
        <v/>
      </c>
      <c r="R4730" s="16">
        <f>HYPERLINK("https://checko.ru/search?query=3801001629","Чекко: проверить")</f>
        <v/>
      </c>
      <c r="S4730" t="n">
        <v>1</v>
      </c>
      <c r="T4730" s="35" t="inlineStr">
        <is>
          <t>4 — Не обогащён</t>
        </is>
      </c>
      <c r="U4730" s="35" t="inlineStr">
        <is>
          <t>Нет ОКВЭД/ССЧР</t>
        </is>
      </c>
      <c r="V4730" s="35" t="inlineStr">
        <is>
          <t>Не определено</t>
        </is>
      </c>
      <c r="W4730" s="35" t="inlineStr"/>
      <c r="X4730" s="35" t="inlineStr"/>
    </row>
    <row r="4731" ht="15" customHeight="1" s="24">
      <c r="A4731" s="13" t="n">
        <v>5000119652</v>
      </c>
      <c r="B4731" s="13" t="inlineStr">
        <is>
          <t>МАОУ СОШ № 24 Г. ЮЖНО-САХАЛИНСКА</t>
        </is>
      </c>
      <c r="C4731" s="13" t="n">
        <v>6500017356</v>
      </c>
      <c r="D4731" s="13" t="inlineStr">
        <is>
          <t>6500017356</t>
        </is>
      </c>
      <c r="E4731" s="13" t="inlineStr">
        <is>
          <t>ЮЛ РФ</t>
        </is>
      </c>
      <c r="F4731" s="13" t="n"/>
      <c r="G4731" s="14" t="n"/>
      <c r="H4731" s="14" t="n"/>
      <c r="I4731" s="14" t="n"/>
      <c r="J4731" s="14" t="n"/>
      <c r="K4731" s="53" t="inlineStr"/>
      <c r="L4731" s="53" t="inlineStr">
        <is>
          <t>Не определено</t>
        </is>
      </c>
      <c r="M4731" s="53" t="inlineStr"/>
      <c r="N4731" s="54" t="inlineStr"/>
      <c r="O4731" s="55" t="inlineStr"/>
      <c r="P4731" s="16" t="inlineStr">
        <is>
          <t>Требует обогащения</t>
        </is>
      </c>
      <c r="Q4731" s="16">
        <f>HYPERLINK("https://pb.nalog.ru/search.html?query=6500017356","ФНС: проверить")</f>
        <v/>
      </c>
      <c r="R4731" s="16">
        <f>HYPERLINK("https://checko.ru/search?query=3801001629","Чекко: проверить")</f>
        <v/>
      </c>
      <c r="S4731" t="n">
        <v>1</v>
      </c>
      <c r="T4731" s="35" t="inlineStr">
        <is>
          <t>4 — Не обогащён</t>
        </is>
      </c>
      <c r="U4731" s="35" t="inlineStr">
        <is>
          <t>Нет ОКВЭД/ССЧР</t>
        </is>
      </c>
      <c r="V4731" s="35" t="inlineStr">
        <is>
          <t>Не определено</t>
        </is>
      </c>
      <c r="W4731" s="35" t="inlineStr"/>
      <c r="X4731" s="35" t="inlineStr"/>
    </row>
    <row r="4732" ht="15" customHeight="1" s="24">
      <c r="A4732" s="13" t="n">
        <v>5000119653</v>
      </c>
      <c r="B4732" s="13" t="inlineStr">
        <is>
          <t>СОБРАНИЕ СК МО</t>
        </is>
      </c>
      <c r="C4732" s="13" t="n">
        <v>6515001937</v>
      </c>
      <c r="D4732" s="13" t="inlineStr">
        <is>
          <t>6515001937</t>
        </is>
      </c>
      <c r="E4732" s="13" t="inlineStr">
        <is>
          <t>ЮЛ РФ</t>
        </is>
      </c>
      <c r="F4732" s="13" t="n"/>
      <c r="G4732" s="14" t="n"/>
      <c r="H4732" s="14" t="n"/>
      <c r="I4732" s="14" t="n"/>
      <c r="J4732" s="14" t="n"/>
      <c r="K4732" s="53" t="inlineStr"/>
      <c r="L4732" s="53" t="inlineStr">
        <is>
          <t>Не определено</t>
        </is>
      </c>
      <c r="M4732" s="53" t="inlineStr"/>
      <c r="N4732" s="54" t="inlineStr"/>
      <c r="O4732" s="55" t="inlineStr"/>
      <c r="P4732" s="16" t="inlineStr">
        <is>
          <t>Требует обогащения</t>
        </is>
      </c>
      <c r="Q4732" s="16">
        <f>HYPERLINK("https://pb.nalog.ru/search.html?query=6515001937","ФНС: проверить")</f>
        <v/>
      </c>
      <c r="R4732" s="16">
        <f>HYPERLINK("https://checko.ru/search?query=3801001629","Чекко: проверить")</f>
        <v/>
      </c>
      <c r="S4732" t="n">
        <v>1</v>
      </c>
      <c r="T4732" s="35" t="inlineStr">
        <is>
          <t>4 — Не обогащён</t>
        </is>
      </c>
      <c r="U4732" s="35" t="inlineStr">
        <is>
          <t>Нет ОКВЭД/ССЧР</t>
        </is>
      </c>
      <c r="V4732" s="35" t="inlineStr">
        <is>
          <t>Не определено</t>
        </is>
      </c>
      <c r="W4732" s="35" t="inlineStr"/>
      <c r="X4732" s="35" t="inlineStr"/>
    </row>
    <row r="4733" ht="27.75" customHeight="1" s="24">
      <c r="A4733" s="13" t="n">
        <v>5000119654</v>
      </c>
      <c r="B4733" s="13" t="inlineStr">
        <is>
          <t>КСП СЕВЕРО-КУРИЛЬСКОГО МУНИЦИПАЛЬНОГО ОКРУГА</t>
        </is>
      </c>
      <c r="C4733" s="13" t="n">
        <v>6515003370</v>
      </c>
      <c r="D4733" s="13" t="inlineStr">
        <is>
          <t>6515003370</t>
        </is>
      </c>
      <c r="E4733" s="13" t="inlineStr">
        <is>
          <t>ЮЛ РФ</t>
        </is>
      </c>
      <c r="F4733" s="13" t="n"/>
      <c r="G4733" s="14" t="n"/>
      <c r="H4733" s="14" t="n"/>
      <c r="I4733" s="14" t="n"/>
      <c r="J4733" s="14" t="n"/>
      <c r="K4733" s="53" t="inlineStr"/>
      <c r="L4733" s="53" t="inlineStr">
        <is>
          <t>Не определено</t>
        </is>
      </c>
      <c r="M4733" s="53" t="inlineStr"/>
      <c r="N4733" s="54" t="inlineStr"/>
      <c r="O4733" s="55" t="inlineStr"/>
      <c r="P4733" s="16" t="inlineStr">
        <is>
          <t>Требует обогащения</t>
        </is>
      </c>
      <c r="Q4733" s="16">
        <f>HYPERLINK("https://pb.nalog.ru/search.html?query=6515003370","ФНС: проверить")</f>
        <v/>
      </c>
      <c r="R4733" s="16">
        <f>HYPERLINK("https://checko.ru/search?query=3801001629","Чекко: проверить")</f>
        <v/>
      </c>
      <c r="S4733" t="n">
        <v>1</v>
      </c>
      <c r="T4733" s="35" t="inlineStr">
        <is>
          <t>4 — Не обогащён</t>
        </is>
      </c>
      <c r="U4733" s="35" t="inlineStr">
        <is>
          <t>Нет ОКВЭД/ССЧР</t>
        </is>
      </c>
      <c r="V4733" s="35" t="inlineStr">
        <is>
          <t>Не определено</t>
        </is>
      </c>
      <c r="W4733" s="35" t="inlineStr"/>
      <c r="X4733" s="35" t="inlineStr"/>
    </row>
    <row r="4734" ht="15" customHeight="1" s="24">
      <c r="A4734" s="13" t="n">
        <v>5000119655</v>
      </c>
      <c r="B4734" s="13" t="inlineStr">
        <is>
          <t>МКУ "УПРАВЛЕНИЕ СК МО"</t>
        </is>
      </c>
      <c r="C4734" s="13" t="n">
        <v>6500006202</v>
      </c>
      <c r="D4734" s="13" t="inlineStr">
        <is>
          <t>6500006202</t>
        </is>
      </c>
      <c r="E4734" s="13" t="inlineStr">
        <is>
          <t>ЮЛ РФ</t>
        </is>
      </c>
      <c r="F4734" s="13" t="n"/>
      <c r="G4734" s="14" t="n"/>
      <c r="H4734" s="14" t="n"/>
      <c r="I4734" s="14" t="n"/>
      <c r="J4734" s="14" t="n"/>
      <c r="K4734" s="53" t="inlineStr"/>
      <c r="L4734" s="53" t="inlineStr">
        <is>
          <t>Не определено</t>
        </is>
      </c>
      <c r="M4734" s="53" t="inlineStr"/>
      <c r="N4734" s="54" t="inlineStr"/>
      <c r="O4734" s="55" t="inlineStr"/>
      <c r="P4734" s="16" t="inlineStr">
        <is>
          <t>Требует обогащения</t>
        </is>
      </c>
      <c r="Q4734" s="16">
        <f>HYPERLINK("https://pb.nalog.ru/search.html?query=6500006202","ФНС: проверить")</f>
        <v/>
      </c>
      <c r="R4734" s="16">
        <f>HYPERLINK("https://checko.ru/search?query=3801001629","Чекко: проверить")</f>
        <v/>
      </c>
      <c r="S4734" t="n">
        <v>1</v>
      </c>
      <c r="T4734" s="35" t="inlineStr">
        <is>
          <t>4 — Не обогащён</t>
        </is>
      </c>
      <c r="U4734" s="35" t="inlineStr">
        <is>
          <t>Нет ОКВЭД/ССЧР</t>
        </is>
      </c>
      <c r="V4734" s="35" t="inlineStr">
        <is>
          <t>Не определено</t>
        </is>
      </c>
      <c r="W4734" s="35" t="inlineStr"/>
      <c r="X4734" s="35" t="inlineStr"/>
    </row>
    <row r="4735" ht="15" customHeight="1" s="24">
      <c r="A4735" s="13" t="n">
        <v>5000119674</v>
      </c>
      <c r="B4735" s="13" t="inlineStr">
        <is>
          <t>МБУ "РЕДАКЦИЯ ГАЗЕТЫ "КУРИЛЬСКИЙ РЫБАК"</t>
        </is>
      </c>
      <c r="C4735" s="13" t="n">
        <v>6500016338</v>
      </c>
      <c r="D4735" s="13" t="inlineStr">
        <is>
          <t>6500016338</t>
        </is>
      </c>
      <c r="E4735" s="13" t="inlineStr">
        <is>
          <t>ЮЛ РФ</t>
        </is>
      </c>
      <c r="F4735" s="13" t="n"/>
      <c r="G4735" s="14" t="n"/>
      <c r="H4735" s="14" t="n"/>
      <c r="I4735" s="14" t="n"/>
      <c r="J4735" s="14" t="n"/>
      <c r="K4735" s="53" t="inlineStr"/>
      <c r="L4735" s="53" t="inlineStr">
        <is>
          <t>Не определено</t>
        </is>
      </c>
      <c r="M4735" s="53" t="inlineStr"/>
      <c r="N4735" s="54" t="inlineStr"/>
      <c r="O4735" s="55" t="inlineStr"/>
      <c r="P4735" s="16" t="inlineStr">
        <is>
          <t>Требует обогащения</t>
        </is>
      </c>
      <c r="Q4735" s="16">
        <f>HYPERLINK("https://pb.nalog.ru/search.html?query=6500016338","ФНС: проверить")</f>
        <v/>
      </c>
      <c r="R4735" s="16">
        <f>HYPERLINK("https://checko.ru/search?query=3801001629","Чекко: проверить")</f>
        <v/>
      </c>
      <c r="S4735" t="n">
        <v>1</v>
      </c>
      <c r="T4735" s="35" t="inlineStr">
        <is>
          <t>4 — Не обогащён</t>
        </is>
      </c>
      <c r="U4735" s="35" t="inlineStr">
        <is>
          <t>Нет ОКВЭД/ССЧР</t>
        </is>
      </c>
      <c r="V4735" s="35" t="inlineStr">
        <is>
          <t>Не определено</t>
        </is>
      </c>
      <c r="W4735" s="35" t="inlineStr"/>
      <c r="X4735" s="35" t="inlineStr"/>
    </row>
    <row r="4736" ht="15" customHeight="1" s="24">
      <c r="A4736" s="13" t="n">
        <v>5000119678</v>
      </c>
      <c r="B4736" s="13" t="inlineStr">
        <is>
          <t>МБУ "СК краеведческий музей"</t>
        </is>
      </c>
      <c r="C4736" s="13" t="n">
        <v>6515000891</v>
      </c>
      <c r="D4736" s="13" t="inlineStr">
        <is>
          <t>6515000891</t>
        </is>
      </c>
      <c r="E4736" s="13" t="inlineStr">
        <is>
          <t>ЮЛ РФ</t>
        </is>
      </c>
      <c r="F4736" s="13" t="n"/>
      <c r="G4736" s="14" t="n"/>
      <c r="H4736" s="14" t="n"/>
      <c r="I4736" s="14" t="n"/>
      <c r="J4736" s="14" t="n"/>
      <c r="K4736" s="53" t="inlineStr"/>
      <c r="L4736" s="53" t="inlineStr">
        <is>
          <t>Не определено</t>
        </is>
      </c>
      <c r="M4736" s="53" t="inlineStr"/>
      <c r="N4736" s="54" t="inlineStr"/>
      <c r="O4736" s="55" t="inlineStr"/>
      <c r="P4736" s="16" t="inlineStr">
        <is>
          <t>Требует обогащения</t>
        </is>
      </c>
      <c r="Q4736" s="16">
        <f>HYPERLINK("https://pb.nalog.ru/search.html?query=6515000891","ФНС: проверить")</f>
        <v/>
      </c>
      <c r="R4736" s="16">
        <f>HYPERLINK("https://checko.ru/search?query=3801001629","Чекко: проверить")</f>
        <v/>
      </c>
      <c r="S4736" t="n">
        <v>1</v>
      </c>
      <c r="T4736" s="35" t="inlineStr">
        <is>
          <t>4 — Не обогащён</t>
        </is>
      </c>
      <c r="U4736" s="35" t="inlineStr">
        <is>
          <t>Нет ОКВЭД/ССЧР</t>
        </is>
      </c>
      <c r="V4736" s="35" t="inlineStr">
        <is>
          <t>Не определено</t>
        </is>
      </c>
      <c r="W4736" s="35" t="inlineStr"/>
      <c r="X4736" s="35" t="inlineStr"/>
    </row>
    <row r="4737" ht="15" customHeight="1" s="24">
      <c r="A4737" s="13" t="n">
        <v>5000119680</v>
      </c>
      <c r="B4737" s="13" t="inlineStr">
        <is>
          <t>МБОУ ДО "ДШИ Г.СЕВЕРО-КУРИЛЬСКА"</t>
        </is>
      </c>
      <c r="C4737" s="13" t="n">
        <v>6515001768</v>
      </c>
      <c r="D4737" s="13" t="inlineStr">
        <is>
          <t>6515001768</t>
        </is>
      </c>
      <c r="E4737" s="13" t="inlineStr">
        <is>
          <t>ЮЛ РФ</t>
        </is>
      </c>
      <c r="F4737" s="13" t="n"/>
      <c r="G4737" s="14" t="n"/>
      <c r="H4737" s="14" t="n"/>
      <c r="I4737" s="14" t="n"/>
      <c r="J4737" s="14" t="n"/>
      <c r="K4737" s="53" t="inlineStr"/>
      <c r="L4737" s="53" t="inlineStr">
        <is>
          <t>Не определено</t>
        </is>
      </c>
      <c r="M4737" s="53" t="inlineStr"/>
      <c r="N4737" s="54" t="inlineStr"/>
      <c r="O4737" s="55" t="inlineStr"/>
      <c r="P4737" s="16" t="inlineStr">
        <is>
          <t>Требует обогащения</t>
        </is>
      </c>
      <c r="Q4737" s="16">
        <f>HYPERLINK("https://pb.nalog.ru/search.html?query=6515001768","ФНС: проверить")</f>
        <v/>
      </c>
      <c r="R4737" s="16">
        <f>HYPERLINK("https://checko.ru/search?query=3801001629","Чекко: проверить")</f>
        <v/>
      </c>
      <c r="S4737" t="n">
        <v>1</v>
      </c>
      <c r="T4737" s="35" t="inlineStr">
        <is>
          <t>4 — Не обогащён</t>
        </is>
      </c>
      <c r="U4737" s="35" t="inlineStr">
        <is>
          <t>Нет ОКВЭД/ССЧР</t>
        </is>
      </c>
      <c r="V4737" s="35" t="inlineStr">
        <is>
          <t>Не определено</t>
        </is>
      </c>
      <c r="W4737" s="35" t="inlineStr"/>
      <c r="X4737" s="35" t="inlineStr"/>
    </row>
    <row r="4738" ht="54.75" customHeight="1" s="24">
      <c r="A4738" s="13" t="n">
        <v>5000117986</v>
      </c>
      <c r="B4738" s="13" t="inlineStr">
        <is>
          <t>Комитет по управлению муниципальным имуществом муниципального образования Ногликский муниципальный округ Сахалинской области</t>
        </is>
      </c>
      <c r="C4738" s="13" t="n">
        <v>6513001160</v>
      </c>
      <c r="D4738" s="13" t="inlineStr">
        <is>
          <t>6513001160</t>
        </is>
      </c>
      <c r="E4738" s="13" t="inlineStr">
        <is>
          <t>ЮЛ РФ</t>
        </is>
      </c>
      <c r="F4738" s="13" t="n"/>
      <c r="G4738" s="14" t="n"/>
      <c r="H4738" s="14" t="n"/>
      <c r="I4738" s="14" t="n"/>
      <c r="J4738" s="14" t="n"/>
      <c r="K4738" s="53" t="inlineStr"/>
      <c r="L4738" s="53" t="inlineStr">
        <is>
          <t>Не определено</t>
        </is>
      </c>
      <c r="M4738" s="53" t="inlineStr"/>
      <c r="N4738" s="54" t="inlineStr"/>
      <c r="O4738" s="55" t="inlineStr"/>
      <c r="P4738" s="16" t="inlineStr">
        <is>
          <t>Требует обогащения</t>
        </is>
      </c>
      <c r="Q4738" s="16">
        <f>HYPERLINK("https://pb.nalog.ru/search.html?query=6513001160","ФНС: проверить")</f>
        <v/>
      </c>
      <c r="R4738" s="16">
        <f>HYPERLINK("https://checko.ru/search?query=3801001629","Чекко: проверить")</f>
        <v/>
      </c>
      <c r="S4738" t="n">
        <v>1</v>
      </c>
      <c r="T4738" s="35" t="inlineStr">
        <is>
          <t>4 — Не обогащён</t>
        </is>
      </c>
      <c r="U4738" s="35" t="inlineStr">
        <is>
          <t>Нет ОКВЭД/ССЧР</t>
        </is>
      </c>
      <c r="V4738" s="35" t="inlineStr">
        <is>
          <t>Не определено</t>
        </is>
      </c>
      <c r="W4738" s="35" t="inlineStr"/>
      <c r="X4738" s="35" t="inlineStr"/>
    </row>
    <row r="4739" ht="54.75" customHeight="1" s="24">
      <c r="A4739" s="13" t="n">
        <v>5000117986</v>
      </c>
      <c r="B4739" s="13" t="inlineStr">
        <is>
          <t>Комитет по управлению муниципальным имуществом муниципального образования Ногликский муниципальный округ Сахалинской области</t>
        </is>
      </c>
      <c r="C4739" s="13" t="n">
        <v>6513001160</v>
      </c>
      <c r="D4739" s="13" t="inlineStr">
        <is>
          <t>6513001160</t>
        </is>
      </c>
      <c r="E4739" s="13" t="inlineStr">
        <is>
          <t>ЮЛ РФ</t>
        </is>
      </c>
      <c r="F4739" s="13" t="n"/>
      <c r="G4739" s="14" t="n"/>
      <c r="H4739" s="14" t="n"/>
      <c r="I4739" s="14" t="n"/>
      <c r="J4739" s="14" t="n"/>
      <c r="K4739" s="53" t="inlineStr"/>
      <c r="L4739" s="53" t="inlineStr">
        <is>
          <t>Не определено</t>
        </is>
      </c>
      <c r="M4739" s="53" t="inlineStr"/>
      <c r="N4739" s="54" t="inlineStr"/>
      <c r="O4739" s="55" t="inlineStr"/>
      <c r="P4739" s="16" t="inlineStr">
        <is>
          <t>Требует обогащения</t>
        </is>
      </c>
      <c r="Q4739" s="16">
        <f>HYPERLINK("https://pb.nalog.ru/search.html?query=6513001160","ФНС: проверить")</f>
        <v/>
      </c>
      <c r="R4739" s="16">
        <f>HYPERLINK("https://checko.ru/search?query=3801001629","Чекко: проверить")</f>
        <v/>
      </c>
      <c r="S4739" t="n">
        <v>0</v>
      </c>
      <c r="T4739" s="35" t="inlineStr">
        <is>
          <t>4 — Не обогащён</t>
        </is>
      </c>
      <c r="U4739" s="35" t="inlineStr">
        <is>
          <t>Нет ОКВЭД/ССЧР</t>
        </is>
      </c>
      <c r="V4739" s="35" t="inlineStr">
        <is>
          <t>Не определено</t>
        </is>
      </c>
      <c r="W4739" s="35" t="inlineStr"/>
      <c r="X4739" s="35" t="inlineStr"/>
    </row>
    <row r="4740" ht="15" customHeight="1" s="24">
      <c r="A4740" s="13" t="n">
        <v>5000119009</v>
      </c>
      <c r="B4740" s="13" t="inlineStr">
        <is>
          <t>МАДОУ № 7 "УМКА" Г. ЮЖНО-САХАЛИНСКА</t>
        </is>
      </c>
      <c r="C4740" s="13" t="n">
        <v>6500011587</v>
      </c>
      <c r="D4740" s="13" t="inlineStr">
        <is>
          <t>6500011587</t>
        </is>
      </c>
      <c r="E4740" s="13" t="inlineStr">
        <is>
          <t>ЮЛ РФ</t>
        </is>
      </c>
      <c r="F4740" s="13" t="n"/>
      <c r="G4740" s="14" t="n"/>
      <c r="H4740" s="14" t="n"/>
      <c r="I4740" s="14" t="n"/>
      <c r="J4740" s="14" t="n"/>
      <c r="K4740" s="53" t="inlineStr"/>
      <c r="L4740" s="53" t="inlineStr">
        <is>
          <t>Не определено</t>
        </is>
      </c>
      <c r="M4740" s="53" t="inlineStr"/>
      <c r="N4740" s="54" t="inlineStr"/>
      <c r="O4740" s="55" t="inlineStr"/>
      <c r="P4740" s="16" t="inlineStr">
        <is>
          <t>Требует обогащения</t>
        </is>
      </c>
      <c r="Q4740" s="16">
        <f>HYPERLINK("https://pb.nalog.ru/search.html?query=6500011587","ФНС: проверить")</f>
        <v/>
      </c>
      <c r="R4740" s="16">
        <f>HYPERLINK("https://checko.ru/search?query=3801001629","Чекко: проверить")</f>
        <v/>
      </c>
      <c r="S4740" t="n">
        <v>1</v>
      </c>
      <c r="T4740" s="35" t="inlineStr">
        <is>
          <t>4 — Не обогащён</t>
        </is>
      </c>
      <c r="U4740" s="35" t="inlineStr">
        <is>
          <t>Нет ОКВЭД/ССЧР</t>
        </is>
      </c>
      <c r="V4740" s="35" t="inlineStr">
        <is>
          <t>Не определено</t>
        </is>
      </c>
      <c r="W4740" s="35" t="inlineStr"/>
      <c r="X4740" s="35" t="inlineStr"/>
    </row>
    <row r="4741" ht="27.75" customHeight="1" s="24">
      <c r="A4741" s="13" t="n">
        <v>5000119010</v>
      </c>
      <c r="B4741" s="13" t="inlineStr">
        <is>
          <t>МКУ "УПРАВЛЕНИЕ ДЕЛАМИ АДМИНИСТРАЦИИ КУРИЛЬСКОГО МУНИЦИПАЛЬНОГО ОКРУГА"</t>
        </is>
      </c>
      <c r="C4741" s="13" t="n">
        <v>6500025928</v>
      </c>
      <c r="D4741" s="13" t="inlineStr">
        <is>
          <t>6500025928</t>
        </is>
      </c>
      <c r="E4741" s="13" t="inlineStr">
        <is>
          <t>ЮЛ РФ</t>
        </is>
      </c>
      <c r="F4741" s="13" t="n"/>
      <c r="G4741" s="14" t="n"/>
      <c r="H4741" s="14" t="n"/>
      <c r="I4741" s="14" t="n"/>
      <c r="J4741" s="14" t="n"/>
      <c r="K4741" s="53" t="inlineStr"/>
      <c r="L4741" s="53" t="inlineStr">
        <is>
          <t>Не определено</t>
        </is>
      </c>
      <c r="M4741" s="53" t="inlineStr"/>
      <c r="N4741" s="54" t="inlineStr"/>
      <c r="O4741" s="55" t="inlineStr"/>
      <c r="P4741" s="16" t="inlineStr">
        <is>
          <t>Требует обогащения</t>
        </is>
      </c>
      <c r="Q4741" s="16">
        <f>HYPERLINK("https://pb.nalog.ru/search.html?query=6500025928","ФНС: проверить")</f>
        <v/>
      </c>
      <c r="R4741" s="16">
        <f>HYPERLINK("https://checko.ru/search?query=3801001629","Чекко: проверить")</f>
        <v/>
      </c>
      <c r="S4741" t="n">
        <v>1</v>
      </c>
      <c r="T4741" s="35" t="inlineStr">
        <is>
          <t>4 — Не обогащён</t>
        </is>
      </c>
      <c r="U4741" s="35" t="inlineStr">
        <is>
          <t>Нет ОКВЭД/ССЧР</t>
        </is>
      </c>
      <c r="V4741" s="35" t="inlineStr">
        <is>
          <t>Не определено</t>
        </is>
      </c>
      <c r="W4741" s="35" t="inlineStr"/>
      <c r="X4741" s="35" t="inlineStr"/>
    </row>
    <row r="4742" ht="15" customHeight="1" s="24">
      <c r="A4742" s="13" t="n">
        <v>5000119011</v>
      </c>
      <c r="B4742" s="13" t="inlineStr">
        <is>
          <t>МКУ "УПРАВЛЕНИЕ ГОИЧС"</t>
        </is>
      </c>
      <c r="C4742" s="13" t="n">
        <v>6500006700</v>
      </c>
      <c r="D4742" s="13" t="inlineStr">
        <is>
          <t>6500006700</t>
        </is>
      </c>
      <c r="E4742" s="13" t="inlineStr">
        <is>
          <t>ЮЛ РФ</t>
        </is>
      </c>
      <c r="F4742" s="13" t="n"/>
      <c r="G4742" s="14" t="n"/>
      <c r="H4742" s="14" t="n"/>
      <c r="I4742" s="14" t="n"/>
      <c r="J4742" s="14" t="n"/>
      <c r="K4742" s="53" t="inlineStr"/>
      <c r="L4742" s="53" t="inlineStr">
        <is>
          <t>Не определено</t>
        </is>
      </c>
      <c r="M4742" s="53" t="inlineStr"/>
      <c r="N4742" s="54" t="inlineStr"/>
      <c r="O4742" s="55" t="inlineStr"/>
      <c r="P4742" s="16" t="inlineStr">
        <is>
          <t>Требует обогащения</t>
        </is>
      </c>
      <c r="Q4742" s="16">
        <f>HYPERLINK("https://pb.nalog.ru/search.html?query=6500006700","ФНС: проверить")</f>
        <v/>
      </c>
      <c r="R4742" s="16">
        <f>HYPERLINK("https://checko.ru/search?query=3801001629","Чекко: проверить")</f>
        <v/>
      </c>
      <c r="S4742" t="n">
        <v>1</v>
      </c>
      <c r="T4742" s="35" t="inlineStr">
        <is>
          <t>4 — Не обогащён</t>
        </is>
      </c>
      <c r="U4742" s="35" t="inlineStr">
        <is>
          <t>Нет ОКВЭД/ССЧР</t>
        </is>
      </c>
      <c r="V4742" s="35" t="inlineStr">
        <is>
          <t>Не определено</t>
        </is>
      </c>
      <c r="W4742" s="35" t="inlineStr"/>
      <c r="X4742" s="35" t="inlineStr"/>
    </row>
    <row r="4743" ht="15" customHeight="1" s="24">
      <c r="A4743" s="13" t="n">
        <v>5000119012</v>
      </c>
      <c r="B4743" s="13" t="inlineStr">
        <is>
          <t>МБУ "СОК "КОСАТКА"</t>
        </is>
      </c>
      <c r="C4743" s="13" t="n">
        <v>6515003564</v>
      </c>
      <c r="D4743" s="13" t="inlineStr">
        <is>
          <t>6515003564</t>
        </is>
      </c>
      <c r="E4743" s="13" t="inlineStr">
        <is>
          <t>ЮЛ РФ</t>
        </is>
      </c>
      <c r="F4743" s="13" t="n"/>
      <c r="G4743" s="14" t="n"/>
      <c r="H4743" s="14" t="n"/>
      <c r="I4743" s="14" t="n"/>
      <c r="J4743" s="14" t="n"/>
      <c r="K4743" s="53" t="inlineStr"/>
      <c r="L4743" s="53" t="inlineStr">
        <is>
          <t>Не определено</t>
        </is>
      </c>
      <c r="M4743" s="53" t="inlineStr"/>
      <c r="N4743" s="54" t="inlineStr"/>
      <c r="O4743" s="55" t="inlineStr"/>
      <c r="P4743" s="16" t="inlineStr">
        <is>
          <t>Требует обогащения</t>
        </is>
      </c>
      <c r="Q4743" s="16">
        <f>HYPERLINK("https://pb.nalog.ru/search.html?query=6515003564","ФНС: проверить")</f>
        <v/>
      </c>
      <c r="R4743" s="16">
        <f>HYPERLINK("https://checko.ru/search?query=3801001629","Чекко: проверить")</f>
        <v/>
      </c>
      <c r="S4743" t="n">
        <v>1</v>
      </c>
      <c r="T4743" s="35" t="inlineStr">
        <is>
          <t>4 — Не обогащён</t>
        </is>
      </c>
      <c r="U4743" s="35" t="inlineStr">
        <is>
          <t>Нет ОКВЭД/ССЧР</t>
        </is>
      </c>
      <c r="V4743" s="35" t="inlineStr">
        <is>
          <t>Не определено</t>
        </is>
      </c>
      <c r="W4743" s="35" t="inlineStr"/>
      <c r="X4743" s="35" t="inlineStr"/>
    </row>
    <row r="4744" ht="27.75" customHeight="1" s="24">
      <c r="A4744" s="13" t="n">
        <v>5000119604</v>
      </c>
      <c r="B4744" s="13" t="inlineStr">
        <is>
          <t>УПОЛНОМОЧЕННЫЙ ПО ПРАВАМ РЕБЕНКА В ПРИМОРСКОМ КРАЕ</t>
        </is>
      </c>
      <c r="C4744" s="13" t="n">
        <v>2540254839</v>
      </c>
      <c r="D4744" s="13" t="inlineStr">
        <is>
          <t>2540254839</t>
        </is>
      </c>
      <c r="E4744" s="13" t="inlineStr">
        <is>
          <t>ЮЛ РФ</t>
        </is>
      </c>
      <c r="F4744" s="13" t="n"/>
      <c r="G4744" s="14" t="n"/>
      <c r="H4744" s="14" t="n"/>
      <c r="I4744" s="14" t="n"/>
      <c r="J4744" s="14" t="n"/>
      <c r="K4744" s="53" t="inlineStr"/>
      <c r="L4744" s="53" t="inlineStr">
        <is>
          <t>Не определено</t>
        </is>
      </c>
      <c r="M4744" s="53" t="inlineStr"/>
      <c r="N4744" s="54" t="inlineStr"/>
      <c r="O4744" s="55" t="inlineStr"/>
      <c r="P4744" s="16" t="inlineStr">
        <is>
          <t>Требует обогащения</t>
        </is>
      </c>
      <c r="Q4744" s="16">
        <f>HYPERLINK("https://pb.nalog.ru/search.html?query=2540254839","ФНС: проверить")</f>
        <v/>
      </c>
      <c r="R4744" s="16">
        <f>HYPERLINK("https://checko.ru/search?query=3801001629","Чекко: проверить")</f>
        <v/>
      </c>
      <c r="S4744" t="n">
        <v>1</v>
      </c>
      <c r="T4744" s="35" t="inlineStr">
        <is>
          <t>4 — Не обогащён</t>
        </is>
      </c>
      <c r="U4744" s="35" t="inlineStr">
        <is>
          <t>Нет ОКВЭД/ССЧР</t>
        </is>
      </c>
      <c r="V4744" s="35" t="inlineStr">
        <is>
          <t>Не определено</t>
        </is>
      </c>
      <c r="W4744" s="35" t="inlineStr"/>
      <c r="X4744" s="35" t="inlineStr"/>
    </row>
    <row r="4745" ht="27.75" customHeight="1" s="24">
      <c r="A4745" s="13" t="n">
        <v>5000118132</v>
      </c>
      <c r="B4745" s="13" t="inlineStr">
        <is>
          <t>Уполномоченный по Правам Ребенка в Сахалинской Области и Его Аппарат</t>
        </is>
      </c>
      <c r="C4745" s="13" t="n">
        <v>6501309070</v>
      </c>
      <c r="D4745" s="13" t="inlineStr">
        <is>
          <t>6501309070</t>
        </is>
      </c>
      <c r="E4745" s="13" t="inlineStr">
        <is>
          <t>ЮЛ РФ</t>
        </is>
      </c>
      <c r="F4745" s="13" t="n"/>
      <c r="G4745" s="14" t="n"/>
      <c r="H4745" s="14" t="n"/>
      <c r="I4745" s="14" t="n"/>
      <c r="J4745" s="14" t="n"/>
      <c r="K4745" s="53" t="inlineStr"/>
      <c r="L4745" s="53" t="inlineStr">
        <is>
          <t>Не определено</t>
        </is>
      </c>
      <c r="M4745" s="53" t="inlineStr"/>
      <c r="N4745" s="54" t="inlineStr"/>
      <c r="O4745" s="55" t="inlineStr"/>
      <c r="P4745" s="16" t="inlineStr">
        <is>
          <t>Требует обогащения</t>
        </is>
      </c>
      <c r="Q4745" s="16">
        <f>HYPERLINK("https://pb.nalog.ru/search.html?query=6501309070","ФНС: проверить")</f>
        <v/>
      </c>
      <c r="R4745" s="16">
        <f>HYPERLINK("https://checko.ru/search?query=3801001629","Чекко: проверить")</f>
        <v/>
      </c>
      <c r="S4745" t="n">
        <v>1</v>
      </c>
      <c r="T4745" s="35" t="inlineStr">
        <is>
          <t>4 — Не обогащён</t>
        </is>
      </c>
      <c r="U4745" s="35" t="inlineStr">
        <is>
          <t>Нет ОКВЭД/ССЧР</t>
        </is>
      </c>
      <c r="V4745" s="35" t="inlineStr">
        <is>
          <t>Не определено</t>
        </is>
      </c>
      <c r="W4745" s="35" t="inlineStr"/>
      <c r="X4745" s="35" t="inlineStr"/>
    </row>
    <row r="4746" ht="15" customHeight="1" s="24">
      <c r="A4746" s="13" t="n">
        <v>5000119182</v>
      </c>
      <c r="B4746" s="13" t="inlineStr">
        <is>
          <t>МКУ "АТУ"</t>
        </is>
      </c>
      <c r="C4746" s="13" t="n">
        <v>6500023014</v>
      </c>
      <c r="D4746" s="13" t="inlineStr">
        <is>
          <t>6500023014</t>
        </is>
      </c>
      <c r="E4746" s="13" t="inlineStr">
        <is>
          <t>ЮЛ РФ</t>
        </is>
      </c>
      <c r="F4746" s="13" t="n"/>
      <c r="G4746" s="14" t="n"/>
      <c r="H4746" s="14" t="n"/>
      <c r="I4746" s="14" t="n"/>
      <c r="J4746" s="14" t="n"/>
      <c r="K4746" s="53" t="inlineStr"/>
      <c r="L4746" s="53" t="inlineStr">
        <is>
          <t>Не определено</t>
        </is>
      </c>
      <c r="M4746" s="53" t="inlineStr"/>
      <c r="N4746" s="54" t="inlineStr"/>
      <c r="O4746" s="55" t="inlineStr"/>
      <c r="P4746" s="16" t="inlineStr">
        <is>
          <t>Требует обогащения</t>
        </is>
      </c>
      <c r="Q4746" s="16">
        <f>HYPERLINK("https://pb.nalog.ru/search.html?query=6500023014","ФНС: проверить")</f>
        <v/>
      </c>
      <c r="R4746" s="16">
        <f>HYPERLINK("https://checko.ru/search?query=3801001629","Чекко: проверить")</f>
        <v/>
      </c>
      <c r="S4746" t="n">
        <v>1</v>
      </c>
      <c r="T4746" s="35" t="inlineStr">
        <is>
          <t>4 — Не обогащён</t>
        </is>
      </c>
      <c r="U4746" s="35" t="inlineStr">
        <is>
          <t>Нет ОКВЭД/ССЧР</t>
        </is>
      </c>
      <c r="V4746" s="35" t="inlineStr">
        <is>
          <t>Не определено</t>
        </is>
      </c>
      <c r="W4746" s="35" t="inlineStr"/>
      <c r="X4746" s="35" t="inlineStr"/>
    </row>
    <row r="4747" ht="27.75" customHeight="1" s="24">
      <c r="A4747" s="13" t="n">
        <v>5000061113</v>
      </c>
      <c r="B4747" s="13" t="inlineStr">
        <is>
          <t>Администрация Краснотымовского сельского округа МО "Тымовский городской округ"</t>
        </is>
      </c>
      <c r="C4747" s="13" t="n">
        <v>6517001403</v>
      </c>
      <c r="D4747" s="13" t="inlineStr">
        <is>
          <t>6517001403</t>
        </is>
      </c>
      <c r="E4747" s="13" t="inlineStr">
        <is>
          <t>ЮЛ РФ</t>
        </is>
      </c>
      <c r="F4747" s="13" t="n"/>
      <c r="G4747" s="14" t="n"/>
      <c r="H4747" s="14" t="n"/>
      <c r="I4747" s="14" t="n"/>
      <c r="J4747" s="14" t="n"/>
      <c r="K4747" s="53" t="inlineStr"/>
      <c r="L4747" s="53" t="inlineStr">
        <is>
          <t>Не определено</t>
        </is>
      </c>
      <c r="M4747" s="53" t="inlineStr"/>
      <c r="N4747" s="54" t="inlineStr"/>
      <c r="O4747" s="55" t="inlineStr"/>
      <c r="P4747" s="16" t="inlineStr">
        <is>
          <t>Требует обогащения</t>
        </is>
      </c>
      <c r="Q4747" s="16">
        <f>HYPERLINK("https://pb.nalog.ru/search.html?query=6517001403","ФНС: проверить")</f>
        <v/>
      </c>
      <c r="R4747" s="16">
        <f>HYPERLINK("https://checko.ru/search?query=3801001629","Чекко: проверить")</f>
        <v/>
      </c>
      <c r="S4747" t="n">
        <v>1</v>
      </c>
      <c r="T4747" s="35" t="inlineStr">
        <is>
          <t>4 — Не обогащён</t>
        </is>
      </c>
      <c r="U4747" s="35" t="inlineStr">
        <is>
          <t>Нет ОКВЭД/ССЧР</t>
        </is>
      </c>
      <c r="V4747" s="35" t="inlineStr">
        <is>
          <t>Не определено</t>
        </is>
      </c>
      <c r="W4747" s="35" t="inlineStr"/>
      <c r="X4747" s="35" t="inlineStr"/>
    </row>
    <row r="4748" ht="27.75" customHeight="1" s="24">
      <c r="A4748" s="13" t="n">
        <v>5000061114</v>
      </c>
      <c r="B4748" s="13" t="inlineStr">
        <is>
          <t>Администрация Восходовского сельского округа МО "Тымовский городской округ"</t>
        </is>
      </c>
      <c r="C4748" s="13" t="n">
        <v>6517001516</v>
      </c>
      <c r="D4748" s="13" t="inlineStr">
        <is>
          <t>6517001516</t>
        </is>
      </c>
      <c r="E4748" s="13" t="inlineStr">
        <is>
          <t>ЮЛ РФ</t>
        </is>
      </c>
      <c r="F4748" s="13" t="n"/>
      <c r="G4748" s="14" t="n"/>
      <c r="H4748" s="14" t="n"/>
      <c r="I4748" s="14" t="n"/>
      <c r="J4748" s="14" t="n"/>
      <c r="K4748" s="53" t="inlineStr"/>
      <c r="L4748" s="53" t="inlineStr">
        <is>
          <t>Не определено</t>
        </is>
      </c>
      <c r="M4748" s="53" t="inlineStr"/>
      <c r="N4748" s="54" t="inlineStr"/>
      <c r="O4748" s="55" t="inlineStr"/>
      <c r="P4748" s="16" t="inlineStr">
        <is>
          <t>Требует обогащения</t>
        </is>
      </c>
      <c r="Q4748" s="16">
        <f>HYPERLINK("https://pb.nalog.ru/search.html?query=6517001516","ФНС: проверить")</f>
        <v/>
      </c>
      <c r="R4748" s="16">
        <f>HYPERLINK("https://checko.ru/search?query=3801001629","Чекко: проверить")</f>
        <v/>
      </c>
      <c r="S4748" t="n">
        <v>1</v>
      </c>
      <c r="T4748" s="35" t="inlineStr">
        <is>
          <t>4 — Не обогащён</t>
        </is>
      </c>
      <c r="U4748" s="35" t="inlineStr">
        <is>
          <t>Нет ОКВЭД/ССЧР</t>
        </is>
      </c>
      <c r="V4748" s="35" t="inlineStr">
        <is>
          <t>Не определено</t>
        </is>
      </c>
      <c r="W4748" s="35" t="inlineStr"/>
      <c r="X4748" s="35" t="inlineStr"/>
    </row>
    <row r="4749" ht="27.75" customHeight="1" s="24">
      <c r="A4749" s="13" t="n">
        <v>5000061115</v>
      </c>
      <c r="B4749" s="13" t="inlineStr">
        <is>
          <t>Администрация Ясновского сельского округа МО "Тымовский городской округ"</t>
        </is>
      </c>
      <c r="C4749" s="13" t="n">
        <v>6517001210</v>
      </c>
      <c r="D4749" s="13" t="inlineStr">
        <is>
          <t>6517001210</t>
        </is>
      </c>
      <c r="E4749" s="13" t="inlineStr">
        <is>
          <t>ЮЛ РФ</t>
        </is>
      </c>
      <c r="F4749" s="13" t="n"/>
      <c r="G4749" s="14" t="n"/>
      <c r="H4749" s="14" t="n"/>
      <c r="I4749" s="14" t="n"/>
      <c r="J4749" s="14" t="n"/>
      <c r="K4749" s="53" t="inlineStr"/>
      <c r="L4749" s="53" t="inlineStr">
        <is>
          <t>Не определено</t>
        </is>
      </c>
      <c r="M4749" s="53" t="inlineStr"/>
      <c r="N4749" s="54" t="inlineStr"/>
      <c r="O4749" s="55" t="inlineStr"/>
      <c r="P4749" s="16" t="inlineStr">
        <is>
          <t>Требует обогащения</t>
        </is>
      </c>
      <c r="Q4749" s="16">
        <f>HYPERLINK("https://pb.nalog.ru/search.html?query=6517001210","ФНС: проверить")</f>
        <v/>
      </c>
      <c r="R4749" s="16">
        <f>HYPERLINK("https://checko.ru/search?query=3801001629","Чекко: проверить")</f>
        <v/>
      </c>
      <c r="S4749" t="n">
        <v>1</v>
      </c>
      <c r="T4749" s="35" t="inlineStr">
        <is>
          <t>4 — Не обогащён</t>
        </is>
      </c>
      <c r="U4749" s="35" t="inlineStr">
        <is>
          <t>Нет ОКВЭД/ССЧР</t>
        </is>
      </c>
      <c r="V4749" s="35" t="inlineStr">
        <is>
          <t>Не определено</t>
        </is>
      </c>
      <c r="W4749" s="35" t="inlineStr"/>
      <c r="X4749" s="35" t="inlineStr"/>
    </row>
    <row r="4750" ht="41.25" customHeight="1" s="24">
      <c r="A4750" s="13" t="n">
        <v>5000051735</v>
      </c>
      <c r="B4750" s="13" t="inlineStr">
        <is>
          <t>Муниципальное бюджетное общеобразовательное учреждение «Начальная общеобразовательная школа № 7 с. Успенское»</t>
        </is>
      </c>
      <c r="C4750" s="13" t="n">
        <v>6510005590</v>
      </c>
      <c r="D4750" s="13" t="inlineStr">
        <is>
          <t>6510005590</t>
        </is>
      </c>
      <c r="E4750" s="13" t="inlineStr">
        <is>
          <t>ЮЛ РФ</t>
        </is>
      </c>
      <c r="F4750" s="13" t="n"/>
      <c r="G4750" s="14" t="n"/>
      <c r="H4750" s="14" t="n"/>
      <c r="I4750" s="14" t="n"/>
      <c r="J4750" s="14" t="n"/>
      <c r="K4750" s="53" t="inlineStr"/>
      <c r="L4750" s="53" t="inlineStr">
        <is>
          <t>Не определено</t>
        </is>
      </c>
      <c r="M4750" s="53" t="inlineStr"/>
      <c r="N4750" s="54" t="inlineStr"/>
      <c r="O4750" s="55" t="inlineStr"/>
      <c r="P4750" s="16" t="inlineStr">
        <is>
          <t>Требует обогащения</t>
        </is>
      </c>
      <c r="Q4750" s="16">
        <f>HYPERLINK("https://pb.nalog.ru/search.html?query=6510005590","ФНС: проверить")</f>
        <v/>
      </c>
      <c r="R4750" s="16">
        <f>HYPERLINK("https://checko.ru/search?query=3801001629","Чекко: проверить")</f>
        <v/>
      </c>
      <c r="S4750" t="n">
        <v>1</v>
      </c>
      <c r="T4750" s="35" t="inlineStr">
        <is>
          <t>4 — Не обогащён</t>
        </is>
      </c>
      <c r="U4750" s="35" t="inlineStr">
        <is>
          <t>Нет ОКВЭД/ССЧР</t>
        </is>
      </c>
      <c r="V4750" s="35" t="inlineStr">
        <is>
          <t>Не определено</t>
        </is>
      </c>
      <c r="W4750" s="35" t="inlineStr"/>
      <c r="X4750" s="35" t="inlineStr"/>
    </row>
    <row r="4751" ht="41.25" customHeight="1" s="24">
      <c r="A4751" s="13" t="n">
        <v>5000051736</v>
      </c>
      <c r="B4751" s="13" t="inlineStr">
        <is>
          <t>Муниципальное бюджетное дошкольное образовательное учреждение «Детский сад № 1 им. Ю.А. Гагарина»</t>
        </is>
      </c>
      <c r="C4751" s="13" t="n">
        <v>6510005494</v>
      </c>
      <c r="D4751" s="13" t="inlineStr">
        <is>
          <t>6510005494</t>
        </is>
      </c>
      <c r="E4751" s="13" t="inlineStr">
        <is>
          <t>ЮЛ РФ</t>
        </is>
      </c>
      <c r="F4751" s="13" t="n"/>
      <c r="G4751" s="14" t="n"/>
      <c r="H4751" s="14" t="n"/>
      <c r="I4751" s="14" t="n"/>
      <c r="J4751" s="14" t="n"/>
      <c r="K4751" s="53" t="inlineStr"/>
      <c r="L4751" s="53" t="inlineStr">
        <is>
          <t>Не определено</t>
        </is>
      </c>
      <c r="M4751" s="53" t="inlineStr"/>
      <c r="N4751" s="54" t="inlineStr"/>
      <c r="O4751" s="55" t="inlineStr"/>
      <c r="P4751" s="16" t="inlineStr">
        <is>
          <t>Требует обогащения</t>
        </is>
      </c>
      <c r="Q4751" s="16">
        <f>HYPERLINK("https://pb.nalog.ru/search.html?query=6510005494","ФНС: проверить")</f>
        <v/>
      </c>
      <c r="R4751" s="16">
        <f>HYPERLINK("https://checko.ru/search?query=3801001629","Чекко: проверить")</f>
        <v/>
      </c>
      <c r="S4751" t="n">
        <v>1</v>
      </c>
      <c r="T4751" s="35" t="inlineStr">
        <is>
          <t>4 — Не обогащён</t>
        </is>
      </c>
      <c r="U4751" s="35" t="inlineStr">
        <is>
          <t>Нет ОКВЭД/ССЧР</t>
        </is>
      </c>
      <c r="V4751" s="35" t="inlineStr">
        <is>
          <t>Не определено</t>
        </is>
      </c>
      <c r="W4751" s="35" t="inlineStr"/>
      <c r="X4751" s="35" t="inlineStr"/>
    </row>
    <row r="4752" ht="41.25" customHeight="1" s="24">
      <c r="A4752" s="13" t="n">
        <v>5000051737</v>
      </c>
      <c r="B4752" s="13" t="inlineStr">
        <is>
          <t>Муниципальное бюджетное дошкольное образовательное учреждение «Детский сад № 2 «Колокольчик» с. Троицкое»</t>
        </is>
      </c>
      <c r="C4752" s="13" t="n">
        <v>6510005416</v>
      </c>
      <c r="D4752" s="13" t="inlineStr">
        <is>
          <t>6510005416</t>
        </is>
      </c>
      <c r="E4752" s="13" t="inlineStr">
        <is>
          <t>ЮЛ РФ</t>
        </is>
      </c>
      <c r="F4752" s="13" t="n"/>
      <c r="G4752" s="14" t="n"/>
      <c r="H4752" s="14" t="n"/>
      <c r="I4752" s="14" t="n"/>
      <c r="J4752" s="14" t="n"/>
      <c r="K4752" s="53" t="inlineStr"/>
      <c r="L4752" s="53" t="inlineStr">
        <is>
          <t>Не определено</t>
        </is>
      </c>
      <c r="M4752" s="53" t="inlineStr"/>
      <c r="N4752" s="54" t="inlineStr"/>
      <c r="O4752" s="55" t="inlineStr"/>
      <c r="P4752" s="16" t="inlineStr">
        <is>
          <t>Требует обогащения</t>
        </is>
      </c>
      <c r="Q4752" s="16">
        <f>HYPERLINK("https://pb.nalog.ru/search.html?query=6510005416","ФНС: проверить")</f>
        <v/>
      </c>
      <c r="R4752" s="16">
        <f>HYPERLINK("https://checko.ru/search?query=3801001629","Чекко: проверить")</f>
        <v/>
      </c>
      <c r="S4752" t="n">
        <v>1</v>
      </c>
      <c r="T4752" s="35" t="inlineStr">
        <is>
          <t>4 — Не обогащён</t>
        </is>
      </c>
      <c r="U4752" s="35" t="inlineStr">
        <is>
          <t>Нет ОКВЭД/ССЧР</t>
        </is>
      </c>
      <c r="V4752" s="35" t="inlineStr">
        <is>
          <t>Не определено</t>
        </is>
      </c>
      <c r="W4752" s="35" t="inlineStr"/>
      <c r="X4752" s="35" t="inlineStr"/>
    </row>
    <row r="4753" ht="41.25" customHeight="1" s="24">
      <c r="A4753" s="13" t="n">
        <v>5000051738</v>
      </c>
      <c r="B4753" s="13" t="inlineStr">
        <is>
          <t>Муниципальное бюджетное дошкольное образовательное учреждение «Детский сад № 3 «Рябинка»</t>
        </is>
      </c>
      <c r="C4753" s="13" t="n">
        <v>6510010977</v>
      </c>
      <c r="D4753" s="13" t="inlineStr">
        <is>
          <t>6510010977</t>
        </is>
      </c>
      <c r="E4753" s="13" t="inlineStr">
        <is>
          <t>ЮЛ РФ</t>
        </is>
      </c>
      <c r="F4753" s="13" t="n"/>
      <c r="G4753" s="14" t="n"/>
      <c r="H4753" s="14" t="n"/>
      <c r="I4753" s="14" t="n"/>
      <c r="J4753" s="14" t="n"/>
      <c r="K4753" s="53" t="inlineStr"/>
      <c r="L4753" s="53" t="inlineStr">
        <is>
          <t>Не определено</t>
        </is>
      </c>
      <c r="M4753" s="53" t="inlineStr"/>
      <c r="N4753" s="54" t="inlineStr"/>
      <c r="O4753" s="55" t="inlineStr"/>
      <c r="P4753" s="16" t="inlineStr">
        <is>
          <t>Требует обогащения</t>
        </is>
      </c>
      <c r="Q4753" s="16">
        <f>HYPERLINK("https://pb.nalog.ru/search.html?query=6510010977","ФНС: проверить")</f>
        <v/>
      </c>
      <c r="R4753" s="16">
        <f>HYPERLINK("https://checko.ru/search?query=3801001629","Чекко: проверить")</f>
        <v/>
      </c>
      <c r="S4753" t="n">
        <v>1</v>
      </c>
      <c r="T4753" s="35" t="inlineStr">
        <is>
          <t>4 — Не обогащён</t>
        </is>
      </c>
      <c r="U4753" s="35" t="inlineStr">
        <is>
          <t>Нет ОКВЭД/ССЧР</t>
        </is>
      </c>
      <c r="V4753" s="35" t="inlineStr">
        <is>
          <t>Не определено</t>
        </is>
      </c>
      <c r="W4753" s="35" t="inlineStr"/>
      <c r="X4753" s="35" t="inlineStr"/>
    </row>
    <row r="4754" ht="27.75" customHeight="1" s="24">
      <c r="A4754" s="13" t="n">
        <v>5000029819</v>
      </c>
      <c r="B4754" s="13" t="inlineStr">
        <is>
          <t>Министерство здравоохранения сахалинской области</t>
        </is>
      </c>
      <c r="C4754" s="13" t="n">
        <v>6501024966</v>
      </c>
      <c r="D4754" s="13" t="inlineStr">
        <is>
          <t>6501024966</t>
        </is>
      </c>
      <c r="E4754" s="13" t="inlineStr">
        <is>
          <t>ЮЛ РФ</t>
        </is>
      </c>
      <c r="F4754" s="13" t="n"/>
      <c r="G4754" s="14" t="n"/>
      <c r="H4754" s="14" t="n"/>
      <c r="I4754" s="14" t="n"/>
      <c r="J4754" s="14" t="n"/>
      <c r="K4754" s="53" t="inlineStr"/>
      <c r="L4754" s="53" t="inlineStr">
        <is>
          <t>Не определено</t>
        </is>
      </c>
      <c r="M4754" s="53" t="inlineStr"/>
      <c r="N4754" s="54" t="inlineStr"/>
      <c r="O4754" s="55" t="inlineStr"/>
      <c r="P4754" s="16" t="inlineStr">
        <is>
          <t>Требует обогащения</t>
        </is>
      </c>
      <c r="Q4754" s="16">
        <f>HYPERLINK("https://pb.nalog.ru/search.html?query=6501024966","ФНС: проверить")</f>
        <v/>
      </c>
      <c r="R4754" s="16">
        <f>HYPERLINK("https://checko.ru/search?query=3801001629","Чекко: проверить")</f>
        <v/>
      </c>
      <c r="S4754" t="n">
        <v>1</v>
      </c>
      <c r="T4754" s="35" t="inlineStr">
        <is>
          <t>4 — Не обогащён</t>
        </is>
      </c>
      <c r="U4754" s="35" t="inlineStr">
        <is>
          <t>Нет ОКВЭД/ССЧР</t>
        </is>
      </c>
      <c r="V4754" s="35" t="inlineStr">
        <is>
          <t>Не определено</t>
        </is>
      </c>
      <c r="W4754" s="35" t="inlineStr"/>
      <c r="X4754" s="35" t="inlineStr"/>
    </row>
    <row r="4755" ht="27.75" customHeight="1" s="24">
      <c r="A4755" s="13" t="n">
        <v>5000029819</v>
      </c>
      <c r="B4755" s="13" t="inlineStr">
        <is>
          <t>Министерство здравоохранения сахалинской области</t>
        </is>
      </c>
      <c r="C4755" s="13" t="n">
        <v>6501024966</v>
      </c>
      <c r="D4755" s="13" t="inlineStr">
        <is>
          <t>6501024966</t>
        </is>
      </c>
      <c r="E4755" s="13" t="inlineStr">
        <is>
          <t>ЮЛ РФ</t>
        </is>
      </c>
      <c r="F4755" s="13" t="n"/>
      <c r="G4755" s="14" t="n"/>
      <c r="H4755" s="14" t="n"/>
      <c r="I4755" s="14" t="n"/>
      <c r="J4755" s="14" t="n"/>
      <c r="K4755" s="53" t="inlineStr"/>
      <c r="L4755" s="53" t="inlineStr">
        <is>
          <t>Не определено</t>
        </is>
      </c>
      <c r="M4755" s="53" t="inlineStr"/>
      <c r="N4755" s="54" t="inlineStr"/>
      <c r="O4755" s="55" t="inlineStr"/>
      <c r="P4755" s="16" t="inlineStr">
        <is>
          <t>Требует обогащения</t>
        </is>
      </c>
      <c r="Q4755" s="16">
        <f>HYPERLINK("https://pb.nalog.ru/search.html?query=6501024966","ФНС: проверить")</f>
        <v/>
      </c>
      <c r="R4755" s="16">
        <f>HYPERLINK("https://checko.ru/search?query=3801001629","Чекко: проверить")</f>
        <v/>
      </c>
      <c r="S4755" t="n">
        <v>0</v>
      </c>
      <c r="T4755" s="35" t="inlineStr">
        <is>
          <t>4 — Не обогащён</t>
        </is>
      </c>
      <c r="U4755" s="35" t="inlineStr">
        <is>
          <t>Нет ОКВЭД/ССЧР</t>
        </is>
      </c>
      <c r="V4755" s="35" t="inlineStr">
        <is>
          <t>Не определено</t>
        </is>
      </c>
      <c r="W4755" s="35" t="inlineStr"/>
      <c r="X4755" s="35" t="inlineStr"/>
    </row>
    <row r="4756" ht="27.75" customHeight="1" s="24">
      <c r="A4756" s="13" t="n">
        <v>5000029820</v>
      </c>
      <c r="B4756" s="13" t="inlineStr">
        <is>
          <t>ГБУЗ «Сахалинский областной медицинский информационно-аналитический центр»</t>
        </is>
      </c>
      <c r="C4756" s="13" t="n">
        <v>6501144653</v>
      </c>
      <c r="D4756" s="13" t="inlineStr">
        <is>
          <t>6501144653</t>
        </is>
      </c>
      <c r="E4756" s="13" t="inlineStr">
        <is>
          <t>ЮЛ РФ</t>
        </is>
      </c>
      <c r="F4756" s="13" t="n"/>
      <c r="G4756" s="14" t="n"/>
      <c r="H4756" s="14" t="n"/>
      <c r="I4756" s="14" t="n"/>
      <c r="J4756" s="14" t="n"/>
      <c r="K4756" s="53" t="inlineStr"/>
      <c r="L4756" s="53" t="inlineStr">
        <is>
          <t>Не определено</t>
        </is>
      </c>
      <c r="M4756" s="53" t="inlineStr"/>
      <c r="N4756" s="54" t="inlineStr"/>
      <c r="O4756" s="55" t="inlineStr"/>
      <c r="P4756" s="16" t="inlineStr">
        <is>
          <t>Требует обогащения</t>
        </is>
      </c>
      <c r="Q4756" s="16">
        <f>HYPERLINK("https://pb.nalog.ru/search.html?query=6501144653","ФНС: проверить")</f>
        <v/>
      </c>
      <c r="R4756" s="16">
        <f>HYPERLINK("https://checko.ru/search?query=3801001629","Чекко: проверить")</f>
        <v/>
      </c>
      <c r="S4756" t="n">
        <v>1</v>
      </c>
      <c r="T4756" s="35" t="inlineStr">
        <is>
          <t>4 — Не обогащён</t>
        </is>
      </c>
      <c r="U4756" s="35" t="inlineStr">
        <is>
          <t>Нет ОКВЭД/ССЧР</t>
        </is>
      </c>
      <c r="V4756" s="35" t="inlineStr">
        <is>
          <t>Не определено</t>
        </is>
      </c>
      <c r="W4756" s="35" t="inlineStr"/>
      <c r="X4756" s="35" t="inlineStr"/>
    </row>
    <row r="4757" ht="15" customHeight="1" s="24">
      <c r="A4757" s="13" t="n">
        <v>5000122898</v>
      </c>
      <c r="B4757" s="13" t="inlineStr">
        <is>
          <t>МБУ СШОР "Королёв"</t>
        </is>
      </c>
      <c r="C4757" s="13" t="n">
        <v>5018048595</v>
      </c>
      <c r="D4757" s="13" t="inlineStr">
        <is>
          <t>5018048595</t>
        </is>
      </c>
      <c r="E4757" s="13" t="inlineStr">
        <is>
          <t>ЮЛ РФ</t>
        </is>
      </c>
      <c r="F4757" s="13" t="n"/>
      <c r="G4757" s="14" t="n"/>
      <c r="H4757" s="14" t="n"/>
      <c r="I4757" s="14" t="n"/>
      <c r="J4757" s="14" t="n"/>
      <c r="K4757" s="53" t="inlineStr"/>
      <c r="L4757" s="53" t="inlineStr">
        <is>
          <t>Не определено</t>
        </is>
      </c>
      <c r="M4757" s="53" t="inlineStr"/>
      <c r="N4757" s="54" t="inlineStr"/>
      <c r="O4757" s="55" t="inlineStr"/>
      <c r="P4757" s="16" t="inlineStr">
        <is>
          <t>Требует обогащения</t>
        </is>
      </c>
      <c r="Q4757" s="16">
        <f>HYPERLINK("https://pb.nalog.ru/search.html?query=5018048595","ФНС: проверить")</f>
        <v/>
      </c>
      <c r="R4757" s="16">
        <f>HYPERLINK("https://checko.ru/search?query=3801001629","Чекко: проверить")</f>
        <v/>
      </c>
      <c r="S4757" t="n">
        <v>1</v>
      </c>
      <c r="T4757" s="35" t="inlineStr">
        <is>
          <t>4 — Не обогащён</t>
        </is>
      </c>
      <c r="U4757" s="35" t="inlineStr">
        <is>
          <t>Нет ОКВЭД/ССЧР</t>
        </is>
      </c>
      <c r="V4757" s="35" t="inlineStr">
        <is>
          <t>Не определено</t>
        </is>
      </c>
      <c r="W4757" s="35" t="inlineStr"/>
      <c r="X4757" s="35" t="inlineStr"/>
    </row>
    <row r="4758" ht="27.75" customHeight="1" s="24">
      <c r="A4758" s="13" t="n">
        <v>5000051728</v>
      </c>
      <c r="B4758" s="13" t="inlineStr">
        <is>
          <t>МБУ Центр обеспечения функционирования системы образования Анивского ГО</t>
        </is>
      </c>
      <c r="C4758" s="13" t="n">
        <v>6501252546</v>
      </c>
      <c r="D4758" s="13" t="inlineStr">
        <is>
          <t>6501252546</t>
        </is>
      </c>
      <c r="E4758" s="13" t="inlineStr">
        <is>
          <t>ЮЛ РФ</t>
        </is>
      </c>
      <c r="F4758" s="13" t="n"/>
      <c r="G4758" s="14" t="n"/>
      <c r="H4758" s="14" t="n"/>
      <c r="I4758" s="14" t="n"/>
      <c r="J4758" s="14" t="n"/>
      <c r="K4758" s="53" t="inlineStr"/>
      <c r="L4758" s="53" t="inlineStr">
        <is>
          <t>Не определено</t>
        </is>
      </c>
      <c r="M4758" s="53" t="inlineStr"/>
      <c r="N4758" s="54" t="inlineStr"/>
      <c r="O4758" s="55" t="inlineStr"/>
      <c r="P4758" s="16" t="inlineStr">
        <is>
          <t>Требует обогащения</t>
        </is>
      </c>
      <c r="Q4758" s="16">
        <f>HYPERLINK("https://pb.nalog.ru/search.html?query=6501252546","ФНС: проверить")</f>
        <v/>
      </c>
      <c r="R4758" s="16">
        <f>HYPERLINK("https://checko.ru/search?query=3801001629","Чекко: проверить")</f>
        <v/>
      </c>
      <c r="S4758" t="n">
        <v>1</v>
      </c>
      <c r="T4758" s="35" t="inlineStr">
        <is>
          <t>4 — Не обогащён</t>
        </is>
      </c>
      <c r="U4758" s="35" t="inlineStr">
        <is>
          <t>Нет ОКВЭД/ССЧР</t>
        </is>
      </c>
      <c r="V4758" s="35" t="inlineStr">
        <is>
          <t>Не определено</t>
        </is>
      </c>
      <c r="W4758" s="35" t="inlineStr"/>
      <c r="X4758" s="35" t="inlineStr"/>
    </row>
    <row r="4759" ht="15" customHeight="1" s="24">
      <c r="A4759" s="13" t="n">
        <v>5000055082</v>
      </c>
      <c r="B4759" s="13" t="inlineStr">
        <is>
          <t>МБУК "Малокурильский Дом культуры"</t>
        </is>
      </c>
      <c r="C4759" s="13" t="n">
        <v>6518008306</v>
      </c>
      <c r="D4759" s="13" t="inlineStr">
        <is>
          <t>6518008306</t>
        </is>
      </c>
      <c r="E4759" s="13" t="inlineStr">
        <is>
          <t>ЮЛ РФ</t>
        </is>
      </c>
      <c r="F4759" s="13" t="n"/>
      <c r="G4759" s="14" t="n"/>
      <c r="H4759" s="14" t="n"/>
      <c r="I4759" s="14" t="n"/>
      <c r="J4759" s="14" t="n"/>
      <c r="K4759" s="53" t="inlineStr"/>
      <c r="L4759" s="53" t="inlineStr">
        <is>
          <t>Не определено</t>
        </is>
      </c>
      <c r="M4759" s="53" t="inlineStr"/>
      <c r="N4759" s="54" t="inlineStr"/>
      <c r="O4759" s="55" t="inlineStr"/>
      <c r="P4759" s="16" t="inlineStr">
        <is>
          <t>Требует обогащения</t>
        </is>
      </c>
      <c r="Q4759" s="16">
        <f>HYPERLINK("https://pb.nalog.ru/search.html?query=6518008306","ФНС: проверить")</f>
        <v/>
      </c>
      <c r="R4759" s="16">
        <f>HYPERLINK("https://checko.ru/search?query=3801001629","Чекко: проверить")</f>
        <v/>
      </c>
      <c r="S4759" t="n">
        <v>1</v>
      </c>
      <c r="T4759" s="35" t="inlineStr">
        <is>
          <t>4 — Не обогащён</t>
        </is>
      </c>
      <c r="U4759" s="35" t="inlineStr">
        <is>
          <t>Нет ОКВЭД/ССЧР</t>
        </is>
      </c>
      <c r="V4759" s="35" t="inlineStr">
        <is>
          <t>Не определено</t>
        </is>
      </c>
      <c r="W4759" s="35" t="inlineStr"/>
      <c r="X4759" s="35" t="inlineStr"/>
    </row>
    <row r="4760" ht="27.75" customHeight="1" s="24">
      <c r="A4760" s="13" t="n">
        <v>5000028672</v>
      </c>
      <c r="B4760" s="13" t="inlineStr">
        <is>
          <t>МКУ Ольхонского Районного Муниципального Образования "Управление Образования"</t>
        </is>
      </c>
      <c r="C4760" s="13" t="n">
        <v>3827053678</v>
      </c>
      <c r="D4760" s="13" t="inlineStr">
        <is>
          <t>3827053678</t>
        </is>
      </c>
      <c r="E4760" s="13" t="inlineStr">
        <is>
          <t>ЮЛ РФ</t>
        </is>
      </c>
      <c r="F4760" s="13" t="n"/>
      <c r="G4760" s="14" t="n"/>
      <c r="H4760" s="14" t="n"/>
      <c r="I4760" s="14" t="n"/>
      <c r="J4760" s="14" t="n"/>
      <c r="K4760" s="53" t="inlineStr"/>
      <c r="L4760" s="53" t="inlineStr">
        <is>
          <t>Не определено</t>
        </is>
      </c>
      <c r="M4760" s="53" t="inlineStr"/>
      <c r="N4760" s="54" t="inlineStr"/>
      <c r="O4760" s="55" t="inlineStr"/>
      <c r="P4760" s="16" t="inlineStr">
        <is>
          <t>Требует обогащения</t>
        </is>
      </c>
      <c r="Q4760" s="16">
        <f>HYPERLINK("https://pb.nalog.ru/search.html?query=3827053678","ФНС: проверить")</f>
        <v/>
      </c>
      <c r="R4760" s="16">
        <f>HYPERLINK("https://checko.ru/search?query=3801001629","Чекко: проверить")</f>
        <v/>
      </c>
      <c r="S4760" t="n">
        <v>1</v>
      </c>
      <c r="T4760" s="35" t="inlineStr">
        <is>
          <t>4 — Не обогащён</t>
        </is>
      </c>
      <c r="U4760" s="35" t="inlineStr">
        <is>
          <t>Нет ОКВЭД/ССЧР</t>
        </is>
      </c>
      <c r="V4760" s="35" t="inlineStr">
        <is>
          <t>Не определено</t>
        </is>
      </c>
      <c r="W4760" s="35" t="inlineStr"/>
      <c r="X4760" s="35" t="inlineStr"/>
    </row>
    <row r="4761" ht="41.25" customHeight="1" s="24">
      <c r="A4761" s="13" t="n">
        <v>5000051739</v>
      </c>
      <c r="B4761" s="13" t="inlineStr">
        <is>
          <t>Муниципальное бюджетное дошкольное образовательное учреждение «Детский сад № 4 «Теремок» с. Ново-Троицкое»</t>
        </is>
      </c>
      <c r="C4761" s="13" t="n">
        <v>6510003592</v>
      </c>
      <c r="D4761" s="13" t="inlineStr">
        <is>
          <t>6510003592</t>
        </is>
      </c>
      <c r="E4761" s="13" t="inlineStr">
        <is>
          <t>ЮЛ РФ</t>
        </is>
      </c>
      <c r="F4761" s="13" t="n"/>
      <c r="G4761" s="14" t="n"/>
      <c r="H4761" s="14" t="n"/>
      <c r="I4761" s="14" t="n"/>
      <c r="J4761" s="14" t="n"/>
      <c r="K4761" s="53" t="inlineStr"/>
      <c r="L4761" s="53" t="inlineStr">
        <is>
          <t>Не определено</t>
        </is>
      </c>
      <c r="M4761" s="53" t="inlineStr"/>
      <c r="N4761" s="54" t="inlineStr"/>
      <c r="O4761" s="55" t="inlineStr"/>
      <c r="P4761" s="16" t="inlineStr">
        <is>
          <t>Требует обогащения</t>
        </is>
      </c>
      <c r="Q4761" s="16">
        <f>HYPERLINK("https://pb.nalog.ru/search.html?query=6510003592","ФНС: проверить")</f>
        <v/>
      </c>
      <c r="R4761" s="16">
        <f>HYPERLINK("https://checko.ru/search?query=3801001629","Чекко: проверить")</f>
        <v/>
      </c>
      <c r="S4761" t="n">
        <v>1</v>
      </c>
      <c r="T4761" s="35" t="inlineStr">
        <is>
          <t>4 — Не обогащён</t>
        </is>
      </c>
      <c r="U4761" s="35" t="inlineStr">
        <is>
          <t>Нет ОКВЭД/ССЧР</t>
        </is>
      </c>
      <c r="V4761" s="35" t="inlineStr">
        <is>
          <t>Не определено</t>
        </is>
      </c>
      <c r="W4761" s="35" t="inlineStr"/>
      <c r="X4761" s="35" t="inlineStr"/>
    </row>
    <row r="4762" ht="41.25" customHeight="1" s="24">
      <c r="A4762" s="13" t="n">
        <v>5000051740</v>
      </c>
      <c r="B4762" s="13" t="inlineStr">
        <is>
          <t>Муниципальное бюджетное дошкольное образовательное учреждение «Детский сад № 5 «Берёзка» с. Таранай»</t>
        </is>
      </c>
      <c r="C4762" s="13" t="n">
        <v>6510005448</v>
      </c>
      <c r="D4762" s="13" t="inlineStr">
        <is>
          <t>6510005448</t>
        </is>
      </c>
      <c r="E4762" s="13" t="inlineStr">
        <is>
          <t>ЮЛ РФ</t>
        </is>
      </c>
      <c r="F4762" s="13" t="n"/>
      <c r="G4762" s="14" t="n"/>
      <c r="H4762" s="14" t="n"/>
      <c r="I4762" s="14" t="n"/>
      <c r="J4762" s="14" t="n"/>
      <c r="K4762" s="53" t="inlineStr"/>
      <c r="L4762" s="53" t="inlineStr">
        <is>
          <t>Не определено</t>
        </is>
      </c>
      <c r="M4762" s="53" t="inlineStr"/>
      <c r="N4762" s="54" t="inlineStr"/>
      <c r="O4762" s="55" t="inlineStr"/>
      <c r="P4762" s="16" t="inlineStr">
        <is>
          <t>Требует обогащения</t>
        </is>
      </c>
      <c r="Q4762" s="16">
        <f>HYPERLINK("https://pb.nalog.ru/search.html?query=6510005448","ФНС: проверить")</f>
        <v/>
      </c>
      <c r="R4762" s="16">
        <f>HYPERLINK("https://checko.ru/search?query=3801001629","Чекко: проверить")</f>
        <v/>
      </c>
      <c r="S4762" t="n">
        <v>1</v>
      </c>
      <c r="T4762" s="35" t="inlineStr">
        <is>
          <t>4 — Не обогащён</t>
        </is>
      </c>
      <c r="U4762" s="35" t="inlineStr">
        <is>
          <t>Нет ОКВЭД/ССЧР</t>
        </is>
      </c>
      <c r="V4762" s="35" t="inlineStr">
        <is>
          <t>Не определено</t>
        </is>
      </c>
      <c r="W4762" s="35" t="inlineStr"/>
      <c r="X4762" s="35" t="inlineStr"/>
    </row>
    <row r="4763" ht="27.75" customHeight="1" s="24">
      <c r="A4763" s="13" t="n">
        <v>5000100126</v>
      </c>
      <c r="B4763" s="13" t="inlineStr">
        <is>
          <t>ОАУ "Сахалинская база авиационной и наземной охраны лесов "</t>
        </is>
      </c>
      <c r="C4763" s="13" t="n">
        <v>6501180041</v>
      </c>
      <c r="D4763" s="13" t="inlineStr">
        <is>
          <t>6501180041</t>
        </is>
      </c>
      <c r="E4763" s="13" t="inlineStr">
        <is>
          <t>ЮЛ РФ</t>
        </is>
      </c>
      <c r="F4763" s="13" t="n"/>
      <c r="G4763" s="14" t="n"/>
      <c r="H4763" s="14" t="n"/>
      <c r="I4763" s="14" t="n"/>
      <c r="J4763" s="14" t="n"/>
      <c r="K4763" s="53" t="inlineStr"/>
      <c r="L4763" s="53" t="inlineStr">
        <is>
          <t>Не определено</t>
        </is>
      </c>
      <c r="M4763" s="53" t="inlineStr"/>
      <c r="N4763" s="54" t="inlineStr"/>
      <c r="O4763" s="55" t="inlineStr"/>
      <c r="P4763" s="16" t="inlineStr">
        <is>
          <t>Требует обогащения</t>
        </is>
      </c>
      <c r="Q4763" s="16">
        <f>HYPERLINK("https://pb.nalog.ru/search.html?query=6501180041","ФНС: проверить")</f>
        <v/>
      </c>
      <c r="R4763" s="16">
        <f>HYPERLINK("https://checko.ru/search?query=3801001629","Чекко: проверить")</f>
        <v/>
      </c>
      <c r="S4763" t="n">
        <v>1</v>
      </c>
      <c r="T4763" s="35" t="inlineStr">
        <is>
          <t>4 — Не обогащён</t>
        </is>
      </c>
      <c r="U4763" s="35" t="inlineStr">
        <is>
          <t>Нет ОКВЭД/ССЧР</t>
        </is>
      </c>
      <c r="V4763" s="35" t="inlineStr">
        <is>
          <t>Не определено</t>
        </is>
      </c>
      <c r="W4763" s="35" t="inlineStr"/>
      <c r="X4763" s="35" t="inlineStr"/>
    </row>
    <row r="4764" ht="15" customHeight="1" s="24">
      <c r="A4764" s="13" t="n">
        <v>5000098344</v>
      </c>
      <c r="B4764" s="13" t="inlineStr">
        <is>
          <t>ФГУЗ Дезинфекционная станция г. Уссурийска</t>
        </is>
      </c>
      <c r="C4764" s="13" t="n">
        <v>2511030922</v>
      </c>
      <c r="D4764" s="13" t="inlineStr">
        <is>
          <t>2511030922</t>
        </is>
      </c>
      <c r="E4764" s="13" t="inlineStr">
        <is>
          <t>ЮЛ РФ</t>
        </is>
      </c>
      <c r="F4764" s="13" t="n"/>
      <c r="G4764" s="14" t="n"/>
      <c r="H4764" s="14" t="n"/>
      <c r="I4764" s="14" t="n"/>
      <c r="J4764" s="14" t="n"/>
      <c r="K4764" s="53" t="inlineStr"/>
      <c r="L4764" s="53" t="inlineStr">
        <is>
          <t>Не определено</t>
        </is>
      </c>
      <c r="M4764" s="53" t="inlineStr"/>
      <c r="N4764" s="54" t="inlineStr"/>
      <c r="O4764" s="55" t="inlineStr"/>
      <c r="P4764" s="16" t="inlineStr">
        <is>
          <t>Требует обогащения</t>
        </is>
      </c>
      <c r="Q4764" s="16">
        <f>HYPERLINK("https://pb.nalog.ru/search.html?query=2511030922","ФНС: проверить")</f>
        <v/>
      </c>
      <c r="R4764" s="16">
        <f>HYPERLINK("https://checko.ru/search?query=3801001629","Чекко: проверить")</f>
        <v/>
      </c>
      <c r="S4764" t="n">
        <v>1</v>
      </c>
      <c r="T4764" s="35" t="inlineStr">
        <is>
          <t>4 — Не обогащён</t>
        </is>
      </c>
      <c r="U4764" s="35" t="inlineStr">
        <is>
          <t>Нет ОКВЭД/ССЧР</t>
        </is>
      </c>
      <c r="V4764" s="35" t="inlineStr">
        <is>
          <t>Не определено</t>
        </is>
      </c>
      <c r="W4764" s="35" t="inlineStr"/>
      <c r="X4764" s="35" t="inlineStr"/>
    </row>
    <row r="4765" ht="15" customHeight="1" s="24">
      <c r="A4765" s="13" t="n">
        <v>5000098293</v>
      </c>
      <c r="B4765" s="13" t="inlineStr">
        <is>
          <t>КГКУ "ПРИМЗАКУПКИ"</t>
        </is>
      </c>
      <c r="C4765" s="13" t="n">
        <v>2540254652</v>
      </c>
      <c r="D4765" s="13" t="inlineStr">
        <is>
          <t>2540254652</t>
        </is>
      </c>
      <c r="E4765" s="13" t="inlineStr">
        <is>
          <t>ЮЛ РФ</t>
        </is>
      </c>
      <c r="F4765" s="13" t="n"/>
      <c r="G4765" s="14" t="n"/>
      <c r="H4765" s="14" t="n"/>
      <c r="I4765" s="14" t="n"/>
      <c r="J4765" s="14" t="n"/>
      <c r="K4765" s="53" t="inlineStr"/>
      <c r="L4765" s="53" t="inlineStr">
        <is>
          <t>Не определено</t>
        </is>
      </c>
      <c r="M4765" s="53" t="inlineStr"/>
      <c r="N4765" s="54" t="inlineStr"/>
      <c r="O4765" s="55" t="inlineStr"/>
      <c r="P4765" s="16" t="inlineStr">
        <is>
          <t>Требует обогащения</t>
        </is>
      </c>
      <c r="Q4765" s="16">
        <f>HYPERLINK("https://pb.nalog.ru/search.html?query=2540254652","ФНС: проверить")</f>
        <v/>
      </c>
      <c r="R4765" s="16">
        <f>HYPERLINK("https://checko.ru/search?query=3801001629","Чекко: проверить")</f>
        <v/>
      </c>
      <c r="S4765" t="n">
        <v>1</v>
      </c>
      <c r="T4765" s="35" t="inlineStr">
        <is>
          <t>4 — Не обогащён</t>
        </is>
      </c>
      <c r="U4765" s="35" t="inlineStr">
        <is>
          <t>Нет ОКВЭД/ССЧР</t>
        </is>
      </c>
      <c r="V4765" s="35" t="inlineStr">
        <is>
          <t>Не определено</t>
        </is>
      </c>
      <c r="W4765" s="35" t="inlineStr"/>
      <c r="X4765" s="35" t="inlineStr"/>
    </row>
    <row r="4766" ht="41.25" customHeight="1" s="24">
      <c r="A4766" s="13" t="n">
        <v>5000051729</v>
      </c>
      <c r="B4766" s="13" t="inlineStr">
        <is>
          <t>Муниципальное бюджетное общеобразовательное учреждение «Средняя общеобразовательная школа № 1 г. Анива»</t>
        </is>
      </c>
      <c r="C4766" s="13" t="n">
        <v>6510005409</v>
      </c>
      <c r="D4766" s="13" t="inlineStr">
        <is>
          <t>6510005409</t>
        </is>
      </c>
      <c r="E4766" s="13" t="inlineStr">
        <is>
          <t>ЮЛ РФ</t>
        </is>
      </c>
      <c r="F4766" s="13" t="n"/>
      <c r="G4766" s="14" t="n"/>
      <c r="H4766" s="14" t="n"/>
      <c r="I4766" s="14" t="n"/>
      <c r="J4766" s="14" t="n"/>
      <c r="K4766" s="53" t="inlineStr"/>
      <c r="L4766" s="53" t="inlineStr">
        <is>
          <t>Не определено</t>
        </is>
      </c>
      <c r="M4766" s="53" t="inlineStr"/>
      <c r="N4766" s="54" t="inlineStr"/>
      <c r="O4766" s="55" t="inlineStr"/>
      <c r="P4766" s="16" t="inlineStr">
        <is>
          <t>Требует обогащения</t>
        </is>
      </c>
      <c r="Q4766" s="16">
        <f>HYPERLINK("https://pb.nalog.ru/search.html?query=6510005409","ФНС: проверить")</f>
        <v/>
      </c>
      <c r="R4766" s="16">
        <f>HYPERLINK("https://checko.ru/search?query=3801001629","Чекко: проверить")</f>
        <v/>
      </c>
      <c r="S4766" t="n">
        <v>1</v>
      </c>
      <c r="T4766" s="35" t="inlineStr">
        <is>
          <t>4 — Не обогащён</t>
        </is>
      </c>
      <c r="U4766" s="35" t="inlineStr">
        <is>
          <t>Нет ОКВЭД/ССЧР</t>
        </is>
      </c>
      <c r="V4766" s="35" t="inlineStr">
        <is>
          <t>Не определено</t>
        </is>
      </c>
      <c r="W4766" s="35" t="inlineStr"/>
      <c r="X4766" s="35" t="inlineStr"/>
    </row>
    <row r="4767" ht="41.25" customHeight="1" s="24">
      <c r="A4767" s="13" t="n">
        <v>5000051730</v>
      </c>
      <c r="B4767" s="13" t="inlineStr">
        <is>
          <t>Муниципальное автономное общеобразовательное учреждение «Средняя общеобразовательная школа 2 г. Анива»</t>
        </is>
      </c>
      <c r="C4767" s="13" t="n">
        <v>6510005399</v>
      </c>
      <c r="D4767" s="13" t="inlineStr">
        <is>
          <t>6510005399</t>
        </is>
      </c>
      <c r="E4767" s="13" t="inlineStr">
        <is>
          <t>ЮЛ РФ</t>
        </is>
      </c>
      <c r="F4767" s="13" t="n"/>
      <c r="G4767" s="14" t="n"/>
      <c r="H4767" s="14" t="n"/>
      <c r="I4767" s="14" t="n"/>
      <c r="J4767" s="14" t="n"/>
      <c r="K4767" s="53" t="inlineStr"/>
      <c r="L4767" s="53" t="inlineStr">
        <is>
          <t>Не определено</t>
        </is>
      </c>
      <c r="M4767" s="53" t="inlineStr"/>
      <c r="N4767" s="54" t="inlineStr"/>
      <c r="O4767" s="55" t="inlineStr"/>
      <c r="P4767" s="16" t="inlineStr">
        <is>
          <t>Требует обогащения</t>
        </is>
      </c>
      <c r="Q4767" s="16">
        <f>HYPERLINK("https://pb.nalog.ru/search.html?query=6510005399","ФНС: проверить")</f>
        <v/>
      </c>
      <c r="R4767" s="16">
        <f>HYPERLINK("https://checko.ru/search?query=3801001629","Чекко: проверить")</f>
        <v/>
      </c>
      <c r="S4767" t="n">
        <v>1</v>
      </c>
      <c r="T4767" s="35" t="inlineStr">
        <is>
          <t>4 — Не обогащён</t>
        </is>
      </c>
      <c r="U4767" s="35" t="inlineStr">
        <is>
          <t>Нет ОКВЭД/ССЧР</t>
        </is>
      </c>
      <c r="V4767" s="35" t="inlineStr">
        <is>
          <t>Не определено</t>
        </is>
      </c>
      <c r="W4767" s="35" t="inlineStr"/>
      <c r="X4767" s="35" t="inlineStr"/>
    </row>
    <row r="4768" ht="41.25" customHeight="1" s="24">
      <c r="A4768" s="13" t="n">
        <v>5000051731</v>
      </c>
      <c r="B4768" s="13" t="inlineStr">
        <is>
          <t>Муниципальное бюджетное общеобразовательное учреждение «Средняя общеобразовательная школа № 3 с. Огоньки»</t>
        </is>
      </c>
      <c r="C4768" s="13" t="n">
        <v>6510005455</v>
      </c>
      <c r="D4768" s="13" t="inlineStr">
        <is>
          <t>6510005455</t>
        </is>
      </c>
      <c r="E4768" s="13" t="inlineStr">
        <is>
          <t>ЮЛ РФ</t>
        </is>
      </c>
      <c r="F4768" s="13" t="n"/>
      <c r="G4768" s="14" t="n"/>
      <c r="H4768" s="14" t="n"/>
      <c r="I4768" s="14" t="n"/>
      <c r="J4768" s="14" t="n"/>
      <c r="K4768" s="53" t="inlineStr"/>
      <c r="L4768" s="53" t="inlineStr">
        <is>
          <t>Не определено</t>
        </is>
      </c>
      <c r="M4768" s="53" t="inlineStr"/>
      <c r="N4768" s="54" t="inlineStr"/>
      <c r="O4768" s="55" t="inlineStr"/>
      <c r="P4768" s="16" t="inlineStr">
        <is>
          <t>Требует обогащения</t>
        </is>
      </c>
      <c r="Q4768" s="16">
        <f>HYPERLINK("https://pb.nalog.ru/search.html?query=6510005455","ФНС: проверить")</f>
        <v/>
      </c>
      <c r="R4768" s="16">
        <f>HYPERLINK("https://checko.ru/search?query=3801001629","Чекко: проверить")</f>
        <v/>
      </c>
      <c r="S4768" t="n">
        <v>1</v>
      </c>
      <c r="T4768" s="35" t="inlineStr">
        <is>
          <t>4 — Не обогащён</t>
        </is>
      </c>
      <c r="U4768" s="35" t="inlineStr">
        <is>
          <t>Нет ОКВЭД/ССЧР</t>
        </is>
      </c>
      <c r="V4768" s="35" t="inlineStr">
        <is>
          <t>Не определено</t>
        </is>
      </c>
      <c r="W4768" s="35" t="inlineStr"/>
      <c r="X4768" s="35" t="inlineStr"/>
    </row>
    <row r="4769" ht="41.25" customHeight="1" s="24">
      <c r="A4769" s="13" t="n">
        <v>5000051732</v>
      </c>
      <c r="B4769" s="13" t="inlineStr">
        <is>
          <t>Муниципальное бюджетное общеобразовательное учреждение  «Средняя общеобразовательная школа № 4 с. Таранай»</t>
        </is>
      </c>
      <c r="C4769" s="13" t="n">
        <v>6510005423</v>
      </c>
      <c r="D4769" s="13" t="inlineStr">
        <is>
          <t>6510005423</t>
        </is>
      </c>
      <c r="E4769" s="13" t="inlineStr">
        <is>
          <t>ЮЛ РФ</t>
        </is>
      </c>
      <c r="F4769" s="13" t="n"/>
      <c r="G4769" s="14" t="n"/>
      <c r="H4769" s="14" t="n"/>
      <c r="I4769" s="14" t="n"/>
      <c r="J4769" s="14" t="n"/>
      <c r="K4769" s="53" t="inlineStr"/>
      <c r="L4769" s="53" t="inlineStr">
        <is>
          <t>Не определено</t>
        </is>
      </c>
      <c r="M4769" s="53" t="inlineStr"/>
      <c r="N4769" s="54" t="inlineStr"/>
      <c r="O4769" s="55" t="inlineStr"/>
      <c r="P4769" s="16" t="inlineStr">
        <is>
          <t>Требует обогащения</t>
        </is>
      </c>
      <c r="Q4769" s="16">
        <f>HYPERLINK("https://pb.nalog.ru/search.html?query=6510005423","ФНС: проверить")</f>
        <v/>
      </c>
      <c r="R4769" s="16">
        <f>HYPERLINK("https://checko.ru/search?query=3801001629","Чекко: проверить")</f>
        <v/>
      </c>
      <c r="S4769" t="n">
        <v>1</v>
      </c>
      <c r="T4769" s="35" t="inlineStr">
        <is>
          <t>4 — Не обогащён</t>
        </is>
      </c>
      <c r="U4769" s="35" t="inlineStr">
        <is>
          <t>Нет ОКВЭД/ССЧР</t>
        </is>
      </c>
      <c r="V4769" s="35" t="inlineStr">
        <is>
          <t>Не определено</t>
        </is>
      </c>
      <c r="W4769" s="35" t="inlineStr"/>
      <c r="X4769" s="35" t="inlineStr"/>
    </row>
    <row r="4770" ht="41.25" customHeight="1" s="24">
      <c r="A4770" s="13" t="n">
        <v>5000051733</v>
      </c>
      <c r="B4770" s="13" t="inlineStr">
        <is>
          <t>Муниципальное бюджетное общеобразовательное учреждение «Средняя общеобразовательная школа № 5 с. Троицкое»</t>
        </is>
      </c>
      <c r="C4770" s="13" t="n">
        <v>6510005374</v>
      </c>
      <c r="D4770" s="13" t="inlineStr">
        <is>
          <t>6510005374</t>
        </is>
      </c>
      <c r="E4770" s="13" t="inlineStr">
        <is>
          <t>ЮЛ РФ</t>
        </is>
      </c>
      <c r="F4770" s="13" t="n"/>
      <c r="G4770" s="14" t="n"/>
      <c r="H4770" s="14" t="n"/>
      <c r="I4770" s="14" t="n"/>
      <c r="J4770" s="14" t="n"/>
      <c r="K4770" s="53" t="inlineStr"/>
      <c r="L4770" s="53" t="inlineStr">
        <is>
          <t>Не определено</t>
        </is>
      </c>
      <c r="M4770" s="53" t="inlineStr"/>
      <c r="N4770" s="54" t="inlineStr"/>
      <c r="O4770" s="55" t="inlineStr"/>
      <c r="P4770" s="16" t="inlineStr">
        <is>
          <t>Требует обогащения</t>
        </is>
      </c>
      <c r="Q4770" s="16">
        <f>HYPERLINK("https://pb.nalog.ru/search.html?query=6510005374","ФНС: проверить")</f>
        <v/>
      </c>
      <c r="R4770" s="16">
        <f>HYPERLINK("https://checko.ru/search?query=3801001629","Чекко: проверить")</f>
        <v/>
      </c>
      <c r="S4770" t="n">
        <v>1</v>
      </c>
      <c r="T4770" s="35" t="inlineStr">
        <is>
          <t>4 — Не обогащён</t>
        </is>
      </c>
      <c r="U4770" s="35" t="inlineStr">
        <is>
          <t>Нет ОКВЭД/ССЧР</t>
        </is>
      </c>
      <c r="V4770" s="35" t="inlineStr">
        <is>
          <t>Не определено</t>
        </is>
      </c>
      <c r="W4770" s="35" t="inlineStr"/>
      <c r="X4770" s="35" t="inlineStr"/>
    </row>
    <row r="4771" ht="41.25" customHeight="1" s="24">
      <c r="A4771" s="13" t="n">
        <v>5000051741</v>
      </c>
      <c r="B4771" s="13" t="inlineStr">
        <is>
          <t>Муниципальное бюджетное дошкольное образовательное учреждение «Детский сад № 6 «Радуга» с. Троицкое»</t>
        </is>
      </c>
      <c r="C4771" s="13" t="n">
        <v>6501237361</v>
      </c>
      <c r="D4771" s="13" t="inlineStr">
        <is>
          <t>6501237361</t>
        </is>
      </c>
      <c r="E4771" s="13" t="inlineStr">
        <is>
          <t>ЮЛ РФ</t>
        </is>
      </c>
      <c r="F4771" s="13" t="n"/>
      <c r="G4771" s="14" t="n"/>
      <c r="H4771" s="14" t="n"/>
      <c r="I4771" s="14" t="n"/>
      <c r="J4771" s="14" t="n"/>
      <c r="K4771" s="53" t="inlineStr"/>
      <c r="L4771" s="53" t="inlineStr">
        <is>
          <t>Не определено</t>
        </is>
      </c>
      <c r="M4771" s="53" t="inlineStr"/>
      <c r="N4771" s="54" t="inlineStr"/>
      <c r="O4771" s="55" t="inlineStr"/>
      <c r="P4771" s="16" t="inlineStr">
        <is>
          <t>Требует обогащения</t>
        </is>
      </c>
      <c r="Q4771" s="16">
        <f>HYPERLINK("https://pb.nalog.ru/search.html?query=6501237361","ФНС: проверить")</f>
        <v/>
      </c>
      <c r="R4771" s="16">
        <f>HYPERLINK("https://checko.ru/search?query=3801001629","Чекко: проверить")</f>
        <v/>
      </c>
      <c r="S4771" t="n">
        <v>1</v>
      </c>
      <c r="T4771" s="35" t="inlineStr">
        <is>
          <t>4 — Не обогащён</t>
        </is>
      </c>
      <c r="U4771" s="35" t="inlineStr">
        <is>
          <t>Нет ОКВЭД/ССЧР</t>
        </is>
      </c>
      <c r="V4771" s="35" t="inlineStr">
        <is>
          <t>Не определено</t>
        </is>
      </c>
      <c r="W4771" s="35" t="inlineStr"/>
      <c r="X4771" s="35" t="inlineStr"/>
    </row>
    <row r="4772" ht="41.25" customHeight="1" s="24">
      <c r="A4772" s="13" t="n">
        <v>5000051742</v>
      </c>
      <c r="B4772" s="13" t="inlineStr">
        <is>
          <t>Муниципальное бюджетное дошкольное образовательное учреждение «Детский сад № 7 «Росинка» г. Анива»</t>
        </is>
      </c>
      <c r="C4772" s="13" t="n">
        <v>6501287690</v>
      </c>
      <c r="D4772" s="13" t="inlineStr">
        <is>
          <t>6501287690</t>
        </is>
      </c>
      <c r="E4772" s="13" t="inlineStr">
        <is>
          <t>ЮЛ РФ</t>
        </is>
      </c>
      <c r="F4772" s="13" t="n"/>
      <c r="G4772" s="14" t="n"/>
      <c r="H4772" s="14" t="n"/>
      <c r="I4772" s="14" t="n"/>
      <c r="J4772" s="14" t="n"/>
      <c r="K4772" s="53" t="inlineStr"/>
      <c r="L4772" s="53" t="inlineStr">
        <is>
          <t>Не определено</t>
        </is>
      </c>
      <c r="M4772" s="53" t="inlineStr"/>
      <c r="N4772" s="54" t="inlineStr"/>
      <c r="O4772" s="55" t="inlineStr"/>
      <c r="P4772" s="16" t="inlineStr">
        <is>
          <t>Требует обогащения</t>
        </is>
      </c>
      <c r="Q4772" s="16">
        <f>HYPERLINK("https://pb.nalog.ru/search.html?query=6501287690","ФНС: проверить")</f>
        <v/>
      </c>
      <c r="R4772" s="16">
        <f>HYPERLINK("https://checko.ru/search?query=3801001629","Чекко: проверить")</f>
        <v/>
      </c>
      <c r="S4772" t="n">
        <v>1</v>
      </c>
      <c r="T4772" s="35" t="inlineStr">
        <is>
          <t>4 — Не обогащён</t>
        </is>
      </c>
      <c r="U4772" s="35" t="inlineStr">
        <is>
          <t>Нет ОКВЭД/ССЧР</t>
        </is>
      </c>
      <c r="V4772" s="35" t="inlineStr">
        <is>
          <t>Не определено</t>
        </is>
      </c>
      <c r="W4772" s="35" t="inlineStr"/>
      <c r="X4772" s="35" t="inlineStr"/>
    </row>
    <row r="4773" ht="41.25" customHeight="1" s="24">
      <c r="A4773" s="13" t="n">
        <v>5000051743</v>
      </c>
      <c r="B4773" s="13" t="inlineStr">
        <is>
          <t>Муниципальное бюджетное дошкольное образовательное учреждение «Детский сад № 8 «Сказка» г. Анива»</t>
        </is>
      </c>
      <c r="C4773" s="13" t="n">
        <v>6501299167</v>
      </c>
      <c r="D4773" s="13" t="inlineStr">
        <is>
          <t>6501299167</t>
        </is>
      </c>
      <c r="E4773" s="13" t="inlineStr">
        <is>
          <t>ЮЛ РФ</t>
        </is>
      </c>
      <c r="F4773" s="13" t="n"/>
      <c r="G4773" s="14" t="n"/>
      <c r="H4773" s="14" t="n"/>
      <c r="I4773" s="14" t="n"/>
      <c r="J4773" s="14" t="n"/>
      <c r="K4773" s="53" t="inlineStr"/>
      <c r="L4773" s="53" t="inlineStr">
        <is>
          <t>Не определено</t>
        </is>
      </c>
      <c r="M4773" s="53" t="inlineStr"/>
      <c r="N4773" s="54" t="inlineStr"/>
      <c r="O4773" s="55" t="inlineStr"/>
      <c r="P4773" s="16" t="inlineStr">
        <is>
          <t>Требует обогащения</t>
        </is>
      </c>
      <c r="Q4773" s="16">
        <f>HYPERLINK("https://pb.nalog.ru/search.html?query=6501299167","ФНС: проверить")</f>
        <v/>
      </c>
      <c r="R4773" s="16">
        <f>HYPERLINK("https://checko.ru/search?query=3801001629","Чекко: проверить")</f>
        <v/>
      </c>
      <c r="S4773" t="n">
        <v>1</v>
      </c>
      <c r="T4773" s="35" t="inlineStr">
        <is>
          <t>4 — Не обогащён</t>
        </is>
      </c>
      <c r="U4773" s="35" t="inlineStr">
        <is>
          <t>Нет ОКВЭД/ССЧР</t>
        </is>
      </c>
      <c r="V4773" s="35" t="inlineStr">
        <is>
          <t>Не определено</t>
        </is>
      </c>
      <c r="W4773" s="35" t="inlineStr"/>
      <c r="X4773" s="35" t="inlineStr"/>
    </row>
    <row r="4774" ht="27.75" customHeight="1" s="24">
      <c r="A4774" s="13" t="n">
        <v>5000051745</v>
      </c>
      <c r="B4774" s="13" t="inlineStr">
        <is>
          <t>Муниципальное автономное учреждение «Спортивная школа г. Анива»</t>
        </is>
      </c>
      <c r="C4774" s="13" t="n">
        <v>6501204535</v>
      </c>
      <c r="D4774" s="13" t="inlineStr">
        <is>
          <t>6501204535</t>
        </is>
      </c>
      <c r="E4774" s="13" t="inlineStr">
        <is>
          <t>ЮЛ РФ</t>
        </is>
      </c>
      <c r="F4774" s="13" t="n"/>
      <c r="G4774" s="14" t="n"/>
      <c r="H4774" s="14" t="n"/>
      <c r="I4774" s="14" t="n"/>
      <c r="J4774" s="14" t="n"/>
      <c r="K4774" s="53" t="inlineStr"/>
      <c r="L4774" s="53" t="inlineStr">
        <is>
          <t>Не определено</t>
        </is>
      </c>
      <c r="M4774" s="53" t="inlineStr"/>
      <c r="N4774" s="54" t="inlineStr"/>
      <c r="O4774" s="55" t="inlineStr"/>
      <c r="P4774" s="16" t="inlineStr">
        <is>
          <t>Требует обогащения</t>
        </is>
      </c>
      <c r="Q4774" s="16">
        <f>HYPERLINK("https://pb.nalog.ru/search.html?query=6501204535","ФНС: проверить")</f>
        <v/>
      </c>
      <c r="R4774" s="16">
        <f>HYPERLINK("https://checko.ru/search?query=3801001629","Чекко: проверить")</f>
        <v/>
      </c>
      <c r="S4774" t="n">
        <v>1</v>
      </c>
      <c r="T4774" s="35" t="inlineStr">
        <is>
          <t>4 — Не обогащён</t>
        </is>
      </c>
      <c r="U4774" s="35" t="inlineStr">
        <is>
          <t>Нет ОКВЭД/ССЧР</t>
        </is>
      </c>
      <c r="V4774" s="35" t="inlineStr">
        <is>
          <t>Не определено</t>
        </is>
      </c>
      <c r="W4774" s="35" t="inlineStr"/>
      <c r="X4774" s="35" t="inlineStr"/>
    </row>
    <row r="4775" ht="41.25" customHeight="1" s="24">
      <c r="A4775" s="13" t="n">
        <v>5000051746</v>
      </c>
      <c r="B4775" s="13" t="inlineStr">
        <is>
          <t>Муниципальное бюджетное учреждение дополнительного образования «Школа искусств г. Анива»</t>
        </is>
      </c>
      <c r="C4775" s="13" t="n">
        <v>6510902455</v>
      </c>
      <c r="D4775" s="13" t="inlineStr">
        <is>
          <t>6510902455</t>
        </is>
      </c>
      <c r="E4775" s="13" t="inlineStr">
        <is>
          <t>ЮЛ РФ</t>
        </is>
      </c>
      <c r="F4775" s="13" t="n"/>
      <c r="G4775" s="14" t="n"/>
      <c r="H4775" s="14" t="n"/>
      <c r="I4775" s="14" t="n"/>
      <c r="J4775" s="14" t="n"/>
      <c r="K4775" s="53" t="inlineStr"/>
      <c r="L4775" s="53" t="inlineStr">
        <is>
          <t>Не определено</t>
        </is>
      </c>
      <c r="M4775" s="53" t="inlineStr"/>
      <c r="N4775" s="54" t="inlineStr"/>
      <c r="O4775" s="55" t="inlineStr"/>
      <c r="P4775" s="16" t="inlineStr">
        <is>
          <t>Требует обогащения</t>
        </is>
      </c>
      <c r="Q4775" s="16">
        <f>HYPERLINK("https://pb.nalog.ru/search.html?query=6510902455","ФНС: проверить")</f>
        <v/>
      </c>
      <c r="R4775" s="16">
        <f>HYPERLINK("https://checko.ru/search?query=3801001629","Чекко: проверить")</f>
        <v/>
      </c>
      <c r="S4775" t="n">
        <v>1</v>
      </c>
      <c r="T4775" s="35" t="inlineStr">
        <is>
          <t>4 — Не обогащён</t>
        </is>
      </c>
      <c r="U4775" s="35" t="inlineStr">
        <is>
          <t>Нет ОКВЭД/ССЧР</t>
        </is>
      </c>
      <c r="V4775" s="35" t="inlineStr">
        <is>
          <t>Не определено</t>
        </is>
      </c>
      <c r="W4775" s="35" t="inlineStr"/>
      <c r="X4775" s="35" t="inlineStr"/>
    </row>
    <row r="4776" ht="41.25" customHeight="1" s="24">
      <c r="A4776" s="13" t="n">
        <v>5000051747</v>
      </c>
      <c r="B4776" s="13" t="inlineStr">
        <is>
          <t>Муниципальное бюджетное учреждение дополнительного образования «Школа искусств с. Троицкое»</t>
        </is>
      </c>
      <c r="C4776" s="13" t="n">
        <v>6510004998</v>
      </c>
      <c r="D4776" s="13" t="inlineStr">
        <is>
          <t>6510004998</t>
        </is>
      </c>
      <c r="E4776" s="13" t="inlineStr">
        <is>
          <t>ЮЛ РФ</t>
        </is>
      </c>
      <c r="F4776" s="13" t="n"/>
      <c r="G4776" s="14" t="n"/>
      <c r="H4776" s="14" t="n"/>
      <c r="I4776" s="14" t="n"/>
      <c r="J4776" s="14" t="n"/>
      <c r="K4776" s="53" t="inlineStr"/>
      <c r="L4776" s="53" t="inlineStr">
        <is>
          <t>Не определено</t>
        </is>
      </c>
      <c r="M4776" s="53" t="inlineStr"/>
      <c r="N4776" s="54" t="inlineStr"/>
      <c r="O4776" s="55" t="inlineStr"/>
      <c r="P4776" s="16" t="inlineStr">
        <is>
          <t>Требует обогащения</t>
        </is>
      </c>
      <c r="Q4776" s="16">
        <f>HYPERLINK("https://pb.nalog.ru/search.html?query=6510004998","ФНС: проверить")</f>
        <v/>
      </c>
      <c r="R4776" s="16">
        <f>HYPERLINK("https://checko.ru/search?query=3801001629","Чекко: проверить")</f>
        <v/>
      </c>
      <c r="S4776" t="n">
        <v>1</v>
      </c>
      <c r="T4776" s="35" t="inlineStr">
        <is>
          <t>4 — Не обогащён</t>
        </is>
      </c>
      <c r="U4776" s="35" t="inlineStr">
        <is>
          <t>Нет ОКВЭД/ССЧР</t>
        </is>
      </c>
      <c r="V4776" s="35" t="inlineStr">
        <is>
          <t>Не определено</t>
        </is>
      </c>
      <c r="W4776" s="35" t="inlineStr"/>
      <c r="X4776" s="35" t="inlineStr"/>
    </row>
    <row r="4777" ht="27.75" customHeight="1" s="24">
      <c r="A4777" s="13" t="n">
        <v>5000051748</v>
      </c>
      <c r="B4777" s="13" t="inlineStr">
        <is>
          <t>Муниципальное бюджетное учреждение «Анивская централизованная клубная система»</t>
        </is>
      </c>
      <c r="C4777" s="13" t="n">
        <v>6501201686</v>
      </c>
      <c r="D4777" s="13" t="inlineStr">
        <is>
          <t>6501201686</t>
        </is>
      </c>
      <c r="E4777" s="13" t="inlineStr">
        <is>
          <t>ЮЛ РФ</t>
        </is>
      </c>
      <c r="F4777" s="13" t="n"/>
      <c r="G4777" s="14" t="n"/>
      <c r="H4777" s="14" t="n"/>
      <c r="I4777" s="14" t="n"/>
      <c r="J4777" s="14" t="n"/>
      <c r="K4777" s="53" t="inlineStr"/>
      <c r="L4777" s="53" t="inlineStr">
        <is>
          <t>Не определено</t>
        </is>
      </c>
      <c r="M4777" s="53" t="inlineStr"/>
      <c r="N4777" s="54" t="inlineStr"/>
      <c r="O4777" s="55" t="inlineStr"/>
      <c r="P4777" s="16" t="inlineStr">
        <is>
          <t>Требует обогащения</t>
        </is>
      </c>
      <c r="Q4777" s="16">
        <f>HYPERLINK("https://pb.nalog.ru/search.html?query=6501201686","ФНС: проверить")</f>
        <v/>
      </c>
      <c r="R4777" s="16">
        <f>HYPERLINK("https://checko.ru/search?query=3801001629","Чекко: проверить")</f>
        <v/>
      </c>
      <c r="S4777" t="n">
        <v>1</v>
      </c>
      <c r="T4777" s="35" t="inlineStr">
        <is>
          <t>4 — Не обогащён</t>
        </is>
      </c>
      <c r="U4777" s="35" t="inlineStr">
        <is>
          <t>Нет ОКВЭД/ССЧР</t>
        </is>
      </c>
      <c r="V4777" s="35" t="inlineStr">
        <is>
          <t>Не определено</t>
        </is>
      </c>
      <c r="W4777" s="35" t="inlineStr"/>
      <c r="X4777" s="35" t="inlineStr"/>
    </row>
    <row r="4778" ht="41.25" customHeight="1" s="24">
      <c r="A4778" s="13" t="n">
        <v>5000051749</v>
      </c>
      <c r="B4778" s="13" t="inlineStr">
        <is>
          <t>Муниципальное бюджетное учреждение «Анивская централизованная библиотечная система»</t>
        </is>
      </c>
      <c r="C4778" s="13" t="n">
        <v>6510902800</v>
      </c>
      <c r="D4778" s="13" t="inlineStr">
        <is>
          <t>6510902800</t>
        </is>
      </c>
      <c r="E4778" s="13" t="inlineStr">
        <is>
          <t>ЮЛ РФ</t>
        </is>
      </c>
      <c r="F4778" s="13" t="n"/>
      <c r="G4778" s="14" t="n"/>
      <c r="H4778" s="14" t="n"/>
      <c r="I4778" s="14" t="n"/>
      <c r="J4778" s="14" t="n"/>
      <c r="K4778" s="53" t="inlineStr"/>
      <c r="L4778" s="53" t="inlineStr">
        <is>
          <t>Не определено</t>
        </is>
      </c>
      <c r="M4778" s="53" t="inlineStr"/>
      <c r="N4778" s="54" t="inlineStr"/>
      <c r="O4778" s="55" t="inlineStr"/>
      <c r="P4778" s="16" t="inlineStr">
        <is>
          <t>Требует обогащения</t>
        </is>
      </c>
      <c r="Q4778" s="16">
        <f>HYPERLINK("https://pb.nalog.ru/search.html?query=6510902800","ФНС: проверить")</f>
        <v/>
      </c>
      <c r="R4778" s="16">
        <f>HYPERLINK("https://checko.ru/search?query=3801001629","Чекко: проверить")</f>
        <v/>
      </c>
      <c r="S4778" t="n">
        <v>1</v>
      </c>
      <c r="T4778" s="35" t="inlineStr">
        <is>
          <t>4 — Не обогащён</t>
        </is>
      </c>
      <c r="U4778" s="35" t="inlineStr">
        <is>
          <t>Нет ОКВЭД/ССЧР</t>
        </is>
      </c>
      <c r="V4778" s="35" t="inlineStr">
        <is>
          <t>Не определено</t>
        </is>
      </c>
      <c r="W4778" s="35" t="inlineStr"/>
      <c r="X4778" s="35" t="inlineStr"/>
    </row>
    <row r="4779" ht="41.25" customHeight="1" s="24">
      <c r="A4779" s="13" t="n">
        <v>5000051750</v>
      </c>
      <c r="B4779" s="13" t="inlineStr">
        <is>
          <t>Муниципальное бюджетное учреждение «Архив муниципального образования «Анивский городской округ»</t>
        </is>
      </c>
      <c r="C4779" s="13" t="n">
        <v>6501232973</v>
      </c>
      <c r="D4779" s="13" t="inlineStr">
        <is>
          <t>6501232973</t>
        </is>
      </c>
      <c r="E4779" s="13" t="inlineStr">
        <is>
          <t>ЮЛ РФ</t>
        </is>
      </c>
      <c r="F4779" s="13" t="n"/>
      <c r="G4779" s="14" t="n"/>
      <c r="H4779" s="14" t="n"/>
      <c r="I4779" s="14" t="n"/>
      <c r="J4779" s="14" t="n"/>
      <c r="K4779" s="53" t="inlineStr"/>
      <c r="L4779" s="53" t="inlineStr">
        <is>
          <t>Не определено</t>
        </is>
      </c>
      <c r="M4779" s="53" t="inlineStr"/>
      <c r="N4779" s="54" t="inlineStr"/>
      <c r="O4779" s="55" t="inlineStr"/>
      <c r="P4779" s="16" t="inlineStr">
        <is>
          <t>Требует обогащения</t>
        </is>
      </c>
      <c r="Q4779" s="16">
        <f>HYPERLINK("https://pb.nalog.ru/search.html?query=6501232973","ФНС: проверить")</f>
        <v/>
      </c>
      <c r="R4779" s="16">
        <f>HYPERLINK("https://checko.ru/search?query=3801001629","Чекко: проверить")</f>
        <v/>
      </c>
      <c r="S4779" t="n">
        <v>1</v>
      </c>
      <c r="T4779" s="35" t="inlineStr">
        <is>
          <t>4 — Не обогащён</t>
        </is>
      </c>
      <c r="U4779" s="35" t="inlineStr">
        <is>
          <t>Нет ОКВЭД/ССЧР</t>
        </is>
      </c>
      <c r="V4779" s="35" t="inlineStr">
        <is>
          <t>Не определено</t>
        </is>
      </c>
      <c r="W4779" s="35" t="inlineStr"/>
      <c r="X4779" s="35" t="inlineStr"/>
    </row>
    <row r="4780" ht="54.75" customHeight="1" s="24">
      <c r="A4780" s="13" t="n">
        <v>5000046152</v>
      </c>
      <c r="B4780" s="13" t="inlineStr">
        <is>
          <t>МКУ "ОБЕСПЕЧЕНИЕ ДЕЯТЕЛЬНОСТИ УПРАВЛЕНИЯ КУЛЬТУРЫ И СПОРТА МУНИЦИПАЛЬНОГО ОБРАЗОВАНИЯ "ТЫМОВСКИЙ ГОРОДСКОЙ ОКРУГ" И ПОД</t>
        </is>
      </c>
      <c r="C4780" s="13" t="n">
        <v>6517008600</v>
      </c>
      <c r="D4780" s="13" t="inlineStr">
        <is>
          <t>6517008600</t>
        </is>
      </c>
      <c r="E4780" s="13" t="inlineStr">
        <is>
          <t>ЮЛ РФ</t>
        </is>
      </c>
      <c r="F4780" s="13" t="n"/>
      <c r="G4780" s="14" t="n"/>
      <c r="H4780" s="14" t="n"/>
      <c r="I4780" s="14" t="n"/>
      <c r="J4780" s="14" t="n"/>
      <c r="K4780" s="53" t="inlineStr"/>
      <c r="L4780" s="53" t="inlineStr">
        <is>
          <t>Не определено</t>
        </is>
      </c>
      <c r="M4780" s="53" t="inlineStr"/>
      <c r="N4780" s="54" t="inlineStr"/>
      <c r="O4780" s="55" t="inlineStr"/>
      <c r="P4780" s="16" t="inlineStr">
        <is>
          <t>Требует обогащения</t>
        </is>
      </c>
      <c r="Q4780" s="16">
        <f>HYPERLINK("https://pb.nalog.ru/search.html?query=6517008600","ФНС: проверить")</f>
        <v/>
      </c>
      <c r="R4780" s="16">
        <f>HYPERLINK("https://checko.ru/search?query=3801001629","Чекко: проверить")</f>
        <v/>
      </c>
      <c r="S4780" t="n">
        <v>1</v>
      </c>
      <c r="T4780" s="35" t="inlineStr">
        <is>
          <t>4 — Не обогащён</t>
        </is>
      </c>
      <c r="U4780" s="35" t="inlineStr">
        <is>
          <t>Нет ОКВЭД/ССЧР</t>
        </is>
      </c>
      <c r="V4780" s="35" t="inlineStr">
        <is>
          <t>Не определено</t>
        </is>
      </c>
      <c r="W4780" s="35" t="inlineStr"/>
      <c r="X4780" s="35" t="inlineStr"/>
    </row>
    <row r="4781" ht="15" customHeight="1" s="24">
      <c r="A4781" s="13" t="n">
        <v>5000046154</v>
      </c>
      <c r="B4781" s="13" t="inlineStr">
        <is>
          <t>МБУК "ТЫМОВСКИЙ КРАЕВЕДЧЕСКИЙ МУЗЕЙ"</t>
        </is>
      </c>
      <c r="C4781" s="13" t="n">
        <v>6517006962</v>
      </c>
      <c r="D4781" s="13" t="inlineStr">
        <is>
          <t>6517006962</t>
        </is>
      </c>
      <c r="E4781" s="13" t="inlineStr">
        <is>
          <t>ЮЛ РФ</t>
        </is>
      </c>
      <c r="F4781" s="13" t="n"/>
      <c r="G4781" s="14" t="n"/>
      <c r="H4781" s="14" t="n"/>
      <c r="I4781" s="14" t="n"/>
      <c r="J4781" s="14" t="n"/>
      <c r="K4781" s="53" t="inlineStr"/>
      <c r="L4781" s="53" t="inlineStr">
        <is>
          <t>Не определено</t>
        </is>
      </c>
      <c r="M4781" s="53" t="inlineStr"/>
      <c r="N4781" s="54" t="inlineStr"/>
      <c r="O4781" s="55" t="inlineStr"/>
      <c r="P4781" s="16" t="inlineStr">
        <is>
          <t>Требует обогащения</t>
        </is>
      </c>
      <c r="Q4781" s="16">
        <f>HYPERLINK("https://pb.nalog.ru/search.html?query=6517006962","ФНС: проверить")</f>
        <v/>
      </c>
      <c r="R4781" s="16">
        <f>HYPERLINK("https://checko.ru/search?query=3801001629","Чекко: проверить")</f>
        <v/>
      </c>
      <c r="S4781" t="n">
        <v>1</v>
      </c>
      <c r="T4781" s="35" t="inlineStr">
        <is>
          <t>4 — Не обогащён</t>
        </is>
      </c>
      <c r="U4781" s="35" t="inlineStr">
        <is>
          <t>Нет ОКВЭД/ССЧР</t>
        </is>
      </c>
      <c r="V4781" s="35" t="inlineStr">
        <is>
          <t>Не определено</t>
        </is>
      </c>
      <c r="W4781" s="35" t="inlineStr"/>
      <c r="X4781" s="35" t="inlineStr"/>
    </row>
    <row r="4782" ht="27.75" customHeight="1" s="24">
      <c r="A4782" s="13" t="n">
        <v>5000046155</v>
      </c>
      <c r="B4782" s="13" t="inlineStr">
        <is>
          <t>МБУК "ТЫМОВСКАЯ ЦЕНТРАЛИЗОВАННАЯ БИБЛИОТЕЧНАЯ СИСТЕМА"</t>
        </is>
      </c>
      <c r="C4782" s="13" t="n">
        <v>6517007317</v>
      </c>
      <c r="D4782" s="13" t="inlineStr">
        <is>
          <t>6517007317</t>
        </is>
      </c>
      <c r="E4782" s="13" t="inlineStr">
        <is>
          <t>ЮЛ РФ</t>
        </is>
      </c>
      <c r="F4782" s="13" t="n"/>
      <c r="G4782" s="14" t="n"/>
      <c r="H4782" s="14" t="n"/>
      <c r="I4782" s="14" t="n"/>
      <c r="J4782" s="14" t="n"/>
      <c r="K4782" s="53" t="inlineStr"/>
      <c r="L4782" s="53" t="inlineStr">
        <is>
          <t>Не определено</t>
        </is>
      </c>
      <c r="M4782" s="53" t="inlineStr"/>
      <c r="N4782" s="54" t="inlineStr"/>
      <c r="O4782" s="55" t="inlineStr"/>
      <c r="P4782" s="16" t="inlineStr">
        <is>
          <t>Требует обогащения</t>
        </is>
      </c>
      <c r="Q4782" s="16">
        <f>HYPERLINK("https://pb.nalog.ru/search.html?query=6517007317","ФНС: проверить")</f>
        <v/>
      </c>
      <c r="R4782" s="16">
        <f>HYPERLINK("https://checko.ru/search?query=3801001629","Чекко: проверить")</f>
        <v/>
      </c>
      <c r="S4782" t="n">
        <v>1</v>
      </c>
      <c r="T4782" s="35" t="inlineStr">
        <is>
          <t>4 — Не обогащён</t>
        </is>
      </c>
      <c r="U4782" s="35" t="inlineStr">
        <is>
          <t>Нет ОКВЭД/ССЧР</t>
        </is>
      </c>
      <c r="V4782" s="35" t="inlineStr">
        <is>
          <t>Не определено</t>
        </is>
      </c>
      <c r="W4782" s="35" t="inlineStr"/>
      <c r="X4782" s="35" t="inlineStr"/>
    </row>
    <row r="4783" ht="27.75" customHeight="1" s="24">
      <c r="A4783" s="13" t="n">
        <v>5000046156</v>
      </c>
      <c r="B4783" s="13" t="inlineStr">
        <is>
          <t>МБУК "ТЫМОВСКАЯ ЦЕНТРАЛИЗОВАННАЯ КЛУБНАЯ СИСТЕМА"</t>
        </is>
      </c>
      <c r="C4783" s="13" t="n">
        <v>6517007726</v>
      </c>
      <c r="D4783" s="13" t="inlineStr">
        <is>
          <t>6517007726</t>
        </is>
      </c>
      <c r="E4783" s="13" t="inlineStr">
        <is>
          <t>ЮЛ РФ</t>
        </is>
      </c>
      <c r="F4783" s="13" t="n"/>
      <c r="G4783" s="14" t="n"/>
      <c r="H4783" s="14" t="n"/>
      <c r="I4783" s="14" t="n"/>
      <c r="J4783" s="14" t="n"/>
      <c r="K4783" s="53" t="inlineStr"/>
      <c r="L4783" s="53" t="inlineStr">
        <is>
          <t>Не определено</t>
        </is>
      </c>
      <c r="M4783" s="53" t="inlineStr"/>
      <c r="N4783" s="54" t="inlineStr"/>
      <c r="O4783" s="55" t="inlineStr"/>
      <c r="P4783" s="16" t="inlineStr">
        <is>
          <t>Требует обогащения</t>
        </is>
      </c>
      <c r="Q4783" s="16">
        <f>HYPERLINK("https://pb.nalog.ru/search.html?query=6517007726","ФНС: проверить")</f>
        <v/>
      </c>
      <c r="R4783" s="16">
        <f>HYPERLINK("https://checko.ru/search?query=3801001629","Чекко: проверить")</f>
        <v/>
      </c>
      <c r="S4783" t="n">
        <v>1</v>
      </c>
      <c r="T4783" s="35" t="inlineStr">
        <is>
          <t>4 — Не обогащён</t>
        </is>
      </c>
      <c r="U4783" s="35" t="inlineStr">
        <is>
          <t>Нет ОКВЭД/ССЧР</t>
        </is>
      </c>
      <c r="V4783" s="35" t="inlineStr">
        <is>
          <t>Не определено</t>
        </is>
      </c>
      <c r="W4783" s="35" t="inlineStr"/>
      <c r="X4783" s="35" t="inlineStr"/>
    </row>
    <row r="4784" ht="27.75" customHeight="1" s="24">
      <c r="A4784" s="13" t="n">
        <v>5000046157</v>
      </c>
      <c r="B4784" s="13" t="inlineStr">
        <is>
          <t>МБУ ДО "ДЕТСКАЯ ШКОЛА ИСКУССТВ ПГТ.ТЫМОВСКОЕ"</t>
        </is>
      </c>
      <c r="C4784" s="13" t="n">
        <v>6517003986</v>
      </c>
      <c r="D4784" s="13" t="inlineStr">
        <is>
          <t>6517003986</t>
        </is>
      </c>
      <c r="E4784" s="13" t="inlineStr">
        <is>
          <t>ЮЛ РФ</t>
        </is>
      </c>
      <c r="F4784" s="13" t="n"/>
      <c r="G4784" s="14" t="n"/>
      <c r="H4784" s="14" t="n"/>
      <c r="I4784" s="14" t="n"/>
      <c r="J4784" s="14" t="n"/>
      <c r="K4784" s="53" t="inlineStr"/>
      <c r="L4784" s="53" t="inlineStr">
        <is>
          <t>Не определено</t>
        </is>
      </c>
      <c r="M4784" s="53" t="inlineStr"/>
      <c r="N4784" s="54" t="inlineStr"/>
      <c r="O4784" s="55" t="inlineStr"/>
      <c r="P4784" s="16" t="inlineStr">
        <is>
          <t>Требует обогащения</t>
        </is>
      </c>
      <c r="Q4784" s="16">
        <f>HYPERLINK("https://pb.nalog.ru/search.html?query=6517003986","ФНС: проверить")</f>
        <v/>
      </c>
      <c r="R4784" s="16">
        <f>HYPERLINK("https://checko.ru/search?query=3801001629","Чекко: проверить")</f>
        <v/>
      </c>
      <c r="S4784" t="n">
        <v>1</v>
      </c>
      <c r="T4784" s="35" t="inlineStr">
        <is>
          <t>4 — Не обогащён</t>
        </is>
      </c>
      <c r="U4784" s="35" t="inlineStr">
        <is>
          <t>Нет ОКВЭД/ССЧР</t>
        </is>
      </c>
      <c r="V4784" s="35" t="inlineStr">
        <is>
          <t>Не определено</t>
        </is>
      </c>
      <c r="W4784" s="35" t="inlineStr"/>
      <c r="X4784" s="35" t="inlineStr"/>
    </row>
    <row r="4785" ht="27.75" customHeight="1" s="24">
      <c r="A4785" s="13" t="n">
        <v>5000046158</v>
      </c>
      <c r="B4785" s="13" t="inlineStr">
        <is>
          <t>МБУ ДО "ДЕТСКО-ЮНОШЕСКАЯ СПОРТИВНАЯ ШКОЛА ПГТ.ТЫМОВСКОЕ"</t>
        </is>
      </c>
      <c r="C4785" s="13" t="n">
        <v>6517004740</v>
      </c>
      <c r="D4785" s="13" t="inlineStr">
        <is>
          <t>6517004740</t>
        </is>
      </c>
      <c r="E4785" s="13" t="inlineStr">
        <is>
          <t>ЮЛ РФ</t>
        </is>
      </c>
      <c r="F4785" s="13" t="n"/>
      <c r="G4785" s="14" t="n"/>
      <c r="H4785" s="14" t="n"/>
      <c r="I4785" s="14" t="n"/>
      <c r="J4785" s="14" t="n"/>
      <c r="K4785" s="53" t="inlineStr"/>
      <c r="L4785" s="53" t="inlineStr">
        <is>
          <t>Не определено</t>
        </is>
      </c>
      <c r="M4785" s="53" t="inlineStr"/>
      <c r="N4785" s="54" t="inlineStr"/>
      <c r="O4785" s="55" t="inlineStr"/>
      <c r="P4785" s="16" t="inlineStr">
        <is>
          <t>Требует обогащения</t>
        </is>
      </c>
      <c r="Q4785" s="16">
        <f>HYPERLINK("https://pb.nalog.ru/search.html?query=6517004740","ФНС: проверить")</f>
        <v/>
      </c>
      <c r="R4785" s="16">
        <f>HYPERLINK("https://checko.ru/search?query=3801001629","Чекко: проверить")</f>
        <v/>
      </c>
      <c r="S4785" t="n">
        <v>1</v>
      </c>
      <c r="T4785" s="35" t="inlineStr">
        <is>
          <t>4 — Не обогащён</t>
        </is>
      </c>
      <c r="U4785" s="35" t="inlineStr">
        <is>
          <t>Нет ОКВЭД/ССЧР</t>
        </is>
      </c>
      <c r="V4785" s="35" t="inlineStr">
        <is>
          <t>Не определено</t>
        </is>
      </c>
      <c r="W4785" s="35" t="inlineStr"/>
      <c r="X4785" s="35" t="inlineStr"/>
    </row>
    <row r="4786" ht="27.75" customHeight="1" s="24">
      <c r="A4786" s="13" t="n">
        <v>5000122895</v>
      </c>
      <c r="B4786" s="13" t="inlineStr">
        <is>
          <t>Администрация городского округа Королёв Московской области</t>
        </is>
      </c>
      <c r="C4786" s="13" t="n">
        <v>5018176830</v>
      </c>
      <c r="D4786" s="13" t="inlineStr">
        <is>
          <t>5018176830</t>
        </is>
      </c>
      <c r="E4786" s="13" t="inlineStr">
        <is>
          <t>ЮЛ РФ</t>
        </is>
      </c>
      <c r="F4786" s="13" t="n"/>
      <c r="G4786" s="14" t="n"/>
      <c r="H4786" s="14" t="n"/>
      <c r="I4786" s="14" t="n"/>
      <c r="J4786" s="14" t="n"/>
      <c r="K4786" s="53" t="inlineStr"/>
      <c r="L4786" s="53" t="inlineStr">
        <is>
          <t>Не определено</t>
        </is>
      </c>
      <c r="M4786" s="53" t="inlineStr"/>
      <c r="N4786" s="54" t="inlineStr"/>
      <c r="O4786" s="55" t="inlineStr"/>
      <c r="P4786" s="16" t="inlineStr">
        <is>
          <t>Требует обогащения</t>
        </is>
      </c>
      <c r="Q4786" s="16">
        <f>HYPERLINK("https://pb.nalog.ru/search.html?query=5018176830","ФНС: проверить")</f>
        <v/>
      </c>
      <c r="R4786" s="16">
        <f>HYPERLINK("https://checko.ru/search?query=3801001629","Чекко: проверить")</f>
        <v/>
      </c>
      <c r="S4786" t="n">
        <v>1</v>
      </c>
      <c r="T4786" s="35" t="inlineStr">
        <is>
          <t>4 — Не обогащён</t>
        </is>
      </c>
      <c r="U4786" s="35" t="inlineStr">
        <is>
          <t>Нет ОКВЭД/ССЧР</t>
        </is>
      </c>
      <c r="V4786" s="35" t="inlineStr">
        <is>
          <t>Не определено</t>
        </is>
      </c>
      <c r="W4786" s="35" t="inlineStr"/>
      <c r="X4786" s="35" t="inlineStr"/>
    </row>
    <row r="4787" ht="15" customHeight="1" s="24">
      <c r="A4787" s="13" t="n">
        <v>5000052890</v>
      </c>
      <c r="B4787" s="13" t="inlineStr">
        <is>
          <t>МБУ "Охинский краеведческий музей</t>
        </is>
      </c>
      <c r="C4787" s="13" t="n">
        <v>6506008608</v>
      </c>
      <c r="D4787" s="13" t="inlineStr">
        <is>
          <t>6506008608</t>
        </is>
      </c>
      <c r="E4787" s="13" t="inlineStr">
        <is>
          <t>ЮЛ РФ</t>
        </is>
      </c>
      <c r="F4787" s="13" t="n"/>
      <c r="G4787" s="14" t="n"/>
      <c r="H4787" s="14" t="n"/>
      <c r="I4787" s="14" t="n"/>
      <c r="J4787" s="14" t="n"/>
      <c r="K4787" s="53" t="inlineStr"/>
      <c r="L4787" s="53" t="inlineStr">
        <is>
          <t>Не определено</t>
        </is>
      </c>
      <c r="M4787" s="53" t="inlineStr"/>
      <c r="N4787" s="54" t="inlineStr"/>
      <c r="O4787" s="55" t="inlineStr"/>
      <c r="P4787" s="16" t="inlineStr">
        <is>
          <t>Требует обогащения</t>
        </is>
      </c>
      <c r="Q4787" s="16">
        <f>HYPERLINK("https://pb.nalog.ru/search.html?query=6506008608","ФНС: проверить")</f>
        <v/>
      </c>
      <c r="R4787" s="16">
        <f>HYPERLINK("https://checko.ru/search?query=3801001629","Чекко: проверить")</f>
        <v/>
      </c>
      <c r="S4787" t="n">
        <v>1</v>
      </c>
      <c r="T4787" s="35" t="inlineStr">
        <is>
          <t>4 — Не обогащён</t>
        </is>
      </c>
      <c r="U4787" s="35" t="inlineStr">
        <is>
          <t>Нет ОКВЭД/ССЧР</t>
        </is>
      </c>
      <c r="V4787" s="35" t="inlineStr">
        <is>
          <t>Не определено</t>
        </is>
      </c>
      <c r="W4787" s="35" t="inlineStr"/>
      <c r="X4787" s="35" t="inlineStr"/>
    </row>
    <row r="4788" ht="15" customHeight="1" s="24">
      <c r="A4788" s="13" t="n">
        <v>5000047393</v>
      </c>
      <c r="B4788" s="13" t="inlineStr">
        <is>
          <t>МБДОУ "Д/С "СОЛНЫШКО"</t>
        </is>
      </c>
      <c r="C4788" s="13" t="n">
        <v>6518009356</v>
      </c>
      <c r="D4788" s="13" t="inlineStr">
        <is>
          <t>6518009356</t>
        </is>
      </c>
      <c r="E4788" s="13" t="inlineStr">
        <is>
          <t>ЮЛ РФ</t>
        </is>
      </c>
      <c r="F4788" s="13" t="n"/>
      <c r="G4788" s="14" t="n"/>
      <c r="H4788" s="14" t="n"/>
      <c r="I4788" s="14" t="n"/>
      <c r="J4788" s="14" t="n"/>
      <c r="K4788" s="53" t="inlineStr"/>
      <c r="L4788" s="53" t="inlineStr">
        <is>
          <t>Не определено</t>
        </is>
      </c>
      <c r="M4788" s="53" t="inlineStr"/>
      <c r="N4788" s="54" t="inlineStr"/>
      <c r="O4788" s="55" t="inlineStr"/>
      <c r="P4788" s="16" t="inlineStr">
        <is>
          <t>Требует обогащения</t>
        </is>
      </c>
      <c r="Q4788" s="16">
        <f>HYPERLINK("https://pb.nalog.ru/search.html?query=6518009356","ФНС: проверить")</f>
        <v/>
      </c>
      <c r="R4788" s="16">
        <f>HYPERLINK("https://checko.ru/search?query=3801001629","Чекко: проверить")</f>
        <v/>
      </c>
      <c r="S4788" t="n">
        <v>1</v>
      </c>
      <c r="T4788" s="35" t="inlineStr">
        <is>
          <t>4 — Не обогащён</t>
        </is>
      </c>
      <c r="U4788" s="35" t="inlineStr">
        <is>
          <t>Нет ОКВЭД/ССЧР</t>
        </is>
      </c>
      <c r="V4788" s="35" t="inlineStr">
        <is>
          <t>Не определено</t>
        </is>
      </c>
      <c r="W4788" s="35" t="inlineStr"/>
      <c r="X4788" s="35" t="inlineStr"/>
    </row>
    <row r="4789" ht="15" customHeight="1" s="24">
      <c r="A4789" s="13" t="n">
        <v>5000047394</v>
      </c>
      <c r="B4789" s="13" t="inlineStr">
        <is>
          <t>МБДОУ "Д/С "Аленка"</t>
        </is>
      </c>
      <c r="C4789" s="13" t="n">
        <v>6518008200</v>
      </c>
      <c r="D4789" s="13" t="inlineStr">
        <is>
          <t>6518008200</t>
        </is>
      </c>
      <c r="E4789" s="13" t="inlineStr">
        <is>
          <t>ЮЛ РФ</t>
        </is>
      </c>
      <c r="F4789" s="13" t="n"/>
      <c r="G4789" s="14" t="n"/>
      <c r="H4789" s="14" t="n"/>
      <c r="I4789" s="14" t="n"/>
      <c r="J4789" s="14" t="n"/>
      <c r="K4789" s="53" t="inlineStr"/>
      <c r="L4789" s="53" t="inlineStr">
        <is>
          <t>Не определено</t>
        </is>
      </c>
      <c r="M4789" s="53" t="inlineStr"/>
      <c r="N4789" s="54" t="inlineStr"/>
      <c r="O4789" s="55" t="inlineStr"/>
      <c r="P4789" s="16" t="inlineStr">
        <is>
          <t>Требует обогащения</t>
        </is>
      </c>
      <c r="Q4789" s="16">
        <f>HYPERLINK("https://pb.nalog.ru/search.html?query=6518008200","ФНС: проверить")</f>
        <v/>
      </c>
      <c r="R4789" s="16">
        <f>HYPERLINK("https://checko.ru/search?query=3801001629","Чекко: проверить")</f>
        <v/>
      </c>
      <c r="S4789" t="n">
        <v>1</v>
      </c>
      <c r="T4789" s="35" t="inlineStr">
        <is>
          <t>4 — Не обогащён</t>
        </is>
      </c>
      <c r="U4789" s="35" t="inlineStr">
        <is>
          <t>Нет ОКВЭД/ССЧР</t>
        </is>
      </c>
      <c r="V4789" s="35" t="inlineStr">
        <is>
          <t>Не определено</t>
        </is>
      </c>
      <c r="W4789" s="35" t="inlineStr"/>
      <c r="X4789" s="35" t="inlineStr"/>
    </row>
    <row r="4790" ht="15" customHeight="1" s="24">
      <c r="A4790" s="13" t="n">
        <v>5000047395</v>
      </c>
      <c r="B4790" s="13" t="inlineStr">
        <is>
          <t>МБДОУ "Д/С "Белочка"</t>
        </is>
      </c>
      <c r="C4790" s="13" t="n">
        <v>6518002706</v>
      </c>
      <c r="D4790" s="13" t="inlineStr">
        <is>
          <t>6518002706</t>
        </is>
      </c>
      <c r="E4790" s="13" t="inlineStr">
        <is>
          <t>ЮЛ РФ</t>
        </is>
      </c>
      <c r="F4790" s="13" t="n"/>
      <c r="G4790" s="14" t="n"/>
      <c r="H4790" s="14" t="n"/>
      <c r="I4790" s="14" t="n"/>
      <c r="J4790" s="14" t="n"/>
      <c r="K4790" s="53" t="inlineStr"/>
      <c r="L4790" s="53" t="inlineStr">
        <is>
          <t>Не определено</t>
        </is>
      </c>
      <c r="M4790" s="53" t="inlineStr"/>
      <c r="N4790" s="54" t="inlineStr"/>
      <c r="O4790" s="55" t="inlineStr"/>
      <c r="P4790" s="16" t="inlineStr">
        <is>
          <t>Требует обогащения</t>
        </is>
      </c>
      <c r="Q4790" s="16">
        <f>HYPERLINK("https://pb.nalog.ru/search.html?query=6518002706","ФНС: проверить")</f>
        <v/>
      </c>
      <c r="R4790" s="16">
        <f>HYPERLINK("https://checko.ru/search?query=3801001629","Чекко: проверить")</f>
        <v/>
      </c>
      <c r="S4790" t="n">
        <v>1</v>
      </c>
      <c r="T4790" s="35" t="inlineStr">
        <is>
          <t>4 — Не обогащён</t>
        </is>
      </c>
      <c r="U4790" s="35" t="inlineStr">
        <is>
          <t>Нет ОКВЭД/ССЧР</t>
        </is>
      </c>
      <c r="V4790" s="35" t="inlineStr">
        <is>
          <t>Не определено</t>
        </is>
      </c>
      <c r="W4790" s="35" t="inlineStr"/>
      <c r="X4790" s="35" t="inlineStr"/>
    </row>
    <row r="4791" ht="15" customHeight="1" s="24">
      <c r="A4791" s="13" t="n">
        <v>5000047396</v>
      </c>
      <c r="B4791" s="13" t="inlineStr">
        <is>
          <t>МБДОУ "Д/С "Рыбка"</t>
        </is>
      </c>
      <c r="C4791" s="13" t="n">
        <v>6518006718</v>
      </c>
      <c r="D4791" s="13" t="inlineStr">
        <is>
          <t>6518006718</t>
        </is>
      </c>
      <c r="E4791" s="13" t="inlineStr">
        <is>
          <t>ЮЛ РФ</t>
        </is>
      </c>
      <c r="F4791" s="13" t="n"/>
      <c r="G4791" s="14" t="n"/>
      <c r="H4791" s="14" t="n"/>
      <c r="I4791" s="14" t="n"/>
      <c r="J4791" s="14" t="n"/>
      <c r="K4791" s="53" t="inlineStr"/>
      <c r="L4791" s="53" t="inlineStr">
        <is>
          <t>Не определено</t>
        </is>
      </c>
      <c r="M4791" s="53" t="inlineStr"/>
      <c r="N4791" s="54" t="inlineStr"/>
      <c r="O4791" s="55" t="inlineStr"/>
      <c r="P4791" s="16" t="inlineStr">
        <is>
          <t>Требует обогащения</t>
        </is>
      </c>
      <c r="Q4791" s="16">
        <f>HYPERLINK("https://pb.nalog.ru/search.html?query=6518006718","ФНС: проверить")</f>
        <v/>
      </c>
      <c r="R4791" s="16">
        <f>HYPERLINK("https://checko.ru/search?query=3801001629","Чекко: проверить")</f>
        <v/>
      </c>
      <c r="S4791" t="n">
        <v>1</v>
      </c>
      <c r="T4791" s="35" t="inlineStr">
        <is>
          <t>4 — Не обогащён</t>
        </is>
      </c>
      <c r="U4791" s="35" t="inlineStr">
        <is>
          <t>Нет ОКВЭД/ССЧР</t>
        </is>
      </c>
      <c r="V4791" s="35" t="inlineStr">
        <is>
          <t>Не определено</t>
        </is>
      </c>
      <c r="W4791" s="35" t="inlineStr"/>
      <c r="X4791" s="35" t="inlineStr"/>
    </row>
    <row r="4792" ht="15" customHeight="1" s="24">
      <c r="A4792" s="13" t="n">
        <v>5000047397</v>
      </c>
      <c r="B4792" s="13" t="inlineStr">
        <is>
          <t>МБОУ СОШ п.г.т. Южно-Курильск</t>
        </is>
      </c>
      <c r="C4792" s="13" t="n">
        <v>6518006034</v>
      </c>
      <c r="D4792" s="13" t="inlineStr">
        <is>
          <t>6518006034</t>
        </is>
      </c>
      <c r="E4792" s="13" t="inlineStr">
        <is>
          <t>ЮЛ РФ</t>
        </is>
      </c>
      <c r="F4792" s="13" t="n"/>
      <c r="G4792" s="14" t="n"/>
      <c r="H4792" s="14" t="n"/>
      <c r="I4792" s="14" t="n"/>
      <c r="J4792" s="14" t="n"/>
      <c r="K4792" s="53" t="inlineStr"/>
      <c r="L4792" s="53" t="inlineStr">
        <is>
          <t>Не определено</t>
        </is>
      </c>
      <c r="M4792" s="53" t="inlineStr"/>
      <c r="N4792" s="54" t="inlineStr"/>
      <c r="O4792" s="55" t="inlineStr"/>
      <c r="P4792" s="16" t="inlineStr">
        <is>
          <t>Требует обогащения</t>
        </is>
      </c>
      <c r="Q4792" s="16">
        <f>HYPERLINK("https://pb.nalog.ru/search.html?query=6518006034","ФНС: проверить")</f>
        <v/>
      </c>
      <c r="R4792" s="16">
        <f>HYPERLINK("https://checko.ru/search?query=3801001629","Чекко: проверить")</f>
        <v/>
      </c>
      <c r="S4792" t="n">
        <v>1</v>
      </c>
      <c r="T4792" s="35" t="inlineStr">
        <is>
          <t>4 — Не обогащён</t>
        </is>
      </c>
      <c r="U4792" s="35" t="inlineStr">
        <is>
          <t>Нет ОКВЭД/ССЧР</t>
        </is>
      </c>
      <c r="V4792" s="35" t="inlineStr">
        <is>
          <t>Не определено</t>
        </is>
      </c>
      <c r="W4792" s="35" t="inlineStr"/>
      <c r="X4792" s="35" t="inlineStr"/>
    </row>
    <row r="4793" ht="15" customHeight="1" s="24">
      <c r="A4793" s="13" t="n">
        <v>5000047398</v>
      </c>
      <c r="B4793" s="13" t="inlineStr">
        <is>
          <t>МБОУ Центр образования п.г.т. Южно-Курильск</t>
        </is>
      </c>
      <c r="C4793" s="13" t="n">
        <v>6518006891</v>
      </c>
      <c r="D4793" s="13" t="inlineStr">
        <is>
          <t>6518006891</t>
        </is>
      </c>
      <c r="E4793" s="13" t="inlineStr">
        <is>
          <t>ЮЛ РФ</t>
        </is>
      </c>
      <c r="F4793" s="13" t="n"/>
      <c r="G4793" s="14" t="n"/>
      <c r="H4793" s="14" t="n"/>
      <c r="I4793" s="14" t="n"/>
      <c r="J4793" s="14" t="n"/>
      <c r="K4793" s="53" t="inlineStr"/>
      <c r="L4793" s="53" t="inlineStr">
        <is>
          <t>Не определено</t>
        </is>
      </c>
      <c r="M4793" s="53" t="inlineStr"/>
      <c r="N4793" s="54" t="inlineStr"/>
      <c r="O4793" s="55" t="inlineStr"/>
      <c r="P4793" s="16" t="inlineStr">
        <is>
          <t>Требует обогащения</t>
        </is>
      </c>
      <c r="Q4793" s="16">
        <f>HYPERLINK("https://pb.nalog.ru/search.html?query=6518006891","ФНС: проверить")</f>
        <v/>
      </c>
      <c r="R4793" s="16">
        <f>HYPERLINK("https://checko.ru/search?query=3801001629","Чекко: проверить")</f>
        <v/>
      </c>
      <c r="S4793" t="n">
        <v>1</v>
      </c>
      <c r="T4793" s="35" t="inlineStr">
        <is>
          <t>4 — Не обогащён</t>
        </is>
      </c>
      <c r="U4793" s="35" t="inlineStr">
        <is>
          <t>Нет ОКВЭД/ССЧР</t>
        </is>
      </c>
      <c r="V4793" s="35" t="inlineStr">
        <is>
          <t>Не определено</t>
        </is>
      </c>
      <c r="W4793" s="35" t="inlineStr"/>
      <c r="X4793" s="35" t="inlineStr"/>
    </row>
    <row r="4794" ht="15" customHeight="1" s="24">
      <c r="A4794" s="13" t="n">
        <v>5000047399</v>
      </c>
      <c r="B4794" s="13" t="inlineStr">
        <is>
          <t>МБОУ СОШ с. Дубовое</t>
        </is>
      </c>
      <c r="C4794" s="13" t="n">
        <v>6518006796</v>
      </c>
      <c r="D4794" s="13" t="inlineStr">
        <is>
          <t>6518006796</t>
        </is>
      </c>
      <c r="E4794" s="13" t="inlineStr">
        <is>
          <t>ЮЛ РФ</t>
        </is>
      </c>
      <c r="F4794" s="13" t="n"/>
      <c r="G4794" s="14" t="n"/>
      <c r="H4794" s="14" t="n"/>
      <c r="I4794" s="14" t="n"/>
      <c r="J4794" s="14" t="n"/>
      <c r="K4794" s="53" t="inlineStr"/>
      <c r="L4794" s="53" t="inlineStr">
        <is>
          <t>Не определено</t>
        </is>
      </c>
      <c r="M4794" s="53" t="inlineStr"/>
      <c r="N4794" s="54" t="inlineStr"/>
      <c r="O4794" s="55" t="inlineStr"/>
      <c r="P4794" s="16" t="inlineStr">
        <is>
          <t>Требует обогащения</t>
        </is>
      </c>
      <c r="Q4794" s="16">
        <f>HYPERLINK("https://pb.nalog.ru/search.html?query=6518006796","ФНС: проверить")</f>
        <v/>
      </c>
      <c r="R4794" s="16">
        <f>HYPERLINK("https://checko.ru/search?query=3801001629","Чекко: проверить")</f>
        <v/>
      </c>
      <c r="S4794" t="n">
        <v>1</v>
      </c>
      <c r="T4794" s="35" t="inlineStr">
        <is>
          <t>4 — Не обогащён</t>
        </is>
      </c>
      <c r="U4794" s="35" t="inlineStr">
        <is>
          <t>Нет ОКВЭД/ССЧР</t>
        </is>
      </c>
      <c r="V4794" s="35" t="inlineStr">
        <is>
          <t>Не определено</t>
        </is>
      </c>
      <c r="W4794" s="35" t="inlineStr"/>
      <c r="X4794" s="35" t="inlineStr"/>
    </row>
    <row r="4795" ht="27.75" customHeight="1" s="24">
      <c r="A4795" s="13" t="n">
        <v>5000047400</v>
      </c>
      <c r="B4795" s="13" t="inlineStr">
        <is>
          <t>Отдел образования муниципального образования "Южно-Курильский городской округ"</t>
        </is>
      </c>
      <c r="C4795" s="13" t="n">
        <v>6518006429</v>
      </c>
      <c r="D4795" s="13" t="inlineStr">
        <is>
          <t>6518006429</t>
        </is>
      </c>
      <c r="E4795" s="13" t="inlineStr">
        <is>
          <t>ЮЛ РФ</t>
        </is>
      </c>
      <c r="F4795" s="13" t="n"/>
      <c r="G4795" s="14" t="n"/>
      <c r="H4795" s="14" t="n"/>
      <c r="I4795" s="14" t="n"/>
      <c r="J4795" s="14" t="n"/>
      <c r="K4795" s="53" t="inlineStr"/>
      <c r="L4795" s="53" t="inlineStr">
        <is>
          <t>Не определено</t>
        </is>
      </c>
      <c r="M4795" s="53" t="inlineStr"/>
      <c r="N4795" s="54" t="inlineStr"/>
      <c r="O4795" s="55" t="inlineStr"/>
      <c r="P4795" s="16" t="inlineStr">
        <is>
          <t>Требует обогащения</t>
        </is>
      </c>
      <c r="Q4795" s="16">
        <f>HYPERLINK("https://pb.nalog.ru/search.html?query=6518006429","ФНС: проверить")</f>
        <v/>
      </c>
      <c r="R4795" s="16">
        <f>HYPERLINK("https://checko.ru/search?query=3801001629","Чекко: проверить")</f>
        <v/>
      </c>
      <c r="S4795" t="n">
        <v>1</v>
      </c>
      <c r="T4795" s="35" t="inlineStr">
        <is>
          <t>4 — Не обогащён</t>
        </is>
      </c>
      <c r="U4795" s="35" t="inlineStr">
        <is>
          <t>Нет ОКВЭД/ССЧР</t>
        </is>
      </c>
      <c r="V4795" s="35" t="inlineStr">
        <is>
          <t>Не определено</t>
        </is>
      </c>
      <c r="W4795" s="35" t="inlineStr"/>
      <c r="X4795" s="35" t="inlineStr"/>
    </row>
    <row r="4796" ht="27.75" customHeight="1" s="24">
      <c r="A4796" s="13" t="n">
        <v>5000047400</v>
      </c>
      <c r="B4796" s="13" t="inlineStr">
        <is>
          <t>Отдел образования муниципального образования "Южно-Курильский городской округ"</t>
        </is>
      </c>
      <c r="C4796" s="13" t="n">
        <v>6518006429</v>
      </c>
      <c r="D4796" s="13" t="inlineStr">
        <is>
          <t>6518006429</t>
        </is>
      </c>
      <c r="E4796" s="13" t="inlineStr">
        <is>
          <t>ЮЛ РФ</t>
        </is>
      </c>
      <c r="F4796" s="13" t="n"/>
      <c r="G4796" s="14" t="n"/>
      <c r="H4796" s="14" t="n"/>
      <c r="I4796" s="14" t="n"/>
      <c r="J4796" s="14" t="n"/>
      <c r="K4796" s="53" t="inlineStr"/>
      <c r="L4796" s="53" t="inlineStr">
        <is>
          <t>Не определено</t>
        </is>
      </c>
      <c r="M4796" s="53" t="inlineStr"/>
      <c r="N4796" s="54" t="inlineStr"/>
      <c r="O4796" s="55" t="inlineStr"/>
      <c r="P4796" s="16" t="inlineStr">
        <is>
          <t>Требует обогащения</t>
        </is>
      </c>
      <c r="Q4796" s="16">
        <f>HYPERLINK("https://pb.nalog.ru/search.html?query=6518006429","ФНС: проверить")</f>
        <v/>
      </c>
      <c r="R4796" s="16">
        <f>HYPERLINK("https://checko.ru/search?query=3801001629","Чекко: проверить")</f>
        <v/>
      </c>
      <c r="S4796" t="n">
        <v>0</v>
      </c>
      <c r="T4796" s="35" t="inlineStr">
        <is>
          <t>4 — Не обогащён</t>
        </is>
      </c>
      <c r="U4796" s="35" t="inlineStr">
        <is>
          <t>Нет ОКВЭД/ССЧР</t>
        </is>
      </c>
      <c r="V4796" s="35" t="inlineStr">
        <is>
          <t>Не определено</t>
        </is>
      </c>
      <c r="W4796" s="35" t="inlineStr"/>
      <c r="X4796" s="35" t="inlineStr"/>
    </row>
    <row r="4797" ht="15" customHeight="1" s="24">
      <c r="A4797" s="13" t="n">
        <v>5000048203</v>
      </c>
      <c r="B4797" s="13" t="inlineStr">
        <is>
          <t>Собрание Поронайского городского округа</t>
        </is>
      </c>
      <c r="C4797" s="13" t="n">
        <v>6507013953</v>
      </c>
      <c r="D4797" s="13" t="inlineStr">
        <is>
          <t>6507013953</t>
        </is>
      </c>
      <c r="E4797" s="13" t="inlineStr">
        <is>
          <t>ЮЛ РФ</t>
        </is>
      </c>
      <c r="F4797" s="13" t="n"/>
      <c r="G4797" s="14" t="n"/>
      <c r="H4797" s="14" t="n"/>
      <c r="I4797" s="14" t="n"/>
      <c r="J4797" s="14" t="n"/>
      <c r="K4797" s="53" t="inlineStr"/>
      <c r="L4797" s="53" t="inlineStr">
        <is>
          <t>Не определено</t>
        </is>
      </c>
      <c r="M4797" s="53" t="inlineStr"/>
      <c r="N4797" s="54" t="inlineStr"/>
      <c r="O4797" s="55" t="inlineStr"/>
      <c r="P4797" s="16" t="inlineStr">
        <is>
          <t>Требует обогащения</t>
        </is>
      </c>
      <c r="Q4797" s="16">
        <f>HYPERLINK("https://pb.nalog.ru/search.html?query=6507013953","ФНС: проверить")</f>
        <v/>
      </c>
      <c r="R4797" s="16">
        <f>HYPERLINK("https://checko.ru/search?query=3801001629","Чекко: проверить")</f>
        <v/>
      </c>
      <c r="S4797" t="n">
        <v>1</v>
      </c>
      <c r="T4797" s="35" t="inlineStr">
        <is>
          <t>4 — Не обогащён</t>
        </is>
      </c>
      <c r="U4797" s="35" t="inlineStr">
        <is>
          <t>Нет ОКВЭД/ССЧР</t>
        </is>
      </c>
      <c r="V4797" s="35" t="inlineStr">
        <is>
          <t>Не определено</t>
        </is>
      </c>
      <c r="W4797" s="35" t="inlineStr"/>
      <c r="X4797" s="35" t="inlineStr"/>
    </row>
    <row r="4798" ht="27.75" customHeight="1" s="24">
      <c r="A4798" s="13" t="n">
        <v>5000048205</v>
      </c>
      <c r="B4798" s="13" t="inlineStr">
        <is>
          <t>Контрольно-счетная палата Поронайского городского округа</t>
        </is>
      </c>
      <c r="C4798" s="13" t="n">
        <v>6507012614</v>
      </c>
      <c r="D4798" s="13" t="inlineStr">
        <is>
          <t>6507012614</t>
        </is>
      </c>
      <c r="E4798" s="13" t="inlineStr">
        <is>
          <t>ЮЛ РФ</t>
        </is>
      </c>
      <c r="F4798" s="13" t="n"/>
      <c r="G4798" s="14" t="n"/>
      <c r="H4798" s="14" t="n"/>
      <c r="I4798" s="14" t="n"/>
      <c r="J4798" s="14" t="n"/>
      <c r="K4798" s="53" t="inlineStr"/>
      <c r="L4798" s="53" t="inlineStr">
        <is>
          <t>Не определено</t>
        </is>
      </c>
      <c r="M4798" s="53" t="inlineStr"/>
      <c r="N4798" s="54" t="inlineStr"/>
      <c r="O4798" s="55" t="inlineStr"/>
      <c r="P4798" s="16" t="inlineStr">
        <is>
          <t>Требует обогащения</t>
        </is>
      </c>
      <c r="Q4798" s="16">
        <f>HYPERLINK("https://pb.nalog.ru/search.html?query=6507012614","ФНС: проверить")</f>
        <v/>
      </c>
      <c r="R4798" s="16">
        <f>HYPERLINK("https://checko.ru/search?query=3801001629","Чекко: проверить")</f>
        <v/>
      </c>
      <c r="S4798" t="n">
        <v>1</v>
      </c>
      <c r="T4798" s="35" t="inlineStr">
        <is>
          <t>4 — Не обогащён</t>
        </is>
      </c>
      <c r="U4798" s="35" t="inlineStr">
        <is>
          <t>Нет ОКВЭД/ССЧР</t>
        </is>
      </c>
      <c r="V4798" s="35" t="inlineStr">
        <is>
          <t>Не определено</t>
        </is>
      </c>
      <c r="W4798" s="35" t="inlineStr"/>
      <c r="X4798" s="35" t="inlineStr"/>
    </row>
    <row r="4799" ht="27.75" customHeight="1" s="24">
      <c r="A4799" s="13" t="n">
        <v>5000098299</v>
      </c>
      <c r="B4799" s="13" t="inlineStr">
        <is>
          <t>Интернат Психоневрологический АРСЕНЬЕВСКИЙ ПНИ КГБУСО</t>
        </is>
      </c>
      <c r="C4799" s="13" t="n">
        <v>2501019158</v>
      </c>
      <c r="D4799" s="13" t="inlineStr">
        <is>
          <t>2501019158</t>
        </is>
      </c>
      <c r="E4799" s="13" t="inlineStr">
        <is>
          <t>ЮЛ РФ</t>
        </is>
      </c>
      <c r="F4799" s="13" t="n"/>
      <c r="G4799" s="14" t="n"/>
      <c r="H4799" s="14" t="n"/>
      <c r="I4799" s="14" t="n"/>
      <c r="J4799" s="14" t="n"/>
      <c r="K4799" s="53" t="inlineStr"/>
      <c r="L4799" s="53" t="inlineStr">
        <is>
          <t>Не определено</t>
        </is>
      </c>
      <c r="M4799" s="53" t="inlineStr"/>
      <c r="N4799" s="54" t="inlineStr"/>
      <c r="O4799" s="55" t="inlineStr"/>
      <c r="P4799" s="16" t="inlineStr">
        <is>
          <t>Требует обогащения</t>
        </is>
      </c>
      <c r="Q4799" s="16">
        <f>HYPERLINK("https://pb.nalog.ru/search.html?query=2501019158","ФНС: проверить")</f>
        <v/>
      </c>
      <c r="R4799" s="16">
        <f>HYPERLINK("https://checko.ru/search?query=3801001629","Чекко: проверить")</f>
        <v/>
      </c>
      <c r="S4799" t="n">
        <v>1</v>
      </c>
      <c r="T4799" s="35" t="inlineStr">
        <is>
          <t>4 — Не обогащён</t>
        </is>
      </c>
      <c r="U4799" s="35" t="inlineStr">
        <is>
          <t>Нет ОКВЭД/ССЧР</t>
        </is>
      </c>
      <c r="V4799" s="35" t="inlineStr">
        <is>
          <t>Не определено</t>
        </is>
      </c>
      <c r="W4799" s="35" t="inlineStr"/>
      <c r="X4799" s="35" t="inlineStr"/>
    </row>
    <row r="4800" ht="15" customHeight="1" s="24">
      <c r="A4800" s="13" t="n">
        <v>5000089302</v>
      </c>
      <c r="B4800" s="13" t="inlineStr">
        <is>
          <t>КГОКУ "Детский дом с. Черниговка"</t>
        </is>
      </c>
      <c r="C4800" s="13" t="n">
        <v>2533007613</v>
      </c>
      <c r="D4800" s="13" t="inlineStr">
        <is>
          <t>2533007613</t>
        </is>
      </c>
      <c r="E4800" s="13" t="inlineStr">
        <is>
          <t>ЮЛ РФ</t>
        </is>
      </c>
      <c r="F4800" s="13" t="n"/>
      <c r="G4800" s="14" t="n"/>
      <c r="H4800" s="14" t="n"/>
      <c r="I4800" s="14" t="n"/>
      <c r="J4800" s="14" t="n"/>
      <c r="K4800" s="53" t="inlineStr"/>
      <c r="L4800" s="53" t="inlineStr">
        <is>
          <t>Не определено</t>
        </is>
      </c>
      <c r="M4800" s="53" t="inlineStr"/>
      <c r="N4800" s="54" t="inlineStr"/>
      <c r="O4800" s="55" t="inlineStr"/>
      <c r="P4800" s="16" t="inlineStr">
        <is>
          <t>Требует обогащения</t>
        </is>
      </c>
      <c r="Q4800" s="16">
        <f>HYPERLINK("https://pb.nalog.ru/search.html?query=2533007613","ФНС: проверить")</f>
        <v/>
      </c>
      <c r="R4800" s="16">
        <f>HYPERLINK("https://checko.ru/search?query=3801001629","Чекко: проверить")</f>
        <v/>
      </c>
      <c r="S4800" t="n">
        <v>1</v>
      </c>
      <c r="T4800" s="35" t="inlineStr">
        <is>
          <t>4 — Не обогащён</t>
        </is>
      </c>
      <c r="U4800" s="35" t="inlineStr">
        <is>
          <t>Нет ОКВЭД/ССЧР</t>
        </is>
      </c>
      <c r="V4800" s="35" t="inlineStr">
        <is>
          <t>Не определено</t>
        </is>
      </c>
      <c r="W4800" s="35" t="inlineStr"/>
      <c r="X4800" s="35" t="inlineStr"/>
    </row>
    <row r="4801" ht="27.75" customHeight="1" s="24">
      <c r="A4801" s="13" t="n">
        <v>5000098656</v>
      </c>
      <c r="B4801" s="13" t="inlineStr">
        <is>
          <t>ГБУЗ Сахалинской области "Станция скорой медицинской помощи г. Южно-Сахалинска"</t>
        </is>
      </c>
      <c r="C4801" s="13" t="n">
        <v>6501089258</v>
      </c>
      <c r="D4801" s="13" t="inlineStr">
        <is>
          <t>6501089258</t>
        </is>
      </c>
      <c r="E4801" s="13" t="inlineStr">
        <is>
          <t>ЮЛ РФ</t>
        </is>
      </c>
      <c r="F4801" s="13" t="n"/>
      <c r="G4801" s="14" t="n"/>
      <c r="H4801" s="14" t="n"/>
      <c r="I4801" s="14" t="n"/>
      <c r="J4801" s="14" t="n"/>
      <c r="K4801" s="53" t="inlineStr"/>
      <c r="L4801" s="53" t="inlineStr">
        <is>
          <t>Не определено</t>
        </is>
      </c>
      <c r="M4801" s="53" t="inlineStr"/>
      <c r="N4801" s="54" t="inlineStr"/>
      <c r="O4801" s="55" t="inlineStr"/>
      <c r="P4801" s="16" t="inlineStr">
        <is>
          <t>Требует обогащения</t>
        </is>
      </c>
      <c r="Q4801" s="16">
        <f>HYPERLINK("https://pb.nalog.ru/search.html?query=6501089258","ФНС: проверить")</f>
        <v/>
      </c>
      <c r="R4801" s="16">
        <f>HYPERLINK("https://checko.ru/search?query=3801001629","Чекко: проверить")</f>
        <v/>
      </c>
      <c r="S4801" t="n">
        <v>1</v>
      </c>
      <c r="T4801" s="35" t="inlineStr">
        <is>
          <t>4 — Не обогащён</t>
        </is>
      </c>
      <c r="U4801" s="35" t="inlineStr">
        <is>
          <t>Нет ОКВЭД/ССЧР</t>
        </is>
      </c>
      <c r="V4801" s="35" t="inlineStr">
        <is>
          <t>Не определено</t>
        </is>
      </c>
      <c r="W4801" s="35" t="inlineStr"/>
      <c r="X4801" s="35" t="inlineStr"/>
    </row>
    <row r="4802" ht="27.75" customHeight="1" s="24">
      <c r="A4802" s="13" t="n">
        <v>5000048405</v>
      </c>
      <c r="B4802" s="13" t="inlineStr">
        <is>
          <t>МБУК "Социально-культурный центр муниципального образования "Шаралдай"</t>
        </is>
      </c>
      <c r="C4802" s="13" t="n">
        <v>3849012241</v>
      </c>
      <c r="D4802" s="13" t="inlineStr">
        <is>
          <t>3849012241</t>
        </is>
      </c>
      <c r="E4802" s="13" t="inlineStr">
        <is>
          <t>ЮЛ РФ</t>
        </is>
      </c>
      <c r="F4802" s="13" t="n"/>
      <c r="G4802" s="14" t="n"/>
      <c r="H4802" s="14" t="n"/>
      <c r="I4802" s="14" t="n"/>
      <c r="J4802" s="14" t="n"/>
      <c r="K4802" s="53" t="inlineStr"/>
      <c r="L4802" s="53" t="inlineStr">
        <is>
          <t>Не определено</t>
        </is>
      </c>
      <c r="M4802" s="53" t="inlineStr"/>
      <c r="N4802" s="54" t="inlineStr"/>
      <c r="O4802" s="55" t="inlineStr"/>
      <c r="P4802" s="16" t="inlineStr">
        <is>
          <t>Требует обогащения</t>
        </is>
      </c>
      <c r="Q4802" s="16">
        <f>HYPERLINK("https://pb.nalog.ru/search.html?query=3849012241","ФНС: проверить")</f>
        <v/>
      </c>
      <c r="R4802" s="16">
        <f>HYPERLINK("https://checko.ru/search?query=3801001629","Чекко: проверить")</f>
        <v/>
      </c>
      <c r="S4802" t="n">
        <v>1</v>
      </c>
      <c r="T4802" s="35" t="inlineStr">
        <is>
          <t>4 — Не обогащён</t>
        </is>
      </c>
      <c r="U4802" s="35" t="inlineStr">
        <is>
          <t>Нет ОКВЭД/ССЧР</t>
        </is>
      </c>
      <c r="V4802" s="35" t="inlineStr">
        <is>
          <t>Не определено</t>
        </is>
      </c>
      <c r="W4802" s="35" t="inlineStr"/>
      <c r="X4802" s="35" t="inlineStr"/>
    </row>
    <row r="4803" ht="27.75" customHeight="1" s="24">
      <c r="A4803" s="13" t="n">
        <v>5000107571</v>
      </c>
      <c r="B4803" s="13" t="inlineStr">
        <is>
          <t>ОГАУ "Центр спортивной подготовки Сахалинской области"</t>
        </is>
      </c>
      <c r="C4803" s="13" t="n">
        <v>6501307643</v>
      </c>
      <c r="D4803" s="13" t="inlineStr">
        <is>
          <t>6501307643</t>
        </is>
      </c>
      <c r="E4803" s="13" t="inlineStr">
        <is>
          <t>ЮЛ РФ</t>
        </is>
      </c>
      <c r="F4803" s="13" t="n"/>
      <c r="G4803" s="14" t="n"/>
      <c r="H4803" s="14" t="n"/>
      <c r="I4803" s="14" t="n"/>
      <c r="J4803" s="14" t="n"/>
      <c r="K4803" s="53" t="inlineStr"/>
      <c r="L4803" s="53" t="inlineStr">
        <is>
          <t>Не определено</t>
        </is>
      </c>
      <c r="M4803" s="53" t="inlineStr"/>
      <c r="N4803" s="54" t="inlineStr"/>
      <c r="O4803" s="55" t="inlineStr"/>
      <c r="P4803" s="16" t="inlineStr">
        <is>
          <t>Требует обогащения</t>
        </is>
      </c>
      <c r="Q4803" s="16">
        <f>HYPERLINK("https://pb.nalog.ru/search.html?query=6501307643","ФНС: проверить")</f>
        <v/>
      </c>
      <c r="R4803" s="16">
        <f>HYPERLINK("https://checko.ru/search?query=3801001629","Чекко: проверить")</f>
        <v/>
      </c>
      <c r="S4803" t="n">
        <v>1</v>
      </c>
      <c r="T4803" s="35" t="inlineStr">
        <is>
          <t>4 — Не обогащён</t>
        </is>
      </c>
      <c r="U4803" s="35" t="inlineStr">
        <is>
          <t>Нет ОКВЭД/ССЧР</t>
        </is>
      </c>
      <c r="V4803" s="35" t="inlineStr">
        <is>
          <t>Не определено</t>
        </is>
      </c>
      <c r="W4803" s="35" t="inlineStr"/>
      <c r="X4803" s="35" t="inlineStr"/>
    </row>
    <row r="4804" ht="15" customHeight="1" s="24">
      <c r="A4804" s="13" t="n">
        <v>5000119676</v>
      </c>
      <c r="B4804" s="13" t="inlineStr">
        <is>
          <t>Сахалинская областная Дума</t>
        </is>
      </c>
      <c r="C4804" s="13" t="n">
        <v>6501027276</v>
      </c>
      <c r="D4804" s="13" t="inlineStr">
        <is>
          <t>6501027276</t>
        </is>
      </c>
      <c r="E4804" s="13" t="inlineStr">
        <is>
          <t>ЮЛ РФ</t>
        </is>
      </c>
      <c r="F4804" s="13" t="n"/>
      <c r="G4804" s="14" t="n"/>
      <c r="H4804" s="14" t="n"/>
      <c r="I4804" s="14" t="n"/>
      <c r="J4804" s="14" t="n"/>
      <c r="K4804" s="53" t="inlineStr"/>
      <c r="L4804" s="53" t="inlineStr">
        <is>
          <t>Не определено</t>
        </is>
      </c>
      <c r="M4804" s="53" t="inlineStr"/>
      <c r="N4804" s="54" t="inlineStr"/>
      <c r="O4804" s="55" t="inlineStr"/>
      <c r="P4804" s="16" t="inlineStr">
        <is>
          <t>Требует обогащения</t>
        </is>
      </c>
      <c r="Q4804" s="16">
        <f>HYPERLINK("https://pb.nalog.ru/search.html?query=6501027276","ФНС: проверить")</f>
        <v/>
      </c>
      <c r="R4804" s="16">
        <f>HYPERLINK("https://checko.ru/search?query=3801001629","Чекко: проверить")</f>
        <v/>
      </c>
      <c r="S4804" t="n">
        <v>1</v>
      </c>
      <c r="T4804" s="35" t="inlineStr">
        <is>
          <t>4 — Не обогащён</t>
        </is>
      </c>
      <c r="U4804" s="35" t="inlineStr">
        <is>
          <t>Нет ОКВЭД/ССЧР</t>
        </is>
      </c>
      <c r="V4804" s="35" t="inlineStr">
        <is>
          <t>Не определено</t>
        </is>
      </c>
      <c r="W4804" s="35" t="inlineStr"/>
      <c r="X4804" s="35" t="inlineStr"/>
    </row>
    <row r="4805" ht="27.75" customHeight="1" s="24">
      <c r="A4805" s="13" t="n">
        <v>5000046773</v>
      </c>
      <c r="B4805" s="13" t="inlineStr">
        <is>
          <t>ГКУ "СОЦИАЛЬНО-РЕАБИЛИТАЦИОННЫЙ ЦЕНТР ДЛЯ НЕСОВЕРШЕННОЛЕТНИХ "ЛАСТОЧКА"</t>
        </is>
      </c>
      <c r="C4805" s="13" t="n">
        <v>6516002524</v>
      </c>
      <c r="D4805" s="13" t="inlineStr">
        <is>
          <t>6516002524</t>
        </is>
      </c>
      <c r="E4805" s="13" t="inlineStr">
        <is>
          <t>ЮЛ РФ</t>
        </is>
      </c>
      <c r="F4805" s="13" t="n"/>
      <c r="G4805" s="14" t="n"/>
      <c r="H4805" s="14" t="n"/>
      <c r="I4805" s="14" t="n"/>
      <c r="J4805" s="14" t="n"/>
      <c r="K4805" s="53" t="inlineStr"/>
      <c r="L4805" s="53" t="inlineStr">
        <is>
          <t>Не определено</t>
        </is>
      </c>
      <c r="M4805" s="53" t="inlineStr"/>
      <c r="N4805" s="54" t="inlineStr"/>
      <c r="O4805" s="55" t="inlineStr"/>
      <c r="P4805" s="16" t="inlineStr">
        <is>
          <t>Требует обогащения</t>
        </is>
      </c>
      <c r="Q4805" s="16">
        <f>HYPERLINK("https://pb.nalog.ru/search.html?query=6516002524","ФНС: проверить")</f>
        <v/>
      </c>
      <c r="R4805" s="16">
        <f>HYPERLINK("https://checko.ru/search?query=3801001629","Чекко: проверить")</f>
        <v/>
      </c>
      <c r="S4805" t="n">
        <v>1</v>
      </c>
      <c r="T4805" s="35" t="inlineStr">
        <is>
          <t>4 — Не обогащён</t>
        </is>
      </c>
      <c r="U4805" s="35" t="inlineStr">
        <is>
          <t>Нет ОКВЭД/ССЧР</t>
        </is>
      </c>
      <c r="V4805" s="35" t="inlineStr">
        <is>
          <t>Не определено</t>
        </is>
      </c>
      <c r="W4805" s="35" t="inlineStr"/>
      <c r="X4805" s="35" t="inlineStr"/>
    </row>
    <row r="4806" ht="27.75" customHeight="1" s="24">
      <c r="A4806" s="13" t="n">
        <v>5000046775</v>
      </c>
      <c r="B4806" s="13" t="inlineStr">
        <is>
          <t>ГКУ "СОЦИАЛЬНО-РЕАБИЛИТАЦИОННЫЙ ЦЕНТР ДЛЯ НЕСОВЕРШЕННОЛЕТНИХ "УЛЫБКА"</t>
        </is>
      </c>
      <c r="C4806" s="13" t="n">
        <v>6516002563</v>
      </c>
      <c r="D4806" s="13" t="inlineStr">
        <is>
          <t>6516002563</t>
        </is>
      </c>
      <c r="E4806" s="13" t="inlineStr">
        <is>
          <t>ЮЛ РФ</t>
        </is>
      </c>
      <c r="F4806" s="13" t="n"/>
      <c r="G4806" s="14" t="n"/>
      <c r="H4806" s="14" t="n"/>
      <c r="I4806" s="14" t="n"/>
      <c r="J4806" s="14" t="n"/>
      <c r="K4806" s="53" t="inlineStr"/>
      <c r="L4806" s="53" t="inlineStr">
        <is>
          <t>Не определено</t>
        </is>
      </c>
      <c r="M4806" s="53" t="inlineStr"/>
      <c r="N4806" s="54" t="inlineStr"/>
      <c r="O4806" s="55" t="inlineStr"/>
      <c r="P4806" s="16" t="inlineStr">
        <is>
          <t>Требует обогащения</t>
        </is>
      </c>
      <c r="Q4806" s="16">
        <f>HYPERLINK("https://pb.nalog.ru/search.html?query=6516002563","ФНС: проверить")</f>
        <v/>
      </c>
      <c r="R4806" s="16">
        <f>HYPERLINK("https://checko.ru/search?query=3801001629","Чекко: проверить")</f>
        <v/>
      </c>
      <c r="S4806" t="n">
        <v>1</v>
      </c>
      <c r="T4806" s="35" t="inlineStr">
        <is>
          <t>4 — Не обогащён</t>
        </is>
      </c>
      <c r="U4806" s="35" t="inlineStr">
        <is>
          <t>Нет ОКВЭД/ССЧР</t>
        </is>
      </c>
      <c r="V4806" s="35" t="inlineStr">
        <is>
          <t>Не определено</t>
        </is>
      </c>
      <c r="W4806" s="35" t="inlineStr"/>
      <c r="X4806" s="35" t="inlineStr"/>
    </row>
    <row r="4807" ht="27.75" customHeight="1" s="24">
      <c r="A4807" s="13" t="n">
        <v>5000052062</v>
      </c>
      <c r="B4807" s="13" t="inlineStr">
        <is>
          <t>Администрация муниципального образования "Курильский городской округ"</t>
        </is>
      </c>
      <c r="C4807" s="13" t="n">
        <v>6511002231</v>
      </c>
      <c r="D4807" s="13" t="inlineStr">
        <is>
          <t>6511002231</t>
        </is>
      </c>
      <c r="E4807" s="13" t="inlineStr">
        <is>
          <t>ЮЛ РФ</t>
        </is>
      </c>
      <c r="F4807" s="13" t="n"/>
      <c r="G4807" s="14" t="n"/>
      <c r="H4807" s="14" t="n"/>
      <c r="I4807" s="14" t="n"/>
      <c r="J4807" s="14" t="n"/>
      <c r="K4807" s="53" t="inlineStr"/>
      <c r="L4807" s="53" t="inlineStr">
        <is>
          <t>Не определено</t>
        </is>
      </c>
      <c r="M4807" s="53" t="inlineStr"/>
      <c r="N4807" s="54" t="inlineStr"/>
      <c r="O4807" s="55" t="inlineStr"/>
      <c r="P4807" s="16" t="inlineStr">
        <is>
          <t>Требует обогащения</t>
        </is>
      </c>
      <c r="Q4807" s="16">
        <f>HYPERLINK("https://pb.nalog.ru/search.html?query=6511002231","ФНС: проверить")</f>
        <v/>
      </c>
      <c r="R4807" s="16">
        <f>HYPERLINK("https://checko.ru/search?query=3801001629","Чекко: проверить")</f>
        <v/>
      </c>
      <c r="S4807" t="n">
        <v>1</v>
      </c>
      <c r="T4807" s="35" t="inlineStr">
        <is>
          <t>4 — Не обогащён</t>
        </is>
      </c>
      <c r="U4807" s="35" t="inlineStr">
        <is>
          <t>Нет ОКВЭД/ССЧР</t>
        </is>
      </c>
      <c r="V4807" s="35" t="inlineStr">
        <is>
          <t>Не определено</t>
        </is>
      </c>
      <c r="W4807" s="35" t="inlineStr"/>
      <c r="X4807" s="35" t="inlineStr"/>
    </row>
    <row r="4808" ht="27.75" customHeight="1" s="24">
      <c r="A4808" s="13" t="n">
        <v>5000052062</v>
      </c>
      <c r="B4808" s="13" t="inlineStr">
        <is>
          <t>Администрация муниципального образования "Курильский городской округ"</t>
        </is>
      </c>
      <c r="C4808" s="13" t="n">
        <v>6511002231</v>
      </c>
      <c r="D4808" s="13" t="inlineStr">
        <is>
          <t>6511002231</t>
        </is>
      </c>
      <c r="E4808" s="13" t="inlineStr">
        <is>
          <t>ЮЛ РФ</t>
        </is>
      </c>
      <c r="F4808" s="13" t="n"/>
      <c r="G4808" s="14" t="n"/>
      <c r="H4808" s="14" t="n"/>
      <c r="I4808" s="14" t="n"/>
      <c r="J4808" s="14" t="n"/>
      <c r="K4808" s="53" t="inlineStr"/>
      <c r="L4808" s="53" t="inlineStr">
        <is>
          <t>Не определено</t>
        </is>
      </c>
      <c r="M4808" s="53" t="inlineStr"/>
      <c r="N4808" s="54" t="inlineStr"/>
      <c r="O4808" s="55" t="inlineStr"/>
      <c r="P4808" s="16" t="inlineStr">
        <is>
          <t>Требует обогащения</t>
        </is>
      </c>
      <c r="Q4808" s="16">
        <f>HYPERLINK("https://pb.nalog.ru/search.html?query=6511002231","ФНС: проверить")</f>
        <v/>
      </c>
      <c r="R4808" s="16">
        <f>HYPERLINK("https://checko.ru/search?query=3801001629","Чекко: проверить")</f>
        <v/>
      </c>
      <c r="S4808" t="n">
        <v>0</v>
      </c>
      <c r="T4808" s="35" t="inlineStr">
        <is>
          <t>4 — Не обогащён</t>
        </is>
      </c>
      <c r="U4808" s="35" t="inlineStr">
        <is>
          <t>Нет ОКВЭД/ССЧР</t>
        </is>
      </c>
      <c r="V4808" s="35" t="inlineStr">
        <is>
          <t>Не определено</t>
        </is>
      </c>
      <c r="W4808" s="35" t="inlineStr"/>
      <c r="X4808" s="35" t="inlineStr"/>
    </row>
    <row r="4809" ht="27.75" customHeight="1" s="24">
      <c r="A4809" s="13" t="n">
        <v>5000052063</v>
      </c>
      <c r="B4809" s="13" t="inlineStr">
        <is>
          <t>Собрание муниципального образования "Курильский городской округ"</t>
        </is>
      </c>
      <c r="C4809" s="13" t="n">
        <v>6511003108</v>
      </c>
      <c r="D4809" s="13" t="inlineStr">
        <is>
          <t>6511003108</t>
        </is>
      </c>
      <c r="E4809" s="13" t="inlineStr">
        <is>
          <t>ЮЛ РФ</t>
        </is>
      </c>
      <c r="F4809" s="13" t="n"/>
      <c r="G4809" s="14" t="n"/>
      <c r="H4809" s="14" t="n"/>
      <c r="I4809" s="14" t="n"/>
      <c r="J4809" s="14" t="n"/>
      <c r="K4809" s="53" t="inlineStr"/>
      <c r="L4809" s="53" t="inlineStr">
        <is>
          <t>Не определено</t>
        </is>
      </c>
      <c r="M4809" s="53" t="inlineStr"/>
      <c r="N4809" s="54" t="inlineStr"/>
      <c r="O4809" s="55" t="inlineStr"/>
      <c r="P4809" s="16" t="inlineStr">
        <is>
          <t>Требует обогащения</t>
        </is>
      </c>
      <c r="Q4809" s="16">
        <f>HYPERLINK("https://pb.nalog.ru/search.html?query=6511003108","ФНС: проверить")</f>
        <v/>
      </c>
      <c r="R4809" s="16">
        <f>HYPERLINK("https://checko.ru/search?query=3801001629","Чекко: проверить")</f>
        <v/>
      </c>
      <c r="S4809" t="n">
        <v>1</v>
      </c>
      <c r="T4809" s="35" t="inlineStr">
        <is>
          <t>4 — Не обогащён</t>
        </is>
      </c>
      <c r="U4809" s="35" t="inlineStr">
        <is>
          <t>Нет ОКВЭД/ССЧР</t>
        </is>
      </c>
      <c r="V4809" s="35" t="inlineStr">
        <is>
          <t>Не определено</t>
        </is>
      </c>
      <c r="W4809" s="35" t="inlineStr"/>
      <c r="X4809" s="35" t="inlineStr"/>
    </row>
    <row r="4810" ht="41.25" customHeight="1" s="24">
      <c r="A4810" s="13" t="n">
        <v>5000052066</v>
      </c>
      <c r="B4810" s="13" t="inlineStr">
        <is>
          <t>Комитет по управлению муниципальным имуществом муниципального образования "Курильский городской округ"</t>
        </is>
      </c>
      <c r="C4810" s="13" t="n">
        <v>6511004447</v>
      </c>
      <c r="D4810" s="13" t="inlineStr">
        <is>
          <t>6511004447</t>
        </is>
      </c>
      <c r="E4810" s="13" t="inlineStr">
        <is>
          <t>ЮЛ РФ</t>
        </is>
      </c>
      <c r="F4810" s="13" t="n"/>
      <c r="G4810" s="14" t="n"/>
      <c r="H4810" s="14" t="n"/>
      <c r="I4810" s="14" t="n"/>
      <c r="J4810" s="14" t="n"/>
      <c r="K4810" s="53" t="inlineStr"/>
      <c r="L4810" s="53" t="inlineStr">
        <is>
          <t>Не определено</t>
        </is>
      </c>
      <c r="M4810" s="53" t="inlineStr"/>
      <c r="N4810" s="54" t="inlineStr"/>
      <c r="O4810" s="55" t="inlineStr"/>
      <c r="P4810" s="16" t="inlineStr">
        <is>
          <t>Требует обогащения</t>
        </is>
      </c>
      <c r="Q4810" s="16">
        <f>HYPERLINK("https://pb.nalog.ru/search.html?query=6511004447","ФНС: проверить")</f>
        <v/>
      </c>
      <c r="R4810" s="16">
        <f>HYPERLINK("https://checko.ru/search?query=3801001629","Чекко: проверить")</f>
        <v/>
      </c>
      <c r="S4810" t="n">
        <v>1</v>
      </c>
      <c r="T4810" s="35" t="inlineStr">
        <is>
          <t>4 — Не обогащён</t>
        </is>
      </c>
      <c r="U4810" s="35" t="inlineStr">
        <is>
          <t>Нет ОКВЭД/ССЧР</t>
        </is>
      </c>
      <c r="V4810" s="35" t="inlineStr">
        <is>
          <t>Не определено</t>
        </is>
      </c>
      <c r="W4810" s="35" t="inlineStr"/>
      <c r="X4810" s="35" t="inlineStr"/>
    </row>
    <row r="4811" ht="41.25" customHeight="1" s="24">
      <c r="A4811" s="13" t="n">
        <v>5000052066</v>
      </c>
      <c r="B4811" s="13" t="inlineStr">
        <is>
          <t>Комитет по управлению муниципальным имуществом муниципального образования "Курильский городской округ"</t>
        </is>
      </c>
      <c r="C4811" s="13" t="n">
        <v>6511004447</v>
      </c>
      <c r="D4811" s="13" t="inlineStr">
        <is>
          <t>6511004447</t>
        </is>
      </c>
      <c r="E4811" s="13" t="inlineStr">
        <is>
          <t>ЮЛ РФ</t>
        </is>
      </c>
      <c r="F4811" s="13" t="n"/>
      <c r="G4811" s="14" t="n"/>
      <c r="H4811" s="14" t="n"/>
      <c r="I4811" s="14" t="n"/>
      <c r="J4811" s="14" t="n"/>
      <c r="K4811" s="53" t="inlineStr"/>
      <c r="L4811" s="53" t="inlineStr">
        <is>
          <t>Не определено</t>
        </is>
      </c>
      <c r="M4811" s="53" t="inlineStr"/>
      <c r="N4811" s="54" t="inlineStr"/>
      <c r="O4811" s="55" t="inlineStr"/>
      <c r="P4811" s="16" t="inlineStr">
        <is>
          <t>Требует обогащения</t>
        </is>
      </c>
      <c r="Q4811" s="16">
        <f>HYPERLINK("https://pb.nalog.ru/search.html?query=6511004447","ФНС: проверить")</f>
        <v/>
      </c>
      <c r="R4811" s="16">
        <f>HYPERLINK("https://checko.ru/search?query=3801001629","Чекко: проверить")</f>
        <v/>
      </c>
      <c r="S4811" t="n">
        <v>0</v>
      </c>
      <c r="T4811" s="35" t="inlineStr">
        <is>
          <t>4 — Не обогащён</t>
        </is>
      </c>
      <c r="U4811" s="35" t="inlineStr">
        <is>
          <t>Нет ОКВЭД/ССЧР</t>
        </is>
      </c>
      <c r="V4811" s="35" t="inlineStr">
        <is>
          <t>Не определено</t>
        </is>
      </c>
      <c r="W4811" s="35" t="inlineStr"/>
      <c r="X4811" s="35" t="inlineStr"/>
    </row>
    <row r="4812" ht="41.25" customHeight="1" s="24">
      <c r="A4812" s="13" t="n">
        <v>5000052067</v>
      </c>
      <c r="B4812" s="13" t="inlineStr">
        <is>
          <t>муниципальное казенное учреждение "Единая дежурно-диспетчерская служба муниципального образования "Курильский городской округ"</t>
        </is>
      </c>
      <c r="C4812" s="13" t="n">
        <v>6511005384</v>
      </c>
      <c r="D4812" s="13" t="inlineStr">
        <is>
          <t>6511005384</t>
        </is>
      </c>
      <c r="E4812" s="13" t="inlineStr">
        <is>
          <t>ЮЛ РФ</t>
        </is>
      </c>
      <c r="F4812" s="13" t="n"/>
      <c r="G4812" s="14" t="n"/>
      <c r="H4812" s="14" t="n"/>
      <c r="I4812" s="14" t="n"/>
      <c r="J4812" s="14" t="n"/>
      <c r="K4812" s="53" t="inlineStr"/>
      <c r="L4812" s="53" t="inlineStr">
        <is>
          <t>Не определено</t>
        </is>
      </c>
      <c r="M4812" s="53" t="inlineStr"/>
      <c r="N4812" s="54" t="inlineStr"/>
      <c r="O4812" s="55" t="inlineStr"/>
      <c r="P4812" s="16" t="inlineStr">
        <is>
          <t>Требует обогащения</t>
        </is>
      </c>
      <c r="Q4812" s="16">
        <f>HYPERLINK("https://pb.nalog.ru/search.html?query=6511005384","ФНС: проверить")</f>
        <v/>
      </c>
      <c r="R4812" s="16">
        <f>HYPERLINK("https://checko.ru/search?query=3801001629","Чекко: проверить")</f>
        <v/>
      </c>
      <c r="S4812" t="n">
        <v>1</v>
      </c>
      <c r="T4812" s="35" t="inlineStr">
        <is>
          <t>4 — Не обогащён</t>
        </is>
      </c>
      <c r="U4812" s="35" t="inlineStr">
        <is>
          <t>Нет ОКВЭД/ССЧР</t>
        </is>
      </c>
      <c r="V4812" s="35" t="inlineStr">
        <is>
          <t>Не определено</t>
        </is>
      </c>
      <c r="W4812" s="35" t="inlineStr"/>
      <c r="X4812" s="35" t="inlineStr"/>
    </row>
    <row r="4813" ht="41.25" customHeight="1" s="24">
      <c r="A4813" s="13" t="n">
        <v>5000052068</v>
      </c>
      <c r="B4813" s="13" t="inlineStr">
        <is>
          <t>Муниципальное казенное учреждение «Архив муниципального образования «Курильский городской округ»</t>
        </is>
      </c>
      <c r="C4813" s="13" t="n">
        <v>6511005391</v>
      </c>
      <c r="D4813" s="13" t="inlineStr">
        <is>
          <t>6511005391</t>
        </is>
      </c>
      <c r="E4813" s="13" t="inlineStr">
        <is>
          <t>ЮЛ РФ</t>
        </is>
      </c>
      <c r="F4813" s="13" t="n"/>
      <c r="G4813" s="14" t="n"/>
      <c r="H4813" s="14" t="n"/>
      <c r="I4813" s="14" t="n"/>
      <c r="J4813" s="14" t="n"/>
      <c r="K4813" s="53" t="inlineStr"/>
      <c r="L4813" s="53" t="inlineStr">
        <is>
          <t>Не определено</t>
        </is>
      </c>
      <c r="M4813" s="53" t="inlineStr"/>
      <c r="N4813" s="54" t="inlineStr"/>
      <c r="O4813" s="55" t="inlineStr"/>
      <c r="P4813" s="16" t="inlineStr">
        <is>
          <t>Требует обогащения</t>
        </is>
      </c>
      <c r="Q4813" s="16">
        <f>HYPERLINK("https://pb.nalog.ru/search.html?query=6511005391","ФНС: проверить")</f>
        <v/>
      </c>
      <c r="R4813" s="16">
        <f>HYPERLINK("https://checko.ru/search?query=3801001629","Чекко: проверить")</f>
        <v/>
      </c>
      <c r="S4813" t="n">
        <v>1</v>
      </c>
      <c r="T4813" s="35" t="inlineStr">
        <is>
          <t>4 — Не обогащён</t>
        </is>
      </c>
      <c r="U4813" s="35" t="inlineStr">
        <is>
          <t>Нет ОКВЭД/ССЧР</t>
        </is>
      </c>
      <c r="V4813" s="35" t="inlineStr">
        <is>
          <t>Не определено</t>
        </is>
      </c>
      <c r="W4813" s="35" t="inlineStr"/>
      <c r="X4813" s="35" t="inlineStr"/>
    </row>
    <row r="4814" ht="41.25" customHeight="1" s="24">
      <c r="A4814" s="13" t="n">
        <v>5000052069</v>
      </c>
      <c r="B4814" s="13" t="inlineStr">
        <is>
          <t>Муниципальное казенное учреждение «Управление капитального строительства Курильского городского округа»</t>
        </is>
      </c>
      <c r="C4814" s="13" t="n">
        <v>6511005472</v>
      </c>
      <c r="D4814" s="13" t="inlineStr">
        <is>
          <t>6511005472</t>
        </is>
      </c>
      <c r="E4814" s="13" t="inlineStr">
        <is>
          <t>ЮЛ РФ</t>
        </is>
      </c>
      <c r="F4814" s="13" t="n"/>
      <c r="G4814" s="14" t="n"/>
      <c r="H4814" s="14" t="n"/>
      <c r="I4814" s="14" t="n"/>
      <c r="J4814" s="14" t="n"/>
      <c r="K4814" s="53" t="inlineStr"/>
      <c r="L4814" s="53" t="inlineStr">
        <is>
          <t>Не определено</t>
        </is>
      </c>
      <c r="M4814" s="53" t="inlineStr"/>
      <c r="N4814" s="54" t="inlineStr"/>
      <c r="O4814" s="55" t="inlineStr"/>
      <c r="P4814" s="16" t="inlineStr">
        <is>
          <t>Требует обогащения</t>
        </is>
      </c>
      <c r="Q4814" s="16">
        <f>HYPERLINK("https://pb.nalog.ru/search.html?query=6511005472","ФНС: проверить")</f>
        <v/>
      </c>
      <c r="R4814" s="16">
        <f>HYPERLINK("https://checko.ru/search?query=3801001629","Чекко: проверить")</f>
        <v/>
      </c>
      <c r="S4814" t="n">
        <v>1</v>
      </c>
      <c r="T4814" s="35" t="inlineStr">
        <is>
          <t>4 — Не обогащён</t>
        </is>
      </c>
      <c r="U4814" s="35" t="inlineStr">
        <is>
          <t>Нет ОКВЭД/ССЧР</t>
        </is>
      </c>
      <c r="V4814" s="35" t="inlineStr">
        <is>
          <t>Не определено</t>
        </is>
      </c>
      <c r="W4814" s="35" t="inlineStr"/>
      <c r="X4814" s="35" t="inlineStr"/>
    </row>
    <row r="4815" ht="27.75" customHeight="1" s="24">
      <c r="A4815" s="13" t="n">
        <v>5000052070</v>
      </c>
      <c r="B4815" s="13" t="inlineStr">
        <is>
          <t>муниципальное казенное учреждение «Управление административными зданиями»</t>
        </is>
      </c>
      <c r="C4815" s="13" t="n">
        <v>6511005578</v>
      </c>
      <c r="D4815" s="13" t="inlineStr">
        <is>
          <t>6511005578</t>
        </is>
      </c>
      <c r="E4815" s="13" t="inlineStr">
        <is>
          <t>ЮЛ РФ</t>
        </is>
      </c>
      <c r="F4815" s="13" t="n"/>
      <c r="G4815" s="14" t="n"/>
      <c r="H4815" s="14" t="n"/>
      <c r="I4815" s="14" t="n"/>
      <c r="J4815" s="14" t="n"/>
      <c r="K4815" s="53" t="inlineStr"/>
      <c r="L4815" s="53" t="inlineStr">
        <is>
          <t>Не определено</t>
        </is>
      </c>
      <c r="M4815" s="53" t="inlineStr"/>
      <c r="N4815" s="54" t="inlineStr"/>
      <c r="O4815" s="55" t="inlineStr"/>
      <c r="P4815" s="16" t="inlineStr">
        <is>
          <t>Требует обогащения</t>
        </is>
      </c>
      <c r="Q4815" s="16">
        <f>HYPERLINK("https://pb.nalog.ru/search.html?query=6511005578","ФНС: проверить")</f>
        <v/>
      </c>
      <c r="R4815" s="16">
        <f>HYPERLINK("https://checko.ru/search?query=3801001629","Чекко: проверить")</f>
        <v/>
      </c>
      <c r="S4815" t="n">
        <v>1</v>
      </c>
      <c r="T4815" s="35" t="inlineStr">
        <is>
          <t>4 — Не обогащён</t>
        </is>
      </c>
      <c r="U4815" s="35" t="inlineStr">
        <is>
          <t>Нет ОКВЭД/ССЧР</t>
        </is>
      </c>
      <c r="V4815" s="35" t="inlineStr">
        <is>
          <t>Не определено</t>
        </is>
      </c>
      <c r="W4815" s="35" t="inlineStr"/>
      <c r="X4815" s="35" t="inlineStr"/>
    </row>
    <row r="4816" ht="41.25" customHeight="1" s="24">
      <c r="A4816" s="13" t="n">
        <v>5000052071</v>
      </c>
      <c r="B4816" s="13" t="inlineStr">
        <is>
          <t>муниципальное бюджетное  учреждение дополнительного образования "Детская школа искусств г.Курильска"</t>
        </is>
      </c>
      <c r="C4816" s="13" t="n">
        <v>6511000114</v>
      </c>
      <c r="D4816" s="13" t="inlineStr">
        <is>
          <t>6511000114</t>
        </is>
      </c>
      <c r="E4816" s="13" t="inlineStr">
        <is>
          <t>ЮЛ РФ</t>
        </is>
      </c>
      <c r="F4816" s="13" t="n"/>
      <c r="G4816" s="14" t="n"/>
      <c r="H4816" s="14" t="n"/>
      <c r="I4816" s="14" t="n"/>
      <c r="J4816" s="14" t="n"/>
      <c r="K4816" s="53" t="inlineStr"/>
      <c r="L4816" s="53" t="inlineStr">
        <is>
          <t>Не определено</t>
        </is>
      </c>
      <c r="M4816" s="53" t="inlineStr"/>
      <c r="N4816" s="54" t="inlineStr"/>
      <c r="O4816" s="55" t="inlineStr"/>
      <c r="P4816" s="16" t="inlineStr">
        <is>
          <t>Требует обогащения</t>
        </is>
      </c>
      <c r="Q4816" s="16">
        <f>HYPERLINK("https://pb.nalog.ru/search.html?query=6511000114","ФНС: проверить")</f>
        <v/>
      </c>
      <c r="R4816" s="16">
        <f>HYPERLINK("https://checko.ru/search?query=3801001629","Чекко: проверить")</f>
        <v/>
      </c>
      <c r="S4816" t="n">
        <v>1</v>
      </c>
      <c r="T4816" s="35" t="inlineStr">
        <is>
          <t>4 — Не обогащён</t>
        </is>
      </c>
      <c r="U4816" s="35" t="inlineStr">
        <is>
          <t>Нет ОКВЭД/ССЧР</t>
        </is>
      </c>
      <c r="V4816" s="35" t="inlineStr">
        <is>
          <t>Не определено</t>
        </is>
      </c>
      <c r="W4816" s="35" t="inlineStr"/>
      <c r="X4816" s="35" t="inlineStr"/>
    </row>
    <row r="4817" ht="54.75" customHeight="1" s="24">
      <c r="A4817" s="13" t="n">
        <v>5000052072</v>
      </c>
      <c r="B4817" s="13" t="inlineStr">
        <is>
          <t>Муниципальное бюджетное дошкольное образовательное учреждение детский сад "Аленький цветочек" муниципального образования "Курильский"</t>
        </is>
      </c>
      <c r="C4817" s="13" t="n">
        <v>6511003676</v>
      </c>
      <c r="D4817" s="13" t="inlineStr">
        <is>
          <t>6511003676</t>
        </is>
      </c>
      <c r="E4817" s="13" t="inlineStr">
        <is>
          <t>ЮЛ РФ</t>
        </is>
      </c>
      <c r="F4817" s="13" t="n"/>
      <c r="G4817" s="14" t="n"/>
      <c r="H4817" s="14" t="n"/>
      <c r="I4817" s="14" t="n"/>
      <c r="J4817" s="14" t="n"/>
      <c r="K4817" s="53" t="inlineStr"/>
      <c r="L4817" s="53" t="inlineStr">
        <is>
          <t>Не определено</t>
        </is>
      </c>
      <c r="M4817" s="53" t="inlineStr"/>
      <c r="N4817" s="54" t="inlineStr"/>
      <c r="O4817" s="55" t="inlineStr"/>
      <c r="P4817" s="16" t="inlineStr">
        <is>
          <t>Требует обогащения</t>
        </is>
      </c>
      <c r="Q4817" s="16">
        <f>HYPERLINK("https://pb.nalog.ru/search.html?query=6511003676","ФНС: проверить")</f>
        <v/>
      </c>
      <c r="R4817" s="16">
        <f>HYPERLINK("https://checko.ru/search?query=3801001629","Чекко: проверить")</f>
        <v/>
      </c>
      <c r="S4817" t="n">
        <v>1</v>
      </c>
      <c r="T4817" s="35" t="inlineStr">
        <is>
          <t>4 — Не обогащён</t>
        </is>
      </c>
      <c r="U4817" s="35" t="inlineStr">
        <is>
          <t>Нет ОКВЭД/ССЧР</t>
        </is>
      </c>
      <c r="V4817" s="35" t="inlineStr">
        <is>
          <t>Не определено</t>
        </is>
      </c>
      <c r="W4817" s="35" t="inlineStr"/>
      <c r="X4817" s="35" t="inlineStr"/>
    </row>
    <row r="4818" ht="54.75" customHeight="1" s="24">
      <c r="A4818" s="13" t="n">
        <v>5000052073</v>
      </c>
      <c r="B4818" s="13" t="inlineStr">
        <is>
          <t>Муниципальное бюджетное дошкольное образовательное учреждение детский сад "Алёнушка" муниципального образования "Курильский городской округ"</t>
        </is>
      </c>
      <c r="C4818" s="13" t="n">
        <v>6511003683</v>
      </c>
      <c r="D4818" s="13" t="inlineStr">
        <is>
          <t>6511003683</t>
        </is>
      </c>
      <c r="E4818" s="13" t="inlineStr">
        <is>
          <t>ЮЛ РФ</t>
        </is>
      </c>
      <c r="F4818" s="13" t="n"/>
      <c r="G4818" s="14" t="n"/>
      <c r="H4818" s="14" t="n"/>
      <c r="I4818" s="14" t="n"/>
      <c r="J4818" s="14" t="n"/>
      <c r="K4818" s="53" t="inlineStr"/>
      <c r="L4818" s="53" t="inlineStr">
        <is>
          <t>Не определено</t>
        </is>
      </c>
      <c r="M4818" s="53" t="inlineStr"/>
      <c r="N4818" s="54" t="inlineStr"/>
      <c r="O4818" s="55" t="inlineStr"/>
      <c r="P4818" s="16" t="inlineStr">
        <is>
          <t>Требует обогащения</t>
        </is>
      </c>
      <c r="Q4818" s="16">
        <f>HYPERLINK("https://pb.nalog.ru/search.html?query=6511003683","ФНС: проверить")</f>
        <v/>
      </c>
      <c r="R4818" s="16">
        <f>HYPERLINK("https://checko.ru/search?query=3801001629","Чекко: проверить")</f>
        <v/>
      </c>
      <c r="S4818" t="n">
        <v>1</v>
      </c>
      <c r="T4818" s="35" t="inlineStr">
        <is>
          <t>4 — Не обогащён</t>
        </is>
      </c>
      <c r="U4818" s="35" t="inlineStr">
        <is>
          <t>Нет ОКВЭД/ССЧР</t>
        </is>
      </c>
      <c r="V4818" s="35" t="inlineStr">
        <is>
          <t>Не определено</t>
        </is>
      </c>
      <c r="W4818" s="35" t="inlineStr"/>
      <c r="X4818" s="35" t="inlineStr"/>
    </row>
    <row r="4819" ht="54.75" customHeight="1" s="24">
      <c r="A4819" s="13" t="n">
        <v>5000052074</v>
      </c>
      <c r="B4819" s="13" t="inlineStr">
        <is>
          <t>Муниципальное бюджетное дошкольное образовательное учреждение детский сад "Золотая рыбка" муниципального образования "Курильский городской округ"</t>
        </is>
      </c>
      <c r="C4819" s="13" t="n">
        <v>6511003669</v>
      </c>
      <c r="D4819" s="13" t="inlineStr">
        <is>
          <t>6511003669</t>
        </is>
      </c>
      <c r="E4819" s="13" t="inlineStr">
        <is>
          <t>ЮЛ РФ</t>
        </is>
      </c>
      <c r="F4819" s="13" t="n"/>
      <c r="G4819" s="14" t="n"/>
      <c r="H4819" s="14" t="n"/>
      <c r="I4819" s="14" t="n"/>
      <c r="J4819" s="14" t="n"/>
      <c r="K4819" s="53" t="inlineStr"/>
      <c r="L4819" s="53" t="inlineStr">
        <is>
          <t>Не определено</t>
        </is>
      </c>
      <c r="M4819" s="53" t="inlineStr"/>
      <c r="N4819" s="54" t="inlineStr"/>
      <c r="O4819" s="55" t="inlineStr"/>
      <c r="P4819" s="16" t="inlineStr">
        <is>
          <t>Требует обогащения</t>
        </is>
      </c>
      <c r="Q4819" s="16">
        <f>HYPERLINK("https://pb.nalog.ru/search.html?query=6511003669","ФНС: проверить")</f>
        <v/>
      </c>
      <c r="R4819" s="16">
        <f>HYPERLINK("https://checko.ru/search?query=3801001629","Чекко: проверить")</f>
        <v/>
      </c>
      <c r="S4819" t="n">
        <v>1</v>
      </c>
      <c r="T4819" s="35" t="inlineStr">
        <is>
          <t>4 — Не обогащён</t>
        </is>
      </c>
      <c r="U4819" s="35" t="inlineStr">
        <is>
          <t>Нет ОКВЭД/ССЧР</t>
        </is>
      </c>
      <c r="V4819" s="35" t="inlineStr">
        <is>
          <t>Не определено</t>
        </is>
      </c>
      <c r="W4819" s="35" t="inlineStr"/>
      <c r="X4819" s="35" t="inlineStr"/>
    </row>
    <row r="4820" ht="15" customHeight="1" s="24">
      <c r="A4820" s="13" t="n">
        <v>5000052892</v>
      </c>
      <c r="B4820" s="13" t="inlineStr">
        <is>
          <t>МБУ "Районный Дворец культуры"</t>
        </is>
      </c>
      <c r="C4820" s="13" t="n">
        <v>6506007121</v>
      </c>
      <c r="D4820" s="13" t="inlineStr">
        <is>
          <t>6506007121</t>
        </is>
      </c>
      <c r="E4820" s="13" t="inlineStr">
        <is>
          <t>ЮЛ РФ</t>
        </is>
      </c>
      <c r="F4820" s="13" t="n"/>
      <c r="G4820" s="14" t="n"/>
      <c r="H4820" s="14" t="n"/>
      <c r="I4820" s="14" t="n"/>
      <c r="J4820" s="14" t="n"/>
      <c r="K4820" s="53" t="inlineStr"/>
      <c r="L4820" s="53" t="inlineStr">
        <is>
          <t>Не определено</t>
        </is>
      </c>
      <c r="M4820" s="53" t="inlineStr"/>
      <c r="N4820" s="54" t="inlineStr"/>
      <c r="O4820" s="55" t="inlineStr"/>
      <c r="P4820" s="16" t="inlineStr">
        <is>
          <t>Требует обогащения</t>
        </is>
      </c>
      <c r="Q4820" s="16">
        <f>HYPERLINK("https://pb.nalog.ru/search.html?query=6506007121","ФНС: проверить")</f>
        <v/>
      </c>
      <c r="R4820" s="16">
        <f>HYPERLINK("https://checko.ru/search?query=3801001629","Чекко: проверить")</f>
        <v/>
      </c>
      <c r="S4820" t="n">
        <v>1</v>
      </c>
      <c r="T4820" s="35" t="inlineStr">
        <is>
          <t>4 — Не обогащён</t>
        </is>
      </c>
      <c r="U4820" s="35" t="inlineStr">
        <is>
          <t>Нет ОКВЭД/ССЧР</t>
        </is>
      </c>
      <c r="V4820" s="35" t="inlineStr">
        <is>
          <t>Не определено</t>
        </is>
      </c>
      <c r="W4820" s="35" t="inlineStr"/>
      <c r="X4820" s="35" t="inlineStr"/>
    </row>
    <row r="4821" ht="15" customHeight="1" s="24">
      <c r="A4821" s="13" t="n">
        <v>5000052893</v>
      </c>
      <c r="B4821" s="13" t="inlineStr">
        <is>
          <t>МБУ "Спортивная школа" г. Охи</t>
        </is>
      </c>
      <c r="C4821" s="13" t="n">
        <v>6506008301</v>
      </c>
      <c r="D4821" s="13" t="inlineStr">
        <is>
          <t>6506008301</t>
        </is>
      </c>
      <c r="E4821" s="13" t="inlineStr">
        <is>
          <t>ЮЛ РФ</t>
        </is>
      </c>
      <c r="F4821" s="13" t="n"/>
      <c r="G4821" s="14" t="n"/>
      <c r="H4821" s="14" t="n"/>
      <c r="I4821" s="14" t="n"/>
      <c r="J4821" s="14" t="n"/>
      <c r="K4821" s="53" t="inlineStr"/>
      <c r="L4821" s="53" t="inlineStr">
        <is>
          <t>Не определено</t>
        </is>
      </c>
      <c r="M4821" s="53" t="inlineStr"/>
      <c r="N4821" s="54" t="inlineStr"/>
      <c r="O4821" s="55" t="inlineStr"/>
      <c r="P4821" s="16" t="inlineStr">
        <is>
          <t>Требует обогащения</t>
        </is>
      </c>
      <c r="Q4821" s="16">
        <f>HYPERLINK("https://pb.nalog.ru/search.html?query=6506008301","ФНС: проверить")</f>
        <v/>
      </c>
      <c r="R4821" s="16">
        <f>HYPERLINK("https://checko.ru/search?query=3801001629","Чекко: проверить")</f>
        <v/>
      </c>
      <c r="S4821" t="n">
        <v>1</v>
      </c>
      <c r="T4821" s="35" t="inlineStr">
        <is>
          <t>4 — Не обогащён</t>
        </is>
      </c>
      <c r="U4821" s="35" t="inlineStr">
        <is>
          <t>Нет ОКВЭД/ССЧР</t>
        </is>
      </c>
      <c r="V4821" s="35" t="inlineStr">
        <is>
          <t>Не определено</t>
        </is>
      </c>
      <c r="W4821" s="35" t="inlineStr"/>
      <c r="X4821" s="35" t="inlineStr"/>
    </row>
    <row r="4822" ht="15" customHeight="1" s="24">
      <c r="A4822" s="13" t="n">
        <v>5000052894</v>
      </c>
      <c r="B4822" s="13" t="inlineStr">
        <is>
          <t>МБУ ДО "Охинская детская школа искусств № 1"</t>
        </is>
      </c>
      <c r="C4822" s="13" t="n">
        <v>6506003720</v>
      </c>
      <c r="D4822" s="13" t="inlineStr">
        <is>
          <t>6506003720</t>
        </is>
      </c>
      <c r="E4822" s="13" t="inlineStr">
        <is>
          <t>ЮЛ РФ</t>
        </is>
      </c>
      <c r="F4822" s="13" t="n"/>
      <c r="G4822" s="14" t="n"/>
      <c r="H4822" s="14" t="n"/>
      <c r="I4822" s="14" t="n"/>
      <c r="J4822" s="14" t="n"/>
      <c r="K4822" s="53" t="inlineStr"/>
      <c r="L4822" s="53" t="inlineStr">
        <is>
          <t>Не определено</t>
        </is>
      </c>
      <c r="M4822" s="53" t="inlineStr"/>
      <c r="N4822" s="54" t="inlineStr"/>
      <c r="O4822" s="55" t="inlineStr"/>
      <c r="P4822" s="16" t="inlineStr">
        <is>
          <t>Требует обогащения</t>
        </is>
      </c>
      <c r="Q4822" s="16">
        <f>HYPERLINK("https://pb.nalog.ru/search.html?query=6506003720","ФНС: проверить")</f>
        <v/>
      </c>
      <c r="R4822" s="16">
        <f>HYPERLINK("https://checko.ru/search?query=3801001629","Чекко: проверить")</f>
        <v/>
      </c>
      <c r="S4822" t="n">
        <v>1</v>
      </c>
      <c r="T4822" s="35" t="inlineStr">
        <is>
          <t>4 — Не обогащён</t>
        </is>
      </c>
      <c r="U4822" s="35" t="inlineStr">
        <is>
          <t>Нет ОКВЭД/ССЧР</t>
        </is>
      </c>
      <c r="V4822" s="35" t="inlineStr">
        <is>
          <t>Не определено</t>
        </is>
      </c>
      <c r="W4822" s="35" t="inlineStr"/>
      <c r="X4822" s="35" t="inlineStr"/>
    </row>
    <row r="4823" ht="41.25" customHeight="1" s="24">
      <c r="A4823" s="13" t="n">
        <v>5000052075</v>
      </c>
      <c r="B4823" s="13" t="inlineStr">
        <is>
          <t>Муниципальное бюджетное общеобразовательное учреждение средняя общеобразовательная школа с.Рейдово</t>
        </is>
      </c>
      <c r="C4823" s="13" t="n">
        <v>6511003757</v>
      </c>
      <c r="D4823" s="13" t="inlineStr">
        <is>
          <t>6511003757</t>
        </is>
      </c>
      <c r="E4823" s="13" t="inlineStr">
        <is>
          <t>ЮЛ РФ</t>
        </is>
      </c>
      <c r="F4823" s="13" t="n"/>
      <c r="G4823" s="14" t="n"/>
      <c r="H4823" s="14" t="n"/>
      <c r="I4823" s="14" t="n"/>
      <c r="J4823" s="14" t="n"/>
      <c r="K4823" s="53" t="inlineStr"/>
      <c r="L4823" s="53" t="inlineStr">
        <is>
          <t>Не определено</t>
        </is>
      </c>
      <c r="M4823" s="53" t="inlineStr"/>
      <c r="N4823" s="54" t="inlineStr"/>
      <c r="O4823" s="55" t="inlineStr"/>
      <c r="P4823" s="16" t="inlineStr">
        <is>
          <t>Требует обогащения</t>
        </is>
      </c>
      <c r="Q4823" s="16">
        <f>HYPERLINK("https://pb.nalog.ru/search.html?query=6511003757","ФНС: проверить")</f>
        <v/>
      </c>
      <c r="R4823" s="16">
        <f>HYPERLINK("https://checko.ru/search?query=3801001629","Чекко: проверить")</f>
        <v/>
      </c>
      <c r="S4823" t="n">
        <v>1</v>
      </c>
      <c r="T4823" s="35" t="inlineStr">
        <is>
          <t>4 — Не обогащён</t>
        </is>
      </c>
      <c r="U4823" s="35" t="inlineStr">
        <is>
          <t>Нет ОКВЭД/ССЧР</t>
        </is>
      </c>
      <c r="V4823" s="35" t="inlineStr">
        <is>
          <t>Не определено</t>
        </is>
      </c>
      <c r="W4823" s="35" t="inlineStr"/>
      <c r="X4823" s="35" t="inlineStr"/>
    </row>
    <row r="4824" ht="27.75" customHeight="1" s="24">
      <c r="A4824" s="13" t="n">
        <v>5000052891</v>
      </c>
      <c r="B4824" s="13" t="inlineStr">
        <is>
          <t>МБУ "Охинская централизованная библиотечная система"</t>
        </is>
      </c>
      <c r="C4824" s="13" t="n">
        <v>6506007259</v>
      </c>
      <c r="D4824" s="13" t="inlineStr">
        <is>
          <t>6506007259</t>
        </is>
      </c>
      <c r="E4824" s="13" t="inlineStr">
        <is>
          <t>ЮЛ РФ</t>
        </is>
      </c>
      <c r="F4824" s="13" t="n"/>
      <c r="G4824" s="14" t="n"/>
      <c r="H4824" s="14" t="n"/>
      <c r="I4824" s="14" t="n"/>
      <c r="J4824" s="14" t="n"/>
      <c r="K4824" s="53" t="inlineStr"/>
      <c r="L4824" s="53" t="inlineStr">
        <is>
          <t>Не определено</t>
        </is>
      </c>
      <c r="M4824" s="53" t="inlineStr"/>
      <c r="N4824" s="54" t="inlineStr"/>
      <c r="O4824" s="55" t="inlineStr"/>
      <c r="P4824" s="16" t="inlineStr">
        <is>
          <t>Требует обогащения</t>
        </is>
      </c>
      <c r="Q4824" s="16">
        <f>HYPERLINK("https://pb.nalog.ru/search.html?query=6506007259","ФНС: проверить")</f>
        <v/>
      </c>
      <c r="R4824" s="16">
        <f>HYPERLINK("https://checko.ru/search?query=3801001629","Чекко: проверить")</f>
        <v/>
      </c>
      <c r="S4824" t="n">
        <v>1</v>
      </c>
      <c r="T4824" s="35" t="inlineStr">
        <is>
          <t>4 — Не обогащён</t>
        </is>
      </c>
      <c r="U4824" s="35" t="inlineStr">
        <is>
          <t>Нет ОКВЭД/ССЧР</t>
        </is>
      </c>
      <c r="V4824" s="35" t="inlineStr">
        <is>
          <t>Не определено</t>
        </is>
      </c>
      <c r="W4824" s="35" t="inlineStr"/>
      <c r="X4824" s="35" t="inlineStr"/>
    </row>
    <row r="4825" ht="15" customHeight="1" s="24">
      <c r="A4825" s="13" t="n">
        <v>5000085013</v>
      </c>
      <c r="B4825" s="13" t="inlineStr">
        <is>
          <t>ОбКУ "Томаринский центр занятости населения"</t>
        </is>
      </c>
      <c r="C4825" s="13" t="n">
        <v>6516002073</v>
      </c>
      <c r="D4825" s="13" t="inlineStr">
        <is>
          <t>6516002073</t>
        </is>
      </c>
      <c r="E4825" s="13" t="inlineStr">
        <is>
          <t>ЮЛ РФ</t>
        </is>
      </c>
      <c r="F4825" s="13" t="n"/>
      <c r="G4825" s="14" t="n"/>
      <c r="H4825" s="14" t="n"/>
      <c r="I4825" s="14" t="n"/>
      <c r="J4825" s="14" t="n"/>
      <c r="K4825" s="53" t="inlineStr"/>
      <c r="L4825" s="53" t="inlineStr">
        <is>
          <t>Не определено</t>
        </is>
      </c>
      <c r="M4825" s="53" t="inlineStr"/>
      <c r="N4825" s="54" t="inlineStr"/>
      <c r="O4825" s="55" t="inlineStr"/>
      <c r="P4825" s="16" t="inlineStr">
        <is>
          <t>Требует обогащения</t>
        </is>
      </c>
      <c r="Q4825" s="16">
        <f>HYPERLINK("https://pb.nalog.ru/search.html?query=6516002073","ФНС: проверить")</f>
        <v/>
      </c>
      <c r="R4825" s="16">
        <f>HYPERLINK("https://checko.ru/search?query=3801001629","Чекко: проверить")</f>
        <v/>
      </c>
      <c r="S4825" t="n">
        <v>1</v>
      </c>
      <c r="T4825" s="35" t="inlineStr">
        <is>
          <t>4 — Не обогащён</t>
        </is>
      </c>
      <c r="U4825" s="35" t="inlineStr">
        <is>
          <t>Нет ОКВЭД/ССЧР</t>
        </is>
      </c>
      <c r="V4825" s="35" t="inlineStr">
        <is>
          <t>Не определено</t>
        </is>
      </c>
      <c r="W4825" s="35" t="inlineStr"/>
      <c r="X4825" s="35" t="inlineStr"/>
    </row>
    <row r="4826" ht="15" customHeight="1" s="24">
      <c r="A4826" s="13" t="n">
        <v>5000098319</v>
      </c>
      <c r="B4826" s="13" t="inlineStr">
        <is>
          <t>КГБУЗ "Станция скорой медицинской помощи"</t>
        </is>
      </c>
      <c r="C4826" s="13" t="n">
        <v>2508048870</v>
      </c>
      <c r="D4826" s="13" t="inlineStr">
        <is>
          <t>2508048870</t>
        </is>
      </c>
      <c r="E4826" s="13" t="inlineStr">
        <is>
          <t>ЮЛ РФ</t>
        </is>
      </c>
      <c r="F4826" s="13" t="n"/>
      <c r="G4826" s="14" t="n"/>
      <c r="H4826" s="14" t="n"/>
      <c r="I4826" s="14" t="n"/>
      <c r="J4826" s="14" t="n"/>
      <c r="K4826" s="53" t="inlineStr"/>
      <c r="L4826" s="53" t="inlineStr">
        <is>
          <t>Не определено</t>
        </is>
      </c>
      <c r="M4826" s="53" t="inlineStr"/>
      <c r="N4826" s="54" t="inlineStr"/>
      <c r="O4826" s="55" t="inlineStr"/>
      <c r="P4826" s="16" t="inlineStr">
        <is>
          <t>Требует обогащения</t>
        </is>
      </c>
      <c r="Q4826" s="16">
        <f>HYPERLINK("https://pb.nalog.ru/search.html?query=2508048870","ФНС: проверить")</f>
        <v/>
      </c>
      <c r="R4826" s="16">
        <f>HYPERLINK("https://checko.ru/search?query=3801001629","Чекко: проверить")</f>
        <v/>
      </c>
      <c r="S4826" t="n">
        <v>1</v>
      </c>
      <c r="T4826" s="35" t="inlineStr">
        <is>
          <t>4 — Не обогащён</t>
        </is>
      </c>
      <c r="U4826" s="35" t="inlineStr">
        <is>
          <t>Нет ОКВЭД/ССЧР</t>
        </is>
      </c>
      <c r="V4826" s="35" t="inlineStr">
        <is>
          <t>Не определено</t>
        </is>
      </c>
      <c r="W4826" s="35" t="inlineStr"/>
      <c r="X4826" s="35" t="inlineStr"/>
    </row>
    <row r="4827" ht="41.25" customHeight="1" s="24">
      <c r="A4827" s="13" t="n">
        <v>5000052076</v>
      </c>
      <c r="B4827" s="13" t="inlineStr">
        <is>
          <t>муниципальное бюджетное общеобразовательное учреждение средняя общеобразовательная школа г.Курильска</t>
        </is>
      </c>
      <c r="C4827" s="13" t="n">
        <v>6511003764</v>
      </c>
      <c r="D4827" s="13" t="inlineStr">
        <is>
          <t>6511003764</t>
        </is>
      </c>
      <c r="E4827" s="13" t="inlineStr">
        <is>
          <t>ЮЛ РФ</t>
        </is>
      </c>
      <c r="F4827" s="13" t="n"/>
      <c r="G4827" s="14" t="n"/>
      <c r="H4827" s="14" t="n"/>
      <c r="I4827" s="14" t="n"/>
      <c r="J4827" s="14" t="n"/>
      <c r="K4827" s="53" t="inlineStr"/>
      <c r="L4827" s="53" t="inlineStr">
        <is>
          <t>Не определено</t>
        </is>
      </c>
      <c r="M4827" s="53" t="inlineStr"/>
      <c r="N4827" s="54" t="inlineStr"/>
      <c r="O4827" s="55" t="inlineStr"/>
      <c r="P4827" s="16" t="inlineStr">
        <is>
          <t>Требует обогащения</t>
        </is>
      </c>
      <c r="Q4827" s="16">
        <f>HYPERLINK("https://pb.nalog.ru/search.html?query=6511003764","ФНС: проверить")</f>
        <v/>
      </c>
      <c r="R4827" s="16">
        <f>HYPERLINK("https://checko.ru/search?query=3801001629","Чекко: проверить")</f>
        <v/>
      </c>
      <c r="S4827" t="n">
        <v>1</v>
      </c>
      <c r="T4827" s="35" t="inlineStr">
        <is>
          <t>4 — Не обогащён</t>
        </is>
      </c>
      <c r="U4827" s="35" t="inlineStr">
        <is>
          <t>Нет ОКВЭД/ССЧР</t>
        </is>
      </c>
      <c r="V4827" s="35" t="inlineStr">
        <is>
          <t>Не определено</t>
        </is>
      </c>
      <c r="W4827" s="35" t="inlineStr"/>
      <c r="X4827" s="35" t="inlineStr"/>
    </row>
    <row r="4828" ht="41.25" customHeight="1" s="24">
      <c r="A4828" s="13" t="n">
        <v>5000052077</v>
      </c>
      <c r="B4828" s="13" t="inlineStr">
        <is>
          <t>муниципальное бюджетное общеобразовательное учреждение средняя общеобразовательная школа с.Горячие Ключи</t>
        </is>
      </c>
      <c r="C4828" s="13" t="n">
        <v>6511003771</v>
      </c>
      <c r="D4828" s="13" t="inlineStr">
        <is>
          <t>6511003771</t>
        </is>
      </c>
      <c r="E4828" s="13" t="inlineStr">
        <is>
          <t>ЮЛ РФ</t>
        </is>
      </c>
      <c r="F4828" s="13" t="n"/>
      <c r="G4828" s="14" t="n"/>
      <c r="H4828" s="14" t="n"/>
      <c r="I4828" s="14" t="n"/>
      <c r="J4828" s="14" t="n"/>
      <c r="K4828" s="53" t="inlineStr"/>
      <c r="L4828" s="53" t="inlineStr">
        <is>
          <t>Не определено</t>
        </is>
      </c>
      <c r="M4828" s="53" t="inlineStr"/>
      <c r="N4828" s="54" t="inlineStr"/>
      <c r="O4828" s="55" t="inlineStr"/>
      <c r="P4828" s="16" t="inlineStr">
        <is>
          <t>Требует обогащения</t>
        </is>
      </c>
      <c r="Q4828" s="16">
        <f>HYPERLINK("https://pb.nalog.ru/search.html?query=6511003771","ФНС: проверить")</f>
        <v/>
      </c>
      <c r="R4828" s="16">
        <f>HYPERLINK("https://checko.ru/search?query=3801001629","Чекко: проверить")</f>
        <v/>
      </c>
      <c r="S4828" t="n">
        <v>1</v>
      </c>
      <c r="T4828" s="35" t="inlineStr">
        <is>
          <t>4 — Не обогащён</t>
        </is>
      </c>
      <c r="U4828" s="35" t="inlineStr">
        <is>
          <t>Нет ОКВЭД/ССЧР</t>
        </is>
      </c>
      <c r="V4828" s="35" t="inlineStr">
        <is>
          <t>Не определено</t>
        </is>
      </c>
      <c r="W4828" s="35" t="inlineStr"/>
      <c r="X4828" s="35" t="inlineStr"/>
    </row>
    <row r="4829" ht="41.25" customHeight="1" s="24">
      <c r="A4829" s="13" t="n">
        <v>5000052078</v>
      </c>
      <c r="B4829" s="13" t="inlineStr">
        <is>
          <t>муниципальное бюджетное общеобразовательное учреждение средняя школа села Буревестник</t>
        </is>
      </c>
      <c r="C4829" s="13" t="n">
        <v>6511003789</v>
      </c>
      <c r="D4829" s="13" t="inlineStr">
        <is>
          <t>6511003789</t>
        </is>
      </c>
      <c r="E4829" s="13" t="inlineStr">
        <is>
          <t>ЮЛ РФ</t>
        </is>
      </c>
      <c r="F4829" s="13" t="n"/>
      <c r="G4829" s="14" t="n"/>
      <c r="H4829" s="14" t="n"/>
      <c r="I4829" s="14" t="n"/>
      <c r="J4829" s="14" t="n"/>
      <c r="K4829" s="53" t="inlineStr"/>
      <c r="L4829" s="53" t="inlineStr">
        <is>
          <t>Не определено</t>
        </is>
      </c>
      <c r="M4829" s="53" t="inlineStr"/>
      <c r="N4829" s="54" t="inlineStr"/>
      <c r="O4829" s="55" t="inlineStr"/>
      <c r="P4829" s="16" t="inlineStr">
        <is>
          <t>Требует обогащения</t>
        </is>
      </c>
      <c r="Q4829" s="16">
        <f>HYPERLINK("https://pb.nalog.ru/search.html?query=6511003789","ФНС: проверить")</f>
        <v/>
      </c>
      <c r="R4829" s="16">
        <f>HYPERLINK("https://checko.ru/search?query=3801001629","Чекко: проверить")</f>
        <v/>
      </c>
      <c r="S4829" t="n">
        <v>1</v>
      </c>
      <c r="T4829" s="35" t="inlineStr">
        <is>
          <t>4 — Не обогащён</t>
        </is>
      </c>
      <c r="U4829" s="35" t="inlineStr">
        <is>
          <t>Нет ОКВЭД/ССЧР</t>
        </is>
      </c>
      <c r="V4829" s="35" t="inlineStr">
        <is>
          <t>Не определено</t>
        </is>
      </c>
      <c r="W4829" s="35" t="inlineStr"/>
      <c r="X4829" s="35" t="inlineStr"/>
    </row>
    <row r="4830" ht="27.75" customHeight="1" s="24">
      <c r="A4830" s="13" t="n">
        <v>5000052079</v>
      </c>
      <c r="B4830" s="13" t="inlineStr">
        <is>
          <t>муниципальное бюджетное учреждение "Курильский краеведческий музей"</t>
        </is>
      </c>
      <c r="C4830" s="13" t="n">
        <v>6511004285</v>
      </c>
      <c r="D4830" s="13" t="inlineStr">
        <is>
          <t>6511004285</t>
        </is>
      </c>
      <c r="E4830" s="13" t="inlineStr">
        <is>
          <t>ЮЛ РФ</t>
        </is>
      </c>
      <c r="F4830" s="13" t="n"/>
      <c r="G4830" s="14" t="n"/>
      <c r="H4830" s="14" t="n"/>
      <c r="I4830" s="14" t="n"/>
      <c r="J4830" s="14" t="n"/>
      <c r="K4830" s="53" t="inlineStr"/>
      <c r="L4830" s="53" t="inlineStr">
        <is>
          <t>Не определено</t>
        </is>
      </c>
      <c r="M4830" s="53" t="inlineStr"/>
      <c r="N4830" s="54" t="inlineStr"/>
      <c r="O4830" s="55" t="inlineStr"/>
      <c r="P4830" s="16" t="inlineStr">
        <is>
          <t>Требует обогащения</t>
        </is>
      </c>
      <c r="Q4830" s="16">
        <f>HYPERLINK("https://pb.nalog.ru/search.html?query=6511004285","ФНС: проверить")</f>
        <v/>
      </c>
      <c r="R4830" s="16">
        <f>HYPERLINK("https://checko.ru/search?query=3801001629","Чекко: проверить")</f>
        <v/>
      </c>
      <c r="S4830" t="n">
        <v>1</v>
      </c>
      <c r="T4830" s="35" t="inlineStr">
        <is>
          <t>4 — Не обогащён</t>
        </is>
      </c>
      <c r="U4830" s="35" t="inlineStr">
        <is>
          <t>Нет ОКВЭД/ССЧР</t>
        </is>
      </c>
      <c r="V4830" s="35" t="inlineStr">
        <is>
          <t>Не определено</t>
        </is>
      </c>
      <c r="W4830" s="35" t="inlineStr"/>
      <c r="X4830" s="35" t="inlineStr"/>
    </row>
    <row r="4831" ht="54.75" customHeight="1" s="24">
      <c r="A4831" s="13" t="n">
        <v>5000052080</v>
      </c>
      <c r="B4831" s="13" t="inlineStr">
        <is>
          <t>Муниципальное бюджетное учреждение "Курильская централизованная библиотечная система муниципального образования "Курильский городской округ"</t>
        </is>
      </c>
      <c r="C4831" s="13" t="n">
        <v>6511004038</v>
      </c>
      <c r="D4831" s="13" t="inlineStr">
        <is>
          <t>6511004038</t>
        </is>
      </c>
      <c r="E4831" s="13" t="inlineStr">
        <is>
          <t>ЮЛ РФ</t>
        </is>
      </c>
      <c r="F4831" s="13" t="n"/>
      <c r="G4831" s="14" t="n"/>
      <c r="H4831" s="14" t="n"/>
      <c r="I4831" s="14" t="n"/>
      <c r="J4831" s="14" t="n"/>
      <c r="K4831" s="53" t="inlineStr"/>
      <c r="L4831" s="53" t="inlineStr">
        <is>
          <t>Не определено</t>
        </is>
      </c>
      <c r="M4831" s="53" t="inlineStr"/>
      <c r="N4831" s="54" t="inlineStr"/>
      <c r="O4831" s="55" t="inlineStr"/>
      <c r="P4831" s="16" t="inlineStr">
        <is>
          <t>Требует обогащения</t>
        </is>
      </c>
      <c r="Q4831" s="16">
        <f>HYPERLINK("https://pb.nalog.ru/search.html?query=6511004038","ФНС: проверить")</f>
        <v/>
      </c>
      <c r="R4831" s="16">
        <f>HYPERLINK("https://checko.ru/search?query=3801001629","Чекко: проверить")</f>
        <v/>
      </c>
      <c r="S4831" t="n">
        <v>1</v>
      </c>
      <c r="T4831" s="35" t="inlineStr">
        <is>
          <t>4 — Не обогащён</t>
        </is>
      </c>
      <c r="U4831" s="35" t="inlineStr">
        <is>
          <t>Нет ОКВЭД/ССЧР</t>
        </is>
      </c>
      <c r="V4831" s="35" t="inlineStr">
        <is>
          <t>Не определено</t>
        </is>
      </c>
      <c r="W4831" s="35" t="inlineStr"/>
      <c r="X4831" s="35" t="inlineStr"/>
    </row>
    <row r="4832" ht="41.25" customHeight="1" s="24">
      <c r="A4832" s="13" t="n">
        <v>5000052081</v>
      </c>
      <c r="B4832" s="13" t="inlineStr">
        <is>
          <t>Курильское МБУК "Централизованная клубная система муниципального образования "Курильский городской округ"</t>
        </is>
      </c>
      <c r="C4832" s="13" t="n">
        <v>6511004373</v>
      </c>
      <c r="D4832" s="13" t="inlineStr">
        <is>
          <t>6511004373</t>
        </is>
      </c>
      <c r="E4832" s="13" t="inlineStr">
        <is>
          <t>ЮЛ РФ</t>
        </is>
      </c>
      <c r="F4832" s="13" t="n"/>
      <c r="G4832" s="14" t="n"/>
      <c r="H4832" s="14" t="n"/>
      <c r="I4832" s="14" t="n"/>
      <c r="J4832" s="14" t="n"/>
      <c r="K4832" s="53" t="inlineStr"/>
      <c r="L4832" s="53" t="inlineStr">
        <is>
          <t>Не определено</t>
        </is>
      </c>
      <c r="M4832" s="53" t="inlineStr"/>
      <c r="N4832" s="54" t="inlineStr"/>
      <c r="O4832" s="55" t="inlineStr"/>
      <c r="P4832" s="16" t="inlineStr">
        <is>
          <t>Требует обогащения</t>
        </is>
      </c>
      <c r="Q4832" s="16">
        <f>HYPERLINK("https://pb.nalog.ru/search.html?query=6511004373","ФНС: проверить")</f>
        <v/>
      </c>
      <c r="R4832" s="16">
        <f>HYPERLINK("https://checko.ru/search?query=3801001629","Чекко: проверить")</f>
        <v/>
      </c>
      <c r="S4832" t="n">
        <v>1</v>
      </c>
      <c r="T4832" s="35" t="inlineStr">
        <is>
          <t>4 — Не обогащён</t>
        </is>
      </c>
      <c r="U4832" s="35" t="inlineStr">
        <is>
          <t>Нет ОКВЭД/ССЧР</t>
        </is>
      </c>
      <c r="V4832" s="35" t="inlineStr">
        <is>
          <t>Не определено</t>
        </is>
      </c>
      <c r="W4832" s="35" t="inlineStr"/>
      <c r="X4832" s="35" t="inlineStr"/>
    </row>
    <row r="4833" ht="15" customHeight="1" s="24">
      <c r="A4833" s="13" t="n">
        <v>5000107144</v>
      </c>
      <c r="B4833" s="13" t="inlineStr">
        <is>
          <t>ГБУК "Сахалинский зооботанический парк"</t>
        </is>
      </c>
      <c r="C4833" s="13" t="n">
        <v>6501035943</v>
      </c>
      <c r="D4833" s="13" t="inlineStr">
        <is>
          <t>6501035943</t>
        </is>
      </c>
      <c r="E4833" s="13" t="inlineStr">
        <is>
          <t>ЮЛ РФ</t>
        </is>
      </c>
      <c r="F4833" s="13" t="n"/>
      <c r="G4833" s="14" t="n"/>
      <c r="H4833" s="14" t="n"/>
      <c r="I4833" s="14" t="n"/>
      <c r="J4833" s="14" t="n"/>
      <c r="K4833" s="53" t="inlineStr"/>
      <c r="L4833" s="53" t="inlineStr">
        <is>
          <t>Не определено</t>
        </is>
      </c>
      <c r="M4833" s="53" t="inlineStr"/>
      <c r="N4833" s="54" t="inlineStr"/>
      <c r="O4833" s="55" t="inlineStr"/>
      <c r="P4833" s="16" t="inlineStr">
        <is>
          <t>Требует обогащения</t>
        </is>
      </c>
      <c r="Q4833" s="16">
        <f>HYPERLINK("https://pb.nalog.ru/search.html?query=6501035943","ФНС: проверить")</f>
        <v/>
      </c>
      <c r="R4833" s="16">
        <f>HYPERLINK("https://checko.ru/search?query=3801001629","Чекко: проверить")</f>
        <v/>
      </c>
      <c r="S4833" t="n">
        <v>1</v>
      </c>
      <c r="T4833" s="35" t="inlineStr">
        <is>
          <t>4 — Не обогащён</t>
        </is>
      </c>
      <c r="U4833" s="35" t="inlineStr">
        <is>
          <t>Нет ОКВЭД/ССЧР</t>
        </is>
      </c>
      <c r="V4833" s="35" t="inlineStr">
        <is>
          <t>Не определено</t>
        </is>
      </c>
      <c r="W4833" s="35" t="inlineStr"/>
      <c r="X4833" s="35" t="inlineStr"/>
    </row>
    <row r="4834" ht="41.25" customHeight="1" s="24">
      <c r="A4834" s="13" t="n">
        <v>5000038451</v>
      </c>
      <c r="B4834" s="13" t="inlineStr">
        <is>
          <t>МКУ Централизованная бухгалтерия администрации городского округа "Александровск-Сахалинский район"</t>
        </is>
      </c>
      <c r="C4834" s="13" t="n">
        <v>6502005740</v>
      </c>
      <c r="D4834" s="13" t="inlineStr">
        <is>
          <t>6502005740</t>
        </is>
      </c>
      <c r="E4834" s="13" t="inlineStr">
        <is>
          <t>ЮЛ РФ</t>
        </is>
      </c>
      <c r="F4834" s="13" t="n"/>
      <c r="G4834" s="14" t="n"/>
      <c r="H4834" s="14" t="n"/>
      <c r="I4834" s="14" t="n"/>
      <c r="J4834" s="14" t="n"/>
      <c r="K4834" s="53" t="inlineStr"/>
      <c r="L4834" s="53" t="inlineStr">
        <is>
          <t>Не определено</t>
        </is>
      </c>
      <c r="M4834" s="53" t="inlineStr"/>
      <c r="N4834" s="54" t="inlineStr"/>
      <c r="O4834" s="55" t="inlineStr"/>
      <c r="P4834" s="16" t="inlineStr">
        <is>
          <t>Требует обогащения</t>
        </is>
      </c>
      <c r="Q4834" s="16">
        <f>HYPERLINK("https://pb.nalog.ru/search.html?query=6502005740","ФНС: проверить")</f>
        <v/>
      </c>
      <c r="R4834" s="16">
        <f>HYPERLINK("https://checko.ru/search?query=3801001629","Чекко: проверить")</f>
        <v/>
      </c>
      <c r="S4834" t="n">
        <v>1</v>
      </c>
      <c r="T4834" s="35" t="inlineStr">
        <is>
          <t>4 — Не обогащён</t>
        </is>
      </c>
      <c r="U4834" s="35" t="inlineStr">
        <is>
          <t>Нет ОКВЭД/ССЧР</t>
        </is>
      </c>
      <c r="V4834" s="35" t="inlineStr">
        <is>
          <t>Не определено</t>
        </is>
      </c>
      <c r="W4834" s="35" t="inlineStr"/>
      <c r="X4834" s="35" t="inlineStr"/>
    </row>
    <row r="4835" ht="27.75" customHeight="1" s="24">
      <c r="A4835" s="13" t="n">
        <v>5000038452</v>
      </c>
      <c r="B4835" s="13" t="inlineStr">
        <is>
          <t>СОБРАНИЕ ГОРОДСКОГО ОКРУГА "АЛЕКСАНДРОВСК-САХАЛИНСКИЙ РАЙОН"</t>
        </is>
      </c>
      <c r="C4835" s="13" t="n">
        <v>6502003278</v>
      </c>
      <c r="D4835" s="13" t="inlineStr">
        <is>
          <t>6502003278</t>
        </is>
      </c>
      <c r="E4835" s="13" t="inlineStr">
        <is>
          <t>ЮЛ РФ</t>
        </is>
      </c>
      <c r="F4835" s="13" t="n"/>
      <c r="G4835" s="14" t="n"/>
      <c r="H4835" s="14" t="n"/>
      <c r="I4835" s="14" t="n"/>
      <c r="J4835" s="14" t="n"/>
      <c r="K4835" s="53" t="inlineStr"/>
      <c r="L4835" s="53" t="inlineStr">
        <is>
          <t>Не определено</t>
        </is>
      </c>
      <c r="M4835" s="53" t="inlineStr"/>
      <c r="N4835" s="54" t="inlineStr"/>
      <c r="O4835" s="55" t="inlineStr"/>
      <c r="P4835" s="16" t="inlineStr">
        <is>
          <t>Требует обогащения</t>
        </is>
      </c>
      <c r="Q4835" s="16">
        <f>HYPERLINK("https://pb.nalog.ru/search.html?query=6502003278","ФНС: проверить")</f>
        <v/>
      </c>
      <c r="R4835" s="16">
        <f>HYPERLINK("https://checko.ru/search?query=3801001629","Чекко: проверить")</f>
        <v/>
      </c>
      <c r="S4835" t="n">
        <v>1</v>
      </c>
      <c r="T4835" s="35" t="inlineStr">
        <is>
          <t>4 — Не обогащён</t>
        </is>
      </c>
      <c r="U4835" s="35" t="inlineStr">
        <is>
          <t>Нет ОКВЭД/ССЧР</t>
        </is>
      </c>
      <c r="V4835" s="35" t="inlineStr">
        <is>
          <t>Не определено</t>
        </is>
      </c>
      <c r="W4835" s="35" t="inlineStr"/>
      <c r="X4835" s="35" t="inlineStr"/>
    </row>
    <row r="4836" ht="27.75" customHeight="1" s="24">
      <c r="A4836" s="13" t="n">
        <v>5000038453</v>
      </c>
      <c r="B4836" s="13" t="inlineStr">
        <is>
          <t>КОНТРОЛЬНО-СЧЕТНАЯ ПАЛАТА городского округа "Александровск-Сахалинский район"</t>
        </is>
      </c>
      <c r="C4836" s="13" t="n">
        <v>6502005758</v>
      </c>
      <c r="D4836" s="13" t="inlineStr">
        <is>
          <t>6502005758</t>
        </is>
      </c>
      <c r="E4836" s="13" t="inlineStr">
        <is>
          <t>ЮЛ РФ</t>
        </is>
      </c>
      <c r="F4836" s="13" t="n"/>
      <c r="G4836" s="14" t="n"/>
      <c r="H4836" s="14" t="n"/>
      <c r="I4836" s="14" t="n"/>
      <c r="J4836" s="14" t="n"/>
      <c r="K4836" s="53" t="inlineStr"/>
      <c r="L4836" s="53" t="inlineStr">
        <is>
          <t>Не определено</t>
        </is>
      </c>
      <c r="M4836" s="53" t="inlineStr"/>
      <c r="N4836" s="54" t="inlineStr"/>
      <c r="O4836" s="55" t="inlineStr"/>
      <c r="P4836" s="16" t="inlineStr">
        <is>
          <t>Требует обогащения</t>
        </is>
      </c>
      <c r="Q4836" s="16">
        <f>HYPERLINK("https://pb.nalog.ru/search.html?query=6502005758","ФНС: проверить")</f>
        <v/>
      </c>
      <c r="R4836" s="16">
        <f>HYPERLINK("https://checko.ru/search?query=3801001629","Чекко: проверить")</f>
        <v/>
      </c>
      <c r="S4836" t="n">
        <v>1</v>
      </c>
      <c r="T4836" s="35" t="inlineStr">
        <is>
          <t>4 — Не обогащён</t>
        </is>
      </c>
      <c r="U4836" s="35" t="inlineStr">
        <is>
          <t>Нет ОКВЭД/ССЧР</t>
        </is>
      </c>
      <c r="V4836" s="35" t="inlineStr">
        <is>
          <t>Не определено</t>
        </is>
      </c>
      <c r="W4836" s="35" t="inlineStr"/>
      <c r="X4836" s="35" t="inlineStr"/>
    </row>
    <row r="4837" ht="27.75" customHeight="1" s="24">
      <c r="A4837" s="13" t="n">
        <v>5000038450</v>
      </c>
      <c r="B4837" s="13" t="inlineStr">
        <is>
          <t>МКУ "ХОЗЯЙСТВЕННОЕ УПРАВЛЕНИЕ" Александровск-Сахалинский</t>
        </is>
      </c>
      <c r="C4837" s="13" t="n">
        <v>6502005564</v>
      </c>
      <c r="D4837" s="13" t="inlineStr">
        <is>
          <t>6502005564</t>
        </is>
      </c>
      <c r="E4837" s="13" t="inlineStr">
        <is>
          <t>ЮЛ РФ</t>
        </is>
      </c>
      <c r="F4837" s="13" t="n"/>
      <c r="G4837" s="14" t="n"/>
      <c r="H4837" s="14" t="n"/>
      <c r="I4837" s="14" t="n"/>
      <c r="J4837" s="14" t="n"/>
      <c r="K4837" s="53" t="inlineStr"/>
      <c r="L4837" s="53" t="inlineStr">
        <is>
          <t>Не определено</t>
        </is>
      </c>
      <c r="M4837" s="53" t="inlineStr"/>
      <c r="N4837" s="54" t="inlineStr"/>
      <c r="O4837" s="55" t="inlineStr"/>
      <c r="P4837" s="16" t="inlineStr">
        <is>
          <t>Требует обогащения</t>
        </is>
      </c>
      <c r="Q4837" s="16">
        <f>HYPERLINK("https://pb.nalog.ru/search.html?query=6502005564","ФНС: проверить")</f>
        <v/>
      </c>
      <c r="R4837" s="16">
        <f>HYPERLINK("https://checko.ru/search?query=3801001629","Чекко: проверить")</f>
        <v/>
      </c>
      <c r="S4837" t="n">
        <v>1</v>
      </c>
      <c r="T4837" s="35" t="inlineStr">
        <is>
          <t>4 — Не обогащён</t>
        </is>
      </c>
      <c r="U4837" s="35" t="inlineStr">
        <is>
          <t>Нет ОКВЭД/ССЧР</t>
        </is>
      </c>
      <c r="V4837" s="35" t="inlineStr">
        <is>
          <t>Не определено</t>
        </is>
      </c>
      <c r="W4837" s="35" t="inlineStr"/>
      <c r="X4837" s="35" t="inlineStr"/>
    </row>
    <row r="4838" ht="15" customHeight="1" s="24">
      <c r="A4838" s="13" t="n">
        <v>5000098339</v>
      </c>
      <c r="B4838" s="13" t="inlineStr">
        <is>
          <t>КГАУСО "УРЦ"</t>
        </is>
      </c>
      <c r="C4838" s="13" t="n">
        <v>2511014430</v>
      </c>
      <c r="D4838" s="13" t="inlineStr">
        <is>
          <t>2511014430</t>
        </is>
      </c>
      <c r="E4838" s="13" t="inlineStr">
        <is>
          <t>ЮЛ РФ</t>
        </is>
      </c>
      <c r="F4838" s="13" t="n"/>
      <c r="G4838" s="14" t="n"/>
      <c r="H4838" s="14" t="n"/>
      <c r="I4838" s="14" t="n"/>
      <c r="J4838" s="14" t="n"/>
      <c r="K4838" s="53" t="inlineStr"/>
      <c r="L4838" s="53" t="inlineStr">
        <is>
          <t>Не определено</t>
        </is>
      </c>
      <c r="M4838" s="53" t="inlineStr"/>
      <c r="N4838" s="54" t="inlineStr"/>
      <c r="O4838" s="55" t="inlineStr"/>
      <c r="P4838" s="16" t="inlineStr">
        <is>
          <t>Требует обогащения</t>
        </is>
      </c>
      <c r="Q4838" s="16">
        <f>HYPERLINK("https://pb.nalog.ru/search.html?query=2511014430","ФНС: проверить")</f>
        <v/>
      </c>
      <c r="R4838" s="16">
        <f>HYPERLINK("https://checko.ru/search?query=3801001629","Чекко: проверить")</f>
        <v/>
      </c>
      <c r="S4838" t="n">
        <v>1</v>
      </c>
      <c r="T4838" s="35" t="inlineStr">
        <is>
          <t>4 — Не обогащён</t>
        </is>
      </c>
      <c r="U4838" s="35" t="inlineStr">
        <is>
          <t>Нет ОКВЭД/ССЧР</t>
        </is>
      </c>
      <c r="V4838" s="35" t="inlineStr">
        <is>
          <t>Не определено</t>
        </is>
      </c>
      <c r="W4838" s="35" t="inlineStr"/>
      <c r="X4838" s="35" t="inlineStr"/>
    </row>
    <row r="4839" ht="27.75" customHeight="1" s="24">
      <c r="A4839" s="13" t="n">
        <v>5000100105</v>
      </c>
      <c r="B4839" s="13" t="inlineStr">
        <is>
          <t>ОКУ "Аппарат общественной палаты Сахалинской области"</t>
        </is>
      </c>
      <c r="C4839" s="13" t="n">
        <v>6501249416</v>
      </c>
      <c r="D4839" s="13" t="inlineStr">
        <is>
          <t>6501249416</t>
        </is>
      </c>
      <c r="E4839" s="13" t="inlineStr">
        <is>
          <t>ЮЛ РФ</t>
        </is>
      </c>
      <c r="F4839" s="13" t="n"/>
      <c r="G4839" s="14" t="n"/>
      <c r="H4839" s="14" t="n"/>
      <c r="I4839" s="14" t="n"/>
      <c r="J4839" s="14" t="n"/>
      <c r="K4839" s="53" t="inlineStr"/>
      <c r="L4839" s="53" t="inlineStr">
        <is>
          <t>Не определено</t>
        </is>
      </c>
      <c r="M4839" s="53" t="inlineStr"/>
      <c r="N4839" s="54" t="inlineStr"/>
      <c r="O4839" s="55" t="inlineStr"/>
      <c r="P4839" s="16" t="inlineStr">
        <is>
          <t>Требует обогащения</t>
        </is>
      </c>
      <c r="Q4839" s="16">
        <f>HYPERLINK("https://pb.nalog.ru/search.html?query=6501249416","ФНС: проверить")</f>
        <v/>
      </c>
      <c r="R4839" s="16">
        <f>HYPERLINK("https://checko.ru/search?query=3801001629","Чекко: проверить")</f>
        <v/>
      </c>
      <c r="S4839" t="n">
        <v>1</v>
      </c>
      <c r="T4839" s="35" t="inlineStr">
        <is>
          <t>4 — Не обогащён</t>
        </is>
      </c>
      <c r="U4839" s="35" t="inlineStr">
        <is>
          <t>Нет ОКВЭД/ССЧР</t>
        </is>
      </c>
      <c r="V4839" s="35" t="inlineStr">
        <is>
          <t>Не определено</t>
        </is>
      </c>
      <c r="W4839" s="35" t="inlineStr"/>
      <c r="X4839" s="35" t="inlineStr"/>
    </row>
    <row r="4840" ht="15" customHeight="1" s="24">
      <c r="A4840" s="13" t="n">
        <v>5000104772</v>
      </c>
      <c r="B4840" s="13" t="inlineStr">
        <is>
          <t>КСО КУРИЛЬСКОГО ГОРОДСКОГО ОКРУГА</t>
        </is>
      </c>
      <c r="C4840" s="13" t="n">
        <v>6511004528</v>
      </c>
      <c r="D4840" s="13" t="inlineStr">
        <is>
          <t>6511004528</t>
        </is>
      </c>
      <c r="E4840" s="13" t="inlineStr">
        <is>
          <t>ЮЛ РФ</t>
        </is>
      </c>
      <c r="F4840" s="13" t="n"/>
      <c r="G4840" s="14" t="n"/>
      <c r="H4840" s="14" t="n"/>
      <c r="I4840" s="14" t="n"/>
      <c r="J4840" s="14" t="n"/>
      <c r="K4840" s="53" t="inlineStr"/>
      <c r="L4840" s="53" t="inlineStr">
        <is>
          <t>Не определено</t>
        </is>
      </c>
      <c r="M4840" s="53" t="inlineStr"/>
      <c r="N4840" s="54" t="inlineStr"/>
      <c r="O4840" s="55" t="inlineStr"/>
      <c r="P4840" s="16" t="inlineStr">
        <is>
          <t>Требует обогащения</t>
        </is>
      </c>
      <c r="Q4840" s="16">
        <f>HYPERLINK("https://pb.nalog.ru/search.html?query=6511004528","ФНС: проверить")</f>
        <v/>
      </c>
      <c r="R4840" s="16">
        <f>HYPERLINK("https://checko.ru/search?query=3801001629","Чекко: проверить")</f>
        <v/>
      </c>
      <c r="S4840" t="n">
        <v>1</v>
      </c>
      <c r="T4840" s="35" t="inlineStr">
        <is>
          <t>4 — Не обогащён</t>
        </is>
      </c>
      <c r="U4840" s="35" t="inlineStr">
        <is>
          <t>Нет ОКВЭД/ССЧР</t>
        </is>
      </c>
      <c r="V4840" s="35" t="inlineStr">
        <is>
          <t>Не определено</t>
        </is>
      </c>
      <c r="W4840" s="35" t="inlineStr"/>
      <c r="X4840" s="35" t="inlineStr"/>
    </row>
    <row r="4841" ht="27.75" customHeight="1" s="24">
      <c r="A4841" s="13" t="n">
        <v>5000098173</v>
      </c>
      <c r="B4841" s="13" t="inlineStr">
        <is>
          <t>КГБУЗ «Чугуевская центральная районная больница»</t>
        </is>
      </c>
      <c r="C4841" s="13" t="n">
        <v>2534003019</v>
      </c>
      <c r="D4841" s="13" t="inlineStr">
        <is>
          <t>2534003019</t>
        </is>
      </c>
      <c r="E4841" s="13" t="inlineStr">
        <is>
          <t>ЮЛ РФ</t>
        </is>
      </c>
      <c r="F4841" s="13" t="n"/>
      <c r="G4841" s="14" t="n"/>
      <c r="H4841" s="14" t="n"/>
      <c r="I4841" s="14" t="n"/>
      <c r="J4841" s="14" t="n"/>
      <c r="K4841" s="53" t="inlineStr"/>
      <c r="L4841" s="53" t="inlineStr">
        <is>
          <t>Не определено</t>
        </is>
      </c>
      <c r="M4841" s="53" t="inlineStr"/>
      <c r="N4841" s="54" t="inlineStr"/>
      <c r="O4841" s="55" t="inlineStr"/>
      <c r="P4841" s="16" t="inlineStr">
        <is>
          <t>Требует обогащения</t>
        </is>
      </c>
      <c r="Q4841" s="16">
        <f>HYPERLINK("https://pb.nalog.ru/search.html?query=2534003019","ФНС: проверить")</f>
        <v/>
      </c>
      <c r="R4841" s="16">
        <f>HYPERLINK("https://checko.ru/search?query=3801001629","Чекко: проверить")</f>
        <v/>
      </c>
      <c r="S4841" t="n">
        <v>1</v>
      </c>
      <c r="T4841" s="35" t="inlineStr">
        <is>
          <t>4 — Не обогащён</t>
        </is>
      </c>
      <c r="U4841" s="35" t="inlineStr">
        <is>
          <t>Нет ОКВЭД/ССЧР</t>
        </is>
      </c>
      <c r="V4841" s="35" t="inlineStr">
        <is>
          <t>Не определено</t>
        </is>
      </c>
      <c r="W4841" s="35" t="inlineStr"/>
      <c r="X4841" s="35" t="inlineStr"/>
    </row>
    <row r="4842" ht="41.25" customHeight="1" s="24">
      <c r="A4842" s="13" t="n">
        <v>5000107354</v>
      </c>
      <c r="B4842" s="13" t="inlineStr">
        <is>
          <t>Государственное автономное учреждение Сахалинской области «Агентство по развитию человеческого капитала»</t>
        </is>
      </c>
      <c r="C4842" s="13" t="n">
        <v>6501309746</v>
      </c>
      <c r="D4842" s="13" t="inlineStr">
        <is>
          <t>6501309746</t>
        </is>
      </c>
      <c r="E4842" s="13" t="inlineStr">
        <is>
          <t>ЮЛ РФ</t>
        </is>
      </c>
      <c r="F4842" s="13" t="n"/>
      <c r="G4842" s="14" t="n"/>
      <c r="H4842" s="14" t="n"/>
      <c r="I4842" s="14" t="n"/>
      <c r="J4842" s="14" t="n"/>
      <c r="K4842" s="53" t="inlineStr"/>
      <c r="L4842" s="53" t="inlineStr">
        <is>
          <t>Не определено</t>
        </is>
      </c>
      <c r="M4842" s="53" t="inlineStr"/>
      <c r="N4842" s="54" t="inlineStr"/>
      <c r="O4842" s="55" t="inlineStr"/>
      <c r="P4842" s="16" t="inlineStr">
        <is>
          <t>Требует обогащения</t>
        </is>
      </c>
      <c r="Q4842" s="16">
        <f>HYPERLINK("https://pb.nalog.ru/search.html?query=6501309746","ФНС: проверить")</f>
        <v/>
      </c>
      <c r="R4842" s="16">
        <f>HYPERLINK("https://checko.ru/search?query=3801001629","Чекко: проверить")</f>
        <v/>
      </c>
      <c r="S4842" t="n">
        <v>1</v>
      </c>
      <c r="T4842" s="35" t="inlineStr">
        <is>
          <t>4 — Не обогащён</t>
        </is>
      </c>
      <c r="U4842" s="35" t="inlineStr">
        <is>
          <t>Нет ОКВЭД/ССЧР</t>
        </is>
      </c>
      <c r="V4842" s="35" t="inlineStr">
        <is>
          <t>Не определено</t>
        </is>
      </c>
      <c r="W4842" s="35" t="inlineStr"/>
      <c r="X4842" s="35" t="inlineStr"/>
    </row>
    <row r="4843" ht="41.25" customHeight="1" s="24">
      <c r="A4843" s="13" t="n">
        <v>5000107354</v>
      </c>
      <c r="B4843" s="13" t="inlineStr">
        <is>
          <t>Государственное автономное учреждение Сахалинской области «Агентство по развитию человеческого капитала»</t>
        </is>
      </c>
      <c r="C4843" s="13" t="n">
        <v>6501309746</v>
      </c>
      <c r="D4843" s="13" t="inlineStr">
        <is>
          <t>6501309746</t>
        </is>
      </c>
      <c r="E4843" s="13" t="inlineStr">
        <is>
          <t>ЮЛ РФ</t>
        </is>
      </c>
      <c r="F4843" s="13" t="n"/>
      <c r="G4843" s="14" t="n"/>
      <c r="H4843" s="14" t="n"/>
      <c r="I4843" s="14" t="n"/>
      <c r="J4843" s="14" t="n"/>
      <c r="K4843" s="53" t="inlineStr"/>
      <c r="L4843" s="53" t="inlineStr">
        <is>
          <t>Не определено</t>
        </is>
      </c>
      <c r="M4843" s="53" t="inlineStr"/>
      <c r="N4843" s="54" t="inlineStr"/>
      <c r="O4843" s="55" t="inlineStr"/>
      <c r="P4843" s="16" t="inlineStr">
        <is>
          <t>Требует обогащения</t>
        </is>
      </c>
      <c r="Q4843" s="16">
        <f>HYPERLINK("https://pb.nalog.ru/search.html?query=6501309746","ФНС: проверить")</f>
        <v/>
      </c>
      <c r="R4843" s="16">
        <f>HYPERLINK("https://checko.ru/search?query=3801001629","Чекко: проверить")</f>
        <v/>
      </c>
      <c r="S4843" t="n">
        <v>0</v>
      </c>
      <c r="T4843" s="35" t="inlineStr">
        <is>
          <t>4 — Не обогащён</t>
        </is>
      </c>
      <c r="U4843" s="35" t="inlineStr">
        <is>
          <t>Нет ОКВЭД/ССЧР</t>
        </is>
      </c>
      <c r="V4843" s="35" t="inlineStr">
        <is>
          <t>Не определено</t>
        </is>
      </c>
      <c r="W4843" s="35" t="inlineStr"/>
      <c r="X4843" s="35" t="inlineStr"/>
    </row>
    <row r="4844" ht="27.75" customHeight="1" s="24">
      <c r="A4844" s="13" t="n">
        <v>5000098264</v>
      </c>
      <c r="B4844" s="13" t="inlineStr">
        <is>
          <t>КГАУ "Центр адаптивной физической культуры и адаптивного спорта Приморского края"</t>
        </is>
      </c>
      <c r="C4844" s="13" t="n">
        <v>2540226542</v>
      </c>
      <c r="D4844" s="13" t="inlineStr">
        <is>
          <t>2540226542</t>
        </is>
      </c>
      <c r="E4844" s="13" t="inlineStr">
        <is>
          <t>ЮЛ РФ</t>
        </is>
      </c>
      <c r="F4844" s="13" t="n"/>
      <c r="G4844" s="14" t="n"/>
      <c r="H4844" s="14" t="n"/>
      <c r="I4844" s="14" t="n"/>
      <c r="J4844" s="14" t="n"/>
      <c r="K4844" s="53" t="inlineStr"/>
      <c r="L4844" s="53" t="inlineStr">
        <is>
          <t>Не определено</t>
        </is>
      </c>
      <c r="M4844" s="53" t="inlineStr"/>
      <c r="N4844" s="54" t="inlineStr"/>
      <c r="O4844" s="55" t="inlineStr"/>
      <c r="P4844" s="16" t="inlineStr">
        <is>
          <t>Требует обогащения</t>
        </is>
      </c>
      <c r="Q4844" s="16">
        <f>HYPERLINK("https://pb.nalog.ru/search.html?query=2540226542","ФНС: проверить")</f>
        <v/>
      </c>
      <c r="R4844" s="16">
        <f>HYPERLINK("https://checko.ru/search?query=3801001629","Чекко: проверить")</f>
        <v/>
      </c>
      <c r="S4844" t="n">
        <v>1</v>
      </c>
      <c r="T4844" s="35" t="inlineStr">
        <is>
          <t>4 — Не обогащён</t>
        </is>
      </c>
      <c r="U4844" s="35" t="inlineStr">
        <is>
          <t>Нет ОКВЭД/ССЧР</t>
        </is>
      </c>
      <c r="V4844" s="35" t="inlineStr">
        <is>
          <t>Не определено</t>
        </is>
      </c>
      <c r="W4844" s="35" t="inlineStr"/>
      <c r="X4844" s="35" t="inlineStr"/>
    </row>
    <row r="4845" ht="27.75" customHeight="1" s="24">
      <c r="A4845" s="13" t="n">
        <v>5000047392</v>
      </c>
      <c r="B4845" s="13" t="inlineStr">
        <is>
          <t>МКУ "ЦЕНТРАЛИЗОВАННАЯ БУХГАЛТЕРИЯ МО "ЮЖНО-КУРИЛЬСКИЙ ГОРОДСКОЙ ОКРУГ"</t>
        </is>
      </c>
      <c r="C4845" s="13" t="n">
        <v>6518008585</v>
      </c>
      <c r="D4845" s="13" t="inlineStr">
        <is>
          <t>6518008585</t>
        </is>
      </c>
      <c r="E4845" s="13" t="inlineStr">
        <is>
          <t>ЮЛ РФ</t>
        </is>
      </c>
      <c r="F4845" s="13" t="n"/>
      <c r="G4845" s="14" t="n"/>
      <c r="H4845" s="14" t="n"/>
      <c r="I4845" s="14" t="n"/>
      <c r="J4845" s="14" t="n"/>
      <c r="K4845" s="53" t="inlineStr"/>
      <c r="L4845" s="53" t="inlineStr">
        <is>
          <t>Не определено</t>
        </is>
      </c>
      <c r="M4845" s="53" t="inlineStr"/>
      <c r="N4845" s="54" t="inlineStr"/>
      <c r="O4845" s="55" t="inlineStr"/>
      <c r="P4845" s="16" t="inlineStr">
        <is>
          <t>Требует обогащения</t>
        </is>
      </c>
      <c r="Q4845" s="16">
        <f>HYPERLINK("https://pb.nalog.ru/search.html?query=6518008585","ФНС: проверить")</f>
        <v/>
      </c>
      <c r="R4845" s="16">
        <f>HYPERLINK("https://checko.ru/search?query=3801001629","Чекко: проверить")</f>
        <v/>
      </c>
      <c r="S4845" t="n">
        <v>1</v>
      </c>
      <c r="T4845" s="35" t="inlineStr">
        <is>
          <t>4 — Не обогащён</t>
        </is>
      </c>
      <c r="U4845" s="35" t="inlineStr">
        <is>
          <t>Нет ОКВЭД/ССЧР</t>
        </is>
      </c>
      <c r="V4845" s="35" t="inlineStr">
        <is>
          <t>Не определено</t>
        </is>
      </c>
      <c r="W4845" s="35" t="inlineStr"/>
      <c r="X4845" s="35" t="inlineStr"/>
    </row>
    <row r="4846" ht="41.25" customHeight="1" s="24">
      <c r="A4846" s="13" t="n">
        <v>5000038265</v>
      </c>
      <c r="B4846" s="13" t="inlineStr">
        <is>
          <t>Комитет по физической культуре, спорту и туризму Администрации городского округа Королёв Московской области</t>
        </is>
      </c>
      <c r="C4846" s="13" t="n">
        <v>5018044270</v>
      </c>
      <c r="D4846" s="13" t="inlineStr">
        <is>
          <t>5018044270</t>
        </is>
      </c>
      <c r="E4846" s="13" t="inlineStr">
        <is>
          <t>ЮЛ РФ</t>
        </is>
      </c>
      <c r="F4846" s="13" t="n"/>
      <c r="G4846" s="14" t="n"/>
      <c r="H4846" s="14" t="n"/>
      <c r="I4846" s="14" t="n"/>
      <c r="J4846" s="14" t="n"/>
      <c r="K4846" s="53" t="inlineStr"/>
      <c r="L4846" s="53" t="inlineStr">
        <is>
          <t>Не определено</t>
        </is>
      </c>
      <c r="M4846" s="53" t="inlineStr"/>
      <c r="N4846" s="54" t="inlineStr"/>
      <c r="O4846" s="55" t="inlineStr"/>
      <c r="P4846" s="16" t="inlineStr">
        <is>
          <t>Требует обогащения</t>
        </is>
      </c>
      <c r="Q4846" s="16">
        <f>HYPERLINK("https://pb.nalog.ru/search.html?query=5018044270","ФНС: проверить")</f>
        <v/>
      </c>
      <c r="R4846" s="16">
        <f>HYPERLINK("https://checko.ru/search?query=3801001629","Чекко: проверить")</f>
        <v/>
      </c>
      <c r="S4846" t="n">
        <v>1</v>
      </c>
      <c r="T4846" s="35" t="inlineStr">
        <is>
          <t>4 — Не обогащён</t>
        </is>
      </c>
      <c r="U4846" s="35" t="inlineStr">
        <is>
          <t>Нет ОКВЭД/ССЧР</t>
        </is>
      </c>
      <c r="V4846" s="35" t="inlineStr">
        <is>
          <t>Не определено</t>
        </is>
      </c>
      <c r="W4846" s="35" t="inlineStr"/>
      <c r="X4846" s="35" t="inlineStr"/>
    </row>
    <row r="4847" ht="15" customHeight="1" s="24">
      <c r="A4847" s="13" t="n">
        <v>5000038271</v>
      </c>
      <c r="B4847" s="13" t="inlineStr">
        <is>
          <t>МБУ "Спортивные сооружения"</t>
        </is>
      </c>
      <c r="C4847" s="13" t="n">
        <v>5018097698</v>
      </c>
      <c r="D4847" s="13" t="inlineStr">
        <is>
          <t>5018097698</t>
        </is>
      </c>
      <c r="E4847" s="13" t="inlineStr">
        <is>
          <t>ЮЛ РФ</t>
        </is>
      </c>
      <c r="F4847" s="13" t="n"/>
      <c r="G4847" s="14" t="n"/>
      <c r="H4847" s="14" t="n"/>
      <c r="I4847" s="14" t="n"/>
      <c r="J4847" s="14" t="n"/>
      <c r="K4847" s="53" t="inlineStr"/>
      <c r="L4847" s="53" t="inlineStr">
        <is>
          <t>Не определено</t>
        </is>
      </c>
      <c r="M4847" s="53" t="inlineStr"/>
      <c r="N4847" s="54" t="inlineStr"/>
      <c r="O4847" s="55" t="inlineStr"/>
      <c r="P4847" s="16" t="inlineStr">
        <is>
          <t>Требует обогащения</t>
        </is>
      </c>
      <c r="Q4847" s="16">
        <f>HYPERLINK("https://pb.nalog.ru/search.html?query=5018097698","ФНС: проверить")</f>
        <v/>
      </c>
      <c r="R4847" s="16">
        <f>HYPERLINK("https://checko.ru/search?query=3801001629","Чекко: проверить")</f>
        <v/>
      </c>
      <c r="S4847" t="n">
        <v>1</v>
      </c>
      <c r="T4847" s="35" t="inlineStr">
        <is>
          <t>4 — Не обогащён</t>
        </is>
      </c>
      <c r="U4847" s="35" t="inlineStr">
        <is>
          <t>Нет ОКВЭД/ССЧР</t>
        </is>
      </c>
      <c r="V4847" s="35" t="inlineStr">
        <is>
          <t>Не определено</t>
        </is>
      </c>
      <c r="W4847" s="35" t="inlineStr"/>
      <c r="X4847" s="35" t="inlineStr"/>
    </row>
    <row r="4848" ht="15" customHeight="1" s="24">
      <c r="A4848" s="13" t="n">
        <v>5000038272</v>
      </c>
      <c r="B4848" s="13" t="inlineStr">
        <is>
          <t>МБУ МЦ "Космос"</t>
        </is>
      </c>
      <c r="C4848" s="13" t="n">
        <v>5018197163</v>
      </c>
      <c r="D4848" s="13" t="inlineStr">
        <is>
          <t>5018197163</t>
        </is>
      </c>
      <c r="E4848" s="13" t="inlineStr">
        <is>
          <t>ЮЛ РФ</t>
        </is>
      </c>
      <c r="F4848" s="13" t="n"/>
      <c r="G4848" s="14" t="n"/>
      <c r="H4848" s="14" t="n"/>
      <c r="I4848" s="14" t="n"/>
      <c r="J4848" s="14" t="n"/>
      <c r="K4848" s="53" t="inlineStr"/>
      <c r="L4848" s="53" t="inlineStr">
        <is>
          <t>Не определено</t>
        </is>
      </c>
      <c r="M4848" s="53" t="inlineStr"/>
      <c r="N4848" s="54" t="inlineStr"/>
      <c r="O4848" s="55" t="inlineStr"/>
      <c r="P4848" s="16" t="inlineStr">
        <is>
          <t>Требует обогащения</t>
        </is>
      </c>
      <c r="Q4848" s="16">
        <f>HYPERLINK("https://pb.nalog.ru/search.html?query=5018197163","ФНС: проверить")</f>
        <v/>
      </c>
      <c r="R4848" s="16">
        <f>HYPERLINK("https://checko.ru/search?query=3801001629","Чекко: проверить")</f>
        <v/>
      </c>
      <c r="S4848" t="n">
        <v>1</v>
      </c>
      <c r="T4848" s="35" t="inlineStr">
        <is>
          <t>4 — Не обогащён</t>
        </is>
      </c>
      <c r="U4848" s="35" t="inlineStr">
        <is>
          <t>Нет ОКВЭД/ССЧР</t>
        </is>
      </c>
      <c r="V4848" s="35" t="inlineStr">
        <is>
          <t>Не определено</t>
        </is>
      </c>
      <c r="W4848" s="35" t="inlineStr"/>
      <c r="X4848" s="35" t="inlineStr"/>
    </row>
    <row r="4849" ht="15" customHeight="1" s="24">
      <c r="A4849" s="13" t="n">
        <v>5000098342</v>
      </c>
      <c r="B4849" s="13" t="inlineStr">
        <is>
          <t>КГБУ "Приморская администрация ООПТ"</t>
        </is>
      </c>
      <c r="C4849" s="13" t="n">
        <v>2540069561</v>
      </c>
      <c r="D4849" s="13" t="inlineStr">
        <is>
          <t>2540069561</t>
        </is>
      </c>
      <c r="E4849" s="13" t="inlineStr">
        <is>
          <t>ЮЛ РФ</t>
        </is>
      </c>
      <c r="F4849" s="13" t="n"/>
      <c r="G4849" s="14" t="n"/>
      <c r="H4849" s="14" t="n"/>
      <c r="I4849" s="14" t="n"/>
      <c r="J4849" s="14" t="n"/>
      <c r="K4849" s="53" t="inlineStr"/>
      <c r="L4849" s="53" t="inlineStr">
        <is>
          <t>Не определено</t>
        </is>
      </c>
      <c r="M4849" s="53" t="inlineStr"/>
      <c r="N4849" s="54" t="inlineStr"/>
      <c r="O4849" s="55" t="inlineStr"/>
      <c r="P4849" s="16" t="inlineStr">
        <is>
          <t>Требует обогащения</t>
        </is>
      </c>
      <c r="Q4849" s="16">
        <f>HYPERLINK("https://pb.nalog.ru/search.html?query=2540069561","ФНС: проверить")</f>
        <v/>
      </c>
      <c r="R4849" s="16">
        <f>HYPERLINK("https://checko.ru/search?query=3801001629","Чекко: проверить")</f>
        <v/>
      </c>
      <c r="S4849" t="n">
        <v>1</v>
      </c>
      <c r="T4849" s="35" t="inlineStr">
        <is>
          <t>4 — Не обогащён</t>
        </is>
      </c>
      <c r="U4849" s="35" t="inlineStr">
        <is>
          <t>Нет ОКВЭД/ССЧР</t>
        </is>
      </c>
      <c r="V4849" s="35" t="inlineStr">
        <is>
          <t>Не определено</t>
        </is>
      </c>
      <c r="W4849" s="35" t="inlineStr"/>
      <c r="X4849" s="35" t="inlineStr"/>
    </row>
    <row r="4850" ht="27.75" customHeight="1" s="24">
      <c r="A4850" s="13" t="n">
        <v>5000089216</v>
      </c>
      <c r="B4850" s="13" t="inlineStr">
        <is>
          <t>Департамент труда и социального развития Приморского края</t>
        </is>
      </c>
      <c r="C4850" s="13" t="n">
        <v>2536258904</v>
      </c>
      <c r="D4850" s="13" t="inlineStr">
        <is>
          <t>2536258904</t>
        </is>
      </c>
      <c r="E4850" s="13" t="inlineStr">
        <is>
          <t>ЮЛ РФ</t>
        </is>
      </c>
      <c r="F4850" s="13" t="n"/>
      <c r="G4850" s="14" t="n"/>
      <c r="H4850" s="14" t="n"/>
      <c r="I4850" s="14" t="n"/>
      <c r="J4850" s="14" t="n"/>
      <c r="K4850" s="53" t="inlineStr"/>
      <c r="L4850" s="53" t="inlineStr">
        <is>
          <t>Не определено</t>
        </is>
      </c>
      <c r="M4850" s="53" t="inlineStr"/>
      <c r="N4850" s="54" t="inlineStr"/>
      <c r="O4850" s="55" t="inlineStr"/>
      <c r="P4850" s="16" t="inlineStr">
        <is>
          <t>Требует обогащения</t>
        </is>
      </c>
      <c r="Q4850" s="16">
        <f>HYPERLINK("https://pb.nalog.ru/search.html?query=2536258904","ФНС: проверить")</f>
        <v/>
      </c>
      <c r="R4850" s="16">
        <f>HYPERLINK("https://checko.ru/search?query=3801001629","Чекко: проверить")</f>
        <v/>
      </c>
      <c r="S4850" t="n">
        <v>1</v>
      </c>
      <c r="T4850" s="35" t="inlineStr">
        <is>
          <t>4 — Не обогащён</t>
        </is>
      </c>
      <c r="U4850" s="35" t="inlineStr">
        <is>
          <t>Нет ОКВЭД/ССЧР</t>
        </is>
      </c>
      <c r="V4850" s="35" t="inlineStr">
        <is>
          <t>Не определено</t>
        </is>
      </c>
      <c r="W4850" s="35" t="inlineStr"/>
      <c r="X4850" s="35" t="inlineStr"/>
    </row>
    <row r="4851" ht="41.25" customHeight="1" s="24">
      <c r="A4851" s="13" t="n">
        <v>5000122885</v>
      </c>
      <c r="B4851" s="13" t="inlineStr">
        <is>
          <t>Комитет имущественных  отношений администрации города Королева Московской области</t>
        </is>
      </c>
      <c r="C4851" s="13" t="n">
        <v>5018097881</v>
      </c>
      <c r="D4851" s="13" t="inlineStr">
        <is>
          <t>5018097881</t>
        </is>
      </c>
      <c r="E4851" s="13" t="inlineStr">
        <is>
          <t>ЮЛ РФ</t>
        </is>
      </c>
      <c r="F4851" s="13" t="n"/>
      <c r="G4851" s="14" t="n"/>
      <c r="H4851" s="14" t="n"/>
      <c r="I4851" s="14" t="n"/>
      <c r="J4851" s="14" t="n"/>
      <c r="K4851" s="53" t="inlineStr"/>
      <c r="L4851" s="53" t="inlineStr">
        <is>
          <t>Не определено</t>
        </is>
      </c>
      <c r="M4851" s="53" t="inlineStr"/>
      <c r="N4851" s="54" t="inlineStr"/>
      <c r="O4851" s="55" t="inlineStr"/>
      <c r="P4851" s="16" t="inlineStr">
        <is>
          <t>Требует обогащения</t>
        </is>
      </c>
      <c r="Q4851" s="16">
        <f>HYPERLINK("https://pb.nalog.ru/search.html?query=5018097881","ФНС: проверить")</f>
        <v/>
      </c>
      <c r="R4851" s="16">
        <f>HYPERLINK("https://checko.ru/search?query=3801001629","Чекко: проверить")</f>
        <v/>
      </c>
      <c r="S4851" t="n">
        <v>1</v>
      </c>
      <c r="T4851" s="35" t="inlineStr">
        <is>
          <t>4 — Не обогащён</t>
        </is>
      </c>
      <c r="U4851" s="35" t="inlineStr">
        <is>
          <t>Нет ОКВЭД/ССЧР</t>
        </is>
      </c>
      <c r="V4851" s="35" t="inlineStr">
        <is>
          <t>Не определено</t>
        </is>
      </c>
      <c r="W4851" s="35" t="inlineStr"/>
      <c r="X4851" s="35" t="inlineStr"/>
    </row>
    <row r="4852" ht="27.75" customHeight="1" s="24">
      <c r="A4852" s="13" t="n">
        <v>5000098675</v>
      </c>
      <c r="B4852" s="13" t="inlineStr">
        <is>
          <t>ГБУ "Шахтерский дом-интернат для престарелых граждан и инвалидов Сахалинской области"</t>
        </is>
      </c>
      <c r="C4852" s="13" t="n">
        <v>6508006236</v>
      </c>
      <c r="D4852" s="13" t="inlineStr">
        <is>
          <t>6508006236</t>
        </is>
      </c>
      <c r="E4852" s="13" t="inlineStr">
        <is>
          <t>ЮЛ РФ</t>
        </is>
      </c>
      <c r="F4852" s="13" t="n"/>
      <c r="G4852" s="14" t="n"/>
      <c r="H4852" s="14" t="n"/>
      <c r="I4852" s="14" t="n"/>
      <c r="J4852" s="14" t="n"/>
      <c r="K4852" s="53" t="inlineStr"/>
      <c r="L4852" s="53" t="inlineStr">
        <is>
          <t>Не определено</t>
        </is>
      </c>
      <c r="M4852" s="53" t="inlineStr"/>
      <c r="N4852" s="54" t="inlineStr"/>
      <c r="O4852" s="55" t="inlineStr"/>
      <c r="P4852" s="16" t="inlineStr">
        <is>
          <t>Требует обогащения</t>
        </is>
      </c>
      <c r="Q4852" s="16">
        <f>HYPERLINK("https://pb.nalog.ru/search.html?query=6508006236","ФНС: проверить")</f>
        <v/>
      </c>
      <c r="R4852" s="16">
        <f>HYPERLINK("https://checko.ru/search?query=3801001629","Чекко: проверить")</f>
        <v/>
      </c>
      <c r="S4852" t="n">
        <v>1</v>
      </c>
      <c r="T4852" s="35" t="inlineStr">
        <is>
          <t>4 — Не обогащён</t>
        </is>
      </c>
      <c r="U4852" s="35" t="inlineStr">
        <is>
          <t>Нет ОКВЭД/ССЧР</t>
        </is>
      </c>
      <c r="V4852" s="35" t="inlineStr">
        <is>
          <t>Не определено</t>
        </is>
      </c>
      <c r="W4852" s="35" t="inlineStr"/>
      <c r="X4852" s="35" t="inlineStr"/>
    </row>
    <row r="4853" ht="15" customHeight="1" s="24">
      <c r="A4853" s="13" t="n">
        <v>5000098262</v>
      </c>
      <c r="B4853" s="13" t="inlineStr">
        <is>
          <t>КГАУ "КСШОР"</t>
        </is>
      </c>
      <c r="C4853" s="13" t="n">
        <v>2540015862</v>
      </c>
      <c r="D4853" s="13" t="inlineStr">
        <is>
          <t>2540015862</t>
        </is>
      </c>
      <c r="E4853" s="13" t="inlineStr">
        <is>
          <t>ЮЛ РФ</t>
        </is>
      </c>
      <c r="F4853" s="13" t="n"/>
      <c r="G4853" s="14" t="n"/>
      <c r="H4853" s="14" t="n"/>
      <c r="I4853" s="14" t="n"/>
      <c r="J4853" s="14" t="n"/>
      <c r="K4853" s="53" t="inlineStr"/>
      <c r="L4853" s="53" t="inlineStr">
        <is>
          <t>Не определено</t>
        </is>
      </c>
      <c r="M4853" s="53" t="inlineStr"/>
      <c r="N4853" s="54" t="inlineStr"/>
      <c r="O4853" s="55" t="inlineStr"/>
      <c r="P4853" s="16" t="inlineStr">
        <is>
          <t>Требует обогащения</t>
        </is>
      </c>
      <c r="Q4853" s="16">
        <f>HYPERLINK("https://pb.nalog.ru/search.html?query=2540015862","ФНС: проверить")</f>
        <v/>
      </c>
      <c r="R4853" s="16">
        <f>HYPERLINK("https://checko.ru/search?query=3801001629","Чекко: проверить")</f>
        <v/>
      </c>
      <c r="S4853" t="n">
        <v>1</v>
      </c>
      <c r="T4853" s="35" t="inlineStr">
        <is>
          <t>4 — Не обогащён</t>
        </is>
      </c>
      <c r="U4853" s="35" t="inlineStr">
        <is>
          <t>Нет ОКВЭД/ССЧР</t>
        </is>
      </c>
      <c r="V4853" s="35" t="inlineStr">
        <is>
          <t>Не определено</t>
        </is>
      </c>
      <c r="W4853" s="35" t="inlineStr"/>
      <c r="X4853" s="35" t="inlineStr"/>
    </row>
    <row r="4854" ht="15" customHeight="1" s="24">
      <c r="A4854" s="13" t="n">
        <v>5000116595</v>
      </c>
      <c r="B4854" s="13" t="inlineStr">
        <is>
          <t>МКУ "Эксплуатационно-техническое управление"</t>
        </is>
      </c>
      <c r="C4854" s="13" t="n">
        <v>6506908260</v>
      </c>
      <c r="D4854" s="13" t="inlineStr">
        <is>
          <t>6506908260</t>
        </is>
      </c>
      <c r="E4854" s="13" t="inlineStr">
        <is>
          <t>ЮЛ РФ</t>
        </is>
      </c>
      <c r="F4854" s="13" t="n"/>
      <c r="G4854" s="14" t="n"/>
      <c r="H4854" s="14" t="n"/>
      <c r="I4854" s="14" t="n"/>
      <c r="J4854" s="14" t="n"/>
      <c r="K4854" s="53" t="inlineStr"/>
      <c r="L4854" s="53" t="inlineStr">
        <is>
          <t>Не определено</t>
        </is>
      </c>
      <c r="M4854" s="53" t="inlineStr"/>
      <c r="N4854" s="54" t="inlineStr"/>
      <c r="O4854" s="55" t="inlineStr"/>
      <c r="P4854" s="16" t="inlineStr">
        <is>
          <t>Требует обогащения</t>
        </is>
      </c>
      <c r="Q4854" s="16">
        <f>HYPERLINK("https://pb.nalog.ru/search.html?query=6506908260","ФНС: проверить")</f>
        <v/>
      </c>
      <c r="R4854" s="16">
        <f>HYPERLINK("https://checko.ru/search?query=3801001629","Чекко: проверить")</f>
        <v/>
      </c>
      <c r="S4854" t="n">
        <v>1</v>
      </c>
      <c r="T4854" s="35" t="inlineStr">
        <is>
          <t>4 — Не обогащён</t>
        </is>
      </c>
      <c r="U4854" s="35" t="inlineStr">
        <is>
          <t>Нет ОКВЭД/ССЧР</t>
        </is>
      </c>
      <c r="V4854" s="35" t="inlineStr">
        <is>
          <t>Не определено</t>
        </is>
      </c>
      <c r="W4854" s="35" t="inlineStr"/>
      <c r="X4854" s="35" t="inlineStr"/>
    </row>
    <row r="4855" ht="54.75" customHeight="1" s="24">
      <c r="A4855" s="13" t="n">
        <v>5000101069</v>
      </c>
      <c r="B4855" s="13" t="inlineStr">
        <is>
          <t>Муниципальное бюджетное Общеобразовательное учреждение "Бугульдейская Средняя Общеобразовательная Школа"</t>
        </is>
      </c>
      <c r="C4855" s="13" t="n">
        <v>3836002197</v>
      </c>
      <c r="D4855" s="13" t="inlineStr">
        <is>
          <t>3836002197</t>
        </is>
      </c>
      <c r="E4855" s="13" t="inlineStr">
        <is>
          <t>ЮЛ РФ</t>
        </is>
      </c>
      <c r="F4855" s="13" t="n"/>
      <c r="G4855" s="14" t="n"/>
      <c r="H4855" s="14" t="n"/>
      <c r="I4855" s="14" t="n"/>
      <c r="J4855" s="14" t="n"/>
      <c r="K4855" s="53" t="inlineStr"/>
      <c r="L4855" s="53" t="inlineStr">
        <is>
          <t>Не определено</t>
        </is>
      </c>
      <c r="M4855" s="53" t="inlineStr"/>
      <c r="N4855" s="54" t="inlineStr"/>
      <c r="O4855" s="55" t="inlineStr"/>
      <c r="P4855" s="16" t="inlineStr">
        <is>
          <t>Требует обогащения</t>
        </is>
      </c>
      <c r="Q4855" s="16">
        <f>HYPERLINK("https://pb.nalog.ru/search.html?query=3836002197","ФНС: проверить")</f>
        <v/>
      </c>
      <c r="R4855" s="16">
        <f>HYPERLINK("https://checko.ru/search?query=3801001629","Чекко: проверить")</f>
        <v/>
      </c>
      <c r="S4855" t="n">
        <v>1</v>
      </c>
      <c r="T4855" s="35" t="inlineStr">
        <is>
          <t>4 — Не обогащён</t>
        </is>
      </c>
      <c r="U4855" s="35" t="inlineStr">
        <is>
          <t>Нет ОКВЭД/ССЧР</t>
        </is>
      </c>
      <c r="V4855" s="35" t="inlineStr">
        <is>
          <t>Не определено</t>
        </is>
      </c>
      <c r="W4855" s="35" t="inlineStr"/>
      <c r="X4855" s="35" t="inlineStr"/>
    </row>
    <row r="4856" ht="27.75" customHeight="1" s="24">
      <c r="A4856" s="13" t="n">
        <v>5000098213</v>
      </c>
      <c r="B4856" s="13" t="inlineStr">
        <is>
          <t>ГКУ Приморского края по пожарной безопасности, ГОЧС</t>
        </is>
      </c>
      <c r="C4856" s="13" t="n">
        <v>2536043183</v>
      </c>
      <c r="D4856" s="13" t="inlineStr">
        <is>
          <t>2536043183</t>
        </is>
      </c>
      <c r="E4856" s="13" t="inlineStr">
        <is>
          <t>ЮЛ РФ</t>
        </is>
      </c>
      <c r="F4856" s="13" t="n"/>
      <c r="G4856" s="14" t="n"/>
      <c r="H4856" s="14" t="n"/>
      <c r="I4856" s="14" t="n"/>
      <c r="J4856" s="14" t="n"/>
      <c r="K4856" s="53" t="inlineStr"/>
      <c r="L4856" s="53" t="inlineStr">
        <is>
          <t>Не определено</t>
        </is>
      </c>
      <c r="M4856" s="53" t="inlineStr"/>
      <c r="N4856" s="54" t="inlineStr"/>
      <c r="O4856" s="55" t="inlineStr"/>
      <c r="P4856" s="16" t="inlineStr">
        <is>
          <t>Требует обогащения</t>
        </is>
      </c>
      <c r="Q4856" s="16">
        <f>HYPERLINK("https://pb.nalog.ru/search.html?query=2536043183","ФНС: проверить")</f>
        <v/>
      </c>
      <c r="R4856" s="16">
        <f>HYPERLINK("https://checko.ru/search?query=3801001629","Чекко: проверить")</f>
        <v/>
      </c>
      <c r="S4856" t="n">
        <v>1</v>
      </c>
      <c r="T4856" s="35" t="inlineStr">
        <is>
          <t>4 — Не обогащён</t>
        </is>
      </c>
      <c r="U4856" s="35" t="inlineStr">
        <is>
          <t>Нет ОКВЭД/ССЧР</t>
        </is>
      </c>
      <c r="V4856" s="35" t="inlineStr">
        <is>
          <t>Не определено</t>
        </is>
      </c>
      <c r="W4856" s="35" t="inlineStr"/>
      <c r="X4856" s="35" t="inlineStr"/>
    </row>
    <row r="4857" ht="15" customHeight="1" s="24">
      <c r="A4857" s="13" t="n">
        <v>5000098306</v>
      </c>
      <c r="B4857" s="13" t="inlineStr">
        <is>
          <t>ГУСОССЗН "ДИПИ" г. Артем</t>
        </is>
      </c>
      <c r="C4857" s="13" t="n">
        <v>2502027722</v>
      </c>
      <c r="D4857" s="13" t="inlineStr">
        <is>
          <t>2502027722</t>
        </is>
      </c>
      <c r="E4857" s="13" t="inlineStr">
        <is>
          <t>ЮЛ РФ</t>
        </is>
      </c>
      <c r="F4857" s="13" t="n"/>
      <c r="G4857" s="14" t="n"/>
      <c r="H4857" s="14" t="n"/>
      <c r="I4857" s="14" t="n"/>
      <c r="J4857" s="14" t="n"/>
      <c r="K4857" s="53" t="inlineStr"/>
      <c r="L4857" s="53" t="inlineStr">
        <is>
          <t>Не определено</t>
        </is>
      </c>
      <c r="M4857" s="53" t="inlineStr"/>
      <c r="N4857" s="54" t="inlineStr"/>
      <c r="O4857" s="55" t="inlineStr"/>
      <c r="P4857" s="16" t="inlineStr">
        <is>
          <t>Требует обогащения</t>
        </is>
      </c>
      <c r="Q4857" s="16">
        <f>HYPERLINK("https://pb.nalog.ru/search.html?query=2502027722","ФНС: проверить")</f>
        <v/>
      </c>
      <c r="R4857" s="16">
        <f>HYPERLINK("https://checko.ru/search?query=3801001629","Чекко: проверить")</f>
        <v/>
      </c>
      <c r="S4857" t="n">
        <v>1</v>
      </c>
      <c r="T4857" s="35" t="inlineStr">
        <is>
          <t>4 — Не обогащён</t>
        </is>
      </c>
      <c r="U4857" s="35" t="inlineStr">
        <is>
          <t>Нет ОКВЭД/ССЧР</t>
        </is>
      </c>
      <c r="V4857" s="35" t="inlineStr">
        <is>
          <t>Не определено</t>
        </is>
      </c>
      <c r="W4857" s="35" t="inlineStr"/>
      <c r="X4857" s="35" t="inlineStr"/>
    </row>
    <row r="4858" ht="15" customHeight="1" s="24">
      <c r="A4858" s="13" t="n">
        <v>5000089267</v>
      </c>
      <c r="B4858" s="13" t="inlineStr">
        <is>
          <t>ГОУ Первомайское КШИ</t>
        </is>
      </c>
      <c r="C4858" s="13" t="n">
        <v>2520007581</v>
      </c>
      <c r="D4858" s="13" t="inlineStr">
        <is>
          <t>2520007581</t>
        </is>
      </c>
      <c r="E4858" s="13" t="inlineStr">
        <is>
          <t>ЮЛ РФ</t>
        </is>
      </c>
      <c r="F4858" s="13" t="n"/>
      <c r="G4858" s="14" t="n"/>
      <c r="H4858" s="14" t="n"/>
      <c r="I4858" s="14" t="n"/>
      <c r="J4858" s="14" t="n"/>
      <c r="K4858" s="53" t="inlineStr"/>
      <c r="L4858" s="53" t="inlineStr">
        <is>
          <t>Не определено</t>
        </is>
      </c>
      <c r="M4858" s="53" t="inlineStr"/>
      <c r="N4858" s="54" t="inlineStr"/>
      <c r="O4858" s="55" t="inlineStr"/>
      <c r="P4858" s="16" t="inlineStr">
        <is>
          <t>Требует обогащения</t>
        </is>
      </c>
      <c r="Q4858" s="16">
        <f>HYPERLINK("https://pb.nalog.ru/search.html?query=2520007581","ФНС: проверить")</f>
        <v/>
      </c>
      <c r="R4858" s="16">
        <f>HYPERLINK("https://checko.ru/search?query=3801001629","Чекко: проверить")</f>
        <v/>
      </c>
      <c r="S4858" t="n">
        <v>1</v>
      </c>
      <c r="T4858" s="35" t="inlineStr">
        <is>
          <t>4 — Не обогащён</t>
        </is>
      </c>
      <c r="U4858" s="35" t="inlineStr">
        <is>
          <t>Нет ОКВЭД/ССЧР</t>
        </is>
      </c>
      <c r="V4858" s="35" t="inlineStr">
        <is>
          <t>Не определено</t>
        </is>
      </c>
      <c r="W4858" s="35" t="inlineStr"/>
      <c r="X4858" s="35" t="inlineStr"/>
    </row>
    <row r="4859" ht="27.75" customHeight="1" s="24">
      <c r="A4859" s="13" t="n">
        <v>5000098666</v>
      </c>
      <c r="B4859" s="13" t="inlineStr">
        <is>
          <t>ГБУ "Станция по борьбе с болезнями животных № 10"</t>
        </is>
      </c>
      <c r="C4859" s="13" t="n">
        <v>6508005465</v>
      </c>
      <c r="D4859" s="13" t="inlineStr">
        <is>
          <t>6508005465</t>
        </is>
      </c>
      <c r="E4859" s="13" t="inlineStr">
        <is>
          <t>ЮЛ РФ</t>
        </is>
      </c>
      <c r="F4859" s="13" t="n"/>
      <c r="G4859" s="14" t="n"/>
      <c r="H4859" s="14" t="n"/>
      <c r="I4859" s="14" t="n"/>
      <c r="J4859" s="14" t="n"/>
      <c r="K4859" s="53" t="inlineStr"/>
      <c r="L4859" s="53" t="inlineStr">
        <is>
          <t>Не определено</t>
        </is>
      </c>
      <c r="M4859" s="53" t="inlineStr"/>
      <c r="N4859" s="54" t="inlineStr"/>
      <c r="O4859" s="55" t="inlineStr"/>
      <c r="P4859" s="16" t="inlineStr">
        <is>
          <t>Требует обогащения</t>
        </is>
      </c>
      <c r="Q4859" s="16">
        <f>HYPERLINK("https://pb.nalog.ru/search.html?query=6508005465","ФНС: проверить")</f>
        <v/>
      </c>
      <c r="R4859" s="16">
        <f>HYPERLINK("https://checko.ru/search?query=3801001629","Чекко: проверить")</f>
        <v/>
      </c>
      <c r="S4859" t="n">
        <v>1</v>
      </c>
      <c r="T4859" s="35" t="inlineStr">
        <is>
          <t>4 — Не обогащён</t>
        </is>
      </c>
      <c r="U4859" s="35" t="inlineStr">
        <is>
          <t>Нет ОКВЭД/ССЧР</t>
        </is>
      </c>
      <c r="V4859" s="35" t="inlineStr">
        <is>
          <t>Не определено</t>
        </is>
      </c>
      <c r="W4859" s="35" t="inlineStr"/>
      <c r="X4859" s="35" t="inlineStr"/>
    </row>
    <row r="4860" ht="27.75" customHeight="1" s="24">
      <c r="A4860" s="13" t="n">
        <v>5000098628</v>
      </c>
      <c r="B4860" s="13" t="inlineStr">
        <is>
          <t>ГУЗ "Сахалинский областной кожно-венерологический диспансер"</t>
        </is>
      </c>
      <c r="C4860" s="13" t="n">
        <v>6501076940</v>
      </c>
      <c r="D4860" s="13" t="inlineStr">
        <is>
          <t>6501076940</t>
        </is>
      </c>
      <c r="E4860" s="13" t="inlineStr">
        <is>
          <t>ЮЛ РФ</t>
        </is>
      </c>
      <c r="F4860" s="13" t="n"/>
      <c r="G4860" s="14" t="n"/>
      <c r="H4860" s="14" t="n"/>
      <c r="I4860" s="14" t="n"/>
      <c r="J4860" s="14" t="n"/>
      <c r="K4860" s="53" t="inlineStr"/>
      <c r="L4860" s="53" t="inlineStr">
        <is>
          <t>Не определено</t>
        </is>
      </c>
      <c r="M4860" s="53" t="inlineStr"/>
      <c r="N4860" s="54" t="inlineStr"/>
      <c r="O4860" s="55" t="inlineStr"/>
      <c r="P4860" s="16" t="inlineStr">
        <is>
          <t>Требует обогащения</t>
        </is>
      </c>
      <c r="Q4860" s="16">
        <f>HYPERLINK("https://pb.nalog.ru/search.html?query=6501076940","ФНС: проверить")</f>
        <v/>
      </c>
      <c r="R4860" s="16">
        <f>HYPERLINK("https://checko.ru/search?query=3801001629","Чекко: проверить")</f>
        <v/>
      </c>
      <c r="S4860" t="n">
        <v>1</v>
      </c>
      <c r="T4860" s="35" t="inlineStr">
        <is>
          <t>4 — Не обогащён</t>
        </is>
      </c>
      <c r="U4860" s="35" t="inlineStr">
        <is>
          <t>Нет ОКВЭД/ССЧР</t>
        </is>
      </c>
      <c r="V4860" s="35" t="inlineStr">
        <is>
          <t>Не определено</t>
        </is>
      </c>
      <c r="W4860" s="35" t="inlineStr"/>
      <c r="X4860" s="35" t="inlineStr"/>
    </row>
    <row r="4861" ht="27.75" customHeight="1" s="24">
      <c r="A4861" s="13" t="n">
        <v>5000089292</v>
      </c>
      <c r="B4861" s="13" t="inlineStr">
        <is>
          <t>КГО КУ Для детей сирот и детей без попечения родителей "Детский дом с. Сержантово"</t>
        </is>
      </c>
      <c r="C4861" s="13" t="n">
        <v>2505008397</v>
      </c>
      <c r="D4861" s="13" t="inlineStr">
        <is>
          <t>2505008397</t>
        </is>
      </c>
      <c r="E4861" s="13" t="inlineStr">
        <is>
          <t>ЮЛ РФ</t>
        </is>
      </c>
      <c r="F4861" s="13" t="n"/>
      <c r="G4861" s="14" t="n"/>
      <c r="H4861" s="14" t="n"/>
      <c r="I4861" s="14" t="n"/>
      <c r="J4861" s="14" t="n"/>
      <c r="K4861" s="53" t="inlineStr"/>
      <c r="L4861" s="53" t="inlineStr">
        <is>
          <t>Не определено</t>
        </is>
      </c>
      <c r="M4861" s="53" t="inlineStr"/>
      <c r="N4861" s="54" t="inlineStr"/>
      <c r="O4861" s="55" t="inlineStr"/>
      <c r="P4861" s="16" t="inlineStr">
        <is>
          <t>Требует обогащения</t>
        </is>
      </c>
      <c r="Q4861" s="16">
        <f>HYPERLINK("https://pb.nalog.ru/search.html?query=2505008397","ФНС: проверить")</f>
        <v/>
      </c>
      <c r="R4861" s="16">
        <f>HYPERLINK("https://checko.ru/search?query=3801001629","Чекко: проверить")</f>
        <v/>
      </c>
      <c r="S4861" t="n">
        <v>1</v>
      </c>
      <c r="T4861" s="35" t="inlineStr">
        <is>
          <t>4 — Не обогащён</t>
        </is>
      </c>
      <c r="U4861" s="35" t="inlineStr">
        <is>
          <t>Нет ОКВЭД/ССЧР</t>
        </is>
      </c>
      <c r="V4861" s="35" t="inlineStr">
        <is>
          <t>Не определено</t>
        </is>
      </c>
      <c r="W4861" s="35" t="inlineStr"/>
      <c r="X4861" s="35" t="inlineStr"/>
    </row>
    <row r="4862" ht="15" customHeight="1" s="24">
      <c r="A4862" s="13" t="n">
        <v>5000089273</v>
      </c>
      <c r="B4862" s="13" t="inlineStr">
        <is>
          <t>КГКСКОУ Краснореченская КШИ</t>
        </is>
      </c>
      <c r="C4862" s="13" t="n">
        <v>2505005212</v>
      </c>
      <c r="D4862" s="13" t="inlineStr">
        <is>
          <t>2505005212</t>
        </is>
      </c>
      <c r="E4862" s="13" t="inlineStr">
        <is>
          <t>ЮЛ РФ</t>
        </is>
      </c>
      <c r="F4862" s="13" t="n"/>
      <c r="G4862" s="14" t="n"/>
      <c r="H4862" s="14" t="n"/>
      <c r="I4862" s="14" t="n"/>
      <c r="J4862" s="14" t="n"/>
      <c r="K4862" s="53" t="inlineStr"/>
      <c r="L4862" s="53" t="inlineStr">
        <is>
          <t>Не определено</t>
        </is>
      </c>
      <c r="M4862" s="53" t="inlineStr"/>
      <c r="N4862" s="54" t="inlineStr"/>
      <c r="O4862" s="55" t="inlineStr"/>
      <c r="P4862" s="16" t="inlineStr">
        <is>
          <t>Требует обогащения</t>
        </is>
      </c>
      <c r="Q4862" s="16">
        <f>HYPERLINK("https://pb.nalog.ru/search.html?query=2505005212","ФНС: проверить")</f>
        <v/>
      </c>
      <c r="R4862" s="16">
        <f>HYPERLINK("https://checko.ru/search?query=3801001629","Чекко: проверить")</f>
        <v/>
      </c>
      <c r="S4862" t="n">
        <v>1</v>
      </c>
      <c r="T4862" s="35" t="inlineStr">
        <is>
          <t>4 — Не обогащён</t>
        </is>
      </c>
      <c r="U4862" s="35" t="inlineStr">
        <is>
          <t>Нет ОКВЭД/ССЧР</t>
        </is>
      </c>
      <c r="V4862" s="35" t="inlineStr">
        <is>
          <t>Не определено</t>
        </is>
      </c>
      <c r="W4862" s="35" t="inlineStr"/>
      <c r="X4862" s="35" t="inlineStr"/>
    </row>
    <row r="4863" ht="15" customHeight="1" s="24">
      <c r="A4863" s="13" t="n">
        <v>5000122880</v>
      </c>
      <c r="B4863" s="13" t="inlineStr">
        <is>
          <t>МБУК "ЦДК ИМ. М.И. КАЛИНИНА"</t>
        </is>
      </c>
      <c r="C4863" s="13" t="n">
        <v>5018040525</v>
      </c>
      <c r="D4863" s="13" t="inlineStr">
        <is>
          <t>5018040525</t>
        </is>
      </c>
      <c r="E4863" s="13" t="inlineStr">
        <is>
          <t>ЮЛ РФ</t>
        </is>
      </c>
      <c r="F4863" s="13" t="n"/>
      <c r="G4863" s="14" t="n"/>
      <c r="H4863" s="14" t="n"/>
      <c r="I4863" s="14" t="n"/>
      <c r="J4863" s="14" t="n"/>
      <c r="K4863" s="53" t="inlineStr"/>
      <c r="L4863" s="53" t="inlineStr">
        <is>
          <t>Не определено</t>
        </is>
      </c>
      <c r="M4863" s="53" t="inlineStr"/>
      <c r="N4863" s="54" t="inlineStr"/>
      <c r="O4863" s="55" t="inlineStr"/>
      <c r="P4863" s="16" t="inlineStr">
        <is>
          <t>Требует обогащения</t>
        </is>
      </c>
      <c r="Q4863" s="16">
        <f>HYPERLINK("https://pb.nalog.ru/search.html?query=5018040525","ФНС: проверить")</f>
        <v/>
      </c>
      <c r="R4863" s="16">
        <f>HYPERLINK("https://checko.ru/search?query=3801001629","Чекко: проверить")</f>
        <v/>
      </c>
      <c r="S4863" t="n">
        <v>1</v>
      </c>
      <c r="T4863" s="35" t="inlineStr">
        <is>
          <t>4 — Не обогащён</t>
        </is>
      </c>
      <c r="U4863" s="35" t="inlineStr">
        <is>
          <t>Нет ОКВЭД/ССЧР</t>
        </is>
      </c>
      <c r="V4863" s="35" t="inlineStr">
        <is>
          <t>Не определено</t>
        </is>
      </c>
      <c r="W4863" s="35" t="inlineStr"/>
      <c r="X4863" s="35" t="inlineStr"/>
    </row>
    <row r="4864" ht="27.75" customHeight="1" s="24">
      <c r="A4864" s="13" t="n">
        <v>5000098673</v>
      </c>
      <c r="B4864" s="13" t="inlineStr">
        <is>
          <t>ГБУ "Станция по борьбе с болезнями животных № 1"</t>
        </is>
      </c>
      <c r="C4864" s="13" t="n">
        <v>6501027438</v>
      </c>
      <c r="D4864" s="13" t="inlineStr">
        <is>
          <t>6501027438</t>
        </is>
      </c>
      <c r="E4864" s="13" t="inlineStr">
        <is>
          <t>ЮЛ РФ</t>
        </is>
      </c>
      <c r="F4864" s="13" t="n"/>
      <c r="G4864" s="14" t="n"/>
      <c r="H4864" s="14" t="n"/>
      <c r="I4864" s="14" t="n"/>
      <c r="J4864" s="14" t="n"/>
      <c r="K4864" s="53" t="inlineStr"/>
      <c r="L4864" s="53" t="inlineStr">
        <is>
          <t>Не определено</t>
        </is>
      </c>
      <c r="M4864" s="53" t="inlineStr"/>
      <c r="N4864" s="54" t="inlineStr"/>
      <c r="O4864" s="55" t="inlineStr"/>
      <c r="P4864" s="16" t="inlineStr">
        <is>
          <t>Требует обогащения</t>
        </is>
      </c>
      <c r="Q4864" s="16">
        <f>HYPERLINK("https://pb.nalog.ru/search.html?query=6501027438","ФНС: проверить")</f>
        <v/>
      </c>
      <c r="R4864" s="16">
        <f>HYPERLINK("https://checko.ru/search?query=3801001629","Чекко: проверить")</f>
        <v/>
      </c>
      <c r="S4864" t="n">
        <v>1</v>
      </c>
      <c r="T4864" s="35" t="inlineStr">
        <is>
          <t>4 — Не обогащён</t>
        </is>
      </c>
      <c r="U4864" s="35" t="inlineStr">
        <is>
          <t>Нет ОКВЭД/ССЧР</t>
        </is>
      </c>
      <c r="V4864" s="35" t="inlineStr">
        <is>
          <t>Не определено</t>
        </is>
      </c>
      <c r="W4864" s="35" t="inlineStr"/>
      <c r="X4864" s="35" t="inlineStr"/>
    </row>
    <row r="4865" ht="15" customHeight="1" s="24">
      <c r="A4865" s="13" t="n">
        <v>5000107147</v>
      </c>
      <c r="B4865" s="13" t="inlineStr">
        <is>
          <t>ГБУК "Сахалинская областная детская библиотека"</t>
        </is>
      </c>
      <c r="C4865" s="13" t="n">
        <v>6501074808</v>
      </c>
      <c r="D4865" s="13" t="inlineStr">
        <is>
          <t>6501074808</t>
        </is>
      </c>
      <c r="E4865" s="13" t="inlineStr">
        <is>
          <t>ЮЛ РФ</t>
        </is>
      </c>
      <c r="F4865" s="13" t="n"/>
      <c r="G4865" s="14" t="n"/>
      <c r="H4865" s="14" t="n"/>
      <c r="I4865" s="14" t="n"/>
      <c r="J4865" s="14" t="n"/>
      <c r="K4865" s="53" t="inlineStr"/>
      <c r="L4865" s="53" t="inlineStr">
        <is>
          <t>Не определено</t>
        </is>
      </c>
      <c r="M4865" s="53" t="inlineStr"/>
      <c r="N4865" s="54" t="inlineStr"/>
      <c r="O4865" s="55" t="inlineStr"/>
      <c r="P4865" s="16" t="inlineStr">
        <is>
          <t>Требует обогащения</t>
        </is>
      </c>
      <c r="Q4865" s="16">
        <f>HYPERLINK("https://pb.nalog.ru/search.html?query=6501074808","ФНС: проверить")</f>
        <v/>
      </c>
      <c r="R4865" s="16">
        <f>HYPERLINK("https://checko.ru/search?query=3801001629","Чекко: проверить")</f>
        <v/>
      </c>
      <c r="S4865" t="n">
        <v>1</v>
      </c>
      <c r="T4865" s="35" t="inlineStr">
        <is>
          <t>4 — Не обогащён</t>
        </is>
      </c>
      <c r="U4865" s="35" t="inlineStr">
        <is>
          <t>Нет ОКВЭД/ССЧР</t>
        </is>
      </c>
      <c r="V4865" s="35" t="inlineStr">
        <is>
          <t>Не определено</t>
        </is>
      </c>
      <c r="W4865" s="35" t="inlineStr"/>
      <c r="X4865" s="35" t="inlineStr"/>
    </row>
    <row r="4866" ht="27.75" customHeight="1" s="24">
      <c r="A4866" s="13" t="n">
        <v>5000108125</v>
      </c>
      <c r="B4866" s="13" t="inlineStr">
        <is>
          <t>МУ Городской парк культуры и отдыха им. Ю. Гагарина</t>
        </is>
      </c>
      <c r="C4866" s="13" t="n">
        <v>6501072631</v>
      </c>
      <c r="D4866" s="13" t="inlineStr">
        <is>
          <t>6501072631</t>
        </is>
      </c>
      <c r="E4866" s="13" t="inlineStr">
        <is>
          <t>ЮЛ РФ</t>
        </is>
      </c>
      <c r="F4866" s="13" t="n"/>
      <c r="G4866" s="14" t="n"/>
      <c r="H4866" s="14" t="n"/>
      <c r="I4866" s="14" t="n"/>
      <c r="J4866" s="14" t="n"/>
      <c r="K4866" s="53" t="inlineStr"/>
      <c r="L4866" s="53" t="inlineStr">
        <is>
          <t>Не определено</t>
        </is>
      </c>
      <c r="M4866" s="53" t="inlineStr"/>
      <c r="N4866" s="54" t="inlineStr"/>
      <c r="O4866" s="55" t="inlineStr"/>
      <c r="P4866" s="16" t="inlineStr">
        <is>
          <t>Требует обогащения</t>
        </is>
      </c>
      <c r="Q4866" s="16">
        <f>HYPERLINK("https://pb.nalog.ru/search.html?query=6501072631","ФНС: проверить")</f>
        <v/>
      </c>
      <c r="R4866" s="16">
        <f>HYPERLINK("https://checko.ru/search?query=3801001629","Чекко: проверить")</f>
        <v/>
      </c>
      <c r="S4866" t="n">
        <v>1</v>
      </c>
      <c r="T4866" s="35" t="inlineStr">
        <is>
          <t>4 — Не обогащён</t>
        </is>
      </c>
      <c r="U4866" s="35" t="inlineStr">
        <is>
          <t>Нет ОКВЭД/ССЧР</t>
        </is>
      </c>
      <c r="V4866" s="35" t="inlineStr">
        <is>
          <t>Не определено</t>
        </is>
      </c>
      <c r="W4866" s="35" t="inlineStr"/>
      <c r="X4866" s="35" t="inlineStr"/>
    </row>
    <row r="4867" ht="27.75" customHeight="1" s="24">
      <c r="A4867" s="13" t="n">
        <v>5000100129</v>
      </c>
      <c r="B4867" s="13" t="inlineStr">
        <is>
          <t>ОАУ «Управление государственной экспертизы Сахалинской области»</t>
        </is>
      </c>
      <c r="C4867" s="13" t="n">
        <v>6501178116</v>
      </c>
      <c r="D4867" s="13" t="inlineStr">
        <is>
          <t>6501178116</t>
        </is>
      </c>
      <c r="E4867" s="13" t="inlineStr">
        <is>
          <t>ЮЛ РФ</t>
        </is>
      </c>
      <c r="F4867" s="13" t="n"/>
      <c r="G4867" s="14" t="n"/>
      <c r="H4867" s="14" t="n"/>
      <c r="I4867" s="14" t="n"/>
      <c r="J4867" s="14" t="n"/>
      <c r="K4867" s="53" t="inlineStr"/>
      <c r="L4867" s="53" t="inlineStr">
        <is>
          <t>Не определено</t>
        </is>
      </c>
      <c r="M4867" s="53" t="inlineStr"/>
      <c r="N4867" s="54" t="inlineStr"/>
      <c r="O4867" s="55" t="inlineStr"/>
      <c r="P4867" s="16" t="inlineStr">
        <is>
          <t>Требует обогащения</t>
        </is>
      </c>
      <c r="Q4867" s="16">
        <f>HYPERLINK("https://pb.nalog.ru/search.html?query=6501178116","ФНС: проверить")</f>
        <v/>
      </c>
      <c r="R4867" s="16">
        <f>HYPERLINK("https://checko.ru/search?query=3801001629","Чекко: проверить")</f>
        <v/>
      </c>
      <c r="S4867" t="n">
        <v>1</v>
      </c>
      <c r="T4867" s="35" t="inlineStr">
        <is>
          <t>4 — Не обогащён</t>
        </is>
      </c>
      <c r="U4867" s="35" t="inlineStr">
        <is>
          <t>Нет ОКВЭД/ССЧР</t>
        </is>
      </c>
      <c r="V4867" s="35" t="inlineStr">
        <is>
          <t>Не определено</t>
        </is>
      </c>
      <c r="W4867" s="35" t="inlineStr"/>
      <c r="X4867" s="35" t="inlineStr"/>
    </row>
    <row r="4868" ht="15" customHeight="1" s="24">
      <c r="A4868" s="13" t="n">
        <v>5000038454</v>
      </c>
      <c r="B4868" s="13" t="inlineStr">
        <is>
          <t>МИХАЙЛОВСКАЯ СЕЛЬСКАЯ АДМИНИСТРАЦИЯ</t>
        </is>
      </c>
      <c r="C4868" s="13" t="n">
        <v>6502005885</v>
      </c>
      <c r="D4868" s="13" t="inlineStr">
        <is>
          <t>6502005885</t>
        </is>
      </c>
      <c r="E4868" s="13" t="inlineStr">
        <is>
          <t>ЮЛ РФ</t>
        </is>
      </c>
      <c r="F4868" s="13" t="n"/>
      <c r="G4868" s="14" t="n"/>
      <c r="H4868" s="14" t="n"/>
      <c r="I4868" s="14" t="n"/>
      <c r="J4868" s="14" t="n"/>
      <c r="K4868" s="53" t="inlineStr"/>
      <c r="L4868" s="53" t="inlineStr">
        <is>
          <t>Не определено</t>
        </is>
      </c>
      <c r="M4868" s="53" t="inlineStr"/>
      <c r="N4868" s="54" t="inlineStr"/>
      <c r="O4868" s="55" t="inlineStr"/>
      <c r="P4868" s="16" t="inlineStr">
        <is>
          <t>Требует обогащения</t>
        </is>
      </c>
      <c r="Q4868" s="16">
        <f>HYPERLINK("https://pb.nalog.ru/search.html?query=6502005885","ФНС: проверить")</f>
        <v/>
      </c>
      <c r="R4868" s="16">
        <f>HYPERLINK("https://checko.ru/search?query=3801001629","Чекко: проверить")</f>
        <v/>
      </c>
      <c r="S4868" t="n">
        <v>1</v>
      </c>
      <c r="T4868" s="35" t="inlineStr">
        <is>
          <t>4 — Не обогащён</t>
        </is>
      </c>
      <c r="U4868" s="35" t="inlineStr">
        <is>
          <t>Нет ОКВЭД/ССЧР</t>
        </is>
      </c>
      <c r="V4868" s="35" t="inlineStr">
        <is>
          <t>Не определено</t>
        </is>
      </c>
      <c r="W4868" s="35" t="inlineStr"/>
      <c r="X4868" s="35" t="inlineStr"/>
    </row>
    <row r="4869" ht="15" customHeight="1" s="24">
      <c r="A4869" s="13" t="n">
        <v>5000038455</v>
      </c>
      <c r="B4869" s="13" t="inlineStr">
        <is>
          <t>ВИАХТИНСКАЯ СЕЛЬСКАЯ АДМИНИСТРАЦИЯ</t>
        </is>
      </c>
      <c r="C4869" s="13" t="n">
        <v>6502001552</v>
      </c>
      <c r="D4869" s="13" t="inlineStr">
        <is>
          <t>6502001552</t>
        </is>
      </c>
      <c r="E4869" s="13" t="inlineStr">
        <is>
          <t>ЮЛ РФ</t>
        </is>
      </c>
      <c r="F4869" s="13" t="n"/>
      <c r="G4869" s="14" t="n"/>
      <c r="H4869" s="14" t="n"/>
      <c r="I4869" s="14" t="n"/>
      <c r="J4869" s="14" t="n"/>
      <c r="K4869" s="53" t="inlineStr"/>
      <c r="L4869" s="53" t="inlineStr">
        <is>
          <t>Не определено</t>
        </is>
      </c>
      <c r="M4869" s="53" t="inlineStr"/>
      <c r="N4869" s="54" t="inlineStr"/>
      <c r="O4869" s="55" t="inlineStr"/>
      <c r="P4869" s="16" t="inlineStr">
        <is>
          <t>Требует обогащения</t>
        </is>
      </c>
      <c r="Q4869" s="16">
        <f>HYPERLINK("https://pb.nalog.ru/search.html?query=6502001552","ФНС: проверить")</f>
        <v/>
      </c>
      <c r="R4869" s="16">
        <f>HYPERLINK("https://checko.ru/search?query=3801001629","Чекко: проверить")</f>
        <v/>
      </c>
      <c r="S4869" t="n">
        <v>1</v>
      </c>
      <c r="T4869" s="35" t="inlineStr">
        <is>
          <t>4 — Не обогащён</t>
        </is>
      </c>
      <c r="U4869" s="35" t="inlineStr">
        <is>
          <t>Нет ОКВЭД/ССЧР</t>
        </is>
      </c>
      <c r="V4869" s="35" t="inlineStr">
        <is>
          <t>Не определено</t>
        </is>
      </c>
      <c r="W4869" s="35" t="inlineStr"/>
      <c r="X4869" s="35" t="inlineStr"/>
    </row>
    <row r="4870" ht="15" customHeight="1" s="24">
      <c r="A4870" s="13" t="n">
        <v>5000038456</v>
      </c>
      <c r="B4870" s="13" t="inlineStr">
        <is>
          <t>ХОЭНСКАЯ СЕЛЬСКАЯ АДМИНИСТРАЦИЯ</t>
        </is>
      </c>
      <c r="C4870" s="13" t="n">
        <v>6502002429</v>
      </c>
      <c r="D4870" s="13" t="inlineStr">
        <is>
          <t>6502002429</t>
        </is>
      </c>
      <c r="E4870" s="13" t="inlineStr">
        <is>
          <t>ЮЛ РФ</t>
        </is>
      </c>
      <c r="F4870" s="13" t="n"/>
      <c r="G4870" s="14" t="n"/>
      <c r="H4870" s="14" t="n"/>
      <c r="I4870" s="14" t="n"/>
      <c r="J4870" s="14" t="n"/>
      <c r="K4870" s="53" t="inlineStr"/>
      <c r="L4870" s="53" t="inlineStr">
        <is>
          <t>Не определено</t>
        </is>
      </c>
      <c r="M4870" s="53" t="inlineStr"/>
      <c r="N4870" s="54" t="inlineStr"/>
      <c r="O4870" s="55" t="inlineStr"/>
      <c r="P4870" s="16" t="inlineStr">
        <is>
          <t>Требует обогащения</t>
        </is>
      </c>
      <c r="Q4870" s="16">
        <f>HYPERLINK("https://pb.nalog.ru/search.html?query=6502002429","ФНС: проверить")</f>
        <v/>
      </c>
      <c r="R4870" s="16">
        <f>HYPERLINK("https://checko.ru/search?query=3801001629","Чекко: проверить")</f>
        <v/>
      </c>
      <c r="S4870" t="n">
        <v>1</v>
      </c>
      <c r="T4870" s="35" t="inlineStr">
        <is>
          <t>4 — Не обогащён</t>
        </is>
      </c>
      <c r="U4870" s="35" t="inlineStr">
        <is>
          <t>Нет ОКВЭД/ССЧР</t>
        </is>
      </c>
      <c r="V4870" s="35" t="inlineStr">
        <is>
          <t>Не определено</t>
        </is>
      </c>
      <c r="W4870" s="35" t="inlineStr"/>
      <c r="X4870" s="35" t="inlineStr"/>
    </row>
    <row r="4871" ht="41.25" customHeight="1" s="24">
      <c r="A4871" s="13" t="n">
        <v>5000119277</v>
      </c>
      <c r="B4871" s="13" t="inlineStr">
        <is>
          <t>УПОЛНОМОЧЕННЫЙ ПО ЗАЩИТЕ ПРАВ ПРЕДПРИНИМАТЕЛЕЙ В САХАЛИНСКОЙ ОБЛАСТИ И ЕГО АППАРАТ</t>
        </is>
      </c>
      <c r="C4871" s="13" t="n">
        <v>6501262576</v>
      </c>
      <c r="D4871" s="13" t="inlineStr">
        <is>
          <t>6501262576</t>
        </is>
      </c>
      <c r="E4871" s="13" t="inlineStr">
        <is>
          <t>ЮЛ РФ</t>
        </is>
      </c>
      <c r="F4871" s="13" t="n"/>
      <c r="G4871" s="14" t="n"/>
      <c r="H4871" s="14" t="n"/>
      <c r="I4871" s="14" t="n"/>
      <c r="J4871" s="14" t="n"/>
      <c r="K4871" s="53" t="inlineStr"/>
      <c r="L4871" s="53" t="inlineStr">
        <is>
          <t>Не определено</t>
        </is>
      </c>
      <c r="M4871" s="53" t="inlineStr"/>
      <c r="N4871" s="54" t="inlineStr"/>
      <c r="O4871" s="55" t="inlineStr"/>
      <c r="P4871" s="16" t="inlineStr">
        <is>
          <t>Требует обогащения</t>
        </is>
      </c>
      <c r="Q4871" s="16">
        <f>HYPERLINK("https://pb.nalog.ru/search.html?query=6501262576","ФНС: проверить")</f>
        <v/>
      </c>
      <c r="R4871" s="16">
        <f>HYPERLINK("https://checko.ru/search?query=3801001629","Чекко: проверить")</f>
        <v/>
      </c>
      <c r="S4871" t="n">
        <v>1</v>
      </c>
      <c r="T4871" s="35" t="inlineStr">
        <is>
          <t>4 — Не обогащён</t>
        </is>
      </c>
      <c r="U4871" s="35" t="inlineStr">
        <is>
          <t>Нет ОКВЭД/ССЧР</t>
        </is>
      </c>
      <c r="V4871" s="35" t="inlineStr">
        <is>
          <t>Не определено</t>
        </is>
      </c>
      <c r="W4871" s="35" t="inlineStr"/>
      <c r="X4871" s="35" t="inlineStr"/>
    </row>
    <row r="4872" ht="27.75" customHeight="1" s="24">
      <c r="A4872" s="13" t="n">
        <v>5000108127</v>
      </c>
      <c r="B4872" s="13" t="inlineStr">
        <is>
          <t>МДОУ детский сад комбинированного вида №9 "Чебурашка"</t>
        </is>
      </c>
      <c r="C4872" s="13" t="n">
        <v>6510003377</v>
      </c>
      <c r="D4872" s="13" t="inlineStr">
        <is>
          <t>6510003377</t>
        </is>
      </c>
      <c r="E4872" s="13" t="inlineStr">
        <is>
          <t>ЮЛ РФ</t>
        </is>
      </c>
      <c r="F4872" s="13" t="n"/>
      <c r="G4872" s="14" t="n"/>
      <c r="H4872" s="14" t="n"/>
      <c r="I4872" s="14" t="n"/>
      <c r="J4872" s="14" t="n"/>
      <c r="K4872" s="53" t="inlineStr"/>
      <c r="L4872" s="53" t="inlineStr">
        <is>
          <t>Не определено</t>
        </is>
      </c>
      <c r="M4872" s="53" t="inlineStr"/>
      <c r="N4872" s="54" t="inlineStr"/>
      <c r="O4872" s="55" t="inlineStr"/>
      <c r="P4872" s="16" t="inlineStr">
        <is>
          <t>Требует обогащения</t>
        </is>
      </c>
      <c r="Q4872" s="16">
        <f>HYPERLINK("https://pb.nalog.ru/search.html?query=6510003377","ФНС: проверить")</f>
        <v/>
      </c>
      <c r="R4872" s="16">
        <f>HYPERLINK("https://checko.ru/search?query=3801001629","Чекко: проверить")</f>
        <v/>
      </c>
      <c r="S4872" t="n">
        <v>1</v>
      </c>
      <c r="T4872" s="35" t="inlineStr">
        <is>
          <t>4 — Не обогащён</t>
        </is>
      </c>
      <c r="U4872" s="35" t="inlineStr">
        <is>
          <t>Нет ОКВЭД/ССЧР</t>
        </is>
      </c>
      <c r="V4872" s="35" t="inlineStr">
        <is>
          <t>Не определено</t>
        </is>
      </c>
      <c r="W4872" s="35" t="inlineStr"/>
      <c r="X4872" s="35" t="inlineStr"/>
    </row>
    <row r="4873" ht="15" customHeight="1" s="24">
      <c r="A4873" s="13" t="n">
        <v>5000038457</v>
      </c>
      <c r="B4873" s="13" t="inlineStr">
        <is>
          <t>МГАЧИНСКАЯ СЕЛЬСКАЯ АДМИНИСТРАЦИЯ</t>
        </is>
      </c>
      <c r="C4873" s="13" t="n">
        <v>6502002362</v>
      </c>
      <c r="D4873" s="13" t="inlineStr">
        <is>
          <t>6502002362</t>
        </is>
      </c>
      <c r="E4873" s="13" t="inlineStr">
        <is>
          <t>ЮЛ РФ</t>
        </is>
      </c>
      <c r="F4873" s="13" t="n"/>
      <c r="G4873" s="14" t="n"/>
      <c r="H4873" s="14" t="n"/>
      <c r="I4873" s="14" t="n"/>
      <c r="J4873" s="14" t="n"/>
      <c r="K4873" s="53" t="inlineStr"/>
      <c r="L4873" s="53" t="inlineStr">
        <is>
          <t>Не определено</t>
        </is>
      </c>
      <c r="M4873" s="53" t="inlineStr"/>
      <c r="N4873" s="54" t="inlineStr"/>
      <c r="O4873" s="55" t="inlineStr"/>
      <c r="P4873" s="16" t="inlineStr">
        <is>
          <t>Требует обогащения</t>
        </is>
      </c>
      <c r="Q4873" s="16">
        <f>HYPERLINK("https://pb.nalog.ru/search.html?query=6502002362","ФНС: проверить")</f>
        <v/>
      </c>
      <c r="R4873" s="16">
        <f>HYPERLINK("https://checko.ru/search?query=3801001629","Чекко: проверить")</f>
        <v/>
      </c>
      <c r="S4873" t="n">
        <v>1</v>
      </c>
      <c r="T4873" s="35" t="inlineStr">
        <is>
          <t>4 — Не обогащён</t>
        </is>
      </c>
      <c r="U4873" s="35" t="inlineStr">
        <is>
          <t>Нет ОКВЭД/ССЧР</t>
        </is>
      </c>
      <c r="V4873" s="35" t="inlineStr">
        <is>
          <t>Не определено</t>
        </is>
      </c>
      <c r="W4873" s="35" t="inlineStr"/>
      <c r="X4873" s="35" t="inlineStr"/>
    </row>
    <row r="4874" ht="15" customHeight="1" s="24">
      <c r="A4874" s="13" t="n">
        <v>5000038458</v>
      </c>
      <c r="B4874" s="13" t="inlineStr">
        <is>
          <t>АРКОВСКАЯ СЕЛЬСКАЯ АДМИНИСТРАЦИЯ</t>
        </is>
      </c>
      <c r="C4874" s="13" t="n">
        <v>6502001584</v>
      </c>
      <c r="D4874" s="13" t="inlineStr">
        <is>
          <t>6502001584</t>
        </is>
      </c>
      <c r="E4874" s="13" t="inlineStr">
        <is>
          <t>ЮЛ РФ</t>
        </is>
      </c>
      <c r="F4874" s="13" t="n"/>
      <c r="G4874" s="14" t="n"/>
      <c r="H4874" s="14" t="n"/>
      <c r="I4874" s="14" t="n"/>
      <c r="J4874" s="14" t="n"/>
      <c r="K4874" s="53" t="inlineStr"/>
      <c r="L4874" s="53" t="inlineStr">
        <is>
          <t>Не определено</t>
        </is>
      </c>
      <c r="M4874" s="53" t="inlineStr"/>
      <c r="N4874" s="54" t="inlineStr"/>
      <c r="O4874" s="55" t="inlineStr"/>
      <c r="P4874" s="16" t="inlineStr">
        <is>
          <t>Требует обогащения</t>
        </is>
      </c>
      <c r="Q4874" s="16">
        <f>HYPERLINK("https://pb.nalog.ru/search.html?query=6502001584","ФНС: проверить")</f>
        <v/>
      </c>
      <c r="R4874" s="16">
        <f>HYPERLINK("https://checko.ru/search?query=3801001629","Чекко: проверить")</f>
        <v/>
      </c>
      <c r="S4874" t="n">
        <v>1</v>
      </c>
      <c r="T4874" s="35" t="inlineStr">
        <is>
          <t>4 — Не обогащён</t>
        </is>
      </c>
      <c r="U4874" s="35" t="inlineStr">
        <is>
          <t>Нет ОКВЭД/ССЧР</t>
        </is>
      </c>
      <c r="V4874" s="35" t="inlineStr">
        <is>
          <t>Не определено</t>
        </is>
      </c>
      <c r="W4874" s="35" t="inlineStr"/>
      <c r="X4874" s="35" t="inlineStr"/>
    </row>
    <row r="4875" ht="27.75" customHeight="1" s="24">
      <c r="A4875" s="13" t="n">
        <v>5000089252</v>
      </c>
      <c r="B4875" s="13" t="inlineStr">
        <is>
          <t>КГКУ "ЦЕНТР СОДЕЙСТВИЯ СЕМЕЙНОМУ УСТРОЙСТВУ Г.БОЛЬШОГО КАМНЯ"</t>
        </is>
      </c>
      <c r="C4875" s="13" t="n">
        <v>2503020568</v>
      </c>
      <c r="D4875" s="13" t="inlineStr">
        <is>
          <t>2503020568</t>
        </is>
      </c>
      <c r="E4875" s="13" t="inlineStr">
        <is>
          <t>ЮЛ РФ</t>
        </is>
      </c>
      <c r="F4875" s="13" t="n"/>
      <c r="G4875" s="14" t="n"/>
      <c r="H4875" s="14" t="n"/>
      <c r="I4875" s="14" t="n"/>
      <c r="J4875" s="14" t="n"/>
      <c r="K4875" s="53" t="inlineStr"/>
      <c r="L4875" s="53" t="inlineStr">
        <is>
          <t>Не определено</t>
        </is>
      </c>
      <c r="M4875" s="53" t="inlineStr"/>
      <c r="N4875" s="54" t="inlineStr"/>
      <c r="O4875" s="55" t="inlineStr"/>
      <c r="P4875" s="16" t="inlineStr">
        <is>
          <t>Требует обогащения</t>
        </is>
      </c>
      <c r="Q4875" s="16">
        <f>HYPERLINK("https://pb.nalog.ru/search.html?query=2503020568","ФНС: проверить")</f>
        <v/>
      </c>
      <c r="R4875" s="16">
        <f>HYPERLINK("https://checko.ru/search?query=3801001629","Чекко: проверить")</f>
        <v/>
      </c>
      <c r="S4875" t="n">
        <v>1</v>
      </c>
      <c r="T4875" s="35" t="inlineStr">
        <is>
          <t>4 — Не обогащён</t>
        </is>
      </c>
      <c r="U4875" s="35" t="inlineStr">
        <is>
          <t>Нет ОКВЭД/ССЧР</t>
        </is>
      </c>
      <c r="V4875" s="35" t="inlineStr">
        <is>
          <t>Не определено</t>
        </is>
      </c>
      <c r="W4875" s="35" t="inlineStr"/>
      <c r="X4875" s="35" t="inlineStr"/>
    </row>
    <row r="4876" ht="27.75" customHeight="1" s="24">
      <c r="A4876" s="13" t="n">
        <v>5000085007</v>
      </c>
      <c r="B4876" s="13" t="inlineStr">
        <is>
          <t>ОбКУ "Южно-Сахалинский центр занятости населения"</t>
        </is>
      </c>
      <c r="C4876" s="13" t="n">
        <v>6501109521</v>
      </c>
      <c r="D4876" s="13" t="inlineStr">
        <is>
          <t>6501109521</t>
        </is>
      </c>
      <c r="E4876" s="13" t="inlineStr">
        <is>
          <t>ЮЛ РФ</t>
        </is>
      </c>
      <c r="F4876" s="13" t="n"/>
      <c r="G4876" s="14" t="n"/>
      <c r="H4876" s="14" t="n"/>
      <c r="I4876" s="14" t="n"/>
      <c r="J4876" s="14" t="n"/>
      <c r="K4876" s="53" t="inlineStr"/>
      <c r="L4876" s="53" t="inlineStr">
        <is>
          <t>Не определено</t>
        </is>
      </c>
      <c r="M4876" s="53" t="inlineStr"/>
      <c r="N4876" s="54" t="inlineStr"/>
      <c r="O4876" s="55" t="inlineStr"/>
      <c r="P4876" s="16" t="inlineStr">
        <is>
          <t>Требует обогащения</t>
        </is>
      </c>
      <c r="Q4876" s="16">
        <f>HYPERLINK("https://pb.nalog.ru/search.html?query=6501109521","ФНС: проверить")</f>
        <v/>
      </c>
      <c r="R4876" s="16">
        <f>HYPERLINK("https://checko.ru/search?query=3801001629","Чекко: проверить")</f>
        <v/>
      </c>
      <c r="S4876" t="n">
        <v>1</v>
      </c>
      <c r="T4876" s="35" t="inlineStr">
        <is>
          <t>4 — Не обогащён</t>
        </is>
      </c>
      <c r="U4876" s="35" t="inlineStr">
        <is>
          <t>Нет ОКВЭД/ССЧР</t>
        </is>
      </c>
      <c r="V4876" s="35" t="inlineStr">
        <is>
          <t>Не определено</t>
        </is>
      </c>
      <c r="W4876" s="35" t="inlineStr"/>
      <c r="X4876" s="35" t="inlineStr"/>
    </row>
    <row r="4877" ht="15" customHeight="1" s="24">
      <c r="A4877" s="13" t="n">
        <v>5000036844</v>
      </c>
      <c r="B4877" s="13" t="inlineStr">
        <is>
          <t>Администрация МО ГО "Смирныховский"</t>
        </is>
      </c>
      <c r="C4877" s="13" t="n">
        <v>6514000218</v>
      </c>
      <c r="D4877" s="13" t="inlineStr">
        <is>
          <t>6514000218</t>
        </is>
      </c>
      <c r="E4877" s="13" t="inlineStr">
        <is>
          <t>ЮЛ РФ</t>
        </is>
      </c>
      <c r="F4877" s="13" t="n"/>
      <c r="G4877" s="14" t="n"/>
      <c r="H4877" s="14" t="n"/>
      <c r="I4877" s="14" t="n"/>
      <c r="J4877" s="14" t="n"/>
      <c r="K4877" s="53" t="inlineStr"/>
      <c r="L4877" s="53" t="inlineStr">
        <is>
          <t>Не определено</t>
        </is>
      </c>
      <c r="M4877" s="53" t="inlineStr"/>
      <c r="N4877" s="54" t="inlineStr"/>
      <c r="O4877" s="55" t="inlineStr"/>
      <c r="P4877" s="16" t="inlineStr">
        <is>
          <t>Требует обогащения</t>
        </is>
      </c>
      <c r="Q4877" s="16">
        <f>HYPERLINK("https://pb.nalog.ru/search.html?query=6514000218","ФНС: проверить")</f>
        <v/>
      </c>
      <c r="R4877" s="16">
        <f>HYPERLINK("https://checko.ru/search?query=3801001629","Чекко: проверить")</f>
        <v/>
      </c>
      <c r="S4877" t="n">
        <v>1</v>
      </c>
      <c r="T4877" s="35" t="inlineStr">
        <is>
          <t>4 — Не обогащён</t>
        </is>
      </c>
      <c r="U4877" s="35" t="inlineStr">
        <is>
          <t>Нет ОКВЭД/ССЧР</t>
        </is>
      </c>
      <c r="V4877" s="35" t="inlineStr">
        <is>
          <t>Не определено</t>
        </is>
      </c>
      <c r="W4877" s="35" t="inlineStr"/>
      <c r="X4877" s="35" t="inlineStr"/>
    </row>
    <row r="4878" ht="15" customHeight="1" s="24">
      <c r="A4878" s="13" t="n">
        <v>5000036844</v>
      </c>
      <c r="B4878" s="13" t="inlineStr">
        <is>
          <t>Администрация МО ГО "Смирныховский"</t>
        </is>
      </c>
      <c r="C4878" s="13" t="n">
        <v>6514000218</v>
      </c>
      <c r="D4878" s="13" t="inlineStr">
        <is>
          <t>6514000218</t>
        </is>
      </c>
      <c r="E4878" s="13" t="inlineStr">
        <is>
          <t>ЮЛ РФ</t>
        </is>
      </c>
      <c r="F4878" s="13" t="n"/>
      <c r="G4878" s="14" t="n"/>
      <c r="H4878" s="14" t="n"/>
      <c r="I4878" s="14" t="n"/>
      <c r="J4878" s="14" t="n"/>
      <c r="K4878" s="53" t="inlineStr"/>
      <c r="L4878" s="53" t="inlineStr">
        <is>
          <t>Не определено</t>
        </is>
      </c>
      <c r="M4878" s="53" t="inlineStr"/>
      <c r="N4878" s="54" t="inlineStr"/>
      <c r="O4878" s="55" t="inlineStr"/>
      <c r="P4878" s="16" t="inlineStr">
        <is>
          <t>Требует обогащения</t>
        </is>
      </c>
      <c r="Q4878" s="16">
        <f>HYPERLINK("https://pb.nalog.ru/search.html?query=6514000218","ФНС: проверить")</f>
        <v/>
      </c>
      <c r="R4878" s="16">
        <f>HYPERLINK("https://checko.ru/search?query=3801001629","Чекко: проверить")</f>
        <v/>
      </c>
      <c r="S4878" t="n">
        <v>0</v>
      </c>
      <c r="T4878" s="35" t="inlineStr">
        <is>
          <t>4 — Не обогащён</t>
        </is>
      </c>
      <c r="U4878" s="35" t="inlineStr">
        <is>
          <t>Нет ОКВЭД/ССЧР</t>
        </is>
      </c>
      <c r="V4878" s="35" t="inlineStr">
        <is>
          <t>Не определено</t>
        </is>
      </c>
      <c r="W4878" s="35" t="inlineStr"/>
      <c r="X4878" s="35" t="inlineStr"/>
    </row>
    <row r="4879" ht="15" customHeight="1" s="24">
      <c r="A4879" s="13" t="n">
        <v>5000098300</v>
      </c>
      <c r="B4879" s="13" t="inlineStr">
        <is>
          <t>КГО БУ НПО "Профессиональный лицей №19"</t>
        </is>
      </c>
      <c r="C4879" s="13" t="n">
        <v>2502002118</v>
      </c>
      <c r="D4879" s="13" t="inlineStr">
        <is>
          <t>2502002118</t>
        </is>
      </c>
      <c r="E4879" s="13" t="inlineStr">
        <is>
          <t>ЮЛ РФ</t>
        </is>
      </c>
      <c r="F4879" s="13" t="n"/>
      <c r="G4879" s="14" t="n"/>
      <c r="H4879" s="14" t="n"/>
      <c r="I4879" s="14" t="n"/>
      <c r="J4879" s="14" t="n"/>
      <c r="K4879" s="53" t="inlineStr"/>
      <c r="L4879" s="53" t="inlineStr">
        <is>
          <t>Не определено</t>
        </is>
      </c>
      <c r="M4879" s="53" t="inlineStr"/>
      <c r="N4879" s="54" t="inlineStr"/>
      <c r="O4879" s="55" t="inlineStr"/>
      <c r="P4879" s="16" t="inlineStr">
        <is>
          <t>Требует обогащения</t>
        </is>
      </c>
      <c r="Q4879" s="16">
        <f>HYPERLINK("https://pb.nalog.ru/search.html?query=2502002118","ФНС: проверить")</f>
        <v/>
      </c>
      <c r="R4879" s="16">
        <f>HYPERLINK("https://checko.ru/search?query=3801001629","Чекко: проверить")</f>
        <v/>
      </c>
      <c r="S4879" t="n">
        <v>1</v>
      </c>
      <c r="T4879" s="35" t="inlineStr">
        <is>
          <t>4 — Не обогащён</t>
        </is>
      </c>
      <c r="U4879" s="35" t="inlineStr">
        <is>
          <t>Нет ОКВЭД/ССЧР</t>
        </is>
      </c>
      <c r="V4879" s="35" t="inlineStr">
        <is>
          <t>Не определено</t>
        </is>
      </c>
      <c r="W4879" s="35" t="inlineStr"/>
      <c r="X4879" s="35" t="inlineStr"/>
    </row>
    <row r="4880" ht="27.75" customHeight="1" s="24">
      <c r="A4880" s="13" t="n">
        <v>5000107139</v>
      </c>
      <c r="B4880" s="13" t="inlineStr">
        <is>
          <t>ГБУК "Литературно-художественный музей книги А.П. Чехова "Остров Сахалин"</t>
        </is>
      </c>
      <c r="C4880" s="13" t="n">
        <v>6501106390</v>
      </c>
      <c r="D4880" s="13" t="inlineStr">
        <is>
          <t>6501106390</t>
        </is>
      </c>
      <c r="E4880" s="13" t="inlineStr">
        <is>
          <t>ЮЛ РФ</t>
        </is>
      </c>
      <c r="F4880" s="13" t="n"/>
      <c r="G4880" s="14" t="n"/>
      <c r="H4880" s="14" t="n"/>
      <c r="I4880" s="14" t="n"/>
      <c r="J4880" s="14" t="n"/>
      <c r="K4880" s="53" t="inlineStr"/>
      <c r="L4880" s="53" t="inlineStr">
        <is>
          <t>Не определено</t>
        </is>
      </c>
      <c r="M4880" s="53" t="inlineStr"/>
      <c r="N4880" s="54" t="inlineStr"/>
      <c r="O4880" s="55" t="inlineStr"/>
      <c r="P4880" s="16" t="inlineStr">
        <is>
          <t>Требует обогащения</t>
        </is>
      </c>
      <c r="Q4880" s="16">
        <f>HYPERLINK("https://pb.nalog.ru/search.html?query=6501106390","ФНС: проверить")</f>
        <v/>
      </c>
      <c r="R4880" s="16">
        <f>HYPERLINK("https://checko.ru/search?query=3801001629","Чекко: проверить")</f>
        <v/>
      </c>
      <c r="S4880" t="n">
        <v>1</v>
      </c>
      <c r="T4880" s="35" t="inlineStr">
        <is>
          <t>4 — Не обогащён</t>
        </is>
      </c>
      <c r="U4880" s="35" t="inlineStr">
        <is>
          <t>Нет ОКВЭД/ССЧР</t>
        </is>
      </c>
      <c r="V4880" s="35" t="inlineStr">
        <is>
          <t>Не определено</t>
        </is>
      </c>
      <c r="W4880" s="35" t="inlineStr"/>
      <c r="X4880" s="35" t="inlineStr"/>
    </row>
    <row r="4881" ht="15" customHeight="1" s="24">
      <c r="A4881" s="13" t="n">
        <v>5000098657</v>
      </c>
      <c r="B4881" s="13" t="inlineStr">
        <is>
          <t>ГБУЗ «Смирныховская ЦРБ»</t>
        </is>
      </c>
      <c r="C4881" s="13" t="n">
        <v>6514000088</v>
      </c>
      <c r="D4881" s="13" t="inlineStr">
        <is>
          <t>6514000088</t>
        </is>
      </c>
      <c r="E4881" s="13" t="inlineStr">
        <is>
          <t>ЮЛ РФ</t>
        </is>
      </c>
      <c r="F4881" s="13" t="n"/>
      <c r="G4881" s="14" t="n"/>
      <c r="H4881" s="14" t="n"/>
      <c r="I4881" s="14" t="n"/>
      <c r="J4881" s="14" t="n"/>
      <c r="K4881" s="53" t="inlineStr"/>
      <c r="L4881" s="53" t="inlineStr">
        <is>
          <t>Не определено</t>
        </is>
      </c>
      <c r="M4881" s="53" t="inlineStr"/>
      <c r="N4881" s="54" t="inlineStr"/>
      <c r="O4881" s="55" t="inlineStr"/>
      <c r="P4881" s="16" t="inlineStr">
        <is>
          <t>Требует обогащения</t>
        </is>
      </c>
      <c r="Q4881" s="16">
        <f>HYPERLINK("https://pb.nalog.ru/search.html?query=6514000088","ФНС: проверить")</f>
        <v/>
      </c>
      <c r="R4881" s="16">
        <f>HYPERLINK("https://checko.ru/search?query=3801001629","Чекко: проверить")</f>
        <v/>
      </c>
      <c r="S4881" t="n">
        <v>1</v>
      </c>
      <c r="T4881" s="35" t="inlineStr">
        <is>
          <t>4 — Не обогащён</t>
        </is>
      </c>
      <c r="U4881" s="35" t="inlineStr">
        <is>
          <t>Нет ОКВЭД/ССЧР</t>
        </is>
      </c>
      <c r="V4881" s="35" t="inlineStr">
        <is>
          <t>Не определено</t>
        </is>
      </c>
      <c r="W4881" s="35" t="inlineStr"/>
      <c r="X4881" s="35" t="inlineStr"/>
    </row>
    <row r="4882" ht="15" customHeight="1" s="24">
      <c r="A4882" s="13" t="n">
        <v>5000098317</v>
      </c>
      <c r="B4882" s="13" t="inlineStr">
        <is>
          <t>КГБУЗ Лесозаводская ЦГБ</t>
        </is>
      </c>
      <c r="C4882" s="13" t="n">
        <v>2507001196</v>
      </c>
      <c r="D4882" s="13" t="inlineStr">
        <is>
          <t>2507001196</t>
        </is>
      </c>
      <c r="E4882" s="13" t="inlineStr">
        <is>
          <t>ЮЛ РФ</t>
        </is>
      </c>
      <c r="F4882" s="13" t="n"/>
      <c r="G4882" s="14" t="n"/>
      <c r="H4882" s="14" t="n"/>
      <c r="I4882" s="14" t="n"/>
      <c r="J4882" s="14" t="n"/>
      <c r="K4882" s="53" t="inlineStr"/>
      <c r="L4882" s="53" t="inlineStr">
        <is>
          <t>Не определено</t>
        </is>
      </c>
      <c r="M4882" s="53" t="inlineStr"/>
      <c r="N4882" s="54" t="inlineStr"/>
      <c r="O4882" s="55" t="inlineStr"/>
      <c r="P4882" s="16" t="inlineStr">
        <is>
          <t>Требует обогащения</t>
        </is>
      </c>
      <c r="Q4882" s="16">
        <f>HYPERLINK("https://pb.nalog.ru/search.html?query=2507001196","ФНС: проверить")</f>
        <v/>
      </c>
      <c r="R4882" s="16">
        <f>HYPERLINK("https://checko.ru/search?query=3801001629","Чекко: проверить")</f>
        <v/>
      </c>
      <c r="S4882" t="n">
        <v>1</v>
      </c>
      <c r="T4882" s="35" t="inlineStr">
        <is>
          <t>4 — Не обогащён</t>
        </is>
      </c>
      <c r="U4882" s="35" t="inlineStr">
        <is>
          <t>Нет ОКВЭД/ССЧР</t>
        </is>
      </c>
      <c r="V4882" s="35" t="inlineStr">
        <is>
          <t>Не определено</t>
        </is>
      </c>
      <c r="W4882" s="35" t="inlineStr"/>
      <c r="X4882" s="35" t="inlineStr"/>
    </row>
    <row r="4883" ht="27.75" customHeight="1" s="24">
      <c r="A4883" s="13" t="n">
        <v>5000024470</v>
      </c>
      <c r="B4883" s="13" t="inlineStr">
        <is>
          <t>Администрация МО "Макаровский городской округ" Сахалинской области</t>
        </is>
      </c>
      <c r="C4883" s="13" t="n">
        <v>6512000830</v>
      </c>
      <c r="D4883" s="13" t="inlineStr">
        <is>
          <t>6512000830</t>
        </is>
      </c>
      <c r="E4883" s="13" t="inlineStr">
        <is>
          <t>ЮЛ РФ</t>
        </is>
      </c>
      <c r="F4883" s="13" t="n"/>
      <c r="G4883" s="14" t="n"/>
      <c r="H4883" s="14" t="n"/>
      <c r="I4883" s="14" t="n"/>
      <c r="J4883" s="14" t="n"/>
      <c r="K4883" s="53" t="inlineStr"/>
      <c r="L4883" s="53" t="inlineStr">
        <is>
          <t>Не определено</t>
        </is>
      </c>
      <c r="M4883" s="53" t="inlineStr"/>
      <c r="N4883" s="54" t="inlineStr"/>
      <c r="O4883" s="55" t="inlineStr"/>
      <c r="P4883" s="16" t="inlineStr">
        <is>
          <t>Требует обогащения</t>
        </is>
      </c>
      <c r="Q4883" s="16">
        <f>HYPERLINK("https://pb.nalog.ru/search.html?query=6512000830","ФНС: проверить")</f>
        <v/>
      </c>
      <c r="R4883" s="16">
        <f>HYPERLINK("https://checko.ru/search?query=3801001629","Чекко: проверить")</f>
        <v/>
      </c>
      <c r="S4883" t="n">
        <v>1</v>
      </c>
      <c r="T4883" s="35" t="inlineStr">
        <is>
          <t>4 — Не обогащён</t>
        </is>
      </c>
      <c r="U4883" s="35" t="inlineStr">
        <is>
          <t>Нет ОКВЭД/ССЧР</t>
        </is>
      </c>
      <c r="V4883" s="35" t="inlineStr">
        <is>
          <t>Не определено</t>
        </is>
      </c>
      <c r="W4883" s="35" t="inlineStr"/>
      <c r="X4883" s="35" t="inlineStr"/>
    </row>
    <row r="4884" ht="27.75" customHeight="1" s="24">
      <c r="A4884" s="13" t="n">
        <v>5000024470</v>
      </c>
      <c r="B4884" s="13" t="inlineStr">
        <is>
          <t>Администрация МО "Макаровский городской округ" Сахалинской области</t>
        </is>
      </c>
      <c r="C4884" s="13" t="n">
        <v>6512000830</v>
      </c>
      <c r="D4884" s="13" t="inlineStr">
        <is>
          <t>6512000830</t>
        </is>
      </c>
      <c r="E4884" s="13" t="inlineStr">
        <is>
          <t>ЮЛ РФ</t>
        </is>
      </c>
      <c r="F4884" s="13" t="n"/>
      <c r="G4884" s="14" t="n"/>
      <c r="H4884" s="14" t="n"/>
      <c r="I4884" s="14" t="n"/>
      <c r="J4884" s="14" t="n"/>
      <c r="K4884" s="53" t="inlineStr"/>
      <c r="L4884" s="53" t="inlineStr">
        <is>
          <t>Не определено</t>
        </is>
      </c>
      <c r="M4884" s="53" t="inlineStr"/>
      <c r="N4884" s="54" t="inlineStr"/>
      <c r="O4884" s="55" t="inlineStr"/>
      <c r="P4884" s="16" t="inlineStr">
        <is>
          <t>Требует обогащения</t>
        </is>
      </c>
      <c r="Q4884" s="16">
        <f>HYPERLINK("https://pb.nalog.ru/search.html?query=6512000830","ФНС: проверить")</f>
        <v/>
      </c>
      <c r="R4884" s="16">
        <f>HYPERLINK("https://checko.ru/search?query=3801001629","Чекко: проверить")</f>
        <v/>
      </c>
      <c r="S4884" t="n">
        <v>0</v>
      </c>
      <c r="T4884" s="35" t="inlineStr">
        <is>
          <t>4 — Не обогащён</t>
        </is>
      </c>
      <c r="U4884" s="35" t="inlineStr">
        <is>
          <t>Нет ОКВЭД/ССЧР</t>
        </is>
      </c>
      <c r="V4884" s="35" t="inlineStr">
        <is>
          <t>Не определено</t>
        </is>
      </c>
      <c r="W4884" s="35" t="inlineStr"/>
      <c r="X4884" s="35" t="inlineStr"/>
    </row>
    <row r="4885" ht="15" customHeight="1" s="24">
      <c r="A4885" s="13" t="n">
        <v>5000044999</v>
      </c>
      <c r="B4885" s="13" t="inlineStr">
        <is>
          <t>МКУ " Центр жилищных отношений"</t>
        </is>
      </c>
      <c r="C4885" s="13" t="n">
        <v>6501247747</v>
      </c>
      <c r="D4885" s="13" t="inlineStr">
        <is>
          <t>6501247747</t>
        </is>
      </c>
      <c r="E4885" s="13" t="inlineStr">
        <is>
          <t>ЮЛ РФ</t>
        </is>
      </c>
      <c r="F4885" s="13" t="n"/>
      <c r="G4885" s="14" t="n"/>
      <c r="H4885" s="14" t="n"/>
      <c r="I4885" s="14" t="n"/>
      <c r="J4885" s="14" t="n"/>
      <c r="K4885" s="53" t="inlineStr"/>
      <c r="L4885" s="53" t="inlineStr">
        <is>
          <t>Не определено</t>
        </is>
      </c>
      <c r="M4885" s="53" t="inlineStr"/>
      <c r="N4885" s="54" t="inlineStr"/>
      <c r="O4885" s="55" t="inlineStr"/>
      <c r="P4885" s="16" t="inlineStr">
        <is>
          <t>Требует обогащения</t>
        </is>
      </c>
      <c r="Q4885" s="16">
        <f>HYPERLINK("https://pb.nalog.ru/search.html?query=6501247747","ФНС: проверить")</f>
        <v/>
      </c>
      <c r="R4885" s="16">
        <f>HYPERLINK("https://checko.ru/search?query=3801001629","Чекко: проверить")</f>
        <v/>
      </c>
      <c r="S4885" t="n">
        <v>1</v>
      </c>
      <c r="T4885" s="35" t="inlineStr">
        <is>
          <t>4 — Не обогащён</t>
        </is>
      </c>
      <c r="U4885" s="35" t="inlineStr">
        <is>
          <t>Нет ОКВЭД/ССЧР</t>
        </is>
      </c>
      <c r="V4885" s="35" t="inlineStr">
        <is>
          <t>Не определено</t>
        </is>
      </c>
      <c r="W4885" s="35" t="inlineStr"/>
      <c r="X4885" s="35" t="inlineStr"/>
    </row>
    <row r="4886" ht="27.75" customHeight="1" s="24">
      <c r="A4886" s="13" t="n">
        <v>5000107145</v>
      </c>
      <c r="B4886" s="13" t="inlineStr">
        <is>
          <t>ГБУК "Сахалинский Областной Художественный Музей"</t>
        </is>
      </c>
      <c r="C4886" s="13" t="n">
        <v>6501047917</v>
      </c>
      <c r="D4886" s="13" t="inlineStr">
        <is>
          <t>6501047917</t>
        </is>
      </c>
      <c r="E4886" s="13" t="inlineStr">
        <is>
          <t>ЮЛ РФ</t>
        </is>
      </c>
      <c r="F4886" s="13" t="n"/>
      <c r="G4886" s="14" t="n"/>
      <c r="H4886" s="14" t="n"/>
      <c r="I4886" s="14" t="n"/>
      <c r="J4886" s="14" t="n"/>
      <c r="K4886" s="53" t="inlineStr"/>
      <c r="L4886" s="53" t="inlineStr">
        <is>
          <t>Не определено</t>
        </is>
      </c>
      <c r="M4886" s="53" t="inlineStr"/>
      <c r="N4886" s="54" t="inlineStr"/>
      <c r="O4886" s="55" t="inlineStr"/>
      <c r="P4886" s="16" t="inlineStr">
        <is>
          <t>Требует обогащения</t>
        </is>
      </c>
      <c r="Q4886" s="16">
        <f>HYPERLINK("https://pb.nalog.ru/search.html?query=6501047917","ФНС: проверить")</f>
        <v/>
      </c>
      <c r="R4886" s="16">
        <f>HYPERLINK("https://checko.ru/search?query=3801001629","Чекко: проверить")</f>
        <v/>
      </c>
      <c r="S4886" t="n">
        <v>1</v>
      </c>
      <c r="T4886" s="35" t="inlineStr">
        <is>
          <t>4 — Не обогащён</t>
        </is>
      </c>
      <c r="U4886" s="35" t="inlineStr">
        <is>
          <t>Нет ОКВЭД/ССЧР</t>
        </is>
      </c>
      <c r="V4886" s="35" t="inlineStr">
        <is>
          <t>Не определено</t>
        </is>
      </c>
      <c r="W4886" s="35" t="inlineStr"/>
      <c r="X4886" s="35" t="inlineStr"/>
    </row>
    <row r="4887" ht="15" customHeight="1" s="24">
      <c r="A4887" s="13" t="n">
        <v>5000098180</v>
      </c>
      <c r="B4887" s="13" t="inlineStr">
        <is>
          <t>КГБУСО "Кавалеровский ПНИ"</t>
        </is>
      </c>
      <c r="C4887" s="13" t="n">
        <v>2515007240</v>
      </c>
      <c r="D4887" s="13" t="inlineStr">
        <is>
          <t>2515007240</t>
        </is>
      </c>
      <c r="E4887" s="13" t="inlineStr">
        <is>
          <t>ЮЛ РФ</t>
        </is>
      </c>
      <c r="F4887" s="13" t="n"/>
      <c r="G4887" s="14" t="n"/>
      <c r="H4887" s="14" t="n"/>
      <c r="I4887" s="14" t="n"/>
      <c r="J4887" s="14" t="n"/>
      <c r="K4887" s="53" t="inlineStr"/>
      <c r="L4887" s="53" t="inlineStr">
        <is>
          <t>Не определено</t>
        </is>
      </c>
      <c r="M4887" s="53" t="inlineStr"/>
      <c r="N4887" s="54" t="inlineStr"/>
      <c r="O4887" s="55" t="inlineStr"/>
      <c r="P4887" s="16" t="inlineStr">
        <is>
          <t>Требует обогащения</t>
        </is>
      </c>
      <c r="Q4887" s="16">
        <f>HYPERLINK("https://pb.nalog.ru/search.html?query=2515007240","ФНС: проверить")</f>
        <v/>
      </c>
      <c r="R4887" s="16">
        <f>HYPERLINK("https://checko.ru/search?query=3801001629","Чекко: проверить")</f>
        <v/>
      </c>
      <c r="S4887" t="n">
        <v>1</v>
      </c>
      <c r="T4887" s="35" t="inlineStr">
        <is>
          <t>4 — Не обогащён</t>
        </is>
      </c>
      <c r="U4887" s="35" t="inlineStr">
        <is>
          <t>Нет ОКВЭД/ССЧР</t>
        </is>
      </c>
      <c r="V4887" s="35" t="inlineStr">
        <is>
          <t>Не определено</t>
        </is>
      </c>
      <c r="W4887" s="35" t="inlineStr"/>
      <c r="X4887" s="35" t="inlineStr"/>
    </row>
    <row r="4888" ht="15" customHeight="1" s="24">
      <c r="A4888" s="13" t="n">
        <v>5000098179</v>
      </c>
      <c r="B4888" s="13" t="inlineStr">
        <is>
          <t>КГБУСО «Кавалеровский СРЦН «Детство»</t>
        </is>
      </c>
      <c r="C4888" s="13" t="n">
        <v>2515008484</v>
      </c>
      <c r="D4888" s="13" t="inlineStr">
        <is>
          <t>2515008484</t>
        </is>
      </c>
      <c r="E4888" s="13" t="inlineStr">
        <is>
          <t>ЮЛ РФ</t>
        </is>
      </c>
      <c r="F4888" s="13" t="n"/>
      <c r="G4888" s="14" t="n"/>
      <c r="H4888" s="14" t="n"/>
      <c r="I4888" s="14" t="n"/>
      <c r="J4888" s="14" t="n"/>
      <c r="K4888" s="53" t="inlineStr"/>
      <c r="L4888" s="53" t="inlineStr">
        <is>
          <t>Не определено</t>
        </is>
      </c>
      <c r="M4888" s="53" t="inlineStr"/>
      <c r="N4888" s="54" t="inlineStr"/>
      <c r="O4888" s="55" t="inlineStr"/>
      <c r="P4888" s="16" t="inlineStr">
        <is>
          <t>Требует обогащения</t>
        </is>
      </c>
      <c r="Q4888" s="16">
        <f>HYPERLINK("https://pb.nalog.ru/search.html?query=2515008484","ФНС: проверить")</f>
        <v/>
      </c>
      <c r="R4888" s="16">
        <f>HYPERLINK("https://checko.ru/search?query=3801001629","Чекко: проверить")</f>
        <v/>
      </c>
      <c r="S4888" t="n">
        <v>1</v>
      </c>
      <c r="T4888" s="35" t="inlineStr">
        <is>
          <t>4 — Не обогащён</t>
        </is>
      </c>
      <c r="U4888" s="35" t="inlineStr">
        <is>
          <t>Нет ОКВЭД/ССЧР</t>
        </is>
      </c>
      <c r="V4888" s="35" t="inlineStr">
        <is>
          <t>Не определено</t>
        </is>
      </c>
      <c r="W4888" s="35" t="inlineStr"/>
      <c r="X4888" s="35" t="inlineStr"/>
    </row>
    <row r="4889" ht="15" customHeight="1" s="24">
      <c r="A4889" s="13" t="n">
        <v>5000098280</v>
      </c>
      <c r="B4889" s="13" t="inlineStr">
        <is>
          <t>КГБУЗ Вдадивостокская поликлиника №5</t>
        </is>
      </c>
      <c r="C4889" s="13" t="n">
        <v>2540037880</v>
      </c>
      <c r="D4889" s="13" t="inlineStr">
        <is>
          <t>2540037880</t>
        </is>
      </c>
      <c r="E4889" s="13" t="inlineStr">
        <is>
          <t>ЮЛ РФ</t>
        </is>
      </c>
      <c r="F4889" s="13" t="n"/>
      <c r="G4889" s="14" t="n"/>
      <c r="H4889" s="14" t="n"/>
      <c r="I4889" s="14" t="n"/>
      <c r="J4889" s="14" t="n"/>
      <c r="K4889" s="53" t="inlineStr"/>
      <c r="L4889" s="53" t="inlineStr">
        <is>
          <t>Не определено</t>
        </is>
      </c>
      <c r="M4889" s="53" t="inlineStr"/>
      <c r="N4889" s="54" t="inlineStr"/>
      <c r="O4889" s="55" t="inlineStr"/>
      <c r="P4889" s="16" t="inlineStr">
        <is>
          <t>Требует обогащения</t>
        </is>
      </c>
      <c r="Q4889" s="16">
        <f>HYPERLINK("https://pb.nalog.ru/search.html?query=2540037880","ФНС: проверить")</f>
        <v/>
      </c>
      <c r="R4889" s="16">
        <f>HYPERLINK("https://checko.ru/search?query=3801001629","Чекко: проверить")</f>
        <v/>
      </c>
      <c r="S4889" t="n">
        <v>1</v>
      </c>
      <c r="T4889" s="35" t="inlineStr">
        <is>
          <t>4 — Не обогащён</t>
        </is>
      </c>
      <c r="U4889" s="35" t="inlineStr">
        <is>
          <t>Нет ОКВЭД/ССЧР</t>
        </is>
      </c>
      <c r="V4889" s="35" t="inlineStr">
        <is>
          <t>Не определено</t>
        </is>
      </c>
      <c r="W4889" s="35" t="inlineStr"/>
      <c r="X4889" s="35" t="inlineStr"/>
    </row>
    <row r="4890" ht="27.75" customHeight="1" s="24">
      <c r="A4890" s="13" t="n">
        <v>5000098674</v>
      </c>
      <c r="B4890" s="13" t="inlineStr">
        <is>
          <t>ОГУ "Центр социального обслуживания населения Сахалинской области</t>
        </is>
      </c>
      <c r="C4890" s="13" t="n">
        <v>6501169915</v>
      </c>
      <c r="D4890" s="13" t="inlineStr">
        <is>
          <t>6501169915</t>
        </is>
      </c>
      <c r="E4890" s="13" t="inlineStr">
        <is>
          <t>ЮЛ РФ</t>
        </is>
      </c>
      <c r="F4890" s="13" t="n"/>
      <c r="G4890" s="14" t="n"/>
      <c r="H4890" s="14" t="n"/>
      <c r="I4890" s="14" t="n"/>
      <c r="J4890" s="14" t="n"/>
      <c r="K4890" s="53" t="inlineStr"/>
      <c r="L4890" s="53" t="inlineStr">
        <is>
          <t>Не определено</t>
        </is>
      </c>
      <c r="M4890" s="53" t="inlineStr"/>
      <c r="N4890" s="54" t="inlineStr"/>
      <c r="O4890" s="55" t="inlineStr"/>
      <c r="P4890" s="16" t="inlineStr">
        <is>
          <t>Требует обогащения</t>
        </is>
      </c>
      <c r="Q4890" s="16">
        <f>HYPERLINK("https://pb.nalog.ru/search.html?query=6501169915","ФНС: проверить")</f>
        <v/>
      </c>
      <c r="R4890" s="16">
        <f>HYPERLINK("https://checko.ru/search?query=3801001629","Чекко: проверить")</f>
        <v/>
      </c>
      <c r="S4890" t="n">
        <v>1</v>
      </c>
      <c r="T4890" s="35" t="inlineStr">
        <is>
          <t>4 — Не обогащён</t>
        </is>
      </c>
      <c r="U4890" s="35" t="inlineStr">
        <is>
          <t>Нет ОКВЭД/ССЧР</t>
        </is>
      </c>
      <c r="V4890" s="35" t="inlineStr">
        <is>
          <t>Не определено</t>
        </is>
      </c>
      <c r="W4890" s="35" t="inlineStr"/>
      <c r="X4890" s="35" t="inlineStr"/>
    </row>
    <row r="4891" ht="15" customHeight="1" s="24">
      <c r="A4891" s="13" t="n">
        <v>5000092746</v>
      </c>
      <c r="B4891" s="13" t="inlineStr">
        <is>
          <t>ГКУ "Приморское казначейство"</t>
        </is>
      </c>
      <c r="C4891" s="13" t="n">
        <v>2540051966</v>
      </c>
      <c r="D4891" s="13" t="inlineStr">
        <is>
          <t>2540051966</t>
        </is>
      </c>
      <c r="E4891" s="13" t="inlineStr">
        <is>
          <t>ЮЛ РФ</t>
        </is>
      </c>
      <c r="F4891" s="13" t="n"/>
      <c r="G4891" s="14" t="n"/>
      <c r="H4891" s="14" t="n"/>
      <c r="I4891" s="14" t="n"/>
      <c r="J4891" s="14" t="n"/>
      <c r="K4891" s="53" t="inlineStr"/>
      <c r="L4891" s="53" t="inlineStr">
        <is>
          <t>Не определено</t>
        </is>
      </c>
      <c r="M4891" s="53" t="inlineStr"/>
      <c r="N4891" s="54" t="inlineStr"/>
      <c r="O4891" s="55" t="inlineStr"/>
      <c r="P4891" s="16" t="inlineStr">
        <is>
          <t>Требует обогащения</t>
        </is>
      </c>
      <c r="Q4891" s="16">
        <f>HYPERLINK("https://pb.nalog.ru/search.html?query=2540051966","ФНС: проверить")</f>
        <v/>
      </c>
      <c r="R4891" s="16">
        <f>HYPERLINK("https://checko.ru/search?query=3801001629","Чекко: проверить")</f>
        <v/>
      </c>
      <c r="S4891" t="n">
        <v>1</v>
      </c>
      <c r="T4891" s="35" t="inlineStr">
        <is>
          <t>4 — Не обогащён</t>
        </is>
      </c>
      <c r="U4891" s="35" t="inlineStr">
        <is>
          <t>Нет ОКВЭД/ССЧР</t>
        </is>
      </c>
      <c r="V4891" s="35" t="inlineStr">
        <is>
          <t>Не определено</t>
        </is>
      </c>
      <c r="W4891" s="35" t="inlineStr"/>
      <c r="X4891" s="35" t="inlineStr"/>
    </row>
    <row r="4892" ht="27.75" customHeight="1" s="24">
      <c r="A4892" s="13" t="n">
        <v>5000098302</v>
      </c>
      <c r="B4892" s="13" t="inlineStr">
        <is>
          <t>Филиал КГБУ "АРТЕМОВСКАЯ ВСББЖ" Шкотовская СББЖ</t>
        </is>
      </c>
      <c r="C4892" s="13" t="n">
        <v>2502048715</v>
      </c>
      <c r="D4892" s="13" t="inlineStr">
        <is>
          <t>2502048715</t>
        </is>
      </c>
      <c r="E4892" s="13" t="inlineStr">
        <is>
          <t>ЮЛ РФ</t>
        </is>
      </c>
      <c r="F4892" s="13" t="n"/>
      <c r="G4892" s="14" t="n"/>
      <c r="H4892" s="14" t="n"/>
      <c r="I4892" s="14" t="n"/>
      <c r="J4892" s="14" t="n"/>
      <c r="K4892" s="53" t="inlineStr"/>
      <c r="L4892" s="53" t="inlineStr">
        <is>
          <t>Не определено</t>
        </is>
      </c>
      <c r="M4892" s="53" t="inlineStr"/>
      <c r="N4892" s="54" t="inlineStr"/>
      <c r="O4892" s="55" t="inlineStr"/>
      <c r="P4892" s="16" t="inlineStr">
        <is>
          <t>Требует обогащения</t>
        </is>
      </c>
      <c r="Q4892" s="16">
        <f>HYPERLINK("https://pb.nalog.ru/search.html?query=2502048715","ФНС: проверить")</f>
        <v/>
      </c>
      <c r="R4892" s="16">
        <f>HYPERLINK("https://checko.ru/search?query=3801001629","Чекко: проверить")</f>
        <v/>
      </c>
      <c r="S4892" t="n">
        <v>1</v>
      </c>
      <c r="T4892" s="35" t="inlineStr">
        <is>
          <t>4 — Не обогащён</t>
        </is>
      </c>
      <c r="U4892" s="35" t="inlineStr">
        <is>
          <t>Нет ОКВЭД/ССЧР</t>
        </is>
      </c>
      <c r="V4892" s="35" t="inlineStr">
        <is>
          <t>Не определено</t>
        </is>
      </c>
      <c r="W4892" s="35" t="inlineStr"/>
      <c r="X4892" s="35" t="inlineStr"/>
    </row>
    <row r="4893" ht="27.75" customHeight="1" s="24">
      <c r="A4893" s="13" t="n">
        <v>5000098633</v>
      </c>
      <c r="B4893" s="13" t="inlineStr">
        <is>
          <t>ГУЗ "Областной врачебно-физкультурный диспансер" департамента здр</t>
        </is>
      </c>
      <c r="C4893" s="13" t="n">
        <v>6501119953</v>
      </c>
      <c r="D4893" s="13" t="inlineStr">
        <is>
          <t>6501119953</t>
        </is>
      </c>
      <c r="E4893" s="13" t="inlineStr">
        <is>
          <t>ЮЛ РФ</t>
        </is>
      </c>
      <c r="F4893" s="13" t="n"/>
      <c r="G4893" s="14" t="n"/>
      <c r="H4893" s="14" t="n"/>
      <c r="I4893" s="14" t="n"/>
      <c r="J4893" s="14" t="n"/>
      <c r="K4893" s="53" t="inlineStr"/>
      <c r="L4893" s="53" t="inlineStr">
        <is>
          <t>Не определено</t>
        </is>
      </c>
      <c r="M4893" s="53" t="inlineStr"/>
      <c r="N4893" s="54" t="inlineStr"/>
      <c r="O4893" s="55" t="inlineStr"/>
      <c r="P4893" s="16" t="inlineStr">
        <is>
          <t>Требует обогащения</t>
        </is>
      </c>
      <c r="Q4893" s="16">
        <f>HYPERLINK("https://pb.nalog.ru/search.html?query=6501119953","ФНС: проверить")</f>
        <v/>
      </c>
      <c r="R4893" s="16">
        <f>HYPERLINK("https://checko.ru/search?query=3801001629","Чекко: проверить")</f>
        <v/>
      </c>
      <c r="S4893" t="n">
        <v>1</v>
      </c>
      <c r="T4893" s="35" t="inlineStr">
        <is>
          <t>4 — Не обогащён</t>
        </is>
      </c>
      <c r="U4893" s="35" t="inlineStr">
        <is>
          <t>Нет ОКВЭД/ССЧР</t>
        </is>
      </c>
      <c r="V4893" s="35" t="inlineStr">
        <is>
          <t>Не определено</t>
        </is>
      </c>
      <c r="W4893" s="35" t="inlineStr"/>
      <c r="X4893" s="35" t="inlineStr"/>
    </row>
    <row r="4894" ht="15" customHeight="1" s="24">
      <c r="A4894" s="13" t="n">
        <v>5000098639</v>
      </c>
      <c r="B4894" s="13" t="inlineStr">
        <is>
          <t>ГКУЗ "Дом ребенка"</t>
        </is>
      </c>
      <c r="C4894" s="13" t="n">
        <v>6501093656</v>
      </c>
      <c r="D4894" s="13" t="inlineStr">
        <is>
          <t>6501093656</t>
        </is>
      </c>
      <c r="E4894" s="13" t="inlineStr">
        <is>
          <t>ЮЛ РФ</t>
        </is>
      </c>
      <c r="F4894" s="13" t="n"/>
      <c r="G4894" s="14" t="n"/>
      <c r="H4894" s="14" t="n"/>
      <c r="I4894" s="14" t="n"/>
      <c r="J4894" s="14" t="n"/>
      <c r="K4894" s="53" t="inlineStr"/>
      <c r="L4894" s="53" t="inlineStr">
        <is>
          <t>Не определено</t>
        </is>
      </c>
      <c r="M4894" s="53" t="inlineStr"/>
      <c r="N4894" s="54" t="inlineStr"/>
      <c r="O4894" s="55" t="inlineStr"/>
      <c r="P4894" s="16" t="inlineStr">
        <is>
          <t>Требует обогащения</t>
        </is>
      </c>
      <c r="Q4894" s="16">
        <f>HYPERLINK("https://pb.nalog.ru/search.html?query=6501093656","ФНС: проверить")</f>
        <v/>
      </c>
      <c r="R4894" s="16">
        <f>HYPERLINK("https://checko.ru/search?query=3801001629","Чекко: проверить")</f>
        <v/>
      </c>
      <c r="S4894" t="n">
        <v>1</v>
      </c>
      <c r="T4894" s="35" t="inlineStr">
        <is>
          <t>4 — Не обогащён</t>
        </is>
      </c>
      <c r="U4894" s="35" t="inlineStr">
        <is>
          <t>Нет ОКВЭД/ССЧР</t>
        </is>
      </c>
      <c r="V4894" s="35" t="inlineStr">
        <is>
          <t>Не определено</t>
        </is>
      </c>
      <c r="W4894" s="35" t="inlineStr"/>
      <c r="X4894" s="35" t="inlineStr"/>
    </row>
    <row r="4895" ht="27.75" customHeight="1" s="24">
      <c r="A4895" s="13" t="n">
        <v>5000107150</v>
      </c>
      <c r="B4895" s="13" t="inlineStr">
        <is>
          <t>Сахалинский международный театральный центр им. А.П.Чехова  ОАУК</t>
        </is>
      </c>
      <c r="C4895" s="13" t="n">
        <v>6501037997</v>
      </c>
      <c r="D4895" s="13" t="inlineStr">
        <is>
          <t>6501037997</t>
        </is>
      </c>
      <c r="E4895" s="13" t="inlineStr">
        <is>
          <t>ЮЛ РФ</t>
        </is>
      </c>
      <c r="F4895" s="13" t="n"/>
      <c r="G4895" s="14" t="n"/>
      <c r="H4895" s="14" t="n"/>
      <c r="I4895" s="14" t="n"/>
      <c r="J4895" s="14" t="n"/>
      <c r="K4895" s="53" t="inlineStr"/>
      <c r="L4895" s="53" t="inlineStr">
        <is>
          <t>Не определено</t>
        </is>
      </c>
      <c r="M4895" s="53" t="inlineStr"/>
      <c r="N4895" s="54" t="inlineStr"/>
      <c r="O4895" s="55" t="inlineStr"/>
      <c r="P4895" s="16" t="inlineStr">
        <is>
          <t>Требует обогащения</t>
        </is>
      </c>
      <c r="Q4895" s="16">
        <f>HYPERLINK("https://pb.nalog.ru/search.html?query=6501037997","ФНС: проверить")</f>
        <v/>
      </c>
      <c r="R4895" s="16">
        <f>HYPERLINK("https://checko.ru/search?query=3801001629","Чекко: проверить")</f>
        <v/>
      </c>
      <c r="S4895" t="n">
        <v>1</v>
      </c>
      <c r="T4895" s="35" t="inlineStr">
        <is>
          <t>4 — Не обогащён</t>
        </is>
      </c>
      <c r="U4895" s="35" t="inlineStr">
        <is>
          <t>Нет ОКВЭД/ССЧР</t>
        </is>
      </c>
      <c r="V4895" s="35" t="inlineStr">
        <is>
          <t>Не определено</t>
        </is>
      </c>
      <c r="W4895" s="35" t="inlineStr"/>
      <c r="X4895" s="35" t="inlineStr"/>
    </row>
    <row r="4896" ht="27.75" customHeight="1" s="24">
      <c r="A4896" s="13" t="n">
        <v>5000098187</v>
      </c>
      <c r="B4896" s="13" t="inlineStr">
        <is>
          <t>КГБУЗ «Надеждинская центральная районная больница»</t>
        </is>
      </c>
      <c r="C4896" s="13" t="n">
        <v>2521000010</v>
      </c>
      <c r="D4896" s="13" t="inlineStr">
        <is>
          <t>2521000010</t>
        </is>
      </c>
      <c r="E4896" s="13" t="inlineStr">
        <is>
          <t>ЮЛ РФ</t>
        </is>
      </c>
      <c r="F4896" s="13" t="n"/>
      <c r="G4896" s="14" t="n"/>
      <c r="H4896" s="14" t="n"/>
      <c r="I4896" s="14" t="n"/>
      <c r="J4896" s="14" t="n"/>
      <c r="K4896" s="53" t="inlineStr"/>
      <c r="L4896" s="53" t="inlineStr">
        <is>
          <t>Не определено</t>
        </is>
      </c>
      <c r="M4896" s="53" t="inlineStr"/>
      <c r="N4896" s="54" t="inlineStr"/>
      <c r="O4896" s="55" t="inlineStr"/>
      <c r="P4896" s="16" t="inlineStr">
        <is>
          <t>Требует обогащения</t>
        </is>
      </c>
      <c r="Q4896" s="16">
        <f>HYPERLINK("https://pb.nalog.ru/search.html?query=2521000010","ФНС: проверить")</f>
        <v/>
      </c>
      <c r="R4896" s="16">
        <f>HYPERLINK("https://checko.ru/search?query=3801001629","Чекко: проверить")</f>
        <v/>
      </c>
      <c r="S4896" t="n">
        <v>1</v>
      </c>
      <c r="T4896" s="35" t="inlineStr">
        <is>
          <t>4 — Не обогащён</t>
        </is>
      </c>
      <c r="U4896" s="35" t="inlineStr">
        <is>
          <t>Нет ОКВЭД/ССЧР</t>
        </is>
      </c>
      <c r="V4896" s="35" t="inlineStr">
        <is>
          <t>Не определено</t>
        </is>
      </c>
      <c r="W4896" s="35" t="inlineStr"/>
      <c r="X4896" s="35" t="inlineStr"/>
    </row>
    <row r="4897" ht="41.25" customHeight="1" s="24">
      <c r="A4897" s="13" t="n">
        <v>5000116100</v>
      </c>
      <c r="B4897" s="13" t="inlineStr">
        <is>
          <t>Муниципальное казенное учреждение культуры "Культурно-информационный центр муниципального образования "Алужинское"</t>
        </is>
      </c>
      <c r="C4897" s="13" t="n">
        <v>3849025459</v>
      </c>
      <c r="D4897" s="13" t="inlineStr">
        <is>
          <t>3849025459</t>
        </is>
      </c>
      <c r="E4897" s="13" t="inlineStr">
        <is>
          <t>ЮЛ РФ</t>
        </is>
      </c>
      <c r="F4897" s="13" t="n"/>
      <c r="G4897" s="14" t="n"/>
      <c r="H4897" s="14" t="n"/>
      <c r="I4897" s="14" t="n"/>
      <c r="J4897" s="14" t="n"/>
      <c r="K4897" s="53" t="inlineStr"/>
      <c r="L4897" s="53" t="inlineStr">
        <is>
          <t>Не определено</t>
        </is>
      </c>
      <c r="M4897" s="53" t="inlineStr"/>
      <c r="N4897" s="54" t="inlineStr"/>
      <c r="O4897" s="55" t="inlineStr"/>
      <c r="P4897" s="16" t="inlineStr">
        <is>
          <t>Требует обогащения</t>
        </is>
      </c>
      <c r="Q4897" s="16">
        <f>HYPERLINK("https://pb.nalog.ru/search.html?query=3849025459","ФНС: проверить")</f>
        <v/>
      </c>
      <c r="R4897" s="16">
        <f>HYPERLINK("https://checko.ru/search?query=3801001629","Чекко: проверить")</f>
        <v/>
      </c>
      <c r="S4897" t="n">
        <v>1</v>
      </c>
      <c r="T4897" s="35" t="inlineStr">
        <is>
          <t>4 — Не обогащён</t>
        </is>
      </c>
      <c r="U4897" s="35" t="inlineStr">
        <is>
          <t>Нет ОКВЭД/ССЧР</t>
        </is>
      </c>
      <c r="V4897" s="35" t="inlineStr">
        <is>
          <t>Не определено</t>
        </is>
      </c>
      <c r="W4897" s="35" t="inlineStr"/>
      <c r="X4897" s="35" t="inlineStr"/>
    </row>
    <row r="4898" ht="27.75" customHeight="1" s="24">
      <c r="A4898" s="13" t="n">
        <v>5000116101</v>
      </c>
      <c r="B4898" s="13" t="inlineStr">
        <is>
          <t>Администрация муниципального образования "Тугутуйское"</t>
        </is>
      </c>
      <c r="C4898" s="13" t="n">
        <v>8506009718</v>
      </c>
      <c r="D4898" s="13" t="inlineStr">
        <is>
          <t>8506009718</t>
        </is>
      </c>
      <c r="E4898" s="13" t="inlineStr">
        <is>
          <t>ЮЛ РФ</t>
        </is>
      </c>
      <c r="F4898" s="13" t="n"/>
      <c r="G4898" s="14" t="n"/>
      <c r="H4898" s="14" t="n"/>
      <c r="I4898" s="14" t="n"/>
      <c r="J4898" s="14" t="n"/>
      <c r="K4898" s="53" t="inlineStr"/>
      <c r="L4898" s="53" t="inlineStr">
        <is>
          <t>Не определено</t>
        </is>
      </c>
      <c r="M4898" s="53" t="inlineStr"/>
      <c r="N4898" s="54" t="inlineStr"/>
      <c r="O4898" s="55" t="inlineStr"/>
      <c r="P4898" s="16" t="inlineStr">
        <is>
          <t>Требует обогащения</t>
        </is>
      </c>
      <c r="Q4898" s="16">
        <f>HYPERLINK("https://pb.nalog.ru/search.html?query=8506009718","ФНС: проверить")</f>
        <v/>
      </c>
      <c r="R4898" s="16">
        <f>HYPERLINK("https://checko.ru/search?query=3801001629","Чекко: проверить")</f>
        <v/>
      </c>
      <c r="S4898" t="n">
        <v>1</v>
      </c>
      <c r="T4898" s="35" t="inlineStr">
        <is>
          <t>4 — Не обогащён</t>
        </is>
      </c>
      <c r="U4898" s="35" t="inlineStr">
        <is>
          <t>Нет ОКВЭД/ССЧР</t>
        </is>
      </c>
      <c r="V4898" s="35" t="inlineStr">
        <is>
          <t>Не определено</t>
        </is>
      </c>
      <c r="W4898" s="35" t="inlineStr"/>
      <c r="X4898" s="35" t="inlineStr"/>
    </row>
    <row r="4899" ht="41.25" customHeight="1" s="24">
      <c r="A4899" s="13" t="n">
        <v>5000116102</v>
      </c>
      <c r="B4899" s="13" t="inlineStr">
        <is>
          <t>Муниципальное казенное учреждение Культурно-досуговый центр муниципального образования "Тугутуйское"</t>
        </is>
      </c>
      <c r="C4899" s="13" t="n">
        <v>3849026734</v>
      </c>
      <c r="D4899" s="13" t="inlineStr">
        <is>
          <t>3849026734</t>
        </is>
      </c>
      <c r="E4899" s="13" t="inlineStr">
        <is>
          <t>ЮЛ РФ</t>
        </is>
      </c>
      <c r="F4899" s="13" t="n"/>
      <c r="G4899" s="14" t="n"/>
      <c r="H4899" s="14" t="n"/>
      <c r="I4899" s="14" t="n"/>
      <c r="J4899" s="14" t="n"/>
      <c r="K4899" s="53" t="inlineStr"/>
      <c r="L4899" s="53" t="inlineStr">
        <is>
          <t>Не определено</t>
        </is>
      </c>
      <c r="M4899" s="53" t="inlineStr"/>
      <c r="N4899" s="54" t="inlineStr"/>
      <c r="O4899" s="55" t="inlineStr"/>
      <c r="P4899" s="16" t="inlineStr">
        <is>
          <t>Требует обогащения</t>
        </is>
      </c>
      <c r="Q4899" s="16">
        <f>HYPERLINK("https://pb.nalog.ru/search.html?query=3849026734","ФНС: проверить")</f>
        <v/>
      </c>
      <c r="R4899" s="16">
        <f>HYPERLINK("https://checko.ru/search?query=3801001629","Чекко: проверить")</f>
        <v/>
      </c>
      <c r="S4899" t="n">
        <v>1</v>
      </c>
      <c r="T4899" s="35" t="inlineStr">
        <is>
          <t>4 — Не обогащён</t>
        </is>
      </c>
      <c r="U4899" s="35" t="inlineStr">
        <is>
          <t>Нет ОКВЭД/ССЧР</t>
        </is>
      </c>
      <c r="V4899" s="35" t="inlineStr">
        <is>
          <t>Не определено</t>
        </is>
      </c>
      <c r="W4899" s="35" t="inlineStr"/>
      <c r="X4899" s="35" t="inlineStr"/>
    </row>
    <row r="4900" ht="27.75" customHeight="1" s="24">
      <c r="A4900" s="13" t="n">
        <v>5000116103</v>
      </c>
      <c r="B4900" s="13" t="inlineStr">
        <is>
          <t>Администрация муниципального образования "Захальское"</t>
        </is>
      </c>
      <c r="C4900" s="13" t="n">
        <v>8506009732</v>
      </c>
      <c r="D4900" s="13" t="inlineStr">
        <is>
          <t>8506009732</t>
        </is>
      </c>
      <c r="E4900" s="13" t="inlineStr">
        <is>
          <t>ЮЛ РФ</t>
        </is>
      </c>
      <c r="F4900" s="13" t="n"/>
      <c r="G4900" s="14" t="n"/>
      <c r="H4900" s="14" t="n"/>
      <c r="I4900" s="14" t="n"/>
      <c r="J4900" s="14" t="n"/>
      <c r="K4900" s="53" t="inlineStr"/>
      <c r="L4900" s="53" t="inlineStr">
        <is>
          <t>Не определено</t>
        </is>
      </c>
      <c r="M4900" s="53" t="inlineStr"/>
      <c r="N4900" s="54" t="inlineStr"/>
      <c r="O4900" s="55" t="inlineStr"/>
      <c r="P4900" s="16" t="inlineStr">
        <is>
          <t>Требует обогащения</t>
        </is>
      </c>
      <c r="Q4900" s="16">
        <f>HYPERLINK("https://pb.nalog.ru/search.html?query=8506009732","ФНС: проверить")</f>
        <v/>
      </c>
      <c r="R4900" s="16">
        <f>HYPERLINK("https://checko.ru/search?query=3801001629","Чекко: проверить")</f>
        <v/>
      </c>
      <c r="S4900" t="n">
        <v>1</v>
      </c>
      <c r="T4900" s="35" t="inlineStr">
        <is>
          <t>4 — Не обогащён</t>
        </is>
      </c>
      <c r="U4900" s="35" t="inlineStr">
        <is>
          <t>Нет ОКВЭД/ССЧР</t>
        </is>
      </c>
      <c r="V4900" s="35" t="inlineStr">
        <is>
          <t>Не определено</t>
        </is>
      </c>
      <c r="W4900" s="35" t="inlineStr"/>
      <c r="X4900" s="35" t="inlineStr"/>
    </row>
    <row r="4901" ht="41.25" customHeight="1" s="24">
      <c r="A4901" s="13" t="n">
        <v>5000116104</v>
      </c>
      <c r="B4901" s="13" t="inlineStr">
        <is>
          <t>Муниципальное казенное учреждение "Культурно-информационный центр муниципального образования "Захальское"</t>
        </is>
      </c>
      <c r="C4901" s="13" t="n">
        <v>3849025723</v>
      </c>
      <c r="D4901" s="13" t="inlineStr">
        <is>
          <t>3849025723</t>
        </is>
      </c>
      <c r="E4901" s="13" t="inlineStr">
        <is>
          <t>ЮЛ РФ</t>
        </is>
      </c>
      <c r="F4901" s="13" t="n"/>
      <c r="G4901" s="14" t="n"/>
      <c r="H4901" s="14" t="n"/>
      <c r="I4901" s="14" t="n"/>
      <c r="J4901" s="14" t="n"/>
      <c r="K4901" s="53" t="inlineStr"/>
      <c r="L4901" s="53" t="inlineStr">
        <is>
          <t>Не определено</t>
        </is>
      </c>
      <c r="M4901" s="53" t="inlineStr"/>
      <c r="N4901" s="54" t="inlineStr"/>
      <c r="O4901" s="55" t="inlineStr"/>
      <c r="P4901" s="16" t="inlineStr">
        <is>
          <t>Требует обогащения</t>
        </is>
      </c>
      <c r="Q4901" s="16">
        <f>HYPERLINK("https://pb.nalog.ru/search.html?query=3849025723","ФНС: проверить")</f>
        <v/>
      </c>
      <c r="R4901" s="16">
        <f>HYPERLINK("https://checko.ru/search?query=3801001629","Чекко: проверить")</f>
        <v/>
      </c>
      <c r="S4901" t="n">
        <v>1</v>
      </c>
      <c r="T4901" s="35" t="inlineStr">
        <is>
          <t>4 — Не обогащён</t>
        </is>
      </c>
      <c r="U4901" s="35" t="inlineStr">
        <is>
          <t>Нет ОКВЭД/ССЧР</t>
        </is>
      </c>
      <c r="V4901" s="35" t="inlineStr">
        <is>
          <t>Не определено</t>
        </is>
      </c>
      <c r="W4901" s="35" t="inlineStr"/>
      <c r="X4901" s="35" t="inlineStr"/>
    </row>
    <row r="4902" ht="41.25" customHeight="1" s="24">
      <c r="A4902" s="13" t="n">
        <v>5000116106</v>
      </c>
      <c r="B4902" s="13" t="inlineStr">
        <is>
          <t>Муниципальное казенное учреждение Культурно-досуговый центр муниципального образования "Харатское"</t>
        </is>
      </c>
      <c r="C4902" s="13" t="n">
        <v>3849026621</v>
      </c>
      <c r="D4902" s="13" t="inlineStr">
        <is>
          <t>3849026621</t>
        </is>
      </c>
      <c r="E4902" s="13" t="inlineStr">
        <is>
          <t>ЮЛ РФ</t>
        </is>
      </c>
      <c r="F4902" s="13" t="n"/>
      <c r="G4902" s="14" t="n"/>
      <c r="H4902" s="14" t="n"/>
      <c r="I4902" s="14" t="n"/>
      <c r="J4902" s="14" t="n"/>
      <c r="K4902" s="53" t="inlineStr"/>
      <c r="L4902" s="53" t="inlineStr">
        <is>
          <t>Не определено</t>
        </is>
      </c>
      <c r="M4902" s="53" t="inlineStr"/>
      <c r="N4902" s="54" t="inlineStr"/>
      <c r="O4902" s="55" t="inlineStr"/>
      <c r="P4902" s="16" t="inlineStr">
        <is>
          <t>Требует обогащения</t>
        </is>
      </c>
      <c r="Q4902" s="16">
        <f>HYPERLINK("https://pb.nalog.ru/search.html?query=3849026621","ФНС: проверить")</f>
        <v/>
      </c>
      <c r="R4902" s="16">
        <f>HYPERLINK("https://checko.ru/search?query=3801001629","Чекко: проверить")</f>
        <v/>
      </c>
      <c r="S4902" t="n">
        <v>1</v>
      </c>
      <c r="T4902" s="35" t="inlineStr">
        <is>
          <t>4 — Не обогащён</t>
        </is>
      </c>
      <c r="U4902" s="35" t="inlineStr">
        <is>
          <t>Нет ОКВЭД/ССЧР</t>
        </is>
      </c>
      <c r="V4902" s="35" t="inlineStr">
        <is>
          <t>Не определено</t>
        </is>
      </c>
      <c r="W4902" s="35" t="inlineStr"/>
      <c r="X4902" s="35" t="inlineStr"/>
    </row>
    <row r="4903" ht="15" customHeight="1" s="24">
      <c r="A4903" s="13" t="n">
        <v>5000116105</v>
      </c>
      <c r="B4903" s="13" t="inlineStr">
        <is>
          <t>Администрация МО "Харатское"</t>
        </is>
      </c>
      <c r="C4903" s="13" t="n">
        <v>8506009789</v>
      </c>
      <c r="D4903" s="13" t="inlineStr">
        <is>
          <t>8506009789</t>
        </is>
      </c>
      <c r="E4903" s="13" t="inlineStr">
        <is>
          <t>ЮЛ РФ</t>
        </is>
      </c>
      <c r="F4903" s="13" t="n"/>
      <c r="G4903" s="14" t="n"/>
      <c r="H4903" s="14" t="n"/>
      <c r="I4903" s="14" t="n"/>
      <c r="J4903" s="14" t="n"/>
      <c r="K4903" s="53" t="inlineStr"/>
      <c r="L4903" s="53" t="inlineStr">
        <is>
          <t>Не определено</t>
        </is>
      </c>
      <c r="M4903" s="53" t="inlineStr"/>
      <c r="N4903" s="54" t="inlineStr"/>
      <c r="O4903" s="55" t="inlineStr"/>
      <c r="P4903" s="16" t="inlineStr">
        <is>
          <t>Требует обогащения</t>
        </is>
      </c>
      <c r="Q4903" s="16">
        <f>HYPERLINK("https://pb.nalog.ru/search.html?query=8506009789","ФНС: проверить")</f>
        <v/>
      </c>
      <c r="R4903" s="16">
        <f>HYPERLINK("https://checko.ru/search?query=3801001629","Чекко: проверить")</f>
        <v/>
      </c>
      <c r="S4903" t="n">
        <v>1</v>
      </c>
      <c r="T4903" s="35" t="inlineStr">
        <is>
          <t>4 — Не обогащён</t>
        </is>
      </c>
      <c r="U4903" s="35" t="inlineStr">
        <is>
          <t>Нет ОКВЭД/ССЧР</t>
        </is>
      </c>
      <c r="V4903" s="35" t="inlineStr">
        <is>
          <t>Не определено</t>
        </is>
      </c>
      <c r="W4903" s="35" t="inlineStr"/>
      <c r="X4903" s="35" t="inlineStr"/>
    </row>
    <row r="4904" ht="27.75" customHeight="1" s="24">
      <c r="A4904" s="13" t="n">
        <v>5000049729</v>
      </c>
      <c r="B4904" s="13" t="inlineStr">
        <is>
          <t>МУ "Центр методического и финансового обеспечения деятельности му</t>
        </is>
      </c>
      <c r="C4904" s="13" t="n">
        <v>3816009170</v>
      </c>
      <c r="D4904" s="13" t="inlineStr">
        <is>
          <t>3816009170</t>
        </is>
      </c>
      <c r="E4904" s="13" t="inlineStr">
        <is>
          <t>ЮЛ РФ</t>
        </is>
      </c>
      <c r="F4904" s="13" t="n"/>
      <c r="G4904" s="14" t="n"/>
      <c r="H4904" s="14" t="n"/>
      <c r="I4904" s="14" t="n"/>
      <c r="J4904" s="14" t="n"/>
      <c r="K4904" s="53" t="inlineStr"/>
      <c r="L4904" s="53" t="inlineStr">
        <is>
          <t>Не определено</t>
        </is>
      </c>
      <c r="M4904" s="53" t="inlineStr"/>
      <c r="N4904" s="54" t="inlineStr"/>
      <c r="O4904" s="55" t="inlineStr"/>
      <c r="P4904" s="16" t="inlineStr">
        <is>
          <t>Требует обогащения</t>
        </is>
      </c>
      <c r="Q4904" s="16">
        <f>HYPERLINK("https://pb.nalog.ru/search.html?query=3816009170","ФНС: проверить")</f>
        <v/>
      </c>
      <c r="R4904" s="16">
        <f>HYPERLINK("https://checko.ru/search?query=3801001629","Чекко: проверить")</f>
        <v/>
      </c>
      <c r="S4904" t="n">
        <v>1</v>
      </c>
      <c r="T4904" s="35" t="inlineStr">
        <is>
          <t>4 — Не обогащён</t>
        </is>
      </c>
      <c r="U4904" s="35" t="inlineStr">
        <is>
          <t>Нет ОКВЭД/ССЧР</t>
        </is>
      </c>
      <c r="V4904" s="35" t="inlineStr">
        <is>
          <t>Не определено</t>
        </is>
      </c>
      <c r="W4904" s="35" t="inlineStr"/>
      <c r="X4904" s="35" t="inlineStr"/>
    </row>
    <row r="4905" ht="27.75" customHeight="1" s="24">
      <c r="A4905" s="13" t="n">
        <v>5000049733</v>
      </c>
      <c r="B4905" s="13" t="inlineStr">
        <is>
          <t>МБДОУ Центр развития ребенка - детский сад "Гармония"</t>
        </is>
      </c>
      <c r="C4905" s="13" t="n">
        <v>3816003185</v>
      </c>
      <c r="D4905" s="13" t="inlineStr">
        <is>
          <t>3816003185</t>
        </is>
      </c>
      <c r="E4905" s="13" t="inlineStr">
        <is>
          <t>ЮЛ РФ</t>
        </is>
      </c>
      <c r="F4905" s="13" t="n"/>
      <c r="G4905" s="14" t="n"/>
      <c r="H4905" s="14" t="n"/>
      <c r="I4905" s="14" t="n"/>
      <c r="J4905" s="14" t="n"/>
      <c r="K4905" s="53" t="inlineStr"/>
      <c r="L4905" s="53" t="inlineStr">
        <is>
          <t>Не определено</t>
        </is>
      </c>
      <c r="M4905" s="53" t="inlineStr"/>
      <c r="N4905" s="54" t="inlineStr"/>
      <c r="O4905" s="55" t="inlineStr"/>
      <c r="P4905" s="16" t="inlineStr">
        <is>
          <t>Требует обогащения</t>
        </is>
      </c>
      <c r="Q4905" s="16">
        <f>HYPERLINK("https://pb.nalog.ru/search.html?query=3816003185","ФНС: проверить")</f>
        <v/>
      </c>
      <c r="R4905" s="16">
        <f>HYPERLINK("https://checko.ru/search?query=3801001629","Чекко: проверить")</f>
        <v/>
      </c>
      <c r="S4905" t="n">
        <v>1</v>
      </c>
      <c r="T4905" s="35" t="inlineStr">
        <is>
          <t>4 — Не обогащён</t>
        </is>
      </c>
      <c r="U4905" s="35" t="inlineStr">
        <is>
          <t>Нет ОКВЭД/ССЧР</t>
        </is>
      </c>
      <c r="V4905" s="35" t="inlineStr">
        <is>
          <t>Не определено</t>
        </is>
      </c>
      <c r="W4905" s="35" t="inlineStr"/>
      <c r="X4905" s="35" t="inlineStr"/>
    </row>
    <row r="4906" ht="15" customHeight="1" s="24">
      <c r="A4906" s="13" t="n">
        <v>5000049741</v>
      </c>
      <c r="B4906" s="13" t="inlineStr">
        <is>
          <t>МДОУ детский сад №11 "Лучик"</t>
        </is>
      </c>
      <c r="C4906" s="13" t="n">
        <v>3816004830</v>
      </c>
      <c r="D4906" s="13" t="inlineStr">
        <is>
          <t>3816004830</t>
        </is>
      </c>
      <c r="E4906" s="13" t="inlineStr">
        <is>
          <t>ЮЛ РФ</t>
        </is>
      </c>
      <c r="F4906" s="13" t="n"/>
      <c r="G4906" s="14" t="n"/>
      <c r="H4906" s="14" t="n"/>
      <c r="I4906" s="14" t="n"/>
      <c r="J4906" s="14" t="n"/>
      <c r="K4906" s="53" t="inlineStr"/>
      <c r="L4906" s="53" t="inlineStr">
        <is>
          <t>Не определено</t>
        </is>
      </c>
      <c r="M4906" s="53" t="inlineStr"/>
      <c r="N4906" s="54" t="inlineStr"/>
      <c r="O4906" s="55" t="inlineStr"/>
      <c r="P4906" s="16" t="inlineStr">
        <is>
          <t>Требует обогащения</t>
        </is>
      </c>
      <c r="Q4906" s="16">
        <f>HYPERLINK("https://pb.nalog.ru/search.html?query=3816004830","ФНС: проверить")</f>
        <v/>
      </c>
      <c r="R4906" s="16">
        <f>HYPERLINK("https://checko.ru/search?query=3801001629","Чекко: проверить")</f>
        <v/>
      </c>
      <c r="S4906" t="n">
        <v>1</v>
      </c>
      <c r="T4906" s="35" t="inlineStr">
        <is>
          <t>4 — Не обогащён</t>
        </is>
      </c>
      <c r="U4906" s="35" t="inlineStr">
        <is>
          <t>Нет ОКВЭД/ССЧР</t>
        </is>
      </c>
      <c r="V4906" s="35" t="inlineStr">
        <is>
          <t>Не определено</t>
        </is>
      </c>
      <c r="W4906" s="35" t="inlineStr"/>
      <c r="X4906" s="35" t="inlineStr"/>
    </row>
    <row r="4907" ht="15" customHeight="1" s="24">
      <c r="A4907" s="13" t="n">
        <v>5000049752</v>
      </c>
      <c r="B4907" s="13" t="inlineStr">
        <is>
          <t>МБДОУ города Тулуна "Детский сад "Антошка"</t>
        </is>
      </c>
      <c r="C4907" s="13" t="n">
        <v>3816007013</v>
      </c>
      <c r="D4907" s="13" t="inlineStr">
        <is>
          <t>3816007013</t>
        </is>
      </c>
      <c r="E4907" s="13" t="inlineStr">
        <is>
          <t>ЮЛ РФ</t>
        </is>
      </c>
      <c r="F4907" s="13" t="n"/>
      <c r="G4907" s="14" t="n"/>
      <c r="H4907" s="14" t="n"/>
      <c r="I4907" s="14" t="n"/>
      <c r="J4907" s="14" t="n"/>
      <c r="K4907" s="53" t="inlineStr"/>
      <c r="L4907" s="53" t="inlineStr">
        <is>
          <t>Не определено</t>
        </is>
      </c>
      <c r="M4907" s="53" t="inlineStr"/>
      <c r="N4907" s="54" t="inlineStr"/>
      <c r="O4907" s="55" t="inlineStr"/>
      <c r="P4907" s="16" t="inlineStr">
        <is>
          <t>Требует обогащения</t>
        </is>
      </c>
      <c r="Q4907" s="16">
        <f>HYPERLINK("https://pb.nalog.ru/search.html?query=3816007013","ФНС: проверить")</f>
        <v/>
      </c>
      <c r="R4907" s="16">
        <f>HYPERLINK("https://checko.ru/search?query=3801001629","Чекко: проверить")</f>
        <v/>
      </c>
      <c r="S4907" t="n">
        <v>1</v>
      </c>
      <c r="T4907" s="35" t="inlineStr">
        <is>
          <t>4 — Не обогащён</t>
        </is>
      </c>
      <c r="U4907" s="35" t="inlineStr">
        <is>
          <t>Нет ОКВЭД/ССЧР</t>
        </is>
      </c>
      <c r="V4907" s="35" t="inlineStr">
        <is>
          <t>Не определено</t>
        </is>
      </c>
      <c r="W4907" s="35" t="inlineStr"/>
      <c r="X4907" s="35" t="inlineStr"/>
    </row>
    <row r="4908" ht="15" customHeight="1" s="24">
      <c r="A4908" s="13" t="n">
        <v>5000049740</v>
      </c>
      <c r="B4908" s="13" t="inlineStr">
        <is>
          <t>МДОУ детский сад "Родничок"</t>
        </is>
      </c>
      <c r="C4908" s="13" t="n">
        <v>3816006901</v>
      </c>
      <c r="D4908" s="13" t="inlineStr">
        <is>
          <t>3816006901</t>
        </is>
      </c>
      <c r="E4908" s="13" t="inlineStr">
        <is>
          <t>ЮЛ РФ</t>
        </is>
      </c>
      <c r="F4908" s="13" t="n"/>
      <c r="G4908" s="14" t="n"/>
      <c r="H4908" s="14" t="n"/>
      <c r="I4908" s="14" t="n"/>
      <c r="J4908" s="14" t="n"/>
      <c r="K4908" s="53" t="inlineStr"/>
      <c r="L4908" s="53" t="inlineStr">
        <is>
          <t>Не определено</t>
        </is>
      </c>
      <c r="M4908" s="53" t="inlineStr"/>
      <c r="N4908" s="54" t="inlineStr"/>
      <c r="O4908" s="55" t="inlineStr"/>
      <c r="P4908" s="16" t="inlineStr">
        <is>
          <t>Требует обогащения</t>
        </is>
      </c>
      <c r="Q4908" s="16">
        <f>HYPERLINK("https://pb.nalog.ru/search.html?query=3816006901","ФНС: проверить")</f>
        <v/>
      </c>
      <c r="R4908" s="16">
        <f>HYPERLINK("https://checko.ru/search?query=3801001629","Чекко: проверить")</f>
        <v/>
      </c>
      <c r="S4908" t="n">
        <v>1</v>
      </c>
      <c r="T4908" s="35" t="inlineStr">
        <is>
          <t>4 — Не обогащён</t>
        </is>
      </c>
      <c r="U4908" s="35" t="inlineStr">
        <is>
          <t>Нет ОКВЭД/ССЧР</t>
        </is>
      </c>
      <c r="V4908" s="35" t="inlineStr">
        <is>
          <t>Не определено</t>
        </is>
      </c>
      <c r="W4908" s="35" t="inlineStr"/>
      <c r="X4908" s="35" t="inlineStr"/>
    </row>
    <row r="4909" ht="27.75" customHeight="1" s="24">
      <c r="A4909" s="13" t="n">
        <v>5000049745</v>
      </c>
      <c r="B4909" s="13" t="inlineStr">
        <is>
          <t>МДОУ Центр Развития ребёнка детский сад №16 "Жемчужинка"</t>
        </is>
      </c>
      <c r="C4909" s="13" t="n">
        <v>3816004887</v>
      </c>
      <c r="D4909" s="13" t="inlineStr">
        <is>
          <t>3816004887</t>
        </is>
      </c>
      <c r="E4909" s="13" t="inlineStr">
        <is>
          <t>ЮЛ РФ</t>
        </is>
      </c>
      <c r="F4909" s="13" t="n"/>
      <c r="G4909" s="14" t="n"/>
      <c r="H4909" s="14" t="n"/>
      <c r="I4909" s="14" t="n"/>
      <c r="J4909" s="14" t="n"/>
      <c r="K4909" s="53" t="inlineStr"/>
      <c r="L4909" s="53" t="inlineStr">
        <is>
          <t>Не определено</t>
        </is>
      </c>
      <c r="M4909" s="53" t="inlineStr"/>
      <c r="N4909" s="54" t="inlineStr"/>
      <c r="O4909" s="55" t="inlineStr"/>
      <c r="P4909" s="16" t="inlineStr">
        <is>
          <t>Требует обогащения</t>
        </is>
      </c>
      <c r="Q4909" s="16">
        <f>HYPERLINK("https://pb.nalog.ru/search.html?query=3816004887","ФНС: проверить")</f>
        <v/>
      </c>
      <c r="R4909" s="16">
        <f>HYPERLINK("https://checko.ru/search?query=3801001629","Чекко: проверить")</f>
        <v/>
      </c>
      <c r="S4909" t="n">
        <v>1</v>
      </c>
      <c r="T4909" s="35" t="inlineStr">
        <is>
          <t>4 — Не обогащён</t>
        </is>
      </c>
      <c r="U4909" s="35" t="inlineStr">
        <is>
          <t>Нет ОКВЭД/ССЧР</t>
        </is>
      </c>
      <c r="V4909" s="35" t="inlineStr">
        <is>
          <t>Не определено</t>
        </is>
      </c>
      <c r="W4909" s="35" t="inlineStr"/>
      <c r="X4909" s="35" t="inlineStr"/>
    </row>
    <row r="4910" ht="15" customHeight="1" s="24">
      <c r="A4910" s="13" t="n">
        <v>5000025089</v>
      </c>
      <c r="B4910" s="13" t="inlineStr">
        <is>
          <t>Дума муниципального образования "Могоенок"</t>
        </is>
      </c>
      <c r="C4910" s="13" t="n">
        <v>8501006167</v>
      </c>
      <c r="D4910" s="13" t="inlineStr">
        <is>
          <t>8501006167</t>
        </is>
      </c>
      <c r="E4910" s="13" t="inlineStr">
        <is>
          <t>ЮЛ РФ</t>
        </is>
      </c>
      <c r="F4910" s="13" t="n"/>
      <c r="G4910" s="14" t="n"/>
      <c r="H4910" s="14" t="n"/>
      <c r="I4910" s="14" t="n"/>
      <c r="J4910" s="14" t="n"/>
      <c r="K4910" s="53" t="inlineStr"/>
      <c r="L4910" s="53" t="inlineStr">
        <is>
          <t>Не определено</t>
        </is>
      </c>
      <c r="M4910" s="53" t="inlineStr"/>
      <c r="N4910" s="54" t="inlineStr"/>
      <c r="O4910" s="55" t="inlineStr"/>
      <c r="P4910" s="16" t="inlineStr">
        <is>
          <t>Требует обогащения</t>
        </is>
      </c>
      <c r="Q4910" s="16">
        <f>HYPERLINK("https://pb.nalog.ru/search.html?query=8501006167","ФНС: проверить")</f>
        <v/>
      </c>
      <c r="R4910" s="16">
        <f>HYPERLINK("https://checko.ru/search?query=3801001629","Чекко: проверить")</f>
        <v/>
      </c>
      <c r="S4910" t="n">
        <v>1</v>
      </c>
      <c r="T4910" s="35" t="inlineStr">
        <is>
          <t>4 — Не обогащён</t>
        </is>
      </c>
      <c r="U4910" s="35" t="inlineStr">
        <is>
          <t>Нет ОКВЭД/ССЧР</t>
        </is>
      </c>
      <c r="V4910" s="35" t="inlineStr">
        <is>
          <t>Не определено</t>
        </is>
      </c>
      <c r="W4910" s="35" t="inlineStr"/>
      <c r="X4910" s="35" t="inlineStr"/>
    </row>
    <row r="4911" ht="27.75" customHeight="1" s="24">
      <c r="A4911" s="13" t="n">
        <v>5000025090</v>
      </c>
      <c r="B4911" s="13" t="inlineStr">
        <is>
          <t>Финансовый отдел администрации муниципального образования "Могоенок"</t>
        </is>
      </c>
      <c r="C4911" s="13" t="n">
        <v>8501004917</v>
      </c>
      <c r="D4911" s="13" t="inlineStr">
        <is>
          <t>8501004917</t>
        </is>
      </c>
      <c r="E4911" s="13" t="inlineStr">
        <is>
          <t>ЮЛ РФ</t>
        </is>
      </c>
      <c r="F4911" s="13" t="n"/>
      <c r="G4911" s="14" t="n"/>
      <c r="H4911" s="14" t="n"/>
      <c r="I4911" s="14" t="n"/>
      <c r="J4911" s="14" t="n"/>
      <c r="K4911" s="53" t="inlineStr"/>
      <c r="L4911" s="53" t="inlineStr">
        <is>
          <t>Не определено</t>
        </is>
      </c>
      <c r="M4911" s="53" t="inlineStr"/>
      <c r="N4911" s="54" t="inlineStr"/>
      <c r="O4911" s="55" t="inlineStr"/>
      <c r="P4911" s="16" t="inlineStr">
        <is>
          <t>Требует обогащения</t>
        </is>
      </c>
      <c r="Q4911" s="16">
        <f>HYPERLINK("https://pb.nalog.ru/search.html?query=8501004917","ФНС: проверить")</f>
        <v/>
      </c>
      <c r="R4911" s="16">
        <f>HYPERLINK("https://checko.ru/search?query=3801001629","Чекко: проверить")</f>
        <v/>
      </c>
      <c r="S4911" t="n">
        <v>1</v>
      </c>
      <c r="T4911" s="35" t="inlineStr">
        <is>
          <t>4 — Не обогащён</t>
        </is>
      </c>
      <c r="U4911" s="35" t="inlineStr">
        <is>
          <t>Нет ОКВЭД/ССЧР</t>
        </is>
      </c>
      <c r="V4911" s="35" t="inlineStr">
        <is>
          <t>Не определено</t>
        </is>
      </c>
      <c r="W4911" s="35" t="inlineStr"/>
      <c r="X4911" s="35" t="inlineStr"/>
    </row>
    <row r="4912" ht="27.75" customHeight="1" s="24">
      <c r="A4912" s="13" t="n">
        <v>5000025091</v>
      </c>
      <c r="B4912" s="13" t="inlineStr">
        <is>
          <t>МБУК "Информационно-культурный центр" муниципального образования "Могоенок"</t>
        </is>
      </c>
      <c r="C4912" s="13" t="n">
        <v>3851004914</v>
      </c>
      <c r="D4912" s="13" t="inlineStr">
        <is>
          <t>3851004914</t>
        </is>
      </c>
      <c r="E4912" s="13" t="inlineStr">
        <is>
          <t>ЮЛ РФ</t>
        </is>
      </c>
      <c r="F4912" s="13" t="n"/>
      <c r="G4912" s="14" t="n"/>
      <c r="H4912" s="14" t="n"/>
      <c r="I4912" s="14" t="n"/>
      <c r="J4912" s="14" t="n"/>
      <c r="K4912" s="53" t="inlineStr"/>
      <c r="L4912" s="53" t="inlineStr">
        <is>
          <t>Не определено</t>
        </is>
      </c>
      <c r="M4912" s="53" t="inlineStr"/>
      <c r="N4912" s="54" t="inlineStr"/>
      <c r="O4912" s="55" t="inlineStr"/>
      <c r="P4912" s="16" t="inlineStr">
        <is>
          <t>Требует обогащения</t>
        </is>
      </c>
      <c r="Q4912" s="16">
        <f>HYPERLINK("https://pb.nalog.ru/search.html?query=3851004914","ФНС: проверить")</f>
        <v/>
      </c>
      <c r="R4912" s="16">
        <f>HYPERLINK("https://checko.ru/search?query=3801001629","Чекко: проверить")</f>
        <v/>
      </c>
      <c r="S4912" t="n">
        <v>1</v>
      </c>
      <c r="T4912" s="35" t="inlineStr">
        <is>
          <t>4 — Не обогащён</t>
        </is>
      </c>
      <c r="U4912" s="35" t="inlineStr">
        <is>
          <t>Нет ОКВЭД/ССЧР</t>
        </is>
      </c>
      <c r="V4912" s="35" t="inlineStr">
        <is>
          <t>Не определено</t>
        </is>
      </c>
      <c r="W4912" s="35" t="inlineStr"/>
      <c r="X4912" s="35" t="inlineStr"/>
    </row>
    <row r="4913" ht="15" customHeight="1" s="24">
      <c r="A4913" s="13" t="n">
        <v>5000049734</v>
      </c>
      <c r="B4913" s="13" t="inlineStr">
        <is>
          <t>МБОУ СОШ №4 ТУЛУН</t>
        </is>
      </c>
      <c r="C4913" s="13" t="n">
        <v>3816002375</v>
      </c>
      <c r="D4913" s="13" t="inlineStr">
        <is>
          <t>3816002375</t>
        </is>
      </c>
      <c r="E4913" s="13" t="inlineStr">
        <is>
          <t>ЮЛ РФ</t>
        </is>
      </c>
      <c r="F4913" s="13" t="n"/>
      <c r="G4913" s="14" t="n"/>
      <c r="H4913" s="14" t="n"/>
      <c r="I4913" s="14" t="n"/>
      <c r="J4913" s="14" t="n"/>
      <c r="K4913" s="53" t="inlineStr"/>
      <c r="L4913" s="53" t="inlineStr">
        <is>
          <t>Не определено</t>
        </is>
      </c>
      <c r="M4913" s="53" t="inlineStr"/>
      <c r="N4913" s="54" t="inlineStr"/>
      <c r="O4913" s="55" t="inlineStr"/>
      <c r="P4913" s="16" t="inlineStr">
        <is>
          <t>Требует обогащения</t>
        </is>
      </c>
      <c r="Q4913" s="16">
        <f>HYPERLINK("https://pb.nalog.ru/search.html?query=3816002375","ФНС: проверить")</f>
        <v/>
      </c>
      <c r="R4913" s="16">
        <f>HYPERLINK("https://checko.ru/search?query=3801001629","Чекко: проверить")</f>
        <v/>
      </c>
      <c r="S4913" t="n">
        <v>1</v>
      </c>
      <c r="T4913" s="35" t="inlineStr">
        <is>
          <t>4 — Не обогащён</t>
        </is>
      </c>
      <c r="U4913" s="35" t="inlineStr">
        <is>
          <t>Нет ОКВЭД/ССЧР</t>
        </is>
      </c>
      <c r="V4913" s="35" t="inlineStr">
        <is>
          <t>Не определено</t>
        </is>
      </c>
      <c r="W4913" s="35" t="inlineStr"/>
      <c r="X4913" s="35" t="inlineStr"/>
    </row>
    <row r="4914" ht="27.75" customHeight="1" s="24">
      <c r="A4914" s="13" t="n">
        <v>5000027679</v>
      </c>
      <c r="B4914" s="13" t="inlineStr">
        <is>
          <t>Муниципальный Отдел по Развитию Культуры, Молодежной Политике и Спорту</t>
        </is>
      </c>
      <c r="C4914" s="13" t="n">
        <v>3829000777</v>
      </c>
      <c r="D4914" s="13" t="inlineStr">
        <is>
          <t>3829000777</t>
        </is>
      </c>
      <c r="E4914" s="13" t="inlineStr">
        <is>
          <t>ЮЛ РФ</t>
        </is>
      </c>
      <c r="F4914" s="13" t="n"/>
      <c r="G4914" s="14" t="n"/>
      <c r="H4914" s="14" t="n"/>
      <c r="I4914" s="14" t="n"/>
      <c r="J4914" s="14" t="n"/>
      <c r="K4914" s="53" t="inlineStr"/>
      <c r="L4914" s="53" t="inlineStr">
        <is>
          <t>Не определено</t>
        </is>
      </c>
      <c r="M4914" s="53" t="inlineStr"/>
      <c r="N4914" s="54" t="inlineStr"/>
      <c r="O4914" s="55" t="inlineStr"/>
      <c r="P4914" s="16" t="inlineStr">
        <is>
          <t>Требует обогащения</t>
        </is>
      </c>
      <c r="Q4914" s="16">
        <f>HYPERLINK("https://pb.nalog.ru/search.html?query=3829000777","ФНС: проверить")</f>
        <v/>
      </c>
      <c r="R4914" s="16">
        <f>HYPERLINK("https://checko.ru/search?query=3801001629","Чекко: проверить")</f>
        <v/>
      </c>
      <c r="S4914" t="n">
        <v>1</v>
      </c>
      <c r="T4914" s="35" t="inlineStr">
        <is>
          <t>4 — Не обогащён</t>
        </is>
      </c>
      <c r="U4914" s="35" t="inlineStr">
        <is>
          <t>Нет ОКВЭД/ССЧР</t>
        </is>
      </c>
      <c r="V4914" s="35" t="inlineStr">
        <is>
          <t>Не определено</t>
        </is>
      </c>
      <c r="W4914" s="35" t="inlineStr"/>
      <c r="X4914" s="35" t="inlineStr"/>
    </row>
    <row r="4915" ht="27.75" customHeight="1" s="24">
      <c r="A4915" s="13" t="n">
        <v>5000027677</v>
      </c>
      <c r="B4915" s="13" t="inlineStr">
        <is>
          <t>МКУК "КУЛЬТУРНО-ДОСУГОВОЕ ОБЪЕДИНЕНИЕ КАТАНГСКОГО РАЙОНА"</t>
        </is>
      </c>
      <c r="C4915" s="13" t="n">
        <v>3818029291</v>
      </c>
      <c r="D4915" s="13" t="inlineStr">
        <is>
          <t>3818029291</t>
        </is>
      </c>
      <c r="E4915" s="13" t="inlineStr">
        <is>
          <t>ЮЛ РФ</t>
        </is>
      </c>
      <c r="F4915" s="13" t="n"/>
      <c r="G4915" s="14" t="n"/>
      <c r="H4915" s="14" t="n"/>
      <c r="I4915" s="14" t="n"/>
      <c r="J4915" s="14" t="n"/>
      <c r="K4915" s="53" t="inlineStr"/>
      <c r="L4915" s="53" t="inlineStr">
        <is>
          <t>Не определено</t>
        </is>
      </c>
      <c r="M4915" s="53" t="inlineStr"/>
      <c r="N4915" s="54" t="inlineStr"/>
      <c r="O4915" s="55" t="inlineStr"/>
      <c r="P4915" s="16" t="inlineStr">
        <is>
          <t>Требует обогащения</t>
        </is>
      </c>
      <c r="Q4915" s="16">
        <f>HYPERLINK("https://pb.nalog.ru/search.html?query=3818029291","ФНС: проверить")</f>
        <v/>
      </c>
      <c r="R4915" s="16">
        <f>HYPERLINK("https://checko.ru/search?query=3801001629","Чекко: проверить")</f>
        <v/>
      </c>
      <c r="S4915" t="n">
        <v>1</v>
      </c>
      <c r="T4915" s="35" t="inlineStr">
        <is>
          <t>4 — Не обогащён</t>
        </is>
      </c>
      <c r="U4915" s="35" t="inlineStr">
        <is>
          <t>Нет ОКВЭД/ССЧР</t>
        </is>
      </c>
      <c r="V4915" s="35" t="inlineStr">
        <is>
          <t>Не определено</t>
        </is>
      </c>
      <c r="W4915" s="35" t="inlineStr"/>
      <c r="X4915" s="35" t="inlineStr"/>
    </row>
    <row r="4916" ht="27.75" customHeight="1" s="24">
      <c r="A4916" s="13" t="n">
        <v>5000027676</v>
      </c>
      <c r="B4916" s="13" t="inlineStr">
        <is>
          <t>МКУК "КАТАНГСКАЯ ЦЕНТРАЛИЗОВАННАЯ БИБЛИОТЕЧНАЯ СИСТЕМА"</t>
        </is>
      </c>
      <c r="C4916" s="13" t="n">
        <v>3818029319</v>
      </c>
      <c r="D4916" s="13" t="inlineStr">
        <is>
          <t>3818029319</t>
        </is>
      </c>
      <c r="E4916" s="13" t="inlineStr">
        <is>
          <t>ЮЛ РФ</t>
        </is>
      </c>
      <c r="F4916" s="13" t="n"/>
      <c r="G4916" s="14" t="n"/>
      <c r="H4916" s="14" t="n"/>
      <c r="I4916" s="14" t="n"/>
      <c r="J4916" s="14" t="n"/>
      <c r="K4916" s="53" t="inlineStr"/>
      <c r="L4916" s="53" t="inlineStr">
        <is>
          <t>Не определено</t>
        </is>
      </c>
      <c r="M4916" s="53" t="inlineStr"/>
      <c r="N4916" s="54" t="inlineStr"/>
      <c r="O4916" s="55" t="inlineStr"/>
      <c r="P4916" s="16" t="inlineStr">
        <is>
          <t>Требует обогащения</t>
        </is>
      </c>
      <c r="Q4916" s="16">
        <f>HYPERLINK("https://pb.nalog.ru/search.html?query=3818029319","ФНС: проверить")</f>
        <v/>
      </c>
      <c r="R4916" s="16">
        <f>HYPERLINK("https://checko.ru/search?query=3801001629","Чекко: проверить")</f>
        <v/>
      </c>
      <c r="S4916" t="n">
        <v>1</v>
      </c>
      <c r="T4916" s="35" t="inlineStr">
        <is>
          <t>4 — Не обогащён</t>
        </is>
      </c>
      <c r="U4916" s="35" t="inlineStr">
        <is>
          <t>Нет ОКВЭД/ССЧР</t>
        </is>
      </c>
      <c r="V4916" s="35" t="inlineStr">
        <is>
          <t>Не определено</t>
        </is>
      </c>
      <c r="W4916" s="35" t="inlineStr"/>
      <c r="X4916" s="35" t="inlineStr"/>
    </row>
    <row r="4917" ht="27.75" customHeight="1" s="24">
      <c r="A4917" s="13" t="n">
        <v>5000049746</v>
      </c>
      <c r="B4917" s="13" t="inlineStr">
        <is>
          <t>МБОУ города Тулуна "Средняя общеобразовательная школа № 19"</t>
        </is>
      </c>
      <c r="C4917" s="13" t="n">
        <v>3816002449</v>
      </c>
      <c r="D4917" s="13" t="inlineStr">
        <is>
          <t>3816002449</t>
        </is>
      </c>
      <c r="E4917" s="13" t="inlineStr">
        <is>
          <t>ЮЛ РФ</t>
        </is>
      </c>
      <c r="F4917" s="13" t="n"/>
      <c r="G4917" s="14" t="n"/>
      <c r="H4917" s="14" t="n"/>
      <c r="I4917" s="14" t="n"/>
      <c r="J4917" s="14" t="n"/>
      <c r="K4917" s="53" t="inlineStr"/>
      <c r="L4917" s="53" t="inlineStr">
        <is>
          <t>Не определено</t>
        </is>
      </c>
      <c r="M4917" s="53" t="inlineStr"/>
      <c r="N4917" s="54" t="inlineStr"/>
      <c r="O4917" s="55" t="inlineStr"/>
      <c r="P4917" s="16" t="inlineStr">
        <is>
          <t>Требует обогащения</t>
        </is>
      </c>
      <c r="Q4917" s="16">
        <f>HYPERLINK("https://pb.nalog.ru/search.html?query=3816002449","ФНС: проверить")</f>
        <v/>
      </c>
      <c r="R4917" s="16">
        <f>HYPERLINK("https://checko.ru/search?query=3801001629","Чекко: проверить")</f>
        <v/>
      </c>
      <c r="S4917" t="n">
        <v>1</v>
      </c>
      <c r="T4917" s="35" t="inlineStr">
        <is>
          <t>4 — Не обогащён</t>
        </is>
      </c>
      <c r="U4917" s="35" t="inlineStr">
        <is>
          <t>Нет ОКВЭД/ССЧР</t>
        </is>
      </c>
      <c r="V4917" s="35" t="inlineStr">
        <is>
          <t>Не определено</t>
        </is>
      </c>
      <c r="W4917" s="35" t="inlineStr"/>
      <c r="X4917" s="35" t="inlineStr"/>
    </row>
    <row r="4918" ht="27.75" customHeight="1" s="24">
      <c r="A4918" s="13" t="n">
        <v>5000027678</v>
      </c>
      <c r="B4918" s="13" t="inlineStr">
        <is>
          <t>МКУК "РАЙОННЫЙ КРАЕВЕДЧЕСКИЙ МУЗЕЙ ИМЕНИ В.Я.ШИШКОВА"</t>
        </is>
      </c>
      <c r="C4918" s="13" t="n">
        <v>3818032495</v>
      </c>
      <c r="D4918" s="13" t="inlineStr">
        <is>
          <t>3818032495</t>
        </is>
      </c>
      <c r="E4918" s="13" t="inlineStr">
        <is>
          <t>ЮЛ РФ</t>
        </is>
      </c>
      <c r="F4918" s="13" t="n"/>
      <c r="G4918" s="14" t="n"/>
      <c r="H4918" s="14" t="n"/>
      <c r="I4918" s="14" t="n"/>
      <c r="J4918" s="14" t="n"/>
      <c r="K4918" s="53" t="inlineStr"/>
      <c r="L4918" s="53" t="inlineStr">
        <is>
          <t>Не определено</t>
        </is>
      </c>
      <c r="M4918" s="53" t="inlineStr"/>
      <c r="N4918" s="54" t="inlineStr"/>
      <c r="O4918" s="55" t="inlineStr"/>
      <c r="P4918" s="16" t="inlineStr">
        <is>
          <t>Требует обогащения</t>
        </is>
      </c>
      <c r="Q4918" s="16">
        <f>HYPERLINK("https://pb.nalog.ru/search.html?query=3818032495","ФНС: проверить")</f>
        <v/>
      </c>
      <c r="R4918" s="16">
        <f>HYPERLINK("https://checko.ru/search?query=3801001629","Чекко: проверить")</f>
        <v/>
      </c>
      <c r="S4918" t="n">
        <v>1</v>
      </c>
      <c r="T4918" s="35" t="inlineStr">
        <is>
          <t>4 — Не обогащён</t>
        </is>
      </c>
      <c r="U4918" s="35" t="inlineStr">
        <is>
          <t>Нет ОКВЭД/ССЧР</t>
        </is>
      </c>
      <c r="V4918" s="35" t="inlineStr">
        <is>
          <t>Не определено</t>
        </is>
      </c>
      <c r="W4918" s="35" t="inlineStr"/>
      <c r="X4918" s="35" t="inlineStr"/>
    </row>
    <row r="4919" ht="27.75" customHeight="1" s="24">
      <c r="A4919" s="13" t="n">
        <v>5000025632</v>
      </c>
      <c r="B4919" s="13" t="inlineStr">
        <is>
          <t>МБУК "Информационно-культурный центр" муниципального образования "Иваническ"</t>
        </is>
      </c>
      <c r="C4919" s="13" t="n">
        <v>3851005019</v>
      </c>
      <c r="D4919" s="13" t="inlineStr">
        <is>
          <t>3851005019</t>
        </is>
      </c>
      <c r="E4919" s="13" t="inlineStr">
        <is>
          <t>ЮЛ РФ</t>
        </is>
      </c>
      <c r="F4919" s="13" t="n"/>
      <c r="G4919" s="14" t="n"/>
      <c r="H4919" s="14" t="n"/>
      <c r="I4919" s="14" t="n"/>
      <c r="J4919" s="14" t="n"/>
      <c r="K4919" s="53" t="inlineStr"/>
      <c r="L4919" s="53" t="inlineStr">
        <is>
          <t>Не определено</t>
        </is>
      </c>
      <c r="M4919" s="53" t="inlineStr"/>
      <c r="N4919" s="54" t="inlineStr"/>
      <c r="O4919" s="55" t="inlineStr"/>
      <c r="P4919" s="16" t="inlineStr">
        <is>
          <t>Требует обогащения</t>
        </is>
      </c>
      <c r="Q4919" s="16">
        <f>HYPERLINK("https://pb.nalog.ru/search.html?query=3851005019","ФНС: проверить")</f>
        <v/>
      </c>
      <c r="R4919" s="16">
        <f>HYPERLINK("https://checko.ru/search?query=3801001629","Чекко: проверить")</f>
        <v/>
      </c>
      <c r="S4919" t="n">
        <v>1</v>
      </c>
      <c r="T4919" s="35" t="inlineStr">
        <is>
          <t>4 — Не обогащён</t>
        </is>
      </c>
      <c r="U4919" s="35" t="inlineStr">
        <is>
          <t>Нет ОКВЭД/ССЧР</t>
        </is>
      </c>
      <c r="V4919" s="35" t="inlineStr">
        <is>
          <t>Не определено</t>
        </is>
      </c>
      <c r="W4919" s="35" t="inlineStr"/>
      <c r="X4919" s="35" t="inlineStr"/>
    </row>
    <row r="4920" ht="41.25" customHeight="1" s="24">
      <c r="A4920" s="13" t="n">
        <v>5000097565</v>
      </c>
      <c r="B4920" s="13" t="inlineStr">
        <is>
          <t>Муниципальное казенное учреждение культуры "Культурно-досуговый центр" Звёзднинского муниципального образования</t>
        </is>
      </c>
      <c r="C4920" s="13" t="n">
        <v>3818030843</v>
      </c>
      <c r="D4920" s="13" t="inlineStr">
        <is>
          <t>3818030843</t>
        </is>
      </c>
      <c r="E4920" s="13" t="inlineStr">
        <is>
          <t>ЮЛ РФ</t>
        </is>
      </c>
      <c r="F4920" s="13" t="n"/>
      <c r="G4920" s="14" t="n"/>
      <c r="H4920" s="14" t="n"/>
      <c r="I4920" s="14" t="n"/>
      <c r="J4920" s="14" t="n"/>
      <c r="K4920" s="53" t="inlineStr"/>
      <c r="L4920" s="53" t="inlineStr">
        <is>
          <t>Не определено</t>
        </is>
      </c>
      <c r="M4920" s="53" t="inlineStr"/>
      <c r="N4920" s="54" t="inlineStr"/>
      <c r="O4920" s="55" t="inlineStr"/>
      <c r="P4920" s="16" t="inlineStr">
        <is>
          <t>Требует обогащения</t>
        </is>
      </c>
      <c r="Q4920" s="16">
        <f>HYPERLINK("https://pb.nalog.ru/search.html?query=3818030843","ФНС: проверить")</f>
        <v/>
      </c>
      <c r="R4920" s="16">
        <f>HYPERLINK("https://checko.ru/search?query=3801001629","Чекко: проверить")</f>
        <v/>
      </c>
      <c r="S4920" t="n">
        <v>0</v>
      </c>
      <c r="T4920" s="35" t="inlineStr">
        <is>
          <t>4 — Не обогащён</t>
        </is>
      </c>
      <c r="U4920" s="35" t="inlineStr">
        <is>
          <t>Нет ОКВЭД/ССЧР</t>
        </is>
      </c>
      <c r="V4920" s="35" t="inlineStr">
        <is>
          <t>Не определено</t>
        </is>
      </c>
      <c r="W4920" s="35" t="inlineStr"/>
      <c r="X4920" s="35" t="inlineStr"/>
    </row>
    <row r="4921" ht="27.75" customHeight="1" s="24">
      <c r="A4921" s="13" t="n">
        <v>5000049755</v>
      </c>
      <c r="B4921" s="13" t="inlineStr">
        <is>
          <t>МУК Централизованная библиотечная система г. Тулун</t>
        </is>
      </c>
      <c r="C4921" s="13" t="n">
        <v>3816007084</v>
      </c>
      <c r="D4921" s="13" t="inlineStr">
        <is>
          <t>3816007084</t>
        </is>
      </c>
      <c r="E4921" s="13" t="inlineStr">
        <is>
          <t>ЮЛ РФ</t>
        </is>
      </c>
      <c r="F4921" s="13" t="n"/>
      <c r="G4921" s="14" t="n"/>
      <c r="H4921" s="14" t="n"/>
      <c r="I4921" s="14" t="n"/>
      <c r="J4921" s="14" t="n"/>
      <c r="K4921" s="53" t="inlineStr"/>
      <c r="L4921" s="53" t="inlineStr">
        <is>
          <t>Не определено</t>
        </is>
      </c>
      <c r="M4921" s="53" t="inlineStr"/>
      <c r="N4921" s="54" t="inlineStr"/>
      <c r="O4921" s="55" t="inlineStr"/>
      <c r="P4921" s="16" t="inlineStr">
        <is>
          <t>Требует обогащения</t>
        </is>
      </c>
      <c r="Q4921" s="16">
        <f>HYPERLINK("https://pb.nalog.ru/search.html?query=3816007084","ФНС: проверить")</f>
        <v/>
      </c>
      <c r="R4921" s="16">
        <f>HYPERLINK("https://checko.ru/search?query=3801001629","Чекко: проверить")</f>
        <v/>
      </c>
      <c r="S4921" t="n">
        <v>1</v>
      </c>
      <c r="T4921" s="35" t="inlineStr">
        <is>
          <t>4 — Не обогащён</t>
        </is>
      </c>
      <c r="U4921" s="35" t="inlineStr">
        <is>
          <t>Нет ОКВЭД/ССЧР</t>
        </is>
      </c>
      <c r="V4921" s="35" t="inlineStr">
        <is>
          <t>Не определено</t>
        </is>
      </c>
      <c r="W4921" s="35" t="inlineStr"/>
      <c r="X4921" s="35" t="inlineStr"/>
    </row>
    <row r="4922" ht="15" customHeight="1" s="24">
      <c r="A4922" s="13" t="n">
        <v>5000049744</v>
      </c>
      <c r="B4922" s="13" t="inlineStr">
        <is>
          <t>МДОУ Детский сад "Теремок"</t>
        </is>
      </c>
      <c r="C4922" s="13" t="n">
        <v>3816006482</v>
      </c>
      <c r="D4922" s="13" t="inlineStr">
        <is>
          <t>3816006482</t>
        </is>
      </c>
      <c r="E4922" s="13" t="inlineStr">
        <is>
          <t>ЮЛ РФ</t>
        </is>
      </c>
      <c r="F4922" s="13" t="n"/>
      <c r="G4922" s="14" t="n"/>
      <c r="H4922" s="14" t="n"/>
      <c r="I4922" s="14" t="n"/>
      <c r="J4922" s="14" t="n"/>
      <c r="K4922" s="53" t="inlineStr"/>
      <c r="L4922" s="53" t="inlineStr">
        <is>
          <t>Не определено</t>
        </is>
      </c>
      <c r="M4922" s="53" t="inlineStr"/>
      <c r="N4922" s="54" t="inlineStr"/>
      <c r="O4922" s="55" t="inlineStr"/>
      <c r="P4922" s="16" t="inlineStr">
        <is>
          <t>Требует обогащения</t>
        </is>
      </c>
      <c r="Q4922" s="16">
        <f>HYPERLINK("https://pb.nalog.ru/search.html?query=3816006482","ФНС: проверить")</f>
        <v/>
      </c>
      <c r="R4922" s="16">
        <f>HYPERLINK("https://checko.ru/search?query=3801001629","Чекко: проверить")</f>
        <v/>
      </c>
      <c r="S4922" t="n">
        <v>1</v>
      </c>
      <c r="T4922" s="35" t="inlineStr">
        <is>
          <t>4 — Не обогащён</t>
        </is>
      </c>
      <c r="U4922" s="35" t="inlineStr">
        <is>
          <t>Нет ОКВЭД/ССЧР</t>
        </is>
      </c>
      <c r="V4922" s="35" t="inlineStr">
        <is>
          <t>Не определено</t>
        </is>
      </c>
      <c r="W4922" s="35" t="inlineStr"/>
      <c r="X4922" s="35" t="inlineStr"/>
    </row>
    <row r="4923" ht="27.75" customHeight="1" s="24">
      <c r="A4923" s="13" t="n">
        <v>5000021368</v>
      </c>
      <c r="B4923" s="13" t="inlineStr">
        <is>
          <t>ГКУ "Центр бухгалтерского учета и отчетности в сфере социальной защиты Сахалинской области"</t>
        </is>
      </c>
      <c r="C4923" s="13" t="n">
        <v>6501301874</v>
      </c>
      <c r="D4923" s="13" t="inlineStr">
        <is>
          <t>6501301874</t>
        </is>
      </c>
      <c r="E4923" s="13" t="inlineStr">
        <is>
          <t>ЮЛ РФ</t>
        </is>
      </c>
      <c r="F4923" s="13" t="n"/>
      <c r="G4923" s="14" t="n"/>
      <c r="H4923" s="14" t="n"/>
      <c r="I4923" s="14" t="n"/>
      <c r="J4923" s="14" t="n"/>
      <c r="K4923" s="53" t="inlineStr"/>
      <c r="L4923" s="53" t="inlineStr">
        <is>
          <t>Не определено</t>
        </is>
      </c>
      <c r="M4923" s="53" t="inlineStr"/>
      <c r="N4923" s="54" t="inlineStr"/>
      <c r="O4923" s="55" t="inlineStr"/>
      <c r="P4923" s="16" t="inlineStr">
        <is>
          <t>Требует обогащения</t>
        </is>
      </c>
      <c r="Q4923" s="16">
        <f>HYPERLINK("https://pb.nalog.ru/search.html?query=6501301874","ФНС: проверить")</f>
        <v/>
      </c>
      <c r="R4923" s="16">
        <f>HYPERLINK("https://checko.ru/search?query=3801001629","Чекко: проверить")</f>
        <v/>
      </c>
      <c r="S4923" t="n">
        <v>0</v>
      </c>
      <c r="T4923" s="35" t="inlineStr">
        <is>
          <t>4 — Не обогащён</t>
        </is>
      </c>
      <c r="U4923" s="35" t="inlineStr">
        <is>
          <t>Нет ОКВЭД/ССЧР</t>
        </is>
      </c>
      <c r="V4923" s="35" t="inlineStr">
        <is>
          <t>Не определено</t>
        </is>
      </c>
      <c r="W4923" s="35" t="inlineStr"/>
      <c r="X4923" s="35" t="inlineStr"/>
    </row>
    <row r="4924" ht="15" customHeight="1" s="24">
      <c r="A4924" s="13" t="n">
        <v>5000049748</v>
      </c>
      <c r="B4924" s="13" t="inlineStr">
        <is>
          <t>МОУ СОШ № 25</t>
        </is>
      </c>
      <c r="C4924" s="13" t="n">
        <v>3816002417</v>
      </c>
      <c r="D4924" s="13" t="inlineStr">
        <is>
          <t>3816002417</t>
        </is>
      </c>
      <c r="E4924" s="13" t="inlineStr">
        <is>
          <t>ЮЛ РФ</t>
        </is>
      </c>
      <c r="F4924" s="13" t="n"/>
      <c r="G4924" s="14" t="n"/>
      <c r="H4924" s="14" t="n"/>
      <c r="I4924" s="14" t="n"/>
      <c r="J4924" s="14" t="n"/>
      <c r="K4924" s="53" t="inlineStr"/>
      <c r="L4924" s="53" t="inlineStr">
        <is>
          <t>Не определено</t>
        </is>
      </c>
      <c r="M4924" s="53" t="inlineStr"/>
      <c r="N4924" s="54" t="inlineStr"/>
      <c r="O4924" s="55" t="inlineStr"/>
      <c r="P4924" s="16" t="inlineStr">
        <is>
          <t>Требует обогащения</t>
        </is>
      </c>
      <c r="Q4924" s="16">
        <f>HYPERLINK("https://pb.nalog.ru/search.html?query=3816002417","ФНС: проверить")</f>
        <v/>
      </c>
      <c r="R4924" s="16">
        <f>HYPERLINK("https://checko.ru/search?query=3801001629","Чекко: проверить")</f>
        <v/>
      </c>
      <c r="S4924" t="n">
        <v>1</v>
      </c>
      <c r="T4924" s="35" t="inlineStr">
        <is>
          <t>4 — Не обогащён</t>
        </is>
      </c>
      <c r="U4924" s="35" t="inlineStr">
        <is>
          <t>Нет ОКВЭД/ССЧР</t>
        </is>
      </c>
      <c r="V4924" s="35" t="inlineStr">
        <is>
          <t>Не определено</t>
        </is>
      </c>
      <c r="W4924" s="35" t="inlineStr"/>
      <c r="X4924" s="35" t="inlineStr"/>
    </row>
    <row r="4925" ht="27.75" customHeight="1" s="24">
      <c r="A4925" s="13" t="n">
        <v>5000100132</v>
      </c>
      <c r="B4925" s="13" t="inlineStr">
        <is>
          <t>Центр государственных закупок Сахалинской области</t>
        </is>
      </c>
      <c r="C4925" s="13" t="n">
        <v>6501220230</v>
      </c>
      <c r="D4925" s="13" t="inlineStr">
        <is>
          <t>6501220230</t>
        </is>
      </c>
      <c r="E4925" s="13" t="inlineStr">
        <is>
          <t>ЮЛ РФ</t>
        </is>
      </c>
      <c r="F4925" s="13" t="n"/>
      <c r="G4925" s="14" t="n"/>
      <c r="H4925" s="14" t="n"/>
      <c r="I4925" s="14" t="n"/>
      <c r="J4925" s="14" t="n"/>
      <c r="K4925" s="53" t="inlineStr"/>
      <c r="L4925" s="53" t="inlineStr">
        <is>
          <t>Не определено</t>
        </is>
      </c>
      <c r="M4925" s="53" t="inlineStr"/>
      <c r="N4925" s="54" t="inlineStr"/>
      <c r="O4925" s="55" t="inlineStr"/>
      <c r="P4925" s="16" t="inlineStr">
        <is>
          <t>Требует обогащения</t>
        </is>
      </c>
      <c r="Q4925" s="16">
        <f>HYPERLINK("https://pb.nalog.ru/search.html?query=6501220230","ФНС: проверить")</f>
        <v/>
      </c>
      <c r="R4925" s="16">
        <f>HYPERLINK("https://checko.ru/search?query=3801001629","Чекко: проверить")</f>
        <v/>
      </c>
      <c r="S4925" t="n">
        <v>0</v>
      </c>
      <c r="T4925" s="35" t="inlineStr">
        <is>
          <t>4 — Не обогащён</t>
        </is>
      </c>
      <c r="U4925" s="35" t="inlineStr">
        <is>
          <t>Нет ОКВЭД/ССЧР</t>
        </is>
      </c>
      <c r="V4925" s="35" t="inlineStr">
        <is>
          <t>Не определено</t>
        </is>
      </c>
      <c r="W4925" s="35" t="inlineStr"/>
      <c r="X4925" s="35" t="inlineStr"/>
    </row>
    <row r="4926" ht="15" customHeight="1" s="24">
      <c r="A4926" s="13" t="n">
        <v>5000049724</v>
      </c>
      <c r="B4926" s="13" t="inlineStr">
        <is>
          <t>МОУ ДОД "Детская художественная школа"</t>
        </is>
      </c>
      <c r="C4926" s="13" t="n">
        <v>3816003523</v>
      </c>
      <c r="D4926" s="13" t="inlineStr">
        <is>
          <t>3816003523</t>
        </is>
      </c>
      <c r="E4926" s="13" t="inlineStr">
        <is>
          <t>ЮЛ РФ</t>
        </is>
      </c>
      <c r="F4926" s="13" t="n"/>
      <c r="G4926" s="14" t="n"/>
      <c r="H4926" s="14" t="n"/>
      <c r="I4926" s="14" t="n"/>
      <c r="J4926" s="14" t="n"/>
      <c r="K4926" s="53" t="inlineStr"/>
      <c r="L4926" s="53" t="inlineStr">
        <is>
          <t>Не определено</t>
        </is>
      </c>
      <c r="M4926" s="53" t="inlineStr"/>
      <c r="N4926" s="54" t="inlineStr"/>
      <c r="O4926" s="55" t="inlineStr"/>
      <c r="P4926" s="16" t="inlineStr">
        <is>
          <t>Требует обогащения</t>
        </is>
      </c>
      <c r="Q4926" s="16">
        <f>HYPERLINK("https://pb.nalog.ru/search.html?query=3816003523","ФНС: проверить")</f>
        <v/>
      </c>
      <c r="R4926" s="16">
        <f>HYPERLINK("https://checko.ru/search?query=3801001629","Чекко: проверить")</f>
        <v/>
      </c>
      <c r="S4926" t="n">
        <v>1</v>
      </c>
      <c r="T4926" s="35" t="inlineStr">
        <is>
          <t>4 — Не обогащён</t>
        </is>
      </c>
      <c r="U4926" s="35" t="inlineStr">
        <is>
          <t>Нет ОКВЭД/ССЧР</t>
        </is>
      </c>
      <c r="V4926" s="35" t="inlineStr">
        <is>
          <t>Не определено</t>
        </is>
      </c>
      <c r="W4926" s="35" t="inlineStr"/>
      <c r="X4926" s="35" t="inlineStr"/>
    </row>
    <row r="4927" ht="41.25" customHeight="1" s="24">
      <c r="A4927" s="13" t="n">
        <v>5000100127</v>
      </c>
      <c r="B4927" s="13" t="inlineStr">
        <is>
          <t>ГКУ "Дирекция по реализации Федеральной программы социально-экономического развития Курильских остро</t>
        </is>
      </c>
      <c r="C4927" s="13" t="n">
        <v>6501153778</v>
      </c>
      <c r="D4927" s="13" t="inlineStr">
        <is>
          <t>6501153778</t>
        </is>
      </c>
      <c r="E4927" s="13" t="inlineStr">
        <is>
          <t>ЮЛ РФ</t>
        </is>
      </c>
      <c r="F4927" s="13" t="n"/>
      <c r="G4927" s="14" t="n"/>
      <c r="H4927" s="14" t="n"/>
      <c r="I4927" s="14" t="n"/>
      <c r="J4927" s="14" t="n"/>
      <c r="K4927" s="53" t="inlineStr"/>
      <c r="L4927" s="53" t="inlineStr">
        <is>
          <t>Не определено</t>
        </is>
      </c>
      <c r="M4927" s="53" t="inlineStr"/>
      <c r="N4927" s="54" t="inlineStr"/>
      <c r="O4927" s="55" t="inlineStr"/>
      <c r="P4927" s="16" t="inlineStr">
        <is>
          <t>Требует обогащения</t>
        </is>
      </c>
      <c r="Q4927" s="16">
        <f>HYPERLINK("https://pb.nalog.ru/search.html?query=6501153778","ФНС: проверить")</f>
        <v/>
      </c>
      <c r="R4927" s="16">
        <f>HYPERLINK("https://checko.ru/search?query=3801001629","Чекко: проверить")</f>
        <v/>
      </c>
      <c r="S4927" t="n">
        <v>0</v>
      </c>
      <c r="T4927" s="35" t="inlineStr">
        <is>
          <t>4 — Не обогащён</t>
        </is>
      </c>
      <c r="U4927" s="35" t="inlineStr">
        <is>
          <t>Нет ОКВЭД/ССЧР</t>
        </is>
      </c>
      <c r="V4927" s="35" t="inlineStr">
        <is>
          <t>Не определено</t>
        </is>
      </c>
      <c r="W4927" s="35" t="inlineStr"/>
      <c r="X4927" s="35" t="inlineStr"/>
    </row>
    <row r="4928" ht="27.75" customHeight="1" s="24">
      <c r="A4928" s="13" t="n">
        <v>5000029818</v>
      </c>
      <c r="B4928" s="13" t="inlineStr">
        <is>
          <t>ГКУ "Централизованная бухгалтерия здравоохранения"</t>
        </is>
      </c>
      <c r="C4928" s="13" t="n">
        <v>6501238661</v>
      </c>
      <c r="D4928" s="13" t="inlineStr">
        <is>
          <t>6501238661</t>
        </is>
      </c>
      <c r="E4928" s="13" t="inlineStr">
        <is>
          <t>ЮЛ РФ</t>
        </is>
      </c>
      <c r="F4928" s="13" t="n"/>
      <c r="G4928" s="14" t="n"/>
      <c r="H4928" s="14" t="n"/>
      <c r="I4928" s="14" t="n"/>
      <c r="J4928" s="14" t="n"/>
      <c r="K4928" s="53" t="inlineStr"/>
      <c r="L4928" s="53" t="inlineStr">
        <is>
          <t>Не определено</t>
        </is>
      </c>
      <c r="M4928" s="53" t="inlineStr"/>
      <c r="N4928" s="54" t="inlineStr"/>
      <c r="O4928" s="55" t="inlineStr"/>
      <c r="P4928" s="16" t="inlineStr">
        <is>
          <t>Требует обогащения</t>
        </is>
      </c>
      <c r="Q4928" s="16">
        <f>HYPERLINK("https://pb.nalog.ru/search.html?query=6501238661","ФНС: проверить")</f>
        <v/>
      </c>
      <c r="R4928" s="16">
        <f>HYPERLINK("https://checko.ru/search?query=3801001629","Чекко: проверить")</f>
        <v/>
      </c>
      <c r="S4928" t="n">
        <v>0</v>
      </c>
      <c r="T4928" s="35" t="inlineStr">
        <is>
          <t>4 — Не обогащён</t>
        </is>
      </c>
      <c r="U4928" s="35" t="inlineStr">
        <is>
          <t>Нет ОКВЭД/ССЧР</t>
        </is>
      </c>
      <c r="V4928" s="35" t="inlineStr">
        <is>
          <t>Не определено</t>
        </is>
      </c>
      <c r="W4928" s="35" t="inlineStr"/>
      <c r="X4928" s="35" t="inlineStr"/>
    </row>
    <row r="4929" ht="41.25" customHeight="1" s="24">
      <c r="A4929" s="13" t="n">
        <v>5000100104</v>
      </c>
      <c r="B4929" s="13" t="inlineStr">
        <is>
          <t>Государственное казенное учреждение "Управление Транспорта и Дорожного Мониторинга Сахалинской Области"</t>
        </is>
      </c>
      <c r="C4929" s="13" t="n">
        <v>6501281755</v>
      </c>
      <c r="D4929" s="13" t="inlineStr">
        <is>
          <t>6501281755</t>
        </is>
      </c>
      <c r="E4929" s="13" t="inlineStr">
        <is>
          <t>ЮЛ РФ</t>
        </is>
      </c>
      <c r="F4929" s="13" t="n"/>
      <c r="G4929" s="14" t="n"/>
      <c r="H4929" s="14" t="n"/>
      <c r="I4929" s="14" t="n"/>
      <c r="J4929" s="14" t="n"/>
      <c r="K4929" s="53" t="inlineStr"/>
      <c r="L4929" s="53" t="inlineStr">
        <is>
          <t>Не определено</t>
        </is>
      </c>
      <c r="M4929" s="53" t="inlineStr"/>
      <c r="N4929" s="54" t="inlineStr"/>
      <c r="O4929" s="55" t="inlineStr"/>
      <c r="P4929" s="16" t="inlineStr">
        <is>
          <t>Требует обогащения</t>
        </is>
      </c>
      <c r="Q4929" s="16">
        <f>HYPERLINK("https://pb.nalog.ru/search.html?query=6501281755","ФНС: проверить")</f>
        <v/>
      </c>
      <c r="R4929" s="16">
        <f>HYPERLINK("https://checko.ru/search?query=3801001629","Чекко: проверить")</f>
        <v/>
      </c>
      <c r="S4929" t="n">
        <v>0</v>
      </c>
      <c r="T4929" s="35" t="inlineStr">
        <is>
          <t>4 — Не обогащён</t>
        </is>
      </c>
      <c r="U4929" s="35" t="inlineStr">
        <is>
          <t>Нет ОКВЭД/ССЧР</t>
        </is>
      </c>
      <c r="V4929" s="35" t="inlineStr">
        <is>
          <t>Не определено</t>
        </is>
      </c>
      <c r="W4929" s="35" t="inlineStr"/>
      <c r="X4929" s="35" t="inlineStr"/>
    </row>
    <row r="4930" ht="41.25" customHeight="1" s="24">
      <c r="A4930" s="13" t="n">
        <v>5000104897</v>
      </c>
      <c r="B4930" s="13" t="inlineStr">
        <is>
          <t>ГОСУДАРСТВЕННОЕ КАЗЕННОЕ УЧРЕЖДЕНИЕ САХАЛИНСКОЙ ОБЛАСТИ "ЦЕНТР ГОСУДАРСТВЕННО-ЧАСТНОГО ПАРТНЕРСТВА"</t>
        </is>
      </c>
      <c r="C4930" s="13" t="n">
        <v>6500013094</v>
      </c>
      <c r="D4930" s="13" t="inlineStr">
        <is>
          <t>6500013094</t>
        </is>
      </c>
      <c r="E4930" s="13" t="inlineStr">
        <is>
          <t>ЮЛ РФ</t>
        </is>
      </c>
      <c r="F4930" s="13" t="n"/>
      <c r="G4930" s="14" t="n"/>
      <c r="H4930" s="14" t="n"/>
      <c r="I4930" s="14" t="n"/>
      <c r="J4930" s="14" t="n"/>
      <c r="K4930" s="53" t="inlineStr"/>
      <c r="L4930" s="53" t="inlineStr">
        <is>
          <t>Не определено</t>
        </is>
      </c>
      <c r="M4930" s="53" t="inlineStr"/>
      <c r="N4930" s="54" t="inlineStr"/>
      <c r="O4930" s="55" t="inlineStr"/>
      <c r="P4930" s="16" t="inlineStr">
        <is>
          <t>Требует обогащения</t>
        </is>
      </c>
      <c r="Q4930" s="16">
        <f>HYPERLINK("https://pb.nalog.ru/search.html?query=6500013094","ФНС: проверить")</f>
        <v/>
      </c>
      <c r="R4930" s="16">
        <f>HYPERLINK("https://checko.ru/search?query=3801001629","Чекко: проверить")</f>
        <v/>
      </c>
      <c r="S4930" t="n">
        <v>0</v>
      </c>
      <c r="T4930" s="35" t="inlineStr">
        <is>
          <t>4 — Не обогащён</t>
        </is>
      </c>
      <c r="U4930" s="35" t="inlineStr">
        <is>
          <t>Нет ОКВЭД/ССЧР</t>
        </is>
      </c>
      <c r="V4930" s="35" t="inlineStr">
        <is>
          <t>Не определено</t>
        </is>
      </c>
      <c r="W4930" s="35" t="inlineStr"/>
      <c r="X4930" s="35" t="inlineStr"/>
    </row>
    <row r="4931" ht="15" customHeight="1" s="24">
      <c r="A4931" s="13" t="n">
        <v>5000057008</v>
      </c>
      <c r="B4931" s="13" t="inlineStr">
        <is>
          <t>МБУК "Баяндаевский Сельский Дом Культуры"</t>
        </is>
      </c>
      <c r="C4931" s="13" t="n">
        <v>3849034573</v>
      </c>
      <c r="D4931" s="13" t="inlineStr">
        <is>
          <t>3849034573</t>
        </is>
      </c>
      <c r="E4931" s="13" t="inlineStr">
        <is>
          <t>ЮЛ РФ</t>
        </is>
      </c>
      <c r="F4931" s="13" t="n"/>
      <c r="G4931" s="14" t="n"/>
      <c r="H4931" s="14" t="n"/>
      <c r="I4931" s="14" t="n"/>
      <c r="J4931" s="14" t="n"/>
      <c r="K4931" s="53" t="inlineStr"/>
      <c r="L4931" s="53" t="inlineStr">
        <is>
          <t>Не определено</t>
        </is>
      </c>
      <c r="M4931" s="53" t="inlineStr"/>
      <c r="N4931" s="54" t="inlineStr"/>
      <c r="O4931" s="55" t="inlineStr"/>
      <c r="P4931" s="16" t="inlineStr">
        <is>
          <t>Требует обогащения</t>
        </is>
      </c>
      <c r="Q4931" s="16">
        <f>HYPERLINK("https://pb.nalog.ru/search.html?query=3849034573","ФНС: проверить")</f>
        <v/>
      </c>
      <c r="R4931" s="16">
        <f>HYPERLINK("https://checko.ru/search?query=3801001629","Чекко: проверить")</f>
        <v/>
      </c>
      <c r="S4931" t="n">
        <v>1</v>
      </c>
      <c r="T4931" s="35" t="inlineStr">
        <is>
          <t>4 — Не обогащён</t>
        </is>
      </c>
      <c r="U4931" s="35" t="inlineStr">
        <is>
          <t>Нет ОКВЭД/ССЧР</t>
        </is>
      </c>
      <c r="V4931" s="35" t="inlineStr">
        <is>
          <t>Не определено</t>
        </is>
      </c>
      <c r="W4931" s="35" t="inlineStr"/>
      <c r="X4931" s="35" t="inlineStr"/>
    </row>
    <row r="4932" ht="27.75" customHeight="1" s="24">
      <c r="A4932" s="13" t="n">
        <v>5000106615</v>
      </c>
      <c r="B4932" s="13" t="inlineStr">
        <is>
          <t>Общеобразовательное учреждение Города Тулуна "Основная Общеобразовательная Школа № 5"</t>
        </is>
      </c>
      <c r="C4932" s="13" t="n">
        <v>3816036173</v>
      </c>
      <c r="D4932" s="13" t="inlineStr">
        <is>
          <t>3816036173</t>
        </is>
      </c>
      <c r="E4932" s="13" t="inlineStr">
        <is>
          <t>ЮЛ РФ</t>
        </is>
      </c>
      <c r="F4932" s="13" t="n"/>
      <c r="G4932" s="14" t="n"/>
      <c r="H4932" s="14" t="n"/>
      <c r="I4932" s="14" t="n"/>
      <c r="J4932" s="14" t="n"/>
      <c r="K4932" s="53" t="inlineStr"/>
      <c r="L4932" s="53" t="inlineStr">
        <is>
          <t>Не определено</t>
        </is>
      </c>
      <c r="M4932" s="53" t="inlineStr"/>
      <c r="N4932" s="54" t="inlineStr"/>
      <c r="O4932" s="55" t="inlineStr"/>
      <c r="P4932" s="16" t="inlineStr">
        <is>
          <t>Требует обогащения</t>
        </is>
      </c>
      <c r="Q4932" s="16">
        <f>HYPERLINK("https://pb.nalog.ru/search.html?query=3816036173","ФНС: проверить")</f>
        <v/>
      </c>
      <c r="R4932" s="16">
        <f>HYPERLINK("https://checko.ru/search?query=3801001629","Чекко: проверить")</f>
        <v/>
      </c>
      <c r="S4932" t="n">
        <v>1</v>
      </c>
      <c r="T4932" s="35" t="inlineStr">
        <is>
          <t>4 — Не обогащён</t>
        </is>
      </c>
      <c r="U4932" s="35" t="inlineStr">
        <is>
          <t>Нет ОКВЭД/ССЧР</t>
        </is>
      </c>
      <c r="V4932" s="35" t="inlineStr">
        <is>
          <t>Не определено</t>
        </is>
      </c>
      <c r="W4932" s="35" t="inlineStr"/>
      <c r="X4932" s="35" t="inlineStr"/>
    </row>
    <row r="4933" ht="15" customHeight="1" s="24">
      <c r="A4933" s="13" t="n">
        <v>5000058017</v>
      </c>
      <c r="B4933" s="13" t="inlineStr">
        <is>
          <t>Дума муниципального образования "Иваническ"</t>
        </is>
      </c>
      <c r="C4933" s="13" t="n">
        <v>8501007058</v>
      </c>
      <c r="D4933" s="13" t="inlineStr">
        <is>
          <t>8501007058</t>
        </is>
      </c>
      <c r="E4933" s="13" t="inlineStr">
        <is>
          <t>ЮЛ РФ</t>
        </is>
      </c>
      <c r="F4933" s="13" t="n"/>
      <c r="G4933" s="14" t="n"/>
      <c r="H4933" s="14" t="n"/>
      <c r="I4933" s="14" t="n"/>
      <c r="J4933" s="14" t="n"/>
      <c r="K4933" s="53" t="inlineStr"/>
      <c r="L4933" s="53" t="inlineStr">
        <is>
          <t>Не определено</t>
        </is>
      </c>
      <c r="M4933" s="53" t="inlineStr"/>
      <c r="N4933" s="54" t="inlineStr"/>
      <c r="O4933" s="55" t="inlineStr"/>
      <c r="P4933" s="16" t="inlineStr">
        <is>
          <t>Требует обогащения</t>
        </is>
      </c>
      <c r="Q4933" s="16">
        <f>HYPERLINK("https://pb.nalog.ru/search.html?query=8501007058","ФНС: проверить")</f>
        <v/>
      </c>
      <c r="R4933" s="16">
        <f>HYPERLINK("https://checko.ru/search?query=3801001629","Чекко: проверить")</f>
        <v/>
      </c>
      <c r="S4933" t="n">
        <v>1</v>
      </c>
      <c r="T4933" s="35" t="inlineStr">
        <is>
          <t>4 — Не обогащён</t>
        </is>
      </c>
      <c r="U4933" s="35" t="inlineStr">
        <is>
          <t>Нет ОКВЭД/ССЧР</t>
        </is>
      </c>
      <c r="V4933" s="35" t="inlineStr">
        <is>
          <t>Не определено</t>
        </is>
      </c>
      <c r="W4933" s="35" t="inlineStr"/>
      <c r="X4933" s="35" t="inlineStr"/>
    </row>
    <row r="4934" ht="27.75" customHeight="1" s="24">
      <c r="A4934" s="13" t="n">
        <v>5000057453</v>
      </c>
      <c r="B4934" s="13" t="inlineStr">
        <is>
          <t>МКУ Катангского района "Административно-хозяйственная часть"</t>
        </is>
      </c>
      <c r="C4934" s="13" t="n">
        <v>3818031903</v>
      </c>
      <c r="D4934" s="13" t="inlineStr">
        <is>
          <t>3818031903</t>
        </is>
      </c>
      <c r="E4934" s="13" t="inlineStr">
        <is>
          <t>ЮЛ РФ</t>
        </is>
      </c>
      <c r="F4934" s="13" t="n"/>
      <c r="G4934" s="14" t="n"/>
      <c r="H4934" s="14" t="n"/>
      <c r="I4934" s="14" t="n"/>
      <c r="J4934" s="14" t="n"/>
      <c r="K4934" s="53" t="inlineStr"/>
      <c r="L4934" s="53" t="inlineStr">
        <is>
          <t>Не определено</t>
        </is>
      </c>
      <c r="M4934" s="53" t="inlineStr"/>
      <c r="N4934" s="54" t="inlineStr"/>
      <c r="O4934" s="55" t="inlineStr"/>
      <c r="P4934" s="16" t="inlineStr">
        <is>
          <t>Требует обогащения</t>
        </is>
      </c>
      <c r="Q4934" s="16">
        <f>HYPERLINK("https://pb.nalog.ru/search.html?query=3818031903","ФНС: проверить")</f>
        <v/>
      </c>
      <c r="R4934" s="16">
        <f>HYPERLINK("https://checko.ru/search?query=3801001629","Чекко: проверить")</f>
        <v/>
      </c>
      <c r="S4934" t="n">
        <v>1</v>
      </c>
      <c r="T4934" s="35" t="inlineStr">
        <is>
          <t>4 — Не обогащён</t>
        </is>
      </c>
      <c r="U4934" s="35" t="inlineStr">
        <is>
          <t>Нет ОКВЭД/ССЧР</t>
        </is>
      </c>
      <c r="V4934" s="35" t="inlineStr">
        <is>
          <t>Не определено</t>
        </is>
      </c>
      <c r="W4934" s="35" t="inlineStr"/>
      <c r="X4934" s="35" t="inlineStr"/>
    </row>
    <row r="4935" ht="27.75" customHeight="1" s="24">
      <c r="A4935" s="13" t="n">
        <v>5000058016</v>
      </c>
      <c r="B4935" s="13" t="inlineStr">
        <is>
          <t>Финансовый отдел администрации муниципального образования "Иваническ"</t>
        </is>
      </c>
      <c r="C4935" s="13" t="n">
        <v>8501004956</v>
      </c>
      <c r="D4935" s="13" t="inlineStr">
        <is>
          <t>8501004956</t>
        </is>
      </c>
      <c r="E4935" s="13" t="inlineStr">
        <is>
          <t>ЮЛ РФ</t>
        </is>
      </c>
      <c r="F4935" s="13" t="n"/>
      <c r="G4935" s="14" t="n"/>
      <c r="H4935" s="14" t="n"/>
      <c r="I4935" s="14" t="n"/>
      <c r="J4935" s="14" t="n"/>
      <c r="K4935" s="53" t="inlineStr"/>
      <c r="L4935" s="53" t="inlineStr">
        <is>
          <t>Не определено</t>
        </is>
      </c>
      <c r="M4935" s="53" t="inlineStr"/>
      <c r="N4935" s="54" t="inlineStr"/>
      <c r="O4935" s="55" t="inlineStr"/>
      <c r="P4935" s="16" t="inlineStr">
        <is>
          <t>Требует обогащения</t>
        </is>
      </c>
      <c r="Q4935" s="16">
        <f>HYPERLINK("https://pb.nalog.ru/search.html?query=8501004956","ФНС: проверить")</f>
        <v/>
      </c>
      <c r="R4935" s="16">
        <f>HYPERLINK("https://checko.ru/search?query=3801001629","Чекко: проверить")</f>
        <v/>
      </c>
      <c r="S4935" t="n">
        <v>1</v>
      </c>
      <c r="T4935" s="35" t="inlineStr">
        <is>
          <t>4 — Не обогащён</t>
        </is>
      </c>
      <c r="U4935" s="35" t="inlineStr">
        <is>
          <t>Нет ОКВЭД/ССЧР</t>
        </is>
      </c>
      <c r="V4935" s="35" t="inlineStr">
        <is>
          <t>Не определено</t>
        </is>
      </c>
      <c r="W4935" s="35" t="inlineStr"/>
      <c r="X4935" s="35" t="inlineStr"/>
    </row>
    <row r="4936" ht="54.75" customHeight="1" s="24">
      <c r="A4936" s="13" t="n">
        <v>5000098662</v>
      </c>
      <c r="B4936" s="13" t="inlineStr">
        <is>
          <t>Государственное казенное учреждение Сахалинской области «Дирекция по реализации программ в сфере жилищно-коммунального хозяйства Сахалинской области»</t>
        </is>
      </c>
      <c r="C4936" s="13" t="n">
        <v>6501307403</v>
      </c>
      <c r="D4936" s="13" t="inlineStr">
        <is>
          <t>6501307403</t>
        </is>
      </c>
      <c r="E4936" s="13" t="inlineStr">
        <is>
          <t>ЮЛ РФ</t>
        </is>
      </c>
      <c r="F4936" s="13" t="n"/>
      <c r="G4936" s="14" t="n"/>
      <c r="H4936" s="14" t="n"/>
      <c r="I4936" s="14" t="n"/>
      <c r="J4936" s="14" t="n"/>
      <c r="K4936" s="53" t="inlineStr"/>
      <c r="L4936" s="53" t="inlineStr">
        <is>
          <t>Не определено</t>
        </is>
      </c>
      <c r="M4936" s="53" t="inlineStr"/>
      <c r="N4936" s="54" t="inlineStr"/>
      <c r="O4936" s="55" t="inlineStr"/>
      <c r="P4936" s="16" t="inlineStr">
        <is>
          <t>Требует обогащения</t>
        </is>
      </c>
      <c r="Q4936" s="16">
        <f>HYPERLINK("https://pb.nalog.ru/search.html?query=6501307403","ФНС: проверить")</f>
        <v/>
      </c>
      <c r="R4936" s="16">
        <f>HYPERLINK("https://checko.ru/search?query=3801001629","Чекко: проверить")</f>
        <v/>
      </c>
      <c r="S4936" t="n">
        <v>0</v>
      </c>
      <c r="T4936" s="35" t="inlineStr">
        <is>
          <t>4 — Не обогащён</t>
        </is>
      </c>
      <c r="U4936" s="35" t="inlineStr">
        <is>
          <t>Нет ОКВЭД/ССЧР</t>
        </is>
      </c>
      <c r="V4936" s="35" t="inlineStr">
        <is>
          <t>Не определено</t>
        </is>
      </c>
      <c r="W4936" s="35" t="inlineStr"/>
      <c r="X4936" s="35" t="inlineStr"/>
    </row>
    <row r="4937" ht="41.25" customHeight="1" s="24">
      <c r="A4937" s="13" t="n">
        <v>5000107352</v>
      </c>
      <c r="B4937" s="13" t="inlineStr">
        <is>
          <t>Государственное казенное учреждение Сахалинской Области "Отраслевой Функциональный Центр Системы Образования"</t>
        </is>
      </c>
      <c r="C4937" s="13" t="n">
        <v>6501243446</v>
      </c>
      <c r="D4937" s="13" t="inlineStr">
        <is>
          <t>6501243446</t>
        </is>
      </c>
      <c r="E4937" s="13" t="inlineStr">
        <is>
          <t>ЮЛ РФ</t>
        </is>
      </c>
      <c r="F4937" s="13" t="n"/>
      <c r="G4937" s="14" t="n"/>
      <c r="H4937" s="14" t="n"/>
      <c r="I4937" s="14" t="n"/>
      <c r="J4937" s="14" t="n"/>
      <c r="K4937" s="53" t="inlineStr"/>
      <c r="L4937" s="53" t="inlineStr">
        <is>
          <t>Не определено</t>
        </is>
      </c>
      <c r="M4937" s="53" t="inlineStr"/>
      <c r="N4937" s="54" t="inlineStr"/>
      <c r="O4937" s="55" t="inlineStr"/>
      <c r="P4937" s="16" t="inlineStr">
        <is>
          <t>Требует обогащения</t>
        </is>
      </c>
      <c r="Q4937" s="16">
        <f>HYPERLINK("https://pb.nalog.ru/search.html?query=6501243446","ФНС: проверить")</f>
        <v/>
      </c>
      <c r="R4937" s="16">
        <f>HYPERLINK("https://checko.ru/search?query=3801001629","Чекко: проверить")</f>
        <v/>
      </c>
      <c r="S4937" t="n">
        <v>0</v>
      </c>
      <c r="T4937" s="35" t="inlineStr">
        <is>
          <t>4 — Не обогащён</t>
        </is>
      </c>
      <c r="U4937" s="35" t="inlineStr">
        <is>
          <t>Нет ОКВЭД/ССЧР</t>
        </is>
      </c>
      <c r="V4937" s="35" t="inlineStr">
        <is>
          <t>Не определено</t>
        </is>
      </c>
      <c r="W4937" s="35" t="inlineStr"/>
      <c r="X4937" s="35" t="inlineStr"/>
    </row>
    <row r="4938" ht="15" customHeight="1" s="24">
      <c r="A4938" s="13" t="n">
        <v>5000097566</v>
      </c>
      <c r="B4938" s="13" t="inlineStr">
        <is>
          <t>МБУК г.  ТУЛУНА ДК "СТРОИТЕЛЬ"</t>
        </is>
      </c>
      <c r="C4938" s="13" t="n">
        <v>3816034553</v>
      </c>
      <c r="D4938" s="13" t="inlineStr">
        <is>
          <t>3816034553</t>
        </is>
      </c>
      <c r="E4938" s="13" t="inlineStr">
        <is>
          <t>ЮЛ РФ</t>
        </is>
      </c>
      <c r="F4938" s="13" t="n"/>
      <c r="G4938" s="14" t="n"/>
      <c r="H4938" s="14" t="n"/>
      <c r="I4938" s="14" t="n"/>
      <c r="J4938" s="14" t="n"/>
      <c r="K4938" s="53" t="inlineStr"/>
      <c r="L4938" s="53" t="inlineStr">
        <is>
          <t>Не определено</t>
        </is>
      </c>
      <c r="M4938" s="53" t="inlineStr"/>
      <c r="N4938" s="54" t="inlineStr"/>
      <c r="O4938" s="55" t="inlineStr"/>
      <c r="P4938" s="16" t="inlineStr">
        <is>
          <t>Требует обогащения</t>
        </is>
      </c>
      <c r="Q4938" s="16">
        <f>HYPERLINK("https://pb.nalog.ru/search.html?query=3816034553","ФНС: проверить")</f>
        <v/>
      </c>
      <c r="R4938" s="16">
        <f>HYPERLINK("https://checko.ru/search?query=3801001629","Чекко: проверить")</f>
        <v/>
      </c>
      <c r="S4938" t="n">
        <v>1</v>
      </c>
      <c r="T4938" s="35" t="inlineStr">
        <is>
          <t>4 — Не обогащён</t>
        </is>
      </c>
      <c r="U4938" s="35" t="inlineStr">
        <is>
          <t>Нет ОКВЭД/ССЧР</t>
        </is>
      </c>
      <c r="V4938" s="35" t="inlineStr">
        <is>
          <t>Не определено</t>
        </is>
      </c>
      <c r="W4938" s="35" t="inlineStr"/>
      <c r="X4938" s="35" t="inlineStr"/>
    </row>
    <row r="4939" ht="27.75" customHeight="1" s="24">
      <c r="A4939" s="13" t="n">
        <v>5000081340</v>
      </c>
      <c r="B4939" s="13" t="inlineStr">
        <is>
          <t>МКОУ МЕТЛЯЕВСКАЯ НАЧАЛЬНАЯ ШКОЛА-ДЕТСКИЙ САД</t>
        </is>
      </c>
      <c r="C4939" s="13" t="n">
        <v>3822001267</v>
      </c>
      <c r="D4939" s="13" t="inlineStr">
        <is>
          <t>3822001267</t>
        </is>
      </c>
      <c r="E4939" s="13" t="inlineStr">
        <is>
          <t>ЮЛ РФ</t>
        </is>
      </c>
      <c r="F4939" s="13" t="n"/>
      <c r="G4939" s="14" t="n"/>
      <c r="H4939" s="14" t="n"/>
      <c r="I4939" s="14" t="n"/>
      <c r="J4939" s="14" t="n"/>
      <c r="K4939" s="53" t="inlineStr"/>
      <c r="L4939" s="53" t="inlineStr">
        <is>
          <t>Не определено</t>
        </is>
      </c>
      <c r="M4939" s="53" t="inlineStr"/>
      <c r="N4939" s="54" t="inlineStr"/>
      <c r="O4939" s="55" t="inlineStr"/>
      <c r="P4939" s="16" t="inlineStr">
        <is>
          <t>Требует обогащения</t>
        </is>
      </c>
      <c r="Q4939" s="16">
        <f>HYPERLINK("https://pb.nalog.ru/search.html?query=3822001267","ФНС: проверить")</f>
        <v/>
      </c>
      <c r="R4939" s="16">
        <f>HYPERLINK("https://checko.ru/search?query=3801001629","Чекко: проверить")</f>
        <v/>
      </c>
      <c r="S4939" t="n">
        <v>1</v>
      </c>
      <c r="T4939" s="35" t="inlineStr">
        <is>
          <t>4 — Не обогащён</t>
        </is>
      </c>
      <c r="U4939" s="35" t="inlineStr">
        <is>
          <t>Нет ОКВЭД/ССЧР</t>
        </is>
      </c>
      <c r="V4939" s="35" t="inlineStr">
        <is>
          <t>Не определено</t>
        </is>
      </c>
      <c r="W4939" s="35" t="inlineStr"/>
      <c r="X4939" s="35" t="inlineStr"/>
    </row>
    <row r="4940" ht="41.25" customHeight="1" s="24">
      <c r="A4940" s="13" t="n">
        <v>5000100115</v>
      </c>
      <c r="B4940" s="13" t="inlineStr">
        <is>
          <t>ГБУ Сахалинской области "Многофункциональный центр предоставления государственных и муниципальных услуг"</t>
        </is>
      </c>
      <c r="C4940" s="13" t="n">
        <v>6501250531</v>
      </c>
      <c r="D4940" s="13" t="inlineStr">
        <is>
          <t>6501250531</t>
        </is>
      </c>
      <c r="E4940" s="13" t="inlineStr">
        <is>
          <t>ЮЛ РФ</t>
        </is>
      </c>
      <c r="F4940" s="13" t="n"/>
      <c r="G4940" s="14" t="n"/>
      <c r="H4940" s="14" t="n"/>
      <c r="I4940" s="14" t="n"/>
      <c r="J4940" s="14" t="n"/>
      <c r="K4940" s="53" t="inlineStr"/>
      <c r="L4940" s="53" t="inlineStr">
        <is>
          <t>Не определено</t>
        </is>
      </c>
      <c r="M4940" s="53" t="inlineStr"/>
      <c r="N4940" s="54" t="inlineStr"/>
      <c r="O4940" s="55" t="inlineStr"/>
      <c r="P4940" s="16" t="inlineStr">
        <is>
          <t>Требует обогащения</t>
        </is>
      </c>
      <c r="Q4940" s="16">
        <f>HYPERLINK("https://pb.nalog.ru/search.html?query=6501250531","ФНС: проверить")</f>
        <v/>
      </c>
      <c r="R4940" s="16">
        <f>HYPERLINK("https://checko.ru/search?query=3801001629","Чекко: проверить")</f>
        <v/>
      </c>
      <c r="S4940" t="n">
        <v>0</v>
      </c>
      <c r="T4940" s="35" t="inlineStr">
        <is>
          <t>4 — Не обогащён</t>
        </is>
      </c>
      <c r="U4940" s="35" t="inlineStr">
        <is>
          <t>Нет ОКВЭД/ССЧР</t>
        </is>
      </c>
      <c r="V4940" s="35" t="inlineStr">
        <is>
          <t>Не определено</t>
        </is>
      </c>
      <c r="W4940" s="35" t="inlineStr"/>
      <c r="X4940" s="35" t="inlineStr"/>
    </row>
    <row r="4941" ht="15" customHeight="1" s="24">
      <c r="A4941" s="13" t="n">
        <v>5000069661</v>
      </c>
      <c r="B4941" s="13" t="inlineStr">
        <is>
          <t>МБОУ СОШ "Новая ЭРА"</t>
        </is>
      </c>
      <c r="C4941" s="13" t="n">
        <v>3816032299</v>
      </c>
      <c r="D4941" s="13" t="inlineStr">
        <is>
          <t>3816032299</t>
        </is>
      </c>
      <c r="E4941" s="13" t="inlineStr">
        <is>
          <t>ЮЛ РФ</t>
        </is>
      </c>
      <c r="F4941" s="13" t="n"/>
      <c r="G4941" s="14" t="n"/>
      <c r="H4941" s="14" t="n"/>
      <c r="I4941" s="14" t="n"/>
      <c r="J4941" s="14" t="n"/>
      <c r="K4941" s="53" t="inlineStr"/>
      <c r="L4941" s="53" t="inlineStr">
        <is>
          <t>Не определено</t>
        </is>
      </c>
      <c r="M4941" s="53" t="inlineStr"/>
      <c r="N4941" s="54" t="inlineStr"/>
      <c r="O4941" s="55" t="inlineStr"/>
      <c r="P4941" s="16" t="inlineStr">
        <is>
          <t>Требует обогащения</t>
        </is>
      </c>
      <c r="Q4941" s="16">
        <f>HYPERLINK("https://pb.nalog.ru/search.html?query=3816032299","ФНС: проверить")</f>
        <v/>
      </c>
      <c r="R4941" s="16">
        <f>HYPERLINK("https://checko.ru/search?query=3801001629","Чекко: проверить")</f>
        <v/>
      </c>
      <c r="S4941" t="n">
        <v>1</v>
      </c>
      <c r="T4941" s="35" t="inlineStr">
        <is>
          <t>4 — Не обогащён</t>
        </is>
      </c>
      <c r="U4941" s="35" t="inlineStr">
        <is>
          <t>Нет ОКВЭД/ССЧР</t>
        </is>
      </c>
      <c r="V4941" s="35" t="inlineStr">
        <is>
          <t>Не определено</t>
        </is>
      </c>
      <c r="W4941" s="35" t="inlineStr"/>
      <c r="X4941" s="35" t="inlineStr"/>
    </row>
    <row r="4942" ht="41.25" customHeight="1" s="24">
      <c r="A4942" s="13" t="n">
        <v>5000014005</v>
      </c>
      <c r="B4942" s="13" t="inlineStr">
        <is>
          <t>Государственное казенное учреждение Сахалинской области "Централизованная бухгалтерия спорта"</t>
        </is>
      </c>
      <c r="C4942" s="13" t="n">
        <v>6501243862</v>
      </c>
      <c r="D4942" s="13" t="inlineStr">
        <is>
          <t>6501243862</t>
        </is>
      </c>
      <c r="E4942" s="13" t="inlineStr">
        <is>
          <t>ЮЛ РФ</t>
        </is>
      </c>
      <c r="F4942" s="13" t="n"/>
      <c r="G4942" s="14" t="n"/>
      <c r="H4942" s="14" t="n"/>
      <c r="I4942" s="14" t="n"/>
      <c r="J4942" s="14" t="n"/>
      <c r="K4942" s="53" t="inlineStr"/>
      <c r="L4942" s="53" t="inlineStr">
        <is>
          <t>Не определено</t>
        </is>
      </c>
      <c r="M4942" s="53" t="inlineStr"/>
      <c r="N4942" s="54" t="inlineStr"/>
      <c r="O4942" s="55" t="inlineStr"/>
      <c r="P4942" s="16" t="inlineStr">
        <is>
          <t>Требует обогащения</t>
        </is>
      </c>
      <c r="Q4942" s="16">
        <f>HYPERLINK("https://pb.nalog.ru/search.html?query=6501243862","ФНС: проверить")</f>
        <v/>
      </c>
      <c r="R4942" s="16">
        <f>HYPERLINK("https://checko.ru/search?query=3801001629","Чекко: проверить")</f>
        <v/>
      </c>
      <c r="S4942" t="n">
        <v>0</v>
      </c>
      <c r="T4942" s="35" t="inlineStr">
        <is>
          <t>4 — Не обогащён</t>
        </is>
      </c>
      <c r="U4942" s="35" t="inlineStr">
        <is>
          <t>Нет ОКВЭД/ССЧР</t>
        </is>
      </c>
      <c r="V4942" s="35" t="inlineStr">
        <is>
          <t>Не определено</t>
        </is>
      </c>
      <c r="W4942" s="35" t="inlineStr"/>
      <c r="X4942" s="35" t="inlineStr"/>
    </row>
    <row r="4943" ht="27.75" customHeight="1" s="24">
      <c r="A4943" s="13" t="n">
        <v>5000097554</v>
      </c>
      <c r="B4943" s="13" t="inlineStr">
        <is>
          <t>Финансовый отдел администрации муниципального образования "Куйта"</t>
        </is>
      </c>
      <c r="C4943" s="13" t="n">
        <v>8501004949</v>
      </c>
      <c r="D4943" s="13" t="inlineStr">
        <is>
          <t>8501004949</t>
        </is>
      </c>
      <c r="E4943" s="13" t="inlineStr">
        <is>
          <t>ЮЛ РФ</t>
        </is>
      </c>
      <c r="F4943" s="13" t="n"/>
      <c r="G4943" s="14" t="n"/>
      <c r="H4943" s="14" t="n"/>
      <c r="I4943" s="14" t="n"/>
      <c r="J4943" s="14" t="n"/>
      <c r="K4943" s="53" t="inlineStr"/>
      <c r="L4943" s="53" t="inlineStr">
        <is>
          <t>Не определено</t>
        </is>
      </c>
      <c r="M4943" s="53" t="inlineStr"/>
      <c r="N4943" s="54" t="inlineStr"/>
      <c r="O4943" s="55" t="inlineStr"/>
      <c r="P4943" s="16" t="inlineStr">
        <is>
          <t>Требует обогащения</t>
        </is>
      </c>
      <c r="Q4943" s="16">
        <f>HYPERLINK("https://pb.nalog.ru/search.html?query=8501004949","ФНС: проверить")</f>
        <v/>
      </c>
      <c r="R4943" s="16">
        <f>HYPERLINK("https://checko.ru/search?query=3801001629","Чекко: проверить")</f>
        <v/>
      </c>
      <c r="S4943" t="n">
        <v>1</v>
      </c>
      <c r="T4943" s="35" t="inlineStr">
        <is>
          <t>4 — Не обогащён</t>
        </is>
      </c>
      <c r="U4943" s="35" t="inlineStr">
        <is>
          <t>Нет ОКВЭД/ССЧР</t>
        </is>
      </c>
      <c r="V4943" s="35" t="inlineStr">
        <is>
          <t>Не определено</t>
        </is>
      </c>
      <c r="W4943" s="35" t="inlineStr"/>
      <c r="X4943" s="35" t="inlineStr"/>
    </row>
    <row r="4944" ht="41.25" customHeight="1" s="24">
      <c r="A4944" s="13" t="n">
        <v>5000097555</v>
      </c>
      <c r="B4944" s="13" t="inlineStr">
        <is>
          <t>Муниципальное бюджетное учреждение культуры "Информационно-культурный центр" муниципального образования "Куйта"</t>
        </is>
      </c>
      <c r="C4944" s="13" t="n">
        <v>3851005971</v>
      </c>
      <c r="D4944" s="13" t="inlineStr">
        <is>
          <t>3851005971</t>
        </is>
      </c>
      <c r="E4944" s="13" t="inlineStr">
        <is>
          <t>ЮЛ РФ</t>
        </is>
      </c>
      <c r="F4944" s="13" t="n"/>
      <c r="G4944" s="14" t="n"/>
      <c r="H4944" s="14" t="n"/>
      <c r="I4944" s="14" t="n"/>
      <c r="J4944" s="14" t="n"/>
      <c r="K4944" s="53" t="inlineStr"/>
      <c r="L4944" s="53" t="inlineStr">
        <is>
          <t>Не определено</t>
        </is>
      </c>
      <c r="M4944" s="53" t="inlineStr"/>
      <c r="N4944" s="54" t="inlineStr"/>
      <c r="O4944" s="55" t="inlineStr"/>
      <c r="P4944" s="16" t="inlineStr">
        <is>
          <t>Требует обогащения</t>
        </is>
      </c>
      <c r="Q4944" s="16">
        <f>HYPERLINK("https://pb.nalog.ru/search.html?query=3851005971","ФНС: проверить")</f>
        <v/>
      </c>
      <c r="R4944" s="16">
        <f>HYPERLINK("https://checko.ru/search?query=3801001629","Чекко: проверить")</f>
        <v/>
      </c>
      <c r="S4944" t="n">
        <v>1</v>
      </c>
      <c r="T4944" s="35" t="inlineStr">
        <is>
          <t>4 — Не обогащён</t>
        </is>
      </c>
      <c r="U4944" s="35" t="inlineStr">
        <is>
          <t>Нет ОКВЭД/ССЧР</t>
        </is>
      </c>
      <c r="V4944" s="35" t="inlineStr">
        <is>
          <t>Не определено</t>
        </is>
      </c>
      <c r="W4944" s="35" t="inlineStr"/>
      <c r="X4944" s="35" t="inlineStr"/>
    </row>
    <row r="4945" ht="27.75" customHeight="1" s="24">
      <c r="A4945" s="13" t="n">
        <v>5000086599</v>
      </c>
      <c r="B4945" s="13" t="inlineStr">
        <is>
          <t>МКУ "ЕДИНАЯ ДЕЖУРНО-ДИСПЕТЧЕРСКАЯ СЛУЖБА МО "КАТАНГСКИЙ РАЙОН"</t>
        </is>
      </c>
      <c r="C4945" s="13" t="n">
        <v>3818031910</v>
      </c>
      <c r="D4945" s="13" t="inlineStr">
        <is>
          <t>3818031910</t>
        </is>
      </c>
      <c r="E4945" s="13" t="inlineStr">
        <is>
          <t>ЮЛ РФ</t>
        </is>
      </c>
      <c r="F4945" s="13" t="n"/>
      <c r="G4945" s="14" t="n"/>
      <c r="H4945" s="14" t="n"/>
      <c r="I4945" s="14" t="n"/>
      <c r="J4945" s="14" t="n"/>
      <c r="K4945" s="53" t="inlineStr"/>
      <c r="L4945" s="53" t="inlineStr">
        <is>
          <t>Не определено</t>
        </is>
      </c>
      <c r="M4945" s="53" t="inlineStr"/>
      <c r="N4945" s="54" t="inlineStr"/>
      <c r="O4945" s="55" t="inlineStr"/>
      <c r="P4945" s="16" t="inlineStr">
        <is>
          <t>Требует обогащения</t>
        </is>
      </c>
      <c r="Q4945" s="16">
        <f>HYPERLINK("https://pb.nalog.ru/search.html?query=3818031910","ФНС: проверить")</f>
        <v/>
      </c>
      <c r="R4945" s="16">
        <f>HYPERLINK("https://checko.ru/search?query=3801001629","Чекко: проверить")</f>
        <v/>
      </c>
      <c r="S4945" t="n">
        <v>1</v>
      </c>
      <c r="T4945" s="35" t="inlineStr">
        <is>
          <t>4 — Не обогащён</t>
        </is>
      </c>
      <c r="U4945" s="35" t="inlineStr">
        <is>
          <t>Нет ОКВЭД/ССЧР</t>
        </is>
      </c>
      <c r="V4945" s="35" t="inlineStr">
        <is>
          <t>Не определено</t>
        </is>
      </c>
      <c r="W4945" s="35" t="inlineStr"/>
      <c r="X4945" s="35" t="inlineStr"/>
    </row>
    <row r="4946" ht="27.75" customHeight="1" s="24">
      <c r="A4946" s="13" t="n">
        <v>5000086600</v>
      </c>
      <c r="B4946" s="13" t="inlineStr">
        <is>
          <t>ДУМА МУНИЦИПАЛЬНОГО ОБРАЗОВАНИЯ "КАТАНГСКИЙ РАЙОН"</t>
        </is>
      </c>
      <c r="C4946" s="13" t="n">
        <v>3818030233</v>
      </c>
      <c r="D4946" s="13" t="inlineStr">
        <is>
          <t>3818030233</t>
        </is>
      </c>
      <c r="E4946" s="13" t="inlineStr">
        <is>
          <t>ЮЛ РФ</t>
        </is>
      </c>
      <c r="F4946" s="13" t="n"/>
      <c r="G4946" s="14" t="n"/>
      <c r="H4946" s="14" t="n"/>
      <c r="I4946" s="14" t="n"/>
      <c r="J4946" s="14" t="n"/>
      <c r="K4946" s="53" t="inlineStr"/>
      <c r="L4946" s="53" t="inlineStr">
        <is>
          <t>Не определено</t>
        </is>
      </c>
      <c r="M4946" s="53" t="inlineStr"/>
      <c r="N4946" s="54" t="inlineStr"/>
      <c r="O4946" s="55" t="inlineStr"/>
      <c r="P4946" s="16" t="inlineStr">
        <is>
          <t>Требует обогащения</t>
        </is>
      </c>
      <c r="Q4946" s="16">
        <f>HYPERLINK("https://pb.nalog.ru/search.html?query=3818030233","ФНС: проверить")</f>
        <v/>
      </c>
      <c r="R4946" s="16">
        <f>HYPERLINK("https://checko.ru/search?query=3801001629","Чекко: проверить")</f>
        <v/>
      </c>
      <c r="S4946" t="n">
        <v>1</v>
      </c>
      <c r="T4946" s="35" t="inlineStr">
        <is>
          <t>4 — Не обогащён</t>
        </is>
      </c>
      <c r="U4946" s="35" t="inlineStr">
        <is>
          <t>Нет ОКВЭД/ССЧР</t>
        </is>
      </c>
      <c r="V4946" s="35" t="inlineStr">
        <is>
          <t>Не определено</t>
        </is>
      </c>
      <c r="W4946" s="35" t="inlineStr"/>
      <c r="X4946" s="35" t="inlineStr"/>
    </row>
    <row r="4947" ht="15" customHeight="1" s="24">
      <c r="A4947" s="13" t="n">
        <v>5000087560</v>
      </c>
      <c r="B4947" s="13" t="inlineStr">
        <is>
          <t>МБДОУ "ДЕТСКИЙ САД "КАРАМЕЛЬКА"</t>
        </is>
      </c>
      <c r="C4947" s="13" t="n">
        <v>3816033006</v>
      </c>
      <c r="D4947" s="13" t="inlineStr">
        <is>
          <t>3816033006</t>
        </is>
      </c>
      <c r="E4947" s="13" t="inlineStr">
        <is>
          <t>ЮЛ РФ</t>
        </is>
      </c>
      <c r="F4947" s="13" t="n"/>
      <c r="G4947" s="14" t="n"/>
      <c r="H4947" s="14" t="n"/>
      <c r="I4947" s="14" t="n"/>
      <c r="J4947" s="14" t="n"/>
      <c r="K4947" s="53" t="inlineStr"/>
      <c r="L4947" s="53" t="inlineStr">
        <is>
          <t>Не определено</t>
        </is>
      </c>
      <c r="M4947" s="53" t="inlineStr"/>
      <c r="N4947" s="54" t="inlineStr"/>
      <c r="O4947" s="55" t="inlineStr"/>
      <c r="P4947" s="16" t="inlineStr">
        <is>
          <t>Требует обогащения</t>
        </is>
      </c>
      <c r="Q4947" s="16">
        <f>HYPERLINK("https://pb.nalog.ru/search.html?query=3816033006","ФНС: проверить")</f>
        <v/>
      </c>
      <c r="R4947" s="16">
        <f>HYPERLINK("https://checko.ru/search?query=3801001629","Чекко: проверить")</f>
        <v/>
      </c>
      <c r="S4947" t="n">
        <v>1</v>
      </c>
      <c r="T4947" s="35" t="inlineStr">
        <is>
          <t>4 — Не обогащён</t>
        </is>
      </c>
      <c r="U4947" s="35" t="inlineStr">
        <is>
          <t>Нет ОКВЭД/ССЧР</t>
        </is>
      </c>
      <c r="V4947" s="35" t="inlineStr">
        <is>
          <t>Не определено</t>
        </is>
      </c>
      <c r="W4947" s="35" t="inlineStr"/>
      <c r="X4947" s="35" t="inlineStr"/>
    </row>
    <row r="4948" ht="15" customHeight="1" s="24">
      <c r="A4948" s="13" t="n">
        <v>5000087561</v>
      </c>
      <c r="B4948" s="13" t="inlineStr">
        <is>
          <t>МДОУ ДЕТСКИЙ САД “АЛЕНУШКА”</t>
        </is>
      </c>
      <c r="C4948" s="13" t="n">
        <v>3816004855</v>
      </c>
      <c r="D4948" s="13" t="inlineStr">
        <is>
          <t>3816004855</t>
        </is>
      </c>
      <c r="E4948" s="13" t="inlineStr">
        <is>
          <t>ЮЛ РФ</t>
        </is>
      </c>
      <c r="F4948" s="13" t="n"/>
      <c r="G4948" s="14" t="n"/>
      <c r="H4948" s="14" t="n"/>
      <c r="I4948" s="14" t="n"/>
      <c r="J4948" s="14" t="n"/>
      <c r="K4948" s="53" t="inlineStr"/>
      <c r="L4948" s="53" t="inlineStr">
        <is>
          <t>Не определено</t>
        </is>
      </c>
      <c r="M4948" s="53" t="inlineStr"/>
      <c r="N4948" s="54" t="inlineStr"/>
      <c r="O4948" s="55" t="inlineStr"/>
      <c r="P4948" s="16" t="inlineStr">
        <is>
          <t>Требует обогащения</t>
        </is>
      </c>
      <c r="Q4948" s="16">
        <f>HYPERLINK("https://pb.nalog.ru/search.html?query=3816004855","ФНС: проверить")</f>
        <v/>
      </c>
      <c r="R4948" s="16">
        <f>HYPERLINK("https://checko.ru/search?query=3801001629","Чекко: проверить")</f>
        <v/>
      </c>
      <c r="S4948" t="n">
        <v>1</v>
      </c>
      <c r="T4948" s="35" t="inlineStr">
        <is>
          <t>4 — Не обогащён</t>
        </is>
      </c>
      <c r="U4948" s="35" t="inlineStr">
        <is>
          <t>Нет ОКВЭД/ССЧР</t>
        </is>
      </c>
      <c r="V4948" s="35" t="inlineStr">
        <is>
          <t>Не определено</t>
        </is>
      </c>
      <c r="W4948" s="35" t="inlineStr"/>
      <c r="X4948" s="35" t="inlineStr"/>
    </row>
    <row r="4949" ht="54.75" customHeight="1" s="24">
      <c r="A4949" s="13" t="n">
        <v>5000030388</v>
      </c>
      <c r="B4949" s="13" t="inlineStr">
        <is>
          <t>ГКУ Сахалинской области "Централизованная бухгалтерия культуры";6501282156;650101001;2;;Гребе  Татьяна Александровна;</t>
        </is>
      </c>
      <c r="C4949" s="13" t="n">
        <v>6501282156</v>
      </c>
      <c r="D4949" s="13" t="inlineStr">
        <is>
          <t>6501282156</t>
        </is>
      </c>
      <c r="E4949" s="13" t="inlineStr">
        <is>
          <t>ЮЛ РФ</t>
        </is>
      </c>
      <c r="F4949" s="13" t="n"/>
      <c r="G4949" s="14" t="n"/>
      <c r="H4949" s="14" t="n"/>
      <c r="I4949" s="14" t="n"/>
      <c r="J4949" s="14" t="n"/>
      <c r="K4949" s="53" t="inlineStr"/>
      <c r="L4949" s="53" t="inlineStr">
        <is>
          <t>Не определено</t>
        </is>
      </c>
      <c r="M4949" s="53" t="inlineStr"/>
      <c r="N4949" s="54" t="inlineStr"/>
      <c r="O4949" s="55" t="inlineStr"/>
      <c r="P4949" s="16" t="inlineStr">
        <is>
          <t>Требует обогащения</t>
        </is>
      </c>
      <c r="Q4949" s="16">
        <f>HYPERLINK("https://pb.nalog.ru/search.html?query=6501282156","ФНС: проверить")</f>
        <v/>
      </c>
      <c r="R4949" s="16">
        <f>HYPERLINK("https://checko.ru/search?query=3801001629","Чекко: проверить")</f>
        <v/>
      </c>
      <c r="S4949" t="n">
        <v>0</v>
      </c>
      <c r="T4949" s="35" t="inlineStr">
        <is>
          <t>4 — Не обогащён</t>
        </is>
      </c>
      <c r="U4949" s="35" t="inlineStr">
        <is>
          <t>Нет ОКВЭД/ССЧР</t>
        </is>
      </c>
      <c r="V4949" s="35" t="inlineStr">
        <is>
          <t>Не определено</t>
        </is>
      </c>
      <c r="W4949" s="35" t="inlineStr"/>
      <c r="X4949" s="35" t="inlineStr"/>
    </row>
    <row r="4950" ht="41.25" customHeight="1" s="24">
      <c r="A4950" s="13" t="n">
        <v>5000100103</v>
      </c>
      <c r="B4950" s="13" t="inlineStr">
        <is>
          <t>Государственное казенное учреждение "Управление автомобильных дорог Сахалинской области"</t>
        </is>
      </c>
      <c r="C4950" s="13" t="n">
        <v>6501155038</v>
      </c>
      <c r="D4950" s="13" t="inlineStr">
        <is>
          <t>6501155038</t>
        </is>
      </c>
      <c r="E4950" s="13" t="inlineStr">
        <is>
          <t>ЮЛ РФ</t>
        </is>
      </c>
      <c r="F4950" s="13" t="n"/>
      <c r="G4950" s="14" t="n"/>
      <c r="H4950" s="14" t="n"/>
      <c r="I4950" s="14" t="n"/>
      <c r="J4950" s="14" t="n"/>
      <c r="K4950" s="53" t="inlineStr"/>
      <c r="L4950" s="53" t="inlineStr">
        <is>
          <t>Не определено</t>
        </is>
      </c>
      <c r="M4950" s="53" t="inlineStr"/>
      <c r="N4950" s="54" t="inlineStr"/>
      <c r="O4950" s="55" t="inlineStr"/>
      <c r="P4950" s="16" t="inlineStr">
        <is>
          <t>Требует обогащения</t>
        </is>
      </c>
      <c r="Q4950" s="16">
        <f>HYPERLINK("https://pb.nalog.ru/search.html?query=6501155038","ФНС: проверить")</f>
        <v/>
      </c>
      <c r="R4950" s="16">
        <f>HYPERLINK("https://checko.ru/search?query=3801001629","Чекко: проверить")</f>
        <v/>
      </c>
      <c r="S4950" t="n">
        <v>0</v>
      </c>
      <c r="T4950" s="35" t="inlineStr">
        <is>
          <t>4 — Не обогащён</t>
        </is>
      </c>
      <c r="U4950" s="35" t="inlineStr">
        <is>
          <t>Нет ОКВЭД/ССЧР</t>
        </is>
      </c>
      <c r="V4950" s="35" t="inlineStr">
        <is>
          <t>Не определено</t>
        </is>
      </c>
      <c r="W4950" s="35" t="inlineStr"/>
      <c r="X4950" s="35" t="inlineStr"/>
    </row>
    <row r="4951" ht="15" customHeight="1" s="24">
      <c r="A4951" s="13" t="n">
        <v>5000049743</v>
      </c>
      <c r="B4951" s="13" t="inlineStr">
        <is>
          <t>МОУ Средняя образовательная школа №6</t>
        </is>
      </c>
      <c r="C4951" s="13" t="n">
        <v>3816001950</v>
      </c>
      <c r="D4951" s="13" t="inlineStr">
        <is>
          <t>3816001950</t>
        </is>
      </c>
      <c r="E4951" s="13" t="inlineStr">
        <is>
          <t>ЮЛ РФ</t>
        </is>
      </c>
      <c r="F4951" s="13" t="n"/>
      <c r="G4951" s="14" t="n"/>
      <c r="H4951" s="14" t="n"/>
      <c r="I4951" s="14" t="n"/>
      <c r="J4951" s="14" t="n"/>
      <c r="K4951" s="53" t="inlineStr"/>
      <c r="L4951" s="53" t="inlineStr">
        <is>
          <t>Не определено</t>
        </is>
      </c>
      <c r="M4951" s="53" t="inlineStr"/>
      <c r="N4951" s="54" t="inlineStr"/>
      <c r="O4951" s="55" t="inlineStr"/>
      <c r="P4951" s="16" t="inlineStr">
        <is>
          <t>Требует обогащения</t>
        </is>
      </c>
      <c r="Q4951" s="16">
        <f>HYPERLINK("https://pb.nalog.ru/search.html?query=3816001950","ФНС: проверить")</f>
        <v/>
      </c>
      <c r="R4951" s="16">
        <f>HYPERLINK("https://checko.ru/search?query=3801001629","Чекко: проверить")</f>
        <v/>
      </c>
      <c r="S4951" t="n">
        <v>1</v>
      </c>
      <c r="T4951" s="35" t="inlineStr">
        <is>
          <t>4 — Не обогащён</t>
        </is>
      </c>
      <c r="U4951" s="35" t="inlineStr">
        <is>
          <t>Нет ОКВЭД/ССЧР</t>
        </is>
      </c>
      <c r="V4951" s="35" t="inlineStr">
        <is>
          <t>Не определено</t>
        </is>
      </c>
      <c r="W4951" s="35" t="inlineStr"/>
      <c r="X4951" s="35" t="inlineStr"/>
    </row>
    <row r="4952" ht="27.75" customHeight="1" s="24">
      <c r="A4952" s="13" t="n">
        <v>5000100129</v>
      </c>
      <c r="B4952" s="13" t="inlineStr">
        <is>
          <t>ОАУ «Управление государственной экспертизы Сахалинской области»</t>
        </is>
      </c>
      <c r="C4952" s="13" t="n">
        <v>6501178116</v>
      </c>
      <c r="D4952" s="13" t="inlineStr">
        <is>
          <t>6501178116</t>
        </is>
      </c>
      <c r="E4952" s="13" t="inlineStr">
        <is>
          <t>ЮЛ РФ</t>
        </is>
      </c>
      <c r="F4952" s="13" t="n"/>
      <c r="G4952" s="14" t="n"/>
      <c r="H4952" s="14" t="n"/>
      <c r="I4952" s="14" t="n"/>
      <c r="J4952" s="14" t="n"/>
      <c r="K4952" s="53" t="inlineStr"/>
      <c r="L4952" s="53" t="inlineStr">
        <is>
          <t>Не определено</t>
        </is>
      </c>
      <c r="M4952" s="53" t="inlineStr"/>
      <c r="N4952" s="54" t="inlineStr"/>
      <c r="O4952" s="55" t="inlineStr"/>
      <c r="P4952" s="16" t="inlineStr">
        <is>
          <t>Требует обогащения</t>
        </is>
      </c>
      <c r="Q4952" s="16">
        <f>HYPERLINK("https://pb.nalog.ru/search.html?query=6501178116","ФНС: проверить")</f>
        <v/>
      </c>
      <c r="R4952" s="16">
        <f>HYPERLINK("https://checko.ru/search?query=3801001629","Чекко: проверить")</f>
        <v/>
      </c>
      <c r="S4952" t="n">
        <v>0</v>
      </c>
      <c r="T4952" s="35" t="inlineStr">
        <is>
          <t>4 — Не обогащён</t>
        </is>
      </c>
      <c r="U4952" s="35" t="inlineStr">
        <is>
          <t>Нет ОКВЭД/ССЧР</t>
        </is>
      </c>
      <c r="V4952" s="35" t="inlineStr">
        <is>
          <t>Не определено</t>
        </is>
      </c>
      <c r="W4952" s="35" t="inlineStr"/>
      <c r="X4952" s="35" t="inlineStr"/>
    </row>
    <row r="4953" ht="41.25" customHeight="1" s="24">
      <c r="A4953" s="13" t="n">
        <v>5000046410</v>
      </c>
      <c r="B4953" s="13" t="inlineStr">
        <is>
          <t>Администрация Оёкского муниципального образования – Администрация сельского поселения</t>
        </is>
      </c>
      <c r="C4953" s="13" t="n">
        <v>3827020785</v>
      </c>
      <c r="D4953" s="13" t="inlineStr">
        <is>
          <t>3827020785</t>
        </is>
      </c>
      <c r="E4953" s="13" t="inlineStr">
        <is>
          <t>ЮЛ РФ</t>
        </is>
      </c>
      <c r="F4953" s="13" t="n"/>
      <c r="G4953" s="14" t="n"/>
      <c r="H4953" s="14" t="n"/>
      <c r="I4953" s="14" t="n"/>
      <c r="J4953" s="14" t="n"/>
      <c r="K4953" s="53" t="inlineStr"/>
      <c r="L4953" s="53" t="inlineStr">
        <is>
          <t>Не определено</t>
        </is>
      </c>
      <c r="M4953" s="53" t="inlineStr"/>
      <c r="N4953" s="54" t="inlineStr"/>
      <c r="O4953" s="55" t="inlineStr"/>
      <c r="P4953" s="16" t="inlineStr">
        <is>
          <t>Требует обогащения</t>
        </is>
      </c>
      <c r="Q4953" s="16">
        <f>HYPERLINK("https://pb.nalog.ru/search.html?query=3827020785","ФНС: проверить")</f>
        <v/>
      </c>
      <c r="R4953" s="16">
        <f>HYPERLINK("https://checko.ru/search?query=3801001629","Чекко: проверить")</f>
        <v/>
      </c>
      <c r="S4953" t="n">
        <v>1</v>
      </c>
      <c r="T4953" s="35" t="inlineStr">
        <is>
          <t>4 — Не обогащён</t>
        </is>
      </c>
      <c r="U4953" s="35" t="inlineStr">
        <is>
          <t>Нет ОКВЭД/ССЧР</t>
        </is>
      </c>
      <c r="V4953" s="35" t="inlineStr">
        <is>
          <t>Не определено</t>
        </is>
      </c>
      <c r="W4953" s="35" t="inlineStr"/>
      <c r="X4953" s="35" t="inlineStr"/>
    </row>
    <row r="4954" ht="27.75" customHeight="1" s="24">
      <c r="A4954" s="13" t="n">
        <v>5000106614</v>
      </c>
      <c r="B4954" s="13" t="inlineStr">
        <is>
          <t>МУНИЦИПАЛЬНОЕ БЮДЖЕТНОЕ УЧРЕЖДЕНИЕ ГОРОДА ТУЛУНА "МОЛОДЕЖНЫЙ ЦЕНТР "РИТМ"</t>
        </is>
      </c>
      <c r="C4954" s="13" t="n">
        <v>3816034803</v>
      </c>
      <c r="D4954" s="13" t="inlineStr">
        <is>
          <t>3816034803</t>
        </is>
      </c>
      <c r="E4954" s="13" t="inlineStr">
        <is>
          <t>ЮЛ РФ</t>
        </is>
      </c>
      <c r="F4954" s="13" t="n"/>
      <c r="G4954" s="14" t="n"/>
      <c r="H4954" s="14" t="n"/>
      <c r="I4954" s="14" t="n"/>
      <c r="J4954" s="14" t="n"/>
      <c r="K4954" s="53" t="inlineStr"/>
      <c r="L4954" s="53" t="inlineStr">
        <is>
          <t>Не определено</t>
        </is>
      </c>
      <c r="M4954" s="53" t="inlineStr"/>
      <c r="N4954" s="54" t="inlineStr"/>
      <c r="O4954" s="55" t="inlineStr"/>
      <c r="P4954" s="16" t="inlineStr">
        <is>
          <t>Требует обогащения</t>
        </is>
      </c>
      <c r="Q4954" s="16">
        <f>HYPERLINK("https://pb.nalog.ru/search.html?query=3816034803","ФНС: проверить")</f>
        <v/>
      </c>
      <c r="R4954" s="16">
        <f>HYPERLINK("https://checko.ru/search?query=3801001629","Чекко: проверить")</f>
        <v/>
      </c>
      <c r="S4954" t="n">
        <v>1</v>
      </c>
      <c r="T4954" s="35" t="inlineStr">
        <is>
          <t>4 — Не обогащён</t>
        </is>
      </c>
      <c r="U4954" s="35" t="inlineStr">
        <is>
          <t>Нет ОКВЭД/ССЧР</t>
        </is>
      </c>
      <c r="V4954" s="35" t="inlineStr">
        <is>
          <t>Не определено</t>
        </is>
      </c>
      <c r="W4954" s="35" t="inlineStr"/>
      <c r="X4954" s="35" t="inlineStr"/>
    </row>
    <row r="4955" ht="27.75" customHeight="1" s="24">
      <c r="A4955" s="13" t="n">
        <v>5000100105</v>
      </c>
      <c r="B4955" s="13" t="inlineStr">
        <is>
          <t>ОКУ "Аппарат общественной палаты Сахалинской области"</t>
        </is>
      </c>
      <c r="C4955" s="13" t="n">
        <v>6501249416</v>
      </c>
      <c r="D4955" s="13" t="inlineStr">
        <is>
          <t>6501249416</t>
        </is>
      </c>
      <c r="E4955" s="13" t="inlineStr">
        <is>
          <t>ЮЛ РФ</t>
        </is>
      </c>
      <c r="F4955" s="13" t="n"/>
      <c r="G4955" s="14" t="n"/>
      <c r="H4955" s="14" t="n"/>
      <c r="I4955" s="14" t="n"/>
      <c r="J4955" s="14" t="n"/>
      <c r="K4955" s="53" t="inlineStr"/>
      <c r="L4955" s="53" t="inlineStr">
        <is>
          <t>Не определено</t>
        </is>
      </c>
      <c r="M4955" s="53" t="inlineStr"/>
      <c r="N4955" s="54" t="inlineStr"/>
      <c r="O4955" s="55" t="inlineStr"/>
      <c r="P4955" s="16" t="inlineStr">
        <is>
          <t>Требует обогащения</t>
        </is>
      </c>
      <c r="Q4955" s="16">
        <f>HYPERLINK("https://pb.nalog.ru/search.html?query=6501249416","ФНС: проверить")</f>
        <v/>
      </c>
      <c r="R4955" s="16">
        <f>HYPERLINK("https://checko.ru/search?query=3801001629","Чекко: проверить")</f>
        <v/>
      </c>
      <c r="S4955" t="n">
        <v>0</v>
      </c>
      <c r="T4955" s="35" t="inlineStr">
        <is>
          <t>4 — Не обогащён</t>
        </is>
      </c>
      <c r="U4955" s="35" t="inlineStr">
        <is>
          <t>Нет ОКВЭД/ССЧР</t>
        </is>
      </c>
      <c r="V4955" s="35" t="inlineStr">
        <is>
          <t>Не определено</t>
        </is>
      </c>
      <c r="W4955" s="35" t="inlineStr"/>
      <c r="X4955" s="35" t="inlineStr"/>
    </row>
    <row r="4956" ht="27.75" customHeight="1" s="24">
      <c r="A4956" s="13" t="n">
        <v>5000046412</v>
      </c>
      <c r="B4956" s="13" t="inlineStr">
        <is>
          <t>МУ "Социально-культурный спортивный комплекс" Оекского муниципального образования</t>
        </is>
      </c>
      <c r="C4956" s="13" t="n">
        <v>3827017790</v>
      </c>
      <c r="D4956" s="13" t="inlineStr">
        <is>
          <t>3827017790</t>
        </is>
      </c>
      <c r="E4956" s="13" t="inlineStr">
        <is>
          <t>ЮЛ РФ</t>
        </is>
      </c>
      <c r="F4956" s="13" t="n"/>
      <c r="G4956" s="14" t="n"/>
      <c r="H4956" s="14" t="n"/>
      <c r="I4956" s="14" t="n"/>
      <c r="J4956" s="14" t="n"/>
      <c r="K4956" s="53" t="inlineStr"/>
      <c r="L4956" s="53" t="inlineStr">
        <is>
          <t>Не определено</t>
        </is>
      </c>
      <c r="M4956" s="53" t="inlineStr"/>
      <c r="N4956" s="54" t="inlineStr"/>
      <c r="O4956" s="55" t="inlineStr"/>
      <c r="P4956" s="16" t="inlineStr">
        <is>
          <t>Требует обогащения</t>
        </is>
      </c>
      <c r="Q4956" s="16">
        <f>HYPERLINK("https://pb.nalog.ru/search.html?query=3827017790","ФНС: проверить")</f>
        <v/>
      </c>
      <c r="R4956" s="16">
        <f>HYPERLINK("https://checko.ru/search?query=3801001629","Чекко: проверить")</f>
        <v/>
      </c>
      <c r="S4956" t="n">
        <v>1</v>
      </c>
      <c r="T4956" s="35" t="inlineStr">
        <is>
          <t>4 — Не обогащён</t>
        </is>
      </c>
      <c r="U4956" s="35" t="inlineStr">
        <is>
          <t>Нет ОКВЭД/ССЧР</t>
        </is>
      </c>
      <c r="V4956" s="35" t="inlineStr">
        <is>
          <t>Не определено</t>
        </is>
      </c>
      <c r="W4956" s="35" t="inlineStr"/>
      <c r="X4956" s="35" t="inlineStr"/>
    </row>
    <row r="4957" ht="27.75" customHeight="1" s="24">
      <c r="A4957" s="13" t="n">
        <v>5000046413</v>
      </c>
      <c r="B4957" s="13" t="inlineStr">
        <is>
          <t>МКУ "Хозяйственно-эксплуатационная служба" Оекского муниципального образования</t>
        </is>
      </c>
      <c r="C4957" s="13" t="n">
        <v>3827055675</v>
      </c>
      <c r="D4957" s="13" t="inlineStr">
        <is>
          <t>3827055675</t>
        </is>
      </c>
      <c r="E4957" s="13" t="inlineStr">
        <is>
          <t>ЮЛ РФ</t>
        </is>
      </c>
      <c r="F4957" s="13" t="n"/>
      <c r="G4957" s="14" t="n"/>
      <c r="H4957" s="14" t="n"/>
      <c r="I4957" s="14" t="n"/>
      <c r="J4957" s="14" t="n"/>
      <c r="K4957" s="53" t="inlineStr"/>
      <c r="L4957" s="53" t="inlineStr">
        <is>
          <t>Не определено</t>
        </is>
      </c>
      <c r="M4957" s="53" t="inlineStr"/>
      <c r="N4957" s="54" t="inlineStr"/>
      <c r="O4957" s="55" t="inlineStr"/>
      <c r="P4957" s="16" t="inlineStr">
        <is>
          <t>Требует обогащения</t>
        </is>
      </c>
      <c r="Q4957" s="16">
        <f>HYPERLINK("https://pb.nalog.ru/search.html?query=3827055675","ФНС: проверить")</f>
        <v/>
      </c>
      <c r="R4957" s="16">
        <f>HYPERLINK("https://checko.ru/search?query=3801001629","Чекко: проверить")</f>
        <v/>
      </c>
      <c r="S4957" t="n">
        <v>1</v>
      </c>
      <c r="T4957" s="35" t="inlineStr">
        <is>
          <t>4 — Не обогащён</t>
        </is>
      </c>
      <c r="U4957" s="35" t="inlineStr">
        <is>
          <t>Нет ОКВЭД/ССЧР</t>
        </is>
      </c>
      <c r="V4957" s="35" t="inlineStr">
        <is>
          <t>Не определено</t>
        </is>
      </c>
      <c r="W4957" s="35" t="inlineStr"/>
      <c r="X4957" s="35" t="inlineStr"/>
    </row>
    <row r="4958" ht="15" customHeight="1" s="24">
      <c r="A4958" s="13" t="n">
        <v>5000049725</v>
      </c>
      <c r="B4958" s="13" t="inlineStr">
        <is>
          <t>МБУ ДО г. Тулуна "ДЮСШ"</t>
        </is>
      </c>
      <c r="C4958" s="13" t="n">
        <v>3816008257</v>
      </c>
      <c r="D4958" s="13" t="inlineStr">
        <is>
          <t>3816008257</t>
        </is>
      </c>
      <c r="E4958" s="13" t="inlineStr">
        <is>
          <t>ЮЛ РФ</t>
        </is>
      </c>
      <c r="F4958" s="13" t="n"/>
      <c r="G4958" s="14" t="n"/>
      <c r="H4958" s="14" t="n"/>
      <c r="I4958" s="14" t="n"/>
      <c r="J4958" s="14" t="n"/>
      <c r="K4958" s="53" t="inlineStr"/>
      <c r="L4958" s="53" t="inlineStr">
        <is>
          <t>Не определено</t>
        </is>
      </c>
      <c r="M4958" s="53" t="inlineStr"/>
      <c r="N4958" s="54" t="inlineStr"/>
      <c r="O4958" s="55" t="inlineStr"/>
      <c r="P4958" s="16" t="inlineStr">
        <is>
          <t>Требует обогащения</t>
        </is>
      </c>
      <c r="Q4958" s="16">
        <f>HYPERLINK("https://pb.nalog.ru/search.html?query=3816008257","ФНС: проверить")</f>
        <v/>
      </c>
      <c r="R4958" s="16">
        <f>HYPERLINK("https://checko.ru/search?query=3801001629","Чекко: проверить")</f>
        <v/>
      </c>
      <c r="S4958" t="n">
        <v>1</v>
      </c>
      <c r="T4958" s="35" t="inlineStr">
        <is>
          <t>4 — Не обогащён</t>
        </is>
      </c>
      <c r="U4958" s="35" t="inlineStr">
        <is>
          <t>Нет ОКВЭД/ССЧР</t>
        </is>
      </c>
      <c r="V4958" s="35" t="inlineStr">
        <is>
          <t>Не определено</t>
        </is>
      </c>
      <c r="W4958" s="35" t="inlineStr"/>
      <c r="X4958" s="35" t="inlineStr"/>
    </row>
    <row r="4959" ht="15" customHeight="1" s="24">
      <c r="A4959" s="13" t="n">
        <v>5000049726</v>
      </c>
      <c r="B4959" s="13" t="inlineStr">
        <is>
          <t>МАУ г. Тулуна "Плавательный бассейн Дельфин"</t>
        </is>
      </c>
      <c r="C4959" s="13" t="n">
        <v>3816021402</v>
      </c>
      <c r="D4959" s="13" t="inlineStr">
        <is>
          <t>3816021402</t>
        </is>
      </c>
      <c r="E4959" s="13" t="inlineStr">
        <is>
          <t>ЮЛ РФ</t>
        </is>
      </c>
      <c r="F4959" s="13" t="n"/>
      <c r="G4959" s="14" t="n"/>
      <c r="H4959" s="14" t="n"/>
      <c r="I4959" s="14" t="n"/>
      <c r="J4959" s="14" t="n"/>
      <c r="K4959" s="53" t="inlineStr"/>
      <c r="L4959" s="53" t="inlineStr">
        <is>
          <t>Не определено</t>
        </is>
      </c>
      <c r="M4959" s="53" t="inlineStr"/>
      <c r="N4959" s="54" t="inlineStr"/>
      <c r="O4959" s="55" t="inlineStr"/>
      <c r="P4959" s="16" t="inlineStr">
        <is>
          <t>Требует обогащения</t>
        </is>
      </c>
      <c r="Q4959" s="16">
        <f>HYPERLINK("https://pb.nalog.ru/search.html?query=3816021402","ФНС: проверить")</f>
        <v/>
      </c>
      <c r="R4959" s="16">
        <f>HYPERLINK("https://checko.ru/search?query=3801001629","Чекко: проверить")</f>
        <v/>
      </c>
      <c r="S4959" t="n">
        <v>1</v>
      </c>
      <c r="T4959" s="35" t="inlineStr">
        <is>
          <t>4 — Не обогащён</t>
        </is>
      </c>
      <c r="U4959" s="35" t="inlineStr">
        <is>
          <t>Нет ОКВЭД/ССЧР</t>
        </is>
      </c>
      <c r="V4959" s="35" t="inlineStr">
        <is>
          <t>Не определено</t>
        </is>
      </c>
      <c r="W4959" s="35" t="inlineStr"/>
      <c r="X4959" s="35" t="inlineStr"/>
    </row>
    <row r="4960" ht="15" customHeight="1" s="24">
      <c r="A4960" s="13" t="n">
        <v>5000049727</v>
      </c>
      <c r="B4960" s="13" t="inlineStr">
        <is>
          <t>МБОУ ДО "ДМШ"</t>
        </is>
      </c>
      <c r="C4960" s="13" t="n">
        <v>3816003516</v>
      </c>
      <c r="D4960" s="13" t="inlineStr">
        <is>
          <t>3816003516</t>
        </is>
      </c>
      <c r="E4960" s="13" t="inlineStr">
        <is>
          <t>ЮЛ РФ</t>
        </is>
      </c>
      <c r="F4960" s="13" t="n"/>
      <c r="G4960" s="14" t="n"/>
      <c r="H4960" s="14" t="n"/>
      <c r="I4960" s="14" t="n"/>
      <c r="J4960" s="14" t="n"/>
      <c r="K4960" s="53" t="inlineStr"/>
      <c r="L4960" s="53" t="inlineStr">
        <is>
          <t>Не определено</t>
        </is>
      </c>
      <c r="M4960" s="53" t="inlineStr"/>
      <c r="N4960" s="54" t="inlineStr"/>
      <c r="O4960" s="55" t="inlineStr"/>
      <c r="P4960" s="16" t="inlineStr">
        <is>
          <t>Требует обогащения</t>
        </is>
      </c>
      <c r="Q4960" s="16">
        <f>HYPERLINK("https://pb.nalog.ru/search.html?query=3816003516","ФНС: проверить")</f>
        <v/>
      </c>
      <c r="R4960" s="16">
        <f>HYPERLINK("https://checko.ru/search?query=3801001629","Чекко: проверить")</f>
        <v/>
      </c>
      <c r="S4960" t="n">
        <v>1</v>
      </c>
      <c r="T4960" s="35" t="inlineStr">
        <is>
          <t>4 — Не обогащён</t>
        </is>
      </c>
      <c r="U4960" s="35" t="inlineStr">
        <is>
          <t>Нет ОКВЭД/ССЧР</t>
        </is>
      </c>
      <c r="V4960" s="35" t="inlineStr">
        <is>
          <t>Не определено</t>
        </is>
      </c>
      <c r="W4960" s="35" t="inlineStr"/>
      <c r="X4960" s="35" t="inlineStr"/>
    </row>
    <row r="4961" ht="15" customHeight="1" s="24">
      <c r="A4961" s="13" t="n">
        <v>5000049728</v>
      </c>
      <c r="B4961" s="13" t="inlineStr">
        <is>
          <t>МБУК г. Тулуна "Центр досуга "Сибирь"</t>
        </is>
      </c>
      <c r="C4961" s="13" t="n">
        <v>3816007422</v>
      </c>
      <c r="D4961" s="13" t="inlineStr">
        <is>
          <t>3816007422</t>
        </is>
      </c>
      <c r="E4961" s="13" t="inlineStr">
        <is>
          <t>ЮЛ РФ</t>
        </is>
      </c>
      <c r="F4961" s="13" t="n"/>
      <c r="G4961" s="14" t="n"/>
      <c r="H4961" s="14" t="n"/>
      <c r="I4961" s="14" t="n"/>
      <c r="J4961" s="14" t="n"/>
      <c r="K4961" s="53" t="inlineStr"/>
      <c r="L4961" s="53" t="inlineStr">
        <is>
          <t>Не определено</t>
        </is>
      </c>
      <c r="M4961" s="53" t="inlineStr"/>
      <c r="N4961" s="54" t="inlineStr"/>
      <c r="O4961" s="55" t="inlineStr"/>
      <c r="P4961" s="16" t="inlineStr">
        <is>
          <t>Требует обогащения</t>
        </is>
      </c>
      <c r="Q4961" s="16">
        <f>HYPERLINK("https://pb.nalog.ru/search.html?query=3816007422","ФНС: проверить")</f>
        <v/>
      </c>
      <c r="R4961" s="16">
        <f>HYPERLINK("https://checko.ru/search?query=3801001629","Чекко: проверить")</f>
        <v/>
      </c>
      <c r="S4961" t="n">
        <v>1</v>
      </c>
      <c r="T4961" s="35" t="inlineStr">
        <is>
          <t>4 — Не обогащён</t>
        </is>
      </c>
      <c r="U4961" s="35" t="inlineStr">
        <is>
          <t>Нет ОКВЭД/ССЧР</t>
        </is>
      </c>
      <c r="V4961" s="35" t="inlineStr">
        <is>
          <t>Не определено</t>
        </is>
      </c>
      <c r="W4961" s="35" t="inlineStr"/>
      <c r="X4961" s="35" t="inlineStr"/>
    </row>
    <row r="4962" ht="15" customHeight="1" s="24">
      <c r="A4962" s="13" t="n">
        <v>5000049730</v>
      </c>
      <c r="B4962" s="13" t="inlineStr">
        <is>
          <t>МБУ "Редакция газеты "Тулунский вестник"</t>
        </is>
      </c>
      <c r="C4962" s="13" t="n">
        <v>3816008480</v>
      </c>
      <c r="D4962" s="13" t="inlineStr">
        <is>
          <t>3816008480</t>
        </is>
      </c>
      <c r="E4962" s="13" t="inlineStr">
        <is>
          <t>ЮЛ РФ</t>
        </is>
      </c>
      <c r="F4962" s="13" t="n"/>
      <c r="G4962" s="14" t="n"/>
      <c r="H4962" s="14" t="n"/>
      <c r="I4962" s="14" t="n"/>
      <c r="J4962" s="14" t="n"/>
      <c r="K4962" s="53" t="inlineStr"/>
      <c r="L4962" s="53" t="inlineStr">
        <is>
          <t>Не определено</t>
        </is>
      </c>
      <c r="M4962" s="53" t="inlineStr"/>
      <c r="N4962" s="54" t="inlineStr"/>
      <c r="O4962" s="55" t="inlineStr"/>
      <c r="P4962" s="16" t="inlineStr">
        <is>
          <t>Требует обогащения</t>
        </is>
      </c>
      <c r="Q4962" s="16">
        <f>HYPERLINK("https://pb.nalog.ru/search.html?query=3816008480","ФНС: проверить")</f>
        <v/>
      </c>
      <c r="R4962" s="16">
        <f>HYPERLINK("https://checko.ru/search?query=3801001629","Чекко: проверить")</f>
        <v/>
      </c>
      <c r="S4962" t="n">
        <v>1</v>
      </c>
      <c r="T4962" s="35" t="inlineStr">
        <is>
          <t>4 — Не обогащён</t>
        </is>
      </c>
      <c r="U4962" s="35" t="inlineStr">
        <is>
          <t>Нет ОКВЭД/ССЧР</t>
        </is>
      </c>
      <c r="V4962" s="35" t="inlineStr">
        <is>
          <t>Не определено</t>
        </is>
      </c>
      <c r="W4962" s="35" t="inlineStr"/>
      <c r="X4962" s="35" t="inlineStr"/>
    </row>
    <row r="4963" ht="15" customHeight="1" s="24">
      <c r="A4963" s="13" t="n">
        <v>5000049736</v>
      </c>
      <c r="B4963" s="13" t="inlineStr">
        <is>
          <t>МАДОУ г. Тулуна "ДС "Радуга"</t>
        </is>
      </c>
      <c r="C4963" s="13" t="n">
        <v>3816004894</v>
      </c>
      <c r="D4963" s="13" t="inlineStr">
        <is>
          <t>3816004894</t>
        </is>
      </c>
      <c r="E4963" s="13" t="inlineStr">
        <is>
          <t>ЮЛ РФ</t>
        </is>
      </c>
      <c r="F4963" s="13" t="n"/>
      <c r="G4963" s="14" t="n"/>
      <c r="H4963" s="14" t="n"/>
      <c r="I4963" s="14" t="n"/>
      <c r="J4963" s="14" t="n"/>
      <c r="K4963" s="53" t="inlineStr"/>
      <c r="L4963" s="53" t="inlineStr">
        <is>
          <t>Не определено</t>
        </is>
      </c>
      <c r="M4963" s="53" t="inlineStr"/>
      <c r="N4963" s="54" t="inlineStr"/>
      <c r="O4963" s="55" t="inlineStr"/>
      <c r="P4963" s="16" t="inlineStr">
        <is>
          <t>Требует обогащения</t>
        </is>
      </c>
      <c r="Q4963" s="16">
        <f>HYPERLINK("https://pb.nalog.ru/search.html?query=3816004894","ФНС: проверить")</f>
        <v/>
      </c>
      <c r="R4963" s="16">
        <f>HYPERLINK("https://checko.ru/search?query=3801001629","Чекко: проверить")</f>
        <v/>
      </c>
      <c r="S4963" t="n">
        <v>1</v>
      </c>
      <c r="T4963" s="35" t="inlineStr">
        <is>
          <t>4 — Не обогащён</t>
        </is>
      </c>
      <c r="U4963" s="35" t="inlineStr">
        <is>
          <t>Нет ОКВЭД/ССЧР</t>
        </is>
      </c>
      <c r="V4963" s="35" t="inlineStr">
        <is>
          <t>Не определено</t>
        </is>
      </c>
      <c r="W4963" s="35" t="inlineStr"/>
      <c r="X4963" s="35" t="inlineStr"/>
    </row>
    <row r="4964" ht="15" customHeight="1" s="24">
      <c r="A4964" s="13" t="n">
        <v>5000049737</v>
      </c>
      <c r="B4964" s="13" t="inlineStr">
        <is>
          <t>МБОУ г. Тулуна "СОШ №1"</t>
        </is>
      </c>
      <c r="C4964" s="13" t="n">
        <v>3816002456</v>
      </c>
      <c r="D4964" s="13" t="inlineStr">
        <is>
          <t>3816002456</t>
        </is>
      </c>
      <c r="E4964" s="13" t="inlineStr">
        <is>
          <t>ЮЛ РФ</t>
        </is>
      </c>
      <c r="F4964" s="13" t="n"/>
      <c r="G4964" s="14" t="n"/>
      <c r="H4964" s="14" t="n"/>
      <c r="I4964" s="14" t="n"/>
      <c r="J4964" s="14" t="n"/>
      <c r="K4964" s="53" t="inlineStr"/>
      <c r="L4964" s="53" t="inlineStr">
        <is>
          <t>Не определено</t>
        </is>
      </c>
      <c r="M4964" s="53" t="inlineStr"/>
      <c r="N4964" s="54" t="inlineStr"/>
      <c r="O4964" s="55" t="inlineStr"/>
      <c r="P4964" s="16" t="inlineStr">
        <is>
          <t>Требует обогащения</t>
        </is>
      </c>
      <c r="Q4964" s="16">
        <f>HYPERLINK("https://pb.nalog.ru/search.html?query=3816002456","ФНС: проверить")</f>
        <v/>
      </c>
      <c r="R4964" s="16">
        <f>HYPERLINK("https://checko.ru/search?query=3801001629","Чекко: проверить")</f>
        <v/>
      </c>
      <c r="S4964" t="n">
        <v>1</v>
      </c>
      <c r="T4964" s="35" t="inlineStr">
        <is>
          <t>4 — Не обогащён</t>
        </is>
      </c>
      <c r="U4964" s="35" t="inlineStr">
        <is>
          <t>Нет ОКВЭД/ССЧР</t>
        </is>
      </c>
      <c r="V4964" s="35" t="inlineStr">
        <is>
          <t>Не определено</t>
        </is>
      </c>
      <c r="W4964" s="35" t="inlineStr"/>
      <c r="X4964" s="35" t="inlineStr"/>
    </row>
    <row r="4965" ht="15" customHeight="1" s="24">
      <c r="A4965" s="13" t="n">
        <v>5000049738</v>
      </c>
      <c r="B4965" s="13" t="inlineStr">
        <is>
          <t>МБДОУ г. Тулуна "ДС "Мальвина"</t>
        </is>
      </c>
      <c r="C4965" s="13" t="n">
        <v>3816003509</v>
      </c>
      <c r="D4965" s="13" t="inlineStr">
        <is>
          <t>3816003509</t>
        </is>
      </c>
      <c r="E4965" s="13" t="inlineStr">
        <is>
          <t>ЮЛ РФ</t>
        </is>
      </c>
      <c r="F4965" s="13" t="n"/>
      <c r="G4965" s="14" t="n"/>
      <c r="H4965" s="14" t="n"/>
      <c r="I4965" s="14" t="n"/>
      <c r="J4965" s="14" t="n"/>
      <c r="K4965" s="53" t="inlineStr"/>
      <c r="L4965" s="53" t="inlineStr">
        <is>
          <t>Не определено</t>
        </is>
      </c>
      <c r="M4965" s="53" t="inlineStr"/>
      <c r="N4965" s="54" t="inlineStr"/>
      <c r="O4965" s="55" t="inlineStr"/>
      <c r="P4965" s="16" t="inlineStr">
        <is>
          <t>Требует обогащения</t>
        </is>
      </c>
      <c r="Q4965" s="16">
        <f>HYPERLINK("https://pb.nalog.ru/search.html?query=3816003509","ФНС: проверить")</f>
        <v/>
      </c>
      <c r="R4965" s="16">
        <f>HYPERLINK("https://checko.ru/search?query=3801001629","Чекко: проверить")</f>
        <v/>
      </c>
      <c r="S4965" t="n">
        <v>1</v>
      </c>
      <c r="T4965" s="35" t="inlineStr">
        <is>
          <t>4 — Не обогащён</t>
        </is>
      </c>
      <c r="U4965" s="35" t="inlineStr">
        <is>
          <t>Нет ОКВЭД/ССЧР</t>
        </is>
      </c>
      <c r="V4965" s="35" t="inlineStr">
        <is>
          <t>Не определено</t>
        </is>
      </c>
      <c r="W4965" s="35" t="inlineStr"/>
      <c r="X4965" s="35" t="inlineStr"/>
    </row>
    <row r="4966" ht="15" customHeight="1" s="24">
      <c r="A4966" s="13" t="n">
        <v>5000049739</v>
      </c>
      <c r="B4966" s="13" t="inlineStr">
        <is>
          <t>МБДОУ г. Тулуна "ДС "Светлячок"</t>
        </is>
      </c>
      <c r="C4966" s="13" t="n">
        <v>3816003330</v>
      </c>
      <c r="D4966" s="13" t="inlineStr">
        <is>
          <t>3816003330</t>
        </is>
      </c>
      <c r="E4966" s="13" t="inlineStr">
        <is>
          <t>ЮЛ РФ</t>
        </is>
      </c>
      <c r="F4966" s="13" t="n"/>
      <c r="G4966" s="14" t="n"/>
      <c r="H4966" s="14" t="n"/>
      <c r="I4966" s="14" t="n"/>
      <c r="J4966" s="14" t="n"/>
      <c r="K4966" s="53" t="inlineStr"/>
      <c r="L4966" s="53" t="inlineStr">
        <is>
          <t>Не определено</t>
        </is>
      </c>
      <c r="M4966" s="53" t="inlineStr"/>
      <c r="N4966" s="54" t="inlineStr"/>
      <c r="O4966" s="55" t="inlineStr"/>
      <c r="P4966" s="16" t="inlineStr">
        <is>
          <t>Требует обогащения</t>
        </is>
      </c>
      <c r="Q4966" s="16">
        <f>HYPERLINK("https://pb.nalog.ru/search.html?query=3816003330","ФНС: проверить")</f>
        <v/>
      </c>
      <c r="R4966" s="16">
        <f>HYPERLINK("https://checko.ru/search?query=3801001629","Чекко: проверить")</f>
        <v/>
      </c>
      <c r="S4966" t="n">
        <v>1</v>
      </c>
      <c r="T4966" s="35" t="inlineStr">
        <is>
          <t>4 — Не обогащён</t>
        </is>
      </c>
      <c r="U4966" s="35" t="inlineStr">
        <is>
          <t>Нет ОКВЭД/ССЧР</t>
        </is>
      </c>
      <c r="V4966" s="35" t="inlineStr">
        <is>
          <t>Не определено</t>
        </is>
      </c>
      <c r="W4966" s="35" t="inlineStr"/>
      <c r="X4966" s="35" t="inlineStr"/>
    </row>
    <row r="4967" ht="27.75" customHeight="1" s="24">
      <c r="A4967" s="13" t="n">
        <v>5000049747</v>
      </c>
      <c r="B4967" s="13" t="inlineStr">
        <is>
          <t>МАУДО г. Тулуна Центр развития творчества детей и юношества "Кристалл"</t>
        </is>
      </c>
      <c r="C4967" s="13" t="n">
        <v>3816003481</v>
      </c>
      <c r="D4967" s="13" t="inlineStr">
        <is>
          <t>3816003481</t>
        </is>
      </c>
      <c r="E4967" s="13" t="inlineStr">
        <is>
          <t>ЮЛ РФ</t>
        </is>
      </c>
      <c r="F4967" s="13" t="n"/>
      <c r="G4967" s="14" t="n"/>
      <c r="H4967" s="14" t="n"/>
      <c r="I4967" s="14" t="n"/>
      <c r="J4967" s="14" t="n"/>
      <c r="K4967" s="53" t="inlineStr"/>
      <c r="L4967" s="53" t="inlineStr">
        <is>
          <t>Не определено</t>
        </is>
      </c>
      <c r="M4967" s="53" t="inlineStr"/>
      <c r="N4967" s="54" t="inlineStr"/>
      <c r="O4967" s="55" t="inlineStr"/>
      <c r="P4967" s="16" t="inlineStr">
        <is>
          <t>Требует обогащения</t>
        </is>
      </c>
      <c r="Q4967" s="16">
        <f>HYPERLINK("https://pb.nalog.ru/search.html?query=3816003481","ФНС: проверить")</f>
        <v/>
      </c>
      <c r="R4967" s="16">
        <f>HYPERLINK("https://checko.ru/search?query=3801001629","Чекко: проверить")</f>
        <v/>
      </c>
      <c r="S4967" t="n">
        <v>1</v>
      </c>
      <c r="T4967" s="35" t="inlineStr">
        <is>
          <t>4 — Не обогащён</t>
        </is>
      </c>
      <c r="U4967" s="35" t="inlineStr">
        <is>
          <t>Нет ОКВЭД/ССЧР</t>
        </is>
      </c>
      <c r="V4967" s="35" t="inlineStr">
        <is>
          <t>Не определено</t>
        </is>
      </c>
      <c r="W4967" s="35" t="inlineStr"/>
      <c r="X4967" s="35" t="inlineStr"/>
    </row>
    <row r="4968" ht="15" customHeight="1" s="24">
      <c r="A4968" s="13" t="n">
        <v>5000049751</v>
      </c>
      <c r="B4968" s="13" t="inlineStr">
        <is>
          <t>МБОУ г. Тулуна "СОШ №2"</t>
        </is>
      </c>
      <c r="C4968" s="13" t="n">
        <v>3816003322</v>
      </c>
      <c r="D4968" s="13" t="inlineStr">
        <is>
          <t>3816003322</t>
        </is>
      </c>
      <c r="E4968" s="13" t="inlineStr">
        <is>
          <t>ЮЛ РФ</t>
        </is>
      </c>
      <c r="F4968" s="13" t="n"/>
      <c r="G4968" s="14" t="n"/>
      <c r="H4968" s="14" t="n"/>
      <c r="I4968" s="14" t="n"/>
      <c r="J4968" s="14" t="n"/>
      <c r="K4968" s="53" t="inlineStr"/>
      <c r="L4968" s="53" t="inlineStr">
        <is>
          <t>Не определено</t>
        </is>
      </c>
      <c r="M4968" s="53" t="inlineStr"/>
      <c r="N4968" s="54" t="inlineStr"/>
      <c r="O4968" s="55" t="inlineStr"/>
      <c r="P4968" s="16" t="inlineStr">
        <is>
          <t>Требует обогащения</t>
        </is>
      </c>
      <c r="Q4968" s="16">
        <f>HYPERLINK("https://pb.nalog.ru/search.html?query=3816003322","ФНС: проверить")</f>
        <v/>
      </c>
      <c r="R4968" s="16">
        <f>HYPERLINK("https://checko.ru/search?query=3801001629","Чекко: проверить")</f>
        <v/>
      </c>
      <c r="S4968" t="n">
        <v>1</v>
      </c>
      <c r="T4968" s="35" t="inlineStr">
        <is>
          <t>4 — Не обогащён</t>
        </is>
      </c>
      <c r="U4968" s="35" t="inlineStr">
        <is>
          <t>Нет ОКВЭД/ССЧР</t>
        </is>
      </c>
      <c r="V4968" s="35" t="inlineStr">
        <is>
          <t>Не определено</t>
        </is>
      </c>
      <c r="W4968" s="35" t="inlineStr"/>
      <c r="X4968" s="35" t="inlineStr"/>
    </row>
    <row r="4969" ht="27.75" customHeight="1" s="24">
      <c r="A4969" s="13" t="n">
        <v>5000049753</v>
      </c>
      <c r="B4969" s="13" t="inlineStr">
        <is>
          <t>МБУК города Тулуна "Краеведческий музей им. П.Ф. Гущина"</t>
        </is>
      </c>
      <c r="C4969" s="13" t="n">
        <v>3816007165</v>
      </c>
      <c r="D4969" s="13" t="inlineStr">
        <is>
          <t>3816007165</t>
        </is>
      </c>
      <c r="E4969" s="13" t="inlineStr">
        <is>
          <t>ЮЛ РФ</t>
        </is>
      </c>
      <c r="F4969" s="13" t="n"/>
      <c r="G4969" s="14" t="n"/>
      <c r="H4969" s="14" t="n"/>
      <c r="I4969" s="14" t="n"/>
      <c r="J4969" s="14" t="n"/>
      <c r="K4969" s="53" t="inlineStr"/>
      <c r="L4969" s="53" t="inlineStr">
        <is>
          <t>Не определено</t>
        </is>
      </c>
      <c r="M4969" s="53" t="inlineStr"/>
      <c r="N4969" s="54" t="inlineStr"/>
      <c r="O4969" s="55" t="inlineStr"/>
      <c r="P4969" s="16" t="inlineStr">
        <is>
          <t>Требует обогащения</t>
        </is>
      </c>
      <c r="Q4969" s="16">
        <f>HYPERLINK("https://pb.nalog.ru/search.html?query=3816007165","ФНС: проверить")</f>
        <v/>
      </c>
      <c r="R4969" s="16">
        <f>HYPERLINK("https://checko.ru/search?query=3801001629","Чекко: проверить")</f>
        <v/>
      </c>
      <c r="S4969" t="n">
        <v>1</v>
      </c>
      <c r="T4969" s="35" t="inlineStr">
        <is>
          <t>4 — Не обогащён</t>
        </is>
      </c>
      <c r="U4969" s="35" t="inlineStr">
        <is>
          <t>Нет ОКВЭД/ССЧР</t>
        </is>
      </c>
      <c r="V4969" s="35" t="inlineStr">
        <is>
          <t>Не определено</t>
        </is>
      </c>
      <c r="W4969" s="35" t="inlineStr"/>
      <c r="X4969" s="35" t="inlineStr"/>
    </row>
    <row r="4970" ht="41.25" customHeight="1" s="24">
      <c r="A4970" s="13" t="n">
        <v>5000001309</v>
      </c>
      <c r="B4970" s="13" t="inlineStr">
        <is>
          <t>ОБЛАСТНОЕ ГОСУДАРСТВЕННОЕ АВТОНОМНОЕ УЧРЕЖДЕНИЕ "ИНФОРМАЦИОННО-ТЕХНИЧЕСКИЙ ЦЕНТР ИРКУТСКОЙ ОБЛАСТИ"</t>
        </is>
      </c>
      <c r="C4970" s="13" t="n">
        <v>3808237260</v>
      </c>
      <c r="D4970" s="13" t="inlineStr">
        <is>
          <t>3808237260</t>
        </is>
      </c>
      <c r="E4970" s="13" t="inlineStr">
        <is>
          <t>ЮЛ РФ</t>
        </is>
      </c>
      <c r="F4970" s="13" t="n"/>
      <c r="G4970" s="14" t="n"/>
      <c r="H4970" s="14" t="n"/>
      <c r="I4970" s="14" t="n"/>
      <c r="J4970" s="14" t="n"/>
      <c r="K4970" s="53" t="inlineStr"/>
      <c r="L4970" s="53" t="inlineStr">
        <is>
          <t>Не определено</t>
        </is>
      </c>
      <c r="M4970" s="53" t="inlineStr"/>
      <c r="N4970" s="54" t="inlineStr"/>
      <c r="O4970" s="55" t="inlineStr"/>
      <c r="P4970" s="16" t="inlineStr">
        <is>
          <t>Требует обогащения</t>
        </is>
      </c>
      <c r="Q4970" s="16">
        <f>HYPERLINK("https://pb.nalog.ru/search.html?query=3808237260","ФНС: проверить")</f>
        <v/>
      </c>
      <c r="R4970" s="16">
        <f>HYPERLINK("https://checko.ru/search?query=3801001629","Чекко: проверить")</f>
        <v/>
      </c>
      <c r="S4970" t="n">
        <v>0</v>
      </c>
      <c r="T4970" s="35" t="inlineStr">
        <is>
          <t>4 — Не обогащён</t>
        </is>
      </c>
      <c r="U4970" s="35" t="inlineStr">
        <is>
          <t>Нет ОКВЭД/ССЧР</t>
        </is>
      </c>
      <c r="V4970" s="35" t="inlineStr">
        <is>
          <t>Не определено</t>
        </is>
      </c>
      <c r="W4970" s="35" t="inlineStr"/>
      <c r="X4970" s="35" t="inlineStr"/>
    </row>
    <row r="4971" ht="15" customHeight="1" s="24">
      <c r="A4971" s="13" t="n">
        <v>804682013</v>
      </c>
      <c r="B4971" s="13" t="inlineStr">
        <is>
          <t>ИП Годованюк Павел Владимирович</t>
        </is>
      </c>
      <c r="C4971" s="13" t="n">
        <v>381801677081</v>
      </c>
      <c r="D4971" s="13" t="inlineStr">
        <is>
          <t>381801677081</t>
        </is>
      </c>
      <c r="E4971" s="13" t="inlineStr">
        <is>
          <t>ИП РФ / физлицо</t>
        </is>
      </c>
      <c r="F4971" s="13" t="n"/>
      <c r="G4971" s="14" t="n"/>
      <c r="H4971" s="14" t="n"/>
      <c r="I4971" s="14" t="n"/>
      <c r="J4971" s="14" t="n"/>
      <c r="K4971" s="53" t="inlineStr"/>
      <c r="L4971" s="53" t="inlineStr">
        <is>
          <t>Не определено</t>
        </is>
      </c>
      <c r="M4971" s="53" t="inlineStr"/>
      <c r="N4971" s="54" t="inlineStr"/>
      <c r="O4971" s="55" t="inlineStr"/>
      <c r="P4971" s="16" t="inlineStr">
        <is>
          <t>Требует обогащения</t>
        </is>
      </c>
      <c r="Q4971" s="16">
        <f>HYPERLINK("https://pb.nalog.ru/search.html?query=381801677081","ФНС: проверить")</f>
        <v/>
      </c>
      <c r="R4971" s="16">
        <f>HYPERLINK("https://checko.ru/search?query=3801001629","Чекко: проверить")</f>
        <v/>
      </c>
      <c r="S4971" t="n">
        <v>1</v>
      </c>
      <c r="T4971" s="35" t="inlineStr">
        <is>
          <t>4 — Не обогащён</t>
        </is>
      </c>
      <c r="U4971" s="35" t="inlineStr">
        <is>
          <t>Нет ОКВЭД/ССЧР</t>
        </is>
      </c>
      <c r="V4971" s="35" t="inlineStr">
        <is>
          <t>Не определено</t>
        </is>
      </c>
      <c r="W4971" s="35" t="inlineStr"/>
      <c r="X4971" s="35" t="inlineStr"/>
    </row>
    <row r="4972" ht="15" customHeight="1" s="24">
      <c r="A4972" s="13" t="n">
        <v>802485415</v>
      </c>
      <c r="B4972" s="13" t="inlineStr">
        <is>
          <t>АКЦИОНЕРНОЕ ОБЩЕСТВО "ИОТ"</t>
        </is>
      </c>
      <c r="C4972" s="13" t="n">
        <v>7731399513</v>
      </c>
      <c r="D4972" s="13" t="inlineStr">
        <is>
          <t>7731399513</t>
        </is>
      </c>
      <c r="E4972" s="13" t="inlineStr">
        <is>
          <t>ЮЛ РФ</t>
        </is>
      </c>
      <c r="F4972" s="13" t="n"/>
      <c r="G4972" s="52" t="n">
        <v>74</v>
      </c>
      <c r="H4972" s="52" t="n">
        <v>2025</v>
      </c>
      <c r="I4972" s="52" t="inlineStr">
        <is>
          <t>63.11</t>
        </is>
      </c>
      <c r="J4972" s="52" t="inlineStr">
        <is>
          <t>63.11; 62.01; 62.02; 62.09; 63.11.1; 72.19; 82.99</t>
        </is>
      </c>
      <c r="K4972" s="53" t="inlineStr">
        <is>
          <t>Да</t>
        </is>
      </c>
      <c r="L4972" s="53" t="inlineStr">
        <is>
          <t>Да</t>
        </is>
      </c>
      <c r="M4972" s="53" t="inlineStr">
        <is>
          <t>До 100</t>
        </is>
      </c>
      <c r="N4972" s="54" t="n">
        <v>33600</v>
      </c>
      <c r="O4972" s="55" t="inlineStr">
        <is>
          <t>51–100</t>
        </is>
      </c>
      <c r="P4972" s="16" t="inlineStr">
        <is>
          <t>ССЧР + ОКВЭД обогащены</t>
        </is>
      </c>
      <c r="Q4972" s="16" t="inlineStr">
        <is>
          <t>ФНС открытые данные ССЧР (ДатаСост 31.12.2025; набор 7707329152-sshr2019)</t>
        </is>
      </c>
      <c r="R4972" s="16" t="inlineStr">
        <is>
          <t>ЕГРЮЛ / egrul.nalog.ru (выписка)</t>
        </is>
      </c>
      <c r="S4972" t="n">
        <v>1</v>
      </c>
      <c r="T4972" s="35" t="inlineStr">
        <is>
          <t>1 — Горячий</t>
        </is>
      </c>
      <c r="U4972" s="35" t="inlineStr">
        <is>
          <t>ОКВЭД + 22+</t>
        </is>
      </c>
      <c r="V4972" s="35" t="inlineStr">
        <is>
          <t>Да</t>
        </is>
      </c>
      <c r="W4972" s="35" t="inlineStr">
        <is>
          <t>Да</t>
        </is>
      </c>
      <c r="X4972" s="35" t="inlineStr">
        <is>
          <t>Да</t>
        </is>
      </c>
    </row>
    <row r="4973" ht="41.25" customHeight="1" s="24">
      <c r="A4973" s="13" t="n">
        <v>18278063</v>
      </c>
      <c r="B4973" s="13" t="inlineStr">
        <is>
          <t>ОБЩЕСТВО С ОГРАНИЧЕННОЙ ОТВЕТСТВЕННОСТЬЮ УПРАВЛЯЮЩАЯ КОМПАНИЯ "ЭКСПЕРТ"</t>
        </is>
      </c>
      <c r="C4973" s="13" t="n">
        <v>7515008500</v>
      </c>
      <c r="D4973" s="13" t="inlineStr">
        <is>
          <t>7515008500</t>
        </is>
      </c>
      <c r="E4973" s="13" t="inlineStr">
        <is>
          <t>ЮЛ РФ</t>
        </is>
      </c>
      <c r="F4973" s="13" t="n"/>
      <c r="G4973" s="52" t="n">
        <v>7</v>
      </c>
      <c r="H4973" s="52" t="n">
        <v>2025</v>
      </c>
      <c r="I4973" s="14" t="n"/>
      <c r="J4973" s="14" t="n"/>
      <c r="K4973" s="53" t="inlineStr">
        <is>
          <t>Нет</t>
        </is>
      </c>
      <c r="L4973" s="53" t="inlineStr">
        <is>
          <t>Не определено</t>
        </is>
      </c>
      <c r="M4973" s="53" t="inlineStr">
        <is>
          <t>До 10</t>
        </is>
      </c>
      <c r="N4973" s="54" t="n">
        <v>3360</v>
      </c>
      <c r="O4973" s="55" t="inlineStr">
        <is>
          <t>1–15</t>
        </is>
      </c>
      <c r="P4973" s="16" t="inlineStr">
        <is>
          <t>ССЧР обогащена; ОКВЭД не найден/не загружен</t>
        </is>
      </c>
      <c r="Q4973" s="16" t="inlineStr">
        <is>
          <t>ФНС открытые данные ССЧР (ДатаСост 31.12.2025; набор 7707329152-sshr2019)</t>
        </is>
      </c>
      <c r="R4973" s="16">
        <f>HYPERLINK("https://checko.ru/search?query=3801001629","Чекко: проверить")</f>
        <v/>
      </c>
      <c r="S4973" t="n">
        <v>1</v>
      </c>
      <c r="T4973" s="35" t="inlineStr">
        <is>
          <t>4 — Не обогащён</t>
        </is>
      </c>
      <c r="U4973" s="35" t="inlineStr">
        <is>
          <t>Нет ОКВЭД/ССЧР</t>
        </is>
      </c>
      <c r="V4973" s="35" t="inlineStr">
        <is>
          <t>Не определено</t>
        </is>
      </c>
      <c r="W4973" s="35" t="inlineStr">
        <is>
          <t>Нет</t>
        </is>
      </c>
      <c r="X4973" s="35" t="inlineStr"/>
    </row>
    <row r="4974" ht="54.75" customHeight="1" s="24">
      <c r="A4974" s="13" t="n">
        <v>800550259</v>
      </c>
      <c r="B4974" s="13" t="inlineStr">
        <is>
          <t>СЕЛЬСКОХОЗЯЙСТВЕННЫЙ, ПЕРЕРАБАТЫВАЮЩИЙ, СНАБЖЕНЧЕСКО-СБЫТОВОЙ ПОТРЕБИТЕЛЬСКИЙ КООПЕРАТИВ "ОЗЕРОК"</t>
        </is>
      </c>
      <c r="C4974" s="13" t="n">
        <v>3814016372</v>
      </c>
      <c r="D4974" s="13" t="inlineStr">
        <is>
          <t>3814016372</t>
        </is>
      </c>
      <c r="E4974" s="13" t="inlineStr">
        <is>
          <t>ЮЛ РФ</t>
        </is>
      </c>
      <c r="F4974" s="13" t="n"/>
      <c r="G4974" s="14" t="n"/>
      <c r="H4974" s="14" t="n"/>
      <c r="I4974" s="14" t="n"/>
      <c r="J4974" s="14" t="n"/>
      <c r="K4974" s="53" t="inlineStr"/>
      <c r="L4974" s="53" t="inlineStr">
        <is>
          <t>Не определено</t>
        </is>
      </c>
      <c r="M4974" s="53" t="inlineStr"/>
      <c r="N4974" s="54" t="inlineStr"/>
      <c r="O4974" s="55" t="inlineStr"/>
      <c r="P4974" s="16" t="inlineStr">
        <is>
          <t>Требует обогащения</t>
        </is>
      </c>
      <c r="Q4974" s="16">
        <f>HYPERLINK("https://pb.nalog.ru/search.html?query=3814016372","ФНС: проверить")</f>
        <v/>
      </c>
      <c r="R4974" s="16">
        <f>HYPERLINK("https://checko.ru/search?query=3801001629","Чекко: проверить")</f>
        <v/>
      </c>
      <c r="S4974" t="n">
        <v>1</v>
      </c>
      <c r="T4974" s="35" t="inlineStr">
        <is>
          <t>4 — Не обогащён</t>
        </is>
      </c>
      <c r="U4974" s="35" t="inlineStr">
        <is>
          <t>Нет ОКВЭД/ССЧР</t>
        </is>
      </c>
      <c r="V4974" s="35" t="inlineStr">
        <is>
          <t>Не определено</t>
        </is>
      </c>
      <c r="W4974" s="35" t="inlineStr"/>
      <c r="X4974" s="35" t="inlineStr"/>
    </row>
    <row r="4975" ht="15" customHeight="1" s="24">
      <c r="A4975" s="13" t="n">
        <v>800453711</v>
      </c>
      <c r="B4975" s="13" t="inlineStr">
        <is>
          <t>ООО "Энергия"</t>
        </is>
      </c>
      <c r="C4975" s="13" t="n">
        <v>3818015080</v>
      </c>
      <c r="D4975" s="13" t="inlineStr">
        <is>
          <t>3818015080</t>
        </is>
      </c>
      <c r="E4975" s="13" t="inlineStr">
        <is>
          <t>ЮЛ РФ</t>
        </is>
      </c>
      <c r="F4975" s="13" t="n"/>
      <c r="G4975" s="52" t="n">
        <v>3</v>
      </c>
      <c r="H4975" s="52" t="n">
        <v>2025</v>
      </c>
      <c r="I4975" s="14" t="n"/>
      <c r="J4975" s="14" t="n"/>
      <c r="K4975" s="53" t="inlineStr">
        <is>
          <t>Нет</t>
        </is>
      </c>
      <c r="L4975" s="53" t="inlineStr">
        <is>
          <t>Не определено</t>
        </is>
      </c>
      <c r="M4975" s="53" t="inlineStr">
        <is>
          <t>До 10</t>
        </is>
      </c>
      <c r="N4975" s="54" t="n">
        <v>3360</v>
      </c>
      <c r="O4975" s="55" t="inlineStr">
        <is>
          <t>1–15</t>
        </is>
      </c>
      <c r="P4975" s="16" t="inlineStr">
        <is>
          <t>ССЧР обогащена; ОКВЭД не найден/не загружен</t>
        </is>
      </c>
      <c r="Q4975" s="16" t="inlineStr">
        <is>
          <t>ФНС открытые данные ССЧР (ДатаСост 31.12.2025; набор 7707329152-sshr2019)</t>
        </is>
      </c>
      <c r="R4975" s="16">
        <f>HYPERLINK("https://checko.ru/search?query=3801001629","Чекко: проверить")</f>
        <v/>
      </c>
      <c r="S4975" t="n">
        <v>1</v>
      </c>
      <c r="T4975" s="35" t="inlineStr">
        <is>
          <t>4 — Не обогащён</t>
        </is>
      </c>
      <c r="U4975" s="35" t="inlineStr">
        <is>
          <t>Нет ОКВЭД/ССЧР</t>
        </is>
      </c>
      <c r="V4975" s="35" t="inlineStr">
        <is>
          <t>Не определено</t>
        </is>
      </c>
      <c r="W4975" s="35" t="inlineStr">
        <is>
          <t>Нет</t>
        </is>
      </c>
      <c r="X4975" s="35" t="inlineStr"/>
    </row>
    <row r="4976" ht="15" customHeight="1" s="24">
      <c r="A4976" s="13" t="n">
        <v>800422717</v>
      </c>
      <c r="B4976" s="13" t="inlineStr">
        <is>
          <t>МК-ФУД, ООО</t>
        </is>
      </c>
      <c r="C4976" s="13" t="n">
        <v>3810066968</v>
      </c>
      <c r="D4976" s="13" t="inlineStr">
        <is>
          <t>3810066968</t>
        </is>
      </c>
      <c r="E4976" s="13" t="inlineStr">
        <is>
          <t>ЮЛ РФ</t>
        </is>
      </c>
      <c r="F4976" s="13" t="n"/>
      <c r="G4976" s="52" t="n">
        <v>11</v>
      </c>
      <c r="H4976" s="52" t="n">
        <v>2025</v>
      </c>
      <c r="I4976" s="14" t="n"/>
      <c r="J4976" s="14" t="n"/>
      <c r="K4976" s="53" t="inlineStr">
        <is>
          <t>Нет</t>
        </is>
      </c>
      <c r="L4976" s="53" t="inlineStr">
        <is>
          <t>Не определено</t>
        </is>
      </c>
      <c r="M4976" s="53" t="inlineStr">
        <is>
          <t>До 25</t>
        </is>
      </c>
      <c r="N4976" s="54" t="n">
        <v>8400</v>
      </c>
      <c r="O4976" s="55" t="inlineStr">
        <is>
          <t>1–15</t>
        </is>
      </c>
      <c r="P4976" s="16" t="inlineStr">
        <is>
          <t>ССЧР обогащена; ОКВЭД не найден/не загружен</t>
        </is>
      </c>
      <c r="Q4976" s="16" t="inlineStr">
        <is>
          <t>ФНС открытые данные ССЧР (ДатаСост 31.12.2025; набор 7707329152-sshr2019)</t>
        </is>
      </c>
      <c r="R4976" s="16">
        <f>HYPERLINK("https://checko.ru/search?query=3801001629","Чекко: проверить")</f>
        <v/>
      </c>
      <c r="S4976" t="n">
        <v>1</v>
      </c>
      <c r="T4976" s="35" t="inlineStr">
        <is>
          <t>4 — Не обогащён</t>
        </is>
      </c>
      <c r="U4976" s="35" t="inlineStr">
        <is>
          <t>Нет ОКВЭД/ССЧР</t>
        </is>
      </c>
      <c r="V4976" s="35" t="inlineStr">
        <is>
          <t>Не определено</t>
        </is>
      </c>
      <c r="W4976" s="35" t="inlineStr">
        <is>
          <t>Нет</t>
        </is>
      </c>
      <c r="X4976" s="35" t="inlineStr"/>
    </row>
    <row r="4977" ht="27.75" customHeight="1" s="24">
      <c r="A4977" s="13" t="n">
        <v>9126712</v>
      </c>
      <c r="B4977" s="13" t="inlineStr">
        <is>
          <t>Общество с ограниченной ответственностью "Иркмегастрой"</t>
        </is>
      </c>
      <c r="C4977" s="13" t="n">
        <v>3811441160</v>
      </c>
      <c r="D4977" s="13" t="inlineStr">
        <is>
          <t>3811441160</t>
        </is>
      </c>
      <c r="E4977" s="13" t="inlineStr">
        <is>
          <t>ЮЛ РФ</t>
        </is>
      </c>
      <c r="F4977" s="13" t="n"/>
      <c r="G4977" s="52" t="n">
        <v>5</v>
      </c>
      <c r="H4977" s="52" t="n">
        <v>2025</v>
      </c>
      <c r="I4977" s="14" t="n"/>
      <c r="J4977" s="14" t="n"/>
      <c r="K4977" s="53" t="inlineStr">
        <is>
          <t>Нет</t>
        </is>
      </c>
      <c r="L4977" s="53" t="inlineStr">
        <is>
          <t>Не определено</t>
        </is>
      </c>
      <c r="M4977" s="53" t="inlineStr">
        <is>
          <t>До 10</t>
        </is>
      </c>
      <c r="N4977" s="54" t="n">
        <v>3360</v>
      </c>
      <c r="O4977" s="55" t="inlineStr">
        <is>
          <t>1–15</t>
        </is>
      </c>
      <c r="P4977" s="16" t="inlineStr">
        <is>
          <t>ССЧР обогащена; ОКВЭД не найден/не загружен</t>
        </is>
      </c>
      <c r="Q4977" s="16" t="inlineStr">
        <is>
          <t>ФНС открытые данные ССЧР (ДатаСост 31.12.2025; набор 7707329152-sshr2019)</t>
        </is>
      </c>
      <c r="R4977" s="16">
        <f>HYPERLINK("https://checko.ru/search?query=3801001629","Чекко: проверить")</f>
        <v/>
      </c>
      <c r="S4977" t="n">
        <v>1</v>
      </c>
      <c r="T4977" s="35" t="inlineStr">
        <is>
          <t>4 — Не обогащён</t>
        </is>
      </c>
      <c r="U4977" s="35" t="inlineStr">
        <is>
          <t>Нет ОКВЭД/ССЧР</t>
        </is>
      </c>
      <c r="V4977" s="35" t="inlineStr">
        <is>
          <t>Не определено</t>
        </is>
      </c>
      <c r="W4977" s="35" t="inlineStr">
        <is>
          <t>Нет</t>
        </is>
      </c>
      <c r="X4977" s="35" t="inlineStr"/>
    </row>
    <row r="4978" ht="27.75" customHeight="1" s="24">
      <c r="A4978" s="13" t="n">
        <v>16513660</v>
      </c>
      <c r="B4978" s="13" t="inlineStr">
        <is>
          <t>Общество с ограниченной ответственностью "Севертраксервис"</t>
        </is>
      </c>
      <c r="C4978" s="13" t="n">
        <v>3816034017</v>
      </c>
      <c r="D4978" s="13" t="inlineStr">
        <is>
          <t>3816034017</t>
        </is>
      </c>
      <c r="E4978" s="13" t="inlineStr">
        <is>
          <t>ЮЛ РФ</t>
        </is>
      </c>
      <c r="F4978" s="13" t="n"/>
      <c r="G4978" s="52" t="n">
        <v>21</v>
      </c>
      <c r="H4978" s="52" t="n">
        <v>2025</v>
      </c>
      <c r="I4978" s="14" t="n"/>
      <c r="J4978" s="14" t="n"/>
      <c r="K4978" s="53" t="inlineStr">
        <is>
          <t>Нет</t>
        </is>
      </c>
      <c r="L4978" s="53" t="inlineStr">
        <is>
          <t>Не определено</t>
        </is>
      </c>
      <c r="M4978" s="53" t="inlineStr">
        <is>
          <t>До 25</t>
        </is>
      </c>
      <c r="N4978" s="54" t="n">
        <v>8400</v>
      </c>
      <c r="O4978" s="55" t="inlineStr">
        <is>
          <t>16–30</t>
        </is>
      </c>
      <c r="P4978" s="16" t="inlineStr">
        <is>
          <t>ССЧР обогащена; ОКВЭД не найден/не загружен</t>
        </is>
      </c>
      <c r="Q4978" s="16" t="inlineStr">
        <is>
          <t>ФНС открытые данные ССЧР (ДатаСост 31.12.2025; набор 7707329152-sshr2019)</t>
        </is>
      </c>
      <c r="R4978" s="16">
        <f>HYPERLINK("https://checko.ru/search?query=3801001629","Чекко: проверить")</f>
        <v/>
      </c>
      <c r="S4978" t="n">
        <v>1</v>
      </c>
      <c r="T4978" s="35" t="inlineStr">
        <is>
          <t>4 — Не обогащён</t>
        </is>
      </c>
      <c r="U4978" s="35" t="inlineStr">
        <is>
          <t>Нет ОКВЭД/ССЧР</t>
        </is>
      </c>
      <c r="V4978" s="35" t="inlineStr">
        <is>
          <t>Не определено</t>
        </is>
      </c>
      <c r="W4978" s="35" t="inlineStr">
        <is>
          <t>Нет</t>
        </is>
      </c>
      <c r="X4978" s="35" t="inlineStr"/>
    </row>
    <row r="4979" ht="15" customHeight="1" s="24">
      <c r="A4979" s="13" t="n">
        <v>9887199</v>
      </c>
      <c r="B4979" s="13" t="inlineStr">
        <is>
          <t>ООО "ВСЁ ДЛЯ ШИТЬЯ"</t>
        </is>
      </c>
      <c r="C4979" s="13" t="n">
        <v>3808166620</v>
      </c>
      <c r="D4979" s="13" t="inlineStr">
        <is>
          <t>3808166620</t>
        </is>
      </c>
      <c r="E4979" s="13" t="inlineStr">
        <is>
          <t>ЮЛ РФ</t>
        </is>
      </c>
      <c r="F4979" s="13" t="n"/>
      <c r="G4979" s="52" t="n">
        <v>24</v>
      </c>
      <c r="H4979" s="52" t="n">
        <v>2025</v>
      </c>
      <c r="I4979" s="52" t="inlineStr">
        <is>
          <t>46.49</t>
        </is>
      </c>
      <c r="J4979" s="52" t="inlineStr">
        <is>
          <t>46.49; 38.32.2; 38.32.3; 38.32.4; 38.32.5; 41.20; 45.20; 46.41.1; 46.41.2; 46.43.1; 46.90; 47.51; 47.78.9; 56.10; 56.10.1; 56.10.3; 56.30; 63.91; 64.91; 73.11; 82.99; 95.22.1</t>
        </is>
      </c>
      <c r="K4979" s="53" t="inlineStr">
        <is>
          <t>Да</t>
        </is>
      </c>
      <c r="L4979" s="53" t="inlineStr">
        <is>
          <t>Да</t>
        </is>
      </c>
      <c r="M4979" s="53" t="inlineStr">
        <is>
          <t>До 25</t>
        </is>
      </c>
      <c r="N4979" s="54" t="n">
        <v>8400</v>
      </c>
      <c r="O4979" s="55" t="inlineStr">
        <is>
          <t>16–30</t>
        </is>
      </c>
      <c r="P4979" s="16" t="inlineStr">
        <is>
          <t>ССЧР + ОКВЭД обогащены</t>
        </is>
      </c>
      <c r="Q4979" s="16" t="inlineStr">
        <is>
          <t>ФНС открытые данные ССЧР (ДатаСост 31.12.2025; набор 7707329152-sshr2019)</t>
        </is>
      </c>
      <c r="R4979" s="16" t="inlineStr">
        <is>
          <t>ЕГРЮЛ / egrul.nalog.ru (выписка)</t>
        </is>
      </c>
      <c r="S4979" t="n">
        <v>1</v>
      </c>
      <c r="T4979" s="35" t="inlineStr">
        <is>
          <t>1 — Горячий</t>
        </is>
      </c>
      <c r="U4979" s="35" t="inlineStr">
        <is>
          <t>ОКВЭД + 22+</t>
        </is>
      </c>
      <c r="V4979" s="35" t="inlineStr">
        <is>
          <t>Да</t>
        </is>
      </c>
      <c r="W4979" s="35" t="inlineStr">
        <is>
          <t>Да</t>
        </is>
      </c>
      <c r="X4979" s="35" t="inlineStr">
        <is>
          <t>Да</t>
        </is>
      </c>
    </row>
    <row r="4980" ht="27.75" customHeight="1" s="24">
      <c r="A4980" s="13" t="n">
        <v>802416421</v>
      </c>
      <c r="B4980" s="13" t="inlineStr">
        <is>
          <t>Индивидуальный предприниматель Чернявский Денис Викторович</t>
        </is>
      </c>
      <c r="C4980" s="13" t="n">
        <v>381255033638</v>
      </c>
      <c r="D4980" s="13" t="inlineStr">
        <is>
          <t>381255033638</t>
        </is>
      </c>
      <c r="E4980" s="13" t="inlineStr">
        <is>
          <t>ИП РФ / физлицо</t>
        </is>
      </c>
      <c r="F4980" s="13" t="n"/>
      <c r="G4980" s="14" t="n"/>
      <c r="H4980" s="14" t="n"/>
      <c r="I4980" s="14" t="n"/>
      <c r="J4980" s="14" t="n"/>
      <c r="K4980" s="53" t="inlineStr"/>
      <c r="L4980" s="53" t="inlineStr">
        <is>
          <t>Не определено</t>
        </is>
      </c>
      <c r="M4980" s="53" t="inlineStr"/>
      <c r="N4980" s="54" t="inlineStr"/>
      <c r="O4980" s="55" t="inlineStr"/>
      <c r="P4980" s="16" t="inlineStr">
        <is>
          <t>Требует обогащения</t>
        </is>
      </c>
      <c r="Q4980" s="16">
        <f>HYPERLINK("https://pb.nalog.ru/search.html?query=381255033638","ФНС: проверить")</f>
        <v/>
      </c>
      <c r="R4980" s="16">
        <f>HYPERLINK("https://checko.ru/search?query=3801001629","Чекко: проверить")</f>
        <v/>
      </c>
      <c r="S4980" t="n">
        <v>1</v>
      </c>
      <c r="T4980" s="35" t="inlineStr">
        <is>
          <t>4 — Не обогащён</t>
        </is>
      </c>
      <c r="U4980" s="35" t="inlineStr">
        <is>
          <t>Нет ОКВЭД/ССЧР</t>
        </is>
      </c>
      <c r="V4980" s="35" t="inlineStr">
        <is>
          <t>Не определено</t>
        </is>
      </c>
      <c r="W4980" s="35" t="inlineStr"/>
      <c r="X4980" s="35" t="inlineStr"/>
    </row>
    <row r="4981" ht="15" customHeight="1" s="24">
      <c r="A4981" s="13" t="n">
        <v>9811416</v>
      </c>
      <c r="B4981" s="13" t="inlineStr">
        <is>
          <t>ТехАвангард ООО</t>
        </is>
      </c>
      <c r="C4981" s="13" t="n">
        <v>3827022091</v>
      </c>
      <c r="D4981" s="13" t="inlineStr">
        <is>
          <t>3827022091</t>
        </is>
      </c>
      <c r="E4981" s="13" t="inlineStr">
        <is>
          <t>ЮЛ РФ</t>
        </is>
      </c>
      <c r="F4981" s="13" t="n"/>
      <c r="G4981" s="52" t="n">
        <v>9</v>
      </c>
      <c r="H4981" s="52" t="n">
        <v>2025</v>
      </c>
      <c r="I4981" s="14" t="n"/>
      <c r="J4981" s="14" t="n"/>
      <c r="K4981" s="53" t="inlineStr">
        <is>
          <t>Нет</t>
        </is>
      </c>
      <c r="L4981" s="53" t="inlineStr">
        <is>
          <t>Не определено</t>
        </is>
      </c>
      <c r="M4981" s="53" t="inlineStr">
        <is>
          <t>До 10</t>
        </is>
      </c>
      <c r="N4981" s="54" t="n">
        <v>3360</v>
      </c>
      <c r="O4981" s="55" t="inlineStr">
        <is>
          <t>1–15</t>
        </is>
      </c>
      <c r="P4981" s="16" t="inlineStr">
        <is>
          <t>ССЧР обогащена; ОКВЭД не найден/не загружен</t>
        </is>
      </c>
      <c r="Q4981" s="16" t="inlineStr">
        <is>
          <t>ФНС открытые данные ССЧР (ДатаСост 31.12.2025; набор 7707329152-sshr2019)</t>
        </is>
      </c>
      <c r="R4981" s="16">
        <f>HYPERLINK("https://checko.ru/search?query=3801001629","Чекко: проверить")</f>
        <v/>
      </c>
      <c r="S4981" t="n">
        <v>1</v>
      </c>
      <c r="T4981" s="35" t="inlineStr">
        <is>
          <t>4 — Не обогащён</t>
        </is>
      </c>
      <c r="U4981" s="35" t="inlineStr">
        <is>
          <t>Нет ОКВЭД/ССЧР</t>
        </is>
      </c>
      <c r="V4981" s="35" t="inlineStr">
        <is>
          <t>Не определено</t>
        </is>
      </c>
      <c r="W4981" s="35" t="inlineStr">
        <is>
          <t>Нет</t>
        </is>
      </c>
      <c r="X4981" s="35" t="inlineStr"/>
    </row>
    <row r="4982" ht="15" customHeight="1" s="24">
      <c r="A4982" s="13" t="n">
        <v>9352289</v>
      </c>
      <c r="B4982" s="13" t="inlineStr">
        <is>
          <t>ИП "Паздникова Людмила Игоревна"</t>
        </is>
      </c>
      <c r="C4982" s="13" t="n">
        <v>381100099097</v>
      </c>
      <c r="D4982" s="13" t="inlineStr">
        <is>
          <t>381100099097</t>
        </is>
      </c>
      <c r="E4982" s="13" t="inlineStr">
        <is>
          <t>ИП РФ / физлицо</t>
        </is>
      </c>
      <c r="F4982" s="13" t="n"/>
      <c r="G4982" s="14" t="n"/>
      <c r="H4982" s="14" t="n"/>
      <c r="I4982" s="14" t="n"/>
      <c r="J4982" s="14" t="n"/>
      <c r="K4982" s="53" t="inlineStr"/>
      <c r="L4982" s="53" t="inlineStr">
        <is>
          <t>Не определено</t>
        </is>
      </c>
      <c r="M4982" s="53" t="inlineStr"/>
      <c r="N4982" s="54" t="inlineStr"/>
      <c r="O4982" s="55" t="inlineStr"/>
      <c r="P4982" s="16" t="inlineStr">
        <is>
          <t>Требует обогащения</t>
        </is>
      </c>
      <c r="Q4982" s="16">
        <f>HYPERLINK("https://pb.nalog.ru/search.html?query=381100099097","ФНС: проверить")</f>
        <v/>
      </c>
      <c r="R4982" s="16">
        <f>HYPERLINK("https://checko.ru/search?query=3801001629","Чекко: проверить")</f>
        <v/>
      </c>
      <c r="S4982" t="n">
        <v>1</v>
      </c>
      <c r="T4982" s="35" t="inlineStr">
        <is>
          <t>4 — Не обогащён</t>
        </is>
      </c>
      <c r="U4982" s="35" t="inlineStr">
        <is>
          <t>Нет ОКВЭД/ССЧР</t>
        </is>
      </c>
      <c r="V4982" s="35" t="inlineStr">
        <is>
          <t>Не определено</t>
        </is>
      </c>
      <c r="W4982" s="35" t="inlineStr"/>
      <c r="X4982" s="35" t="inlineStr"/>
    </row>
    <row r="4983" ht="15" customHeight="1" s="24">
      <c r="A4983" s="13" t="n">
        <v>9872862</v>
      </c>
      <c r="B4983" s="13" t="inlineStr">
        <is>
          <t>М.С.С. ООО</t>
        </is>
      </c>
      <c r="C4983" s="13" t="n">
        <v>3810071855</v>
      </c>
      <c r="D4983" s="13" t="inlineStr">
        <is>
          <t>3810071855</t>
        </is>
      </c>
      <c r="E4983" s="13" t="inlineStr">
        <is>
          <t>ЮЛ РФ</t>
        </is>
      </c>
      <c r="F4983" s="13" t="n"/>
      <c r="G4983" s="52" t="n">
        <v>2</v>
      </c>
      <c r="H4983" s="52" t="n">
        <v>2025</v>
      </c>
      <c r="I4983" s="14" t="n"/>
      <c r="J4983" s="14" t="n"/>
      <c r="K4983" s="53" t="inlineStr">
        <is>
          <t>Нет</t>
        </is>
      </c>
      <c r="L4983" s="53" t="inlineStr">
        <is>
          <t>Не определено</t>
        </is>
      </c>
      <c r="M4983" s="53" t="inlineStr">
        <is>
          <t>До 10</t>
        </is>
      </c>
      <c r="N4983" s="54" t="n">
        <v>3360</v>
      </c>
      <c r="O4983" s="55" t="inlineStr">
        <is>
          <t>1–15</t>
        </is>
      </c>
      <c r="P4983" s="16" t="inlineStr">
        <is>
          <t>ССЧР обогащена; ОКВЭД не найден/не загружен</t>
        </is>
      </c>
      <c r="Q4983" s="16" t="inlineStr">
        <is>
          <t>ФНС открытые данные ССЧР (ДатаСост 31.12.2025; набор 7707329152-sshr2019)</t>
        </is>
      </c>
      <c r="R4983" s="16">
        <f>HYPERLINK("https://checko.ru/search?query=3801001629","Чекко: проверить")</f>
        <v/>
      </c>
      <c r="S4983" t="n">
        <v>1</v>
      </c>
      <c r="T4983" s="35" t="inlineStr">
        <is>
          <t>4 — Не обогащён</t>
        </is>
      </c>
      <c r="U4983" s="35" t="inlineStr">
        <is>
          <t>Нет ОКВЭД/ССЧР</t>
        </is>
      </c>
      <c r="V4983" s="35" t="inlineStr">
        <is>
          <t>Не определено</t>
        </is>
      </c>
      <c r="W4983" s="35" t="inlineStr">
        <is>
          <t>Нет</t>
        </is>
      </c>
      <c r="X4983" s="35" t="inlineStr"/>
    </row>
    <row r="4984" ht="27.75" customHeight="1" s="24">
      <c r="A4984" s="13" t="n">
        <v>802502753</v>
      </c>
      <c r="B4984" s="13" t="inlineStr">
        <is>
          <t>ОБЩЕСТВО С ОГРАНИЧЕННОЙ ОТВЕТСТВЕННОСТЬЮ "ТЕПЛОСНАБЖЕНИЕ"</t>
        </is>
      </c>
      <c r="C4984" s="13" t="n">
        <v>3815013141</v>
      </c>
      <c r="D4984" s="13" t="inlineStr">
        <is>
          <t>3815013141</t>
        </is>
      </c>
      <c r="E4984" s="13" t="inlineStr">
        <is>
          <t>ЮЛ РФ</t>
        </is>
      </c>
      <c r="F4984" s="13" t="n"/>
      <c r="G4984" s="52" t="n">
        <v>69</v>
      </c>
      <c r="H4984" s="52" t="n">
        <v>2025</v>
      </c>
      <c r="I4984" s="52" t="inlineStr">
        <is>
          <t>35.30.4</t>
        </is>
      </c>
      <c r="J4984" s="52" t="inlineStr">
        <is>
          <t>35.30.4; 02.10; 02.20; 02.40; 35.30.2; 35.30.3; 35.30.5; 35.30.14; 46.71.1; 52.29</t>
        </is>
      </c>
      <c r="K4984" s="53" t="inlineStr">
        <is>
          <t>Да</t>
        </is>
      </c>
      <c r="L4984" s="53" t="inlineStr">
        <is>
          <t>Да</t>
        </is>
      </c>
      <c r="M4984" s="53" t="inlineStr">
        <is>
          <t>До 100</t>
        </is>
      </c>
      <c r="N4984" s="54" t="n">
        <v>33600</v>
      </c>
      <c r="O4984" s="55" t="inlineStr">
        <is>
          <t>51–100</t>
        </is>
      </c>
      <c r="P4984" s="16" t="inlineStr">
        <is>
          <t>ССЧР + ОКВЭД обогащены</t>
        </is>
      </c>
      <c r="Q4984" s="16" t="inlineStr">
        <is>
          <t>ФНС открытые данные ССЧР (ДатаСост 31.12.2025; набор 7707329152-sshr2019)</t>
        </is>
      </c>
      <c r="R4984" s="16" t="inlineStr">
        <is>
          <t>ЕГРЮЛ / egrul.nalog.ru (выписка)</t>
        </is>
      </c>
      <c r="S4984" t="n">
        <v>1</v>
      </c>
      <c r="T4984" s="35" t="inlineStr">
        <is>
          <t>1 — Горячий</t>
        </is>
      </c>
      <c r="U4984" s="35" t="inlineStr">
        <is>
          <t>ОКВЭД + 22+</t>
        </is>
      </c>
      <c r="V4984" s="35" t="inlineStr">
        <is>
          <t>Да</t>
        </is>
      </c>
      <c r="W4984" s="35" t="inlineStr">
        <is>
          <t>Да</t>
        </is>
      </c>
      <c r="X4984" s="35" t="inlineStr">
        <is>
          <t>Да</t>
        </is>
      </c>
    </row>
    <row r="4985" ht="15" customHeight="1" s="24">
      <c r="A4985" s="13" t="n">
        <v>802611766</v>
      </c>
      <c r="B4985" s="13" t="inlineStr">
        <is>
          <t>ООО "Марс стиль"</t>
        </is>
      </c>
      <c r="C4985" s="13" t="n">
        <v>3808104775</v>
      </c>
      <c r="D4985" s="13" t="inlineStr">
        <is>
          <t>3808104775</t>
        </is>
      </c>
      <c r="E4985" s="13" t="inlineStr">
        <is>
          <t>ЮЛ РФ</t>
        </is>
      </c>
      <c r="F4985" s="13" t="n"/>
      <c r="G4985" s="52" t="n">
        <v>20</v>
      </c>
      <c r="H4985" s="52" t="n">
        <v>2025</v>
      </c>
      <c r="I4985" s="14" t="n"/>
      <c r="J4985" s="14" t="n"/>
      <c r="K4985" s="53" t="inlineStr">
        <is>
          <t>Нет</t>
        </is>
      </c>
      <c r="L4985" s="53" t="inlineStr">
        <is>
          <t>Не определено</t>
        </is>
      </c>
      <c r="M4985" s="53" t="inlineStr">
        <is>
          <t>До 25</t>
        </is>
      </c>
      <c r="N4985" s="54" t="n">
        <v>8400</v>
      </c>
      <c r="O4985" s="55" t="inlineStr">
        <is>
          <t>16–30</t>
        </is>
      </c>
      <c r="P4985" s="16" t="inlineStr">
        <is>
          <t>ССЧР обогащена; ОКВЭД не найден/не загружен</t>
        </is>
      </c>
      <c r="Q4985" s="16" t="inlineStr">
        <is>
          <t>ФНС открытые данные ССЧР (ДатаСост 31.12.2025; набор 7707329152-sshr2019)</t>
        </is>
      </c>
      <c r="R4985" s="16">
        <f>HYPERLINK("https://checko.ru/search?query=3801001629","Чекко: проверить")</f>
        <v/>
      </c>
      <c r="S4985" t="n">
        <v>1</v>
      </c>
      <c r="T4985" s="35" t="inlineStr">
        <is>
          <t>4 — Не обогащён</t>
        </is>
      </c>
      <c r="U4985" s="35" t="inlineStr">
        <is>
          <t>Нет ОКВЭД/ССЧР</t>
        </is>
      </c>
      <c r="V4985" s="35" t="inlineStr">
        <is>
          <t>Не определено</t>
        </is>
      </c>
      <c r="W4985" s="35" t="inlineStr">
        <is>
          <t>Нет</t>
        </is>
      </c>
      <c r="X4985" s="35" t="inlineStr"/>
    </row>
    <row r="4986" ht="15" customHeight="1" s="24">
      <c r="A4986" s="13" t="n">
        <v>800500418</v>
      </c>
      <c r="B4986" s="13" t="inlineStr">
        <is>
          <t>ООО "Сибирский Дом"</t>
        </is>
      </c>
      <c r="C4986" s="13" t="n">
        <v>3805709797</v>
      </c>
      <c r="D4986" s="13" t="inlineStr">
        <is>
          <t>3805709797</t>
        </is>
      </c>
      <c r="E4986" s="13" t="inlineStr">
        <is>
          <t>ЮЛ РФ</t>
        </is>
      </c>
      <c r="F4986" s="13" t="n"/>
      <c r="G4986" s="52" t="n">
        <v>5</v>
      </c>
      <c r="H4986" s="52" t="n">
        <v>2025</v>
      </c>
      <c r="I4986" s="14" t="n"/>
      <c r="J4986" s="14" t="n"/>
      <c r="K4986" s="53" t="inlineStr">
        <is>
          <t>Нет</t>
        </is>
      </c>
      <c r="L4986" s="53" t="inlineStr">
        <is>
          <t>Не определено</t>
        </is>
      </c>
      <c r="M4986" s="53" t="inlineStr">
        <is>
          <t>До 10</t>
        </is>
      </c>
      <c r="N4986" s="54" t="n">
        <v>3360</v>
      </c>
      <c r="O4986" s="55" t="inlineStr">
        <is>
          <t>1–15</t>
        </is>
      </c>
      <c r="P4986" s="16" t="inlineStr">
        <is>
          <t>ССЧР обогащена; ОКВЭД не найден/не загружен</t>
        </is>
      </c>
      <c r="Q4986" s="16" t="inlineStr">
        <is>
          <t>ФНС открытые данные ССЧР (ДатаСост 31.12.2025; набор 7707329152-sshr2019)</t>
        </is>
      </c>
      <c r="R4986" s="16">
        <f>HYPERLINK("https://checko.ru/search?query=3801001629","Чекко: проверить")</f>
        <v/>
      </c>
      <c r="S4986" t="n">
        <v>1</v>
      </c>
      <c r="T4986" s="35" t="inlineStr">
        <is>
          <t>4 — Не обогащён</t>
        </is>
      </c>
      <c r="U4986" s="35" t="inlineStr">
        <is>
          <t>Нет ОКВЭД/ССЧР</t>
        </is>
      </c>
      <c r="V4986" s="35" t="inlineStr">
        <is>
          <t>Не определено</t>
        </is>
      </c>
      <c r="W4986" s="35" t="inlineStr">
        <is>
          <t>Нет</t>
        </is>
      </c>
      <c r="X4986" s="35" t="inlineStr"/>
    </row>
    <row r="4987" ht="15" customHeight="1" s="24">
      <c r="A4987" s="13" t="n">
        <v>9176770</v>
      </c>
      <c r="B4987" s="13" t="inlineStr">
        <is>
          <t>ООО "ПЕРСПЕКТИВА"</t>
        </is>
      </c>
      <c r="C4987" s="13" t="n">
        <v>3804999998</v>
      </c>
      <c r="D4987" s="13" t="inlineStr">
        <is>
          <t>3804999998</t>
        </is>
      </c>
      <c r="E4987" s="13" t="inlineStr">
        <is>
          <t>ЮЛ РФ</t>
        </is>
      </c>
      <c r="F4987" s="13" t="n"/>
      <c r="G4987" s="52" t="n">
        <v>13</v>
      </c>
      <c r="H4987" s="52" t="n">
        <v>2025</v>
      </c>
      <c r="I4987" s="14" t="n"/>
      <c r="J4987" s="14" t="n"/>
      <c r="K4987" s="53" t="inlineStr">
        <is>
          <t>Нет</t>
        </is>
      </c>
      <c r="L4987" s="53" t="inlineStr">
        <is>
          <t>Не определено</t>
        </is>
      </c>
      <c r="M4987" s="53" t="inlineStr">
        <is>
          <t>До 25</t>
        </is>
      </c>
      <c r="N4987" s="54" t="n">
        <v>8400</v>
      </c>
      <c r="O4987" s="55" t="inlineStr">
        <is>
          <t>1–15</t>
        </is>
      </c>
      <c r="P4987" s="16" t="inlineStr">
        <is>
          <t>ССЧР обогащена; ОКВЭД не найден/не загружен</t>
        </is>
      </c>
      <c r="Q4987" s="16" t="inlineStr">
        <is>
          <t>ФНС открытые данные ССЧР (ДатаСост 31.12.2025; набор 7707329152-sshr2019)</t>
        </is>
      </c>
      <c r="R4987" s="16">
        <f>HYPERLINK("https://checko.ru/search?query=3801001629","Чекко: проверить")</f>
        <v/>
      </c>
      <c r="S4987" t="n">
        <v>1</v>
      </c>
      <c r="T4987" s="35" t="inlineStr">
        <is>
          <t>4 — Не обогащён</t>
        </is>
      </c>
      <c r="U4987" s="35" t="inlineStr">
        <is>
          <t>Нет ОКВЭД/ССЧР</t>
        </is>
      </c>
      <c r="V4987" s="35" t="inlineStr">
        <is>
          <t>Не определено</t>
        </is>
      </c>
      <c r="W4987" s="35" t="inlineStr">
        <is>
          <t>Нет</t>
        </is>
      </c>
      <c r="X4987" s="35" t="inlineStr"/>
    </row>
    <row r="4988" ht="15" customHeight="1" s="24">
      <c r="A4988" s="13" t="n">
        <v>801894921</v>
      </c>
      <c r="B4988" s="13" t="inlineStr">
        <is>
          <t>ООО "ЕВРОИНСТАЛЛ"</t>
        </is>
      </c>
      <c r="C4988" s="13" t="n">
        <v>3849035263</v>
      </c>
      <c r="D4988" s="13" t="inlineStr">
        <is>
          <t>3849035263</t>
        </is>
      </c>
      <c r="E4988" s="13" t="inlineStr">
        <is>
          <t>ЮЛ РФ</t>
        </is>
      </c>
      <c r="F4988" s="13" t="n"/>
      <c r="G4988" s="52" t="n">
        <v>52</v>
      </c>
      <c r="H4988" s="52" t="n">
        <v>2025</v>
      </c>
      <c r="I4988" s="52" t="inlineStr">
        <is>
          <t>46.69.5</t>
        </is>
      </c>
      <c r="J4988" s="52" t="inlineStr">
        <is>
          <t>46.69.5; 33.19; 42.21; 42.22.1; 42.22.2; 42.99; 43.21; 46.43; 46.69.9; 46.75.2; 46.90; 47.78.9; 95.12; 95.22.1</t>
        </is>
      </c>
      <c r="K4988" s="53" t="inlineStr">
        <is>
          <t>Да</t>
        </is>
      </c>
      <c r="L4988" s="53" t="inlineStr">
        <is>
          <t>Да</t>
        </is>
      </c>
      <c r="M4988" s="53" t="inlineStr">
        <is>
          <t>До 100</t>
        </is>
      </c>
      <c r="N4988" s="54" t="n">
        <v>33600</v>
      </c>
      <c r="O4988" s="55" t="inlineStr">
        <is>
          <t>51–100</t>
        </is>
      </c>
      <c r="P4988" s="16" t="inlineStr">
        <is>
          <t>ССЧР + ОКВЭД обогащены</t>
        </is>
      </c>
      <c r="Q4988" s="16" t="inlineStr">
        <is>
          <t>ФНС открытые данные ССЧР (ДатаСост 31.12.2025; набор 7707329152-sshr2019)</t>
        </is>
      </c>
      <c r="R4988" s="16" t="inlineStr">
        <is>
          <t>ЕГРЮЛ / egrul.nalog.ru (выписка)</t>
        </is>
      </c>
      <c r="S4988" t="n">
        <v>1</v>
      </c>
      <c r="T4988" s="35" t="inlineStr">
        <is>
          <t>1 — Горячий</t>
        </is>
      </c>
      <c r="U4988" s="35" t="inlineStr">
        <is>
          <t>ОКВЭД + 22+</t>
        </is>
      </c>
      <c r="V4988" s="35" t="inlineStr">
        <is>
          <t>Да</t>
        </is>
      </c>
      <c r="W4988" s="35" t="inlineStr">
        <is>
          <t>Да</t>
        </is>
      </c>
      <c r="X4988" s="35" t="inlineStr">
        <is>
          <t>Да</t>
        </is>
      </c>
    </row>
    <row r="4989" ht="15" customHeight="1" s="24">
      <c r="A4989" s="13" t="n">
        <v>800264568</v>
      </c>
      <c r="B4989" s="13" t="inlineStr">
        <is>
          <t>ИП Крылов Николай Михайлович</t>
        </is>
      </c>
      <c r="C4989" s="13" t="n">
        <v>380400011630</v>
      </c>
      <c r="D4989" s="13" t="inlineStr">
        <is>
          <t>380400011630</t>
        </is>
      </c>
      <c r="E4989" s="13" t="inlineStr">
        <is>
          <t>ИП РФ / физлицо</t>
        </is>
      </c>
      <c r="F4989" s="13" t="n"/>
      <c r="G4989" s="14" t="n"/>
      <c r="H4989" s="14" t="n"/>
      <c r="I4989" s="14" t="n"/>
      <c r="J4989" s="14" t="n"/>
      <c r="K4989" s="53" t="inlineStr"/>
      <c r="L4989" s="53" t="inlineStr">
        <is>
          <t>Не определено</t>
        </is>
      </c>
      <c r="M4989" s="53" t="inlineStr"/>
      <c r="N4989" s="54" t="inlineStr"/>
      <c r="O4989" s="55" t="inlineStr"/>
      <c r="P4989" s="16" t="inlineStr">
        <is>
          <t>Требует обогащения</t>
        </is>
      </c>
      <c r="Q4989" s="16">
        <f>HYPERLINK("https://pb.nalog.ru/search.html?query=380400011630","ФНС: проверить")</f>
        <v/>
      </c>
      <c r="R4989" s="16">
        <f>HYPERLINK("https://checko.ru/search?query=3801001629","Чекко: проверить")</f>
        <v/>
      </c>
      <c r="S4989" t="n">
        <v>1</v>
      </c>
      <c r="T4989" s="35" t="inlineStr">
        <is>
          <t>4 — Не обогащён</t>
        </is>
      </c>
      <c r="U4989" s="35" t="inlineStr">
        <is>
          <t>Нет ОКВЭД/ССЧР</t>
        </is>
      </c>
      <c r="V4989" s="35" t="inlineStr">
        <is>
          <t>Не определено</t>
        </is>
      </c>
      <c r="W4989" s="35" t="inlineStr"/>
      <c r="X4989" s="35" t="inlineStr"/>
    </row>
    <row r="4990" ht="15" customHeight="1" s="24">
      <c r="A4990" s="13" t="n">
        <v>9169682</v>
      </c>
      <c r="B4990" s="13" t="inlineStr">
        <is>
          <t>ООО"ЭЛЕКТРОСЕРВИС"</t>
        </is>
      </c>
      <c r="C4990" s="13" t="n">
        <v>3810341438</v>
      </c>
      <c r="D4990" s="13" t="inlineStr">
        <is>
          <t>3810341438</t>
        </is>
      </c>
      <c r="E4990" s="13" t="inlineStr">
        <is>
          <t>ЮЛ РФ</t>
        </is>
      </c>
      <c r="F4990" s="13" t="n"/>
      <c r="G4990" s="52" t="n">
        <v>12</v>
      </c>
      <c r="H4990" s="52" t="n">
        <v>2025</v>
      </c>
      <c r="I4990" s="14" t="n"/>
      <c r="J4990" s="14" t="n"/>
      <c r="K4990" s="53" t="inlineStr">
        <is>
          <t>Нет</t>
        </is>
      </c>
      <c r="L4990" s="53" t="inlineStr">
        <is>
          <t>Не определено</t>
        </is>
      </c>
      <c r="M4990" s="53" t="inlineStr">
        <is>
          <t>До 25</t>
        </is>
      </c>
      <c r="N4990" s="54" t="n">
        <v>8400</v>
      </c>
      <c r="O4990" s="55" t="inlineStr">
        <is>
          <t>1–15</t>
        </is>
      </c>
      <c r="P4990" s="16" t="inlineStr">
        <is>
          <t>ССЧР обогащена; ОКВЭД не найден/не загружен</t>
        </is>
      </c>
      <c r="Q4990" s="16" t="inlineStr">
        <is>
          <t>ФНС открытые данные ССЧР (ДатаСост 31.12.2025; набор 7707329152-sshr2019)</t>
        </is>
      </c>
      <c r="R4990" s="16">
        <f>HYPERLINK("https://checko.ru/search?query=3801001629","Чекко: проверить")</f>
        <v/>
      </c>
      <c r="S4990" t="n">
        <v>1</v>
      </c>
      <c r="T4990" s="35" t="inlineStr">
        <is>
          <t>4 — Не обогащён</t>
        </is>
      </c>
      <c r="U4990" s="35" t="inlineStr">
        <is>
          <t>Нет ОКВЭД/ССЧР</t>
        </is>
      </c>
      <c r="V4990" s="35" t="inlineStr">
        <is>
          <t>Не определено</t>
        </is>
      </c>
      <c r="W4990" s="35" t="inlineStr">
        <is>
          <t>Нет</t>
        </is>
      </c>
      <c r="X4990" s="35" t="inlineStr"/>
    </row>
    <row r="4991" ht="15" customHeight="1" s="24">
      <c r="A4991" s="13" t="n">
        <v>9796895</v>
      </c>
      <c r="B4991" s="13" t="inlineStr">
        <is>
          <t>КБ "Байкалкредобанк" (ОАО)</t>
        </is>
      </c>
      <c r="C4991" s="13" t="n">
        <v>3807002717</v>
      </c>
      <c r="D4991" s="13" t="inlineStr">
        <is>
          <t>3807002717</t>
        </is>
      </c>
      <c r="E4991" s="13" t="inlineStr">
        <is>
          <t>ЮЛ РФ</t>
        </is>
      </c>
      <c r="F4991" s="13" t="n"/>
      <c r="G4991" s="14" t="n"/>
      <c r="H4991" s="14" t="n"/>
      <c r="I4991" s="14" t="n"/>
      <c r="J4991" s="14" t="n"/>
      <c r="K4991" s="53" t="inlineStr"/>
      <c r="L4991" s="53" t="inlineStr">
        <is>
          <t>Не определено</t>
        </is>
      </c>
      <c r="M4991" s="53" t="inlineStr"/>
      <c r="N4991" s="54" t="inlineStr"/>
      <c r="O4991" s="55" t="inlineStr"/>
      <c r="P4991" s="16" t="inlineStr">
        <is>
          <t>Требует обогащения</t>
        </is>
      </c>
      <c r="Q4991" s="16">
        <f>HYPERLINK("https://pb.nalog.ru/search.html?query=3807002717","ФНС: проверить")</f>
        <v/>
      </c>
      <c r="R4991" s="16">
        <f>HYPERLINK("https://checko.ru/search?query=3801001629","Чекко: проверить")</f>
        <v/>
      </c>
      <c r="S4991" t="n">
        <v>1</v>
      </c>
      <c r="T4991" s="35" t="inlineStr">
        <is>
          <t>4 — Не обогащён</t>
        </is>
      </c>
      <c r="U4991" s="35" t="inlineStr">
        <is>
          <t>Нет ОКВЭД/ССЧР</t>
        </is>
      </c>
      <c r="V4991" s="35" t="inlineStr">
        <is>
          <t>Не определено</t>
        </is>
      </c>
      <c r="W4991" s="35" t="inlineStr"/>
      <c r="X4991" s="35" t="inlineStr"/>
    </row>
    <row r="4992" ht="15" customHeight="1" s="24">
      <c r="A4992" s="13" t="n">
        <v>801605609</v>
      </c>
      <c r="B4992" s="13" t="inlineStr">
        <is>
          <t>ООО "Гарант"</t>
        </is>
      </c>
      <c r="C4992" s="13" t="n">
        <v>3820008299</v>
      </c>
      <c r="D4992" s="13" t="inlineStr">
        <is>
          <t>3820008299</t>
        </is>
      </c>
      <c r="E4992" s="13" t="inlineStr">
        <is>
          <t>ЮЛ РФ</t>
        </is>
      </c>
      <c r="F4992" s="13" t="n"/>
      <c r="G4992" s="52" t="n">
        <v>32</v>
      </c>
      <c r="H4992" s="52" t="n">
        <v>2025</v>
      </c>
      <c r="I4992" s="52" t="inlineStr">
        <is>
          <t>47.78.3</t>
        </is>
      </c>
      <c r="J4992" s="52" t="inlineStr">
        <is>
          <t>47.78.3; 47.78.4; 49.41.1; 49.41.2; 68.32.1; 81.29.9; 96.03</t>
        </is>
      </c>
      <c r="K4992" s="53" t="inlineStr">
        <is>
          <t>Да</t>
        </is>
      </c>
      <c r="L4992" s="53" t="inlineStr">
        <is>
          <t>Да</t>
        </is>
      </c>
      <c r="M4992" s="53" t="inlineStr">
        <is>
          <t>До 50</t>
        </is>
      </c>
      <c r="N4992" s="54" t="n">
        <v>16800</v>
      </c>
      <c r="O4992" s="55" t="inlineStr">
        <is>
          <t>31–50</t>
        </is>
      </c>
      <c r="P4992" s="16" t="inlineStr">
        <is>
          <t>ССЧР + ОКВЭД обогащены</t>
        </is>
      </c>
      <c r="Q4992" s="16" t="inlineStr">
        <is>
          <t>ФНС открытые данные ССЧР (ДатаСост 31.12.2025; набор 7707329152-sshr2019)</t>
        </is>
      </c>
      <c r="R4992" s="16" t="inlineStr">
        <is>
          <t>ЕГРЮЛ / egrul.nalog.ru (выписка)</t>
        </is>
      </c>
      <c r="S4992" t="n">
        <v>1</v>
      </c>
      <c r="T4992" s="35" t="inlineStr">
        <is>
          <t>1 — Горячий</t>
        </is>
      </c>
      <c r="U4992" s="35" t="inlineStr">
        <is>
          <t>ОКВЭД + 22+</t>
        </is>
      </c>
      <c r="V4992" s="35" t="inlineStr">
        <is>
          <t>Да</t>
        </is>
      </c>
      <c r="W4992" s="35" t="inlineStr">
        <is>
          <t>Да</t>
        </is>
      </c>
      <c r="X4992" s="35" t="inlineStr">
        <is>
          <t>Да</t>
        </is>
      </c>
    </row>
    <row r="4993" ht="15" customHeight="1" s="24">
      <c r="A4993" s="13" t="n">
        <v>802914724</v>
      </c>
      <c r="B4993" s="13" t="inlineStr">
        <is>
          <t>РЖД ДЕТСКИЙ САД №62</t>
        </is>
      </c>
      <c r="C4993" s="13" t="n">
        <v>317005199</v>
      </c>
      <c r="D4993" s="13" t="n"/>
      <c r="E4993" s="13" t="inlineStr">
        <is>
          <t>Не определён</t>
        </is>
      </c>
      <c r="F4993" s="13" t="inlineStr">
        <is>
          <t>317005199</t>
        </is>
      </c>
      <c r="G4993" s="14" t="n"/>
      <c r="H4993" s="14" t="n"/>
      <c r="I4993" s="14" t="n"/>
      <c r="J4993" s="14" t="n"/>
      <c r="K4993" s="13">
        <f>IF(G4993="","",IF(G4993&gt;=22,"Да","Нет"))</f>
        <v/>
      </c>
      <c r="L4993" s="13">
        <f>IF(OR(I4993="",J4993=""),"Не определено",IF(OR(COUNTIF(I4993,"45*")&gt;0,COUNTIF(J4993,"*45*")&gt;0,COUNTIF(I4993,"46*")&gt;0,COUNTIF(J4993,"*46*")&gt;0,COUNTIF(I4993,"47*")&gt;0,COUNTIF(J4993,"*47*")&gt;0,COUNTIF(I4993,"10*")&gt;0,COUNTIF(J4993,"*10*")&gt;0,COUNTIF(I4993,"11*")&gt;0,COUNTIF(J4993,"*11*")&gt;0,COUNTIF(I4993,"12*")&gt;0,COUNTIF(J4993,"*12*")&gt;0,COUNTIF(I4993,"13*")&gt;0,COUNTIF(J4993,"*13*")&gt;0,COUNTIF(I4993,"14*")&gt;0,COUNTIF(J4993,"*14*")&gt;0,COUNTIF(I4993,"15*")&gt;0,COUNTIF(J4993,"*15*")&gt;0,COUNTIF(I4993,"16*")&gt;0,COUNTIF(J4993,"*16*")&gt;0,COUNTIF(I4993,"17*")&gt;0,COUNTIF(J4993,"*17*")&gt;0,COUNTIF(I4993,"18*")&gt;0,COUNTIF(J4993,"*18*")&gt;0,COUNTIF(I4993,"19*")&gt;0,COUNTIF(J4993,"*19*")&gt;0,COUNTIF(I4993,"20*")&gt;0,COUNTIF(J4993,"*20*")&gt;0,COUNTIF(I4993,"21*")&gt;0,COUNTIF(J4993,"*21*")&gt;0,COUNTIF(I4993,"22*")&gt;0,COUNTIF(J4993,"*22*")&gt;0,COUNTIF(I4993,"23*")&gt;0,COUNTIF(J4993,"*23*")&gt;0,COUNTIF(I4993,"24*")&gt;0,COUNTIF(J4993,"*24*")&gt;0,COUNTIF(I4993,"25*")&gt;0,COUNTIF(J4993,"*25*")&gt;0,COUNTIF(I4993,"26*")&gt;0,COUNTIF(J4993,"*26*")&gt;0,COUNTIF(I4993,"27*")&gt;0,COUNTIF(J4993,"*27*")&gt;0,COUNTIF(I4993,"28*")&gt;0,COUNTIF(J4993,"*28*")&gt;0,COUNTIF(I4993,"29*")&gt;0,COUNTIF(J4993,"*29*")&gt;0,COUNTIF(I4993,"30*")&gt;0,COUNTIF(J4993,"*30*")&gt;0,COUNTIF(I4993,"31*")&gt;0,COUNTIF(J4993,"*31*")&gt;0,COUNTIF(I4993,"32*")&gt;0,COUNTIF(J4993,"*32*")&gt;0,COUNTIF(I4993,"33*")&gt;0,COUNTIF(J4993,"*33*")&gt;0,COUNTIF(I4993,"41*")&gt;0,COUNTIF(J4993,"*41*")&gt;0,COUNTIF(I4993,"42*")&gt;0,COUNTIF(J4993,"*42*")&gt;0,COUNTIF(I4993,"43*")&gt;0,COUNTIF(J4993,"*43*")&gt;0,COUNTIF(I4993,"49*")&gt;0,COUNTIF(J4993,"*49*")&gt;0,COUNTIF(I4993,"52*")&gt;0,COUNTIF(J4993,"*52*")&gt;0,COUNTIF(I4993,"55*")&gt;0,COUNTIF(J4993,"*55*")&gt;0,COUNTIF(I4993,"56*")&gt;0,COUNTIF(J4993,"*56*")&gt;0,COUNTIF(I4993,"68*")&gt;0,COUNTIF(J4993,"*68*")&gt;0,COUNTIF(I4993,"78*")&gt;0,COUNTIF(J4993,"*78*")&gt;0,COUNTIF(I4993,"81*")&gt;0,COUNTIF(J4993,"*81*")&gt;0,COUNTIF(I4993,"82*")&gt;0,COUNTIF(J4993,"*82*")&gt;0,COUNTIF(I4993,"64*")&gt;0,COUNTIF(J4993,"*64*")&gt;0,COUNTIF(I4993,"65*")&gt;0,COUNTIF(J4993,"*65*")&gt;0,COUNTIF(I4993,"66*")&gt;0,COUNTIF(J4993,"*66*")&gt;0,COUNTIF(I4993,"61*")&gt;0,COUNTIF(J4993,"*61*")&gt;0,COUNTIF(I4993,"62*")&gt;0,COUNTIF(J4993,"*62*")&gt;0,COUNTIF(I4993,"63*")&gt;0,COUNTIF(J4993,"*63*")&gt;0,COUNTIF(I4993,"85*")&gt;0,COUNTIF(J4993,"*85*")&gt;0,COUNTIF(I4993,"86*")&gt;0,COUNTIF(J4993,"*86*")&gt;0),"Да","Нет"))</f>
        <v/>
      </c>
      <c r="M4993" s="13">
        <f>IF(OR(G4993="",L4993&lt;&gt;"Да"),"",IF(G4993&lt;=100,"До 100",IF(G4993&lt;=200,"До 200",IF(G4993&lt;=500,"До 500","Отдельное КП"))))</f>
        <v/>
      </c>
      <c r="N4993" s="15">
        <f>IF(OR(G4993="",L4993&lt;&gt;"Да"),"",IF(G4993&lt;=100,33600,IF(G4993&lt;=200,62400,IF(G4993&lt;=500,144000,""))))</f>
        <v/>
      </c>
      <c r="O4993" s="16">
        <f>IF(G4993="","",IF(G4993&lt;=15,"1–15",IF(G4993&lt;=30,"16–30",IF(G4993&lt;=50,"31–50",IF(G4993&lt;=100,"51–100",IF(G4993&lt;=150,"101–150",IF(G4993&lt;=200,"151–200",IF(G4993&lt;=500,"201–500","500+"))))))))</f>
        <v/>
      </c>
      <c r="P4993" s="16" t="inlineStr">
        <is>
          <t>Нет совпадения в предоставленной выгрузке ССЧР</t>
        </is>
      </c>
      <c r="Q4993" s="16" t="n"/>
      <c r="R4993" s="16">
        <f>HYPERLINK("https://checko.ru/search?query=3801001629","Чекко: проверить")</f>
        <v/>
      </c>
      <c r="S4993" t="n">
        <v>0</v>
      </c>
    </row>
    <row r="4994" ht="15" customHeight="1" s="24">
      <c r="A4994" s="13" t="n">
        <v>804878936</v>
      </c>
      <c r="B4994" s="13" t="inlineStr">
        <is>
          <t>ИП Кузнецова Галина Георгиевна</t>
        </is>
      </c>
      <c r="C4994" s="13" t="n">
        <v>700301597090</v>
      </c>
      <c r="D4994" s="13" t="inlineStr">
        <is>
          <t>700301597090</t>
        </is>
      </c>
      <c r="E4994" s="13" t="inlineStr">
        <is>
          <t>ИП РФ / физлицо</t>
        </is>
      </c>
      <c r="F4994" s="13" t="n"/>
      <c r="G4994" s="14" t="n"/>
      <c r="H4994" s="14" t="n"/>
      <c r="I4994" s="14" t="n"/>
      <c r="J4994" s="14" t="n"/>
      <c r="K4994" s="53" t="inlineStr"/>
      <c r="L4994" s="53" t="inlineStr">
        <is>
          <t>Не определено</t>
        </is>
      </c>
      <c r="M4994" s="53" t="inlineStr"/>
      <c r="N4994" s="54" t="inlineStr"/>
      <c r="O4994" s="55" t="inlineStr"/>
      <c r="P4994" s="16" t="inlineStr">
        <is>
          <t>Требует обогащения</t>
        </is>
      </c>
      <c r="Q4994" s="16">
        <f>HYPERLINK("https://pb.nalog.ru/search.html?query=700301597090","ФНС: проверить")</f>
        <v/>
      </c>
      <c r="R4994" s="16">
        <f>HYPERLINK("https://checko.ru/search?query=3801001629","Чекко: проверить")</f>
        <v/>
      </c>
      <c r="S4994" t="n">
        <v>1</v>
      </c>
      <c r="T4994" s="35" t="inlineStr">
        <is>
          <t>4 — Не обогащён</t>
        </is>
      </c>
      <c r="U4994" s="35" t="inlineStr">
        <is>
          <t>Нет ОКВЭД/ССЧР</t>
        </is>
      </c>
      <c r="V4994" s="35" t="inlineStr">
        <is>
          <t>Не определено</t>
        </is>
      </c>
      <c r="W4994" s="35" t="inlineStr"/>
      <c r="X4994" s="35" t="inlineStr"/>
    </row>
    <row r="4995" ht="15" customHeight="1" s="24">
      <c r="A4995" s="13" t="n">
        <v>800832717</v>
      </c>
      <c r="B4995" s="13" t="inlineStr">
        <is>
          <t>ООО «Компания «Госстрой»</t>
        </is>
      </c>
      <c r="C4995" s="13" t="n">
        <v>3827039144</v>
      </c>
      <c r="D4995" s="13" t="inlineStr">
        <is>
          <t>3827039144</t>
        </is>
      </c>
      <c r="E4995" s="13" t="inlineStr">
        <is>
          <t>ЮЛ РФ</t>
        </is>
      </c>
      <c r="F4995" s="13" t="n"/>
      <c r="G4995" s="52" t="n">
        <v>133</v>
      </c>
      <c r="H4995" s="52" t="n">
        <v>2025</v>
      </c>
      <c r="I4995" s="52" t="inlineStr">
        <is>
          <t>16.23</t>
        </is>
      </c>
      <c r="J4995" s="52" t="inlineStr">
        <is>
          <t>16.23; 02.10; 02.10.1; 02.10.11; 02.20; 02.40; 02.40.2; 16.10.1; 16.10.2; 16.21; 16.21.1; 16.23.1; 16.23.2; 41.20; 42.91; 43.11; 43.12; 43.12.3; 43.13; 43.21; 43.22; 43.29; 43.31; 43.32; 43.33; 43.34; 43.39; 43.91; 43.99; 43.99.1; 46.73; 46.73.1; 46.73.2; 49.41; 49.42; 52.10</t>
        </is>
      </c>
      <c r="K4995" s="53" t="inlineStr">
        <is>
          <t>Да</t>
        </is>
      </c>
      <c r="L4995" s="53" t="inlineStr">
        <is>
          <t>Да</t>
        </is>
      </c>
      <c r="M4995" s="53" t="inlineStr">
        <is>
          <t>До 200</t>
        </is>
      </c>
      <c r="N4995" s="54" t="n">
        <v>62400</v>
      </c>
      <c r="O4995" s="55" t="inlineStr">
        <is>
          <t>101–200</t>
        </is>
      </c>
      <c r="P4995" s="16" t="inlineStr">
        <is>
          <t>ССЧР + ОКВЭД обогащены</t>
        </is>
      </c>
      <c r="Q4995" s="16" t="inlineStr">
        <is>
          <t>ФНС открытые данные ССЧР (ДатаСост 31.12.2025; набор 7707329152-sshr2019)</t>
        </is>
      </c>
      <c r="R4995" s="16" t="inlineStr">
        <is>
          <t>ЕГРЮЛ / egrul.nalog.ru (выписка)</t>
        </is>
      </c>
      <c r="S4995" t="n">
        <v>1</v>
      </c>
      <c r="T4995" s="35" t="inlineStr">
        <is>
          <t>1 — Горячий</t>
        </is>
      </c>
      <c r="U4995" s="35" t="inlineStr">
        <is>
          <t>ОКВЭД + 22+</t>
        </is>
      </c>
      <c r="V4995" s="35" t="inlineStr">
        <is>
          <t>Да</t>
        </is>
      </c>
      <c r="W4995" s="35" t="inlineStr">
        <is>
          <t>Да</t>
        </is>
      </c>
      <c r="X4995" s="35" t="inlineStr">
        <is>
          <t>Да</t>
        </is>
      </c>
    </row>
    <row r="4996" ht="15" customHeight="1" s="24">
      <c r="A4996" s="13" t="n">
        <v>800409580</v>
      </c>
      <c r="B4996" s="13" t="inlineStr">
        <is>
          <t>ООО "Крестовая падь"</t>
        </is>
      </c>
      <c r="C4996" s="13" t="n">
        <v>3811092390</v>
      </c>
      <c r="D4996" s="13" t="inlineStr">
        <is>
          <t>3811092390</t>
        </is>
      </c>
      <c r="E4996" s="13" t="inlineStr">
        <is>
          <t>ЮЛ РФ</t>
        </is>
      </c>
      <c r="F4996" s="13" t="n"/>
      <c r="G4996" s="52" t="n">
        <v>22</v>
      </c>
      <c r="H4996" s="52" t="n">
        <v>2025</v>
      </c>
      <c r="I4996" s="52" t="inlineStr">
        <is>
          <t>55.10</t>
        </is>
      </c>
      <c r="J4996" s="52" t="inlineStr">
        <is>
          <t>55.10; 18.12; 46.19; 46.38.29; 46.49; 46.71; 46.90; 47.29; 52.10.9; 52.29; 56.10; 56.10.1; 56.10.3; 58.11.1; 63.11.1; 64.99; 66.11.2; 66.12.1; 68.20; 68.31; 70.22; 73.11; 79.11; 82.99; 93.29.9</t>
        </is>
      </c>
      <c r="K4996" s="53" t="inlineStr">
        <is>
          <t>Да</t>
        </is>
      </c>
      <c r="L4996" s="53" t="inlineStr">
        <is>
          <t>Да</t>
        </is>
      </c>
      <c r="M4996" s="53" t="inlineStr">
        <is>
          <t>До 25</t>
        </is>
      </c>
      <c r="N4996" s="54" t="n">
        <v>8400</v>
      </c>
      <c r="O4996" s="55" t="inlineStr">
        <is>
          <t>16–30</t>
        </is>
      </c>
      <c r="P4996" s="16" t="inlineStr">
        <is>
          <t>ССЧР + ОКВЭД обогащены</t>
        </is>
      </c>
      <c r="Q4996" s="16" t="inlineStr">
        <is>
          <t>ФНС открытые данные ССЧР (ДатаСост 31.12.2025; набор 7707329152-sshr2019)</t>
        </is>
      </c>
      <c r="R4996" s="16" t="inlineStr">
        <is>
          <t>ЕГРЮЛ / egrul.nalog.ru (выписка)</t>
        </is>
      </c>
      <c r="S4996" t="n">
        <v>1</v>
      </c>
      <c r="T4996" s="35" t="inlineStr">
        <is>
          <t>1 — Горячий</t>
        </is>
      </c>
      <c r="U4996" s="35" t="inlineStr">
        <is>
          <t>ОКВЭД + 22+</t>
        </is>
      </c>
      <c r="V4996" s="35" t="inlineStr">
        <is>
          <t>Да</t>
        </is>
      </c>
      <c r="W4996" s="35" t="inlineStr">
        <is>
          <t>Да</t>
        </is>
      </c>
      <c r="X4996" s="35" t="inlineStr">
        <is>
          <t>Да</t>
        </is>
      </c>
    </row>
    <row r="4997" ht="27.75" customHeight="1" s="24">
      <c r="A4997" s="13" t="n">
        <v>802330146</v>
      </c>
      <c r="B4997" s="13" t="inlineStr">
        <is>
          <t>ОБЩЕСТВО С ОГРАНИЧЕННОЙ ОТВЕТСТВЕННОСТЬЮ "ВИНКОНЦЕПТ"</t>
        </is>
      </c>
      <c r="C4997" s="13" t="n">
        <v>7000012834</v>
      </c>
      <c r="D4997" s="13" t="inlineStr">
        <is>
          <t>7000012834</t>
        </is>
      </c>
      <c r="E4997" s="13" t="inlineStr">
        <is>
          <t>ЮЛ РФ</t>
        </is>
      </c>
      <c r="F4997" s="13" t="n"/>
      <c r="G4997" s="52" t="n">
        <v>0</v>
      </c>
      <c r="H4997" s="52" t="n">
        <v>2025</v>
      </c>
      <c r="I4997" s="14" t="n"/>
      <c r="J4997" s="14" t="n"/>
      <c r="K4997" s="53" t="inlineStr">
        <is>
          <t>Нет</t>
        </is>
      </c>
      <c r="L4997" s="53" t="inlineStr">
        <is>
          <t>Не определено</t>
        </is>
      </c>
      <c r="M4997" s="53" t="inlineStr">
        <is>
          <t>До 10</t>
        </is>
      </c>
      <c r="N4997" s="54" t="n">
        <v>3360</v>
      </c>
      <c r="O4997" s="55" t="inlineStr">
        <is>
          <t>1–15</t>
        </is>
      </c>
      <c r="P4997" s="16" t="inlineStr">
        <is>
          <t>ССЧР обогащена; ОКВЭД не найден/не загружен</t>
        </is>
      </c>
      <c r="Q4997" s="16" t="inlineStr">
        <is>
          <t>ФНС открытые данные ССЧР (ДатаСост 31.12.2025; набор 7707329152-sshr2019)</t>
        </is>
      </c>
      <c r="R4997" s="16">
        <f>HYPERLINK("https://checko.ru/search?query=3801001629","Чекко: проверить")</f>
        <v/>
      </c>
      <c r="S4997" t="n">
        <v>1</v>
      </c>
      <c r="T4997" s="35" t="inlineStr">
        <is>
          <t>4 — Не обогащён</t>
        </is>
      </c>
      <c r="U4997" s="35" t="inlineStr">
        <is>
          <t>Нет ОКВЭД/ССЧР</t>
        </is>
      </c>
      <c r="V4997" s="35" t="inlineStr">
        <is>
          <t>Не определено</t>
        </is>
      </c>
      <c r="W4997" s="35" t="inlineStr">
        <is>
          <t>Нет</t>
        </is>
      </c>
      <c r="X4997" s="35" t="inlineStr"/>
    </row>
    <row r="4998" ht="27.75" customHeight="1" s="24">
      <c r="A4998" s="13" t="n">
        <v>802463765</v>
      </c>
      <c r="B4998" s="13" t="inlineStr">
        <is>
          <t>ОБЩЕСТВО С ОГРАНИЧЕННОЙ ОТВЕТСТВЕННОСТЬЮ "ВОСТСИБРЕГИОН"</t>
        </is>
      </c>
      <c r="C4998" s="13" t="n">
        <v>3801117817</v>
      </c>
      <c r="D4998" s="13" t="inlineStr">
        <is>
          <t>3801117817</t>
        </is>
      </c>
      <c r="E4998" s="13" t="inlineStr">
        <is>
          <t>ЮЛ РФ</t>
        </is>
      </c>
      <c r="F4998" s="13" t="n"/>
      <c r="G4998" s="52" t="n">
        <v>7</v>
      </c>
      <c r="H4998" s="52" t="n">
        <v>2025</v>
      </c>
      <c r="I4998" s="14" t="n"/>
      <c r="J4998" s="14" t="n"/>
      <c r="K4998" s="53" t="inlineStr">
        <is>
          <t>Нет</t>
        </is>
      </c>
      <c r="L4998" s="53" t="inlineStr">
        <is>
          <t>Не определено</t>
        </is>
      </c>
      <c r="M4998" s="53" t="inlineStr">
        <is>
          <t>До 10</t>
        </is>
      </c>
      <c r="N4998" s="54" t="n">
        <v>3360</v>
      </c>
      <c r="O4998" s="55" t="inlineStr">
        <is>
          <t>1–15</t>
        </is>
      </c>
      <c r="P4998" s="16" t="inlineStr">
        <is>
          <t>ССЧР обогащена; ОКВЭД не найден/не загружен</t>
        </is>
      </c>
      <c r="Q4998" s="16" t="inlineStr">
        <is>
          <t>ФНС открытые данные ССЧР (ДатаСост 31.12.2025; набор 7707329152-sshr2019)</t>
        </is>
      </c>
      <c r="R4998" s="16">
        <f>HYPERLINK("https://checko.ru/search?query=3801001629","Чекко: проверить")</f>
        <v/>
      </c>
      <c r="S4998" t="n">
        <v>1</v>
      </c>
      <c r="T4998" s="35" t="inlineStr">
        <is>
          <t>4 — Не обогащён</t>
        </is>
      </c>
      <c r="U4998" s="35" t="inlineStr">
        <is>
          <t>Нет ОКВЭД/ССЧР</t>
        </is>
      </c>
      <c r="V4998" s="35" t="inlineStr">
        <is>
          <t>Не определено</t>
        </is>
      </c>
      <c r="W4998" s="35" t="inlineStr">
        <is>
          <t>Нет</t>
        </is>
      </c>
      <c r="X4998" s="35" t="inlineStr"/>
    </row>
    <row r="4999" ht="15" customHeight="1" s="24">
      <c r="A4999" s="13" t="n">
        <v>802249806</v>
      </c>
      <c r="B4999" s="13" t="inlineStr">
        <is>
          <t>БЛАНМАРТ ООО</t>
        </is>
      </c>
      <c r="C4999" s="13" t="n">
        <v>3811467017</v>
      </c>
      <c r="D4999" s="13" t="inlineStr">
        <is>
          <t>3811467017</t>
        </is>
      </c>
      <c r="E4999" s="13" t="inlineStr">
        <is>
          <t>ЮЛ РФ</t>
        </is>
      </c>
      <c r="F4999" s="13" t="n"/>
      <c r="G4999" s="52" t="n">
        <v>3</v>
      </c>
      <c r="H4999" s="52" t="n">
        <v>2025</v>
      </c>
      <c r="I4999" s="14" t="n"/>
      <c r="J4999" s="14" t="n"/>
      <c r="K4999" s="53" t="inlineStr">
        <is>
          <t>Нет</t>
        </is>
      </c>
      <c r="L4999" s="53" t="inlineStr">
        <is>
          <t>Не определено</t>
        </is>
      </c>
      <c r="M4999" s="53" t="inlineStr">
        <is>
          <t>До 10</t>
        </is>
      </c>
      <c r="N4999" s="54" t="n">
        <v>3360</v>
      </c>
      <c r="O4999" s="55" t="inlineStr">
        <is>
          <t>1–15</t>
        </is>
      </c>
      <c r="P4999" s="16" t="inlineStr">
        <is>
          <t>ССЧР обогащена; ОКВЭД не найден/не загружен</t>
        </is>
      </c>
      <c r="Q4999" s="16" t="inlineStr">
        <is>
          <t>ФНС открытые данные ССЧР (ДатаСост 31.12.2025; набор 7707329152-sshr2019)</t>
        </is>
      </c>
      <c r="R4999" s="16">
        <f>HYPERLINK("https://checko.ru/search?query=3801001629","Чекко: проверить")</f>
        <v/>
      </c>
      <c r="S4999" t="n">
        <v>1</v>
      </c>
      <c r="T4999" s="35" t="inlineStr">
        <is>
          <t>4 — Не обогащён</t>
        </is>
      </c>
      <c r="U4999" s="35" t="inlineStr">
        <is>
          <t>Нет ОКВЭД/ССЧР</t>
        </is>
      </c>
      <c r="V4999" s="35" t="inlineStr">
        <is>
          <t>Не определено</t>
        </is>
      </c>
      <c r="W4999" s="35" t="inlineStr">
        <is>
          <t>Нет</t>
        </is>
      </c>
      <c r="X4999" s="35" t="inlineStr"/>
    </row>
    <row r="5000" ht="27.75" customHeight="1" s="24">
      <c r="A5000" s="13" t="n">
        <v>800550258</v>
      </c>
      <c r="B5000" s="13" t="inlineStr">
        <is>
          <t>ООО "ИНВЕСТИЦИОННАЯ КОМПАНИЯ "ВЕРХНЯЯ АНГАРА"</t>
        </is>
      </c>
      <c r="C5000" s="13" t="n">
        <v>3849058856</v>
      </c>
      <c r="D5000" s="13" t="inlineStr">
        <is>
          <t>3849058856</t>
        </is>
      </c>
      <c r="E5000" s="13" t="inlineStr">
        <is>
          <t>ЮЛ РФ</t>
        </is>
      </c>
      <c r="F5000" s="13" t="n"/>
      <c r="G5000" s="52" t="n">
        <v>1</v>
      </c>
      <c r="H5000" s="52" t="n">
        <v>2025</v>
      </c>
      <c r="I5000" s="14" t="n"/>
      <c r="J5000" s="14" t="n"/>
      <c r="K5000" s="53" t="inlineStr">
        <is>
          <t>Нет</t>
        </is>
      </c>
      <c r="L5000" s="53" t="inlineStr">
        <is>
          <t>Не определено</t>
        </is>
      </c>
      <c r="M5000" s="53" t="inlineStr">
        <is>
          <t>До 10</t>
        </is>
      </c>
      <c r="N5000" s="54" t="n">
        <v>3360</v>
      </c>
      <c r="O5000" s="55" t="inlineStr">
        <is>
          <t>1–15</t>
        </is>
      </c>
      <c r="P5000" s="16" t="inlineStr">
        <is>
          <t>ССЧР обогащена; ОКВЭД не найден/не загружен</t>
        </is>
      </c>
      <c r="Q5000" s="16" t="inlineStr">
        <is>
          <t>ФНС открытые данные ССЧР (ДатаСост 31.12.2025; набор 7707329152-sshr2019)</t>
        </is>
      </c>
      <c r="R5000" s="16">
        <f>HYPERLINK("https://checko.ru/search?query=3801001629","Чекко: проверить")</f>
        <v/>
      </c>
      <c r="S5000" t="n">
        <v>1</v>
      </c>
      <c r="T5000" s="35" t="inlineStr">
        <is>
          <t>4 — Не обогащён</t>
        </is>
      </c>
      <c r="U5000" s="35" t="inlineStr">
        <is>
          <t>Нет ОКВЭД/ССЧР</t>
        </is>
      </c>
      <c r="V5000" s="35" t="inlineStr">
        <is>
          <t>Не определено</t>
        </is>
      </c>
      <c r="W5000" s="35" t="inlineStr">
        <is>
          <t>Нет</t>
        </is>
      </c>
      <c r="X5000" s="35" t="inlineStr"/>
    </row>
    <row r="5001" ht="15" customHeight="1" s="24">
      <c r="A5001" s="13" t="n">
        <v>9843829</v>
      </c>
      <c r="B5001" s="13" t="inlineStr">
        <is>
          <t>ООО НПФ Электролюкс</t>
        </is>
      </c>
      <c r="C5001" s="13" t="n">
        <v>3811071463</v>
      </c>
      <c r="D5001" s="13" t="inlineStr">
        <is>
          <t>3811071463</t>
        </is>
      </c>
      <c r="E5001" s="13" t="inlineStr">
        <is>
          <t>ЮЛ РФ</t>
        </is>
      </c>
      <c r="F5001" s="13" t="n"/>
      <c r="G5001" s="52" t="n">
        <v>4</v>
      </c>
      <c r="H5001" s="52" t="n">
        <v>2025</v>
      </c>
      <c r="I5001" s="14" t="n"/>
      <c r="J5001" s="14" t="n"/>
      <c r="K5001" s="53" t="inlineStr">
        <is>
          <t>Нет</t>
        </is>
      </c>
      <c r="L5001" s="53" t="inlineStr">
        <is>
          <t>Не определено</t>
        </is>
      </c>
      <c r="M5001" s="53" t="inlineStr">
        <is>
          <t>До 10</t>
        </is>
      </c>
      <c r="N5001" s="54" t="n">
        <v>3360</v>
      </c>
      <c r="O5001" s="55" t="inlineStr">
        <is>
          <t>1–15</t>
        </is>
      </c>
      <c r="P5001" s="16" t="inlineStr">
        <is>
          <t>ССЧР обогащена; ОКВЭД не найден/не загружен</t>
        </is>
      </c>
      <c r="Q5001" s="16" t="inlineStr">
        <is>
          <t>ФНС открытые данные ССЧР (ДатаСост 31.12.2025; набор 7707329152-sshr2019)</t>
        </is>
      </c>
      <c r="R5001" s="16">
        <f>HYPERLINK("https://checko.ru/search?query=3801001629","Чекко: проверить")</f>
        <v/>
      </c>
      <c r="S5001" t="n">
        <v>1</v>
      </c>
      <c r="T5001" s="35" t="inlineStr">
        <is>
          <t>4 — Не обогащён</t>
        </is>
      </c>
      <c r="U5001" s="35" t="inlineStr">
        <is>
          <t>Нет ОКВЭД/ССЧР</t>
        </is>
      </c>
      <c r="V5001" s="35" t="inlineStr">
        <is>
          <t>Не определено</t>
        </is>
      </c>
      <c r="W5001" s="35" t="inlineStr">
        <is>
          <t>Нет</t>
        </is>
      </c>
      <c r="X5001" s="35" t="inlineStr"/>
    </row>
    <row r="5002" ht="27.75" customHeight="1" s="24">
      <c r="A5002" s="13" t="n">
        <v>802175724</v>
      </c>
      <c r="B5002" s="13" t="inlineStr">
        <is>
          <t>Общество с ограниченной ответственностью "ЭКО РЫБА СЕВЕРА"</t>
        </is>
      </c>
      <c r="C5002" s="13" t="n">
        <v>3811432350</v>
      </c>
      <c r="D5002" s="13" t="inlineStr">
        <is>
          <t>3811432350</t>
        </is>
      </c>
      <c r="E5002" s="13" t="inlineStr">
        <is>
          <t>ЮЛ РФ</t>
        </is>
      </c>
      <c r="F5002" s="13" t="n"/>
      <c r="G5002" s="52" t="n">
        <v>4</v>
      </c>
      <c r="H5002" s="52" t="n">
        <v>2025</v>
      </c>
      <c r="I5002" s="14" t="n"/>
      <c r="J5002" s="14" t="n"/>
      <c r="K5002" s="53" t="inlineStr">
        <is>
          <t>Нет</t>
        </is>
      </c>
      <c r="L5002" s="53" t="inlineStr">
        <is>
          <t>Не определено</t>
        </is>
      </c>
      <c r="M5002" s="53" t="inlineStr">
        <is>
          <t>До 10</t>
        </is>
      </c>
      <c r="N5002" s="54" t="n">
        <v>3360</v>
      </c>
      <c r="O5002" s="55" t="inlineStr">
        <is>
          <t>1–15</t>
        </is>
      </c>
      <c r="P5002" s="16" t="inlineStr">
        <is>
          <t>ССЧР обогащена; ОКВЭД не найден/не загружен</t>
        </is>
      </c>
      <c r="Q5002" s="16" t="inlineStr">
        <is>
          <t>ФНС открытые данные ССЧР (ДатаСост 31.12.2025; набор 7707329152-sshr2019)</t>
        </is>
      </c>
      <c r="R5002" s="16">
        <f>HYPERLINK("https://checko.ru/search?query=3801001629","Чекко: проверить")</f>
        <v/>
      </c>
      <c r="S5002" t="n">
        <v>1</v>
      </c>
      <c r="T5002" s="35" t="inlineStr">
        <is>
          <t>4 — Не обогащён</t>
        </is>
      </c>
      <c r="U5002" s="35" t="inlineStr">
        <is>
          <t>Нет ОКВЭД/ССЧР</t>
        </is>
      </c>
      <c r="V5002" s="35" t="inlineStr">
        <is>
          <t>Не определено</t>
        </is>
      </c>
      <c r="W5002" s="35" t="inlineStr">
        <is>
          <t>Нет</t>
        </is>
      </c>
      <c r="X5002" s="35" t="inlineStr"/>
    </row>
    <row r="5003" ht="15" customHeight="1" s="24">
      <c r="A5003" s="13" t="n">
        <v>9707051</v>
      </c>
      <c r="B5003" s="13" t="inlineStr">
        <is>
          <t>ООО "КАМИ-лот"</t>
        </is>
      </c>
      <c r="C5003" s="13" t="n">
        <v>3810043488</v>
      </c>
      <c r="D5003" s="13" t="inlineStr">
        <is>
          <t>3810043488</t>
        </is>
      </c>
      <c r="E5003" s="13" t="inlineStr">
        <is>
          <t>ЮЛ РФ</t>
        </is>
      </c>
      <c r="F5003" s="13" t="n"/>
      <c r="G5003" s="52" t="n">
        <v>2</v>
      </c>
      <c r="H5003" s="52" t="n">
        <v>2025</v>
      </c>
      <c r="I5003" s="14" t="n"/>
      <c r="J5003" s="14" t="n"/>
      <c r="K5003" s="53" t="inlineStr">
        <is>
          <t>Нет</t>
        </is>
      </c>
      <c r="L5003" s="53" t="inlineStr">
        <is>
          <t>Не определено</t>
        </is>
      </c>
      <c r="M5003" s="53" t="inlineStr">
        <is>
          <t>До 10</t>
        </is>
      </c>
      <c r="N5003" s="54" t="n">
        <v>3360</v>
      </c>
      <c r="O5003" s="55" t="inlineStr">
        <is>
          <t>1–15</t>
        </is>
      </c>
      <c r="P5003" s="16" t="inlineStr">
        <is>
          <t>ССЧР обогащена; ОКВЭД не найден/не загружен</t>
        </is>
      </c>
      <c r="Q5003" s="16" t="inlineStr">
        <is>
          <t>ФНС открытые данные ССЧР (ДатаСост 31.12.2025; набор 7707329152-sshr2019)</t>
        </is>
      </c>
      <c r="R5003" s="16">
        <f>HYPERLINK("https://checko.ru/search?query=3801001629","Чекко: проверить")</f>
        <v/>
      </c>
      <c r="S5003" t="n">
        <v>1</v>
      </c>
      <c r="T5003" s="35" t="inlineStr">
        <is>
          <t>4 — Не обогащён</t>
        </is>
      </c>
      <c r="U5003" s="35" t="inlineStr">
        <is>
          <t>Нет ОКВЭД/ССЧР</t>
        </is>
      </c>
      <c r="V5003" s="35" t="inlineStr">
        <is>
          <t>Не определено</t>
        </is>
      </c>
      <c r="W5003" s="35" t="inlineStr">
        <is>
          <t>Нет</t>
        </is>
      </c>
      <c r="X5003" s="35" t="inlineStr"/>
    </row>
    <row r="5004" ht="15" customHeight="1" s="24">
      <c r="A5004" s="13" t="n">
        <v>800483224</v>
      </c>
      <c r="B5004" s="13" t="inlineStr">
        <is>
          <t>ООО "ББС"</t>
        </is>
      </c>
      <c r="C5004" s="13" t="n">
        <v>3812066748</v>
      </c>
      <c r="D5004" s="13" t="inlineStr">
        <is>
          <t>3812066748</t>
        </is>
      </c>
      <c r="E5004" s="13" t="inlineStr">
        <is>
          <t>ЮЛ РФ</t>
        </is>
      </c>
      <c r="F5004" s="13" t="n"/>
      <c r="G5004" s="52" t="n">
        <v>9</v>
      </c>
      <c r="H5004" s="52" t="n">
        <v>2025</v>
      </c>
      <c r="I5004" s="14" t="n"/>
      <c r="J5004" s="14" t="n"/>
      <c r="K5004" s="53" t="inlineStr">
        <is>
          <t>Нет</t>
        </is>
      </c>
      <c r="L5004" s="53" t="inlineStr">
        <is>
          <t>Не определено</t>
        </is>
      </c>
      <c r="M5004" s="53" t="inlineStr">
        <is>
          <t>До 10</t>
        </is>
      </c>
      <c r="N5004" s="54" t="n">
        <v>3360</v>
      </c>
      <c r="O5004" s="55" t="inlineStr">
        <is>
          <t>1–15</t>
        </is>
      </c>
      <c r="P5004" s="16" t="inlineStr">
        <is>
          <t>ССЧР обогащена; ОКВЭД не найден/не загружен</t>
        </is>
      </c>
      <c r="Q5004" s="16" t="inlineStr">
        <is>
          <t>ФНС открытые данные ССЧР (ДатаСост 31.12.2025; набор 7707329152-sshr2019)</t>
        </is>
      </c>
      <c r="R5004" s="16">
        <f>HYPERLINK("https://checko.ru/search?query=3801001629","Чекко: проверить")</f>
        <v/>
      </c>
      <c r="S5004" t="n">
        <v>1</v>
      </c>
      <c r="T5004" s="35" t="inlineStr">
        <is>
          <t>4 — Не обогащён</t>
        </is>
      </c>
      <c r="U5004" s="35" t="inlineStr">
        <is>
          <t>Нет ОКВЭД/ССЧР</t>
        </is>
      </c>
      <c r="V5004" s="35" t="inlineStr">
        <is>
          <t>Не определено</t>
        </is>
      </c>
      <c r="W5004" s="35" t="inlineStr">
        <is>
          <t>Нет</t>
        </is>
      </c>
      <c r="X5004" s="35" t="inlineStr"/>
    </row>
    <row r="5005" ht="15" customHeight="1" s="24">
      <c r="A5005" s="13" t="n">
        <v>800859356</v>
      </c>
      <c r="B5005" s="13" t="inlineStr">
        <is>
          <t>ИП Попова Олеся Евгеньевна</t>
        </is>
      </c>
      <c r="C5005" s="13" t="n">
        <v>381111977804</v>
      </c>
      <c r="D5005" s="13" t="inlineStr">
        <is>
          <t>381111977804</t>
        </is>
      </c>
      <c r="E5005" s="13" t="inlineStr">
        <is>
          <t>ИП РФ / физлицо</t>
        </is>
      </c>
      <c r="F5005" s="13" t="n"/>
      <c r="G5005" s="14" t="n"/>
      <c r="H5005" s="14" t="n"/>
      <c r="I5005" s="14" t="n"/>
      <c r="J5005" s="14" t="n"/>
      <c r="K5005" s="53" t="inlineStr"/>
      <c r="L5005" s="53" t="inlineStr">
        <is>
          <t>Не определено</t>
        </is>
      </c>
      <c r="M5005" s="53" t="inlineStr"/>
      <c r="N5005" s="54" t="inlineStr"/>
      <c r="O5005" s="55" t="inlineStr"/>
      <c r="P5005" s="16" t="inlineStr">
        <is>
          <t>Требует обогащения</t>
        </is>
      </c>
      <c r="Q5005" s="16">
        <f>HYPERLINK("https://pb.nalog.ru/search.html?query=381111977804","ФНС: проверить")</f>
        <v/>
      </c>
      <c r="R5005" s="16">
        <f>HYPERLINK("https://checko.ru/search?query=3801001629","Чекко: проверить")</f>
        <v/>
      </c>
      <c r="S5005" t="n">
        <v>1</v>
      </c>
      <c r="T5005" s="35" t="inlineStr">
        <is>
          <t>4 — Не обогащён</t>
        </is>
      </c>
      <c r="U5005" s="35" t="inlineStr">
        <is>
          <t>Нет ОКВЭД/ССЧР</t>
        </is>
      </c>
      <c r="V5005" s="35" t="inlineStr">
        <is>
          <t>Не определено</t>
        </is>
      </c>
      <c r="W5005" s="35" t="inlineStr"/>
      <c r="X5005" s="35" t="inlineStr"/>
    </row>
    <row r="5006" ht="41.25" customHeight="1" s="24">
      <c r="A5006" s="13" t="n">
        <v>801607578</v>
      </c>
      <c r="B5006" s="13" t="inlineStr">
        <is>
          <t>СЕЛЬСКОХОЗЯЙСТВЕННЫЙ СБЫТОВОЙ ПЕРЕРАБАТЫВАЮЩИЙ ПОТРЕБИТЕЛЬСКИЙ КООПЕРАТИВ "ТАТЬЯНА"</t>
        </is>
      </c>
      <c r="C5006" s="13" t="n">
        <v>3814016291</v>
      </c>
      <c r="D5006" s="13" t="inlineStr">
        <is>
          <t>3814016291</t>
        </is>
      </c>
      <c r="E5006" s="13" t="inlineStr">
        <is>
          <t>ЮЛ РФ</t>
        </is>
      </c>
      <c r="F5006" s="13" t="n"/>
      <c r="G5006" s="14" t="n"/>
      <c r="H5006" s="14" t="n"/>
      <c r="I5006" s="14" t="n"/>
      <c r="J5006" s="14" t="n"/>
      <c r="K5006" s="53" t="inlineStr"/>
      <c r="L5006" s="53" t="inlineStr">
        <is>
          <t>Не определено</t>
        </is>
      </c>
      <c r="M5006" s="53" t="inlineStr"/>
      <c r="N5006" s="54" t="inlineStr"/>
      <c r="O5006" s="55" t="inlineStr"/>
      <c r="P5006" s="16" t="inlineStr">
        <is>
          <t>Требует обогащения</t>
        </is>
      </c>
      <c r="Q5006" s="16">
        <f>HYPERLINK("https://pb.nalog.ru/search.html?query=3814016291","ФНС: проверить")</f>
        <v/>
      </c>
      <c r="R5006" s="16">
        <f>HYPERLINK("https://checko.ru/search?query=3801001629","Чекко: проверить")</f>
        <v/>
      </c>
      <c r="S5006" t="n">
        <v>1</v>
      </c>
      <c r="T5006" s="35" t="inlineStr">
        <is>
          <t>4 — Не обогащён</t>
        </is>
      </c>
      <c r="U5006" s="35" t="inlineStr">
        <is>
          <t>Нет ОКВЭД/ССЧР</t>
        </is>
      </c>
      <c r="V5006" s="35" t="inlineStr">
        <is>
          <t>Не определено</t>
        </is>
      </c>
      <c r="W5006" s="35" t="inlineStr"/>
      <c r="X5006" s="35" t="inlineStr"/>
    </row>
    <row r="5007" ht="15" customHeight="1" s="24">
      <c r="A5007" s="13" t="n">
        <v>9183738</v>
      </c>
      <c r="B5007" s="13" t="inlineStr">
        <is>
          <t>Нотариальная палата Иркутской области</t>
        </is>
      </c>
      <c r="C5007" s="13" t="n">
        <v>3808018220</v>
      </c>
      <c r="D5007" s="13" t="inlineStr">
        <is>
          <t>3808018220</t>
        </is>
      </c>
      <c r="E5007" s="13" t="inlineStr">
        <is>
          <t>ЮЛ РФ</t>
        </is>
      </c>
      <c r="F5007" s="13" t="n"/>
      <c r="G5007" s="14" t="n"/>
      <c r="H5007" s="14" t="n"/>
      <c r="I5007" s="14" t="n"/>
      <c r="J5007" s="14" t="n"/>
      <c r="K5007" s="53" t="inlineStr"/>
      <c r="L5007" s="53" t="inlineStr">
        <is>
          <t>Не определено</t>
        </is>
      </c>
      <c r="M5007" s="53" t="inlineStr"/>
      <c r="N5007" s="54" t="inlineStr"/>
      <c r="O5007" s="55" t="inlineStr"/>
      <c r="P5007" s="16" t="inlineStr">
        <is>
          <t>Требует обогащения</t>
        </is>
      </c>
      <c r="Q5007" s="16">
        <f>HYPERLINK("https://pb.nalog.ru/search.html?query=3808018220","ФНС: проверить")</f>
        <v/>
      </c>
      <c r="R5007" s="16">
        <f>HYPERLINK("https://checko.ru/search?query=3801001629","Чекко: проверить")</f>
        <v/>
      </c>
      <c r="S5007" t="n">
        <v>1</v>
      </c>
      <c r="T5007" s="35" t="inlineStr">
        <is>
          <t>4 — Не обогащён</t>
        </is>
      </c>
      <c r="U5007" s="35" t="inlineStr">
        <is>
          <t>Нет ОКВЭД/ССЧР</t>
        </is>
      </c>
      <c r="V5007" s="35" t="inlineStr">
        <is>
          <t>Не определено</t>
        </is>
      </c>
      <c r="W5007" s="35" t="inlineStr"/>
      <c r="X5007" s="35" t="inlineStr"/>
    </row>
    <row r="5008" ht="27.75" customHeight="1" s="24">
      <c r="A5008" s="13" t="n">
        <v>801614711</v>
      </c>
      <c r="B5008" s="13" t="inlineStr">
        <is>
          <t>ОБЩЕСТВО С ОГРАНИЧЕННОЙ ОТВЕТСТВЕННОСТЬЮ "АМИР"</t>
        </is>
      </c>
      <c r="C5008" s="13" t="n">
        <v>3810338146</v>
      </c>
      <c r="D5008" s="13" t="inlineStr">
        <is>
          <t>3810338146</t>
        </is>
      </c>
      <c r="E5008" s="13" t="inlineStr">
        <is>
          <t>ЮЛ РФ</t>
        </is>
      </c>
      <c r="F5008" s="13" t="n"/>
      <c r="G5008" s="52" t="n">
        <v>1</v>
      </c>
      <c r="H5008" s="52" t="n">
        <v>2025</v>
      </c>
      <c r="I5008" s="14" t="n"/>
      <c r="J5008" s="14" t="n"/>
      <c r="K5008" s="53" t="inlineStr">
        <is>
          <t>Нет</t>
        </is>
      </c>
      <c r="L5008" s="53" t="inlineStr">
        <is>
          <t>Не определено</t>
        </is>
      </c>
      <c r="M5008" s="53" t="inlineStr">
        <is>
          <t>До 10</t>
        </is>
      </c>
      <c r="N5008" s="54" t="n">
        <v>3360</v>
      </c>
      <c r="O5008" s="55" t="inlineStr">
        <is>
          <t>1–15</t>
        </is>
      </c>
      <c r="P5008" s="16" t="inlineStr">
        <is>
          <t>ССЧР обогащена; ОКВЭД не найден/не загружен</t>
        </is>
      </c>
      <c r="Q5008" s="16" t="inlineStr">
        <is>
          <t>ФНС открытые данные ССЧР (ДатаСост 31.12.2025; набор 7707329152-sshr2019)</t>
        </is>
      </c>
      <c r="R5008" s="16">
        <f>HYPERLINK("https://checko.ru/search?query=3801001629","Чекко: проверить")</f>
        <v/>
      </c>
      <c r="S5008" t="n">
        <v>1</v>
      </c>
      <c r="T5008" s="35" t="inlineStr">
        <is>
          <t>4 — Не обогащён</t>
        </is>
      </c>
      <c r="U5008" s="35" t="inlineStr">
        <is>
          <t>Нет ОКВЭД/ССЧР</t>
        </is>
      </c>
      <c r="V5008" s="35" t="inlineStr">
        <is>
          <t>Не определено</t>
        </is>
      </c>
      <c r="W5008" s="35" t="inlineStr">
        <is>
          <t>Нет</t>
        </is>
      </c>
      <c r="X5008" s="35" t="inlineStr"/>
    </row>
    <row r="5009" ht="15" customHeight="1" s="24">
      <c r="A5009" s="13" t="n">
        <v>9177519</v>
      </c>
      <c r="B5009" s="13" t="inlineStr">
        <is>
          <t>ООО "Родник"</t>
        </is>
      </c>
      <c r="C5009" s="13" t="n">
        <v>3813002377</v>
      </c>
      <c r="D5009" s="13" t="inlineStr">
        <is>
          <t>3813002377</t>
        </is>
      </c>
      <c r="E5009" s="13" t="inlineStr">
        <is>
          <t>ЮЛ РФ</t>
        </is>
      </c>
      <c r="F5009" s="13" t="n"/>
      <c r="G5009" s="52" t="n">
        <v>17</v>
      </c>
      <c r="H5009" s="52" t="n">
        <v>2025</v>
      </c>
      <c r="I5009" s="14" t="n"/>
      <c r="J5009" s="14" t="n"/>
      <c r="K5009" s="53" t="inlineStr">
        <is>
          <t>Нет</t>
        </is>
      </c>
      <c r="L5009" s="53" t="inlineStr">
        <is>
          <t>Не определено</t>
        </is>
      </c>
      <c r="M5009" s="53" t="inlineStr">
        <is>
          <t>До 25</t>
        </is>
      </c>
      <c r="N5009" s="54" t="n">
        <v>8400</v>
      </c>
      <c r="O5009" s="55" t="inlineStr">
        <is>
          <t>16–30</t>
        </is>
      </c>
      <c r="P5009" s="16" t="inlineStr">
        <is>
          <t>ССЧР обогащена; ОКВЭД не найден/не загружен</t>
        </is>
      </c>
      <c r="Q5009" s="16" t="inlineStr">
        <is>
          <t>ФНС открытые данные ССЧР (ДатаСост 31.12.2025; набор 7707329152-sshr2019)</t>
        </is>
      </c>
      <c r="R5009" s="16">
        <f>HYPERLINK("https://checko.ru/search?query=3801001629","Чекко: проверить")</f>
        <v/>
      </c>
      <c r="S5009" t="n">
        <v>1</v>
      </c>
      <c r="T5009" s="35" t="inlineStr">
        <is>
          <t>4 — Не обогащён</t>
        </is>
      </c>
      <c r="U5009" s="35" t="inlineStr">
        <is>
          <t>Нет ОКВЭД/ССЧР</t>
        </is>
      </c>
      <c r="V5009" s="35" t="inlineStr">
        <is>
          <t>Не определено</t>
        </is>
      </c>
      <c r="W5009" s="35" t="inlineStr">
        <is>
          <t>Нет</t>
        </is>
      </c>
      <c r="X5009" s="35" t="inlineStr"/>
    </row>
    <row r="5010" ht="15" customHeight="1" s="24">
      <c r="A5010" s="13" t="n">
        <v>9924506</v>
      </c>
      <c r="B5010" s="13" t="inlineStr">
        <is>
          <t>ООО "Вега"</t>
        </is>
      </c>
      <c r="C5010" s="13" t="n">
        <v>3808114364</v>
      </c>
      <c r="D5010" s="13" t="inlineStr">
        <is>
          <t>3808114364</t>
        </is>
      </c>
      <c r="E5010" s="13" t="inlineStr">
        <is>
          <t>ЮЛ РФ</t>
        </is>
      </c>
      <c r="F5010" s="13" t="n"/>
      <c r="G5010" s="52" t="n">
        <v>1</v>
      </c>
      <c r="H5010" s="52" t="n">
        <v>2025</v>
      </c>
      <c r="I5010" s="14" t="n"/>
      <c r="J5010" s="14" t="n"/>
      <c r="K5010" s="53" t="inlineStr">
        <is>
          <t>Нет</t>
        </is>
      </c>
      <c r="L5010" s="53" t="inlineStr">
        <is>
          <t>Не определено</t>
        </is>
      </c>
      <c r="M5010" s="53" t="inlineStr">
        <is>
          <t>До 10</t>
        </is>
      </c>
      <c r="N5010" s="54" t="n">
        <v>3360</v>
      </c>
      <c r="O5010" s="55" t="inlineStr">
        <is>
          <t>1–15</t>
        </is>
      </c>
      <c r="P5010" s="16" t="inlineStr">
        <is>
          <t>ССЧР обогащена; ОКВЭД не найден/не загружен</t>
        </is>
      </c>
      <c r="Q5010" s="16" t="inlineStr">
        <is>
          <t>ФНС открытые данные ССЧР (ДатаСост 31.12.2025; набор 7707329152-sshr2019)</t>
        </is>
      </c>
      <c r="R5010" s="16">
        <f>HYPERLINK("https://checko.ru/search?query=3801001629","Чекко: проверить")</f>
        <v/>
      </c>
      <c r="S5010" t="n">
        <v>1</v>
      </c>
      <c r="T5010" s="35" t="inlineStr">
        <is>
          <t>4 — Не обогащён</t>
        </is>
      </c>
      <c r="U5010" s="35" t="inlineStr">
        <is>
          <t>Нет ОКВЭД/ССЧР</t>
        </is>
      </c>
      <c r="V5010" s="35" t="inlineStr">
        <is>
          <t>Не определено</t>
        </is>
      </c>
      <c r="W5010" s="35" t="inlineStr">
        <is>
          <t>Нет</t>
        </is>
      </c>
      <c r="X5010" s="35" t="inlineStr"/>
    </row>
    <row r="5011" ht="27.75" customHeight="1" s="24">
      <c r="A5011" s="13" t="n">
        <v>800421095</v>
      </c>
      <c r="B5011" s="13" t="inlineStr">
        <is>
          <t>Адвокатское бюро Иркутской области Юридические проекты</t>
        </is>
      </c>
      <c r="C5011" s="13" t="n">
        <v>3811074802</v>
      </c>
      <c r="D5011" s="13" t="inlineStr">
        <is>
          <t>3811074802</t>
        </is>
      </c>
      <c r="E5011" s="13" t="inlineStr">
        <is>
          <t>ЮЛ РФ</t>
        </is>
      </c>
      <c r="F5011" s="13" t="n"/>
      <c r="G5011" s="14" t="n"/>
      <c r="H5011" s="14" t="n"/>
      <c r="I5011" s="14" t="n"/>
      <c r="J5011" s="14" t="n"/>
      <c r="K5011" s="53" t="inlineStr"/>
      <c r="L5011" s="53" t="inlineStr">
        <is>
          <t>Не определено</t>
        </is>
      </c>
      <c r="M5011" s="53" t="inlineStr"/>
      <c r="N5011" s="54" t="inlineStr"/>
      <c r="O5011" s="55" t="inlineStr"/>
      <c r="P5011" s="16" t="inlineStr">
        <is>
          <t>Требует обогащения</t>
        </is>
      </c>
      <c r="Q5011" s="16">
        <f>HYPERLINK("https://pb.nalog.ru/search.html?query=3811074802","ФНС: проверить")</f>
        <v/>
      </c>
      <c r="R5011" s="16">
        <f>HYPERLINK("https://checko.ru/search?query=3801001629","Чекко: проверить")</f>
        <v/>
      </c>
      <c r="S5011" t="n">
        <v>1</v>
      </c>
      <c r="T5011" s="35" t="inlineStr">
        <is>
          <t>4 — Не обогащён</t>
        </is>
      </c>
      <c r="U5011" s="35" t="inlineStr">
        <is>
          <t>Нет ОКВЭД/ССЧР</t>
        </is>
      </c>
      <c r="V5011" s="35" t="inlineStr">
        <is>
          <t>Не определено</t>
        </is>
      </c>
      <c r="W5011" s="35" t="inlineStr"/>
      <c r="X5011" s="35" t="inlineStr"/>
    </row>
    <row r="5012" ht="15" customHeight="1" s="24">
      <c r="A5012" s="13" t="n">
        <v>10782736</v>
      </c>
      <c r="B5012" s="13" t="inlineStr">
        <is>
          <t>ООО "УПРАВЛЯЮЩАЯ КОМПАНИЯ КРЕПОСТЬ"</t>
        </is>
      </c>
      <c r="C5012" s="13" t="n">
        <v>3811167454</v>
      </c>
      <c r="D5012" s="13" t="inlineStr">
        <is>
          <t>3811167454</t>
        </is>
      </c>
      <c r="E5012" s="13" t="inlineStr">
        <is>
          <t>ЮЛ РФ</t>
        </is>
      </c>
      <c r="F5012" s="13" t="n"/>
      <c r="G5012" s="52" t="n">
        <v>2</v>
      </c>
      <c r="H5012" s="52" t="n">
        <v>2025</v>
      </c>
      <c r="I5012" s="14" t="n"/>
      <c r="J5012" s="14" t="n"/>
      <c r="K5012" s="53" t="inlineStr">
        <is>
          <t>Нет</t>
        </is>
      </c>
      <c r="L5012" s="53" t="inlineStr">
        <is>
          <t>Не определено</t>
        </is>
      </c>
      <c r="M5012" s="53" t="inlineStr">
        <is>
          <t>До 10</t>
        </is>
      </c>
      <c r="N5012" s="54" t="n">
        <v>3360</v>
      </c>
      <c r="O5012" s="55" t="inlineStr">
        <is>
          <t>1–15</t>
        </is>
      </c>
      <c r="P5012" s="16" t="inlineStr">
        <is>
          <t>ССЧР обогащена; ОКВЭД не найден/не загружен</t>
        </is>
      </c>
      <c r="Q5012" s="16" t="inlineStr">
        <is>
          <t>ФНС открытые данные ССЧР (ДатаСост 31.12.2025; набор 7707329152-sshr2019)</t>
        </is>
      </c>
      <c r="R5012" s="16">
        <f>HYPERLINK("https://checko.ru/search?query=3801001629","Чекко: проверить")</f>
        <v/>
      </c>
      <c r="S5012" t="n">
        <v>1</v>
      </c>
      <c r="T5012" s="35" t="inlineStr">
        <is>
          <t>4 — Не обогащён</t>
        </is>
      </c>
      <c r="U5012" s="35" t="inlineStr">
        <is>
          <t>Нет ОКВЭД/ССЧР</t>
        </is>
      </c>
      <c r="V5012" s="35" t="inlineStr">
        <is>
          <t>Не определено</t>
        </is>
      </c>
      <c r="W5012" s="35" t="inlineStr">
        <is>
          <t>Нет</t>
        </is>
      </c>
      <c r="X5012" s="35" t="inlineStr"/>
    </row>
    <row r="5013" ht="15" customHeight="1" s="24">
      <c r="A5013" s="13" t="n">
        <v>9895563</v>
      </c>
      <c r="B5013" s="13" t="inlineStr">
        <is>
          <t>ООО "ЧЕРЕМХОВСКИЙ ВОДОКАНАЛ"</t>
        </is>
      </c>
      <c r="C5013" s="13" t="n">
        <v>3851994299</v>
      </c>
      <c r="D5013" s="13" t="inlineStr">
        <is>
          <t>3851994299</t>
        </is>
      </c>
      <c r="E5013" s="13" t="inlineStr">
        <is>
          <t>ЮЛ РФ</t>
        </is>
      </c>
      <c r="F5013" s="13" t="n"/>
      <c r="G5013" s="52" t="n">
        <v>203</v>
      </c>
      <c r="H5013" s="52" t="n">
        <v>2025</v>
      </c>
      <c r="I5013" s="52" t="inlineStr">
        <is>
          <t>36.00.2</t>
        </is>
      </c>
      <c r="J5013" s="52" t="inlineStr">
        <is>
          <t>36.00.2; 42.21</t>
        </is>
      </c>
      <c r="K5013" s="53" t="inlineStr">
        <is>
          <t>Да</t>
        </is>
      </c>
      <c r="L5013" s="53" t="inlineStr">
        <is>
          <t>Да</t>
        </is>
      </c>
      <c r="M5013" s="53" t="inlineStr">
        <is>
          <t>До 500</t>
        </is>
      </c>
      <c r="N5013" s="54" t="n">
        <v>144000</v>
      </c>
      <c r="O5013" s="55" t="inlineStr">
        <is>
          <t>201–500</t>
        </is>
      </c>
      <c r="P5013" s="16" t="inlineStr">
        <is>
          <t>ССЧР + ОКВЭД обогащены</t>
        </is>
      </c>
      <c r="Q5013" s="16" t="inlineStr">
        <is>
          <t>ФНС открытые данные ССЧР (ДатаСост 31.12.2025; набор 7707329152-sshr2019)</t>
        </is>
      </c>
      <c r="R5013" s="16" t="inlineStr">
        <is>
          <t>ЕГРЮЛ / egrul.nalog.ru (выписка)</t>
        </is>
      </c>
      <c r="S5013" t="n">
        <v>1</v>
      </c>
      <c r="T5013" s="35" t="inlineStr">
        <is>
          <t>1 — Горячий</t>
        </is>
      </c>
      <c r="U5013" s="35" t="inlineStr">
        <is>
          <t>ОКВЭД + 22+</t>
        </is>
      </c>
      <c r="V5013" s="35" t="inlineStr">
        <is>
          <t>Да</t>
        </is>
      </c>
      <c r="W5013" s="35" t="inlineStr">
        <is>
          <t>Да</t>
        </is>
      </c>
      <c r="X5013" s="35" t="inlineStr">
        <is>
          <t>Да</t>
        </is>
      </c>
    </row>
    <row r="5014" ht="27.75" customHeight="1" s="24">
      <c r="A5014" s="13" t="n">
        <v>12764961</v>
      </c>
      <c r="B5014" s="13" t="inlineStr">
        <is>
          <t>Общество с ограниченной ответственностью "ГРАНД"</t>
        </is>
      </c>
      <c r="C5014" s="13" t="n">
        <v>1402017285</v>
      </c>
      <c r="D5014" s="13" t="inlineStr">
        <is>
          <t>1402017285</t>
        </is>
      </c>
      <c r="E5014" s="13" t="inlineStr">
        <is>
          <t>ЮЛ РФ</t>
        </is>
      </c>
      <c r="F5014" s="13" t="n"/>
      <c r="G5014" s="52" t="n">
        <v>2</v>
      </c>
      <c r="H5014" s="52" t="n">
        <v>2025</v>
      </c>
      <c r="I5014" s="14" t="n"/>
      <c r="J5014" s="14" t="n"/>
      <c r="K5014" s="53" t="inlineStr">
        <is>
          <t>Нет</t>
        </is>
      </c>
      <c r="L5014" s="53" t="inlineStr">
        <is>
          <t>Не определено</t>
        </is>
      </c>
      <c r="M5014" s="53" t="inlineStr">
        <is>
          <t>До 10</t>
        </is>
      </c>
      <c r="N5014" s="54" t="n">
        <v>3360</v>
      </c>
      <c r="O5014" s="55" t="inlineStr">
        <is>
          <t>1–15</t>
        </is>
      </c>
      <c r="P5014" s="16" t="inlineStr">
        <is>
          <t>ССЧР обогащена; ОКВЭД не найден/не загружен</t>
        </is>
      </c>
      <c r="Q5014" s="16" t="inlineStr">
        <is>
          <t>ФНС открытые данные ССЧР (ДатаСост 31.12.2025; набор 7707329152-sshr2019)</t>
        </is>
      </c>
      <c r="R5014" s="16">
        <f>HYPERLINK("https://checko.ru/search?query=3801001629","Чекко: проверить")</f>
        <v/>
      </c>
      <c r="S5014" t="n">
        <v>1</v>
      </c>
      <c r="T5014" s="35" t="inlineStr">
        <is>
          <t>4 — Не обогащён</t>
        </is>
      </c>
      <c r="U5014" s="35" t="inlineStr">
        <is>
          <t>Нет ОКВЭД/ССЧР</t>
        </is>
      </c>
      <c r="V5014" s="35" t="inlineStr">
        <is>
          <t>Не определено</t>
        </is>
      </c>
      <c r="W5014" s="35" t="inlineStr">
        <is>
          <t>Нет</t>
        </is>
      </c>
      <c r="X5014" s="35" t="inlineStr"/>
    </row>
    <row r="5015" ht="27.75" customHeight="1" s="24">
      <c r="A5015" s="13" t="n">
        <v>802420373</v>
      </c>
      <c r="B5015" s="13" t="inlineStr">
        <is>
          <t>ОБЩЕСТВО С ОГРАНИЧЕННОЙ ОТВЕТСТВЕННОСТЬЮ "ФАЙВДИЛС НЕДРА"</t>
        </is>
      </c>
      <c r="C5015" s="13" t="n">
        <v>3849086483</v>
      </c>
      <c r="D5015" s="13" t="inlineStr">
        <is>
          <t>3849086483</t>
        </is>
      </c>
      <c r="E5015" s="13" t="inlineStr">
        <is>
          <t>ЮЛ РФ</t>
        </is>
      </c>
      <c r="F5015" s="13" t="n"/>
      <c r="G5015" s="52" t="n">
        <v>11</v>
      </c>
      <c r="H5015" s="52" t="n">
        <v>2025</v>
      </c>
      <c r="I5015" s="14" t="n"/>
      <c r="J5015" s="14" t="n"/>
      <c r="K5015" s="53" t="inlineStr">
        <is>
          <t>Нет</t>
        </is>
      </c>
      <c r="L5015" s="53" t="inlineStr">
        <is>
          <t>Не определено</t>
        </is>
      </c>
      <c r="M5015" s="53" t="inlineStr">
        <is>
          <t>До 25</t>
        </is>
      </c>
      <c r="N5015" s="54" t="n">
        <v>8400</v>
      </c>
      <c r="O5015" s="55" t="inlineStr">
        <is>
          <t>1–15</t>
        </is>
      </c>
      <c r="P5015" s="16" t="inlineStr">
        <is>
          <t>ССЧР обогащена; ОКВЭД не найден/не загружен</t>
        </is>
      </c>
      <c r="Q5015" s="16" t="inlineStr">
        <is>
          <t>ФНС открытые данные ССЧР (ДатаСост 31.12.2025; набор 7707329152-sshr2019)</t>
        </is>
      </c>
      <c r="R5015" s="16">
        <f>HYPERLINK("https://checko.ru/search?query=3801001629","Чекко: проверить")</f>
        <v/>
      </c>
      <c r="S5015" t="n">
        <v>1</v>
      </c>
      <c r="T5015" s="35" t="inlineStr">
        <is>
          <t>4 — Не обогащён</t>
        </is>
      </c>
      <c r="U5015" s="35" t="inlineStr">
        <is>
          <t>Нет ОКВЭД/ССЧР</t>
        </is>
      </c>
      <c r="V5015" s="35" t="inlineStr">
        <is>
          <t>Не определено</t>
        </is>
      </c>
      <c r="W5015" s="35" t="inlineStr">
        <is>
          <t>Нет</t>
        </is>
      </c>
      <c r="X5015" s="35" t="inlineStr"/>
    </row>
    <row r="5016" ht="15" customHeight="1" s="24">
      <c r="A5016" s="13" t="n">
        <v>800517677</v>
      </c>
      <c r="B5016" s="13" t="inlineStr">
        <is>
          <t>ООО "АЛЕЙТРАСТСЕРВИС"</t>
        </is>
      </c>
      <c r="C5016" s="13" t="n">
        <v>3811090787</v>
      </c>
      <c r="D5016" s="13" t="inlineStr">
        <is>
          <t>3811090787</t>
        </is>
      </c>
      <c r="E5016" s="13" t="inlineStr">
        <is>
          <t>ЮЛ РФ</t>
        </is>
      </c>
      <c r="F5016" s="13" t="n"/>
      <c r="G5016" s="52" t="n">
        <v>1</v>
      </c>
      <c r="H5016" s="52" t="n">
        <v>2025</v>
      </c>
      <c r="I5016" s="14" t="n"/>
      <c r="J5016" s="14" t="n"/>
      <c r="K5016" s="53" t="inlineStr">
        <is>
          <t>Нет</t>
        </is>
      </c>
      <c r="L5016" s="53" t="inlineStr">
        <is>
          <t>Не определено</t>
        </is>
      </c>
      <c r="M5016" s="53" t="inlineStr">
        <is>
          <t>До 10</t>
        </is>
      </c>
      <c r="N5016" s="54" t="n">
        <v>3360</v>
      </c>
      <c r="O5016" s="55" t="inlineStr">
        <is>
          <t>1–15</t>
        </is>
      </c>
      <c r="P5016" s="16" t="inlineStr">
        <is>
          <t>ССЧР обогащена; ОКВЭД не найден/не загружен</t>
        </is>
      </c>
      <c r="Q5016" s="16" t="inlineStr">
        <is>
          <t>ФНС открытые данные ССЧР (ДатаСост 31.12.2025; набор 7707329152-sshr2019)</t>
        </is>
      </c>
      <c r="R5016" s="16">
        <f>HYPERLINK("https://checko.ru/search?query=3801001629","Чекко: проверить")</f>
        <v/>
      </c>
      <c r="S5016" t="n">
        <v>1</v>
      </c>
      <c r="T5016" s="35" t="inlineStr">
        <is>
          <t>4 — Не обогащён</t>
        </is>
      </c>
      <c r="U5016" s="35" t="inlineStr">
        <is>
          <t>Нет ОКВЭД/ССЧР</t>
        </is>
      </c>
      <c r="V5016" s="35" t="inlineStr">
        <is>
          <t>Не определено</t>
        </is>
      </c>
      <c r="W5016" s="35" t="inlineStr">
        <is>
          <t>Нет</t>
        </is>
      </c>
      <c r="X5016" s="35" t="inlineStr"/>
    </row>
    <row r="5017" ht="15" customHeight="1" s="24">
      <c r="A5017" s="13" t="n">
        <v>802401982</v>
      </c>
      <c r="B5017" s="13" t="inlineStr">
        <is>
          <t>АО "ЭКЗОСОФТ"</t>
        </is>
      </c>
      <c r="C5017" s="13" t="n">
        <v>9731012897</v>
      </c>
      <c r="D5017" s="13" t="inlineStr">
        <is>
          <t>9731012897</t>
        </is>
      </c>
      <c r="E5017" s="13" t="inlineStr">
        <is>
          <t>ЮЛ РФ</t>
        </is>
      </c>
      <c r="F5017" s="13" t="n"/>
      <c r="G5017" s="14" t="n"/>
      <c r="H5017" s="14" t="n"/>
      <c r="I5017" s="14" t="n"/>
      <c r="J5017" s="14" t="n"/>
      <c r="K5017" s="53" t="inlineStr"/>
      <c r="L5017" s="53" t="inlineStr">
        <is>
          <t>Не определено</t>
        </is>
      </c>
      <c r="M5017" s="53" t="inlineStr"/>
      <c r="N5017" s="54" t="inlineStr"/>
      <c r="O5017" s="55" t="inlineStr"/>
      <c r="P5017" s="16" t="inlineStr">
        <is>
          <t>Требует обогащения</t>
        </is>
      </c>
      <c r="Q5017" s="16">
        <f>HYPERLINK("https://pb.nalog.ru/search.html?query=9731012897","ФНС: проверить")</f>
        <v/>
      </c>
      <c r="R5017" s="16">
        <f>HYPERLINK("https://checko.ru/search?query=3801001629","Чекко: проверить")</f>
        <v/>
      </c>
      <c r="S5017" t="n">
        <v>1</v>
      </c>
      <c r="T5017" s="35" t="inlineStr">
        <is>
          <t>4 — Не обогащён</t>
        </is>
      </c>
      <c r="U5017" s="35" t="inlineStr">
        <is>
          <t>Нет ОКВЭД/ССЧР</t>
        </is>
      </c>
      <c r="V5017" s="35" t="inlineStr">
        <is>
          <t>Не определено</t>
        </is>
      </c>
      <c r="W5017" s="35" t="inlineStr"/>
      <c r="X5017" s="35" t="inlineStr"/>
    </row>
    <row r="5018" ht="27.75" customHeight="1" s="24">
      <c r="A5018" s="13" t="n">
        <v>802413297</v>
      </c>
      <c r="B5018" s="13" t="inlineStr">
        <is>
          <t>Общество с ограниченной ответственностью "Гидроэлектромонтаж - Саха"</t>
        </is>
      </c>
      <c r="C5018" s="13" t="n">
        <v>1434050310</v>
      </c>
      <c r="D5018" s="13" t="inlineStr">
        <is>
          <t>1434050310</t>
        </is>
      </c>
      <c r="E5018" s="13" t="inlineStr">
        <is>
          <t>ЮЛ РФ</t>
        </is>
      </c>
      <c r="F5018" s="13" t="n"/>
      <c r="G5018" s="52" t="n">
        <v>8</v>
      </c>
      <c r="H5018" s="52" t="n">
        <v>2025</v>
      </c>
      <c r="I5018" s="14" t="n"/>
      <c r="J5018" s="14" t="n"/>
      <c r="K5018" s="53" t="inlineStr">
        <is>
          <t>Нет</t>
        </is>
      </c>
      <c r="L5018" s="53" t="inlineStr">
        <is>
          <t>Не определено</t>
        </is>
      </c>
      <c r="M5018" s="53" t="inlineStr">
        <is>
          <t>До 10</t>
        </is>
      </c>
      <c r="N5018" s="54" t="n">
        <v>3360</v>
      </c>
      <c r="O5018" s="55" t="inlineStr">
        <is>
          <t>1–15</t>
        </is>
      </c>
      <c r="P5018" s="16" t="inlineStr">
        <is>
          <t>ССЧР обогащена; ОКВЭД не найден/не загружен</t>
        </is>
      </c>
      <c r="Q5018" s="16" t="inlineStr">
        <is>
          <t>ФНС открытые данные ССЧР (ДатаСост 31.12.2025; набор 7707329152-sshr2019)</t>
        </is>
      </c>
      <c r="R5018" s="16">
        <f>HYPERLINK("https://checko.ru/search?query=3801001629","Чекко: проверить")</f>
        <v/>
      </c>
      <c r="S5018" t="n">
        <v>1</v>
      </c>
      <c r="T5018" s="35" t="inlineStr">
        <is>
          <t>4 — Не обогащён</t>
        </is>
      </c>
      <c r="U5018" s="35" t="inlineStr">
        <is>
          <t>Нет ОКВЭД/ССЧР</t>
        </is>
      </c>
      <c r="V5018" s="35" t="inlineStr">
        <is>
          <t>Не определено</t>
        </is>
      </c>
      <c r="W5018" s="35" t="inlineStr">
        <is>
          <t>Нет</t>
        </is>
      </c>
      <c r="X5018" s="35" t="inlineStr"/>
    </row>
    <row r="5019" ht="27.75" customHeight="1" s="24">
      <c r="A5019" s="13" t="n">
        <v>800428292</v>
      </c>
      <c r="B5019" s="13" t="inlineStr">
        <is>
          <t>Общество с ограниченной ответственностью “ЮНИТРАНС”</t>
        </is>
      </c>
      <c r="C5019" s="13" t="n">
        <v>5404019937</v>
      </c>
      <c r="D5019" s="13" t="inlineStr">
        <is>
          <t>5404019937</t>
        </is>
      </c>
      <c r="E5019" s="13" t="inlineStr">
        <is>
          <t>ЮЛ РФ</t>
        </is>
      </c>
      <c r="F5019" s="13" t="n"/>
      <c r="G5019" s="52" t="n">
        <v>3</v>
      </c>
      <c r="H5019" s="52" t="n">
        <v>2025</v>
      </c>
      <c r="I5019" s="14" t="n"/>
      <c r="J5019" s="14" t="n"/>
      <c r="K5019" s="53" t="inlineStr">
        <is>
          <t>Нет</t>
        </is>
      </c>
      <c r="L5019" s="53" t="inlineStr">
        <is>
          <t>Не определено</t>
        </is>
      </c>
      <c r="M5019" s="53" t="inlineStr">
        <is>
          <t>До 10</t>
        </is>
      </c>
      <c r="N5019" s="54" t="n">
        <v>3360</v>
      </c>
      <c r="O5019" s="55" t="inlineStr">
        <is>
          <t>1–15</t>
        </is>
      </c>
      <c r="P5019" s="16" t="inlineStr">
        <is>
          <t>ССЧР обогащена; ОКВЭД не найден/не загружен</t>
        </is>
      </c>
      <c r="Q5019" s="16" t="inlineStr">
        <is>
          <t>ФНС открытые данные ССЧР (ДатаСост 31.12.2025; набор 7707329152-sshr2019)</t>
        </is>
      </c>
      <c r="R5019" s="16">
        <f>HYPERLINK("https://checko.ru/search?query=3801001629","Чекко: проверить")</f>
        <v/>
      </c>
      <c r="S5019" t="n">
        <v>1</v>
      </c>
      <c r="T5019" s="35" t="inlineStr">
        <is>
          <t>4 — Не обогащён</t>
        </is>
      </c>
      <c r="U5019" s="35" t="inlineStr">
        <is>
          <t>Нет ОКВЭД/ССЧР</t>
        </is>
      </c>
      <c r="V5019" s="35" t="inlineStr">
        <is>
          <t>Не определено</t>
        </is>
      </c>
      <c r="W5019" s="35" t="inlineStr">
        <is>
          <t>Нет</t>
        </is>
      </c>
      <c r="X5019" s="35" t="inlineStr"/>
    </row>
    <row r="5020" ht="15" customHeight="1" s="24">
      <c r="A5020" s="13" t="n">
        <v>801625225</v>
      </c>
      <c r="B5020" s="13" t="inlineStr">
        <is>
          <t>ООО "БАЙКАЛТРЕВЕЛКЛАБ"</t>
        </is>
      </c>
      <c r="C5020" s="13" t="n">
        <v>1901062614</v>
      </c>
      <c r="D5020" s="13" t="inlineStr">
        <is>
          <t>1901062614</t>
        </is>
      </c>
      <c r="E5020" s="13" t="inlineStr">
        <is>
          <t>ЮЛ РФ</t>
        </is>
      </c>
      <c r="F5020" s="13" t="n"/>
      <c r="G5020" s="52" t="n">
        <v>3</v>
      </c>
      <c r="H5020" s="52" t="n">
        <v>2025</v>
      </c>
      <c r="I5020" s="14" t="n"/>
      <c r="J5020" s="14" t="n"/>
      <c r="K5020" s="53" t="inlineStr">
        <is>
          <t>Нет</t>
        </is>
      </c>
      <c r="L5020" s="53" t="inlineStr">
        <is>
          <t>Не определено</t>
        </is>
      </c>
      <c r="M5020" s="53" t="inlineStr">
        <is>
          <t>До 10</t>
        </is>
      </c>
      <c r="N5020" s="54" t="n">
        <v>3360</v>
      </c>
      <c r="O5020" s="55" t="inlineStr">
        <is>
          <t>1–15</t>
        </is>
      </c>
      <c r="P5020" s="16" t="inlineStr">
        <is>
          <t>ССЧР обогащена; ОКВЭД не найден/не загружен</t>
        </is>
      </c>
      <c r="Q5020" s="16" t="inlineStr">
        <is>
          <t>ФНС открытые данные ССЧР (ДатаСост 31.12.2025; набор 7707329152-sshr2019)</t>
        </is>
      </c>
      <c r="R5020" s="16">
        <f>HYPERLINK("https://checko.ru/search?query=3801001629","Чекко: проверить")</f>
        <v/>
      </c>
      <c r="S5020" t="n">
        <v>1</v>
      </c>
      <c r="T5020" s="35" t="inlineStr">
        <is>
          <t>4 — Не обогащён</t>
        </is>
      </c>
      <c r="U5020" s="35" t="inlineStr">
        <is>
          <t>Нет ОКВЭД/ССЧР</t>
        </is>
      </c>
      <c r="V5020" s="35" t="inlineStr">
        <is>
          <t>Не определено</t>
        </is>
      </c>
      <c r="W5020" s="35" t="inlineStr">
        <is>
          <t>Нет</t>
        </is>
      </c>
      <c r="X5020" s="35" t="inlineStr"/>
    </row>
    <row r="5021" ht="27.75" customHeight="1" s="24">
      <c r="A5021" s="13" t="n">
        <v>802415306</v>
      </c>
      <c r="B5021" s="13" t="inlineStr">
        <is>
          <t>ИНДИВИДУАЛЬНЫЙ ПРЕДПРИНИМАТЕЛЬ ЗАЛУЦКАЯ ЛЮДМИЛА ВИКТОРОВНА</t>
        </is>
      </c>
      <c r="C5021" s="13" t="n">
        <v>380407452049</v>
      </c>
      <c r="D5021" s="13" t="inlineStr">
        <is>
          <t>380407452049</t>
        </is>
      </c>
      <c r="E5021" s="13" t="inlineStr">
        <is>
          <t>ИП РФ / физлицо</t>
        </is>
      </c>
      <c r="F5021" s="13" t="n"/>
      <c r="G5021" s="14" t="n"/>
      <c r="H5021" s="14" t="n"/>
      <c r="I5021" s="14" t="n"/>
      <c r="J5021" s="14" t="n"/>
      <c r="K5021" s="53" t="inlineStr"/>
      <c r="L5021" s="53" t="inlineStr">
        <is>
          <t>Не определено</t>
        </is>
      </c>
      <c r="M5021" s="53" t="inlineStr"/>
      <c r="N5021" s="54" t="inlineStr"/>
      <c r="O5021" s="55" t="inlineStr"/>
      <c r="P5021" s="16" t="inlineStr">
        <is>
          <t>Требует обогащения</t>
        </is>
      </c>
      <c r="Q5021" s="16">
        <f>HYPERLINK("https://pb.nalog.ru/search.html?query=380407452049","ФНС: проверить")</f>
        <v/>
      </c>
      <c r="R5021" s="16">
        <f>HYPERLINK("https://checko.ru/search?query=3801001629","Чекко: проверить")</f>
        <v/>
      </c>
      <c r="S5021" t="n">
        <v>1</v>
      </c>
      <c r="T5021" s="35" t="inlineStr">
        <is>
          <t>4 — Не обогащён</t>
        </is>
      </c>
      <c r="U5021" s="35" t="inlineStr">
        <is>
          <t>Нет ОКВЭД/ССЧР</t>
        </is>
      </c>
      <c r="V5021" s="35" t="inlineStr">
        <is>
          <t>Не определено</t>
        </is>
      </c>
      <c r="W5021" s="35" t="inlineStr"/>
      <c r="X5021" s="35" t="inlineStr"/>
    </row>
    <row r="5022" ht="15" customHeight="1" s="24">
      <c r="A5022" s="13" t="n">
        <v>804674929</v>
      </c>
      <c r="B5022" s="13" t="inlineStr">
        <is>
          <t>ООО "БЕСТОЙЛ"</t>
        </is>
      </c>
      <c r="C5022" s="13" t="n">
        <v>3811128180</v>
      </c>
      <c r="D5022" s="13" t="inlineStr">
        <is>
          <t>3811128180</t>
        </is>
      </c>
      <c r="E5022" s="13" t="inlineStr">
        <is>
          <t>ЮЛ РФ</t>
        </is>
      </c>
      <c r="F5022" s="13" t="n"/>
      <c r="G5022" s="52" t="n">
        <v>10</v>
      </c>
      <c r="H5022" s="52" t="n">
        <v>2025</v>
      </c>
      <c r="I5022" s="14" t="n"/>
      <c r="J5022" s="14" t="n"/>
      <c r="K5022" s="53" t="inlineStr">
        <is>
          <t>Нет</t>
        </is>
      </c>
      <c r="L5022" s="53" t="inlineStr">
        <is>
          <t>Не определено</t>
        </is>
      </c>
      <c r="M5022" s="53" t="inlineStr">
        <is>
          <t>До 10</t>
        </is>
      </c>
      <c r="N5022" s="54" t="n">
        <v>3360</v>
      </c>
      <c r="O5022" s="55" t="inlineStr">
        <is>
          <t>1–15</t>
        </is>
      </c>
      <c r="P5022" s="16" t="inlineStr">
        <is>
          <t>ССЧР обогащена; ОКВЭД не найден/не загружен</t>
        </is>
      </c>
      <c r="Q5022" s="16" t="inlineStr">
        <is>
          <t>ФНС открытые данные ССЧР (ДатаСост 31.12.2025; набор 7707329152-sshr2019)</t>
        </is>
      </c>
      <c r="R5022" s="16">
        <f>HYPERLINK("https://checko.ru/search?query=3801001629","Чекко: проверить")</f>
        <v/>
      </c>
      <c r="S5022" t="n">
        <v>1</v>
      </c>
      <c r="T5022" s="35" t="inlineStr">
        <is>
          <t>4 — Не обогащён</t>
        </is>
      </c>
      <c r="U5022" s="35" t="inlineStr">
        <is>
          <t>Нет ОКВЭД/ССЧР</t>
        </is>
      </c>
      <c r="V5022" s="35" t="inlineStr">
        <is>
          <t>Не определено</t>
        </is>
      </c>
      <c r="W5022" s="35" t="inlineStr">
        <is>
          <t>Нет</t>
        </is>
      </c>
      <c r="X5022" s="35" t="inlineStr"/>
    </row>
    <row r="5023" ht="15" customHeight="1" s="24">
      <c r="A5023" s="13" t="n">
        <v>16392624</v>
      </c>
      <c r="B5023" s="13" t="inlineStr">
        <is>
          <t>ИП Труфанова Татьяна Михайловна</t>
        </is>
      </c>
      <c r="C5023" s="13" t="n">
        <v>380800599174</v>
      </c>
      <c r="D5023" s="13" t="inlineStr">
        <is>
          <t>380800599174</t>
        </is>
      </c>
      <c r="E5023" s="13" t="inlineStr">
        <is>
          <t>ИП РФ / физлицо</t>
        </is>
      </c>
      <c r="F5023" s="13" t="n"/>
      <c r="G5023" s="14" t="n"/>
      <c r="H5023" s="14" t="n"/>
      <c r="I5023" s="14" t="n"/>
      <c r="J5023" s="14" t="n"/>
      <c r="K5023" s="53" t="inlineStr"/>
      <c r="L5023" s="53" t="inlineStr">
        <is>
          <t>Не определено</t>
        </is>
      </c>
      <c r="M5023" s="53" t="inlineStr"/>
      <c r="N5023" s="54" t="inlineStr"/>
      <c r="O5023" s="55" t="inlineStr"/>
      <c r="P5023" s="16" t="inlineStr">
        <is>
          <t>Требует обогащения</t>
        </is>
      </c>
      <c r="Q5023" s="16">
        <f>HYPERLINK("https://pb.nalog.ru/search.html?query=380800599174","ФНС: проверить")</f>
        <v/>
      </c>
      <c r="R5023" s="16">
        <f>HYPERLINK("https://checko.ru/search?query=3801001629","Чекко: проверить")</f>
        <v/>
      </c>
      <c r="S5023" t="n">
        <v>1</v>
      </c>
      <c r="T5023" s="35" t="inlineStr">
        <is>
          <t>4 — Не обогащён</t>
        </is>
      </c>
      <c r="U5023" s="35" t="inlineStr">
        <is>
          <t>Нет ОКВЭД/ССЧР</t>
        </is>
      </c>
      <c r="V5023" s="35" t="inlineStr">
        <is>
          <t>Не определено</t>
        </is>
      </c>
      <c r="W5023" s="35" t="inlineStr"/>
      <c r="X5023" s="35" t="inlineStr"/>
    </row>
    <row r="5024" ht="15" customHeight="1" s="24">
      <c r="A5024" s="13" t="n">
        <v>9164614</v>
      </c>
      <c r="B5024" s="13" t="inlineStr">
        <is>
          <t>ООО "Тимлюйский завод"</t>
        </is>
      </c>
      <c r="C5024" s="13" t="n">
        <v>309014760</v>
      </c>
      <c r="D5024" s="13" t="n"/>
      <c r="E5024" s="13" t="inlineStr">
        <is>
          <t>Не определён</t>
        </is>
      </c>
      <c r="F5024" s="13" t="inlineStr">
        <is>
          <t>309014760</t>
        </is>
      </c>
      <c r="G5024" s="14" t="n"/>
      <c r="H5024" s="14" t="n"/>
      <c r="I5024" s="14" t="n"/>
      <c r="J5024" s="14" t="n"/>
      <c r="K5024" s="13">
        <f>IF(G5024="","",IF(G5024&gt;=22,"Да","Нет"))</f>
        <v/>
      </c>
      <c r="L5024" s="13">
        <f>IF(OR(I5024="",J5024=""),"Не определено",IF(OR(COUNTIF(I5024,"45*")&gt;0,COUNTIF(J5024,"*45*")&gt;0,COUNTIF(I5024,"46*")&gt;0,COUNTIF(J5024,"*46*")&gt;0,COUNTIF(I5024,"47*")&gt;0,COUNTIF(J5024,"*47*")&gt;0,COUNTIF(I5024,"10*")&gt;0,COUNTIF(J5024,"*10*")&gt;0,COUNTIF(I5024,"11*")&gt;0,COUNTIF(J5024,"*11*")&gt;0,COUNTIF(I5024,"12*")&gt;0,COUNTIF(J5024,"*12*")&gt;0,COUNTIF(I5024,"13*")&gt;0,COUNTIF(J5024,"*13*")&gt;0,COUNTIF(I5024,"14*")&gt;0,COUNTIF(J5024,"*14*")&gt;0,COUNTIF(I5024,"15*")&gt;0,COUNTIF(J5024,"*15*")&gt;0,COUNTIF(I5024,"16*")&gt;0,COUNTIF(J5024,"*16*")&gt;0,COUNTIF(I5024,"17*")&gt;0,COUNTIF(J5024,"*17*")&gt;0,COUNTIF(I5024,"18*")&gt;0,COUNTIF(J5024,"*18*")&gt;0,COUNTIF(I5024,"19*")&gt;0,COUNTIF(J5024,"*19*")&gt;0,COUNTIF(I5024,"20*")&gt;0,COUNTIF(J5024,"*20*")&gt;0,COUNTIF(I5024,"21*")&gt;0,COUNTIF(J5024,"*21*")&gt;0,COUNTIF(I5024,"22*")&gt;0,COUNTIF(J5024,"*22*")&gt;0,COUNTIF(I5024,"23*")&gt;0,COUNTIF(J5024,"*23*")&gt;0,COUNTIF(I5024,"24*")&gt;0,COUNTIF(J5024,"*24*")&gt;0,COUNTIF(I5024,"25*")&gt;0,COUNTIF(J5024,"*25*")&gt;0,COUNTIF(I5024,"26*")&gt;0,COUNTIF(J5024,"*26*")&gt;0,COUNTIF(I5024,"27*")&gt;0,COUNTIF(J5024,"*27*")&gt;0,COUNTIF(I5024,"28*")&gt;0,COUNTIF(J5024,"*28*")&gt;0,COUNTIF(I5024,"29*")&gt;0,COUNTIF(J5024,"*29*")&gt;0,COUNTIF(I5024,"30*")&gt;0,COUNTIF(J5024,"*30*")&gt;0,COUNTIF(I5024,"31*")&gt;0,COUNTIF(J5024,"*31*")&gt;0,COUNTIF(I5024,"32*")&gt;0,COUNTIF(J5024,"*32*")&gt;0,COUNTIF(I5024,"33*")&gt;0,COUNTIF(J5024,"*33*")&gt;0,COUNTIF(I5024,"41*")&gt;0,COUNTIF(J5024,"*41*")&gt;0,COUNTIF(I5024,"42*")&gt;0,COUNTIF(J5024,"*42*")&gt;0,COUNTIF(I5024,"43*")&gt;0,COUNTIF(J5024,"*43*")&gt;0,COUNTIF(I5024,"49*")&gt;0,COUNTIF(J5024,"*49*")&gt;0,COUNTIF(I5024,"52*")&gt;0,COUNTIF(J5024,"*52*")&gt;0,COUNTIF(I5024,"55*")&gt;0,COUNTIF(J5024,"*55*")&gt;0,COUNTIF(I5024,"56*")&gt;0,COUNTIF(J5024,"*56*")&gt;0,COUNTIF(I5024,"68*")&gt;0,COUNTIF(J5024,"*68*")&gt;0,COUNTIF(I5024,"78*")&gt;0,COUNTIF(J5024,"*78*")&gt;0,COUNTIF(I5024,"81*")&gt;0,COUNTIF(J5024,"*81*")&gt;0,COUNTIF(I5024,"82*")&gt;0,COUNTIF(J5024,"*82*")&gt;0,COUNTIF(I5024,"64*")&gt;0,COUNTIF(J5024,"*64*")&gt;0,COUNTIF(I5024,"65*")&gt;0,COUNTIF(J5024,"*65*")&gt;0,COUNTIF(I5024,"66*")&gt;0,COUNTIF(J5024,"*66*")&gt;0,COUNTIF(I5024,"61*")&gt;0,COUNTIF(J5024,"*61*")&gt;0,COUNTIF(I5024,"62*")&gt;0,COUNTIF(J5024,"*62*")&gt;0,COUNTIF(I5024,"63*")&gt;0,COUNTIF(J5024,"*63*")&gt;0,COUNTIF(I5024,"85*")&gt;0,COUNTIF(J5024,"*85*")&gt;0,COUNTIF(I5024,"86*")&gt;0,COUNTIF(J5024,"*86*")&gt;0),"Да","Нет"))</f>
        <v/>
      </c>
      <c r="M5024" s="13">
        <f>IF(OR(G5024="",L5024&lt;&gt;"Да"),"",IF(G5024&lt;=100,"До 100",IF(G5024&lt;=200,"До 200",IF(G5024&lt;=500,"До 500","Отдельное КП"))))</f>
        <v/>
      </c>
      <c r="N5024" s="15">
        <f>IF(OR(G5024="",L5024&lt;&gt;"Да"),"",IF(G5024&lt;=100,33600,IF(G5024&lt;=200,62400,IF(G5024&lt;=500,144000,""))))</f>
        <v/>
      </c>
      <c r="O5024" s="16">
        <f>IF(G5024="","",IF(G5024&lt;=15,"1–15",IF(G5024&lt;=30,"16–30",IF(G5024&lt;=50,"31–50",IF(G5024&lt;=100,"51–100",IF(G5024&lt;=150,"101–150",IF(G5024&lt;=200,"151–200",IF(G5024&lt;=500,"201–500","500+"))))))))</f>
        <v/>
      </c>
      <c r="P5024" s="16" t="inlineStr">
        <is>
          <t>Нет совпадения в предоставленной выгрузке ССЧР</t>
        </is>
      </c>
      <c r="Q5024" s="16" t="n"/>
      <c r="R5024" s="16">
        <f>HYPERLINK("https://checko.ru/search?query=3801001629","Чекко: проверить")</f>
        <v/>
      </c>
      <c r="S5024" t="n">
        <v>0</v>
      </c>
    </row>
    <row r="5025" ht="15" customHeight="1" s="24">
      <c r="A5025" s="13" t="n">
        <v>802330822</v>
      </c>
      <c r="B5025" s="13" t="inlineStr">
        <is>
          <t>ИП Степная Татьяна Владимировна</t>
        </is>
      </c>
      <c r="C5025" s="13" t="n">
        <v>32301155949</v>
      </c>
      <c r="D5025" s="13" t="n"/>
      <c r="E5025" s="13" t="inlineStr">
        <is>
          <t>Не определён</t>
        </is>
      </c>
      <c r="F5025" s="13" t="n"/>
      <c r="G5025" s="14" t="n"/>
      <c r="H5025" s="14" t="n"/>
      <c r="I5025" s="14" t="n"/>
      <c r="J5025" s="14" t="n"/>
      <c r="K5025" s="13">
        <f>IF(G5025="","",IF(G5025&gt;=22,"Да","Нет"))</f>
        <v/>
      </c>
      <c r="L5025" s="13">
        <f>IF(OR(I5025="",J5025=""),"Не определено",IF(OR(COUNTIF(I5025,"45*")&gt;0,COUNTIF(J5025,"*45*")&gt;0,COUNTIF(I5025,"46*")&gt;0,COUNTIF(J5025,"*46*")&gt;0,COUNTIF(I5025,"47*")&gt;0,COUNTIF(J5025,"*47*")&gt;0,COUNTIF(I5025,"10*")&gt;0,COUNTIF(J5025,"*10*")&gt;0,COUNTIF(I5025,"11*")&gt;0,COUNTIF(J5025,"*11*")&gt;0,COUNTIF(I5025,"12*")&gt;0,COUNTIF(J5025,"*12*")&gt;0,COUNTIF(I5025,"13*")&gt;0,COUNTIF(J5025,"*13*")&gt;0,COUNTIF(I5025,"14*")&gt;0,COUNTIF(J5025,"*14*")&gt;0,COUNTIF(I5025,"15*")&gt;0,COUNTIF(J5025,"*15*")&gt;0,COUNTIF(I5025,"16*")&gt;0,COUNTIF(J5025,"*16*")&gt;0,COUNTIF(I5025,"17*")&gt;0,COUNTIF(J5025,"*17*")&gt;0,COUNTIF(I5025,"18*")&gt;0,COUNTIF(J5025,"*18*")&gt;0,COUNTIF(I5025,"19*")&gt;0,COUNTIF(J5025,"*19*")&gt;0,COUNTIF(I5025,"20*")&gt;0,COUNTIF(J5025,"*20*")&gt;0,COUNTIF(I5025,"21*")&gt;0,COUNTIF(J5025,"*21*")&gt;0,COUNTIF(I5025,"22*")&gt;0,COUNTIF(J5025,"*22*")&gt;0,COUNTIF(I5025,"23*")&gt;0,COUNTIF(J5025,"*23*")&gt;0,COUNTIF(I5025,"24*")&gt;0,COUNTIF(J5025,"*24*")&gt;0,COUNTIF(I5025,"25*")&gt;0,COUNTIF(J5025,"*25*")&gt;0,COUNTIF(I5025,"26*")&gt;0,COUNTIF(J5025,"*26*")&gt;0,COUNTIF(I5025,"27*")&gt;0,COUNTIF(J5025,"*27*")&gt;0,COUNTIF(I5025,"28*")&gt;0,COUNTIF(J5025,"*28*")&gt;0,COUNTIF(I5025,"29*")&gt;0,COUNTIF(J5025,"*29*")&gt;0,COUNTIF(I5025,"30*")&gt;0,COUNTIF(J5025,"*30*")&gt;0,COUNTIF(I5025,"31*")&gt;0,COUNTIF(J5025,"*31*")&gt;0,COUNTIF(I5025,"32*")&gt;0,COUNTIF(J5025,"*32*")&gt;0,COUNTIF(I5025,"33*")&gt;0,COUNTIF(J5025,"*33*")&gt;0,COUNTIF(I5025,"41*")&gt;0,COUNTIF(J5025,"*41*")&gt;0,COUNTIF(I5025,"42*")&gt;0,COUNTIF(J5025,"*42*")&gt;0,COUNTIF(I5025,"43*")&gt;0,COUNTIF(J5025,"*43*")&gt;0,COUNTIF(I5025,"49*")&gt;0,COUNTIF(J5025,"*49*")&gt;0,COUNTIF(I5025,"52*")&gt;0,COUNTIF(J5025,"*52*")&gt;0,COUNTIF(I5025,"55*")&gt;0,COUNTIF(J5025,"*55*")&gt;0,COUNTIF(I5025,"56*")&gt;0,COUNTIF(J5025,"*56*")&gt;0,COUNTIF(I5025,"68*")&gt;0,COUNTIF(J5025,"*68*")&gt;0,COUNTIF(I5025,"78*")&gt;0,COUNTIF(J5025,"*78*")&gt;0,COUNTIF(I5025,"81*")&gt;0,COUNTIF(J5025,"*81*")&gt;0,COUNTIF(I5025,"82*")&gt;0,COUNTIF(J5025,"*82*")&gt;0,COUNTIF(I5025,"64*")&gt;0,COUNTIF(J5025,"*64*")&gt;0,COUNTIF(I5025,"65*")&gt;0,COUNTIF(J5025,"*65*")&gt;0,COUNTIF(I5025,"66*")&gt;0,COUNTIF(J5025,"*66*")&gt;0,COUNTIF(I5025,"61*")&gt;0,COUNTIF(J5025,"*61*")&gt;0,COUNTIF(I5025,"62*")&gt;0,COUNTIF(J5025,"*62*")&gt;0,COUNTIF(I5025,"63*")&gt;0,COUNTIF(J5025,"*63*")&gt;0,COUNTIF(I5025,"85*")&gt;0,COUNTIF(J5025,"*85*")&gt;0,COUNTIF(I5025,"86*")&gt;0,COUNTIF(J5025,"*86*")&gt;0),"Да","Нет"))</f>
        <v/>
      </c>
      <c r="M5025" s="13">
        <f>IF(OR(G5025="",L5025&lt;&gt;"Да"),"",IF(G5025&lt;=100,"До 100",IF(G5025&lt;=200,"До 200",IF(G5025&lt;=500,"До 500","Отдельное КП"))))</f>
        <v/>
      </c>
      <c r="N5025" s="15">
        <f>IF(OR(G5025="",L5025&lt;&gt;"Да"),"",IF(G5025&lt;=100,33600,IF(G5025&lt;=200,62400,IF(G5025&lt;=500,144000,""))))</f>
        <v/>
      </c>
      <c r="O5025" s="16">
        <f>IF(G5025="","",IF(G5025&lt;=15,"1–15",IF(G5025&lt;=30,"16–30",IF(G5025&lt;=50,"31–50",IF(G5025&lt;=100,"51–100",IF(G5025&lt;=150,"101–150",IF(G5025&lt;=200,"151–200",IF(G5025&lt;=500,"201–500","500+"))))))))</f>
        <v/>
      </c>
      <c r="P5025" s="16" t="inlineStr">
        <is>
          <t>Нет совпадения в предоставленной выгрузке ССЧР</t>
        </is>
      </c>
      <c r="Q5025" s="16" t="n"/>
      <c r="R5025" s="16">
        <f>HYPERLINK("https://checko.ru/search?query=3801001629","Чекко: проверить")</f>
        <v/>
      </c>
      <c r="S5025" t="n">
        <v>0</v>
      </c>
    </row>
    <row r="5026" ht="27.75" customHeight="1" s="24">
      <c r="A5026" s="13" t="n">
        <v>802326442</v>
      </c>
      <c r="B5026" s="13" t="inlineStr">
        <is>
          <t>ОБЩЕСТВО С ОГРАНИЧЕННОЙ ОТВЕТСТВЕННОСТЬЮ "ПАЗ-АВТО"</t>
        </is>
      </c>
      <c r="C5026" s="13" t="n">
        <v>3810071809</v>
      </c>
      <c r="D5026" s="13" t="inlineStr">
        <is>
          <t>3810071809</t>
        </is>
      </c>
      <c r="E5026" s="13" t="inlineStr">
        <is>
          <t>ЮЛ РФ</t>
        </is>
      </c>
      <c r="F5026" s="13" t="n"/>
      <c r="G5026" s="52" t="n">
        <v>3</v>
      </c>
      <c r="H5026" s="52" t="n">
        <v>2025</v>
      </c>
      <c r="I5026" s="14" t="n"/>
      <c r="J5026" s="14" t="n"/>
      <c r="K5026" s="53" t="inlineStr">
        <is>
          <t>Нет</t>
        </is>
      </c>
      <c r="L5026" s="53" t="inlineStr">
        <is>
          <t>Не определено</t>
        </is>
      </c>
      <c r="M5026" s="53" t="inlineStr">
        <is>
          <t>До 10</t>
        </is>
      </c>
      <c r="N5026" s="54" t="n">
        <v>3360</v>
      </c>
      <c r="O5026" s="55" t="inlineStr">
        <is>
          <t>1–15</t>
        </is>
      </c>
      <c r="P5026" s="16" t="inlineStr">
        <is>
          <t>ССЧР обогащена; ОКВЭД не найден/не загружен</t>
        </is>
      </c>
      <c r="Q5026" s="16" t="inlineStr">
        <is>
          <t>ФНС открытые данные ССЧР (ДатаСост 31.12.2025; набор 7707329152-sshr2019)</t>
        </is>
      </c>
      <c r="R5026" s="16">
        <f>HYPERLINK("https://checko.ru/search?query=3801001629","Чекко: проверить")</f>
        <v/>
      </c>
      <c r="S5026" t="n">
        <v>1</v>
      </c>
      <c r="T5026" s="35" t="inlineStr">
        <is>
          <t>4 — Не обогащён</t>
        </is>
      </c>
      <c r="U5026" s="35" t="inlineStr">
        <is>
          <t>Нет ОКВЭД/ССЧР</t>
        </is>
      </c>
      <c r="V5026" s="35" t="inlineStr">
        <is>
          <t>Не определено</t>
        </is>
      </c>
      <c r="W5026" s="35" t="inlineStr">
        <is>
          <t>Нет</t>
        </is>
      </c>
      <c r="X5026" s="35" t="inlineStr"/>
    </row>
    <row r="5027" ht="15" customHeight="1" s="24">
      <c r="A5027" s="13" t="n">
        <v>800543727</v>
      </c>
      <c r="B5027" s="13" t="inlineStr">
        <is>
          <t>АО "Сервер"</t>
        </is>
      </c>
      <c r="C5027" s="13" t="n">
        <v>3812144435</v>
      </c>
      <c r="D5027" s="13" t="inlineStr">
        <is>
          <t>3812144435</t>
        </is>
      </c>
      <c r="E5027" s="13" t="inlineStr">
        <is>
          <t>ЮЛ РФ</t>
        </is>
      </c>
      <c r="F5027" s="13" t="n"/>
      <c r="G5027" s="52" t="n">
        <v>5</v>
      </c>
      <c r="H5027" s="52" t="n">
        <v>2025</v>
      </c>
      <c r="I5027" s="14" t="n"/>
      <c r="J5027" s="14" t="n"/>
      <c r="K5027" s="53" t="inlineStr">
        <is>
          <t>Нет</t>
        </is>
      </c>
      <c r="L5027" s="53" t="inlineStr">
        <is>
          <t>Не определено</t>
        </is>
      </c>
      <c r="M5027" s="53" t="inlineStr">
        <is>
          <t>До 10</t>
        </is>
      </c>
      <c r="N5027" s="54" t="n">
        <v>3360</v>
      </c>
      <c r="O5027" s="55" t="inlineStr">
        <is>
          <t>1–15</t>
        </is>
      </c>
      <c r="P5027" s="16" t="inlineStr">
        <is>
          <t>ССЧР обогащена; ОКВЭД не найден/не загружен</t>
        </is>
      </c>
      <c r="Q5027" s="16" t="inlineStr">
        <is>
          <t>ФНС открытые данные ССЧР (ДатаСост 31.12.2025; набор 7707329152-sshr2019)</t>
        </is>
      </c>
      <c r="R5027" s="16">
        <f>HYPERLINK("https://checko.ru/search?query=3801001629","Чекко: проверить")</f>
        <v/>
      </c>
      <c r="S5027" t="n">
        <v>1</v>
      </c>
      <c r="T5027" s="35" t="inlineStr">
        <is>
          <t>4 — Не обогащён</t>
        </is>
      </c>
      <c r="U5027" s="35" t="inlineStr">
        <is>
          <t>Нет ОКВЭД/ССЧР</t>
        </is>
      </c>
      <c r="V5027" s="35" t="inlineStr">
        <is>
          <t>Не определено</t>
        </is>
      </c>
      <c r="W5027" s="35" t="inlineStr">
        <is>
          <t>Нет</t>
        </is>
      </c>
      <c r="X5027" s="35" t="inlineStr"/>
    </row>
    <row r="5028" ht="15" customHeight="1" s="24">
      <c r="A5028" s="13" t="n">
        <v>800542765</v>
      </c>
      <c r="B5028" s="13" t="inlineStr">
        <is>
          <t>АО "Первый"</t>
        </is>
      </c>
      <c r="C5028" s="13" t="n">
        <v>3812107585</v>
      </c>
      <c r="D5028" s="13" t="inlineStr">
        <is>
          <t>3812107585</t>
        </is>
      </c>
      <c r="E5028" s="13" t="inlineStr">
        <is>
          <t>ЮЛ РФ</t>
        </is>
      </c>
      <c r="F5028" s="13" t="n"/>
      <c r="G5028" s="52" t="n">
        <v>8</v>
      </c>
      <c r="H5028" s="52" t="n">
        <v>2025</v>
      </c>
      <c r="I5028" s="14" t="n"/>
      <c r="J5028" s="14" t="n"/>
      <c r="K5028" s="53" t="inlineStr">
        <is>
          <t>Нет</t>
        </is>
      </c>
      <c r="L5028" s="53" t="inlineStr">
        <is>
          <t>Не определено</t>
        </is>
      </c>
      <c r="M5028" s="53" t="inlineStr">
        <is>
          <t>До 10</t>
        </is>
      </c>
      <c r="N5028" s="54" t="n">
        <v>3360</v>
      </c>
      <c r="O5028" s="55" t="inlineStr">
        <is>
          <t>1–15</t>
        </is>
      </c>
      <c r="P5028" s="16" t="inlineStr">
        <is>
          <t>ССЧР обогащена; ОКВЭД не найден/не загружен</t>
        </is>
      </c>
      <c r="Q5028" s="16" t="inlineStr">
        <is>
          <t>ФНС открытые данные ССЧР (ДатаСост 31.12.2025; набор 7707329152-sshr2019)</t>
        </is>
      </c>
      <c r="R5028" s="16">
        <f>HYPERLINK("https://checko.ru/search?query=3801001629","Чекко: проверить")</f>
        <v/>
      </c>
      <c r="S5028" t="n">
        <v>1</v>
      </c>
      <c r="T5028" s="35" t="inlineStr">
        <is>
          <t>4 — Не обогащён</t>
        </is>
      </c>
      <c r="U5028" s="35" t="inlineStr">
        <is>
          <t>Нет ОКВЭД/ССЧР</t>
        </is>
      </c>
      <c r="V5028" s="35" t="inlineStr">
        <is>
          <t>Не определено</t>
        </is>
      </c>
      <c r="W5028" s="35" t="inlineStr">
        <is>
          <t>Нет</t>
        </is>
      </c>
      <c r="X5028" s="35" t="inlineStr"/>
    </row>
    <row r="5029" ht="15" customHeight="1" s="24">
      <c r="A5029" s="13" t="n">
        <v>802300367</v>
      </c>
      <c r="B5029" s="13" t="inlineStr">
        <is>
          <t>ИП Мосеев Данил Алексеевич</t>
        </is>
      </c>
      <c r="C5029" s="13" t="n">
        <v>381259864880</v>
      </c>
      <c r="D5029" s="13" t="inlineStr">
        <is>
          <t>381259864880</t>
        </is>
      </c>
      <c r="E5029" s="13" t="inlineStr">
        <is>
          <t>ИП РФ / физлицо</t>
        </is>
      </c>
      <c r="F5029" s="13" t="n"/>
      <c r="G5029" s="14" t="n"/>
      <c r="H5029" s="14" t="n"/>
      <c r="I5029" s="14" t="n"/>
      <c r="J5029" s="14" t="n"/>
      <c r="K5029" s="53" t="inlineStr"/>
      <c r="L5029" s="53" t="inlineStr">
        <is>
          <t>Не определено</t>
        </is>
      </c>
      <c r="M5029" s="53" t="inlineStr"/>
      <c r="N5029" s="54" t="inlineStr"/>
      <c r="O5029" s="55" t="inlineStr"/>
      <c r="P5029" s="16" t="inlineStr">
        <is>
          <t>Требует обогащения</t>
        </is>
      </c>
      <c r="Q5029" s="16">
        <f>HYPERLINK("https://pb.nalog.ru/search.html?query=381259864880","ФНС: проверить")</f>
        <v/>
      </c>
      <c r="R5029" s="16">
        <f>HYPERLINK("https://checko.ru/search?query=3801001629","Чекко: проверить")</f>
        <v/>
      </c>
      <c r="S5029" t="n">
        <v>1</v>
      </c>
      <c r="T5029" s="35" t="inlineStr">
        <is>
          <t>4 — Не обогащён</t>
        </is>
      </c>
      <c r="U5029" s="35" t="inlineStr">
        <is>
          <t>Нет ОКВЭД/ССЧР</t>
        </is>
      </c>
      <c r="V5029" s="35" t="inlineStr">
        <is>
          <t>Не определено</t>
        </is>
      </c>
      <c r="W5029" s="35" t="inlineStr"/>
      <c r="X5029" s="35" t="inlineStr"/>
    </row>
    <row r="5030" ht="27.75" customHeight="1" s="24">
      <c r="A5030" s="13" t="n">
        <v>801632333</v>
      </c>
      <c r="B5030" s="13" t="inlineStr">
        <is>
          <t>ОБЩЕСТВО С ОГРАНИЧЕННОЙ ОТВЕТСТВЕННОСТЬЮ "МЕРИДИАН ГРУПП"</t>
        </is>
      </c>
      <c r="C5030" s="13" t="n">
        <v>3808274760</v>
      </c>
      <c r="D5030" s="13" t="inlineStr">
        <is>
          <t>3808274760</t>
        </is>
      </c>
      <c r="E5030" s="13" t="inlineStr">
        <is>
          <t>ЮЛ РФ</t>
        </is>
      </c>
      <c r="F5030" s="13" t="n"/>
      <c r="G5030" s="52" t="n">
        <v>6</v>
      </c>
      <c r="H5030" s="52" t="n">
        <v>2025</v>
      </c>
      <c r="I5030" s="14" t="n"/>
      <c r="J5030" s="14" t="n"/>
      <c r="K5030" s="53" t="inlineStr">
        <is>
          <t>Нет</t>
        </is>
      </c>
      <c r="L5030" s="53" t="inlineStr">
        <is>
          <t>Не определено</t>
        </is>
      </c>
      <c r="M5030" s="53" t="inlineStr">
        <is>
          <t>До 10</t>
        </is>
      </c>
      <c r="N5030" s="54" t="n">
        <v>3360</v>
      </c>
      <c r="O5030" s="55" t="inlineStr">
        <is>
          <t>1–15</t>
        </is>
      </c>
      <c r="P5030" s="16" t="inlineStr">
        <is>
          <t>ССЧР обогащена; ОКВЭД не найден/не загружен</t>
        </is>
      </c>
      <c r="Q5030" s="16" t="inlineStr">
        <is>
          <t>ФНС открытые данные ССЧР (ДатаСост 31.12.2025; набор 7707329152-sshr2019)</t>
        </is>
      </c>
      <c r="R5030" s="16">
        <f>HYPERLINK("https://checko.ru/search?query=3801001629","Чекко: проверить")</f>
        <v/>
      </c>
      <c r="S5030" t="n">
        <v>1</v>
      </c>
      <c r="T5030" s="35" t="inlineStr">
        <is>
          <t>4 — Не обогащён</t>
        </is>
      </c>
      <c r="U5030" s="35" t="inlineStr">
        <is>
          <t>Нет ОКВЭД/ССЧР</t>
        </is>
      </c>
      <c r="V5030" s="35" t="inlineStr">
        <is>
          <t>Не определено</t>
        </is>
      </c>
      <c r="W5030" s="35" t="inlineStr">
        <is>
          <t>Нет</t>
        </is>
      </c>
      <c r="X5030" s="35" t="inlineStr"/>
    </row>
    <row r="5031" ht="15" customHeight="1" s="24">
      <c r="A5031" s="13" t="n">
        <v>800838380</v>
      </c>
      <c r="B5031" s="13" t="inlineStr">
        <is>
          <t>ООО "УК Пилот"</t>
        </is>
      </c>
      <c r="C5031" s="13" t="n">
        <v>3811149261</v>
      </c>
      <c r="D5031" s="13" t="inlineStr">
        <is>
          <t>3811149261</t>
        </is>
      </c>
      <c r="E5031" s="13" t="inlineStr">
        <is>
          <t>ЮЛ РФ</t>
        </is>
      </c>
      <c r="F5031" s="13" t="n"/>
      <c r="G5031" s="52" t="n">
        <v>5</v>
      </c>
      <c r="H5031" s="52" t="n">
        <v>2025</v>
      </c>
      <c r="I5031" s="14" t="n"/>
      <c r="J5031" s="14" t="n"/>
      <c r="K5031" s="53" t="inlineStr">
        <is>
          <t>Нет</t>
        </is>
      </c>
      <c r="L5031" s="53" t="inlineStr">
        <is>
          <t>Не определено</t>
        </is>
      </c>
      <c r="M5031" s="53" t="inlineStr">
        <is>
          <t>До 10</t>
        </is>
      </c>
      <c r="N5031" s="54" t="n">
        <v>3360</v>
      </c>
      <c r="O5031" s="55" t="inlineStr">
        <is>
          <t>1–15</t>
        </is>
      </c>
      <c r="P5031" s="16" t="inlineStr">
        <is>
          <t>ССЧР обогащена; ОКВЭД не найден/не загружен</t>
        </is>
      </c>
      <c r="Q5031" s="16" t="inlineStr">
        <is>
          <t>ФНС открытые данные ССЧР (ДатаСост 31.12.2025; набор 7707329152-sshr2019)</t>
        </is>
      </c>
      <c r="R5031" s="16">
        <f>HYPERLINK("https://checko.ru/search?query=3801001629","Чекко: проверить")</f>
        <v/>
      </c>
      <c r="S5031" t="n">
        <v>1</v>
      </c>
      <c r="T5031" s="35" t="inlineStr">
        <is>
          <t>4 — Не обогащён</t>
        </is>
      </c>
      <c r="U5031" s="35" t="inlineStr">
        <is>
          <t>Нет ОКВЭД/ССЧР</t>
        </is>
      </c>
      <c r="V5031" s="35" t="inlineStr">
        <is>
          <t>Не определено</t>
        </is>
      </c>
      <c r="W5031" s="35" t="inlineStr">
        <is>
          <t>Нет</t>
        </is>
      </c>
      <c r="X5031" s="35" t="inlineStr"/>
    </row>
    <row r="5032" ht="15" customHeight="1" s="24">
      <c r="A5032" s="13" t="n">
        <v>800500243</v>
      </c>
      <c r="B5032" s="13" t="inlineStr">
        <is>
          <t>ООО "НТЦ "ИркутскНИИХиммаш"</t>
        </is>
      </c>
      <c r="C5032" s="13" t="n">
        <v>3812102234</v>
      </c>
      <c r="D5032" s="13" t="inlineStr">
        <is>
          <t>3812102234</t>
        </is>
      </c>
      <c r="E5032" s="13" t="inlineStr">
        <is>
          <t>ЮЛ РФ</t>
        </is>
      </c>
      <c r="F5032" s="13" t="n"/>
      <c r="G5032" s="52" t="n">
        <v>16</v>
      </c>
      <c r="H5032" s="52" t="n">
        <v>2025</v>
      </c>
      <c r="I5032" s="14" t="n"/>
      <c r="J5032" s="14" t="n"/>
      <c r="K5032" s="53" t="inlineStr">
        <is>
          <t>Нет</t>
        </is>
      </c>
      <c r="L5032" s="53" t="inlineStr">
        <is>
          <t>Не определено</t>
        </is>
      </c>
      <c r="M5032" s="53" t="inlineStr">
        <is>
          <t>До 25</t>
        </is>
      </c>
      <c r="N5032" s="54" t="n">
        <v>8400</v>
      </c>
      <c r="O5032" s="55" t="inlineStr">
        <is>
          <t>16–30</t>
        </is>
      </c>
      <c r="P5032" s="16" t="inlineStr">
        <is>
          <t>ССЧР обогащена; ОКВЭД не найден/не загружен</t>
        </is>
      </c>
      <c r="Q5032" s="16" t="inlineStr">
        <is>
          <t>ФНС открытые данные ССЧР (ДатаСост 31.12.2025; набор 7707329152-sshr2019)</t>
        </is>
      </c>
      <c r="R5032" s="16">
        <f>HYPERLINK("https://checko.ru/search?query=3801001629","Чекко: проверить")</f>
        <v/>
      </c>
      <c r="S5032" t="n">
        <v>1</v>
      </c>
      <c r="T5032" s="35" t="inlineStr">
        <is>
          <t>4 — Не обогащён</t>
        </is>
      </c>
      <c r="U5032" s="35" t="inlineStr">
        <is>
          <t>Нет ОКВЭД/ССЧР</t>
        </is>
      </c>
      <c r="V5032" s="35" t="inlineStr">
        <is>
          <t>Не определено</t>
        </is>
      </c>
      <c r="W5032" s="35" t="inlineStr">
        <is>
          <t>Нет</t>
        </is>
      </c>
      <c r="X5032" s="35" t="inlineStr"/>
    </row>
    <row r="5033" ht="27.75" customHeight="1" s="24">
      <c r="A5033" s="13" t="n">
        <v>800457032</v>
      </c>
      <c r="B5033" s="13" t="inlineStr">
        <is>
          <t>Общество с ограниченной ответственностью "АСС-ИРКУТСК"</t>
        </is>
      </c>
      <c r="C5033" s="13" t="n">
        <v>3811462837</v>
      </c>
      <c r="D5033" s="13" t="inlineStr">
        <is>
          <t>3811462837</t>
        </is>
      </c>
      <c r="E5033" s="13" t="inlineStr">
        <is>
          <t>ЮЛ РФ</t>
        </is>
      </c>
      <c r="F5033" s="13" t="n"/>
      <c r="G5033" s="52" t="n">
        <v>6</v>
      </c>
      <c r="H5033" s="52" t="n">
        <v>2025</v>
      </c>
      <c r="I5033" s="14" t="n"/>
      <c r="J5033" s="14" t="n"/>
      <c r="K5033" s="53" t="inlineStr">
        <is>
          <t>Нет</t>
        </is>
      </c>
      <c r="L5033" s="53" t="inlineStr">
        <is>
          <t>Не определено</t>
        </is>
      </c>
      <c r="M5033" s="53" t="inlineStr">
        <is>
          <t>До 10</t>
        </is>
      </c>
      <c r="N5033" s="54" t="n">
        <v>3360</v>
      </c>
      <c r="O5033" s="55" t="inlineStr">
        <is>
          <t>1–15</t>
        </is>
      </c>
      <c r="P5033" s="16" t="inlineStr">
        <is>
          <t>ССЧР обогащена; ОКВЭД не найден/не загружен</t>
        </is>
      </c>
      <c r="Q5033" s="16" t="inlineStr">
        <is>
          <t>ФНС открытые данные ССЧР (ДатаСост 31.12.2025; набор 7707329152-sshr2019)</t>
        </is>
      </c>
      <c r="R5033" s="16">
        <f>HYPERLINK("https://checko.ru/search?query=3801001629","Чекко: проверить")</f>
        <v/>
      </c>
      <c r="S5033" t="n">
        <v>1</v>
      </c>
      <c r="T5033" s="35" t="inlineStr">
        <is>
          <t>4 — Не обогащён</t>
        </is>
      </c>
      <c r="U5033" s="35" t="inlineStr">
        <is>
          <t>Нет ОКВЭД/ССЧР</t>
        </is>
      </c>
      <c r="V5033" s="35" t="inlineStr">
        <is>
          <t>Не определено</t>
        </is>
      </c>
      <c r="W5033" s="35" t="inlineStr">
        <is>
          <t>Нет</t>
        </is>
      </c>
      <c r="X5033" s="35" t="inlineStr"/>
    </row>
    <row r="5034" ht="15" customHeight="1" s="24">
      <c r="A5034" s="13" t="n">
        <v>800516131</v>
      </c>
      <c r="B5034" s="13" t="inlineStr">
        <is>
          <t>ООО "ДЕТАЛИ МАШИН"</t>
        </is>
      </c>
      <c r="C5034" s="13" t="n">
        <v>3811434371</v>
      </c>
      <c r="D5034" s="13" t="inlineStr">
        <is>
          <t>3811434371</t>
        </is>
      </c>
      <c r="E5034" s="13" t="inlineStr">
        <is>
          <t>ЮЛ РФ</t>
        </is>
      </c>
      <c r="F5034" s="13" t="n"/>
      <c r="G5034" s="52" t="n">
        <v>24</v>
      </c>
      <c r="H5034" s="52" t="n">
        <v>2025</v>
      </c>
      <c r="I5034" s="52" t="inlineStr">
        <is>
          <t>22.19</t>
        </is>
      </c>
      <c r="J5034" s="52" t="inlineStr">
        <is>
          <t>22.19; 25.62; 25.73; 32.99.9; 45.20; 46.49; 46.61; 46.69; 46.73; 46.75; 46.90; 47.52; 49.41; 49.42; 68.20</t>
        </is>
      </c>
      <c r="K5034" s="53" t="inlineStr">
        <is>
          <t>Да</t>
        </is>
      </c>
      <c r="L5034" s="53" t="inlineStr">
        <is>
          <t>Да</t>
        </is>
      </c>
      <c r="M5034" s="53" t="inlineStr">
        <is>
          <t>До 25</t>
        </is>
      </c>
      <c r="N5034" s="54" t="n">
        <v>8400</v>
      </c>
      <c r="O5034" s="55" t="inlineStr">
        <is>
          <t>16–30</t>
        </is>
      </c>
      <c r="P5034" s="16" t="inlineStr">
        <is>
          <t>ССЧР + ОКВЭД обогащены</t>
        </is>
      </c>
      <c r="Q5034" s="16" t="inlineStr">
        <is>
          <t>ФНС открытые данные ССЧР (ДатаСост 31.12.2025; набор 7707329152-sshr2019)</t>
        </is>
      </c>
      <c r="R5034" s="16" t="inlineStr">
        <is>
          <t>ЕГРЮЛ / egrul.nalog.ru (выписка)</t>
        </is>
      </c>
      <c r="S5034" t="n">
        <v>1</v>
      </c>
      <c r="T5034" s="35" t="inlineStr">
        <is>
          <t>1 — Горячий</t>
        </is>
      </c>
      <c r="U5034" s="35" t="inlineStr">
        <is>
          <t>ОКВЭД + 22+</t>
        </is>
      </c>
      <c r="V5034" s="35" t="inlineStr">
        <is>
          <t>Да</t>
        </is>
      </c>
      <c r="W5034" s="35" t="inlineStr">
        <is>
          <t>Да</t>
        </is>
      </c>
      <c r="X5034" s="35" t="inlineStr">
        <is>
          <t>Да</t>
        </is>
      </c>
    </row>
    <row r="5035" ht="41.25" customHeight="1" s="24">
      <c r="A5035" s="13" t="n">
        <v>802494718</v>
      </c>
      <c r="B5035" s="13" t="inlineStr">
        <is>
          <t>Общество с ограниченной ответственностью "БАЙКАЛЬСКИЙ ЦЕНТР МНОГОПРОФИЛЬНОЙ МЕДИЦИНЫ"</t>
        </is>
      </c>
      <c r="C5035" s="13" t="n">
        <v>3811451754</v>
      </c>
      <c r="D5035" s="13" t="inlineStr">
        <is>
          <t>3811451754</t>
        </is>
      </c>
      <c r="E5035" s="13" t="inlineStr">
        <is>
          <t>ЮЛ РФ</t>
        </is>
      </c>
      <c r="F5035" s="13" t="n"/>
      <c r="G5035" s="52" t="n">
        <v>19</v>
      </c>
      <c r="H5035" s="52" t="n">
        <v>2025</v>
      </c>
      <c r="I5035" s="14" t="n"/>
      <c r="J5035" s="14" t="n"/>
      <c r="K5035" s="53" t="inlineStr">
        <is>
          <t>Нет</t>
        </is>
      </c>
      <c r="L5035" s="53" t="inlineStr">
        <is>
          <t>Не определено</t>
        </is>
      </c>
      <c r="M5035" s="53" t="inlineStr">
        <is>
          <t>До 25</t>
        </is>
      </c>
      <c r="N5035" s="54" t="n">
        <v>8400</v>
      </c>
      <c r="O5035" s="55" t="inlineStr">
        <is>
          <t>16–30</t>
        </is>
      </c>
      <c r="P5035" s="16" t="inlineStr">
        <is>
          <t>ССЧР обогащена; ОКВЭД не найден/не загружен</t>
        </is>
      </c>
      <c r="Q5035" s="16" t="inlineStr">
        <is>
          <t>ФНС открытые данные ССЧР (ДатаСост 31.12.2025; набор 7707329152-sshr2019)</t>
        </is>
      </c>
      <c r="R5035" s="16">
        <f>HYPERLINK("https://checko.ru/search?query=3801001629","Чекко: проверить")</f>
        <v/>
      </c>
      <c r="S5035" t="n">
        <v>1</v>
      </c>
      <c r="T5035" s="35" t="inlineStr">
        <is>
          <t>4 — Не обогащён</t>
        </is>
      </c>
      <c r="U5035" s="35" t="inlineStr">
        <is>
          <t>Нет ОКВЭД/ССЧР</t>
        </is>
      </c>
      <c r="V5035" s="35" t="inlineStr">
        <is>
          <t>Не определено</t>
        </is>
      </c>
      <c r="W5035" s="35" t="inlineStr">
        <is>
          <t>Нет</t>
        </is>
      </c>
      <c r="X5035" s="35" t="inlineStr"/>
    </row>
    <row r="5036" ht="15" customHeight="1" s="24">
      <c r="A5036" s="13" t="n">
        <v>800703373</v>
      </c>
      <c r="B5036" s="13" t="inlineStr">
        <is>
          <t>ИП Морева Екатерина Александровна</t>
        </is>
      </c>
      <c r="C5036" s="13" t="n">
        <v>380804624103</v>
      </c>
      <c r="D5036" s="13" t="inlineStr">
        <is>
          <t>380804624103</t>
        </is>
      </c>
      <c r="E5036" s="13" t="inlineStr">
        <is>
          <t>ИП РФ / физлицо</t>
        </is>
      </c>
      <c r="F5036" s="13" t="n"/>
      <c r="G5036" s="14" t="n"/>
      <c r="H5036" s="14" t="n"/>
      <c r="I5036" s="14" t="n"/>
      <c r="J5036" s="14" t="n"/>
      <c r="K5036" s="53" t="inlineStr"/>
      <c r="L5036" s="53" t="inlineStr">
        <is>
          <t>Не определено</t>
        </is>
      </c>
      <c r="M5036" s="53" t="inlineStr"/>
      <c r="N5036" s="54" t="inlineStr"/>
      <c r="O5036" s="55" t="inlineStr"/>
      <c r="P5036" s="16" t="inlineStr">
        <is>
          <t>Требует обогащения</t>
        </is>
      </c>
      <c r="Q5036" s="16">
        <f>HYPERLINK("https://pb.nalog.ru/search.html?query=380804624103","ФНС: проверить")</f>
        <v/>
      </c>
      <c r="R5036" s="16">
        <f>HYPERLINK("https://checko.ru/search?query=3801001629","Чекко: проверить")</f>
        <v/>
      </c>
      <c r="S5036" t="n">
        <v>1</v>
      </c>
      <c r="T5036" s="35" t="inlineStr">
        <is>
          <t>4 — Не обогащён</t>
        </is>
      </c>
      <c r="U5036" s="35" t="inlineStr">
        <is>
          <t>Нет ОКВЭД/ССЧР</t>
        </is>
      </c>
      <c r="V5036" s="35" t="inlineStr">
        <is>
          <t>Не определено</t>
        </is>
      </c>
      <c r="W5036" s="35" t="inlineStr"/>
      <c r="X5036" s="35" t="inlineStr"/>
    </row>
    <row r="5037" ht="27.75" customHeight="1" s="24">
      <c r="A5037" s="13" t="n">
        <v>801612949</v>
      </c>
      <c r="B5037" s="13" t="inlineStr">
        <is>
          <t>ОБЩЕСТВО С ОГРАНИЧЕННОЙ ОТВЕТСТВЕННОСТЬЮ "СЕВЕРСНАБ"</t>
        </is>
      </c>
      <c r="C5037" s="13" t="n">
        <v>3818030593</v>
      </c>
      <c r="D5037" s="13" t="inlineStr">
        <is>
          <t>3818030593</t>
        </is>
      </c>
      <c r="E5037" s="13" t="inlineStr">
        <is>
          <t>ЮЛ РФ</t>
        </is>
      </c>
      <c r="F5037" s="13" t="n"/>
      <c r="G5037" s="52" t="n">
        <v>3</v>
      </c>
      <c r="H5037" s="52" t="n">
        <v>2025</v>
      </c>
      <c r="I5037" s="14" t="n"/>
      <c r="J5037" s="14" t="n"/>
      <c r="K5037" s="53" t="inlineStr">
        <is>
          <t>Нет</t>
        </is>
      </c>
      <c r="L5037" s="53" t="inlineStr">
        <is>
          <t>Не определено</t>
        </is>
      </c>
      <c r="M5037" s="53" t="inlineStr">
        <is>
          <t>До 10</t>
        </is>
      </c>
      <c r="N5037" s="54" t="n">
        <v>3360</v>
      </c>
      <c r="O5037" s="55" t="inlineStr">
        <is>
          <t>1–15</t>
        </is>
      </c>
      <c r="P5037" s="16" t="inlineStr">
        <is>
          <t>ССЧР обогащена; ОКВЭД не найден/не загружен</t>
        </is>
      </c>
      <c r="Q5037" s="16" t="inlineStr">
        <is>
          <t>ФНС открытые данные ССЧР (ДатаСост 31.12.2025; набор 7707329152-sshr2019)</t>
        </is>
      </c>
      <c r="R5037" s="16">
        <f>HYPERLINK("https://checko.ru/search?query=3801001629","Чекко: проверить")</f>
        <v/>
      </c>
      <c r="S5037" t="n">
        <v>1</v>
      </c>
      <c r="T5037" s="35" t="inlineStr">
        <is>
          <t>4 — Не обогащён</t>
        </is>
      </c>
      <c r="U5037" s="35" t="inlineStr">
        <is>
          <t>Нет ОКВЭД/ССЧР</t>
        </is>
      </c>
      <c r="V5037" s="35" t="inlineStr">
        <is>
          <t>Не определено</t>
        </is>
      </c>
      <c r="W5037" s="35" t="inlineStr">
        <is>
          <t>Нет</t>
        </is>
      </c>
      <c r="X5037" s="35" t="inlineStr"/>
    </row>
    <row r="5038" ht="15" customHeight="1" s="24">
      <c r="A5038" s="13" t="n">
        <v>9387112</v>
      </c>
      <c r="B5038" s="13" t="inlineStr">
        <is>
          <t>ИП Гусев Владислав Анатольевич</t>
        </is>
      </c>
      <c r="C5038" s="13" t="n">
        <v>381000281627</v>
      </c>
      <c r="D5038" s="13" t="inlineStr">
        <is>
          <t>381000281627</t>
        </is>
      </c>
      <c r="E5038" s="13" t="inlineStr">
        <is>
          <t>ИП РФ / физлицо</t>
        </is>
      </c>
      <c r="F5038" s="13" t="n"/>
      <c r="G5038" s="14" t="n"/>
      <c r="H5038" s="14" t="n"/>
      <c r="I5038" s="14" t="n"/>
      <c r="J5038" s="14" t="n"/>
      <c r="K5038" s="53" t="inlineStr"/>
      <c r="L5038" s="53" t="inlineStr">
        <is>
          <t>Не определено</t>
        </is>
      </c>
      <c r="M5038" s="53" t="inlineStr"/>
      <c r="N5038" s="54" t="inlineStr"/>
      <c r="O5038" s="55" t="inlineStr"/>
      <c r="P5038" s="16" t="inlineStr">
        <is>
          <t>Требует обогащения</t>
        </is>
      </c>
      <c r="Q5038" s="16">
        <f>HYPERLINK("https://pb.nalog.ru/search.html?query=381000281627","ФНС: проверить")</f>
        <v/>
      </c>
      <c r="R5038" s="16">
        <f>HYPERLINK("https://checko.ru/search?query=3801001629","Чекко: проверить")</f>
        <v/>
      </c>
      <c r="S5038" t="n">
        <v>1</v>
      </c>
      <c r="T5038" s="35" t="inlineStr">
        <is>
          <t>4 — Не обогащён</t>
        </is>
      </c>
      <c r="U5038" s="35" t="inlineStr">
        <is>
          <t>Нет ОКВЭД/ССЧР</t>
        </is>
      </c>
      <c r="V5038" s="35" t="inlineStr">
        <is>
          <t>Не определено</t>
        </is>
      </c>
      <c r="W5038" s="35" t="inlineStr"/>
      <c r="X5038" s="35" t="inlineStr"/>
    </row>
    <row r="5039" ht="15" customHeight="1" s="24">
      <c r="A5039" s="13" t="n">
        <v>800469192</v>
      </c>
      <c r="B5039" s="13" t="inlineStr">
        <is>
          <t>ООО "Иркутскслюда"</t>
        </is>
      </c>
      <c r="C5039" s="13" t="n">
        <v>3808238634</v>
      </c>
      <c r="D5039" s="13" t="inlineStr">
        <is>
          <t>3808238634</t>
        </is>
      </c>
      <c r="E5039" s="13" t="inlineStr">
        <is>
          <t>ЮЛ РФ</t>
        </is>
      </c>
      <c r="F5039" s="13" t="n"/>
      <c r="G5039" s="52" t="n">
        <v>27</v>
      </c>
      <c r="H5039" s="52" t="n">
        <v>2025</v>
      </c>
      <c r="I5039" s="52" t="inlineStr">
        <is>
          <t>68.32</t>
        </is>
      </c>
      <c r="J5039" s="52" t="inlineStr">
        <is>
          <t>68.32; 23.99.6; 25.92; 25.93; 27.51; 46.18; 68.20; 68.31.12; 68.31.22; 68.31.32; 68.31.42; 68.32.2; 82.99</t>
        </is>
      </c>
      <c r="K5039" s="53" t="inlineStr">
        <is>
          <t>Да</t>
        </is>
      </c>
      <c r="L5039" s="53" t="inlineStr">
        <is>
          <t>Да</t>
        </is>
      </c>
      <c r="M5039" s="53" t="inlineStr">
        <is>
          <t>До 50</t>
        </is>
      </c>
      <c r="N5039" s="54" t="n">
        <v>16800</v>
      </c>
      <c r="O5039" s="55" t="inlineStr">
        <is>
          <t>16–30</t>
        </is>
      </c>
      <c r="P5039" s="16" t="inlineStr">
        <is>
          <t>ССЧР + ОКВЭД обогащены</t>
        </is>
      </c>
      <c r="Q5039" s="16" t="inlineStr">
        <is>
          <t>ФНС открытые данные ССЧР (ДатаСост 31.12.2025; набор 7707329152-sshr2019)</t>
        </is>
      </c>
      <c r="R5039" s="16" t="inlineStr">
        <is>
          <t>ЕГРЮЛ / egrul.nalog.ru (выписка)</t>
        </is>
      </c>
      <c r="S5039" t="n">
        <v>1</v>
      </c>
      <c r="T5039" s="35" t="inlineStr">
        <is>
          <t>1 — Горячий</t>
        </is>
      </c>
      <c r="U5039" s="35" t="inlineStr">
        <is>
          <t>ОКВЭД + 22+</t>
        </is>
      </c>
      <c r="V5039" s="35" t="inlineStr">
        <is>
          <t>Да</t>
        </is>
      </c>
      <c r="W5039" s="35" t="inlineStr">
        <is>
          <t>Да</t>
        </is>
      </c>
      <c r="X5039" s="35" t="inlineStr">
        <is>
          <t>Да</t>
        </is>
      </c>
    </row>
    <row r="5040" ht="15" customHeight="1" s="24">
      <c r="A5040" s="13" t="n">
        <v>800454236</v>
      </c>
      <c r="B5040" s="13" t="inlineStr">
        <is>
          <t>ООО Управляющая компания «ИлимСервис»</t>
        </is>
      </c>
      <c r="C5040" s="13" t="n">
        <v>3834015987</v>
      </c>
      <c r="D5040" s="13" t="inlineStr">
        <is>
          <t>3834015987</t>
        </is>
      </c>
      <c r="E5040" s="13" t="inlineStr">
        <is>
          <t>ЮЛ РФ</t>
        </is>
      </c>
      <c r="F5040" s="13" t="n"/>
      <c r="G5040" s="52" t="n">
        <v>24</v>
      </c>
      <c r="H5040" s="52" t="n">
        <v>2025</v>
      </c>
      <c r="I5040" s="52" t="inlineStr">
        <is>
          <t>68.32</t>
        </is>
      </c>
      <c r="J5040" s="52" t="inlineStr">
        <is>
          <t>68.32; 52.21.24; 81.22; 81.29.9</t>
        </is>
      </c>
      <c r="K5040" s="53" t="inlineStr">
        <is>
          <t>Да</t>
        </is>
      </c>
      <c r="L5040" s="53" t="inlineStr">
        <is>
          <t>Да</t>
        </is>
      </c>
      <c r="M5040" s="53" t="inlineStr">
        <is>
          <t>До 25</t>
        </is>
      </c>
      <c r="N5040" s="54" t="n">
        <v>8400</v>
      </c>
      <c r="O5040" s="55" t="inlineStr">
        <is>
          <t>16–30</t>
        </is>
      </c>
      <c r="P5040" s="16" t="inlineStr">
        <is>
          <t>ССЧР + ОКВЭД обогащены</t>
        </is>
      </c>
      <c r="Q5040" s="16" t="inlineStr">
        <is>
          <t>ФНС открытые данные ССЧР (ДатаСост 31.12.2025; набор 7707329152-sshr2019)</t>
        </is>
      </c>
      <c r="R5040" s="16" t="inlineStr">
        <is>
          <t>ЕГРЮЛ / egrul.nalog.ru (выписка)</t>
        </is>
      </c>
      <c r="S5040" t="n">
        <v>1</v>
      </c>
      <c r="T5040" s="35" t="inlineStr">
        <is>
          <t>1 — Горячий</t>
        </is>
      </c>
      <c r="U5040" s="35" t="inlineStr">
        <is>
          <t>ОКВЭД + 22+</t>
        </is>
      </c>
      <c r="V5040" s="35" t="inlineStr">
        <is>
          <t>Да</t>
        </is>
      </c>
      <c r="W5040" s="35" t="inlineStr">
        <is>
          <t>Да</t>
        </is>
      </c>
      <c r="X5040" s="35" t="inlineStr">
        <is>
          <t>Да</t>
        </is>
      </c>
    </row>
    <row r="5041" ht="15" customHeight="1" s="24">
      <c r="A5041" s="13" t="n">
        <v>800581392</v>
      </c>
      <c r="B5041" s="13" t="inlineStr">
        <is>
          <t>ООО «Лексис Мет»</t>
        </is>
      </c>
      <c r="C5041" s="13" t="n">
        <v>3849016310</v>
      </c>
      <c r="D5041" s="13" t="inlineStr">
        <is>
          <t>3849016310</t>
        </is>
      </c>
      <c r="E5041" s="13" t="inlineStr">
        <is>
          <t>ЮЛ РФ</t>
        </is>
      </c>
      <c r="F5041" s="13" t="n"/>
      <c r="G5041" s="52" t="n">
        <v>2</v>
      </c>
      <c r="H5041" s="52" t="n">
        <v>2025</v>
      </c>
      <c r="I5041" s="14" t="n"/>
      <c r="J5041" s="14" t="n"/>
      <c r="K5041" s="53" t="inlineStr">
        <is>
          <t>Нет</t>
        </is>
      </c>
      <c r="L5041" s="53" t="inlineStr">
        <is>
          <t>Не определено</t>
        </is>
      </c>
      <c r="M5041" s="53" t="inlineStr">
        <is>
          <t>До 10</t>
        </is>
      </c>
      <c r="N5041" s="54" t="n">
        <v>3360</v>
      </c>
      <c r="O5041" s="55" t="inlineStr">
        <is>
          <t>1–15</t>
        </is>
      </c>
      <c r="P5041" s="16" t="inlineStr">
        <is>
          <t>ССЧР обогащена; ОКВЭД не найден/не загружен</t>
        </is>
      </c>
      <c r="Q5041" s="16" t="inlineStr">
        <is>
          <t>ФНС открытые данные ССЧР (ДатаСост 31.12.2025; набор 7707329152-sshr2019)</t>
        </is>
      </c>
      <c r="R5041" s="16">
        <f>HYPERLINK("https://checko.ru/search?query=3801001629","Чекко: проверить")</f>
        <v/>
      </c>
      <c r="S5041" t="n">
        <v>1</v>
      </c>
      <c r="T5041" s="35" t="inlineStr">
        <is>
          <t>4 — Не обогащён</t>
        </is>
      </c>
      <c r="U5041" s="35" t="inlineStr">
        <is>
          <t>Нет ОКВЭД/ССЧР</t>
        </is>
      </c>
      <c r="V5041" s="35" t="inlineStr">
        <is>
          <t>Не определено</t>
        </is>
      </c>
      <c r="W5041" s="35" t="inlineStr">
        <is>
          <t>Нет</t>
        </is>
      </c>
      <c r="X5041" s="35" t="inlineStr"/>
    </row>
    <row r="5042" ht="15" customHeight="1" s="24">
      <c r="A5042" s="13" t="n">
        <v>800447922</v>
      </c>
      <c r="B5042" s="13" t="inlineStr">
        <is>
          <t>ООО "ЦЕНТР-ШЕЛЕХОВ"</t>
        </is>
      </c>
      <c r="C5042" s="13" t="n">
        <v>3810064858</v>
      </c>
      <c r="D5042" s="13" t="inlineStr">
        <is>
          <t>3810064858</t>
        </is>
      </c>
      <c r="E5042" s="13" t="inlineStr">
        <is>
          <t>ЮЛ РФ</t>
        </is>
      </c>
      <c r="F5042" s="13" t="n"/>
      <c r="G5042" s="52" t="n">
        <v>63</v>
      </c>
      <c r="H5042" s="52" t="n">
        <v>2025</v>
      </c>
      <c r="I5042" s="52" t="inlineStr">
        <is>
          <t>68.32.1</t>
        </is>
      </c>
      <c r="J5042" s="52" t="inlineStr">
        <is>
          <t>68.32.1; 68.32.2</t>
        </is>
      </c>
      <c r="K5042" s="53" t="inlineStr">
        <is>
          <t>Да</t>
        </is>
      </c>
      <c r="L5042" s="53" t="inlineStr">
        <is>
          <t>Да</t>
        </is>
      </c>
      <c r="M5042" s="53" t="inlineStr">
        <is>
          <t>До 100</t>
        </is>
      </c>
      <c r="N5042" s="54" t="n">
        <v>33600</v>
      </c>
      <c r="O5042" s="55" t="inlineStr">
        <is>
          <t>51–100</t>
        </is>
      </c>
      <c r="P5042" s="16" t="inlineStr">
        <is>
          <t>ССЧР + ОКВЭД обогащены</t>
        </is>
      </c>
      <c r="Q5042" s="16" t="inlineStr">
        <is>
          <t>ФНС открытые данные ССЧР (ДатаСост 31.12.2025; набор 7707329152-sshr2019)</t>
        </is>
      </c>
      <c r="R5042" s="16" t="inlineStr">
        <is>
          <t>ЕГРЮЛ / egrul.nalog.ru (выписка)</t>
        </is>
      </c>
      <c r="S5042" t="n">
        <v>1</v>
      </c>
      <c r="T5042" s="35" t="inlineStr">
        <is>
          <t>1 — Горячий</t>
        </is>
      </c>
      <c r="U5042" s="35" t="inlineStr">
        <is>
          <t>ОКВЭД + 22+</t>
        </is>
      </c>
      <c r="V5042" s="35" t="inlineStr">
        <is>
          <t>Да</t>
        </is>
      </c>
      <c r="W5042" s="35" t="inlineStr">
        <is>
          <t>Да</t>
        </is>
      </c>
      <c r="X5042" s="35" t="inlineStr">
        <is>
          <t>Да</t>
        </is>
      </c>
    </row>
    <row r="5043" ht="15" customHeight="1" s="24">
      <c r="A5043" s="13" t="n">
        <v>801605893</v>
      </c>
      <c r="B5043" s="13" t="inlineStr">
        <is>
          <t>ООО "АРКАД"</t>
        </is>
      </c>
      <c r="C5043" s="13" t="n">
        <v>3849108546</v>
      </c>
      <c r="D5043" s="13" t="inlineStr">
        <is>
          <t>3849108546</t>
        </is>
      </c>
      <c r="E5043" s="13" t="inlineStr">
        <is>
          <t>ЮЛ РФ</t>
        </is>
      </c>
      <c r="F5043" s="13" t="n"/>
      <c r="G5043" s="52" t="n">
        <v>0</v>
      </c>
      <c r="H5043" s="52" t="n">
        <v>2025</v>
      </c>
      <c r="I5043" s="14" t="n"/>
      <c r="J5043" s="14" t="n"/>
      <c r="K5043" s="53" t="inlineStr">
        <is>
          <t>Нет</t>
        </is>
      </c>
      <c r="L5043" s="53" t="inlineStr">
        <is>
          <t>Не определено</t>
        </is>
      </c>
      <c r="M5043" s="53" t="inlineStr">
        <is>
          <t>До 10</t>
        </is>
      </c>
      <c r="N5043" s="54" t="n">
        <v>3360</v>
      </c>
      <c r="O5043" s="55" t="inlineStr">
        <is>
          <t>1–15</t>
        </is>
      </c>
      <c r="P5043" s="16" t="inlineStr">
        <is>
          <t>ССЧР обогащена; ОКВЭД не найден/не загружен</t>
        </is>
      </c>
      <c r="Q5043" s="16" t="inlineStr">
        <is>
          <t>ФНС открытые данные ССЧР (ДатаСост 31.12.2025; набор 7707329152-sshr2019)</t>
        </is>
      </c>
      <c r="R5043" s="16">
        <f>HYPERLINK("https://checko.ru/search?query=3801001629","Чекко: проверить")</f>
        <v/>
      </c>
      <c r="S5043" t="n">
        <v>1</v>
      </c>
      <c r="T5043" s="35" t="inlineStr">
        <is>
          <t>4 — Не обогащён</t>
        </is>
      </c>
      <c r="U5043" s="35" t="inlineStr">
        <is>
          <t>Нет ОКВЭД/ССЧР</t>
        </is>
      </c>
      <c r="V5043" s="35" t="inlineStr">
        <is>
          <t>Не определено</t>
        </is>
      </c>
      <c r="W5043" s="35" t="inlineStr">
        <is>
          <t>Нет</t>
        </is>
      </c>
      <c r="X5043" s="35" t="inlineStr"/>
    </row>
    <row r="5044" ht="15" customHeight="1" s="24">
      <c r="A5044" s="13" t="n">
        <v>800591679</v>
      </c>
      <c r="B5044" s="13" t="inlineStr">
        <is>
          <t>ООО "Тех-индустрия"</t>
        </is>
      </c>
      <c r="C5044" s="13" t="n">
        <v>3811131659</v>
      </c>
      <c r="D5044" s="13" t="inlineStr">
        <is>
          <t>3811131659</t>
        </is>
      </c>
      <c r="E5044" s="13" t="inlineStr">
        <is>
          <t>ЮЛ РФ</t>
        </is>
      </c>
      <c r="F5044" s="13" t="n"/>
      <c r="G5044" s="52" t="n">
        <v>5</v>
      </c>
      <c r="H5044" s="52" t="n">
        <v>2025</v>
      </c>
      <c r="I5044" s="14" t="n"/>
      <c r="J5044" s="14" t="n"/>
      <c r="K5044" s="53" t="inlineStr">
        <is>
          <t>Нет</t>
        </is>
      </c>
      <c r="L5044" s="53" t="inlineStr">
        <is>
          <t>Не определено</t>
        </is>
      </c>
      <c r="M5044" s="53" t="inlineStr">
        <is>
          <t>До 10</t>
        </is>
      </c>
      <c r="N5044" s="54" t="n">
        <v>3360</v>
      </c>
      <c r="O5044" s="55" t="inlineStr">
        <is>
          <t>1–15</t>
        </is>
      </c>
      <c r="P5044" s="16" t="inlineStr">
        <is>
          <t>ССЧР обогащена; ОКВЭД не найден/не загружен</t>
        </is>
      </c>
      <c r="Q5044" s="16" t="inlineStr">
        <is>
          <t>ФНС открытые данные ССЧР (ДатаСост 31.12.2025; набор 7707329152-sshr2019)</t>
        </is>
      </c>
      <c r="R5044" s="16">
        <f>HYPERLINK("https://checko.ru/search?query=3801001629","Чекко: проверить")</f>
        <v/>
      </c>
      <c r="S5044" t="n">
        <v>1</v>
      </c>
      <c r="T5044" s="35" t="inlineStr">
        <is>
          <t>4 — Не обогащён</t>
        </is>
      </c>
      <c r="U5044" s="35" t="inlineStr">
        <is>
          <t>Нет ОКВЭД/ССЧР</t>
        </is>
      </c>
      <c r="V5044" s="35" t="inlineStr">
        <is>
          <t>Не определено</t>
        </is>
      </c>
      <c r="W5044" s="35" t="inlineStr">
        <is>
          <t>Нет</t>
        </is>
      </c>
      <c r="X5044" s="35" t="inlineStr"/>
    </row>
    <row r="5045" ht="15" customHeight="1" s="24">
      <c r="A5045" s="13" t="n">
        <v>20005738294</v>
      </c>
      <c r="B5045" s="13" t="inlineStr">
        <is>
          <t>ООО "ЭТАЛВЕС"</t>
        </is>
      </c>
      <c r="C5045" s="13" t="n">
        <v>3808076038</v>
      </c>
      <c r="D5045" s="13" t="inlineStr">
        <is>
          <t>3808076038</t>
        </is>
      </c>
      <c r="E5045" s="13" t="inlineStr">
        <is>
          <t>ЮЛ РФ</t>
        </is>
      </c>
      <c r="F5045" s="13" t="n"/>
      <c r="G5045" s="52" t="n">
        <v>3</v>
      </c>
      <c r="H5045" s="52" t="n">
        <v>2025</v>
      </c>
      <c r="I5045" s="14" t="n"/>
      <c r="J5045" s="14" t="n"/>
      <c r="K5045" s="53" t="inlineStr">
        <is>
          <t>Нет</t>
        </is>
      </c>
      <c r="L5045" s="53" t="inlineStr">
        <is>
          <t>Не определено</t>
        </is>
      </c>
      <c r="M5045" s="53" t="inlineStr">
        <is>
          <t>До 10</t>
        </is>
      </c>
      <c r="N5045" s="54" t="n">
        <v>3360</v>
      </c>
      <c r="O5045" s="55" t="inlineStr">
        <is>
          <t>1–15</t>
        </is>
      </c>
      <c r="P5045" s="16" t="inlineStr">
        <is>
          <t>ССЧР обогащена; ОКВЭД не найден/не загружен</t>
        </is>
      </c>
      <c r="Q5045" s="16" t="inlineStr">
        <is>
          <t>ФНС открытые данные ССЧР (ДатаСост 31.12.2025; набор 7707329152-sshr2019)</t>
        </is>
      </c>
      <c r="R5045" s="16">
        <f>HYPERLINK("https://checko.ru/search?query=3801001629","Чекко: проверить")</f>
        <v/>
      </c>
      <c r="S5045" t="n">
        <v>1</v>
      </c>
      <c r="T5045" s="35" t="inlineStr">
        <is>
          <t>4 — Не обогащён</t>
        </is>
      </c>
      <c r="U5045" s="35" t="inlineStr">
        <is>
          <t>Нет ОКВЭД/ССЧР</t>
        </is>
      </c>
      <c r="V5045" s="35" t="inlineStr">
        <is>
          <t>Не определено</t>
        </is>
      </c>
      <c r="W5045" s="35" t="inlineStr">
        <is>
          <t>Нет</t>
        </is>
      </c>
      <c r="X5045" s="35" t="inlineStr"/>
    </row>
    <row r="5046" ht="15" customHeight="1" s="24">
      <c r="A5046" s="13" t="n">
        <v>800490954</v>
      </c>
      <c r="B5046" s="13" t="inlineStr">
        <is>
          <t>ООО "МЕДИАЛ НА ЛЕНИНА"</t>
        </is>
      </c>
      <c r="C5046" s="13" t="n">
        <v>3808210389</v>
      </c>
      <c r="D5046" s="13" t="inlineStr">
        <is>
          <t>3808210389</t>
        </is>
      </c>
      <c r="E5046" s="13" t="inlineStr">
        <is>
          <t>ЮЛ РФ</t>
        </is>
      </c>
      <c r="F5046" s="13" t="n"/>
      <c r="G5046" s="52" t="n">
        <v>10</v>
      </c>
      <c r="H5046" s="52" t="n">
        <v>2025</v>
      </c>
      <c r="I5046" s="14" t="n"/>
      <c r="J5046" s="14" t="n"/>
      <c r="K5046" s="53" t="inlineStr">
        <is>
          <t>Нет</t>
        </is>
      </c>
      <c r="L5046" s="53" t="inlineStr">
        <is>
          <t>Не определено</t>
        </is>
      </c>
      <c r="M5046" s="53" t="inlineStr">
        <is>
          <t>До 10</t>
        </is>
      </c>
      <c r="N5046" s="54" t="n">
        <v>3360</v>
      </c>
      <c r="O5046" s="55" t="inlineStr">
        <is>
          <t>1–15</t>
        </is>
      </c>
      <c r="P5046" s="16" t="inlineStr">
        <is>
          <t>ССЧР обогащена; ОКВЭД не найден/не загружен</t>
        </is>
      </c>
      <c r="Q5046" s="16" t="inlineStr">
        <is>
          <t>ФНС открытые данные ССЧР (ДатаСост 31.12.2025; набор 7707329152-sshr2019)</t>
        </is>
      </c>
      <c r="R5046" s="16">
        <f>HYPERLINK("https://checko.ru/search?query=3801001629","Чекко: проверить")</f>
        <v/>
      </c>
      <c r="S5046" t="n">
        <v>1</v>
      </c>
      <c r="T5046" s="35" t="inlineStr">
        <is>
          <t>4 — Не обогащён</t>
        </is>
      </c>
      <c r="U5046" s="35" t="inlineStr">
        <is>
          <t>Нет ОКВЭД/ССЧР</t>
        </is>
      </c>
      <c r="V5046" s="35" t="inlineStr">
        <is>
          <t>Не определено</t>
        </is>
      </c>
      <c r="W5046" s="35" t="inlineStr">
        <is>
          <t>Нет</t>
        </is>
      </c>
      <c r="X5046" s="35" t="inlineStr"/>
    </row>
    <row r="5047" ht="15" customHeight="1" s="24">
      <c r="A5047" s="13" t="n">
        <v>9827922</v>
      </c>
      <c r="B5047" s="13" t="inlineStr">
        <is>
          <t>ООО "Торговый Дом "ВСПК+"</t>
        </is>
      </c>
      <c r="C5047" s="13" t="n">
        <v>3849032985</v>
      </c>
      <c r="D5047" s="13" t="inlineStr">
        <is>
          <t>3849032985</t>
        </is>
      </c>
      <c r="E5047" s="13" t="inlineStr">
        <is>
          <t>ЮЛ РФ</t>
        </is>
      </c>
      <c r="F5047" s="13" t="n"/>
      <c r="G5047" s="52" t="n">
        <v>3</v>
      </c>
      <c r="H5047" s="52" t="n">
        <v>2025</v>
      </c>
      <c r="I5047" s="14" t="n"/>
      <c r="J5047" s="14" t="n"/>
      <c r="K5047" s="53" t="inlineStr">
        <is>
          <t>Нет</t>
        </is>
      </c>
      <c r="L5047" s="53" t="inlineStr">
        <is>
          <t>Не определено</t>
        </is>
      </c>
      <c r="M5047" s="53" t="inlineStr">
        <is>
          <t>До 10</t>
        </is>
      </c>
      <c r="N5047" s="54" t="n">
        <v>3360</v>
      </c>
      <c r="O5047" s="55" t="inlineStr">
        <is>
          <t>1–15</t>
        </is>
      </c>
      <c r="P5047" s="16" t="inlineStr">
        <is>
          <t>ССЧР обогащена; ОКВЭД не найден/не загружен</t>
        </is>
      </c>
      <c r="Q5047" s="16" t="inlineStr">
        <is>
          <t>ФНС открытые данные ССЧР (ДатаСост 31.12.2025; набор 7707329152-sshr2019)</t>
        </is>
      </c>
      <c r="R5047" s="16">
        <f>HYPERLINK("https://checko.ru/search?query=3801001629","Чекко: проверить")</f>
        <v/>
      </c>
      <c r="S5047" t="n">
        <v>1</v>
      </c>
      <c r="T5047" s="35" t="inlineStr">
        <is>
          <t>4 — Не обогащён</t>
        </is>
      </c>
      <c r="U5047" s="35" t="inlineStr">
        <is>
          <t>Нет ОКВЭД/ССЧР</t>
        </is>
      </c>
      <c r="V5047" s="35" t="inlineStr">
        <is>
          <t>Не определено</t>
        </is>
      </c>
      <c r="W5047" s="35" t="inlineStr">
        <is>
          <t>Нет</t>
        </is>
      </c>
      <c r="X5047" s="35" t="inlineStr"/>
    </row>
    <row r="5048" ht="15" customHeight="1" s="24">
      <c r="A5048" s="13" t="n">
        <v>800538469</v>
      </c>
      <c r="B5048" s="13" t="inlineStr">
        <is>
          <t>ООО "Косандра"</t>
        </is>
      </c>
      <c r="C5048" s="13" t="n">
        <v>3802010802</v>
      </c>
      <c r="D5048" s="13" t="inlineStr">
        <is>
          <t>3802010802</t>
        </is>
      </c>
      <c r="E5048" s="13" t="inlineStr">
        <is>
          <t>ЮЛ РФ</t>
        </is>
      </c>
      <c r="F5048" s="13" t="n"/>
      <c r="G5048" s="52" t="n">
        <v>8</v>
      </c>
      <c r="H5048" s="52" t="n">
        <v>2025</v>
      </c>
      <c r="I5048" s="14" t="n"/>
      <c r="J5048" s="14" t="n"/>
      <c r="K5048" s="53" t="inlineStr">
        <is>
          <t>Нет</t>
        </is>
      </c>
      <c r="L5048" s="53" t="inlineStr">
        <is>
          <t>Не определено</t>
        </is>
      </c>
      <c r="M5048" s="53" t="inlineStr">
        <is>
          <t>До 10</t>
        </is>
      </c>
      <c r="N5048" s="54" t="n">
        <v>3360</v>
      </c>
      <c r="O5048" s="55" t="inlineStr">
        <is>
          <t>1–15</t>
        </is>
      </c>
      <c r="P5048" s="16" t="inlineStr">
        <is>
          <t>ССЧР обогащена; ОКВЭД не найден/не загружен</t>
        </is>
      </c>
      <c r="Q5048" s="16" t="inlineStr">
        <is>
          <t>ФНС открытые данные ССЧР (ДатаСост 31.12.2025; набор 7707329152-sshr2019)</t>
        </is>
      </c>
      <c r="R5048" s="16">
        <f>HYPERLINK("https://checko.ru/search?query=3801001629","Чекко: проверить")</f>
        <v/>
      </c>
      <c r="S5048" t="n">
        <v>1</v>
      </c>
      <c r="T5048" s="35" t="inlineStr">
        <is>
          <t>4 — Не обогащён</t>
        </is>
      </c>
      <c r="U5048" s="35" t="inlineStr">
        <is>
          <t>Нет ОКВЭД/ССЧР</t>
        </is>
      </c>
      <c r="V5048" s="35" t="inlineStr">
        <is>
          <t>Не определено</t>
        </is>
      </c>
      <c r="W5048" s="35" t="inlineStr">
        <is>
          <t>Нет</t>
        </is>
      </c>
      <c r="X5048" s="35" t="inlineStr"/>
    </row>
    <row r="5049" ht="15" customHeight="1" s="24">
      <c r="A5049" s="13" t="n">
        <v>800446519</v>
      </c>
      <c r="B5049" s="13" t="inlineStr">
        <is>
          <t>Алан</t>
        </is>
      </c>
      <c r="C5049" s="13" t="n">
        <v>1434026437</v>
      </c>
      <c r="D5049" s="13" t="inlineStr">
        <is>
          <t>1434026437</t>
        </is>
      </c>
      <c r="E5049" s="13" t="inlineStr">
        <is>
          <t>ЮЛ РФ</t>
        </is>
      </c>
      <c r="F5049" s="13" t="n"/>
      <c r="G5049" s="52" t="n">
        <v>3</v>
      </c>
      <c r="H5049" s="52" t="n">
        <v>2025</v>
      </c>
      <c r="I5049" s="14" t="n"/>
      <c r="J5049" s="14" t="n"/>
      <c r="K5049" s="53" t="inlineStr">
        <is>
          <t>Нет</t>
        </is>
      </c>
      <c r="L5049" s="53" t="inlineStr">
        <is>
          <t>Не определено</t>
        </is>
      </c>
      <c r="M5049" s="53" t="inlineStr">
        <is>
          <t>До 10</t>
        </is>
      </c>
      <c r="N5049" s="54" t="n">
        <v>3360</v>
      </c>
      <c r="O5049" s="55" t="inlineStr">
        <is>
          <t>1–15</t>
        </is>
      </c>
      <c r="P5049" s="16" t="inlineStr">
        <is>
          <t>ССЧР обогащена; ОКВЭД не найден/не загружен</t>
        </is>
      </c>
      <c r="Q5049" s="16" t="inlineStr">
        <is>
          <t>ФНС открытые данные ССЧР (ДатаСост 31.12.2025; набор 7707329152-sshr2019)</t>
        </is>
      </c>
      <c r="R5049" s="16">
        <f>HYPERLINK("https://checko.ru/search?query=3801001629","Чекко: проверить")</f>
        <v/>
      </c>
      <c r="S5049" t="n">
        <v>1</v>
      </c>
      <c r="T5049" s="35" t="inlineStr">
        <is>
          <t>4 — Не обогащён</t>
        </is>
      </c>
      <c r="U5049" s="35" t="inlineStr">
        <is>
          <t>Нет ОКВЭД/ССЧР</t>
        </is>
      </c>
      <c r="V5049" s="35" t="inlineStr">
        <is>
          <t>Не определено</t>
        </is>
      </c>
      <c r="W5049" s="35" t="inlineStr">
        <is>
          <t>Нет</t>
        </is>
      </c>
      <c r="X5049" s="35" t="inlineStr"/>
    </row>
    <row r="5050" ht="15" customHeight="1" s="24">
      <c r="A5050" s="13" t="n">
        <v>804524128</v>
      </c>
      <c r="B5050" s="13" t="inlineStr">
        <is>
          <t>Гаражный кооператив № 22 "Ангара"</t>
        </is>
      </c>
      <c r="C5050" s="13" t="n">
        <v>3810022960</v>
      </c>
      <c r="D5050" s="13" t="inlineStr">
        <is>
          <t>3810022960</t>
        </is>
      </c>
      <c r="E5050" s="13" t="inlineStr">
        <is>
          <t>ЮЛ РФ</t>
        </is>
      </c>
      <c r="F5050" s="13" t="n"/>
      <c r="G5050" s="14" t="n"/>
      <c r="H5050" s="14" t="n"/>
      <c r="I5050" s="14" t="n"/>
      <c r="J5050" s="14" t="n"/>
      <c r="K5050" s="53" t="inlineStr"/>
      <c r="L5050" s="53" t="inlineStr">
        <is>
          <t>Не определено</t>
        </is>
      </c>
      <c r="M5050" s="53" t="inlineStr"/>
      <c r="N5050" s="54" t="inlineStr"/>
      <c r="O5050" s="55" t="inlineStr"/>
      <c r="P5050" s="16" t="inlineStr">
        <is>
          <t>Требует обогащения</t>
        </is>
      </c>
      <c r="Q5050" s="16">
        <f>HYPERLINK("https://pb.nalog.ru/search.html?query=3810022960","ФНС: проверить")</f>
        <v/>
      </c>
      <c r="R5050" s="16">
        <f>HYPERLINK("https://checko.ru/search?query=3801001629","Чекко: проверить")</f>
        <v/>
      </c>
      <c r="S5050" t="n">
        <v>1</v>
      </c>
      <c r="T5050" s="35" t="inlineStr">
        <is>
          <t>4 — Не обогащён</t>
        </is>
      </c>
      <c r="U5050" s="35" t="inlineStr">
        <is>
          <t>Нет ОКВЭД/ССЧР</t>
        </is>
      </c>
      <c r="V5050" s="35" t="inlineStr">
        <is>
          <t>Не определено</t>
        </is>
      </c>
      <c r="W5050" s="35" t="inlineStr"/>
      <c r="X5050" s="35" t="inlineStr"/>
    </row>
    <row r="5051" ht="15" customHeight="1" s="24">
      <c r="A5051" s="13" t="n">
        <v>800764823</v>
      </c>
      <c r="B5051" s="13" t="inlineStr">
        <is>
          <t>ООО "ШИНТРЕЙД"</t>
        </is>
      </c>
      <c r="C5051" s="13" t="n">
        <v>3811444683</v>
      </c>
      <c r="D5051" s="13" t="inlineStr">
        <is>
          <t>3811444683</t>
        </is>
      </c>
      <c r="E5051" s="13" t="inlineStr">
        <is>
          <t>ЮЛ РФ</t>
        </is>
      </c>
      <c r="F5051" s="13" t="n"/>
      <c r="G5051" s="52" t="n">
        <v>4</v>
      </c>
      <c r="H5051" s="52" t="n">
        <v>2025</v>
      </c>
      <c r="I5051" s="14" t="n"/>
      <c r="J5051" s="14" t="n"/>
      <c r="K5051" s="53" t="inlineStr">
        <is>
          <t>Нет</t>
        </is>
      </c>
      <c r="L5051" s="53" t="inlineStr">
        <is>
          <t>Не определено</t>
        </is>
      </c>
      <c r="M5051" s="53" t="inlineStr">
        <is>
          <t>До 10</t>
        </is>
      </c>
      <c r="N5051" s="54" t="n">
        <v>3360</v>
      </c>
      <c r="O5051" s="55" t="inlineStr">
        <is>
          <t>1–15</t>
        </is>
      </c>
      <c r="P5051" s="16" t="inlineStr">
        <is>
          <t>ССЧР обогащена; ОКВЭД не найден/не загружен</t>
        </is>
      </c>
      <c r="Q5051" s="16" t="inlineStr">
        <is>
          <t>ФНС открытые данные ССЧР (ДатаСост 31.12.2025; набор 7707329152-sshr2019)</t>
        </is>
      </c>
      <c r="R5051" s="16">
        <f>HYPERLINK("https://checko.ru/search?query=3801001629","Чекко: проверить")</f>
        <v/>
      </c>
      <c r="S5051" t="n">
        <v>1</v>
      </c>
      <c r="T5051" s="35" t="inlineStr">
        <is>
          <t>4 — Не обогащён</t>
        </is>
      </c>
      <c r="U5051" s="35" t="inlineStr">
        <is>
          <t>Нет ОКВЭД/ССЧР</t>
        </is>
      </c>
      <c r="V5051" s="35" t="inlineStr">
        <is>
          <t>Не определено</t>
        </is>
      </c>
      <c r="W5051" s="35" t="inlineStr">
        <is>
          <t>Нет</t>
        </is>
      </c>
      <c r="X5051" s="35" t="inlineStr"/>
    </row>
    <row r="5052" ht="27.75" customHeight="1" s="24">
      <c r="A5052" s="13" t="n">
        <v>800429800</v>
      </c>
      <c r="B5052" s="13" t="inlineStr">
        <is>
          <t>Общество с ограниченной ответственностью "УЧЕТНЫЙ ЦЕНТР НОВЫЙ АЛГОРИТМ"</t>
        </is>
      </c>
      <c r="C5052" s="13" t="n">
        <v>3811464922</v>
      </c>
      <c r="D5052" s="13" t="inlineStr">
        <is>
          <t>3811464922</t>
        </is>
      </c>
      <c r="E5052" s="13" t="inlineStr">
        <is>
          <t>ЮЛ РФ</t>
        </is>
      </c>
      <c r="F5052" s="13" t="n"/>
      <c r="G5052" s="52" t="n">
        <v>15</v>
      </c>
      <c r="H5052" s="52" t="n">
        <v>2025</v>
      </c>
      <c r="I5052" s="14" t="n"/>
      <c r="J5052" s="14" t="n"/>
      <c r="K5052" s="53" t="inlineStr">
        <is>
          <t>Нет</t>
        </is>
      </c>
      <c r="L5052" s="53" t="inlineStr">
        <is>
          <t>Не определено</t>
        </is>
      </c>
      <c r="M5052" s="53" t="inlineStr">
        <is>
          <t>До 25</t>
        </is>
      </c>
      <c r="N5052" s="54" t="n">
        <v>8400</v>
      </c>
      <c r="O5052" s="55" t="inlineStr">
        <is>
          <t>1–15</t>
        </is>
      </c>
      <c r="P5052" s="16" t="inlineStr">
        <is>
          <t>ССЧР обогащена; ОКВЭД не найден/не загружен</t>
        </is>
      </c>
      <c r="Q5052" s="16" t="inlineStr">
        <is>
          <t>ФНС открытые данные ССЧР (ДатаСост 31.12.2025; набор 7707329152-sshr2019)</t>
        </is>
      </c>
      <c r="R5052" s="16">
        <f>HYPERLINK("https://checko.ru/search?query=3801001629","Чекко: проверить")</f>
        <v/>
      </c>
      <c r="S5052" t="n">
        <v>1</v>
      </c>
      <c r="T5052" s="35" t="inlineStr">
        <is>
          <t>4 — Не обогащён</t>
        </is>
      </c>
      <c r="U5052" s="35" t="inlineStr">
        <is>
          <t>Нет ОКВЭД/ССЧР</t>
        </is>
      </c>
      <c r="V5052" s="35" t="inlineStr">
        <is>
          <t>Не определено</t>
        </is>
      </c>
      <c r="W5052" s="35" t="inlineStr">
        <is>
          <t>Нет</t>
        </is>
      </c>
      <c r="X5052" s="35" t="inlineStr"/>
    </row>
    <row r="5053" ht="15" customHeight="1" s="24">
      <c r="A5053" s="13" t="n">
        <v>9183598</v>
      </c>
      <c r="B5053" s="13" t="inlineStr">
        <is>
          <t>АО "Энергетические технологии"</t>
        </is>
      </c>
      <c r="C5053" s="13" t="n">
        <v>3812082002</v>
      </c>
      <c r="D5053" s="13" t="inlineStr">
        <is>
          <t>3812082002</t>
        </is>
      </c>
      <c r="E5053" s="13" t="inlineStr">
        <is>
          <t>ЮЛ РФ</t>
        </is>
      </c>
      <c r="F5053" s="13" t="n"/>
      <c r="G5053" s="52" t="n">
        <v>47</v>
      </c>
      <c r="H5053" s="52" t="n">
        <v>2025</v>
      </c>
      <c r="I5053" s="52" t="inlineStr">
        <is>
          <t>46.69</t>
        </is>
      </c>
      <c r="J5053" s="52" t="inlineStr">
        <is>
          <t>46.69; 25.11; 25.12; 25.61; 25.62; 27.12; 33.14; 33.20; 42.21; 42.22; 43.12; 43.21; 43.22; 43.29; 43.99; 58.19</t>
        </is>
      </c>
      <c r="K5053" s="53" t="inlineStr">
        <is>
          <t>Да</t>
        </is>
      </c>
      <c r="L5053" s="53" t="inlineStr">
        <is>
          <t>Да</t>
        </is>
      </c>
      <c r="M5053" s="53" t="inlineStr">
        <is>
          <t>До 50</t>
        </is>
      </c>
      <c r="N5053" s="54" t="n">
        <v>16800</v>
      </c>
      <c r="O5053" s="55" t="inlineStr">
        <is>
          <t>31–50</t>
        </is>
      </c>
      <c r="P5053" s="16" t="inlineStr">
        <is>
          <t>ССЧР + ОКВЭД обогащены</t>
        </is>
      </c>
      <c r="Q5053" s="16" t="inlineStr">
        <is>
          <t>ФНС открытые данные ССЧР (ДатаСост 31.12.2025; набор 7707329152-sshr2019)</t>
        </is>
      </c>
      <c r="R5053" s="16" t="inlineStr">
        <is>
          <t>ЕГРЮЛ / egrul.nalog.ru (выписка)</t>
        </is>
      </c>
      <c r="S5053" t="n">
        <v>1</v>
      </c>
      <c r="T5053" s="35" t="inlineStr">
        <is>
          <t>1 — Горячий</t>
        </is>
      </c>
      <c r="U5053" s="35" t="inlineStr">
        <is>
          <t>ОКВЭД + 22+</t>
        </is>
      </c>
      <c r="V5053" s="35" t="inlineStr">
        <is>
          <t>Да</t>
        </is>
      </c>
      <c r="W5053" s="35" t="inlineStr">
        <is>
          <t>Да</t>
        </is>
      </c>
      <c r="X5053" s="35" t="inlineStr">
        <is>
          <t>Да</t>
        </is>
      </c>
    </row>
    <row r="5054" ht="15" customHeight="1" s="24">
      <c r="A5054" s="13" t="n">
        <v>802315307</v>
      </c>
      <c r="B5054" s="13" t="inlineStr">
        <is>
          <t>ООО "БЭМЗ"</t>
        </is>
      </c>
      <c r="C5054" s="13" t="n">
        <v>3810059953</v>
      </c>
      <c r="D5054" s="13" t="inlineStr">
        <is>
          <t>3810059953</t>
        </is>
      </c>
      <c r="E5054" s="13" t="inlineStr">
        <is>
          <t>ЮЛ РФ</t>
        </is>
      </c>
      <c r="F5054" s="13" t="n"/>
      <c r="G5054" s="52" t="n">
        <v>75</v>
      </c>
      <c r="H5054" s="52" t="n">
        <v>2025</v>
      </c>
      <c r="I5054" s="52" t="inlineStr">
        <is>
          <t>25.11</t>
        </is>
      </c>
      <c r="J5054" s="52" t="inlineStr">
        <is>
          <t>25.11; 16.23; 16.24; 20.12; 20.30; 24.33; 25.12; 25.61; 25.62; 25.99; 27.12; 27.90; 28.29; 35.11; 35.13; 41.20; 43.21; 43.22; 43.29; 43.91; 43.99; 43.99.1; 46.69; 46.73; 46.90; 47.52; 71.12.5; 71.12.6; 72.19</t>
        </is>
      </c>
      <c r="K5054" s="53" t="inlineStr">
        <is>
          <t>Да</t>
        </is>
      </c>
      <c r="L5054" s="53" t="inlineStr">
        <is>
          <t>Да</t>
        </is>
      </c>
      <c r="M5054" s="53" t="inlineStr">
        <is>
          <t>До 100</t>
        </is>
      </c>
      <c r="N5054" s="54" t="n">
        <v>33600</v>
      </c>
      <c r="O5054" s="55" t="inlineStr">
        <is>
          <t>51–100</t>
        </is>
      </c>
      <c r="P5054" s="16" t="inlineStr">
        <is>
          <t>ССЧР + ОКВЭД обогащены</t>
        </is>
      </c>
      <c r="Q5054" s="16" t="inlineStr">
        <is>
          <t>ФНС открытые данные ССЧР (ДатаСост 31.12.2025; набор 7707329152-sshr2019)</t>
        </is>
      </c>
      <c r="R5054" s="16" t="inlineStr">
        <is>
          <t>ЕГРЮЛ / egrul.nalog.ru (выписка)</t>
        </is>
      </c>
      <c r="S5054" t="n">
        <v>1</v>
      </c>
      <c r="T5054" s="35" t="inlineStr">
        <is>
          <t>1 — Горячий</t>
        </is>
      </c>
      <c r="U5054" s="35" t="inlineStr">
        <is>
          <t>ОКВЭД + 22+</t>
        </is>
      </c>
      <c r="V5054" s="35" t="inlineStr">
        <is>
          <t>Да</t>
        </is>
      </c>
      <c r="W5054" s="35" t="inlineStr">
        <is>
          <t>Да</t>
        </is>
      </c>
      <c r="X5054" s="35" t="inlineStr">
        <is>
          <t>Да</t>
        </is>
      </c>
    </row>
    <row r="5055" ht="15" customHeight="1" s="24">
      <c r="A5055" s="13" t="n">
        <v>800546883</v>
      </c>
      <c r="B5055" s="13" t="inlineStr">
        <is>
          <t>ООО ТСК "ЭЛИТСТРОЙ"</t>
        </is>
      </c>
      <c r="C5055" s="13" t="n">
        <v>3811072146</v>
      </c>
      <c r="D5055" s="13" t="inlineStr">
        <is>
          <t>3811072146</t>
        </is>
      </c>
      <c r="E5055" s="13" t="inlineStr">
        <is>
          <t>ЮЛ РФ</t>
        </is>
      </c>
      <c r="F5055" s="13" t="n"/>
      <c r="G5055" s="52" t="n">
        <v>6</v>
      </c>
      <c r="H5055" s="52" t="n">
        <v>2025</v>
      </c>
      <c r="I5055" s="14" t="n"/>
      <c r="J5055" s="14" t="n"/>
      <c r="K5055" s="53" t="inlineStr">
        <is>
          <t>Нет</t>
        </is>
      </c>
      <c r="L5055" s="53" t="inlineStr">
        <is>
          <t>Не определено</t>
        </is>
      </c>
      <c r="M5055" s="53" t="inlineStr">
        <is>
          <t>До 10</t>
        </is>
      </c>
      <c r="N5055" s="54" t="n">
        <v>3360</v>
      </c>
      <c r="O5055" s="55" t="inlineStr">
        <is>
          <t>1–15</t>
        </is>
      </c>
      <c r="P5055" s="16" t="inlineStr">
        <is>
          <t>ССЧР обогащена; ОКВЭД не найден/не загружен</t>
        </is>
      </c>
      <c r="Q5055" s="16" t="inlineStr">
        <is>
          <t>ФНС открытые данные ССЧР (ДатаСост 31.12.2025; набор 7707329152-sshr2019)</t>
        </is>
      </c>
      <c r="R5055" s="16">
        <f>HYPERLINK("https://checko.ru/search?query=3801001629","Чекко: проверить")</f>
        <v/>
      </c>
      <c r="S5055" t="n">
        <v>1</v>
      </c>
      <c r="T5055" s="35" t="inlineStr">
        <is>
          <t>4 — Не обогащён</t>
        </is>
      </c>
      <c r="U5055" s="35" t="inlineStr">
        <is>
          <t>Нет ОКВЭД/ССЧР</t>
        </is>
      </c>
      <c r="V5055" s="35" t="inlineStr">
        <is>
          <t>Не определено</t>
        </is>
      </c>
      <c r="W5055" s="35" t="inlineStr">
        <is>
          <t>Нет</t>
        </is>
      </c>
      <c r="X5055" s="35" t="inlineStr"/>
    </row>
    <row r="5056" ht="15" customHeight="1" s="24">
      <c r="A5056" s="13" t="n">
        <v>802406758</v>
      </c>
      <c r="B5056" s="13" t="inlineStr">
        <is>
          <t>ООО "ОХРАННОЕ ПРЕДПРИЯТИЕ "ПАНТЕРА"</t>
        </is>
      </c>
      <c r="C5056" s="13" t="n">
        <v>3819020291</v>
      </c>
      <c r="D5056" s="13" t="inlineStr">
        <is>
          <t>3819020291</t>
        </is>
      </c>
      <c r="E5056" s="13" t="inlineStr">
        <is>
          <t>ЮЛ РФ</t>
        </is>
      </c>
      <c r="F5056" s="13" t="n"/>
      <c r="G5056" s="52" t="n">
        <v>12</v>
      </c>
      <c r="H5056" s="52" t="n">
        <v>2025</v>
      </c>
      <c r="I5056" s="14" t="n"/>
      <c r="J5056" s="14" t="n"/>
      <c r="K5056" s="53" t="inlineStr">
        <is>
          <t>Нет</t>
        </is>
      </c>
      <c r="L5056" s="53" t="inlineStr">
        <is>
          <t>Не определено</t>
        </is>
      </c>
      <c r="M5056" s="53" t="inlineStr">
        <is>
          <t>До 25</t>
        </is>
      </c>
      <c r="N5056" s="54" t="n">
        <v>8400</v>
      </c>
      <c r="O5056" s="55" t="inlineStr">
        <is>
          <t>1–15</t>
        </is>
      </c>
      <c r="P5056" s="16" t="inlineStr">
        <is>
          <t>ССЧР обогащена; ОКВЭД не найден/не загружен</t>
        </is>
      </c>
      <c r="Q5056" s="16" t="inlineStr">
        <is>
          <t>ФНС открытые данные ССЧР (ДатаСост 31.12.2025; набор 7707329152-sshr2019)</t>
        </is>
      </c>
      <c r="R5056" s="16">
        <f>HYPERLINK("https://checko.ru/search?query=3801001629","Чекко: проверить")</f>
        <v/>
      </c>
      <c r="S5056" t="n">
        <v>1</v>
      </c>
      <c r="T5056" s="35" t="inlineStr">
        <is>
          <t>4 — Не обогащён</t>
        </is>
      </c>
      <c r="U5056" s="35" t="inlineStr">
        <is>
          <t>Нет ОКВЭД/ССЧР</t>
        </is>
      </c>
      <c r="V5056" s="35" t="inlineStr">
        <is>
          <t>Не определено</t>
        </is>
      </c>
      <c r="W5056" s="35" t="inlineStr">
        <is>
          <t>Нет</t>
        </is>
      </c>
      <c r="X5056" s="35" t="inlineStr"/>
    </row>
    <row r="5057" ht="15" customHeight="1" s="24">
      <c r="A5057" s="13" t="n">
        <v>802308554</v>
      </c>
      <c r="B5057" s="13" t="inlineStr">
        <is>
          <t>ИП Игнатова Татьяна Александровна</t>
        </is>
      </c>
      <c r="C5057" s="13" t="n">
        <v>380503191953</v>
      </c>
      <c r="D5057" s="13" t="inlineStr">
        <is>
          <t>380503191953</t>
        </is>
      </c>
      <c r="E5057" s="13" t="inlineStr">
        <is>
          <t>ИП РФ / физлицо</t>
        </is>
      </c>
      <c r="F5057" s="13" t="n"/>
      <c r="G5057" s="14" t="n"/>
      <c r="H5057" s="14" t="n"/>
      <c r="I5057" s="14" t="n"/>
      <c r="J5057" s="14" t="n"/>
      <c r="K5057" s="53" t="inlineStr"/>
      <c r="L5057" s="53" t="inlineStr">
        <is>
          <t>Не определено</t>
        </is>
      </c>
      <c r="M5057" s="53" t="inlineStr"/>
      <c r="N5057" s="54" t="inlineStr"/>
      <c r="O5057" s="55" t="inlineStr"/>
      <c r="P5057" s="16" t="inlineStr">
        <is>
          <t>Требует обогащения</t>
        </is>
      </c>
      <c r="Q5057" s="16">
        <f>HYPERLINK("https://pb.nalog.ru/search.html?query=380503191953","ФНС: проверить")</f>
        <v/>
      </c>
      <c r="R5057" s="16">
        <f>HYPERLINK("https://checko.ru/search?query=3801001629","Чекко: проверить")</f>
        <v/>
      </c>
      <c r="S5057" t="n">
        <v>1</v>
      </c>
      <c r="T5057" s="35" t="inlineStr">
        <is>
          <t>4 — Не обогащён</t>
        </is>
      </c>
      <c r="U5057" s="35" t="inlineStr">
        <is>
          <t>Нет ОКВЭД/ССЧР</t>
        </is>
      </c>
      <c r="V5057" s="35" t="inlineStr">
        <is>
          <t>Не определено</t>
        </is>
      </c>
      <c r="W5057" s="35" t="inlineStr"/>
      <c r="X5057" s="35" t="inlineStr"/>
    </row>
    <row r="5058" ht="41.25" customHeight="1" s="24">
      <c r="A5058" s="13" t="n">
        <v>9822230</v>
      </c>
      <c r="B5058" s="13" t="inlineStr">
        <is>
          <t>Общество с ограниченной ответственностью РЕМОНТНО-СТРОИТЕЛЬНОЕ ПРЕДПРИЯТИЕ "ТОПКА"</t>
        </is>
      </c>
      <c r="C5058" s="13" t="n">
        <v>3827001711</v>
      </c>
      <c r="D5058" s="13" t="inlineStr">
        <is>
          <t>3827001711</t>
        </is>
      </c>
      <c r="E5058" s="13" t="inlineStr">
        <is>
          <t>ЮЛ РФ</t>
        </is>
      </c>
      <c r="F5058" s="13" t="n"/>
      <c r="G5058" s="52" t="n">
        <v>363</v>
      </c>
      <c r="H5058" s="52" t="n">
        <v>2025</v>
      </c>
      <c r="I5058" s="52" t="inlineStr">
        <is>
          <t>42.11</t>
        </is>
      </c>
      <c r="J5058" s="52" t="inlineStr">
        <is>
          <t>42.11; 02.20; 08.12.1; 16.10.1; 16.23.1; 16.23.2; 41.20; 42.13; 42.21; 42.22.2; 42.99; 43.21; 43.22; 43.31; 43.32; 43.33; 43.39; 43.99; 46.49; 46.90; 52.21.22; 52.21.23; 52.29; 56.10; 56.10.1; 56.10.3; 56.29; 68.31.1; 68.31.2; 68.31.3; 68.31.4; 71.12.5; 71.12.6</t>
        </is>
      </c>
      <c r="K5058" s="53" t="inlineStr">
        <is>
          <t>Да</t>
        </is>
      </c>
      <c r="L5058" s="53" t="inlineStr">
        <is>
          <t>Да</t>
        </is>
      </c>
      <c r="M5058" s="53" t="inlineStr">
        <is>
          <t>До 500</t>
        </is>
      </c>
      <c r="N5058" s="54" t="n">
        <v>144000</v>
      </c>
      <c r="O5058" s="55" t="inlineStr">
        <is>
          <t>201–500</t>
        </is>
      </c>
      <c r="P5058" s="16" t="inlineStr">
        <is>
          <t>ССЧР + ОКВЭД обогащены</t>
        </is>
      </c>
      <c r="Q5058" s="16" t="inlineStr">
        <is>
          <t>ФНС открытые данные ССЧР (ДатаСост 31.12.2025; набор 7707329152-sshr2019)</t>
        </is>
      </c>
      <c r="R5058" s="16" t="inlineStr">
        <is>
          <t>ЕГРЮЛ / egrul.nalog.ru (выписка)</t>
        </is>
      </c>
      <c r="S5058" t="n">
        <v>1</v>
      </c>
      <c r="T5058" s="35" t="inlineStr">
        <is>
          <t>1 — Горячий</t>
        </is>
      </c>
      <c r="U5058" s="35" t="inlineStr">
        <is>
          <t>ОКВЭД + 22+</t>
        </is>
      </c>
      <c r="V5058" s="35" t="inlineStr">
        <is>
          <t>Да</t>
        </is>
      </c>
      <c r="W5058" s="35" t="inlineStr">
        <is>
          <t>Да</t>
        </is>
      </c>
      <c r="X5058" s="35" t="inlineStr">
        <is>
          <t>Да</t>
        </is>
      </c>
    </row>
    <row r="5059" ht="15" customHeight="1" s="24">
      <c r="A5059" s="13" t="n">
        <v>9120402</v>
      </c>
      <c r="B5059" s="13" t="inlineStr">
        <is>
          <t>ТРАНЗИТ ООО</t>
        </is>
      </c>
      <c r="C5059" s="13" t="n">
        <v>3815002492</v>
      </c>
      <c r="D5059" s="13" t="inlineStr">
        <is>
          <t>3815002492</t>
        </is>
      </c>
      <c r="E5059" s="13" t="inlineStr">
        <is>
          <t>ЮЛ РФ</t>
        </is>
      </c>
      <c r="F5059" s="13" t="n"/>
      <c r="G5059" s="52" t="n">
        <v>5</v>
      </c>
      <c r="H5059" s="52" t="n">
        <v>2025</v>
      </c>
      <c r="I5059" s="14" t="n"/>
      <c r="J5059" s="14" t="n"/>
      <c r="K5059" s="53" t="inlineStr">
        <is>
          <t>Нет</t>
        </is>
      </c>
      <c r="L5059" s="53" t="inlineStr">
        <is>
          <t>Не определено</t>
        </is>
      </c>
      <c r="M5059" s="53" t="inlineStr">
        <is>
          <t>До 10</t>
        </is>
      </c>
      <c r="N5059" s="54" t="n">
        <v>3360</v>
      </c>
      <c r="O5059" s="55" t="inlineStr">
        <is>
          <t>1–15</t>
        </is>
      </c>
      <c r="P5059" s="16" t="inlineStr">
        <is>
          <t>ССЧР обогащена; ОКВЭД не найден/не загружен</t>
        </is>
      </c>
      <c r="Q5059" s="16" t="inlineStr">
        <is>
          <t>ФНС открытые данные ССЧР (ДатаСост 31.12.2025; набор 7707329152-sshr2019)</t>
        </is>
      </c>
      <c r="R5059" s="16">
        <f>HYPERLINK("https://checko.ru/search?query=3801001629","Чекко: проверить")</f>
        <v/>
      </c>
      <c r="S5059" t="n">
        <v>1</v>
      </c>
      <c r="T5059" s="35" t="inlineStr">
        <is>
          <t>4 — Не обогащён</t>
        </is>
      </c>
      <c r="U5059" s="35" t="inlineStr">
        <is>
          <t>Нет ОКВЭД/ССЧР</t>
        </is>
      </c>
      <c r="V5059" s="35" t="inlineStr">
        <is>
          <t>Не определено</t>
        </is>
      </c>
      <c r="W5059" s="35" t="inlineStr">
        <is>
          <t>Нет</t>
        </is>
      </c>
      <c r="X5059" s="35" t="inlineStr"/>
    </row>
    <row r="5060" ht="27.75" customHeight="1" s="24">
      <c r="A5060" s="13" t="n">
        <v>13605126</v>
      </c>
      <c r="B5060" s="13" t="inlineStr">
        <is>
          <t>Общество с ограниченной ответственностью "НАШ ДОМ+"</t>
        </is>
      </c>
      <c r="C5060" s="13" t="n">
        <v>3801081536</v>
      </c>
      <c r="D5060" s="13" t="inlineStr">
        <is>
          <t>3801081536</t>
        </is>
      </c>
      <c r="E5060" s="13" t="inlineStr">
        <is>
          <t>ЮЛ РФ</t>
        </is>
      </c>
      <c r="F5060" s="13" t="n"/>
      <c r="G5060" s="52" t="n">
        <v>19</v>
      </c>
      <c r="H5060" s="52" t="n">
        <v>2025</v>
      </c>
      <c r="I5060" s="14" t="n"/>
      <c r="J5060" s="14" t="n"/>
      <c r="K5060" s="53" t="inlineStr">
        <is>
          <t>Нет</t>
        </is>
      </c>
      <c r="L5060" s="53" t="inlineStr">
        <is>
          <t>Не определено</t>
        </is>
      </c>
      <c r="M5060" s="53" t="inlineStr">
        <is>
          <t>До 25</t>
        </is>
      </c>
      <c r="N5060" s="54" t="n">
        <v>8400</v>
      </c>
      <c r="O5060" s="55" t="inlineStr">
        <is>
          <t>16–30</t>
        </is>
      </c>
      <c r="P5060" s="16" t="inlineStr">
        <is>
          <t>ССЧР обогащена; ОКВЭД не найден/не загружен</t>
        </is>
      </c>
      <c r="Q5060" s="16" t="inlineStr">
        <is>
          <t>ФНС открытые данные ССЧР (ДатаСост 31.12.2025; набор 7707329152-sshr2019)</t>
        </is>
      </c>
      <c r="R5060" s="16">
        <f>HYPERLINK("https://checko.ru/search?query=3801001629","Чекко: проверить")</f>
        <v/>
      </c>
      <c r="S5060" t="n">
        <v>1</v>
      </c>
      <c r="T5060" s="35" t="inlineStr">
        <is>
          <t>4 — Не обогащён</t>
        </is>
      </c>
      <c r="U5060" s="35" t="inlineStr">
        <is>
          <t>Нет ОКВЭД/ССЧР</t>
        </is>
      </c>
      <c r="V5060" s="35" t="inlineStr">
        <is>
          <t>Не определено</t>
        </is>
      </c>
      <c r="W5060" s="35" t="inlineStr">
        <is>
          <t>Нет</t>
        </is>
      </c>
      <c r="X5060" s="35" t="inlineStr"/>
    </row>
    <row r="5061" ht="27.75" customHeight="1" s="24">
      <c r="A5061" s="13" t="n">
        <v>804686528</v>
      </c>
      <c r="B5061" s="13" t="inlineStr">
        <is>
          <t>ОБЩЕСТВО С ОГРАНИЧЕННОЙ ОТВЕТСТВЕННОСТЬЮ "ХАРТ"</t>
        </is>
      </c>
      <c r="C5061" s="13" t="n">
        <v>3811468518</v>
      </c>
      <c r="D5061" s="13" t="inlineStr">
        <is>
          <t>3811468518</t>
        </is>
      </c>
      <c r="E5061" s="13" t="inlineStr">
        <is>
          <t>ЮЛ РФ</t>
        </is>
      </c>
      <c r="F5061" s="13" t="n"/>
      <c r="G5061" s="52" t="n">
        <v>6</v>
      </c>
      <c r="H5061" s="52" t="n">
        <v>2025</v>
      </c>
      <c r="I5061" s="14" t="n"/>
      <c r="J5061" s="14" t="n"/>
      <c r="K5061" s="53" t="inlineStr">
        <is>
          <t>Нет</t>
        </is>
      </c>
      <c r="L5061" s="53" t="inlineStr">
        <is>
          <t>Не определено</t>
        </is>
      </c>
      <c r="M5061" s="53" t="inlineStr">
        <is>
          <t>До 10</t>
        </is>
      </c>
      <c r="N5061" s="54" t="n">
        <v>3360</v>
      </c>
      <c r="O5061" s="55" t="inlineStr">
        <is>
          <t>1–15</t>
        </is>
      </c>
      <c r="P5061" s="16" t="inlineStr">
        <is>
          <t>ССЧР обогащена; ОКВЭД не найден/не загружен</t>
        </is>
      </c>
      <c r="Q5061" s="16" t="inlineStr">
        <is>
          <t>ФНС открытые данные ССЧР (ДатаСост 31.12.2025; набор 7707329152-sshr2019)</t>
        </is>
      </c>
      <c r="R5061" s="16">
        <f>HYPERLINK("https://checko.ru/search?query=3801001629","Чекко: проверить")</f>
        <v/>
      </c>
      <c r="S5061" t="n">
        <v>1</v>
      </c>
      <c r="T5061" s="35" t="inlineStr">
        <is>
          <t>4 — Не обогащён</t>
        </is>
      </c>
      <c r="U5061" s="35" t="inlineStr">
        <is>
          <t>Нет ОКВЭД/ССЧР</t>
        </is>
      </c>
      <c r="V5061" s="35" t="inlineStr">
        <is>
          <t>Не определено</t>
        </is>
      </c>
      <c r="W5061" s="35" t="inlineStr">
        <is>
          <t>Нет</t>
        </is>
      </c>
      <c r="X5061" s="35" t="inlineStr"/>
    </row>
    <row r="5062" ht="15" customHeight="1" s="24">
      <c r="A5062" s="13" t="n">
        <v>9809754</v>
      </c>
      <c r="B5062" s="13" t="inlineStr">
        <is>
          <t>ИП Мельников Александр Викторович</t>
        </is>
      </c>
      <c r="C5062" s="13" t="n">
        <v>381016173306</v>
      </c>
      <c r="D5062" s="13" t="inlineStr">
        <is>
          <t>381016173306</t>
        </is>
      </c>
      <c r="E5062" s="13" t="inlineStr">
        <is>
          <t>ИП РФ / физлицо</t>
        </is>
      </c>
      <c r="F5062" s="13" t="n"/>
      <c r="G5062" s="14" t="n"/>
      <c r="H5062" s="14" t="n"/>
      <c r="I5062" s="14" t="n"/>
      <c r="J5062" s="14" t="n"/>
      <c r="K5062" s="53" t="inlineStr"/>
      <c r="L5062" s="53" t="inlineStr">
        <is>
          <t>Не определено</t>
        </is>
      </c>
      <c r="M5062" s="53" t="inlineStr"/>
      <c r="N5062" s="54" t="inlineStr"/>
      <c r="O5062" s="55" t="inlineStr"/>
      <c r="P5062" s="16" t="inlineStr">
        <is>
          <t>Требует обогащения</t>
        </is>
      </c>
      <c r="Q5062" s="16">
        <f>HYPERLINK("https://pb.nalog.ru/search.html?query=381016173306","ФНС: проверить")</f>
        <v/>
      </c>
      <c r="R5062" s="16">
        <f>HYPERLINK("https://checko.ru/search?query=3801001629","Чекко: проверить")</f>
        <v/>
      </c>
      <c r="S5062" t="n">
        <v>1</v>
      </c>
      <c r="T5062" s="35" t="inlineStr">
        <is>
          <t>4 — Не обогащён</t>
        </is>
      </c>
      <c r="U5062" s="35" t="inlineStr">
        <is>
          <t>Нет ОКВЭД/ССЧР</t>
        </is>
      </c>
      <c r="V5062" s="35" t="inlineStr">
        <is>
          <t>Не определено</t>
        </is>
      </c>
      <c r="W5062" s="35" t="inlineStr"/>
      <c r="X5062" s="35" t="inlineStr"/>
    </row>
    <row r="5063" ht="27.75" customHeight="1" s="24">
      <c r="A5063" s="13" t="n">
        <v>804670487</v>
      </c>
      <c r="B5063" s="13" t="inlineStr">
        <is>
          <t>ОБЩЕСТВО С ОГРАНИЧЕННОЙ ОТВЕТСТВЕННОСТЬЮ "СФЕРА-Т"</t>
        </is>
      </c>
      <c r="C5063" s="13" t="n">
        <v>3823017566</v>
      </c>
      <c r="D5063" s="13" t="inlineStr">
        <is>
          <t>3823017566</t>
        </is>
      </c>
      <c r="E5063" s="13" t="inlineStr">
        <is>
          <t>ЮЛ РФ</t>
        </is>
      </c>
      <c r="F5063" s="13" t="n"/>
      <c r="G5063" s="52" t="n">
        <v>2</v>
      </c>
      <c r="H5063" s="52" t="n">
        <v>2025</v>
      </c>
      <c r="I5063" s="14" t="n"/>
      <c r="J5063" s="14" t="n"/>
      <c r="K5063" s="53" t="inlineStr">
        <is>
          <t>Нет</t>
        </is>
      </c>
      <c r="L5063" s="53" t="inlineStr">
        <is>
          <t>Не определено</t>
        </is>
      </c>
      <c r="M5063" s="53" t="inlineStr">
        <is>
          <t>До 10</t>
        </is>
      </c>
      <c r="N5063" s="54" t="n">
        <v>3360</v>
      </c>
      <c r="O5063" s="55" t="inlineStr">
        <is>
          <t>1–15</t>
        </is>
      </c>
      <c r="P5063" s="16" t="inlineStr">
        <is>
          <t>ССЧР обогащена; ОКВЭД не найден/не загружен</t>
        </is>
      </c>
      <c r="Q5063" s="16" t="inlineStr">
        <is>
          <t>ФНС открытые данные ССЧР (ДатаСост 31.12.2025; набор 7707329152-sshr2019)</t>
        </is>
      </c>
      <c r="R5063" s="16">
        <f>HYPERLINK("https://checko.ru/search?query=3801001629","Чекко: проверить")</f>
        <v/>
      </c>
      <c r="S5063" t="n">
        <v>1</v>
      </c>
      <c r="T5063" s="35" t="inlineStr">
        <is>
          <t>4 — Не обогащён</t>
        </is>
      </c>
      <c r="U5063" s="35" t="inlineStr">
        <is>
          <t>Нет ОКВЭД/ССЧР</t>
        </is>
      </c>
      <c r="V5063" s="35" t="inlineStr">
        <is>
          <t>Не определено</t>
        </is>
      </c>
      <c r="W5063" s="35" t="inlineStr">
        <is>
          <t>Нет</t>
        </is>
      </c>
      <c r="X5063" s="35" t="inlineStr"/>
    </row>
    <row r="5064" ht="15" customHeight="1" s="24">
      <c r="A5064" s="13" t="n">
        <v>9157699</v>
      </c>
      <c r="B5064" s="13" t="inlineStr">
        <is>
          <t>ООО "УПРАВЛЯЮЩАЯ КОМПАНИЯ УЮТ"</t>
        </is>
      </c>
      <c r="C5064" s="13" t="n">
        <v>3814022055</v>
      </c>
      <c r="D5064" s="13" t="inlineStr">
        <is>
          <t>3814022055</t>
        </is>
      </c>
      <c r="E5064" s="13" t="inlineStr">
        <is>
          <t>ЮЛ РФ</t>
        </is>
      </c>
      <c r="F5064" s="13" t="n"/>
      <c r="G5064" s="52" t="n">
        <v>90</v>
      </c>
      <c r="H5064" s="52" t="n">
        <v>2025</v>
      </c>
      <c r="I5064" s="52" t="inlineStr">
        <is>
          <t>68.32.1</t>
        </is>
      </c>
      <c r="J5064" s="52" t="inlineStr">
        <is>
          <t>68.32.1; 35.12; 35.30.3; 36.00.2; 43.21; 43.22; 43.29; 43.31; 43.32; 43.34; 43.39; 43.99.1; 68.32.2</t>
        </is>
      </c>
      <c r="K5064" s="53" t="inlineStr">
        <is>
          <t>Да</t>
        </is>
      </c>
      <c r="L5064" s="53" t="inlineStr">
        <is>
          <t>Да</t>
        </is>
      </c>
      <c r="M5064" s="53" t="inlineStr">
        <is>
          <t>До 100</t>
        </is>
      </c>
      <c r="N5064" s="54" t="n">
        <v>33600</v>
      </c>
      <c r="O5064" s="55" t="inlineStr">
        <is>
          <t>51–100</t>
        </is>
      </c>
      <c r="P5064" s="16" t="inlineStr">
        <is>
          <t>ССЧР + ОКВЭД обогащены</t>
        </is>
      </c>
      <c r="Q5064" s="16" t="inlineStr">
        <is>
          <t>ФНС открытые данные ССЧР (ДатаСост 31.12.2025; набор 7707329152-sshr2019)</t>
        </is>
      </c>
      <c r="R5064" s="16" t="inlineStr">
        <is>
          <t>ЕГРЮЛ / egrul.nalog.ru (выписка)</t>
        </is>
      </c>
      <c r="S5064" t="n">
        <v>1</v>
      </c>
      <c r="T5064" s="35" t="inlineStr">
        <is>
          <t>1 — Горячий</t>
        </is>
      </c>
      <c r="U5064" s="35" t="inlineStr">
        <is>
          <t>ОКВЭД + 22+</t>
        </is>
      </c>
      <c r="V5064" s="35" t="inlineStr">
        <is>
          <t>Да</t>
        </is>
      </c>
      <c r="W5064" s="35" t="inlineStr">
        <is>
          <t>Да</t>
        </is>
      </c>
      <c r="X5064" s="35" t="inlineStr">
        <is>
          <t>Да</t>
        </is>
      </c>
    </row>
    <row r="5065" ht="15" customHeight="1" s="24">
      <c r="A5065" s="13" t="n">
        <v>9259720</v>
      </c>
      <c r="B5065" s="13" t="inlineStr">
        <is>
          <t>ИП Алексеенко Вадим Юрьевич</t>
        </is>
      </c>
      <c r="C5065" s="13" t="n">
        <v>381016771137</v>
      </c>
      <c r="D5065" s="13" t="inlineStr">
        <is>
          <t>381016771137</t>
        </is>
      </c>
      <c r="E5065" s="13" t="inlineStr">
        <is>
          <t>ИП РФ / физлицо</t>
        </is>
      </c>
      <c r="F5065" s="13" t="n"/>
      <c r="G5065" s="14" t="n"/>
      <c r="H5065" s="14" t="n"/>
      <c r="I5065" s="14" t="n"/>
      <c r="J5065" s="14" t="n"/>
      <c r="K5065" s="53" t="inlineStr"/>
      <c r="L5065" s="53" t="inlineStr">
        <is>
          <t>Не определено</t>
        </is>
      </c>
      <c r="M5065" s="53" t="inlineStr"/>
      <c r="N5065" s="54" t="inlineStr"/>
      <c r="O5065" s="55" t="inlineStr"/>
      <c r="P5065" s="16" t="inlineStr">
        <is>
          <t>Требует обогащения</t>
        </is>
      </c>
      <c r="Q5065" s="16">
        <f>HYPERLINK("https://pb.nalog.ru/search.html?query=381016771137","ФНС: проверить")</f>
        <v/>
      </c>
      <c r="R5065" s="16">
        <f>HYPERLINK("https://checko.ru/search?query=3801001629","Чекко: проверить")</f>
        <v/>
      </c>
      <c r="S5065" t="n">
        <v>1</v>
      </c>
      <c r="T5065" s="35" t="inlineStr">
        <is>
          <t>4 — Не обогащён</t>
        </is>
      </c>
      <c r="U5065" s="35" t="inlineStr">
        <is>
          <t>Нет ОКВЭД/ССЧР</t>
        </is>
      </c>
      <c r="V5065" s="35" t="inlineStr">
        <is>
          <t>Не определено</t>
        </is>
      </c>
      <c r="W5065" s="35" t="inlineStr"/>
      <c r="X5065" s="35" t="inlineStr"/>
    </row>
    <row r="5066" ht="15" customHeight="1" s="24">
      <c r="A5066" s="13" t="n">
        <v>800460986</v>
      </c>
      <c r="B5066" s="13" t="inlineStr">
        <is>
          <t>ООО "Медицинский центр "Элит"</t>
        </is>
      </c>
      <c r="C5066" s="13" t="n">
        <v>3811134917</v>
      </c>
      <c r="D5066" s="13" t="inlineStr">
        <is>
          <t>3811134917</t>
        </is>
      </c>
      <c r="E5066" s="13" t="inlineStr">
        <is>
          <t>ЮЛ РФ</t>
        </is>
      </c>
      <c r="F5066" s="13" t="n"/>
      <c r="G5066" s="52" t="n">
        <v>17</v>
      </c>
      <c r="H5066" s="52" t="n">
        <v>2025</v>
      </c>
      <c r="I5066" s="14" t="n"/>
      <c r="J5066" s="14" t="n"/>
      <c r="K5066" s="53" t="inlineStr">
        <is>
          <t>Нет</t>
        </is>
      </c>
      <c r="L5066" s="53" t="inlineStr">
        <is>
          <t>Не определено</t>
        </is>
      </c>
      <c r="M5066" s="53" t="inlineStr">
        <is>
          <t>До 25</t>
        </is>
      </c>
      <c r="N5066" s="54" t="n">
        <v>8400</v>
      </c>
      <c r="O5066" s="55" t="inlineStr">
        <is>
          <t>16–30</t>
        </is>
      </c>
      <c r="P5066" s="16" t="inlineStr">
        <is>
          <t>ССЧР обогащена; ОКВЭД не найден/не загружен</t>
        </is>
      </c>
      <c r="Q5066" s="16" t="inlineStr">
        <is>
          <t>ФНС открытые данные ССЧР (ДатаСост 31.12.2025; набор 7707329152-sshr2019)</t>
        </is>
      </c>
      <c r="R5066" s="16">
        <f>HYPERLINK("https://checko.ru/search?query=3801001629","Чекко: проверить")</f>
        <v/>
      </c>
      <c r="S5066" t="n">
        <v>1</v>
      </c>
      <c r="T5066" s="35" t="inlineStr">
        <is>
          <t>4 — Не обогащён</t>
        </is>
      </c>
      <c r="U5066" s="35" t="inlineStr">
        <is>
          <t>Нет ОКВЭД/ССЧР</t>
        </is>
      </c>
      <c r="V5066" s="35" t="inlineStr">
        <is>
          <t>Не определено</t>
        </is>
      </c>
      <c r="W5066" s="35" t="inlineStr">
        <is>
          <t>Нет</t>
        </is>
      </c>
      <c r="X5066" s="35" t="inlineStr"/>
    </row>
    <row r="5067" ht="15" customHeight="1" s="24">
      <c r="A5067" s="13" t="n">
        <v>800668140</v>
      </c>
      <c r="B5067" s="13" t="inlineStr">
        <is>
          <t>ООО "ИВЕКОСЕРВИСЦЕНТР"</t>
        </is>
      </c>
      <c r="C5067" s="13" t="n">
        <v>3804055781</v>
      </c>
      <c r="D5067" s="13" t="inlineStr">
        <is>
          <t>3804055781</t>
        </is>
      </c>
      <c r="E5067" s="13" t="inlineStr">
        <is>
          <t>ЮЛ РФ</t>
        </is>
      </c>
      <c r="F5067" s="13" t="n"/>
      <c r="G5067" s="52" t="n">
        <v>26</v>
      </c>
      <c r="H5067" s="52" t="n">
        <v>2025</v>
      </c>
      <c r="I5067" s="52" t="inlineStr">
        <is>
          <t>45.31.1</t>
        </is>
      </c>
      <c r="J5067" s="52" t="inlineStr">
        <is>
          <t>45.31.1; 43.12; 43.99; 45.19; 45.20.2; 45.31.2; 45.32; 45.32.1; 45.32.2; 45.32.21; 45.32.22; 45.32.29; 45.40; 49.41; 49.42; 77.32</t>
        </is>
      </c>
      <c r="K5067" s="53" t="inlineStr">
        <is>
          <t>Да</t>
        </is>
      </c>
      <c r="L5067" s="53" t="inlineStr">
        <is>
          <t>Да</t>
        </is>
      </c>
      <c r="M5067" s="53" t="inlineStr">
        <is>
          <t>До 50</t>
        </is>
      </c>
      <c r="N5067" s="54" t="n">
        <v>16800</v>
      </c>
      <c r="O5067" s="55" t="inlineStr">
        <is>
          <t>16–30</t>
        </is>
      </c>
      <c r="P5067" s="16" t="inlineStr">
        <is>
          <t>ССЧР + ОКВЭД обогащены</t>
        </is>
      </c>
      <c r="Q5067" s="16" t="inlineStr">
        <is>
          <t>ФНС открытые данные ССЧР (ДатаСост 31.12.2025; набор 7707329152-sshr2019)</t>
        </is>
      </c>
      <c r="R5067" s="16" t="inlineStr">
        <is>
          <t>ЕГРЮЛ / egrul.nalog.ru (выписка)</t>
        </is>
      </c>
      <c r="S5067" t="n">
        <v>1</v>
      </c>
      <c r="T5067" s="35" t="inlineStr">
        <is>
          <t>1 — Горячий</t>
        </is>
      </c>
      <c r="U5067" s="35" t="inlineStr">
        <is>
          <t>ОКВЭД + 22+</t>
        </is>
      </c>
      <c r="V5067" s="35" t="inlineStr">
        <is>
          <t>Да</t>
        </is>
      </c>
      <c r="W5067" s="35" t="inlineStr">
        <is>
          <t>Да</t>
        </is>
      </c>
      <c r="X5067" s="35" t="inlineStr">
        <is>
          <t>Да</t>
        </is>
      </c>
    </row>
    <row r="5068" ht="15" customHeight="1" s="24">
      <c r="A5068" s="13" t="n">
        <v>9125205</v>
      </c>
      <c r="B5068" s="13" t="inlineStr">
        <is>
          <t>ООО Мармол</t>
        </is>
      </c>
      <c r="C5068" s="13" t="n">
        <v>3849071230</v>
      </c>
      <c r="D5068" s="13" t="inlineStr">
        <is>
          <t>3849071230</t>
        </is>
      </c>
      <c r="E5068" s="13" t="inlineStr">
        <is>
          <t>ЮЛ РФ</t>
        </is>
      </c>
      <c r="F5068" s="13" t="n"/>
      <c r="G5068" s="52" t="n">
        <v>4</v>
      </c>
      <c r="H5068" s="52" t="n">
        <v>2025</v>
      </c>
      <c r="I5068" s="14" t="n"/>
      <c r="J5068" s="14" t="n"/>
      <c r="K5068" s="53" t="inlineStr">
        <is>
          <t>Нет</t>
        </is>
      </c>
      <c r="L5068" s="53" t="inlineStr">
        <is>
          <t>Не определено</t>
        </is>
      </c>
      <c r="M5068" s="53" t="inlineStr">
        <is>
          <t>До 10</t>
        </is>
      </c>
      <c r="N5068" s="54" t="n">
        <v>3360</v>
      </c>
      <c r="O5068" s="55" t="inlineStr">
        <is>
          <t>1–15</t>
        </is>
      </c>
      <c r="P5068" s="16" t="inlineStr">
        <is>
          <t>ССЧР обогащена; ОКВЭД не найден/не загружен</t>
        </is>
      </c>
      <c r="Q5068" s="16" t="inlineStr">
        <is>
          <t>ФНС открытые данные ССЧР (ДатаСост 31.12.2025; набор 7707329152-sshr2019)</t>
        </is>
      </c>
      <c r="R5068" s="16">
        <f>HYPERLINK("https://checko.ru/search?query=3801001629","Чекко: проверить")</f>
        <v/>
      </c>
      <c r="S5068" t="n">
        <v>1</v>
      </c>
      <c r="T5068" s="35" t="inlineStr">
        <is>
          <t>4 — Не обогащён</t>
        </is>
      </c>
      <c r="U5068" s="35" t="inlineStr">
        <is>
          <t>Нет ОКВЭД/ССЧР</t>
        </is>
      </c>
      <c r="V5068" s="35" t="inlineStr">
        <is>
          <t>Не определено</t>
        </is>
      </c>
      <c r="W5068" s="35" t="inlineStr">
        <is>
          <t>Нет</t>
        </is>
      </c>
      <c r="X5068" s="35" t="inlineStr"/>
    </row>
    <row r="5069" ht="15" customHeight="1" s="24">
      <c r="A5069" s="13" t="n">
        <v>9893678</v>
      </c>
      <c r="B5069" s="13" t="inlineStr">
        <is>
          <t>ООО "ВИД ДЮ ШАРМ ЛЮКС"</t>
        </is>
      </c>
      <c r="C5069" s="13" t="n">
        <v>3808065999</v>
      </c>
      <c r="D5069" s="13" t="inlineStr">
        <is>
          <t>3808065999</t>
        </is>
      </c>
      <c r="E5069" s="13" t="inlineStr">
        <is>
          <t>ЮЛ РФ</t>
        </is>
      </c>
      <c r="F5069" s="13" t="n"/>
      <c r="G5069" s="52" t="n">
        <v>10</v>
      </c>
      <c r="H5069" s="52" t="n">
        <v>2025</v>
      </c>
      <c r="I5069" s="14" t="n"/>
      <c r="J5069" s="14" t="n"/>
      <c r="K5069" s="53" t="inlineStr">
        <is>
          <t>Нет</t>
        </is>
      </c>
      <c r="L5069" s="53" t="inlineStr">
        <is>
          <t>Не определено</t>
        </is>
      </c>
      <c r="M5069" s="53" t="inlineStr">
        <is>
          <t>До 10</t>
        </is>
      </c>
      <c r="N5069" s="54" t="n">
        <v>3360</v>
      </c>
      <c r="O5069" s="55" t="inlineStr">
        <is>
          <t>1–15</t>
        </is>
      </c>
      <c r="P5069" s="16" t="inlineStr">
        <is>
          <t>ССЧР обогащена; ОКВЭД не найден/не загружен</t>
        </is>
      </c>
      <c r="Q5069" s="16" t="inlineStr">
        <is>
          <t>ФНС открытые данные ССЧР (ДатаСост 31.12.2025; набор 7707329152-sshr2019)</t>
        </is>
      </c>
      <c r="R5069" s="16">
        <f>HYPERLINK("https://checko.ru/search?query=3801001629","Чекко: проверить")</f>
        <v/>
      </c>
      <c r="S5069" t="n">
        <v>1</v>
      </c>
      <c r="T5069" s="35" t="inlineStr">
        <is>
          <t>4 — Не обогащён</t>
        </is>
      </c>
      <c r="U5069" s="35" t="inlineStr">
        <is>
          <t>Нет ОКВЭД/ССЧР</t>
        </is>
      </c>
      <c r="V5069" s="35" t="inlineStr">
        <is>
          <t>Не определено</t>
        </is>
      </c>
      <c r="W5069" s="35" t="inlineStr">
        <is>
          <t>Нет</t>
        </is>
      </c>
      <c r="X5069" s="35" t="inlineStr"/>
    </row>
    <row r="5070" ht="15" customHeight="1" s="24">
      <c r="A5070" s="13" t="n">
        <v>800415289</v>
      </c>
      <c r="B5070" s="13" t="inlineStr">
        <is>
          <t>ООО "Спецреммонтаж"</t>
        </is>
      </c>
      <c r="C5070" s="13" t="n">
        <v>3804041612</v>
      </c>
      <c r="D5070" s="13" t="inlineStr">
        <is>
          <t>3804041612</t>
        </is>
      </c>
      <c r="E5070" s="13" t="inlineStr">
        <is>
          <t>ЮЛ РФ</t>
        </is>
      </c>
      <c r="F5070" s="13" t="n"/>
      <c r="G5070" s="52" t="n">
        <v>10</v>
      </c>
      <c r="H5070" s="52" t="n">
        <v>2025</v>
      </c>
      <c r="I5070" s="14" t="n"/>
      <c r="J5070" s="14" t="n"/>
      <c r="K5070" s="53" t="inlineStr">
        <is>
          <t>Нет</t>
        </is>
      </c>
      <c r="L5070" s="53" t="inlineStr">
        <is>
          <t>Не определено</t>
        </is>
      </c>
      <c r="M5070" s="53" t="inlineStr">
        <is>
          <t>До 10</t>
        </is>
      </c>
      <c r="N5070" s="54" t="n">
        <v>3360</v>
      </c>
      <c r="O5070" s="55" t="inlineStr">
        <is>
          <t>1–15</t>
        </is>
      </c>
      <c r="P5070" s="16" t="inlineStr">
        <is>
          <t>ССЧР обогащена; ОКВЭД не найден/не загружен</t>
        </is>
      </c>
      <c r="Q5070" s="16" t="inlineStr">
        <is>
          <t>ФНС открытые данные ССЧР (ДатаСост 31.12.2025; набор 7707329152-sshr2019)</t>
        </is>
      </c>
      <c r="R5070" s="16">
        <f>HYPERLINK("https://checko.ru/search?query=3801001629","Чекко: проверить")</f>
        <v/>
      </c>
      <c r="S5070" t="n">
        <v>1</v>
      </c>
      <c r="T5070" s="35" t="inlineStr">
        <is>
          <t>4 — Не обогащён</t>
        </is>
      </c>
      <c r="U5070" s="35" t="inlineStr">
        <is>
          <t>Нет ОКВЭД/ССЧР</t>
        </is>
      </c>
      <c r="V5070" s="35" t="inlineStr">
        <is>
          <t>Не определено</t>
        </is>
      </c>
      <c r="W5070" s="35" t="inlineStr">
        <is>
          <t>Нет</t>
        </is>
      </c>
      <c r="X5070" s="35" t="inlineStr"/>
    </row>
    <row r="5071" ht="15" customHeight="1" s="24">
      <c r="A5071" s="13" t="n">
        <v>801614885</v>
      </c>
      <c r="B5071" s="13" t="inlineStr">
        <is>
          <t>ООО ЧОП "Кристал"</t>
        </is>
      </c>
      <c r="C5071" s="13" t="n">
        <v>3814017337</v>
      </c>
      <c r="D5071" s="13" t="inlineStr">
        <is>
          <t>3814017337</t>
        </is>
      </c>
      <c r="E5071" s="13" t="inlineStr">
        <is>
          <t>ЮЛ РФ</t>
        </is>
      </c>
      <c r="F5071" s="13" t="n"/>
      <c r="G5071" s="52" t="n">
        <v>51</v>
      </c>
      <c r="H5071" s="52" t="n">
        <v>2025</v>
      </c>
      <c r="I5071" s="52" t="inlineStr">
        <is>
          <t>80.10</t>
        </is>
      </c>
      <c r="J5071" s="52" t="inlineStr">
        <is>
          <t>80.10; 80.20; 80.30</t>
        </is>
      </c>
      <c r="K5071" s="53" t="inlineStr">
        <is>
          <t>Да</t>
        </is>
      </c>
      <c r="L5071" s="53" t="inlineStr">
        <is>
          <t>Да</t>
        </is>
      </c>
      <c r="M5071" s="53" t="inlineStr">
        <is>
          <t>До 100</t>
        </is>
      </c>
      <c r="N5071" s="54" t="n">
        <v>33600</v>
      </c>
      <c r="O5071" s="55" t="inlineStr">
        <is>
          <t>51–100</t>
        </is>
      </c>
      <c r="P5071" s="16" t="inlineStr">
        <is>
          <t>ССЧР + ОКВЭД обогащены</t>
        </is>
      </c>
      <c r="Q5071" s="16" t="inlineStr">
        <is>
          <t>ФНС открытые данные ССЧР (ДатаСост 31.12.2025; набор 7707329152-sshr2019)</t>
        </is>
      </c>
      <c r="R5071" s="16" t="inlineStr">
        <is>
          <t>ЕГРЮЛ / egrul.nalog.ru (выписка)</t>
        </is>
      </c>
      <c r="S5071" t="n">
        <v>1</v>
      </c>
      <c r="T5071" s="35" t="inlineStr">
        <is>
          <t>1 — Горячий</t>
        </is>
      </c>
      <c r="U5071" s="35" t="inlineStr">
        <is>
          <t>ОКВЭД + 22+</t>
        </is>
      </c>
      <c r="V5071" s="35" t="inlineStr">
        <is>
          <t>Да</t>
        </is>
      </c>
      <c r="W5071" s="35" t="inlineStr">
        <is>
          <t>Да</t>
        </is>
      </c>
      <c r="X5071" s="35" t="inlineStr">
        <is>
          <t>Да</t>
        </is>
      </c>
    </row>
    <row r="5072" ht="15" customHeight="1" s="24">
      <c r="A5072" s="13" t="n">
        <v>800542553</v>
      </c>
      <c r="B5072" s="13" t="inlineStr">
        <is>
          <t>ООО "ВЕРШИНА"</t>
        </is>
      </c>
      <c r="C5072" s="13" t="n">
        <v>3805734909</v>
      </c>
      <c r="D5072" s="13" t="inlineStr">
        <is>
          <t>3805734909</t>
        </is>
      </c>
      <c r="E5072" s="13" t="inlineStr">
        <is>
          <t>ЮЛ РФ</t>
        </is>
      </c>
      <c r="F5072" s="13" t="n"/>
      <c r="G5072" s="52" t="n">
        <v>16</v>
      </c>
      <c r="H5072" s="52" t="n">
        <v>2025</v>
      </c>
      <c r="I5072" s="14" t="n"/>
      <c r="J5072" s="14" t="n"/>
      <c r="K5072" s="53" t="inlineStr">
        <is>
          <t>Нет</t>
        </is>
      </c>
      <c r="L5072" s="53" t="inlineStr">
        <is>
          <t>Не определено</t>
        </is>
      </c>
      <c r="M5072" s="53" t="inlineStr">
        <is>
          <t>До 25</t>
        </is>
      </c>
      <c r="N5072" s="54" t="n">
        <v>8400</v>
      </c>
      <c r="O5072" s="55" t="inlineStr">
        <is>
          <t>16–30</t>
        </is>
      </c>
      <c r="P5072" s="16" t="inlineStr">
        <is>
          <t>ССЧР обогащена; ОКВЭД не найден/не загружен</t>
        </is>
      </c>
      <c r="Q5072" s="16" t="inlineStr">
        <is>
          <t>ФНС открытые данные ССЧР (ДатаСост 31.12.2025; набор 7707329152-sshr2019)</t>
        </is>
      </c>
      <c r="R5072" s="16">
        <f>HYPERLINK("https://checko.ru/search?query=3801001629","Чекко: проверить")</f>
        <v/>
      </c>
      <c r="S5072" t="n">
        <v>1</v>
      </c>
      <c r="T5072" s="35" t="inlineStr">
        <is>
          <t>4 — Не обогащён</t>
        </is>
      </c>
      <c r="U5072" s="35" t="inlineStr">
        <is>
          <t>Нет ОКВЭД/ССЧР</t>
        </is>
      </c>
      <c r="V5072" s="35" t="inlineStr">
        <is>
          <t>Не определено</t>
        </is>
      </c>
      <c r="W5072" s="35" t="inlineStr">
        <is>
          <t>Нет</t>
        </is>
      </c>
      <c r="X5072" s="35" t="inlineStr"/>
    </row>
    <row r="5073" ht="15" customHeight="1" s="24">
      <c r="A5073" s="13" t="n">
        <v>800666351</v>
      </c>
      <c r="B5073" s="13" t="inlineStr">
        <is>
          <t>ООО "Восток.РУ"</t>
        </is>
      </c>
      <c r="C5073" s="13" t="n">
        <v>3808176650</v>
      </c>
      <c r="D5073" s="13" t="inlineStr">
        <is>
          <t>3808176650</t>
        </is>
      </c>
      <c r="E5073" s="13" t="inlineStr">
        <is>
          <t>ЮЛ РФ</t>
        </is>
      </c>
      <c r="F5073" s="13" t="n"/>
      <c r="G5073" s="52" t="n">
        <v>4</v>
      </c>
      <c r="H5073" s="52" t="n">
        <v>2025</v>
      </c>
      <c r="I5073" s="14" t="n"/>
      <c r="J5073" s="14" t="n"/>
      <c r="K5073" s="53" t="inlineStr">
        <is>
          <t>Нет</t>
        </is>
      </c>
      <c r="L5073" s="53" t="inlineStr">
        <is>
          <t>Не определено</t>
        </is>
      </c>
      <c r="M5073" s="53" t="inlineStr">
        <is>
          <t>До 10</t>
        </is>
      </c>
      <c r="N5073" s="54" t="n">
        <v>3360</v>
      </c>
      <c r="O5073" s="55" t="inlineStr">
        <is>
          <t>1–15</t>
        </is>
      </c>
      <c r="P5073" s="16" t="inlineStr">
        <is>
          <t>ССЧР обогащена; ОКВЭД не найден/не загружен</t>
        </is>
      </c>
      <c r="Q5073" s="16" t="inlineStr">
        <is>
          <t>ФНС открытые данные ССЧР (ДатаСост 31.12.2025; набор 7707329152-sshr2019)</t>
        </is>
      </c>
      <c r="R5073" s="16">
        <f>HYPERLINK("https://checko.ru/search?query=3801001629","Чекко: проверить")</f>
        <v/>
      </c>
      <c r="S5073" t="n">
        <v>1</v>
      </c>
      <c r="T5073" s="35" t="inlineStr">
        <is>
          <t>4 — Не обогащён</t>
        </is>
      </c>
      <c r="U5073" s="35" t="inlineStr">
        <is>
          <t>Нет ОКВЭД/ССЧР</t>
        </is>
      </c>
      <c r="V5073" s="35" t="inlineStr">
        <is>
          <t>Не определено</t>
        </is>
      </c>
      <c r="W5073" s="35" t="inlineStr">
        <is>
          <t>Нет</t>
        </is>
      </c>
      <c r="X5073" s="35" t="inlineStr"/>
    </row>
    <row r="5074" ht="15" customHeight="1" s="24">
      <c r="A5074" s="13" t="n">
        <v>800544627</v>
      </c>
      <c r="B5074" s="13" t="inlineStr">
        <is>
          <t>Егоров Алексей Юрьевич</t>
        </is>
      </c>
      <c r="C5074" s="13" t="n">
        <v>381108684283</v>
      </c>
      <c r="D5074" s="13" t="inlineStr">
        <is>
          <t>381108684283</t>
        </is>
      </c>
      <c r="E5074" s="13" t="inlineStr">
        <is>
          <t>ИП РФ / физлицо</t>
        </is>
      </c>
      <c r="F5074" s="13" t="n"/>
      <c r="G5074" s="14" t="n"/>
      <c r="H5074" s="14" t="n"/>
      <c r="I5074" s="14" t="n"/>
      <c r="J5074" s="14" t="n"/>
      <c r="K5074" s="53" t="inlineStr"/>
      <c r="L5074" s="53" t="inlineStr">
        <is>
          <t>Не определено</t>
        </is>
      </c>
      <c r="M5074" s="53" t="inlineStr"/>
      <c r="N5074" s="54" t="inlineStr"/>
      <c r="O5074" s="55" t="inlineStr"/>
      <c r="P5074" s="16" t="inlineStr">
        <is>
          <t>Требует обогащения</t>
        </is>
      </c>
      <c r="Q5074" s="16">
        <f>HYPERLINK("https://pb.nalog.ru/search.html?query=381108684283","ФНС: проверить")</f>
        <v/>
      </c>
      <c r="R5074" s="16">
        <f>HYPERLINK("https://checko.ru/search?query=3801001629","Чекко: проверить")</f>
        <v/>
      </c>
      <c r="S5074" t="n">
        <v>1</v>
      </c>
      <c r="T5074" s="35" t="inlineStr">
        <is>
          <t>4 — Не обогащён</t>
        </is>
      </c>
      <c r="U5074" s="35" t="inlineStr">
        <is>
          <t>Нет ОКВЭД/ССЧР</t>
        </is>
      </c>
      <c r="V5074" s="35" t="inlineStr">
        <is>
          <t>Не определено</t>
        </is>
      </c>
      <c r="W5074" s="35" t="inlineStr"/>
      <c r="X5074" s="35" t="inlineStr"/>
    </row>
    <row r="5075" ht="15" customHeight="1" s="24">
      <c r="A5075" s="13" t="n">
        <v>801604219</v>
      </c>
      <c r="B5075" s="13" t="inlineStr">
        <is>
          <t>МП "Телерадиокомпания "Диалог" УКМО</t>
        </is>
      </c>
      <c r="C5075" s="13" t="n">
        <v>3818004963</v>
      </c>
      <c r="D5075" s="13" t="inlineStr">
        <is>
          <t>3818004963</t>
        </is>
      </c>
      <c r="E5075" s="13" t="inlineStr">
        <is>
          <t>ЮЛ РФ</t>
        </is>
      </c>
      <c r="F5075" s="13" t="n"/>
      <c r="G5075" s="14" t="n"/>
      <c r="H5075" s="14" t="n"/>
      <c r="I5075" s="14" t="n"/>
      <c r="J5075" s="14" t="n"/>
      <c r="K5075" s="53" t="inlineStr"/>
      <c r="L5075" s="53" t="inlineStr">
        <is>
          <t>Не определено</t>
        </is>
      </c>
      <c r="M5075" s="53" t="inlineStr"/>
      <c r="N5075" s="54" t="inlineStr"/>
      <c r="O5075" s="55" t="inlineStr"/>
      <c r="P5075" s="16" t="inlineStr">
        <is>
          <t>Требует обогащения</t>
        </is>
      </c>
      <c r="Q5075" s="16">
        <f>HYPERLINK("https://pb.nalog.ru/search.html?query=3818004963","ФНС: проверить")</f>
        <v/>
      </c>
      <c r="R5075" s="16">
        <f>HYPERLINK("https://checko.ru/search?query=3801001629","Чекко: проверить")</f>
        <v/>
      </c>
      <c r="S5075" t="n">
        <v>1</v>
      </c>
      <c r="T5075" s="35" t="inlineStr">
        <is>
          <t>4 — Не обогащён</t>
        </is>
      </c>
      <c r="U5075" s="35" t="inlineStr">
        <is>
          <t>Нет ОКВЭД/ССЧР</t>
        </is>
      </c>
      <c r="V5075" s="35" t="inlineStr">
        <is>
          <t>Не определено</t>
        </is>
      </c>
      <c r="W5075" s="35" t="inlineStr"/>
      <c r="X5075" s="35" t="inlineStr"/>
    </row>
    <row r="5076" ht="15" customHeight="1" s="24">
      <c r="A5076" s="13" t="n">
        <v>800555897</v>
      </c>
      <c r="B5076" s="13" t="inlineStr">
        <is>
          <t>ИП Власов Константин Валерьевич</t>
        </is>
      </c>
      <c r="C5076" s="13" t="n">
        <v>381107925850</v>
      </c>
      <c r="D5076" s="13" t="inlineStr">
        <is>
          <t>381107925850</t>
        </is>
      </c>
      <c r="E5076" s="13" t="inlineStr">
        <is>
          <t>ИП РФ / физлицо</t>
        </is>
      </c>
      <c r="F5076" s="13" t="n"/>
      <c r="G5076" s="14" t="n"/>
      <c r="H5076" s="14" t="n"/>
      <c r="I5076" s="14" t="n"/>
      <c r="J5076" s="14" t="n"/>
      <c r="K5076" s="53" t="inlineStr"/>
      <c r="L5076" s="53" t="inlineStr">
        <is>
          <t>Не определено</t>
        </is>
      </c>
      <c r="M5076" s="53" t="inlineStr"/>
      <c r="N5076" s="54" t="inlineStr"/>
      <c r="O5076" s="55" t="inlineStr"/>
      <c r="P5076" s="16" t="inlineStr">
        <is>
          <t>Требует обогащения</t>
        </is>
      </c>
      <c r="Q5076" s="16">
        <f>HYPERLINK("https://pb.nalog.ru/search.html?query=381107925850","ФНС: проверить")</f>
        <v/>
      </c>
      <c r="R5076" s="16">
        <f>HYPERLINK("https://checko.ru/search?query=3801001629","Чекко: проверить")</f>
        <v/>
      </c>
      <c r="S5076" t="n">
        <v>1</v>
      </c>
      <c r="T5076" s="35" t="inlineStr">
        <is>
          <t>4 — Не обогащён</t>
        </is>
      </c>
      <c r="U5076" s="35" t="inlineStr">
        <is>
          <t>Нет ОКВЭД/ССЧР</t>
        </is>
      </c>
      <c r="V5076" s="35" t="inlineStr">
        <is>
          <t>Не определено</t>
        </is>
      </c>
      <c r="W5076" s="35" t="inlineStr"/>
      <c r="X5076" s="35" t="inlineStr"/>
    </row>
    <row r="5077" ht="15" customHeight="1" s="24">
      <c r="A5077" s="13" t="n">
        <v>800861061</v>
      </c>
      <c r="B5077" s="13" t="inlineStr">
        <is>
          <t>ООО "ТЕРМИНАЛ"</t>
        </is>
      </c>
      <c r="C5077" s="13" t="n">
        <v>3827049431</v>
      </c>
      <c r="D5077" s="13" t="inlineStr">
        <is>
          <t>3827049431</t>
        </is>
      </c>
      <c r="E5077" s="13" t="inlineStr">
        <is>
          <t>ЮЛ РФ</t>
        </is>
      </c>
      <c r="F5077" s="13" t="n"/>
      <c r="G5077" s="14" t="n"/>
      <c r="H5077" s="14" t="n"/>
      <c r="I5077" s="14" t="n"/>
      <c r="J5077" s="14" t="n"/>
      <c r="K5077" s="53" t="inlineStr"/>
      <c r="L5077" s="53" t="inlineStr">
        <is>
          <t>Не определено</t>
        </is>
      </c>
      <c r="M5077" s="53" t="inlineStr"/>
      <c r="N5077" s="54" t="inlineStr"/>
      <c r="O5077" s="55" t="inlineStr"/>
      <c r="P5077" s="16" t="inlineStr">
        <is>
          <t>Требует обогащения</t>
        </is>
      </c>
      <c r="Q5077" s="16">
        <f>HYPERLINK("https://pb.nalog.ru/search.html?query=3827049431","ФНС: проверить")</f>
        <v/>
      </c>
      <c r="R5077" s="16">
        <f>HYPERLINK("https://checko.ru/search?query=3801001629","Чекко: проверить")</f>
        <v/>
      </c>
      <c r="S5077" t="n">
        <v>1</v>
      </c>
      <c r="T5077" s="35" t="inlineStr">
        <is>
          <t>4 — Не обогащён</t>
        </is>
      </c>
      <c r="U5077" s="35" t="inlineStr">
        <is>
          <t>Нет ОКВЭД/ССЧР</t>
        </is>
      </c>
      <c r="V5077" s="35" t="inlineStr">
        <is>
          <t>Не определено</t>
        </is>
      </c>
      <c r="W5077" s="35" t="inlineStr"/>
      <c r="X5077" s="35" t="inlineStr"/>
    </row>
    <row r="5078" ht="27.75" customHeight="1" s="24">
      <c r="A5078" s="13" t="n">
        <v>800860378</v>
      </c>
      <c r="B5078" s="13" t="inlineStr">
        <is>
          <t>ООО "ЦЕНТР БУХГАЛТЕРСКОГО УЧЕТА И НАЛОГОВОГО ПРАВА "КОНСУЛЬТАНТ"</t>
        </is>
      </c>
      <c r="C5078" s="13" t="n">
        <v>3808191432</v>
      </c>
      <c r="D5078" s="13" t="inlineStr">
        <is>
          <t>3808191432</t>
        </is>
      </c>
      <c r="E5078" s="13" t="inlineStr">
        <is>
          <t>ЮЛ РФ</t>
        </is>
      </c>
      <c r="F5078" s="13" t="n"/>
      <c r="G5078" s="52" t="n">
        <v>4</v>
      </c>
      <c r="H5078" s="52" t="n">
        <v>2025</v>
      </c>
      <c r="I5078" s="14" t="n"/>
      <c r="J5078" s="14" t="n"/>
      <c r="K5078" s="53" t="inlineStr">
        <is>
          <t>Нет</t>
        </is>
      </c>
      <c r="L5078" s="53" t="inlineStr">
        <is>
          <t>Не определено</t>
        </is>
      </c>
      <c r="M5078" s="53" t="inlineStr">
        <is>
          <t>До 10</t>
        </is>
      </c>
      <c r="N5078" s="54" t="n">
        <v>3360</v>
      </c>
      <c r="O5078" s="55" t="inlineStr">
        <is>
          <t>1–15</t>
        </is>
      </c>
      <c r="P5078" s="16" t="inlineStr">
        <is>
          <t>ССЧР обогащена; ОКВЭД не найден/не загружен</t>
        </is>
      </c>
      <c r="Q5078" s="16" t="inlineStr">
        <is>
          <t>ФНС открытые данные ССЧР (ДатаСост 31.12.2025; набор 7707329152-sshr2019)</t>
        </is>
      </c>
      <c r="R5078" s="16">
        <f>HYPERLINK("https://checko.ru/search?query=3801001629","Чекко: проверить")</f>
        <v/>
      </c>
      <c r="S5078" t="n">
        <v>1</v>
      </c>
      <c r="T5078" s="35" t="inlineStr">
        <is>
          <t>4 — Не обогащён</t>
        </is>
      </c>
      <c r="U5078" s="35" t="inlineStr">
        <is>
          <t>Нет ОКВЭД/ССЧР</t>
        </is>
      </c>
      <c r="V5078" s="35" t="inlineStr">
        <is>
          <t>Не определено</t>
        </is>
      </c>
      <c r="W5078" s="35" t="inlineStr">
        <is>
          <t>Нет</t>
        </is>
      </c>
      <c r="X5078" s="35" t="inlineStr"/>
    </row>
    <row r="5079" ht="15" customHeight="1" s="24">
      <c r="A5079" s="13" t="n">
        <v>802451128</v>
      </c>
      <c r="B5079" s="13" t="inlineStr">
        <is>
          <t>Юридическое агентство РЕАЛ, ООО</t>
        </is>
      </c>
      <c r="C5079" s="13" t="n">
        <v>3808132772</v>
      </c>
      <c r="D5079" s="13" t="inlineStr">
        <is>
          <t>3808132772</t>
        </is>
      </c>
      <c r="E5079" s="13" t="inlineStr">
        <is>
          <t>ЮЛ РФ</t>
        </is>
      </c>
      <c r="F5079" s="13" t="n"/>
      <c r="G5079" s="52" t="n">
        <v>3</v>
      </c>
      <c r="H5079" s="52" t="n">
        <v>2025</v>
      </c>
      <c r="I5079" s="14" t="n"/>
      <c r="J5079" s="14" t="n"/>
      <c r="K5079" s="53" t="inlineStr">
        <is>
          <t>Нет</t>
        </is>
      </c>
      <c r="L5079" s="53" t="inlineStr">
        <is>
          <t>Не определено</t>
        </is>
      </c>
      <c r="M5079" s="53" t="inlineStr">
        <is>
          <t>До 10</t>
        </is>
      </c>
      <c r="N5079" s="54" t="n">
        <v>3360</v>
      </c>
      <c r="O5079" s="55" t="inlineStr">
        <is>
          <t>1–15</t>
        </is>
      </c>
      <c r="P5079" s="16" t="inlineStr">
        <is>
          <t>ССЧР обогащена; ОКВЭД не найден/не загружен</t>
        </is>
      </c>
      <c r="Q5079" s="16" t="inlineStr">
        <is>
          <t>ФНС открытые данные ССЧР (ДатаСост 31.12.2025; набор 7707329152-sshr2019)</t>
        </is>
      </c>
      <c r="R5079" s="16">
        <f>HYPERLINK("https://checko.ru/search?query=3801001629","Чекко: проверить")</f>
        <v/>
      </c>
      <c r="S5079" t="n">
        <v>1</v>
      </c>
      <c r="T5079" s="35" t="inlineStr">
        <is>
          <t>4 — Не обогащён</t>
        </is>
      </c>
      <c r="U5079" s="35" t="inlineStr">
        <is>
          <t>Нет ОКВЭД/ССЧР</t>
        </is>
      </c>
      <c r="V5079" s="35" t="inlineStr">
        <is>
          <t>Не определено</t>
        </is>
      </c>
      <c r="W5079" s="35" t="inlineStr">
        <is>
          <t>Нет</t>
        </is>
      </c>
      <c r="X5079" s="35" t="inlineStr"/>
    </row>
    <row r="5080" ht="15" customHeight="1" s="24">
      <c r="A5080" s="13" t="n">
        <v>9148759</v>
      </c>
      <c r="B5080" s="13" t="inlineStr">
        <is>
          <t>ТрейдмаркеТ</t>
        </is>
      </c>
      <c r="C5080" s="13" t="n">
        <v>3811089460</v>
      </c>
      <c r="D5080" s="13" t="inlineStr">
        <is>
          <t>3811089460</t>
        </is>
      </c>
      <c r="E5080" s="13" t="inlineStr">
        <is>
          <t>ЮЛ РФ</t>
        </is>
      </c>
      <c r="F5080" s="13" t="n"/>
      <c r="G5080" s="52" t="n">
        <v>12</v>
      </c>
      <c r="H5080" s="52" t="n">
        <v>2025</v>
      </c>
      <c r="I5080" s="14" t="n"/>
      <c r="J5080" s="14" t="n"/>
      <c r="K5080" s="53" t="inlineStr">
        <is>
          <t>Нет</t>
        </is>
      </c>
      <c r="L5080" s="53" t="inlineStr">
        <is>
          <t>Не определено</t>
        </is>
      </c>
      <c r="M5080" s="53" t="inlineStr">
        <is>
          <t>До 25</t>
        </is>
      </c>
      <c r="N5080" s="54" t="n">
        <v>8400</v>
      </c>
      <c r="O5080" s="55" t="inlineStr">
        <is>
          <t>1–15</t>
        </is>
      </c>
      <c r="P5080" s="16" t="inlineStr">
        <is>
          <t>ССЧР обогащена; ОКВЭД не найден/не загружен</t>
        </is>
      </c>
      <c r="Q5080" s="16" t="inlineStr">
        <is>
          <t>ФНС открытые данные ССЧР (ДатаСост 31.12.2025; набор 7707329152-sshr2019)</t>
        </is>
      </c>
      <c r="R5080" s="16">
        <f>HYPERLINK("https://checko.ru/search?query=3801001629","Чекко: проверить")</f>
        <v/>
      </c>
      <c r="S5080" t="n">
        <v>1</v>
      </c>
      <c r="T5080" s="35" t="inlineStr">
        <is>
          <t>4 — Не обогащён</t>
        </is>
      </c>
      <c r="U5080" s="35" t="inlineStr">
        <is>
          <t>Нет ОКВЭД/ССЧР</t>
        </is>
      </c>
      <c r="V5080" s="35" t="inlineStr">
        <is>
          <t>Не определено</t>
        </is>
      </c>
      <c r="W5080" s="35" t="inlineStr">
        <is>
          <t>Нет</t>
        </is>
      </c>
      <c r="X5080" s="35" t="inlineStr"/>
    </row>
    <row r="5081" ht="15" customHeight="1" s="24">
      <c r="A5081" s="13" t="n">
        <v>800465344</v>
      </c>
      <c r="B5081" s="13" t="inlineStr">
        <is>
          <t>ООО "Аква"</t>
        </is>
      </c>
      <c r="C5081" s="13" t="n">
        <v>3818017602</v>
      </c>
      <c r="D5081" s="13" t="inlineStr">
        <is>
          <t>3818017602</t>
        </is>
      </c>
      <c r="E5081" s="13" t="inlineStr">
        <is>
          <t>ЮЛ РФ</t>
        </is>
      </c>
      <c r="F5081" s="13" t="n"/>
      <c r="G5081" s="52" t="n">
        <v>2</v>
      </c>
      <c r="H5081" s="52" t="n">
        <v>2025</v>
      </c>
      <c r="I5081" s="14" t="n"/>
      <c r="J5081" s="14" t="n"/>
      <c r="K5081" s="53" t="inlineStr">
        <is>
          <t>Нет</t>
        </is>
      </c>
      <c r="L5081" s="53" t="inlineStr">
        <is>
          <t>Не определено</t>
        </is>
      </c>
      <c r="M5081" s="53" t="inlineStr">
        <is>
          <t>До 10</t>
        </is>
      </c>
      <c r="N5081" s="54" t="n">
        <v>3360</v>
      </c>
      <c r="O5081" s="55" t="inlineStr">
        <is>
          <t>1–15</t>
        </is>
      </c>
      <c r="P5081" s="16" t="inlineStr">
        <is>
          <t>ССЧР обогащена; ОКВЭД не найден/не загружен</t>
        </is>
      </c>
      <c r="Q5081" s="16" t="inlineStr">
        <is>
          <t>ФНС открытые данные ССЧР (ДатаСост 31.12.2025; набор 7707329152-sshr2019)</t>
        </is>
      </c>
      <c r="R5081" s="16">
        <f>HYPERLINK("https://checko.ru/search?query=3801001629","Чекко: проверить")</f>
        <v/>
      </c>
      <c r="S5081" t="n">
        <v>1</v>
      </c>
      <c r="T5081" s="35" t="inlineStr">
        <is>
          <t>4 — Не обогащён</t>
        </is>
      </c>
      <c r="U5081" s="35" t="inlineStr">
        <is>
          <t>Нет ОКВЭД/ССЧР</t>
        </is>
      </c>
      <c r="V5081" s="35" t="inlineStr">
        <is>
          <t>Не определено</t>
        </is>
      </c>
      <c r="W5081" s="35" t="inlineStr">
        <is>
          <t>Нет</t>
        </is>
      </c>
      <c r="X5081" s="35" t="inlineStr"/>
    </row>
    <row r="5082" ht="15" customHeight="1" s="24">
      <c r="A5082" s="13" t="n">
        <v>800479967</v>
      </c>
      <c r="B5082" s="13" t="inlineStr">
        <is>
          <t>ООО Содействие плюс</t>
        </is>
      </c>
      <c r="C5082" s="13" t="n">
        <v>3801161654</v>
      </c>
      <c r="D5082" s="13" t="inlineStr">
        <is>
          <t>3801161654</t>
        </is>
      </c>
      <c r="E5082" s="13" t="inlineStr">
        <is>
          <t>ЮЛ РФ</t>
        </is>
      </c>
      <c r="F5082" s="13" t="n"/>
      <c r="G5082" s="52" t="n">
        <v>7</v>
      </c>
      <c r="H5082" s="52" t="n">
        <v>2025</v>
      </c>
      <c r="I5082" s="14" t="n"/>
      <c r="J5082" s="14" t="n"/>
      <c r="K5082" s="53" t="inlineStr">
        <is>
          <t>Нет</t>
        </is>
      </c>
      <c r="L5082" s="53" t="inlineStr">
        <is>
          <t>Не определено</t>
        </is>
      </c>
      <c r="M5082" s="53" t="inlineStr">
        <is>
          <t>До 10</t>
        </is>
      </c>
      <c r="N5082" s="54" t="n">
        <v>3360</v>
      </c>
      <c r="O5082" s="55" t="inlineStr">
        <is>
          <t>1–15</t>
        </is>
      </c>
      <c r="P5082" s="16" t="inlineStr">
        <is>
          <t>ССЧР обогащена; ОКВЭД не найден/не загружен</t>
        </is>
      </c>
      <c r="Q5082" s="16" t="inlineStr">
        <is>
          <t>ФНС открытые данные ССЧР (ДатаСост 31.12.2025; набор 7707329152-sshr2019)</t>
        </is>
      </c>
      <c r="R5082" s="16">
        <f>HYPERLINK("https://checko.ru/search?query=3801001629","Чекко: проверить")</f>
        <v/>
      </c>
      <c r="S5082" t="n">
        <v>1</v>
      </c>
      <c r="T5082" s="35" t="inlineStr">
        <is>
          <t>4 — Не обогащён</t>
        </is>
      </c>
      <c r="U5082" s="35" t="inlineStr">
        <is>
          <t>Нет ОКВЭД/ССЧР</t>
        </is>
      </c>
      <c r="V5082" s="35" t="inlineStr">
        <is>
          <t>Не определено</t>
        </is>
      </c>
      <c r="W5082" s="35" t="inlineStr">
        <is>
          <t>Нет</t>
        </is>
      </c>
      <c r="X5082" s="35" t="inlineStr"/>
    </row>
    <row r="5083" ht="15" customHeight="1" s="24">
      <c r="A5083" s="13" t="n">
        <v>11916025</v>
      </c>
      <c r="B5083" s="13" t="inlineStr">
        <is>
          <t>Спас ООО</t>
        </is>
      </c>
      <c r="C5083" s="13" t="n">
        <v>3827012657</v>
      </c>
      <c r="D5083" s="13" t="inlineStr">
        <is>
          <t>3827012657</t>
        </is>
      </c>
      <c r="E5083" s="13" t="inlineStr">
        <is>
          <t>ЮЛ РФ</t>
        </is>
      </c>
      <c r="F5083" s="13" t="n"/>
      <c r="G5083" s="52" t="n">
        <v>6</v>
      </c>
      <c r="H5083" s="52" t="n">
        <v>2025</v>
      </c>
      <c r="I5083" s="14" t="n"/>
      <c r="J5083" s="14" t="n"/>
      <c r="K5083" s="53" t="inlineStr">
        <is>
          <t>Нет</t>
        </is>
      </c>
      <c r="L5083" s="53" t="inlineStr">
        <is>
          <t>Не определено</t>
        </is>
      </c>
      <c r="M5083" s="53" t="inlineStr">
        <is>
          <t>До 10</t>
        </is>
      </c>
      <c r="N5083" s="54" t="n">
        <v>3360</v>
      </c>
      <c r="O5083" s="55" t="inlineStr">
        <is>
          <t>1–15</t>
        </is>
      </c>
      <c r="P5083" s="16" t="inlineStr">
        <is>
          <t>ССЧР обогащена; ОКВЭД не найден/не загружен</t>
        </is>
      </c>
      <c r="Q5083" s="16" t="inlineStr">
        <is>
          <t>ФНС открытые данные ССЧР (ДатаСост 31.12.2025; набор 7707329152-sshr2019)</t>
        </is>
      </c>
      <c r="R5083" s="16">
        <f>HYPERLINK("https://checko.ru/search?query=3801001629","Чекко: проверить")</f>
        <v/>
      </c>
      <c r="S5083" t="n">
        <v>1</v>
      </c>
      <c r="T5083" s="35" t="inlineStr">
        <is>
          <t>4 — Не обогащён</t>
        </is>
      </c>
      <c r="U5083" s="35" t="inlineStr">
        <is>
          <t>Нет ОКВЭД/ССЧР</t>
        </is>
      </c>
      <c r="V5083" s="35" t="inlineStr">
        <is>
          <t>Не определено</t>
        </is>
      </c>
      <c r="W5083" s="35" t="inlineStr">
        <is>
          <t>Нет</t>
        </is>
      </c>
      <c r="X5083" s="35" t="inlineStr"/>
    </row>
    <row r="5084" ht="27.75" customHeight="1" s="24">
      <c r="A5084" s="13" t="n">
        <v>802898930</v>
      </c>
      <c r="B5084" s="13" t="inlineStr">
        <is>
          <t>Общество с ограниченной ответственностью "ФАБРИКА БЕТОНОВ"</t>
        </is>
      </c>
      <c r="C5084" s="13" t="n">
        <v>3808167655</v>
      </c>
      <c r="D5084" s="13" t="inlineStr">
        <is>
          <t>3808167655</t>
        </is>
      </c>
      <c r="E5084" s="13" t="inlineStr">
        <is>
          <t>ЮЛ РФ</t>
        </is>
      </c>
      <c r="F5084" s="13" t="n"/>
      <c r="G5084" s="52" t="n">
        <v>24</v>
      </c>
      <c r="H5084" s="52" t="n">
        <v>2025</v>
      </c>
      <c r="I5084" s="52" t="inlineStr">
        <is>
          <t>46.90</t>
        </is>
      </c>
      <c r="J5084" s="52" t="inlineStr">
        <is>
          <t>46.90; 49.41; 49.41.1; 49.42; 82.92</t>
        </is>
      </c>
      <c r="K5084" s="53" t="inlineStr">
        <is>
          <t>Да</t>
        </is>
      </c>
      <c r="L5084" s="53" t="inlineStr">
        <is>
          <t>Да</t>
        </is>
      </c>
      <c r="M5084" s="53" t="inlineStr">
        <is>
          <t>До 25</t>
        </is>
      </c>
      <c r="N5084" s="54" t="n">
        <v>8400</v>
      </c>
      <c r="O5084" s="55" t="inlineStr">
        <is>
          <t>16–30</t>
        </is>
      </c>
      <c r="P5084" s="16" t="inlineStr">
        <is>
          <t>ССЧР + ОКВЭД обогащены</t>
        </is>
      </c>
      <c r="Q5084" s="16" t="inlineStr">
        <is>
          <t>ФНС открытые данные ССЧР (ДатаСост 31.12.2025; набор 7707329152-sshr2019)</t>
        </is>
      </c>
      <c r="R5084" s="16" t="inlineStr">
        <is>
          <t>ЕГРЮЛ / egrul.nalog.ru (выписка)</t>
        </is>
      </c>
      <c r="S5084" t="n">
        <v>1</v>
      </c>
      <c r="T5084" s="35" t="inlineStr">
        <is>
          <t>1 — Горячий</t>
        </is>
      </c>
      <c r="U5084" s="35" t="inlineStr">
        <is>
          <t>ОКВЭД + 22+</t>
        </is>
      </c>
      <c r="V5084" s="35" t="inlineStr">
        <is>
          <t>Да</t>
        </is>
      </c>
      <c r="W5084" s="35" t="inlineStr">
        <is>
          <t>Да</t>
        </is>
      </c>
      <c r="X5084" s="35" t="inlineStr">
        <is>
          <t>Да</t>
        </is>
      </c>
    </row>
    <row r="5085" ht="15" customHeight="1" s="24">
      <c r="A5085" s="13" t="n">
        <v>10985461</v>
      </c>
      <c r="B5085" s="13" t="inlineStr">
        <is>
          <t>ООО "СИБИРСКАЯ НИВА"</t>
        </is>
      </c>
      <c r="C5085" s="13" t="n">
        <v>3827062087</v>
      </c>
      <c r="D5085" s="13" t="inlineStr">
        <is>
          <t>3827062087</t>
        </is>
      </c>
      <c r="E5085" s="13" t="inlineStr">
        <is>
          <t>ЮЛ РФ</t>
        </is>
      </c>
      <c r="F5085" s="13" t="n"/>
      <c r="G5085" s="52" t="n">
        <v>14</v>
      </c>
      <c r="H5085" s="52" t="n">
        <v>2025</v>
      </c>
      <c r="I5085" s="14" t="n"/>
      <c r="J5085" s="14" t="n"/>
      <c r="K5085" s="53" t="inlineStr">
        <is>
          <t>Нет</t>
        </is>
      </c>
      <c r="L5085" s="53" t="inlineStr">
        <is>
          <t>Не определено</t>
        </is>
      </c>
      <c r="M5085" s="53" t="inlineStr">
        <is>
          <t>До 25</t>
        </is>
      </c>
      <c r="N5085" s="54" t="n">
        <v>8400</v>
      </c>
      <c r="O5085" s="55" t="inlineStr">
        <is>
          <t>1–15</t>
        </is>
      </c>
      <c r="P5085" s="16" t="inlineStr">
        <is>
          <t>ССЧР обогащена; ОКВЭД не найден/не загружен</t>
        </is>
      </c>
      <c r="Q5085" s="16" t="inlineStr">
        <is>
          <t>ФНС открытые данные ССЧР (ДатаСост 31.12.2025; набор 7707329152-sshr2019)</t>
        </is>
      </c>
      <c r="R5085" s="16">
        <f>HYPERLINK("https://checko.ru/search?query=3801001629","Чекко: проверить")</f>
        <v/>
      </c>
      <c r="S5085" t="n">
        <v>1</v>
      </c>
      <c r="T5085" s="35" t="inlineStr">
        <is>
          <t>4 — Не обогащён</t>
        </is>
      </c>
      <c r="U5085" s="35" t="inlineStr">
        <is>
          <t>Нет ОКВЭД/ССЧР</t>
        </is>
      </c>
      <c r="V5085" s="35" t="inlineStr">
        <is>
          <t>Не определено</t>
        </is>
      </c>
      <c r="W5085" s="35" t="inlineStr">
        <is>
          <t>Нет</t>
        </is>
      </c>
      <c r="X5085" s="35" t="inlineStr"/>
    </row>
    <row r="5086" ht="15" customHeight="1" s="24">
      <c r="A5086" s="13" t="n">
        <v>18265186</v>
      </c>
      <c r="B5086" s="13" t="inlineStr">
        <is>
          <t>ИП Горбачев Евгений Олегович</t>
        </is>
      </c>
      <c r="C5086" s="13" t="n">
        <v>381109023800</v>
      </c>
      <c r="D5086" s="13" t="inlineStr">
        <is>
          <t>381109023800</t>
        </is>
      </c>
      <c r="E5086" s="13" t="inlineStr">
        <is>
          <t>ИП РФ / физлицо</t>
        </is>
      </c>
      <c r="F5086" s="13" t="n"/>
      <c r="G5086" s="14" t="n"/>
      <c r="H5086" s="14" t="n"/>
      <c r="I5086" s="14" t="n"/>
      <c r="J5086" s="14" t="n"/>
      <c r="K5086" s="53" t="inlineStr"/>
      <c r="L5086" s="53" t="inlineStr">
        <is>
          <t>Не определено</t>
        </is>
      </c>
      <c r="M5086" s="53" t="inlineStr"/>
      <c r="N5086" s="54" t="inlineStr"/>
      <c r="O5086" s="55" t="inlineStr"/>
      <c r="P5086" s="16" t="inlineStr">
        <is>
          <t>Требует обогащения</t>
        </is>
      </c>
      <c r="Q5086" s="16">
        <f>HYPERLINK("https://pb.nalog.ru/search.html?query=381109023800","ФНС: проверить")</f>
        <v/>
      </c>
      <c r="R5086" s="16">
        <f>HYPERLINK("https://checko.ru/search?query=3801001629","Чекко: проверить")</f>
        <v/>
      </c>
      <c r="S5086" t="n">
        <v>1</v>
      </c>
      <c r="T5086" s="35" t="inlineStr">
        <is>
          <t>4 — Не обогащён</t>
        </is>
      </c>
      <c r="U5086" s="35" t="inlineStr">
        <is>
          <t>Нет ОКВЭД/ССЧР</t>
        </is>
      </c>
      <c r="V5086" s="35" t="inlineStr">
        <is>
          <t>Не определено</t>
        </is>
      </c>
      <c r="W5086" s="35" t="inlineStr"/>
      <c r="X5086" s="35" t="inlineStr"/>
    </row>
    <row r="5087" ht="15" customHeight="1" s="24">
      <c r="A5087" s="13" t="n">
        <v>9735577</v>
      </c>
      <c r="B5087" s="13" t="inlineStr">
        <is>
          <t>ИП Тинькова Валентина Петровна</t>
        </is>
      </c>
      <c r="C5087" s="13" t="n">
        <v>381201171494</v>
      </c>
      <c r="D5087" s="13" t="inlineStr">
        <is>
          <t>381201171494</t>
        </is>
      </c>
      <c r="E5087" s="13" t="inlineStr">
        <is>
          <t>ИП РФ / физлицо</t>
        </is>
      </c>
      <c r="F5087" s="13" t="n"/>
      <c r="G5087" s="14" t="n"/>
      <c r="H5087" s="14" t="n"/>
      <c r="I5087" s="14" t="n"/>
      <c r="J5087" s="14" t="n"/>
      <c r="K5087" s="53" t="inlineStr"/>
      <c r="L5087" s="53" t="inlineStr">
        <is>
          <t>Не определено</t>
        </is>
      </c>
      <c r="M5087" s="53" t="inlineStr"/>
      <c r="N5087" s="54" t="inlineStr"/>
      <c r="O5087" s="55" t="inlineStr"/>
      <c r="P5087" s="16" t="inlineStr">
        <is>
          <t>Требует обогащения</t>
        </is>
      </c>
      <c r="Q5087" s="16">
        <f>HYPERLINK("https://pb.nalog.ru/search.html?query=381201171494","ФНС: проверить")</f>
        <v/>
      </c>
      <c r="R5087" s="16">
        <f>HYPERLINK("https://checko.ru/search?query=3801001629","Чекко: проверить")</f>
        <v/>
      </c>
      <c r="S5087" t="n">
        <v>1</v>
      </c>
      <c r="T5087" s="35" t="inlineStr">
        <is>
          <t>4 — Не обогащён</t>
        </is>
      </c>
      <c r="U5087" s="35" t="inlineStr">
        <is>
          <t>Нет ОКВЭД/ССЧР</t>
        </is>
      </c>
      <c r="V5087" s="35" t="inlineStr">
        <is>
          <t>Не определено</t>
        </is>
      </c>
      <c r="W5087" s="35" t="inlineStr"/>
      <c r="X5087" s="35" t="inlineStr"/>
    </row>
    <row r="5088" ht="27.75" customHeight="1" s="24">
      <c r="A5088" s="13" t="n">
        <v>804665259</v>
      </c>
      <c r="B5088" s="13" t="inlineStr">
        <is>
          <t>ОБЩЕСТВО С ОГРАНИЧЕННОЙ ОТВЕТСТВЕННОСТЬЮ "КАРДАН-СЕРВИС"</t>
        </is>
      </c>
      <c r="C5088" s="13" t="n">
        <v>3849014792</v>
      </c>
      <c r="D5088" s="13" t="inlineStr">
        <is>
          <t>3849014792</t>
        </is>
      </c>
      <c r="E5088" s="13" t="inlineStr">
        <is>
          <t>ЮЛ РФ</t>
        </is>
      </c>
      <c r="F5088" s="13" t="n"/>
      <c r="G5088" s="52" t="n">
        <v>15</v>
      </c>
      <c r="H5088" s="52" t="n">
        <v>2025</v>
      </c>
      <c r="I5088" s="14" t="n"/>
      <c r="J5088" s="14" t="n"/>
      <c r="K5088" s="53" t="inlineStr">
        <is>
          <t>Нет</t>
        </is>
      </c>
      <c r="L5088" s="53" t="inlineStr">
        <is>
          <t>Не определено</t>
        </is>
      </c>
      <c r="M5088" s="53" t="inlineStr">
        <is>
          <t>До 25</t>
        </is>
      </c>
      <c r="N5088" s="54" t="n">
        <v>8400</v>
      </c>
      <c r="O5088" s="55" t="inlineStr">
        <is>
          <t>1–15</t>
        </is>
      </c>
      <c r="P5088" s="16" t="inlineStr">
        <is>
          <t>ССЧР обогащена; ОКВЭД не найден/не загружен</t>
        </is>
      </c>
      <c r="Q5088" s="16" t="inlineStr">
        <is>
          <t>ФНС открытые данные ССЧР (ДатаСост 31.12.2025; набор 7707329152-sshr2019)</t>
        </is>
      </c>
      <c r="R5088" s="16">
        <f>HYPERLINK("https://checko.ru/search?query=3801001629","Чекко: проверить")</f>
        <v/>
      </c>
      <c r="S5088" t="n">
        <v>1</v>
      </c>
      <c r="T5088" s="35" t="inlineStr">
        <is>
          <t>4 — Не обогащён</t>
        </is>
      </c>
      <c r="U5088" s="35" t="inlineStr">
        <is>
          <t>Нет ОКВЭД/ССЧР</t>
        </is>
      </c>
      <c r="V5088" s="35" t="inlineStr">
        <is>
          <t>Не определено</t>
        </is>
      </c>
      <c r="W5088" s="35" t="inlineStr">
        <is>
          <t>Нет</t>
        </is>
      </c>
      <c r="X5088" s="35" t="inlineStr"/>
    </row>
    <row r="5089" ht="27.75" customHeight="1" s="24">
      <c r="A5089" s="13" t="n">
        <v>802458046</v>
      </c>
      <c r="B5089" s="13" t="inlineStr">
        <is>
          <t>ОБЩЕСТВО С ОГРАНИЧЕННОЙ ОТВЕТСТВЕННОСТЬЮ "ЧИКОЙ"</t>
        </is>
      </c>
      <c r="C5089" s="13" t="n">
        <v>3810074165</v>
      </c>
      <c r="D5089" s="13" t="inlineStr">
        <is>
          <t>3810074165</t>
        </is>
      </c>
      <c r="E5089" s="13" t="inlineStr">
        <is>
          <t>ЮЛ РФ</t>
        </is>
      </c>
      <c r="F5089" s="13" t="n"/>
      <c r="G5089" s="52" t="n">
        <v>8</v>
      </c>
      <c r="H5089" s="52" t="n">
        <v>2025</v>
      </c>
      <c r="I5089" s="14" t="n"/>
      <c r="J5089" s="14" t="n"/>
      <c r="K5089" s="53" t="inlineStr">
        <is>
          <t>Нет</t>
        </is>
      </c>
      <c r="L5089" s="53" t="inlineStr">
        <is>
          <t>Не определено</t>
        </is>
      </c>
      <c r="M5089" s="53" t="inlineStr">
        <is>
          <t>До 10</t>
        </is>
      </c>
      <c r="N5089" s="54" t="n">
        <v>3360</v>
      </c>
      <c r="O5089" s="55" t="inlineStr">
        <is>
          <t>1–15</t>
        </is>
      </c>
      <c r="P5089" s="16" t="inlineStr">
        <is>
          <t>ССЧР обогащена; ОКВЭД не найден/не загружен</t>
        </is>
      </c>
      <c r="Q5089" s="16" t="inlineStr">
        <is>
          <t>ФНС открытые данные ССЧР (ДатаСост 31.12.2025; набор 7707329152-sshr2019)</t>
        </is>
      </c>
      <c r="R5089" s="16">
        <f>HYPERLINK("https://checko.ru/search?query=3801001629","Чекко: проверить")</f>
        <v/>
      </c>
      <c r="S5089" t="n">
        <v>1</v>
      </c>
      <c r="T5089" s="35" t="inlineStr">
        <is>
          <t>4 — Не обогащён</t>
        </is>
      </c>
      <c r="U5089" s="35" t="inlineStr">
        <is>
          <t>Нет ОКВЭД/ССЧР</t>
        </is>
      </c>
      <c r="V5089" s="35" t="inlineStr">
        <is>
          <t>Не определено</t>
        </is>
      </c>
      <c r="W5089" s="35" t="inlineStr">
        <is>
          <t>Нет</t>
        </is>
      </c>
      <c r="X5089" s="35" t="inlineStr"/>
    </row>
    <row r="5090" ht="15" customHeight="1" s="24">
      <c r="A5090" s="13" t="n">
        <v>800491790</v>
      </c>
      <c r="B5090" s="13" t="inlineStr">
        <is>
          <t>ИП Попов Василий Георгиевич</t>
        </is>
      </c>
      <c r="C5090" s="13" t="n">
        <v>381200417963</v>
      </c>
      <c r="D5090" s="13" t="inlineStr">
        <is>
          <t>381200417963</t>
        </is>
      </c>
      <c r="E5090" s="13" t="inlineStr">
        <is>
          <t>ИП РФ / физлицо</t>
        </is>
      </c>
      <c r="F5090" s="13" t="n"/>
      <c r="G5090" s="14" t="n"/>
      <c r="H5090" s="14" t="n"/>
      <c r="I5090" s="14" t="n"/>
      <c r="J5090" s="14" t="n"/>
      <c r="K5090" s="53" t="inlineStr"/>
      <c r="L5090" s="53" t="inlineStr">
        <is>
          <t>Не определено</t>
        </is>
      </c>
      <c r="M5090" s="53" t="inlineStr"/>
      <c r="N5090" s="54" t="inlineStr"/>
      <c r="O5090" s="55" t="inlineStr"/>
      <c r="P5090" s="16" t="inlineStr">
        <is>
          <t>Требует обогащения</t>
        </is>
      </c>
      <c r="Q5090" s="16">
        <f>HYPERLINK("https://pb.nalog.ru/search.html?query=381200417963","ФНС: проверить")</f>
        <v/>
      </c>
      <c r="R5090" s="16">
        <f>HYPERLINK("https://checko.ru/search?query=3801001629","Чекко: проверить")</f>
        <v/>
      </c>
      <c r="S5090" t="n">
        <v>1</v>
      </c>
      <c r="T5090" s="35" t="inlineStr">
        <is>
          <t>4 — Не обогащён</t>
        </is>
      </c>
      <c r="U5090" s="35" t="inlineStr">
        <is>
          <t>Нет ОКВЭД/ССЧР</t>
        </is>
      </c>
      <c r="V5090" s="35" t="inlineStr">
        <is>
          <t>Не определено</t>
        </is>
      </c>
      <c r="W5090" s="35" t="inlineStr"/>
      <c r="X5090" s="35" t="inlineStr"/>
    </row>
    <row r="5091" ht="15" customHeight="1" s="24">
      <c r="A5091" s="13" t="n">
        <v>800424275</v>
      </c>
      <c r="B5091" s="13" t="inlineStr">
        <is>
          <t>ООО "Высокий стиль"</t>
        </is>
      </c>
      <c r="C5091" s="13" t="n">
        <v>3804028273</v>
      </c>
      <c r="D5091" s="13" t="inlineStr">
        <is>
          <t>3804028273</t>
        </is>
      </c>
      <c r="E5091" s="13" t="inlineStr">
        <is>
          <t>ЮЛ РФ</t>
        </is>
      </c>
      <c r="F5091" s="13" t="n"/>
      <c r="G5091" s="52" t="n">
        <v>55</v>
      </c>
      <c r="H5091" s="52" t="n">
        <v>2025</v>
      </c>
      <c r="I5091" s="52" t="inlineStr">
        <is>
          <t>22.23</t>
        </is>
      </c>
      <c r="J5091" s="52" t="inlineStr">
        <is>
          <t>22.23; 02.20; 16.10.1; 16.23.1; 41.20; 42.99; 43.29; 43.31; 43.32; 43.33; 43.34; 43.99.5; 43.99.9; 45.20.2; 46.73.6; 46.90; 47.52.7; 49.41.2; 52.24.2; 68.31.12; 68.31.22; 68.31.32; 68.31.42</t>
        </is>
      </c>
      <c r="K5091" s="53" t="inlineStr">
        <is>
          <t>Да</t>
        </is>
      </c>
      <c r="L5091" s="53" t="inlineStr">
        <is>
          <t>Да</t>
        </is>
      </c>
      <c r="M5091" s="53" t="inlineStr">
        <is>
          <t>До 100</t>
        </is>
      </c>
      <c r="N5091" s="54" t="n">
        <v>33600</v>
      </c>
      <c r="O5091" s="55" t="inlineStr">
        <is>
          <t>51–100</t>
        </is>
      </c>
      <c r="P5091" s="16" t="inlineStr">
        <is>
          <t>ССЧР + ОКВЭД обогащены</t>
        </is>
      </c>
      <c r="Q5091" s="16" t="inlineStr">
        <is>
          <t>ФНС открытые данные ССЧР (ДатаСост 31.12.2025; набор 7707329152-sshr2019)</t>
        </is>
      </c>
      <c r="R5091" s="16" t="inlineStr">
        <is>
          <t>ЕГРЮЛ / egrul.nalog.ru (выписка)</t>
        </is>
      </c>
      <c r="S5091" t="n">
        <v>1</v>
      </c>
      <c r="T5091" s="35" t="inlineStr">
        <is>
          <t>1 — Горячий</t>
        </is>
      </c>
      <c r="U5091" s="35" t="inlineStr">
        <is>
          <t>ОКВЭД + 22+</t>
        </is>
      </c>
      <c r="V5091" s="35" t="inlineStr">
        <is>
          <t>Да</t>
        </is>
      </c>
      <c r="W5091" s="35" t="inlineStr">
        <is>
          <t>Да</t>
        </is>
      </c>
      <c r="X5091" s="35" t="inlineStr">
        <is>
          <t>Да</t>
        </is>
      </c>
    </row>
    <row r="5092" ht="15" customHeight="1" s="24">
      <c r="A5092" s="13" t="n">
        <v>9166651</v>
      </c>
      <c r="B5092" s="13" t="inlineStr">
        <is>
          <t>ООО Фирма "СКВ"</t>
        </is>
      </c>
      <c r="C5092" s="13" t="n">
        <v>3805401699</v>
      </c>
      <c r="D5092" s="13" t="inlineStr">
        <is>
          <t>3805401699</t>
        </is>
      </c>
      <c r="E5092" s="13" t="inlineStr">
        <is>
          <t>ЮЛ РФ</t>
        </is>
      </c>
      <c r="F5092" s="13" t="n"/>
      <c r="G5092" s="52" t="n">
        <v>7</v>
      </c>
      <c r="H5092" s="52" t="n">
        <v>2025</v>
      </c>
      <c r="I5092" s="14" t="n"/>
      <c r="J5092" s="14" t="n"/>
      <c r="K5092" s="53" t="inlineStr">
        <is>
          <t>Нет</t>
        </is>
      </c>
      <c r="L5092" s="53" t="inlineStr">
        <is>
          <t>Не определено</t>
        </is>
      </c>
      <c r="M5092" s="53" t="inlineStr">
        <is>
          <t>До 10</t>
        </is>
      </c>
      <c r="N5092" s="54" t="n">
        <v>3360</v>
      </c>
      <c r="O5092" s="55" t="inlineStr">
        <is>
          <t>1–15</t>
        </is>
      </c>
      <c r="P5092" s="16" t="inlineStr">
        <is>
          <t>ССЧР обогащена; ОКВЭД не найден/не загружен</t>
        </is>
      </c>
      <c r="Q5092" s="16" t="inlineStr">
        <is>
          <t>ФНС открытые данные ССЧР (ДатаСост 31.12.2025; набор 7707329152-sshr2019)</t>
        </is>
      </c>
      <c r="R5092" s="16">
        <f>HYPERLINK("https://checko.ru/search?query=3801001629","Чекко: проверить")</f>
        <v/>
      </c>
      <c r="S5092" t="n">
        <v>1</v>
      </c>
      <c r="T5092" s="35" t="inlineStr">
        <is>
          <t>4 — Не обогащён</t>
        </is>
      </c>
      <c r="U5092" s="35" t="inlineStr">
        <is>
          <t>Нет ОКВЭД/ССЧР</t>
        </is>
      </c>
      <c r="V5092" s="35" t="inlineStr">
        <is>
          <t>Не определено</t>
        </is>
      </c>
      <c r="W5092" s="35" t="inlineStr">
        <is>
          <t>Нет</t>
        </is>
      </c>
      <c r="X5092" s="35" t="inlineStr"/>
    </row>
    <row r="5093" ht="15" customHeight="1" s="24">
      <c r="A5093" s="13" t="n">
        <v>9842127</v>
      </c>
      <c r="B5093" s="13" t="inlineStr">
        <is>
          <t>МАРС ООО</t>
        </is>
      </c>
      <c r="C5093" s="13" t="n">
        <v>3849058430</v>
      </c>
      <c r="D5093" s="13" t="inlineStr">
        <is>
          <t>3849058430</t>
        </is>
      </c>
      <c r="E5093" s="13" t="inlineStr">
        <is>
          <t>ЮЛ РФ</t>
        </is>
      </c>
      <c r="F5093" s="13" t="n"/>
      <c r="G5093" s="52" t="n">
        <v>17</v>
      </c>
      <c r="H5093" s="52" t="n">
        <v>2025</v>
      </c>
      <c r="I5093" s="14" t="n"/>
      <c r="J5093" s="14" t="n"/>
      <c r="K5093" s="53" t="inlineStr">
        <is>
          <t>Нет</t>
        </is>
      </c>
      <c r="L5093" s="53" t="inlineStr">
        <is>
          <t>Не определено</t>
        </is>
      </c>
      <c r="M5093" s="53" t="inlineStr">
        <is>
          <t>До 25</t>
        </is>
      </c>
      <c r="N5093" s="54" t="n">
        <v>8400</v>
      </c>
      <c r="O5093" s="55" t="inlineStr">
        <is>
          <t>16–30</t>
        </is>
      </c>
      <c r="P5093" s="16" t="inlineStr">
        <is>
          <t>ССЧР обогащена; ОКВЭД не найден/не загружен</t>
        </is>
      </c>
      <c r="Q5093" s="16" t="inlineStr">
        <is>
          <t>ФНС открытые данные ССЧР (ДатаСост 31.12.2025; набор 7707329152-sshr2019)</t>
        </is>
      </c>
      <c r="R5093" s="16">
        <f>HYPERLINK("https://checko.ru/search?query=3801001629","Чекко: проверить")</f>
        <v/>
      </c>
      <c r="S5093" t="n">
        <v>1</v>
      </c>
      <c r="T5093" s="35" t="inlineStr">
        <is>
          <t>4 — Не обогащён</t>
        </is>
      </c>
      <c r="U5093" s="35" t="inlineStr">
        <is>
          <t>Нет ОКВЭД/ССЧР</t>
        </is>
      </c>
      <c r="V5093" s="35" t="inlineStr">
        <is>
          <t>Не определено</t>
        </is>
      </c>
      <c r="W5093" s="35" t="inlineStr">
        <is>
          <t>Нет</t>
        </is>
      </c>
      <c r="X5093" s="35" t="inlineStr"/>
    </row>
    <row r="5094" ht="15" customHeight="1" s="24">
      <c r="A5094" s="13" t="n">
        <v>800636141</v>
      </c>
      <c r="B5094" s="13" t="inlineStr">
        <is>
          <t>ООО "Траст"</t>
        </is>
      </c>
      <c r="C5094" s="13" t="n">
        <v>3837000146</v>
      </c>
      <c r="D5094" s="13" t="inlineStr">
        <is>
          <t>3837000146</t>
        </is>
      </c>
      <c r="E5094" s="13" t="inlineStr">
        <is>
          <t>ЮЛ РФ</t>
        </is>
      </c>
      <c r="F5094" s="13" t="n"/>
      <c r="G5094" s="52" t="n">
        <v>5</v>
      </c>
      <c r="H5094" s="52" t="n">
        <v>2025</v>
      </c>
      <c r="I5094" s="14" t="n"/>
      <c r="J5094" s="14" t="n"/>
      <c r="K5094" s="53" t="inlineStr">
        <is>
          <t>Нет</t>
        </is>
      </c>
      <c r="L5094" s="53" t="inlineStr">
        <is>
          <t>Не определено</t>
        </is>
      </c>
      <c r="M5094" s="53" t="inlineStr">
        <is>
          <t>До 10</t>
        </is>
      </c>
      <c r="N5094" s="54" t="n">
        <v>3360</v>
      </c>
      <c r="O5094" s="55" t="inlineStr">
        <is>
          <t>1–15</t>
        </is>
      </c>
      <c r="P5094" s="16" t="inlineStr">
        <is>
          <t>ССЧР обогащена; ОКВЭД не найден/не загружен</t>
        </is>
      </c>
      <c r="Q5094" s="16" t="inlineStr">
        <is>
          <t>ФНС открытые данные ССЧР (ДатаСост 31.12.2025; набор 7707329152-sshr2019)</t>
        </is>
      </c>
      <c r="R5094" s="16">
        <f>HYPERLINK("https://checko.ru/search?query=3801001629","Чекко: проверить")</f>
        <v/>
      </c>
      <c r="S5094" t="n">
        <v>1</v>
      </c>
      <c r="T5094" s="35" t="inlineStr">
        <is>
          <t>4 — Не обогащён</t>
        </is>
      </c>
      <c r="U5094" s="35" t="inlineStr">
        <is>
          <t>Нет ОКВЭД/ССЧР</t>
        </is>
      </c>
      <c r="V5094" s="35" t="inlineStr">
        <is>
          <t>Не определено</t>
        </is>
      </c>
      <c r="W5094" s="35" t="inlineStr">
        <is>
          <t>Нет</t>
        </is>
      </c>
      <c r="X5094" s="35" t="inlineStr"/>
    </row>
    <row r="5095" ht="15" customHeight="1" s="24">
      <c r="A5095" s="13" t="n">
        <v>800724424</v>
      </c>
      <c r="B5095" s="13" t="inlineStr">
        <is>
          <t>ООО "Медицинская Холдинговая Компания"</t>
        </is>
      </c>
      <c r="C5095" s="13" t="n">
        <v>3809024297</v>
      </c>
      <c r="D5095" s="13" t="inlineStr">
        <is>
          <t>3809024297</t>
        </is>
      </c>
      <c r="E5095" s="13" t="inlineStr">
        <is>
          <t>ЮЛ РФ</t>
        </is>
      </c>
      <c r="F5095" s="13" t="n"/>
      <c r="G5095" s="52" t="n">
        <v>8</v>
      </c>
      <c r="H5095" s="52" t="n">
        <v>2025</v>
      </c>
      <c r="I5095" s="14" t="n"/>
      <c r="J5095" s="14" t="n"/>
      <c r="K5095" s="53" t="inlineStr">
        <is>
          <t>Нет</t>
        </is>
      </c>
      <c r="L5095" s="53" t="inlineStr">
        <is>
          <t>Не определено</t>
        </is>
      </c>
      <c r="M5095" s="53" t="inlineStr">
        <is>
          <t>До 10</t>
        </is>
      </c>
      <c r="N5095" s="54" t="n">
        <v>3360</v>
      </c>
      <c r="O5095" s="55" t="inlineStr">
        <is>
          <t>1–15</t>
        </is>
      </c>
      <c r="P5095" s="16" t="inlineStr">
        <is>
          <t>ССЧР обогащена; ОКВЭД не найден/не загружен</t>
        </is>
      </c>
      <c r="Q5095" s="16" t="inlineStr">
        <is>
          <t>ФНС открытые данные ССЧР (ДатаСост 31.12.2025; набор 7707329152-sshr2019)</t>
        </is>
      </c>
      <c r="R5095" s="16">
        <f>HYPERLINK("https://checko.ru/search?query=3801001629","Чекко: проверить")</f>
        <v/>
      </c>
      <c r="S5095" t="n">
        <v>1</v>
      </c>
      <c r="T5095" s="35" t="inlineStr">
        <is>
          <t>4 — Не обогащён</t>
        </is>
      </c>
      <c r="U5095" s="35" t="inlineStr">
        <is>
          <t>Нет ОКВЭД/ССЧР</t>
        </is>
      </c>
      <c r="V5095" s="35" t="inlineStr">
        <is>
          <t>Не определено</t>
        </is>
      </c>
      <c r="W5095" s="35" t="inlineStr">
        <is>
          <t>Нет</t>
        </is>
      </c>
      <c r="X5095" s="35" t="inlineStr"/>
    </row>
    <row r="5096" ht="15" customHeight="1" s="24">
      <c r="A5096" s="13" t="n">
        <v>800546922</v>
      </c>
      <c r="B5096" s="13" t="inlineStr">
        <is>
          <t>ООО "СИБСИЛС+"</t>
        </is>
      </c>
      <c r="C5096" s="13" t="n">
        <v>3849057475</v>
      </c>
      <c r="D5096" s="13" t="inlineStr">
        <is>
          <t>3849057475</t>
        </is>
      </c>
      <c r="E5096" s="13" t="inlineStr">
        <is>
          <t>ЮЛ РФ</t>
        </is>
      </c>
      <c r="F5096" s="13" t="n"/>
      <c r="G5096" s="52" t="n">
        <v>2</v>
      </c>
      <c r="H5096" s="52" t="n">
        <v>2025</v>
      </c>
      <c r="I5096" s="14" t="n"/>
      <c r="J5096" s="14" t="n"/>
      <c r="K5096" s="53" t="inlineStr">
        <is>
          <t>Нет</t>
        </is>
      </c>
      <c r="L5096" s="53" t="inlineStr">
        <is>
          <t>Не определено</t>
        </is>
      </c>
      <c r="M5096" s="53" t="inlineStr">
        <is>
          <t>До 10</t>
        </is>
      </c>
      <c r="N5096" s="54" t="n">
        <v>3360</v>
      </c>
      <c r="O5096" s="55" t="inlineStr">
        <is>
          <t>1–15</t>
        </is>
      </c>
      <c r="P5096" s="16" t="inlineStr">
        <is>
          <t>ССЧР обогащена; ОКВЭД не найден/не загружен</t>
        </is>
      </c>
      <c r="Q5096" s="16" t="inlineStr">
        <is>
          <t>ФНС открытые данные ССЧР (ДатаСост 31.12.2025; набор 7707329152-sshr2019)</t>
        </is>
      </c>
      <c r="R5096" s="16">
        <f>HYPERLINK("https://checko.ru/search?query=3801001629","Чекко: проверить")</f>
        <v/>
      </c>
      <c r="S5096" t="n">
        <v>1</v>
      </c>
      <c r="T5096" s="35" t="inlineStr">
        <is>
          <t>4 — Не обогащён</t>
        </is>
      </c>
      <c r="U5096" s="35" t="inlineStr">
        <is>
          <t>Нет ОКВЭД/ССЧР</t>
        </is>
      </c>
      <c r="V5096" s="35" t="inlineStr">
        <is>
          <t>Не определено</t>
        </is>
      </c>
      <c r="W5096" s="35" t="inlineStr">
        <is>
          <t>Нет</t>
        </is>
      </c>
      <c r="X5096" s="35" t="inlineStr"/>
    </row>
    <row r="5097" ht="15" customHeight="1" s="24">
      <c r="A5097" s="13" t="n">
        <v>800849891</v>
      </c>
      <c r="B5097" s="13" t="inlineStr">
        <is>
          <t>ЗАО «ОКСИ»</t>
        </is>
      </c>
      <c r="C5097" s="13" t="n">
        <v>3805101448</v>
      </c>
      <c r="D5097" s="13" t="inlineStr">
        <is>
          <t>3805101448</t>
        </is>
      </c>
      <c r="E5097" s="13" t="inlineStr">
        <is>
          <t>ЮЛ РФ</t>
        </is>
      </c>
      <c r="F5097" s="13" t="n"/>
      <c r="G5097" s="52" t="n">
        <v>46</v>
      </c>
      <c r="H5097" s="52" t="n">
        <v>2025</v>
      </c>
      <c r="I5097" s="52" t="inlineStr">
        <is>
          <t>20.11</t>
        </is>
      </c>
      <c r="J5097" s="52" t="inlineStr">
        <is>
          <t>20.11; 46.71; 46.90; 49.41</t>
        </is>
      </c>
      <c r="K5097" s="53" t="inlineStr">
        <is>
          <t>Да</t>
        </is>
      </c>
      <c r="L5097" s="53" t="inlineStr">
        <is>
          <t>Да</t>
        </is>
      </c>
      <c r="M5097" s="53" t="inlineStr">
        <is>
          <t>До 50</t>
        </is>
      </c>
      <c r="N5097" s="54" t="n">
        <v>16800</v>
      </c>
      <c r="O5097" s="55" t="inlineStr">
        <is>
          <t>31–50</t>
        </is>
      </c>
      <c r="P5097" s="16" t="inlineStr">
        <is>
          <t>ССЧР + ОКВЭД обогащены</t>
        </is>
      </c>
      <c r="Q5097" s="16" t="inlineStr">
        <is>
          <t>ФНС открытые данные ССЧР (ДатаСост 31.12.2025; набор 7707329152-sshr2019)</t>
        </is>
      </c>
      <c r="R5097" s="16" t="inlineStr">
        <is>
          <t>ЕГРЮЛ / egrul.nalog.ru (выписка)</t>
        </is>
      </c>
      <c r="S5097" t="n">
        <v>1</v>
      </c>
      <c r="T5097" s="35" t="inlineStr">
        <is>
          <t>1 — Горячий</t>
        </is>
      </c>
      <c r="U5097" s="35" t="inlineStr">
        <is>
          <t>ОКВЭД + 22+</t>
        </is>
      </c>
      <c r="V5097" s="35" t="inlineStr">
        <is>
          <t>Да</t>
        </is>
      </c>
      <c r="W5097" s="35" t="inlineStr">
        <is>
          <t>Да</t>
        </is>
      </c>
      <c r="X5097" s="35" t="inlineStr">
        <is>
          <t>Да</t>
        </is>
      </c>
    </row>
    <row r="5098" ht="15" customHeight="1" s="24">
      <c r="A5098" s="13" t="n">
        <v>9855006</v>
      </c>
      <c r="B5098" s="13" t="inlineStr">
        <is>
          <t>ООО "СОЮЗ 38 ТЕКС"</t>
        </is>
      </c>
      <c r="C5098" s="13" t="n">
        <v>3810064897</v>
      </c>
      <c r="D5098" s="13" t="inlineStr">
        <is>
          <t>3810064897</t>
        </is>
      </c>
      <c r="E5098" s="13" t="inlineStr">
        <is>
          <t>ЮЛ РФ</t>
        </is>
      </c>
      <c r="F5098" s="13" t="n"/>
      <c r="G5098" s="52" t="n">
        <v>5</v>
      </c>
      <c r="H5098" s="52" t="n">
        <v>2025</v>
      </c>
      <c r="I5098" s="14" t="n"/>
      <c r="J5098" s="14" t="n"/>
      <c r="K5098" s="53" t="inlineStr">
        <is>
          <t>Нет</t>
        </is>
      </c>
      <c r="L5098" s="53" t="inlineStr">
        <is>
          <t>Не определено</t>
        </is>
      </c>
      <c r="M5098" s="53" t="inlineStr">
        <is>
          <t>До 10</t>
        </is>
      </c>
      <c r="N5098" s="54" t="n">
        <v>3360</v>
      </c>
      <c r="O5098" s="55" t="inlineStr">
        <is>
          <t>1–15</t>
        </is>
      </c>
      <c r="P5098" s="16" t="inlineStr">
        <is>
          <t>ССЧР обогащена; ОКВЭД не найден/не загружен</t>
        </is>
      </c>
      <c r="Q5098" s="16" t="inlineStr">
        <is>
          <t>ФНС открытые данные ССЧР (ДатаСост 31.12.2025; набор 7707329152-sshr2019)</t>
        </is>
      </c>
      <c r="R5098" s="16">
        <f>HYPERLINK("https://checko.ru/search?query=3801001629","Чекко: проверить")</f>
        <v/>
      </c>
      <c r="S5098" t="n">
        <v>1</v>
      </c>
      <c r="T5098" s="35" t="inlineStr">
        <is>
          <t>4 — Не обогащён</t>
        </is>
      </c>
      <c r="U5098" s="35" t="inlineStr">
        <is>
          <t>Нет ОКВЭД/ССЧР</t>
        </is>
      </c>
      <c r="V5098" s="35" t="inlineStr">
        <is>
          <t>Не определено</t>
        </is>
      </c>
      <c r="W5098" s="35" t="inlineStr">
        <is>
          <t>Нет</t>
        </is>
      </c>
      <c r="X5098" s="35" t="inlineStr"/>
    </row>
    <row r="5099" ht="15" customHeight="1" s="24">
      <c r="A5099" s="13" t="n">
        <v>9313107</v>
      </c>
      <c r="B5099" s="13" t="inlineStr">
        <is>
          <t>ООО Фирма "Сава Сервис"</t>
        </is>
      </c>
      <c r="C5099" s="13" t="n">
        <v>3803302678</v>
      </c>
      <c r="D5099" s="13" t="inlineStr">
        <is>
          <t>3803302678</t>
        </is>
      </c>
      <c r="E5099" s="13" t="inlineStr">
        <is>
          <t>ЮЛ РФ</t>
        </is>
      </c>
      <c r="F5099" s="13" t="n"/>
      <c r="G5099" s="52" t="n">
        <v>404</v>
      </c>
      <c r="H5099" s="52" t="n">
        <v>2025</v>
      </c>
      <c r="I5099" s="52" t="inlineStr">
        <is>
          <t>29.20.4</t>
        </is>
      </c>
      <c r="J5099" s="52" t="inlineStr">
        <is>
          <t>29.20.4; 47.99; 16.10; 16.10.9; 16.21; 16.23; 16.29.1; 25.11; 25.12; 25.61; 25.62; 25.91; 25.93; 25.94; 25.99; 28.29; 28.41; 28.99; 29.10; 29.20; 31.09; 38.32.2; 38.32.3; 38.32.4; 38.32.5; 41.20; 42.11; 42.99; 43.11; 43.12.3; 43.21; 43.22; 43.29; 43.31; 43.32; 43.33; 43.34; 43.39; 43.91; 43.99; 43.99.1; 45.20; 52.29; 68.10.11; 68.10.12; 68.10.22; 68.10.23; 68.20; 68.20.2; 69.20; 70.22; 73.11; 77.32; 77.39.11; 82.99</t>
        </is>
      </c>
      <c r="K5099" s="53" t="inlineStr">
        <is>
          <t>Да</t>
        </is>
      </c>
      <c r="L5099" s="53" t="inlineStr">
        <is>
          <t>Да</t>
        </is>
      </c>
      <c r="M5099" s="53" t="inlineStr">
        <is>
          <t>До 500</t>
        </is>
      </c>
      <c r="N5099" s="54" t="n">
        <v>144000</v>
      </c>
      <c r="O5099" s="55" t="inlineStr">
        <is>
          <t>201–500</t>
        </is>
      </c>
      <c r="P5099" s="16" t="inlineStr">
        <is>
          <t>ССЧР + ОКВЭД обогащены</t>
        </is>
      </c>
      <c r="Q5099" s="16" t="inlineStr">
        <is>
          <t>ФНС открытые данные ССЧР (ДатаСост 31.12.2025; набор 7707329152-sshr2019)</t>
        </is>
      </c>
      <c r="R5099" s="16" t="inlineStr">
        <is>
          <t>ЕГРЮЛ / egrul.nalog.ru (выписка)</t>
        </is>
      </c>
      <c r="S5099" t="n">
        <v>1</v>
      </c>
      <c r="T5099" s="35" t="inlineStr">
        <is>
          <t>1 — Горячий</t>
        </is>
      </c>
      <c r="U5099" s="35" t="inlineStr">
        <is>
          <t>ОКВЭД + 22+</t>
        </is>
      </c>
      <c r="V5099" s="35" t="inlineStr">
        <is>
          <t>Да</t>
        </is>
      </c>
      <c r="W5099" s="35" t="inlineStr">
        <is>
          <t>Да</t>
        </is>
      </c>
      <c r="X5099" s="35" t="inlineStr">
        <is>
          <t>Да</t>
        </is>
      </c>
    </row>
    <row r="5100" ht="15" customHeight="1" s="24">
      <c r="A5100" s="13" t="n">
        <v>801895993</v>
      </c>
      <c r="B5100" s="13" t="inlineStr">
        <is>
          <t>ОАО "Иргиредмет"</t>
        </is>
      </c>
      <c r="C5100" s="13" t="n">
        <v>3808002300</v>
      </c>
      <c r="D5100" s="13" t="inlineStr">
        <is>
          <t>3808002300</t>
        </is>
      </c>
      <c r="E5100" s="13" t="inlineStr">
        <is>
          <t>ЮЛ РФ</t>
        </is>
      </c>
      <c r="F5100" s="13" t="n"/>
      <c r="G5100" s="14" t="n"/>
      <c r="H5100" s="14" t="n"/>
      <c r="I5100" s="14" t="n"/>
      <c r="J5100" s="14" t="n"/>
      <c r="K5100" s="53" t="inlineStr"/>
      <c r="L5100" s="53" t="inlineStr">
        <is>
          <t>Не определено</t>
        </is>
      </c>
      <c r="M5100" s="53" t="inlineStr"/>
      <c r="N5100" s="54" t="inlineStr"/>
      <c r="O5100" s="55" t="inlineStr"/>
      <c r="P5100" s="16" t="inlineStr">
        <is>
          <t>Требует обогащения</t>
        </is>
      </c>
      <c r="Q5100" s="16">
        <f>HYPERLINK("https://pb.nalog.ru/search.html?query=3808002300","ФНС: проверить")</f>
        <v/>
      </c>
      <c r="R5100" s="16">
        <f>HYPERLINK("https://checko.ru/search?query=3801001629","Чекко: проверить")</f>
        <v/>
      </c>
      <c r="S5100" t="n">
        <v>1</v>
      </c>
      <c r="T5100" s="35" t="inlineStr">
        <is>
          <t>4 — Не обогащён</t>
        </is>
      </c>
      <c r="U5100" s="35" t="inlineStr">
        <is>
          <t>Нет ОКВЭД/ССЧР</t>
        </is>
      </c>
      <c r="V5100" s="35" t="inlineStr">
        <is>
          <t>Не определено</t>
        </is>
      </c>
      <c r="W5100" s="35" t="inlineStr"/>
      <c r="X5100" s="35" t="inlineStr"/>
    </row>
    <row r="5101" ht="15" customHeight="1" s="24">
      <c r="A5101" s="13" t="n">
        <v>800581365</v>
      </c>
      <c r="B5101" s="13" t="inlineStr">
        <is>
          <t>ООО "ПФ "Сибирский каскад"</t>
        </is>
      </c>
      <c r="C5101" s="13" t="n">
        <v>3811154543</v>
      </c>
      <c r="D5101" s="13" t="inlineStr">
        <is>
          <t>3811154543</t>
        </is>
      </c>
      <c r="E5101" s="13" t="inlineStr">
        <is>
          <t>ЮЛ РФ</t>
        </is>
      </c>
      <c r="F5101" s="13" t="n"/>
      <c r="G5101" s="52" t="n">
        <v>6</v>
      </c>
      <c r="H5101" s="52" t="n">
        <v>2025</v>
      </c>
      <c r="I5101" s="14" t="n"/>
      <c r="J5101" s="14" t="n"/>
      <c r="K5101" s="53" t="inlineStr">
        <is>
          <t>Нет</t>
        </is>
      </c>
      <c r="L5101" s="53" t="inlineStr">
        <is>
          <t>Не определено</t>
        </is>
      </c>
      <c r="M5101" s="53" t="inlineStr">
        <is>
          <t>До 10</t>
        </is>
      </c>
      <c r="N5101" s="54" t="n">
        <v>3360</v>
      </c>
      <c r="O5101" s="55" t="inlineStr">
        <is>
          <t>1–15</t>
        </is>
      </c>
      <c r="P5101" s="16" t="inlineStr">
        <is>
          <t>ССЧР обогащена; ОКВЭД не найден/не загружен</t>
        </is>
      </c>
      <c r="Q5101" s="16" t="inlineStr">
        <is>
          <t>ФНС открытые данные ССЧР (ДатаСост 31.12.2025; набор 7707329152-sshr2019)</t>
        </is>
      </c>
      <c r="R5101" s="16">
        <f>HYPERLINK("https://checko.ru/search?query=3801001629","Чекко: проверить")</f>
        <v/>
      </c>
      <c r="S5101" t="n">
        <v>1</v>
      </c>
      <c r="T5101" s="35" t="inlineStr">
        <is>
          <t>4 — Не обогащён</t>
        </is>
      </c>
      <c r="U5101" s="35" t="inlineStr">
        <is>
          <t>Нет ОКВЭД/ССЧР</t>
        </is>
      </c>
      <c r="V5101" s="35" t="inlineStr">
        <is>
          <t>Не определено</t>
        </is>
      </c>
      <c r="W5101" s="35" t="inlineStr">
        <is>
          <t>Нет</t>
        </is>
      </c>
      <c r="X5101" s="35" t="inlineStr"/>
    </row>
    <row r="5102" ht="15" customHeight="1" s="24">
      <c r="A5102" s="13" t="n">
        <v>802305178</v>
      </c>
      <c r="B5102" s="13" t="inlineStr">
        <is>
          <t>ИП Мотошкин Павел Анатольевич</t>
        </is>
      </c>
      <c r="C5102" s="13" t="n">
        <v>381019407344</v>
      </c>
      <c r="D5102" s="13" t="inlineStr">
        <is>
          <t>381019407344</t>
        </is>
      </c>
      <c r="E5102" s="13" t="inlineStr">
        <is>
          <t>ИП РФ / физлицо</t>
        </is>
      </c>
      <c r="F5102" s="13" t="n"/>
      <c r="G5102" s="14" t="n"/>
      <c r="H5102" s="14" t="n"/>
      <c r="I5102" s="14" t="n"/>
      <c r="J5102" s="14" t="n"/>
      <c r="K5102" s="53" t="inlineStr"/>
      <c r="L5102" s="53" t="inlineStr">
        <is>
          <t>Не определено</t>
        </is>
      </c>
      <c r="M5102" s="53" t="inlineStr"/>
      <c r="N5102" s="54" t="inlineStr"/>
      <c r="O5102" s="55" t="inlineStr"/>
      <c r="P5102" s="16" t="inlineStr">
        <is>
          <t>Требует обогащения</t>
        </is>
      </c>
      <c r="Q5102" s="16">
        <f>HYPERLINK("https://pb.nalog.ru/search.html?query=381019407344","ФНС: проверить")</f>
        <v/>
      </c>
      <c r="R5102" s="16">
        <f>HYPERLINK("https://checko.ru/search?query=3801001629","Чекко: проверить")</f>
        <v/>
      </c>
      <c r="S5102" t="n">
        <v>1</v>
      </c>
      <c r="T5102" s="35" t="inlineStr">
        <is>
          <t>4 — Не обогащён</t>
        </is>
      </c>
      <c r="U5102" s="35" t="inlineStr">
        <is>
          <t>Нет ОКВЭД/ССЧР</t>
        </is>
      </c>
      <c r="V5102" s="35" t="inlineStr">
        <is>
          <t>Не определено</t>
        </is>
      </c>
      <c r="W5102" s="35" t="inlineStr"/>
      <c r="X5102" s="35" t="inlineStr"/>
    </row>
    <row r="5103" ht="27.75" customHeight="1" s="24">
      <c r="A5103" s="13" t="n">
        <v>804524120</v>
      </c>
      <c r="B5103" s="13" t="inlineStr">
        <is>
          <t>ПОТРЕБИТЕЛЬСКИЙ ГАРАЖНЫЙ КООПЕРАТИВ "ГЕОФИЗИК"</t>
        </is>
      </c>
      <c r="C5103" s="13" t="n">
        <v>7536044901</v>
      </c>
      <c r="D5103" s="13" t="inlineStr">
        <is>
          <t>7536044901</t>
        </is>
      </c>
      <c r="E5103" s="13" t="inlineStr">
        <is>
          <t>ЮЛ РФ</t>
        </is>
      </c>
      <c r="F5103" s="13" t="n"/>
      <c r="G5103" s="14" t="n"/>
      <c r="H5103" s="14" t="n"/>
      <c r="I5103" s="14" t="n"/>
      <c r="J5103" s="14" t="n"/>
      <c r="K5103" s="53" t="inlineStr"/>
      <c r="L5103" s="53" t="inlineStr">
        <is>
          <t>Не определено</t>
        </is>
      </c>
      <c r="M5103" s="53" t="inlineStr"/>
      <c r="N5103" s="54" t="inlineStr"/>
      <c r="O5103" s="55" t="inlineStr"/>
      <c r="P5103" s="16" t="inlineStr">
        <is>
          <t>Требует обогащения</t>
        </is>
      </c>
      <c r="Q5103" s="16">
        <f>HYPERLINK("https://pb.nalog.ru/search.html?query=7536044901","ФНС: проверить")</f>
        <v/>
      </c>
      <c r="R5103" s="16">
        <f>HYPERLINK("https://checko.ru/search?query=3801001629","Чекко: проверить")</f>
        <v/>
      </c>
      <c r="S5103" t="n">
        <v>1</v>
      </c>
      <c r="T5103" s="35" t="inlineStr">
        <is>
          <t>4 — Не обогащён</t>
        </is>
      </c>
      <c r="U5103" s="35" t="inlineStr">
        <is>
          <t>Нет ОКВЭД/ССЧР</t>
        </is>
      </c>
      <c r="V5103" s="35" t="inlineStr">
        <is>
          <t>Не определено</t>
        </is>
      </c>
      <c r="W5103" s="35" t="inlineStr"/>
      <c r="X5103" s="35" t="inlineStr"/>
    </row>
    <row r="5104" ht="15" customHeight="1" s="24">
      <c r="A5104" s="13" t="n">
        <v>9130496</v>
      </c>
      <c r="B5104" s="13" t="inlineStr">
        <is>
          <t>ООО «Инстройтех плюс»</t>
        </is>
      </c>
      <c r="C5104" s="13" t="n">
        <v>3811124309</v>
      </c>
      <c r="D5104" s="13" t="inlineStr">
        <is>
          <t>3811124309</t>
        </is>
      </c>
      <c r="E5104" s="13" t="inlineStr">
        <is>
          <t>ЮЛ РФ</t>
        </is>
      </c>
      <c r="F5104" s="13" t="n"/>
      <c r="G5104" s="52" t="n">
        <v>3</v>
      </c>
      <c r="H5104" s="52" t="n">
        <v>2025</v>
      </c>
      <c r="I5104" s="14" t="n"/>
      <c r="J5104" s="14" t="n"/>
      <c r="K5104" s="53" t="inlineStr">
        <is>
          <t>Нет</t>
        </is>
      </c>
      <c r="L5104" s="53" t="inlineStr">
        <is>
          <t>Не определено</t>
        </is>
      </c>
      <c r="M5104" s="53" t="inlineStr">
        <is>
          <t>До 10</t>
        </is>
      </c>
      <c r="N5104" s="54" t="n">
        <v>3360</v>
      </c>
      <c r="O5104" s="55" t="inlineStr">
        <is>
          <t>1–15</t>
        </is>
      </c>
      <c r="P5104" s="16" t="inlineStr">
        <is>
          <t>ССЧР обогащена; ОКВЭД не найден/не загружен</t>
        </is>
      </c>
      <c r="Q5104" s="16" t="inlineStr">
        <is>
          <t>ФНС открытые данные ССЧР (ДатаСост 31.12.2025; набор 7707329152-sshr2019)</t>
        </is>
      </c>
      <c r="R5104" s="16">
        <f>HYPERLINK("https://checko.ru/search?query=3801001629","Чекко: проверить")</f>
        <v/>
      </c>
      <c r="S5104" t="n">
        <v>1</v>
      </c>
      <c r="T5104" s="35" t="inlineStr">
        <is>
          <t>4 — Не обогащён</t>
        </is>
      </c>
      <c r="U5104" s="35" t="inlineStr">
        <is>
          <t>Нет ОКВЭД/ССЧР</t>
        </is>
      </c>
      <c r="V5104" s="35" t="inlineStr">
        <is>
          <t>Не определено</t>
        </is>
      </c>
      <c r="W5104" s="35" t="inlineStr">
        <is>
          <t>Нет</t>
        </is>
      </c>
      <c r="X5104" s="35" t="inlineStr"/>
    </row>
    <row r="5105" ht="15" customHeight="1" s="24">
      <c r="A5105" s="13" t="n">
        <v>800406195</v>
      </c>
      <c r="B5105" s="13" t="inlineStr">
        <is>
          <t>ЗАО ПСП "Стройсервис"</t>
        </is>
      </c>
      <c r="C5105" s="13" t="n">
        <v>3827038310</v>
      </c>
      <c r="D5105" s="13" t="inlineStr">
        <is>
          <t>3827038310</t>
        </is>
      </c>
      <c r="E5105" s="13" t="inlineStr">
        <is>
          <t>ЮЛ РФ</t>
        </is>
      </c>
      <c r="F5105" s="13" t="n"/>
      <c r="G5105" s="52" t="n">
        <v>3</v>
      </c>
      <c r="H5105" s="52" t="n">
        <v>2025</v>
      </c>
      <c r="I5105" s="14" t="n"/>
      <c r="J5105" s="14" t="n"/>
      <c r="K5105" s="53" t="inlineStr">
        <is>
          <t>Нет</t>
        </is>
      </c>
      <c r="L5105" s="53" t="inlineStr">
        <is>
          <t>Не определено</t>
        </is>
      </c>
      <c r="M5105" s="53" t="inlineStr">
        <is>
          <t>До 10</t>
        </is>
      </c>
      <c r="N5105" s="54" t="n">
        <v>3360</v>
      </c>
      <c r="O5105" s="55" t="inlineStr">
        <is>
          <t>1–15</t>
        </is>
      </c>
      <c r="P5105" s="16" t="inlineStr">
        <is>
          <t>ССЧР обогащена; ОКВЭД не найден/не загружен</t>
        </is>
      </c>
      <c r="Q5105" s="16" t="inlineStr">
        <is>
          <t>ФНС открытые данные ССЧР (ДатаСост 31.12.2025; набор 7707329152-sshr2019)</t>
        </is>
      </c>
      <c r="R5105" s="16">
        <f>HYPERLINK("https://checko.ru/search?query=3801001629","Чекко: проверить")</f>
        <v/>
      </c>
      <c r="S5105" t="n">
        <v>1</v>
      </c>
      <c r="T5105" s="35" t="inlineStr">
        <is>
          <t>4 — Не обогащён</t>
        </is>
      </c>
      <c r="U5105" s="35" t="inlineStr">
        <is>
          <t>Нет ОКВЭД/ССЧР</t>
        </is>
      </c>
      <c r="V5105" s="35" t="inlineStr">
        <is>
          <t>Не определено</t>
        </is>
      </c>
      <c r="W5105" s="35" t="inlineStr">
        <is>
          <t>Нет</t>
        </is>
      </c>
      <c r="X5105" s="35" t="inlineStr"/>
    </row>
    <row r="5106" ht="15" customHeight="1" s="24">
      <c r="A5106" s="13" t="n">
        <v>9053828</v>
      </c>
      <c r="B5106" s="13" t="inlineStr">
        <is>
          <t>Теле-сервис Иркутск</t>
        </is>
      </c>
      <c r="C5106" s="13" t="n">
        <v>3810029684</v>
      </c>
      <c r="D5106" s="13" t="inlineStr">
        <is>
          <t>3810029684</t>
        </is>
      </c>
      <c r="E5106" s="13" t="inlineStr">
        <is>
          <t>ЮЛ РФ</t>
        </is>
      </c>
      <c r="F5106" s="13" t="n"/>
      <c r="G5106" s="52" t="n">
        <v>16</v>
      </c>
      <c r="H5106" s="52" t="n">
        <v>2025</v>
      </c>
      <c r="I5106" s="14" t="n"/>
      <c r="J5106" s="14" t="n"/>
      <c r="K5106" s="53" t="inlineStr">
        <is>
          <t>Нет</t>
        </is>
      </c>
      <c r="L5106" s="53" t="inlineStr">
        <is>
          <t>Не определено</t>
        </is>
      </c>
      <c r="M5106" s="53" t="inlineStr">
        <is>
          <t>До 25</t>
        </is>
      </c>
      <c r="N5106" s="54" t="n">
        <v>8400</v>
      </c>
      <c r="O5106" s="55" t="inlineStr">
        <is>
          <t>16–30</t>
        </is>
      </c>
      <c r="P5106" s="16" t="inlineStr">
        <is>
          <t>ССЧР обогащена; ОКВЭД не найден/не загружен</t>
        </is>
      </c>
      <c r="Q5106" s="16" t="inlineStr">
        <is>
          <t>ФНС открытые данные ССЧР (ДатаСост 31.12.2025; набор 7707329152-sshr2019)</t>
        </is>
      </c>
      <c r="R5106" s="16">
        <f>HYPERLINK("https://checko.ru/search?query=3801001629","Чекко: проверить")</f>
        <v/>
      </c>
      <c r="S5106" t="n">
        <v>1</v>
      </c>
      <c r="T5106" s="35" t="inlineStr">
        <is>
          <t>4 — Не обогащён</t>
        </is>
      </c>
      <c r="U5106" s="35" t="inlineStr">
        <is>
          <t>Нет ОКВЭД/ССЧР</t>
        </is>
      </c>
      <c r="V5106" s="35" t="inlineStr">
        <is>
          <t>Не определено</t>
        </is>
      </c>
      <c r="W5106" s="35" t="inlineStr">
        <is>
          <t>Нет</t>
        </is>
      </c>
      <c r="X5106" s="35" t="inlineStr"/>
    </row>
    <row r="5107" ht="15" customHeight="1" s="24">
      <c r="A5107" s="13" t="n">
        <v>800441007</v>
      </c>
      <c r="B5107" s="13" t="inlineStr">
        <is>
          <t>ООО "Аудиторская фирма Дельфи"</t>
        </is>
      </c>
      <c r="C5107" s="13" t="n">
        <v>3811133840</v>
      </c>
      <c r="D5107" s="13" t="inlineStr">
        <is>
          <t>3811133840</t>
        </is>
      </c>
      <c r="E5107" s="13" t="inlineStr">
        <is>
          <t>ЮЛ РФ</t>
        </is>
      </c>
      <c r="F5107" s="13" t="n"/>
      <c r="G5107" s="52" t="n">
        <v>3</v>
      </c>
      <c r="H5107" s="52" t="n">
        <v>2025</v>
      </c>
      <c r="I5107" s="14" t="n"/>
      <c r="J5107" s="14" t="n"/>
      <c r="K5107" s="53" t="inlineStr">
        <is>
          <t>Нет</t>
        </is>
      </c>
      <c r="L5107" s="53" t="inlineStr">
        <is>
          <t>Не определено</t>
        </is>
      </c>
      <c r="M5107" s="53" t="inlineStr">
        <is>
          <t>До 10</t>
        </is>
      </c>
      <c r="N5107" s="54" t="n">
        <v>3360</v>
      </c>
      <c r="O5107" s="55" t="inlineStr">
        <is>
          <t>1–15</t>
        </is>
      </c>
      <c r="P5107" s="16" t="inlineStr">
        <is>
          <t>ССЧР обогащена; ОКВЭД не найден/не загружен</t>
        </is>
      </c>
      <c r="Q5107" s="16" t="inlineStr">
        <is>
          <t>ФНС открытые данные ССЧР (ДатаСост 31.12.2025; набор 7707329152-sshr2019)</t>
        </is>
      </c>
      <c r="R5107" s="16">
        <f>HYPERLINK("https://checko.ru/search?query=3801001629","Чекко: проверить")</f>
        <v/>
      </c>
      <c r="S5107" t="n">
        <v>1</v>
      </c>
      <c r="T5107" s="35" t="inlineStr">
        <is>
          <t>4 — Не обогащён</t>
        </is>
      </c>
      <c r="U5107" s="35" t="inlineStr">
        <is>
          <t>Нет ОКВЭД/ССЧР</t>
        </is>
      </c>
      <c r="V5107" s="35" t="inlineStr">
        <is>
          <t>Не определено</t>
        </is>
      </c>
      <c r="W5107" s="35" t="inlineStr">
        <is>
          <t>Нет</t>
        </is>
      </c>
      <c r="X5107" s="35" t="inlineStr"/>
    </row>
    <row r="5108" ht="15" customHeight="1" s="24">
      <c r="A5108" s="13" t="n">
        <v>9880359</v>
      </c>
      <c r="B5108" s="13" t="inlineStr">
        <is>
          <t>ООО "Автоматика"</t>
        </is>
      </c>
      <c r="C5108" s="13" t="n">
        <v>3811131867</v>
      </c>
      <c r="D5108" s="13" t="inlineStr">
        <is>
          <t>3811131867</t>
        </is>
      </c>
      <c r="E5108" s="13" t="inlineStr">
        <is>
          <t>ЮЛ РФ</t>
        </is>
      </c>
      <c r="F5108" s="13" t="n"/>
      <c r="G5108" s="52" t="n">
        <v>1</v>
      </c>
      <c r="H5108" s="52" t="n">
        <v>2025</v>
      </c>
      <c r="I5108" s="14" t="n"/>
      <c r="J5108" s="14" t="n"/>
      <c r="K5108" s="53" t="inlineStr">
        <is>
          <t>Нет</t>
        </is>
      </c>
      <c r="L5108" s="53" t="inlineStr">
        <is>
          <t>Не определено</t>
        </is>
      </c>
      <c r="M5108" s="53" t="inlineStr">
        <is>
          <t>До 10</t>
        </is>
      </c>
      <c r="N5108" s="54" t="n">
        <v>3360</v>
      </c>
      <c r="O5108" s="55" t="inlineStr">
        <is>
          <t>1–15</t>
        </is>
      </c>
      <c r="P5108" s="16" t="inlineStr">
        <is>
          <t>ССЧР обогащена; ОКВЭД не найден/не загружен</t>
        </is>
      </c>
      <c r="Q5108" s="16" t="inlineStr">
        <is>
          <t>ФНС открытые данные ССЧР (ДатаСост 31.12.2025; набор 7707329152-sshr2019)</t>
        </is>
      </c>
      <c r="R5108" s="16">
        <f>HYPERLINK("https://checko.ru/search?query=3801001629","Чекко: проверить")</f>
        <v/>
      </c>
      <c r="S5108" t="n">
        <v>1</v>
      </c>
      <c r="T5108" s="35" t="inlineStr">
        <is>
          <t>4 — Не обогащён</t>
        </is>
      </c>
      <c r="U5108" s="35" t="inlineStr">
        <is>
          <t>Нет ОКВЭД/ССЧР</t>
        </is>
      </c>
      <c r="V5108" s="35" t="inlineStr">
        <is>
          <t>Не определено</t>
        </is>
      </c>
      <c r="W5108" s="35" t="inlineStr">
        <is>
          <t>Нет</t>
        </is>
      </c>
      <c r="X5108" s="35" t="inlineStr"/>
    </row>
    <row r="5109" ht="15" customHeight="1" s="24">
      <c r="A5109" s="13" t="n">
        <v>800438390</v>
      </c>
      <c r="B5109" s="13" t="inlineStr">
        <is>
          <t>ИМЦ Виктория</t>
        </is>
      </c>
      <c r="C5109" s="13" t="n">
        <v>3808141470</v>
      </c>
      <c r="D5109" s="13" t="inlineStr">
        <is>
          <t>3808141470</t>
        </is>
      </c>
      <c r="E5109" s="13" t="inlineStr">
        <is>
          <t>ЮЛ РФ</t>
        </is>
      </c>
      <c r="F5109" s="13" t="n"/>
      <c r="G5109" s="52" t="n">
        <v>9</v>
      </c>
      <c r="H5109" s="52" t="n">
        <v>2025</v>
      </c>
      <c r="I5109" s="14" t="n"/>
      <c r="J5109" s="14" t="n"/>
      <c r="K5109" s="53" t="inlineStr">
        <is>
          <t>Нет</t>
        </is>
      </c>
      <c r="L5109" s="53" t="inlineStr">
        <is>
          <t>Не определено</t>
        </is>
      </c>
      <c r="M5109" s="53" t="inlineStr">
        <is>
          <t>До 10</t>
        </is>
      </c>
      <c r="N5109" s="54" t="n">
        <v>3360</v>
      </c>
      <c r="O5109" s="55" t="inlineStr">
        <is>
          <t>1–15</t>
        </is>
      </c>
      <c r="P5109" s="16" t="inlineStr">
        <is>
          <t>ССЧР обогащена; ОКВЭД не найден/не загружен</t>
        </is>
      </c>
      <c r="Q5109" s="16" t="inlineStr">
        <is>
          <t>ФНС открытые данные ССЧР (ДатаСост 31.12.2025; набор 7707329152-sshr2019)</t>
        </is>
      </c>
      <c r="R5109" s="16">
        <f>HYPERLINK("https://checko.ru/search?query=3801001629","Чекко: проверить")</f>
        <v/>
      </c>
      <c r="S5109" t="n">
        <v>1</v>
      </c>
      <c r="T5109" s="35" t="inlineStr">
        <is>
          <t>4 — Не обогащён</t>
        </is>
      </c>
      <c r="U5109" s="35" t="inlineStr">
        <is>
          <t>Нет ОКВЭД/ССЧР</t>
        </is>
      </c>
      <c r="V5109" s="35" t="inlineStr">
        <is>
          <t>Не определено</t>
        </is>
      </c>
      <c r="W5109" s="35" t="inlineStr">
        <is>
          <t>Нет</t>
        </is>
      </c>
      <c r="X5109" s="35" t="inlineStr"/>
    </row>
    <row r="5110" ht="27.75" customHeight="1" s="24">
      <c r="A5110" s="13" t="n">
        <v>800709530</v>
      </c>
      <c r="B5110" s="13" t="inlineStr">
        <is>
          <t>Общество с ограниченной ответственностью "САКУРА"</t>
        </is>
      </c>
      <c r="C5110" s="13" t="n">
        <v>3810334857</v>
      </c>
      <c r="D5110" s="13" t="inlineStr">
        <is>
          <t>3810334857</t>
        </is>
      </c>
      <c r="E5110" s="13" t="inlineStr">
        <is>
          <t>ЮЛ РФ</t>
        </is>
      </c>
      <c r="F5110" s="13" t="n"/>
      <c r="G5110" s="52" t="n">
        <v>5</v>
      </c>
      <c r="H5110" s="52" t="n">
        <v>2025</v>
      </c>
      <c r="I5110" s="14" t="n"/>
      <c r="J5110" s="14" t="n"/>
      <c r="K5110" s="53" t="inlineStr">
        <is>
          <t>Нет</t>
        </is>
      </c>
      <c r="L5110" s="53" t="inlineStr">
        <is>
          <t>Не определено</t>
        </is>
      </c>
      <c r="M5110" s="53" t="inlineStr">
        <is>
          <t>До 10</t>
        </is>
      </c>
      <c r="N5110" s="54" t="n">
        <v>3360</v>
      </c>
      <c r="O5110" s="55" t="inlineStr">
        <is>
          <t>1–15</t>
        </is>
      </c>
      <c r="P5110" s="16" t="inlineStr">
        <is>
          <t>ССЧР обогащена; ОКВЭД не найден/не загружен</t>
        </is>
      </c>
      <c r="Q5110" s="16" t="inlineStr">
        <is>
          <t>ФНС открытые данные ССЧР (ДатаСост 31.12.2025; набор 7707329152-sshr2019)</t>
        </is>
      </c>
      <c r="R5110" s="16">
        <f>HYPERLINK("https://checko.ru/search?query=3801001629","Чекко: проверить")</f>
        <v/>
      </c>
      <c r="S5110" t="n">
        <v>1</v>
      </c>
      <c r="T5110" s="35" t="inlineStr">
        <is>
          <t>4 — Не обогащён</t>
        </is>
      </c>
      <c r="U5110" s="35" t="inlineStr">
        <is>
          <t>Нет ОКВЭД/ССЧР</t>
        </is>
      </c>
      <c r="V5110" s="35" t="inlineStr">
        <is>
          <t>Не определено</t>
        </is>
      </c>
      <c r="W5110" s="35" t="inlineStr">
        <is>
          <t>Нет</t>
        </is>
      </c>
      <c r="X5110" s="35" t="inlineStr"/>
    </row>
    <row r="5111" ht="15" customHeight="1" s="24">
      <c r="A5111" s="13" t="n">
        <v>800838980</v>
      </c>
      <c r="B5111" s="13" t="inlineStr">
        <is>
          <t>ООО ПК "Сибстройсервис плюс"</t>
        </is>
      </c>
      <c r="C5111" s="13" t="n">
        <v>3814009294</v>
      </c>
      <c r="D5111" s="13" t="inlineStr">
        <is>
          <t>3814009294</t>
        </is>
      </c>
      <c r="E5111" s="13" t="inlineStr">
        <is>
          <t>ЮЛ РФ</t>
        </is>
      </c>
      <c r="F5111" s="13" t="n"/>
      <c r="G5111" s="52" t="n">
        <v>44</v>
      </c>
      <c r="H5111" s="52" t="n">
        <v>2025</v>
      </c>
      <c r="I5111" s="52" t="inlineStr">
        <is>
          <t>14.12</t>
        </is>
      </c>
      <c r="J5111" s="52" t="inlineStr">
        <is>
          <t>14.12; 31.01; 31.02; 31.09; 43.32; 43.34; 46.41; 46.41.2; 46.43; 46.44; 46.45; 46.49; 46.73; 46.74; 47.43; 47.54; 47.59; 47.61</t>
        </is>
      </c>
      <c r="K5111" s="53" t="inlineStr">
        <is>
          <t>Да</t>
        </is>
      </c>
      <c r="L5111" s="53" t="inlineStr">
        <is>
          <t>Да</t>
        </is>
      </c>
      <c r="M5111" s="53" t="inlineStr">
        <is>
          <t>До 50</t>
        </is>
      </c>
      <c r="N5111" s="54" t="n">
        <v>16800</v>
      </c>
      <c r="O5111" s="55" t="inlineStr">
        <is>
          <t>31–50</t>
        </is>
      </c>
      <c r="P5111" s="16" t="inlineStr">
        <is>
          <t>ССЧР + ОКВЭД обогащены</t>
        </is>
      </c>
      <c r="Q5111" s="16" t="inlineStr">
        <is>
          <t>ФНС открытые данные ССЧР (ДатаСост 31.12.2025; набор 7707329152-sshr2019)</t>
        </is>
      </c>
      <c r="R5111" s="16" t="inlineStr">
        <is>
          <t>ЕГРЮЛ / egrul.nalog.ru (выписка)</t>
        </is>
      </c>
      <c r="S5111" t="n">
        <v>1</v>
      </c>
      <c r="T5111" s="35" t="inlineStr">
        <is>
          <t>1 — Горячий</t>
        </is>
      </c>
      <c r="U5111" s="35" t="inlineStr">
        <is>
          <t>ОКВЭД + 22+</t>
        </is>
      </c>
      <c r="V5111" s="35" t="inlineStr">
        <is>
          <t>Да</t>
        </is>
      </c>
      <c r="W5111" s="35" t="inlineStr">
        <is>
          <t>Да</t>
        </is>
      </c>
      <c r="X5111" s="35" t="inlineStr">
        <is>
          <t>Да</t>
        </is>
      </c>
    </row>
    <row r="5112" ht="15" customHeight="1" s="24">
      <c r="A5112" s="13" t="n">
        <v>800578437</v>
      </c>
      <c r="B5112" s="13" t="inlineStr">
        <is>
          <t>ИП Бобков Сергей Юрьевич</t>
        </is>
      </c>
      <c r="C5112" s="13" t="n">
        <v>380400052563</v>
      </c>
      <c r="D5112" s="13" t="inlineStr">
        <is>
          <t>380400052563</t>
        </is>
      </c>
      <c r="E5112" s="13" t="inlineStr">
        <is>
          <t>ИП РФ / физлицо</t>
        </is>
      </c>
      <c r="F5112" s="13" t="n"/>
      <c r="G5112" s="14" t="n"/>
      <c r="H5112" s="14" t="n"/>
      <c r="I5112" s="14" t="n"/>
      <c r="J5112" s="14" t="n"/>
      <c r="K5112" s="53" t="inlineStr"/>
      <c r="L5112" s="53" t="inlineStr">
        <is>
          <t>Не определено</t>
        </is>
      </c>
      <c r="M5112" s="53" t="inlineStr"/>
      <c r="N5112" s="54" t="inlineStr"/>
      <c r="O5112" s="55" t="inlineStr"/>
      <c r="P5112" s="16" t="inlineStr">
        <is>
          <t>Требует обогащения</t>
        </is>
      </c>
      <c r="Q5112" s="16">
        <f>HYPERLINK("https://pb.nalog.ru/search.html?query=380400052563","ФНС: проверить")</f>
        <v/>
      </c>
      <c r="R5112" s="16">
        <f>HYPERLINK("https://checko.ru/search?query=3801001629","Чекко: проверить")</f>
        <v/>
      </c>
      <c r="S5112" t="n">
        <v>1</v>
      </c>
      <c r="T5112" s="35" t="inlineStr">
        <is>
          <t>4 — Не обогащён</t>
        </is>
      </c>
      <c r="U5112" s="35" t="inlineStr">
        <is>
          <t>Нет ОКВЭД/ССЧР</t>
        </is>
      </c>
      <c r="V5112" s="35" t="inlineStr">
        <is>
          <t>Не определено</t>
        </is>
      </c>
      <c r="W5112" s="35" t="inlineStr"/>
      <c r="X5112" s="35" t="inlineStr"/>
    </row>
    <row r="5113" ht="27.75" customHeight="1" s="24">
      <c r="A5113" s="13" t="n">
        <v>801620340</v>
      </c>
      <c r="B5113" s="13" t="inlineStr">
        <is>
          <t>Индивидуальный предприниматель Журавлёва Юлия Геннадьевна</t>
        </is>
      </c>
      <c r="C5113" s="13" t="n">
        <v>31611426040</v>
      </c>
      <c r="D5113" s="13" t="n"/>
      <c r="E5113" s="13" t="inlineStr">
        <is>
          <t>Не определён</t>
        </is>
      </c>
      <c r="F5113" s="13" t="n"/>
      <c r="G5113" s="14" t="n"/>
      <c r="H5113" s="14" t="n"/>
      <c r="I5113" s="14" t="n"/>
      <c r="J5113" s="14" t="n"/>
      <c r="K5113" s="13">
        <f>IF(G5113="","",IF(G5113&gt;=22,"Да","Нет"))</f>
        <v/>
      </c>
      <c r="L5113" s="13">
        <f>IF(OR(I5113="",J5113=""),"Не определено",IF(OR(COUNTIF(I5113,"45*")&gt;0,COUNTIF(J5113,"*45*")&gt;0,COUNTIF(I5113,"46*")&gt;0,COUNTIF(J5113,"*46*")&gt;0,COUNTIF(I5113,"47*")&gt;0,COUNTIF(J5113,"*47*")&gt;0,COUNTIF(I5113,"10*")&gt;0,COUNTIF(J5113,"*10*")&gt;0,COUNTIF(I5113,"11*")&gt;0,COUNTIF(J5113,"*11*")&gt;0,COUNTIF(I5113,"12*")&gt;0,COUNTIF(J5113,"*12*")&gt;0,COUNTIF(I5113,"13*")&gt;0,COUNTIF(J5113,"*13*")&gt;0,COUNTIF(I5113,"14*")&gt;0,COUNTIF(J5113,"*14*")&gt;0,COUNTIF(I5113,"15*")&gt;0,COUNTIF(J5113,"*15*")&gt;0,COUNTIF(I5113,"16*")&gt;0,COUNTIF(J5113,"*16*")&gt;0,COUNTIF(I5113,"17*")&gt;0,COUNTIF(J5113,"*17*")&gt;0,COUNTIF(I5113,"18*")&gt;0,COUNTIF(J5113,"*18*")&gt;0,COUNTIF(I5113,"19*")&gt;0,COUNTIF(J5113,"*19*")&gt;0,COUNTIF(I5113,"20*")&gt;0,COUNTIF(J5113,"*20*")&gt;0,COUNTIF(I5113,"21*")&gt;0,COUNTIF(J5113,"*21*")&gt;0,COUNTIF(I5113,"22*")&gt;0,COUNTIF(J5113,"*22*")&gt;0,COUNTIF(I5113,"23*")&gt;0,COUNTIF(J5113,"*23*")&gt;0,COUNTIF(I5113,"24*")&gt;0,COUNTIF(J5113,"*24*")&gt;0,COUNTIF(I5113,"25*")&gt;0,COUNTIF(J5113,"*25*")&gt;0,COUNTIF(I5113,"26*")&gt;0,COUNTIF(J5113,"*26*")&gt;0,COUNTIF(I5113,"27*")&gt;0,COUNTIF(J5113,"*27*")&gt;0,COUNTIF(I5113,"28*")&gt;0,COUNTIF(J5113,"*28*")&gt;0,COUNTIF(I5113,"29*")&gt;0,COUNTIF(J5113,"*29*")&gt;0,COUNTIF(I5113,"30*")&gt;0,COUNTIF(J5113,"*30*")&gt;0,COUNTIF(I5113,"31*")&gt;0,COUNTIF(J5113,"*31*")&gt;0,COUNTIF(I5113,"32*")&gt;0,COUNTIF(J5113,"*32*")&gt;0,COUNTIF(I5113,"33*")&gt;0,COUNTIF(J5113,"*33*")&gt;0,COUNTIF(I5113,"41*")&gt;0,COUNTIF(J5113,"*41*")&gt;0,COUNTIF(I5113,"42*")&gt;0,COUNTIF(J5113,"*42*")&gt;0,COUNTIF(I5113,"43*")&gt;0,COUNTIF(J5113,"*43*")&gt;0,COUNTIF(I5113,"49*")&gt;0,COUNTIF(J5113,"*49*")&gt;0,COUNTIF(I5113,"52*")&gt;0,COUNTIF(J5113,"*52*")&gt;0,COUNTIF(I5113,"55*")&gt;0,COUNTIF(J5113,"*55*")&gt;0,COUNTIF(I5113,"56*")&gt;0,COUNTIF(J5113,"*56*")&gt;0,COUNTIF(I5113,"68*")&gt;0,COUNTIF(J5113,"*68*")&gt;0,COUNTIF(I5113,"78*")&gt;0,COUNTIF(J5113,"*78*")&gt;0,COUNTIF(I5113,"81*")&gt;0,COUNTIF(J5113,"*81*")&gt;0,COUNTIF(I5113,"82*")&gt;0,COUNTIF(J5113,"*82*")&gt;0,COUNTIF(I5113,"64*")&gt;0,COUNTIF(J5113,"*64*")&gt;0,COUNTIF(I5113,"65*")&gt;0,COUNTIF(J5113,"*65*")&gt;0,COUNTIF(I5113,"66*")&gt;0,COUNTIF(J5113,"*66*")&gt;0,COUNTIF(I5113,"61*")&gt;0,COUNTIF(J5113,"*61*")&gt;0,COUNTIF(I5113,"62*")&gt;0,COUNTIF(J5113,"*62*")&gt;0,COUNTIF(I5113,"63*")&gt;0,COUNTIF(J5113,"*63*")&gt;0,COUNTIF(I5113,"85*")&gt;0,COUNTIF(J5113,"*85*")&gt;0,COUNTIF(I5113,"86*")&gt;0,COUNTIF(J5113,"*86*")&gt;0),"Да","Нет"))</f>
        <v/>
      </c>
      <c r="M5113" s="13">
        <f>IF(OR(G5113="",L5113&lt;&gt;"Да"),"",IF(G5113&lt;=100,"До 100",IF(G5113&lt;=200,"До 200",IF(G5113&lt;=500,"До 500","Отдельное КП"))))</f>
        <v/>
      </c>
      <c r="N5113" s="15">
        <f>IF(OR(G5113="",L5113&lt;&gt;"Да"),"",IF(G5113&lt;=100,33600,IF(G5113&lt;=200,62400,IF(G5113&lt;=500,144000,""))))</f>
        <v/>
      </c>
      <c r="O5113" s="16">
        <f>IF(G5113="","",IF(G5113&lt;=15,"1–15",IF(G5113&lt;=30,"16–30",IF(G5113&lt;=50,"31–50",IF(G5113&lt;=100,"51–100",IF(G5113&lt;=150,"101–150",IF(G5113&lt;=200,"151–200",IF(G5113&lt;=500,"201–500","500+"))))))))</f>
        <v/>
      </c>
      <c r="P5113" s="16" t="inlineStr">
        <is>
          <t>Нет совпадения в предоставленной выгрузке ССЧР</t>
        </is>
      </c>
      <c r="Q5113" s="16" t="n"/>
      <c r="R5113" s="16">
        <f>HYPERLINK("https://checko.ru/search?query=3801001629","Чекко: проверить")</f>
        <v/>
      </c>
      <c r="S5113" t="n">
        <v>0</v>
      </c>
    </row>
    <row r="5114" ht="15" customHeight="1" s="24">
      <c r="A5114" s="13" t="n">
        <v>800475493</v>
      </c>
      <c r="B5114" s="13" t="inlineStr">
        <is>
          <t>ИП Магомедов Курбан Салихович</t>
        </is>
      </c>
      <c r="C5114" s="13" t="n">
        <v>381800105130</v>
      </c>
      <c r="D5114" s="13" t="inlineStr">
        <is>
          <t>381800105130</t>
        </is>
      </c>
      <c r="E5114" s="13" t="inlineStr">
        <is>
          <t>ИП РФ / физлицо</t>
        </is>
      </c>
      <c r="F5114" s="13" t="n"/>
      <c r="G5114" s="14" t="n"/>
      <c r="H5114" s="14" t="n"/>
      <c r="I5114" s="14" t="n"/>
      <c r="J5114" s="14" t="n"/>
      <c r="K5114" s="53" t="inlineStr"/>
      <c r="L5114" s="53" t="inlineStr">
        <is>
          <t>Не определено</t>
        </is>
      </c>
      <c r="M5114" s="53" t="inlineStr"/>
      <c r="N5114" s="54" t="inlineStr"/>
      <c r="O5114" s="55" t="inlineStr"/>
      <c r="P5114" s="16" t="inlineStr">
        <is>
          <t>Требует обогащения</t>
        </is>
      </c>
      <c r="Q5114" s="16">
        <f>HYPERLINK("https://pb.nalog.ru/search.html?query=381800105130","ФНС: проверить")</f>
        <v/>
      </c>
      <c r="R5114" s="16">
        <f>HYPERLINK("https://checko.ru/search?query=3801001629","Чекко: проверить")</f>
        <v/>
      </c>
      <c r="S5114" t="n">
        <v>1</v>
      </c>
      <c r="T5114" s="35" t="inlineStr">
        <is>
          <t>4 — Не обогащён</t>
        </is>
      </c>
      <c r="U5114" s="35" t="inlineStr">
        <is>
          <t>Нет ОКВЭД/ССЧР</t>
        </is>
      </c>
      <c r="V5114" s="35" t="inlineStr">
        <is>
          <t>Не определено</t>
        </is>
      </c>
      <c r="W5114" s="35" t="inlineStr"/>
      <c r="X5114" s="35" t="inlineStr"/>
    </row>
    <row r="5115" ht="15" customHeight="1" s="24">
      <c r="A5115" s="13" t="n">
        <v>800476470</v>
      </c>
      <c r="B5115" s="13" t="inlineStr">
        <is>
          <t>ООО "ИнКом"</t>
        </is>
      </c>
      <c r="C5115" s="13" t="n">
        <v>3804050166</v>
      </c>
      <c r="D5115" s="13" t="inlineStr">
        <is>
          <t>3804050166</t>
        </is>
      </c>
      <c r="E5115" s="13" t="inlineStr">
        <is>
          <t>ЮЛ РФ</t>
        </is>
      </c>
      <c r="F5115" s="13" t="n"/>
      <c r="G5115" s="52" t="n">
        <v>6</v>
      </c>
      <c r="H5115" s="52" t="n">
        <v>2025</v>
      </c>
      <c r="I5115" s="14" t="n"/>
      <c r="J5115" s="14" t="n"/>
      <c r="K5115" s="53" t="inlineStr">
        <is>
          <t>Нет</t>
        </is>
      </c>
      <c r="L5115" s="53" t="inlineStr">
        <is>
          <t>Не определено</t>
        </is>
      </c>
      <c r="M5115" s="53" t="inlineStr">
        <is>
          <t>До 10</t>
        </is>
      </c>
      <c r="N5115" s="54" t="n">
        <v>3360</v>
      </c>
      <c r="O5115" s="55" t="inlineStr">
        <is>
          <t>1–15</t>
        </is>
      </c>
      <c r="P5115" s="16" t="inlineStr">
        <is>
          <t>ССЧР обогащена; ОКВЭД не найден/не загружен</t>
        </is>
      </c>
      <c r="Q5115" s="16" t="inlineStr">
        <is>
          <t>ФНС открытые данные ССЧР (ДатаСост 31.12.2025; набор 7707329152-sshr2019)</t>
        </is>
      </c>
      <c r="R5115" s="16">
        <f>HYPERLINK("https://checko.ru/search?query=3801001629","Чекко: проверить")</f>
        <v/>
      </c>
      <c r="S5115" t="n">
        <v>1</v>
      </c>
      <c r="T5115" s="35" t="inlineStr">
        <is>
          <t>4 — Не обогащён</t>
        </is>
      </c>
      <c r="U5115" s="35" t="inlineStr">
        <is>
          <t>Нет ОКВЭД/ССЧР</t>
        </is>
      </c>
      <c r="V5115" s="35" t="inlineStr">
        <is>
          <t>Не определено</t>
        </is>
      </c>
      <c r="W5115" s="35" t="inlineStr">
        <is>
          <t>Нет</t>
        </is>
      </c>
      <c r="X5115" s="35" t="inlineStr"/>
    </row>
    <row r="5116" ht="27.75" customHeight="1" s="24">
      <c r="A5116" s="13" t="n">
        <v>800435772</v>
      </c>
      <c r="B5116" s="13" t="inlineStr">
        <is>
          <t>ИП Семенова Наталья Анатольевна ИНН: 380408964297</t>
        </is>
      </c>
      <c r="C5116" s="13" t="n">
        <v>380408964297</v>
      </c>
      <c r="D5116" s="13" t="inlineStr">
        <is>
          <t>380408964297</t>
        </is>
      </c>
      <c r="E5116" s="13" t="inlineStr">
        <is>
          <t>ИП РФ / физлицо</t>
        </is>
      </c>
      <c r="F5116" s="13" t="n"/>
      <c r="G5116" s="14" t="n"/>
      <c r="H5116" s="14" t="n"/>
      <c r="I5116" s="14" t="n"/>
      <c r="J5116" s="14" t="n"/>
      <c r="K5116" s="53" t="inlineStr"/>
      <c r="L5116" s="53" t="inlineStr">
        <is>
          <t>Не определено</t>
        </is>
      </c>
      <c r="M5116" s="53" t="inlineStr"/>
      <c r="N5116" s="54" t="inlineStr"/>
      <c r="O5116" s="55" t="inlineStr"/>
      <c r="P5116" s="16" t="inlineStr">
        <is>
          <t>Требует обогащения</t>
        </is>
      </c>
      <c r="Q5116" s="16">
        <f>HYPERLINK("https://pb.nalog.ru/search.html?query=380408964297","ФНС: проверить")</f>
        <v/>
      </c>
      <c r="R5116" s="16">
        <f>HYPERLINK("https://checko.ru/search?query=3801001629","Чекко: проверить")</f>
        <v/>
      </c>
      <c r="S5116" t="n">
        <v>1</v>
      </c>
      <c r="T5116" s="35" t="inlineStr">
        <is>
          <t>4 — Не обогащён</t>
        </is>
      </c>
      <c r="U5116" s="35" t="inlineStr">
        <is>
          <t>Нет ОКВЭД/ССЧР</t>
        </is>
      </c>
      <c r="V5116" s="35" t="inlineStr">
        <is>
          <t>Не определено</t>
        </is>
      </c>
      <c r="W5116" s="35" t="inlineStr"/>
      <c r="X5116" s="35" t="inlineStr"/>
    </row>
    <row r="5117" ht="15" customHeight="1" s="24">
      <c r="A5117" s="13" t="n">
        <v>9958262</v>
      </c>
      <c r="B5117" s="13" t="inlineStr">
        <is>
          <t>ООО «Козориз и К»</t>
        </is>
      </c>
      <c r="C5117" s="13" t="n">
        <v>1414012860</v>
      </c>
      <c r="D5117" s="13" t="inlineStr">
        <is>
          <t>1414012860</t>
        </is>
      </c>
      <c r="E5117" s="13" t="inlineStr">
        <is>
          <t>ЮЛ РФ</t>
        </is>
      </c>
      <c r="F5117" s="13" t="n"/>
      <c r="G5117" s="52" t="n">
        <v>46</v>
      </c>
      <c r="H5117" s="52" t="n">
        <v>2025</v>
      </c>
      <c r="I5117" s="52" t="inlineStr">
        <is>
          <t>42.11</t>
        </is>
      </c>
      <c r="J5117" s="52" t="inlineStr">
        <is>
          <t>42.11; 46.90; 41.20; 43.12.3; 43.21; 43.29; 43.99; 52.10; 52.21; 52.29</t>
        </is>
      </c>
      <c r="K5117" s="53" t="inlineStr">
        <is>
          <t>Да</t>
        </is>
      </c>
      <c r="L5117" s="53" t="inlineStr">
        <is>
          <t>Да</t>
        </is>
      </c>
      <c r="M5117" s="53" t="inlineStr">
        <is>
          <t>До 50</t>
        </is>
      </c>
      <c r="N5117" s="54" t="n">
        <v>16800</v>
      </c>
      <c r="O5117" s="55" t="inlineStr">
        <is>
          <t>31–50</t>
        </is>
      </c>
      <c r="P5117" s="16" t="inlineStr">
        <is>
          <t>ССЧР + ОКВЭД обогащены</t>
        </is>
      </c>
      <c r="Q5117" s="16" t="inlineStr">
        <is>
          <t>ФНС открытые данные ССЧР (ДатаСост 31.12.2025; набор 7707329152-sshr2019)</t>
        </is>
      </c>
      <c r="R5117" s="16" t="inlineStr">
        <is>
          <t>ЕГРЮЛ / egrul.nalog.ru (выписка)</t>
        </is>
      </c>
      <c r="S5117" t="n">
        <v>1</v>
      </c>
      <c r="T5117" s="35" t="inlineStr">
        <is>
          <t>1 — Горячий</t>
        </is>
      </c>
      <c r="U5117" s="35" t="inlineStr">
        <is>
          <t>ОКВЭД + 22+</t>
        </is>
      </c>
      <c r="V5117" s="35" t="inlineStr">
        <is>
          <t>Да</t>
        </is>
      </c>
      <c r="W5117" s="35" t="inlineStr">
        <is>
          <t>Да</t>
        </is>
      </c>
      <c r="X5117" s="35" t="inlineStr">
        <is>
          <t>Да</t>
        </is>
      </c>
    </row>
    <row r="5118" ht="27.75" customHeight="1" s="24">
      <c r="A5118" s="13" t="n">
        <v>800516856</v>
      </c>
      <c r="B5118" s="13" t="inlineStr">
        <is>
          <t>ООО "Нефтеперерабатывающее предприятие "Ленское"</t>
        </is>
      </c>
      <c r="C5118" s="13" t="n">
        <v>3818030890</v>
      </c>
      <c r="D5118" s="13" t="inlineStr">
        <is>
          <t>3818030890</t>
        </is>
      </c>
      <c r="E5118" s="13" t="inlineStr">
        <is>
          <t>ЮЛ РФ</t>
        </is>
      </c>
      <c r="F5118" s="13" t="n"/>
      <c r="G5118" s="52" t="n">
        <v>1</v>
      </c>
      <c r="H5118" s="52" t="n">
        <v>2025</v>
      </c>
      <c r="I5118" s="14" t="n"/>
      <c r="J5118" s="14" t="n"/>
      <c r="K5118" s="53" t="inlineStr">
        <is>
          <t>Нет</t>
        </is>
      </c>
      <c r="L5118" s="53" t="inlineStr">
        <is>
          <t>Не определено</t>
        </is>
      </c>
      <c r="M5118" s="53" t="inlineStr">
        <is>
          <t>До 10</t>
        </is>
      </c>
      <c r="N5118" s="54" t="n">
        <v>3360</v>
      </c>
      <c r="O5118" s="55" t="inlineStr">
        <is>
          <t>1–15</t>
        </is>
      </c>
      <c r="P5118" s="16" t="inlineStr">
        <is>
          <t>ССЧР обогащена; ОКВЭД не найден/не загружен</t>
        </is>
      </c>
      <c r="Q5118" s="16" t="inlineStr">
        <is>
          <t>ФНС открытые данные ССЧР (ДатаСост 31.12.2025; набор 7707329152-sshr2019)</t>
        </is>
      </c>
      <c r="R5118" s="16">
        <f>HYPERLINK("https://checko.ru/search?query=3801001629","Чекко: проверить")</f>
        <v/>
      </c>
      <c r="S5118" t="n">
        <v>1</v>
      </c>
      <c r="T5118" s="35" t="inlineStr">
        <is>
          <t>4 — Не обогащён</t>
        </is>
      </c>
      <c r="U5118" s="35" t="inlineStr">
        <is>
          <t>Нет ОКВЭД/ССЧР</t>
        </is>
      </c>
      <c r="V5118" s="35" t="inlineStr">
        <is>
          <t>Не определено</t>
        </is>
      </c>
      <c r="W5118" s="35" t="inlineStr">
        <is>
          <t>Нет</t>
        </is>
      </c>
      <c r="X5118" s="35" t="inlineStr"/>
    </row>
    <row r="5119" ht="15" customHeight="1" s="24">
      <c r="A5119" s="13" t="n">
        <v>9120357</v>
      </c>
      <c r="B5119" s="13" t="inlineStr">
        <is>
          <t>Производственная компания Высота, ООО</t>
        </is>
      </c>
      <c r="C5119" s="13" t="n">
        <v>3811998040</v>
      </c>
      <c r="D5119" s="13" t="inlineStr">
        <is>
          <t>3811998040</t>
        </is>
      </c>
      <c r="E5119" s="13" t="inlineStr">
        <is>
          <t>ЮЛ РФ</t>
        </is>
      </c>
      <c r="F5119" s="13" t="n"/>
      <c r="G5119" s="52" t="n">
        <v>1</v>
      </c>
      <c r="H5119" s="52" t="n">
        <v>2025</v>
      </c>
      <c r="I5119" s="14" t="n"/>
      <c r="J5119" s="14" t="n"/>
      <c r="K5119" s="53" t="inlineStr">
        <is>
          <t>Нет</t>
        </is>
      </c>
      <c r="L5119" s="53" t="inlineStr">
        <is>
          <t>Не определено</t>
        </is>
      </c>
      <c r="M5119" s="53" t="inlineStr">
        <is>
          <t>До 10</t>
        </is>
      </c>
      <c r="N5119" s="54" t="n">
        <v>3360</v>
      </c>
      <c r="O5119" s="55" t="inlineStr">
        <is>
          <t>1–15</t>
        </is>
      </c>
      <c r="P5119" s="16" t="inlineStr">
        <is>
          <t>ССЧР обогащена; ОКВЭД не найден/не загружен</t>
        </is>
      </c>
      <c r="Q5119" s="16" t="inlineStr">
        <is>
          <t>ФНС открытые данные ССЧР (ДатаСост 31.12.2025; набор 7707329152-sshr2019)</t>
        </is>
      </c>
      <c r="R5119" s="16">
        <f>HYPERLINK("https://checko.ru/search?query=3801001629","Чекко: проверить")</f>
        <v/>
      </c>
      <c r="S5119" t="n">
        <v>1</v>
      </c>
      <c r="T5119" s="35" t="inlineStr">
        <is>
          <t>4 — Не обогащён</t>
        </is>
      </c>
      <c r="U5119" s="35" t="inlineStr">
        <is>
          <t>Нет ОКВЭД/ССЧР</t>
        </is>
      </c>
      <c r="V5119" s="35" t="inlineStr">
        <is>
          <t>Не определено</t>
        </is>
      </c>
      <c r="W5119" s="35" t="inlineStr">
        <is>
          <t>Нет</t>
        </is>
      </c>
      <c r="X5119" s="35" t="inlineStr"/>
    </row>
    <row r="5120" ht="27.75" customHeight="1" s="24">
      <c r="A5120" s="13" t="n">
        <v>802411512</v>
      </c>
      <c r="B5120" s="13" t="inlineStr">
        <is>
          <t>ОБЩЕСТВО С ОГРАНИЧЕННОЙ ОТВЕТСТВЕННОСТЬЮ "БЕТОНПРОФИ"</t>
        </is>
      </c>
      <c r="C5120" s="13" t="n">
        <v>3801145067</v>
      </c>
      <c r="D5120" s="13" t="inlineStr">
        <is>
          <t>3801145067</t>
        </is>
      </c>
      <c r="E5120" s="13" t="inlineStr">
        <is>
          <t>ЮЛ РФ</t>
        </is>
      </c>
      <c r="F5120" s="13" t="n"/>
      <c r="G5120" s="52" t="n">
        <v>9</v>
      </c>
      <c r="H5120" s="52" t="n">
        <v>2025</v>
      </c>
      <c r="I5120" s="14" t="n"/>
      <c r="J5120" s="14" t="n"/>
      <c r="K5120" s="53" t="inlineStr">
        <is>
          <t>Нет</t>
        </is>
      </c>
      <c r="L5120" s="53" t="inlineStr">
        <is>
          <t>Не определено</t>
        </is>
      </c>
      <c r="M5120" s="53" t="inlineStr">
        <is>
          <t>До 10</t>
        </is>
      </c>
      <c r="N5120" s="54" t="n">
        <v>3360</v>
      </c>
      <c r="O5120" s="55" t="inlineStr">
        <is>
          <t>1–15</t>
        </is>
      </c>
      <c r="P5120" s="16" t="inlineStr">
        <is>
          <t>ССЧР обогащена; ОКВЭД не найден/не загружен</t>
        </is>
      </c>
      <c r="Q5120" s="16" t="inlineStr">
        <is>
          <t>ФНС открытые данные ССЧР (ДатаСост 31.12.2025; набор 7707329152-sshr2019)</t>
        </is>
      </c>
      <c r="R5120" s="16">
        <f>HYPERLINK("https://checko.ru/search?query=3801001629","Чекко: проверить")</f>
        <v/>
      </c>
      <c r="S5120" t="n">
        <v>1</v>
      </c>
      <c r="T5120" s="35" t="inlineStr">
        <is>
          <t>4 — Не обогащён</t>
        </is>
      </c>
      <c r="U5120" s="35" t="inlineStr">
        <is>
          <t>Нет ОКВЭД/ССЧР</t>
        </is>
      </c>
      <c r="V5120" s="35" t="inlineStr">
        <is>
          <t>Не определено</t>
        </is>
      </c>
      <c r="W5120" s="35" t="inlineStr">
        <is>
          <t>Нет</t>
        </is>
      </c>
      <c r="X5120" s="35" t="inlineStr"/>
    </row>
    <row r="5121" ht="15" customHeight="1" s="24">
      <c r="A5121" s="13" t="n">
        <v>801611281</v>
      </c>
      <c r="B5121" s="13" t="inlineStr">
        <is>
          <t>Смолкина Анна Сергеевна</t>
        </is>
      </c>
      <c r="C5121" s="13" t="n">
        <v>381115689959</v>
      </c>
      <c r="D5121" s="13" t="inlineStr">
        <is>
          <t>381115689959</t>
        </is>
      </c>
      <c r="E5121" s="13" t="inlineStr">
        <is>
          <t>ИП РФ / физлицо</t>
        </is>
      </c>
      <c r="F5121" s="13" t="n"/>
      <c r="G5121" s="14" t="n"/>
      <c r="H5121" s="14" t="n"/>
      <c r="I5121" s="14" t="n"/>
      <c r="J5121" s="14" t="n"/>
      <c r="K5121" s="53" t="inlineStr"/>
      <c r="L5121" s="53" t="inlineStr">
        <is>
          <t>Не определено</t>
        </is>
      </c>
      <c r="M5121" s="53" t="inlineStr"/>
      <c r="N5121" s="54" t="inlineStr"/>
      <c r="O5121" s="55" t="inlineStr"/>
      <c r="P5121" s="16" t="inlineStr">
        <is>
          <t>Требует обогащения</t>
        </is>
      </c>
      <c r="Q5121" s="16">
        <f>HYPERLINK("https://pb.nalog.ru/search.html?query=381115689959","ФНС: проверить")</f>
        <v/>
      </c>
      <c r="R5121" s="16">
        <f>HYPERLINK("https://checko.ru/search?query=3801001629","Чекко: проверить")</f>
        <v/>
      </c>
      <c r="S5121" t="n">
        <v>1</v>
      </c>
      <c r="T5121" s="35" t="inlineStr">
        <is>
          <t>4 — Не обогащён</t>
        </is>
      </c>
      <c r="U5121" s="35" t="inlineStr">
        <is>
          <t>Нет ОКВЭД/ССЧР</t>
        </is>
      </c>
      <c r="V5121" s="35" t="inlineStr">
        <is>
          <t>Не определено</t>
        </is>
      </c>
      <c r="W5121" s="35" t="inlineStr"/>
      <c r="X5121" s="35" t="inlineStr"/>
    </row>
    <row r="5122" ht="15" customHeight="1" s="24">
      <c r="A5122" s="13" t="n">
        <v>9152776</v>
      </c>
      <c r="B5122" s="13" t="inlineStr">
        <is>
          <t>ИП Суслова Татьяна Юрьевна</t>
        </is>
      </c>
      <c r="C5122" s="13" t="n">
        <v>381006708520</v>
      </c>
      <c r="D5122" s="13" t="inlineStr">
        <is>
          <t>381006708520</t>
        </is>
      </c>
      <c r="E5122" s="13" t="inlineStr">
        <is>
          <t>ИП РФ / физлицо</t>
        </is>
      </c>
      <c r="F5122" s="13" t="n"/>
      <c r="G5122" s="14" t="n"/>
      <c r="H5122" s="14" t="n"/>
      <c r="I5122" s="14" t="n"/>
      <c r="J5122" s="14" t="n"/>
      <c r="K5122" s="53" t="inlineStr"/>
      <c r="L5122" s="53" t="inlineStr">
        <is>
          <t>Не определено</t>
        </is>
      </c>
      <c r="M5122" s="53" t="inlineStr"/>
      <c r="N5122" s="54" t="inlineStr"/>
      <c r="O5122" s="55" t="inlineStr"/>
      <c r="P5122" s="16" t="inlineStr">
        <is>
          <t>Требует обогащения</t>
        </is>
      </c>
      <c r="Q5122" s="16">
        <f>HYPERLINK("https://pb.nalog.ru/search.html?query=381006708520","ФНС: проверить")</f>
        <v/>
      </c>
      <c r="R5122" s="16">
        <f>HYPERLINK("https://checko.ru/search?query=3801001629","Чекко: проверить")</f>
        <v/>
      </c>
      <c r="S5122" t="n">
        <v>1</v>
      </c>
      <c r="T5122" s="35" t="inlineStr">
        <is>
          <t>4 — Не обогащён</t>
        </is>
      </c>
      <c r="U5122" s="35" t="inlineStr">
        <is>
          <t>Нет ОКВЭД/ССЧР</t>
        </is>
      </c>
      <c r="V5122" s="35" t="inlineStr">
        <is>
          <t>Не определено</t>
        </is>
      </c>
      <c r="W5122" s="35" t="inlineStr"/>
      <c r="X5122" s="35" t="inlineStr"/>
    </row>
    <row r="5123" ht="27.75" customHeight="1" s="24">
      <c r="A5123" s="13" t="n">
        <v>804708236</v>
      </c>
      <c r="B5123" s="13" t="inlineStr">
        <is>
          <t>ОБЩЕСТВО С ОГРАНИЧЕННОЙ ОТВЕТСТВЕННОСТЬЮ "ЭЛМОНТ +"</t>
        </is>
      </c>
      <c r="C5123" s="13" t="n">
        <v>2311346703</v>
      </c>
      <c r="D5123" s="13" t="inlineStr">
        <is>
          <t>2311346703</t>
        </is>
      </c>
      <c r="E5123" s="13" t="inlineStr">
        <is>
          <t>ЮЛ РФ</t>
        </is>
      </c>
      <c r="F5123" s="13" t="n"/>
      <c r="G5123" s="52" t="n">
        <v>6</v>
      </c>
      <c r="H5123" s="52" t="n">
        <v>2025</v>
      </c>
      <c r="I5123" s="14" t="n"/>
      <c r="J5123" s="14" t="n"/>
      <c r="K5123" s="53" t="inlineStr">
        <is>
          <t>Нет</t>
        </is>
      </c>
      <c r="L5123" s="53" t="inlineStr">
        <is>
          <t>Не определено</t>
        </is>
      </c>
      <c r="M5123" s="53" t="inlineStr">
        <is>
          <t>До 10</t>
        </is>
      </c>
      <c r="N5123" s="54" t="n">
        <v>3360</v>
      </c>
      <c r="O5123" s="55" t="inlineStr">
        <is>
          <t>1–15</t>
        </is>
      </c>
      <c r="P5123" s="16" t="inlineStr">
        <is>
          <t>ССЧР обогащена; ОКВЭД не найден/не загружен</t>
        </is>
      </c>
      <c r="Q5123" s="16" t="inlineStr">
        <is>
          <t>ФНС открытые данные ССЧР (ДатаСост 31.12.2025; набор 7707329152-sshr2019)</t>
        </is>
      </c>
      <c r="R5123" s="16">
        <f>HYPERLINK("https://checko.ru/search?query=3801001629","Чекко: проверить")</f>
        <v/>
      </c>
      <c r="S5123" t="n">
        <v>1</v>
      </c>
      <c r="T5123" s="35" t="inlineStr">
        <is>
          <t>4 — Не обогащён</t>
        </is>
      </c>
      <c r="U5123" s="35" t="inlineStr">
        <is>
          <t>Нет ОКВЭД/ССЧР</t>
        </is>
      </c>
      <c r="V5123" s="35" t="inlineStr">
        <is>
          <t>Не определено</t>
        </is>
      </c>
      <c r="W5123" s="35" t="inlineStr">
        <is>
          <t>Нет</t>
        </is>
      </c>
      <c r="X5123" s="35" t="inlineStr"/>
    </row>
    <row r="5124" ht="15" customHeight="1" s="24">
      <c r="A5124" s="13" t="n">
        <v>801628922</v>
      </c>
      <c r="B5124" s="13" t="inlineStr">
        <is>
          <t>ООО УК "Сибирь-Равитие"</t>
        </is>
      </c>
      <c r="C5124" s="13" t="n">
        <v>3808154825</v>
      </c>
      <c r="D5124" s="13" t="inlineStr">
        <is>
          <t>3808154825</t>
        </is>
      </c>
      <c r="E5124" s="13" t="inlineStr">
        <is>
          <t>ЮЛ РФ</t>
        </is>
      </c>
      <c r="F5124" s="13" t="n"/>
      <c r="G5124" s="52" t="n">
        <v>5</v>
      </c>
      <c r="H5124" s="52" t="n">
        <v>2025</v>
      </c>
      <c r="I5124" s="14" t="n"/>
      <c r="J5124" s="14" t="n"/>
      <c r="K5124" s="53" t="inlineStr">
        <is>
          <t>Нет</t>
        </is>
      </c>
      <c r="L5124" s="53" t="inlineStr">
        <is>
          <t>Не определено</t>
        </is>
      </c>
      <c r="M5124" s="53" t="inlineStr">
        <is>
          <t>До 10</t>
        </is>
      </c>
      <c r="N5124" s="54" t="n">
        <v>3360</v>
      </c>
      <c r="O5124" s="55" t="inlineStr">
        <is>
          <t>1–15</t>
        </is>
      </c>
      <c r="P5124" s="16" t="inlineStr">
        <is>
          <t>ССЧР обогащена; ОКВЭД не найден/не загружен</t>
        </is>
      </c>
      <c r="Q5124" s="16" t="inlineStr">
        <is>
          <t>ФНС открытые данные ССЧР (ДатаСост 31.12.2025; набор 7707329152-sshr2019)</t>
        </is>
      </c>
      <c r="R5124" s="16">
        <f>HYPERLINK("https://checko.ru/search?query=3801001629","Чекко: проверить")</f>
        <v/>
      </c>
      <c r="S5124" t="n">
        <v>1</v>
      </c>
      <c r="T5124" s="35" t="inlineStr">
        <is>
          <t>4 — Не обогащён</t>
        </is>
      </c>
      <c r="U5124" s="35" t="inlineStr">
        <is>
          <t>Нет ОКВЭД/ССЧР</t>
        </is>
      </c>
      <c r="V5124" s="35" t="inlineStr">
        <is>
          <t>Не определено</t>
        </is>
      </c>
      <c r="W5124" s="35" t="inlineStr">
        <is>
          <t>Нет</t>
        </is>
      </c>
      <c r="X5124" s="35" t="inlineStr"/>
    </row>
    <row r="5125" ht="27.75" customHeight="1" s="24">
      <c r="A5125" s="13" t="n">
        <v>13613083</v>
      </c>
      <c r="B5125" s="13" t="inlineStr">
        <is>
          <t>ОБЩЕСТВО С ОГРАНИЧЕННОЙ ОТВЕТСТВЕННОСТЬЮ "ПРИЧАЛ"</t>
        </is>
      </c>
      <c r="C5125" s="13" t="n">
        <v>3808222680</v>
      </c>
      <c r="D5125" s="13" t="inlineStr">
        <is>
          <t>3808222680</t>
        </is>
      </c>
      <c r="E5125" s="13" t="inlineStr">
        <is>
          <t>ЮЛ РФ</t>
        </is>
      </c>
      <c r="F5125" s="13" t="n"/>
      <c r="G5125" s="52" t="n">
        <v>12</v>
      </c>
      <c r="H5125" s="52" t="n">
        <v>2025</v>
      </c>
      <c r="I5125" s="14" t="n"/>
      <c r="J5125" s="14" t="n"/>
      <c r="K5125" s="53" t="inlineStr">
        <is>
          <t>Нет</t>
        </is>
      </c>
      <c r="L5125" s="53" t="inlineStr">
        <is>
          <t>Не определено</t>
        </is>
      </c>
      <c r="M5125" s="53" t="inlineStr">
        <is>
          <t>До 25</t>
        </is>
      </c>
      <c r="N5125" s="54" t="n">
        <v>8400</v>
      </c>
      <c r="O5125" s="55" t="inlineStr">
        <is>
          <t>1–15</t>
        </is>
      </c>
      <c r="P5125" s="16" t="inlineStr">
        <is>
          <t>ССЧР обогащена; ОКВЭД не найден/не загружен</t>
        </is>
      </c>
      <c r="Q5125" s="16" t="inlineStr">
        <is>
          <t>ФНС открытые данные ССЧР (ДатаСост 31.12.2025; набор 7707329152-sshr2019)</t>
        </is>
      </c>
      <c r="R5125" s="16">
        <f>HYPERLINK("https://checko.ru/search?query=3801001629","Чекко: проверить")</f>
        <v/>
      </c>
      <c r="S5125" t="n">
        <v>1</v>
      </c>
      <c r="T5125" s="35" t="inlineStr">
        <is>
          <t>4 — Не обогащён</t>
        </is>
      </c>
      <c r="U5125" s="35" t="inlineStr">
        <is>
          <t>Нет ОКВЭД/ССЧР</t>
        </is>
      </c>
      <c r="V5125" s="35" t="inlineStr">
        <is>
          <t>Не определено</t>
        </is>
      </c>
      <c r="W5125" s="35" t="inlineStr">
        <is>
          <t>Нет</t>
        </is>
      </c>
      <c r="X5125" s="35" t="inlineStr"/>
    </row>
    <row r="5126" ht="15" customHeight="1" s="24">
      <c r="A5126" s="13" t="n">
        <v>801626626</v>
      </c>
      <c r="B5126" s="13" t="inlineStr">
        <is>
          <t>ООО "Олимпия"</t>
        </is>
      </c>
      <c r="C5126" s="13" t="n">
        <v>3810336438</v>
      </c>
      <c r="D5126" s="13" t="inlineStr">
        <is>
          <t>3810336438</t>
        </is>
      </c>
      <c r="E5126" s="13" t="inlineStr">
        <is>
          <t>ЮЛ РФ</t>
        </is>
      </c>
      <c r="F5126" s="13" t="n"/>
      <c r="G5126" s="52" t="n">
        <v>14</v>
      </c>
      <c r="H5126" s="52" t="n">
        <v>2025</v>
      </c>
      <c r="I5126" s="14" t="n"/>
      <c r="J5126" s="14" t="n"/>
      <c r="K5126" s="53" t="inlineStr">
        <is>
          <t>Нет</t>
        </is>
      </c>
      <c r="L5126" s="53" t="inlineStr">
        <is>
          <t>Не определено</t>
        </is>
      </c>
      <c r="M5126" s="53" t="inlineStr">
        <is>
          <t>До 25</t>
        </is>
      </c>
      <c r="N5126" s="54" t="n">
        <v>8400</v>
      </c>
      <c r="O5126" s="55" t="inlineStr">
        <is>
          <t>1–15</t>
        </is>
      </c>
      <c r="P5126" s="16" t="inlineStr">
        <is>
          <t>ССЧР обогащена; ОКВЭД не найден/не загружен</t>
        </is>
      </c>
      <c r="Q5126" s="16" t="inlineStr">
        <is>
          <t>ФНС открытые данные ССЧР (ДатаСост 31.12.2025; набор 7707329152-sshr2019)</t>
        </is>
      </c>
      <c r="R5126" s="16">
        <f>HYPERLINK("https://checko.ru/search?query=3801001629","Чекко: проверить")</f>
        <v/>
      </c>
      <c r="S5126" t="n">
        <v>1</v>
      </c>
      <c r="T5126" s="35" t="inlineStr">
        <is>
          <t>4 — Не обогащён</t>
        </is>
      </c>
      <c r="U5126" s="35" t="inlineStr">
        <is>
          <t>Нет ОКВЭД/ССЧР</t>
        </is>
      </c>
      <c r="V5126" s="35" t="inlineStr">
        <is>
          <t>Не определено</t>
        </is>
      </c>
      <c r="W5126" s="35" t="inlineStr">
        <is>
          <t>Нет</t>
        </is>
      </c>
      <c r="X5126" s="35" t="inlineStr"/>
    </row>
    <row r="5127" ht="15" customHeight="1" s="24">
      <c r="A5127" s="13" t="n">
        <v>802401161</v>
      </c>
      <c r="B5127" s="13" t="inlineStr">
        <is>
          <t>ООО Гудвин</t>
        </is>
      </c>
      <c r="C5127" s="13" t="n">
        <v>3808139778</v>
      </c>
      <c r="D5127" s="13" t="inlineStr">
        <is>
          <t>3808139778</t>
        </is>
      </c>
      <c r="E5127" s="13" t="inlineStr">
        <is>
          <t>ЮЛ РФ</t>
        </is>
      </c>
      <c r="F5127" s="13" t="n"/>
      <c r="G5127" s="52" t="n">
        <v>4</v>
      </c>
      <c r="H5127" s="52" t="n">
        <v>2025</v>
      </c>
      <c r="I5127" s="14" t="n"/>
      <c r="J5127" s="14" t="n"/>
      <c r="K5127" s="53" t="inlineStr">
        <is>
          <t>Нет</t>
        </is>
      </c>
      <c r="L5127" s="53" t="inlineStr">
        <is>
          <t>Не определено</t>
        </is>
      </c>
      <c r="M5127" s="53" t="inlineStr">
        <is>
          <t>До 10</t>
        </is>
      </c>
      <c r="N5127" s="54" t="n">
        <v>3360</v>
      </c>
      <c r="O5127" s="55" t="inlineStr">
        <is>
          <t>1–15</t>
        </is>
      </c>
      <c r="P5127" s="16" t="inlineStr">
        <is>
          <t>ССЧР обогащена; ОКВЭД не найден/не загружен</t>
        </is>
      </c>
      <c r="Q5127" s="16" t="inlineStr">
        <is>
          <t>ФНС открытые данные ССЧР (ДатаСост 31.12.2025; набор 7707329152-sshr2019)</t>
        </is>
      </c>
      <c r="R5127" s="16">
        <f>HYPERLINK("https://checko.ru/search?query=3801001629","Чекко: проверить")</f>
        <v/>
      </c>
      <c r="S5127" t="n">
        <v>1</v>
      </c>
      <c r="T5127" s="35" t="inlineStr">
        <is>
          <t>4 — Не обогащён</t>
        </is>
      </c>
      <c r="U5127" s="35" t="inlineStr">
        <is>
          <t>Нет ОКВЭД/ССЧР</t>
        </is>
      </c>
      <c r="V5127" s="35" t="inlineStr">
        <is>
          <t>Не определено</t>
        </is>
      </c>
      <c r="W5127" s="35" t="inlineStr">
        <is>
          <t>Нет</t>
        </is>
      </c>
      <c r="X5127" s="35" t="inlineStr"/>
    </row>
    <row r="5128" ht="27.75" customHeight="1" s="24">
      <c r="A5128" s="13" t="n">
        <v>802413019</v>
      </c>
      <c r="B5128" s="13" t="inlineStr">
        <is>
          <t>Общество с ограниченной ответственностью "Агентство ПБ"</t>
        </is>
      </c>
      <c r="C5128" s="13" t="n">
        <v>3849070973</v>
      </c>
      <c r="D5128" s="13" t="inlineStr">
        <is>
          <t>3849070973</t>
        </is>
      </c>
      <c r="E5128" s="13" t="inlineStr">
        <is>
          <t>ЮЛ РФ</t>
        </is>
      </c>
      <c r="F5128" s="13" t="n"/>
      <c r="G5128" s="52" t="n">
        <v>5</v>
      </c>
      <c r="H5128" s="52" t="n">
        <v>2025</v>
      </c>
      <c r="I5128" s="14" t="n"/>
      <c r="J5128" s="14" t="n"/>
      <c r="K5128" s="53" t="inlineStr">
        <is>
          <t>Нет</t>
        </is>
      </c>
      <c r="L5128" s="53" t="inlineStr">
        <is>
          <t>Не определено</t>
        </is>
      </c>
      <c r="M5128" s="53" t="inlineStr">
        <is>
          <t>До 10</t>
        </is>
      </c>
      <c r="N5128" s="54" t="n">
        <v>3360</v>
      </c>
      <c r="O5128" s="55" t="inlineStr">
        <is>
          <t>1–15</t>
        </is>
      </c>
      <c r="P5128" s="16" t="inlineStr">
        <is>
          <t>ССЧР обогащена; ОКВЭД не найден/не загружен</t>
        </is>
      </c>
      <c r="Q5128" s="16" t="inlineStr">
        <is>
          <t>ФНС открытые данные ССЧР (ДатаСост 31.12.2025; набор 7707329152-sshr2019)</t>
        </is>
      </c>
      <c r="R5128" s="16">
        <f>HYPERLINK("https://checko.ru/search?query=3801001629","Чекко: проверить")</f>
        <v/>
      </c>
      <c r="S5128" t="n">
        <v>1</v>
      </c>
      <c r="T5128" s="35" t="inlineStr">
        <is>
          <t>4 — Не обогащён</t>
        </is>
      </c>
      <c r="U5128" s="35" t="inlineStr">
        <is>
          <t>Нет ОКВЭД/ССЧР</t>
        </is>
      </c>
      <c r="V5128" s="35" t="inlineStr">
        <is>
          <t>Не определено</t>
        </is>
      </c>
      <c r="W5128" s="35" t="inlineStr">
        <is>
          <t>Нет</t>
        </is>
      </c>
      <c r="X5128" s="35" t="inlineStr"/>
    </row>
    <row r="5129" ht="15" customHeight="1" s="24">
      <c r="A5129" s="13" t="n">
        <v>800499045</v>
      </c>
      <c r="B5129" s="13" t="inlineStr">
        <is>
          <t>ООО "БОМОНД"</t>
        </is>
      </c>
      <c r="C5129" s="13" t="n">
        <v>3804045656</v>
      </c>
      <c r="D5129" s="13" t="inlineStr">
        <is>
          <t>3804045656</t>
        </is>
      </c>
      <c r="E5129" s="13" t="inlineStr">
        <is>
          <t>ЮЛ РФ</t>
        </is>
      </c>
      <c r="F5129" s="13" t="n"/>
      <c r="G5129" s="52" t="n">
        <v>16</v>
      </c>
      <c r="H5129" s="52" t="n">
        <v>2025</v>
      </c>
      <c r="I5129" s="14" t="n"/>
      <c r="J5129" s="14" t="n"/>
      <c r="K5129" s="53" t="inlineStr">
        <is>
          <t>Нет</t>
        </is>
      </c>
      <c r="L5129" s="53" t="inlineStr">
        <is>
          <t>Не определено</t>
        </is>
      </c>
      <c r="M5129" s="53" t="inlineStr">
        <is>
          <t>До 25</t>
        </is>
      </c>
      <c r="N5129" s="54" t="n">
        <v>8400</v>
      </c>
      <c r="O5129" s="55" t="inlineStr">
        <is>
          <t>16–30</t>
        </is>
      </c>
      <c r="P5129" s="16" t="inlineStr">
        <is>
          <t>ССЧР обогащена; ОКВЭД не найден/не загружен</t>
        </is>
      </c>
      <c r="Q5129" s="16" t="inlineStr">
        <is>
          <t>ФНС открытые данные ССЧР (ДатаСост 31.12.2025; набор 7707329152-sshr2019)</t>
        </is>
      </c>
      <c r="R5129" s="16">
        <f>HYPERLINK("https://checko.ru/search?query=3801001629","Чекко: проверить")</f>
        <v/>
      </c>
      <c r="S5129" t="n">
        <v>1</v>
      </c>
      <c r="T5129" s="35" t="inlineStr">
        <is>
          <t>4 — Не обогащён</t>
        </is>
      </c>
      <c r="U5129" s="35" t="inlineStr">
        <is>
          <t>Нет ОКВЭД/ССЧР</t>
        </is>
      </c>
      <c r="V5129" s="35" t="inlineStr">
        <is>
          <t>Не определено</t>
        </is>
      </c>
      <c r="W5129" s="35" t="inlineStr">
        <is>
          <t>Нет</t>
        </is>
      </c>
      <c r="X5129" s="35" t="inlineStr"/>
    </row>
    <row r="5130" ht="15" customHeight="1" s="24">
      <c r="A5130" s="13" t="n">
        <v>20012828603</v>
      </c>
      <c r="B5130" s="13" t="inlineStr">
        <is>
          <t>ООО ОПТ "ПИВО РУ"</t>
        </is>
      </c>
      <c r="C5130" s="13" t="n">
        <v>3808276566</v>
      </c>
      <c r="D5130" s="13" t="inlineStr">
        <is>
          <t>3808276566</t>
        </is>
      </c>
      <c r="E5130" s="13" t="inlineStr">
        <is>
          <t>ЮЛ РФ</t>
        </is>
      </c>
      <c r="F5130" s="13" t="n"/>
      <c r="G5130" s="52" t="n">
        <v>17</v>
      </c>
      <c r="H5130" s="52" t="n">
        <v>2025</v>
      </c>
      <c r="I5130" s="14" t="n"/>
      <c r="J5130" s="14" t="n"/>
      <c r="K5130" s="53" t="inlineStr">
        <is>
          <t>Нет</t>
        </is>
      </c>
      <c r="L5130" s="53" t="inlineStr">
        <is>
          <t>Не определено</t>
        </is>
      </c>
      <c r="M5130" s="53" t="inlineStr">
        <is>
          <t>До 25</t>
        </is>
      </c>
      <c r="N5130" s="54" t="n">
        <v>8400</v>
      </c>
      <c r="O5130" s="55" t="inlineStr">
        <is>
          <t>16–30</t>
        </is>
      </c>
      <c r="P5130" s="16" t="inlineStr">
        <is>
          <t>ССЧР обогащена; ОКВЭД не найден/не загружен</t>
        </is>
      </c>
      <c r="Q5130" s="16" t="inlineStr">
        <is>
          <t>ФНС открытые данные ССЧР (ДатаСост 31.12.2025; набор 7707329152-sshr2019)</t>
        </is>
      </c>
      <c r="R5130" s="16">
        <f>HYPERLINK("https://checko.ru/search?query=3801001629","Чекко: проверить")</f>
        <v/>
      </c>
      <c r="S5130" t="n">
        <v>1</v>
      </c>
      <c r="T5130" s="35" t="inlineStr">
        <is>
          <t>4 — Не обогащён</t>
        </is>
      </c>
      <c r="U5130" s="35" t="inlineStr">
        <is>
          <t>Нет ОКВЭД/ССЧР</t>
        </is>
      </c>
      <c r="V5130" s="35" t="inlineStr">
        <is>
          <t>Не определено</t>
        </is>
      </c>
      <c r="W5130" s="35" t="inlineStr">
        <is>
          <t>Нет</t>
        </is>
      </c>
      <c r="X5130" s="35" t="inlineStr"/>
    </row>
    <row r="5131" ht="15" customHeight="1" s="24">
      <c r="A5131" s="13" t="n">
        <v>800562155</v>
      </c>
      <c r="B5131" s="13" t="inlineStr">
        <is>
          <t>ИП Пашкина Людмила Александровна</t>
        </is>
      </c>
      <c r="C5131" s="13" t="n">
        <v>383101896243</v>
      </c>
      <c r="D5131" s="13" t="inlineStr">
        <is>
          <t>383101896243</t>
        </is>
      </c>
      <c r="E5131" s="13" t="inlineStr">
        <is>
          <t>ИП РФ / физлицо</t>
        </is>
      </c>
      <c r="F5131" s="13" t="n"/>
      <c r="G5131" s="14" t="n"/>
      <c r="H5131" s="14" t="n"/>
      <c r="I5131" s="14" t="n"/>
      <c r="J5131" s="14" t="n"/>
      <c r="K5131" s="53" t="inlineStr"/>
      <c r="L5131" s="53" t="inlineStr">
        <is>
          <t>Не определено</t>
        </is>
      </c>
      <c r="M5131" s="53" t="inlineStr"/>
      <c r="N5131" s="54" t="inlineStr"/>
      <c r="O5131" s="55" t="inlineStr"/>
      <c r="P5131" s="16" t="inlineStr">
        <is>
          <t>Требует обогащения</t>
        </is>
      </c>
      <c r="Q5131" s="16">
        <f>HYPERLINK("https://pb.nalog.ru/search.html?query=383101896243","ФНС: проверить")</f>
        <v/>
      </c>
      <c r="R5131" s="16">
        <f>HYPERLINK("https://checko.ru/search?query=3801001629","Чекко: проверить")</f>
        <v/>
      </c>
      <c r="S5131" t="n">
        <v>1</v>
      </c>
      <c r="T5131" s="35" t="inlineStr">
        <is>
          <t>4 — Не обогащён</t>
        </is>
      </c>
      <c r="U5131" s="35" t="inlineStr">
        <is>
          <t>Нет ОКВЭД/ССЧР</t>
        </is>
      </c>
      <c r="V5131" s="35" t="inlineStr">
        <is>
          <t>Не определено</t>
        </is>
      </c>
      <c r="W5131" s="35" t="inlineStr"/>
      <c r="X5131" s="35" t="inlineStr"/>
    </row>
    <row r="5132" ht="15" customHeight="1" s="24">
      <c r="A5132" s="13" t="n">
        <v>800421106</v>
      </c>
      <c r="B5132" s="13" t="inlineStr">
        <is>
          <t>ИП Гребнев Дмитрий Владимирович</t>
        </is>
      </c>
      <c r="C5132" s="13" t="n">
        <v>380401202596</v>
      </c>
      <c r="D5132" s="13" t="inlineStr">
        <is>
          <t>380401202596</t>
        </is>
      </c>
      <c r="E5132" s="13" t="inlineStr">
        <is>
          <t>ИП РФ / физлицо</t>
        </is>
      </c>
      <c r="F5132" s="13" t="n"/>
      <c r="G5132" s="14" t="n"/>
      <c r="H5132" s="14" t="n"/>
      <c r="I5132" s="14" t="n"/>
      <c r="J5132" s="14" t="n"/>
      <c r="K5132" s="53" t="inlineStr"/>
      <c r="L5132" s="53" t="inlineStr">
        <is>
          <t>Не определено</t>
        </is>
      </c>
      <c r="M5132" s="53" t="inlineStr"/>
      <c r="N5132" s="54" t="inlineStr"/>
      <c r="O5132" s="55" t="inlineStr"/>
      <c r="P5132" s="16" t="inlineStr">
        <is>
          <t>Требует обогащения</t>
        </is>
      </c>
      <c r="Q5132" s="16">
        <f>HYPERLINK("https://pb.nalog.ru/search.html?query=380401202596","ФНС: проверить")</f>
        <v/>
      </c>
      <c r="R5132" s="16">
        <f>HYPERLINK("https://checko.ru/search?query=3801001629","Чекко: проверить")</f>
        <v/>
      </c>
      <c r="S5132" t="n">
        <v>1</v>
      </c>
      <c r="T5132" s="35" t="inlineStr">
        <is>
          <t>4 — Не обогащён</t>
        </is>
      </c>
      <c r="U5132" s="35" t="inlineStr">
        <is>
          <t>Нет ОКВЭД/ССЧР</t>
        </is>
      </c>
      <c r="V5132" s="35" t="inlineStr">
        <is>
          <t>Не определено</t>
        </is>
      </c>
      <c r="W5132" s="35" t="inlineStr"/>
      <c r="X5132" s="35" t="inlineStr"/>
    </row>
    <row r="5133" ht="41.25" customHeight="1" s="24">
      <c r="A5133" s="13" t="n">
        <v>803025610</v>
      </c>
      <c r="B5133" s="13" t="inlineStr">
        <is>
          <t>ОБЩЕСТВО С ОГРАНИЧЕННОЙ ОТВЕТСТВЕННОСТЬЮ "ГРУППА КОМПАНИЙ АЛГОРИТМ ПЛЮС"</t>
        </is>
      </c>
      <c r="C5133" s="13" t="n">
        <v>3849084542</v>
      </c>
      <c r="D5133" s="13" t="inlineStr">
        <is>
          <t>3849084542</t>
        </is>
      </c>
      <c r="E5133" s="13" t="inlineStr">
        <is>
          <t>ЮЛ РФ</t>
        </is>
      </c>
      <c r="F5133" s="13" t="n"/>
      <c r="G5133" s="52" t="n">
        <v>2</v>
      </c>
      <c r="H5133" s="52" t="n">
        <v>2025</v>
      </c>
      <c r="I5133" s="14" t="n"/>
      <c r="J5133" s="14" t="n"/>
      <c r="K5133" s="53" t="inlineStr">
        <is>
          <t>Нет</t>
        </is>
      </c>
      <c r="L5133" s="53" t="inlineStr">
        <is>
          <t>Не определено</t>
        </is>
      </c>
      <c r="M5133" s="53" t="inlineStr">
        <is>
          <t>До 10</t>
        </is>
      </c>
      <c r="N5133" s="54" t="n">
        <v>3360</v>
      </c>
      <c r="O5133" s="55" t="inlineStr">
        <is>
          <t>1–15</t>
        </is>
      </c>
      <c r="P5133" s="16" t="inlineStr">
        <is>
          <t>ССЧР обогащена; ОКВЭД не найден/не загружен</t>
        </is>
      </c>
      <c r="Q5133" s="16" t="inlineStr">
        <is>
          <t>ФНС открытые данные ССЧР (ДатаСост 31.12.2025; набор 7707329152-sshr2019)</t>
        </is>
      </c>
      <c r="R5133" s="16">
        <f>HYPERLINK("https://checko.ru/search?query=3801001629","Чекко: проверить")</f>
        <v/>
      </c>
      <c r="S5133" t="n">
        <v>1</v>
      </c>
      <c r="T5133" s="35" t="inlineStr">
        <is>
          <t>4 — Не обогащён</t>
        </is>
      </c>
      <c r="U5133" s="35" t="inlineStr">
        <is>
          <t>Нет ОКВЭД/ССЧР</t>
        </is>
      </c>
      <c r="V5133" s="35" t="inlineStr">
        <is>
          <t>Не определено</t>
        </is>
      </c>
      <c r="W5133" s="35" t="inlineStr">
        <is>
          <t>Нет</t>
        </is>
      </c>
      <c r="X5133" s="35" t="inlineStr"/>
    </row>
    <row r="5134" ht="27.75" customHeight="1" s="24">
      <c r="A5134" s="13" t="n">
        <v>802304143</v>
      </c>
      <c r="B5134" s="13" t="inlineStr">
        <is>
          <t>ОБЩЕСТВО С ОГРАНИЧЕННОЙ ОТВЕТСТВЕННОСТЬЮ "ЭЛЕКТРИК ПЛЮС"</t>
        </is>
      </c>
      <c r="C5134" s="13" t="n">
        <v>3827042891</v>
      </c>
      <c r="D5134" s="13" t="inlineStr">
        <is>
          <t>3827042891</t>
        </is>
      </c>
      <c r="E5134" s="13" t="inlineStr">
        <is>
          <t>ЮЛ РФ</t>
        </is>
      </c>
      <c r="F5134" s="13" t="n"/>
      <c r="G5134" s="52" t="n">
        <v>6</v>
      </c>
      <c r="H5134" s="52" t="n">
        <v>2025</v>
      </c>
      <c r="I5134" s="14" t="n"/>
      <c r="J5134" s="14" t="n"/>
      <c r="K5134" s="53" t="inlineStr">
        <is>
          <t>Нет</t>
        </is>
      </c>
      <c r="L5134" s="53" t="inlineStr">
        <is>
          <t>Не определено</t>
        </is>
      </c>
      <c r="M5134" s="53" t="inlineStr">
        <is>
          <t>До 10</t>
        </is>
      </c>
      <c r="N5134" s="54" t="n">
        <v>3360</v>
      </c>
      <c r="O5134" s="55" t="inlineStr">
        <is>
          <t>1–15</t>
        </is>
      </c>
      <c r="P5134" s="16" t="inlineStr">
        <is>
          <t>ССЧР обогащена; ОКВЭД не найден/не загружен</t>
        </is>
      </c>
      <c r="Q5134" s="16" t="inlineStr">
        <is>
          <t>ФНС открытые данные ССЧР (ДатаСост 31.12.2025; набор 7707329152-sshr2019)</t>
        </is>
      </c>
      <c r="R5134" s="16">
        <f>HYPERLINK("https://checko.ru/search?query=3801001629","Чекко: проверить")</f>
        <v/>
      </c>
      <c r="S5134" t="n">
        <v>1</v>
      </c>
      <c r="T5134" s="35" t="inlineStr">
        <is>
          <t>4 — Не обогащён</t>
        </is>
      </c>
      <c r="U5134" s="35" t="inlineStr">
        <is>
          <t>Нет ОКВЭД/ССЧР</t>
        </is>
      </c>
      <c r="V5134" s="35" t="inlineStr">
        <is>
          <t>Не определено</t>
        </is>
      </c>
      <c r="W5134" s="35" t="inlineStr">
        <is>
          <t>Нет</t>
        </is>
      </c>
      <c r="X5134" s="35" t="inlineStr"/>
    </row>
    <row r="5135" ht="27.75" customHeight="1" s="24">
      <c r="A5135" s="13" t="n">
        <v>802462524</v>
      </c>
      <c r="B5135" s="13" t="inlineStr">
        <is>
          <t>Индивидуальный Предприниматель Скоробогатых Константин Анатольевич</t>
        </is>
      </c>
      <c r="C5135" s="13" t="n">
        <v>666000039726</v>
      </c>
      <c r="D5135" s="13" t="inlineStr">
        <is>
          <t>666000039726</t>
        </is>
      </c>
      <c r="E5135" s="13" t="inlineStr">
        <is>
          <t>ИП РФ / физлицо</t>
        </is>
      </c>
      <c r="F5135" s="13" t="n"/>
      <c r="G5135" s="14" t="n"/>
      <c r="H5135" s="14" t="n"/>
      <c r="I5135" s="14" t="n"/>
      <c r="J5135" s="14" t="n"/>
      <c r="K5135" s="53" t="inlineStr"/>
      <c r="L5135" s="53" t="inlineStr">
        <is>
          <t>Не определено</t>
        </is>
      </c>
      <c r="M5135" s="53" t="inlineStr"/>
      <c r="N5135" s="54" t="inlineStr"/>
      <c r="O5135" s="55" t="inlineStr"/>
      <c r="P5135" s="16" t="inlineStr">
        <is>
          <t>Требует обогащения</t>
        </is>
      </c>
      <c r="Q5135" s="16">
        <f>HYPERLINK("https://pb.nalog.ru/search.html?query=666000039726","ФНС: проверить")</f>
        <v/>
      </c>
      <c r="R5135" s="16">
        <f>HYPERLINK("https://checko.ru/search?query=3801001629","Чекко: проверить")</f>
        <v/>
      </c>
      <c r="S5135" t="n">
        <v>1</v>
      </c>
      <c r="T5135" s="35" t="inlineStr">
        <is>
          <t>4 — Не обогащён</t>
        </is>
      </c>
      <c r="U5135" s="35" t="inlineStr">
        <is>
          <t>Нет ОКВЭД/ССЧР</t>
        </is>
      </c>
      <c r="V5135" s="35" t="inlineStr">
        <is>
          <t>Не определено</t>
        </is>
      </c>
      <c r="W5135" s="35" t="inlineStr"/>
      <c r="X5135" s="35" t="inlineStr"/>
    </row>
    <row r="5136" ht="27.75" customHeight="1" s="24">
      <c r="A5136" s="13" t="n">
        <v>9396219</v>
      </c>
      <c r="B5136" s="13" t="inlineStr">
        <is>
          <t>Управляющая компания ООО "Жилищный Комфорт и Уют"</t>
        </is>
      </c>
      <c r="C5136" s="13" t="n">
        <v>1434049466</v>
      </c>
      <c r="D5136" s="13" t="inlineStr">
        <is>
          <t>1434049466</t>
        </is>
      </c>
      <c r="E5136" s="13" t="inlineStr">
        <is>
          <t>ЮЛ РФ</t>
        </is>
      </c>
      <c r="F5136" s="13" t="n"/>
      <c r="G5136" s="52" t="n">
        <v>4</v>
      </c>
      <c r="H5136" s="52" t="n">
        <v>2025</v>
      </c>
      <c r="I5136" s="14" t="n"/>
      <c r="J5136" s="14" t="n"/>
      <c r="K5136" s="53" t="inlineStr">
        <is>
          <t>Нет</t>
        </is>
      </c>
      <c r="L5136" s="53" t="inlineStr">
        <is>
          <t>Не определено</t>
        </is>
      </c>
      <c r="M5136" s="53" t="inlineStr">
        <is>
          <t>До 10</t>
        </is>
      </c>
      <c r="N5136" s="54" t="n">
        <v>3360</v>
      </c>
      <c r="O5136" s="55" t="inlineStr">
        <is>
          <t>1–15</t>
        </is>
      </c>
      <c r="P5136" s="16" t="inlineStr">
        <is>
          <t>ССЧР обогащена; ОКВЭД не найден/не загружен</t>
        </is>
      </c>
      <c r="Q5136" s="16" t="inlineStr">
        <is>
          <t>ФНС открытые данные ССЧР (ДатаСост 31.12.2025; набор 7707329152-sshr2019)</t>
        </is>
      </c>
      <c r="R5136" s="16">
        <f>HYPERLINK("https://checko.ru/search?query=3801001629","Чекко: проверить")</f>
        <v/>
      </c>
      <c r="S5136" t="n">
        <v>1</v>
      </c>
      <c r="T5136" s="35" t="inlineStr">
        <is>
          <t>4 — Не обогащён</t>
        </is>
      </c>
      <c r="U5136" s="35" t="inlineStr">
        <is>
          <t>Нет ОКВЭД/ССЧР</t>
        </is>
      </c>
      <c r="V5136" s="35" t="inlineStr">
        <is>
          <t>Не определено</t>
        </is>
      </c>
      <c r="W5136" s="35" t="inlineStr">
        <is>
          <t>Нет</t>
        </is>
      </c>
      <c r="X5136" s="35" t="inlineStr"/>
    </row>
    <row r="5137" ht="15" customHeight="1" s="24">
      <c r="A5137" s="13" t="n">
        <v>9348547</v>
      </c>
      <c r="B5137" s="13" t="inlineStr">
        <is>
          <t>Восточно-Сибирский филиал ФГУП "ВНИИФТРИ"</t>
        </is>
      </c>
      <c r="C5137" s="13" t="n">
        <v>5044000102</v>
      </c>
      <c r="D5137" s="13" t="inlineStr">
        <is>
          <t>5044000102</t>
        </is>
      </c>
      <c r="E5137" s="13" t="inlineStr">
        <is>
          <t>ЮЛ РФ</t>
        </is>
      </c>
      <c r="F5137" s="13" t="n"/>
      <c r="G5137" s="14" t="n"/>
      <c r="H5137" s="14" t="n"/>
      <c r="I5137" s="14" t="n"/>
      <c r="J5137" s="14" t="n"/>
      <c r="K5137" s="53" t="inlineStr"/>
      <c r="L5137" s="53" t="inlineStr">
        <is>
          <t>Не определено</t>
        </is>
      </c>
      <c r="M5137" s="53" t="inlineStr"/>
      <c r="N5137" s="54" t="inlineStr"/>
      <c r="O5137" s="55" t="inlineStr"/>
      <c r="P5137" s="16" t="inlineStr">
        <is>
          <t>Требует обогащения</t>
        </is>
      </c>
      <c r="Q5137" s="16">
        <f>HYPERLINK("https://pb.nalog.ru/search.html?query=5044000102","ФНС: проверить")</f>
        <v/>
      </c>
      <c r="R5137" s="16">
        <f>HYPERLINK("https://checko.ru/search?query=3801001629","Чекко: проверить")</f>
        <v/>
      </c>
      <c r="S5137" t="n">
        <v>1</v>
      </c>
      <c r="T5137" s="35" t="inlineStr">
        <is>
          <t>4 — Не обогащён</t>
        </is>
      </c>
      <c r="U5137" s="35" t="inlineStr">
        <is>
          <t>Нет ОКВЭД/ССЧР</t>
        </is>
      </c>
      <c r="V5137" s="35" t="inlineStr">
        <is>
          <t>Не определено</t>
        </is>
      </c>
      <c r="W5137" s="35" t="inlineStr"/>
      <c r="X5137" s="35" t="inlineStr"/>
    </row>
    <row r="5138" ht="15" customHeight="1" s="24">
      <c r="A5138" s="13" t="n">
        <v>9855782</v>
      </c>
      <c r="B5138" s="13" t="inlineStr">
        <is>
          <t>ООО ЧОП "ФЕНИКС ФЕДЕРАЛ"</t>
        </is>
      </c>
      <c r="C5138" s="13" t="n">
        <v>3849037366</v>
      </c>
      <c r="D5138" s="13" t="inlineStr">
        <is>
          <t>3849037366</t>
        </is>
      </c>
      <c r="E5138" s="13" t="inlineStr">
        <is>
          <t>ЮЛ РФ</t>
        </is>
      </c>
      <c r="F5138" s="13" t="n"/>
      <c r="G5138" s="52" t="n">
        <v>24</v>
      </c>
      <c r="H5138" s="52" t="n">
        <v>2025</v>
      </c>
      <c r="I5138" s="52" t="inlineStr">
        <is>
          <t>80.10</t>
        </is>
      </c>
      <c r="J5138" s="52" t="inlineStr">
        <is>
          <t>80.10; 80.20</t>
        </is>
      </c>
      <c r="K5138" s="53" t="inlineStr">
        <is>
          <t>Да</t>
        </is>
      </c>
      <c r="L5138" s="53" t="inlineStr">
        <is>
          <t>Да</t>
        </is>
      </c>
      <c r="M5138" s="53" t="inlineStr">
        <is>
          <t>До 25</t>
        </is>
      </c>
      <c r="N5138" s="54" t="n">
        <v>8400</v>
      </c>
      <c r="O5138" s="55" t="inlineStr">
        <is>
          <t>16–30</t>
        </is>
      </c>
      <c r="P5138" s="16" t="inlineStr">
        <is>
          <t>ССЧР + ОКВЭД обогащены</t>
        </is>
      </c>
      <c r="Q5138" s="16" t="inlineStr">
        <is>
          <t>ФНС открытые данные ССЧР (ДатаСост 31.12.2025; набор 7707329152-sshr2019)</t>
        </is>
      </c>
      <c r="R5138" s="16" t="inlineStr">
        <is>
          <t>ЕГРЮЛ / egrul.nalog.ru (выписка)</t>
        </is>
      </c>
      <c r="S5138" t="n">
        <v>1</v>
      </c>
      <c r="T5138" s="35" t="inlineStr">
        <is>
          <t>1 — Горячий</t>
        </is>
      </c>
      <c r="U5138" s="35" t="inlineStr">
        <is>
          <t>ОКВЭД + 22+</t>
        </is>
      </c>
      <c r="V5138" s="35" t="inlineStr">
        <is>
          <t>Да</t>
        </is>
      </c>
      <c r="W5138" s="35" t="inlineStr">
        <is>
          <t>Да</t>
        </is>
      </c>
      <c r="X5138" s="35" t="inlineStr">
        <is>
          <t>Да</t>
        </is>
      </c>
    </row>
    <row r="5139" ht="15" customHeight="1" s="24">
      <c r="A5139" s="13" t="n">
        <v>800565957</v>
      </c>
      <c r="B5139" s="13" t="inlineStr">
        <is>
          <t>ЗАО "СИБИРЬАЛЬЯНС"</t>
        </is>
      </c>
      <c r="C5139" s="13" t="n">
        <v>3810317570</v>
      </c>
      <c r="D5139" s="13" t="inlineStr">
        <is>
          <t>3810317570</t>
        </is>
      </c>
      <c r="E5139" s="13" t="inlineStr">
        <is>
          <t>ЮЛ РФ</t>
        </is>
      </c>
      <c r="F5139" s="13" t="n"/>
      <c r="G5139" s="14" t="n"/>
      <c r="H5139" s="14" t="n"/>
      <c r="I5139" s="14" t="n"/>
      <c r="J5139" s="14" t="n"/>
      <c r="K5139" s="53" t="inlineStr"/>
      <c r="L5139" s="53" t="inlineStr">
        <is>
          <t>Не определено</t>
        </is>
      </c>
      <c r="M5139" s="53" t="inlineStr"/>
      <c r="N5139" s="54" t="inlineStr"/>
      <c r="O5139" s="55" t="inlineStr"/>
      <c r="P5139" s="16" t="inlineStr">
        <is>
          <t>Требует обогащения</t>
        </is>
      </c>
      <c r="Q5139" s="16">
        <f>HYPERLINK("https://pb.nalog.ru/search.html?query=3810317570","ФНС: проверить")</f>
        <v/>
      </c>
      <c r="R5139" s="16">
        <f>HYPERLINK("https://checko.ru/search?query=3801001629","Чекко: проверить")</f>
        <v/>
      </c>
      <c r="S5139" t="n">
        <v>1</v>
      </c>
      <c r="T5139" s="35" t="inlineStr">
        <is>
          <t>4 — Не обогащён</t>
        </is>
      </c>
      <c r="U5139" s="35" t="inlineStr">
        <is>
          <t>Нет ОКВЭД/ССЧР</t>
        </is>
      </c>
      <c r="V5139" s="35" t="inlineStr">
        <is>
          <t>Не определено</t>
        </is>
      </c>
      <c r="W5139" s="35" t="inlineStr"/>
      <c r="X5139" s="35" t="inlineStr"/>
    </row>
    <row r="5140" ht="68.25" customHeight="1" s="24">
      <c r="A5140" s="13" t="n">
        <v>801612944</v>
      </c>
      <c r="B5140" s="13" t="inlineStr">
        <is>
          <t>МЕСТНАЯ РЕЛИГИОЗНАЯ ОРГАНИЗАЦИЯ ПРАВОСЛАВНЫЙ ПРИХОД ХРАМА РОЖДЕСТВА ХРИСТОВА Г.БОДАЙБО ИРКУТСКОЙ ОБЛАСТИ БРАТСКОЙ ЕПАРХИИ РУССКОЙ ПРАВОСЛАВНОЙ ЦЕРКВИ</t>
        </is>
      </c>
      <c r="C5140" s="13" t="n">
        <v>3802004559</v>
      </c>
      <c r="D5140" s="13" t="inlineStr">
        <is>
          <t>3802004559</t>
        </is>
      </c>
      <c r="E5140" s="13" t="inlineStr">
        <is>
          <t>ЮЛ РФ</t>
        </is>
      </c>
      <c r="F5140" s="13" t="n"/>
      <c r="G5140" s="14" t="n"/>
      <c r="H5140" s="14" t="n"/>
      <c r="I5140" s="14" t="n"/>
      <c r="J5140" s="14" t="n"/>
      <c r="K5140" s="53" t="inlineStr"/>
      <c r="L5140" s="53" t="inlineStr">
        <is>
          <t>Не определено</t>
        </is>
      </c>
      <c r="M5140" s="53" t="inlineStr"/>
      <c r="N5140" s="54" t="inlineStr"/>
      <c r="O5140" s="55" t="inlineStr"/>
      <c r="P5140" s="16" t="inlineStr">
        <is>
          <t>Требует обогащения</t>
        </is>
      </c>
      <c r="Q5140" s="16">
        <f>HYPERLINK("https://pb.nalog.ru/search.html?query=3802004559","ФНС: проверить")</f>
        <v/>
      </c>
      <c r="R5140" s="16">
        <f>HYPERLINK("https://checko.ru/search?query=3801001629","Чекко: проверить")</f>
        <v/>
      </c>
      <c r="S5140" t="n">
        <v>1</v>
      </c>
      <c r="T5140" s="35" t="inlineStr">
        <is>
          <t>4 — Не обогащён</t>
        </is>
      </c>
      <c r="U5140" s="35" t="inlineStr">
        <is>
          <t>Нет ОКВЭД/ССЧР</t>
        </is>
      </c>
      <c r="V5140" s="35" t="inlineStr">
        <is>
          <t>Не определено</t>
        </is>
      </c>
      <c r="W5140" s="35" t="inlineStr"/>
      <c r="X5140" s="35" t="inlineStr"/>
    </row>
    <row r="5141" ht="15" customHeight="1" s="24">
      <c r="A5141" s="13" t="n">
        <v>800861205</v>
      </c>
      <c r="B5141" s="13" t="inlineStr">
        <is>
          <t>ООО "ПЕЧАТНЫЙ ЭКСПРЕСС"</t>
        </is>
      </c>
      <c r="C5141" s="13" t="n">
        <v>3849052156</v>
      </c>
      <c r="D5141" s="13" t="inlineStr">
        <is>
          <t>3849052156</t>
        </is>
      </c>
      <c r="E5141" s="13" t="inlineStr">
        <is>
          <t>ЮЛ РФ</t>
        </is>
      </c>
      <c r="F5141" s="13" t="n"/>
      <c r="G5141" s="52" t="n">
        <v>10</v>
      </c>
      <c r="H5141" s="52" t="n">
        <v>2025</v>
      </c>
      <c r="I5141" s="14" t="n"/>
      <c r="J5141" s="14" t="n"/>
      <c r="K5141" s="53" t="inlineStr">
        <is>
          <t>Нет</t>
        </is>
      </c>
      <c r="L5141" s="53" t="inlineStr">
        <is>
          <t>Не определено</t>
        </is>
      </c>
      <c r="M5141" s="53" t="inlineStr">
        <is>
          <t>До 10</t>
        </is>
      </c>
      <c r="N5141" s="54" t="n">
        <v>3360</v>
      </c>
      <c r="O5141" s="55" t="inlineStr">
        <is>
          <t>1–15</t>
        </is>
      </c>
      <c r="P5141" s="16" t="inlineStr">
        <is>
          <t>ССЧР обогащена; ОКВЭД не найден/не загружен</t>
        </is>
      </c>
      <c r="Q5141" s="16" t="inlineStr">
        <is>
          <t>ФНС открытые данные ССЧР (ДатаСост 31.12.2025; набор 7707329152-sshr2019)</t>
        </is>
      </c>
      <c r="R5141" s="16">
        <f>HYPERLINK("https://checko.ru/search?query=3801001629","Чекко: проверить")</f>
        <v/>
      </c>
      <c r="S5141" t="n">
        <v>1</v>
      </c>
      <c r="T5141" s="35" t="inlineStr">
        <is>
          <t>4 — Не обогащён</t>
        </is>
      </c>
      <c r="U5141" s="35" t="inlineStr">
        <is>
          <t>Нет ОКВЭД/ССЧР</t>
        </is>
      </c>
      <c r="V5141" s="35" t="inlineStr">
        <is>
          <t>Не определено</t>
        </is>
      </c>
      <c r="W5141" s="35" t="inlineStr">
        <is>
          <t>Нет</t>
        </is>
      </c>
      <c r="X5141" s="35" t="inlineStr"/>
    </row>
    <row r="5142" ht="15" customHeight="1" s="24">
      <c r="A5142" s="13" t="n">
        <v>800561668</v>
      </c>
      <c r="B5142" s="13" t="inlineStr">
        <is>
          <t>ООО "СтК Групп"</t>
        </is>
      </c>
      <c r="C5142" s="13" t="n">
        <v>3812153133</v>
      </c>
      <c r="D5142" s="13" t="inlineStr">
        <is>
          <t>3812153133</t>
        </is>
      </c>
      <c r="E5142" s="13" t="inlineStr">
        <is>
          <t>ЮЛ РФ</t>
        </is>
      </c>
      <c r="F5142" s="13" t="n"/>
      <c r="G5142" s="52" t="n">
        <v>33</v>
      </c>
      <c r="H5142" s="52" t="n">
        <v>2025</v>
      </c>
      <c r="I5142" s="52" t="inlineStr">
        <is>
          <t>71.12</t>
        </is>
      </c>
      <c r="J5142" s="52" t="inlineStr">
        <is>
          <t>71.12; 46.49; 46.73; 71.11; 71.12.1; 71.12.3; 71.12.4; 71.12.5; 71.12.6; 71.12.9; 71.12.12; 71.12.13; 71.12.41; 71.12.42; 71.12.43; 71.12.44; 71.12.45; 71.12.51; 71.12.52; 71.12.53; 71.12.54; 71.12.55; 71.12.57; 71.12.61; 71.12.64; 71.20; 71.20.1; 71.20.3; 71.20.5; 71.20.6; 71.20.8; 71.20.9</t>
        </is>
      </c>
      <c r="K5142" s="53" t="inlineStr">
        <is>
          <t>Да</t>
        </is>
      </c>
      <c r="L5142" s="53" t="inlineStr">
        <is>
          <t>Да</t>
        </is>
      </c>
      <c r="M5142" s="53" t="inlineStr">
        <is>
          <t>До 50</t>
        </is>
      </c>
      <c r="N5142" s="54" t="n">
        <v>16800</v>
      </c>
      <c r="O5142" s="55" t="inlineStr">
        <is>
          <t>31–50</t>
        </is>
      </c>
      <c r="P5142" s="16" t="inlineStr">
        <is>
          <t>ССЧР + ОКВЭД обогащены</t>
        </is>
      </c>
      <c r="Q5142" s="16" t="inlineStr">
        <is>
          <t>ФНС открытые данные ССЧР (ДатаСост 31.12.2025; набор 7707329152-sshr2019)</t>
        </is>
      </c>
      <c r="R5142" s="16" t="inlineStr">
        <is>
          <t>ЕГРЮЛ / egrul.nalog.ru (выписка)</t>
        </is>
      </c>
      <c r="S5142" t="n">
        <v>1</v>
      </c>
      <c r="T5142" s="35" t="inlineStr">
        <is>
          <t>1 — Горячий</t>
        </is>
      </c>
      <c r="U5142" s="35" t="inlineStr">
        <is>
          <t>ОКВЭД + 22+</t>
        </is>
      </c>
      <c r="V5142" s="35" t="inlineStr">
        <is>
          <t>Да</t>
        </is>
      </c>
      <c r="W5142" s="35" t="inlineStr">
        <is>
          <t>Да</t>
        </is>
      </c>
      <c r="X5142" s="35" t="inlineStr">
        <is>
          <t>Да</t>
        </is>
      </c>
    </row>
    <row r="5143" ht="15" customHeight="1" s="24">
      <c r="A5143" s="13" t="n">
        <v>10332035</v>
      </c>
      <c r="B5143" s="13" t="inlineStr">
        <is>
          <t>ООО "Рента"</t>
        </is>
      </c>
      <c r="C5143" s="13" t="n">
        <v>3808151359</v>
      </c>
      <c r="D5143" s="13" t="inlineStr">
        <is>
          <t>3808151359</t>
        </is>
      </c>
      <c r="E5143" s="13" t="inlineStr">
        <is>
          <t>ЮЛ РФ</t>
        </is>
      </c>
      <c r="F5143" s="13" t="n"/>
      <c r="G5143" s="52" t="n">
        <v>0</v>
      </c>
      <c r="H5143" s="52" t="n">
        <v>2025</v>
      </c>
      <c r="I5143" s="14" t="n"/>
      <c r="J5143" s="14" t="n"/>
      <c r="K5143" s="53" t="inlineStr">
        <is>
          <t>Нет</t>
        </is>
      </c>
      <c r="L5143" s="53" t="inlineStr">
        <is>
          <t>Не определено</t>
        </is>
      </c>
      <c r="M5143" s="53" t="inlineStr">
        <is>
          <t>До 10</t>
        </is>
      </c>
      <c r="N5143" s="54" t="n">
        <v>3360</v>
      </c>
      <c r="O5143" s="55" t="inlineStr">
        <is>
          <t>1–15</t>
        </is>
      </c>
      <c r="P5143" s="16" t="inlineStr">
        <is>
          <t>ССЧР обогащена; ОКВЭД не найден/не загружен</t>
        </is>
      </c>
      <c r="Q5143" s="16" t="inlineStr">
        <is>
          <t>ФНС открытые данные ССЧР (ДатаСост 31.12.2025; набор 7707329152-sshr2019)</t>
        </is>
      </c>
      <c r="R5143" s="16">
        <f>HYPERLINK("https://checko.ru/search?query=3801001629","Чекко: проверить")</f>
        <v/>
      </c>
      <c r="S5143" t="n">
        <v>1</v>
      </c>
      <c r="T5143" s="35" t="inlineStr">
        <is>
          <t>4 — Не обогащён</t>
        </is>
      </c>
      <c r="U5143" s="35" t="inlineStr">
        <is>
          <t>Нет ОКВЭД/ССЧР</t>
        </is>
      </c>
      <c r="V5143" s="35" t="inlineStr">
        <is>
          <t>Не определено</t>
        </is>
      </c>
      <c r="W5143" s="35" t="inlineStr">
        <is>
          <t>Нет</t>
        </is>
      </c>
      <c r="X5143" s="35" t="inlineStr"/>
    </row>
    <row r="5144" ht="27.75" customHeight="1" s="24">
      <c r="A5144" s="13" t="n">
        <v>800425537</v>
      </c>
      <c r="B5144" s="13" t="inlineStr">
        <is>
          <t>АНО дошкольного образования "Английский садик"</t>
        </is>
      </c>
      <c r="C5144" s="13" t="n">
        <v>3827040245</v>
      </c>
      <c r="D5144" s="13" t="inlineStr">
        <is>
          <t>3827040245</t>
        </is>
      </c>
      <c r="E5144" s="13" t="inlineStr">
        <is>
          <t>ЮЛ РФ</t>
        </is>
      </c>
      <c r="F5144" s="13" t="n"/>
      <c r="G5144" s="14" t="n"/>
      <c r="H5144" s="14" t="n"/>
      <c r="I5144" s="14" t="n"/>
      <c r="J5144" s="14" t="n"/>
      <c r="K5144" s="53" t="inlineStr"/>
      <c r="L5144" s="53" t="inlineStr">
        <is>
          <t>Не определено</t>
        </is>
      </c>
      <c r="M5144" s="53" t="inlineStr"/>
      <c r="N5144" s="54" t="inlineStr"/>
      <c r="O5144" s="55" t="inlineStr"/>
      <c r="P5144" s="16" t="inlineStr">
        <is>
          <t>Требует обогащения</t>
        </is>
      </c>
      <c r="Q5144" s="16">
        <f>HYPERLINK("https://pb.nalog.ru/search.html?query=3827040245","ФНС: проверить")</f>
        <v/>
      </c>
      <c r="R5144" s="16">
        <f>HYPERLINK("https://checko.ru/search?query=3801001629","Чекко: проверить")</f>
        <v/>
      </c>
      <c r="S5144" t="n">
        <v>1</v>
      </c>
      <c r="T5144" s="35" t="inlineStr">
        <is>
          <t>4 — Не обогащён</t>
        </is>
      </c>
      <c r="U5144" s="35" t="inlineStr">
        <is>
          <t>Нет ОКВЭД/ССЧР</t>
        </is>
      </c>
      <c r="V5144" s="35" t="inlineStr">
        <is>
          <t>Не определено</t>
        </is>
      </c>
      <c r="W5144" s="35" t="inlineStr"/>
      <c r="X5144" s="35" t="inlineStr"/>
    </row>
    <row r="5145" ht="27.75" customHeight="1" s="24">
      <c r="A5145" s="13" t="n">
        <v>800587625</v>
      </c>
      <c r="B5145" s="13" t="inlineStr">
        <is>
          <t>Общество с ограниченной ответственностью "КВИНТЕТ"</t>
        </is>
      </c>
      <c r="C5145" s="13" t="n">
        <v>3808222313</v>
      </c>
      <c r="D5145" s="13" t="inlineStr">
        <is>
          <t>3808222313</t>
        </is>
      </c>
      <c r="E5145" s="13" t="inlineStr">
        <is>
          <t>ЮЛ РФ</t>
        </is>
      </c>
      <c r="F5145" s="13" t="n"/>
      <c r="G5145" s="52" t="n">
        <v>8</v>
      </c>
      <c r="H5145" s="52" t="n">
        <v>2025</v>
      </c>
      <c r="I5145" s="14" t="n"/>
      <c r="J5145" s="14" t="n"/>
      <c r="K5145" s="53" t="inlineStr">
        <is>
          <t>Нет</t>
        </is>
      </c>
      <c r="L5145" s="53" t="inlineStr">
        <is>
          <t>Не определено</t>
        </is>
      </c>
      <c r="M5145" s="53" t="inlineStr">
        <is>
          <t>До 10</t>
        </is>
      </c>
      <c r="N5145" s="54" t="n">
        <v>3360</v>
      </c>
      <c r="O5145" s="55" t="inlineStr">
        <is>
          <t>1–15</t>
        </is>
      </c>
      <c r="P5145" s="16" t="inlineStr">
        <is>
          <t>ССЧР обогащена; ОКВЭД не найден/не загружен</t>
        </is>
      </c>
      <c r="Q5145" s="16" t="inlineStr">
        <is>
          <t>ФНС открытые данные ССЧР (ДатаСост 31.12.2025; набор 7707329152-sshr2019)</t>
        </is>
      </c>
      <c r="R5145" s="16">
        <f>HYPERLINK("https://checko.ru/search?query=3801001629","Чекко: проверить")</f>
        <v/>
      </c>
      <c r="S5145" t="n">
        <v>1</v>
      </c>
      <c r="T5145" s="35" t="inlineStr">
        <is>
          <t>4 — Не обогащён</t>
        </is>
      </c>
      <c r="U5145" s="35" t="inlineStr">
        <is>
          <t>Нет ОКВЭД/ССЧР</t>
        </is>
      </c>
      <c r="V5145" s="35" t="inlineStr">
        <is>
          <t>Не определено</t>
        </is>
      </c>
      <c r="W5145" s="35" t="inlineStr">
        <is>
          <t>Нет</t>
        </is>
      </c>
      <c r="X5145" s="35" t="inlineStr"/>
    </row>
    <row r="5146" ht="15" customHeight="1" s="24">
      <c r="A5146" s="13" t="n">
        <v>9119628</v>
      </c>
      <c r="B5146" s="13" t="inlineStr">
        <is>
          <t>Иркутскгражданпроект ОАО</t>
        </is>
      </c>
      <c r="C5146" s="13" t="n">
        <v>3808006601</v>
      </c>
      <c r="D5146" s="13" t="inlineStr">
        <is>
          <t>3808006601</t>
        </is>
      </c>
      <c r="E5146" s="13" t="inlineStr">
        <is>
          <t>ЮЛ РФ</t>
        </is>
      </c>
      <c r="F5146" s="13" t="n"/>
      <c r="G5146" s="52" t="n">
        <v>5</v>
      </c>
      <c r="H5146" s="52" t="n">
        <v>2025</v>
      </c>
      <c r="I5146" s="14" t="n"/>
      <c r="J5146" s="14" t="n"/>
      <c r="K5146" s="53" t="inlineStr">
        <is>
          <t>Нет</t>
        </is>
      </c>
      <c r="L5146" s="53" t="inlineStr">
        <is>
          <t>Не определено</t>
        </is>
      </c>
      <c r="M5146" s="53" t="inlineStr">
        <is>
          <t>До 10</t>
        </is>
      </c>
      <c r="N5146" s="54" t="n">
        <v>3360</v>
      </c>
      <c r="O5146" s="55" t="inlineStr">
        <is>
          <t>1–15</t>
        </is>
      </c>
      <c r="P5146" s="16" t="inlineStr">
        <is>
          <t>ССЧР обогащена; ОКВЭД не найден/не загружен</t>
        </is>
      </c>
      <c r="Q5146" s="16" t="inlineStr">
        <is>
          <t>ФНС открытые данные ССЧР (ДатаСост 31.12.2025; набор 7707329152-sshr2019)</t>
        </is>
      </c>
      <c r="R5146" s="16">
        <f>HYPERLINK("https://checko.ru/search?query=3801001629","Чекко: проверить")</f>
        <v/>
      </c>
      <c r="S5146" t="n">
        <v>1</v>
      </c>
      <c r="T5146" s="35" t="inlineStr">
        <is>
          <t>4 — Не обогащён</t>
        </is>
      </c>
      <c r="U5146" s="35" t="inlineStr">
        <is>
          <t>Нет ОКВЭД/ССЧР</t>
        </is>
      </c>
      <c r="V5146" s="35" t="inlineStr">
        <is>
          <t>Не определено</t>
        </is>
      </c>
      <c r="W5146" s="35" t="inlineStr">
        <is>
          <t>Нет</t>
        </is>
      </c>
      <c r="X5146" s="35" t="inlineStr"/>
    </row>
    <row r="5147" ht="15" customHeight="1" s="24">
      <c r="A5147" s="13" t="n">
        <v>9130677</v>
      </c>
      <c r="B5147" s="13" t="inlineStr">
        <is>
          <t>ООО "РЕСУРС"</t>
        </is>
      </c>
      <c r="C5147" s="13" t="n">
        <v>3811456390</v>
      </c>
      <c r="D5147" s="13" t="inlineStr">
        <is>
          <t>3811456390</t>
        </is>
      </c>
      <c r="E5147" s="13" t="inlineStr">
        <is>
          <t>ЮЛ РФ</t>
        </is>
      </c>
      <c r="F5147" s="13" t="n"/>
      <c r="G5147" s="52" t="n">
        <v>6</v>
      </c>
      <c r="H5147" s="52" t="n">
        <v>2025</v>
      </c>
      <c r="I5147" s="14" t="n"/>
      <c r="J5147" s="14" t="n"/>
      <c r="K5147" s="53" t="inlineStr">
        <is>
          <t>Нет</t>
        </is>
      </c>
      <c r="L5147" s="53" t="inlineStr">
        <is>
          <t>Не определено</t>
        </is>
      </c>
      <c r="M5147" s="53" t="inlineStr">
        <is>
          <t>До 10</t>
        </is>
      </c>
      <c r="N5147" s="54" t="n">
        <v>3360</v>
      </c>
      <c r="O5147" s="55" t="inlineStr">
        <is>
          <t>1–15</t>
        </is>
      </c>
      <c r="P5147" s="16" t="inlineStr">
        <is>
          <t>ССЧР обогащена; ОКВЭД не найден/не загружен</t>
        </is>
      </c>
      <c r="Q5147" s="16" t="inlineStr">
        <is>
          <t>ФНС открытые данные ССЧР (ДатаСост 31.12.2025; набор 7707329152-sshr2019)</t>
        </is>
      </c>
      <c r="R5147" s="16">
        <f>HYPERLINK("https://checko.ru/search?query=3801001629","Чекко: проверить")</f>
        <v/>
      </c>
      <c r="S5147" t="n">
        <v>1</v>
      </c>
      <c r="T5147" s="35" t="inlineStr">
        <is>
          <t>4 — Не обогащён</t>
        </is>
      </c>
      <c r="U5147" s="35" t="inlineStr">
        <is>
          <t>Нет ОКВЭД/ССЧР</t>
        </is>
      </c>
      <c r="V5147" s="35" t="inlineStr">
        <is>
          <t>Не определено</t>
        </is>
      </c>
      <c r="W5147" s="35" t="inlineStr">
        <is>
          <t>Нет</t>
        </is>
      </c>
      <c r="X5147" s="35" t="inlineStr"/>
    </row>
    <row r="5148" ht="15" customHeight="1" s="24">
      <c r="A5148" s="13" t="n">
        <v>9350021</v>
      </c>
      <c r="B5148" s="13" t="inlineStr">
        <is>
          <t>ООО «Сумотори-Иркутск»</t>
        </is>
      </c>
      <c r="C5148" s="13" t="n">
        <v>3808181730</v>
      </c>
      <c r="D5148" s="13" t="inlineStr">
        <is>
          <t>3808181730</t>
        </is>
      </c>
      <c r="E5148" s="13" t="inlineStr">
        <is>
          <t>ЮЛ РФ</t>
        </is>
      </c>
      <c r="F5148" s="13" t="n"/>
      <c r="G5148" s="52" t="n">
        <v>36</v>
      </c>
      <c r="H5148" s="52" t="n">
        <v>2025</v>
      </c>
      <c r="I5148" s="52" t="inlineStr">
        <is>
          <t>45.11.1</t>
        </is>
      </c>
      <c r="J5148" s="52" t="inlineStr">
        <is>
          <t>45.11.1; 45.11.2; 45.11.3; 45.11.4; 45.19.1; 45.19.2; 45.19.3; 45.19.4; 45.31.1; 45.32</t>
        </is>
      </c>
      <c r="K5148" s="53" t="inlineStr">
        <is>
          <t>Да</t>
        </is>
      </c>
      <c r="L5148" s="53" t="inlineStr">
        <is>
          <t>Да</t>
        </is>
      </c>
      <c r="M5148" s="53" t="inlineStr">
        <is>
          <t>До 50</t>
        </is>
      </c>
      <c r="N5148" s="54" t="n">
        <v>16800</v>
      </c>
      <c r="O5148" s="55" t="inlineStr">
        <is>
          <t>31–50</t>
        </is>
      </c>
      <c r="P5148" s="16" t="inlineStr">
        <is>
          <t>ССЧР + ОКВЭД обогащены</t>
        </is>
      </c>
      <c r="Q5148" s="16" t="inlineStr">
        <is>
          <t>ФНС открытые данные ССЧР (ДатаСост 31.12.2025; набор 7707329152-sshr2019)</t>
        </is>
      </c>
      <c r="R5148" s="16" t="inlineStr">
        <is>
          <t>ЕГРЮЛ / egrul.nalog.ru (выписка)</t>
        </is>
      </c>
      <c r="S5148" t="n">
        <v>1</v>
      </c>
      <c r="T5148" s="35" t="inlineStr">
        <is>
          <t>1 — Горячий</t>
        </is>
      </c>
      <c r="U5148" s="35" t="inlineStr">
        <is>
          <t>ОКВЭД + 22+</t>
        </is>
      </c>
      <c r="V5148" s="35" t="inlineStr">
        <is>
          <t>Да</t>
        </is>
      </c>
      <c r="W5148" s="35" t="inlineStr">
        <is>
          <t>Да</t>
        </is>
      </c>
      <c r="X5148" s="35" t="inlineStr">
        <is>
          <t>Да</t>
        </is>
      </c>
    </row>
    <row r="5149" ht="27.75" customHeight="1" s="24">
      <c r="A5149" s="13" t="n">
        <v>9829933</v>
      </c>
      <c r="B5149" s="13" t="inlineStr">
        <is>
          <t>ООО "Черемховская дистрибьюторская компания "</t>
        </is>
      </c>
      <c r="C5149" s="13" t="n">
        <v>3851000010</v>
      </c>
      <c r="D5149" s="13" t="inlineStr">
        <is>
          <t>3851000010</t>
        </is>
      </c>
      <c r="E5149" s="13" t="inlineStr">
        <is>
          <t>ЮЛ РФ</t>
        </is>
      </c>
      <c r="F5149" s="13" t="n"/>
      <c r="G5149" s="52" t="n">
        <v>2</v>
      </c>
      <c r="H5149" s="52" t="n">
        <v>2025</v>
      </c>
      <c r="I5149" s="14" t="n"/>
      <c r="J5149" s="14" t="n"/>
      <c r="K5149" s="53" t="inlineStr">
        <is>
          <t>Нет</t>
        </is>
      </c>
      <c r="L5149" s="53" t="inlineStr">
        <is>
          <t>Не определено</t>
        </is>
      </c>
      <c r="M5149" s="53" t="inlineStr">
        <is>
          <t>До 10</t>
        </is>
      </c>
      <c r="N5149" s="54" t="n">
        <v>3360</v>
      </c>
      <c r="O5149" s="55" t="inlineStr">
        <is>
          <t>1–15</t>
        </is>
      </c>
      <c r="P5149" s="16" t="inlineStr">
        <is>
          <t>ССЧР обогащена; ОКВЭД не найден/не загружен</t>
        </is>
      </c>
      <c r="Q5149" s="16" t="inlineStr">
        <is>
          <t>ФНС открытые данные ССЧР (ДатаСост 31.12.2025; набор 7707329152-sshr2019)</t>
        </is>
      </c>
      <c r="R5149" s="16">
        <f>HYPERLINK("https://checko.ru/search?query=3801001629","Чекко: проверить")</f>
        <v/>
      </c>
      <c r="S5149" t="n">
        <v>1</v>
      </c>
      <c r="T5149" s="35" t="inlineStr">
        <is>
          <t>4 — Не обогащён</t>
        </is>
      </c>
      <c r="U5149" s="35" t="inlineStr">
        <is>
          <t>Нет ОКВЭД/ССЧР</t>
        </is>
      </c>
      <c r="V5149" s="35" t="inlineStr">
        <is>
          <t>Не определено</t>
        </is>
      </c>
      <c r="W5149" s="35" t="inlineStr">
        <is>
          <t>Нет</t>
        </is>
      </c>
      <c r="X5149" s="35" t="inlineStr"/>
    </row>
    <row r="5150" ht="27.75" customHeight="1" s="24">
      <c r="A5150" s="13" t="n">
        <v>802306821</v>
      </c>
      <c r="B5150" s="13" t="inlineStr">
        <is>
          <t>Индивидуальный предприниматель Марков Андрей Владимирович</t>
        </is>
      </c>
      <c r="C5150" s="13" t="n">
        <v>381802568600</v>
      </c>
      <c r="D5150" s="13" t="inlineStr">
        <is>
          <t>381802568600</t>
        </is>
      </c>
      <c r="E5150" s="13" t="inlineStr">
        <is>
          <t>ИП РФ / физлицо</t>
        </is>
      </c>
      <c r="F5150" s="13" t="n"/>
      <c r="G5150" s="14" t="n"/>
      <c r="H5150" s="14" t="n"/>
      <c r="I5150" s="14" t="n"/>
      <c r="J5150" s="14" t="n"/>
      <c r="K5150" s="53" t="inlineStr"/>
      <c r="L5150" s="53" t="inlineStr">
        <is>
          <t>Не определено</t>
        </is>
      </c>
      <c r="M5150" s="53" t="inlineStr"/>
      <c r="N5150" s="54" t="inlineStr"/>
      <c r="O5150" s="55" t="inlineStr"/>
      <c r="P5150" s="16" t="inlineStr">
        <is>
          <t>Требует обогащения</t>
        </is>
      </c>
      <c r="Q5150" s="16">
        <f>HYPERLINK("https://pb.nalog.ru/search.html?query=381802568600","ФНС: проверить")</f>
        <v/>
      </c>
      <c r="R5150" s="16">
        <f>HYPERLINK("https://checko.ru/search?query=3801001629","Чекко: проверить")</f>
        <v/>
      </c>
      <c r="S5150" t="n">
        <v>1</v>
      </c>
      <c r="T5150" s="35" t="inlineStr">
        <is>
          <t>4 — Не обогащён</t>
        </is>
      </c>
      <c r="U5150" s="35" t="inlineStr">
        <is>
          <t>Нет ОКВЭД/ССЧР</t>
        </is>
      </c>
      <c r="V5150" s="35" t="inlineStr">
        <is>
          <t>Не определено</t>
        </is>
      </c>
      <c r="W5150" s="35" t="inlineStr"/>
      <c r="X5150" s="35" t="inlineStr"/>
    </row>
    <row r="5151" ht="15" customHeight="1" s="24">
      <c r="A5151" s="13" t="n">
        <v>800847590</v>
      </c>
      <c r="B5151" s="13" t="inlineStr">
        <is>
          <t>ООО Энергетическая компания "Радиан"</t>
        </is>
      </c>
      <c r="C5151" s="13" t="n">
        <v>3810051697</v>
      </c>
      <c r="D5151" s="13" t="inlineStr">
        <is>
          <t>3810051697</t>
        </is>
      </c>
      <c r="E5151" s="13" t="inlineStr">
        <is>
          <t>ЮЛ РФ</t>
        </is>
      </c>
      <c r="F5151" s="13" t="n"/>
      <c r="G5151" s="52" t="n">
        <v>92</v>
      </c>
      <c r="H5151" s="52" t="n">
        <v>2025</v>
      </c>
      <c r="I5151" s="52" t="inlineStr">
        <is>
          <t>35.12</t>
        </is>
      </c>
      <c r="J5151" s="52" t="inlineStr">
        <is>
          <t>35.12; 35.13; 35.30.2; 35.30.5; 36.00.2; 68.20.2; 79.11</t>
        </is>
      </c>
      <c r="K5151" s="53" t="inlineStr">
        <is>
          <t>Да</t>
        </is>
      </c>
      <c r="L5151" s="53" t="inlineStr">
        <is>
          <t>Да</t>
        </is>
      </c>
      <c r="M5151" s="53" t="inlineStr">
        <is>
          <t>До 100</t>
        </is>
      </c>
      <c r="N5151" s="54" t="n">
        <v>33600</v>
      </c>
      <c r="O5151" s="55" t="inlineStr">
        <is>
          <t>51–100</t>
        </is>
      </c>
      <c r="P5151" s="16" t="inlineStr">
        <is>
          <t>ССЧР + ОКВЭД обогащены</t>
        </is>
      </c>
      <c r="Q5151" s="16" t="inlineStr">
        <is>
          <t>ФНС открытые данные ССЧР (ДатаСост 31.12.2025; набор 7707329152-sshr2019)</t>
        </is>
      </c>
      <c r="R5151" s="16" t="inlineStr">
        <is>
          <t>ЕГРЮЛ / egrul.nalog.ru (выписка)</t>
        </is>
      </c>
      <c r="S5151" t="n">
        <v>1</v>
      </c>
      <c r="T5151" s="35" t="inlineStr">
        <is>
          <t>1 — Горячий</t>
        </is>
      </c>
      <c r="U5151" s="35" t="inlineStr">
        <is>
          <t>ОКВЭД + 22+</t>
        </is>
      </c>
      <c r="V5151" s="35" t="inlineStr">
        <is>
          <t>Да</t>
        </is>
      </c>
      <c r="W5151" s="35" t="inlineStr">
        <is>
          <t>Да</t>
        </is>
      </c>
      <c r="X5151" s="35" t="inlineStr">
        <is>
          <t>Да</t>
        </is>
      </c>
    </row>
    <row r="5152" ht="15" customHeight="1" s="24">
      <c r="A5152" s="13" t="n">
        <v>800733840</v>
      </c>
      <c r="B5152" s="13" t="inlineStr">
        <is>
          <t>ИП Бегунова Наталья Николаевна</t>
        </is>
      </c>
      <c r="C5152" s="13" t="n">
        <v>381900203734</v>
      </c>
      <c r="D5152" s="13" t="inlineStr">
        <is>
          <t>381900203734</t>
        </is>
      </c>
      <c r="E5152" s="13" t="inlineStr">
        <is>
          <t>ИП РФ / физлицо</t>
        </is>
      </c>
      <c r="F5152" s="13" t="n"/>
      <c r="G5152" s="14" t="n"/>
      <c r="H5152" s="14" t="n"/>
      <c r="I5152" s="14" t="n"/>
      <c r="J5152" s="14" t="n"/>
      <c r="K5152" s="53" t="inlineStr"/>
      <c r="L5152" s="53" t="inlineStr">
        <is>
          <t>Не определено</t>
        </is>
      </c>
      <c r="M5152" s="53" t="inlineStr"/>
      <c r="N5152" s="54" t="inlineStr"/>
      <c r="O5152" s="55" t="inlineStr"/>
      <c r="P5152" s="16" t="inlineStr">
        <is>
          <t>Требует обогащения</t>
        </is>
      </c>
      <c r="Q5152" s="16">
        <f>HYPERLINK("https://pb.nalog.ru/search.html?query=381900203734","ФНС: проверить")</f>
        <v/>
      </c>
      <c r="R5152" s="16">
        <f>HYPERLINK("https://checko.ru/search?query=3801001629","Чекко: проверить")</f>
        <v/>
      </c>
      <c r="S5152" t="n">
        <v>1</v>
      </c>
      <c r="T5152" s="35" t="inlineStr">
        <is>
          <t>4 — Не обогащён</t>
        </is>
      </c>
      <c r="U5152" s="35" t="inlineStr">
        <is>
          <t>Нет ОКВЭД/ССЧР</t>
        </is>
      </c>
      <c r="V5152" s="35" t="inlineStr">
        <is>
          <t>Не определено</t>
        </is>
      </c>
      <c r="W5152" s="35" t="inlineStr"/>
      <c r="X5152" s="35" t="inlineStr"/>
    </row>
    <row r="5153" ht="15" customHeight="1" s="24">
      <c r="A5153" s="13" t="n">
        <v>10426924</v>
      </c>
      <c r="B5153" s="13" t="inlineStr">
        <is>
          <t>ООО "Санаторий "Солнечный"</t>
        </is>
      </c>
      <c r="C5153" s="13" t="n">
        <v>3804037912</v>
      </c>
      <c r="D5153" s="13" t="inlineStr">
        <is>
          <t>3804037912</t>
        </is>
      </c>
      <c r="E5153" s="13" t="inlineStr">
        <is>
          <t>ЮЛ РФ</t>
        </is>
      </c>
      <c r="F5153" s="13" t="n"/>
      <c r="G5153" s="52" t="n">
        <v>60</v>
      </c>
      <c r="H5153" s="52" t="n">
        <v>2025</v>
      </c>
      <c r="I5153" s="52" t="inlineStr">
        <is>
          <t>86.90.4</t>
        </is>
      </c>
      <c r="J5153" s="52" t="inlineStr">
        <is>
          <t>86.90.4; 47.25.2; 47.29.35; 47.73; 47.74; 47.75; 47.89.1; 52.10; 55.10; 55.90; 56.10.1; 56.29; 56.30; 77.39.1; 85.11; 85.41.91; 86.10; 86.23</t>
        </is>
      </c>
      <c r="K5153" s="53" t="inlineStr">
        <is>
          <t>Да</t>
        </is>
      </c>
      <c r="L5153" s="53" t="inlineStr">
        <is>
          <t>Да</t>
        </is>
      </c>
      <c r="M5153" s="53" t="inlineStr">
        <is>
          <t>До 100</t>
        </is>
      </c>
      <c r="N5153" s="54" t="n">
        <v>33600</v>
      </c>
      <c r="O5153" s="55" t="inlineStr">
        <is>
          <t>51–100</t>
        </is>
      </c>
      <c r="P5153" s="16" t="inlineStr">
        <is>
          <t>ССЧР + ОКВЭД обогащены</t>
        </is>
      </c>
      <c r="Q5153" s="16" t="inlineStr">
        <is>
          <t>ФНС открытые данные ССЧР (ДатаСост 31.12.2025; набор 7707329152-sshr2019)</t>
        </is>
      </c>
      <c r="R5153" s="16" t="inlineStr">
        <is>
          <t>ЕГРЮЛ / egrul.nalog.ru (выписка)</t>
        </is>
      </c>
      <c r="S5153" t="n">
        <v>1</v>
      </c>
      <c r="T5153" s="35" t="inlineStr">
        <is>
          <t>1 — Горячий</t>
        </is>
      </c>
      <c r="U5153" s="35" t="inlineStr">
        <is>
          <t>ОКВЭД + 22+</t>
        </is>
      </c>
      <c r="V5153" s="35" t="inlineStr">
        <is>
          <t>Да</t>
        </is>
      </c>
      <c r="W5153" s="35" t="inlineStr">
        <is>
          <t>Да</t>
        </is>
      </c>
      <c r="X5153" s="35" t="inlineStr">
        <is>
          <t>Да</t>
        </is>
      </c>
    </row>
    <row r="5154" ht="15" customHeight="1" s="24">
      <c r="A5154" s="13" t="n">
        <v>9162601</v>
      </c>
      <c r="B5154" s="13" t="inlineStr">
        <is>
          <t>Антей плюс ООО</t>
        </is>
      </c>
      <c r="C5154" s="13" t="n">
        <v>3808085868</v>
      </c>
      <c r="D5154" s="13" t="inlineStr">
        <is>
          <t>3808085868</t>
        </is>
      </c>
      <c r="E5154" s="13" t="inlineStr">
        <is>
          <t>ЮЛ РФ</t>
        </is>
      </c>
      <c r="F5154" s="13" t="n"/>
      <c r="G5154" s="52" t="n">
        <v>2</v>
      </c>
      <c r="H5154" s="52" t="n">
        <v>2025</v>
      </c>
      <c r="I5154" s="14" t="n"/>
      <c r="J5154" s="14" t="n"/>
      <c r="K5154" s="53" t="inlineStr">
        <is>
          <t>Нет</t>
        </is>
      </c>
      <c r="L5154" s="53" t="inlineStr">
        <is>
          <t>Не определено</t>
        </is>
      </c>
      <c r="M5154" s="53" t="inlineStr">
        <is>
          <t>До 10</t>
        </is>
      </c>
      <c r="N5154" s="54" t="n">
        <v>3360</v>
      </c>
      <c r="O5154" s="55" t="inlineStr">
        <is>
          <t>1–15</t>
        </is>
      </c>
      <c r="P5154" s="16" t="inlineStr">
        <is>
          <t>ССЧР обогащена; ОКВЭД не найден/не загружен</t>
        </is>
      </c>
      <c r="Q5154" s="16" t="inlineStr">
        <is>
          <t>ФНС открытые данные ССЧР (ДатаСост 31.12.2025; набор 7707329152-sshr2019)</t>
        </is>
      </c>
      <c r="R5154" s="16">
        <f>HYPERLINK("https://checko.ru/search?query=3801001629","Чекко: проверить")</f>
        <v/>
      </c>
      <c r="S5154" t="n">
        <v>1</v>
      </c>
      <c r="T5154" s="35" t="inlineStr">
        <is>
          <t>4 — Не обогащён</t>
        </is>
      </c>
      <c r="U5154" s="35" t="inlineStr">
        <is>
          <t>Нет ОКВЭД/ССЧР</t>
        </is>
      </c>
      <c r="V5154" s="35" t="inlineStr">
        <is>
          <t>Не определено</t>
        </is>
      </c>
      <c r="W5154" s="35" t="inlineStr">
        <is>
          <t>Нет</t>
        </is>
      </c>
      <c r="X5154" s="35" t="inlineStr"/>
    </row>
    <row r="5155" ht="15" customHeight="1" s="24">
      <c r="A5155" s="13" t="n">
        <v>9700043</v>
      </c>
      <c r="B5155" s="13" t="inlineStr">
        <is>
          <t>МУПП "Киренская районная аптека"</t>
        </is>
      </c>
      <c r="C5155" s="13" t="n">
        <v>3831000654</v>
      </c>
      <c r="D5155" s="13" t="inlineStr">
        <is>
          <t>3831000654</t>
        </is>
      </c>
      <c r="E5155" s="13" t="inlineStr">
        <is>
          <t>ЮЛ РФ</t>
        </is>
      </c>
      <c r="F5155" s="13" t="n"/>
      <c r="G5155" s="14" t="n"/>
      <c r="H5155" s="14" t="n"/>
      <c r="I5155" s="14" t="n"/>
      <c r="J5155" s="14" t="n"/>
      <c r="K5155" s="53" t="inlineStr"/>
      <c r="L5155" s="53" t="inlineStr">
        <is>
          <t>Не определено</t>
        </is>
      </c>
      <c r="M5155" s="53" t="inlineStr"/>
      <c r="N5155" s="54" t="inlineStr"/>
      <c r="O5155" s="55" t="inlineStr"/>
      <c r="P5155" s="16" t="inlineStr">
        <is>
          <t>Требует обогащения</t>
        </is>
      </c>
      <c r="Q5155" s="16">
        <f>HYPERLINK("https://pb.nalog.ru/search.html?query=3831000654","ФНС: проверить")</f>
        <v/>
      </c>
      <c r="R5155" s="16">
        <f>HYPERLINK("https://checko.ru/search?query=3801001629","Чекко: проверить")</f>
        <v/>
      </c>
      <c r="S5155" t="n">
        <v>1</v>
      </c>
      <c r="T5155" s="35" t="inlineStr">
        <is>
          <t>4 — Не обогащён</t>
        </is>
      </c>
      <c r="U5155" s="35" t="inlineStr">
        <is>
          <t>Нет ОКВЭД/ССЧР</t>
        </is>
      </c>
      <c r="V5155" s="35" t="inlineStr">
        <is>
          <t>Не определено</t>
        </is>
      </c>
      <c r="W5155" s="35" t="inlineStr"/>
      <c r="X5155" s="35" t="inlineStr"/>
    </row>
    <row r="5156" ht="15" customHeight="1" s="24">
      <c r="A5156" s="13" t="n">
        <v>802383258</v>
      </c>
      <c r="B5156" s="13" t="inlineStr">
        <is>
          <t>ИП Казаков Дмитрий Владиленович</t>
        </is>
      </c>
      <c r="C5156" s="13" t="n">
        <v>383100038556</v>
      </c>
      <c r="D5156" s="13" t="inlineStr">
        <is>
          <t>383100038556</t>
        </is>
      </c>
      <c r="E5156" s="13" t="inlineStr">
        <is>
          <t>ИП РФ / физлицо</t>
        </is>
      </c>
      <c r="F5156" s="13" t="n"/>
      <c r="G5156" s="14" t="n"/>
      <c r="H5156" s="14" t="n"/>
      <c r="I5156" s="14" t="n"/>
      <c r="J5156" s="14" t="n"/>
      <c r="K5156" s="53" t="inlineStr"/>
      <c r="L5156" s="53" t="inlineStr">
        <is>
          <t>Не определено</t>
        </is>
      </c>
      <c r="M5156" s="53" t="inlineStr"/>
      <c r="N5156" s="54" t="inlineStr"/>
      <c r="O5156" s="55" t="inlineStr"/>
      <c r="P5156" s="16" t="inlineStr">
        <is>
          <t>Требует обогащения</t>
        </is>
      </c>
      <c r="Q5156" s="16">
        <f>HYPERLINK("https://pb.nalog.ru/search.html?query=383100038556","ФНС: проверить")</f>
        <v/>
      </c>
      <c r="R5156" s="16">
        <f>HYPERLINK("https://checko.ru/search?query=3801001629","Чекко: проверить")</f>
        <v/>
      </c>
      <c r="S5156" t="n">
        <v>1</v>
      </c>
      <c r="T5156" s="35" t="inlineStr">
        <is>
          <t>4 — Не обогащён</t>
        </is>
      </c>
      <c r="U5156" s="35" t="inlineStr">
        <is>
          <t>Нет ОКВЭД/ССЧР</t>
        </is>
      </c>
      <c r="V5156" s="35" t="inlineStr">
        <is>
          <t>Не определено</t>
        </is>
      </c>
      <c r="W5156" s="35" t="inlineStr"/>
      <c r="X5156" s="35" t="inlineStr"/>
    </row>
    <row r="5157" ht="15" customHeight="1" s="24">
      <c r="A5157" s="13" t="n">
        <v>9902049</v>
      </c>
      <c r="B5157" s="13" t="inlineStr">
        <is>
          <t>ООО "ВОСТСИБЗЕМКАДАСТРСЪЕМКА"</t>
        </is>
      </c>
      <c r="C5157" s="13" t="n">
        <v>3812157988</v>
      </c>
      <c r="D5157" s="13" t="inlineStr">
        <is>
          <t>3812157988</t>
        </is>
      </c>
      <c r="E5157" s="13" t="inlineStr">
        <is>
          <t>ЮЛ РФ</t>
        </is>
      </c>
      <c r="F5157" s="13" t="n"/>
      <c r="G5157" s="52" t="n">
        <v>6</v>
      </c>
      <c r="H5157" s="52" t="n">
        <v>2025</v>
      </c>
      <c r="I5157" s="14" t="n"/>
      <c r="J5157" s="14" t="n"/>
      <c r="K5157" s="53" t="inlineStr">
        <is>
          <t>Нет</t>
        </is>
      </c>
      <c r="L5157" s="53" t="inlineStr">
        <is>
          <t>Не определено</t>
        </is>
      </c>
      <c r="M5157" s="53" t="inlineStr">
        <is>
          <t>До 10</t>
        </is>
      </c>
      <c r="N5157" s="54" t="n">
        <v>3360</v>
      </c>
      <c r="O5157" s="55" t="inlineStr">
        <is>
          <t>1–15</t>
        </is>
      </c>
      <c r="P5157" s="16" t="inlineStr">
        <is>
          <t>ССЧР обогащена; ОКВЭД не найден/не загружен</t>
        </is>
      </c>
      <c r="Q5157" s="16" t="inlineStr">
        <is>
          <t>ФНС открытые данные ССЧР (ДатаСост 31.12.2025; набор 7707329152-sshr2019)</t>
        </is>
      </c>
      <c r="R5157" s="16">
        <f>HYPERLINK("https://checko.ru/search?query=3801001629","Чекко: проверить")</f>
        <v/>
      </c>
      <c r="S5157" t="n">
        <v>1</v>
      </c>
      <c r="T5157" s="35" t="inlineStr">
        <is>
          <t>4 — Не обогащён</t>
        </is>
      </c>
      <c r="U5157" s="35" t="inlineStr">
        <is>
          <t>Нет ОКВЭД/ССЧР</t>
        </is>
      </c>
      <c r="V5157" s="35" t="inlineStr">
        <is>
          <t>Не определено</t>
        </is>
      </c>
      <c r="W5157" s="35" t="inlineStr">
        <is>
          <t>Нет</t>
        </is>
      </c>
      <c r="X5157" s="35" t="inlineStr"/>
    </row>
    <row r="5158" ht="15" customHeight="1" s="24">
      <c r="A5158" s="13" t="n">
        <v>9126704</v>
      </c>
      <c r="B5158" s="13" t="inlineStr">
        <is>
          <t>ООО "Торговый центр"</t>
        </is>
      </c>
      <c r="C5158" s="13" t="n">
        <v>3812145559</v>
      </c>
      <c r="D5158" s="13" t="inlineStr">
        <is>
          <t>3812145559</t>
        </is>
      </c>
      <c r="E5158" s="13" t="inlineStr">
        <is>
          <t>ЮЛ РФ</t>
        </is>
      </c>
      <c r="F5158" s="13" t="n"/>
      <c r="G5158" s="52" t="n">
        <v>3</v>
      </c>
      <c r="H5158" s="52" t="n">
        <v>2025</v>
      </c>
      <c r="I5158" s="14" t="n"/>
      <c r="J5158" s="14" t="n"/>
      <c r="K5158" s="53" t="inlineStr">
        <is>
          <t>Нет</t>
        </is>
      </c>
      <c r="L5158" s="53" t="inlineStr">
        <is>
          <t>Не определено</t>
        </is>
      </c>
      <c r="M5158" s="53" t="inlineStr">
        <is>
          <t>До 10</t>
        </is>
      </c>
      <c r="N5158" s="54" t="n">
        <v>3360</v>
      </c>
      <c r="O5158" s="55" t="inlineStr">
        <is>
          <t>1–15</t>
        </is>
      </c>
      <c r="P5158" s="16" t="inlineStr">
        <is>
          <t>ССЧР обогащена; ОКВЭД не найден/не загружен</t>
        </is>
      </c>
      <c r="Q5158" s="16" t="inlineStr">
        <is>
          <t>ФНС открытые данные ССЧР (ДатаСост 31.12.2025; набор 7707329152-sshr2019)</t>
        </is>
      </c>
      <c r="R5158" s="16">
        <f>HYPERLINK("https://checko.ru/search?query=3801001629","Чекко: проверить")</f>
        <v/>
      </c>
      <c r="S5158" t="n">
        <v>1</v>
      </c>
      <c r="T5158" s="35" t="inlineStr">
        <is>
          <t>4 — Не обогащён</t>
        </is>
      </c>
      <c r="U5158" s="35" t="inlineStr">
        <is>
          <t>Нет ОКВЭД/ССЧР</t>
        </is>
      </c>
      <c r="V5158" s="35" t="inlineStr">
        <is>
          <t>Не определено</t>
        </is>
      </c>
      <c r="W5158" s="35" t="inlineStr">
        <is>
          <t>Нет</t>
        </is>
      </c>
      <c r="X5158" s="35" t="inlineStr"/>
    </row>
    <row r="5159" ht="15" customHeight="1" s="24">
      <c r="A5159" s="13" t="n">
        <v>802464505</v>
      </c>
      <c r="B5159" s="13" t="inlineStr">
        <is>
          <t>ИП Кудрявцева Анна Даниловна</t>
        </is>
      </c>
      <c r="C5159" s="13" t="n">
        <v>382703752769</v>
      </c>
      <c r="D5159" s="13" t="inlineStr">
        <is>
          <t>382703752769</t>
        </is>
      </c>
      <c r="E5159" s="13" t="inlineStr">
        <is>
          <t>ИП РФ / физлицо</t>
        </is>
      </c>
      <c r="F5159" s="13" t="n"/>
      <c r="G5159" s="14" t="n"/>
      <c r="H5159" s="14" t="n"/>
      <c r="I5159" s="14" t="n"/>
      <c r="J5159" s="14" t="n"/>
      <c r="K5159" s="53" t="inlineStr"/>
      <c r="L5159" s="53" t="inlineStr">
        <is>
          <t>Не определено</t>
        </is>
      </c>
      <c r="M5159" s="53" t="inlineStr"/>
      <c r="N5159" s="54" t="inlineStr"/>
      <c r="O5159" s="55" t="inlineStr"/>
      <c r="P5159" s="16" t="inlineStr">
        <is>
          <t>Требует обогащения</t>
        </is>
      </c>
      <c r="Q5159" s="16">
        <f>HYPERLINK("https://pb.nalog.ru/search.html?query=382703752769","ФНС: проверить")</f>
        <v/>
      </c>
      <c r="R5159" s="16">
        <f>HYPERLINK("https://checko.ru/search?query=3801001629","Чекко: проверить")</f>
        <v/>
      </c>
      <c r="S5159" t="n">
        <v>1</v>
      </c>
      <c r="T5159" s="35" t="inlineStr">
        <is>
          <t>4 — Не обогащён</t>
        </is>
      </c>
      <c r="U5159" s="35" t="inlineStr">
        <is>
          <t>Нет ОКВЭД/ССЧР</t>
        </is>
      </c>
      <c r="V5159" s="35" t="inlineStr">
        <is>
          <t>Не определено</t>
        </is>
      </c>
      <c r="W5159" s="35" t="inlineStr"/>
      <c r="X5159" s="35" t="inlineStr"/>
    </row>
    <row r="5160" ht="15" customHeight="1" s="24">
      <c r="A5160" s="13" t="n">
        <v>9883089</v>
      </c>
      <c r="B5160" s="13" t="inlineStr">
        <is>
          <t>ООО "ТАЙГА"</t>
        </is>
      </c>
      <c r="C5160" s="13" t="n">
        <v>3816026922</v>
      </c>
      <c r="D5160" s="13" t="inlineStr">
        <is>
          <t>3816026922</t>
        </is>
      </c>
      <c r="E5160" s="13" t="inlineStr">
        <is>
          <t>ЮЛ РФ</t>
        </is>
      </c>
      <c r="F5160" s="13" t="n"/>
      <c r="G5160" s="52" t="n">
        <v>17</v>
      </c>
      <c r="H5160" s="52" t="n">
        <v>2025</v>
      </c>
      <c r="I5160" s="14" t="n"/>
      <c r="J5160" s="14" t="n"/>
      <c r="K5160" s="53" t="inlineStr">
        <is>
          <t>Нет</t>
        </is>
      </c>
      <c r="L5160" s="53" t="inlineStr">
        <is>
          <t>Не определено</t>
        </is>
      </c>
      <c r="M5160" s="53" t="inlineStr">
        <is>
          <t>До 25</t>
        </is>
      </c>
      <c r="N5160" s="54" t="n">
        <v>8400</v>
      </c>
      <c r="O5160" s="55" t="inlineStr">
        <is>
          <t>16–30</t>
        </is>
      </c>
      <c r="P5160" s="16" t="inlineStr">
        <is>
          <t>ССЧР обогащена; ОКВЭД не найден/не загружен</t>
        </is>
      </c>
      <c r="Q5160" s="16" t="inlineStr">
        <is>
          <t>ФНС открытые данные ССЧР (ДатаСост 31.12.2025; набор 7707329152-sshr2019)</t>
        </is>
      </c>
      <c r="R5160" s="16">
        <f>HYPERLINK("https://checko.ru/search?query=3801001629","Чекко: проверить")</f>
        <v/>
      </c>
      <c r="S5160" t="n">
        <v>1</v>
      </c>
      <c r="T5160" s="35" t="inlineStr">
        <is>
          <t>4 — Не обогащён</t>
        </is>
      </c>
      <c r="U5160" s="35" t="inlineStr">
        <is>
          <t>Нет ОКВЭД/ССЧР</t>
        </is>
      </c>
      <c r="V5160" s="35" t="inlineStr">
        <is>
          <t>Не определено</t>
        </is>
      </c>
      <c r="W5160" s="35" t="inlineStr">
        <is>
          <t>Нет</t>
        </is>
      </c>
      <c r="X5160" s="35" t="inlineStr"/>
    </row>
    <row r="5161" ht="27.75" customHeight="1" s="24">
      <c r="A5161" s="13" t="n">
        <v>9843132</v>
      </c>
      <c r="B5161" s="13" t="inlineStr">
        <is>
          <t>Общество с ограниченной ответственностью "ЭКВИЛИБРИУМ"</t>
        </is>
      </c>
      <c r="C5161" s="13" t="n">
        <v>3812538479</v>
      </c>
      <c r="D5161" s="13" t="inlineStr">
        <is>
          <t>3812538479</t>
        </is>
      </c>
      <c r="E5161" s="13" t="inlineStr">
        <is>
          <t>ЮЛ РФ</t>
        </is>
      </c>
      <c r="F5161" s="13" t="n"/>
      <c r="G5161" s="14" t="n"/>
      <c r="H5161" s="14" t="n"/>
      <c r="I5161" s="14" t="n"/>
      <c r="J5161" s="14" t="n"/>
      <c r="K5161" s="53" t="inlineStr"/>
      <c r="L5161" s="53" t="inlineStr">
        <is>
          <t>Не определено</t>
        </is>
      </c>
      <c r="M5161" s="53" t="inlineStr"/>
      <c r="N5161" s="54" t="inlineStr"/>
      <c r="O5161" s="55" t="inlineStr"/>
      <c r="P5161" s="16" t="inlineStr">
        <is>
          <t>Требует обогащения</t>
        </is>
      </c>
      <c r="Q5161" s="16">
        <f>HYPERLINK("https://pb.nalog.ru/search.html?query=3812538479","ФНС: проверить")</f>
        <v/>
      </c>
      <c r="R5161" s="16">
        <f>HYPERLINK("https://checko.ru/search?query=3801001629","Чекко: проверить")</f>
        <v/>
      </c>
      <c r="S5161" t="n">
        <v>1</v>
      </c>
      <c r="T5161" s="35" t="inlineStr">
        <is>
          <t>4 — Не обогащён</t>
        </is>
      </c>
      <c r="U5161" s="35" t="inlineStr">
        <is>
          <t>Нет ОКВЭД/ССЧР</t>
        </is>
      </c>
      <c r="V5161" s="35" t="inlineStr">
        <is>
          <t>Не определено</t>
        </is>
      </c>
      <c r="W5161" s="35" t="inlineStr"/>
      <c r="X5161" s="35" t="inlineStr"/>
    </row>
    <row r="5162" ht="15" customHeight="1" s="24">
      <c r="A5162" s="13" t="n">
        <v>800432156</v>
      </c>
      <c r="B5162" s="13" t="inlineStr">
        <is>
          <t>ООО "МЕГАСТРОЙ"</t>
        </is>
      </c>
      <c r="C5162" s="13" t="n">
        <v>3810328927</v>
      </c>
      <c r="D5162" s="13" t="inlineStr">
        <is>
          <t>3810328927</t>
        </is>
      </c>
      <c r="E5162" s="13" t="inlineStr">
        <is>
          <t>ЮЛ РФ</t>
        </is>
      </c>
      <c r="F5162" s="13" t="n"/>
      <c r="G5162" s="52" t="n">
        <v>2</v>
      </c>
      <c r="H5162" s="52" t="n">
        <v>2025</v>
      </c>
      <c r="I5162" s="14" t="n"/>
      <c r="J5162" s="14" t="n"/>
      <c r="K5162" s="53" t="inlineStr">
        <is>
          <t>Нет</t>
        </is>
      </c>
      <c r="L5162" s="53" t="inlineStr">
        <is>
          <t>Не определено</t>
        </is>
      </c>
      <c r="M5162" s="53" t="inlineStr">
        <is>
          <t>До 10</t>
        </is>
      </c>
      <c r="N5162" s="54" t="n">
        <v>3360</v>
      </c>
      <c r="O5162" s="55" t="inlineStr">
        <is>
          <t>1–15</t>
        </is>
      </c>
      <c r="P5162" s="16" t="inlineStr">
        <is>
          <t>ССЧР обогащена; ОКВЭД не найден/не загружен</t>
        </is>
      </c>
      <c r="Q5162" s="16" t="inlineStr">
        <is>
          <t>ФНС открытые данные ССЧР (ДатаСост 31.12.2025; набор 7707329152-sshr2019)</t>
        </is>
      </c>
      <c r="R5162" s="16">
        <f>HYPERLINK("https://checko.ru/search?query=3801001629","Чекко: проверить")</f>
        <v/>
      </c>
      <c r="S5162" t="n">
        <v>1</v>
      </c>
      <c r="T5162" s="35" t="inlineStr">
        <is>
          <t>4 — Не обогащён</t>
        </is>
      </c>
      <c r="U5162" s="35" t="inlineStr">
        <is>
          <t>Нет ОКВЭД/ССЧР</t>
        </is>
      </c>
      <c r="V5162" s="35" t="inlineStr">
        <is>
          <t>Не определено</t>
        </is>
      </c>
      <c r="W5162" s="35" t="inlineStr">
        <is>
          <t>Нет</t>
        </is>
      </c>
      <c r="X5162" s="35" t="inlineStr"/>
    </row>
    <row r="5163" ht="15" customHeight="1" s="24">
      <c r="A5163" s="13" t="n">
        <v>802420621</v>
      </c>
      <c r="B5163" s="13" t="inlineStr">
        <is>
          <t>ООО "ХИМСТАНДАРТ"</t>
        </is>
      </c>
      <c r="C5163" s="13" t="n">
        <v>3801098120</v>
      </c>
      <c r="D5163" s="13" t="inlineStr">
        <is>
          <t>3801098120</t>
        </is>
      </c>
      <c r="E5163" s="13" t="inlineStr">
        <is>
          <t>ЮЛ РФ</t>
        </is>
      </c>
      <c r="F5163" s="13" t="n"/>
      <c r="G5163" s="52" t="n">
        <v>26</v>
      </c>
      <c r="H5163" s="52" t="n">
        <v>2025</v>
      </c>
      <c r="I5163" s="52" t="inlineStr">
        <is>
          <t>46.71.9</t>
        </is>
      </c>
      <c r="J5163" s="52" t="inlineStr">
        <is>
          <t>46.71.9; 46.71; 46.75; 46.90; 49.20.1; 49.41; 49.41.1; 49.41.2; 49.41.3; 49.42; 52.10.2; 52.24; 52.29</t>
        </is>
      </c>
      <c r="K5163" s="53" t="inlineStr">
        <is>
          <t>Да</t>
        </is>
      </c>
      <c r="L5163" s="53" t="inlineStr">
        <is>
          <t>Да</t>
        </is>
      </c>
      <c r="M5163" s="53" t="inlineStr">
        <is>
          <t>До 50</t>
        </is>
      </c>
      <c r="N5163" s="54" t="n">
        <v>16800</v>
      </c>
      <c r="O5163" s="55" t="inlineStr">
        <is>
          <t>16–30</t>
        </is>
      </c>
      <c r="P5163" s="16" t="inlineStr">
        <is>
          <t>ССЧР + ОКВЭД обогащены</t>
        </is>
      </c>
      <c r="Q5163" s="16" t="inlineStr">
        <is>
          <t>ФНС открытые данные ССЧР (ДатаСост 31.12.2025; набор 7707329152-sshr2019)</t>
        </is>
      </c>
      <c r="R5163" s="16" t="inlineStr">
        <is>
          <t>ЕГРЮЛ / egrul.nalog.ru (выписка)</t>
        </is>
      </c>
      <c r="S5163" t="n">
        <v>1</v>
      </c>
      <c r="T5163" s="35" t="inlineStr">
        <is>
          <t>1 — Горячий</t>
        </is>
      </c>
      <c r="U5163" s="35" t="inlineStr">
        <is>
          <t>ОКВЭД + 22+</t>
        </is>
      </c>
      <c r="V5163" s="35" t="inlineStr">
        <is>
          <t>Да</t>
        </is>
      </c>
      <c r="W5163" s="35" t="inlineStr">
        <is>
          <t>Да</t>
        </is>
      </c>
      <c r="X5163" s="35" t="inlineStr">
        <is>
          <t>Да</t>
        </is>
      </c>
    </row>
    <row r="5164" ht="27.75" customHeight="1" s="24">
      <c r="A5164" s="13" t="n">
        <v>802455329</v>
      </c>
      <c r="B5164" s="13" t="inlineStr">
        <is>
          <t>Общество с ограниченной ответственностью  "СТРИТС"</t>
        </is>
      </c>
      <c r="C5164" s="13" t="n">
        <v>3849032135</v>
      </c>
      <c r="D5164" s="13" t="inlineStr">
        <is>
          <t>3849032135</t>
        </is>
      </c>
      <c r="E5164" s="13" t="inlineStr">
        <is>
          <t>ЮЛ РФ</t>
        </is>
      </c>
      <c r="F5164" s="13" t="n"/>
      <c r="G5164" s="52" t="n">
        <v>145</v>
      </c>
      <c r="H5164" s="52" t="n">
        <v>2025</v>
      </c>
      <c r="I5164" s="52" t="inlineStr">
        <is>
          <t>10.89</t>
        </is>
      </c>
      <c r="J5164" s="52" t="inlineStr">
        <is>
          <t>10.89; 10.13; 10.85; 10.89.1; 10.89.5; 10.89.6; 10.89.7; 10.89.8; 10.89.9; 56.10; 70.22</t>
        </is>
      </c>
      <c r="K5164" s="53" t="inlineStr">
        <is>
          <t>Да</t>
        </is>
      </c>
      <c r="L5164" s="53" t="inlineStr">
        <is>
          <t>Да</t>
        </is>
      </c>
      <c r="M5164" s="53" t="inlineStr">
        <is>
          <t>До 200</t>
        </is>
      </c>
      <c r="N5164" s="54" t="n">
        <v>62400</v>
      </c>
      <c r="O5164" s="55" t="inlineStr">
        <is>
          <t>101–200</t>
        </is>
      </c>
      <c r="P5164" s="16" t="inlineStr">
        <is>
          <t>ССЧР + ОКВЭД обогащены</t>
        </is>
      </c>
      <c r="Q5164" s="16" t="inlineStr">
        <is>
          <t>ФНС открытые данные ССЧР (ДатаСост 31.12.2025; набор 7707329152-sshr2019)</t>
        </is>
      </c>
      <c r="R5164" s="16" t="inlineStr">
        <is>
          <t>ЕГРЮЛ / egrul.nalog.ru (выписка)</t>
        </is>
      </c>
      <c r="S5164" t="n">
        <v>1</v>
      </c>
      <c r="T5164" s="35" t="inlineStr">
        <is>
          <t>1 — Горячий</t>
        </is>
      </c>
      <c r="U5164" s="35" t="inlineStr">
        <is>
          <t>ОКВЭД + 22+</t>
        </is>
      </c>
      <c r="V5164" s="35" t="inlineStr">
        <is>
          <t>Да</t>
        </is>
      </c>
      <c r="W5164" s="35" t="inlineStr">
        <is>
          <t>Да</t>
        </is>
      </c>
      <c r="X5164" s="35" t="inlineStr">
        <is>
          <t>Да</t>
        </is>
      </c>
    </row>
    <row r="5165" ht="15" customHeight="1" s="24">
      <c r="A5165" s="13" t="n">
        <v>800458723</v>
      </c>
      <c r="B5165" s="13" t="inlineStr">
        <is>
          <t>ООО "ИРКМЕДИКА"</t>
        </is>
      </c>
      <c r="C5165" s="13" t="n">
        <v>3811435262</v>
      </c>
      <c r="D5165" s="13" t="inlineStr">
        <is>
          <t>3811435262</t>
        </is>
      </c>
      <c r="E5165" s="13" t="inlineStr">
        <is>
          <t>ЮЛ РФ</t>
        </is>
      </c>
      <c r="F5165" s="13" t="n"/>
      <c r="G5165" s="52" t="n">
        <v>2</v>
      </c>
      <c r="H5165" s="52" t="n">
        <v>2025</v>
      </c>
      <c r="I5165" s="14" t="n"/>
      <c r="J5165" s="14" t="n"/>
      <c r="K5165" s="53" t="inlineStr">
        <is>
          <t>Нет</t>
        </is>
      </c>
      <c r="L5165" s="53" t="inlineStr">
        <is>
          <t>Не определено</t>
        </is>
      </c>
      <c r="M5165" s="53" t="inlineStr">
        <is>
          <t>До 10</t>
        </is>
      </c>
      <c r="N5165" s="54" t="n">
        <v>3360</v>
      </c>
      <c r="O5165" s="55" t="inlineStr">
        <is>
          <t>1–15</t>
        </is>
      </c>
      <c r="P5165" s="16" t="inlineStr">
        <is>
          <t>ССЧР обогащена; ОКВЭД не найден/не загружен</t>
        </is>
      </c>
      <c r="Q5165" s="16" t="inlineStr">
        <is>
          <t>ФНС открытые данные ССЧР (ДатаСост 31.12.2025; набор 7707329152-sshr2019)</t>
        </is>
      </c>
      <c r="R5165" s="16">
        <f>HYPERLINK("https://checko.ru/search?query=3801001629","Чекко: проверить")</f>
        <v/>
      </c>
      <c r="S5165" t="n">
        <v>1</v>
      </c>
      <c r="T5165" s="35" t="inlineStr">
        <is>
          <t>4 — Не обогащён</t>
        </is>
      </c>
      <c r="U5165" s="35" t="inlineStr">
        <is>
          <t>Нет ОКВЭД/ССЧР</t>
        </is>
      </c>
      <c r="V5165" s="35" t="inlineStr">
        <is>
          <t>Не определено</t>
        </is>
      </c>
      <c r="W5165" s="35" t="inlineStr">
        <is>
          <t>Нет</t>
        </is>
      </c>
      <c r="X5165" s="35" t="inlineStr"/>
    </row>
    <row r="5166" ht="15" customHeight="1" s="24">
      <c r="A5166" s="13" t="n">
        <v>10711992</v>
      </c>
      <c r="B5166" s="13" t="inlineStr">
        <is>
          <t>ИП Глава КФХ Гамаюнов А.А.</t>
        </is>
      </c>
      <c r="C5166" s="13" t="n">
        <v>381600305686</v>
      </c>
      <c r="D5166" s="13" t="inlineStr">
        <is>
          <t>381600305686</t>
        </is>
      </c>
      <c r="E5166" s="13" t="inlineStr">
        <is>
          <t>ИП РФ / физлицо</t>
        </is>
      </c>
      <c r="F5166" s="13" t="n"/>
      <c r="G5166" s="14" t="n"/>
      <c r="H5166" s="14" t="n"/>
      <c r="I5166" s="14" t="n"/>
      <c r="J5166" s="14" t="n"/>
      <c r="K5166" s="53" t="inlineStr"/>
      <c r="L5166" s="53" t="inlineStr">
        <is>
          <t>Не определено</t>
        </is>
      </c>
      <c r="M5166" s="53" t="inlineStr"/>
      <c r="N5166" s="54" t="inlineStr"/>
      <c r="O5166" s="55" t="inlineStr"/>
      <c r="P5166" s="16" t="inlineStr">
        <is>
          <t>Требует обогащения</t>
        </is>
      </c>
      <c r="Q5166" s="16">
        <f>HYPERLINK("https://pb.nalog.ru/search.html?query=381600305686","ФНС: проверить")</f>
        <v/>
      </c>
      <c r="R5166" s="16">
        <f>HYPERLINK("https://checko.ru/search?query=3801001629","Чекко: проверить")</f>
        <v/>
      </c>
      <c r="S5166" t="n">
        <v>1</v>
      </c>
      <c r="T5166" s="35" t="inlineStr">
        <is>
          <t>4 — Не обогащён</t>
        </is>
      </c>
      <c r="U5166" s="35" t="inlineStr">
        <is>
          <t>Нет ОКВЭД/ССЧР</t>
        </is>
      </c>
      <c r="V5166" s="35" t="inlineStr">
        <is>
          <t>Не определено</t>
        </is>
      </c>
      <c r="W5166" s="35" t="inlineStr"/>
      <c r="X5166" s="35" t="inlineStr"/>
    </row>
    <row r="5167" ht="15" customHeight="1" s="24">
      <c r="A5167" s="13" t="n">
        <v>10563190</v>
      </c>
      <c r="B5167" s="13" t="inlineStr">
        <is>
          <t>ООО "СантехЭлектроРемонт"</t>
        </is>
      </c>
      <c r="C5167" s="13" t="n">
        <v>3811099726</v>
      </c>
      <c r="D5167" s="13" t="inlineStr">
        <is>
          <t>3811099726</t>
        </is>
      </c>
      <c r="E5167" s="13" t="inlineStr">
        <is>
          <t>ЮЛ РФ</t>
        </is>
      </c>
      <c r="F5167" s="13" t="n"/>
      <c r="G5167" s="14" t="n"/>
      <c r="H5167" s="14" t="n"/>
      <c r="I5167" s="14" t="n"/>
      <c r="J5167" s="14" t="n"/>
      <c r="K5167" s="53" t="inlineStr"/>
      <c r="L5167" s="53" t="inlineStr">
        <is>
          <t>Не определено</t>
        </is>
      </c>
      <c r="M5167" s="53" t="inlineStr"/>
      <c r="N5167" s="54" t="inlineStr"/>
      <c r="O5167" s="55" t="inlineStr"/>
      <c r="P5167" s="16" t="inlineStr">
        <is>
          <t>Требует обогащения</t>
        </is>
      </c>
      <c r="Q5167" s="16">
        <f>HYPERLINK("https://pb.nalog.ru/search.html?query=3811099726","ФНС: проверить")</f>
        <v/>
      </c>
      <c r="R5167" s="16">
        <f>HYPERLINK("https://checko.ru/search?query=3801001629","Чекко: проверить")</f>
        <v/>
      </c>
      <c r="S5167" t="n">
        <v>1</v>
      </c>
      <c r="T5167" s="35" t="inlineStr">
        <is>
          <t>4 — Не обогащён</t>
        </is>
      </c>
      <c r="U5167" s="35" t="inlineStr">
        <is>
          <t>Нет ОКВЭД/ССЧР</t>
        </is>
      </c>
      <c r="V5167" s="35" t="inlineStr">
        <is>
          <t>Не определено</t>
        </is>
      </c>
      <c r="W5167" s="35" t="inlineStr"/>
      <c r="X5167" s="35" t="inlineStr"/>
    </row>
    <row r="5168" ht="27.75" customHeight="1" s="24">
      <c r="A5168" s="13" t="n">
        <v>16253613</v>
      </c>
      <c r="B5168" s="13" t="inlineStr">
        <is>
          <t>Индивидуальный предприниматель Антоненко Лидия Игнатьевна</t>
        </is>
      </c>
      <c r="C5168" s="13" t="n">
        <v>381602505000</v>
      </c>
      <c r="D5168" s="13" t="inlineStr">
        <is>
          <t>381602505000</t>
        </is>
      </c>
      <c r="E5168" s="13" t="inlineStr">
        <is>
          <t>ИП РФ / физлицо</t>
        </is>
      </c>
      <c r="F5168" s="13" t="n"/>
      <c r="G5168" s="14" t="n"/>
      <c r="H5168" s="14" t="n"/>
      <c r="I5168" s="14" t="n"/>
      <c r="J5168" s="14" t="n"/>
      <c r="K5168" s="53" t="inlineStr"/>
      <c r="L5168" s="53" t="inlineStr">
        <is>
          <t>Не определено</t>
        </is>
      </c>
      <c r="M5168" s="53" t="inlineStr"/>
      <c r="N5168" s="54" t="inlineStr"/>
      <c r="O5168" s="55" t="inlineStr"/>
      <c r="P5168" s="16" t="inlineStr">
        <is>
          <t>Требует обогащения</t>
        </is>
      </c>
      <c r="Q5168" s="16">
        <f>HYPERLINK("https://pb.nalog.ru/search.html?query=381602505000","ФНС: проверить")</f>
        <v/>
      </c>
      <c r="R5168" s="16">
        <f>HYPERLINK("https://checko.ru/search?query=3801001629","Чекко: проверить")</f>
        <v/>
      </c>
      <c r="S5168" t="n">
        <v>1</v>
      </c>
      <c r="T5168" s="35" t="inlineStr">
        <is>
          <t>4 — Не обогащён</t>
        </is>
      </c>
      <c r="U5168" s="35" t="inlineStr">
        <is>
          <t>Нет ОКВЭД/ССЧР</t>
        </is>
      </c>
      <c r="V5168" s="35" t="inlineStr">
        <is>
          <t>Не определено</t>
        </is>
      </c>
      <c r="W5168" s="35" t="inlineStr"/>
      <c r="X5168" s="35" t="inlineStr"/>
    </row>
    <row r="5169" ht="15" customHeight="1" s="24">
      <c r="A5169" s="13" t="n">
        <v>800784769</v>
      </c>
      <c r="B5169" s="13" t="inlineStr">
        <is>
          <t>ООО АСК РусАвто</t>
        </is>
      </c>
      <c r="C5169" s="13" t="n">
        <v>3812059973</v>
      </c>
      <c r="D5169" s="13" t="inlineStr">
        <is>
          <t>3812059973</t>
        </is>
      </c>
      <c r="E5169" s="13" t="inlineStr">
        <is>
          <t>ЮЛ РФ</t>
        </is>
      </c>
      <c r="F5169" s="13" t="n"/>
      <c r="G5169" s="52" t="n">
        <v>10</v>
      </c>
      <c r="H5169" s="52" t="n">
        <v>2025</v>
      </c>
      <c r="I5169" s="14" t="n"/>
      <c r="J5169" s="14" t="n"/>
      <c r="K5169" s="53" t="inlineStr">
        <is>
          <t>Нет</t>
        </is>
      </c>
      <c r="L5169" s="53" t="inlineStr">
        <is>
          <t>Не определено</t>
        </is>
      </c>
      <c r="M5169" s="53" t="inlineStr">
        <is>
          <t>До 10</t>
        </is>
      </c>
      <c r="N5169" s="54" t="n">
        <v>3360</v>
      </c>
      <c r="O5169" s="55" t="inlineStr">
        <is>
          <t>1–15</t>
        </is>
      </c>
      <c r="P5169" s="16" t="inlineStr">
        <is>
          <t>ССЧР обогащена; ОКВЭД не найден/не загружен</t>
        </is>
      </c>
      <c r="Q5169" s="16" t="inlineStr">
        <is>
          <t>ФНС открытые данные ССЧР (ДатаСост 31.12.2025; набор 7707329152-sshr2019)</t>
        </is>
      </c>
      <c r="R5169" s="16">
        <f>HYPERLINK("https://checko.ru/search?query=3801001629","Чекко: проверить")</f>
        <v/>
      </c>
      <c r="S5169" t="n">
        <v>1</v>
      </c>
      <c r="T5169" s="35" t="inlineStr">
        <is>
          <t>4 — Не обогащён</t>
        </is>
      </c>
      <c r="U5169" s="35" t="inlineStr">
        <is>
          <t>Нет ОКВЭД/ССЧР</t>
        </is>
      </c>
      <c r="V5169" s="35" t="inlineStr">
        <is>
          <t>Не определено</t>
        </is>
      </c>
      <c r="W5169" s="35" t="inlineStr">
        <is>
          <t>Нет</t>
        </is>
      </c>
      <c r="X5169" s="35" t="inlineStr"/>
    </row>
    <row r="5170" ht="15" customHeight="1" s="24">
      <c r="A5170" s="13" t="n">
        <v>800462094</v>
      </c>
      <c r="B5170" s="13" t="inlineStr">
        <is>
          <t>ООО "ЗБСМ МК-162"</t>
        </is>
      </c>
      <c r="C5170" s="13" t="n">
        <v>3834009736</v>
      </c>
      <c r="D5170" s="13" t="inlineStr">
        <is>
          <t>3834009736</t>
        </is>
      </c>
      <c r="E5170" s="13" t="inlineStr">
        <is>
          <t>ЮЛ РФ</t>
        </is>
      </c>
      <c r="F5170" s="13" t="n"/>
      <c r="G5170" s="52" t="n">
        <v>413</v>
      </c>
      <c r="H5170" s="52" t="n">
        <v>2025</v>
      </c>
      <c r="I5170" s="52" t="inlineStr">
        <is>
          <t>42.11</t>
        </is>
      </c>
      <c r="J5170" s="52" t="inlineStr">
        <is>
          <t>42.11; 49.41.3; 52.21.22; 52.21.23; 02.20; 08.11; 08.12; 08.99; 16.10.1; 23.63; 23.99; 23.99.3; 33.12; 38.11; 41.20; 42.21; 42.99; 43.11; 43.12.1; 43.12.4; 43.13; 43.99; 43.99.3; 43.99.4; 45.11; 45.19; 45.20; 45.31; 45.32; 46.13.1; 46.73; 46.73.1; 46.73.2; 46.75.2; 47.29; 47.29.39; 49.39; 49.41; 49.41.1; 52.21.1; 52.21.2; 52.24; 52.24.2; 52.29; 68.20; 73.20.1; 77.11; 77.12; 77.32; 77.39</t>
        </is>
      </c>
      <c r="K5170" s="53" t="inlineStr">
        <is>
          <t>Да</t>
        </is>
      </c>
      <c r="L5170" s="53" t="inlineStr">
        <is>
          <t>Да</t>
        </is>
      </c>
      <c r="M5170" s="53" t="inlineStr">
        <is>
          <t>До 500</t>
        </is>
      </c>
      <c r="N5170" s="54" t="n">
        <v>144000</v>
      </c>
      <c r="O5170" s="55" t="inlineStr">
        <is>
          <t>201–500</t>
        </is>
      </c>
      <c r="P5170" s="16" t="inlineStr">
        <is>
          <t>ССЧР + ОКВЭД обогащены</t>
        </is>
      </c>
      <c r="Q5170" s="16" t="inlineStr">
        <is>
          <t>ФНС открытые данные ССЧР (ДатаСост 31.12.2025; набор 7707329152-sshr2019)</t>
        </is>
      </c>
      <c r="R5170" s="16" t="inlineStr">
        <is>
          <t>ЕГРЮЛ / egrul.nalog.ru (выписка)</t>
        </is>
      </c>
      <c r="S5170" t="n">
        <v>1</v>
      </c>
      <c r="T5170" s="35" t="inlineStr">
        <is>
          <t>1 — Горячий</t>
        </is>
      </c>
      <c r="U5170" s="35" t="inlineStr">
        <is>
          <t>ОКВЭД + 22+</t>
        </is>
      </c>
      <c r="V5170" s="35" t="inlineStr">
        <is>
          <t>Да</t>
        </is>
      </c>
      <c r="W5170" s="35" t="inlineStr">
        <is>
          <t>Да</t>
        </is>
      </c>
      <c r="X5170" s="35" t="inlineStr">
        <is>
          <t>Да</t>
        </is>
      </c>
    </row>
    <row r="5171" ht="15" customHeight="1" s="24">
      <c r="A5171" s="13" t="n">
        <v>800001353</v>
      </c>
      <c r="B5171" s="13" t="inlineStr">
        <is>
          <t>ИП Черезов Максим Александрович</t>
        </is>
      </c>
      <c r="C5171" s="13" t="n">
        <v>380500230604</v>
      </c>
      <c r="D5171" s="13" t="inlineStr">
        <is>
          <t>380500230604</t>
        </is>
      </c>
      <c r="E5171" s="13" t="inlineStr">
        <is>
          <t>ИП РФ / физлицо</t>
        </is>
      </c>
      <c r="F5171" s="13" t="n"/>
      <c r="G5171" s="14" t="n"/>
      <c r="H5171" s="14" t="n"/>
      <c r="I5171" s="14" t="n"/>
      <c r="J5171" s="14" t="n"/>
      <c r="K5171" s="53" t="inlineStr"/>
      <c r="L5171" s="53" t="inlineStr">
        <is>
          <t>Не определено</t>
        </is>
      </c>
      <c r="M5171" s="53" t="inlineStr"/>
      <c r="N5171" s="54" t="inlineStr"/>
      <c r="O5171" s="55" t="inlineStr"/>
      <c r="P5171" s="16" t="inlineStr">
        <is>
          <t>Требует обогащения</t>
        </is>
      </c>
      <c r="Q5171" s="16">
        <f>HYPERLINK("https://pb.nalog.ru/search.html?query=380500230604","ФНС: проверить")</f>
        <v/>
      </c>
      <c r="R5171" s="16">
        <f>HYPERLINK("https://checko.ru/search?query=3801001629","Чекко: проверить")</f>
        <v/>
      </c>
      <c r="S5171" t="n">
        <v>1</v>
      </c>
      <c r="T5171" s="35" t="inlineStr">
        <is>
          <t>4 — Не обогащён</t>
        </is>
      </c>
      <c r="U5171" s="35" t="inlineStr">
        <is>
          <t>Нет ОКВЭД/ССЧР</t>
        </is>
      </c>
      <c r="V5171" s="35" t="inlineStr">
        <is>
          <t>Не определено</t>
        </is>
      </c>
      <c r="W5171" s="35" t="inlineStr"/>
      <c r="X5171" s="35" t="inlineStr"/>
    </row>
    <row r="5172" ht="15" customHeight="1" s="24">
      <c r="A5172" s="13" t="n">
        <v>9887064</v>
      </c>
      <c r="B5172" s="13" t="inlineStr">
        <is>
          <t>ООО Талинга</t>
        </is>
      </c>
      <c r="C5172" s="13" t="n">
        <v>3838002403</v>
      </c>
      <c r="D5172" s="13" t="inlineStr">
        <is>
          <t>3838002403</t>
        </is>
      </c>
      <c r="E5172" s="13" t="inlineStr">
        <is>
          <t>ЮЛ РФ</t>
        </is>
      </c>
      <c r="F5172" s="13" t="n"/>
      <c r="G5172" s="52" t="n">
        <v>1</v>
      </c>
      <c r="H5172" s="52" t="n">
        <v>2025</v>
      </c>
      <c r="I5172" s="14" t="n"/>
      <c r="J5172" s="14" t="n"/>
      <c r="K5172" s="53" t="inlineStr">
        <is>
          <t>Нет</t>
        </is>
      </c>
      <c r="L5172" s="53" t="inlineStr">
        <is>
          <t>Не определено</t>
        </is>
      </c>
      <c r="M5172" s="53" t="inlineStr">
        <is>
          <t>До 10</t>
        </is>
      </c>
      <c r="N5172" s="54" t="n">
        <v>3360</v>
      </c>
      <c r="O5172" s="55" t="inlineStr">
        <is>
          <t>1–15</t>
        </is>
      </c>
      <c r="P5172" s="16" t="inlineStr">
        <is>
          <t>ССЧР обогащена; ОКВЭД не найден/не загружен</t>
        </is>
      </c>
      <c r="Q5172" s="16" t="inlineStr">
        <is>
          <t>ФНС открытые данные ССЧР (ДатаСост 31.12.2025; набор 7707329152-sshr2019)</t>
        </is>
      </c>
      <c r="R5172" s="16">
        <f>HYPERLINK("https://checko.ru/search?query=3801001629","Чекко: проверить")</f>
        <v/>
      </c>
      <c r="S5172" t="n">
        <v>1</v>
      </c>
      <c r="T5172" s="35" t="inlineStr">
        <is>
          <t>4 — Не обогащён</t>
        </is>
      </c>
      <c r="U5172" s="35" t="inlineStr">
        <is>
          <t>Нет ОКВЭД/ССЧР</t>
        </is>
      </c>
      <c r="V5172" s="35" t="inlineStr">
        <is>
          <t>Не определено</t>
        </is>
      </c>
      <c r="W5172" s="35" t="inlineStr">
        <is>
          <t>Нет</t>
        </is>
      </c>
      <c r="X5172" s="35" t="inlineStr"/>
    </row>
    <row r="5173" ht="15" customHeight="1" s="24">
      <c r="A5173" s="13" t="n">
        <v>9852942</v>
      </c>
      <c r="B5173" s="13" t="inlineStr">
        <is>
          <t>ООО "МАЙНИНГВОСТОК"</t>
        </is>
      </c>
      <c r="C5173" s="13" t="n">
        <v>3811474857</v>
      </c>
      <c r="D5173" s="13" t="inlineStr">
        <is>
          <t>3811474857</t>
        </is>
      </c>
      <c r="E5173" s="13" t="inlineStr">
        <is>
          <t>ЮЛ РФ</t>
        </is>
      </c>
      <c r="F5173" s="13" t="n"/>
      <c r="G5173" s="52" t="n">
        <v>107</v>
      </c>
      <c r="H5173" s="52" t="n">
        <v>2025</v>
      </c>
      <c r="I5173" s="52" t="inlineStr">
        <is>
          <t>43.12.3</t>
        </is>
      </c>
      <c r="J5173" s="52" t="inlineStr">
        <is>
          <t>43.12.3; 49.41; 49.42; 52.21</t>
        </is>
      </c>
      <c r="K5173" s="53" t="inlineStr">
        <is>
          <t>Да</t>
        </is>
      </c>
      <c r="L5173" s="53" t="inlineStr">
        <is>
          <t>Да</t>
        </is>
      </c>
      <c r="M5173" s="53" t="inlineStr">
        <is>
          <t>До 200</t>
        </is>
      </c>
      <c r="N5173" s="54" t="n">
        <v>62400</v>
      </c>
      <c r="O5173" s="55" t="inlineStr">
        <is>
          <t>101–200</t>
        </is>
      </c>
      <c r="P5173" s="16" t="inlineStr">
        <is>
          <t>ССЧР + ОКВЭД обогащены</t>
        </is>
      </c>
      <c r="Q5173" s="16" t="inlineStr">
        <is>
          <t>ФНС открытые данные ССЧР (ДатаСост 31.12.2025; набор 7707329152-sshr2019)</t>
        </is>
      </c>
      <c r="R5173" s="16" t="inlineStr">
        <is>
          <t>ЕГРЮЛ / egrul.nalog.ru (выписка)</t>
        </is>
      </c>
      <c r="S5173" t="n">
        <v>1</v>
      </c>
      <c r="T5173" s="35" t="inlineStr">
        <is>
          <t>1 — Горячий</t>
        </is>
      </c>
      <c r="U5173" s="35" t="inlineStr">
        <is>
          <t>ОКВЭД + 22+</t>
        </is>
      </c>
      <c r="V5173" s="35" t="inlineStr">
        <is>
          <t>Да</t>
        </is>
      </c>
      <c r="W5173" s="35" t="inlineStr">
        <is>
          <t>Да</t>
        </is>
      </c>
      <c r="X5173" s="35" t="inlineStr">
        <is>
          <t>Да</t>
        </is>
      </c>
    </row>
    <row r="5174" ht="15" customHeight="1" s="24">
      <c r="A5174" s="13" t="n">
        <v>800837711</v>
      </c>
      <c r="B5174" s="13" t="inlineStr">
        <is>
          <t>ООО "Торговая компания "Благо"</t>
        </is>
      </c>
      <c r="C5174" s="13" t="n">
        <v>3810048045</v>
      </c>
      <c r="D5174" s="13" t="inlineStr">
        <is>
          <t>3810048045</t>
        </is>
      </c>
      <c r="E5174" s="13" t="inlineStr">
        <is>
          <t>ЮЛ РФ</t>
        </is>
      </c>
      <c r="F5174" s="13" t="n"/>
      <c r="G5174" s="52" t="n">
        <v>30</v>
      </c>
      <c r="H5174" s="52" t="n">
        <v>2025</v>
      </c>
      <c r="I5174" s="52" t="inlineStr">
        <is>
          <t>46.73</t>
        </is>
      </c>
      <c r="J5174" s="52" t="inlineStr">
        <is>
          <t>46.73; 43.12; 47.52.7</t>
        </is>
      </c>
      <c r="K5174" s="53" t="inlineStr">
        <is>
          <t>Да</t>
        </is>
      </c>
      <c r="L5174" s="53" t="inlineStr">
        <is>
          <t>Да</t>
        </is>
      </c>
      <c r="M5174" s="53" t="inlineStr">
        <is>
          <t>До 50</t>
        </is>
      </c>
      <c r="N5174" s="54" t="n">
        <v>16800</v>
      </c>
      <c r="O5174" s="55" t="inlineStr">
        <is>
          <t>16–30</t>
        </is>
      </c>
      <c r="P5174" s="16" t="inlineStr">
        <is>
          <t>ССЧР + ОКВЭД обогащены</t>
        </is>
      </c>
      <c r="Q5174" s="16" t="inlineStr">
        <is>
          <t>ФНС открытые данные ССЧР (ДатаСост 31.12.2025; набор 7707329152-sshr2019)</t>
        </is>
      </c>
      <c r="R5174" s="16" t="inlineStr">
        <is>
          <t>ЕГРЮЛ / egrul.nalog.ru (выписка)</t>
        </is>
      </c>
      <c r="S5174" t="n">
        <v>1</v>
      </c>
      <c r="T5174" s="35" t="inlineStr">
        <is>
          <t>1 — Горячий</t>
        </is>
      </c>
      <c r="U5174" s="35" t="inlineStr">
        <is>
          <t>ОКВЭД + 22+</t>
        </is>
      </c>
      <c r="V5174" s="35" t="inlineStr">
        <is>
          <t>Да</t>
        </is>
      </c>
      <c r="W5174" s="35" t="inlineStr">
        <is>
          <t>Да</t>
        </is>
      </c>
      <c r="X5174" s="35" t="inlineStr">
        <is>
          <t>Да</t>
        </is>
      </c>
    </row>
    <row r="5175" ht="27.75" customHeight="1" s="24">
      <c r="A5175" s="13" t="n">
        <v>801633718</v>
      </c>
      <c r="B5175" s="13" t="inlineStr">
        <is>
          <t>Общество с ограниченной ответственностью "АЛЬФАТРАКСЕРВИС"</t>
        </is>
      </c>
      <c r="C5175" s="13" t="n">
        <v>3812537570</v>
      </c>
      <c r="D5175" s="13" t="inlineStr">
        <is>
          <t>3812537570</t>
        </is>
      </c>
      <c r="E5175" s="13" t="inlineStr">
        <is>
          <t>ЮЛ РФ</t>
        </is>
      </c>
      <c r="F5175" s="13" t="n"/>
      <c r="G5175" s="52" t="n">
        <v>2</v>
      </c>
      <c r="H5175" s="52" t="n">
        <v>2025</v>
      </c>
      <c r="I5175" s="14" t="n"/>
      <c r="J5175" s="14" t="n"/>
      <c r="K5175" s="53" t="inlineStr">
        <is>
          <t>Нет</t>
        </is>
      </c>
      <c r="L5175" s="53" t="inlineStr">
        <is>
          <t>Не определено</t>
        </is>
      </c>
      <c r="M5175" s="53" t="inlineStr">
        <is>
          <t>До 10</t>
        </is>
      </c>
      <c r="N5175" s="54" t="n">
        <v>3360</v>
      </c>
      <c r="O5175" s="55" t="inlineStr">
        <is>
          <t>1–15</t>
        </is>
      </c>
      <c r="P5175" s="16" t="inlineStr">
        <is>
          <t>ССЧР обогащена; ОКВЭД не найден/не загружен</t>
        </is>
      </c>
      <c r="Q5175" s="16" t="inlineStr">
        <is>
          <t>ФНС открытые данные ССЧР (ДатаСост 31.12.2025; набор 7707329152-sshr2019)</t>
        </is>
      </c>
      <c r="R5175" s="16">
        <f>HYPERLINK("https://checko.ru/search?query=3801001629","Чекко: проверить")</f>
        <v/>
      </c>
      <c r="S5175" t="n">
        <v>1</v>
      </c>
      <c r="T5175" s="35" t="inlineStr">
        <is>
          <t>4 — Не обогащён</t>
        </is>
      </c>
      <c r="U5175" s="35" t="inlineStr">
        <is>
          <t>Нет ОКВЭД/ССЧР</t>
        </is>
      </c>
      <c r="V5175" s="35" t="inlineStr">
        <is>
          <t>Не определено</t>
        </is>
      </c>
      <c r="W5175" s="35" t="inlineStr">
        <is>
          <t>Нет</t>
        </is>
      </c>
      <c r="X5175" s="35" t="inlineStr"/>
    </row>
    <row r="5176" ht="15" customHeight="1" s="24">
      <c r="A5176" s="13" t="n">
        <v>802161544</v>
      </c>
      <c r="B5176" s="13" t="inlineStr">
        <is>
          <t>ИП Майоров Геннадий Евгеньевич</t>
        </is>
      </c>
      <c r="C5176" s="13" t="n">
        <v>381297782491</v>
      </c>
      <c r="D5176" s="13" t="inlineStr">
        <is>
          <t>381297782491</t>
        </is>
      </c>
      <c r="E5176" s="13" t="inlineStr">
        <is>
          <t>ИП РФ / физлицо</t>
        </is>
      </c>
      <c r="F5176" s="13" t="n"/>
      <c r="G5176" s="14" t="n"/>
      <c r="H5176" s="14" t="n"/>
      <c r="I5176" s="14" t="n"/>
      <c r="J5176" s="14" t="n"/>
      <c r="K5176" s="53" t="inlineStr"/>
      <c r="L5176" s="53" t="inlineStr">
        <is>
          <t>Не определено</t>
        </is>
      </c>
      <c r="M5176" s="53" t="inlineStr"/>
      <c r="N5176" s="54" t="inlineStr"/>
      <c r="O5176" s="55" t="inlineStr"/>
      <c r="P5176" s="16" t="inlineStr">
        <is>
          <t>Требует обогащения</t>
        </is>
      </c>
      <c r="Q5176" s="16">
        <f>HYPERLINK("https://pb.nalog.ru/search.html?query=381297782491","ФНС: проверить")</f>
        <v/>
      </c>
      <c r="R5176" s="16">
        <f>HYPERLINK("https://checko.ru/search?query=3801001629","Чекко: проверить")</f>
        <v/>
      </c>
      <c r="S5176" t="n">
        <v>1</v>
      </c>
      <c r="T5176" s="35" t="inlineStr">
        <is>
          <t>4 — Не обогащён</t>
        </is>
      </c>
      <c r="U5176" s="35" t="inlineStr">
        <is>
          <t>Нет ОКВЭД/ССЧР</t>
        </is>
      </c>
      <c r="V5176" s="35" t="inlineStr">
        <is>
          <t>Не определено</t>
        </is>
      </c>
      <c r="W5176" s="35" t="inlineStr"/>
      <c r="X5176" s="35" t="inlineStr"/>
    </row>
    <row r="5177" ht="27.75" customHeight="1" s="24">
      <c r="A5177" s="13" t="n">
        <v>12269221</v>
      </c>
      <c r="B5177" s="13" t="inlineStr">
        <is>
          <t>МУНИЦИПАЛЬНОЕ УНИТАРНОЕ ПРЕДПРИЯТИЕ "ВИХОРЕВСКАЯ ЖИЛИЩНАЯ СЛУЖБА"</t>
        </is>
      </c>
      <c r="C5177" s="13" t="n">
        <v>3805733398</v>
      </c>
      <c r="D5177" s="13" t="inlineStr">
        <is>
          <t>3805733398</t>
        </is>
      </c>
      <c r="E5177" s="13" t="inlineStr">
        <is>
          <t>ЮЛ РФ</t>
        </is>
      </c>
      <c r="F5177" s="13" t="n"/>
      <c r="G5177" s="14" t="n"/>
      <c r="H5177" s="14" t="n"/>
      <c r="I5177" s="14" t="n"/>
      <c r="J5177" s="14" t="n"/>
      <c r="K5177" s="53" t="inlineStr"/>
      <c r="L5177" s="53" t="inlineStr">
        <is>
          <t>Не определено</t>
        </is>
      </c>
      <c r="M5177" s="53" t="inlineStr"/>
      <c r="N5177" s="54" t="inlineStr"/>
      <c r="O5177" s="55" t="inlineStr"/>
      <c r="P5177" s="16" t="inlineStr">
        <is>
          <t>Требует обогащения</t>
        </is>
      </c>
      <c r="Q5177" s="16">
        <f>HYPERLINK("https://pb.nalog.ru/search.html?query=3805733398","ФНС: проверить")</f>
        <v/>
      </c>
      <c r="R5177" s="16">
        <f>HYPERLINK("https://checko.ru/search?query=3801001629","Чекко: проверить")</f>
        <v/>
      </c>
      <c r="S5177" t="n">
        <v>1</v>
      </c>
      <c r="T5177" s="35" t="inlineStr">
        <is>
          <t>4 — Не обогащён</t>
        </is>
      </c>
      <c r="U5177" s="35" t="inlineStr">
        <is>
          <t>Нет ОКВЭД/ССЧР</t>
        </is>
      </c>
      <c r="V5177" s="35" t="inlineStr">
        <is>
          <t>Не определено</t>
        </is>
      </c>
      <c r="W5177" s="35" t="inlineStr"/>
      <c r="X5177" s="35" t="inlineStr"/>
    </row>
    <row r="5178" ht="15" customHeight="1" s="24">
      <c r="A5178" s="13" t="n">
        <v>801608214</v>
      </c>
      <c r="B5178" s="13" t="inlineStr">
        <is>
          <t>ООО "Смета Плюс"</t>
        </is>
      </c>
      <c r="C5178" s="13" t="n">
        <v>3811080980</v>
      </c>
      <c r="D5178" s="13" t="inlineStr">
        <is>
          <t>3811080980</t>
        </is>
      </c>
      <c r="E5178" s="13" t="inlineStr">
        <is>
          <t>ЮЛ РФ</t>
        </is>
      </c>
      <c r="F5178" s="13" t="n"/>
      <c r="G5178" s="52" t="n">
        <v>45</v>
      </c>
      <c r="H5178" s="52" t="n">
        <v>2025</v>
      </c>
      <c r="I5178" s="52" t="inlineStr">
        <is>
          <t>41.20</t>
        </is>
      </c>
      <c r="J5178" s="52" t="inlineStr">
        <is>
          <t>41.20; 42.11; 42.99; 43.99; 62.01; 62.02; 71.12.5; 71.12.6</t>
        </is>
      </c>
      <c r="K5178" s="53" t="inlineStr">
        <is>
          <t>Да</t>
        </is>
      </c>
      <c r="L5178" s="53" t="inlineStr">
        <is>
          <t>Да</t>
        </is>
      </c>
      <c r="M5178" s="53" t="inlineStr">
        <is>
          <t>До 50</t>
        </is>
      </c>
      <c r="N5178" s="54" t="n">
        <v>16800</v>
      </c>
      <c r="O5178" s="55" t="inlineStr">
        <is>
          <t>31–50</t>
        </is>
      </c>
      <c r="P5178" s="16" t="inlineStr">
        <is>
          <t>ССЧР + ОКВЭД обогащены</t>
        </is>
      </c>
      <c r="Q5178" s="16" t="inlineStr">
        <is>
          <t>ФНС открытые данные ССЧР (ДатаСост 31.12.2025; набор 7707329152-sshr2019)</t>
        </is>
      </c>
      <c r="R5178" s="16" t="inlineStr">
        <is>
          <t>ЕГРЮЛ / egrul.nalog.ru (выписка)</t>
        </is>
      </c>
      <c r="S5178" t="n">
        <v>1</v>
      </c>
      <c r="T5178" s="35" t="inlineStr">
        <is>
          <t>1 — Горячий</t>
        </is>
      </c>
      <c r="U5178" s="35" t="inlineStr">
        <is>
          <t>ОКВЭД + 22+</t>
        </is>
      </c>
      <c r="V5178" s="35" t="inlineStr">
        <is>
          <t>Да</t>
        </is>
      </c>
      <c r="W5178" s="35" t="inlineStr">
        <is>
          <t>Да</t>
        </is>
      </c>
      <c r="X5178" s="35" t="inlineStr">
        <is>
          <t>Да</t>
        </is>
      </c>
    </row>
    <row r="5179" ht="15" customHeight="1" s="24">
      <c r="A5179" s="13" t="n">
        <v>9138427</v>
      </c>
      <c r="B5179" s="13" t="inlineStr">
        <is>
          <t>ООО телекомпания "Интеграл-ТВ"</t>
        </is>
      </c>
      <c r="C5179" s="13" t="n">
        <v>1434007762</v>
      </c>
      <c r="D5179" s="13" t="inlineStr">
        <is>
          <t>1434007762</t>
        </is>
      </c>
      <c r="E5179" s="13" t="inlineStr">
        <is>
          <t>ЮЛ РФ</t>
        </is>
      </c>
      <c r="F5179" s="13" t="n"/>
      <c r="G5179" s="52" t="n">
        <v>4</v>
      </c>
      <c r="H5179" s="52" t="n">
        <v>2025</v>
      </c>
      <c r="I5179" s="14" t="n"/>
      <c r="J5179" s="14" t="n"/>
      <c r="K5179" s="53" t="inlineStr">
        <is>
          <t>Нет</t>
        </is>
      </c>
      <c r="L5179" s="53" t="inlineStr">
        <is>
          <t>Не определено</t>
        </is>
      </c>
      <c r="M5179" s="53" t="inlineStr">
        <is>
          <t>До 10</t>
        </is>
      </c>
      <c r="N5179" s="54" t="n">
        <v>3360</v>
      </c>
      <c r="O5179" s="55" t="inlineStr">
        <is>
          <t>1–15</t>
        </is>
      </c>
      <c r="P5179" s="16" t="inlineStr">
        <is>
          <t>ССЧР обогащена; ОКВЭД не найден/не загружен</t>
        </is>
      </c>
      <c r="Q5179" s="16" t="inlineStr">
        <is>
          <t>ФНС открытые данные ССЧР (ДатаСост 31.12.2025; набор 7707329152-sshr2019)</t>
        </is>
      </c>
      <c r="R5179" s="16">
        <f>HYPERLINK("https://checko.ru/search?query=3801001629","Чекко: проверить")</f>
        <v/>
      </c>
      <c r="S5179" t="n">
        <v>1</v>
      </c>
      <c r="T5179" s="35" t="inlineStr">
        <is>
          <t>4 — Не обогащён</t>
        </is>
      </c>
      <c r="U5179" s="35" t="inlineStr">
        <is>
          <t>Нет ОКВЭД/ССЧР</t>
        </is>
      </c>
      <c r="V5179" s="35" t="inlineStr">
        <is>
          <t>Не определено</t>
        </is>
      </c>
      <c r="W5179" s="35" t="inlineStr">
        <is>
          <t>Нет</t>
        </is>
      </c>
      <c r="X5179" s="35" t="inlineStr"/>
    </row>
    <row r="5180" ht="15" customHeight="1" s="24">
      <c r="A5180" s="13" t="n">
        <v>800461447</v>
      </c>
      <c r="B5180" s="13" t="inlineStr">
        <is>
          <t>ООО "Сибавторемонт"</t>
        </is>
      </c>
      <c r="C5180" s="13" t="n">
        <v>3804036281</v>
      </c>
      <c r="D5180" s="13" t="inlineStr">
        <is>
          <t>3804036281</t>
        </is>
      </c>
      <c r="E5180" s="13" t="inlineStr">
        <is>
          <t>ЮЛ РФ</t>
        </is>
      </c>
      <c r="F5180" s="13" t="n"/>
      <c r="G5180" s="52" t="n">
        <v>18</v>
      </c>
      <c r="H5180" s="52" t="n">
        <v>2025</v>
      </c>
      <c r="I5180" s="14" t="n"/>
      <c r="J5180" s="14" t="n"/>
      <c r="K5180" s="53" t="inlineStr">
        <is>
          <t>Нет</t>
        </is>
      </c>
      <c r="L5180" s="53" t="inlineStr">
        <is>
          <t>Не определено</t>
        </is>
      </c>
      <c r="M5180" s="53" t="inlineStr">
        <is>
          <t>До 25</t>
        </is>
      </c>
      <c r="N5180" s="54" t="n">
        <v>8400</v>
      </c>
      <c r="O5180" s="55" t="inlineStr">
        <is>
          <t>16–30</t>
        </is>
      </c>
      <c r="P5180" s="16" t="inlineStr">
        <is>
          <t>ССЧР обогащена; ОКВЭД не найден/не загружен</t>
        </is>
      </c>
      <c r="Q5180" s="16" t="inlineStr">
        <is>
          <t>ФНС открытые данные ССЧР (ДатаСост 31.12.2025; набор 7707329152-sshr2019)</t>
        </is>
      </c>
      <c r="R5180" s="16">
        <f>HYPERLINK("https://checko.ru/search?query=3801001629","Чекко: проверить")</f>
        <v/>
      </c>
      <c r="S5180" t="n">
        <v>1</v>
      </c>
      <c r="T5180" s="35" t="inlineStr">
        <is>
          <t>4 — Не обогащён</t>
        </is>
      </c>
      <c r="U5180" s="35" t="inlineStr">
        <is>
          <t>Нет ОКВЭД/ССЧР</t>
        </is>
      </c>
      <c r="V5180" s="35" t="inlineStr">
        <is>
          <t>Не определено</t>
        </is>
      </c>
      <c r="W5180" s="35" t="inlineStr">
        <is>
          <t>Нет</t>
        </is>
      </c>
      <c r="X5180" s="35" t="inlineStr"/>
    </row>
    <row r="5181" ht="15" customHeight="1" s="24">
      <c r="A5181" s="13" t="n">
        <v>9240410</v>
      </c>
      <c r="B5181" s="13" t="inlineStr">
        <is>
          <t>ООО "Ангро Сибирь"</t>
        </is>
      </c>
      <c r="C5181" s="13" t="n">
        <v>3812130023</v>
      </c>
      <c r="D5181" s="13" t="inlineStr">
        <is>
          <t>3812130023</t>
        </is>
      </c>
      <c r="E5181" s="13" t="inlineStr">
        <is>
          <t>ЮЛ РФ</t>
        </is>
      </c>
      <c r="F5181" s="13" t="n"/>
      <c r="G5181" s="52" t="n">
        <v>16</v>
      </c>
      <c r="H5181" s="52" t="n">
        <v>2025</v>
      </c>
      <c r="I5181" s="14" t="n"/>
      <c r="J5181" s="14" t="n"/>
      <c r="K5181" s="53" t="inlineStr">
        <is>
          <t>Нет</t>
        </is>
      </c>
      <c r="L5181" s="53" t="inlineStr">
        <is>
          <t>Не определено</t>
        </is>
      </c>
      <c r="M5181" s="53" t="inlineStr">
        <is>
          <t>До 25</t>
        </is>
      </c>
      <c r="N5181" s="54" t="n">
        <v>8400</v>
      </c>
      <c r="O5181" s="55" t="inlineStr">
        <is>
          <t>16–30</t>
        </is>
      </c>
      <c r="P5181" s="16" t="inlineStr">
        <is>
          <t>ССЧР обогащена; ОКВЭД не найден/не загружен</t>
        </is>
      </c>
      <c r="Q5181" s="16" t="inlineStr">
        <is>
          <t>ФНС открытые данные ССЧР (ДатаСост 31.12.2025; набор 7707329152-sshr2019)</t>
        </is>
      </c>
      <c r="R5181" s="16">
        <f>HYPERLINK("https://checko.ru/search?query=3801001629","Чекко: проверить")</f>
        <v/>
      </c>
      <c r="S5181" t="n">
        <v>1</v>
      </c>
      <c r="T5181" s="35" t="inlineStr">
        <is>
          <t>4 — Не обогащён</t>
        </is>
      </c>
      <c r="U5181" s="35" t="inlineStr">
        <is>
          <t>Нет ОКВЭД/ССЧР</t>
        </is>
      </c>
      <c r="V5181" s="35" t="inlineStr">
        <is>
          <t>Не определено</t>
        </is>
      </c>
      <c r="W5181" s="35" t="inlineStr">
        <is>
          <t>Нет</t>
        </is>
      </c>
      <c r="X5181" s="35" t="inlineStr"/>
    </row>
    <row r="5182" ht="15" customHeight="1" s="24">
      <c r="A5182" s="13" t="n">
        <v>800435951</v>
      </c>
      <c r="B5182" s="13" t="inlineStr">
        <is>
          <t>ЗАО "УПРАВЛЯЮЩАЯ КОМПАНИЯ "ИТС"</t>
        </is>
      </c>
      <c r="C5182" s="13" t="n">
        <v>3811117661</v>
      </c>
      <c r="D5182" s="13" t="inlineStr">
        <is>
          <t>3811117661</t>
        </is>
      </c>
      <c r="E5182" s="13" t="inlineStr">
        <is>
          <t>ЮЛ РФ</t>
        </is>
      </c>
      <c r="F5182" s="13" t="n"/>
      <c r="G5182" s="52" t="n">
        <v>18</v>
      </c>
      <c r="H5182" s="52" t="n">
        <v>2025</v>
      </c>
      <c r="I5182" s="14" t="n"/>
      <c r="J5182" s="14" t="n"/>
      <c r="K5182" s="53" t="inlineStr">
        <is>
          <t>Нет</t>
        </is>
      </c>
      <c r="L5182" s="53" t="inlineStr">
        <is>
          <t>Не определено</t>
        </is>
      </c>
      <c r="M5182" s="53" t="inlineStr">
        <is>
          <t>До 25</t>
        </is>
      </c>
      <c r="N5182" s="54" t="n">
        <v>8400</v>
      </c>
      <c r="O5182" s="55" t="inlineStr">
        <is>
          <t>16–30</t>
        </is>
      </c>
      <c r="P5182" s="16" t="inlineStr">
        <is>
          <t>ССЧР обогащена; ОКВЭД не найден/не загружен</t>
        </is>
      </c>
      <c r="Q5182" s="16" t="inlineStr">
        <is>
          <t>ФНС открытые данные ССЧР (ДатаСост 31.12.2025; набор 7707329152-sshr2019)</t>
        </is>
      </c>
      <c r="R5182" s="16">
        <f>HYPERLINK("https://checko.ru/search?query=3801001629","Чекко: проверить")</f>
        <v/>
      </c>
      <c r="S5182" t="n">
        <v>1</v>
      </c>
      <c r="T5182" s="35" t="inlineStr">
        <is>
          <t>4 — Не обогащён</t>
        </is>
      </c>
      <c r="U5182" s="35" t="inlineStr">
        <is>
          <t>Нет ОКВЭД/ССЧР</t>
        </is>
      </c>
      <c r="V5182" s="35" t="inlineStr">
        <is>
          <t>Не определено</t>
        </is>
      </c>
      <c r="W5182" s="35" t="inlineStr">
        <is>
          <t>Нет</t>
        </is>
      </c>
      <c r="X5182" s="35" t="inlineStr"/>
    </row>
    <row r="5183" ht="15" customHeight="1" s="24">
      <c r="A5183" s="13" t="n">
        <v>9915280</v>
      </c>
      <c r="B5183" s="13" t="inlineStr">
        <is>
          <t>Арбат ООО</t>
        </is>
      </c>
      <c r="C5183" s="13" t="n">
        <v>1434006159</v>
      </c>
      <c r="D5183" s="13" t="inlineStr">
        <is>
          <t>1434006159</t>
        </is>
      </c>
      <c r="E5183" s="13" t="inlineStr">
        <is>
          <t>ЮЛ РФ</t>
        </is>
      </c>
      <c r="F5183" s="13" t="n"/>
      <c r="G5183" s="52" t="n">
        <v>12</v>
      </c>
      <c r="H5183" s="52" t="n">
        <v>2025</v>
      </c>
      <c r="I5183" s="14" t="n"/>
      <c r="J5183" s="14" t="n"/>
      <c r="K5183" s="53" t="inlineStr">
        <is>
          <t>Нет</t>
        </is>
      </c>
      <c r="L5183" s="53" t="inlineStr">
        <is>
          <t>Не определено</t>
        </is>
      </c>
      <c r="M5183" s="53" t="inlineStr">
        <is>
          <t>До 25</t>
        </is>
      </c>
      <c r="N5183" s="54" t="n">
        <v>8400</v>
      </c>
      <c r="O5183" s="55" t="inlineStr">
        <is>
          <t>1–15</t>
        </is>
      </c>
      <c r="P5183" s="16" t="inlineStr">
        <is>
          <t>ССЧР обогащена; ОКВЭД не найден/не загружен</t>
        </is>
      </c>
      <c r="Q5183" s="16" t="inlineStr">
        <is>
          <t>ФНС открытые данные ССЧР (ДатаСост 31.12.2025; набор 7707329152-sshr2019)</t>
        </is>
      </c>
      <c r="R5183" s="16">
        <f>HYPERLINK("https://checko.ru/search?query=3801001629","Чекко: проверить")</f>
        <v/>
      </c>
      <c r="S5183" t="n">
        <v>1</v>
      </c>
      <c r="T5183" s="35" t="inlineStr">
        <is>
          <t>4 — Не обогащён</t>
        </is>
      </c>
      <c r="U5183" s="35" t="inlineStr">
        <is>
          <t>Нет ОКВЭД/ССЧР</t>
        </is>
      </c>
      <c r="V5183" s="35" t="inlineStr">
        <is>
          <t>Не определено</t>
        </is>
      </c>
      <c r="W5183" s="35" t="inlineStr">
        <is>
          <t>Нет</t>
        </is>
      </c>
      <c r="X5183" s="35" t="inlineStr"/>
    </row>
    <row r="5184" ht="15" customHeight="1" s="24">
      <c r="A5184" s="13" t="n">
        <v>800405961</v>
      </c>
      <c r="B5184" s="13" t="inlineStr">
        <is>
          <t>СЕРВИС-ПАРТНЕР</t>
        </is>
      </c>
      <c r="C5184" s="13" t="n">
        <v>3827043126</v>
      </c>
      <c r="D5184" s="13" t="inlineStr">
        <is>
          <t>3827043126</t>
        </is>
      </c>
      <c r="E5184" s="13" t="inlineStr">
        <is>
          <t>ЮЛ РФ</t>
        </is>
      </c>
      <c r="F5184" s="13" t="n"/>
      <c r="G5184" s="52" t="n">
        <v>4</v>
      </c>
      <c r="H5184" s="52" t="n">
        <v>2025</v>
      </c>
      <c r="I5184" s="14" t="n"/>
      <c r="J5184" s="14" t="n"/>
      <c r="K5184" s="53" t="inlineStr">
        <is>
          <t>Нет</t>
        </is>
      </c>
      <c r="L5184" s="53" t="inlineStr">
        <is>
          <t>Не определено</t>
        </is>
      </c>
      <c r="M5184" s="53" t="inlineStr">
        <is>
          <t>До 10</t>
        </is>
      </c>
      <c r="N5184" s="54" t="n">
        <v>3360</v>
      </c>
      <c r="O5184" s="55" t="inlineStr">
        <is>
          <t>1–15</t>
        </is>
      </c>
      <c r="P5184" s="16" t="inlineStr">
        <is>
          <t>ССЧР обогащена; ОКВЭД не найден/не загружен</t>
        </is>
      </c>
      <c r="Q5184" s="16" t="inlineStr">
        <is>
          <t>ФНС открытые данные ССЧР (ДатаСост 31.12.2025; набор 7707329152-sshr2019)</t>
        </is>
      </c>
      <c r="R5184" s="16">
        <f>HYPERLINK("https://checko.ru/search?query=3801001629","Чекко: проверить")</f>
        <v/>
      </c>
      <c r="S5184" t="n">
        <v>1</v>
      </c>
      <c r="T5184" s="35" t="inlineStr">
        <is>
          <t>4 — Не обогащён</t>
        </is>
      </c>
      <c r="U5184" s="35" t="inlineStr">
        <is>
          <t>Нет ОКВЭД/ССЧР</t>
        </is>
      </c>
      <c r="V5184" s="35" t="inlineStr">
        <is>
          <t>Не определено</t>
        </is>
      </c>
      <c r="W5184" s="35" t="inlineStr">
        <is>
          <t>Нет</t>
        </is>
      </c>
      <c r="X5184" s="35" t="inlineStr"/>
    </row>
    <row r="5185" ht="15" customHeight="1" s="24">
      <c r="A5185" s="13" t="n">
        <v>800880810</v>
      </c>
      <c r="B5185" s="13" t="inlineStr">
        <is>
          <t>ООО «ИркОблСнаб»</t>
        </is>
      </c>
      <c r="C5185" s="13" t="n">
        <v>3811165016</v>
      </c>
      <c r="D5185" s="13" t="inlineStr">
        <is>
          <t>3811165016</t>
        </is>
      </c>
      <c r="E5185" s="13" t="inlineStr">
        <is>
          <t>ЮЛ РФ</t>
        </is>
      </c>
      <c r="F5185" s="13" t="n"/>
      <c r="G5185" s="52" t="n">
        <v>1</v>
      </c>
      <c r="H5185" s="52" t="n">
        <v>2025</v>
      </c>
      <c r="I5185" s="14" t="n"/>
      <c r="J5185" s="14" t="n"/>
      <c r="K5185" s="53" t="inlineStr">
        <is>
          <t>Нет</t>
        </is>
      </c>
      <c r="L5185" s="53" t="inlineStr">
        <is>
          <t>Не определено</t>
        </is>
      </c>
      <c r="M5185" s="53" t="inlineStr">
        <is>
          <t>До 10</t>
        </is>
      </c>
      <c r="N5185" s="54" t="n">
        <v>3360</v>
      </c>
      <c r="O5185" s="55" t="inlineStr">
        <is>
          <t>1–15</t>
        </is>
      </c>
      <c r="P5185" s="16" t="inlineStr">
        <is>
          <t>ССЧР обогащена; ОКВЭД не найден/не загружен</t>
        </is>
      </c>
      <c r="Q5185" s="16" t="inlineStr">
        <is>
          <t>ФНС открытые данные ССЧР (ДатаСост 31.12.2025; набор 7707329152-sshr2019)</t>
        </is>
      </c>
      <c r="R5185" s="16">
        <f>HYPERLINK("https://checko.ru/search?query=3801001629","Чекко: проверить")</f>
        <v/>
      </c>
      <c r="S5185" t="n">
        <v>1</v>
      </c>
      <c r="T5185" s="35" t="inlineStr">
        <is>
          <t>4 — Не обогащён</t>
        </is>
      </c>
      <c r="U5185" s="35" t="inlineStr">
        <is>
          <t>Нет ОКВЭД/ССЧР</t>
        </is>
      </c>
      <c r="V5185" s="35" t="inlineStr">
        <is>
          <t>Не определено</t>
        </is>
      </c>
      <c r="W5185" s="35" t="inlineStr">
        <is>
          <t>Нет</t>
        </is>
      </c>
      <c r="X5185" s="35" t="inlineStr"/>
    </row>
    <row r="5186" ht="27.75" customHeight="1" s="24">
      <c r="A5186" s="13" t="n">
        <v>800382297</v>
      </c>
      <c r="B5186" s="13" t="inlineStr">
        <is>
          <t>ООО "Специализированная промышленная компания ИрИОХ"</t>
        </is>
      </c>
      <c r="C5186" s="13" t="n">
        <v>3812137572</v>
      </c>
      <c r="D5186" s="13" t="inlineStr">
        <is>
          <t>3812137572</t>
        </is>
      </c>
      <c r="E5186" s="13" t="inlineStr">
        <is>
          <t>ЮЛ РФ</t>
        </is>
      </c>
      <c r="F5186" s="13" t="n"/>
      <c r="G5186" s="52" t="n">
        <v>1</v>
      </c>
      <c r="H5186" s="52" t="n">
        <v>2025</v>
      </c>
      <c r="I5186" s="14" t="n"/>
      <c r="J5186" s="14" t="n"/>
      <c r="K5186" s="53" t="inlineStr">
        <is>
          <t>Нет</t>
        </is>
      </c>
      <c r="L5186" s="53" t="inlineStr">
        <is>
          <t>Не определено</t>
        </is>
      </c>
      <c r="M5186" s="53" t="inlineStr">
        <is>
          <t>До 10</t>
        </is>
      </c>
      <c r="N5186" s="54" t="n">
        <v>3360</v>
      </c>
      <c r="O5186" s="55" t="inlineStr">
        <is>
          <t>1–15</t>
        </is>
      </c>
      <c r="P5186" s="16" t="inlineStr">
        <is>
          <t>ССЧР обогащена; ОКВЭД не найден/не загружен</t>
        </is>
      </c>
      <c r="Q5186" s="16" t="inlineStr">
        <is>
          <t>ФНС открытые данные ССЧР (ДатаСост 31.12.2025; набор 7707329152-sshr2019)</t>
        </is>
      </c>
      <c r="R5186" s="16">
        <f>HYPERLINK("https://checko.ru/search?query=3801001629","Чекко: проверить")</f>
        <v/>
      </c>
      <c r="S5186" t="n">
        <v>1</v>
      </c>
      <c r="T5186" s="35" t="inlineStr">
        <is>
          <t>4 — Не обогащён</t>
        </is>
      </c>
      <c r="U5186" s="35" t="inlineStr">
        <is>
          <t>Нет ОКВЭД/ССЧР</t>
        </is>
      </c>
      <c r="V5186" s="35" t="inlineStr">
        <is>
          <t>Не определено</t>
        </is>
      </c>
      <c r="W5186" s="35" t="inlineStr">
        <is>
          <t>Нет</t>
        </is>
      </c>
      <c r="X5186" s="35" t="inlineStr"/>
    </row>
    <row r="5187" ht="27.75" customHeight="1" s="24">
      <c r="A5187" s="13" t="n">
        <v>800438445</v>
      </c>
      <c r="B5187" s="13" t="inlineStr">
        <is>
          <t>Общество с ограниченной ответственностью ЧАСТНОЕ ОХРАННОЕ ПРЕДПРИЯТИЕ "АТЭКС"</t>
        </is>
      </c>
      <c r="C5187" s="13" t="n">
        <v>3811043603</v>
      </c>
      <c r="D5187" s="13" t="inlineStr">
        <is>
          <t>3811043603</t>
        </is>
      </c>
      <c r="E5187" s="13" t="inlineStr">
        <is>
          <t>ЮЛ РФ</t>
        </is>
      </c>
      <c r="F5187" s="13" t="n"/>
      <c r="G5187" s="52" t="n">
        <v>32</v>
      </c>
      <c r="H5187" s="52" t="n">
        <v>2025</v>
      </c>
      <c r="I5187" s="52" t="inlineStr">
        <is>
          <t>80.10</t>
        </is>
      </c>
      <c r="J5187" s="52" t="inlineStr">
        <is>
          <t>80.10; 80.20</t>
        </is>
      </c>
      <c r="K5187" s="53" t="inlineStr">
        <is>
          <t>Да</t>
        </is>
      </c>
      <c r="L5187" s="53" t="inlineStr">
        <is>
          <t>Да</t>
        </is>
      </c>
      <c r="M5187" s="53" t="inlineStr">
        <is>
          <t>До 50</t>
        </is>
      </c>
      <c r="N5187" s="54" t="n">
        <v>16800</v>
      </c>
      <c r="O5187" s="55" t="inlineStr">
        <is>
          <t>31–50</t>
        </is>
      </c>
      <c r="P5187" s="16" t="inlineStr">
        <is>
          <t>ССЧР + ОКВЭД обогащены</t>
        </is>
      </c>
      <c r="Q5187" s="16" t="inlineStr">
        <is>
          <t>ФНС открытые данные ССЧР (ДатаСост 31.12.2025; набор 7707329152-sshr2019)</t>
        </is>
      </c>
      <c r="R5187" s="16" t="inlineStr">
        <is>
          <t>ЕГРЮЛ / egrul.nalog.ru (выписка)</t>
        </is>
      </c>
      <c r="S5187" t="n">
        <v>1</v>
      </c>
      <c r="T5187" s="35" t="inlineStr">
        <is>
          <t>1 — Горячий</t>
        </is>
      </c>
      <c r="U5187" s="35" t="inlineStr">
        <is>
          <t>ОКВЭД + 22+</t>
        </is>
      </c>
      <c r="V5187" s="35" t="inlineStr">
        <is>
          <t>Да</t>
        </is>
      </c>
      <c r="W5187" s="35" t="inlineStr">
        <is>
          <t>Да</t>
        </is>
      </c>
      <c r="X5187" s="35" t="inlineStr">
        <is>
          <t>Да</t>
        </is>
      </c>
    </row>
    <row r="5188" ht="15" customHeight="1" s="24">
      <c r="A5188" s="13" t="n">
        <v>802477275</v>
      </c>
      <c r="B5188" s="13" t="inlineStr">
        <is>
          <t>ООО "СК КЛИМАТ-СЕРВИС"</t>
        </is>
      </c>
      <c r="C5188" s="13" t="n">
        <v>3811444919</v>
      </c>
      <c r="D5188" s="13" t="inlineStr">
        <is>
          <t>3811444919</t>
        </is>
      </c>
      <c r="E5188" s="13" t="inlineStr">
        <is>
          <t>ЮЛ РФ</t>
        </is>
      </c>
      <c r="F5188" s="13" t="n"/>
      <c r="G5188" s="52" t="n">
        <v>32</v>
      </c>
      <c r="H5188" s="52" t="n">
        <v>2025</v>
      </c>
      <c r="I5188" s="52" t="inlineStr">
        <is>
          <t>71.12.1</t>
        </is>
      </c>
      <c r="J5188" s="52" t="inlineStr">
        <is>
          <t>71.12.1; 33.12; 41.20; 42.21; 42.99; 43.12; 43.22; 43.29; 43.31; 43.33; 43.34; 43.39; 43.91; 43.99; 46.49; 46.90; 47.30; 47.78.9; 47.79.3; 49.41; 49.42; 56.10; 56.10.1; 56.10.3; 58.11.1; 63.11.1; 64.99; 66.11; 66.12.1; 68.31.1; 68.31.2; 68.31.3; 68.31.4; 70.22; 71.12.13; 71.20.62; 73.11; 79.11</t>
        </is>
      </c>
      <c r="K5188" s="53" t="inlineStr">
        <is>
          <t>Да</t>
        </is>
      </c>
      <c r="L5188" s="53" t="inlineStr">
        <is>
          <t>Да</t>
        </is>
      </c>
      <c r="M5188" s="53" t="inlineStr">
        <is>
          <t>До 50</t>
        </is>
      </c>
      <c r="N5188" s="54" t="n">
        <v>16800</v>
      </c>
      <c r="O5188" s="55" t="inlineStr">
        <is>
          <t>31–50</t>
        </is>
      </c>
      <c r="P5188" s="16" t="inlineStr">
        <is>
          <t>ССЧР + ОКВЭД обогащены</t>
        </is>
      </c>
      <c r="Q5188" s="16" t="inlineStr">
        <is>
          <t>ФНС открытые данные ССЧР (ДатаСост 31.12.2025; набор 7707329152-sshr2019)</t>
        </is>
      </c>
      <c r="R5188" s="16" t="inlineStr">
        <is>
          <t>ЕГРЮЛ / egrul.nalog.ru (выписка)</t>
        </is>
      </c>
      <c r="S5188" t="n">
        <v>1</v>
      </c>
      <c r="T5188" s="35" t="inlineStr">
        <is>
          <t>1 — Горячий</t>
        </is>
      </c>
      <c r="U5188" s="35" t="inlineStr">
        <is>
          <t>ОКВЭД + 22+</t>
        </is>
      </c>
      <c r="V5188" s="35" t="inlineStr">
        <is>
          <t>Да</t>
        </is>
      </c>
      <c r="W5188" s="35" t="inlineStr">
        <is>
          <t>Да</t>
        </is>
      </c>
      <c r="X5188" s="35" t="inlineStr">
        <is>
          <t>Да</t>
        </is>
      </c>
    </row>
    <row r="5189" ht="15" customHeight="1" s="24">
      <c r="A5189" s="13" t="n">
        <v>20009705951</v>
      </c>
      <c r="B5189" s="13" t="inlineStr">
        <is>
          <t>ООО "НАВИГАТОР ПЛЮС"</t>
        </is>
      </c>
      <c r="C5189" s="13" t="n">
        <v>3808130060</v>
      </c>
      <c r="D5189" s="13" t="inlineStr">
        <is>
          <t>3808130060</t>
        </is>
      </c>
      <c r="E5189" s="13" t="inlineStr">
        <is>
          <t>ЮЛ РФ</t>
        </is>
      </c>
      <c r="F5189" s="13" t="n"/>
      <c r="G5189" s="52" t="n">
        <v>3</v>
      </c>
      <c r="H5189" s="52" t="n">
        <v>2025</v>
      </c>
      <c r="I5189" s="14" t="n"/>
      <c r="J5189" s="14" t="n"/>
      <c r="K5189" s="53" t="inlineStr">
        <is>
          <t>Нет</t>
        </is>
      </c>
      <c r="L5189" s="53" t="inlineStr">
        <is>
          <t>Не определено</t>
        </is>
      </c>
      <c r="M5189" s="53" t="inlineStr">
        <is>
          <t>До 10</t>
        </is>
      </c>
      <c r="N5189" s="54" t="n">
        <v>3360</v>
      </c>
      <c r="O5189" s="55" t="inlineStr">
        <is>
          <t>1–15</t>
        </is>
      </c>
      <c r="P5189" s="16" t="inlineStr">
        <is>
          <t>ССЧР обогащена; ОКВЭД не найден/не загружен</t>
        </is>
      </c>
      <c r="Q5189" s="16" t="inlineStr">
        <is>
          <t>ФНС открытые данные ССЧР (ДатаСост 31.12.2025; набор 7707329152-sshr2019)</t>
        </is>
      </c>
      <c r="R5189" s="16">
        <f>HYPERLINK("https://checko.ru/search?query=3801001629","Чекко: проверить")</f>
        <v/>
      </c>
      <c r="S5189" t="n">
        <v>1</v>
      </c>
      <c r="T5189" s="35" t="inlineStr">
        <is>
          <t>4 — Не обогащён</t>
        </is>
      </c>
      <c r="U5189" s="35" t="inlineStr">
        <is>
          <t>Нет ОКВЭД/ССЧР</t>
        </is>
      </c>
      <c r="V5189" s="35" t="inlineStr">
        <is>
          <t>Не определено</t>
        </is>
      </c>
      <c r="W5189" s="35" t="inlineStr">
        <is>
          <t>Нет</t>
        </is>
      </c>
      <c r="X5189" s="35" t="inlineStr"/>
    </row>
    <row r="5190" ht="41.25" customHeight="1" s="24">
      <c r="A5190" s="13" t="n">
        <v>802400415</v>
      </c>
      <c r="B5190" s="13" t="inlineStr">
        <is>
          <t>Общество с ограниченной ответственностью "АВТОТРАНСПОРТНАЯ КОМПАНИЯ СИБСПЕЦТРАНС"</t>
        </is>
      </c>
      <c r="C5190" s="13" t="n">
        <v>3811454434</v>
      </c>
      <c r="D5190" s="13" t="inlineStr">
        <is>
          <t>3811454434</t>
        </is>
      </c>
      <c r="E5190" s="13" t="inlineStr">
        <is>
          <t>ЮЛ РФ</t>
        </is>
      </c>
      <c r="F5190" s="13" t="n"/>
      <c r="G5190" s="52" t="n">
        <v>1</v>
      </c>
      <c r="H5190" s="52" t="n">
        <v>2025</v>
      </c>
      <c r="I5190" s="14" t="n"/>
      <c r="J5190" s="14" t="n"/>
      <c r="K5190" s="53" t="inlineStr">
        <is>
          <t>Нет</t>
        </is>
      </c>
      <c r="L5190" s="53" t="inlineStr">
        <is>
          <t>Не определено</t>
        </is>
      </c>
      <c r="M5190" s="53" t="inlineStr">
        <is>
          <t>До 10</t>
        </is>
      </c>
      <c r="N5190" s="54" t="n">
        <v>3360</v>
      </c>
      <c r="O5190" s="55" t="inlineStr">
        <is>
          <t>1–15</t>
        </is>
      </c>
      <c r="P5190" s="16" t="inlineStr">
        <is>
          <t>ССЧР обогащена; ОКВЭД не найден/не загружен</t>
        </is>
      </c>
      <c r="Q5190" s="16" t="inlineStr">
        <is>
          <t>ФНС открытые данные ССЧР (ДатаСост 31.12.2025; набор 7707329152-sshr2019)</t>
        </is>
      </c>
      <c r="R5190" s="16">
        <f>HYPERLINK("https://checko.ru/search?query=3801001629","Чекко: проверить")</f>
        <v/>
      </c>
      <c r="S5190" t="n">
        <v>1</v>
      </c>
      <c r="T5190" s="35" t="inlineStr">
        <is>
          <t>4 — Не обогащён</t>
        </is>
      </c>
      <c r="U5190" s="35" t="inlineStr">
        <is>
          <t>Нет ОКВЭД/ССЧР</t>
        </is>
      </c>
      <c r="V5190" s="35" t="inlineStr">
        <is>
          <t>Не определено</t>
        </is>
      </c>
      <c r="W5190" s="35" t="inlineStr">
        <is>
          <t>Нет</t>
        </is>
      </c>
      <c r="X5190" s="35" t="inlineStr"/>
    </row>
    <row r="5191" ht="15" customHeight="1" s="24">
      <c r="A5191" s="13" t="n">
        <v>802450765</v>
      </c>
      <c r="B5191" s="13" t="inlineStr">
        <is>
          <t>ООО санаторий-профилакторий Иркут</t>
        </is>
      </c>
      <c r="C5191" s="13" t="n">
        <v>3810035102</v>
      </c>
      <c r="D5191" s="13" t="inlineStr">
        <is>
          <t>3810035102</t>
        </is>
      </c>
      <c r="E5191" s="13" t="inlineStr">
        <is>
          <t>ЮЛ РФ</t>
        </is>
      </c>
      <c r="F5191" s="13" t="n"/>
      <c r="G5191" s="52" t="n">
        <v>106</v>
      </c>
      <c r="H5191" s="52" t="n">
        <v>2025</v>
      </c>
      <c r="I5191" s="52" t="inlineStr">
        <is>
          <t>55.20</t>
        </is>
      </c>
      <c r="J5191" s="52" t="inlineStr">
        <is>
          <t>55.20; 56.29.2; 77.21; 86.90.4; 47.11; 47.73; 47.74; 47.75; 55.10; 55.90; 56.10.21; 56.29; 56.30; 85.41.91; 86.10; 86.21; 86.23; 86.90; 86.90.9; 88.91; 93.11; 93.29; 96.04; 96.09</t>
        </is>
      </c>
      <c r="K5191" s="53" t="inlineStr">
        <is>
          <t>Да</t>
        </is>
      </c>
      <c r="L5191" s="53" t="inlineStr">
        <is>
          <t>Да</t>
        </is>
      </c>
      <c r="M5191" s="53" t="inlineStr">
        <is>
          <t>До 200</t>
        </is>
      </c>
      <c r="N5191" s="54" t="n">
        <v>62400</v>
      </c>
      <c r="O5191" s="55" t="inlineStr">
        <is>
          <t>101–200</t>
        </is>
      </c>
      <c r="P5191" s="16" t="inlineStr">
        <is>
          <t>ССЧР + ОКВЭД обогащены</t>
        </is>
      </c>
      <c r="Q5191" s="16" t="inlineStr">
        <is>
          <t>ФНС открытые данные ССЧР (ДатаСост 31.12.2025; набор 7707329152-sshr2019)</t>
        </is>
      </c>
      <c r="R5191" s="16" t="inlineStr">
        <is>
          <t>ЕГРЮЛ / egrul.nalog.ru (выписка)</t>
        </is>
      </c>
      <c r="S5191" t="n">
        <v>1</v>
      </c>
      <c r="T5191" s="35" t="inlineStr">
        <is>
          <t>1 — Горячий</t>
        </is>
      </c>
      <c r="U5191" s="35" t="inlineStr">
        <is>
          <t>ОКВЭД + 22+</t>
        </is>
      </c>
      <c r="V5191" s="35" t="inlineStr">
        <is>
          <t>Да</t>
        </is>
      </c>
      <c r="W5191" s="35" t="inlineStr">
        <is>
          <t>Да</t>
        </is>
      </c>
      <c r="X5191" s="35" t="inlineStr">
        <is>
          <t>Да</t>
        </is>
      </c>
    </row>
    <row r="5192" ht="15" customHeight="1" s="24">
      <c r="A5192" s="13" t="n">
        <v>800827782</v>
      </c>
      <c r="B5192" s="13" t="inlineStr">
        <is>
          <t>ИП Кутчер Елена Валентиновна</t>
        </is>
      </c>
      <c r="C5192" s="13" t="n">
        <v>380409205905</v>
      </c>
      <c r="D5192" s="13" t="inlineStr">
        <is>
          <t>380409205905</t>
        </is>
      </c>
      <c r="E5192" s="13" t="inlineStr">
        <is>
          <t>ИП РФ / физлицо</t>
        </is>
      </c>
      <c r="F5192" s="13" t="n"/>
      <c r="G5192" s="14" t="n"/>
      <c r="H5192" s="14" t="n"/>
      <c r="I5192" s="14" t="n"/>
      <c r="J5192" s="14" t="n"/>
      <c r="K5192" s="53" t="inlineStr"/>
      <c r="L5192" s="53" t="inlineStr">
        <is>
          <t>Не определено</t>
        </is>
      </c>
      <c r="M5192" s="53" t="inlineStr"/>
      <c r="N5192" s="54" t="inlineStr"/>
      <c r="O5192" s="55" t="inlineStr"/>
      <c r="P5192" s="16" t="inlineStr">
        <is>
          <t>Требует обогащения</t>
        </is>
      </c>
      <c r="Q5192" s="16">
        <f>HYPERLINK("https://pb.nalog.ru/search.html?query=380409205905","ФНС: проверить")</f>
        <v/>
      </c>
      <c r="R5192" s="16">
        <f>HYPERLINK("https://checko.ru/search?query=3801001629","Чекко: проверить")</f>
        <v/>
      </c>
      <c r="S5192" t="n">
        <v>1</v>
      </c>
      <c r="T5192" s="35" t="inlineStr">
        <is>
          <t>4 — Не обогащён</t>
        </is>
      </c>
      <c r="U5192" s="35" t="inlineStr">
        <is>
          <t>Нет ОКВЭД/ССЧР</t>
        </is>
      </c>
      <c r="V5192" s="35" t="inlineStr">
        <is>
          <t>Не определено</t>
        </is>
      </c>
      <c r="W5192" s="35" t="inlineStr"/>
      <c r="X5192" s="35" t="inlineStr"/>
    </row>
    <row r="5193" ht="27.75" customHeight="1" s="24">
      <c r="A5193" s="13" t="n">
        <v>801604596</v>
      </c>
      <c r="B5193" s="13" t="inlineStr">
        <is>
          <t>ООО "ПОЛИКЛИНИЧЕСКИЙ МОБИЛЬНЫЙ КОМПЛЕКС"</t>
        </is>
      </c>
      <c r="C5193" s="13" t="n">
        <v>3808190252</v>
      </c>
      <c r="D5193" s="13" t="inlineStr">
        <is>
          <t>3808190252</t>
        </is>
      </c>
      <c r="E5193" s="13" t="inlineStr">
        <is>
          <t>ЮЛ РФ</t>
        </is>
      </c>
      <c r="F5193" s="13" t="n"/>
      <c r="G5193" s="52" t="n">
        <v>7</v>
      </c>
      <c r="H5193" s="52" t="n">
        <v>2025</v>
      </c>
      <c r="I5193" s="14" t="n"/>
      <c r="J5193" s="14" t="n"/>
      <c r="K5193" s="53" t="inlineStr">
        <is>
          <t>Нет</t>
        </is>
      </c>
      <c r="L5193" s="53" t="inlineStr">
        <is>
          <t>Не определено</t>
        </is>
      </c>
      <c r="M5193" s="53" t="inlineStr">
        <is>
          <t>До 10</t>
        </is>
      </c>
      <c r="N5193" s="54" t="n">
        <v>3360</v>
      </c>
      <c r="O5193" s="55" t="inlineStr">
        <is>
          <t>1–15</t>
        </is>
      </c>
      <c r="P5193" s="16" t="inlineStr">
        <is>
          <t>ССЧР обогащена; ОКВЭД не найден/не загружен</t>
        </is>
      </c>
      <c r="Q5193" s="16" t="inlineStr">
        <is>
          <t>ФНС открытые данные ССЧР (ДатаСост 31.12.2025; набор 7707329152-sshr2019)</t>
        </is>
      </c>
      <c r="R5193" s="16">
        <f>HYPERLINK("https://checko.ru/search?query=3801001629","Чекко: проверить")</f>
        <v/>
      </c>
      <c r="S5193" t="n">
        <v>1</v>
      </c>
      <c r="T5193" s="35" t="inlineStr">
        <is>
          <t>4 — Не обогащён</t>
        </is>
      </c>
      <c r="U5193" s="35" t="inlineStr">
        <is>
          <t>Нет ОКВЭД/ССЧР</t>
        </is>
      </c>
      <c r="V5193" s="35" t="inlineStr">
        <is>
          <t>Не определено</t>
        </is>
      </c>
      <c r="W5193" s="35" t="inlineStr">
        <is>
          <t>Нет</t>
        </is>
      </c>
      <c r="X5193" s="35" t="inlineStr"/>
    </row>
    <row r="5194" ht="68.25" customHeight="1" s="24">
      <c r="A5194" s="13" t="n">
        <v>800593794</v>
      </c>
      <c r="B5194" s="13" t="inlineStr">
        <is>
          <t>ПРОФЕССИОНАЛЬНОЕ ОБРАЗОВАТЕЛЬНОЕ УЧРЕЖДЕНИЕ "КУЙТУНСКИЙ СПОРТИВНО-ТЕХНИЧЕСКИЙ КЛУБ" РЕГИОНАЛЬНОГО ОТДЕЛЕНИЯ ОБЩЕРОССИЙСКОЙ ОБЩЕСТВЕННО-ГОСУДАРСТВЕННОЙ</t>
        </is>
      </c>
      <c r="C5194" s="13" t="n">
        <v>3832001604</v>
      </c>
      <c r="D5194" s="13" t="inlineStr">
        <is>
          <t>3832001604</t>
        </is>
      </c>
      <c r="E5194" s="13" t="inlineStr">
        <is>
          <t>ЮЛ РФ</t>
        </is>
      </c>
      <c r="F5194" s="13" t="n"/>
      <c r="G5194" s="14" t="n"/>
      <c r="H5194" s="14" t="n"/>
      <c r="I5194" s="14" t="n"/>
      <c r="J5194" s="14" t="n"/>
      <c r="K5194" s="53" t="inlineStr"/>
      <c r="L5194" s="53" t="inlineStr">
        <is>
          <t>Не определено</t>
        </is>
      </c>
      <c r="M5194" s="53" t="inlineStr"/>
      <c r="N5194" s="54" t="inlineStr"/>
      <c r="O5194" s="55" t="inlineStr"/>
      <c r="P5194" s="16" t="inlineStr">
        <is>
          <t>Требует обогащения</t>
        </is>
      </c>
      <c r="Q5194" s="16">
        <f>HYPERLINK("https://pb.nalog.ru/search.html?query=3832001604","ФНС: проверить")</f>
        <v/>
      </c>
      <c r="R5194" s="16">
        <f>HYPERLINK("https://checko.ru/search?query=3801001629","Чекко: проверить")</f>
        <v/>
      </c>
      <c r="S5194" t="n">
        <v>1</v>
      </c>
      <c r="T5194" s="35" t="inlineStr">
        <is>
          <t>4 — Не обогащён</t>
        </is>
      </c>
      <c r="U5194" s="35" t="inlineStr">
        <is>
          <t>Нет ОКВЭД/ССЧР</t>
        </is>
      </c>
      <c r="V5194" s="35" t="inlineStr">
        <is>
          <t>Не определено</t>
        </is>
      </c>
      <c r="W5194" s="35" t="inlineStr"/>
      <c r="X5194" s="35" t="inlineStr"/>
    </row>
    <row r="5195" ht="15" customHeight="1" s="24">
      <c r="A5195" s="13" t="n">
        <v>9103648</v>
      </c>
      <c r="B5195" s="13" t="inlineStr">
        <is>
          <t>ООО "ИКЗ"</t>
        </is>
      </c>
      <c r="C5195" s="13" t="n">
        <v>3810037741</v>
      </c>
      <c r="D5195" s="13" t="inlineStr">
        <is>
          <t>3810037741</t>
        </is>
      </c>
      <c r="E5195" s="13" t="inlineStr">
        <is>
          <t>ЮЛ РФ</t>
        </is>
      </c>
      <c r="F5195" s="13" t="n"/>
      <c r="G5195" s="52" t="n">
        <v>120</v>
      </c>
      <c r="H5195" s="52" t="n">
        <v>2025</v>
      </c>
      <c r="I5195" s="52" t="inlineStr">
        <is>
          <t>23.32</t>
        </is>
      </c>
      <c r="J5195" s="52" t="inlineStr">
        <is>
          <t>23.32; 46.90; 68.20.29; 41.20; 45.20; 46.73; 47.52.7; 47.52.72; 52.10; 52.29; 56.29; 68.20</t>
        </is>
      </c>
      <c r="K5195" s="53" t="inlineStr">
        <is>
          <t>Да</t>
        </is>
      </c>
      <c r="L5195" s="53" t="inlineStr">
        <is>
          <t>Да</t>
        </is>
      </c>
      <c r="M5195" s="53" t="inlineStr">
        <is>
          <t>До 200</t>
        </is>
      </c>
      <c r="N5195" s="54" t="n">
        <v>62400</v>
      </c>
      <c r="O5195" s="55" t="inlineStr">
        <is>
          <t>101–200</t>
        </is>
      </c>
      <c r="P5195" s="16" t="inlineStr">
        <is>
          <t>ССЧР + ОКВЭД обогащены</t>
        </is>
      </c>
      <c r="Q5195" s="16" t="inlineStr">
        <is>
          <t>ФНС открытые данные ССЧР (ДатаСост 31.12.2025; набор 7707329152-sshr2019)</t>
        </is>
      </c>
      <c r="R5195" s="16" t="inlineStr">
        <is>
          <t>ЕГРЮЛ / egrul.nalog.ru (выписка)</t>
        </is>
      </c>
      <c r="S5195" t="n">
        <v>1</v>
      </c>
      <c r="T5195" s="35" t="inlineStr">
        <is>
          <t>1 — Горячий</t>
        </is>
      </c>
      <c r="U5195" s="35" t="inlineStr">
        <is>
          <t>ОКВЭД + 22+</t>
        </is>
      </c>
      <c r="V5195" s="35" t="inlineStr">
        <is>
          <t>Да</t>
        </is>
      </c>
      <c r="W5195" s="35" t="inlineStr">
        <is>
          <t>Да</t>
        </is>
      </c>
      <c r="X5195" s="35" t="inlineStr">
        <is>
          <t>Да</t>
        </is>
      </c>
    </row>
    <row r="5196" ht="41.25" customHeight="1" s="24">
      <c r="A5196" s="13" t="n">
        <v>804686543</v>
      </c>
      <c r="B5196" s="13" t="inlineStr">
        <is>
          <t>Общество с ограниченной ответственностью "Центр Инновационного Протезирования и Ортопедии "Эталон-Иркутск"</t>
        </is>
      </c>
      <c r="C5196" s="13" t="n">
        <v>3849096690</v>
      </c>
      <c r="D5196" s="13" t="inlineStr">
        <is>
          <t>3849096690</t>
        </is>
      </c>
      <c r="E5196" s="13" t="inlineStr">
        <is>
          <t>ЮЛ РФ</t>
        </is>
      </c>
      <c r="F5196" s="13" t="n"/>
      <c r="G5196" s="52" t="n">
        <v>14</v>
      </c>
      <c r="H5196" s="52" t="n">
        <v>2025</v>
      </c>
      <c r="I5196" s="14" t="n"/>
      <c r="J5196" s="14" t="n"/>
      <c r="K5196" s="53" t="inlineStr">
        <is>
          <t>Нет</t>
        </is>
      </c>
      <c r="L5196" s="53" t="inlineStr">
        <is>
          <t>Не определено</t>
        </is>
      </c>
      <c r="M5196" s="53" t="inlineStr">
        <is>
          <t>До 25</t>
        </is>
      </c>
      <c r="N5196" s="54" t="n">
        <v>8400</v>
      </c>
      <c r="O5196" s="55" t="inlineStr">
        <is>
          <t>1–15</t>
        </is>
      </c>
      <c r="P5196" s="16" t="inlineStr">
        <is>
          <t>ССЧР обогащена; ОКВЭД не найден/не загружен</t>
        </is>
      </c>
      <c r="Q5196" s="16" t="inlineStr">
        <is>
          <t>ФНС открытые данные ССЧР (ДатаСост 31.12.2025; набор 7707329152-sshr2019)</t>
        </is>
      </c>
      <c r="R5196" s="16">
        <f>HYPERLINK("https://checko.ru/search?query=3801001629","Чекко: проверить")</f>
        <v/>
      </c>
      <c r="S5196" t="n">
        <v>1</v>
      </c>
      <c r="T5196" s="35" t="inlineStr">
        <is>
          <t>4 — Не обогащён</t>
        </is>
      </c>
      <c r="U5196" s="35" t="inlineStr">
        <is>
          <t>Нет ОКВЭД/ССЧР</t>
        </is>
      </c>
      <c r="V5196" s="35" t="inlineStr">
        <is>
          <t>Не определено</t>
        </is>
      </c>
      <c r="W5196" s="35" t="inlineStr">
        <is>
          <t>Нет</t>
        </is>
      </c>
      <c r="X5196" s="35" t="inlineStr"/>
    </row>
    <row r="5197" ht="27.75" customHeight="1" s="24">
      <c r="A5197" s="13" t="n">
        <v>802404598</v>
      </c>
      <c r="B5197" s="13" t="inlineStr">
        <is>
          <t>ООО Иркутское зональное предприятие спортивных лотерей "Фарт"</t>
        </is>
      </c>
      <c r="C5197" s="13" t="n">
        <v>3808087424</v>
      </c>
      <c r="D5197" s="13" t="inlineStr">
        <is>
          <t>3808087424</t>
        </is>
      </c>
      <c r="E5197" s="13" t="inlineStr">
        <is>
          <t>ЮЛ РФ</t>
        </is>
      </c>
      <c r="F5197" s="13" t="n"/>
      <c r="G5197" s="52" t="n">
        <v>6</v>
      </c>
      <c r="H5197" s="52" t="n">
        <v>2025</v>
      </c>
      <c r="I5197" s="14" t="n"/>
      <c r="J5197" s="14" t="n"/>
      <c r="K5197" s="53" t="inlineStr">
        <is>
          <t>Нет</t>
        </is>
      </c>
      <c r="L5197" s="53" t="inlineStr">
        <is>
          <t>Не определено</t>
        </is>
      </c>
      <c r="M5197" s="53" t="inlineStr">
        <is>
          <t>До 10</t>
        </is>
      </c>
      <c r="N5197" s="54" t="n">
        <v>3360</v>
      </c>
      <c r="O5197" s="55" t="inlineStr">
        <is>
          <t>1–15</t>
        </is>
      </c>
      <c r="P5197" s="16" t="inlineStr">
        <is>
          <t>ССЧР обогащена; ОКВЭД не найден/не загружен</t>
        </is>
      </c>
      <c r="Q5197" s="16" t="inlineStr">
        <is>
          <t>ФНС открытые данные ССЧР (ДатаСост 31.12.2025; набор 7707329152-sshr2019)</t>
        </is>
      </c>
      <c r="R5197" s="16">
        <f>HYPERLINK("https://checko.ru/search?query=3801001629","Чекко: проверить")</f>
        <v/>
      </c>
      <c r="S5197" t="n">
        <v>1</v>
      </c>
      <c r="T5197" s="35" t="inlineStr">
        <is>
          <t>4 — Не обогащён</t>
        </is>
      </c>
      <c r="U5197" s="35" t="inlineStr">
        <is>
          <t>Нет ОКВЭД/ССЧР</t>
        </is>
      </c>
      <c r="V5197" s="35" t="inlineStr">
        <is>
          <t>Не определено</t>
        </is>
      </c>
      <c r="W5197" s="35" t="inlineStr">
        <is>
          <t>Нет</t>
        </is>
      </c>
      <c r="X5197" s="35" t="inlineStr"/>
    </row>
    <row r="5198" ht="15" customHeight="1" s="24">
      <c r="A5198" s="13" t="n">
        <v>9187285</v>
      </c>
      <c r="B5198" s="13" t="inlineStr">
        <is>
          <t>ООО НТФ "Медиум"</t>
        </is>
      </c>
      <c r="C5198" s="13" t="n">
        <v>3812024226</v>
      </c>
      <c r="D5198" s="13" t="inlineStr">
        <is>
          <t>3812024226</t>
        </is>
      </c>
      <c r="E5198" s="13" t="inlineStr">
        <is>
          <t>ЮЛ РФ</t>
        </is>
      </c>
      <c r="F5198" s="13" t="n"/>
      <c r="G5198" s="52" t="n">
        <v>3</v>
      </c>
      <c r="H5198" s="52" t="n">
        <v>2025</v>
      </c>
      <c r="I5198" s="14" t="n"/>
      <c r="J5198" s="14" t="n"/>
      <c r="K5198" s="53" t="inlineStr">
        <is>
          <t>Нет</t>
        </is>
      </c>
      <c r="L5198" s="53" t="inlineStr">
        <is>
          <t>Не определено</t>
        </is>
      </c>
      <c r="M5198" s="53" t="inlineStr">
        <is>
          <t>До 10</t>
        </is>
      </c>
      <c r="N5198" s="54" t="n">
        <v>3360</v>
      </c>
      <c r="O5198" s="55" t="inlineStr">
        <is>
          <t>1–15</t>
        </is>
      </c>
      <c r="P5198" s="16" t="inlineStr">
        <is>
          <t>ССЧР обогащена; ОКВЭД не найден/не загружен</t>
        </is>
      </c>
      <c r="Q5198" s="16" t="inlineStr">
        <is>
          <t>ФНС открытые данные ССЧР (ДатаСост 31.12.2025; набор 7707329152-sshr2019)</t>
        </is>
      </c>
      <c r="R5198" s="16">
        <f>HYPERLINK("https://checko.ru/search?query=3801001629","Чекко: проверить")</f>
        <v/>
      </c>
      <c r="S5198" t="n">
        <v>1</v>
      </c>
      <c r="T5198" s="35" t="inlineStr">
        <is>
          <t>4 — Не обогащён</t>
        </is>
      </c>
      <c r="U5198" s="35" t="inlineStr">
        <is>
          <t>Нет ОКВЭД/ССЧР</t>
        </is>
      </c>
      <c r="V5198" s="35" t="inlineStr">
        <is>
          <t>Не определено</t>
        </is>
      </c>
      <c r="W5198" s="35" t="inlineStr">
        <is>
          <t>Нет</t>
        </is>
      </c>
      <c r="X5198" s="35" t="inlineStr"/>
    </row>
    <row r="5199" ht="15" customHeight="1" s="24">
      <c r="A5199" s="13" t="n">
        <v>9822237</v>
      </c>
      <c r="B5199" s="13" t="inlineStr">
        <is>
          <t>ООО Деловой центр "Успех"</t>
        </is>
      </c>
      <c r="C5199" s="13" t="n">
        <v>3811038120</v>
      </c>
      <c r="D5199" s="13" t="inlineStr">
        <is>
          <t>3811038120</t>
        </is>
      </c>
      <c r="E5199" s="13" t="inlineStr">
        <is>
          <t>ЮЛ РФ</t>
        </is>
      </c>
      <c r="F5199" s="13" t="n"/>
      <c r="G5199" s="52" t="n">
        <v>1</v>
      </c>
      <c r="H5199" s="52" t="n">
        <v>2025</v>
      </c>
      <c r="I5199" s="14" t="n"/>
      <c r="J5199" s="14" t="n"/>
      <c r="K5199" s="53" t="inlineStr">
        <is>
          <t>Нет</t>
        </is>
      </c>
      <c r="L5199" s="53" t="inlineStr">
        <is>
          <t>Не определено</t>
        </is>
      </c>
      <c r="M5199" s="53" t="inlineStr">
        <is>
          <t>До 10</t>
        </is>
      </c>
      <c r="N5199" s="54" t="n">
        <v>3360</v>
      </c>
      <c r="O5199" s="55" t="inlineStr">
        <is>
          <t>1–15</t>
        </is>
      </c>
      <c r="P5199" s="16" t="inlineStr">
        <is>
          <t>ССЧР обогащена; ОКВЭД не найден/не загружен</t>
        </is>
      </c>
      <c r="Q5199" s="16" t="inlineStr">
        <is>
          <t>ФНС открытые данные ССЧР (ДатаСост 31.12.2025; набор 7707329152-sshr2019)</t>
        </is>
      </c>
      <c r="R5199" s="16">
        <f>HYPERLINK("https://checko.ru/search?query=3801001629","Чекко: проверить")</f>
        <v/>
      </c>
      <c r="S5199" t="n">
        <v>1</v>
      </c>
      <c r="T5199" s="35" t="inlineStr">
        <is>
          <t>4 — Не обогащён</t>
        </is>
      </c>
      <c r="U5199" s="35" t="inlineStr">
        <is>
          <t>Нет ОКВЭД/ССЧР</t>
        </is>
      </c>
      <c r="V5199" s="35" t="inlineStr">
        <is>
          <t>Не определено</t>
        </is>
      </c>
      <c r="W5199" s="35" t="inlineStr">
        <is>
          <t>Нет</t>
        </is>
      </c>
      <c r="X5199" s="35" t="inlineStr"/>
    </row>
    <row r="5200" ht="27.75" customHeight="1" s="24">
      <c r="A5200" s="13" t="n">
        <v>802317356</v>
      </c>
      <c r="B5200" s="13" t="inlineStr">
        <is>
          <t>Общество с ограниченной ответственностью "ОРЁЛ"</t>
        </is>
      </c>
      <c r="C5200" s="13" t="n">
        <v>7500008667</v>
      </c>
      <c r="D5200" s="13" t="inlineStr">
        <is>
          <t>7500008667</t>
        </is>
      </c>
      <c r="E5200" s="13" t="inlineStr">
        <is>
          <t>ЮЛ РФ</t>
        </is>
      </c>
      <c r="F5200" s="13" t="n"/>
      <c r="G5200" s="52" t="n">
        <v>2</v>
      </c>
      <c r="H5200" s="52" t="n">
        <v>2025</v>
      </c>
      <c r="I5200" s="14" t="n"/>
      <c r="J5200" s="14" t="n"/>
      <c r="K5200" s="53" t="inlineStr">
        <is>
          <t>Нет</t>
        </is>
      </c>
      <c r="L5200" s="53" t="inlineStr">
        <is>
          <t>Не определено</t>
        </is>
      </c>
      <c r="M5200" s="53" t="inlineStr">
        <is>
          <t>До 10</t>
        </is>
      </c>
      <c r="N5200" s="54" t="n">
        <v>3360</v>
      </c>
      <c r="O5200" s="55" t="inlineStr">
        <is>
          <t>1–15</t>
        </is>
      </c>
      <c r="P5200" s="16" t="inlineStr">
        <is>
          <t>ССЧР обогащена; ОКВЭД не найден/не загружен</t>
        </is>
      </c>
      <c r="Q5200" s="16" t="inlineStr">
        <is>
          <t>ФНС открытые данные ССЧР (ДатаСост 31.12.2025; набор 7707329152-sshr2019)</t>
        </is>
      </c>
      <c r="R5200" s="16">
        <f>HYPERLINK("https://checko.ru/search?query=3801001629","Чекко: проверить")</f>
        <v/>
      </c>
      <c r="S5200" t="n">
        <v>1</v>
      </c>
      <c r="T5200" s="35" t="inlineStr">
        <is>
          <t>4 — Не обогащён</t>
        </is>
      </c>
      <c r="U5200" s="35" t="inlineStr">
        <is>
          <t>Нет ОКВЭД/ССЧР</t>
        </is>
      </c>
      <c r="V5200" s="35" t="inlineStr">
        <is>
          <t>Не определено</t>
        </is>
      </c>
      <c r="W5200" s="35" t="inlineStr">
        <is>
          <t>Нет</t>
        </is>
      </c>
      <c r="X5200" s="35" t="inlineStr"/>
    </row>
    <row r="5201" ht="54.75" customHeight="1" s="24">
      <c r="A5201" s="13" t="n">
        <v>802413895</v>
      </c>
      <c r="B5201" s="13" t="inlineStr">
        <is>
          <t>ИРКУТСКАЯ ОБЛАСТНАЯ ОРГАНИЗАЦИЯ ОБЩЕРОССИЙСКОЙ ОБЩЕСТВЕННОЙ ОРГАНИЗАЦИИ "ВСЕРОССИЙСКОЕ ОБЩЕСТВО ИНВАЛИДОВ"</t>
        </is>
      </c>
      <c r="C5201" s="13" t="n">
        <v>3808033161</v>
      </c>
      <c r="D5201" s="13" t="inlineStr">
        <is>
          <t>3808033161</t>
        </is>
      </c>
      <c r="E5201" s="13" t="inlineStr">
        <is>
          <t>ЮЛ РФ</t>
        </is>
      </c>
      <c r="F5201" s="13" t="n"/>
      <c r="G5201" s="14" t="n"/>
      <c r="H5201" s="14" t="n"/>
      <c r="I5201" s="14" t="n"/>
      <c r="J5201" s="14" t="n"/>
      <c r="K5201" s="53" t="inlineStr"/>
      <c r="L5201" s="53" t="inlineStr">
        <is>
          <t>Не определено</t>
        </is>
      </c>
      <c r="M5201" s="53" t="inlineStr"/>
      <c r="N5201" s="54" t="inlineStr"/>
      <c r="O5201" s="55" t="inlineStr"/>
      <c r="P5201" s="16" t="inlineStr">
        <is>
          <t>Требует обогащения</t>
        </is>
      </c>
      <c r="Q5201" s="16">
        <f>HYPERLINK("https://pb.nalog.ru/search.html?query=3808033161","ФНС: проверить")</f>
        <v/>
      </c>
      <c r="R5201" s="16">
        <f>HYPERLINK("https://checko.ru/search?query=3801001629","Чекко: проверить")</f>
        <v/>
      </c>
      <c r="S5201" t="n">
        <v>1</v>
      </c>
      <c r="T5201" s="35" t="inlineStr">
        <is>
          <t>4 — Не обогащён</t>
        </is>
      </c>
      <c r="U5201" s="35" t="inlineStr">
        <is>
          <t>Нет ОКВЭД/ССЧР</t>
        </is>
      </c>
      <c r="V5201" s="35" t="inlineStr">
        <is>
          <t>Не определено</t>
        </is>
      </c>
      <c r="W5201" s="35" t="inlineStr"/>
      <c r="X5201" s="35" t="inlineStr"/>
    </row>
    <row r="5202" ht="15" customHeight="1" s="24">
      <c r="A5202" s="13" t="n">
        <v>11158838</v>
      </c>
      <c r="B5202" s="13" t="inlineStr">
        <is>
          <t>ООО "Алко"</t>
        </is>
      </c>
      <c r="C5202" s="13" t="n">
        <v>3818014249</v>
      </c>
      <c r="D5202" s="13" t="inlineStr">
        <is>
          <t>3818014249</t>
        </is>
      </c>
      <c r="E5202" s="13" t="inlineStr">
        <is>
          <t>ЮЛ РФ</t>
        </is>
      </c>
      <c r="F5202" s="13" t="n"/>
      <c r="G5202" s="52" t="n">
        <v>10</v>
      </c>
      <c r="H5202" s="52" t="n">
        <v>2025</v>
      </c>
      <c r="I5202" s="14" t="n"/>
      <c r="J5202" s="14" t="n"/>
      <c r="K5202" s="53" t="inlineStr">
        <is>
          <t>Нет</t>
        </is>
      </c>
      <c r="L5202" s="53" t="inlineStr">
        <is>
          <t>Не определено</t>
        </is>
      </c>
      <c r="M5202" s="53" t="inlineStr">
        <is>
          <t>До 10</t>
        </is>
      </c>
      <c r="N5202" s="54" t="n">
        <v>3360</v>
      </c>
      <c r="O5202" s="55" t="inlineStr">
        <is>
          <t>1–15</t>
        </is>
      </c>
      <c r="P5202" s="16" t="inlineStr">
        <is>
          <t>ССЧР обогащена; ОКВЭД не найден/не загружен</t>
        </is>
      </c>
      <c r="Q5202" s="16" t="inlineStr">
        <is>
          <t>ФНС открытые данные ССЧР (ДатаСост 31.12.2025; набор 7707329152-sshr2019)</t>
        </is>
      </c>
      <c r="R5202" s="16">
        <f>HYPERLINK("https://checko.ru/search?query=3801001629","Чекко: проверить")</f>
        <v/>
      </c>
      <c r="S5202" t="n">
        <v>1</v>
      </c>
      <c r="T5202" s="35" t="inlineStr">
        <is>
          <t>4 — Не обогащён</t>
        </is>
      </c>
      <c r="U5202" s="35" t="inlineStr">
        <is>
          <t>Нет ОКВЭД/ССЧР</t>
        </is>
      </c>
      <c r="V5202" s="35" t="inlineStr">
        <is>
          <t>Не определено</t>
        </is>
      </c>
      <c r="W5202" s="35" t="inlineStr">
        <is>
          <t>Нет</t>
        </is>
      </c>
      <c r="X5202" s="35" t="inlineStr"/>
    </row>
    <row r="5203" ht="15" customHeight="1" s="24">
      <c r="A5203" s="13" t="n">
        <v>9833085</v>
      </c>
      <c r="B5203" s="13" t="inlineStr">
        <is>
          <t>ИП Гладких Татьяна Валерьевна</t>
        </is>
      </c>
      <c r="C5203" s="13" t="n">
        <v>381603679009</v>
      </c>
      <c r="D5203" s="13" t="inlineStr">
        <is>
          <t>381603679009</t>
        </is>
      </c>
      <c r="E5203" s="13" t="inlineStr">
        <is>
          <t>ИП РФ / физлицо</t>
        </is>
      </c>
      <c r="F5203" s="13" t="n"/>
      <c r="G5203" s="14" t="n"/>
      <c r="H5203" s="14" t="n"/>
      <c r="I5203" s="14" t="n"/>
      <c r="J5203" s="14" t="n"/>
      <c r="K5203" s="53" t="inlineStr"/>
      <c r="L5203" s="53" t="inlineStr">
        <is>
          <t>Не определено</t>
        </is>
      </c>
      <c r="M5203" s="53" t="inlineStr"/>
      <c r="N5203" s="54" t="inlineStr"/>
      <c r="O5203" s="55" t="inlineStr"/>
      <c r="P5203" s="16" t="inlineStr">
        <is>
          <t>Требует обогащения</t>
        </is>
      </c>
      <c r="Q5203" s="16">
        <f>HYPERLINK("https://pb.nalog.ru/search.html?query=381603679009","ФНС: проверить")</f>
        <v/>
      </c>
      <c r="R5203" s="16">
        <f>HYPERLINK("https://checko.ru/search?query=3801001629","Чекко: проверить")</f>
        <v/>
      </c>
      <c r="S5203" t="n">
        <v>1</v>
      </c>
      <c r="T5203" s="35" t="inlineStr">
        <is>
          <t>4 — Не обогащён</t>
        </is>
      </c>
      <c r="U5203" s="35" t="inlineStr">
        <is>
          <t>Нет ОКВЭД/ССЧР</t>
        </is>
      </c>
      <c r="V5203" s="35" t="inlineStr">
        <is>
          <t>Не определено</t>
        </is>
      </c>
      <c r="W5203" s="35" t="inlineStr"/>
      <c r="X5203" s="35" t="inlineStr"/>
    </row>
    <row r="5204" ht="15" customHeight="1" s="24">
      <c r="A5204" s="13" t="n">
        <v>800442568</v>
      </c>
      <c r="B5204" s="13" t="inlineStr">
        <is>
          <t>АНО "БИЭЦ"</t>
        </is>
      </c>
      <c r="C5204" s="13" t="n">
        <v>3812152605</v>
      </c>
      <c r="D5204" s="13" t="inlineStr">
        <is>
          <t>3812152605</t>
        </is>
      </c>
      <c r="E5204" s="13" t="inlineStr">
        <is>
          <t>ЮЛ РФ</t>
        </is>
      </c>
      <c r="F5204" s="13" t="n"/>
      <c r="G5204" s="14" t="n"/>
      <c r="H5204" s="14" t="n"/>
      <c r="I5204" s="14" t="n"/>
      <c r="J5204" s="14" t="n"/>
      <c r="K5204" s="53" t="inlineStr"/>
      <c r="L5204" s="53" t="inlineStr">
        <is>
          <t>Не определено</t>
        </is>
      </c>
      <c r="M5204" s="53" t="inlineStr"/>
      <c r="N5204" s="54" t="inlineStr"/>
      <c r="O5204" s="55" t="inlineStr"/>
      <c r="P5204" s="16" t="inlineStr">
        <is>
          <t>Требует обогащения</t>
        </is>
      </c>
      <c r="Q5204" s="16">
        <f>HYPERLINK("https://pb.nalog.ru/search.html?query=3812152605","ФНС: проверить")</f>
        <v/>
      </c>
      <c r="R5204" s="16">
        <f>HYPERLINK("https://checko.ru/search?query=3801001629","Чекко: проверить")</f>
        <v/>
      </c>
      <c r="S5204" t="n">
        <v>1</v>
      </c>
      <c r="T5204" s="35" t="inlineStr">
        <is>
          <t>4 — Не обогащён</t>
        </is>
      </c>
      <c r="U5204" s="35" t="inlineStr">
        <is>
          <t>Нет ОКВЭД/ССЧР</t>
        </is>
      </c>
      <c r="V5204" s="35" t="inlineStr">
        <is>
          <t>Не определено</t>
        </is>
      </c>
      <c r="W5204" s="35" t="inlineStr"/>
      <c r="X5204" s="35" t="inlineStr"/>
    </row>
    <row r="5205" ht="15" customHeight="1" s="24">
      <c r="A5205" s="13" t="n">
        <v>800435868</v>
      </c>
      <c r="B5205" s="13" t="inlineStr">
        <is>
          <t>ИП Качнов Александр Юрьевич</t>
        </is>
      </c>
      <c r="C5205" s="13" t="n">
        <v>380504765689</v>
      </c>
      <c r="D5205" s="13" t="inlineStr">
        <is>
          <t>380504765689</t>
        </is>
      </c>
      <c r="E5205" s="13" t="inlineStr">
        <is>
          <t>ИП РФ / физлицо</t>
        </is>
      </c>
      <c r="F5205" s="13" t="n"/>
      <c r="G5205" s="14" t="n"/>
      <c r="H5205" s="14" t="n"/>
      <c r="I5205" s="14" t="n"/>
      <c r="J5205" s="14" t="n"/>
      <c r="K5205" s="53" t="inlineStr"/>
      <c r="L5205" s="53" t="inlineStr">
        <is>
          <t>Не определено</t>
        </is>
      </c>
      <c r="M5205" s="53" t="inlineStr"/>
      <c r="N5205" s="54" t="inlineStr"/>
      <c r="O5205" s="55" t="inlineStr"/>
      <c r="P5205" s="16" t="inlineStr">
        <is>
          <t>Требует обогащения</t>
        </is>
      </c>
      <c r="Q5205" s="16">
        <f>HYPERLINK("https://pb.nalog.ru/search.html?query=380504765689","ФНС: проверить")</f>
        <v/>
      </c>
      <c r="R5205" s="16">
        <f>HYPERLINK("https://checko.ru/search?query=3801001629","Чекко: проверить")</f>
        <v/>
      </c>
      <c r="S5205" t="n">
        <v>1</v>
      </c>
      <c r="T5205" s="35" t="inlineStr">
        <is>
          <t>4 — Не обогащён</t>
        </is>
      </c>
      <c r="U5205" s="35" t="inlineStr">
        <is>
          <t>Нет ОКВЭД/ССЧР</t>
        </is>
      </c>
      <c r="V5205" s="35" t="inlineStr">
        <is>
          <t>Не определено</t>
        </is>
      </c>
      <c r="W5205" s="35" t="inlineStr"/>
      <c r="X5205" s="35" t="inlineStr"/>
    </row>
    <row r="5206" ht="15" customHeight="1" s="24">
      <c r="A5206" s="13" t="n">
        <v>802401141</v>
      </c>
      <c r="B5206" s="13" t="inlineStr">
        <is>
          <t>ТЕПЛОВОД ООО</t>
        </is>
      </c>
      <c r="C5206" s="13" t="n">
        <v>3812161293</v>
      </c>
      <c r="D5206" s="13" t="inlineStr">
        <is>
          <t>3812161293</t>
        </is>
      </c>
      <c r="E5206" s="13" t="inlineStr">
        <is>
          <t>ЮЛ РФ</t>
        </is>
      </c>
      <c r="F5206" s="13" t="n"/>
      <c r="G5206" s="52" t="n">
        <v>107</v>
      </c>
      <c r="H5206" s="52" t="n">
        <v>2025</v>
      </c>
      <c r="I5206" s="52" t="inlineStr">
        <is>
          <t>35.30.14</t>
        </is>
      </c>
      <c r="J5206" s="52" t="inlineStr">
        <is>
          <t>35.30.14; 35.11; 35.11.1; 35.13; 35.14; 35.30; 35.30.2; 36.00; 36.00.2; 37.00; 43.21; 43.22; 43.29; 43.99; 43.99.1; 50.30; 52.10; 52.21.2; 52.22.2; 52.24; 52.29; 77.32; 82.99</t>
        </is>
      </c>
      <c r="K5206" s="53" t="inlineStr">
        <is>
          <t>Да</t>
        </is>
      </c>
      <c r="L5206" s="53" t="inlineStr">
        <is>
          <t>Да</t>
        </is>
      </c>
      <c r="M5206" s="53" t="inlineStr">
        <is>
          <t>До 200</t>
        </is>
      </c>
      <c r="N5206" s="54" t="n">
        <v>62400</v>
      </c>
      <c r="O5206" s="55" t="inlineStr">
        <is>
          <t>101–200</t>
        </is>
      </c>
      <c r="P5206" s="16" t="inlineStr">
        <is>
          <t>ССЧР + ОКВЭД обогащены</t>
        </is>
      </c>
      <c r="Q5206" s="16" t="inlineStr">
        <is>
          <t>ФНС открытые данные ССЧР (ДатаСост 31.12.2025; набор 7707329152-sshr2019)</t>
        </is>
      </c>
      <c r="R5206" s="16" t="inlineStr">
        <is>
          <t>ЕГРЮЛ / egrul.nalog.ru (выписка)</t>
        </is>
      </c>
      <c r="S5206" t="n">
        <v>1</v>
      </c>
      <c r="T5206" s="35" t="inlineStr">
        <is>
          <t>1 — Горячий</t>
        </is>
      </c>
      <c r="U5206" s="35" t="inlineStr">
        <is>
          <t>ОКВЭД + 22+</t>
        </is>
      </c>
      <c r="V5206" s="35" t="inlineStr">
        <is>
          <t>Да</t>
        </is>
      </c>
      <c r="W5206" s="35" t="inlineStr">
        <is>
          <t>Да</t>
        </is>
      </c>
      <c r="X5206" s="35" t="inlineStr">
        <is>
          <t>Да</t>
        </is>
      </c>
    </row>
    <row r="5207" ht="27.75" customHeight="1" s="24">
      <c r="A5207" s="13" t="n">
        <v>801613282</v>
      </c>
      <c r="B5207" s="13" t="inlineStr">
        <is>
          <t>Общество с ограниченной ответственностью "САРМА-2000"</t>
        </is>
      </c>
      <c r="C5207" s="13" t="n">
        <v>3811009592</v>
      </c>
      <c r="D5207" s="13" t="inlineStr">
        <is>
          <t>3811009592</t>
        </is>
      </c>
      <c r="E5207" s="13" t="inlineStr">
        <is>
          <t>ЮЛ РФ</t>
        </is>
      </c>
      <c r="F5207" s="13" t="n"/>
      <c r="G5207" s="52" t="n">
        <v>0</v>
      </c>
      <c r="H5207" s="52" t="n">
        <v>2025</v>
      </c>
      <c r="I5207" s="14" t="n"/>
      <c r="J5207" s="14" t="n"/>
      <c r="K5207" s="53" t="inlineStr">
        <is>
          <t>Нет</t>
        </is>
      </c>
      <c r="L5207" s="53" t="inlineStr">
        <is>
          <t>Не определено</t>
        </is>
      </c>
      <c r="M5207" s="53" t="inlineStr">
        <is>
          <t>До 10</t>
        </is>
      </c>
      <c r="N5207" s="54" t="n">
        <v>3360</v>
      </c>
      <c r="O5207" s="55" t="inlineStr">
        <is>
          <t>1–15</t>
        </is>
      </c>
      <c r="P5207" s="16" t="inlineStr">
        <is>
          <t>ССЧР обогащена; ОКВЭД не найден/не загружен</t>
        </is>
      </c>
      <c r="Q5207" s="16" t="inlineStr">
        <is>
          <t>ФНС открытые данные ССЧР (ДатаСост 31.12.2025; набор 7707329152-sshr2019)</t>
        </is>
      </c>
      <c r="R5207" s="16">
        <f>HYPERLINK("https://checko.ru/search?query=3801001629","Чекко: проверить")</f>
        <v/>
      </c>
      <c r="S5207" t="n">
        <v>1</v>
      </c>
      <c r="T5207" s="35" t="inlineStr">
        <is>
          <t>4 — Не обогащён</t>
        </is>
      </c>
      <c r="U5207" s="35" t="inlineStr">
        <is>
          <t>Нет ОКВЭД/ССЧР</t>
        </is>
      </c>
      <c r="V5207" s="35" t="inlineStr">
        <is>
          <t>Не определено</t>
        </is>
      </c>
      <c r="W5207" s="35" t="inlineStr">
        <is>
          <t>Нет</t>
        </is>
      </c>
      <c r="X5207" s="35" t="inlineStr"/>
    </row>
    <row r="5208" ht="15" customHeight="1" s="24">
      <c r="A5208" s="13" t="n">
        <v>800781590</v>
      </c>
      <c r="B5208" s="13" t="inlineStr">
        <is>
          <t>ИП Половинкин Иван Геннадьевич</t>
        </is>
      </c>
      <c r="C5208" s="13" t="n">
        <v>382305944655</v>
      </c>
      <c r="D5208" s="13" t="inlineStr">
        <is>
          <t>382305944655</t>
        </is>
      </c>
      <c r="E5208" s="13" t="inlineStr">
        <is>
          <t>ИП РФ / физлицо</t>
        </is>
      </c>
      <c r="F5208" s="13" t="n"/>
      <c r="G5208" s="14" t="n"/>
      <c r="H5208" s="14" t="n"/>
      <c r="I5208" s="14" t="n"/>
      <c r="J5208" s="14" t="n"/>
      <c r="K5208" s="53" t="inlineStr"/>
      <c r="L5208" s="53" t="inlineStr">
        <is>
          <t>Не определено</t>
        </is>
      </c>
      <c r="M5208" s="53" t="inlineStr"/>
      <c r="N5208" s="54" t="inlineStr"/>
      <c r="O5208" s="55" t="inlineStr"/>
      <c r="P5208" s="16" t="inlineStr">
        <is>
          <t>Требует обогащения</t>
        </is>
      </c>
      <c r="Q5208" s="16">
        <f>HYPERLINK("https://pb.nalog.ru/search.html?query=382305944655","ФНС: проверить")</f>
        <v/>
      </c>
      <c r="R5208" s="16">
        <f>HYPERLINK("https://checko.ru/search?query=3801001629","Чекко: проверить")</f>
        <v/>
      </c>
      <c r="S5208" t="n">
        <v>1</v>
      </c>
      <c r="T5208" s="35" t="inlineStr">
        <is>
          <t>4 — Не обогащён</t>
        </is>
      </c>
      <c r="U5208" s="35" t="inlineStr">
        <is>
          <t>Нет ОКВЭД/ССЧР</t>
        </is>
      </c>
      <c r="V5208" s="35" t="inlineStr">
        <is>
          <t>Не определено</t>
        </is>
      </c>
      <c r="W5208" s="35" t="inlineStr"/>
      <c r="X5208" s="35" t="inlineStr"/>
    </row>
    <row r="5209" ht="15" customHeight="1" s="24">
      <c r="A5209" s="13" t="n">
        <v>800613945</v>
      </c>
      <c r="B5209" s="13" t="inlineStr">
        <is>
          <t>ООО "ЗВИ"</t>
        </is>
      </c>
      <c r="C5209" s="13" t="n">
        <v>3808290546</v>
      </c>
      <c r="D5209" s="13" t="inlineStr">
        <is>
          <t>3808290546</t>
        </is>
      </c>
      <c r="E5209" s="13" t="inlineStr">
        <is>
          <t>ЮЛ РФ</t>
        </is>
      </c>
      <c r="F5209" s="13" t="n"/>
      <c r="G5209" s="52" t="n">
        <v>0</v>
      </c>
      <c r="H5209" s="52" t="n">
        <v>2025</v>
      </c>
      <c r="I5209" s="14" t="n"/>
      <c r="J5209" s="14" t="n"/>
      <c r="K5209" s="53" t="inlineStr">
        <is>
          <t>Нет</t>
        </is>
      </c>
      <c r="L5209" s="53" t="inlineStr">
        <is>
          <t>Не определено</t>
        </is>
      </c>
      <c r="M5209" s="53" t="inlineStr">
        <is>
          <t>До 10</t>
        </is>
      </c>
      <c r="N5209" s="54" t="n">
        <v>3360</v>
      </c>
      <c r="O5209" s="55" t="inlineStr">
        <is>
          <t>1–15</t>
        </is>
      </c>
      <c r="P5209" s="16" t="inlineStr">
        <is>
          <t>ССЧР обогащена; ОКВЭД не найден/не загружен</t>
        </is>
      </c>
      <c r="Q5209" s="16" t="inlineStr">
        <is>
          <t>ФНС открытые данные ССЧР (ДатаСост 31.12.2025; набор 7707329152-sshr2019)</t>
        </is>
      </c>
      <c r="R5209" s="16">
        <f>HYPERLINK("https://checko.ru/search?query=3801001629","Чекко: проверить")</f>
        <v/>
      </c>
      <c r="S5209" t="n">
        <v>1</v>
      </c>
      <c r="T5209" s="35" t="inlineStr">
        <is>
          <t>4 — Не обогащён</t>
        </is>
      </c>
      <c r="U5209" s="35" t="inlineStr">
        <is>
          <t>Нет ОКВЭД/ССЧР</t>
        </is>
      </c>
      <c r="V5209" s="35" t="inlineStr">
        <is>
          <t>Не определено</t>
        </is>
      </c>
      <c r="W5209" s="35" t="inlineStr">
        <is>
          <t>Нет</t>
        </is>
      </c>
      <c r="X5209" s="35" t="inlineStr"/>
    </row>
    <row r="5210" ht="15" customHeight="1" s="24">
      <c r="A5210" s="13" t="n">
        <v>804669559</v>
      </c>
      <c r="B5210" s="13" t="inlineStr">
        <is>
          <t>ООО "НИМФА"</t>
        </is>
      </c>
      <c r="C5210" s="13" t="n">
        <v>5405039453</v>
      </c>
      <c r="D5210" s="13" t="inlineStr">
        <is>
          <t>5405039453</t>
        </is>
      </c>
      <c r="E5210" s="13" t="inlineStr">
        <is>
          <t>ЮЛ РФ</t>
        </is>
      </c>
      <c r="F5210" s="13" t="n"/>
      <c r="G5210" s="52" t="n">
        <v>78</v>
      </c>
      <c r="H5210" s="52" t="n">
        <v>2025</v>
      </c>
      <c r="I5210" s="52" t="inlineStr">
        <is>
          <t>10.85</t>
        </is>
      </c>
      <c r="J5210" s="52" t="inlineStr">
        <is>
          <t>10.85; 10.89; 10.89.1; 10.89.5; 10.89.6; 10.89.7; 10.89.8; 10.89.9; 15.20; 46.31; 46.31.11; 46.32; 46.32.3; 46.33; 46.34; 46.36; 46.37; 46.38; 46.90; 47.21; 47.22; 47.23; 47.24; 47.25; 47.29; 47.99; 53.20.3; 56.29</t>
        </is>
      </c>
      <c r="K5210" s="53" t="inlineStr">
        <is>
          <t>Да</t>
        </is>
      </c>
      <c r="L5210" s="53" t="inlineStr">
        <is>
          <t>Да</t>
        </is>
      </c>
      <c r="M5210" s="53" t="inlineStr">
        <is>
          <t>До 100</t>
        </is>
      </c>
      <c r="N5210" s="54" t="n">
        <v>33600</v>
      </c>
      <c r="O5210" s="55" t="inlineStr">
        <is>
          <t>51–100</t>
        </is>
      </c>
      <c r="P5210" s="16" t="inlineStr">
        <is>
          <t>ССЧР + ОКВЭД обогащены</t>
        </is>
      </c>
      <c r="Q5210" s="16" t="inlineStr">
        <is>
          <t>ФНС открытые данные ССЧР (ДатаСост 31.12.2025; набор 7707329152-sshr2019)</t>
        </is>
      </c>
      <c r="R5210" s="16" t="inlineStr">
        <is>
          <t>ЕГРЮЛ / egrul.nalog.ru (выписка)</t>
        </is>
      </c>
      <c r="S5210" t="n">
        <v>1</v>
      </c>
      <c r="T5210" s="35" t="inlineStr">
        <is>
          <t>1 — Горячий</t>
        </is>
      </c>
      <c r="U5210" s="35" t="inlineStr">
        <is>
          <t>ОКВЭД + 22+</t>
        </is>
      </c>
      <c r="V5210" s="35" t="inlineStr">
        <is>
          <t>Да</t>
        </is>
      </c>
      <c r="W5210" s="35" t="inlineStr">
        <is>
          <t>Да</t>
        </is>
      </c>
      <c r="X5210" s="35" t="inlineStr">
        <is>
          <t>Да</t>
        </is>
      </c>
    </row>
    <row r="5211" ht="15" customHeight="1" s="24">
      <c r="A5211" s="13" t="n">
        <v>13613372</v>
      </c>
      <c r="B5211" s="13" t="inlineStr">
        <is>
          <t>ООО "УК "ЛЮБИМЫЙ ДОМ"</t>
        </is>
      </c>
      <c r="C5211" s="13" t="n">
        <v>3812988397</v>
      </c>
      <c r="D5211" s="13" t="inlineStr">
        <is>
          <t>3812988397</t>
        </is>
      </c>
      <c r="E5211" s="13" t="inlineStr">
        <is>
          <t>ЮЛ РФ</t>
        </is>
      </c>
      <c r="F5211" s="13" t="n"/>
      <c r="G5211" s="52" t="n">
        <v>9</v>
      </c>
      <c r="H5211" s="52" t="n">
        <v>2025</v>
      </c>
      <c r="I5211" s="14" t="n"/>
      <c r="J5211" s="14" t="n"/>
      <c r="K5211" s="53" t="inlineStr">
        <is>
          <t>Нет</t>
        </is>
      </c>
      <c r="L5211" s="53" t="inlineStr">
        <is>
          <t>Не определено</t>
        </is>
      </c>
      <c r="M5211" s="53" t="inlineStr">
        <is>
          <t>До 10</t>
        </is>
      </c>
      <c r="N5211" s="54" t="n">
        <v>3360</v>
      </c>
      <c r="O5211" s="55" t="inlineStr">
        <is>
          <t>1–15</t>
        </is>
      </c>
      <c r="P5211" s="16" t="inlineStr">
        <is>
          <t>ССЧР обогащена; ОКВЭД не найден/не загружен</t>
        </is>
      </c>
      <c r="Q5211" s="16" t="inlineStr">
        <is>
          <t>ФНС открытые данные ССЧР (ДатаСост 31.12.2025; набор 7707329152-sshr2019)</t>
        </is>
      </c>
      <c r="R5211" s="16">
        <f>HYPERLINK("https://checko.ru/search?query=3801001629","Чекко: проверить")</f>
        <v/>
      </c>
      <c r="S5211" t="n">
        <v>1</v>
      </c>
      <c r="T5211" s="35" t="inlineStr">
        <is>
          <t>4 — Не обогащён</t>
        </is>
      </c>
      <c r="U5211" s="35" t="inlineStr">
        <is>
          <t>Нет ОКВЭД/ССЧР</t>
        </is>
      </c>
      <c r="V5211" s="35" t="inlineStr">
        <is>
          <t>Не определено</t>
        </is>
      </c>
      <c r="W5211" s="35" t="inlineStr">
        <is>
          <t>Нет</t>
        </is>
      </c>
      <c r="X5211" s="35" t="inlineStr"/>
    </row>
    <row r="5212" ht="15" customHeight="1" s="24">
      <c r="A5212" s="13" t="n">
        <v>9816080</v>
      </c>
      <c r="B5212" s="13" t="inlineStr">
        <is>
          <t>ООО "АвтоРесурс"</t>
        </is>
      </c>
      <c r="C5212" s="13" t="n">
        <v>3849019906</v>
      </c>
      <c r="D5212" s="13" t="inlineStr">
        <is>
          <t>3849019906</t>
        </is>
      </c>
      <c r="E5212" s="13" t="inlineStr">
        <is>
          <t>ЮЛ РФ</t>
        </is>
      </c>
      <c r="F5212" s="13" t="n"/>
      <c r="G5212" s="52" t="n">
        <v>2</v>
      </c>
      <c r="H5212" s="52" t="n">
        <v>2025</v>
      </c>
      <c r="I5212" s="14" t="n"/>
      <c r="J5212" s="14" t="n"/>
      <c r="K5212" s="53" t="inlineStr">
        <is>
          <t>Нет</t>
        </is>
      </c>
      <c r="L5212" s="53" t="inlineStr">
        <is>
          <t>Не определено</t>
        </is>
      </c>
      <c r="M5212" s="53" t="inlineStr">
        <is>
          <t>До 10</t>
        </is>
      </c>
      <c r="N5212" s="54" t="n">
        <v>3360</v>
      </c>
      <c r="O5212" s="55" t="inlineStr">
        <is>
          <t>1–15</t>
        </is>
      </c>
      <c r="P5212" s="16" t="inlineStr">
        <is>
          <t>ССЧР обогащена; ОКВЭД не найден/не загружен</t>
        </is>
      </c>
      <c r="Q5212" s="16" t="inlineStr">
        <is>
          <t>ФНС открытые данные ССЧР (ДатаСост 31.12.2025; набор 7707329152-sshr2019)</t>
        </is>
      </c>
      <c r="R5212" s="16">
        <f>HYPERLINK("https://checko.ru/search?query=3801001629","Чекко: проверить")</f>
        <v/>
      </c>
      <c r="S5212" t="n">
        <v>1</v>
      </c>
      <c r="T5212" s="35" t="inlineStr">
        <is>
          <t>4 — Не обогащён</t>
        </is>
      </c>
      <c r="U5212" s="35" t="inlineStr">
        <is>
          <t>Нет ОКВЭД/ССЧР</t>
        </is>
      </c>
      <c r="V5212" s="35" t="inlineStr">
        <is>
          <t>Не определено</t>
        </is>
      </c>
      <c r="W5212" s="35" t="inlineStr">
        <is>
          <t>Нет</t>
        </is>
      </c>
      <c r="X5212" s="35" t="inlineStr"/>
    </row>
    <row r="5213" ht="15" customHeight="1" s="24">
      <c r="A5213" s="13" t="n">
        <v>9183600</v>
      </c>
      <c r="B5213" s="13" t="inlineStr">
        <is>
          <t>ИП Сергеев Вячеслав Яковлевич</t>
        </is>
      </c>
      <c r="C5213" s="13" t="n">
        <v>381200755874</v>
      </c>
      <c r="D5213" s="13" t="inlineStr">
        <is>
          <t>381200755874</t>
        </is>
      </c>
      <c r="E5213" s="13" t="inlineStr">
        <is>
          <t>ИП РФ / физлицо</t>
        </is>
      </c>
      <c r="F5213" s="13" t="n"/>
      <c r="G5213" s="14" t="n"/>
      <c r="H5213" s="14" t="n"/>
      <c r="I5213" s="14" t="n"/>
      <c r="J5213" s="14" t="n"/>
      <c r="K5213" s="53" t="inlineStr"/>
      <c r="L5213" s="53" t="inlineStr">
        <is>
          <t>Не определено</t>
        </is>
      </c>
      <c r="M5213" s="53" t="inlineStr"/>
      <c r="N5213" s="54" t="inlineStr"/>
      <c r="O5213" s="55" t="inlineStr"/>
      <c r="P5213" s="16" t="inlineStr">
        <is>
          <t>Требует обогащения</t>
        </is>
      </c>
      <c r="Q5213" s="16">
        <f>HYPERLINK("https://pb.nalog.ru/search.html?query=381200755874","ФНС: проверить")</f>
        <v/>
      </c>
      <c r="R5213" s="16">
        <f>HYPERLINK("https://checko.ru/search?query=3801001629","Чекко: проверить")</f>
        <v/>
      </c>
      <c r="S5213" t="n">
        <v>1</v>
      </c>
      <c r="T5213" s="35" t="inlineStr">
        <is>
          <t>4 — Не обогащён</t>
        </is>
      </c>
      <c r="U5213" s="35" t="inlineStr">
        <is>
          <t>Нет ОКВЭД/ССЧР</t>
        </is>
      </c>
      <c r="V5213" s="35" t="inlineStr">
        <is>
          <t>Не определено</t>
        </is>
      </c>
      <c r="W5213" s="35" t="inlineStr"/>
      <c r="X5213" s="35" t="inlineStr"/>
    </row>
    <row r="5214" ht="27.75" customHeight="1" s="24">
      <c r="A5214" s="13" t="n">
        <v>802412666</v>
      </c>
      <c r="B5214" s="13" t="inlineStr">
        <is>
          <t>Общество с ограниченной ответственностью "ИНФОСТРОЙ"</t>
        </is>
      </c>
      <c r="C5214" s="13" t="n">
        <v>3811452395</v>
      </c>
      <c r="D5214" s="13" t="inlineStr">
        <is>
          <t>3811452395</t>
        </is>
      </c>
      <c r="E5214" s="13" t="inlineStr">
        <is>
          <t>ЮЛ РФ</t>
        </is>
      </c>
      <c r="F5214" s="13" t="n"/>
      <c r="G5214" s="52" t="n">
        <v>46</v>
      </c>
      <c r="H5214" s="52" t="n">
        <v>2025</v>
      </c>
      <c r="I5214" s="52" t="inlineStr">
        <is>
          <t>41.20</t>
        </is>
      </c>
      <c r="J5214" s="52" t="inlineStr">
        <is>
          <t>41.20; 25.99; 43.12; 43.21; 43.22; 43.29; 43.31; 43.32; 43.33; 43.34; 43.39; 47.52; 49.41; 49.42; 52.24; 52.29; 62.09; 63.11; 68.10; 68.20; 68.31; 68.32; 71.11</t>
        </is>
      </c>
      <c r="K5214" s="53" t="inlineStr">
        <is>
          <t>Да</t>
        </is>
      </c>
      <c r="L5214" s="53" t="inlineStr">
        <is>
          <t>Да</t>
        </is>
      </c>
      <c r="M5214" s="53" t="inlineStr">
        <is>
          <t>До 50</t>
        </is>
      </c>
      <c r="N5214" s="54" t="n">
        <v>16800</v>
      </c>
      <c r="O5214" s="55" t="inlineStr">
        <is>
          <t>31–50</t>
        </is>
      </c>
      <c r="P5214" s="16" t="inlineStr">
        <is>
          <t>ССЧР + ОКВЭД обогащены</t>
        </is>
      </c>
      <c r="Q5214" s="16" t="inlineStr">
        <is>
          <t>ФНС открытые данные ССЧР (ДатаСост 31.12.2025; набор 7707329152-sshr2019)</t>
        </is>
      </c>
      <c r="R5214" s="16" t="inlineStr">
        <is>
          <t>ЕГРЮЛ / egrul.nalog.ru (выписка)</t>
        </is>
      </c>
      <c r="S5214" t="n">
        <v>1</v>
      </c>
      <c r="T5214" s="35" t="inlineStr">
        <is>
          <t>1 — Горячий</t>
        </is>
      </c>
      <c r="U5214" s="35" t="inlineStr">
        <is>
          <t>ОКВЭД + 22+</t>
        </is>
      </c>
      <c r="V5214" s="35" t="inlineStr">
        <is>
          <t>Да</t>
        </is>
      </c>
      <c r="W5214" s="35" t="inlineStr">
        <is>
          <t>Да</t>
        </is>
      </c>
      <c r="X5214" s="35" t="inlineStr">
        <is>
          <t>Да</t>
        </is>
      </c>
    </row>
    <row r="5215" ht="15" customHeight="1" s="24">
      <c r="A5215" s="13" t="n">
        <v>804709571</v>
      </c>
      <c r="B5215" s="13" t="inlineStr">
        <is>
          <t>ООО "Сибирская Фактория"</t>
        </is>
      </c>
      <c r="C5215" s="13" t="n">
        <v>3813001736</v>
      </c>
      <c r="D5215" s="13" t="inlineStr">
        <is>
          <t>3813001736</t>
        </is>
      </c>
      <c r="E5215" s="13" t="inlineStr">
        <is>
          <t>ЮЛ РФ</t>
        </is>
      </c>
      <c r="F5215" s="13" t="n"/>
      <c r="G5215" s="52" t="n">
        <v>16</v>
      </c>
      <c r="H5215" s="52" t="n">
        <v>2025</v>
      </c>
      <c r="I5215" s="14" t="n"/>
      <c r="J5215" s="14" t="n"/>
      <c r="K5215" s="53" t="inlineStr">
        <is>
          <t>Нет</t>
        </is>
      </c>
      <c r="L5215" s="53" t="inlineStr">
        <is>
          <t>Не определено</t>
        </is>
      </c>
      <c r="M5215" s="53" t="inlineStr">
        <is>
          <t>До 25</t>
        </is>
      </c>
      <c r="N5215" s="54" t="n">
        <v>8400</v>
      </c>
      <c r="O5215" s="55" t="inlineStr">
        <is>
          <t>16–30</t>
        </is>
      </c>
      <c r="P5215" s="16" t="inlineStr">
        <is>
          <t>ССЧР обогащена; ОКВЭД не найден/не загружен</t>
        </is>
      </c>
      <c r="Q5215" s="16" t="inlineStr">
        <is>
          <t>ФНС открытые данные ССЧР (ДатаСост 31.12.2025; набор 7707329152-sshr2019)</t>
        </is>
      </c>
      <c r="R5215" s="16">
        <f>HYPERLINK("https://checko.ru/search?query=3801001629","Чекко: проверить")</f>
        <v/>
      </c>
      <c r="S5215" t="n">
        <v>1</v>
      </c>
      <c r="T5215" s="35" t="inlineStr">
        <is>
          <t>4 — Не обогащён</t>
        </is>
      </c>
      <c r="U5215" s="35" t="inlineStr">
        <is>
          <t>Нет ОКВЭД/ССЧР</t>
        </is>
      </c>
      <c r="V5215" s="35" t="inlineStr">
        <is>
          <t>Не определено</t>
        </is>
      </c>
      <c r="W5215" s="35" t="inlineStr">
        <is>
          <t>Нет</t>
        </is>
      </c>
      <c r="X5215" s="35" t="inlineStr"/>
    </row>
    <row r="5216" ht="27.75" customHeight="1" s="24">
      <c r="A5216" s="13" t="n">
        <v>802457828</v>
      </c>
      <c r="B5216" s="13" t="inlineStr">
        <is>
          <t>ОБЩЕСТВО С ОГРАНИЧЕННОЙ ОТВЕТСТВЕННОСТЬЮ "СТАНДАРТ А"</t>
        </is>
      </c>
      <c r="C5216" s="13" t="n">
        <v>3808273861</v>
      </c>
      <c r="D5216" s="13" t="inlineStr">
        <is>
          <t>3808273861</t>
        </is>
      </c>
      <c r="E5216" s="13" t="inlineStr">
        <is>
          <t>ЮЛ РФ</t>
        </is>
      </c>
      <c r="F5216" s="13" t="n"/>
      <c r="G5216" s="52" t="n">
        <v>41</v>
      </c>
      <c r="H5216" s="52" t="n">
        <v>2025</v>
      </c>
      <c r="I5216" s="52" t="inlineStr">
        <is>
          <t>93.29.9</t>
        </is>
      </c>
      <c r="J5216" s="52" t="inlineStr">
        <is>
          <t>93.29.9; 47.11; 47.19; 47.24.3; 47.24.22; 47.25.2; 47.65; 56.10; 56.30; 68.20; 68.31.2; 73.11; 74.20; 93.11; 93.12; 93.13; 93.21; 93.29</t>
        </is>
      </c>
      <c r="K5216" s="53" t="inlineStr">
        <is>
          <t>Да</t>
        </is>
      </c>
      <c r="L5216" s="53" t="inlineStr">
        <is>
          <t>Да</t>
        </is>
      </c>
      <c r="M5216" s="53" t="inlineStr">
        <is>
          <t>До 50</t>
        </is>
      </c>
      <c r="N5216" s="54" t="n">
        <v>16800</v>
      </c>
      <c r="O5216" s="55" t="inlineStr">
        <is>
          <t>31–50</t>
        </is>
      </c>
      <c r="P5216" s="16" t="inlineStr">
        <is>
          <t>ССЧР + ОКВЭД обогащены</t>
        </is>
      </c>
      <c r="Q5216" s="16" t="inlineStr">
        <is>
          <t>ФНС открытые данные ССЧР (ДатаСост 31.12.2025; набор 7707329152-sshr2019)</t>
        </is>
      </c>
      <c r="R5216" s="16" t="inlineStr">
        <is>
          <t>ЕГРЮЛ / egrul.nalog.ru (выписка)</t>
        </is>
      </c>
      <c r="S5216" t="n">
        <v>1</v>
      </c>
      <c r="T5216" s="35" t="inlineStr">
        <is>
          <t>1 — Горячий</t>
        </is>
      </c>
      <c r="U5216" s="35" t="inlineStr">
        <is>
          <t>ОКВЭД + 22+</t>
        </is>
      </c>
      <c r="V5216" s="35" t="inlineStr">
        <is>
          <t>Да</t>
        </is>
      </c>
      <c r="W5216" s="35" t="inlineStr">
        <is>
          <t>Да</t>
        </is>
      </c>
      <c r="X5216" s="35" t="inlineStr">
        <is>
          <t>Да</t>
        </is>
      </c>
    </row>
    <row r="5217" ht="15" customHeight="1" s="24">
      <c r="A5217" s="13" t="n">
        <v>804709987</v>
      </c>
      <c r="B5217" s="13" t="inlineStr">
        <is>
          <t>РИК ООО</t>
        </is>
      </c>
      <c r="C5217" s="13" t="n">
        <v>2536330212</v>
      </c>
      <c r="D5217" s="13" t="inlineStr">
        <is>
          <t>2536330212</t>
        </is>
      </c>
      <c r="E5217" s="13" t="inlineStr">
        <is>
          <t>ЮЛ РФ</t>
        </is>
      </c>
      <c r="F5217" s="13" t="n"/>
      <c r="G5217" s="52" t="n">
        <v>4</v>
      </c>
      <c r="H5217" s="52" t="n">
        <v>2025</v>
      </c>
      <c r="I5217" s="14" t="n"/>
      <c r="J5217" s="14" t="n"/>
      <c r="K5217" s="53" t="inlineStr">
        <is>
          <t>Нет</t>
        </is>
      </c>
      <c r="L5217" s="53" t="inlineStr">
        <is>
          <t>Не определено</t>
        </is>
      </c>
      <c r="M5217" s="53" t="inlineStr">
        <is>
          <t>До 10</t>
        </is>
      </c>
      <c r="N5217" s="54" t="n">
        <v>3360</v>
      </c>
      <c r="O5217" s="55" t="inlineStr">
        <is>
          <t>1–15</t>
        </is>
      </c>
      <c r="P5217" s="16" t="inlineStr">
        <is>
          <t>ССЧР обогащена; ОКВЭД не найден/не загружен</t>
        </is>
      </c>
      <c r="Q5217" s="16" t="inlineStr">
        <is>
          <t>ФНС открытые данные ССЧР (ДатаСост 31.12.2025; набор 7707329152-sshr2019)</t>
        </is>
      </c>
      <c r="R5217" s="16">
        <f>HYPERLINK("https://checko.ru/search?query=3801001629","Чекко: проверить")</f>
        <v/>
      </c>
      <c r="S5217" t="n">
        <v>1</v>
      </c>
      <c r="T5217" s="35" t="inlineStr">
        <is>
          <t>4 — Не обогащён</t>
        </is>
      </c>
      <c r="U5217" s="35" t="inlineStr">
        <is>
          <t>Нет ОКВЭД/ССЧР</t>
        </is>
      </c>
      <c r="V5217" s="35" t="inlineStr">
        <is>
          <t>Не определено</t>
        </is>
      </c>
      <c r="W5217" s="35" t="inlineStr">
        <is>
          <t>Нет</t>
        </is>
      </c>
      <c r="X5217" s="35" t="inlineStr"/>
    </row>
    <row r="5218" ht="27.75" customHeight="1" s="24">
      <c r="A5218" s="13" t="n">
        <v>804668201</v>
      </c>
      <c r="B5218" s="13" t="inlineStr">
        <is>
          <t>ОБЩЕСТВО С ОГРАНИЧЕННОЙ ОТВЕТСТВЕННОСТЬЮ "ОПТТРЕЙД"</t>
        </is>
      </c>
      <c r="C5218" s="13" t="n">
        <v>3818049516</v>
      </c>
      <c r="D5218" s="13" t="inlineStr">
        <is>
          <t>3818049516</t>
        </is>
      </c>
      <c r="E5218" s="13" t="inlineStr">
        <is>
          <t>ЮЛ РФ</t>
        </is>
      </c>
      <c r="F5218" s="13" t="n"/>
      <c r="G5218" s="52" t="n">
        <v>10</v>
      </c>
      <c r="H5218" s="52" t="n">
        <v>2025</v>
      </c>
      <c r="I5218" s="14" t="n"/>
      <c r="J5218" s="14" t="n"/>
      <c r="K5218" s="53" t="inlineStr">
        <is>
          <t>Нет</t>
        </is>
      </c>
      <c r="L5218" s="53" t="inlineStr">
        <is>
          <t>Не определено</t>
        </is>
      </c>
      <c r="M5218" s="53" t="inlineStr">
        <is>
          <t>До 10</t>
        </is>
      </c>
      <c r="N5218" s="54" t="n">
        <v>3360</v>
      </c>
      <c r="O5218" s="55" t="inlineStr">
        <is>
          <t>1–15</t>
        </is>
      </c>
      <c r="P5218" s="16" t="inlineStr">
        <is>
          <t>ССЧР обогащена; ОКВЭД не найден/не загружен</t>
        </is>
      </c>
      <c r="Q5218" s="16" t="inlineStr">
        <is>
          <t>ФНС открытые данные ССЧР (ДатаСост 31.12.2025; набор 7707329152-sshr2019)</t>
        </is>
      </c>
      <c r="R5218" s="16">
        <f>HYPERLINK("https://checko.ru/search?query=3801001629","Чекко: проверить")</f>
        <v/>
      </c>
      <c r="S5218" t="n">
        <v>1</v>
      </c>
      <c r="T5218" s="35" t="inlineStr">
        <is>
          <t>4 — Не обогащён</t>
        </is>
      </c>
      <c r="U5218" s="35" t="inlineStr">
        <is>
          <t>Нет ОКВЭД/ССЧР</t>
        </is>
      </c>
      <c r="V5218" s="35" t="inlineStr">
        <is>
          <t>Не определено</t>
        </is>
      </c>
      <c r="W5218" s="35" t="inlineStr">
        <is>
          <t>Нет</t>
        </is>
      </c>
      <c r="X5218" s="35" t="inlineStr"/>
    </row>
    <row r="5219" ht="27.75" customHeight="1" s="24">
      <c r="A5219" s="13" t="n">
        <v>804308567</v>
      </c>
      <c r="B5219" s="13" t="inlineStr">
        <is>
          <t>ОБЩЕСТВО С ОГРАНИЧЕННОЙ ОТВЕТСТВЕННОСТЬЮ " ЭЛИТ МАРКЕТ"</t>
        </is>
      </c>
      <c r="C5219" s="13" t="n">
        <v>3808278718</v>
      </c>
      <c r="D5219" s="13" t="inlineStr">
        <is>
          <t>3808278718</t>
        </is>
      </c>
      <c r="E5219" s="13" t="inlineStr">
        <is>
          <t>ЮЛ РФ</t>
        </is>
      </c>
      <c r="F5219" s="13" t="n"/>
      <c r="G5219" s="52" t="n">
        <v>10</v>
      </c>
      <c r="H5219" s="52" t="n">
        <v>2025</v>
      </c>
      <c r="I5219" s="14" t="n"/>
      <c r="J5219" s="14" t="n"/>
      <c r="K5219" s="53" t="inlineStr">
        <is>
          <t>Нет</t>
        </is>
      </c>
      <c r="L5219" s="53" t="inlineStr">
        <is>
          <t>Не определено</t>
        </is>
      </c>
      <c r="M5219" s="53" t="inlineStr">
        <is>
          <t>До 10</t>
        </is>
      </c>
      <c r="N5219" s="54" t="n">
        <v>3360</v>
      </c>
      <c r="O5219" s="55" t="inlineStr">
        <is>
          <t>1–15</t>
        </is>
      </c>
      <c r="P5219" s="16" t="inlineStr">
        <is>
          <t>ССЧР обогащена; ОКВЭД не найден/не загружен</t>
        </is>
      </c>
      <c r="Q5219" s="16" t="inlineStr">
        <is>
          <t>ФНС открытые данные ССЧР (ДатаСост 31.12.2025; набор 7707329152-sshr2019)</t>
        </is>
      </c>
      <c r="R5219" s="16">
        <f>HYPERLINK("https://checko.ru/search?query=3801001629","Чекко: проверить")</f>
        <v/>
      </c>
      <c r="S5219" t="n">
        <v>1</v>
      </c>
      <c r="T5219" s="35" t="inlineStr">
        <is>
          <t>4 — Не обогащён</t>
        </is>
      </c>
      <c r="U5219" s="35" t="inlineStr">
        <is>
          <t>Нет ОКВЭД/ССЧР</t>
        </is>
      </c>
      <c r="V5219" s="35" t="inlineStr">
        <is>
          <t>Не определено</t>
        </is>
      </c>
      <c r="W5219" s="35" t="inlineStr">
        <is>
          <t>Нет</t>
        </is>
      </c>
      <c r="X5219" s="35" t="inlineStr"/>
    </row>
    <row r="5220" ht="15" customHeight="1" s="24">
      <c r="A5220" s="13" t="n">
        <v>802170006</v>
      </c>
      <c r="B5220" s="13" t="inlineStr">
        <is>
          <t>ИП Татаринов Александр Сергеевич</t>
        </is>
      </c>
      <c r="C5220" s="13" t="n">
        <v>850602097120</v>
      </c>
      <c r="D5220" s="13" t="inlineStr">
        <is>
          <t>850602097120</t>
        </is>
      </c>
      <c r="E5220" s="13" t="inlineStr">
        <is>
          <t>ИП РФ / физлицо</t>
        </is>
      </c>
      <c r="F5220" s="13" t="n"/>
      <c r="G5220" s="14" t="n"/>
      <c r="H5220" s="14" t="n"/>
      <c r="I5220" s="14" t="n"/>
      <c r="J5220" s="14" t="n"/>
      <c r="K5220" s="53" t="inlineStr"/>
      <c r="L5220" s="53" t="inlineStr">
        <is>
          <t>Не определено</t>
        </is>
      </c>
      <c r="M5220" s="53" t="inlineStr"/>
      <c r="N5220" s="54" t="inlineStr"/>
      <c r="O5220" s="55" t="inlineStr"/>
      <c r="P5220" s="16" t="inlineStr">
        <is>
          <t>Требует обогащения</t>
        </is>
      </c>
      <c r="Q5220" s="16">
        <f>HYPERLINK("https://pb.nalog.ru/search.html?query=850602097120","ФНС: проверить")</f>
        <v/>
      </c>
      <c r="R5220" s="16">
        <f>HYPERLINK("https://checko.ru/search?query=3801001629","Чекко: проверить")</f>
        <v/>
      </c>
      <c r="S5220" t="n">
        <v>1</v>
      </c>
      <c r="T5220" s="35" t="inlineStr">
        <is>
          <t>4 — Не обогащён</t>
        </is>
      </c>
      <c r="U5220" s="35" t="inlineStr">
        <is>
          <t>Нет ОКВЭД/ССЧР</t>
        </is>
      </c>
      <c r="V5220" s="35" t="inlineStr">
        <is>
          <t>Не определено</t>
        </is>
      </c>
      <c r="W5220" s="35" t="inlineStr"/>
      <c r="X5220" s="35" t="inlineStr"/>
    </row>
    <row r="5221" ht="15" customHeight="1" s="24">
      <c r="A5221" s="13" t="n">
        <v>9118231</v>
      </c>
      <c r="B5221" s="13" t="inlineStr">
        <is>
          <t>Автоцентр Баланс ООО</t>
        </is>
      </c>
      <c r="C5221" s="13" t="n">
        <v>3827013996</v>
      </c>
      <c r="D5221" s="13" t="inlineStr">
        <is>
          <t>3827013996</t>
        </is>
      </c>
      <c r="E5221" s="13" t="inlineStr">
        <is>
          <t>ЮЛ РФ</t>
        </is>
      </c>
      <c r="F5221" s="13" t="n"/>
      <c r="G5221" s="52" t="n">
        <v>6</v>
      </c>
      <c r="H5221" s="52" t="n">
        <v>2025</v>
      </c>
      <c r="I5221" s="14" t="n"/>
      <c r="J5221" s="14" t="n"/>
      <c r="K5221" s="53" t="inlineStr">
        <is>
          <t>Нет</t>
        </is>
      </c>
      <c r="L5221" s="53" t="inlineStr">
        <is>
          <t>Не определено</t>
        </is>
      </c>
      <c r="M5221" s="53" t="inlineStr">
        <is>
          <t>До 10</t>
        </is>
      </c>
      <c r="N5221" s="54" t="n">
        <v>3360</v>
      </c>
      <c r="O5221" s="55" t="inlineStr">
        <is>
          <t>1–15</t>
        </is>
      </c>
      <c r="P5221" s="16" t="inlineStr">
        <is>
          <t>ССЧР обогащена; ОКВЭД не найден/не загружен</t>
        </is>
      </c>
      <c r="Q5221" s="16" t="inlineStr">
        <is>
          <t>ФНС открытые данные ССЧР (ДатаСост 31.12.2025; набор 7707329152-sshr2019)</t>
        </is>
      </c>
      <c r="R5221" s="16">
        <f>HYPERLINK("https://checko.ru/search?query=3801001629","Чекко: проверить")</f>
        <v/>
      </c>
      <c r="S5221" t="n">
        <v>1</v>
      </c>
      <c r="T5221" s="35" t="inlineStr">
        <is>
          <t>4 — Не обогащён</t>
        </is>
      </c>
      <c r="U5221" s="35" t="inlineStr">
        <is>
          <t>Нет ОКВЭД/ССЧР</t>
        </is>
      </c>
      <c r="V5221" s="35" t="inlineStr">
        <is>
          <t>Не определено</t>
        </is>
      </c>
      <c r="W5221" s="35" t="inlineStr">
        <is>
          <t>Нет</t>
        </is>
      </c>
      <c r="X5221" s="35" t="inlineStr"/>
    </row>
    <row r="5222" ht="15" customHeight="1" s="24">
      <c r="A5222" s="13" t="n">
        <v>9113562</v>
      </c>
      <c r="B5222" s="13" t="inlineStr">
        <is>
          <t>ЗАО "ТРЭНТ-Сервис"</t>
        </is>
      </c>
      <c r="C5222" s="13" t="n">
        <v>3810311296</v>
      </c>
      <c r="D5222" s="13" t="inlineStr">
        <is>
          <t>3810311296</t>
        </is>
      </c>
      <c r="E5222" s="13" t="inlineStr">
        <is>
          <t>ЮЛ РФ</t>
        </is>
      </c>
      <c r="F5222" s="13" t="n"/>
      <c r="G5222" s="52" t="n">
        <v>16</v>
      </c>
      <c r="H5222" s="52" t="n">
        <v>2025</v>
      </c>
      <c r="I5222" s="14" t="n"/>
      <c r="J5222" s="14" t="n"/>
      <c r="K5222" s="53" t="inlineStr">
        <is>
          <t>Нет</t>
        </is>
      </c>
      <c r="L5222" s="53" t="inlineStr">
        <is>
          <t>Не определено</t>
        </is>
      </c>
      <c r="M5222" s="53" t="inlineStr">
        <is>
          <t>До 25</t>
        </is>
      </c>
      <c r="N5222" s="54" t="n">
        <v>8400</v>
      </c>
      <c r="O5222" s="55" t="inlineStr">
        <is>
          <t>16–30</t>
        </is>
      </c>
      <c r="P5222" s="16" t="inlineStr">
        <is>
          <t>ССЧР обогащена; ОКВЭД не найден/не загружен</t>
        </is>
      </c>
      <c r="Q5222" s="16" t="inlineStr">
        <is>
          <t>ФНС открытые данные ССЧР (ДатаСост 31.12.2025; набор 7707329152-sshr2019)</t>
        </is>
      </c>
      <c r="R5222" s="16">
        <f>HYPERLINK("https://checko.ru/search?query=3801001629","Чекко: проверить")</f>
        <v/>
      </c>
      <c r="S5222" t="n">
        <v>1</v>
      </c>
      <c r="T5222" s="35" t="inlineStr">
        <is>
          <t>4 — Не обогащён</t>
        </is>
      </c>
      <c r="U5222" s="35" t="inlineStr">
        <is>
          <t>Нет ОКВЭД/ССЧР</t>
        </is>
      </c>
      <c r="V5222" s="35" t="inlineStr">
        <is>
          <t>Не определено</t>
        </is>
      </c>
      <c r="W5222" s="35" t="inlineStr">
        <is>
          <t>Нет</t>
        </is>
      </c>
      <c r="X5222" s="35" t="inlineStr"/>
    </row>
    <row r="5223" ht="15" customHeight="1" s="24">
      <c r="A5223" s="13" t="n">
        <v>9129355</v>
      </c>
      <c r="B5223" s="13" t="inlineStr">
        <is>
          <t>ООО "ТАКТ"</t>
        </is>
      </c>
      <c r="C5223" s="13" t="n">
        <v>3810032736</v>
      </c>
      <c r="D5223" s="13" t="inlineStr">
        <is>
          <t>3810032736</t>
        </is>
      </c>
      <c r="E5223" s="13" t="inlineStr">
        <is>
          <t>ЮЛ РФ</t>
        </is>
      </c>
      <c r="F5223" s="13" t="n"/>
      <c r="G5223" s="52" t="n">
        <v>9</v>
      </c>
      <c r="H5223" s="52" t="n">
        <v>2025</v>
      </c>
      <c r="I5223" s="14" t="n"/>
      <c r="J5223" s="14" t="n"/>
      <c r="K5223" s="53" t="inlineStr">
        <is>
          <t>Нет</t>
        </is>
      </c>
      <c r="L5223" s="53" t="inlineStr">
        <is>
          <t>Не определено</t>
        </is>
      </c>
      <c r="M5223" s="53" t="inlineStr">
        <is>
          <t>До 10</t>
        </is>
      </c>
      <c r="N5223" s="54" t="n">
        <v>3360</v>
      </c>
      <c r="O5223" s="55" t="inlineStr">
        <is>
          <t>1–15</t>
        </is>
      </c>
      <c r="P5223" s="16" t="inlineStr">
        <is>
          <t>ССЧР обогащена; ОКВЭД не найден/не загружен</t>
        </is>
      </c>
      <c r="Q5223" s="16" t="inlineStr">
        <is>
          <t>ФНС открытые данные ССЧР (ДатаСост 31.12.2025; набор 7707329152-sshr2019)</t>
        </is>
      </c>
      <c r="R5223" s="16">
        <f>HYPERLINK("https://checko.ru/search?query=3801001629","Чекко: проверить")</f>
        <v/>
      </c>
      <c r="S5223" t="n">
        <v>1</v>
      </c>
      <c r="T5223" s="35" t="inlineStr">
        <is>
          <t>4 — Не обогащён</t>
        </is>
      </c>
      <c r="U5223" s="35" t="inlineStr">
        <is>
          <t>Нет ОКВЭД/ССЧР</t>
        </is>
      </c>
      <c r="V5223" s="35" t="inlineStr">
        <is>
          <t>Не определено</t>
        </is>
      </c>
      <c r="W5223" s="35" t="inlineStr">
        <is>
          <t>Нет</t>
        </is>
      </c>
      <c r="X5223" s="35" t="inlineStr"/>
    </row>
    <row r="5224" ht="15" customHeight="1" s="24">
      <c r="A5224" s="13" t="n">
        <v>800419989</v>
      </c>
      <c r="B5224" s="13" t="inlineStr">
        <is>
          <t>ООО "Глобус"</t>
        </is>
      </c>
      <c r="C5224" s="13" t="n">
        <v>3811100347</v>
      </c>
      <c r="D5224" s="13" t="inlineStr">
        <is>
          <t>3811100347</t>
        </is>
      </c>
      <c r="E5224" s="13" t="inlineStr">
        <is>
          <t>ЮЛ РФ</t>
        </is>
      </c>
      <c r="F5224" s="13" t="n"/>
      <c r="G5224" s="52" t="n">
        <v>1</v>
      </c>
      <c r="H5224" s="52" t="n">
        <v>2025</v>
      </c>
      <c r="I5224" s="14" t="n"/>
      <c r="J5224" s="14" t="n"/>
      <c r="K5224" s="53" t="inlineStr">
        <is>
          <t>Нет</t>
        </is>
      </c>
      <c r="L5224" s="53" t="inlineStr">
        <is>
          <t>Не определено</t>
        </is>
      </c>
      <c r="M5224" s="53" t="inlineStr">
        <is>
          <t>До 10</t>
        </is>
      </c>
      <c r="N5224" s="54" t="n">
        <v>3360</v>
      </c>
      <c r="O5224" s="55" t="inlineStr">
        <is>
          <t>1–15</t>
        </is>
      </c>
      <c r="P5224" s="16" t="inlineStr">
        <is>
          <t>ССЧР обогащена; ОКВЭД не найден/не загружен</t>
        </is>
      </c>
      <c r="Q5224" s="16" t="inlineStr">
        <is>
          <t>ФНС открытые данные ССЧР (ДатаСост 31.12.2025; набор 7707329152-sshr2019)</t>
        </is>
      </c>
      <c r="R5224" s="16">
        <f>HYPERLINK("https://checko.ru/search?query=3801001629","Чекко: проверить")</f>
        <v/>
      </c>
      <c r="S5224" t="n">
        <v>1</v>
      </c>
      <c r="T5224" s="35" t="inlineStr">
        <is>
          <t>4 — Не обогащён</t>
        </is>
      </c>
      <c r="U5224" s="35" t="inlineStr">
        <is>
          <t>Нет ОКВЭД/ССЧР</t>
        </is>
      </c>
      <c r="V5224" s="35" t="inlineStr">
        <is>
          <t>Не определено</t>
        </is>
      </c>
      <c r="W5224" s="35" t="inlineStr">
        <is>
          <t>Нет</t>
        </is>
      </c>
      <c r="X5224" s="35" t="inlineStr"/>
    </row>
    <row r="5225" ht="15" customHeight="1" s="24">
      <c r="A5225" s="13" t="n">
        <v>9962279</v>
      </c>
      <c r="B5225" s="13" t="inlineStr">
        <is>
          <t>ООО "Леском"</t>
        </is>
      </c>
      <c r="C5225" s="13" t="n">
        <v>3815004796</v>
      </c>
      <c r="D5225" s="13" t="inlineStr">
        <is>
          <t>3815004796</t>
        </is>
      </c>
      <c r="E5225" s="13" t="inlineStr">
        <is>
          <t>ЮЛ РФ</t>
        </is>
      </c>
      <c r="F5225" s="13" t="n"/>
      <c r="G5225" s="52" t="n">
        <v>3</v>
      </c>
      <c r="H5225" s="52" t="n">
        <v>2025</v>
      </c>
      <c r="I5225" s="14" t="n"/>
      <c r="J5225" s="14" t="n"/>
      <c r="K5225" s="53" t="inlineStr">
        <is>
          <t>Нет</t>
        </is>
      </c>
      <c r="L5225" s="53" t="inlineStr">
        <is>
          <t>Не определено</t>
        </is>
      </c>
      <c r="M5225" s="53" t="inlineStr">
        <is>
          <t>До 10</t>
        </is>
      </c>
      <c r="N5225" s="54" t="n">
        <v>3360</v>
      </c>
      <c r="O5225" s="55" t="inlineStr">
        <is>
          <t>1–15</t>
        </is>
      </c>
      <c r="P5225" s="16" t="inlineStr">
        <is>
          <t>ССЧР обогащена; ОКВЭД не найден/не загружен</t>
        </is>
      </c>
      <c r="Q5225" s="16" t="inlineStr">
        <is>
          <t>ФНС открытые данные ССЧР (ДатаСост 31.12.2025; набор 7707329152-sshr2019)</t>
        </is>
      </c>
      <c r="R5225" s="16">
        <f>HYPERLINK("https://checko.ru/search?query=3801001629","Чекко: проверить")</f>
        <v/>
      </c>
      <c r="S5225" t="n">
        <v>1</v>
      </c>
      <c r="T5225" s="35" t="inlineStr">
        <is>
          <t>4 — Не обогащён</t>
        </is>
      </c>
      <c r="U5225" s="35" t="inlineStr">
        <is>
          <t>Нет ОКВЭД/ССЧР</t>
        </is>
      </c>
      <c r="V5225" s="35" t="inlineStr">
        <is>
          <t>Не определено</t>
        </is>
      </c>
      <c r="W5225" s="35" t="inlineStr">
        <is>
          <t>Нет</t>
        </is>
      </c>
      <c r="X5225" s="35" t="inlineStr"/>
    </row>
    <row r="5226" ht="41.25" customHeight="1" s="24">
      <c r="A5226" s="13" t="n">
        <v>9457444</v>
      </c>
      <c r="B5226" s="13" t="inlineStr">
        <is>
          <t>БРАТСКАЯ ГОРОДСКАЯ МЕСТНАЯ ОБЩЕСТВЕННАЯ ОРГАНИЗАЦИЯ ВСЕРОССИЙСКОЙ ОРГАНИЗАЦИИ ВЕТЕРАНОВ</t>
        </is>
      </c>
      <c r="C5226" s="13" t="n">
        <v>3803200595</v>
      </c>
      <c r="D5226" s="13" t="inlineStr">
        <is>
          <t>3803200595</t>
        </is>
      </c>
      <c r="E5226" s="13" t="inlineStr">
        <is>
          <t>ЮЛ РФ</t>
        </is>
      </c>
      <c r="F5226" s="13" t="n"/>
      <c r="G5226" s="14" t="n"/>
      <c r="H5226" s="14" t="n"/>
      <c r="I5226" s="14" t="n"/>
      <c r="J5226" s="14" t="n"/>
      <c r="K5226" s="53" t="inlineStr"/>
      <c r="L5226" s="53" t="inlineStr">
        <is>
          <t>Не определено</t>
        </is>
      </c>
      <c r="M5226" s="53" t="inlineStr"/>
      <c r="N5226" s="54" t="inlineStr"/>
      <c r="O5226" s="55" t="inlineStr"/>
      <c r="P5226" s="16" t="inlineStr">
        <is>
          <t>Требует обогащения</t>
        </is>
      </c>
      <c r="Q5226" s="16">
        <f>HYPERLINK("https://pb.nalog.ru/search.html?query=3803200595","ФНС: проверить")</f>
        <v/>
      </c>
      <c r="R5226" s="16">
        <f>HYPERLINK("https://checko.ru/search?query=3801001629","Чекко: проверить")</f>
        <v/>
      </c>
      <c r="S5226" t="n">
        <v>1</v>
      </c>
      <c r="T5226" s="35" t="inlineStr">
        <is>
          <t>4 — Не обогащён</t>
        </is>
      </c>
      <c r="U5226" s="35" t="inlineStr">
        <is>
          <t>Нет ОКВЭД/ССЧР</t>
        </is>
      </c>
      <c r="V5226" s="35" t="inlineStr">
        <is>
          <t>Не определено</t>
        </is>
      </c>
      <c r="W5226" s="35" t="inlineStr"/>
      <c r="X5226" s="35" t="inlineStr"/>
    </row>
    <row r="5227" ht="15" customHeight="1" s="24">
      <c r="A5227" s="13" t="n">
        <v>9854911</v>
      </c>
      <c r="B5227" s="13" t="inlineStr">
        <is>
          <t>ООО "РегионСтройКомплект"</t>
        </is>
      </c>
      <c r="C5227" s="13" t="n">
        <v>3848001367</v>
      </c>
      <c r="D5227" s="13" t="inlineStr">
        <is>
          <t>3848001367</t>
        </is>
      </c>
      <c r="E5227" s="13" t="inlineStr">
        <is>
          <t>ЮЛ РФ</t>
        </is>
      </c>
      <c r="F5227" s="13" t="n"/>
      <c r="G5227" s="52" t="n">
        <v>63</v>
      </c>
      <c r="H5227" s="52" t="n">
        <v>2025</v>
      </c>
      <c r="I5227" s="52" t="inlineStr">
        <is>
          <t>46.69.5</t>
        </is>
      </c>
      <c r="J5227" s="52" t="inlineStr">
        <is>
          <t>46.69.5; 45.20; 45.20.1; 45.20.2; 45.31.1; 45.32; 46.13; 46.13.1; 46.13.2; 46.14; 46.14.1; 46.14.2; 46.14.9; 46.15; 46.15.1; 46.18; 46.19; 46.21; 46.41; 46.43; 46.44; 46.44.2; 46.45; 46.47; 46.47.2; 46.49; 46.51; 46.52; 46.61.2; 46.62; 46.63; 46.65; 46.69; 46.69.1; 46.69.2; 46.69.3; 46.69.4; 46.69.7; 46.69.8; 46.69.9; 46.73; 46.73.1; 46.73.2; 46.73.3; 46.73.4; 46.73.5; 46.73.6; 46.73.7; 46.73.8; 46.74; 46.74.1; 46.74.2; 46.74.3; 46.75; 46.75.1; 46.77; 46.90; 49.41; 49.41.1; 49.41.2; 49.41.3; 52.29</t>
        </is>
      </c>
      <c r="K5227" s="53" t="inlineStr">
        <is>
          <t>Да</t>
        </is>
      </c>
      <c r="L5227" s="53" t="inlineStr">
        <is>
          <t>Да</t>
        </is>
      </c>
      <c r="M5227" s="53" t="inlineStr">
        <is>
          <t>До 100</t>
        </is>
      </c>
      <c r="N5227" s="54" t="n">
        <v>33600</v>
      </c>
      <c r="O5227" s="55" t="inlineStr">
        <is>
          <t>51–100</t>
        </is>
      </c>
      <c r="P5227" s="16" t="inlineStr">
        <is>
          <t>ССЧР + ОКВЭД обогащены</t>
        </is>
      </c>
      <c r="Q5227" s="16" t="inlineStr">
        <is>
          <t>ФНС открытые данные ССЧР (ДатаСост 31.12.2025; набор 7707329152-sshr2019)</t>
        </is>
      </c>
      <c r="R5227" s="16" t="inlineStr">
        <is>
          <t>ЕГРЮЛ / egrul.nalog.ru (выписка)</t>
        </is>
      </c>
      <c r="S5227" t="n">
        <v>1</v>
      </c>
      <c r="T5227" s="35" t="inlineStr">
        <is>
          <t>1 — Горячий</t>
        </is>
      </c>
      <c r="U5227" s="35" t="inlineStr">
        <is>
          <t>ОКВЭД + 22+</t>
        </is>
      </c>
      <c r="V5227" s="35" t="inlineStr">
        <is>
          <t>Да</t>
        </is>
      </c>
      <c r="W5227" s="35" t="inlineStr">
        <is>
          <t>Да</t>
        </is>
      </c>
      <c r="X5227" s="35" t="inlineStr">
        <is>
          <t>Да</t>
        </is>
      </c>
    </row>
    <row r="5228" ht="15" customHeight="1" s="24">
      <c r="A5228" s="13" t="n">
        <v>801605856</v>
      </c>
      <c r="B5228" s="13" t="inlineStr">
        <is>
          <t>ООО "ВАШ ЛОМБАРД"</t>
        </is>
      </c>
      <c r="C5228" s="13" t="n">
        <v>3849094861</v>
      </c>
      <c r="D5228" s="13" t="inlineStr">
        <is>
          <t>3849094861</t>
        </is>
      </c>
      <c r="E5228" s="13" t="inlineStr">
        <is>
          <t>ЮЛ РФ</t>
        </is>
      </c>
      <c r="F5228" s="13" t="n"/>
      <c r="G5228" s="52" t="n">
        <v>34</v>
      </c>
      <c r="H5228" s="52" t="n">
        <v>2025</v>
      </c>
      <c r="I5228" s="52" t="inlineStr">
        <is>
          <t>47.79.3</t>
        </is>
      </c>
      <c r="J5228" s="52" t="inlineStr">
        <is>
          <t>47.79.3; 66.19.5; 70.22</t>
        </is>
      </c>
      <c r="K5228" s="53" t="inlineStr">
        <is>
          <t>Да</t>
        </is>
      </c>
      <c r="L5228" s="53" t="inlineStr">
        <is>
          <t>Да</t>
        </is>
      </c>
      <c r="M5228" s="53" t="inlineStr">
        <is>
          <t>До 50</t>
        </is>
      </c>
      <c r="N5228" s="54" t="n">
        <v>16800</v>
      </c>
      <c r="O5228" s="55" t="inlineStr">
        <is>
          <t>31–50</t>
        </is>
      </c>
      <c r="P5228" s="16" t="inlineStr">
        <is>
          <t>ССЧР + ОКВЭД обогащены</t>
        </is>
      </c>
      <c r="Q5228" s="16" t="inlineStr">
        <is>
          <t>ФНС открытые данные ССЧР (ДатаСост 31.12.2025; набор 7707329152-sshr2019)</t>
        </is>
      </c>
      <c r="R5228" s="16" t="inlineStr">
        <is>
          <t>ЕГРЮЛ / egrul.nalog.ru (выписка)</t>
        </is>
      </c>
      <c r="S5228" t="n">
        <v>1</v>
      </c>
      <c r="T5228" s="35" t="inlineStr">
        <is>
          <t>1 — Горячий</t>
        </is>
      </c>
      <c r="U5228" s="35" t="inlineStr">
        <is>
          <t>ОКВЭД + 22+</t>
        </is>
      </c>
      <c r="V5228" s="35" t="inlineStr">
        <is>
          <t>Да</t>
        </is>
      </c>
      <c r="W5228" s="35" t="inlineStr">
        <is>
          <t>Да</t>
        </is>
      </c>
      <c r="X5228" s="35" t="inlineStr">
        <is>
          <t>Да</t>
        </is>
      </c>
    </row>
    <row r="5229" ht="15" customHeight="1" s="24">
      <c r="A5229" s="13" t="n">
        <v>800447697</v>
      </c>
      <c r="B5229" s="13" t="inlineStr">
        <is>
          <t>ООО "Развитие"</t>
        </is>
      </c>
      <c r="C5229" s="13" t="n">
        <v>3821013848</v>
      </c>
      <c r="D5229" s="13" t="inlineStr">
        <is>
          <t>3821013848</t>
        </is>
      </c>
      <c r="E5229" s="13" t="inlineStr">
        <is>
          <t>ЮЛ РФ</t>
        </is>
      </c>
      <c r="F5229" s="13" t="n"/>
      <c r="G5229" s="52" t="n">
        <v>21</v>
      </c>
      <c r="H5229" s="52" t="n">
        <v>2025</v>
      </c>
      <c r="I5229" s="14" t="n"/>
      <c r="J5229" s="14" t="n"/>
      <c r="K5229" s="53" t="inlineStr">
        <is>
          <t>Нет</t>
        </is>
      </c>
      <c r="L5229" s="53" t="inlineStr">
        <is>
          <t>Не определено</t>
        </is>
      </c>
      <c r="M5229" s="53" t="inlineStr">
        <is>
          <t>До 25</t>
        </is>
      </c>
      <c r="N5229" s="54" t="n">
        <v>8400</v>
      </c>
      <c r="O5229" s="55" t="inlineStr">
        <is>
          <t>16–30</t>
        </is>
      </c>
      <c r="P5229" s="16" t="inlineStr">
        <is>
          <t>ССЧР обогащена; ОКВЭД не найден/не загружен</t>
        </is>
      </c>
      <c r="Q5229" s="16" t="inlineStr">
        <is>
          <t>ФНС открытые данные ССЧР (ДатаСост 31.12.2025; набор 7707329152-sshr2019)</t>
        </is>
      </c>
      <c r="R5229" s="16">
        <f>HYPERLINK("https://checko.ru/search?query=3801001629","Чекко: проверить")</f>
        <v/>
      </c>
      <c r="S5229" t="n">
        <v>1</v>
      </c>
      <c r="T5229" s="35" t="inlineStr">
        <is>
          <t>4 — Не обогащён</t>
        </is>
      </c>
      <c r="U5229" s="35" t="inlineStr">
        <is>
          <t>Нет ОКВЭД/ССЧР</t>
        </is>
      </c>
      <c r="V5229" s="35" t="inlineStr">
        <is>
          <t>Не определено</t>
        </is>
      </c>
      <c r="W5229" s="35" t="inlineStr">
        <is>
          <t>Нет</t>
        </is>
      </c>
      <c r="X5229" s="35" t="inlineStr"/>
    </row>
    <row r="5230" ht="15" customHeight="1" s="24">
      <c r="A5230" s="13" t="n">
        <v>9104988</v>
      </c>
      <c r="B5230" s="13" t="inlineStr">
        <is>
          <t>ООО "Рекламное агентство Коралл</t>
        </is>
      </c>
      <c r="C5230" s="13" t="n">
        <v>3811116964</v>
      </c>
      <c r="D5230" s="13" t="inlineStr">
        <is>
          <t>3811116964</t>
        </is>
      </c>
      <c r="E5230" s="13" t="inlineStr">
        <is>
          <t>ЮЛ РФ</t>
        </is>
      </c>
      <c r="F5230" s="13" t="n"/>
      <c r="G5230" s="52" t="n">
        <v>13</v>
      </c>
      <c r="H5230" s="52" t="n">
        <v>2025</v>
      </c>
      <c r="I5230" s="14" t="n"/>
      <c r="J5230" s="14" t="n"/>
      <c r="K5230" s="53" t="inlineStr">
        <is>
          <t>Нет</t>
        </is>
      </c>
      <c r="L5230" s="53" t="inlineStr">
        <is>
          <t>Не определено</t>
        </is>
      </c>
      <c r="M5230" s="53" t="inlineStr">
        <is>
          <t>До 25</t>
        </is>
      </c>
      <c r="N5230" s="54" t="n">
        <v>8400</v>
      </c>
      <c r="O5230" s="55" t="inlineStr">
        <is>
          <t>1–15</t>
        </is>
      </c>
      <c r="P5230" s="16" t="inlineStr">
        <is>
          <t>ССЧР обогащена; ОКВЭД не найден/не загружен</t>
        </is>
      </c>
      <c r="Q5230" s="16" t="inlineStr">
        <is>
          <t>ФНС открытые данные ССЧР (ДатаСост 31.12.2025; набор 7707329152-sshr2019)</t>
        </is>
      </c>
      <c r="R5230" s="16">
        <f>HYPERLINK("https://checko.ru/search?query=3801001629","Чекко: проверить")</f>
        <v/>
      </c>
      <c r="S5230" t="n">
        <v>1</v>
      </c>
      <c r="T5230" s="35" t="inlineStr">
        <is>
          <t>4 — Не обогащён</t>
        </is>
      </c>
      <c r="U5230" s="35" t="inlineStr">
        <is>
          <t>Нет ОКВЭД/ССЧР</t>
        </is>
      </c>
      <c r="V5230" s="35" t="inlineStr">
        <is>
          <t>Не определено</t>
        </is>
      </c>
      <c r="W5230" s="35" t="inlineStr">
        <is>
          <t>Нет</t>
        </is>
      </c>
      <c r="X5230" s="35" t="inlineStr"/>
    </row>
    <row r="5231" ht="27.75" customHeight="1" s="24">
      <c r="A5231" s="13" t="n">
        <v>803750034</v>
      </c>
      <c r="B5231" s="13" t="inlineStr">
        <is>
          <t>САДОВОДЧЕСКОЕ НЕКОММЕРЧЕСКОЕ ТОВАРИЩЕСТВО "ИЗУМРУД"</t>
        </is>
      </c>
      <c r="C5231" s="13" t="n">
        <v>3827009189</v>
      </c>
      <c r="D5231" s="13" t="inlineStr">
        <is>
          <t>3827009189</t>
        </is>
      </c>
      <c r="E5231" s="13" t="inlineStr">
        <is>
          <t>ЮЛ РФ</t>
        </is>
      </c>
      <c r="F5231" s="13" t="n"/>
      <c r="G5231" s="14" t="n"/>
      <c r="H5231" s="14" t="n"/>
      <c r="I5231" s="14" t="n"/>
      <c r="J5231" s="14" t="n"/>
      <c r="K5231" s="53" t="inlineStr"/>
      <c r="L5231" s="53" t="inlineStr">
        <is>
          <t>Не определено</t>
        </is>
      </c>
      <c r="M5231" s="53" t="inlineStr"/>
      <c r="N5231" s="54" t="inlineStr"/>
      <c r="O5231" s="55" t="inlineStr"/>
      <c r="P5231" s="16" t="inlineStr">
        <is>
          <t>Требует обогащения</t>
        </is>
      </c>
      <c r="Q5231" s="16">
        <f>HYPERLINK("https://pb.nalog.ru/search.html?query=3827009189","ФНС: проверить")</f>
        <v/>
      </c>
      <c r="R5231" s="16">
        <f>HYPERLINK("https://checko.ru/search?query=3801001629","Чекко: проверить")</f>
        <v/>
      </c>
      <c r="S5231" t="n">
        <v>1</v>
      </c>
      <c r="T5231" s="35" t="inlineStr">
        <is>
          <t>4 — Не обогащён</t>
        </is>
      </c>
      <c r="U5231" s="35" t="inlineStr">
        <is>
          <t>Нет ОКВЭД/ССЧР</t>
        </is>
      </c>
      <c r="V5231" s="35" t="inlineStr">
        <is>
          <t>Не определено</t>
        </is>
      </c>
      <c r="W5231" s="35" t="inlineStr"/>
      <c r="X5231" s="35" t="inlineStr"/>
    </row>
    <row r="5232" ht="15" customHeight="1" s="24">
      <c r="A5232" s="13" t="n">
        <v>800428271</v>
      </c>
      <c r="B5232" s="13" t="inlineStr">
        <is>
          <t>ООО "РТИ-ЦЕНТР"</t>
        </is>
      </c>
      <c r="C5232" s="13" t="n">
        <v>3808169892</v>
      </c>
      <c r="D5232" s="13" t="inlineStr">
        <is>
          <t>3808169892</t>
        </is>
      </c>
      <c r="E5232" s="13" t="inlineStr">
        <is>
          <t>ЮЛ РФ</t>
        </is>
      </c>
      <c r="F5232" s="13" t="n"/>
      <c r="G5232" s="52" t="n">
        <v>5</v>
      </c>
      <c r="H5232" s="52" t="n">
        <v>2025</v>
      </c>
      <c r="I5232" s="14" t="n"/>
      <c r="J5232" s="14" t="n"/>
      <c r="K5232" s="53" t="inlineStr">
        <is>
          <t>Нет</t>
        </is>
      </c>
      <c r="L5232" s="53" t="inlineStr">
        <is>
          <t>Не определено</t>
        </is>
      </c>
      <c r="M5232" s="53" t="inlineStr">
        <is>
          <t>До 10</t>
        </is>
      </c>
      <c r="N5232" s="54" t="n">
        <v>3360</v>
      </c>
      <c r="O5232" s="55" t="inlineStr">
        <is>
          <t>1–15</t>
        </is>
      </c>
      <c r="P5232" s="16" t="inlineStr">
        <is>
          <t>ССЧР обогащена; ОКВЭД не найден/не загружен</t>
        </is>
      </c>
      <c r="Q5232" s="16" t="inlineStr">
        <is>
          <t>ФНС открытые данные ССЧР (ДатаСост 31.12.2025; набор 7707329152-sshr2019)</t>
        </is>
      </c>
      <c r="R5232" s="16">
        <f>HYPERLINK("https://checko.ru/search?query=3801001629","Чекко: проверить")</f>
        <v/>
      </c>
      <c r="S5232" t="n">
        <v>1</v>
      </c>
      <c r="T5232" s="35" t="inlineStr">
        <is>
          <t>4 — Не обогащён</t>
        </is>
      </c>
      <c r="U5232" s="35" t="inlineStr">
        <is>
          <t>Нет ОКВЭД/ССЧР</t>
        </is>
      </c>
      <c r="V5232" s="35" t="inlineStr">
        <is>
          <t>Не определено</t>
        </is>
      </c>
      <c r="W5232" s="35" t="inlineStr">
        <is>
          <t>Нет</t>
        </is>
      </c>
      <c r="X5232" s="35" t="inlineStr"/>
    </row>
    <row r="5233" ht="15" customHeight="1" s="24">
      <c r="A5233" s="13" t="n">
        <v>10562939</v>
      </c>
      <c r="B5233" s="13" t="inlineStr">
        <is>
          <t>ООО "УК НИКО"</t>
        </is>
      </c>
      <c r="C5233" s="13" t="n">
        <v>3812537482</v>
      </c>
      <c r="D5233" s="13" t="inlineStr">
        <is>
          <t>3812537482</t>
        </is>
      </c>
      <c r="E5233" s="13" t="inlineStr">
        <is>
          <t>ЮЛ РФ</t>
        </is>
      </c>
      <c r="F5233" s="13" t="n"/>
      <c r="G5233" s="52" t="n">
        <v>1</v>
      </c>
      <c r="H5233" s="52" t="n">
        <v>2025</v>
      </c>
      <c r="I5233" s="14" t="n"/>
      <c r="J5233" s="14" t="n"/>
      <c r="K5233" s="53" t="inlineStr">
        <is>
          <t>Нет</t>
        </is>
      </c>
      <c r="L5233" s="53" t="inlineStr">
        <is>
          <t>Не определено</t>
        </is>
      </c>
      <c r="M5233" s="53" t="inlineStr">
        <is>
          <t>До 10</t>
        </is>
      </c>
      <c r="N5233" s="54" t="n">
        <v>3360</v>
      </c>
      <c r="O5233" s="55" t="inlineStr">
        <is>
          <t>1–15</t>
        </is>
      </c>
      <c r="P5233" s="16" t="inlineStr">
        <is>
          <t>ССЧР обогащена; ОКВЭД не найден/не загружен</t>
        </is>
      </c>
      <c r="Q5233" s="16" t="inlineStr">
        <is>
          <t>ФНС открытые данные ССЧР (ДатаСост 31.12.2025; набор 7707329152-sshr2019)</t>
        </is>
      </c>
      <c r="R5233" s="16">
        <f>HYPERLINK("https://checko.ru/search?query=3801001629","Чекко: проверить")</f>
        <v/>
      </c>
      <c r="S5233" t="n">
        <v>1</v>
      </c>
      <c r="T5233" s="35" t="inlineStr">
        <is>
          <t>4 — Не обогащён</t>
        </is>
      </c>
      <c r="U5233" s="35" t="inlineStr">
        <is>
          <t>Нет ОКВЭД/ССЧР</t>
        </is>
      </c>
      <c r="V5233" s="35" t="inlineStr">
        <is>
          <t>Не определено</t>
        </is>
      </c>
      <c r="W5233" s="35" t="inlineStr">
        <is>
          <t>Нет</t>
        </is>
      </c>
      <c r="X5233" s="35" t="inlineStr"/>
    </row>
    <row r="5234" ht="15" customHeight="1" s="24">
      <c r="A5234" s="13" t="n">
        <v>9181857</v>
      </c>
      <c r="B5234" s="13" t="inlineStr">
        <is>
          <t>ФЛ Бунтуш Людмила Степановна</t>
        </is>
      </c>
      <c r="C5234" s="13" t="n">
        <v>380803596781</v>
      </c>
      <c r="D5234" s="13" t="inlineStr">
        <is>
          <t>380803596781</t>
        </is>
      </c>
      <c r="E5234" s="13" t="inlineStr">
        <is>
          <t>ИП РФ / физлицо</t>
        </is>
      </c>
      <c r="F5234" s="13" t="n"/>
      <c r="G5234" s="14" t="n"/>
      <c r="H5234" s="14" t="n"/>
      <c r="I5234" s="14" t="n"/>
      <c r="J5234" s="14" t="n"/>
      <c r="K5234" s="53" t="inlineStr"/>
      <c r="L5234" s="53" t="inlineStr">
        <is>
          <t>Не определено</t>
        </is>
      </c>
      <c r="M5234" s="53" t="inlineStr"/>
      <c r="N5234" s="54" t="inlineStr"/>
      <c r="O5234" s="55" t="inlineStr"/>
      <c r="P5234" s="16" t="inlineStr">
        <is>
          <t>Требует обогащения</t>
        </is>
      </c>
      <c r="Q5234" s="16">
        <f>HYPERLINK("https://pb.nalog.ru/search.html?query=380803596781","ФНС: проверить")</f>
        <v/>
      </c>
      <c r="R5234" s="16">
        <f>HYPERLINK("https://checko.ru/search?query=3801001629","Чекко: проверить")</f>
        <v/>
      </c>
      <c r="S5234" t="n">
        <v>1</v>
      </c>
      <c r="T5234" s="35" t="inlineStr">
        <is>
          <t>4 — Не обогащён</t>
        </is>
      </c>
      <c r="U5234" s="35" t="inlineStr">
        <is>
          <t>Нет ОКВЭД/ССЧР</t>
        </is>
      </c>
      <c r="V5234" s="35" t="inlineStr">
        <is>
          <t>Не определено</t>
        </is>
      </c>
      <c r="W5234" s="35" t="inlineStr"/>
      <c r="X5234" s="35" t="inlineStr"/>
    </row>
    <row r="5235" ht="41.25" customHeight="1" s="24">
      <c r="A5235" s="13" t="n">
        <v>12575379</v>
      </c>
      <c r="B5235" s="13" t="inlineStr">
        <is>
          <t>ОБЩЕСТВО С ОГРАНИЧЕННОЙ ОТВЕТСТВЕННОСТЬЮ "ЛЕЧЕБНО-ДИАГНОСТИЧЕСКИЙ ЦЕНТР"</t>
        </is>
      </c>
      <c r="C5235" s="13" t="n">
        <v>3811457837</v>
      </c>
      <c r="D5235" s="13" t="inlineStr">
        <is>
          <t>3811457837</t>
        </is>
      </c>
      <c r="E5235" s="13" t="inlineStr">
        <is>
          <t>ЮЛ РФ</t>
        </is>
      </c>
      <c r="F5235" s="13" t="n"/>
      <c r="G5235" s="52" t="n">
        <v>49</v>
      </c>
      <c r="H5235" s="52" t="n">
        <v>2025</v>
      </c>
      <c r="I5235" s="52" t="inlineStr">
        <is>
          <t>86.10</t>
        </is>
      </c>
      <c r="J5235" s="52" t="inlineStr">
        <is>
          <t>86.10; 47.19; 68.31.2; 68.31.3; 68.31.4; 75.00; 86.21; 86.23; 86.90; 86.90.1; 86.90.3; 86.90.4; 86.90.9; 87.90; 88.10</t>
        </is>
      </c>
      <c r="K5235" s="53" t="inlineStr">
        <is>
          <t>Да</t>
        </is>
      </c>
      <c r="L5235" s="53" t="inlineStr">
        <is>
          <t>Да</t>
        </is>
      </c>
      <c r="M5235" s="53" t="inlineStr">
        <is>
          <t>До 50</t>
        </is>
      </c>
      <c r="N5235" s="54" t="n">
        <v>16800</v>
      </c>
      <c r="O5235" s="55" t="inlineStr">
        <is>
          <t>31–50</t>
        </is>
      </c>
      <c r="P5235" s="16" t="inlineStr">
        <is>
          <t>ССЧР + ОКВЭД обогащены</t>
        </is>
      </c>
      <c r="Q5235" s="16" t="inlineStr">
        <is>
          <t>ФНС открытые данные ССЧР (ДатаСост 31.12.2025; набор 7707329152-sshr2019)</t>
        </is>
      </c>
      <c r="R5235" s="16" t="inlineStr">
        <is>
          <t>ЕГРЮЛ / egrul.nalog.ru (выписка)</t>
        </is>
      </c>
      <c r="S5235" t="n">
        <v>1</v>
      </c>
      <c r="T5235" s="35" t="inlineStr">
        <is>
          <t>1 — Горячий</t>
        </is>
      </c>
      <c r="U5235" s="35" t="inlineStr">
        <is>
          <t>ОКВЭД + 22+</t>
        </is>
      </c>
      <c r="V5235" s="35" t="inlineStr">
        <is>
          <t>Да</t>
        </is>
      </c>
      <c r="W5235" s="35" t="inlineStr">
        <is>
          <t>Да</t>
        </is>
      </c>
      <c r="X5235" s="35" t="inlineStr">
        <is>
          <t>Да</t>
        </is>
      </c>
    </row>
    <row r="5236" ht="15" customHeight="1" s="24">
      <c r="A5236" s="13" t="n">
        <v>802165861</v>
      </c>
      <c r="B5236" s="13" t="inlineStr">
        <is>
          <t>БАДАЛАГИН АНАТОЛИЙ АНДРЕЕВИЧ</t>
        </is>
      </c>
      <c r="C5236" s="13" t="n">
        <v>143402910540</v>
      </c>
      <c r="D5236" s="13" t="inlineStr">
        <is>
          <t>143402910540</t>
        </is>
      </c>
      <c r="E5236" s="13" t="inlineStr">
        <is>
          <t>ИП РФ / физлицо</t>
        </is>
      </c>
      <c r="F5236" s="13" t="n"/>
      <c r="G5236" s="14" t="n"/>
      <c r="H5236" s="14" t="n"/>
      <c r="I5236" s="14" t="n"/>
      <c r="J5236" s="14" t="n"/>
      <c r="K5236" s="53" t="inlineStr"/>
      <c r="L5236" s="53" t="inlineStr">
        <is>
          <t>Не определено</t>
        </is>
      </c>
      <c r="M5236" s="53" t="inlineStr"/>
      <c r="N5236" s="54" t="inlineStr"/>
      <c r="O5236" s="55" t="inlineStr"/>
      <c r="P5236" s="16" t="inlineStr">
        <is>
          <t>Требует обогащения</t>
        </is>
      </c>
      <c r="Q5236" s="16">
        <f>HYPERLINK("https://pb.nalog.ru/search.html?query=143402910540","ФНС: проверить")</f>
        <v/>
      </c>
      <c r="R5236" s="16">
        <f>HYPERLINK("https://checko.ru/search?query=3801001629","Чекко: проверить")</f>
        <v/>
      </c>
      <c r="S5236" t="n">
        <v>1</v>
      </c>
      <c r="T5236" s="35" t="inlineStr">
        <is>
          <t>4 — Не обогащён</t>
        </is>
      </c>
      <c r="U5236" s="35" t="inlineStr">
        <is>
          <t>Нет ОКВЭД/ССЧР</t>
        </is>
      </c>
      <c r="V5236" s="35" t="inlineStr">
        <is>
          <t>Не определено</t>
        </is>
      </c>
      <c r="W5236" s="35" t="inlineStr"/>
      <c r="X5236" s="35" t="inlineStr"/>
    </row>
    <row r="5237" ht="15" customHeight="1" s="24">
      <c r="A5237" s="13" t="n">
        <v>802487924</v>
      </c>
      <c r="B5237" s="13" t="inlineStr">
        <is>
          <t>ООО "Азия Сиб"</t>
        </is>
      </c>
      <c r="C5237" s="13" t="n">
        <v>3808113160</v>
      </c>
      <c r="D5237" s="13" t="inlineStr">
        <is>
          <t>3808113160</t>
        </is>
      </c>
      <c r="E5237" s="13" t="inlineStr">
        <is>
          <t>ЮЛ РФ</t>
        </is>
      </c>
      <c r="F5237" s="13" t="n"/>
      <c r="G5237" s="52" t="n">
        <v>8</v>
      </c>
      <c r="H5237" s="52" t="n">
        <v>2025</v>
      </c>
      <c r="I5237" s="14" t="n"/>
      <c r="J5237" s="14" t="n"/>
      <c r="K5237" s="53" t="inlineStr">
        <is>
          <t>Нет</t>
        </is>
      </c>
      <c r="L5237" s="53" t="inlineStr">
        <is>
          <t>Не определено</t>
        </is>
      </c>
      <c r="M5237" s="53" t="inlineStr">
        <is>
          <t>До 10</t>
        </is>
      </c>
      <c r="N5237" s="54" t="n">
        <v>3360</v>
      </c>
      <c r="O5237" s="55" t="inlineStr">
        <is>
          <t>1–15</t>
        </is>
      </c>
      <c r="P5237" s="16" t="inlineStr">
        <is>
          <t>ССЧР обогащена; ОКВЭД не найден/не загружен</t>
        </is>
      </c>
      <c r="Q5237" s="16" t="inlineStr">
        <is>
          <t>ФНС открытые данные ССЧР (ДатаСост 31.12.2025; набор 7707329152-sshr2019)</t>
        </is>
      </c>
      <c r="R5237" s="16">
        <f>HYPERLINK("https://checko.ru/search?query=3801001629","Чекко: проверить")</f>
        <v/>
      </c>
      <c r="S5237" t="n">
        <v>1</v>
      </c>
      <c r="T5237" s="35" t="inlineStr">
        <is>
          <t>4 — Не обогащён</t>
        </is>
      </c>
      <c r="U5237" s="35" t="inlineStr">
        <is>
          <t>Нет ОКВЭД/ССЧР</t>
        </is>
      </c>
      <c r="V5237" s="35" t="inlineStr">
        <is>
          <t>Не определено</t>
        </is>
      </c>
      <c r="W5237" s="35" t="inlineStr">
        <is>
          <t>Нет</t>
        </is>
      </c>
      <c r="X5237" s="35" t="inlineStr"/>
    </row>
    <row r="5238" ht="15" customHeight="1" s="24">
      <c r="A5238" s="13" t="n">
        <v>9108562</v>
      </c>
      <c r="B5238" s="13" t="inlineStr">
        <is>
          <t>Брами, ООО</t>
        </is>
      </c>
      <c r="C5238" s="13" t="n">
        <v>3808050907</v>
      </c>
      <c r="D5238" s="13" t="inlineStr">
        <is>
          <t>3808050907</t>
        </is>
      </c>
      <c r="E5238" s="13" t="inlineStr">
        <is>
          <t>ЮЛ РФ</t>
        </is>
      </c>
      <c r="F5238" s="13" t="n"/>
      <c r="G5238" s="52" t="n">
        <v>15</v>
      </c>
      <c r="H5238" s="52" t="n">
        <v>2025</v>
      </c>
      <c r="I5238" s="14" t="n"/>
      <c r="J5238" s="14" t="n"/>
      <c r="K5238" s="53" t="inlineStr">
        <is>
          <t>Нет</t>
        </is>
      </c>
      <c r="L5238" s="53" t="inlineStr">
        <is>
          <t>Не определено</t>
        </is>
      </c>
      <c r="M5238" s="53" t="inlineStr">
        <is>
          <t>До 25</t>
        </is>
      </c>
      <c r="N5238" s="54" t="n">
        <v>8400</v>
      </c>
      <c r="O5238" s="55" t="inlineStr">
        <is>
          <t>1–15</t>
        </is>
      </c>
      <c r="P5238" s="16" t="inlineStr">
        <is>
          <t>ССЧР обогащена; ОКВЭД не найден/не загружен</t>
        </is>
      </c>
      <c r="Q5238" s="16" t="inlineStr">
        <is>
          <t>ФНС открытые данные ССЧР (ДатаСост 31.12.2025; набор 7707329152-sshr2019)</t>
        </is>
      </c>
      <c r="R5238" s="16">
        <f>HYPERLINK("https://checko.ru/search?query=3801001629","Чекко: проверить")</f>
        <v/>
      </c>
      <c r="S5238" t="n">
        <v>1</v>
      </c>
      <c r="T5238" s="35" t="inlineStr">
        <is>
          <t>4 — Не обогащён</t>
        </is>
      </c>
      <c r="U5238" s="35" t="inlineStr">
        <is>
          <t>Нет ОКВЭД/ССЧР</t>
        </is>
      </c>
      <c r="V5238" s="35" t="inlineStr">
        <is>
          <t>Не определено</t>
        </is>
      </c>
      <c r="W5238" s="35" t="inlineStr">
        <is>
          <t>Нет</t>
        </is>
      </c>
      <c r="X5238" s="35" t="inlineStr"/>
    </row>
    <row r="5239" ht="15" customHeight="1" s="24">
      <c r="A5239" s="13" t="n">
        <v>9851630</v>
      </c>
      <c r="B5239" s="13" t="inlineStr">
        <is>
          <t>КонсультантПлюс в Иркутске</t>
        </is>
      </c>
      <c r="C5239" s="13" t="n">
        <v>3811441749</v>
      </c>
      <c r="D5239" s="13" t="inlineStr">
        <is>
          <t>3811441749</t>
        </is>
      </c>
      <c r="E5239" s="13" t="inlineStr">
        <is>
          <t>ЮЛ РФ</t>
        </is>
      </c>
      <c r="F5239" s="13" t="n"/>
      <c r="G5239" s="52" t="n">
        <v>26</v>
      </c>
      <c r="H5239" s="52" t="n">
        <v>2025</v>
      </c>
      <c r="I5239" s="52" t="inlineStr">
        <is>
          <t>63.11.1</t>
        </is>
      </c>
      <c r="J5239" s="52" t="inlineStr">
        <is>
          <t>63.11.1; 46.15; 46.49; 46.52; 47.41; 58.11.1; 58.12; 58.13; 58.14; 58.19; 62.01; 62.02; 62.03; 63.11; 69.10; 69.20; 73.11; 73.12; 95.11</t>
        </is>
      </c>
      <c r="K5239" s="53" t="inlineStr">
        <is>
          <t>Да</t>
        </is>
      </c>
      <c r="L5239" s="53" t="inlineStr">
        <is>
          <t>Да</t>
        </is>
      </c>
      <c r="M5239" s="53" t="inlineStr">
        <is>
          <t>До 50</t>
        </is>
      </c>
      <c r="N5239" s="54" t="n">
        <v>16800</v>
      </c>
      <c r="O5239" s="55" t="inlineStr">
        <is>
          <t>16–30</t>
        </is>
      </c>
      <c r="P5239" s="16" t="inlineStr">
        <is>
          <t>ССЧР + ОКВЭД обогащены</t>
        </is>
      </c>
      <c r="Q5239" s="16" t="inlineStr">
        <is>
          <t>ФНС открытые данные ССЧР (ДатаСост 31.12.2025; набор 7707329152-sshr2019)</t>
        </is>
      </c>
      <c r="R5239" s="16" t="inlineStr">
        <is>
          <t>ЕГРЮЛ / egrul.nalog.ru (выписка)</t>
        </is>
      </c>
      <c r="S5239" t="n">
        <v>1</v>
      </c>
      <c r="T5239" s="35" t="inlineStr">
        <is>
          <t>1 — Горячий</t>
        </is>
      </c>
      <c r="U5239" s="35" t="inlineStr">
        <is>
          <t>ОКВЭД + 22+</t>
        </is>
      </c>
      <c r="V5239" s="35" t="inlineStr">
        <is>
          <t>Да</t>
        </is>
      </c>
      <c r="W5239" s="35" t="inlineStr">
        <is>
          <t>Да</t>
        </is>
      </c>
      <c r="X5239" s="35" t="inlineStr">
        <is>
          <t>Да</t>
        </is>
      </c>
    </row>
    <row r="5240" ht="27.75" customHeight="1" s="24">
      <c r="A5240" s="13" t="n">
        <v>9901200</v>
      </c>
      <c r="B5240" s="13" t="inlineStr">
        <is>
          <t>Акционерное общество "Дорожная Служба Иркутской Области</t>
        </is>
      </c>
      <c r="C5240" s="13" t="n">
        <v>3808166080</v>
      </c>
      <c r="D5240" s="13" t="inlineStr">
        <is>
          <t>3808166080</t>
        </is>
      </c>
      <c r="E5240" s="13" t="inlineStr">
        <is>
          <t>ЮЛ РФ</t>
        </is>
      </c>
      <c r="F5240" s="13" t="n"/>
      <c r="G5240" s="52" t="n">
        <v>228</v>
      </c>
      <c r="H5240" s="52" t="n">
        <v>2025</v>
      </c>
      <c r="I5240" s="52" t="inlineStr">
        <is>
          <t>52.21.22</t>
        </is>
      </c>
      <c r="J5240" s="52" t="inlineStr">
        <is>
          <t>52.21.22; 08.12.1; 23.61.2; 23.63; 23.99; 35.30.14; 52.21.23; 02.20; 08.11; 08.12; 23.70.1; 33.12; 41.20; 42.11; 42.12; 42.13; 43.12.3; 43.99; 45.20; 46.71; 49.20; 52.10.4; 52.10.21; 52.21.1; 52.22.2; 52.29; 55.90; 62.01; 62.02; 68.10; 68.20; 70.10; 71.12.1; 71.12.6; 71.12.41; 71.12.45; 71.20; 77.32; 77.39; 81.29</t>
        </is>
      </c>
      <c r="K5240" s="53" t="inlineStr">
        <is>
          <t>Да</t>
        </is>
      </c>
      <c r="L5240" s="53" t="inlineStr">
        <is>
          <t>Да</t>
        </is>
      </c>
      <c r="M5240" s="53" t="inlineStr">
        <is>
          <t>До 500</t>
        </is>
      </c>
      <c r="N5240" s="54" t="n">
        <v>144000</v>
      </c>
      <c r="O5240" s="55" t="inlineStr">
        <is>
          <t>201–500</t>
        </is>
      </c>
      <c r="P5240" s="16" t="inlineStr">
        <is>
          <t>ССЧР + ОКВЭД обогащены</t>
        </is>
      </c>
      <c r="Q5240" s="16" t="inlineStr">
        <is>
          <t>ФНС открытые данные ССЧР (ДатаСост 31.12.2025; набор 7707329152-sshr2019)</t>
        </is>
      </c>
      <c r="R5240" s="16" t="inlineStr">
        <is>
          <t>ЕГРЮЛ / egrul.nalog.ru (выписка)</t>
        </is>
      </c>
      <c r="S5240" t="n">
        <v>1</v>
      </c>
      <c r="T5240" s="35" t="inlineStr">
        <is>
          <t>1 — Горячий</t>
        </is>
      </c>
      <c r="U5240" s="35" t="inlineStr">
        <is>
          <t>ОКВЭД + 22+</t>
        </is>
      </c>
      <c r="V5240" s="35" t="inlineStr">
        <is>
          <t>Да</t>
        </is>
      </c>
      <c r="W5240" s="35" t="inlineStr">
        <is>
          <t>Да</t>
        </is>
      </c>
      <c r="X5240" s="35" t="inlineStr">
        <is>
          <t>Да</t>
        </is>
      </c>
    </row>
    <row r="5241" ht="15" customHeight="1" s="24">
      <c r="A5241" s="13" t="n">
        <v>800415287</v>
      </c>
      <c r="B5241" s="13" t="inlineStr">
        <is>
          <t>ООО "Торговые технологии"</t>
        </is>
      </c>
      <c r="C5241" s="13" t="n">
        <v>3811120939</v>
      </c>
      <c r="D5241" s="13" t="inlineStr">
        <is>
          <t>3811120939</t>
        </is>
      </c>
      <c r="E5241" s="13" t="inlineStr">
        <is>
          <t>ЮЛ РФ</t>
        </is>
      </c>
      <c r="F5241" s="13" t="n"/>
      <c r="G5241" s="52" t="n">
        <v>5</v>
      </c>
      <c r="H5241" s="52" t="n">
        <v>2025</v>
      </c>
      <c r="I5241" s="14" t="n"/>
      <c r="J5241" s="14" t="n"/>
      <c r="K5241" s="53" t="inlineStr">
        <is>
          <t>Нет</t>
        </is>
      </c>
      <c r="L5241" s="53" t="inlineStr">
        <is>
          <t>Не определено</t>
        </is>
      </c>
      <c r="M5241" s="53" t="inlineStr">
        <is>
          <t>До 10</t>
        </is>
      </c>
      <c r="N5241" s="54" t="n">
        <v>3360</v>
      </c>
      <c r="O5241" s="55" t="inlineStr">
        <is>
          <t>1–15</t>
        </is>
      </c>
      <c r="P5241" s="16" t="inlineStr">
        <is>
          <t>ССЧР обогащена; ОКВЭД не найден/не загружен</t>
        </is>
      </c>
      <c r="Q5241" s="16" t="inlineStr">
        <is>
          <t>ФНС открытые данные ССЧР (ДатаСост 31.12.2025; набор 7707329152-sshr2019)</t>
        </is>
      </c>
      <c r="R5241" s="16">
        <f>HYPERLINK("https://checko.ru/search?query=3801001629","Чекко: проверить")</f>
        <v/>
      </c>
      <c r="S5241" t="n">
        <v>1</v>
      </c>
      <c r="T5241" s="35" t="inlineStr">
        <is>
          <t>4 — Не обогащён</t>
        </is>
      </c>
      <c r="U5241" s="35" t="inlineStr">
        <is>
          <t>Нет ОКВЭД/ССЧР</t>
        </is>
      </c>
      <c r="V5241" s="35" t="inlineStr">
        <is>
          <t>Не определено</t>
        </is>
      </c>
      <c r="W5241" s="35" t="inlineStr">
        <is>
          <t>Нет</t>
        </is>
      </c>
      <c r="X5241" s="35" t="inlineStr"/>
    </row>
    <row r="5242" ht="15" customHeight="1" s="24">
      <c r="A5242" s="13" t="n">
        <v>800434358</v>
      </c>
      <c r="B5242" s="13" t="inlineStr">
        <is>
          <t>Химсервис, ООО</t>
        </is>
      </c>
      <c r="C5242" s="13" t="n">
        <v>3811081969</v>
      </c>
      <c r="D5242" s="13" t="inlineStr">
        <is>
          <t>3811081969</t>
        </is>
      </c>
      <c r="E5242" s="13" t="inlineStr">
        <is>
          <t>ЮЛ РФ</t>
        </is>
      </c>
      <c r="F5242" s="13" t="n"/>
      <c r="G5242" s="52" t="n">
        <v>30</v>
      </c>
      <c r="H5242" s="52" t="n">
        <v>2025</v>
      </c>
      <c r="I5242" s="52" t="inlineStr">
        <is>
          <t>46.69.2</t>
        </is>
      </c>
      <c r="J5242" s="52" t="inlineStr">
        <is>
          <t>46.69.2; 19.20.9; 20.12; 20.16; 20.52; 22.21; 23.20; 23.64; 25.61; 25.62; 28.96; 33.11; 33.12; 33.13; 33.20; 41.20; 43.99; 46.13; 46.14.9; 46.18; 46.19; 46.41; 46.42; 46.49; 46.52; 46.71; 46.73.4; 46.74; 46.75; 46.76; 46.77; 46.90; 47.91; 52.10; 63.11.1; 64.99; 68.31; 70.22; 71.20; 72.19; 73.11; 74.90</t>
        </is>
      </c>
      <c r="K5242" s="53" t="inlineStr">
        <is>
          <t>Да</t>
        </is>
      </c>
      <c r="L5242" s="53" t="inlineStr">
        <is>
          <t>Да</t>
        </is>
      </c>
      <c r="M5242" s="53" t="inlineStr">
        <is>
          <t>До 50</t>
        </is>
      </c>
      <c r="N5242" s="54" t="n">
        <v>16800</v>
      </c>
      <c r="O5242" s="55" t="inlineStr">
        <is>
          <t>16–30</t>
        </is>
      </c>
      <c r="P5242" s="16" t="inlineStr">
        <is>
          <t>ССЧР + ОКВЭД обогащены</t>
        </is>
      </c>
      <c r="Q5242" s="16" t="inlineStr">
        <is>
          <t>ФНС открытые данные ССЧР (ДатаСост 31.12.2025; набор 7707329152-sshr2019)</t>
        </is>
      </c>
      <c r="R5242" s="16" t="inlineStr">
        <is>
          <t>ЕГРЮЛ / egrul.nalog.ru (выписка)</t>
        </is>
      </c>
      <c r="S5242" t="n">
        <v>1</v>
      </c>
      <c r="T5242" s="35" t="inlineStr">
        <is>
          <t>1 — Горячий</t>
        </is>
      </c>
      <c r="U5242" s="35" t="inlineStr">
        <is>
          <t>ОКВЭД + 22+</t>
        </is>
      </c>
      <c r="V5242" s="35" t="inlineStr">
        <is>
          <t>Да</t>
        </is>
      </c>
      <c r="W5242" s="35" t="inlineStr">
        <is>
          <t>Да</t>
        </is>
      </c>
      <c r="X5242" s="35" t="inlineStr">
        <is>
          <t>Да</t>
        </is>
      </c>
    </row>
    <row r="5243" ht="15" customHeight="1" s="24">
      <c r="A5243" s="13" t="n">
        <v>9888580</v>
      </c>
      <c r="B5243" s="13" t="inlineStr">
        <is>
          <t>ООО "БАЙКАЛ - ОЙЛ +"</t>
        </is>
      </c>
      <c r="C5243" s="13" t="n">
        <v>3827027893</v>
      </c>
      <c r="D5243" s="13" t="inlineStr">
        <is>
          <t>3827027893</t>
        </is>
      </c>
      <c r="E5243" s="13" t="inlineStr">
        <is>
          <t>ЮЛ РФ</t>
        </is>
      </c>
      <c r="F5243" s="13" t="n"/>
      <c r="G5243" s="52" t="n">
        <v>6</v>
      </c>
      <c r="H5243" s="52" t="n">
        <v>2025</v>
      </c>
      <c r="I5243" s="14" t="n"/>
      <c r="J5243" s="14" t="n"/>
      <c r="K5243" s="53" t="inlineStr">
        <is>
          <t>Нет</t>
        </is>
      </c>
      <c r="L5243" s="53" t="inlineStr">
        <is>
          <t>Не определено</t>
        </is>
      </c>
      <c r="M5243" s="53" t="inlineStr">
        <is>
          <t>До 10</t>
        </is>
      </c>
      <c r="N5243" s="54" t="n">
        <v>3360</v>
      </c>
      <c r="O5243" s="55" t="inlineStr">
        <is>
          <t>1–15</t>
        </is>
      </c>
      <c r="P5243" s="16" t="inlineStr">
        <is>
          <t>ССЧР обогащена; ОКВЭД не найден/не загружен</t>
        </is>
      </c>
      <c r="Q5243" s="16" t="inlineStr">
        <is>
          <t>ФНС открытые данные ССЧР (ДатаСост 31.12.2025; набор 7707329152-sshr2019)</t>
        </is>
      </c>
      <c r="R5243" s="16">
        <f>HYPERLINK("https://checko.ru/search?query=3801001629","Чекко: проверить")</f>
        <v/>
      </c>
      <c r="S5243" t="n">
        <v>1</v>
      </c>
      <c r="T5243" s="35" t="inlineStr">
        <is>
          <t>4 — Не обогащён</t>
        </is>
      </c>
      <c r="U5243" s="35" t="inlineStr">
        <is>
          <t>Нет ОКВЭД/ССЧР</t>
        </is>
      </c>
      <c r="V5243" s="35" t="inlineStr">
        <is>
          <t>Не определено</t>
        </is>
      </c>
      <c r="W5243" s="35" t="inlineStr">
        <is>
          <t>Нет</t>
        </is>
      </c>
      <c r="X5243" s="35" t="inlineStr"/>
    </row>
    <row r="5244" ht="15" customHeight="1" s="24">
      <c r="A5244" s="13" t="n">
        <v>800837345</v>
      </c>
      <c r="B5244" s="13" t="inlineStr">
        <is>
          <t>Желдорэкспресс</t>
        </is>
      </c>
      <c r="C5244" s="13" t="n">
        <v>3812134290</v>
      </c>
      <c r="D5244" s="13" t="inlineStr">
        <is>
          <t>3812134290</t>
        </is>
      </c>
      <c r="E5244" s="13" t="inlineStr">
        <is>
          <t>ЮЛ РФ</t>
        </is>
      </c>
      <c r="F5244" s="13" t="n"/>
      <c r="G5244" s="52" t="n">
        <v>7</v>
      </c>
      <c r="H5244" s="52" t="n">
        <v>2025</v>
      </c>
      <c r="I5244" s="14" t="n"/>
      <c r="J5244" s="14" t="n"/>
      <c r="K5244" s="53" t="inlineStr">
        <is>
          <t>Нет</t>
        </is>
      </c>
      <c r="L5244" s="53" t="inlineStr">
        <is>
          <t>Не определено</t>
        </is>
      </c>
      <c r="M5244" s="53" t="inlineStr">
        <is>
          <t>До 10</t>
        </is>
      </c>
      <c r="N5244" s="54" t="n">
        <v>3360</v>
      </c>
      <c r="O5244" s="55" t="inlineStr">
        <is>
          <t>1–15</t>
        </is>
      </c>
      <c r="P5244" s="16" t="inlineStr">
        <is>
          <t>ССЧР обогащена; ОКВЭД не найден/не загружен</t>
        </is>
      </c>
      <c r="Q5244" s="16" t="inlineStr">
        <is>
          <t>ФНС открытые данные ССЧР (ДатаСост 31.12.2025; набор 7707329152-sshr2019)</t>
        </is>
      </c>
      <c r="R5244" s="16">
        <f>HYPERLINK("https://checko.ru/search?query=3801001629","Чекко: проверить")</f>
        <v/>
      </c>
      <c r="S5244" t="n">
        <v>1</v>
      </c>
      <c r="T5244" s="35" t="inlineStr">
        <is>
          <t>4 — Не обогащён</t>
        </is>
      </c>
      <c r="U5244" s="35" t="inlineStr">
        <is>
          <t>Нет ОКВЭД/ССЧР</t>
        </is>
      </c>
      <c r="V5244" s="35" t="inlineStr">
        <is>
          <t>Не определено</t>
        </is>
      </c>
      <c r="W5244" s="35" t="inlineStr">
        <is>
          <t>Нет</t>
        </is>
      </c>
      <c r="X5244" s="35" t="inlineStr"/>
    </row>
    <row r="5245" ht="15" customHeight="1" s="24">
      <c r="A5245" s="13" t="n">
        <v>800437724</v>
      </c>
      <c r="B5245" s="13" t="inlineStr">
        <is>
          <t>Подъемник+</t>
        </is>
      </c>
      <c r="C5245" s="13" t="n">
        <v>3808088227</v>
      </c>
      <c r="D5245" s="13" t="inlineStr">
        <is>
          <t>3808088227</t>
        </is>
      </c>
      <c r="E5245" s="13" t="inlineStr">
        <is>
          <t>ЮЛ РФ</t>
        </is>
      </c>
      <c r="F5245" s="13" t="n"/>
      <c r="G5245" s="52" t="n">
        <v>10</v>
      </c>
      <c r="H5245" s="52" t="n">
        <v>2025</v>
      </c>
      <c r="I5245" s="14" t="n"/>
      <c r="J5245" s="14" t="n"/>
      <c r="K5245" s="53" t="inlineStr">
        <is>
          <t>Нет</t>
        </is>
      </c>
      <c r="L5245" s="53" t="inlineStr">
        <is>
          <t>Не определено</t>
        </is>
      </c>
      <c r="M5245" s="53" t="inlineStr">
        <is>
          <t>До 10</t>
        </is>
      </c>
      <c r="N5245" s="54" t="n">
        <v>3360</v>
      </c>
      <c r="O5245" s="55" t="inlineStr">
        <is>
          <t>1–15</t>
        </is>
      </c>
      <c r="P5245" s="16" t="inlineStr">
        <is>
          <t>ССЧР обогащена; ОКВЭД не найден/не загружен</t>
        </is>
      </c>
      <c r="Q5245" s="16" t="inlineStr">
        <is>
          <t>ФНС открытые данные ССЧР (ДатаСост 31.12.2025; набор 7707329152-sshr2019)</t>
        </is>
      </c>
      <c r="R5245" s="16">
        <f>HYPERLINK("https://checko.ru/search?query=3801001629","Чекко: проверить")</f>
        <v/>
      </c>
      <c r="S5245" t="n">
        <v>1</v>
      </c>
      <c r="T5245" s="35" t="inlineStr">
        <is>
          <t>4 — Не обогащён</t>
        </is>
      </c>
      <c r="U5245" s="35" t="inlineStr">
        <is>
          <t>Нет ОКВЭД/ССЧР</t>
        </is>
      </c>
      <c r="V5245" s="35" t="inlineStr">
        <is>
          <t>Не определено</t>
        </is>
      </c>
      <c r="W5245" s="35" t="inlineStr">
        <is>
          <t>Нет</t>
        </is>
      </c>
      <c r="X5245" s="35" t="inlineStr"/>
    </row>
    <row r="5246" ht="15" customHeight="1" s="24">
      <c r="A5246" s="13" t="n">
        <v>800461983</v>
      </c>
      <c r="B5246" s="13" t="inlineStr">
        <is>
          <t>Сибимпорт</t>
        </is>
      </c>
      <c r="C5246" s="13" t="n">
        <v>3808134635</v>
      </c>
      <c r="D5246" s="13" t="inlineStr">
        <is>
          <t>3808134635</t>
        </is>
      </c>
      <c r="E5246" s="13" t="inlineStr">
        <is>
          <t>ЮЛ РФ</t>
        </is>
      </c>
      <c r="F5246" s="13" t="n"/>
      <c r="G5246" s="52" t="n">
        <v>7</v>
      </c>
      <c r="H5246" s="52" t="n">
        <v>2025</v>
      </c>
      <c r="I5246" s="14" t="n"/>
      <c r="J5246" s="14" t="n"/>
      <c r="K5246" s="53" t="inlineStr">
        <is>
          <t>Нет</t>
        </is>
      </c>
      <c r="L5246" s="53" t="inlineStr">
        <is>
          <t>Не определено</t>
        </is>
      </c>
      <c r="M5246" s="53" t="inlineStr">
        <is>
          <t>До 10</t>
        </is>
      </c>
      <c r="N5246" s="54" t="n">
        <v>3360</v>
      </c>
      <c r="O5246" s="55" t="inlineStr">
        <is>
          <t>1–15</t>
        </is>
      </c>
      <c r="P5246" s="16" t="inlineStr">
        <is>
          <t>ССЧР обогащена; ОКВЭД не найден/не загружен</t>
        </is>
      </c>
      <c r="Q5246" s="16" t="inlineStr">
        <is>
          <t>ФНС открытые данные ССЧР (ДатаСост 31.12.2025; набор 7707329152-sshr2019)</t>
        </is>
      </c>
      <c r="R5246" s="16">
        <f>HYPERLINK("https://checko.ru/search?query=3801001629","Чекко: проверить")</f>
        <v/>
      </c>
      <c r="S5246" t="n">
        <v>1</v>
      </c>
      <c r="T5246" s="35" t="inlineStr">
        <is>
          <t>4 — Не обогащён</t>
        </is>
      </c>
      <c r="U5246" s="35" t="inlineStr">
        <is>
          <t>Нет ОКВЭД/ССЧР</t>
        </is>
      </c>
      <c r="V5246" s="35" t="inlineStr">
        <is>
          <t>Не определено</t>
        </is>
      </c>
      <c r="W5246" s="35" t="inlineStr">
        <is>
          <t>Нет</t>
        </is>
      </c>
      <c r="X5246" s="35" t="inlineStr"/>
    </row>
    <row r="5247" ht="15" customHeight="1" s="24">
      <c r="A5247" s="13" t="n">
        <v>9197635</v>
      </c>
      <c r="B5247" s="13" t="inlineStr">
        <is>
          <t>ООО "Верхнеленское Речное Пароходство"</t>
        </is>
      </c>
      <c r="C5247" s="13" t="n">
        <v>3818013862</v>
      </c>
      <c r="D5247" s="13" t="inlineStr">
        <is>
          <t>3818013862</t>
        </is>
      </c>
      <c r="E5247" s="13" t="inlineStr">
        <is>
          <t>ЮЛ РФ</t>
        </is>
      </c>
      <c r="F5247" s="13" t="n"/>
      <c r="G5247" s="52" t="n">
        <v>383</v>
      </c>
      <c r="H5247" s="52" t="n">
        <v>2025</v>
      </c>
      <c r="I5247" s="52" t="inlineStr">
        <is>
          <t>50.40.1</t>
        </is>
      </c>
      <c r="J5247" s="52" t="inlineStr">
        <is>
          <t>50.40.1; 52.24.2; 77.39.11; 46.73; 46.76; 46.90; 50.10; 50.20; 50.20.3; 50.20.42; 50.30; 50.40; 52.10; 52.24; 68.20; 82.99; 85.42.9</t>
        </is>
      </c>
      <c r="K5247" s="53" t="inlineStr">
        <is>
          <t>Да</t>
        </is>
      </c>
      <c r="L5247" s="53" t="inlineStr">
        <is>
          <t>Да</t>
        </is>
      </c>
      <c r="M5247" s="53" t="inlineStr">
        <is>
          <t>До 500</t>
        </is>
      </c>
      <c r="N5247" s="54" t="n">
        <v>144000</v>
      </c>
      <c r="O5247" s="55" t="inlineStr">
        <is>
          <t>201–500</t>
        </is>
      </c>
      <c r="P5247" s="16" t="inlineStr">
        <is>
          <t>ССЧР + ОКВЭД обогащены</t>
        </is>
      </c>
      <c r="Q5247" s="16" t="inlineStr">
        <is>
          <t>ФНС открытые данные ССЧР (ДатаСост 31.12.2025; набор 7707329152-sshr2019)</t>
        </is>
      </c>
      <c r="R5247" s="16" t="inlineStr">
        <is>
          <t>ЕГРЮЛ / egrul.nalog.ru (выписка)</t>
        </is>
      </c>
      <c r="S5247" t="n">
        <v>1</v>
      </c>
      <c r="T5247" s="35" t="inlineStr">
        <is>
          <t>1 — Горячий</t>
        </is>
      </c>
      <c r="U5247" s="35" t="inlineStr">
        <is>
          <t>ОКВЭД + 22+</t>
        </is>
      </c>
      <c r="V5247" s="35" t="inlineStr">
        <is>
          <t>Да</t>
        </is>
      </c>
      <c r="W5247" s="35" t="inlineStr">
        <is>
          <t>Да</t>
        </is>
      </c>
      <c r="X5247" s="35" t="inlineStr">
        <is>
          <t>Да</t>
        </is>
      </c>
    </row>
    <row r="5248" ht="15" customHeight="1" s="24">
      <c r="A5248" s="13" t="n">
        <v>800424419</v>
      </c>
      <c r="B5248" s="13" t="inlineStr">
        <is>
          <t>ИП Знаменский Артем Александрович</t>
        </is>
      </c>
      <c r="C5248" s="13" t="n">
        <v>380803621734</v>
      </c>
      <c r="D5248" s="13" t="inlineStr">
        <is>
          <t>380803621734</t>
        </is>
      </c>
      <c r="E5248" s="13" t="inlineStr">
        <is>
          <t>ИП РФ / физлицо</t>
        </is>
      </c>
      <c r="F5248" s="13" t="n"/>
      <c r="G5248" s="14" t="n"/>
      <c r="H5248" s="14" t="n"/>
      <c r="I5248" s="14" t="n"/>
      <c r="J5248" s="14" t="n"/>
      <c r="K5248" s="53" t="inlineStr"/>
      <c r="L5248" s="53" t="inlineStr">
        <is>
          <t>Не определено</t>
        </is>
      </c>
      <c r="M5248" s="53" t="inlineStr"/>
      <c r="N5248" s="54" t="inlineStr"/>
      <c r="O5248" s="55" t="inlineStr"/>
      <c r="P5248" s="16" t="inlineStr">
        <is>
          <t>Требует обогащения</t>
        </is>
      </c>
      <c r="Q5248" s="16">
        <f>HYPERLINK("https://pb.nalog.ru/search.html?query=380803621734","ФНС: проверить")</f>
        <v/>
      </c>
      <c r="R5248" s="16">
        <f>HYPERLINK("https://checko.ru/search?query=3801001629","Чекко: проверить")</f>
        <v/>
      </c>
      <c r="S5248" t="n">
        <v>1</v>
      </c>
      <c r="T5248" s="35" t="inlineStr">
        <is>
          <t>4 — Не обогащён</t>
        </is>
      </c>
      <c r="U5248" s="35" t="inlineStr">
        <is>
          <t>Нет ОКВЭД/ССЧР</t>
        </is>
      </c>
      <c r="V5248" s="35" t="inlineStr">
        <is>
          <t>Не определено</t>
        </is>
      </c>
      <c r="W5248" s="35" t="inlineStr"/>
      <c r="X5248" s="35" t="inlineStr"/>
    </row>
    <row r="5249" ht="27.75" customHeight="1" s="24">
      <c r="A5249" s="13" t="n">
        <v>800591760</v>
      </c>
      <c r="B5249" s="13" t="inlineStr">
        <is>
          <t>Общество с ограниченной ответственностью "ТЕРМООЛИМП"</t>
        </is>
      </c>
      <c r="C5249" s="13" t="n">
        <v>3810074126</v>
      </c>
      <c r="D5249" s="13" t="inlineStr">
        <is>
          <t>3810074126</t>
        </is>
      </c>
      <c r="E5249" s="13" t="inlineStr">
        <is>
          <t>ЮЛ РФ</t>
        </is>
      </c>
      <c r="F5249" s="13" t="n"/>
      <c r="G5249" s="52" t="n">
        <v>8</v>
      </c>
      <c r="H5249" s="52" t="n">
        <v>2025</v>
      </c>
      <c r="I5249" s="14" t="n"/>
      <c r="J5249" s="14" t="n"/>
      <c r="K5249" s="53" t="inlineStr">
        <is>
          <t>Нет</t>
        </is>
      </c>
      <c r="L5249" s="53" t="inlineStr">
        <is>
          <t>Не определено</t>
        </is>
      </c>
      <c r="M5249" s="53" t="inlineStr">
        <is>
          <t>До 10</t>
        </is>
      </c>
      <c r="N5249" s="54" t="n">
        <v>3360</v>
      </c>
      <c r="O5249" s="55" t="inlineStr">
        <is>
          <t>1–15</t>
        </is>
      </c>
      <c r="P5249" s="16" t="inlineStr">
        <is>
          <t>ССЧР обогащена; ОКВЭД не найден/не загружен</t>
        </is>
      </c>
      <c r="Q5249" s="16" t="inlineStr">
        <is>
          <t>ФНС открытые данные ССЧР (ДатаСост 31.12.2025; набор 7707329152-sshr2019)</t>
        </is>
      </c>
      <c r="R5249" s="16">
        <f>HYPERLINK("https://checko.ru/search?query=3801001629","Чекко: проверить")</f>
        <v/>
      </c>
      <c r="S5249" t="n">
        <v>1</v>
      </c>
      <c r="T5249" s="35" t="inlineStr">
        <is>
          <t>4 — Не обогащён</t>
        </is>
      </c>
      <c r="U5249" s="35" t="inlineStr">
        <is>
          <t>Нет ОКВЭД/ССЧР</t>
        </is>
      </c>
      <c r="V5249" s="35" t="inlineStr">
        <is>
          <t>Не определено</t>
        </is>
      </c>
      <c r="W5249" s="35" t="inlineStr">
        <is>
          <t>Нет</t>
        </is>
      </c>
      <c r="X5249" s="35" t="inlineStr"/>
    </row>
    <row r="5250" ht="15" customHeight="1" s="24">
      <c r="A5250" s="13" t="n">
        <v>802319550</v>
      </c>
      <c r="B5250" s="13" t="inlineStr">
        <is>
          <t>Прокушкин Сергей Викторович, Инн 380202889208</t>
        </is>
      </c>
      <c r="C5250" s="13" t="n">
        <v>380202889208</v>
      </c>
      <c r="D5250" s="13" t="inlineStr">
        <is>
          <t>380202889208</t>
        </is>
      </c>
      <c r="E5250" s="13" t="inlineStr">
        <is>
          <t>ИП РФ / физлицо</t>
        </is>
      </c>
      <c r="F5250" s="13" t="n"/>
      <c r="G5250" s="14" t="n"/>
      <c r="H5250" s="14" t="n"/>
      <c r="I5250" s="14" t="n"/>
      <c r="J5250" s="14" t="n"/>
      <c r="K5250" s="53" t="inlineStr"/>
      <c r="L5250" s="53" t="inlineStr">
        <is>
          <t>Не определено</t>
        </is>
      </c>
      <c r="M5250" s="53" t="inlineStr"/>
      <c r="N5250" s="54" t="inlineStr"/>
      <c r="O5250" s="55" t="inlineStr"/>
      <c r="P5250" s="16" t="inlineStr">
        <is>
          <t>Требует обогащения</t>
        </is>
      </c>
      <c r="Q5250" s="16">
        <f>HYPERLINK("https://pb.nalog.ru/search.html?query=380202889208","ФНС: проверить")</f>
        <v/>
      </c>
      <c r="R5250" s="16">
        <f>HYPERLINK("https://checko.ru/search?query=3801001629","Чекко: проверить")</f>
        <v/>
      </c>
      <c r="S5250" t="n">
        <v>1</v>
      </c>
      <c r="T5250" s="35" t="inlineStr">
        <is>
          <t>4 — Не обогащён</t>
        </is>
      </c>
      <c r="U5250" s="35" t="inlineStr">
        <is>
          <t>Нет ОКВЭД/ССЧР</t>
        </is>
      </c>
      <c r="V5250" s="35" t="inlineStr">
        <is>
          <t>Не определено</t>
        </is>
      </c>
      <c r="W5250" s="35" t="inlineStr"/>
      <c r="X5250" s="35" t="inlineStr"/>
    </row>
    <row r="5251" ht="15" customHeight="1" s="24">
      <c r="A5251" s="13" t="n">
        <v>9820880</v>
      </c>
      <c r="B5251" s="13" t="inlineStr">
        <is>
          <t>ИП Макарова Маргарита Юрьевна</t>
        </is>
      </c>
      <c r="C5251" s="13" t="n">
        <v>381102415566</v>
      </c>
      <c r="D5251" s="13" t="inlineStr">
        <is>
          <t>381102415566</t>
        </is>
      </c>
      <c r="E5251" s="13" t="inlineStr">
        <is>
          <t>ИП РФ / физлицо</t>
        </is>
      </c>
      <c r="F5251" s="13" t="n"/>
      <c r="G5251" s="14" t="n"/>
      <c r="H5251" s="14" t="n"/>
      <c r="I5251" s="14" t="n"/>
      <c r="J5251" s="14" t="n"/>
      <c r="K5251" s="53" t="inlineStr"/>
      <c r="L5251" s="53" t="inlineStr">
        <is>
          <t>Не определено</t>
        </is>
      </c>
      <c r="M5251" s="53" t="inlineStr"/>
      <c r="N5251" s="54" t="inlineStr"/>
      <c r="O5251" s="55" t="inlineStr"/>
      <c r="P5251" s="16" t="inlineStr">
        <is>
          <t>Требует обогащения</t>
        </is>
      </c>
      <c r="Q5251" s="16">
        <f>HYPERLINK("https://pb.nalog.ru/search.html?query=381102415566","ФНС: проверить")</f>
        <v/>
      </c>
      <c r="R5251" s="16">
        <f>HYPERLINK("https://checko.ru/search?query=3801001629","Чекко: проверить")</f>
        <v/>
      </c>
      <c r="S5251" t="n">
        <v>1</v>
      </c>
      <c r="T5251" s="35" t="inlineStr">
        <is>
          <t>4 — Не обогащён</t>
        </is>
      </c>
      <c r="U5251" s="35" t="inlineStr">
        <is>
          <t>Нет ОКВЭД/ССЧР</t>
        </is>
      </c>
      <c r="V5251" s="35" t="inlineStr">
        <is>
          <t>Не определено</t>
        </is>
      </c>
      <c r="W5251" s="35" t="inlineStr"/>
      <c r="X5251" s="35" t="inlineStr"/>
    </row>
    <row r="5252" ht="15" customHeight="1" s="24">
      <c r="A5252" s="13" t="n">
        <v>802499397</v>
      </c>
      <c r="B5252" s="13" t="inlineStr">
        <is>
          <t>"СТ-СЕРВИС"</t>
        </is>
      </c>
      <c r="C5252" s="13" t="n">
        <v>3808292712</v>
      </c>
      <c r="D5252" s="13" t="inlineStr">
        <is>
          <t>3808292712</t>
        </is>
      </c>
      <c r="E5252" s="13" t="inlineStr">
        <is>
          <t>ЮЛ РФ</t>
        </is>
      </c>
      <c r="F5252" s="13" t="n"/>
      <c r="G5252" s="52" t="n">
        <v>5</v>
      </c>
      <c r="H5252" s="52" t="n">
        <v>2025</v>
      </c>
      <c r="I5252" s="14" t="n"/>
      <c r="J5252" s="14" t="n"/>
      <c r="K5252" s="53" t="inlineStr">
        <is>
          <t>Нет</t>
        </is>
      </c>
      <c r="L5252" s="53" t="inlineStr">
        <is>
          <t>Не определено</t>
        </is>
      </c>
      <c r="M5252" s="53" t="inlineStr">
        <is>
          <t>До 10</t>
        </is>
      </c>
      <c r="N5252" s="54" t="n">
        <v>3360</v>
      </c>
      <c r="O5252" s="55" t="inlineStr">
        <is>
          <t>1–15</t>
        </is>
      </c>
      <c r="P5252" s="16" t="inlineStr">
        <is>
          <t>ССЧР обогащена; ОКВЭД не найден/не загружен</t>
        </is>
      </c>
      <c r="Q5252" s="16" t="inlineStr">
        <is>
          <t>ФНС открытые данные ССЧР (ДатаСост 31.12.2025; набор 7707329152-sshr2019)</t>
        </is>
      </c>
      <c r="R5252" s="16">
        <f>HYPERLINK("https://checko.ru/search?query=3801001629","Чекко: проверить")</f>
        <v/>
      </c>
      <c r="S5252" t="n">
        <v>1</v>
      </c>
      <c r="T5252" s="35" t="inlineStr">
        <is>
          <t>4 — Не обогащён</t>
        </is>
      </c>
      <c r="U5252" s="35" t="inlineStr">
        <is>
          <t>Нет ОКВЭД/ССЧР</t>
        </is>
      </c>
      <c r="V5252" s="35" t="inlineStr">
        <is>
          <t>Не определено</t>
        </is>
      </c>
      <c r="W5252" s="35" t="inlineStr">
        <is>
          <t>Нет</t>
        </is>
      </c>
      <c r="X5252" s="35" t="inlineStr"/>
    </row>
    <row r="5253" ht="27.75" customHeight="1" s="24">
      <c r="A5253" s="13" t="n">
        <v>802160452</v>
      </c>
      <c r="B5253" s="13" t="inlineStr">
        <is>
          <t>Индивидуальный предприниматель Сапрыкина Елена Александровна</t>
        </is>
      </c>
      <c r="C5253" s="13" t="n">
        <v>380205299990</v>
      </c>
      <c r="D5253" s="13" t="inlineStr">
        <is>
          <t>380205299990</t>
        </is>
      </c>
      <c r="E5253" s="13" t="inlineStr">
        <is>
          <t>ИП РФ / физлицо</t>
        </is>
      </c>
      <c r="F5253" s="13" t="n"/>
      <c r="G5253" s="14" t="n"/>
      <c r="H5253" s="14" t="n"/>
      <c r="I5253" s="14" t="n"/>
      <c r="J5253" s="14" t="n"/>
      <c r="K5253" s="53" t="inlineStr"/>
      <c r="L5253" s="53" t="inlineStr">
        <is>
          <t>Не определено</t>
        </is>
      </c>
      <c r="M5253" s="53" t="inlineStr"/>
      <c r="N5253" s="54" t="inlineStr"/>
      <c r="O5253" s="55" t="inlineStr"/>
      <c r="P5253" s="16" t="inlineStr">
        <is>
          <t>Требует обогащения</t>
        </is>
      </c>
      <c r="Q5253" s="16">
        <f>HYPERLINK("https://pb.nalog.ru/search.html?query=380205299990","ФНС: проверить")</f>
        <v/>
      </c>
      <c r="R5253" s="16">
        <f>HYPERLINK("https://checko.ru/search?query=3801001629","Чекко: проверить")</f>
        <v/>
      </c>
      <c r="S5253" t="n">
        <v>1</v>
      </c>
      <c r="T5253" s="35" t="inlineStr">
        <is>
          <t>4 — Не обогащён</t>
        </is>
      </c>
      <c r="U5253" s="35" t="inlineStr">
        <is>
          <t>Нет ОКВЭД/ССЧР</t>
        </is>
      </c>
      <c r="V5253" s="35" t="inlineStr">
        <is>
          <t>Не определено</t>
        </is>
      </c>
      <c r="W5253" s="35" t="inlineStr"/>
      <c r="X5253" s="35" t="inlineStr"/>
    </row>
    <row r="5254" ht="15" customHeight="1" s="24">
      <c r="A5254" s="13" t="n">
        <v>801610040</v>
      </c>
      <c r="B5254" s="13" t="inlineStr">
        <is>
          <t>ООО "Компания Промышленные Полы"</t>
        </is>
      </c>
      <c r="C5254" s="13" t="n">
        <v>3849030360</v>
      </c>
      <c r="D5254" s="13" t="inlineStr">
        <is>
          <t>3849030360</t>
        </is>
      </c>
      <c r="E5254" s="13" t="inlineStr">
        <is>
          <t>ЮЛ РФ</t>
        </is>
      </c>
      <c r="F5254" s="13" t="n"/>
      <c r="G5254" s="52" t="n">
        <v>15</v>
      </c>
      <c r="H5254" s="52" t="n">
        <v>2025</v>
      </c>
      <c r="I5254" s="14" t="n"/>
      <c r="J5254" s="14" t="n"/>
      <c r="K5254" s="53" t="inlineStr">
        <is>
          <t>Нет</t>
        </is>
      </c>
      <c r="L5254" s="53" t="inlineStr">
        <is>
          <t>Не определено</t>
        </is>
      </c>
      <c r="M5254" s="53" t="inlineStr">
        <is>
          <t>До 25</t>
        </is>
      </c>
      <c r="N5254" s="54" t="n">
        <v>8400</v>
      </c>
      <c r="O5254" s="55" t="inlineStr">
        <is>
          <t>1–15</t>
        </is>
      </c>
      <c r="P5254" s="16" t="inlineStr">
        <is>
          <t>ССЧР обогащена; ОКВЭД не найден/не загружен</t>
        </is>
      </c>
      <c r="Q5254" s="16" t="inlineStr">
        <is>
          <t>ФНС открытые данные ССЧР (ДатаСост 31.12.2025; набор 7707329152-sshr2019)</t>
        </is>
      </c>
      <c r="R5254" s="16">
        <f>HYPERLINK("https://checko.ru/search?query=3801001629","Чекко: проверить")</f>
        <v/>
      </c>
      <c r="S5254" t="n">
        <v>1</v>
      </c>
      <c r="T5254" s="35" t="inlineStr">
        <is>
          <t>4 — Не обогащён</t>
        </is>
      </c>
      <c r="U5254" s="35" t="inlineStr">
        <is>
          <t>Нет ОКВЭД/ССЧР</t>
        </is>
      </c>
      <c r="V5254" s="35" t="inlineStr">
        <is>
          <t>Не определено</t>
        </is>
      </c>
      <c r="W5254" s="35" t="inlineStr">
        <is>
          <t>Нет</t>
        </is>
      </c>
      <c r="X5254" s="35" t="inlineStr"/>
    </row>
    <row r="5255" ht="15" customHeight="1" s="24">
      <c r="A5255" s="13" t="n">
        <v>801642699</v>
      </c>
      <c r="B5255" s="13" t="inlineStr">
        <is>
          <t>ООО "СИБИРЬ"</t>
        </is>
      </c>
      <c r="C5255" s="13" t="n">
        <v>3811472715</v>
      </c>
      <c r="D5255" s="13" t="inlineStr">
        <is>
          <t>3811472715</t>
        </is>
      </c>
      <c r="E5255" s="13" t="inlineStr">
        <is>
          <t>ЮЛ РФ</t>
        </is>
      </c>
      <c r="F5255" s="13" t="n"/>
      <c r="G5255" s="52" t="n">
        <v>0</v>
      </c>
      <c r="H5255" s="52" t="n">
        <v>2025</v>
      </c>
      <c r="I5255" s="14" t="n"/>
      <c r="J5255" s="14" t="n"/>
      <c r="K5255" s="53" t="inlineStr">
        <is>
          <t>Нет</t>
        </is>
      </c>
      <c r="L5255" s="53" t="inlineStr">
        <is>
          <t>Не определено</t>
        </is>
      </c>
      <c r="M5255" s="53" t="inlineStr">
        <is>
          <t>До 10</t>
        </is>
      </c>
      <c r="N5255" s="54" t="n">
        <v>3360</v>
      </c>
      <c r="O5255" s="55" t="inlineStr">
        <is>
          <t>1–15</t>
        </is>
      </c>
      <c r="P5255" s="16" t="inlineStr">
        <is>
          <t>ССЧР обогащена; ОКВЭД не найден/не загружен</t>
        </is>
      </c>
      <c r="Q5255" s="16" t="inlineStr">
        <is>
          <t>ФНС открытые данные ССЧР (ДатаСост 31.12.2025; набор 7707329152-sshr2019)</t>
        </is>
      </c>
      <c r="R5255" s="16">
        <f>HYPERLINK("https://checko.ru/search?query=3801001629","Чекко: проверить")</f>
        <v/>
      </c>
      <c r="S5255" t="n">
        <v>1</v>
      </c>
      <c r="T5255" s="35" t="inlineStr">
        <is>
          <t>4 — Не обогащён</t>
        </is>
      </c>
      <c r="U5255" s="35" t="inlineStr">
        <is>
          <t>Нет ОКВЭД/ССЧР</t>
        </is>
      </c>
      <c r="V5255" s="35" t="inlineStr">
        <is>
          <t>Не определено</t>
        </is>
      </c>
      <c r="W5255" s="35" t="inlineStr">
        <is>
          <t>Нет</t>
        </is>
      </c>
      <c r="X5255" s="35" t="inlineStr"/>
    </row>
    <row r="5256" ht="15" customHeight="1" s="24">
      <c r="A5256" s="13" t="n">
        <v>801639853</v>
      </c>
      <c r="B5256" s="13" t="inlineStr">
        <is>
          <t>ИП Кончакова Светлана Дмитриевна</t>
        </is>
      </c>
      <c r="C5256" s="13" t="n">
        <v>380104089316</v>
      </c>
      <c r="D5256" s="13" t="inlineStr">
        <is>
          <t>380104089316</t>
        </is>
      </c>
      <c r="E5256" s="13" t="inlineStr">
        <is>
          <t>ИП РФ / физлицо</t>
        </is>
      </c>
      <c r="F5256" s="13" t="n"/>
      <c r="G5256" s="14" t="n"/>
      <c r="H5256" s="14" t="n"/>
      <c r="I5256" s="14" t="n"/>
      <c r="J5256" s="14" t="n"/>
      <c r="K5256" s="53" t="inlineStr"/>
      <c r="L5256" s="53" t="inlineStr">
        <is>
          <t>Не определено</t>
        </is>
      </c>
      <c r="M5256" s="53" t="inlineStr"/>
      <c r="N5256" s="54" t="inlineStr"/>
      <c r="O5256" s="55" t="inlineStr"/>
      <c r="P5256" s="16" t="inlineStr">
        <is>
          <t>Требует обогащения</t>
        </is>
      </c>
      <c r="Q5256" s="16">
        <f>HYPERLINK("https://pb.nalog.ru/search.html?query=380104089316","ФНС: проверить")</f>
        <v/>
      </c>
      <c r="R5256" s="16">
        <f>HYPERLINK("https://checko.ru/search?query=3801001629","Чекко: проверить")</f>
        <v/>
      </c>
      <c r="S5256" t="n">
        <v>1</v>
      </c>
      <c r="T5256" s="35" t="inlineStr">
        <is>
          <t>4 — Не обогащён</t>
        </is>
      </c>
      <c r="U5256" s="35" t="inlineStr">
        <is>
          <t>Нет ОКВЭД/ССЧР</t>
        </is>
      </c>
      <c r="V5256" s="35" t="inlineStr">
        <is>
          <t>Не определено</t>
        </is>
      </c>
      <c r="W5256" s="35" t="inlineStr"/>
      <c r="X5256" s="35" t="inlineStr"/>
    </row>
    <row r="5257" ht="15" customHeight="1" s="24">
      <c r="A5257" s="13" t="n">
        <v>9834520</v>
      </c>
      <c r="B5257" s="13" t="inlineStr">
        <is>
          <t>РЭД ООО</t>
        </is>
      </c>
      <c r="C5257" s="13" t="n">
        <v>3811041300</v>
      </c>
      <c r="D5257" s="13" t="inlineStr">
        <is>
          <t>3811041300</t>
        </is>
      </c>
      <c r="E5257" s="13" t="inlineStr">
        <is>
          <t>ЮЛ РФ</t>
        </is>
      </c>
      <c r="F5257" s="13" t="n"/>
      <c r="G5257" s="52" t="n">
        <v>3</v>
      </c>
      <c r="H5257" s="52" t="n">
        <v>2025</v>
      </c>
      <c r="I5257" s="14" t="n"/>
      <c r="J5257" s="14" t="n"/>
      <c r="K5257" s="53" t="inlineStr">
        <is>
          <t>Нет</t>
        </is>
      </c>
      <c r="L5257" s="53" t="inlineStr">
        <is>
          <t>Не определено</t>
        </is>
      </c>
      <c r="M5257" s="53" t="inlineStr">
        <is>
          <t>До 10</t>
        </is>
      </c>
      <c r="N5257" s="54" t="n">
        <v>3360</v>
      </c>
      <c r="O5257" s="55" t="inlineStr">
        <is>
          <t>1–15</t>
        </is>
      </c>
      <c r="P5257" s="16" t="inlineStr">
        <is>
          <t>ССЧР обогащена; ОКВЭД не найден/не загружен</t>
        </is>
      </c>
      <c r="Q5257" s="16" t="inlineStr">
        <is>
          <t>ФНС открытые данные ССЧР (ДатаСост 31.12.2025; набор 7707329152-sshr2019)</t>
        </is>
      </c>
      <c r="R5257" s="16">
        <f>HYPERLINK("https://checko.ru/search?query=3801001629","Чекко: проверить")</f>
        <v/>
      </c>
      <c r="S5257" t="n">
        <v>1</v>
      </c>
      <c r="T5257" s="35" t="inlineStr">
        <is>
          <t>4 — Не обогащён</t>
        </is>
      </c>
      <c r="U5257" s="35" t="inlineStr">
        <is>
          <t>Нет ОКВЭД/ССЧР</t>
        </is>
      </c>
      <c r="V5257" s="35" t="inlineStr">
        <is>
          <t>Не определено</t>
        </is>
      </c>
      <c r="W5257" s="35" t="inlineStr">
        <is>
          <t>Нет</t>
        </is>
      </c>
      <c r="X5257" s="35" t="inlineStr"/>
    </row>
    <row r="5258" ht="15" customHeight="1" s="24">
      <c r="A5258" s="13" t="n">
        <v>801606098</v>
      </c>
      <c r="B5258" s="13" t="inlineStr">
        <is>
          <t>ООО "НИЖНЕТУНГУССКАЯ ЛЕСНАЯ КОМПАНИЯ"</t>
        </is>
      </c>
      <c r="C5258" s="13" t="n">
        <v>3808202476</v>
      </c>
      <c r="D5258" s="13" t="inlineStr">
        <is>
          <t>3808202476</t>
        </is>
      </c>
      <c r="E5258" s="13" t="inlineStr">
        <is>
          <t>ЮЛ РФ</t>
        </is>
      </c>
      <c r="F5258" s="13" t="n"/>
      <c r="G5258" s="52" t="n">
        <v>1</v>
      </c>
      <c r="H5258" s="52" t="n">
        <v>2025</v>
      </c>
      <c r="I5258" s="14" t="n"/>
      <c r="J5258" s="14" t="n"/>
      <c r="K5258" s="53" t="inlineStr">
        <is>
          <t>Нет</t>
        </is>
      </c>
      <c r="L5258" s="53" t="inlineStr">
        <is>
          <t>Не определено</t>
        </is>
      </c>
      <c r="M5258" s="53" t="inlineStr">
        <is>
          <t>До 10</t>
        </is>
      </c>
      <c r="N5258" s="54" t="n">
        <v>3360</v>
      </c>
      <c r="O5258" s="55" t="inlineStr">
        <is>
          <t>1–15</t>
        </is>
      </c>
      <c r="P5258" s="16" t="inlineStr">
        <is>
          <t>ССЧР обогащена; ОКВЭД не найден/не загружен</t>
        </is>
      </c>
      <c r="Q5258" s="16" t="inlineStr">
        <is>
          <t>ФНС открытые данные ССЧР (ДатаСост 31.12.2025; набор 7707329152-sshr2019)</t>
        </is>
      </c>
      <c r="R5258" s="16">
        <f>HYPERLINK("https://checko.ru/search?query=3801001629","Чекко: проверить")</f>
        <v/>
      </c>
      <c r="S5258" t="n">
        <v>1</v>
      </c>
      <c r="T5258" s="35" t="inlineStr">
        <is>
          <t>4 — Не обогащён</t>
        </is>
      </c>
      <c r="U5258" s="35" t="inlineStr">
        <is>
          <t>Нет ОКВЭД/ССЧР</t>
        </is>
      </c>
      <c r="V5258" s="35" t="inlineStr">
        <is>
          <t>Не определено</t>
        </is>
      </c>
      <c r="W5258" s="35" t="inlineStr">
        <is>
          <t>Нет</t>
        </is>
      </c>
      <c r="X5258" s="35" t="inlineStr"/>
    </row>
    <row r="5259" ht="15" customHeight="1" s="24">
      <c r="A5259" s="13" t="n">
        <v>800438699</v>
      </c>
      <c r="B5259" s="13" t="inlineStr">
        <is>
          <t>ПРОЕКТ, ООО мкр.Крылатый</t>
        </is>
      </c>
      <c r="C5259" s="13" t="n">
        <v>3811160089</v>
      </c>
      <c r="D5259" s="13" t="inlineStr">
        <is>
          <t>3811160089</t>
        </is>
      </c>
      <c r="E5259" s="13" t="inlineStr">
        <is>
          <t>ЮЛ РФ</t>
        </is>
      </c>
      <c r="F5259" s="13" t="n"/>
      <c r="G5259" s="52" t="n">
        <v>63</v>
      </c>
      <c r="H5259" s="52" t="n">
        <v>2025</v>
      </c>
      <c r="I5259" s="52" t="inlineStr">
        <is>
          <t>41.10</t>
        </is>
      </c>
      <c r="J5259" s="52" t="inlineStr">
        <is>
          <t>41.10; 42.11; 42.13; 42.99; 43.21; 43.99; 63.11.1; 71.12.5; 71.12.6</t>
        </is>
      </c>
      <c r="K5259" s="53" t="inlineStr">
        <is>
          <t>Да</t>
        </is>
      </c>
      <c r="L5259" s="53" t="inlineStr">
        <is>
          <t>Да</t>
        </is>
      </c>
      <c r="M5259" s="53" t="inlineStr">
        <is>
          <t>До 100</t>
        </is>
      </c>
      <c r="N5259" s="54" t="n">
        <v>33600</v>
      </c>
      <c r="O5259" s="55" t="inlineStr">
        <is>
          <t>51–100</t>
        </is>
      </c>
      <c r="P5259" s="16" t="inlineStr">
        <is>
          <t>ССЧР + ОКВЭД обогащены</t>
        </is>
      </c>
      <c r="Q5259" s="16" t="inlineStr">
        <is>
          <t>ФНС открытые данные ССЧР (ДатаСост 31.12.2025; набор 7707329152-sshr2019)</t>
        </is>
      </c>
      <c r="R5259" s="16" t="inlineStr">
        <is>
          <t>ЕГРЮЛ / egrul.nalog.ru (выписка)</t>
        </is>
      </c>
      <c r="S5259" t="n">
        <v>1</v>
      </c>
      <c r="T5259" s="35" t="inlineStr">
        <is>
          <t>1 — Горячий</t>
        </is>
      </c>
      <c r="U5259" s="35" t="inlineStr">
        <is>
          <t>ОКВЭД + 22+</t>
        </is>
      </c>
      <c r="V5259" s="35" t="inlineStr">
        <is>
          <t>Да</t>
        </is>
      </c>
      <c r="W5259" s="35" t="inlineStr">
        <is>
          <t>Да</t>
        </is>
      </c>
      <c r="X5259" s="35" t="inlineStr">
        <is>
          <t>Да</t>
        </is>
      </c>
    </row>
    <row r="5260" ht="15" customHeight="1" s="24">
      <c r="A5260" s="13" t="n">
        <v>800532725</v>
      </c>
      <c r="B5260" s="13" t="inlineStr">
        <is>
          <t>ГУКЕНХАЙМЕР-МЕДИЦИНСКИЕ СИСТЕМЫ, ООО</t>
        </is>
      </c>
      <c r="C5260" s="13" t="n">
        <v>3849051434</v>
      </c>
      <c r="D5260" s="13" t="inlineStr">
        <is>
          <t>3849051434</t>
        </is>
      </c>
      <c r="E5260" s="13" t="inlineStr">
        <is>
          <t>ЮЛ РФ</t>
        </is>
      </c>
      <c r="F5260" s="13" t="n"/>
      <c r="G5260" s="52" t="n">
        <v>3</v>
      </c>
      <c r="H5260" s="52" t="n">
        <v>2025</v>
      </c>
      <c r="I5260" s="14" t="n"/>
      <c r="J5260" s="14" t="n"/>
      <c r="K5260" s="53" t="inlineStr">
        <is>
          <t>Нет</t>
        </is>
      </c>
      <c r="L5260" s="53" t="inlineStr">
        <is>
          <t>Не определено</t>
        </is>
      </c>
      <c r="M5260" s="53" t="inlineStr">
        <is>
          <t>До 10</t>
        </is>
      </c>
      <c r="N5260" s="54" t="n">
        <v>3360</v>
      </c>
      <c r="O5260" s="55" t="inlineStr">
        <is>
          <t>1–15</t>
        </is>
      </c>
      <c r="P5260" s="16" t="inlineStr">
        <is>
          <t>ССЧР обогащена; ОКВЭД не найден/не загружен</t>
        </is>
      </c>
      <c r="Q5260" s="16" t="inlineStr">
        <is>
          <t>ФНС открытые данные ССЧР (ДатаСост 31.12.2025; набор 7707329152-sshr2019)</t>
        </is>
      </c>
      <c r="R5260" s="16">
        <f>HYPERLINK("https://checko.ru/search?query=3801001629","Чекко: проверить")</f>
        <v/>
      </c>
      <c r="S5260" t="n">
        <v>1</v>
      </c>
      <c r="T5260" s="35" t="inlineStr">
        <is>
          <t>4 — Не обогащён</t>
        </is>
      </c>
      <c r="U5260" s="35" t="inlineStr">
        <is>
          <t>Нет ОКВЭД/ССЧР</t>
        </is>
      </c>
      <c r="V5260" s="35" t="inlineStr">
        <is>
          <t>Не определено</t>
        </is>
      </c>
      <c r="W5260" s="35" t="inlineStr">
        <is>
          <t>Нет</t>
        </is>
      </c>
      <c r="X5260" s="35" t="inlineStr"/>
    </row>
    <row r="5261" ht="27.75" customHeight="1" s="24">
      <c r="A5261" s="13" t="n">
        <v>800485447</v>
      </c>
      <c r="B5261" s="13" t="inlineStr">
        <is>
          <t>Общество с ограниченной ответственностью "АВТОПРОФИ"</t>
        </is>
      </c>
      <c r="C5261" s="13" t="n">
        <v>3805702914</v>
      </c>
      <c r="D5261" s="13" t="inlineStr">
        <is>
          <t>3805702914</t>
        </is>
      </c>
      <c r="E5261" s="13" t="inlineStr">
        <is>
          <t>ЮЛ РФ</t>
        </is>
      </c>
      <c r="F5261" s="13" t="n"/>
      <c r="G5261" s="52" t="n">
        <v>4</v>
      </c>
      <c r="H5261" s="52" t="n">
        <v>2025</v>
      </c>
      <c r="I5261" s="14" t="n"/>
      <c r="J5261" s="14" t="n"/>
      <c r="K5261" s="53" t="inlineStr">
        <is>
          <t>Нет</t>
        </is>
      </c>
      <c r="L5261" s="53" t="inlineStr">
        <is>
          <t>Не определено</t>
        </is>
      </c>
      <c r="M5261" s="53" t="inlineStr">
        <is>
          <t>До 10</t>
        </is>
      </c>
      <c r="N5261" s="54" t="n">
        <v>3360</v>
      </c>
      <c r="O5261" s="55" t="inlineStr">
        <is>
          <t>1–15</t>
        </is>
      </c>
      <c r="P5261" s="16" t="inlineStr">
        <is>
          <t>ССЧР обогащена; ОКВЭД не найден/не загружен</t>
        </is>
      </c>
      <c r="Q5261" s="16" t="inlineStr">
        <is>
          <t>ФНС открытые данные ССЧР (ДатаСост 31.12.2025; набор 7707329152-sshr2019)</t>
        </is>
      </c>
      <c r="R5261" s="16">
        <f>HYPERLINK("https://checko.ru/search?query=3801001629","Чекко: проверить")</f>
        <v/>
      </c>
      <c r="S5261" t="n">
        <v>1</v>
      </c>
      <c r="T5261" s="35" t="inlineStr">
        <is>
          <t>4 — Не обогащён</t>
        </is>
      </c>
      <c r="U5261" s="35" t="inlineStr">
        <is>
          <t>Нет ОКВЭД/ССЧР</t>
        </is>
      </c>
      <c r="V5261" s="35" t="inlineStr">
        <is>
          <t>Не определено</t>
        </is>
      </c>
      <c r="W5261" s="35" t="inlineStr">
        <is>
          <t>Нет</t>
        </is>
      </c>
      <c r="X5261" s="35" t="inlineStr"/>
    </row>
    <row r="5262" ht="15" customHeight="1" s="24">
      <c r="A5262" s="13" t="n">
        <v>800405487</v>
      </c>
      <c r="B5262" s="13" t="inlineStr">
        <is>
          <t>ИП Чупин Александр Валерьевич .</t>
        </is>
      </c>
      <c r="C5262" s="13" t="n">
        <v>381401053032</v>
      </c>
      <c r="D5262" s="13" t="inlineStr">
        <is>
          <t>381401053032</t>
        </is>
      </c>
      <c r="E5262" s="13" t="inlineStr">
        <is>
          <t>ИП РФ / физлицо</t>
        </is>
      </c>
      <c r="F5262" s="13" t="n"/>
      <c r="G5262" s="14" t="n"/>
      <c r="H5262" s="14" t="n"/>
      <c r="I5262" s="14" t="n"/>
      <c r="J5262" s="14" t="n"/>
      <c r="K5262" s="53" t="inlineStr"/>
      <c r="L5262" s="53" t="inlineStr">
        <is>
          <t>Не определено</t>
        </is>
      </c>
      <c r="M5262" s="53" t="inlineStr"/>
      <c r="N5262" s="54" t="inlineStr"/>
      <c r="O5262" s="55" t="inlineStr"/>
      <c r="P5262" s="16" t="inlineStr">
        <is>
          <t>Требует обогащения</t>
        </is>
      </c>
      <c r="Q5262" s="16">
        <f>HYPERLINK("https://pb.nalog.ru/search.html?query=381401053032","ФНС: проверить")</f>
        <v/>
      </c>
      <c r="R5262" s="16">
        <f>HYPERLINK("https://checko.ru/search?query=3801001629","Чекко: проверить")</f>
        <v/>
      </c>
      <c r="S5262" t="n">
        <v>1</v>
      </c>
      <c r="T5262" s="35" t="inlineStr">
        <is>
          <t>4 — Не обогащён</t>
        </is>
      </c>
      <c r="U5262" s="35" t="inlineStr">
        <is>
          <t>Нет ОКВЭД/ССЧР</t>
        </is>
      </c>
      <c r="V5262" s="35" t="inlineStr">
        <is>
          <t>Не определено</t>
        </is>
      </c>
      <c r="W5262" s="35" t="inlineStr"/>
      <c r="X5262" s="35" t="inlineStr"/>
    </row>
    <row r="5263" ht="15" customHeight="1" s="24">
      <c r="A5263" s="13" t="n">
        <v>800405426</v>
      </c>
      <c r="B5263" s="13" t="inlineStr">
        <is>
          <t>Технические Системы, ООО</t>
        </is>
      </c>
      <c r="C5263" s="13" t="n">
        <v>3811180462</v>
      </c>
      <c r="D5263" s="13" t="inlineStr">
        <is>
          <t>3811180462</t>
        </is>
      </c>
      <c r="E5263" s="13" t="inlineStr">
        <is>
          <t>ЮЛ РФ</t>
        </is>
      </c>
      <c r="F5263" s="13" t="n"/>
      <c r="G5263" s="52" t="n">
        <v>7</v>
      </c>
      <c r="H5263" s="52" t="n">
        <v>2025</v>
      </c>
      <c r="I5263" s="14" t="n"/>
      <c r="J5263" s="14" t="n"/>
      <c r="K5263" s="53" t="inlineStr">
        <is>
          <t>Нет</t>
        </is>
      </c>
      <c r="L5263" s="53" t="inlineStr">
        <is>
          <t>Не определено</t>
        </is>
      </c>
      <c r="M5263" s="53" t="inlineStr">
        <is>
          <t>До 10</t>
        </is>
      </c>
      <c r="N5263" s="54" t="n">
        <v>3360</v>
      </c>
      <c r="O5263" s="55" t="inlineStr">
        <is>
          <t>1–15</t>
        </is>
      </c>
      <c r="P5263" s="16" t="inlineStr">
        <is>
          <t>ССЧР обогащена; ОКВЭД не найден/не загружен</t>
        </is>
      </c>
      <c r="Q5263" s="16" t="inlineStr">
        <is>
          <t>ФНС открытые данные ССЧР (ДатаСост 31.12.2025; набор 7707329152-sshr2019)</t>
        </is>
      </c>
      <c r="R5263" s="16">
        <f>HYPERLINK("https://checko.ru/search?query=3801001629","Чекко: проверить")</f>
        <v/>
      </c>
      <c r="S5263" t="n">
        <v>1</v>
      </c>
      <c r="T5263" s="35" t="inlineStr">
        <is>
          <t>4 — Не обогащён</t>
        </is>
      </c>
      <c r="U5263" s="35" t="inlineStr">
        <is>
          <t>Нет ОКВЭД/ССЧР</t>
        </is>
      </c>
      <c r="V5263" s="35" t="inlineStr">
        <is>
          <t>Не определено</t>
        </is>
      </c>
      <c r="W5263" s="35" t="inlineStr">
        <is>
          <t>Нет</t>
        </is>
      </c>
      <c r="X5263" s="35" t="inlineStr"/>
    </row>
    <row r="5264" ht="15" customHeight="1" s="24">
      <c r="A5264" s="13" t="n">
        <v>9738924</v>
      </c>
      <c r="B5264" s="13" t="inlineStr">
        <is>
          <t>ИП Некрасов Владимир Дмитриевич</t>
        </is>
      </c>
      <c r="C5264" s="13" t="n">
        <v>381704350027</v>
      </c>
      <c r="D5264" s="13" t="inlineStr">
        <is>
          <t>381704350027</t>
        </is>
      </c>
      <c r="E5264" s="13" t="inlineStr">
        <is>
          <t>ИП РФ / физлицо</t>
        </is>
      </c>
      <c r="F5264" s="13" t="n"/>
      <c r="G5264" s="14" t="n"/>
      <c r="H5264" s="14" t="n"/>
      <c r="I5264" s="14" t="n"/>
      <c r="J5264" s="14" t="n"/>
      <c r="K5264" s="53" t="inlineStr"/>
      <c r="L5264" s="53" t="inlineStr">
        <is>
          <t>Не определено</t>
        </is>
      </c>
      <c r="M5264" s="53" t="inlineStr"/>
      <c r="N5264" s="54" t="inlineStr"/>
      <c r="O5264" s="55" t="inlineStr"/>
      <c r="P5264" s="16" t="inlineStr">
        <is>
          <t>Требует обогащения</t>
        </is>
      </c>
      <c r="Q5264" s="16">
        <f>HYPERLINK("https://pb.nalog.ru/search.html?query=381704350027","ФНС: проверить")</f>
        <v/>
      </c>
      <c r="R5264" s="16">
        <f>HYPERLINK("https://checko.ru/search?query=3801001629","Чекко: проверить")</f>
        <v/>
      </c>
      <c r="S5264" t="n">
        <v>1</v>
      </c>
      <c r="T5264" s="35" t="inlineStr">
        <is>
          <t>4 — Не обогащён</t>
        </is>
      </c>
      <c r="U5264" s="35" t="inlineStr">
        <is>
          <t>Нет ОКВЭД/ССЧР</t>
        </is>
      </c>
      <c r="V5264" s="35" t="inlineStr">
        <is>
          <t>Не определено</t>
        </is>
      </c>
      <c r="W5264" s="35" t="inlineStr"/>
      <c r="X5264" s="35" t="inlineStr"/>
    </row>
    <row r="5265" ht="15" customHeight="1" s="24">
      <c r="A5265" s="13" t="n">
        <v>20016810760</v>
      </c>
      <c r="B5265" s="13" t="inlineStr">
        <is>
          <t>ТЕПЛОГАЗСЕРВИС ООО</t>
        </is>
      </c>
      <c r="C5265" s="13" t="n">
        <v>3805718287</v>
      </c>
      <c r="D5265" s="13" t="inlineStr">
        <is>
          <t>3805718287</t>
        </is>
      </c>
      <c r="E5265" s="13" t="inlineStr">
        <is>
          <t>ЮЛ РФ</t>
        </is>
      </c>
      <c r="F5265" s="13" t="n"/>
      <c r="G5265" s="52" t="n">
        <v>13</v>
      </c>
      <c r="H5265" s="52" t="n">
        <v>2025</v>
      </c>
      <c r="I5265" s="14" t="n"/>
      <c r="J5265" s="14" t="n"/>
      <c r="K5265" s="53" t="inlineStr">
        <is>
          <t>Нет</t>
        </is>
      </c>
      <c r="L5265" s="53" t="inlineStr">
        <is>
          <t>Не определено</t>
        </is>
      </c>
      <c r="M5265" s="53" t="inlineStr">
        <is>
          <t>До 25</t>
        </is>
      </c>
      <c r="N5265" s="54" t="n">
        <v>8400</v>
      </c>
      <c r="O5265" s="55" t="inlineStr">
        <is>
          <t>1–15</t>
        </is>
      </c>
      <c r="P5265" s="16" t="inlineStr">
        <is>
          <t>ССЧР обогащена; ОКВЭД не найден/не загружен</t>
        </is>
      </c>
      <c r="Q5265" s="16" t="inlineStr">
        <is>
          <t>ФНС открытые данные ССЧР (ДатаСост 31.12.2025; набор 7707329152-sshr2019)</t>
        </is>
      </c>
      <c r="R5265" s="16">
        <f>HYPERLINK("https://checko.ru/search?query=3801001629","Чекко: проверить")</f>
        <v/>
      </c>
      <c r="S5265" t="n">
        <v>1</v>
      </c>
      <c r="T5265" s="35" t="inlineStr">
        <is>
          <t>4 — Не обогащён</t>
        </is>
      </c>
      <c r="U5265" s="35" t="inlineStr">
        <is>
          <t>Нет ОКВЭД/ССЧР</t>
        </is>
      </c>
      <c r="V5265" s="35" t="inlineStr">
        <is>
          <t>Не определено</t>
        </is>
      </c>
      <c r="W5265" s="35" t="inlineStr">
        <is>
          <t>Нет</t>
        </is>
      </c>
      <c r="X5265" s="35" t="inlineStr"/>
    </row>
    <row r="5266" ht="15" customHeight="1" s="24">
      <c r="A5266" s="13" t="n">
        <v>800467356</v>
      </c>
      <c r="B5266" s="13" t="inlineStr">
        <is>
          <t>ООО "Высота</t>
        </is>
      </c>
      <c r="C5266" s="13" t="n">
        <v>3802017251</v>
      </c>
      <c r="D5266" s="13" t="inlineStr">
        <is>
          <t>3802017251</t>
        </is>
      </c>
      <c r="E5266" s="13" t="inlineStr">
        <is>
          <t>ЮЛ РФ</t>
        </is>
      </c>
      <c r="F5266" s="13" t="n"/>
      <c r="G5266" s="52" t="n">
        <v>10</v>
      </c>
      <c r="H5266" s="52" t="n">
        <v>2025</v>
      </c>
      <c r="I5266" s="14" t="n"/>
      <c r="J5266" s="14" t="n"/>
      <c r="K5266" s="53" t="inlineStr">
        <is>
          <t>Нет</t>
        </is>
      </c>
      <c r="L5266" s="53" t="inlineStr">
        <is>
          <t>Не определено</t>
        </is>
      </c>
      <c r="M5266" s="53" t="inlineStr">
        <is>
          <t>До 10</t>
        </is>
      </c>
      <c r="N5266" s="54" t="n">
        <v>3360</v>
      </c>
      <c r="O5266" s="55" t="inlineStr">
        <is>
          <t>1–15</t>
        </is>
      </c>
      <c r="P5266" s="16" t="inlineStr">
        <is>
          <t>ССЧР обогащена; ОКВЭД не найден/не загружен</t>
        </is>
      </c>
      <c r="Q5266" s="16" t="inlineStr">
        <is>
          <t>ФНС открытые данные ССЧР (ДатаСост 31.12.2025; набор 7707329152-sshr2019)</t>
        </is>
      </c>
      <c r="R5266" s="16">
        <f>HYPERLINK("https://checko.ru/search?query=3801001629","Чекко: проверить")</f>
        <v/>
      </c>
      <c r="S5266" t="n">
        <v>1</v>
      </c>
      <c r="T5266" s="35" t="inlineStr">
        <is>
          <t>4 — Не обогащён</t>
        </is>
      </c>
      <c r="U5266" s="35" t="inlineStr">
        <is>
          <t>Нет ОКВЭД/ССЧР</t>
        </is>
      </c>
      <c r="V5266" s="35" t="inlineStr">
        <is>
          <t>Не определено</t>
        </is>
      </c>
      <c r="W5266" s="35" t="inlineStr">
        <is>
          <t>Нет</t>
        </is>
      </c>
      <c r="X5266" s="35" t="inlineStr"/>
    </row>
    <row r="5267" ht="15" customHeight="1" s="24">
      <c r="A5267" s="13" t="n">
        <v>801820080</v>
      </c>
      <c r="B5267" s="13" t="inlineStr">
        <is>
          <t>ООО "ДОВОДЪ"</t>
        </is>
      </c>
      <c r="C5267" s="13" t="n">
        <v>3849089621</v>
      </c>
      <c r="D5267" s="13" t="inlineStr">
        <is>
          <t>3849089621</t>
        </is>
      </c>
      <c r="E5267" s="13" t="inlineStr">
        <is>
          <t>ЮЛ РФ</t>
        </is>
      </c>
      <c r="F5267" s="13" t="n"/>
      <c r="G5267" s="52" t="n">
        <v>34</v>
      </c>
      <c r="H5267" s="52" t="n">
        <v>2025</v>
      </c>
      <c r="I5267" s="52" t="inlineStr">
        <is>
          <t>69.10</t>
        </is>
      </c>
      <c r="J5267" s="52" t="inlineStr">
        <is>
          <t>69.10; 41.20; 42.11; 42.21; 42.22; 42.99; 63.11; 63.91; 63.99; 64.99; 68.31; 68.32; 69.20; 70.22; 73.11; 73.20; 74.90.3; 82.99</t>
        </is>
      </c>
      <c r="K5267" s="53" t="inlineStr">
        <is>
          <t>Да</t>
        </is>
      </c>
      <c r="L5267" s="53" t="inlineStr">
        <is>
          <t>Да</t>
        </is>
      </c>
      <c r="M5267" s="53" t="inlineStr">
        <is>
          <t>До 50</t>
        </is>
      </c>
      <c r="N5267" s="54" t="n">
        <v>16800</v>
      </c>
      <c r="O5267" s="55" t="inlineStr">
        <is>
          <t>31–50</t>
        </is>
      </c>
      <c r="P5267" s="16" t="inlineStr">
        <is>
          <t>ССЧР + ОКВЭД обогащены</t>
        </is>
      </c>
      <c r="Q5267" s="16" t="inlineStr">
        <is>
          <t>ФНС открытые данные ССЧР (ДатаСост 31.12.2025; набор 7707329152-sshr2019)</t>
        </is>
      </c>
      <c r="R5267" s="16" t="inlineStr">
        <is>
          <t>ЕГРЮЛ / egrul.nalog.ru (выписка)</t>
        </is>
      </c>
      <c r="S5267" t="n">
        <v>1</v>
      </c>
      <c r="T5267" s="35" t="inlineStr">
        <is>
          <t>1 — Горячий</t>
        </is>
      </c>
      <c r="U5267" s="35" t="inlineStr">
        <is>
          <t>ОКВЭД + 22+</t>
        </is>
      </c>
      <c r="V5267" s="35" t="inlineStr">
        <is>
          <t>Да</t>
        </is>
      </c>
      <c r="W5267" s="35" t="inlineStr">
        <is>
          <t>Да</t>
        </is>
      </c>
      <c r="X5267" s="35" t="inlineStr">
        <is>
          <t>Да</t>
        </is>
      </c>
    </row>
    <row r="5268" ht="27.75" customHeight="1" s="24">
      <c r="A5268" s="13" t="n">
        <v>804686601</v>
      </c>
      <c r="B5268" s="13" t="inlineStr">
        <is>
          <t>ОБЩЕСТВО С ОГРАНИЧЕННОЙ ОТВЕТСТВЕННОСТЬЮ "РЕСАМ"</t>
        </is>
      </c>
      <c r="C5268" s="13" t="n">
        <v>3808280330</v>
      </c>
      <c r="D5268" s="13" t="inlineStr">
        <is>
          <t>3808280330</t>
        </is>
      </c>
      <c r="E5268" s="13" t="inlineStr">
        <is>
          <t>ЮЛ РФ</t>
        </is>
      </c>
      <c r="F5268" s="13" t="n"/>
      <c r="G5268" s="52" t="n">
        <v>4</v>
      </c>
      <c r="H5268" s="52" t="n">
        <v>2025</v>
      </c>
      <c r="I5268" s="14" t="n"/>
      <c r="J5268" s="14" t="n"/>
      <c r="K5268" s="53" t="inlineStr">
        <is>
          <t>Нет</t>
        </is>
      </c>
      <c r="L5268" s="53" t="inlineStr">
        <is>
          <t>Не определено</t>
        </is>
      </c>
      <c r="M5268" s="53" t="inlineStr">
        <is>
          <t>До 10</t>
        </is>
      </c>
      <c r="N5268" s="54" t="n">
        <v>3360</v>
      </c>
      <c r="O5268" s="55" t="inlineStr">
        <is>
          <t>1–15</t>
        </is>
      </c>
      <c r="P5268" s="16" t="inlineStr">
        <is>
          <t>ССЧР обогащена; ОКВЭД не найден/не загружен</t>
        </is>
      </c>
      <c r="Q5268" s="16" t="inlineStr">
        <is>
          <t>ФНС открытые данные ССЧР (ДатаСост 31.12.2025; набор 7707329152-sshr2019)</t>
        </is>
      </c>
      <c r="R5268" s="16">
        <f>HYPERLINK("https://checko.ru/search?query=3801001629","Чекко: проверить")</f>
        <v/>
      </c>
      <c r="S5268" t="n">
        <v>1</v>
      </c>
      <c r="T5268" s="35" t="inlineStr">
        <is>
          <t>4 — Не обогащён</t>
        </is>
      </c>
      <c r="U5268" s="35" t="inlineStr">
        <is>
          <t>Нет ОКВЭД/ССЧР</t>
        </is>
      </c>
      <c r="V5268" s="35" t="inlineStr">
        <is>
          <t>Не определено</t>
        </is>
      </c>
      <c r="W5268" s="35" t="inlineStr">
        <is>
          <t>Нет</t>
        </is>
      </c>
      <c r="X5268" s="35" t="inlineStr"/>
    </row>
    <row r="5269" ht="15" customHeight="1" s="24">
      <c r="A5269" s="13" t="n">
        <v>9852434</v>
      </c>
      <c r="B5269" s="13" t="inlineStr">
        <is>
          <t>АО ПК "ЭФФЕКТ"</t>
        </is>
      </c>
      <c r="C5269" s="13" t="n">
        <v>9701256261</v>
      </c>
      <c r="D5269" s="13" t="inlineStr">
        <is>
          <t>9701256261</t>
        </is>
      </c>
      <c r="E5269" s="13" t="inlineStr">
        <is>
          <t>ЮЛ РФ</t>
        </is>
      </c>
      <c r="F5269" s="13" t="n"/>
      <c r="G5269" s="52" t="n">
        <v>47</v>
      </c>
      <c r="H5269" s="52" t="n">
        <v>2025</v>
      </c>
      <c r="I5269" s="52" t="inlineStr">
        <is>
          <t>71.11</t>
        </is>
      </c>
      <c r="J5269" s="52" t="inlineStr">
        <is>
          <t>71.11; 71.11.1; 71.11.3; 71.12.1; 71.12.3; 71.12.4; 71.12.5; 71.12.6; 71.12.8; 71.12.11; 71.12.12; 71.12.13; 71.12.15; 71.20; 72.19</t>
        </is>
      </c>
      <c r="K5269" s="53" t="inlineStr">
        <is>
          <t>Да</t>
        </is>
      </c>
      <c r="L5269" s="53" t="inlineStr">
        <is>
          <t>Нет</t>
        </is>
      </c>
      <c r="M5269" s="53" t="inlineStr">
        <is>
          <t>До 50</t>
        </is>
      </c>
      <c r="N5269" s="54" t="n">
        <v>16800</v>
      </c>
      <c r="O5269" s="55" t="inlineStr">
        <is>
          <t>31–50</t>
        </is>
      </c>
      <c r="P5269" s="16" t="inlineStr">
        <is>
          <t>ССЧР + ОКВЭД обогащены</t>
        </is>
      </c>
      <c r="Q5269" s="16" t="inlineStr">
        <is>
          <t>ФНС открытые данные ССЧР (ДатаСост 31.12.2025; набор 7707329152-sshr2019)</t>
        </is>
      </c>
      <c r="R5269" s="16" t="inlineStr">
        <is>
          <t>ЕГРЮЛ / egrul.nalog.ru (выписка)</t>
        </is>
      </c>
      <c r="S5269" t="n">
        <v>1</v>
      </c>
      <c r="T5269" s="35" t="inlineStr">
        <is>
          <t>3 — 22+ без ОКВЭД</t>
        </is>
      </c>
      <c r="U5269" s="35" t="inlineStr">
        <is>
          <t>22+ без целевого ОКВЭД</t>
        </is>
      </c>
      <c r="V5269" s="35" t="inlineStr">
        <is>
          <t>Нет</t>
        </is>
      </c>
      <c r="W5269" s="35" t="inlineStr">
        <is>
          <t>Да</t>
        </is>
      </c>
      <c r="X5269" s="35" t="inlineStr">
        <is>
          <t>Нет</t>
        </is>
      </c>
    </row>
    <row r="5270" ht="15" customHeight="1" s="24">
      <c r="A5270" s="13" t="n">
        <v>800549614</v>
      </c>
      <c r="B5270" s="13" t="inlineStr">
        <is>
          <t>ООО "ЗС ПОЛИМЕРС"</t>
        </is>
      </c>
      <c r="C5270" s="13" t="n">
        <v>3851018522</v>
      </c>
      <c r="D5270" s="13" t="inlineStr">
        <is>
          <t>3851018522</t>
        </is>
      </c>
      <c r="E5270" s="13" t="inlineStr">
        <is>
          <t>ЮЛ РФ</t>
        </is>
      </c>
      <c r="F5270" s="13" t="n"/>
      <c r="G5270" s="52" t="n">
        <v>4</v>
      </c>
      <c r="H5270" s="52" t="n">
        <v>2025</v>
      </c>
      <c r="I5270" s="14" t="n"/>
      <c r="J5270" s="14" t="n"/>
      <c r="K5270" s="53" t="inlineStr">
        <is>
          <t>Нет</t>
        </is>
      </c>
      <c r="L5270" s="53" t="inlineStr">
        <is>
          <t>Не определено</t>
        </is>
      </c>
      <c r="M5270" s="53" t="inlineStr">
        <is>
          <t>До 10</t>
        </is>
      </c>
      <c r="N5270" s="54" t="n">
        <v>3360</v>
      </c>
      <c r="O5270" s="55" t="inlineStr">
        <is>
          <t>1–15</t>
        </is>
      </c>
      <c r="P5270" s="16" t="inlineStr">
        <is>
          <t>ССЧР обогащена; ОКВЭД не найден/не загружен</t>
        </is>
      </c>
      <c r="Q5270" s="16" t="inlineStr">
        <is>
          <t>ФНС открытые данные ССЧР (ДатаСост 31.12.2025; набор 7707329152-sshr2019)</t>
        </is>
      </c>
      <c r="R5270" s="16">
        <f>HYPERLINK("https://checko.ru/search?query=3801001629","Чекко: проверить")</f>
        <v/>
      </c>
      <c r="S5270" t="n">
        <v>1</v>
      </c>
      <c r="T5270" s="35" t="inlineStr">
        <is>
          <t>4 — Не обогащён</t>
        </is>
      </c>
      <c r="U5270" s="35" t="inlineStr">
        <is>
          <t>Нет ОКВЭД/ССЧР</t>
        </is>
      </c>
      <c r="V5270" s="35" t="inlineStr">
        <is>
          <t>Не определено</t>
        </is>
      </c>
      <c r="W5270" s="35" t="inlineStr">
        <is>
          <t>Нет</t>
        </is>
      </c>
      <c r="X5270" s="35" t="inlineStr"/>
    </row>
    <row r="5271" ht="15" customHeight="1" s="24">
      <c r="A5271" s="13" t="n">
        <v>9797400</v>
      </c>
      <c r="B5271" s="13" t="inlineStr">
        <is>
          <t>Усть-Кутское БТИ</t>
        </is>
      </c>
      <c r="C5271" s="13" t="n">
        <v>3818017049</v>
      </c>
      <c r="D5271" s="13" t="inlineStr">
        <is>
          <t>3818017049</t>
        </is>
      </c>
      <c r="E5271" s="13" t="inlineStr">
        <is>
          <t>ЮЛ РФ</t>
        </is>
      </c>
      <c r="F5271" s="13" t="n"/>
      <c r="G5271" s="14" t="n"/>
      <c r="H5271" s="14" t="n"/>
      <c r="I5271" s="14" t="n"/>
      <c r="J5271" s="14" t="n"/>
      <c r="K5271" s="53" t="inlineStr"/>
      <c r="L5271" s="53" t="inlineStr">
        <is>
          <t>Не определено</t>
        </is>
      </c>
      <c r="M5271" s="53" t="inlineStr"/>
      <c r="N5271" s="54" t="inlineStr"/>
      <c r="O5271" s="55" t="inlineStr"/>
      <c r="P5271" s="16" t="inlineStr">
        <is>
          <t>Требует обогащения</t>
        </is>
      </c>
      <c r="Q5271" s="16">
        <f>HYPERLINK("https://pb.nalog.ru/search.html?query=3818017049","ФНС: проверить")</f>
        <v/>
      </c>
      <c r="R5271" s="16">
        <f>HYPERLINK("https://checko.ru/search?query=3801001629","Чекко: проверить")</f>
        <v/>
      </c>
      <c r="S5271" t="n">
        <v>1</v>
      </c>
      <c r="T5271" s="35" t="inlineStr">
        <is>
          <t>4 — Не обогащён</t>
        </is>
      </c>
      <c r="U5271" s="35" t="inlineStr">
        <is>
          <t>Нет ОКВЭД/ССЧР</t>
        </is>
      </c>
      <c r="V5271" s="35" t="inlineStr">
        <is>
          <t>Не определено</t>
        </is>
      </c>
      <c r="W5271" s="35" t="inlineStr"/>
      <c r="X5271" s="35" t="inlineStr"/>
    </row>
    <row r="5272" ht="15" customHeight="1" s="24">
      <c r="A5272" s="13" t="n">
        <v>9886163</v>
      </c>
      <c r="B5272" s="13" t="inlineStr">
        <is>
          <t>ООО "Мамская горнорудная компания"</t>
        </is>
      </c>
      <c r="C5272" s="13" t="n">
        <v>3802009885</v>
      </c>
      <c r="D5272" s="13" t="inlineStr">
        <is>
          <t>3802009885</t>
        </is>
      </c>
      <c r="E5272" s="13" t="inlineStr">
        <is>
          <t>ЮЛ РФ</t>
        </is>
      </c>
      <c r="F5272" s="13" t="n"/>
      <c r="G5272" s="52" t="n">
        <v>29</v>
      </c>
      <c r="H5272" s="52" t="n">
        <v>2025</v>
      </c>
      <c r="I5272" s="52" t="inlineStr">
        <is>
          <t>09.90</t>
        </is>
      </c>
      <c r="J5272" s="52" t="inlineStr">
        <is>
          <t>09.90; 10.71.1; 24.41; 46.90; 49.41.2; 50.40.1; 68.20.29; 07.29.41; 28.92; 41.20; 42.99; 43.21; 45.11.2; 45.11.3; 45.19.2; 45.19.3; 45.20.1; 46.48.2; 46.72.23; 47.77.2; 50.40; 52.10.9; 52.29; 56.10; 56.10.1; 56.10.3; 66.11.2; 68.20.2; 71.12.1; 71.12.3; 72.19; 77.11</t>
        </is>
      </c>
      <c r="K5272" s="53" t="inlineStr">
        <is>
          <t>Да</t>
        </is>
      </c>
      <c r="L5272" s="53" t="inlineStr">
        <is>
          <t>Да</t>
        </is>
      </c>
      <c r="M5272" s="53" t="inlineStr">
        <is>
          <t>До 50</t>
        </is>
      </c>
      <c r="N5272" s="54" t="n">
        <v>16800</v>
      </c>
      <c r="O5272" s="55" t="inlineStr">
        <is>
          <t>16–30</t>
        </is>
      </c>
      <c r="P5272" s="16" t="inlineStr">
        <is>
          <t>ССЧР + ОКВЭД обогащены</t>
        </is>
      </c>
      <c r="Q5272" s="16" t="inlineStr">
        <is>
          <t>ФНС открытые данные ССЧР (ДатаСост 31.12.2025; набор 7707329152-sshr2019)</t>
        </is>
      </c>
      <c r="R5272" s="16" t="inlineStr">
        <is>
          <t>ЕГРЮЛ / egrul.nalog.ru (выписка)</t>
        </is>
      </c>
      <c r="S5272" t="n">
        <v>1</v>
      </c>
      <c r="T5272" s="35" t="inlineStr">
        <is>
          <t>1 — Горячий</t>
        </is>
      </c>
      <c r="U5272" s="35" t="inlineStr">
        <is>
          <t>ОКВЭД + 22+</t>
        </is>
      </c>
      <c r="V5272" s="35" t="inlineStr">
        <is>
          <t>Да</t>
        </is>
      </c>
      <c r="W5272" s="35" t="inlineStr">
        <is>
          <t>Да</t>
        </is>
      </c>
      <c r="X5272" s="35" t="inlineStr">
        <is>
          <t>Да</t>
        </is>
      </c>
    </row>
    <row r="5273" ht="15" customHeight="1" s="24">
      <c r="A5273" s="13" t="n">
        <v>800701744</v>
      </c>
      <c r="B5273" s="13" t="inlineStr">
        <is>
          <t>ИП Дьячук Андрей Михайлович</t>
        </is>
      </c>
      <c r="C5273" s="13" t="n">
        <v>381900649279</v>
      </c>
      <c r="D5273" s="13" t="inlineStr">
        <is>
          <t>381900649279</t>
        </is>
      </c>
      <c r="E5273" s="13" t="inlineStr">
        <is>
          <t>ИП РФ / физлицо</t>
        </is>
      </c>
      <c r="F5273" s="13" t="n"/>
      <c r="G5273" s="14" t="n"/>
      <c r="H5273" s="14" t="n"/>
      <c r="I5273" s="14" t="n"/>
      <c r="J5273" s="14" t="n"/>
      <c r="K5273" s="53" t="inlineStr"/>
      <c r="L5273" s="53" t="inlineStr">
        <is>
          <t>Не определено</t>
        </is>
      </c>
      <c r="M5273" s="53" t="inlineStr"/>
      <c r="N5273" s="54" t="inlineStr"/>
      <c r="O5273" s="55" t="inlineStr"/>
      <c r="P5273" s="16" t="inlineStr">
        <is>
          <t>Требует обогащения</t>
        </is>
      </c>
      <c r="Q5273" s="16">
        <f>HYPERLINK("https://pb.nalog.ru/search.html?query=381900649279","ФНС: проверить")</f>
        <v/>
      </c>
      <c r="R5273" s="16">
        <f>HYPERLINK("https://checko.ru/search?query=3801001629","Чекко: проверить")</f>
        <v/>
      </c>
      <c r="S5273" t="n">
        <v>1</v>
      </c>
      <c r="T5273" s="35" t="inlineStr">
        <is>
          <t>4 — Не обогащён</t>
        </is>
      </c>
      <c r="U5273" s="35" t="inlineStr">
        <is>
          <t>Нет ОКВЭД/ССЧР</t>
        </is>
      </c>
      <c r="V5273" s="35" t="inlineStr">
        <is>
          <t>Не определено</t>
        </is>
      </c>
      <c r="W5273" s="35" t="inlineStr"/>
      <c r="X5273" s="35" t="inlineStr"/>
    </row>
    <row r="5274" ht="27.75" customHeight="1" s="24">
      <c r="A5274" s="13" t="n">
        <v>804686412</v>
      </c>
      <c r="B5274" s="13" t="inlineStr">
        <is>
          <t>Общество с ограниченной ответственностью "ТЦ ИРКУТ"</t>
        </is>
      </c>
      <c r="C5274" s="13" t="n">
        <v>3808099540</v>
      </c>
      <c r="D5274" s="13" t="inlineStr">
        <is>
          <t>3808099540</t>
        </is>
      </c>
      <c r="E5274" s="13" t="inlineStr">
        <is>
          <t>ЮЛ РФ</t>
        </is>
      </c>
      <c r="F5274" s="13" t="n"/>
      <c r="G5274" s="52" t="n">
        <v>8</v>
      </c>
      <c r="H5274" s="52" t="n">
        <v>2025</v>
      </c>
      <c r="I5274" s="14" t="n"/>
      <c r="J5274" s="14" t="n"/>
      <c r="K5274" s="53" t="inlineStr">
        <is>
          <t>Нет</t>
        </is>
      </c>
      <c r="L5274" s="53" t="inlineStr">
        <is>
          <t>Не определено</t>
        </is>
      </c>
      <c r="M5274" s="53" t="inlineStr">
        <is>
          <t>До 10</t>
        </is>
      </c>
      <c r="N5274" s="54" t="n">
        <v>3360</v>
      </c>
      <c r="O5274" s="55" t="inlineStr">
        <is>
          <t>1–15</t>
        </is>
      </c>
      <c r="P5274" s="16" t="inlineStr">
        <is>
          <t>ССЧР обогащена; ОКВЭД не найден/не загружен</t>
        </is>
      </c>
      <c r="Q5274" s="16" t="inlineStr">
        <is>
          <t>ФНС открытые данные ССЧР (ДатаСост 31.12.2025; набор 7707329152-sshr2019)</t>
        </is>
      </c>
      <c r="R5274" s="16">
        <f>HYPERLINK("https://checko.ru/search?query=3801001629","Чекко: проверить")</f>
        <v/>
      </c>
      <c r="S5274" t="n">
        <v>1</v>
      </c>
      <c r="T5274" s="35" t="inlineStr">
        <is>
          <t>4 — Не обогащён</t>
        </is>
      </c>
      <c r="U5274" s="35" t="inlineStr">
        <is>
          <t>Нет ОКВЭД/ССЧР</t>
        </is>
      </c>
      <c r="V5274" s="35" t="inlineStr">
        <is>
          <t>Не определено</t>
        </is>
      </c>
      <c r="W5274" s="35" t="inlineStr">
        <is>
          <t>Нет</t>
        </is>
      </c>
      <c r="X5274" s="35" t="inlineStr"/>
    </row>
    <row r="5275" ht="15" customHeight="1" s="24">
      <c r="A5275" s="13" t="n">
        <v>9834062</v>
      </c>
      <c r="B5275" s="13" t="inlineStr">
        <is>
          <t>ООО "ПОЛИПРОМ"</t>
        </is>
      </c>
      <c r="C5275" s="13" t="n">
        <v>3823031218</v>
      </c>
      <c r="D5275" s="13" t="inlineStr">
        <is>
          <t>3823031218</t>
        </is>
      </c>
      <c r="E5275" s="13" t="inlineStr">
        <is>
          <t>ЮЛ РФ</t>
        </is>
      </c>
      <c r="F5275" s="13" t="n"/>
      <c r="G5275" s="52" t="n">
        <v>1</v>
      </c>
      <c r="H5275" s="52" t="n">
        <v>2025</v>
      </c>
      <c r="I5275" s="14" t="n"/>
      <c r="J5275" s="14" t="n"/>
      <c r="K5275" s="53" t="inlineStr">
        <is>
          <t>Нет</t>
        </is>
      </c>
      <c r="L5275" s="53" t="inlineStr">
        <is>
          <t>Не определено</t>
        </is>
      </c>
      <c r="M5275" s="53" t="inlineStr">
        <is>
          <t>До 10</t>
        </is>
      </c>
      <c r="N5275" s="54" t="n">
        <v>3360</v>
      </c>
      <c r="O5275" s="55" t="inlineStr">
        <is>
          <t>1–15</t>
        </is>
      </c>
      <c r="P5275" s="16" t="inlineStr">
        <is>
          <t>ССЧР обогащена; ОКВЭД не найден/не загружен</t>
        </is>
      </c>
      <c r="Q5275" s="16" t="inlineStr">
        <is>
          <t>ФНС открытые данные ССЧР (ДатаСост 31.12.2025; набор 7707329152-sshr2019)</t>
        </is>
      </c>
      <c r="R5275" s="16">
        <f>HYPERLINK("https://checko.ru/search?query=3801001629","Чекко: проверить")</f>
        <v/>
      </c>
      <c r="S5275" t="n">
        <v>1</v>
      </c>
      <c r="T5275" s="35" t="inlineStr">
        <is>
          <t>4 — Не обогащён</t>
        </is>
      </c>
      <c r="U5275" s="35" t="inlineStr">
        <is>
          <t>Нет ОКВЭД/ССЧР</t>
        </is>
      </c>
      <c r="V5275" s="35" t="inlineStr">
        <is>
          <t>Не определено</t>
        </is>
      </c>
      <c r="W5275" s="35" t="inlineStr">
        <is>
          <t>Нет</t>
        </is>
      </c>
      <c r="X5275" s="35" t="inlineStr"/>
    </row>
    <row r="5276" ht="15" customHeight="1" s="24">
      <c r="A5276" s="13" t="n">
        <v>800405956</v>
      </c>
      <c r="B5276" s="13" t="inlineStr">
        <is>
          <t>ООО "АПТЕКА № 11"</t>
        </is>
      </c>
      <c r="C5276" s="13" t="n">
        <v>3808290070</v>
      </c>
      <c r="D5276" s="13" t="inlineStr">
        <is>
          <t>3808290070</t>
        </is>
      </c>
      <c r="E5276" s="13" t="inlineStr">
        <is>
          <t>ЮЛ РФ</t>
        </is>
      </c>
      <c r="F5276" s="13" t="n"/>
      <c r="G5276" s="52" t="n">
        <v>17</v>
      </c>
      <c r="H5276" s="52" t="n">
        <v>2025</v>
      </c>
      <c r="I5276" s="14" t="n"/>
      <c r="J5276" s="14" t="n"/>
      <c r="K5276" s="53" t="inlineStr">
        <is>
          <t>Нет</t>
        </is>
      </c>
      <c r="L5276" s="53" t="inlineStr">
        <is>
          <t>Не определено</t>
        </is>
      </c>
      <c r="M5276" s="53" t="inlineStr">
        <is>
          <t>До 25</t>
        </is>
      </c>
      <c r="N5276" s="54" t="n">
        <v>8400</v>
      </c>
      <c r="O5276" s="55" t="inlineStr">
        <is>
          <t>16–30</t>
        </is>
      </c>
      <c r="P5276" s="16" t="inlineStr">
        <is>
          <t>ССЧР обогащена; ОКВЭД не найден/не загружен</t>
        </is>
      </c>
      <c r="Q5276" s="16" t="inlineStr">
        <is>
          <t>ФНС открытые данные ССЧР (ДатаСост 31.12.2025; набор 7707329152-sshr2019)</t>
        </is>
      </c>
      <c r="R5276" s="16">
        <f>HYPERLINK("https://checko.ru/search?query=3801001629","Чекко: проверить")</f>
        <v/>
      </c>
      <c r="S5276" t="n">
        <v>1</v>
      </c>
      <c r="T5276" s="35" t="inlineStr">
        <is>
          <t>4 — Не обогащён</t>
        </is>
      </c>
      <c r="U5276" s="35" t="inlineStr">
        <is>
          <t>Нет ОКВЭД/ССЧР</t>
        </is>
      </c>
      <c r="V5276" s="35" t="inlineStr">
        <is>
          <t>Не определено</t>
        </is>
      </c>
      <c r="W5276" s="35" t="inlineStr">
        <is>
          <t>Нет</t>
        </is>
      </c>
      <c r="X5276" s="35" t="inlineStr"/>
    </row>
    <row r="5277" ht="15" customHeight="1" s="24">
      <c r="A5277" s="13" t="n">
        <v>800608510</v>
      </c>
      <c r="B5277" s="13" t="inlineStr">
        <is>
          <t>ООО "Строй Стандарт"</t>
        </is>
      </c>
      <c r="C5277" s="13" t="n">
        <v>3804026068</v>
      </c>
      <c r="D5277" s="13" t="inlineStr">
        <is>
          <t>3804026068</t>
        </is>
      </c>
      <c r="E5277" s="13" t="inlineStr">
        <is>
          <t>ЮЛ РФ</t>
        </is>
      </c>
      <c r="F5277" s="13" t="n"/>
      <c r="G5277" s="52" t="n">
        <v>74</v>
      </c>
      <c r="H5277" s="52" t="n">
        <v>2025</v>
      </c>
      <c r="I5277" s="52" t="inlineStr">
        <is>
          <t>33.12</t>
        </is>
      </c>
      <c r="J5277" s="52" t="inlineStr">
        <is>
          <t>33.12; 33.14; 33.20; 41.20; 42.11; 42.12; 42.13; 42.21; 42.99; 43.11; 43.12; 43.12.1; 43.12.3; 43.21; 43.22; 43.29; 43.31; 43.32; 43.33; 43.34.1; 43.34.2; 43.39; 43.91; 43.99; 43.99.1; 43.99.2; 43.99.3; 43.99.4; 43.99.5; 43.99.6; 43.99.7; 43.99.9; 46.13; 46.73; 46.73.3; 46.73.4; 46.73.5; 46.73.6; 46.90; 47.52.7; 47.52.71; 47.52.72; 52.10; 52.24; 68.31.11; 68.31.12; 68.31.21; 68.31.22; 68.31.31; 68.31.32; 68.31.41; 68.31.42; 71.12.1; 71.12.5; 71.12.6; 71.12.45; 73.11</t>
        </is>
      </c>
      <c r="K5277" s="53" t="inlineStr">
        <is>
          <t>Да</t>
        </is>
      </c>
      <c r="L5277" s="53" t="inlineStr">
        <is>
          <t>Да</t>
        </is>
      </c>
      <c r="M5277" s="53" t="inlineStr">
        <is>
          <t>До 100</t>
        </is>
      </c>
      <c r="N5277" s="54" t="n">
        <v>33600</v>
      </c>
      <c r="O5277" s="55" t="inlineStr">
        <is>
          <t>51–100</t>
        </is>
      </c>
      <c r="P5277" s="16" t="inlineStr">
        <is>
          <t>ССЧР + ОКВЭД обогащены</t>
        </is>
      </c>
      <c r="Q5277" s="16" t="inlineStr">
        <is>
          <t>ФНС открытые данные ССЧР (ДатаСост 31.12.2025; набор 7707329152-sshr2019)</t>
        </is>
      </c>
      <c r="R5277" s="16" t="inlineStr">
        <is>
          <t>ЕГРЮЛ / egrul.nalog.ru (выписка)</t>
        </is>
      </c>
      <c r="S5277" t="n">
        <v>1</v>
      </c>
      <c r="T5277" s="35" t="inlineStr">
        <is>
          <t>1 — Горячий</t>
        </is>
      </c>
      <c r="U5277" s="35" t="inlineStr">
        <is>
          <t>ОКВЭД + 22+</t>
        </is>
      </c>
      <c r="V5277" s="35" t="inlineStr">
        <is>
          <t>Да</t>
        </is>
      </c>
      <c r="W5277" s="35" t="inlineStr">
        <is>
          <t>Да</t>
        </is>
      </c>
      <c r="X5277" s="35" t="inlineStr">
        <is>
          <t>Да</t>
        </is>
      </c>
    </row>
    <row r="5278" ht="15" customHeight="1" s="24">
      <c r="A5278" s="13" t="n">
        <v>801615414</v>
      </c>
      <c r="B5278" s="13" t="inlineStr">
        <is>
          <t>ООО "Север-Автодор"</t>
        </is>
      </c>
      <c r="C5278" s="13" t="n">
        <v>3802009042</v>
      </c>
      <c r="D5278" s="13" t="inlineStr">
        <is>
          <t>3802009042</t>
        </is>
      </c>
      <c r="E5278" s="13" t="inlineStr">
        <is>
          <t>ЮЛ РФ</t>
        </is>
      </c>
      <c r="F5278" s="13" t="n"/>
      <c r="G5278" s="52" t="n">
        <v>13</v>
      </c>
      <c r="H5278" s="52" t="n">
        <v>2025</v>
      </c>
      <c r="I5278" s="14" t="n"/>
      <c r="J5278" s="14" t="n"/>
      <c r="K5278" s="53" t="inlineStr">
        <is>
          <t>Нет</t>
        </is>
      </c>
      <c r="L5278" s="53" t="inlineStr">
        <is>
          <t>Не определено</t>
        </is>
      </c>
      <c r="M5278" s="53" t="inlineStr">
        <is>
          <t>До 25</t>
        </is>
      </c>
      <c r="N5278" s="54" t="n">
        <v>8400</v>
      </c>
      <c r="O5278" s="55" t="inlineStr">
        <is>
          <t>1–15</t>
        </is>
      </c>
      <c r="P5278" s="16" t="inlineStr">
        <is>
          <t>ССЧР обогащена; ОКВЭД не найден/не загружен</t>
        </is>
      </c>
      <c r="Q5278" s="16" t="inlineStr">
        <is>
          <t>ФНС открытые данные ССЧР (ДатаСост 31.12.2025; набор 7707329152-sshr2019)</t>
        </is>
      </c>
      <c r="R5278" s="16">
        <f>HYPERLINK("https://checko.ru/search?query=3801001629","Чекко: проверить")</f>
        <v/>
      </c>
      <c r="S5278" t="n">
        <v>1</v>
      </c>
      <c r="T5278" s="35" t="inlineStr">
        <is>
          <t>4 — Не обогащён</t>
        </is>
      </c>
      <c r="U5278" s="35" t="inlineStr">
        <is>
          <t>Нет ОКВЭД/ССЧР</t>
        </is>
      </c>
      <c r="V5278" s="35" t="inlineStr">
        <is>
          <t>Не определено</t>
        </is>
      </c>
      <c r="W5278" s="35" t="inlineStr">
        <is>
          <t>Нет</t>
        </is>
      </c>
      <c r="X5278" s="35" t="inlineStr"/>
    </row>
    <row r="5279" ht="27.75" customHeight="1" s="24">
      <c r="A5279" s="13" t="n">
        <v>800851367</v>
      </c>
      <c r="B5279" s="13" t="inlineStr">
        <is>
          <t>Общество с ограниченной ответственностью "БИЗНЕС  ИНСАЙТ"</t>
        </is>
      </c>
      <c r="C5279" s="13" t="n">
        <v>2703071383</v>
      </c>
      <c r="D5279" s="13" t="inlineStr">
        <is>
          <t>2703071383</t>
        </is>
      </c>
      <c r="E5279" s="13" t="inlineStr">
        <is>
          <t>ЮЛ РФ</t>
        </is>
      </c>
      <c r="F5279" s="13" t="n"/>
      <c r="G5279" s="52" t="n">
        <v>1</v>
      </c>
      <c r="H5279" s="52" t="n">
        <v>2025</v>
      </c>
      <c r="I5279" s="14" t="n"/>
      <c r="J5279" s="14" t="n"/>
      <c r="K5279" s="53" t="inlineStr">
        <is>
          <t>Нет</t>
        </is>
      </c>
      <c r="L5279" s="53" t="inlineStr">
        <is>
          <t>Не определено</t>
        </is>
      </c>
      <c r="M5279" s="53" t="inlineStr">
        <is>
          <t>До 10</t>
        </is>
      </c>
      <c r="N5279" s="54" t="n">
        <v>3360</v>
      </c>
      <c r="O5279" s="55" t="inlineStr">
        <is>
          <t>1–15</t>
        </is>
      </c>
      <c r="P5279" s="16" t="inlineStr">
        <is>
          <t>ССЧР обогащена; ОКВЭД не найден/не загружен</t>
        </is>
      </c>
      <c r="Q5279" s="16" t="inlineStr">
        <is>
          <t>ФНС открытые данные ССЧР (ДатаСост 31.12.2025; набор 7707329152-sshr2019)</t>
        </is>
      </c>
      <c r="R5279" s="16">
        <f>HYPERLINK("https://checko.ru/search?query=3801001629","Чекко: проверить")</f>
        <v/>
      </c>
      <c r="S5279" t="n">
        <v>1</v>
      </c>
      <c r="T5279" s="35" t="inlineStr">
        <is>
          <t>4 — Не обогащён</t>
        </is>
      </c>
      <c r="U5279" s="35" t="inlineStr">
        <is>
          <t>Нет ОКВЭД/ССЧР</t>
        </is>
      </c>
      <c r="V5279" s="35" t="inlineStr">
        <is>
          <t>Не определено</t>
        </is>
      </c>
      <c r="W5279" s="35" t="inlineStr">
        <is>
          <t>Нет</t>
        </is>
      </c>
      <c r="X5279" s="35" t="inlineStr"/>
    </row>
    <row r="5280" ht="15" customHeight="1" s="24">
      <c r="A5280" s="13" t="n">
        <v>800670908</v>
      </c>
      <c r="B5280" s="13" t="inlineStr">
        <is>
          <t>ООО ТОРГОВЫЙ ДОМ ЭЛИТ ТРЕЙД</t>
        </is>
      </c>
      <c r="C5280" s="13" t="n">
        <v>3810340240</v>
      </c>
      <c r="D5280" s="13" t="inlineStr">
        <is>
          <t>3810340240</t>
        </is>
      </c>
      <c r="E5280" s="13" t="inlineStr">
        <is>
          <t>ЮЛ РФ</t>
        </is>
      </c>
      <c r="F5280" s="13" t="n"/>
      <c r="G5280" s="52" t="n">
        <v>672</v>
      </c>
      <c r="H5280" s="52" t="n">
        <v>2025</v>
      </c>
      <c r="I5280" s="52" t="inlineStr">
        <is>
          <t>46.32</t>
        </is>
      </c>
      <c r="J5280" s="52" t="inlineStr">
        <is>
          <t>46.32; 10.11.2; 10.11.3; 10.11.5; 10.12.1; 10.12.2; 10.12.3; 10.12.4; 10.13; 10.13.1; 10.13.2; 10.13.3; 10.13.4; 10.13.5; 10.13.6; 10.13.9; 10.20.1; 10.20.2; 10.20.5; 10.31; 10.32; 10.39; 10.39.1; 10.39.2; 10.39.9; 10.41; 10.51.2; 10.51.3; 10.61.4; 10.62.9; 10.71; 10.71.1; 10.71.2; 10.72; 10.72.1; 10.72.2; 10.72.3; 10.72.4; 10.72.31; 10.72.32; 10.72.34; 10.72.35; 10.72.39; 10.73.1; 10.82.2; 10.82.5; 10.83; 10.84; 10.85; 10.89; 10.89.1; 10.89.2; 10.89.3; 10.89.7; 10.89.9; 11.07.2; 35.30.15; 46.11.39; 46.31; 46.31.1; 46.31.2; 46.31.11; 46.31.12; 46.32.1; 46.32.2; 46.32.3; 46.33; 46.33.1; 46.33.2; 46.33.3; 46.34.1; 46.36.1; 46.36.2; 46.36.3; 46.36.4; 46.37; 46.38.1; 46.38.2; 46.38.23; 46.38.24; 46.38.25; 46.38.26; 46.38.29; 46.39; 46.39.1; 46.42.1; 46.42.12; 47.11; 47.11.1; 47.11.2; 47.19.1; 47.21; 47.21.1; 47.21.2; 47.22.1; 47.23; 47.29.3; 47.29.11; 47.29.21; 47.29.22; 47.29.33; 47.29.34; 47.71.1; 47.91; 47.91.2; 47.91.3; 47.91.4; 47.99; 47.99.1; 47.99.2; 49.31; 49.39; 49.41.1; 49.41.2; 52.10; 52.10.1; 52.24; 52.24.1; 52.24.2; 52.29; 55.30; 56.10; 56.10.1; 56.10.2; 56.10.21; 56.10.22; 56.10.23; 56.10.24; 56.29; 56.29.2; 56.29.3; 56.29.4; 56.30; 73.11; 82.92; 82.99; 85.41.9; 85.42.9; 93.29.9</t>
        </is>
      </c>
      <c r="K5280" s="53" t="inlineStr">
        <is>
          <t>Да</t>
        </is>
      </c>
      <c r="L5280" s="53" t="inlineStr">
        <is>
          <t>Да</t>
        </is>
      </c>
      <c r="M5280" s="53" t="inlineStr">
        <is>
          <t>До 2000</t>
        </is>
      </c>
      <c r="N5280" s="54" t="n">
        <v>528000</v>
      </c>
      <c r="O5280" s="55" t="inlineStr">
        <is>
          <t>500+</t>
        </is>
      </c>
      <c r="P5280" s="16" t="inlineStr">
        <is>
          <t>ССЧР + ОКВЭД обогащены</t>
        </is>
      </c>
      <c r="Q5280" s="16" t="inlineStr">
        <is>
          <t>ФНС открытые данные ССЧР (ДатаСост 31.12.2025; набор 7707329152-sshr2019)</t>
        </is>
      </c>
      <c r="R5280" s="16" t="inlineStr">
        <is>
          <t>ЕГРЮЛ / egrul.nalog.ru (выписка)</t>
        </is>
      </c>
      <c r="S5280" t="n">
        <v>1</v>
      </c>
      <c r="T5280" s="35" t="inlineStr">
        <is>
          <t>1 — Горячий</t>
        </is>
      </c>
      <c r="U5280" s="35" t="inlineStr">
        <is>
          <t>ОКВЭД + 22+</t>
        </is>
      </c>
      <c r="V5280" s="35" t="inlineStr">
        <is>
          <t>Да</t>
        </is>
      </c>
      <c r="W5280" s="35" t="inlineStr">
        <is>
          <t>Да</t>
        </is>
      </c>
      <c r="X5280" s="35" t="inlineStr">
        <is>
          <t>Да</t>
        </is>
      </c>
    </row>
    <row r="5281" ht="15" customHeight="1" s="24">
      <c r="A5281" s="13" t="n">
        <v>800841294</v>
      </c>
      <c r="B5281" s="13" t="inlineStr">
        <is>
          <t>ООО ПКК "Успех"</t>
        </is>
      </c>
      <c r="C5281" s="13" t="n">
        <v>3805711651</v>
      </c>
      <c r="D5281" s="13" t="inlineStr">
        <is>
          <t>3805711651</t>
        </is>
      </c>
      <c r="E5281" s="13" t="inlineStr">
        <is>
          <t>ЮЛ РФ</t>
        </is>
      </c>
      <c r="F5281" s="13" t="n"/>
      <c r="G5281" s="52" t="n">
        <v>1</v>
      </c>
      <c r="H5281" s="52" t="n">
        <v>2025</v>
      </c>
      <c r="I5281" s="14" t="n"/>
      <c r="J5281" s="14" t="n"/>
      <c r="K5281" s="53" t="inlineStr">
        <is>
          <t>Нет</t>
        </is>
      </c>
      <c r="L5281" s="53" t="inlineStr">
        <is>
          <t>Не определено</t>
        </is>
      </c>
      <c r="M5281" s="53" t="inlineStr">
        <is>
          <t>До 10</t>
        </is>
      </c>
      <c r="N5281" s="54" t="n">
        <v>3360</v>
      </c>
      <c r="O5281" s="55" t="inlineStr">
        <is>
          <t>1–15</t>
        </is>
      </c>
      <c r="P5281" s="16" t="inlineStr">
        <is>
          <t>ССЧР обогащена; ОКВЭД не найден/не загружен</t>
        </is>
      </c>
      <c r="Q5281" s="16" t="inlineStr">
        <is>
          <t>ФНС открытые данные ССЧР (ДатаСост 31.12.2025; набор 7707329152-sshr2019)</t>
        </is>
      </c>
      <c r="R5281" s="16">
        <f>HYPERLINK("https://checko.ru/search?query=3801001629","Чекко: проверить")</f>
        <v/>
      </c>
      <c r="S5281" t="n">
        <v>1</v>
      </c>
      <c r="T5281" s="35" t="inlineStr">
        <is>
          <t>4 — Не обогащён</t>
        </is>
      </c>
      <c r="U5281" s="35" t="inlineStr">
        <is>
          <t>Нет ОКВЭД/ССЧР</t>
        </is>
      </c>
      <c r="V5281" s="35" t="inlineStr">
        <is>
          <t>Не определено</t>
        </is>
      </c>
      <c r="W5281" s="35" t="inlineStr">
        <is>
          <t>Нет</t>
        </is>
      </c>
      <c r="X5281" s="35" t="inlineStr"/>
    </row>
    <row r="5282" ht="15" customHeight="1" s="24">
      <c r="A5282" s="13" t="n">
        <v>9866323</v>
      </c>
      <c r="B5282" s="13" t="inlineStr">
        <is>
          <t>ООО Иркутская энергосервисная компания</t>
        </is>
      </c>
      <c r="C5282" s="13" t="n">
        <v>3811146052</v>
      </c>
      <c r="D5282" s="13" t="inlineStr">
        <is>
          <t>3811146052</t>
        </is>
      </c>
      <c r="E5282" s="13" t="inlineStr">
        <is>
          <t>ЮЛ РФ</t>
        </is>
      </c>
      <c r="F5282" s="13" t="n"/>
      <c r="G5282" s="52" t="n">
        <v>1</v>
      </c>
      <c r="H5282" s="52" t="n">
        <v>2025</v>
      </c>
      <c r="I5282" s="14" t="n"/>
      <c r="J5282" s="14" t="n"/>
      <c r="K5282" s="53" t="inlineStr">
        <is>
          <t>Нет</t>
        </is>
      </c>
      <c r="L5282" s="53" t="inlineStr">
        <is>
          <t>Не определено</t>
        </is>
      </c>
      <c r="M5282" s="53" t="inlineStr">
        <is>
          <t>До 10</t>
        </is>
      </c>
      <c r="N5282" s="54" t="n">
        <v>3360</v>
      </c>
      <c r="O5282" s="55" t="inlineStr">
        <is>
          <t>1–15</t>
        </is>
      </c>
      <c r="P5282" s="16" t="inlineStr">
        <is>
          <t>ССЧР обогащена; ОКВЭД не найден/не загружен</t>
        </is>
      </c>
      <c r="Q5282" s="16" t="inlineStr">
        <is>
          <t>ФНС открытые данные ССЧР (ДатаСост 31.12.2025; набор 7707329152-sshr2019)</t>
        </is>
      </c>
      <c r="R5282" s="16">
        <f>HYPERLINK("https://checko.ru/search?query=3801001629","Чекко: проверить")</f>
        <v/>
      </c>
      <c r="S5282" t="n">
        <v>1</v>
      </c>
      <c r="T5282" s="35" t="inlineStr">
        <is>
          <t>4 — Не обогащён</t>
        </is>
      </c>
      <c r="U5282" s="35" t="inlineStr">
        <is>
          <t>Нет ОКВЭД/ССЧР</t>
        </is>
      </c>
      <c r="V5282" s="35" t="inlineStr">
        <is>
          <t>Не определено</t>
        </is>
      </c>
      <c r="W5282" s="35" t="inlineStr">
        <is>
          <t>Нет</t>
        </is>
      </c>
      <c r="X5282" s="35" t="inlineStr"/>
    </row>
    <row r="5283" ht="15" customHeight="1" s="24">
      <c r="A5283" s="13" t="n">
        <v>800053367</v>
      </c>
      <c r="B5283" s="13" t="inlineStr">
        <is>
          <t>ООО «Тюссо»</t>
        </is>
      </c>
      <c r="C5283" s="13" t="n">
        <v>3804005438</v>
      </c>
      <c r="D5283" s="13" t="inlineStr">
        <is>
          <t>3804005438</t>
        </is>
      </c>
      <c r="E5283" s="13" t="inlineStr">
        <is>
          <t>ЮЛ РФ</t>
        </is>
      </c>
      <c r="F5283" s="13" t="n"/>
      <c r="G5283" s="52" t="n">
        <v>26</v>
      </c>
      <c r="H5283" s="52" t="n">
        <v>2025</v>
      </c>
      <c r="I5283" s="52" t="inlineStr">
        <is>
          <t>02.20</t>
        </is>
      </c>
      <c r="J5283" s="52" t="inlineStr">
        <is>
          <t>02.20; 02.40.2; 16.10; 16.10.2; 16.10.9; 42.11; 42.12; 45.19.1; 45.19.2; 45.19.3; 45.19.4; 45.20; 45.32; 46.13.1; 46.73.1; 46.73.2; 47.52.71; 52.21.2; 52.24; 52.29</t>
        </is>
      </c>
      <c r="K5283" s="53" t="inlineStr">
        <is>
          <t>Да</t>
        </is>
      </c>
      <c r="L5283" s="53" t="inlineStr">
        <is>
          <t>Да</t>
        </is>
      </c>
      <c r="M5283" s="53" t="inlineStr">
        <is>
          <t>До 50</t>
        </is>
      </c>
      <c r="N5283" s="54" t="n">
        <v>16800</v>
      </c>
      <c r="O5283" s="55" t="inlineStr">
        <is>
          <t>16–30</t>
        </is>
      </c>
      <c r="P5283" s="16" t="inlineStr">
        <is>
          <t>ССЧР + ОКВЭД обогащены</t>
        </is>
      </c>
      <c r="Q5283" s="16" t="inlineStr">
        <is>
          <t>ФНС открытые данные ССЧР (ДатаСост 31.12.2025; набор 7707329152-sshr2019)</t>
        </is>
      </c>
      <c r="R5283" s="16" t="inlineStr">
        <is>
          <t>ЕГРЮЛ / egrul.nalog.ru (выписка)</t>
        </is>
      </c>
      <c r="S5283" t="n">
        <v>1</v>
      </c>
      <c r="T5283" s="35" t="inlineStr">
        <is>
          <t>1 — Горячий</t>
        </is>
      </c>
      <c r="U5283" s="35" t="inlineStr">
        <is>
          <t>ОКВЭД + 22+</t>
        </is>
      </c>
      <c r="V5283" s="35" t="inlineStr">
        <is>
          <t>Да</t>
        </is>
      </c>
      <c r="W5283" s="35" t="inlineStr">
        <is>
          <t>Да</t>
        </is>
      </c>
      <c r="X5283" s="35" t="inlineStr">
        <is>
          <t>Да</t>
        </is>
      </c>
    </row>
    <row r="5284" ht="27.75" customHeight="1" s="24">
      <c r="A5284" s="13" t="n">
        <v>800448244</v>
      </c>
      <c r="B5284" s="13" t="inlineStr">
        <is>
          <t>ООО "Производственно-Строительная компания "СтройГрад"</t>
        </is>
      </c>
      <c r="C5284" s="13" t="n">
        <v>3821016221</v>
      </c>
      <c r="D5284" s="13" t="inlineStr">
        <is>
          <t>3821016221</t>
        </is>
      </c>
      <c r="E5284" s="13" t="inlineStr">
        <is>
          <t>ЮЛ РФ</t>
        </is>
      </c>
      <c r="F5284" s="13" t="n"/>
      <c r="G5284" s="52" t="n">
        <v>1</v>
      </c>
      <c r="H5284" s="52" t="n">
        <v>2025</v>
      </c>
      <c r="I5284" s="14" t="n"/>
      <c r="J5284" s="14" t="n"/>
      <c r="K5284" s="53" t="inlineStr">
        <is>
          <t>Нет</t>
        </is>
      </c>
      <c r="L5284" s="53" t="inlineStr">
        <is>
          <t>Не определено</t>
        </is>
      </c>
      <c r="M5284" s="53" t="inlineStr">
        <is>
          <t>До 10</t>
        </is>
      </c>
      <c r="N5284" s="54" t="n">
        <v>3360</v>
      </c>
      <c r="O5284" s="55" t="inlineStr">
        <is>
          <t>1–15</t>
        </is>
      </c>
      <c r="P5284" s="16" t="inlineStr">
        <is>
          <t>ССЧР обогащена; ОКВЭД не найден/не загружен</t>
        </is>
      </c>
      <c r="Q5284" s="16" t="inlineStr">
        <is>
          <t>ФНС открытые данные ССЧР (ДатаСост 31.12.2025; набор 7707329152-sshr2019)</t>
        </is>
      </c>
      <c r="R5284" s="16">
        <f>HYPERLINK("https://checko.ru/search?query=3801001629","Чекко: проверить")</f>
        <v/>
      </c>
      <c r="S5284" t="n">
        <v>1</v>
      </c>
      <c r="T5284" s="35" t="inlineStr">
        <is>
          <t>4 — Не обогащён</t>
        </is>
      </c>
      <c r="U5284" s="35" t="inlineStr">
        <is>
          <t>Нет ОКВЭД/ССЧР</t>
        </is>
      </c>
      <c r="V5284" s="35" t="inlineStr">
        <is>
          <t>Не определено</t>
        </is>
      </c>
      <c r="W5284" s="35" t="inlineStr">
        <is>
          <t>Нет</t>
        </is>
      </c>
      <c r="X5284" s="35" t="inlineStr"/>
    </row>
    <row r="5285" ht="15" customHeight="1" s="24">
      <c r="A5285" s="13" t="n">
        <v>802402417</v>
      </c>
      <c r="B5285" s="13" t="inlineStr">
        <is>
          <t>ООО "АвтоКосметик38"</t>
        </is>
      </c>
      <c r="C5285" s="13" t="n">
        <v>3849027625</v>
      </c>
      <c r="D5285" s="13" t="inlineStr">
        <is>
          <t>3849027625</t>
        </is>
      </c>
      <c r="E5285" s="13" t="inlineStr">
        <is>
          <t>ЮЛ РФ</t>
        </is>
      </c>
      <c r="F5285" s="13" t="n"/>
      <c r="G5285" s="52" t="n">
        <v>8</v>
      </c>
      <c r="H5285" s="52" t="n">
        <v>2025</v>
      </c>
      <c r="I5285" s="14" t="n"/>
      <c r="J5285" s="14" t="n"/>
      <c r="K5285" s="53" t="inlineStr">
        <is>
          <t>Нет</t>
        </is>
      </c>
      <c r="L5285" s="53" t="inlineStr">
        <is>
          <t>Не определено</t>
        </is>
      </c>
      <c r="M5285" s="53" t="inlineStr">
        <is>
          <t>До 10</t>
        </is>
      </c>
      <c r="N5285" s="54" t="n">
        <v>3360</v>
      </c>
      <c r="O5285" s="55" t="inlineStr">
        <is>
          <t>1–15</t>
        </is>
      </c>
      <c r="P5285" s="16" t="inlineStr">
        <is>
          <t>ССЧР обогащена; ОКВЭД не найден/не загружен</t>
        </is>
      </c>
      <c r="Q5285" s="16" t="inlineStr">
        <is>
          <t>ФНС открытые данные ССЧР (ДатаСост 31.12.2025; набор 7707329152-sshr2019)</t>
        </is>
      </c>
      <c r="R5285" s="16">
        <f>HYPERLINK("https://checko.ru/search?query=3801001629","Чекко: проверить")</f>
        <v/>
      </c>
      <c r="S5285" t="n">
        <v>1</v>
      </c>
      <c r="T5285" s="35" t="inlineStr">
        <is>
          <t>4 — Не обогащён</t>
        </is>
      </c>
      <c r="U5285" s="35" t="inlineStr">
        <is>
          <t>Нет ОКВЭД/ССЧР</t>
        </is>
      </c>
      <c r="V5285" s="35" t="inlineStr">
        <is>
          <t>Не определено</t>
        </is>
      </c>
      <c r="W5285" s="35" t="inlineStr">
        <is>
          <t>Нет</t>
        </is>
      </c>
      <c r="X5285" s="35" t="inlineStr"/>
    </row>
    <row r="5286" ht="15" customHeight="1" s="24">
      <c r="A5286" s="13" t="n">
        <v>800491763</v>
      </c>
      <c r="B5286" s="13" t="inlineStr">
        <is>
          <t>ИП Антоненко Анна Владимировна</t>
        </is>
      </c>
      <c r="C5286" s="13" t="n">
        <v>382001282801</v>
      </c>
      <c r="D5286" s="13" t="inlineStr">
        <is>
          <t>382001282801</t>
        </is>
      </c>
      <c r="E5286" s="13" t="inlineStr">
        <is>
          <t>ИП РФ / физлицо</t>
        </is>
      </c>
      <c r="F5286" s="13" t="n"/>
      <c r="G5286" s="14" t="n"/>
      <c r="H5286" s="14" t="n"/>
      <c r="I5286" s="14" t="n"/>
      <c r="J5286" s="14" t="n"/>
      <c r="K5286" s="53" t="inlineStr"/>
      <c r="L5286" s="53" t="inlineStr">
        <is>
          <t>Не определено</t>
        </is>
      </c>
      <c r="M5286" s="53" t="inlineStr"/>
      <c r="N5286" s="54" t="inlineStr"/>
      <c r="O5286" s="55" t="inlineStr"/>
      <c r="P5286" s="16" t="inlineStr">
        <is>
          <t>Требует обогащения</t>
        </is>
      </c>
      <c r="Q5286" s="16">
        <f>HYPERLINK("https://pb.nalog.ru/search.html?query=382001282801","ФНС: проверить")</f>
        <v/>
      </c>
      <c r="R5286" s="16">
        <f>HYPERLINK("https://checko.ru/search?query=3801001629","Чекко: проверить")</f>
        <v/>
      </c>
      <c r="S5286" t="n">
        <v>1</v>
      </c>
      <c r="T5286" s="35" t="inlineStr">
        <is>
          <t>4 — Не обогащён</t>
        </is>
      </c>
      <c r="U5286" s="35" t="inlineStr">
        <is>
          <t>Нет ОКВЭД/ССЧР</t>
        </is>
      </c>
      <c r="V5286" s="35" t="inlineStr">
        <is>
          <t>Не определено</t>
        </is>
      </c>
      <c r="W5286" s="35" t="inlineStr"/>
      <c r="X5286" s="35" t="inlineStr"/>
    </row>
    <row r="5287" ht="15" customHeight="1" s="24">
      <c r="A5287" s="13" t="n">
        <v>800503574</v>
      </c>
      <c r="B5287" s="13" t="inlineStr">
        <is>
          <t>Ремонтный завод "Иркутский" ОАО</t>
        </is>
      </c>
      <c r="C5287" s="13" t="n">
        <v>3827000411</v>
      </c>
      <c r="D5287" s="13" t="inlineStr">
        <is>
          <t>3827000411</t>
        </is>
      </c>
      <c r="E5287" s="13" t="inlineStr">
        <is>
          <t>ЮЛ РФ</t>
        </is>
      </c>
      <c r="F5287" s="13" t="n"/>
      <c r="G5287" s="52" t="n">
        <v>4</v>
      </c>
      <c r="H5287" s="52" t="n">
        <v>2025</v>
      </c>
      <c r="I5287" s="14" t="n"/>
      <c r="J5287" s="14" t="n"/>
      <c r="K5287" s="53" t="inlineStr">
        <is>
          <t>Нет</t>
        </is>
      </c>
      <c r="L5287" s="53" t="inlineStr">
        <is>
          <t>Не определено</t>
        </is>
      </c>
      <c r="M5287" s="53" t="inlineStr">
        <is>
          <t>До 10</t>
        </is>
      </c>
      <c r="N5287" s="54" t="n">
        <v>3360</v>
      </c>
      <c r="O5287" s="55" t="inlineStr">
        <is>
          <t>1–15</t>
        </is>
      </c>
      <c r="P5287" s="16" t="inlineStr">
        <is>
          <t>ССЧР обогащена; ОКВЭД не найден/не загружен</t>
        </is>
      </c>
      <c r="Q5287" s="16" t="inlineStr">
        <is>
          <t>ФНС открытые данные ССЧР (ДатаСост 31.12.2025; набор 7707329152-sshr2019)</t>
        </is>
      </c>
      <c r="R5287" s="16">
        <f>HYPERLINK("https://checko.ru/search?query=3801001629","Чекко: проверить")</f>
        <v/>
      </c>
      <c r="S5287" t="n">
        <v>1</v>
      </c>
      <c r="T5287" s="35" t="inlineStr">
        <is>
          <t>4 — Не обогащён</t>
        </is>
      </c>
      <c r="U5287" s="35" t="inlineStr">
        <is>
          <t>Нет ОКВЭД/ССЧР</t>
        </is>
      </c>
      <c r="V5287" s="35" t="inlineStr">
        <is>
          <t>Не определено</t>
        </is>
      </c>
      <c r="W5287" s="35" t="inlineStr">
        <is>
          <t>Нет</t>
        </is>
      </c>
      <c r="X5287" s="35" t="inlineStr"/>
    </row>
    <row r="5288" ht="15" customHeight="1" s="24">
      <c r="A5288" s="13" t="n">
        <v>800438412</v>
      </c>
      <c r="B5288" s="13" t="inlineStr">
        <is>
          <t>ООО "ТРАСТ"</t>
        </is>
      </c>
      <c r="C5288" s="13" t="n">
        <v>3801084488</v>
      </c>
      <c r="D5288" s="13" t="inlineStr">
        <is>
          <t>3801084488</t>
        </is>
      </c>
      <c r="E5288" s="13" t="inlineStr">
        <is>
          <t>ЮЛ РФ</t>
        </is>
      </c>
      <c r="F5288" s="13" t="n"/>
      <c r="G5288" s="14" t="n"/>
      <c r="H5288" s="14" t="n"/>
      <c r="I5288" s="14" t="n"/>
      <c r="J5288" s="14" t="n"/>
      <c r="K5288" s="53" t="inlineStr"/>
      <c r="L5288" s="53" t="inlineStr">
        <is>
          <t>Не определено</t>
        </is>
      </c>
      <c r="M5288" s="53" t="inlineStr"/>
      <c r="N5288" s="54" t="inlineStr"/>
      <c r="O5288" s="55" t="inlineStr"/>
      <c r="P5288" s="16" t="inlineStr">
        <is>
          <t>Требует обогащения</t>
        </is>
      </c>
      <c r="Q5288" s="16">
        <f>HYPERLINK("https://pb.nalog.ru/search.html?query=3801084488","ФНС: проверить")</f>
        <v/>
      </c>
      <c r="R5288" s="16">
        <f>HYPERLINK("https://checko.ru/search?query=3801001629","Чекко: проверить")</f>
        <v/>
      </c>
      <c r="S5288" t="n">
        <v>1</v>
      </c>
      <c r="T5288" s="35" t="inlineStr">
        <is>
          <t>4 — Не обогащён</t>
        </is>
      </c>
      <c r="U5288" s="35" t="inlineStr">
        <is>
          <t>Нет ОКВЭД/ССЧР</t>
        </is>
      </c>
      <c r="V5288" s="35" t="inlineStr">
        <is>
          <t>Не определено</t>
        </is>
      </c>
      <c r="W5288" s="35" t="inlineStr"/>
      <c r="X5288" s="35" t="inlineStr"/>
    </row>
    <row r="5289" ht="27.75" customHeight="1" s="24">
      <c r="A5289" s="13" t="n">
        <v>802485683</v>
      </c>
      <c r="B5289" s="13" t="inlineStr">
        <is>
          <t>ОБЩЕСТВО С ОГРАНИЧЕННОЙ ОТВЕТСТВЕННОСТЬЮ "САНТ И К"</t>
        </is>
      </c>
      <c r="C5289" s="13" t="n">
        <v>3810017128</v>
      </c>
      <c r="D5289" s="13" t="inlineStr">
        <is>
          <t>3810017128</t>
        </is>
      </c>
      <c r="E5289" s="13" t="inlineStr">
        <is>
          <t>ЮЛ РФ</t>
        </is>
      </c>
      <c r="F5289" s="13" t="n"/>
      <c r="G5289" s="52" t="n">
        <v>46</v>
      </c>
      <c r="H5289" s="52" t="n">
        <v>2025</v>
      </c>
      <c r="I5289" s="52" t="inlineStr">
        <is>
          <t>45.20.1</t>
        </is>
      </c>
      <c r="J5289" s="52" t="inlineStr">
        <is>
          <t>45.20.1; 02.20; 16.10.1; 42.11; 42.12; 42.99; 43.39; 45.11; 45.11.1; 45.11.2; 45.11.3; 45.11.4; 45.19.1; 45.19.2; 45.19.3; 45.19.4; 45.31.1; 45.32; 46.90; 52.21.24; 56.10; 56.10.1; 56.10.3; 58.19; 63.11.1; 64.91; 66.11; 66.12.1; 66.22; 68.20.2; 68.31.1; 68.31.2; 68.31.3; 68.31.4; 68.32.2; 70.22; 73.11; 79.11; 93.29.9</t>
        </is>
      </c>
      <c r="K5289" s="53" t="inlineStr">
        <is>
          <t>Да</t>
        </is>
      </c>
      <c r="L5289" s="53" t="inlineStr">
        <is>
          <t>Да</t>
        </is>
      </c>
      <c r="M5289" s="53" t="inlineStr">
        <is>
          <t>До 50</t>
        </is>
      </c>
      <c r="N5289" s="54" t="n">
        <v>16800</v>
      </c>
      <c r="O5289" s="55" t="inlineStr">
        <is>
          <t>31–50</t>
        </is>
      </c>
      <c r="P5289" s="16" t="inlineStr">
        <is>
          <t>ССЧР + ОКВЭД обогащены</t>
        </is>
      </c>
      <c r="Q5289" s="16" t="inlineStr">
        <is>
          <t>ФНС открытые данные ССЧР (ДатаСост 31.12.2025; набор 7707329152-sshr2019)</t>
        </is>
      </c>
      <c r="R5289" s="16" t="inlineStr">
        <is>
          <t>ЕГРЮЛ / egrul.nalog.ru (выписка)</t>
        </is>
      </c>
      <c r="S5289" t="n">
        <v>1</v>
      </c>
      <c r="T5289" s="35" t="inlineStr">
        <is>
          <t>1 — Горячий</t>
        </is>
      </c>
      <c r="U5289" s="35" t="inlineStr">
        <is>
          <t>ОКВЭД + 22+</t>
        </is>
      </c>
      <c r="V5289" s="35" t="inlineStr">
        <is>
          <t>Да</t>
        </is>
      </c>
      <c r="W5289" s="35" t="inlineStr">
        <is>
          <t>Да</t>
        </is>
      </c>
      <c r="X5289" s="35" t="inlineStr">
        <is>
          <t>Да</t>
        </is>
      </c>
    </row>
    <row r="5290" ht="15" customHeight="1" s="24">
      <c r="A5290" s="13" t="n">
        <v>804675879</v>
      </c>
      <c r="B5290" s="13" t="inlineStr">
        <is>
          <t>ООО  "АКВАЛИДЕР"</t>
        </is>
      </c>
      <c r="C5290" s="13" t="n">
        <v>3816037787</v>
      </c>
      <c r="D5290" s="13" t="inlineStr">
        <is>
          <t>3816037787</t>
        </is>
      </c>
      <c r="E5290" s="13" t="inlineStr">
        <is>
          <t>ЮЛ РФ</t>
        </is>
      </c>
      <c r="F5290" s="13" t="n"/>
      <c r="G5290" s="52" t="n">
        <v>19</v>
      </c>
      <c r="H5290" s="52" t="n">
        <v>2025</v>
      </c>
      <c r="I5290" s="14" t="n"/>
      <c r="J5290" s="14" t="n"/>
      <c r="K5290" s="53" t="inlineStr">
        <is>
          <t>Нет</t>
        </is>
      </c>
      <c r="L5290" s="53" t="inlineStr">
        <is>
          <t>Не определено</t>
        </is>
      </c>
      <c r="M5290" s="53" t="inlineStr">
        <is>
          <t>До 25</t>
        </is>
      </c>
      <c r="N5290" s="54" t="n">
        <v>8400</v>
      </c>
      <c r="O5290" s="55" t="inlineStr">
        <is>
          <t>16–30</t>
        </is>
      </c>
      <c r="P5290" s="16" t="inlineStr">
        <is>
          <t>ССЧР обогащена; ОКВЭД не найден/не загружен</t>
        </is>
      </c>
      <c r="Q5290" s="16" t="inlineStr">
        <is>
          <t>ФНС открытые данные ССЧР (ДатаСост 31.12.2025; набор 7707329152-sshr2019)</t>
        </is>
      </c>
      <c r="R5290" s="16">
        <f>HYPERLINK("https://checko.ru/search?query=3801001629","Чекко: проверить")</f>
        <v/>
      </c>
      <c r="S5290" t="n">
        <v>1</v>
      </c>
      <c r="T5290" s="35" t="inlineStr">
        <is>
          <t>4 — Не обогащён</t>
        </is>
      </c>
      <c r="U5290" s="35" t="inlineStr">
        <is>
          <t>Нет ОКВЭД/ССЧР</t>
        </is>
      </c>
      <c r="V5290" s="35" t="inlineStr">
        <is>
          <t>Не определено</t>
        </is>
      </c>
      <c r="W5290" s="35" t="inlineStr">
        <is>
          <t>Нет</t>
        </is>
      </c>
      <c r="X5290" s="35" t="inlineStr"/>
    </row>
    <row r="5291" ht="15" customHeight="1" s="24">
      <c r="A5291" s="13" t="n">
        <v>800490943</v>
      </c>
      <c r="B5291" s="13" t="inlineStr">
        <is>
          <t>АО "Витимэнергосбыт"</t>
        </is>
      </c>
      <c r="C5291" s="13" t="n">
        <v>3802010714</v>
      </c>
      <c r="D5291" s="13" t="inlineStr">
        <is>
          <t>3802010714</t>
        </is>
      </c>
      <c r="E5291" s="13" t="inlineStr">
        <is>
          <t>ЮЛ РФ</t>
        </is>
      </c>
      <c r="F5291" s="13" t="n"/>
      <c r="G5291" s="52" t="n">
        <v>35</v>
      </c>
      <c r="H5291" s="52" t="n">
        <v>2025</v>
      </c>
      <c r="I5291" s="52" t="inlineStr">
        <is>
          <t>35.14</t>
        </is>
      </c>
      <c r="J5291" s="52" t="inlineStr">
        <is>
          <t>35.14; 68.20.29; 35.11; 43.21; 43.29; 47.59.9</t>
        </is>
      </c>
      <c r="K5291" s="53" t="inlineStr">
        <is>
          <t>Да</t>
        </is>
      </c>
      <c r="L5291" s="53" t="inlineStr">
        <is>
          <t>Да</t>
        </is>
      </c>
      <c r="M5291" s="53" t="inlineStr">
        <is>
          <t>До 50</t>
        </is>
      </c>
      <c r="N5291" s="54" t="n">
        <v>16800</v>
      </c>
      <c r="O5291" s="55" t="inlineStr">
        <is>
          <t>31–50</t>
        </is>
      </c>
      <c r="P5291" s="16" t="inlineStr">
        <is>
          <t>ССЧР + ОКВЭД обогащены</t>
        </is>
      </c>
      <c r="Q5291" s="16" t="inlineStr">
        <is>
          <t>ФНС открытые данные ССЧР (ДатаСост 31.12.2025; набор 7707329152-sshr2019)</t>
        </is>
      </c>
      <c r="R5291" s="16" t="inlineStr">
        <is>
          <t>ЕГРЮЛ / egrul.nalog.ru (выписка)</t>
        </is>
      </c>
      <c r="S5291" t="n">
        <v>1</v>
      </c>
      <c r="T5291" s="35" t="inlineStr">
        <is>
          <t>1 — Горячий</t>
        </is>
      </c>
      <c r="U5291" s="35" t="inlineStr">
        <is>
          <t>ОКВЭД + 22+</t>
        </is>
      </c>
      <c r="V5291" s="35" t="inlineStr">
        <is>
          <t>Да</t>
        </is>
      </c>
      <c r="W5291" s="35" t="inlineStr">
        <is>
          <t>Да</t>
        </is>
      </c>
      <c r="X5291" s="35" t="inlineStr">
        <is>
          <t>Да</t>
        </is>
      </c>
    </row>
    <row r="5292" ht="15" customHeight="1" s="24">
      <c r="A5292" s="13" t="n">
        <v>18278259</v>
      </c>
      <c r="B5292" s="13" t="inlineStr">
        <is>
          <t>ТСЖ "Молодежное"</t>
        </is>
      </c>
      <c r="C5292" s="13" t="n">
        <v>3827005385</v>
      </c>
      <c r="D5292" s="13" t="inlineStr">
        <is>
          <t>3827005385</t>
        </is>
      </c>
      <c r="E5292" s="13" t="inlineStr">
        <is>
          <t>ЮЛ РФ</t>
        </is>
      </c>
      <c r="F5292" s="13" t="n"/>
      <c r="G5292" s="14" t="n"/>
      <c r="H5292" s="14" t="n"/>
      <c r="I5292" s="14" t="n"/>
      <c r="J5292" s="14" t="n"/>
      <c r="K5292" s="53" t="inlineStr"/>
      <c r="L5292" s="53" t="inlineStr">
        <is>
          <t>Не определено</t>
        </is>
      </c>
      <c r="M5292" s="53" t="inlineStr"/>
      <c r="N5292" s="54" t="inlineStr"/>
      <c r="O5292" s="55" t="inlineStr"/>
      <c r="P5292" s="16" t="inlineStr">
        <is>
          <t>Требует обогащения</t>
        </is>
      </c>
      <c r="Q5292" s="16">
        <f>HYPERLINK("https://pb.nalog.ru/search.html?query=3827005385","ФНС: проверить")</f>
        <v/>
      </c>
      <c r="R5292" s="16">
        <f>HYPERLINK("https://checko.ru/search?query=3801001629","Чекко: проверить")</f>
        <v/>
      </c>
      <c r="S5292" t="n">
        <v>1</v>
      </c>
      <c r="T5292" s="35" t="inlineStr">
        <is>
          <t>4 — Не обогащён</t>
        </is>
      </c>
      <c r="U5292" s="35" t="inlineStr">
        <is>
          <t>Нет ОКВЭД/ССЧР</t>
        </is>
      </c>
      <c r="V5292" s="35" t="inlineStr">
        <is>
          <t>Не определено</t>
        </is>
      </c>
      <c r="W5292" s="35" t="inlineStr"/>
      <c r="X5292" s="35" t="inlineStr"/>
    </row>
    <row r="5293" ht="15" customHeight="1" s="24">
      <c r="A5293" s="13" t="n">
        <v>9198788</v>
      </c>
      <c r="B5293" s="13" t="inlineStr">
        <is>
          <t>ЭМП, ООО</t>
        </is>
      </c>
      <c r="C5293" s="13" t="n">
        <v>3810312324</v>
      </c>
      <c r="D5293" s="13" t="inlineStr">
        <is>
          <t>3810312324</t>
        </is>
      </c>
      <c r="E5293" s="13" t="inlineStr">
        <is>
          <t>ЮЛ РФ</t>
        </is>
      </c>
      <c r="F5293" s="13" t="n"/>
      <c r="G5293" s="52" t="n">
        <v>17</v>
      </c>
      <c r="H5293" s="52" t="n">
        <v>2025</v>
      </c>
      <c r="I5293" s="14" t="n"/>
      <c r="J5293" s="14" t="n"/>
      <c r="K5293" s="53" t="inlineStr">
        <is>
          <t>Нет</t>
        </is>
      </c>
      <c r="L5293" s="53" t="inlineStr">
        <is>
          <t>Не определено</t>
        </is>
      </c>
      <c r="M5293" s="53" t="inlineStr">
        <is>
          <t>До 25</t>
        </is>
      </c>
      <c r="N5293" s="54" t="n">
        <v>8400</v>
      </c>
      <c r="O5293" s="55" t="inlineStr">
        <is>
          <t>16–30</t>
        </is>
      </c>
      <c r="P5293" s="16" t="inlineStr">
        <is>
          <t>ССЧР обогащена; ОКВЭД не найден/не загружен</t>
        </is>
      </c>
      <c r="Q5293" s="16" t="inlineStr">
        <is>
          <t>ФНС открытые данные ССЧР (ДатаСост 31.12.2025; набор 7707329152-sshr2019)</t>
        </is>
      </c>
      <c r="R5293" s="16">
        <f>HYPERLINK("https://checko.ru/search?query=3801001629","Чекко: проверить")</f>
        <v/>
      </c>
      <c r="S5293" t="n">
        <v>1</v>
      </c>
      <c r="T5293" s="35" t="inlineStr">
        <is>
          <t>4 — Не обогащён</t>
        </is>
      </c>
      <c r="U5293" s="35" t="inlineStr">
        <is>
          <t>Нет ОКВЭД/ССЧР</t>
        </is>
      </c>
      <c r="V5293" s="35" t="inlineStr">
        <is>
          <t>Не определено</t>
        </is>
      </c>
      <c r="W5293" s="35" t="inlineStr">
        <is>
          <t>Нет</t>
        </is>
      </c>
      <c r="X5293" s="35" t="inlineStr"/>
    </row>
    <row r="5294" ht="15" customHeight="1" s="24">
      <c r="A5294" s="13" t="n">
        <v>9043301</v>
      </c>
      <c r="B5294" s="13" t="inlineStr">
        <is>
          <t>ООО "Байкальская рыба"</t>
        </is>
      </c>
      <c r="C5294" s="13" t="n">
        <v>3836002824</v>
      </c>
      <c r="D5294" s="13" t="inlineStr">
        <is>
          <t>3836002824</t>
        </is>
      </c>
      <c r="E5294" s="13" t="inlineStr">
        <is>
          <t>ЮЛ РФ</t>
        </is>
      </c>
      <c r="F5294" s="13" t="n"/>
      <c r="G5294" s="52" t="n">
        <v>38</v>
      </c>
      <c r="H5294" s="52" t="n">
        <v>2025</v>
      </c>
      <c r="I5294" s="52" t="inlineStr">
        <is>
          <t>03.22.5</t>
        </is>
      </c>
      <c r="J5294" s="52" t="inlineStr">
        <is>
          <t>03.22.5; 03.11; 03.12; 03.12.3; 10.39; 10.89; 46.38.1; 46.38.2; 47.21.2; 47.23; 47.23.1; 47.23.2; 55.10; 56.10.1; 56.30</t>
        </is>
      </c>
      <c r="K5294" s="53" t="inlineStr">
        <is>
          <t>Да</t>
        </is>
      </c>
      <c r="L5294" s="53" t="inlineStr">
        <is>
          <t>Да</t>
        </is>
      </c>
      <c r="M5294" s="53" t="inlineStr">
        <is>
          <t>До 50</t>
        </is>
      </c>
      <c r="N5294" s="54" t="n">
        <v>16800</v>
      </c>
      <c r="O5294" s="55" t="inlineStr">
        <is>
          <t>31–50</t>
        </is>
      </c>
      <c r="P5294" s="16" t="inlineStr">
        <is>
          <t>ССЧР + ОКВЭД обогащены</t>
        </is>
      </c>
      <c r="Q5294" s="16" t="inlineStr">
        <is>
          <t>ФНС открытые данные ССЧР (ДатаСост 31.12.2025; набор 7707329152-sshr2019)</t>
        </is>
      </c>
      <c r="R5294" s="16" t="inlineStr">
        <is>
          <t>ЕГРЮЛ / egrul.nalog.ru (выписка)</t>
        </is>
      </c>
      <c r="S5294" t="n">
        <v>1</v>
      </c>
      <c r="T5294" s="35" t="inlineStr">
        <is>
          <t>1 — Горячий</t>
        </is>
      </c>
      <c r="U5294" s="35" t="inlineStr">
        <is>
          <t>ОКВЭД + 22+</t>
        </is>
      </c>
      <c r="V5294" s="35" t="inlineStr">
        <is>
          <t>Да</t>
        </is>
      </c>
      <c r="W5294" s="35" t="inlineStr">
        <is>
          <t>Да</t>
        </is>
      </c>
      <c r="X5294" s="35" t="inlineStr">
        <is>
          <t>Да</t>
        </is>
      </c>
    </row>
    <row r="5295" ht="15" customHeight="1" s="24">
      <c r="A5295" s="13" t="n">
        <v>802453908</v>
      </c>
      <c r="B5295" s="13" t="inlineStr">
        <is>
          <t>ООО Савиновские магнезиты</t>
        </is>
      </c>
      <c r="C5295" s="13" t="n">
        <v>3812069844</v>
      </c>
      <c r="D5295" s="13" t="inlineStr">
        <is>
          <t>3812069844</t>
        </is>
      </c>
      <c r="E5295" s="13" t="inlineStr">
        <is>
          <t>ЮЛ РФ</t>
        </is>
      </c>
      <c r="F5295" s="13" t="n"/>
      <c r="G5295" s="52" t="n">
        <v>13</v>
      </c>
      <c r="H5295" s="52" t="n">
        <v>2025</v>
      </c>
      <c r="I5295" s="14" t="n"/>
      <c r="J5295" s="14" t="n"/>
      <c r="K5295" s="53" t="inlineStr">
        <is>
          <t>Нет</t>
        </is>
      </c>
      <c r="L5295" s="53" t="inlineStr">
        <is>
          <t>Не определено</t>
        </is>
      </c>
      <c r="M5295" s="53" t="inlineStr">
        <is>
          <t>До 25</t>
        </is>
      </c>
      <c r="N5295" s="54" t="n">
        <v>8400</v>
      </c>
      <c r="O5295" s="55" t="inlineStr">
        <is>
          <t>1–15</t>
        </is>
      </c>
      <c r="P5295" s="16" t="inlineStr">
        <is>
          <t>ССЧР обогащена; ОКВЭД не найден/не загружен</t>
        </is>
      </c>
      <c r="Q5295" s="16" t="inlineStr">
        <is>
          <t>ФНС открытые данные ССЧР (ДатаСост 31.12.2025; набор 7707329152-sshr2019)</t>
        </is>
      </c>
      <c r="R5295" s="16">
        <f>HYPERLINK("https://checko.ru/search?query=3801001629","Чекко: проверить")</f>
        <v/>
      </c>
      <c r="S5295" t="n">
        <v>1</v>
      </c>
      <c r="T5295" s="35" t="inlineStr">
        <is>
          <t>4 — Не обогащён</t>
        </is>
      </c>
      <c r="U5295" s="35" t="inlineStr">
        <is>
          <t>Нет ОКВЭД/ССЧР</t>
        </is>
      </c>
      <c r="V5295" s="35" t="inlineStr">
        <is>
          <t>Не определено</t>
        </is>
      </c>
      <c r="W5295" s="35" t="inlineStr">
        <is>
          <t>Нет</t>
        </is>
      </c>
      <c r="X5295" s="35" t="inlineStr"/>
    </row>
    <row r="5296" ht="27.75" customHeight="1" s="24">
      <c r="A5296" s="13" t="n">
        <v>804703983</v>
      </c>
      <c r="B5296" s="13" t="inlineStr">
        <is>
          <t>Индивидуальный Предприниматель Андреев Максим Алексеевич</t>
        </is>
      </c>
      <c r="C5296" s="13" t="n">
        <v>384902945832</v>
      </c>
      <c r="D5296" s="13" t="inlineStr">
        <is>
          <t>384902945832</t>
        </is>
      </c>
      <c r="E5296" s="13" t="inlineStr">
        <is>
          <t>ИП РФ / физлицо</t>
        </is>
      </c>
      <c r="F5296" s="13" t="n"/>
      <c r="G5296" s="14" t="n"/>
      <c r="H5296" s="14" t="n"/>
      <c r="I5296" s="14" t="n"/>
      <c r="J5296" s="14" t="n"/>
      <c r="K5296" s="53" t="inlineStr"/>
      <c r="L5296" s="53" t="inlineStr">
        <is>
          <t>Не определено</t>
        </is>
      </c>
      <c r="M5296" s="53" t="inlineStr"/>
      <c r="N5296" s="54" t="inlineStr"/>
      <c r="O5296" s="55" t="inlineStr"/>
      <c r="P5296" s="16" t="inlineStr">
        <is>
          <t>Требует обогащения</t>
        </is>
      </c>
      <c r="Q5296" s="16">
        <f>HYPERLINK("https://pb.nalog.ru/search.html?query=384902945832","ФНС: проверить")</f>
        <v/>
      </c>
      <c r="R5296" s="16">
        <f>HYPERLINK("https://checko.ru/search?query=3801001629","Чекко: проверить")</f>
        <v/>
      </c>
      <c r="S5296" t="n">
        <v>1</v>
      </c>
      <c r="T5296" s="35" t="inlineStr">
        <is>
          <t>4 — Не обогащён</t>
        </is>
      </c>
      <c r="U5296" s="35" t="inlineStr">
        <is>
          <t>Нет ОКВЭД/ССЧР</t>
        </is>
      </c>
      <c r="V5296" s="35" t="inlineStr">
        <is>
          <t>Не определено</t>
        </is>
      </c>
      <c r="W5296" s="35" t="inlineStr"/>
      <c r="X5296" s="35" t="inlineStr"/>
    </row>
    <row r="5297" ht="27.75" customHeight="1" s="24">
      <c r="A5297" s="13" t="n">
        <v>802389967</v>
      </c>
      <c r="B5297" s="13" t="inlineStr">
        <is>
          <t>Индивидуальный Предприниматель Митрофанов Геннадий Геннадьевич</t>
        </is>
      </c>
      <c r="C5297" s="13" t="n">
        <v>380801686736</v>
      </c>
      <c r="D5297" s="13" t="inlineStr">
        <is>
          <t>380801686736</t>
        </is>
      </c>
      <c r="E5297" s="13" t="inlineStr">
        <is>
          <t>ИП РФ / физлицо</t>
        </is>
      </c>
      <c r="F5297" s="13" t="n"/>
      <c r="G5297" s="14" t="n"/>
      <c r="H5297" s="14" t="n"/>
      <c r="I5297" s="14" t="n"/>
      <c r="J5297" s="14" t="n"/>
      <c r="K5297" s="53" t="inlineStr"/>
      <c r="L5297" s="53" t="inlineStr">
        <is>
          <t>Не определено</t>
        </is>
      </c>
      <c r="M5297" s="53" t="inlineStr"/>
      <c r="N5297" s="54" t="inlineStr"/>
      <c r="O5297" s="55" t="inlineStr"/>
      <c r="P5297" s="16" t="inlineStr">
        <is>
          <t>Требует обогащения</t>
        </is>
      </c>
      <c r="Q5297" s="16">
        <f>HYPERLINK("https://pb.nalog.ru/search.html?query=380801686736","ФНС: проверить")</f>
        <v/>
      </c>
      <c r="R5297" s="16">
        <f>HYPERLINK("https://checko.ru/search?query=3801001629","Чекко: проверить")</f>
        <v/>
      </c>
      <c r="S5297" t="n">
        <v>1</v>
      </c>
      <c r="T5297" s="35" t="inlineStr">
        <is>
          <t>4 — Не обогащён</t>
        </is>
      </c>
      <c r="U5297" s="35" t="inlineStr">
        <is>
          <t>Нет ОКВЭД/ССЧР</t>
        </is>
      </c>
      <c r="V5297" s="35" t="inlineStr">
        <is>
          <t>Не определено</t>
        </is>
      </c>
      <c r="W5297" s="35" t="inlineStr"/>
      <c r="X5297" s="35" t="inlineStr"/>
    </row>
    <row r="5298" ht="15" customHeight="1" s="24">
      <c r="A5298" s="13" t="n">
        <v>9786130</v>
      </c>
      <c r="B5298" s="13" t="inlineStr">
        <is>
          <t>Филиал Илим Тимбер в г.Братске</t>
        </is>
      </c>
      <c r="C5298" s="13" t="n">
        <v>7838407799</v>
      </c>
      <c r="D5298" s="13" t="inlineStr">
        <is>
          <t>7838407799</t>
        </is>
      </c>
      <c r="E5298" s="13" t="inlineStr">
        <is>
          <t>ЮЛ РФ</t>
        </is>
      </c>
      <c r="F5298" s="13" t="n"/>
      <c r="G5298" s="14" t="n"/>
      <c r="H5298" s="14" t="n"/>
      <c r="I5298" s="14" t="n"/>
      <c r="J5298" s="14" t="n"/>
      <c r="K5298" s="53" t="inlineStr"/>
      <c r="L5298" s="53" t="inlineStr">
        <is>
          <t>Не определено</t>
        </is>
      </c>
      <c r="M5298" s="53" t="inlineStr"/>
      <c r="N5298" s="54" t="inlineStr"/>
      <c r="O5298" s="55" t="inlineStr"/>
      <c r="P5298" s="16" t="inlineStr">
        <is>
          <t>Требует обогащения</t>
        </is>
      </c>
      <c r="Q5298" s="16">
        <f>HYPERLINK("https://pb.nalog.ru/search.html?query=7838407799","ФНС: проверить")</f>
        <v/>
      </c>
      <c r="R5298" s="16">
        <f>HYPERLINK("https://checko.ru/search?query=3801001629","Чекко: проверить")</f>
        <v/>
      </c>
      <c r="S5298" t="n">
        <v>1</v>
      </c>
      <c r="T5298" s="35" t="inlineStr">
        <is>
          <t>4 — Не обогащён</t>
        </is>
      </c>
      <c r="U5298" s="35" t="inlineStr">
        <is>
          <t>Нет ОКВЭД/ССЧР</t>
        </is>
      </c>
      <c r="V5298" s="35" t="inlineStr">
        <is>
          <t>Не определено</t>
        </is>
      </c>
      <c r="W5298" s="35" t="inlineStr"/>
      <c r="X5298" s="35" t="inlineStr"/>
    </row>
    <row r="5299" ht="15" customHeight="1" s="24">
      <c r="A5299" s="13" t="n">
        <v>801626127</v>
      </c>
      <c r="B5299" s="13" t="inlineStr">
        <is>
          <t>ООО "1.618 ДЕВЕЛОПМЕНТ"</t>
        </is>
      </c>
      <c r="C5299" s="13" t="n">
        <v>3808294942</v>
      </c>
      <c r="D5299" s="13" t="inlineStr">
        <is>
          <t>3808294942</t>
        </is>
      </c>
      <c r="E5299" s="13" t="inlineStr">
        <is>
          <t>ЮЛ РФ</t>
        </is>
      </c>
      <c r="F5299" s="13" t="n"/>
      <c r="G5299" s="52" t="n">
        <v>0</v>
      </c>
      <c r="H5299" s="52" t="n">
        <v>2025</v>
      </c>
      <c r="I5299" s="14" t="n"/>
      <c r="J5299" s="14" t="n"/>
      <c r="K5299" s="53" t="inlineStr">
        <is>
          <t>Нет</t>
        </is>
      </c>
      <c r="L5299" s="53" t="inlineStr">
        <is>
          <t>Не определено</t>
        </is>
      </c>
      <c r="M5299" s="53" t="inlineStr">
        <is>
          <t>До 10</t>
        </is>
      </c>
      <c r="N5299" s="54" t="n">
        <v>3360</v>
      </c>
      <c r="O5299" s="55" t="inlineStr">
        <is>
          <t>1–15</t>
        </is>
      </c>
      <c r="P5299" s="16" t="inlineStr">
        <is>
          <t>ССЧР обогащена; ОКВЭД не найден/не загружен</t>
        </is>
      </c>
      <c r="Q5299" s="16" t="inlineStr">
        <is>
          <t>ФНС открытые данные ССЧР (ДатаСост 31.12.2025; набор 7707329152-sshr2019)</t>
        </is>
      </c>
      <c r="R5299" s="16">
        <f>HYPERLINK("https://checko.ru/search?query=3801001629","Чекко: проверить")</f>
        <v/>
      </c>
      <c r="S5299" t="n">
        <v>1</v>
      </c>
      <c r="T5299" s="35" t="inlineStr">
        <is>
          <t>4 — Не обогащён</t>
        </is>
      </c>
      <c r="U5299" s="35" t="inlineStr">
        <is>
          <t>Нет ОКВЭД/ССЧР</t>
        </is>
      </c>
      <c r="V5299" s="35" t="inlineStr">
        <is>
          <t>Не определено</t>
        </is>
      </c>
      <c r="W5299" s="35" t="inlineStr">
        <is>
          <t>Нет</t>
        </is>
      </c>
      <c r="X5299" s="35" t="inlineStr"/>
    </row>
    <row r="5300" ht="15" customHeight="1" s="24">
      <c r="A5300" s="13" t="n">
        <v>804170349</v>
      </c>
      <c r="B5300" s="13" t="inlineStr">
        <is>
          <t>ООО "ППК"</t>
        </is>
      </c>
      <c r="C5300" s="13" t="n">
        <v>3811176603</v>
      </c>
      <c r="D5300" s="13" t="inlineStr">
        <is>
          <t>3811176603</t>
        </is>
      </c>
      <c r="E5300" s="13" t="inlineStr">
        <is>
          <t>ЮЛ РФ</t>
        </is>
      </c>
      <c r="F5300" s="13" t="n"/>
      <c r="G5300" s="52" t="n">
        <v>69</v>
      </c>
      <c r="H5300" s="52" t="n">
        <v>2025</v>
      </c>
      <c r="I5300" s="52" t="inlineStr">
        <is>
          <t>23.61</t>
        </is>
      </c>
      <c r="J5300" s="52" t="inlineStr">
        <is>
          <t>23.61; 25.11; 41.20; 42.11; 43.11; 43.12; 43.12.3; 43.21; 43.22; 43.29; 43.31; 43.32; 43.33; 43.34; 43.39; 43.91; 43.99; 43.99.1; 46.73; 46.74; 46.90; 47.19; 47.52; 49.41; 49.41.1; 49.41.2; 49.41.3; 49.42; 52.10; 52.24; 52.29; 68.10; 68.20; 68.20.1; 68.20.2; 68.20.21; 68.20.29</t>
        </is>
      </c>
      <c r="K5300" s="53" t="inlineStr">
        <is>
          <t>Да</t>
        </is>
      </c>
      <c r="L5300" s="53" t="inlineStr">
        <is>
          <t>Да</t>
        </is>
      </c>
      <c r="M5300" s="53" t="inlineStr">
        <is>
          <t>До 100</t>
        </is>
      </c>
      <c r="N5300" s="54" t="n">
        <v>33600</v>
      </c>
      <c r="O5300" s="55" t="inlineStr">
        <is>
          <t>51–100</t>
        </is>
      </c>
      <c r="P5300" s="16" t="inlineStr">
        <is>
          <t>ССЧР + ОКВЭД обогащены</t>
        </is>
      </c>
      <c r="Q5300" s="16" t="inlineStr">
        <is>
          <t>ФНС открытые данные ССЧР (ДатаСост 31.12.2025; набор 7707329152-sshr2019)</t>
        </is>
      </c>
      <c r="R5300" s="16" t="inlineStr">
        <is>
          <t>ЕГРЮЛ / egrul.nalog.ru (выписка)</t>
        </is>
      </c>
      <c r="S5300" t="n">
        <v>1</v>
      </c>
      <c r="T5300" s="35" t="inlineStr">
        <is>
          <t>1 — Горячий</t>
        </is>
      </c>
      <c r="U5300" s="35" t="inlineStr">
        <is>
          <t>ОКВЭД + 22+</t>
        </is>
      </c>
      <c r="V5300" s="35" t="inlineStr">
        <is>
          <t>Да</t>
        </is>
      </c>
      <c r="W5300" s="35" t="inlineStr">
        <is>
          <t>Да</t>
        </is>
      </c>
      <c r="X5300" s="35" t="inlineStr">
        <is>
          <t>Да</t>
        </is>
      </c>
    </row>
    <row r="5301" ht="15" customHeight="1" s="24">
      <c r="A5301" s="13" t="n">
        <v>800530181</v>
      </c>
      <c r="B5301" s="13" t="inlineStr">
        <is>
          <t>МК Линейщик, ООО</t>
        </is>
      </c>
      <c r="C5301" s="13" t="n">
        <v>3810332962</v>
      </c>
      <c r="D5301" s="13" t="inlineStr">
        <is>
          <t>3810332962</t>
        </is>
      </c>
      <c r="E5301" s="13" t="inlineStr">
        <is>
          <t>ЮЛ РФ</t>
        </is>
      </c>
      <c r="F5301" s="13" t="n"/>
      <c r="G5301" s="52" t="n">
        <v>35</v>
      </c>
      <c r="H5301" s="52" t="n">
        <v>2025</v>
      </c>
      <c r="I5301" s="52" t="inlineStr">
        <is>
          <t>43.21</t>
        </is>
      </c>
      <c r="J5301" s="52" t="inlineStr">
        <is>
          <t>43.21; 27.12; 27.90; 35.12; 35.13; 41.20; 42.21; 42.22.2; 43.99.4; 46.69; 47.19; 68.10; 68.10.1; 68.10.23; 71.11; 71.12; 71.12.4; 71.12.9; 71.12.45; 77.12; 77.32</t>
        </is>
      </c>
      <c r="K5301" s="53" t="inlineStr">
        <is>
          <t>Да</t>
        </is>
      </c>
      <c r="L5301" s="53" t="inlineStr">
        <is>
          <t>Да</t>
        </is>
      </c>
      <c r="M5301" s="53" t="inlineStr">
        <is>
          <t>До 50</t>
        </is>
      </c>
      <c r="N5301" s="54" t="n">
        <v>16800</v>
      </c>
      <c r="O5301" s="55" t="inlineStr">
        <is>
          <t>31–50</t>
        </is>
      </c>
      <c r="P5301" s="16" t="inlineStr">
        <is>
          <t>ССЧР + ОКВЭД обогащены</t>
        </is>
      </c>
      <c r="Q5301" s="16" t="inlineStr">
        <is>
          <t>ФНС открытые данные ССЧР (ДатаСост 31.12.2025; набор 7707329152-sshr2019)</t>
        </is>
      </c>
      <c r="R5301" s="16" t="inlineStr">
        <is>
          <t>ЕГРЮЛ / egrul.nalog.ru (выписка)</t>
        </is>
      </c>
      <c r="S5301" t="n">
        <v>1</v>
      </c>
      <c r="T5301" s="35" t="inlineStr">
        <is>
          <t>1 — Горячий</t>
        </is>
      </c>
      <c r="U5301" s="35" t="inlineStr">
        <is>
          <t>ОКВЭД + 22+</t>
        </is>
      </c>
      <c r="V5301" s="35" t="inlineStr">
        <is>
          <t>Да</t>
        </is>
      </c>
      <c r="W5301" s="35" t="inlineStr">
        <is>
          <t>Да</t>
        </is>
      </c>
      <c r="X5301" s="35" t="inlineStr">
        <is>
          <t>Да</t>
        </is>
      </c>
    </row>
    <row r="5302" ht="15" customHeight="1" s="24">
      <c r="A5302" s="13" t="n">
        <v>800409025</v>
      </c>
      <c r="B5302" s="13" t="inlineStr">
        <is>
          <t>ООО "МЕХАНИЗИРОВАННАЯ КОЛОННА №1"</t>
        </is>
      </c>
      <c r="C5302" s="13" t="n">
        <v>3810060162</v>
      </c>
      <c r="D5302" s="13" t="inlineStr">
        <is>
          <t>3810060162</t>
        </is>
      </c>
      <c r="E5302" s="13" t="inlineStr">
        <is>
          <t>ЮЛ РФ</t>
        </is>
      </c>
      <c r="F5302" s="13" t="n"/>
      <c r="G5302" s="52" t="n">
        <v>129</v>
      </c>
      <c r="H5302" s="52" t="n">
        <v>2025</v>
      </c>
      <c r="I5302" s="52" t="inlineStr">
        <is>
          <t>41.20</t>
        </is>
      </c>
      <c r="J5302" s="52" t="inlineStr">
        <is>
          <t>41.20; 05.10.11; 05.10.12; 05.10.13; 05.20.11; 08.11; 08.12; 23.61; 23.63; 23.99; 23.99.2; 32.12.4; 42.11; 42.21; 42.22.3; 42.91; 42.91.2; 42.91.4; 42.99; 43.11; 43.12.1; 43.12.3; 43.12.4; 43.13; 43.29; 43.31; 43.33; 43.34; 43.34.1; 43.39; 43.91; 43.99; 43.99.1; 43.99.2; 43.99.3; 43.99.4; 43.99.5; 43.99.6; 43.99.7; 45.20; 45.40; 46.63; 46.71; 46.73.6; 47.30</t>
        </is>
      </c>
      <c r="K5302" s="53" t="inlineStr">
        <is>
          <t>Да</t>
        </is>
      </c>
      <c r="L5302" s="53" t="inlineStr">
        <is>
          <t>Да</t>
        </is>
      </c>
      <c r="M5302" s="53" t="inlineStr">
        <is>
          <t>До 200</t>
        </is>
      </c>
      <c r="N5302" s="54" t="n">
        <v>62400</v>
      </c>
      <c r="O5302" s="55" t="inlineStr">
        <is>
          <t>101–200</t>
        </is>
      </c>
      <c r="P5302" s="16" t="inlineStr">
        <is>
          <t>ССЧР + ОКВЭД обогащены</t>
        </is>
      </c>
      <c r="Q5302" s="16" t="inlineStr">
        <is>
          <t>ФНС открытые данные ССЧР (ДатаСост 31.12.2025; набор 7707329152-sshr2019)</t>
        </is>
      </c>
      <c r="R5302" s="16" t="inlineStr">
        <is>
          <t>ЕГРЮЛ / egrul.nalog.ru (выписка)</t>
        </is>
      </c>
      <c r="S5302" t="n">
        <v>1</v>
      </c>
      <c r="T5302" s="35" t="inlineStr">
        <is>
          <t>1 — Горячий</t>
        </is>
      </c>
      <c r="U5302" s="35" t="inlineStr">
        <is>
          <t>ОКВЭД + 22+</t>
        </is>
      </c>
      <c r="V5302" s="35" t="inlineStr">
        <is>
          <t>Да</t>
        </is>
      </c>
      <c r="W5302" s="35" t="inlineStr">
        <is>
          <t>Да</t>
        </is>
      </c>
      <c r="X5302" s="35" t="inlineStr">
        <is>
          <t>Да</t>
        </is>
      </c>
    </row>
    <row r="5303" ht="15" customHeight="1" s="24">
      <c r="A5303" s="13" t="n">
        <v>9810651</v>
      </c>
      <c r="B5303" s="13" t="inlineStr">
        <is>
          <t>ООО УК "СИБИРИАДА"</t>
        </is>
      </c>
      <c r="C5303" s="13" t="n">
        <v>3827039105</v>
      </c>
      <c r="D5303" s="13" t="inlineStr">
        <is>
          <t>3827039105</t>
        </is>
      </c>
      <c r="E5303" s="13" t="inlineStr">
        <is>
          <t>ЮЛ РФ</t>
        </is>
      </c>
      <c r="F5303" s="13" t="n"/>
      <c r="G5303" s="52" t="n">
        <v>6</v>
      </c>
      <c r="H5303" s="52" t="n">
        <v>2025</v>
      </c>
      <c r="I5303" s="14" t="n"/>
      <c r="J5303" s="14" t="n"/>
      <c r="K5303" s="53" t="inlineStr">
        <is>
          <t>Нет</t>
        </is>
      </c>
      <c r="L5303" s="53" t="inlineStr">
        <is>
          <t>Не определено</t>
        </is>
      </c>
      <c r="M5303" s="53" t="inlineStr">
        <is>
          <t>До 10</t>
        </is>
      </c>
      <c r="N5303" s="54" t="n">
        <v>3360</v>
      </c>
      <c r="O5303" s="55" t="inlineStr">
        <is>
          <t>1–15</t>
        </is>
      </c>
      <c r="P5303" s="16" t="inlineStr">
        <is>
          <t>ССЧР обогащена; ОКВЭД не найден/не загружен</t>
        </is>
      </c>
      <c r="Q5303" s="16" t="inlineStr">
        <is>
          <t>ФНС открытые данные ССЧР (ДатаСост 31.12.2025; набор 7707329152-sshr2019)</t>
        </is>
      </c>
      <c r="R5303" s="16">
        <f>HYPERLINK("https://checko.ru/search?query=3801001629","Чекко: проверить")</f>
        <v/>
      </c>
      <c r="S5303" t="n">
        <v>1</v>
      </c>
      <c r="T5303" s="35" t="inlineStr">
        <is>
          <t>4 — Не обогащён</t>
        </is>
      </c>
      <c r="U5303" s="35" t="inlineStr">
        <is>
          <t>Нет ОКВЭД/ССЧР</t>
        </is>
      </c>
      <c r="V5303" s="35" t="inlineStr">
        <is>
          <t>Не определено</t>
        </is>
      </c>
      <c r="W5303" s="35" t="inlineStr">
        <is>
          <t>Нет</t>
        </is>
      </c>
      <c r="X5303" s="35" t="inlineStr"/>
    </row>
    <row r="5304" ht="15" customHeight="1" s="24">
      <c r="A5304" s="13" t="n">
        <v>9181589</v>
      </c>
      <c r="B5304" s="13" t="inlineStr">
        <is>
          <t>ООО ПСФ "Агрострой"</t>
        </is>
      </c>
      <c r="C5304" s="13" t="n">
        <v>3827009291</v>
      </c>
      <c r="D5304" s="13" t="inlineStr">
        <is>
          <t>3827009291</t>
        </is>
      </c>
      <c r="E5304" s="13" t="inlineStr">
        <is>
          <t>ЮЛ РФ</t>
        </is>
      </c>
      <c r="F5304" s="13" t="n"/>
      <c r="G5304" s="52" t="n">
        <v>2</v>
      </c>
      <c r="H5304" s="52" t="n">
        <v>2025</v>
      </c>
      <c r="I5304" s="14" t="n"/>
      <c r="J5304" s="14" t="n"/>
      <c r="K5304" s="53" t="inlineStr">
        <is>
          <t>Нет</t>
        </is>
      </c>
      <c r="L5304" s="53" t="inlineStr">
        <is>
          <t>Не определено</t>
        </is>
      </c>
      <c r="M5304" s="53" t="inlineStr">
        <is>
          <t>До 10</t>
        </is>
      </c>
      <c r="N5304" s="54" t="n">
        <v>3360</v>
      </c>
      <c r="O5304" s="55" t="inlineStr">
        <is>
          <t>1–15</t>
        </is>
      </c>
      <c r="P5304" s="16" t="inlineStr">
        <is>
          <t>ССЧР обогащена; ОКВЭД не найден/не загружен</t>
        </is>
      </c>
      <c r="Q5304" s="16" t="inlineStr">
        <is>
          <t>ФНС открытые данные ССЧР (ДатаСост 31.12.2025; набор 7707329152-sshr2019)</t>
        </is>
      </c>
      <c r="R5304" s="16">
        <f>HYPERLINK("https://checko.ru/search?query=3801001629","Чекко: проверить")</f>
        <v/>
      </c>
      <c r="S5304" t="n">
        <v>1</v>
      </c>
      <c r="T5304" s="35" t="inlineStr">
        <is>
          <t>4 — Не обогащён</t>
        </is>
      </c>
      <c r="U5304" s="35" t="inlineStr">
        <is>
          <t>Нет ОКВЭД/ССЧР</t>
        </is>
      </c>
      <c r="V5304" s="35" t="inlineStr">
        <is>
          <t>Не определено</t>
        </is>
      </c>
      <c r="W5304" s="35" t="inlineStr">
        <is>
          <t>Нет</t>
        </is>
      </c>
      <c r="X5304" s="35" t="inlineStr"/>
    </row>
    <row r="5305" ht="15" customHeight="1" s="24">
      <c r="A5305" s="13" t="n">
        <v>9191838</v>
      </c>
      <c r="B5305" s="13" t="inlineStr">
        <is>
          <t>ООО "ТЕХДОМИНАТОР"</t>
        </is>
      </c>
      <c r="C5305" s="13" t="n">
        <v>3827052829</v>
      </c>
      <c r="D5305" s="13" t="inlineStr">
        <is>
          <t>3827052829</t>
        </is>
      </c>
      <c r="E5305" s="13" t="inlineStr">
        <is>
          <t>ЮЛ РФ</t>
        </is>
      </c>
      <c r="F5305" s="13" t="n"/>
      <c r="G5305" s="52" t="n">
        <v>3</v>
      </c>
      <c r="H5305" s="52" t="n">
        <v>2025</v>
      </c>
      <c r="I5305" s="14" t="n"/>
      <c r="J5305" s="14" t="n"/>
      <c r="K5305" s="53" t="inlineStr">
        <is>
          <t>Нет</t>
        </is>
      </c>
      <c r="L5305" s="53" t="inlineStr">
        <is>
          <t>Не определено</t>
        </is>
      </c>
      <c r="M5305" s="53" t="inlineStr">
        <is>
          <t>До 10</t>
        </is>
      </c>
      <c r="N5305" s="54" t="n">
        <v>3360</v>
      </c>
      <c r="O5305" s="55" t="inlineStr">
        <is>
          <t>1–15</t>
        </is>
      </c>
      <c r="P5305" s="16" t="inlineStr">
        <is>
          <t>ССЧР обогащена; ОКВЭД не найден/не загружен</t>
        </is>
      </c>
      <c r="Q5305" s="16" t="inlineStr">
        <is>
          <t>ФНС открытые данные ССЧР (ДатаСост 31.12.2025; набор 7707329152-sshr2019)</t>
        </is>
      </c>
      <c r="R5305" s="16">
        <f>HYPERLINK("https://checko.ru/search?query=3801001629","Чекко: проверить")</f>
        <v/>
      </c>
      <c r="S5305" t="n">
        <v>1</v>
      </c>
      <c r="T5305" s="35" t="inlineStr">
        <is>
          <t>4 — Не обогащён</t>
        </is>
      </c>
      <c r="U5305" s="35" t="inlineStr">
        <is>
          <t>Нет ОКВЭД/ССЧР</t>
        </is>
      </c>
      <c r="V5305" s="35" t="inlineStr">
        <is>
          <t>Не определено</t>
        </is>
      </c>
      <c r="W5305" s="35" t="inlineStr">
        <is>
          <t>Нет</t>
        </is>
      </c>
      <c r="X5305" s="35" t="inlineStr"/>
    </row>
    <row r="5306" ht="15" customHeight="1" s="24">
      <c r="A5306" s="13" t="n">
        <v>801604056</v>
      </c>
      <c r="B5306" s="13" t="inlineStr">
        <is>
          <t>МУП "Посадочная площадка "Казачинск"</t>
        </is>
      </c>
      <c r="C5306" s="13" t="n">
        <v>3818030226</v>
      </c>
      <c r="D5306" s="13" t="inlineStr">
        <is>
          <t>3818030226</t>
        </is>
      </c>
      <c r="E5306" s="13" t="inlineStr">
        <is>
          <t>ЮЛ РФ</t>
        </is>
      </c>
      <c r="F5306" s="13" t="n"/>
      <c r="G5306" s="14" t="n"/>
      <c r="H5306" s="14" t="n"/>
      <c r="I5306" s="14" t="n"/>
      <c r="J5306" s="14" t="n"/>
      <c r="K5306" s="53" t="inlineStr"/>
      <c r="L5306" s="53" t="inlineStr">
        <is>
          <t>Не определено</t>
        </is>
      </c>
      <c r="M5306" s="53" t="inlineStr"/>
      <c r="N5306" s="54" t="inlineStr"/>
      <c r="O5306" s="55" t="inlineStr"/>
      <c r="P5306" s="16" t="inlineStr">
        <is>
          <t>Требует обогащения</t>
        </is>
      </c>
      <c r="Q5306" s="16">
        <f>HYPERLINK("https://pb.nalog.ru/search.html?query=3818030226","ФНС: проверить")</f>
        <v/>
      </c>
      <c r="R5306" s="16">
        <f>HYPERLINK("https://checko.ru/search?query=3801001629","Чекко: проверить")</f>
        <v/>
      </c>
      <c r="S5306" t="n">
        <v>1</v>
      </c>
      <c r="T5306" s="35" t="inlineStr">
        <is>
          <t>4 — Не обогащён</t>
        </is>
      </c>
      <c r="U5306" s="35" t="inlineStr">
        <is>
          <t>Нет ОКВЭД/ССЧР</t>
        </is>
      </c>
      <c r="V5306" s="35" t="inlineStr">
        <is>
          <t>Не определено</t>
        </is>
      </c>
      <c r="W5306" s="35" t="inlineStr"/>
      <c r="X5306" s="35" t="inlineStr"/>
    </row>
    <row r="5307" ht="15" customHeight="1" s="24">
      <c r="A5307" s="13" t="n">
        <v>800301889</v>
      </c>
      <c r="B5307" s="13" t="inlineStr">
        <is>
          <t>ООО "ВИКО-ИРКУТСК"</t>
        </is>
      </c>
      <c r="C5307" s="13" t="n">
        <v>3810076028</v>
      </c>
      <c r="D5307" s="13" t="inlineStr">
        <is>
          <t>3810076028</t>
        </is>
      </c>
      <c r="E5307" s="13" t="inlineStr">
        <is>
          <t>ЮЛ РФ</t>
        </is>
      </c>
      <c r="F5307" s="13" t="n"/>
      <c r="G5307" s="52" t="n">
        <v>596</v>
      </c>
      <c r="H5307" s="52" t="n">
        <v>2025</v>
      </c>
      <c r="I5307" s="52" t="inlineStr">
        <is>
          <t>46.90</t>
        </is>
      </c>
      <c r="J5307" s="52" t="inlineStr">
        <is>
          <t>46.90; 46.31; 46.34.1; 46.35; 46.38; 46.38.22; 46.73; 47.25.1; 47.25.2; 47.25.12; 47.26; 49.41; 49.42; 52.29; 56.10; 56.10.1; 56.10.3; 56.30; 68.32; 73.11; 77.39</t>
        </is>
      </c>
      <c r="K5307" s="53" t="inlineStr">
        <is>
          <t>Да</t>
        </is>
      </c>
      <c r="L5307" s="53" t="inlineStr">
        <is>
          <t>Да</t>
        </is>
      </c>
      <c r="M5307" s="53" t="inlineStr">
        <is>
          <t>До 2000</t>
        </is>
      </c>
      <c r="N5307" s="54" t="n">
        <v>528000</v>
      </c>
      <c r="O5307" s="55" t="inlineStr">
        <is>
          <t>500+</t>
        </is>
      </c>
      <c r="P5307" s="16" t="inlineStr">
        <is>
          <t>ССЧР + ОКВЭД обогащены</t>
        </is>
      </c>
      <c r="Q5307" s="16" t="inlineStr">
        <is>
          <t>ФНС открытые данные ССЧР (ДатаСост 31.12.2025; набор 7707329152-sshr2019)</t>
        </is>
      </c>
      <c r="R5307" s="16" t="inlineStr">
        <is>
          <t>ЕГРЮЛ / egrul.nalog.ru (выписка)</t>
        </is>
      </c>
      <c r="S5307" t="n">
        <v>1</v>
      </c>
      <c r="T5307" s="35" t="inlineStr">
        <is>
          <t>1 — Горячий</t>
        </is>
      </c>
      <c r="U5307" s="35" t="inlineStr">
        <is>
          <t>ОКВЭД + 22+</t>
        </is>
      </c>
      <c r="V5307" s="35" t="inlineStr">
        <is>
          <t>Да</t>
        </is>
      </c>
      <c r="W5307" s="35" t="inlineStr">
        <is>
          <t>Да</t>
        </is>
      </c>
      <c r="X5307" s="35" t="inlineStr">
        <is>
          <t>Да</t>
        </is>
      </c>
    </row>
    <row r="5308" ht="15" customHeight="1" s="24">
      <c r="A5308" s="13" t="n">
        <v>9176732</v>
      </c>
      <c r="B5308" s="13" t="inlineStr">
        <is>
          <t>ООО Фабрика окон и дверей</t>
        </is>
      </c>
      <c r="C5308" s="13" t="n">
        <v>3827015947</v>
      </c>
      <c r="D5308" s="13" t="inlineStr">
        <is>
          <t>3827015947</t>
        </is>
      </c>
      <c r="E5308" s="13" t="inlineStr">
        <is>
          <t>ЮЛ РФ</t>
        </is>
      </c>
      <c r="F5308" s="13" t="n"/>
      <c r="G5308" s="52" t="n">
        <v>80</v>
      </c>
      <c r="H5308" s="52" t="n">
        <v>2025</v>
      </c>
      <c r="I5308" s="52" t="inlineStr">
        <is>
          <t>22.23</t>
        </is>
      </c>
      <c r="J5308" s="52" t="inlineStr">
        <is>
          <t>22.23; 23.12; 25.11; 25.12; 43.29; 43.31; 43.39; 46.73.6; 46.90; 47.52.7; 49.41; 49.41.1; 49.41.2; 49.41.3; 49.42; 50.30; 52.10; 52.10.9; 52.21; 52.24; 52.29; 68.10; 68.20; 68.32; 79.90; 79.90.2</t>
        </is>
      </c>
      <c r="K5308" s="53" t="inlineStr">
        <is>
          <t>Да</t>
        </is>
      </c>
      <c r="L5308" s="53" t="inlineStr">
        <is>
          <t>Да</t>
        </is>
      </c>
      <c r="M5308" s="53" t="inlineStr">
        <is>
          <t>До 100</t>
        </is>
      </c>
      <c r="N5308" s="54" t="n">
        <v>33600</v>
      </c>
      <c r="O5308" s="55" t="inlineStr">
        <is>
          <t>51–100</t>
        </is>
      </c>
      <c r="P5308" s="16" t="inlineStr">
        <is>
          <t>ССЧР + ОКВЭД обогащены</t>
        </is>
      </c>
      <c r="Q5308" s="16" t="inlineStr">
        <is>
          <t>ФНС открытые данные ССЧР (ДатаСост 31.12.2025; набор 7707329152-sshr2019)</t>
        </is>
      </c>
      <c r="R5308" s="16" t="inlineStr">
        <is>
          <t>ЕГРЮЛ / egrul.nalog.ru (выписка)</t>
        </is>
      </c>
      <c r="S5308" t="n">
        <v>1</v>
      </c>
      <c r="T5308" s="35" t="inlineStr">
        <is>
          <t>1 — Горячий</t>
        </is>
      </c>
      <c r="U5308" s="35" t="inlineStr">
        <is>
          <t>ОКВЭД + 22+</t>
        </is>
      </c>
      <c r="V5308" s="35" t="inlineStr">
        <is>
          <t>Да</t>
        </is>
      </c>
      <c r="W5308" s="35" t="inlineStr">
        <is>
          <t>Да</t>
        </is>
      </c>
      <c r="X5308" s="35" t="inlineStr">
        <is>
          <t>Да</t>
        </is>
      </c>
    </row>
    <row r="5309" ht="15" customHeight="1" s="24">
      <c r="A5309" s="13" t="n">
        <v>800863819</v>
      </c>
      <c r="B5309" s="13" t="inlineStr">
        <is>
          <t>Спецтранс Чульман ООО</t>
        </is>
      </c>
      <c r="C5309" s="13" t="n">
        <v>1434034710</v>
      </c>
      <c r="D5309" s="13" t="inlineStr">
        <is>
          <t>1434034710</t>
        </is>
      </c>
      <c r="E5309" s="13" t="inlineStr">
        <is>
          <t>ЮЛ РФ</t>
        </is>
      </c>
      <c r="F5309" s="13" t="n"/>
      <c r="G5309" s="52" t="n">
        <v>19</v>
      </c>
      <c r="H5309" s="52" t="n">
        <v>2025</v>
      </c>
      <c r="I5309" s="14" t="n"/>
      <c r="J5309" s="14" t="n"/>
      <c r="K5309" s="53" t="inlineStr">
        <is>
          <t>Нет</t>
        </is>
      </c>
      <c r="L5309" s="53" t="inlineStr">
        <is>
          <t>Не определено</t>
        </is>
      </c>
      <c r="M5309" s="53" t="inlineStr">
        <is>
          <t>До 25</t>
        </is>
      </c>
      <c r="N5309" s="54" t="n">
        <v>8400</v>
      </c>
      <c r="O5309" s="55" t="inlineStr">
        <is>
          <t>16–30</t>
        </is>
      </c>
      <c r="P5309" s="16" t="inlineStr">
        <is>
          <t>ССЧР обогащена; ОКВЭД не найден/не загружен</t>
        </is>
      </c>
      <c r="Q5309" s="16" t="inlineStr">
        <is>
          <t>ФНС открытые данные ССЧР (ДатаСост 31.12.2025; набор 7707329152-sshr2019)</t>
        </is>
      </c>
      <c r="R5309" s="16">
        <f>HYPERLINK("https://checko.ru/search?query=3801001629","Чекко: проверить")</f>
        <v/>
      </c>
      <c r="S5309" t="n">
        <v>1</v>
      </c>
      <c r="T5309" s="35" t="inlineStr">
        <is>
          <t>4 — Не обогащён</t>
        </is>
      </c>
      <c r="U5309" s="35" t="inlineStr">
        <is>
          <t>Нет ОКВЭД/ССЧР</t>
        </is>
      </c>
      <c r="V5309" s="35" t="inlineStr">
        <is>
          <t>Не определено</t>
        </is>
      </c>
      <c r="W5309" s="35" t="inlineStr">
        <is>
          <t>Нет</t>
        </is>
      </c>
      <c r="X5309" s="35" t="inlineStr"/>
    </row>
    <row r="5310" ht="15" customHeight="1" s="24">
      <c r="A5310" s="13" t="n">
        <v>800604082</v>
      </c>
      <c r="B5310" s="13" t="inlineStr">
        <is>
          <t>СПМК - 7</t>
        </is>
      </c>
      <c r="C5310" s="13" t="n">
        <v>3810025880</v>
      </c>
      <c r="D5310" s="13" t="inlineStr">
        <is>
          <t>3810025880</t>
        </is>
      </c>
      <c r="E5310" s="13" t="inlineStr">
        <is>
          <t>ЮЛ РФ</t>
        </is>
      </c>
      <c r="F5310" s="13" t="n"/>
      <c r="G5310" s="52" t="n">
        <v>160</v>
      </c>
      <c r="H5310" s="52" t="n">
        <v>2025</v>
      </c>
      <c r="I5310" s="52" t="inlineStr">
        <is>
          <t>42.11</t>
        </is>
      </c>
      <c r="J5310" s="52" t="inlineStr">
        <is>
          <t>42.11; 02.20; 68.20.29; 16.10; 16.10.9; 41.20; 43.21; 43.29; 45.20.1; 46.73.1; 46.73.2; 52.21.24; 52.29; 63.11.1; 68.10; 68.20; 68.31; 70.22; 73.11; 82.99</t>
        </is>
      </c>
      <c r="K5310" s="53" t="inlineStr">
        <is>
          <t>Да</t>
        </is>
      </c>
      <c r="L5310" s="53" t="inlineStr">
        <is>
          <t>Да</t>
        </is>
      </c>
      <c r="M5310" s="53" t="inlineStr">
        <is>
          <t>До 200</t>
        </is>
      </c>
      <c r="N5310" s="54" t="n">
        <v>62400</v>
      </c>
      <c r="O5310" s="55" t="inlineStr">
        <is>
          <t>101–200</t>
        </is>
      </c>
      <c r="P5310" s="16" t="inlineStr">
        <is>
          <t>ССЧР + ОКВЭД обогащены</t>
        </is>
      </c>
      <c r="Q5310" s="16" t="inlineStr">
        <is>
          <t>ФНС открытые данные ССЧР (ДатаСост 31.12.2025; набор 7707329152-sshr2019)</t>
        </is>
      </c>
      <c r="R5310" s="16" t="inlineStr">
        <is>
          <t>ЕГРЮЛ / egrul.nalog.ru (выписка)</t>
        </is>
      </c>
      <c r="S5310" t="n">
        <v>1</v>
      </c>
      <c r="T5310" s="35" t="inlineStr">
        <is>
          <t>1 — Горячий</t>
        </is>
      </c>
      <c r="U5310" s="35" t="inlineStr">
        <is>
          <t>ОКВЭД + 22+</t>
        </is>
      </c>
      <c r="V5310" s="35" t="inlineStr">
        <is>
          <t>Да</t>
        </is>
      </c>
      <c r="W5310" s="35" t="inlineStr">
        <is>
          <t>Да</t>
        </is>
      </c>
      <c r="X5310" s="35" t="inlineStr">
        <is>
          <t>Да</t>
        </is>
      </c>
    </row>
    <row r="5311" ht="15" customHeight="1" s="24">
      <c r="A5311" s="13" t="n">
        <v>800585176</v>
      </c>
      <c r="B5311" s="13" t="inlineStr">
        <is>
          <t>ООО "СИБИРЬДЕВЕЛОПМЕНТ"</t>
        </is>
      </c>
      <c r="C5311" s="13" t="n">
        <v>3827056735</v>
      </c>
      <c r="D5311" s="13" t="inlineStr">
        <is>
          <t>3827056735</t>
        </is>
      </c>
      <c r="E5311" s="13" t="inlineStr">
        <is>
          <t>ЮЛ РФ</t>
        </is>
      </c>
      <c r="F5311" s="13" t="n"/>
      <c r="G5311" s="52" t="n">
        <v>4</v>
      </c>
      <c r="H5311" s="52" t="n">
        <v>2025</v>
      </c>
      <c r="I5311" s="14" t="n"/>
      <c r="J5311" s="14" t="n"/>
      <c r="K5311" s="53" t="inlineStr">
        <is>
          <t>Нет</t>
        </is>
      </c>
      <c r="L5311" s="53" t="inlineStr">
        <is>
          <t>Не определено</t>
        </is>
      </c>
      <c r="M5311" s="53" t="inlineStr">
        <is>
          <t>До 10</t>
        </is>
      </c>
      <c r="N5311" s="54" t="n">
        <v>3360</v>
      </c>
      <c r="O5311" s="55" t="inlineStr">
        <is>
          <t>1–15</t>
        </is>
      </c>
      <c r="P5311" s="16" t="inlineStr">
        <is>
          <t>ССЧР обогащена; ОКВЭД не найден/не загружен</t>
        </is>
      </c>
      <c r="Q5311" s="16" t="inlineStr">
        <is>
          <t>ФНС открытые данные ССЧР (ДатаСост 31.12.2025; набор 7707329152-sshr2019)</t>
        </is>
      </c>
      <c r="R5311" s="16">
        <f>HYPERLINK("https://checko.ru/search?query=3801001629","Чекко: проверить")</f>
        <v/>
      </c>
      <c r="S5311" t="n">
        <v>1</v>
      </c>
      <c r="T5311" s="35" t="inlineStr">
        <is>
          <t>4 — Не обогащён</t>
        </is>
      </c>
      <c r="U5311" s="35" t="inlineStr">
        <is>
          <t>Нет ОКВЭД/ССЧР</t>
        </is>
      </c>
      <c r="V5311" s="35" t="inlineStr">
        <is>
          <t>Не определено</t>
        </is>
      </c>
      <c r="W5311" s="35" t="inlineStr">
        <is>
          <t>Нет</t>
        </is>
      </c>
      <c r="X5311" s="35" t="inlineStr"/>
    </row>
    <row r="5312" ht="15" customHeight="1" s="24">
      <c r="A5312" s="13" t="n">
        <v>800782327</v>
      </c>
      <c r="B5312" s="13" t="inlineStr">
        <is>
          <t>ИП Баштовая Марина Михайловна</t>
        </is>
      </c>
      <c r="C5312" s="13" t="n">
        <v>382303136821</v>
      </c>
      <c r="D5312" s="13" t="inlineStr">
        <is>
          <t>382303136821</t>
        </is>
      </c>
      <c r="E5312" s="13" t="inlineStr">
        <is>
          <t>ИП РФ / физлицо</t>
        </is>
      </c>
      <c r="F5312" s="13" t="n"/>
      <c r="G5312" s="14" t="n"/>
      <c r="H5312" s="14" t="n"/>
      <c r="I5312" s="14" t="n"/>
      <c r="J5312" s="14" t="n"/>
      <c r="K5312" s="53" t="inlineStr"/>
      <c r="L5312" s="53" t="inlineStr">
        <is>
          <t>Не определено</t>
        </is>
      </c>
      <c r="M5312" s="53" t="inlineStr"/>
      <c r="N5312" s="54" t="inlineStr"/>
      <c r="O5312" s="55" t="inlineStr"/>
      <c r="P5312" s="16" t="inlineStr">
        <is>
          <t>Требует обогащения</t>
        </is>
      </c>
      <c r="Q5312" s="16">
        <f>HYPERLINK("https://pb.nalog.ru/search.html?query=382303136821","ФНС: проверить")</f>
        <v/>
      </c>
      <c r="R5312" s="16">
        <f>HYPERLINK("https://checko.ru/search?query=3801001629","Чекко: проверить")</f>
        <v/>
      </c>
      <c r="S5312" t="n">
        <v>1</v>
      </c>
      <c r="T5312" s="35" t="inlineStr">
        <is>
          <t>4 — Не обогащён</t>
        </is>
      </c>
      <c r="U5312" s="35" t="inlineStr">
        <is>
          <t>Нет ОКВЭД/ССЧР</t>
        </is>
      </c>
      <c r="V5312" s="35" t="inlineStr">
        <is>
          <t>Не определено</t>
        </is>
      </c>
      <c r="W5312" s="35" t="inlineStr"/>
      <c r="X5312" s="35" t="inlineStr"/>
    </row>
    <row r="5313" ht="15" customHeight="1" s="24">
      <c r="A5313" s="13" t="n">
        <v>9107770</v>
      </c>
      <c r="B5313" s="13" t="inlineStr">
        <is>
          <t>ООО "Айгуль"</t>
        </is>
      </c>
      <c r="C5313" s="13" t="n">
        <v>1434001993</v>
      </c>
      <c r="D5313" s="13" t="inlineStr">
        <is>
          <t>1434001993</t>
        </is>
      </c>
      <c r="E5313" s="13" t="inlineStr">
        <is>
          <t>ЮЛ РФ</t>
        </is>
      </c>
      <c r="F5313" s="13" t="n"/>
      <c r="G5313" s="52" t="n">
        <v>316</v>
      </c>
      <c r="H5313" s="52" t="n">
        <v>2025</v>
      </c>
      <c r="I5313" s="52" t="inlineStr">
        <is>
          <t>47.19</t>
        </is>
      </c>
      <c r="J5313" s="52" t="inlineStr">
        <is>
          <t>47.19; 10.13.4; 10.39.1; 10.71.1; 10.71.2; 10.85; 46.39; 68.20.21; 10.13.1; 10.13.2; 10.13.3; 10.13.5; 10.13.6; 10.13.7; 10.20; 10.39; 10.71; 10.89; 10.89.1; 10.89.2; 10.89.5; 10.89.6; 10.89.7; 10.89.8; 10.89.9; 33.12; 41.20; 42.21; 42.22.2; 42.99; 43.11; 43.12.1; 43.12.3; 43.21; 43.22; 43.29; 43.31; 43.32; 43.33; 43.34; 43.39; 43.91; 43.99; 43.99.1; 43.99.2; 43.99.3; 43.99.4; 43.99.5; 43.99.6; 43.99.7; 43.99.9; 45.20; 45.31.1; 45.32; 46.31; 46.31.11; 46.32; 46.32.3; 46.33; 46.34; 46.35; 46.37; 46.38; 46.90; 47.11; 47.25; 47.25.1; 47.53.3; 47.75; 47.75.1; 47.76; 47.76.1; 47.78; 47.78.9; 56.10; 56.10.1; 56.10.3; 56.29; 56.30; 68.20.2; 73.11; 77.33; 77.39; 77.39.1; 77.39.2; 77.39.25; 77.39.27</t>
        </is>
      </c>
      <c r="K5313" s="53" t="inlineStr">
        <is>
          <t>Да</t>
        </is>
      </c>
      <c r="L5313" s="53" t="inlineStr">
        <is>
          <t>Да</t>
        </is>
      </c>
      <c r="M5313" s="53" t="inlineStr">
        <is>
          <t>До 500</t>
        </is>
      </c>
      <c r="N5313" s="54" t="n">
        <v>144000</v>
      </c>
      <c r="O5313" s="55" t="inlineStr">
        <is>
          <t>201–500</t>
        </is>
      </c>
      <c r="P5313" s="16" t="inlineStr">
        <is>
          <t>ССЧР + ОКВЭД обогащены</t>
        </is>
      </c>
      <c r="Q5313" s="16" t="inlineStr">
        <is>
          <t>ФНС открытые данные ССЧР (ДатаСост 31.12.2025; набор 7707329152-sshr2019)</t>
        </is>
      </c>
      <c r="R5313" s="16" t="inlineStr">
        <is>
          <t>ЕГРЮЛ / egrul.nalog.ru (выписка)</t>
        </is>
      </c>
      <c r="S5313" t="n">
        <v>1</v>
      </c>
      <c r="T5313" s="35" t="inlineStr">
        <is>
          <t>1 — Горячий</t>
        </is>
      </c>
      <c r="U5313" s="35" t="inlineStr">
        <is>
          <t>ОКВЭД + 22+</t>
        </is>
      </c>
      <c r="V5313" s="35" t="inlineStr">
        <is>
          <t>Да</t>
        </is>
      </c>
      <c r="W5313" s="35" t="inlineStr">
        <is>
          <t>Да</t>
        </is>
      </c>
      <c r="X5313" s="35" t="inlineStr">
        <is>
          <t>Да</t>
        </is>
      </c>
    </row>
    <row r="5314" ht="15" customHeight="1" s="24">
      <c r="A5314" s="13" t="n">
        <v>11875275</v>
      </c>
      <c r="B5314" s="13" t="inlineStr">
        <is>
          <t>АО СЗ "ЖИЛСТРОЙ 2"</t>
        </is>
      </c>
      <c r="C5314" s="13" t="n">
        <v>3849089205</v>
      </c>
      <c r="D5314" s="13" t="inlineStr">
        <is>
          <t>3849089205</t>
        </is>
      </c>
      <c r="E5314" s="13" t="inlineStr">
        <is>
          <t>ЮЛ РФ</t>
        </is>
      </c>
      <c r="F5314" s="13" t="n"/>
      <c r="G5314" s="52" t="n">
        <v>2</v>
      </c>
      <c r="H5314" s="52" t="n">
        <v>2025</v>
      </c>
      <c r="I5314" s="14" t="n"/>
      <c r="J5314" s="14" t="n"/>
      <c r="K5314" s="53" t="inlineStr">
        <is>
          <t>Нет</t>
        </is>
      </c>
      <c r="L5314" s="53" t="inlineStr">
        <is>
          <t>Не определено</t>
        </is>
      </c>
      <c r="M5314" s="53" t="inlineStr">
        <is>
          <t>До 10</t>
        </is>
      </c>
      <c r="N5314" s="54" t="n">
        <v>3360</v>
      </c>
      <c r="O5314" s="55" t="inlineStr">
        <is>
          <t>1–15</t>
        </is>
      </c>
      <c r="P5314" s="16" t="inlineStr">
        <is>
          <t>ССЧР обогащена; ОКВЭД не найден/не загружен</t>
        </is>
      </c>
      <c r="Q5314" s="16" t="inlineStr">
        <is>
          <t>ФНС открытые данные ССЧР (ДатаСост 31.12.2025; набор 7707329152-sshr2019)</t>
        </is>
      </c>
      <c r="R5314" s="16">
        <f>HYPERLINK("https://checko.ru/search?query=3801001629","Чекко: проверить")</f>
        <v/>
      </c>
      <c r="S5314" t="n">
        <v>1</v>
      </c>
      <c r="T5314" s="35" t="inlineStr">
        <is>
          <t>4 — Не обогащён</t>
        </is>
      </c>
      <c r="U5314" s="35" t="inlineStr">
        <is>
          <t>Нет ОКВЭД/ССЧР</t>
        </is>
      </c>
      <c r="V5314" s="35" t="inlineStr">
        <is>
          <t>Не определено</t>
        </is>
      </c>
      <c r="W5314" s="35" t="inlineStr">
        <is>
          <t>Нет</t>
        </is>
      </c>
      <c r="X5314" s="35" t="inlineStr"/>
    </row>
    <row r="5315" ht="27.75" customHeight="1" s="24">
      <c r="A5315" s="13" t="n">
        <v>804665445</v>
      </c>
      <c r="B5315" s="13" t="inlineStr">
        <is>
          <t>Общество с ограниченной ответственностью "ТБ СТРОЙ"</t>
        </is>
      </c>
      <c r="C5315" s="13" t="n">
        <v>3812527830</v>
      </c>
      <c r="D5315" s="13" t="inlineStr">
        <is>
          <t>3812527830</t>
        </is>
      </c>
      <c r="E5315" s="13" t="inlineStr">
        <is>
          <t>ЮЛ РФ</t>
        </is>
      </c>
      <c r="F5315" s="13" t="n"/>
      <c r="G5315" s="52" t="n">
        <v>6</v>
      </c>
      <c r="H5315" s="52" t="n">
        <v>2025</v>
      </c>
      <c r="I5315" s="14" t="n"/>
      <c r="J5315" s="14" t="n"/>
      <c r="K5315" s="53" t="inlineStr">
        <is>
          <t>Нет</t>
        </is>
      </c>
      <c r="L5315" s="53" t="inlineStr">
        <is>
          <t>Не определено</t>
        </is>
      </c>
      <c r="M5315" s="53" t="inlineStr">
        <is>
          <t>До 10</t>
        </is>
      </c>
      <c r="N5315" s="54" t="n">
        <v>3360</v>
      </c>
      <c r="O5315" s="55" t="inlineStr">
        <is>
          <t>1–15</t>
        </is>
      </c>
      <c r="P5315" s="16" t="inlineStr">
        <is>
          <t>ССЧР обогащена; ОКВЭД не найден/не загружен</t>
        </is>
      </c>
      <c r="Q5315" s="16" t="inlineStr">
        <is>
          <t>ФНС открытые данные ССЧР (ДатаСост 31.12.2025; набор 7707329152-sshr2019)</t>
        </is>
      </c>
      <c r="R5315" s="16">
        <f>HYPERLINK("https://checko.ru/search?query=3801001629","Чекко: проверить")</f>
        <v/>
      </c>
      <c r="S5315" t="n">
        <v>1</v>
      </c>
      <c r="T5315" s="35" t="inlineStr">
        <is>
          <t>4 — Не обогащён</t>
        </is>
      </c>
      <c r="U5315" s="35" t="inlineStr">
        <is>
          <t>Нет ОКВЭД/ССЧР</t>
        </is>
      </c>
      <c r="V5315" s="35" t="inlineStr">
        <is>
          <t>Не определено</t>
        </is>
      </c>
      <c r="W5315" s="35" t="inlineStr">
        <is>
          <t>Нет</t>
        </is>
      </c>
      <c r="X5315" s="35" t="inlineStr"/>
    </row>
    <row r="5316" ht="27.75" customHeight="1" s="24">
      <c r="A5316" s="13" t="n">
        <v>804874996</v>
      </c>
      <c r="B5316" s="13" t="inlineStr">
        <is>
          <t>ОБЩЕСТВО С ОГРАНИЧЕННОЙ ОТВЕТСТВЕННОСТЬЮ "КОМПРЕССОР"</t>
        </is>
      </c>
      <c r="C5316" s="13" t="n">
        <v>7725420559</v>
      </c>
      <c r="D5316" s="13" t="inlineStr">
        <is>
          <t>7725420559</t>
        </is>
      </c>
      <c r="E5316" s="13" t="inlineStr">
        <is>
          <t>ЮЛ РФ</t>
        </is>
      </c>
      <c r="F5316" s="13" t="n"/>
      <c r="G5316" s="52" t="n">
        <v>10</v>
      </c>
      <c r="H5316" s="52" t="n">
        <v>2025</v>
      </c>
      <c r="I5316" s="14" t="n"/>
      <c r="J5316" s="14" t="n"/>
      <c r="K5316" s="53" t="inlineStr">
        <is>
          <t>Нет</t>
        </is>
      </c>
      <c r="L5316" s="53" t="inlineStr">
        <is>
          <t>Не определено</t>
        </is>
      </c>
      <c r="M5316" s="53" t="inlineStr">
        <is>
          <t>До 10</t>
        </is>
      </c>
      <c r="N5316" s="54" t="n">
        <v>3360</v>
      </c>
      <c r="O5316" s="55" t="inlineStr">
        <is>
          <t>1–15</t>
        </is>
      </c>
      <c r="P5316" s="16" t="inlineStr">
        <is>
          <t>ССЧР обогащена; ОКВЭД не найден/не загружен</t>
        </is>
      </c>
      <c r="Q5316" s="16" t="inlineStr">
        <is>
          <t>ФНС открытые данные ССЧР (ДатаСост 31.12.2025; набор 7707329152-sshr2019)</t>
        </is>
      </c>
      <c r="R5316" s="16">
        <f>HYPERLINK("https://checko.ru/search?query=3801001629","Чекко: проверить")</f>
        <v/>
      </c>
      <c r="S5316" t="n">
        <v>1</v>
      </c>
      <c r="T5316" s="35" t="inlineStr">
        <is>
          <t>4 — Не обогащён</t>
        </is>
      </c>
      <c r="U5316" s="35" t="inlineStr">
        <is>
          <t>Нет ОКВЭД/ССЧР</t>
        </is>
      </c>
      <c r="V5316" s="35" t="inlineStr">
        <is>
          <t>Не определено</t>
        </is>
      </c>
      <c r="W5316" s="35" t="inlineStr">
        <is>
          <t>Нет</t>
        </is>
      </c>
      <c r="X5316" s="35" t="inlineStr"/>
    </row>
    <row r="5317" ht="15" customHeight="1" s="24">
      <c r="A5317" s="13" t="n">
        <v>802400295</v>
      </c>
      <c r="B5317" s="13" t="inlineStr">
        <is>
          <t>ООО "АНГАРСКАЯ СОСНА"</t>
        </is>
      </c>
      <c r="C5317" s="13" t="n">
        <v>3823016570</v>
      </c>
      <c r="D5317" s="13" t="inlineStr">
        <is>
          <t>3823016570</t>
        </is>
      </c>
      <c r="E5317" s="13" t="inlineStr">
        <is>
          <t>ЮЛ РФ</t>
        </is>
      </c>
      <c r="F5317" s="13" t="n"/>
      <c r="G5317" s="52" t="n">
        <v>23</v>
      </c>
      <c r="H5317" s="52" t="n">
        <v>2025</v>
      </c>
      <c r="I5317" s="52" t="inlineStr">
        <is>
          <t>46.73</t>
        </is>
      </c>
      <c r="J5317" s="52" t="inlineStr">
        <is>
          <t>46.73; 02.20; 02.40.2; 16.10; 16.10.9; 46.73.2; 47.52.71; 52.29</t>
        </is>
      </c>
      <c r="K5317" s="53" t="inlineStr">
        <is>
          <t>Да</t>
        </is>
      </c>
      <c r="L5317" s="53" t="inlineStr">
        <is>
          <t>Да</t>
        </is>
      </c>
      <c r="M5317" s="53" t="inlineStr">
        <is>
          <t>До 25</t>
        </is>
      </c>
      <c r="N5317" s="54" t="n">
        <v>8400</v>
      </c>
      <c r="O5317" s="55" t="inlineStr">
        <is>
          <t>16–30</t>
        </is>
      </c>
      <c r="P5317" s="16" t="inlineStr">
        <is>
          <t>ССЧР + ОКВЭД обогащены</t>
        </is>
      </c>
      <c r="Q5317" s="16" t="inlineStr">
        <is>
          <t>ФНС открытые данные ССЧР (ДатаСост 31.12.2025; набор 7707329152-sshr2019)</t>
        </is>
      </c>
      <c r="R5317" s="16" t="inlineStr">
        <is>
          <t>ЕГРЮЛ / egrul.nalog.ru (выписка)</t>
        </is>
      </c>
      <c r="S5317" t="n">
        <v>1</v>
      </c>
      <c r="T5317" s="35" t="inlineStr">
        <is>
          <t>1 — Горячий</t>
        </is>
      </c>
      <c r="U5317" s="35" t="inlineStr">
        <is>
          <t>ОКВЭД + 22+</t>
        </is>
      </c>
      <c r="V5317" s="35" t="inlineStr">
        <is>
          <t>Да</t>
        </is>
      </c>
      <c r="W5317" s="35" t="inlineStr">
        <is>
          <t>Да</t>
        </is>
      </c>
      <c r="X5317" s="35" t="inlineStr">
        <is>
          <t>Да</t>
        </is>
      </c>
    </row>
    <row r="5318" ht="27.75" customHeight="1" s="24">
      <c r="A5318" s="13" t="n">
        <v>802172896</v>
      </c>
      <c r="B5318" s="13" t="inlineStr">
        <is>
          <t>Общество с ограниченной ответственностью "ИТЕРА"</t>
        </is>
      </c>
      <c r="C5318" s="13" t="n">
        <v>3812138167</v>
      </c>
      <c r="D5318" s="13" t="inlineStr">
        <is>
          <t>3812138167</t>
        </is>
      </c>
      <c r="E5318" s="13" t="inlineStr">
        <is>
          <t>ЮЛ РФ</t>
        </is>
      </c>
      <c r="F5318" s="13" t="n"/>
      <c r="G5318" s="52" t="n">
        <v>3</v>
      </c>
      <c r="H5318" s="52" t="n">
        <v>2025</v>
      </c>
      <c r="I5318" s="14" t="n"/>
      <c r="J5318" s="14" t="n"/>
      <c r="K5318" s="53" t="inlineStr">
        <is>
          <t>Нет</t>
        </is>
      </c>
      <c r="L5318" s="53" t="inlineStr">
        <is>
          <t>Не определено</t>
        </is>
      </c>
      <c r="M5318" s="53" t="inlineStr">
        <is>
          <t>До 10</t>
        </is>
      </c>
      <c r="N5318" s="54" t="n">
        <v>3360</v>
      </c>
      <c r="O5318" s="55" t="inlineStr">
        <is>
          <t>1–15</t>
        </is>
      </c>
      <c r="P5318" s="16" t="inlineStr">
        <is>
          <t>ССЧР обогащена; ОКВЭД не найден/не загружен</t>
        </is>
      </c>
      <c r="Q5318" s="16" t="inlineStr">
        <is>
          <t>ФНС открытые данные ССЧР (ДатаСост 31.12.2025; набор 7707329152-sshr2019)</t>
        </is>
      </c>
      <c r="R5318" s="16">
        <f>HYPERLINK("https://checko.ru/search?query=3801001629","Чекко: проверить")</f>
        <v/>
      </c>
      <c r="S5318" t="n">
        <v>1</v>
      </c>
      <c r="T5318" s="35" t="inlineStr">
        <is>
          <t>4 — Не обогащён</t>
        </is>
      </c>
      <c r="U5318" s="35" t="inlineStr">
        <is>
          <t>Нет ОКВЭД/ССЧР</t>
        </is>
      </c>
      <c r="V5318" s="35" t="inlineStr">
        <is>
          <t>Не определено</t>
        </is>
      </c>
      <c r="W5318" s="35" t="inlineStr">
        <is>
          <t>Нет</t>
        </is>
      </c>
      <c r="X5318" s="35" t="inlineStr"/>
    </row>
    <row r="5319" ht="15" customHeight="1" s="24">
      <c r="A5319" s="13" t="n">
        <v>800424272</v>
      </c>
      <c r="B5319" s="13" t="inlineStr">
        <is>
          <t>ООО ЦЕНТРАЛЬНАЯ АПТЕКА</t>
        </is>
      </c>
      <c r="C5319" s="13" t="n">
        <v>3816029218</v>
      </c>
      <c r="D5319" s="13" t="inlineStr">
        <is>
          <t>3816029218</t>
        </is>
      </c>
      <c r="E5319" s="13" t="inlineStr">
        <is>
          <t>ЮЛ РФ</t>
        </is>
      </c>
      <c r="F5319" s="13" t="n"/>
      <c r="G5319" s="52" t="n">
        <v>27</v>
      </c>
      <c r="H5319" s="52" t="n">
        <v>2025</v>
      </c>
      <c r="I5319" s="52" t="inlineStr">
        <is>
          <t>47.73</t>
        </is>
      </c>
      <c r="J5319" s="52" t="inlineStr">
        <is>
          <t>47.73; 47.29; 47.74; 47.75; 47.78; 68.20; 77.32; 81.29.9; 86.90.9</t>
        </is>
      </c>
      <c r="K5319" s="53" t="inlineStr">
        <is>
          <t>Да</t>
        </is>
      </c>
      <c r="L5319" s="53" t="inlineStr">
        <is>
          <t>Да</t>
        </is>
      </c>
      <c r="M5319" s="53" t="inlineStr">
        <is>
          <t>До 50</t>
        </is>
      </c>
      <c r="N5319" s="54" t="n">
        <v>16800</v>
      </c>
      <c r="O5319" s="55" t="inlineStr">
        <is>
          <t>16–30</t>
        </is>
      </c>
      <c r="P5319" s="16" t="inlineStr">
        <is>
          <t>ССЧР + ОКВЭД обогащены</t>
        </is>
      </c>
      <c r="Q5319" s="16" t="inlineStr">
        <is>
          <t>ФНС открытые данные ССЧР (ДатаСост 31.12.2025; набор 7707329152-sshr2019)</t>
        </is>
      </c>
      <c r="R5319" s="16" t="inlineStr">
        <is>
          <t>ЕГРЮЛ / egrul.nalog.ru (выписка)</t>
        </is>
      </c>
      <c r="S5319" t="n">
        <v>1</v>
      </c>
      <c r="T5319" s="35" t="inlineStr">
        <is>
          <t>1 — Горячий</t>
        </is>
      </c>
      <c r="U5319" s="35" t="inlineStr">
        <is>
          <t>ОКВЭД + 22+</t>
        </is>
      </c>
      <c r="V5319" s="35" t="inlineStr">
        <is>
          <t>Да</t>
        </is>
      </c>
      <c r="W5319" s="35" t="inlineStr">
        <is>
          <t>Да</t>
        </is>
      </c>
      <c r="X5319" s="35" t="inlineStr">
        <is>
          <t>Да</t>
        </is>
      </c>
    </row>
    <row r="5320" ht="15" customHeight="1" s="24">
      <c r="A5320" s="13" t="n">
        <v>800591377</v>
      </c>
      <c r="B5320" s="13" t="inlineStr">
        <is>
          <t>ИП Голикова Ольга Герасимовна</t>
        </is>
      </c>
      <c r="C5320" s="13" t="n">
        <v>142900564308</v>
      </c>
      <c r="D5320" s="13" t="inlineStr">
        <is>
          <t>142900564308</t>
        </is>
      </c>
      <c r="E5320" s="13" t="inlineStr">
        <is>
          <t>ИП РФ / физлицо</t>
        </is>
      </c>
      <c r="F5320" s="13" t="n"/>
      <c r="G5320" s="14" t="n"/>
      <c r="H5320" s="14" t="n"/>
      <c r="I5320" s="14" t="n"/>
      <c r="J5320" s="14" t="n"/>
      <c r="K5320" s="53" t="inlineStr"/>
      <c r="L5320" s="53" t="inlineStr">
        <is>
          <t>Не определено</t>
        </is>
      </c>
      <c r="M5320" s="53" t="inlineStr"/>
      <c r="N5320" s="54" t="inlineStr"/>
      <c r="O5320" s="55" t="inlineStr"/>
      <c r="P5320" s="16" t="inlineStr">
        <is>
          <t>Требует обогащения</t>
        </is>
      </c>
      <c r="Q5320" s="16">
        <f>HYPERLINK("https://pb.nalog.ru/search.html?query=142900564308","ФНС: проверить")</f>
        <v/>
      </c>
      <c r="R5320" s="16">
        <f>HYPERLINK("https://checko.ru/search?query=3801001629","Чекко: проверить")</f>
        <v/>
      </c>
      <c r="S5320" t="n">
        <v>1</v>
      </c>
      <c r="T5320" s="35" t="inlineStr">
        <is>
          <t>4 — Не обогащён</t>
        </is>
      </c>
      <c r="U5320" s="35" t="inlineStr">
        <is>
          <t>Нет ОКВЭД/ССЧР</t>
        </is>
      </c>
      <c r="V5320" s="35" t="inlineStr">
        <is>
          <t>Не определено</t>
        </is>
      </c>
      <c r="W5320" s="35" t="inlineStr"/>
      <c r="X5320" s="35" t="inlineStr"/>
    </row>
    <row r="5321" ht="27.75" customHeight="1" s="24">
      <c r="A5321" s="13" t="n">
        <v>800761514</v>
      </c>
      <c r="B5321" s="13" t="inlineStr">
        <is>
          <t>ОБЩЕСТВО С ОГРАНИЧЕННОЙ ОТВЕТСТВЕННОСТЬЮ "ЛАВ - ПРОДУКТ"</t>
        </is>
      </c>
      <c r="C5321" s="13" t="n">
        <v>3810314219</v>
      </c>
      <c r="D5321" s="13" t="inlineStr">
        <is>
          <t>3810314219</t>
        </is>
      </c>
      <c r="E5321" s="13" t="inlineStr">
        <is>
          <t>ЮЛ РФ</t>
        </is>
      </c>
      <c r="F5321" s="13" t="n"/>
      <c r="G5321" s="52" t="n">
        <v>30</v>
      </c>
      <c r="H5321" s="52" t="n">
        <v>2025</v>
      </c>
      <c r="I5321" s="52" t="inlineStr">
        <is>
          <t>46.32.1</t>
        </is>
      </c>
      <c r="J5321" s="52" t="inlineStr">
        <is>
          <t>46.32.1; 42.11; 42.99; 43.99; 46.21.13; 47.11; 47.21; 47.22.1; 47.24; 47.25; 47.29; 49.41; 49.41.1; 49.41.2; 49.41.3; 49.42</t>
        </is>
      </c>
      <c r="K5321" s="53" t="inlineStr">
        <is>
          <t>Да</t>
        </is>
      </c>
      <c r="L5321" s="53" t="inlineStr">
        <is>
          <t>Да</t>
        </is>
      </c>
      <c r="M5321" s="53" t="inlineStr">
        <is>
          <t>До 50</t>
        </is>
      </c>
      <c r="N5321" s="54" t="n">
        <v>16800</v>
      </c>
      <c r="O5321" s="55" t="inlineStr">
        <is>
          <t>16–30</t>
        </is>
      </c>
      <c r="P5321" s="16" t="inlineStr">
        <is>
          <t>ССЧР + ОКВЭД обогащены</t>
        </is>
      </c>
      <c r="Q5321" s="16" t="inlineStr">
        <is>
          <t>ФНС открытые данные ССЧР (ДатаСост 31.12.2025; набор 7707329152-sshr2019)</t>
        </is>
      </c>
      <c r="R5321" s="16" t="inlineStr">
        <is>
          <t>ЕГРЮЛ / egrul.nalog.ru (выписка)</t>
        </is>
      </c>
      <c r="S5321" t="n">
        <v>1</v>
      </c>
      <c r="T5321" s="35" t="inlineStr">
        <is>
          <t>1 — Горячий</t>
        </is>
      </c>
      <c r="U5321" s="35" t="inlineStr">
        <is>
          <t>ОКВЭД + 22+</t>
        </is>
      </c>
      <c r="V5321" s="35" t="inlineStr">
        <is>
          <t>Да</t>
        </is>
      </c>
      <c r="W5321" s="35" t="inlineStr">
        <is>
          <t>Да</t>
        </is>
      </c>
      <c r="X5321" s="35" t="inlineStr">
        <is>
          <t>Да</t>
        </is>
      </c>
    </row>
    <row r="5322" ht="27.75" customHeight="1" s="24">
      <c r="A5322" s="13" t="n">
        <v>20015470903</v>
      </c>
      <c r="B5322" s="13" t="inlineStr">
        <is>
          <t>Общество с ограниченной ответственностью ЧАСТНОЕ ОХРАННОЕ ПРЕДПРИЯТИЕ "БРЕСТ ПЛЮС"</t>
        </is>
      </c>
      <c r="C5322" s="13" t="n">
        <v>7536100377</v>
      </c>
      <c r="D5322" s="13" t="inlineStr">
        <is>
          <t>7536100377</t>
        </is>
      </c>
      <c r="E5322" s="13" t="inlineStr">
        <is>
          <t>ЮЛ РФ</t>
        </is>
      </c>
      <c r="F5322" s="13" t="n"/>
      <c r="G5322" s="52" t="n">
        <v>35</v>
      </c>
      <c r="H5322" s="52" t="n">
        <v>2025</v>
      </c>
      <c r="I5322" s="52" t="inlineStr">
        <is>
          <t>80.10</t>
        </is>
      </c>
      <c r="J5322" s="52" t="inlineStr">
        <is>
          <t>80.10; 43.21; 80.20; 80.30</t>
        </is>
      </c>
      <c r="K5322" s="53" t="inlineStr">
        <is>
          <t>Да</t>
        </is>
      </c>
      <c r="L5322" s="53" t="inlineStr">
        <is>
          <t>Да</t>
        </is>
      </c>
      <c r="M5322" s="53" t="inlineStr">
        <is>
          <t>До 50</t>
        </is>
      </c>
      <c r="N5322" s="54" t="n">
        <v>16800</v>
      </c>
      <c r="O5322" s="55" t="inlineStr">
        <is>
          <t>31–50</t>
        </is>
      </c>
      <c r="P5322" s="16" t="inlineStr">
        <is>
          <t>ССЧР + ОКВЭД обогащены</t>
        </is>
      </c>
      <c r="Q5322" s="16" t="inlineStr">
        <is>
          <t>ФНС открытые данные ССЧР (ДатаСост 31.12.2025; набор 7707329152-sshr2019)</t>
        </is>
      </c>
      <c r="R5322" s="16" t="inlineStr">
        <is>
          <t>ЕГРЮЛ / egrul.nalog.ru (выписка)</t>
        </is>
      </c>
      <c r="S5322" t="n">
        <v>1</v>
      </c>
      <c r="T5322" s="35" t="inlineStr">
        <is>
          <t>1 — Горячий</t>
        </is>
      </c>
      <c r="U5322" s="35" t="inlineStr">
        <is>
          <t>ОКВЭД + 22+</t>
        </is>
      </c>
      <c r="V5322" s="35" t="inlineStr">
        <is>
          <t>Да</t>
        </is>
      </c>
      <c r="W5322" s="35" t="inlineStr">
        <is>
          <t>Да</t>
        </is>
      </c>
      <c r="X5322" s="35" t="inlineStr">
        <is>
          <t>Да</t>
        </is>
      </c>
    </row>
    <row r="5323" ht="15" customHeight="1" s="24">
      <c r="A5323" s="13" t="n">
        <v>800281945</v>
      </c>
      <c r="B5323" s="13" t="inlineStr">
        <is>
          <t>ООО «НИТРО»</t>
        </is>
      </c>
      <c r="C5323" s="13" t="n">
        <v>323416373</v>
      </c>
      <c r="D5323" s="13" t="n"/>
      <c r="E5323" s="13" t="inlineStr">
        <is>
          <t>Не определён</t>
        </is>
      </c>
      <c r="F5323" s="13" t="inlineStr">
        <is>
          <t>323416373</t>
        </is>
      </c>
      <c r="G5323" s="14" t="n"/>
      <c r="H5323" s="14" t="n"/>
      <c r="I5323" s="14" t="n"/>
      <c r="J5323" s="14" t="n"/>
      <c r="K5323" s="13">
        <f>IF(G5323="","",IF(G5323&gt;=22,"Да","Нет"))</f>
        <v/>
      </c>
      <c r="L5323" s="13">
        <f>IF(OR(I5323="",J5323=""),"Не определено",IF(OR(COUNTIF(I5323,"45*")&gt;0,COUNTIF(J5323,"*45*")&gt;0,COUNTIF(I5323,"46*")&gt;0,COUNTIF(J5323,"*46*")&gt;0,COUNTIF(I5323,"47*")&gt;0,COUNTIF(J5323,"*47*")&gt;0,COUNTIF(I5323,"10*")&gt;0,COUNTIF(J5323,"*10*")&gt;0,COUNTIF(I5323,"11*")&gt;0,COUNTIF(J5323,"*11*")&gt;0,COUNTIF(I5323,"12*")&gt;0,COUNTIF(J5323,"*12*")&gt;0,COUNTIF(I5323,"13*")&gt;0,COUNTIF(J5323,"*13*")&gt;0,COUNTIF(I5323,"14*")&gt;0,COUNTIF(J5323,"*14*")&gt;0,COUNTIF(I5323,"15*")&gt;0,COUNTIF(J5323,"*15*")&gt;0,COUNTIF(I5323,"16*")&gt;0,COUNTIF(J5323,"*16*")&gt;0,COUNTIF(I5323,"17*")&gt;0,COUNTIF(J5323,"*17*")&gt;0,COUNTIF(I5323,"18*")&gt;0,COUNTIF(J5323,"*18*")&gt;0,COUNTIF(I5323,"19*")&gt;0,COUNTIF(J5323,"*19*")&gt;0,COUNTIF(I5323,"20*")&gt;0,COUNTIF(J5323,"*20*")&gt;0,COUNTIF(I5323,"21*")&gt;0,COUNTIF(J5323,"*21*")&gt;0,COUNTIF(I5323,"22*")&gt;0,COUNTIF(J5323,"*22*")&gt;0,COUNTIF(I5323,"23*")&gt;0,COUNTIF(J5323,"*23*")&gt;0,COUNTIF(I5323,"24*")&gt;0,COUNTIF(J5323,"*24*")&gt;0,COUNTIF(I5323,"25*")&gt;0,COUNTIF(J5323,"*25*")&gt;0,COUNTIF(I5323,"26*")&gt;0,COUNTIF(J5323,"*26*")&gt;0,COUNTIF(I5323,"27*")&gt;0,COUNTIF(J5323,"*27*")&gt;0,COUNTIF(I5323,"28*")&gt;0,COUNTIF(J5323,"*28*")&gt;0,COUNTIF(I5323,"29*")&gt;0,COUNTIF(J5323,"*29*")&gt;0,COUNTIF(I5323,"30*")&gt;0,COUNTIF(J5323,"*30*")&gt;0,COUNTIF(I5323,"31*")&gt;0,COUNTIF(J5323,"*31*")&gt;0,COUNTIF(I5323,"32*")&gt;0,COUNTIF(J5323,"*32*")&gt;0,COUNTIF(I5323,"33*")&gt;0,COUNTIF(J5323,"*33*")&gt;0,COUNTIF(I5323,"41*")&gt;0,COUNTIF(J5323,"*41*")&gt;0,COUNTIF(I5323,"42*")&gt;0,COUNTIF(J5323,"*42*")&gt;0,COUNTIF(I5323,"43*")&gt;0,COUNTIF(J5323,"*43*")&gt;0,COUNTIF(I5323,"49*")&gt;0,COUNTIF(J5323,"*49*")&gt;0,COUNTIF(I5323,"52*")&gt;0,COUNTIF(J5323,"*52*")&gt;0,COUNTIF(I5323,"55*")&gt;0,COUNTIF(J5323,"*55*")&gt;0,COUNTIF(I5323,"56*")&gt;0,COUNTIF(J5323,"*56*")&gt;0,COUNTIF(I5323,"68*")&gt;0,COUNTIF(J5323,"*68*")&gt;0,COUNTIF(I5323,"78*")&gt;0,COUNTIF(J5323,"*78*")&gt;0,COUNTIF(I5323,"81*")&gt;0,COUNTIF(J5323,"*81*")&gt;0,COUNTIF(I5323,"82*")&gt;0,COUNTIF(J5323,"*82*")&gt;0,COUNTIF(I5323,"64*")&gt;0,COUNTIF(J5323,"*64*")&gt;0,COUNTIF(I5323,"65*")&gt;0,COUNTIF(J5323,"*65*")&gt;0,COUNTIF(I5323,"66*")&gt;0,COUNTIF(J5323,"*66*")&gt;0,COUNTIF(I5323,"61*")&gt;0,COUNTIF(J5323,"*61*")&gt;0,COUNTIF(I5323,"62*")&gt;0,COUNTIF(J5323,"*62*")&gt;0,COUNTIF(I5323,"63*")&gt;0,COUNTIF(J5323,"*63*")&gt;0,COUNTIF(I5323,"85*")&gt;0,COUNTIF(J5323,"*85*")&gt;0,COUNTIF(I5323,"86*")&gt;0,COUNTIF(J5323,"*86*")&gt;0),"Да","Нет"))</f>
        <v/>
      </c>
      <c r="M5323" s="13">
        <f>IF(OR(G5323="",L5323&lt;&gt;"Да"),"",IF(G5323&lt;=100,"До 100",IF(G5323&lt;=200,"До 200",IF(G5323&lt;=500,"До 500","Отдельное КП"))))</f>
        <v/>
      </c>
      <c r="N5323" s="15">
        <f>IF(OR(G5323="",L5323&lt;&gt;"Да"),"",IF(G5323&lt;=100,33600,IF(G5323&lt;=200,62400,IF(G5323&lt;=500,144000,""))))</f>
        <v/>
      </c>
      <c r="O5323" s="16">
        <f>IF(G5323="","",IF(G5323&lt;=15,"1–15",IF(G5323&lt;=30,"16–30",IF(G5323&lt;=50,"31–50",IF(G5323&lt;=100,"51–100",IF(G5323&lt;=150,"101–150",IF(G5323&lt;=200,"151–200",IF(G5323&lt;=500,"201–500","500+"))))))))</f>
        <v/>
      </c>
      <c r="P5323" s="16" t="inlineStr">
        <is>
          <t>Нет совпадения в предоставленной выгрузке ССЧР</t>
        </is>
      </c>
      <c r="Q5323" s="16" t="n"/>
      <c r="R5323" s="16">
        <f>HYPERLINK("https://checko.ru/search?query=3801001629","Чекко: проверить")</f>
        <v/>
      </c>
      <c r="S5323" t="n">
        <v>0</v>
      </c>
    </row>
    <row r="5324" ht="15" customHeight="1" s="24">
      <c r="A5324" s="13" t="n">
        <v>800568069</v>
      </c>
      <c r="B5324" s="13" t="inlineStr">
        <is>
          <t>Ситникова Елена Валерьевна</t>
        </is>
      </c>
      <c r="C5324" s="13" t="n">
        <v>382703055687</v>
      </c>
      <c r="D5324" s="13" t="inlineStr">
        <is>
          <t>382703055687</t>
        </is>
      </c>
      <c r="E5324" s="13" t="inlineStr">
        <is>
          <t>ИП РФ / физлицо</t>
        </is>
      </c>
      <c r="F5324" s="13" t="n"/>
      <c r="G5324" s="14" t="n"/>
      <c r="H5324" s="14" t="n"/>
      <c r="I5324" s="14" t="n"/>
      <c r="J5324" s="14" t="n"/>
      <c r="K5324" s="53" t="inlineStr"/>
      <c r="L5324" s="53" t="inlineStr">
        <is>
          <t>Не определено</t>
        </is>
      </c>
      <c r="M5324" s="53" t="inlineStr"/>
      <c r="N5324" s="54" t="inlineStr"/>
      <c r="O5324" s="55" t="inlineStr"/>
      <c r="P5324" s="16" t="inlineStr">
        <is>
          <t>Требует обогащения</t>
        </is>
      </c>
      <c r="Q5324" s="16">
        <f>HYPERLINK("https://pb.nalog.ru/search.html?query=382703055687","ФНС: проверить")</f>
        <v/>
      </c>
      <c r="R5324" s="16">
        <f>HYPERLINK("https://checko.ru/search?query=3801001629","Чекко: проверить")</f>
        <v/>
      </c>
      <c r="S5324" t="n">
        <v>1</v>
      </c>
      <c r="T5324" s="35" t="inlineStr">
        <is>
          <t>4 — Не обогащён</t>
        </is>
      </c>
      <c r="U5324" s="35" t="inlineStr">
        <is>
          <t>Нет ОКВЭД/ССЧР</t>
        </is>
      </c>
      <c r="V5324" s="35" t="inlineStr">
        <is>
          <t>Не определено</t>
        </is>
      </c>
      <c r="W5324" s="35" t="inlineStr"/>
      <c r="X5324" s="35" t="inlineStr"/>
    </row>
    <row r="5325" ht="15" customHeight="1" s="24">
      <c r="A5325" s="13" t="n">
        <v>801604204</v>
      </c>
      <c r="B5325" s="13" t="inlineStr">
        <is>
          <t>ООО "СЕЛЬХОЗАГРО"</t>
        </is>
      </c>
      <c r="C5325" s="13" t="n">
        <v>3849063310</v>
      </c>
      <c r="D5325" s="13" t="inlineStr">
        <is>
          <t>3849063310</t>
        </is>
      </c>
      <c r="E5325" s="13" t="inlineStr">
        <is>
          <t>ЮЛ РФ</t>
        </is>
      </c>
      <c r="F5325" s="13" t="n"/>
      <c r="G5325" s="52" t="n">
        <v>8</v>
      </c>
      <c r="H5325" s="52" t="n">
        <v>2025</v>
      </c>
      <c r="I5325" s="14" t="n"/>
      <c r="J5325" s="14" t="n"/>
      <c r="K5325" s="53" t="inlineStr">
        <is>
          <t>Нет</t>
        </is>
      </c>
      <c r="L5325" s="53" t="inlineStr">
        <is>
          <t>Не определено</t>
        </is>
      </c>
      <c r="M5325" s="53" t="inlineStr">
        <is>
          <t>До 10</t>
        </is>
      </c>
      <c r="N5325" s="54" t="n">
        <v>3360</v>
      </c>
      <c r="O5325" s="55" t="inlineStr">
        <is>
          <t>1–15</t>
        </is>
      </c>
      <c r="P5325" s="16" t="inlineStr">
        <is>
          <t>ССЧР обогащена; ОКВЭД не найден/не загружен</t>
        </is>
      </c>
      <c r="Q5325" s="16" t="inlineStr">
        <is>
          <t>ФНС открытые данные ССЧР (ДатаСост 31.12.2025; набор 7707329152-sshr2019)</t>
        </is>
      </c>
      <c r="R5325" s="16">
        <f>HYPERLINK("https://checko.ru/search?query=3801001629","Чекко: проверить")</f>
        <v/>
      </c>
      <c r="S5325" t="n">
        <v>1</v>
      </c>
      <c r="T5325" s="35" t="inlineStr">
        <is>
          <t>4 — Не обогащён</t>
        </is>
      </c>
      <c r="U5325" s="35" t="inlineStr">
        <is>
          <t>Нет ОКВЭД/ССЧР</t>
        </is>
      </c>
      <c r="V5325" s="35" t="inlineStr">
        <is>
          <t>Не определено</t>
        </is>
      </c>
      <c r="W5325" s="35" t="inlineStr">
        <is>
          <t>Нет</t>
        </is>
      </c>
      <c r="X5325" s="35" t="inlineStr"/>
    </row>
    <row r="5326" ht="15" customHeight="1" s="24">
      <c r="A5326" s="13" t="n">
        <v>800845156</v>
      </c>
      <c r="B5326" s="13" t="inlineStr">
        <is>
          <t>ООО "БАЙКАЛИТ-СКЦ"</t>
        </is>
      </c>
      <c r="C5326" s="13" t="n">
        <v>3810084357</v>
      </c>
      <c r="D5326" s="13" t="inlineStr">
        <is>
          <t>3810084357</t>
        </is>
      </c>
      <c r="E5326" s="13" t="inlineStr">
        <is>
          <t>ЮЛ РФ</t>
        </is>
      </c>
      <c r="F5326" s="13" t="n"/>
      <c r="G5326" s="52" t="n">
        <v>64</v>
      </c>
      <c r="H5326" s="52" t="n">
        <v>2025</v>
      </c>
      <c r="I5326" s="52" t="inlineStr">
        <is>
          <t>45.20.1</t>
        </is>
      </c>
      <c r="J5326" s="52" t="inlineStr">
        <is>
          <t>45.20.1; 45.19.1; 45.32.1; 02.20; 16.23; 31.09; 33.12; 33.13; 41.20; 45.11; 45.19; 45.20; 45.32.2; 45.40.2; 45.40.3; 45.40.5; 46.46; 46.72; 46.74.2; 46.90; 47.59.1; 47.73; 52.10.9; 52.29; 58.13.1; 63.11.1; 68.20.2; 68.31; 73.11; 77.39.29; 95.11</t>
        </is>
      </c>
      <c r="K5326" s="53" t="inlineStr">
        <is>
          <t>Да</t>
        </is>
      </c>
      <c r="L5326" s="53" t="inlineStr">
        <is>
          <t>Да</t>
        </is>
      </c>
      <c r="M5326" s="53" t="inlineStr">
        <is>
          <t>До 100</t>
        </is>
      </c>
      <c r="N5326" s="54" t="n">
        <v>33600</v>
      </c>
      <c r="O5326" s="55" t="inlineStr">
        <is>
          <t>51–100</t>
        </is>
      </c>
      <c r="P5326" s="16" t="inlineStr">
        <is>
          <t>ССЧР + ОКВЭД обогащены</t>
        </is>
      </c>
      <c r="Q5326" s="16" t="inlineStr">
        <is>
          <t>ФНС открытые данные ССЧР (ДатаСост 31.12.2025; набор 7707329152-sshr2019)</t>
        </is>
      </c>
      <c r="R5326" s="16" t="inlineStr">
        <is>
          <t>ЕГРЮЛ / egrul.nalog.ru (выписка)</t>
        </is>
      </c>
      <c r="S5326" t="n">
        <v>1</v>
      </c>
      <c r="T5326" s="35" t="inlineStr">
        <is>
          <t>1 — Горячий</t>
        </is>
      </c>
      <c r="U5326" s="35" t="inlineStr">
        <is>
          <t>ОКВЭД + 22+</t>
        </is>
      </c>
      <c r="V5326" s="35" t="inlineStr">
        <is>
          <t>Да</t>
        </is>
      </c>
      <c r="W5326" s="35" t="inlineStr">
        <is>
          <t>Да</t>
        </is>
      </c>
      <c r="X5326" s="35" t="inlineStr">
        <is>
          <t>Да</t>
        </is>
      </c>
    </row>
    <row r="5327" ht="15" customHeight="1" s="24">
      <c r="A5327" s="13" t="n">
        <v>800573882</v>
      </c>
      <c r="B5327" s="13" t="inlineStr">
        <is>
          <t>ООО "ЛИНИЯ ЖИЗНИ"</t>
        </is>
      </c>
      <c r="C5327" s="13" t="n">
        <v>3811145901</v>
      </c>
      <c r="D5327" s="13" t="inlineStr">
        <is>
          <t>3811145901</t>
        </is>
      </c>
      <c r="E5327" s="13" t="inlineStr">
        <is>
          <t>ЮЛ РФ</t>
        </is>
      </c>
      <c r="F5327" s="13" t="n"/>
      <c r="G5327" s="52" t="n">
        <v>47</v>
      </c>
      <c r="H5327" s="52" t="n">
        <v>2025</v>
      </c>
      <c r="I5327" s="52" t="inlineStr">
        <is>
          <t>86.21</t>
        </is>
      </c>
      <c r="J5327" s="52" t="inlineStr">
        <is>
          <t>86.21; 46.18.1; 47.73; 47.74; 47.75; 66.22; 66.29.9; 72.19; 82.99; 85.23; 85.42.9; 86.10; 86.90.9; 96.02; 96.04</t>
        </is>
      </c>
      <c r="K5327" s="53" t="inlineStr">
        <is>
          <t>Да</t>
        </is>
      </c>
      <c r="L5327" s="53" t="inlineStr">
        <is>
          <t>Да</t>
        </is>
      </c>
      <c r="M5327" s="53" t="inlineStr">
        <is>
          <t>До 50</t>
        </is>
      </c>
      <c r="N5327" s="54" t="n">
        <v>16800</v>
      </c>
      <c r="O5327" s="55" t="inlineStr">
        <is>
          <t>31–50</t>
        </is>
      </c>
      <c r="P5327" s="16" t="inlineStr">
        <is>
          <t>ССЧР + ОКВЭД обогащены</t>
        </is>
      </c>
      <c r="Q5327" s="16" t="inlineStr">
        <is>
          <t>ФНС открытые данные ССЧР (ДатаСост 31.12.2025; набор 7707329152-sshr2019)</t>
        </is>
      </c>
      <c r="R5327" s="16" t="inlineStr">
        <is>
          <t>ЕГРЮЛ / egrul.nalog.ru (выписка)</t>
        </is>
      </c>
      <c r="S5327" t="n">
        <v>1</v>
      </c>
      <c r="T5327" s="35" t="inlineStr">
        <is>
          <t>1 — Горячий</t>
        </is>
      </c>
      <c r="U5327" s="35" t="inlineStr">
        <is>
          <t>ОКВЭД + 22+</t>
        </is>
      </c>
      <c r="V5327" s="35" t="inlineStr">
        <is>
          <t>Да</t>
        </is>
      </c>
      <c r="W5327" s="35" t="inlineStr">
        <is>
          <t>Да</t>
        </is>
      </c>
      <c r="X5327" s="35" t="inlineStr">
        <is>
          <t>Да</t>
        </is>
      </c>
    </row>
    <row r="5328" ht="15" customHeight="1" s="24">
      <c r="A5328" s="13" t="n">
        <v>9151893</v>
      </c>
      <c r="B5328" s="13" t="inlineStr">
        <is>
          <t>ООО "ВССК лтд"</t>
        </is>
      </c>
      <c r="C5328" s="13" t="n">
        <v>3849028072</v>
      </c>
      <c r="D5328" s="13" t="inlineStr">
        <is>
          <t>3849028072</t>
        </is>
      </c>
      <c r="E5328" s="13" t="inlineStr">
        <is>
          <t>ЮЛ РФ</t>
        </is>
      </c>
      <c r="F5328" s="13" t="n"/>
      <c r="G5328" s="52" t="n">
        <v>78</v>
      </c>
      <c r="H5328" s="52" t="n">
        <v>2025</v>
      </c>
      <c r="I5328" s="52" t="inlineStr">
        <is>
          <t>38.32.3</t>
        </is>
      </c>
      <c r="J5328" s="52" t="inlineStr">
        <is>
          <t>38.32.3; 38.32.41; 38.32.43; 46.77; 25.99; 38.32.2; 38.32.4; 43.12; 49.20; 50.40; 82.99</t>
        </is>
      </c>
      <c r="K5328" s="53" t="inlineStr">
        <is>
          <t>Да</t>
        </is>
      </c>
      <c r="L5328" s="53" t="inlineStr">
        <is>
          <t>Да</t>
        </is>
      </c>
      <c r="M5328" s="53" t="inlineStr">
        <is>
          <t>До 100</t>
        </is>
      </c>
      <c r="N5328" s="54" t="n">
        <v>33600</v>
      </c>
      <c r="O5328" s="55" t="inlineStr">
        <is>
          <t>51–100</t>
        </is>
      </c>
      <c r="P5328" s="16" t="inlineStr">
        <is>
          <t>ССЧР + ОКВЭД обогащены</t>
        </is>
      </c>
      <c r="Q5328" s="16" t="inlineStr">
        <is>
          <t>ФНС открытые данные ССЧР (ДатаСост 31.12.2025; набор 7707329152-sshr2019)</t>
        </is>
      </c>
      <c r="R5328" s="16" t="inlineStr">
        <is>
          <t>ЕГРЮЛ / egrul.nalog.ru (выписка)</t>
        </is>
      </c>
      <c r="S5328" t="n">
        <v>1</v>
      </c>
      <c r="T5328" s="35" t="inlineStr">
        <is>
          <t>1 — Горячий</t>
        </is>
      </c>
      <c r="U5328" s="35" t="inlineStr">
        <is>
          <t>ОКВЭД + 22+</t>
        </is>
      </c>
      <c r="V5328" s="35" t="inlineStr">
        <is>
          <t>Да</t>
        </is>
      </c>
      <c r="W5328" s="35" t="inlineStr">
        <is>
          <t>Да</t>
        </is>
      </c>
      <c r="X5328" s="35" t="inlineStr">
        <is>
          <t>Да</t>
        </is>
      </c>
    </row>
    <row r="5329" ht="15" customHeight="1" s="24">
      <c r="A5329" s="13" t="n">
        <v>802400374</v>
      </c>
      <c r="B5329" s="13" t="inlineStr">
        <is>
          <t>ООО "ТРАНСРЕГИОН"</t>
        </is>
      </c>
      <c r="C5329" s="13" t="n">
        <v>3818047830</v>
      </c>
      <c r="D5329" s="13" t="inlineStr">
        <is>
          <t>3818047830</t>
        </is>
      </c>
      <c r="E5329" s="13" t="inlineStr">
        <is>
          <t>ЮЛ РФ</t>
        </is>
      </c>
      <c r="F5329" s="13" t="n"/>
      <c r="G5329" s="52" t="n">
        <v>79</v>
      </c>
      <c r="H5329" s="52" t="n">
        <v>2025</v>
      </c>
      <c r="I5329" s="52" t="inlineStr">
        <is>
          <t>49.41</t>
        </is>
      </c>
      <c r="J5329" s="52" t="inlineStr">
        <is>
          <t>49.41; 01.41; 01.45; 01.46; 01.47; 42.11; 45.31; 45.32; 49.42; 50.40; 52.10; 52.21.2; 52.24; 52.29; 82.99</t>
        </is>
      </c>
      <c r="K5329" s="53" t="inlineStr">
        <is>
          <t>Да</t>
        </is>
      </c>
      <c r="L5329" s="53" t="inlineStr">
        <is>
          <t>Да</t>
        </is>
      </c>
      <c r="M5329" s="53" t="inlineStr">
        <is>
          <t>До 100</t>
        </is>
      </c>
      <c r="N5329" s="54" t="n">
        <v>33600</v>
      </c>
      <c r="O5329" s="55" t="inlineStr">
        <is>
          <t>51–100</t>
        </is>
      </c>
      <c r="P5329" s="16" t="inlineStr">
        <is>
          <t>ССЧР + ОКВЭД обогащены</t>
        </is>
      </c>
      <c r="Q5329" s="16" t="inlineStr">
        <is>
          <t>ФНС открытые данные ССЧР (ДатаСост 31.12.2025; набор 7707329152-sshr2019)</t>
        </is>
      </c>
      <c r="R5329" s="16" t="inlineStr">
        <is>
          <t>ЕГРЮЛ / egrul.nalog.ru (выписка)</t>
        </is>
      </c>
      <c r="S5329" t="n">
        <v>1</v>
      </c>
      <c r="T5329" s="35" t="inlineStr">
        <is>
          <t>1 — Горячий</t>
        </is>
      </c>
      <c r="U5329" s="35" t="inlineStr">
        <is>
          <t>ОКВЭД + 22+</t>
        </is>
      </c>
      <c r="V5329" s="35" t="inlineStr">
        <is>
          <t>Да</t>
        </is>
      </c>
      <c r="W5329" s="35" t="inlineStr">
        <is>
          <t>Да</t>
        </is>
      </c>
      <c r="X5329" s="35" t="inlineStr">
        <is>
          <t>Да</t>
        </is>
      </c>
    </row>
    <row r="5330" ht="15" customHeight="1" s="24">
      <c r="A5330" s="13" t="n">
        <v>802453670</v>
      </c>
      <c r="B5330" s="13" t="inlineStr">
        <is>
          <t>ЗАО "ИРКУТСКИЙ ХЛЕБОЗАВОД"</t>
        </is>
      </c>
      <c r="C5330" s="13" t="n">
        <v>3808004467</v>
      </c>
      <c r="D5330" s="13" t="inlineStr">
        <is>
          <t>3808004467</t>
        </is>
      </c>
      <c r="E5330" s="13" t="inlineStr">
        <is>
          <t>ЮЛ РФ</t>
        </is>
      </c>
      <c r="F5330" s="13" t="n"/>
      <c r="G5330" s="52" t="n">
        <v>378</v>
      </c>
      <c r="H5330" s="52" t="n">
        <v>2025</v>
      </c>
      <c r="I5330" s="52" t="inlineStr">
        <is>
          <t>10.71.1</t>
        </is>
      </c>
      <c r="J5330" s="52" t="inlineStr">
        <is>
          <t>10.71.1; 10.71.2; 10.72.1; 10.72.31; 10.72.32; 10.72.33; 10.72.35; 10.72.39; 10.82.2; 68.20.29; 10.61; 10.61.3; 10.71; 10.72; 10.73.1; 23.99; 41.20; 43.29; 43.99.7; 46.36.4; 46.90; 47.24.1; 52.10; 56.10; 56.10.1; 56.10.3; 66.11; 68.32.1; 68.32.2; 71.11.1; 73.20.1; 79.11; 93.19; 93.29</t>
        </is>
      </c>
      <c r="K5330" s="53" t="inlineStr">
        <is>
          <t>Да</t>
        </is>
      </c>
      <c r="L5330" s="53" t="inlineStr">
        <is>
          <t>Да</t>
        </is>
      </c>
      <c r="M5330" s="53" t="inlineStr">
        <is>
          <t>До 500</t>
        </is>
      </c>
      <c r="N5330" s="54" t="n">
        <v>144000</v>
      </c>
      <c r="O5330" s="55" t="inlineStr">
        <is>
          <t>201–500</t>
        </is>
      </c>
      <c r="P5330" s="16" t="inlineStr">
        <is>
          <t>ССЧР + ОКВЭД обогащены</t>
        </is>
      </c>
      <c r="Q5330" s="16" t="inlineStr">
        <is>
          <t>ФНС открытые данные ССЧР (ДатаСост 31.12.2025; набор 7707329152-sshr2019)</t>
        </is>
      </c>
      <c r="R5330" s="16" t="inlineStr">
        <is>
          <t>ЕГРЮЛ / egrul.nalog.ru (выписка)</t>
        </is>
      </c>
      <c r="S5330" t="n">
        <v>1</v>
      </c>
      <c r="T5330" s="35" t="inlineStr">
        <is>
          <t>1 — Горячий</t>
        </is>
      </c>
      <c r="U5330" s="35" t="inlineStr">
        <is>
          <t>ОКВЭД + 22+</t>
        </is>
      </c>
      <c r="V5330" s="35" t="inlineStr">
        <is>
          <t>Да</t>
        </is>
      </c>
      <c r="W5330" s="35" t="inlineStr">
        <is>
          <t>Да</t>
        </is>
      </c>
      <c r="X5330" s="35" t="inlineStr">
        <is>
          <t>Да</t>
        </is>
      </c>
    </row>
    <row r="5331" ht="15" customHeight="1" s="24">
      <c r="A5331" s="13" t="n">
        <v>801823427</v>
      </c>
      <c r="B5331" s="13" t="inlineStr">
        <is>
          <t>ТехноАвтоматика, ООО</t>
        </is>
      </c>
      <c r="C5331" s="13" t="n">
        <v>3812148341</v>
      </c>
      <c r="D5331" s="13" t="inlineStr">
        <is>
          <t>3812148341</t>
        </is>
      </c>
      <c r="E5331" s="13" t="inlineStr">
        <is>
          <t>ЮЛ РФ</t>
        </is>
      </c>
      <c r="F5331" s="13" t="n"/>
      <c r="G5331" s="52" t="n">
        <v>32</v>
      </c>
      <c r="H5331" s="52" t="n">
        <v>2025</v>
      </c>
      <c r="I5331" s="52" t="inlineStr">
        <is>
          <t>33.12</t>
        </is>
      </c>
      <c r="J5331" s="52" t="inlineStr">
        <is>
          <t>33.12; 33.13; 33.14; 43.22; 43.29; 46.63; 46.69.2; 46.69.5; 46.69.7; 46.69.9; 46.90; 62.01; 62.02; 62.09; 70.22; 71.12; 71.12.5; 71.12.6; 71.12.8; 71.12.12; 71.20; 71.20.4; 71.20.9; 72.20; 74.90; 74.90.3; 74.90.6</t>
        </is>
      </c>
      <c r="K5331" s="53" t="inlineStr">
        <is>
          <t>Да</t>
        </is>
      </c>
      <c r="L5331" s="53" t="inlineStr">
        <is>
          <t>Да</t>
        </is>
      </c>
      <c r="M5331" s="53" t="inlineStr">
        <is>
          <t>До 50</t>
        </is>
      </c>
      <c r="N5331" s="54" t="n">
        <v>16800</v>
      </c>
      <c r="O5331" s="55" t="inlineStr">
        <is>
          <t>31–50</t>
        </is>
      </c>
      <c r="P5331" s="16" t="inlineStr">
        <is>
          <t>ССЧР + ОКВЭД обогащены</t>
        </is>
      </c>
      <c r="Q5331" s="16" t="inlineStr">
        <is>
          <t>ФНС открытые данные ССЧР (ДатаСост 31.12.2025; набор 7707329152-sshr2019)</t>
        </is>
      </c>
      <c r="R5331" s="16" t="inlineStr">
        <is>
          <t>ЕГРЮЛ / egrul.nalog.ru (выписка)</t>
        </is>
      </c>
      <c r="S5331" t="n">
        <v>1</v>
      </c>
      <c r="T5331" s="35" t="inlineStr">
        <is>
          <t>1 — Горячий</t>
        </is>
      </c>
      <c r="U5331" s="35" t="inlineStr">
        <is>
          <t>ОКВЭД + 22+</t>
        </is>
      </c>
      <c r="V5331" s="35" t="inlineStr">
        <is>
          <t>Да</t>
        </is>
      </c>
      <c r="W5331" s="35" t="inlineStr">
        <is>
          <t>Да</t>
        </is>
      </c>
      <c r="X5331" s="35" t="inlineStr">
        <is>
          <t>Да</t>
        </is>
      </c>
    </row>
    <row r="5332" ht="15" customHeight="1" s="24">
      <c r="A5332" s="13" t="n">
        <v>9184120</v>
      </c>
      <c r="B5332" s="13" t="inlineStr">
        <is>
          <t>ИП Попов Александр Николаевич</t>
        </is>
      </c>
      <c r="C5332" s="13" t="n">
        <v>140200116603</v>
      </c>
      <c r="D5332" s="13" t="inlineStr">
        <is>
          <t>140200116603</t>
        </is>
      </c>
      <c r="E5332" s="13" t="inlineStr">
        <is>
          <t>ИП РФ / физлицо</t>
        </is>
      </c>
      <c r="F5332" s="13" t="n"/>
      <c r="G5332" s="14" t="n"/>
      <c r="H5332" s="14" t="n"/>
      <c r="I5332" s="14" t="n"/>
      <c r="J5332" s="14" t="n"/>
      <c r="K5332" s="53" t="inlineStr"/>
      <c r="L5332" s="53" t="inlineStr">
        <is>
          <t>Не определено</t>
        </is>
      </c>
      <c r="M5332" s="53" t="inlineStr"/>
      <c r="N5332" s="54" t="inlineStr"/>
      <c r="O5332" s="55" t="inlineStr"/>
      <c r="P5332" s="16" t="inlineStr">
        <is>
          <t>Требует обогащения</t>
        </is>
      </c>
      <c r="Q5332" s="16">
        <f>HYPERLINK("https://pb.nalog.ru/search.html?query=140200116603","ФНС: проверить")</f>
        <v/>
      </c>
      <c r="R5332" s="16">
        <f>HYPERLINK("https://checko.ru/search?query=3801001629","Чекко: проверить")</f>
        <v/>
      </c>
      <c r="S5332" t="n">
        <v>1</v>
      </c>
      <c r="T5332" s="35" t="inlineStr">
        <is>
          <t>4 — Не обогащён</t>
        </is>
      </c>
      <c r="U5332" s="35" t="inlineStr">
        <is>
          <t>Нет ОКВЭД/ССЧР</t>
        </is>
      </c>
      <c r="V5332" s="35" t="inlineStr">
        <is>
          <t>Не определено</t>
        </is>
      </c>
      <c r="W5332" s="35" t="inlineStr"/>
      <c r="X5332" s="35" t="inlineStr"/>
    </row>
    <row r="5333" ht="15" customHeight="1" s="24">
      <c r="A5333" s="13" t="n">
        <v>9556006</v>
      </c>
      <c r="B5333" s="13" t="inlineStr">
        <is>
          <t>ООО "Иркутский Промкомбинат Облпотребсоюза"</t>
        </is>
      </c>
      <c r="C5333" s="13" t="n">
        <v>3808054066</v>
      </c>
      <c r="D5333" s="13" t="inlineStr">
        <is>
          <t>3808054066</t>
        </is>
      </c>
      <c r="E5333" s="13" t="inlineStr">
        <is>
          <t>ЮЛ РФ</t>
        </is>
      </c>
      <c r="F5333" s="13" t="n"/>
      <c r="G5333" s="52" t="n">
        <v>10</v>
      </c>
      <c r="H5333" s="52" t="n">
        <v>2025</v>
      </c>
      <c r="I5333" s="14" t="n"/>
      <c r="J5333" s="14" t="n"/>
      <c r="K5333" s="53" t="inlineStr">
        <is>
          <t>Нет</t>
        </is>
      </c>
      <c r="L5333" s="53" t="inlineStr">
        <is>
          <t>Не определено</t>
        </is>
      </c>
      <c r="M5333" s="53" t="inlineStr">
        <is>
          <t>До 10</t>
        </is>
      </c>
      <c r="N5333" s="54" t="n">
        <v>3360</v>
      </c>
      <c r="O5333" s="55" t="inlineStr">
        <is>
          <t>1–15</t>
        </is>
      </c>
      <c r="P5333" s="16" t="inlineStr">
        <is>
          <t>ССЧР обогащена; ОКВЭД не найден/не загружен</t>
        </is>
      </c>
      <c r="Q5333" s="16" t="inlineStr">
        <is>
          <t>ФНС открытые данные ССЧР (ДатаСост 31.12.2025; набор 7707329152-sshr2019)</t>
        </is>
      </c>
      <c r="R5333" s="16">
        <f>HYPERLINK("https://checko.ru/search?query=3801001629","Чекко: проверить")</f>
        <v/>
      </c>
      <c r="S5333" t="n">
        <v>1</v>
      </c>
      <c r="T5333" s="35" t="inlineStr">
        <is>
          <t>4 — Не обогащён</t>
        </is>
      </c>
      <c r="U5333" s="35" t="inlineStr">
        <is>
          <t>Нет ОКВЭД/ССЧР</t>
        </is>
      </c>
      <c r="V5333" s="35" t="inlineStr">
        <is>
          <t>Не определено</t>
        </is>
      </c>
      <c r="W5333" s="35" t="inlineStr">
        <is>
          <t>Нет</t>
        </is>
      </c>
      <c r="X5333" s="35" t="inlineStr"/>
    </row>
    <row r="5334" ht="15" customHeight="1" s="24">
      <c r="A5334" s="13" t="n">
        <v>802401206</v>
      </c>
      <c r="B5334" s="13" t="inlineStr">
        <is>
          <t>ООО "Весна УК"</t>
        </is>
      </c>
      <c r="C5334" s="13" t="n">
        <v>3821013319</v>
      </c>
      <c r="D5334" s="13" t="inlineStr">
        <is>
          <t>3821013319</t>
        </is>
      </c>
      <c r="E5334" s="13" t="inlineStr">
        <is>
          <t>ЮЛ РФ</t>
        </is>
      </c>
      <c r="F5334" s="13" t="n"/>
      <c r="G5334" s="52" t="n">
        <v>49</v>
      </c>
      <c r="H5334" s="52" t="n">
        <v>2025</v>
      </c>
      <c r="I5334" s="52" t="inlineStr">
        <is>
          <t>68.32.1</t>
        </is>
      </c>
      <c r="J5334" s="52" t="inlineStr">
        <is>
          <t>68.32.1; 33.12; 35.12; 43.91; 64.99; 68.31.12; 68.31.22; 68.31.32; 68.31.42; 68.32.2; 81.22; 81.29.1</t>
        </is>
      </c>
      <c r="K5334" s="53" t="inlineStr">
        <is>
          <t>Да</t>
        </is>
      </c>
      <c r="L5334" s="53" t="inlineStr">
        <is>
          <t>Да</t>
        </is>
      </c>
      <c r="M5334" s="53" t="inlineStr">
        <is>
          <t>До 50</t>
        </is>
      </c>
      <c r="N5334" s="54" t="n">
        <v>16800</v>
      </c>
      <c r="O5334" s="55" t="inlineStr">
        <is>
          <t>31–50</t>
        </is>
      </c>
      <c r="P5334" s="16" t="inlineStr">
        <is>
          <t>ССЧР + ОКВЭД обогащены</t>
        </is>
      </c>
      <c r="Q5334" s="16" t="inlineStr">
        <is>
          <t>ФНС открытые данные ССЧР (ДатаСост 31.12.2025; набор 7707329152-sshr2019)</t>
        </is>
      </c>
      <c r="R5334" s="16" t="inlineStr">
        <is>
          <t>ЕГРЮЛ / egrul.nalog.ru (выписка)</t>
        </is>
      </c>
      <c r="S5334" t="n">
        <v>1</v>
      </c>
      <c r="T5334" s="35" t="inlineStr">
        <is>
          <t>1 — Горячий</t>
        </is>
      </c>
      <c r="U5334" s="35" t="inlineStr">
        <is>
          <t>ОКВЭД + 22+</t>
        </is>
      </c>
      <c r="V5334" s="35" t="inlineStr">
        <is>
          <t>Да</t>
        </is>
      </c>
      <c r="W5334" s="35" t="inlineStr">
        <is>
          <t>Да</t>
        </is>
      </c>
      <c r="X5334" s="35" t="inlineStr">
        <is>
          <t>Да</t>
        </is>
      </c>
    </row>
    <row r="5335" ht="15" customHeight="1" s="24">
      <c r="A5335" s="13" t="n">
        <v>9813709</v>
      </c>
      <c r="B5335" s="13" t="inlineStr">
        <is>
          <t>ОАО Гостиница "Лена"</t>
        </is>
      </c>
      <c r="C5335" s="13" t="n">
        <v>3818009827</v>
      </c>
      <c r="D5335" s="13" t="inlineStr">
        <is>
          <t>3818009827</t>
        </is>
      </c>
      <c r="E5335" s="13" t="inlineStr">
        <is>
          <t>ЮЛ РФ</t>
        </is>
      </c>
      <c r="F5335" s="13" t="n"/>
      <c r="G5335" s="52" t="n">
        <v>39</v>
      </c>
      <c r="H5335" s="52" t="n">
        <v>2025</v>
      </c>
      <c r="I5335" s="52" t="inlineStr">
        <is>
          <t>55.10</t>
        </is>
      </c>
      <c r="J5335" s="52" t="inlineStr">
        <is>
          <t>55.10; 68.20.29; 16.29.13; 47.19; 47.78.3; 47.78.4; 52.10; 52.21.1; 52.21.2; 52.22; 52.29; 56.10; 56.10.1; 56.10.3; 56.29; 56.30; 61.10.1; 62.09; 68.20.2; 79.90.2; 82.99; 93.29</t>
        </is>
      </c>
      <c r="K5335" s="53" t="inlineStr">
        <is>
          <t>Да</t>
        </is>
      </c>
      <c r="L5335" s="53" t="inlineStr">
        <is>
          <t>Да</t>
        </is>
      </c>
      <c r="M5335" s="53" t="inlineStr">
        <is>
          <t>До 50</t>
        </is>
      </c>
      <c r="N5335" s="54" t="n">
        <v>16800</v>
      </c>
      <c r="O5335" s="55" t="inlineStr">
        <is>
          <t>31–50</t>
        </is>
      </c>
      <c r="P5335" s="16" t="inlineStr">
        <is>
          <t>ССЧР + ОКВЭД обогащены</t>
        </is>
      </c>
      <c r="Q5335" s="16" t="inlineStr">
        <is>
          <t>ФНС открытые данные ССЧР (ДатаСост 31.12.2025; набор 7707329152-sshr2019)</t>
        </is>
      </c>
      <c r="R5335" s="16" t="inlineStr">
        <is>
          <t>ЕГРЮЛ / egrul.nalog.ru (выписка)</t>
        </is>
      </c>
      <c r="S5335" t="n">
        <v>1</v>
      </c>
      <c r="T5335" s="35" t="inlineStr">
        <is>
          <t>1 — Горячий</t>
        </is>
      </c>
      <c r="U5335" s="35" t="inlineStr">
        <is>
          <t>ОКВЭД + 22+</t>
        </is>
      </c>
      <c r="V5335" s="35" t="inlineStr">
        <is>
          <t>Да</t>
        </is>
      </c>
      <c r="W5335" s="35" t="inlineStr">
        <is>
          <t>Да</t>
        </is>
      </c>
      <c r="X5335" s="35" t="inlineStr">
        <is>
          <t>Да</t>
        </is>
      </c>
    </row>
    <row r="5336" ht="15" customHeight="1" s="24">
      <c r="A5336" s="13" t="n">
        <v>801821260</v>
      </c>
      <c r="B5336" s="13" t="inlineStr">
        <is>
          <t>ПОЛЮС, ООО</t>
        </is>
      </c>
      <c r="C5336" s="13" t="n">
        <v>3849067466</v>
      </c>
      <c r="D5336" s="13" t="inlineStr">
        <is>
          <t>3849067466</t>
        </is>
      </c>
      <c r="E5336" s="13" t="inlineStr">
        <is>
          <t>ЮЛ РФ</t>
        </is>
      </c>
      <c r="F5336" s="13" t="n"/>
      <c r="G5336" s="52" t="n">
        <v>5</v>
      </c>
      <c r="H5336" s="52" t="n">
        <v>2025</v>
      </c>
      <c r="I5336" s="14" t="n"/>
      <c r="J5336" s="14" t="n"/>
      <c r="K5336" s="53" t="inlineStr">
        <is>
          <t>Нет</t>
        </is>
      </c>
      <c r="L5336" s="53" t="inlineStr">
        <is>
          <t>Не определено</t>
        </is>
      </c>
      <c r="M5336" s="53" t="inlineStr">
        <is>
          <t>До 10</t>
        </is>
      </c>
      <c r="N5336" s="54" t="n">
        <v>3360</v>
      </c>
      <c r="O5336" s="55" t="inlineStr">
        <is>
          <t>1–15</t>
        </is>
      </c>
      <c r="P5336" s="16" t="inlineStr">
        <is>
          <t>ССЧР обогащена; ОКВЭД не найден/не загружен</t>
        </is>
      </c>
      <c r="Q5336" s="16" t="inlineStr">
        <is>
          <t>ФНС открытые данные ССЧР (ДатаСост 31.12.2025; набор 7707329152-sshr2019)</t>
        </is>
      </c>
      <c r="R5336" s="16">
        <f>HYPERLINK("https://checko.ru/search?query=3801001629","Чекко: проверить")</f>
        <v/>
      </c>
      <c r="S5336" t="n">
        <v>1</v>
      </c>
      <c r="T5336" s="35" t="inlineStr">
        <is>
          <t>4 — Не обогащён</t>
        </is>
      </c>
      <c r="U5336" s="35" t="inlineStr">
        <is>
          <t>Нет ОКВЭД/ССЧР</t>
        </is>
      </c>
      <c r="V5336" s="35" t="inlineStr">
        <is>
          <t>Не определено</t>
        </is>
      </c>
      <c r="W5336" s="35" t="inlineStr">
        <is>
          <t>Нет</t>
        </is>
      </c>
      <c r="X5336" s="35" t="inlineStr"/>
    </row>
    <row r="5337" ht="15" customHeight="1" s="24">
      <c r="A5337" s="13" t="n">
        <v>802462564</v>
      </c>
      <c r="B5337" s="13" t="inlineStr">
        <is>
          <t>ООО "БСК"</t>
        </is>
      </c>
      <c r="C5337" s="13" t="n">
        <v>3804111210</v>
      </c>
      <c r="D5337" s="13" t="inlineStr">
        <is>
          <t>3804111210</t>
        </is>
      </c>
      <c r="E5337" s="13" t="inlineStr">
        <is>
          <t>ЮЛ РФ</t>
        </is>
      </c>
      <c r="F5337" s="13" t="n"/>
      <c r="G5337" s="52" t="n">
        <v>83</v>
      </c>
      <c r="H5337" s="52" t="n">
        <v>2025</v>
      </c>
      <c r="I5337" s="52" t="inlineStr">
        <is>
          <t>42.11</t>
        </is>
      </c>
      <c r="J5337" s="52" t="inlineStr">
        <is>
          <t>42.11; 08.11; 08.12; 23.70; 23.70.1; 23.99; 23.99.2; 23.99.3; 41.20; 42.99; 43.11; 43.12; 43.21; 43.22; 43.29; 43.31; 43.32; 43.33; 43.34; 43.39; 43.91; 43.99; 45.20.3; 46.73; 46.90; 52.10</t>
        </is>
      </c>
      <c r="K5337" s="53" t="inlineStr">
        <is>
          <t>Да</t>
        </is>
      </c>
      <c r="L5337" s="53" t="inlineStr">
        <is>
          <t>Да</t>
        </is>
      </c>
      <c r="M5337" s="53" t="inlineStr">
        <is>
          <t>До 100</t>
        </is>
      </c>
      <c r="N5337" s="54" t="n">
        <v>33600</v>
      </c>
      <c r="O5337" s="55" t="inlineStr">
        <is>
          <t>51–100</t>
        </is>
      </c>
      <c r="P5337" s="16" t="inlineStr">
        <is>
          <t>ССЧР + ОКВЭД обогащены</t>
        </is>
      </c>
      <c r="Q5337" s="16" t="inlineStr">
        <is>
          <t>ФНС открытые данные ССЧР (ДатаСост 31.12.2025; набор 7707329152-sshr2019)</t>
        </is>
      </c>
      <c r="R5337" s="16" t="inlineStr">
        <is>
          <t>ЕГРЮЛ / egrul.nalog.ru (выписка)</t>
        </is>
      </c>
      <c r="S5337" t="n">
        <v>1</v>
      </c>
      <c r="T5337" s="35" t="inlineStr">
        <is>
          <t>1 — Горячий</t>
        </is>
      </c>
      <c r="U5337" s="35" t="inlineStr">
        <is>
          <t>ОКВЭД + 22+</t>
        </is>
      </c>
      <c r="V5337" s="35" t="inlineStr">
        <is>
          <t>Да</t>
        </is>
      </c>
      <c r="W5337" s="35" t="inlineStr">
        <is>
          <t>Да</t>
        </is>
      </c>
      <c r="X5337" s="35" t="inlineStr">
        <is>
          <t>Да</t>
        </is>
      </c>
    </row>
    <row r="5338" ht="15" customHeight="1" s="24">
      <c r="A5338" s="13" t="n">
        <v>804674137</v>
      </c>
      <c r="B5338" s="13" t="inlineStr">
        <is>
          <t>ИП Селюк Владимир Васильевич</t>
        </is>
      </c>
      <c r="C5338" s="13" t="n">
        <v>381100243431</v>
      </c>
      <c r="D5338" s="13" t="inlineStr">
        <is>
          <t>381100243431</t>
        </is>
      </c>
      <c r="E5338" s="13" t="inlineStr">
        <is>
          <t>ИП РФ / физлицо</t>
        </is>
      </c>
      <c r="F5338" s="13" t="n"/>
      <c r="G5338" s="14" t="n"/>
      <c r="H5338" s="14" t="n"/>
      <c r="I5338" s="14" t="n"/>
      <c r="J5338" s="14" t="n"/>
      <c r="K5338" s="53" t="inlineStr"/>
      <c r="L5338" s="53" t="inlineStr">
        <is>
          <t>Не определено</t>
        </is>
      </c>
      <c r="M5338" s="53" t="inlineStr"/>
      <c r="N5338" s="54" t="inlineStr"/>
      <c r="O5338" s="55" t="inlineStr"/>
      <c r="P5338" s="16" t="inlineStr">
        <is>
          <t>Требует обогащения</t>
        </is>
      </c>
      <c r="Q5338" s="16">
        <f>HYPERLINK("https://pb.nalog.ru/search.html?query=381100243431","ФНС: проверить")</f>
        <v/>
      </c>
      <c r="R5338" s="16">
        <f>HYPERLINK("https://checko.ru/search?query=3801001629","Чекко: проверить")</f>
        <v/>
      </c>
      <c r="S5338" t="n">
        <v>1</v>
      </c>
      <c r="T5338" s="35" t="inlineStr">
        <is>
          <t>4 — Не обогащён</t>
        </is>
      </c>
      <c r="U5338" s="35" t="inlineStr">
        <is>
          <t>Нет ОКВЭД/ССЧР</t>
        </is>
      </c>
      <c r="V5338" s="35" t="inlineStr">
        <is>
          <t>Не определено</t>
        </is>
      </c>
      <c r="W5338" s="35" t="inlineStr"/>
      <c r="X5338" s="35" t="inlineStr"/>
    </row>
    <row r="5339" ht="15" customHeight="1" s="24">
      <c r="A5339" s="13" t="n">
        <v>800530243</v>
      </c>
      <c r="B5339" s="13" t="inlineStr">
        <is>
          <t>ПАРКОВКА</t>
        </is>
      </c>
      <c r="C5339" s="13" t="n">
        <v>3849055485</v>
      </c>
      <c r="D5339" s="13" t="inlineStr">
        <is>
          <t>3849055485</t>
        </is>
      </c>
      <c r="E5339" s="13" t="inlineStr">
        <is>
          <t>ЮЛ РФ</t>
        </is>
      </c>
      <c r="F5339" s="13" t="n"/>
      <c r="G5339" s="52" t="n">
        <v>2</v>
      </c>
      <c r="H5339" s="52" t="n">
        <v>2025</v>
      </c>
      <c r="I5339" s="14" t="n"/>
      <c r="J5339" s="14" t="n"/>
      <c r="K5339" s="53" t="inlineStr">
        <is>
          <t>Нет</t>
        </is>
      </c>
      <c r="L5339" s="53" t="inlineStr">
        <is>
          <t>Не определено</t>
        </is>
      </c>
      <c r="M5339" s="53" t="inlineStr">
        <is>
          <t>До 10</t>
        </is>
      </c>
      <c r="N5339" s="54" t="n">
        <v>3360</v>
      </c>
      <c r="O5339" s="55" t="inlineStr">
        <is>
          <t>1–15</t>
        </is>
      </c>
      <c r="P5339" s="16" t="inlineStr">
        <is>
          <t>ССЧР обогащена; ОКВЭД не найден/не загружен</t>
        </is>
      </c>
      <c r="Q5339" s="16" t="inlineStr">
        <is>
          <t>ФНС открытые данные ССЧР (ДатаСост 31.12.2025; набор 7707329152-sshr2019)</t>
        </is>
      </c>
      <c r="R5339" s="16">
        <f>HYPERLINK("https://checko.ru/search?query=3801001629","Чекко: проверить")</f>
        <v/>
      </c>
      <c r="S5339" t="n">
        <v>1</v>
      </c>
      <c r="T5339" s="35" t="inlineStr">
        <is>
          <t>4 — Не обогащён</t>
        </is>
      </c>
      <c r="U5339" s="35" t="inlineStr">
        <is>
          <t>Нет ОКВЭД/ССЧР</t>
        </is>
      </c>
      <c r="V5339" s="35" t="inlineStr">
        <is>
          <t>Не определено</t>
        </is>
      </c>
      <c r="W5339" s="35" t="inlineStr">
        <is>
          <t>Нет</t>
        </is>
      </c>
      <c r="X5339" s="35" t="inlineStr"/>
    </row>
    <row r="5340" ht="15" customHeight="1" s="24">
      <c r="A5340" s="13" t="n">
        <v>801894679</v>
      </c>
      <c r="B5340" s="13" t="inlineStr">
        <is>
          <t>Комбинат питания г. Иркутск</t>
        </is>
      </c>
      <c r="C5340" s="13" t="n">
        <v>3811154695</v>
      </c>
      <c r="D5340" s="13" t="inlineStr">
        <is>
          <t>3811154695</t>
        </is>
      </c>
      <c r="E5340" s="13" t="inlineStr">
        <is>
          <t>ЮЛ РФ</t>
        </is>
      </c>
      <c r="F5340" s="13" t="n"/>
      <c r="G5340" s="14" t="n"/>
      <c r="H5340" s="14" t="n"/>
      <c r="I5340" s="14" t="n"/>
      <c r="J5340" s="14" t="n"/>
      <c r="K5340" s="53" t="inlineStr"/>
      <c r="L5340" s="53" t="inlineStr">
        <is>
          <t>Не определено</t>
        </is>
      </c>
      <c r="M5340" s="53" t="inlineStr"/>
      <c r="N5340" s="54" t="inlineStr"/>
      <c r="O5340" s="55" t="inlineStr"/>
      <c r="P5340" s="16" t="inlineStr">
        <is>
          <t>Требует обогащения</t>
        </is>
      </c>
      <c r="Q5340" s="16">
        <f>HYPERLINK("https://pb.nalog.ru/search.html?query=3811154695","ФНС: проверить")</f>
        <v/>
      </c>
      <c r="R5340" s="16">
        <f>HYPERLINK("https://checko.ru/search?query=3801001629","Чекко: проверить")</f>
        <v/>
      </c>
      <c r="S5340" t="n">
        <v>1</v>
      </c>
      <c r="T5340" s="35" t="inlineStr">
        <is>
          <t>4 — Не обогащён</t>
        </is>
      </c>
      <c r="U5340" s="35" t="inlineStr">
        <is>
          <t>Нет ОКВЭД/ССЧР</t>
        </is>
      </c>
      <c r="V5340" s="35" t="inlineStr">
        <is>
          <t>Не определено</t>
        </is>
      </c>
      <c r="W5340" s="35" t="inlineStr"/>
      <c r="X5340" s="35" t="inlineStr"/>
    </row>
    <row r="5341" ht="15" customHeight="1" s="24">
      <c r="A5341" s="13" t="n">
        <v>9810995</v>
      </c>
      <c r="B5341" s="13" t="inlineStr">
        <is>
          <t>ТД СИБГРУПП, ООО</t>
        </is>
      </c>
      <c r="C5341" s="13" t="n">
        <v>3808154960</v>
      </c>
      <c r="D5341" s="13" t="inlineStr">
        <is>
          <t>3808154960</t>
        </is>
      </c>
      <c r="E5341" s="13" t="inlineStr">
        <is>
          <t>ЮЛ РФ</t>
        </is>
      </c>
      <c r="F5341" s="13" t="n"/>
      <c r="G5341" s="52" t="n">
        <v>3</v>
      </c>
      <c r="H5341" s="52" t="n">
        <v>2025</v>
      </c>
      <c r="I5341" s="14" t="n"/>
      <c r="J5341" s="14" t="n"/>
      <c r="K5341" s="53" t="inlineStr">
        <is>
          <t>Нет</t>
        </is>
      </c>
      <c r="L5341" s="53" t="inlineStr">
        <is>
          <t>Не определено</t>
        </is>
      </c>
      <c r="M5341" s="53" t="inlineStr">
        <is>
          <t>До 10</t>
        </is>
      </c>
      <c r="N5341" s="54" t="n">
        <v>3360</v>
      </c>
      <c r="O5341" s="55" t="inlineStr">
        <is>
          <t>1–15</t>
        </is>
      </c>
      <c r="P5341" s="16" t="inlineStr">
        <is>
          <t>ССЧР обогащена; ОКВЭД не найден/не загружен</t>
        </is>
      </c>
      <c r="Q5341" s="16" t="inlineStr">
        <is>
          <t>ФНС открытые данные ССЧР (ДатаСост 31.12.2025; набор 7707329152-sshr2019)</t>
        </is>
      </c>
      <c r="R5341" s="16">
        <f>HYPERLINK("https://checko.ru/search?query=3801001629","Чекко: проверить")</f>
        <v/>
      </c>
      <c r="S5341" t="n">
        <v>1</v>
      </c>
      <c r="T5341" s="35" t="inlineStr">
        <is>
          <t>4 — Не обогащён</t>
        </is>
      </c>
      <c r="U5341" s="35" t="inlineStr">
        <is>
          <t>Нет ОКВЭД/ССЧР</t>
        </is>
      </c>
      <c r="V5341" s="35" t="inlineStr">
        <is>
          <t>Не определено</t>
        </is>
      </c>
      <c r="W5341" s="35" t="inlineStr">
        <is>
          <t>Нет</t>
        </is>
      </c>
      <c r="X5341" s="35" t="inlineStr"/>
    </row>
    <row r="5342" ht="41.25" customHeight="1" s="24">
      <c r="A5342" s="13" t="n">
        <v>801642502</v>
      </c>
      <c r="B5342" s="13" t="inlineStr">
        <is>
          <t>ОБЩЕСТВО С ОГРАНИЧЕННОЙ ОТВЕТСТВЕННОСТЬЮ "НАУЧНО-КОНСУЛЬТАЦИОННЫЙ ЦЕНТР "АГРОСИСТЕМА"</t>
        </is>
      </c>
      <c r="C5342" s="13" t="n">
        <v>3811467881</v>
      </c>
      <c r="D5342" s="13" t="inlineStr">
        <is>
          <t>3811467881</t>
        </is>
      </c>
      <c r="E5342" s="13" t="inlineStr">
        <is>
          <t>ЮЛ РФ</t>
        </is>
      </c>
      <c r="F5342" s="13" t="n"/>
      <c r="G5342" s="52" t="n">
        <v>5</v>
      </c>
      <c r="H5342" s="52" t="n">
        <v>2025</v>
      </c>
      <c r="I5342" s="14" t="n"/>
      <c r="J5342" s="14" t="n"/>
      <c r="K5342" s="53" t="inlineStr">
        <is>
          <t>Нет</t>
        </is>
      </c>
      <c r="L5342" s="53" t="inlineStr">
        <is>
          <t>Не определено</t>
        </is>
      </c>
      <c r="M5342" s="53" t="inlineStr">
        <is>
          <t>До 10</t>
        </is>
      </c>
      <c r="N5342" s="54" t="n">
        <v>3360</v>
      </c>
      <c r="O5342" s="55" t="inlineStr">
        <is>
          <t>1–15</t>
        </is>
      </c>
      <c r="P5342" s="16" t="inlineStr">
        <is>
          <t>ССЧР обогащена; ОКВЭД не найден/не загружен</t>
        </is>
      </c>
      <c r="Q5342" s="16" t="inlineStr">
        <is>
          <t>ФНС открытые данные ССЧР (ДатаСост 31.12.2025; набор 7707329152-sshr2019)</t>
        </is>
      </c>
      <c r="R5342" s="16">
        <f>HYPERLINK("https://checko.ru/search?query=3801001629","Чекко: проверить")</f>
        <v/>
      </c>
      <c r="S5342" t="n">
        <v>1</v>
      </c>
      <c r="T5342" s="35" t="inlineStr">
        <is>
          <t>4 — Не обогащён</t>
        </is>
      </c>
      <c r="U5342" s="35" t="inlineStr">
        <is>
          <t>Нет ОКВЭД/ССЧР</t>
        </is>
      </c>
      <c r="V5342" s="35" t="inlineStr">
        <is>
          <t>Не определено</t>
        </is>
      </c>
      <c r="W5342" s="35" t="inlineStr">
        <is>
          <t>Нет</t>
        </is>
      </c>
      <c r="X5342" s="35" t="inlineStr"/>
    </row>
    <row r="5343" ht="15" customHeight="1" s="24">
      <c r="A5343" s="13" t="n">
        <v>800479963</v>
      </c>
      <c r="B5343" s="13" t="inlineStr">
        <is>
          <t>АО "ИРКУТ БКТ"</t>
        </is>
      </c>
      <c r="C5343" s="13" t="n">
        <v>3810000646</v>
      </c>
      <c r="D5343" s="13" t="inlineStr">
        <is>
          <t>3810000646</t>
        </is>
      </c>
      <c r="E5343" s="13" t="inlineStr">
        <is>
          <t>ЮЛ РФ</t>
        </is>
      </c>
      <c r="F5343" s="13" t="n"/>
      <c r="G5343" s="52" t="n">
        <v>184</v>
      </c>
      <c r="H5343" s="52" t="n">
        <v>2025</v>
      </c>
      <c r="I5343" s="52" t="inlineStr">
        <is>
          <t>45.20.1</t>
        </is>
      </c>
      <c r="J5343" s="52" t="inlineStr">
        <is>
          <t>45.20.1; 45.11.1; 45.32.1; 45.11.2; 45.11.3; 45.19.2; 45.19.3; 68.20; 77.11; 77.12</t>
        </is>
      </c>
      <c r="K5343" s="53" t="inlineStr">
        <is>
          <t>Да</t>
        </is>
      </c>
      <c r="L5343" s="53" t="inlineStr">
        <is>
          <t>Да</t>
        </is>
      </c>
      <c r="M5343" s="53" t="inlineStr">
        <is>
          <t>До 200</t>
        </is>
      </c>
      <c r="N5343" s="54" t="n">
        <v>62400</v>
      </c>
      <c r="O5343" s="55" t="inlineStr">
        <is>
          <t>101–200</t>
        </is>
      </c>
      <c r="P5343" s="16" t="inlineStr">
        <is>
          <t>ССЧР + ОКВЭД обогащены</t>
        </is>
      </c>
      <c r="Q5343" s="16" t="inlineStr">
        <is>
          <t>ФНС открытые данные ССЧР (ДатаСост 31.12.2025; набор 7707329152-sshr2019)</t>
        </is>
      </c>
      <c r="R5343" s="16" t="inlineStr">
        <is>
          <t>ЕГРЮЛ / egrul.nalog.ru (выписка)</t>
        </is>
      </c>
      <c r="S5343" t="n">
        <v>1</v>
      </c>
      <c r="T5343" s="35" t="inlineStr">
        <is>
          <t>1 — Горячий</t>
        </is>
      </c>
      <c r="U5343" s="35" t="inlineStr">
        <is>
          <t>ОКВЭД + 22+</t>
        </is>
      </c>
      <c r="V5343" s="35" t="inlineStr">
        <is>
          <t>Да</t>
        </is>
      </c>
      <c r="W5343" s="35" t="inlineStr">
        <is>
          <t>Да</t>
        </is>
      </c>
      <c r="X5343" s="35" t="inlineStr">
        <is>
          <t>Да</t>
        </is>
      </c>
    </row>
    <row r="5344" ht="27.75" customHeight="1" s="24">
      <c r="A5344" s="13" t="n">
        <v>802402942</v>
      </c>
      <c r="B5344" s="13" t="inlineStr">
        <is>
          <t>ООО "Иркутский Транспортно-логистический Комплекс"</t>
        </is>
      </c>
      <c r="C5344" s="13" t="n">
        <v>3808218211</v>
      </c>
      <c r="D5344" s="13" t="inlineStr">
        <is>
          <t>3808218211</t>
        </is>
      </c>
      <c r="E5344" s="13" t="inlineStr">
        <is>
          <t>ЮЛ РФ</t>
        </is>
      </c>
      <c r="F5344" s="13" t="n"/>
      <c r="G5344" s="52" t="n">
        <v>46</v>
      </c>
      <c r="H5344" s="52" t="n">
        <v>2025</v>
      </c>
      <c r="I5344" s="52" t="inlineStr">
        <is>
          <t>68.20.2</t>
        </is>
      </c>
      <c r="J5344" s="52" t="inlineStr">
        <is>
          <t>68.20.2; 37.00; 41.20; 43.91; 43.99; 46.69; 46.71; 46.72; 46.73; 46.77; 46.90; 71.20; 77.39.11; 82.99</t>
        </is>
      </c>
      <c r="K5344" s="53" t="inlineStr">
        <is>
          <t>Да</t>
        </is>
      </c>
      <c r="L5344" s="53" t="inlineStr">
        <is>
          <t>Да</t>
        </is>
      </c>
      <c r="M5344" s="53" t="inlineStr">
        <is>
          <t>До 50</t>
        </is>
      </c>
      <c r="N5344" s="54" t="n">
        <v>16800</v>
      </c>
      <c r="O5344" s="55" t="inlineStr">
        <is>
          <t>31–50</t>
        </is>
      </c>
      <c r="P5344" s="16" t="inlineStr">
        <is>
          <t>ССЧР + ОКВЭД обогащены</t>
        </is>
      </c>
      <c r="Q5344" s="16" t="inlineStr">
        <is>
          <t>ФНС открытые данные ССЧР (ДатаСост 31.12.2025; набор 7707329152-sshr2019)</t>
        </is>
      </c>
      <c r="R5344" s="16" t="inlineStr">
        <is>
          <t>ЕГРЮЛ / egrul.nalog.ru (выписка)</t>
        </is>
      </c>
      <c r="S5344" t="n">
        <v>1</v>
      </c>
      <c r="T5344" s="35" t="inlineStr">
        <is>
          <t>1 — Горячий</t>
        </is>
      </c>
      <c r="U5344" s="35" t="inlineStr">
        <is>
          <t>ОКВЭД + 22+</t>
        </is>
      </c>
      <c r="V5344" s="35" t="inlineStr">
        <is>
          <t>Да</t>
        </is>
      </c>
      <c r="W5344" s="35" t="inlineStr">
        <is>
          <t>Да</t>
        </is>
      </c>
      <c r="X5344" s="35" t="inlineStr">
        <is>
          <t>Да</t>
        </is>
      </c>
    </row>
    <row r="5345" ht="15" customHeight="1" s="24">
      <c r="A5345" s="13" t="n">
        <v>802506098</v>
      </c>
      <c r="B5345" s="13" t="inlineStr">
        <is>
          <t>ООО "ЦЕНТРАЛЬНАЯ КОТЕЛЬНАЯ"</t>
        </is>
      </c>
      <c r="C5345" s="13" t="n">
        <v>3820012009</v>
      </c>
      <c r="D5345" s="13" t="inlineStr">
        <is>
          <t>3820012009</t>
        </is>
      </c>
      <c r="E5345" s="13" t="inlineStr">
        <is>
          <t>ЮЛ РФ</t>
        </is>
      </c>
      <c r="F5345" s="13" t="n"/>
      <c r="G5345" s="52" t="n">
        <v>82</v>
      </c>
      <c r="H5345" s="52" t="n">
        <v>2025</v>
      </c>
      <c r="I5345" s="52" t="inlineStr">
        <is>
          <t>35.30.14</t>
        </is>
      </c>
      <c r="J5345" s="52" t="inlineStr">
        <is>
          <t>35.30.14; 35.30.4; 35.30.5; 47.78.6; 82.99</t>
        </is>
      </c>
      <c r="K5345" s="53" t="inlineStr">
        <is>
          <t>Да</t>
        </is>
      </c>
      <c r="L5345" s="53" t="inlineStr">
        <is>
          <t>Да</t>
        </is>
      </c>
      <c r="M5345" s="53" t="inlineStr">
        <is>
          <t>До 100</t>
        </is>
      </c>
      <c r="N5345" s="54" t="n">
        <v>33600</v>
      </c>
      <c r="O5345" s="55" t="inlineStr">
        <is>
          <t>51–100</t>
        </is>
      </c>
      <c r="P5345" s="16" t="inlineStr">
        <is>
          <t>ССЧР + ОКВЭД обогащены</t>
        </is>
      </c>
      <c r="Q5345" s="16" t="inlineStr">
        <is>
          <t>ФНС открытые данные ССЧР (ДатаСост 31.12.2025; набор 7707329152-sshr2019)</t>
        </is>
      </c>
      <c r="R5345" s="16" t="inlineStr">
        <is>
          <t>ЕГРЮЛ / egrul.nalog.ru (выписка)</t>
        </is>
      </c>
      <c r="S5345" t="n">
        <v>1</v>
      </c>
      <c r="T5345" s="35" t="inlineStr">
        <is>
          <t>1 — Горячий</t>
        </is>
      </c>
      <c r="U5345" s="35" t="inlineStr">
        <is>
          <t>ОКВЭД + 22+</t>
        </is>
      </c>
      <c r="V5345" s="35" t="inlineStr">
        <is>
          <t>Да</t>
        </is>
      </c>
      <c r="W5345" s="35" t="inlineStr">
        <is>
          <t>Да</t>
        </is>
      </c>
      <c r="X5345" s="35" t="inlineStr">
        <is>
          <t>Да</t>
        </is>
      </c>
    </row>
    <row r="5346" ht="27.75" customHeight="1" s="24">
      <c r="A5346" s="13" t="n">
        <v>802420055</v>
      </c>
      <c r="B5346" s="13" t="inlineStr">
        <is>
          <t>Общество с ограниченной ответственностью "АЛИАС ТРЕЙД"</t>
        </is>
      </c>
      <c r="C5346" s="13" t="n">
        <v>3811454353</v>
      </c>
      <c r="D5346" s="13" t="inlineStr">
        <is>
          <t>3811454353</t>
        </is>
      </c>
      <c r="E5346" s="13" t="inlineStr">
        <is>
          <t>ЮЛ РФ</t>
        </is>
      </c>
      <c r="F5346" s="13" t="n"/>
      <c r="G5346" s="52" t="n">
        <v>17</v>
      </c>
      <c r="H5346" s="52" t="n">
        <v>2025</v>
      </c>
      <c r="I5346" s="14" t="n"/>
      <c r="J5346" s="14" t="n"/>
      <c r="K5346" s="53" t="inlineStr">
        <is>
          <t>Нет</t>
        </is>
      </c>
      <c r="L5346" s="53" t="inlineStr">
        <is>
          <t>Не определено</t>
        </is>
      </c>
      <c r="M5346" s="53" t="inlineStr">
        <is>
          <t>До 25</t>
        </is>
      </c>
      <c r="N5346" s="54" t="n">
        <v>8400</v>
      </c>
      <c r="O5346" s="55" t="inlineStr">
        <is>
          <t>16–30</t>
        </is>
      </c>
      <c r="P5346" s="16" t="inlineStr">
        <is>
          <t>ССЧР обогащена; ОКВЭД не найден/не загружен</t>
        </is>
      </c>
      <c r="Q5346" s="16" t="inlineStr">
        <is>
          <t>ФНС открытые данные ССЧР (ДатаСост 31.12.2025; набор 7707329152-sshr2019)</t>
        </is>
      </c>
      <c r="R5346" s="16">
        <f>HYPERLINK("https://checko.ru/search?query=3801001629","Чекко: проверить")</f>
        <v/>
      </c>
      <c r="S5346" t="n">
        <v>1</v>
      </c>
      <c r="T5346" s="35" t="inlineStr">
        <is>
          <t>4 — Не обогащён</t>
        </is>
      </c>
      <c r="U5346" s="35" t="inlineStr">
        <is>
          <t>Нет ОКВЭД/ССЧР</t>
        </is>
      </c>
      <c r="V5346" s="35" t="inlineStr">
        <is>
          <t>Не определено</t>
        </is>
      </c>
      <c r="W5346" s="35" t="inlineStr">
        <is>
          <t>Нет</t>
        </is>
      </c>
      <c r="X5346" s="35" t="inlineStr"/>
    </row>
    <row r="5347" ht="15" customHeight="1" s="24">
      <c r="A5347" s="13" t="n">
        <v>801617711</v>
      </c>
      <c r="B5347" s="13" t="inlineStr">
        <is>
          <t>ООО "ОТЕЛЬ ИСТОРИЯ"</t>
        </is>
      </c>
      <c r="C5347" s="13" t="n">
        <v>3811470860</v>
      </c>
      <c r="D5347" s="13" t="inlineStr">
        <is>
          <t>3811470860</t>
        </is>
      </c>
      <c r="E5347" s="13" t="inlineStr">
        <is>
          <t>ЮЛ РФ</t>
        </is>
      </c>
      <c r="F5347" s="13" t="n"/>
      <c r="G5347" s="52" t="n">
        <v>40</v>
      </c>
      <c r="H5347" s="52" t="n">
        <v>2025</v>
      </c>
      <c r="I5347" s="52" t="inlineStr">
        <is>
          <t>55.10</t>
        </is>
      </c>
      <c r="J5347" s="52" t="inlineStr">
        <is>
          <t>55.10; 55.30; 56.10; 56.10.1; 56.10.2; 56.10.21; 56.21; 56.30; 68.20; 77.11; 77.39; 79.90; 79.90.1; 79.90.2; 79.90.21; 96.01; 96.02; 96.02.1; 96.02.2</t>
        </is>
      </c>
      <c r="K5347" s="53" t="inlineStr">
        <is>
          <t>Да</t>
        </is>
      </c>
      <c r="L5347" s="53" t="inlineStr">
        <is>
          <t>Да</t>
        </is>
      </c>
      <c r="M5347" s="53" t="inlineStr">
        <is>
          <t>До 50</t>
        </is>
      </c>
      <c r="N5347" s="54" t="n">
        <v>16800</v>
      </c>
      <c r="O5347" s="55" t="inlineStr">
        <is>
          <t>31–50</t>
        </is>
      </c>
      <c r="P5347" s="16" t="inlineStr">
        <is>
          <t>ССЧР + ОКВЭД обогащены</t>
        </is>
      </c>
      <c r="Q5347" s="16" t="inlineStr">
        <is>
          <t>ФНС открытые данные ССЧР (ДатаСост 31.12.2025; набор 7707329152-sshr2019)</t>
        </is>
      </c>
      <c r="R5347" s="16" t="inlineStr">
        <is>
          <t>ЕГРЮЛ / egrul.nalog.ru (выписка)</t>
        </is>
      </c>
      <c r="S5347" t="n">
        <v>1</v>
      </c>
      <c r="T5347" s="35" t="inlineStr">
        <is>
          <t>1 — Горячий</t>
        </is>
      </c>
      <c r="U5347" s="35" t="inlineStr">
        <is>
          <t>ОКВЭД + 22+</t>
        </is>
      </c>
      <c r="V5347" s="35" t="inlineStr">
        <is>
          <t>Да</t>
        </is>
      </c>
      <c r="W5347" s="35" t="inlineStr">
        <is>
          <t>Да</t>
        </is>
      </c>
      <c r="X5347" s="35" t="inlineStr">
        <is>
          <t>Да</t>
        </is>
      </c>
    </row>
    <row r="5348" ht="15" customHeight="1" s="24">
      <c r="A5348" s="13" t="n">
        <v>800529609</v>
      </c>
      <c r="B5348" s="13" t="inlineStr">
        <is>
          <t>Горсвет</t>
        </is>
      </c>
      <c r="C5348" s="13" t="n">
        <v>3812140529</v>
      </c>
      <c r="D5348" s="13" t="inlineStr">
        <is>
          <t>3812140529</t>
        </is>
      </c>
      <c r="E5348" s="13" t="inlineStr">
        <is>
          <t>ЮЛ РФ</t>
        </is>
      </c>
      <c r="F5348" s="13" t="n"/>
      <c r="G5348" s="52" t="n">
        <v>27</v>
      </c>
      <c r="H5348" s="52" t="n">
        <v>2025</v>
      </c>
      <c r="I5348" s="52" t="inlineStr">
        <is>
          <t>42.11</t>
        </is>
      </c>
      <c r="J5348" s="52" t="inlineStr">
        <is>
          <t>42.11; 42.12; 42.13; 42.21; 42.22; 43.12; 43.91; 43.99; 45.19; 45.20; 45.31; 45.32; 46.69; 46.73; 46.90; 52.21.22; 52.21.23; 68.10.1; 71.12.5; 71.12.6; 77.12; 77.32; 77.39; 81.29.9; 81.30; 82.99</t>
        </is>
      </c>
      <c r="K5348" s="53" t="inlineStr">
        <is>
          <t>Да</t>
        </is>
      </c>
      <c r="L5348" s="53" t="inlineStr">
        <is>
          <t>Да</t>
        </is>
      </c>
      <c r="M5348" s="53" t="inlineStr">
        <is>
          <t>До 50</t>
        </is>
      </c>
      <c r="N5348" s="54" t="n">
        <v>16800</v>
      </c>
      <c r="O5348" s="55" t="inlineStr">
        <is>
          <t>16–30</t>
        </is>
      </c>
      <c r="P5348" s="16" t="inlineStr">
        <is>
          <t>ССЧР + ОКВЭД обогащены</t>
        </is>
      </c>
      <c r="Q5348" s="16" t="inlineStr">
        <is>
          <t>ФНС открытые данные ССЧР (ДатаСост 31.12.2025; набор 7707329152-sshr2019)</t>
        </is>
      </c>
      <c r="R5348" s="16" t="inlineStr">
        <is>
          <t>ЕГРЮЛ / egrul.nalog.ru (выписка)</t>
        </is>
      </c>
      <c r="S5348" t="n">
        <v>1</v>
      </c>
      <c r="T5348" s="35" t="inlineStr">
        <is>
          <t>1 — Горячий</t>
        </is>
      </c>
      <c r="U5348" s="35" t="inlineStr">
        <is>
          <t>ОКВЭД + 22+</t>
        </is>
      </c>
      <c r="V5348" s="35" t="inlineStr">
        <is>
          <t>Да</t>
        </is>
      </c>
      <c r="W5348" s="35" t="inlineStr">
        <is>
          <t>Да</t>
        </is>
      </c>
      <c r="X5348" s="35" t="inlineStr">
        <is>
          <t>Да</t>
        </is>
      </c>
    </row>
    <row r="5349" ht="27.75" customHeight="1" s="24">
      <c r="A5349" s="13" t="n">
        <v>802611604</v>
      </c>
      <c r="B5349" s="13" t="inlineStr">
        <is>
          <t>Общество с ограниченной ответственностью "ИРПЛАСТ"</t>
        </is>
      </c>
      <c r="C5349" s="13" t="n">
        <v>3814036883</v>
      </c>
      <c r="D5349" s="13" t="inlineStr">
        <is>
          <t>3814036883</t>
        </is>
      </c>
      <c r="E5349" s="13" t="inlineStr">
        <is>
          <t>ЮЛ РФ</t>
        </is>
      </c>
      <c r="F5349" s="13" t="n"/>
      <c r="G5349" s="52" t="n">
        <v>39</v>
      </c>
      <c r="H5349" s="52" t="n">
        <v>2025</v>
      </c>
      <c r="I5349" s="52" t="inlineStr">
        <is>
          <t>22.23</t>
        </is>
      </c>
      <c r="J5349" s="52" t="inlineStr">
        <is>
          <t>22.23; 22.21; 22.22; 22.29; 22.29.1; 22.29.2; 22.29.9; 38.32.5; 41.20; 46.49; 46.49.49; 47.52.5; 47.52.7; 47.52.73; 47.52.79; 68.31</t>
        </is>
      </c>
      <c r="K5349" s="53" t="inlineStr">
        <is>
          <t>Да</t>
        </is>
      </c>
      <c r="L5349" s="53" t="inlineStr">
        <is>
          <t>Да</t>
        </is>
      </c>
      <c r="M5349" s="53" t="inlineStr">
        <is>
          <t>До 50</t>
        </is>
      </c>
      <c r="N5349" s="54" t="n">
        <v>16800</v>
      </c>
      <c r="O5349" s="55" t="inlineStr">
        <is>
          <t>31–50</t>
        </is>
      </c>
      <c r="P5349" s="16" t="inlineStr">
        <is>
          <t>ССЧР + ОКВЭД обогащены</t>
        </is>
      </c>
      <c r="Q5349" s="16" t="inlineStr">
        <is>
          <t>ФНС открытые данные ССЧР (ДатаСост 31.12.2025; набор 7707329152-sshr2019)</t>
        </is>
      </c>
      <c r="R5349" s="16" t="inlineStr">
        <is>
          <t>ЕГРЮЛ / egrul.nalog.ru (выписка)</t>
        </is>
      </c>
      <c r="S5349" t="n">
        <v>1</v>
      </c>
      <c r="T5349" s="35" t="inlineStr">
        <is>
          <t>1 — Горячий</t>
        </is>
      </c>
      <c r="U5349" s="35" t="inlineStr">
        <is>
          <t>ОКВЭД + 22+</t>
        </is>
      </c>
      <c r="V5349" s="35" t="inlineStr">
        <is>
          <t>Да</t>
        </is>
      </c>
      <c r="W5349" s="35" t="inlineStr">
        <is>
          <t>Да</t>
        </is>
      </c>
      <c r="X5349" s="35" t="inlineStr">
        <is>
          <t>Да</t>
        </is>
      </c>
    </row>
    <row r="5350" ht="15" customHeight="1" s="24">
      <c r="A5350" s="13" t="n">
        <v>802481424</v>
      </c>
      <c r="B5350" s="13" t="inlineStr">
        <is>
          <t>ООО "РТС"</t>
        </is>
      </c>
      <c r="C5350" s="13" t="n">
        <v>326481236</v>
      </c>
      <c r="D5350" s="13" t="n"/>
      <c r="E5350" s="13" t="inlineStr">
        <is>
          <t>Не определён</t>
        </is>
      </c>
      <c r="F5350" s="13" t="inlineStr">
        <is>
          <t>326481236</t>
        </is>
      </c>
      <c r="G5350" s="14" t="n"/>
      <c r="H5350" s="14" t="n"/>
      <c r="I5350" s="14" t="n"/>
      <c r="J5350" s="14" t="n"/>
      <c r="K5350" s="13">
        <f>IF(G5350="","",IF(G5350&gt;=22,"Да","Нет"))</f>
        <v/>
      </c>
      <c r="L5350" s="13">
        <f>IF(OR(I5350="",J5350=""),"Не определено",IF(OR(COUNTIF(I5350,"45*")&gt;0,COUNTIF(J5350,"*45*")&gt;0,COUNTIF(I5350,"46*")&gt;0,COUNTIF(J5350,"*46*")&gt;0,COUNTIF(I5350,"47*")&gt;0,COUNTIF(J5350,"*47*")&gt;0,COUNTIF(I5350,"10*")&gt;0,COUNTIF(J5350,"*10*")&gt;0,COUNTIF(I5350,"11*")&gt;0,COUNTIF(J5350,"*11*")&gt;0,COUNTIF(I5350,"12*")&gt;0,COUNTIF(J5350,"*12*")&gt;0,COUNTIF(I5350,"13*")&gt;0,COUNTIF(J5350,"*13*")&gt;0,COUNTIF(I5350,"14*")&gt;0,COUNTIF(J5350,"*14*")&gt;0,COUNTIF(I5350,"15*")&gt;0,COUNTIF(J5350,"*15*")&gt;0,COUNTIF(I5350,"16*")&gt;0,COUNTIF(J5350,"*16*")&gt;0,COUNTIF(I5350,"17*")&gt;0,COUNTIF(J5350,"*17*")&gt;0,COUNTIF(I5350,"18*")&gt;0,COUNTIF(J5350,"*18*")&gt;0,COUNTIF(I5350,"19*")&gt;0,COUNTIF(J5350,"*19*")&gt;0,COUNTIF(I5350,"20*")&gt;0,COUNTIF(J5350,"*20*")&gt;0,COUNTIF(I5350,"21*")&gt;0,COUNTIF(J5350,"*21*")&gt;0,COUNTIF(I5350,"22*")&gt;0,COUNTIF(J5350,"*22*")&gt;0,COUNTIF(I5350,"23*")&gt;0,COUNTIF(J5350,"*23*")&gt;0,COUNTIF(I5350,"24*")&gt;0,COUNTIF(J5350,"*24*")&gt;0,COUNTIF(I5350,"25*")&gt;0,COUNTIF(J5350,"*25*")&gt;0,COUNTIF(I5350,"26*")&gt;0,COUNTIF(J5350,"*26*")&gt;0,COUNTIF(I5350,"27*")&gt;0,COUNTIF(J5350,"*27*")&gt;0,COUNTIF(I5350,"28*")&gt;0,COUNTIF(J5350,"*28*")&gt;0,COUNTIF(I5350,"29*")&gt;0,COUNTIF(J5350,"*29*")&gt;0,COUNTIF(I5350,"30*")&gt;0,COUNTIF(J5350,"*30*")&gt;0,COUNTIF(I5350,"31*")&gt;0,COUNTIF(J5350,"*31*")&gt;0,COUNTIF(I5350,"32*")&gt;0,COUNTIF(J5350,"*32*")&gt;0,COUNTIF(I5350,"33*")&gt;0,COUNTIF(J5350,"*33*")&gt;0,COUNTIF(I5350,"41*")&gt;0,COUNTIF(J5350,"*41*")&gt;0,COUNTIF(I5350,"42*")&gt;0,COUNTIF(J5350,"*42*")&gt;0,COUNTIF(I5350,"43*")&gt;0,COUNTIF(J5350,"*43*")&gt;0,COUNTIF(I5350,"49*")&gt;0,COUNTIF(J5350,"*49*")&gt;0,COUNTIF(I5350,"52*")&gt;0,COUNTIF(J5350,"*52*")&gt;0,COUNTIF(I5350,"55*")&gt;0,COUNTIF(J5350,"*55*")&gt;0,COUNTIF(I5350,"56*")&gt;0,COUNTIF(J5350,"*56*")&gt;0,COUNTIF(I5350,"68*")&gt;0,COUNTIF(J5350,"*68*")&gt;0,COUNTIF(I5350,"78*")&gt;0,COUNTIF(J5350,"*78*")&gt;0,COUNTIF(I5350,"81*")&gt;0,COUNTIF(J5350,"*81*")&gt;0,COUNTIF(I5350,"82*")&gt;0,COUNTIF(J5350,"*82*")&gt;0,COUNTIF(I5350,"64*")&gt;0,COUNTIF(J5350,"*64*")&gt;0,COUNTIF(I5350,"65*")&gt;0,COUNTIF(J5350,"*65*")&gt;0,COUNTIF(I5350,"66*")&gt;0,COUNTIF(J5350,"*66*")&gt;0,COUNTIF(I5350,"61*")&gt;0,COUNTIF(J5350,"*61*")&gt;0,COUNTIF(I5350,"62*")&gt;0,COUNTIF(J5350,"*62*")&gt;0,COUNTIF(I5350,"63*")&gt;0,COUNTIF(J5350,"*63*")&gt;0,COUNTIF(I5350,"85*")&gt;0,COUNTIF(J5350,"*85*")&gt;0,COUNTIF(I5350,"86*")&gt;0,COUNTIF(J5350,"*86*")&gt;0),"Да","Нет"))</f>
        <v/>
      </c>
      <c r="M5350" s="13">
        <f>IF(OR(G5350="",L5350&lt;&gt;"Да"),"",IF(G5350&lt;=100,"До 100",IF(G5350&lt;=200,"До 200",IF(G5350&lt;=500,"До 500","Отдельное КП"))))</f>
        <v/>
      </c>
      <c r="N5350" s="15">
        <f>IF(OR(G5350="",L5350&lt;&gt;"Да"),"",IF(G5350&lt;=100,33600,IF(G5350&lt;=200,62400,IF(G5350&lt;=500,144000,""))))</f>
        <v/>
      </c>
      <c r="O5350" s="16">
        <f>IF(G5350="","",IF(G5350&lt;=15,"1–15",IF(G5350&lt;=30,"16–30",IF(G5350&lt;=50,"31–50",IF(G5350&lt;=100,"51–100",IF(G5350&lt;=150,"101–150",IF(G5350&lt;=200,"151–200",IF(G5350&lt;=500,"201–500","500+"))))))))</f>
        <v/>
      </c>
      <c r="P5350" s="16" t="inlineStr">
        <is>
          <t>Нет совпадения в предоставленной выгрузке ССЧР</t>
        </is>
      </c>
      <c r="Q5350" s="16" t="n"/>
      <c r="R5350" s="16">
        <f>HYPERLINK("https://checko.ru/search?query=3801001629","Чекко: проверить")</f>
        <v/>
      </c>
      <c r="S5350" t="n">
        <v>0</v>
      </c>
    </row>
    <row r="5351" ht="41.25" customHeight="1" s="24">
      <c r="A5351" s="13" t="n">
        <v>802171978</v>
      </c>
      <c r="B5351" s="13" t="inlineStr">
        <is>
          <t>ОБЩЕСТВО С ОГРАНИЧЕННОЙ ОТВЕТСТВЕННОСТЬЮ "ДОРОЖНОСТРОИТЕЛЬНАЯТЕХНИКА-ИРКУТСК"</t>
        </is>
      </c>
      <c r="C5351" s="13" t="n">
        <v>3810045630</v>
      </c>
      <c r="D5351" s="13" t="inlineStr">
        <is>
          <t>3810045630</t>
        </is>
      </c>
      <c r="E5351" s="13" t="inlineStr">
        <is>
          <t>ЮЛ РФ</t>
        </is>
      </c>
      <c r="F5351" s="13" t="n"/>
      <c r="G5351" s="52" t="n">
        <v>10</v>
      </c>
      <c r="H5351" s="52" t="n">
        <v>2025</v>
      </c>
      <c r="I5351" s="14" t="n"/>
      <c r="J5351" s="14" t="n"/>
      <c r="K5351" s="53" t="inlineStr">
        <is>
          <t>Нет</t>
        </is>
      </c>
      <c r="L5351" s="53" t="inlineStr">
        <is>
          <t>Не определено</t>
        </is>
      </c>
      <c r="M5351" s="53" t="inlineStr">
        <is>
          <t>До 10</t>
        </is>
      </c>
      <c r="N5351" s="54" t="n">
        <v>3360</v>
      </c>
      <c r="O5351" s="55" t="inlineStr">
        <is>
          <t>1–15</t>
        </is>
      </c>
      <c r="P5351" s="16" t="inlineStr">
        <is>
          <t>ССЧР обогащена; ОКВЭД не найден/не загружен</t>
        </is>
      </c>
      <c r="Q5351" s="16" t="inlineStr">
        <is>
          <t>ФНС открытые данные ССЧР (ДатаСост 31.12.2025; набор 7707329152-sshr2019)</t>
        </is>
      </c>
      <c r="R5351" s="16">
        <f>HYPERLINK("https://checko.ru/search?query=3801001629","Чекко: проверить")</f>
        <v/>
      </c>
      <c r="S5351" t="n">
        <v>1</v>
      </c>
      <c r="T5351" s="35" t="inlineStr">
        <is>
          <t>4 — Не обогащён</t>
        </is>
      </c>
      <c r="U5351" s="35" t="inlineStr">
        <is>
          <t>Нет ОКВЭД/ССЧР</t>
        </is>
      </c>
      <c r="V5351" s="35" t="inlineStr">
        <is>
          <t>Не определено</t>
        </is>
      </c>
      <c r="W5351" s="35" t="inlineStr">
        <is>
          <t>Нет</t>
        </is>
      </c>
      <c r="X5351" s="35" t="inlineStr"/>
    </row>
    <row r="5352" ht="15" customHeight="1" s="24">
      <c r="A5352" s="13" t="n">
        <v>801624401</v>
      </c>
      <c r="B5352" s="13" t="inlineStr">
        <is>
          <t>АО "Иркутскнефтесервистрейд"</t>
        </is>
      </c>
      <c r="C5352" s="13" t="n">
        <v>3808069785</v>
      </c>
      <c r="D5352" s="13" t="inlineStr">
        <is>
          <t>3808069785</t>
        </is>
      </c>
      <c r="E5352" s="13" t="inlineStr">
        <is>
          <t>ЮЛ РФ</t>
        </is>
      </c>
      <c r="F5352" s="13" t="n"/>
      <c r="G5352" s="52" t="n">
        <v>13</v>
      </c>
      <c r="H5352" s="52" t="n">
        <v>2025</v>
      </c>
      <c r="I5352" s="14" t="n"/>
      <c r="J5352" s="14" t="n"/>
      <c r="K5352" s="53" t="inlineStr">
        <is>
          <t>Нет</t>
        </is>
      </c>
      <c r="L5352" s="53" t="inlineStr">
        <is>
          <t>Не определено</t>
        </is>
      </c>
      <c r="M5352" s="53" t="inlineStr">
        <is>
          <t>До 25</t>
        </is>
      </c>
      <c r="N5352" s="54" t="n">
        <v>8400</v>
      </c>
      <c r="O5352" s="55" t="inlineStr">
        <is>
          <t>1–15</t>
        </is>
      </c>
      <c r="P5352" s="16" t="inlineStr">
        <is>
          <t>ССЧР обогащена; ОКВЭД не найден/не загружен</t>
        </is>
      </c>
      <c r="Q5352" s="16" t="inlineStr">
        <is>
          <t>ФНС открытые данные ССЧР (ДатаСост 31.12.2025; набор 7707329152-sshr2019)</t>
        </is>
      </c>
      <c r="R5352" s="16">
        <f>HYPERLINK("https://checko.ru/search?query=3801001629","Чекко: проверить")</f>
        <v/>
      </c>
      <c r="S5352" t="n">
        <v>1</v>
      </c>
      <c r="T5352" s="35" t="inlineStr">
        <is>
          <t>4 — Не обогащён</t>
        </is>
      </c>
      <c r="U5352" s="35" t="inlineStr">
        <is>
          <t>Нет ОКВЭД/ССЧР</t>
        </is>
      </c>
      <c r="V5352" s="35" t="inlineStr">
        <is>
          <t>Не определено</t>
        </is>
      </c>
      <c r="W5352" s="35" t="inlineStr">
        <is>
          <t>Нет</t>
        </is>
      </c>
      <c r="X5352" s="35" t="inlineStr"/>
    </row>
    <row r="5353" ht="15" customHeight="1" s="24">
      <c r="A5353" s="13" t="n">
        <v>802453335</v>
      </c>
      <c r="B5353" s="13" t="inlineStr">
        <is>
          <t>ИП Осташков Максим Олегович</t>
        </is>
      </c>
      <c r="C5353" s="13" t="n">
        <v>381258591207</v>
      </c>
      <c r="D5353" s="13" t="inlineStr">
        <is>
          <t>381258591207</t>
        </is>
      </c>
      <c r="E5353" s="13" t="inlineStr">
        <is>
          <t>ИП РФ / физлицо</t>
        </is>
      </c>
      <c r="F5353" s="13" t="n"/>
      <c r="G5353" s="14" t="n"/>
      <c r="H5353" s="14" t="n"/>
      <c r="I5353" s="14" t="n"/>
      <c r="J5353" s="14" t="n"/>
      <c r="K5353" s="53" t="inlineStr"/>
      <c r="L5353" s="53" t="inlineStr">
        <is>
          <t>Не определено</t>
        </is>
      </c>
      <c r="M5353" s="53" t="inlineStr"/>
      <c r="N5353" s="54" t="inlineStr"/>
      <c r="O5353" s="55" t="inlineStr"/>
      <c r="P5353" s="16" t="inlineStr">
        <is>
          <t>Требует обогащения</t>
        </is>
      </c>
      <c r="Q5353" s="16">
        <f>HYPERLINK("https://pb.nalog.ru/search.html?query=381258591207","ФНС: проверить")</f>
        <v/>
      </c>
      <c r="R5353" s="16">
        <f>HYPERLINK("https://checko.ru/search?query=3801001629","Чекко: проверить")</f>
        <v/>
      </c>
      <c r="S5353" t="n">
        <v>1</v>
      </c>
      <c r="T5353" s="35" t="inlineStr">
        <is>
          <t>4 — Не обогащён</t>
        </is>
      </c>
      <c r="U5353" s="35" t="inlineStr">
        <is>
          <t>Нет ОКВЭД/ССЧР</t>
        </is>
      </c>
      <c r="V5353" s="35" t="inlineStr">
        <is>
          <t>Не определено</t>
        </is>
      </c>
      <c r="W5353" s="35" t="inlineStr"/>
      <c r="X5353" s="35" t="inlineStr"/>
    </row>
    <row r="5354" ht="15" customHeight="1" s="24">
      <c r="A5354" s="13" t="n">
        <v>800432298</v>
      </c>
      <c r="B5354" s="13" t="inlineStr">
        <is>
          <t>ООО "Максимов"</t>
        </is>
      </c>
      <c r="C5354" s="13" t="n">
        <v>3805200537</v>
      </c>
      <c r="D5354" s="13" t="inlineStr">
        <is>
          <t>3805200537</t>
        </is>
      </c>
      <c r="E5354" s="13" t="inlineStr">
        <is>
          <t>ЮЛ РФ</t>
        </is>
      </c>
      <c r="F5354" s="13" t="n"/>
      <c r="G5354" s="52" t="n">
        <v>29</v>
      </c>
      <c r="H5354" s="52" t="n">
        <v>2025</v>
      </c>
      <c r="I5354" s="14" t="n"/>
      <c r="J5354" s="14" t="n"/>
      <c r="K5354" s="53" t="inlineStr">
        <is>
          <t>Да</t>
        </is>
      </c>
      <c r="L5354" s="53" t="inlineStr">
        <is>
          <t>Не определено</t>
        </is>
      </c>
      <c r="M5354" s="53" t="inlineStr">
        <is>
          <t>До 50</t>
        </is>
      </c>
      <c r="N5354" s="54" t="n">
        <v>16800</v>
      </c>
      <c r="O5354" s="55" t="inlineStr">
        <is>
          <t>16–30</t>
        </is>
      </c>
      <c r="P5354" s="16" t="inlineStr">
        <is>
          <t>ССЧР обогащена; ОКВЭД не найден/не загружен</t>
        </is>
      </c>
      <c r="Q5354" s="16" t="inlineStr">
        <is>
          <t>ФНС открытые данные ССЧР (ДатаСост 31.12.2025; набор 7707329152-sshr2019)</t>
        </is>
      </c>
      <c r="R5354" s="16">
        <f>HYPERLINK("https://checko.ru/search?query=3801001629","Чекко: проверить")</f>
        <v/>
      </c>
      <c r="S5354" t="n">
        <v>1</v>
      </c>
      <c r="T5354" s="35" t="inlineStr">
        <is>
          <t>3 — 22+ без ОКВЭД</t>
        </is>
      </c>
      <c r="U5354" s="35" t="inlineStr">
        <is>
          <t>22+ без целевого ОКВЭД</t>
        </is>
      </c>
      <c r="V5354" s="35" t="inlineStr">
        <is>
          <t>Не определено</t>
        </is>
      </c>
      <c r="W5354" s="35" t="inlineStr">
        <is>
          <t>Да</t>
        </is>
      </c>
      <c r="X5354" s="35" t="inlineStr"/>
    </row>
    <row r="5355" ht="15" customHeight="1" s="24">
      <c r="A5355" s="13" t="n">
        <v>9198000</v>
      </c>
      <c r="B5355" s="13" t="inlineStr">
        <is>
          <t>Консалтинг-Инвест ИКЦ, ООО</t>
        </is>
      </c>
      <c r="C5355" s="13" t="n">
        <v>3810340650</v>
      </c>
      <c r="D5355" s="13" t="inlineStr">
        <is>
          <t>3810340650</t>
        </is>
      </c>
      <c r="E5355" s="13" t="inlineStr">
        <is>
          <t>ЮЛ РФ</t>
        </is>
      </c>
      <c r="F5355" s="13" t="n"/>
      <c r="G5355" s="52" t="n">
        <v>3</v>
      </c>
      <c r="H5355" s="52" t="n">
        <v>2025</v>
      </c>
      <c r="I5355" s="14" t="n"/>
      <c r="J5355" s="14" t="n"/>
      <c r="K5355" s="53" t="inlineStr">
        <is>
          <t>Нет</t>
        </is>
      </c>
      <c r="L5355" s="53" t="inlineStr">
        <is>
          <t>Не определено</t>
        </is>
      </c>
      <c r="M5355" s="53" t="inlineStr">
        <is>
          <t>До 10</t>
        </is>
      </c>
      <c r="N5355" s="54" t="n">
        <v>3360</v>
      </c>
      <c r="O5355" s="55" t="inlineStr">
        <is>
          <t>1–15</t>
        </is>
      </c>
      <c r="P5355" s="16" t="inlineStr">
        <is>
          <t>ССЧР обогащена; ОКВЭД не найден/не загружен</t>
        </is>
      </c>
      <c r="Q5355" s="16" t="inlineStr">
        <is>
          <t>ФНС открытые данные ССЧР (ДатаСост 31.12.2025; набор 7707329152-sshr2019)</t>
        </is>
      </c>
      <c r="R5355" s="16">
        <f>HYPERLINK("https://checko.ru/search?query=3801001629","Чекко: проверить")</f>
        <v/>
      </c>
      <c r="S5355" t="n">
        <v>1</v>
      </c>
      <c r="T5355" s="35" t="inlineStr">
        <is>
          <t>4 — Не обогащён</t>
        </is>
      </c>
      <c r="U5355" s="35" t="inlineStr">
        <is>
          <t>Нет ОКВЭД/ССЧР</t>
        </is>
      </c>
      <c r="V5355" s="35" t="inlineStr">
        <is>
          <t>Не определено</t>
        </is>
      </c>
      <c r="W5355" s="35" t="inlineStr">
        <is>
          <t>Нет</t>
        </is>
      </c>
      <c r="X5355" s="35" t="inlineStr"/>
    </row>
    <row r="5356" ht="15" customHeight="1" s="24">
      <c r="A5356" s="13" t="n">
        <v>9977636</v>
      </c>
      <c r="B5356" s="13" t="inlineStr">
        <is>
          <t>ООО УК "ЛИК"</t>
        </is>
      </c>
      <c r="C5356" s="13" t="n">
        <v>3818051219</v>
      </c>
      <c r="D5356" s="13" t="inlineStr">
        <is>
          <t>3818051219</t>
        </is>
      </c>
      <c r="E5356" s="13" t="inlineStr">
        <is>
          <t>ЮЛ РФ</t>
        </is>
      </c>
      <c r="F5356" s="13" t="n"/>
      <c r="G5356" s="52" t="n">
        <v>9</v>
      </c>
      <c r="H5356" s="52" t="n">
        <v>2025</v>
      </c>
      <c r="I5356" s="14" t="n"/>
      <c r="J5356" s="14" t="n"/>
      <c r="K5356" s="53" t="inlineStr">
        <is>
          <t>Нет</t>
        </is>
      </c>
      <c r="L5356" s="53" t="inlineStr">
        <is>
          <t>Не определено</t>
        </is>
      </c>
      <c r="M5356" s="53" t="inlineStr">
        <is>
          <t>До 10</t>
        </is>
      </c>
      <c r="N5356" s="54" t="n">
        <v>3360</v>
      </c>
      <c r="O5356" s="55" t="inlineStr">
        <is>
          <t>1–15</t>
        </is>
      </c>
      <c r="P5356" s="16" t="inlineStr">
        <is>
          <t>ССЧР обогащена; ОКВЭД не найден/не загружен</t>
        </is>
      </c>
      <c r="Q5356" s="16" t="inlineStr">
        <is>
          <t>ФНС открытые данные ССЧР (ДатаСост 31.12.2025; набор 7707329152-sshr2019)</t>
        </is>
      </c>
      <c r="R5356" s="16">
        <f>HYPERLINK("https://checko.ru/search?query=3801001629","Чекко: проверить")</f>
        <v/>
      </c>
      <c r="S5356" t="n">
        <v>1</v>
      </c>
      <c r="T5356" s="35" t="inlineStr">
        <is>
          <t>4 — Не обогащён</t>
        </is>
      </c>
      <c r="U5356" s="35" t="inlineStr">
        <is>
          <t>Нет ОКВЭД/ССЧР</t>
        </is>
      </c>
      <c r="V5356" s="35" t="inlineStr">
        <is>
          <t>Не определено</t>
        </is>
      </c>
      <c r="W5356" s="35" t="inlineStr">
        <is>
          <t>Нет</t>
        </is>
      </c>
      <c r="X5356" s="35" t="inlineStr"/>
    </row>
    <row r="5357" ht="27.75" customHeight="1" s="24">
      <c r="A5357" s="13" t="n">
        <v>801892000</v>
      </c>
      <c r="B5357" s="13" t="inlineStr">
        <is>
          <t>ОБЩЕСТВО С ОГРАНИЧЕННОЙ ОТВЕТСТВЕННОСТЬЮ "КОНТИНЕНТ ПЛЮС"</t>
        </is>
      </c>
      <c r="C5357" s="13" t="n">
        <v>3827051737</v>
      </c>
      <c r="D5357" s="13" t="inlineStr">
        <is>
          <t>3827051737</t>
        </is>
      </c>
      <c r="E5357" s="13" t="inlineStr">
        <is>
          <t>ЮЛ РФ</t>
        </is>
      </c>
      <c r="F5357" s="13" t="n"/>
      <c r="G5357" s="52" t="n">
        <v>41</v>
      </c>
      <c r="H5357" s="52" t="n">
        <v>2025</v>
      </c>
      <c r="I5357" s="52" t="inlineStr">
        <is>
          <t>49.41</t>
        </is>
      </c>
      <c r="J5357" s="52" t="inlineStr">
        <is>
          <t>49.41; 49.41.2; 49.41.3; 68.20.2</t>
        </is>
      </c>
      <c r="K5357" s="53" t="inlineStr">
        <is>
          <t>Да</t>
        </is>
      </c>
      <c r="L5357" s="53" t="inlineStr">
        <is>
          <t>Да</t>
        </is>
      </c>
      <c r="M5357" s="53" t="inlineStr">
        <is>
          <t>До 50</t>
        </is>
      </c>
      <c r="N5357" s="54" t="n">
        <v>16800</v>
      </c>
      <c r="O5357" s="55" t="inlineStr">
        <is>
          <t>31–50</t>
        </is>
      </c>
      <c r="P5357" s="16" t="inlineStr">
        <is>
          <t>ССЧР + ОКВЭД обогащены</t>
        </is>
      </c>
      <c r="Q5357" s="16" t="inlineStr">
        <is>
          <t>ФНС открытые данные ССЧР (ДатаСост 31.12.2025; набор 7707329152-sshr2019)</t>
        </is>
      </c>
      <c r="R5357" s="16" t="inlineStr">
        <is>
          <t>ЕГРЮЛ / egrul.nalog.ru (выписка)</t>
        </is>
      </c>
      <c r="S5357" t="n">
        <v>1</v>
      </c>
      <c r="T5357" s="35" t="inlineStr">
        <is>
          <t>1 — Горячий</t>
        </is>
      </c>
      <c r="U5357" s="35" t="inlineStr">
        <is>
          <t>ОКВЭД + 22+</t>
        </is>
      </c>
      <c r="V5357" s="35" t="inlineStr">
        <is>
          <t>Да</t>
        </is>
      </c>
      <c r="W5357" s="35" t="inlineStr">
        <is>
          <t>Да</t>
        </is>
      </c>
      <c r="X5357" s="35" t="inlineStr">
        <is>
          <t>Да</t>
        </is>
      </c>
    </row>
    <row r="5358" ht="27.75" customHeight="1" s="24">
      <c r="A5358" s="13" t="n">
        <v>800526931</v>
      </c>
      <c r="B5358" s="13" t="inlineStr">
        <is>
          <t>ООО "КОММУНАЛЬНЫЕ СИСТЕМЫ ГОРОДА ТУЛУНА"</t>
        </is>
      </c>
      <c r="C5358" s="13" t="n">
        <v>3816028260</v>
      </c>
      <c r="D5358" s="13" t="inlineStr">
        <is>
          <t>3816028260</t>
        </is>
      </c>
      <c r="E5358" s="13" t="inlineStr">
        <is>
          <t>ЮЛ РФ</t>
        </is>
      </c>
      <c r="F5358" s="13" t="n"/>
      <c r="G5358" s="52" t="n">
        <v>375</v>
      </c>
      <c r="H5358" s="52" t="n">
        <v>2025</v>
      </c>
      <c r="I5358" s="52" t="inlineStr">
        <is>
          <t>35.30.14</t>
        </is>
      </c>
      <c r="J5358" s="52" t="inlineStr">
        <is>
          <t>35.30.14; 36.00.2; 37.00; 35.30; 35.30.2; 35.30.3; 35.30.4; 35.30.5; 35.30.6; 36.00; 41.20; 43.21; 43.29; 43.31; 43.32; 43.33; 43.34; 43.39; 43.91; 43.99; 45.20; 46.71.1; 63.11; 63.11.1; 69.10; 69.20; 73.20; 77.32; 77.33; 77.39.2; 77.39.11; 78.10; 81.22; 81.29.9; 82.99</t>
        </is>
      </c>
      <c r="K5358" s="53" t="inlineStr">
        <is>
          <t>Да</t>
        </is>
      </c>
      <c r="L5358" s="53" t="inlineStr">
        <is>
          <t>Да</t>
        </is>
      </c>
      <c r="M5358" s="53" t="inlineStr">
        <is>
          <t>До 500</t>
        </is>
      </c>
      <c r="N5358" s="54" t="n">
        <v>144000</v>
      </c>
      <c r="O5358" s="55" t="inlineStr">
        <is>
          <t>201–500</t>
        </is>
      </c>
      <c r="P5358" s="16" t="inlineStr">
        <is>
          <t>ССЧР + ОКВЭД обогащены</t>
        </is>
      </c>
      <c r="Q5358" s="16" t="inlineStr">
        <is>
          <t>ФНС открытые данные ССЧР (ДатаСост 31.12.2025; набор 7707329152-sshr2019)</t>
        </is>
      </c>
      <c r="R5358" s="16" t="inlineStr">
        <is>
          <t>ЕГРЮЛ / egrul.nalog.ru (выписка)</t>
        </is>
      </c>
      <c r="S5358" t="n">
        <v>1</v>
      </c>
      <c r="T5358" s="35" t="inlineStr">
        <is>
          <t>1 — Горячий</t>
        </is>
      </c>
      <c r="U5358" s="35" t="inlineStr">
        <is>
          <t>ОКВЭД + 22+</t>
        </is>
      </c>
      <c r="V5358" s="35" t="inlineStr">
        <is>
          <t>Да</t>
        </is>
      </c>
      <c r="W5358" s="35" t="inlineStr">
        <is>
          <t>Да</t>
        </is>
      </c>
      <c r="X5358" s="35" t="inlineStr">
        <is>
          <t>Да</t>
        </is>
      </c>
    </row>
    <row r="5359" ht="54.75" customHeight="1" s="24">
      <c r="A5359" s="13" t="n">
        <v>801631385</v>
      </c>
      <c r="B5359" s="13" t="inlineStr">
        <is>
          <t>УСТЬ - УДИНСКОЕ РАЙОННОЕ ОТДЕЛЕНИЕ ОБЩЕРОССИЙСКОЙ ОБЩЕСТВЕННОЙ ОРГАНИЗАЦИИ "ВСЕРОССИЙСКОЕ ДОБРОВОЛЬНОЕ ПОЖАРНОЕ ОБЩЕСТВО"</t>
        </is>
      </c>
      <c r="C5359" s="13" t="n">
        <v>3849023155</v>
      </c>
      <c r="D5359" s="13" t="inlineStr">
        <is>
          <t>3849023155</t>
        </is>
      </c>
      <c r="E5359" s="13" t="inlineStr">
        <is>
          <t>ЮЛ РФ</t>
        </is>
      </c>
      <c r="F5359" s="13" t="n"/>
      <c r="G5359" s="14" t="n"/>
      <c r="H5359" s="14" t="n"/>
      <c r="I5359" s="14" t="n"/>
      <c r="J5359" s="14" t="n"/>
      <c r="K5359" s="53" t="inlineStr"/>
      <c r="L5359" s="53" t="inlineStr">
        <is>
          <t>Не определено</t>
        </is>
      </c>
      <c r="M5359" s="53" t="inlineStr"/>
      <c r="N5359" s="54" t="inlineStr"/>
      <c r="O5359" s="55" t="inlineStr"/>
      <c r="P5359" s="16" t="inlineStr">
        <is>
          <t>Требует обогащения</t>
        </is>
      </c>
      <c r="Q5359" s="16">
        <f>HYPERLINK("https://pb.nalog.ru/search.html?query=3849023155","ФНС: проверить")</f>
        <v/>
      </c>
      <c r="R5359" s="16">
        <f>HYPERLINK("https://checko.ru/search?query=3801001629","Чекко: проверить")</f>
        <v/>
      </c>
      <c r="S5359" t="n">
        <v>1</v>
      </c>
      <c r="T5359" s="35" t="inlineStr">
        <is>
          <t>4 — Не обогащён</t>
        </is>
      </c>
      <c r="U5359" s="35" t="inlineStr">
        <is>
          <t>Нет ОКВЭД/ССЧР</t>
        </is>
      </c>
      <c r="V5359" s="35" t="inlineStr">
        <is>
          <t>Не определено</t>
        </is>
      </c>
      <c r="W5359" s="35" t="inlineStr"/>
      <c r="X5359" s="35" t="inlineStr"/>
    </row>
    <row r="5360" ht="15" customHeight="1" s="24">
      <c r="A5360" s="13" t="n">
        <v>800752057</v>
      </c>
      <c r="B5360" s="13" t="inlineStr">
        <is>
          <t>ТЕХНОЛЕС ООО</t>
        </is>
      </c>
      <c r="C5360" s="13" t="n">
        <v>3805709412</v>
      </c>
      <c r="D5360" s="13" t="inlineStr">
        <is>
          <t>3805709412</t>
        </is>
      </c>
      <c r="E5360" s="13" t="inlineStr">
        <is>
          <t>ЮЛ РФ</t>
        </is>
      </c>
      <c r="F5360" s="13" t="n"/>
      <c r="G5360" s="52" t="n">
        <v>1</v>
      </c>
      <c r="H5360" s="52" t="n">
        <v>2025</v>
      </c>
      <c r="I5360" s="14" t="n"/>
      <c r="J5360" s="14" t="n"/>
      <c r="K5360" s="53" t="inlineStr">
        <is>
          <t>Нет</t>
        </is>
      </c>
      <c r="L5360" s="53" t="inlineStr">
        <is>
          <t>Не определено</t>
        </is>
      </c>
      <c r="M5360" s="53" t="inlineStr">
        <is>
          <t>До 10</t>
        </is>
      </c>
      <c r="N5360" s="54" t="n">
        <v>3360</v>
      </c>
      <c r="O5360" s="55" t="inlineStr">
        <is>
          <t>1–15</t>
        </is>
      </c>
      <c r="P5360" s="16" t="inlineStr">
        <is>
          <t>ССЧР обогащена; ОКВЭД не найден/не загружен</t>
        </is>
      </c>
      <c r="Q5360" s="16" t="inlineStr">
        <is>
          <t>ФНС открытые данные ССЧР (ДатаСост 31.12.2025; набор 7707329152-sshr2019)</t>
        </is>
      </c>
      <c r="R5360" s="16">
        <f>HYPERLINK("https://checko.ru/search?query=3801001629","Чекко: проверить")</f>
        <v/>
      </c>
      <c r="S5360" t="n">
        <v>1</v>
      </c>
      <c r="T5360" s="35" t="inlineStr">
        <is>
          <t>4 — Не обогащён</t>
        </is>
      </c>
      <c r="U5360" s="35" t="inlineStr">
        <is>
          <t>Нет ОКВЭД/ССЧР</t>
        </is>
      </c>
      <c r="V5360" s="35" t="inlineStr">
        <is>
          <t>Не определено</t>
        </is>
      </c>
      <c r="W5360" s="35" t="inlineStr">
        <is>
          <t>Нет</t>
        </is>
      </c>
      <c r="X5360" s="35" t="inlineStr"/>
    </row>
    <row r="5361" ht="41.25" customHeight="1" s="24">
      <c r="A5361" s="13" t="n">
        <v>804701170</v>
      </c>
      <c r="B5361" s="13" t="inlineStr">
        <is>
          <t>ОБЩЕСТВО С ОГРАНИЧЕННОЙ ОТВЕТСТВЕННОСТЬЮ НОВОСИБИРСКИЙ ЗАВОД ПЛАСТМАСС "ЮНИС"</t>
        </is>
      </c>
      <c r="C5361" s="13" t="n">
        <v>5403189245</v>
      </c>
      <c r="D5361" s="13" t="inlineStr">
        <is>
          <t>5403189245</t>
        </is>
      </c>
      <c r="E5361" s="13" t="inlineStr">
        <is>
          <t>ЮЛ РФ</t>
        </is>
      </c>
      <c r="F5361" s="13" t="n"/>
      <c r="G5361" s="52" t="n">
        <v>77</v>
      </c>
      <c r="H5361" s="52" t="n">
        <v>2025</v>
      </c>
      <c r="I5361" s="52" t="inlineStr">
        <is>
          <t>22.22</t>
        </is>
      </c>
      <c r="J5361" s="52" t="inlineStr">
        <is>
          <t>22.22; 22.29; 22.29.2; 22.29.9; 38.32.53; 68.20</t>
        </is>
      </c>
      <c r="K5361" s="53" t="inlineStr">
        <is>
          <t>Да</t>
        </is>
      </c>
      <c r="L5361" s="53" t="inlineStr">
        <is>
          <t>Да</t>
        </is>
      </c>
      <c r="M5361" s="53" t="inlineStr">
        <is>
          <t>До 100</t>
        </is>
      </c>
      <c r="N5361" s="54" t="n">
        <v>33600</v>
      </c>
      <c r="O5361" s="55" t="inlineStr">
        <is>
          <t>51–100</t>
        </is>
      </c>
      <c r="P5361" s="16" t="inlineStr">
        <is>
          <t>ССЧР + ОКВЭД обогащены</t>
        </is>
      </c>
      <c r="Q5361" s="16" t="inlineStr">
        <is>
          <t>ФНС открытые данные ССЧР (ДатаСост 31.12.2025; набор 7707329152-sshr2019)</t>
        </is>
      </c>
      <c r="R5361" s="16" t="inlineStr">
        <is>
          <t>ЕГРЮЛ / egrul.nalog.ru (выписка)</t>
        </is>
      </c>
      <c r="S5361" t="n">
        <v>1</v>
      </c>
      <c r="T5361" s="35" t="inlineStr">
        <is>
          <t>1 — Горячий</t>
        </is>
      </c>
      <c r="U5361" s="35" t="inlineStr">
        <is>
          <t>ОКВЭД + 22+</t>
        </is>
      </c>
      <c r="V5361" s="35" t="inlineStr">
        <is>
          <t>Да</t>
        </is>
      </c>
      <c r="W5361" s="35" t="inlineStr">
        <is>
          <t>Да</t>
        </is>
      </c>
      <c r="X5361" s="35" t="inlineStr">
        <is>
          <t>Да</t>
        </is>
      </c>
    </row>
    <row r="5362" ht="41.25" customHeight="1" s="24">
      <c r="A5362" s="13" t="n">
        <v>17847594</v>
      </c>
      <c r="B5362" s="13" t="inlineStr">
        <is>
          <t>Частное Профессиональное Образовательное учреждение Иркутский Техникум Экономики и Права</t>
        </is>
      </c>
      <c r="C5362" s="13" t="n">
        <v>3807002636</v>
      </c>
      <c r="D5362" s="13" t="inlineStr">
        <is>
          <t>3807002636</t>
        </is>
      </c>
      <c r="E5362" s="13" t="inlineStr">
        <is>
          <t>ЮЛ РФ</t>
        </is>
      </c>
      <c r="F5362" s="13" t="n"/>
      <c r="G5362" s="14" t="n"/>
      <c r="H5362" s="14" t="n"/>
      <c r="I5362" s="14" t="n"/>
      <c r="J5362" s="14" t="n"/>
      <c r="K5362" s="53" t="inlineStr"/>
      <c r="L5362" s="53" t="inlineStr">
        <is>
          <t>Не определено</t>
        </is>
      </c>
      <c r="M5362" s="53" t="inlineStr"/>
      <c r="N5362" s="54" t="inlineStr"/>
      <c r="O5362" s="55" t="inlineStr"/>
      <c r="P5362" s="16" t="inlineStr">
        <is>
          <t>Требует обогащения</t>
        </is>
      </c>
      <c r="Q5362" s="16">
        <f>HYPERLINK("https://pb.nalog.ru/search.html?query=3807002636","ФНС: проверить")</f>
        <v/>
      </c>
      <c r="R5362" s="16">
        <f>HYPERLINK("https://checko.ru/search?query=3801001629","Чекко: проверить")</f>
        <v/>
      </c>
      <c r="S5362" t="n">
        <v>1</v>
      </c>
      <c r="T5362" s="35" t="inlineStr">
        <is>
          <t>4 — Не обогащён</t>
        </is>
      </c>
      <c r="U5362" s="35" t="inlineStr">
        <is>
          <t>Нет ОКВЭД/ССЧР</t>
        </is>
      </c>
      <c r="V5362" s="35" t="inlineStr">
        <is>
          <t>Не определено</t>
        </is>
      </c>
      <c r="W5362" s="35" t="inlineStr"/>
      <c r="X5362" s="35" t="inlineStr"/>
    </row>
    <row r="5363" ht="15" customHeight="1" s="24">
      <c r="A5363" s="13" t="n">
        <v>9198784</v>
      </c>
      <c r="B5363" s="13" t="inlineStr">
        <is>
          <t>ИП Репина Елена Александровна</t>
        </is>
      </c>
      <c r="C5363" s="13" t="n">
        <v>381250835500</v>
      </c>
      <c r="D5363" s="13" t="inlineStr">
        <is>
          <t>381250835500</t>
        </is>
      </c>
      <c r="E5363" s="13" t="inlineStr">
        <is>
          <t>ИП РФ / физлицо</t>
        </is>
      </c>
      <c r="F5363" s="13" t="n"/>
      <c r="G5363" s="14" t="n"/>
      <c r="H5363" s="14" t="n"/>
      <c r="I5363" s="14" t="n"/>
      <c r="J5363" s="14" t="n"/>
      <c r="K5363" s="53" t="inlineStr"/>
      <c r="L5363" s="53" t="inlineStr">
        <is>
          <t>Не определено</t>
        </is>
      </c>
      <c r="M5363" s="53" t="inlineStr"/>
      <c r="N5363" s="54" t="inlineStr"/>
      <c r="O5363" s="55" t="inlineStr"/>
      <c r="P5363" s="16" t="inlineStr">
        <is>
          <t>Требует обогащения</t>
        </is>
      </c>
      <c r="Q5363" s="16">
        <f>HYPERLINK("https://pb.nalog.ru/search.html?query=381250835500","ФНС: проверить")</f>
        <v/>
      </c>
      <c r="R5363" s="16">
        <f>HYPERLINK("https://checko.ru/search?query=3801001629","Чекко: проверить")</f>
        <v/>
      </c>
      <c r="S5363" t="n">
        <v>1</v>
      </c>
      <c r="T5363" s="35" t="inlineStr">
        <is>
          <t>4 — Не обогащён</t>
        </is>
      </c>
      <c r="U5363" s="35" t="inlineStr">
        <is>
          <t>Нет ОКВЭД/ССЧР</t>
        </is>
      </c>
      <c r="V5363" s="35" t="inlineStr">
        <is>
          <t>Не определено</t>
        </is>
      </c>
      <c r="W5363" s="35" t="inlineStr"/>
      <c r="X5363" s="35" t="inlineStr"/>
    </row>
    <row r="5364" ht="15" customHeight="1" s="24">
      <c r="A5364" s="13" t="n">
        <v>800413909</v>
      </c>
      <c r="B5364" s="13" t="inlineStr">
        <is>
          <t>ЧОУ ВО "ВСИЭП"</t>
        </is>
      </c>
      <c r="C5364" s="13" t="n">
        <v>3808029091</v>
      </c>
      <c r="D5364" s="13" t="inlineStr">
        <is>
          <t>3808029091</t>
        </is>
      </c>
      <c r="E5364" s="13" t="inlineStr">
        <is>
          <t>ЮЛ РФ</t>
        </is>
      </c>
      <c r="F5364" s="13" t="n"/>
      <c r="G5364" s="14" t="n"/>
      <c r="H5364" s="14" t="n"/>
      <c r="I5364" s="14" t="n"/>
      <c r="J5364" s="14" t="n"/>
      <c r="K5364" s="53" t="inlineStr"/>
      <c r="L5364" s="53" t="inlineStr">
        <is>
          <t>Не определено</t>
        </is>
      </c>
      <c r="M5364" s="53" t="inlineStr"/>
      <c r="N5364" s="54" t="inlineStr"/>
      <c r="O5364" s="55" t="inlineStr"/>
      <c r="P5364" s="16" t="inlineStr">
        <is>
          <t>Требует обогащения</t>
        </is>
      </c>
      <c r="Q5364" s="16">
        <f>HYPERLINK("https://pb.nalog.ru/search.html?query=3808029091","ФНС: проверить")</f>
        <v/>
      </c>
      <c r="R5364" s="16">
        <f>HYPERLINK("https://checko.ru/search?query=3801001629","Чекко: проверить")</f>
        <v/>
      </c>
      <c r="S5364" t="n">
        <v>1</v>
      </c>
      <c r="T5364" s="35" t="inlineStr">
        <is>
          <t>4 — Не обогащён</t>
        </is>
      </c>
      <c r="U5364" s="35" t="inlineStr">
        <is>
          <t>Нет ОКВЭД/ССЧР</t>
        </is>
      </c>
      <c r="V5364" s="35" t="inlineStr">
        <is>
          <t>Не определено</t>
        </is>
      </c>
      <c r="W5364" s="35" t="inlineStr"/>
      <c r="X5364" s="35" t="inlineStr"/>
    </row>
    <row r="5365" ht="15" customHeight="1" s="24">
      <c r="A5365" s="13" t="n">
        <v>801606845</v>
      </c>
      <c r="B5365" s="13" t="inlineStr">
        <is>
          <t>ИП Наумов Владислав Иванович</t>
        </is>
      </c>
      <c r="C5365" s="13" t="n">
        <v>383101803898</v>
      </c>
      <c r="D5365" s="13" t="inlineStr">
        <is>
          <t>383101803898</t>
        </is>
      </c>
      <c r="E5365" s="13" t="inlineStr">
        <is>
          <t>ИП РФ / физлицо</t>
        </is>
      </c>
      <c r="F5365" s="13" t="n"/>
      <c r="G5365" s="14" t="n"/>
      <c r="H5365" s="14" t="n"/>
      <c r="I5365" s="14" t="n"/>
      <c r="J5365" s="14" t="n"/>
      <c r="K5365" s="53" t="inlineStr"/>
      <c r="L5365" s="53" t="inlineStr">
        <is>
          <t>Не определено</t>
        </is>
      </c>
      <c r="M5365" s="53" t="inlineStr"/>
      <c r="N5365" s="54" t="inlineStr"/>
      <c r="O5365" s="55" t="inlineStr"/>
      <c r="P5365" s="16" t="inlineStr">
        <is>
          <t>Требует обогащения</t>
        </is>
      </c>
      <c r="Q5365" s="16">
        <f>HYPERLINK("https://pb.nalog.ru/search.html?query=383101803898","ФНС: проверить")</f>
        <v/>
      </c>
      <c r="R5365" s="16">
        <f>HYPERLINK("https://checko.ru/search?query=3801001629","Чекко: проверить")</f>
        <v/>
      </c>
      <c r="S5365" t="n">
        <v>1</v>
      </c>
      <c r="T5365" s="35" t="inlineStr">
        <is>
          <t>4 — Не обогащён</t>
        </is>
      </c>
      <c r="U5365" s="35" t="inlineStr">
        <is>
          <t>Нет ОКВЭД/ССЧР</t>
        </is>
      </c>
      <c r="V5365" s="35" t="inlineStr">
        <is>
          <t>Не определено</t>
        </is>
      </c>
      <c r="W5365" s="35" t="inlineStr"/>
      <c r="X5365" s="35" t="inlineStr"/>
    </row>
    <row r="5366" ht="15" customHeight="1" s="24">
      <c r="A5366" s="13" t="n">
        <v>801606251</v>
      </c>
      <c r="B5366" s="13" t="inlineStr">
        <is>
          <t>СК АВРОРА ООО</t>
        </is>
      </c>
      <c r="C5366" s="13" t="n">
        <v>3808225794</v>
      </c>
      <c r="D5366" s="13" t="inlineStr">
        <is>
          <t>3808225794</t>
        </is>
      </c>
      <c r="E5366" s="13" t="inlineStr">
        <is>
          <t>ЮЛ РФ</t>
        </is>
      </c>
      <c r="F5366" s="13" t="n"/>
      <c r="G5366" s="52" t="n">
        <v>23</v>
      </c>
      <c r="H5366" s="52" t="n">
        <v>2025</v>
      </c>
      <c r="I5366" s="52" t="inlineStr">
        <is>
          <t>41.20</t>
        </is>
      </c>
      <c r="J5366" s="52" t="inlineStr">
        <is>
          <t>41.20; 25.11; 38.11; 42.11; 42.91; 42.99; 43.11; 43.12.3; 43.21; 43.22; 43.29; 43.31; 43.32; 43.33; 43.34; 43.39; 43.91; 43.99; 43.99.1; 46.41; 46.41.2; 46.42; 46.49.42; 47.51; 47.65; 47.71.1; 47.71.2; 47.71.5; 47.71.6; 47.99; 49.41; 68.20; 68.20.1; 68.20.2; 81.10; 81.21; 81.22; 81.29.1; 81.29.2; 81.29.9; 81.30; 96.09; 97.00</t>
        </is>
      </c>
      <c r="K5366" s="53" t="inlineStr">
        <is>
          <t>Да</t>
        </is>
      </c>
      <c r="L5366" s="53" t="inlineStr">
        <is>
          <t>Да</t>
        </is>
      </c>
      <c r="M5366" s="53" t="inlineStr">
        <is>
          <t>До 25</t>
        </is>
      </c>
      <c r="N5366" s="54" t="n">
        <v>8400</v>
      </c>
      <c r="O5366" s="55" t="inlineStr">
        <is>
          <t>16–30</t>
        </is>
      </c>
      <c r="P5366" s="16" t="inlineStr">
        <is>
          <t>ССЧР + ОКВЭД обогащены</t>
        </is>
      </c>
      <c r="Q5366" s="16" t="inlineStr">
        <is>
          <t>ФНС открытые данные ССЧР (ДатаСост 31.12.2025; набор 7707329152-sshr2019)</t>
        </is>
      </c>
      <c r="R5366" s="16" t="inlineStr">
        <is>
          <t>ЕГРЮЛ / egrul.nalog.ru (выписка)</t>
        </is>
      </c>
      <c r="S5366" t="n">
        <v>1</v>
      </c>
      <c r="T5366" s="35" t="inlineStr">
        <is>
          <t>1 — Горячий</t>
        </is>
      </c>
      <c r="U5366" s="35" t="inlineStr">
        <is>
          <t>ОКВЭД + 22+</t>
        </is>
      </c>
      <c r="V5366" s="35" t="inlineStr">
        <is>
          <t>Да</t>
        </is>
      </c>
      <c r="W5366" s="35" t="inlineStr">
        <is>
          <t>Да</t>
        </is>
      </c>
      <c r="X5366" s="35" t="inlineStr">
        <is>
          <t>Да</t>
        </is>
      </c>
    </row>
    <row r="5367" ht="15" customHeight="1" s="24">
      <c r="A5367" s="13" t="n">
        <v>802465315</v>
      </c>
      <c r="B5367" s="13" t="inlineStr">
        <is>
          <t>Водоканал г. Иркутска МУП</t>
        </is>
      </c>
      <c r="C5367" s="13" t="n">
        <v>3807000276</v>
      </c>
      <c r="D5367" s="13" t="inlineStr">
        <is>
          <t>3807000276</t>
        </is>
      </c>
      <c r="E5367" s="13" t="inlineStr">
        <is>
          <t>ЮЛ РФ</t>
        </is>
      </c>
      <c r="F5367" s="13" t="n"/>
      <c r="G5367" s="14" t="n"/>
      <c r="H5367" s="14" t="n"/>
      <c r="I5367" s="14" t="n"/>
      <c r="J5367" s="14" t="n"/>
      <c r="K5367" s="53" t="inlineStr"/>
      <c r="L5367" s="53" t="inlineStr">
        <is>
          <t>Не определено</t>
        </is>
      </c>
      <c r="M5367" s="53" t="inlineStr"/>
      <c r="N5367" s="54" t="inlineStr"/>
      <c r="O5367" s="55" t="inlineStr"/>
      <c r="P5367" s="16" t="inlineStr">
        <is>
          <t>Требует обогащения</t>
        </is>
      </c>
      <c r="Q5367" s="16">
        <f>HYPERLINK("https://pb.nalog.ru/search.html?query=3807000276","ФНС: проверить")</f>
        <v/>
      </c>
      <c r="R5367" s="16">
        <f>HYPERLINK("https://checko.ru/search?query=3801001629","Чекко: проверить")</f>
        <v/>
      </c>
      <c r="S5367" t="n">
        <v>1</v>
      </c>
      <c r="T5367" s="35" t="inlineStr">
        <is>
          <t>4 — Не обогащён</t>
        </is>
      </c>
      <c r="U5367" s="35" t="inlineStr">
        <is>
          <t>Нет ОКВЭД/ССЧР</t>
        </is>
      </c>
      <c r="V5367" s="35" t="inlineStr">
        <is>
          <t>Не определено</t>
        </is>
      </c>
      <c r="W5367" s="35" t="inlineStr"/>
      <c r="X5367" s="35" t="inlineStr"/>
    </row>
    <row r="5368" ht="15" customHeight="1" s="24">
      <c r="A5368" s="13" t="n">
        <v>801892673</v>
      </c>
      <c r="B5368" s="13" t="inlineStr">
        <is>
          <t>Востокэлектромонтаж, ООО</t>
        </is>
      </c>
      <c r="C5368" s="13" t="n">
        <v>3827048653</v>
      </c>
      <c r="D5368" s="13" t="inlineStr">
        <is>
          <t>3827048653</t>
        </is>
      </c>
      <c r="E5368" s="13" t="inlineStr">
        <is>
          <t>ЮЛ РФ</t>
        </is>
      </c>
      <c r="F5368" s="13" t="n"/>
      <c r="G5368" s="14" t="n"/>
      <c r="H5368" s="14" t="n"/>
      <c r="I5368" s="14" t="n"/>
      <c r="J5368" s="14" t="n"/>
      <c r="K5368" s="53" t="inlineStr"/>
      <c r="L5368" s="53" t="inlineStr">
        <is>
          <t>Не определено</t>
        </is>
      </c>
      <c r="M5368" s="53" t="inlineStr"/>
      <c r="N5368" s="54" t="inlineStr"/>
      <c r="O5368" s="55" t="inlineStr"/>
      <c r="P5368" s="16" t="inlineStr">
        <is>
          <t>Требует обогащения</t>
        </is>
      </c>
      <c r="Q5368" s="16">
        <f>HYPERLINK("https://pb.nalog.ru/search.html?query=3827048653","ФНС: проверить")</f>
        <v/>
      </c>
      <c r="R5368" s="16">
        <f>HYPERLINK("https://checko.ru/search?query=3801001629","Чекко: проверить")</f>
        <v/>
      </c>
      <c r="S5368" t="n">
        <v>1</v>
      </c>
      <c r="T5368" s="35" t="inlineStr">
        <is>
          <t>4 — Не обогащён</t>
        </is>
      </c>
      <c r="U5368" s="35" t="inlineStr">
        <is>
          <t>Нет ОКВЭД/ССЧР</t>
        </is>
      </c>
      <c r="V5368" s="35" t="inlineStr">
        <is>
          <t>Не определено</t>
        </is>
      </c>
      <c r="W5368" s="35" t="inlineStr"/>
      <c r="X5368" s="35" t="inlineStr"/>
    </row>
    <row r="5369" ht="15" customHeight="1" s="24">
      <c r="A5369" s="13" t="n">
        <v>9157455</v>
      </c>
      <c r="B5369" s="13" t="inlineStr">
        <is>
          <t>ООО Братскводстрой</t>
        </is>
      </c>
      <c r="C5369" s="13" t="n">
        <v>3811037254</v>
      </c>
      <c r="D5369" s="13" t="inlineStr">
        <is>
          <t>3811037254</t>
        </is>
      </c>
      <c r="E5369" s="13" t="inlineStr">
        <is>
          <t>ЮЛ РФ</t>
        </is>
      </c>
      <c r="F5369" s="13" t="n"/>
      <c r="G5369" s="52" t="n">
        <v>93</v>
      </c>
      <c r="H5369" s="52" t="n">
        <v>2025</v>
      </c>
      <c r="I5369" s="52" t="inlineStr">
        <is>
          <t>41.20</t>
        </is>
      </c>
      <c r="J5369" s="52" t="inlineStr">
        <is>
          <t>41.20; 01.19; 33.20; 35.11; 35.13; 42.21; 42.22.1; 42.22.2; 42.99; 43.11; 43.12.3; 43.21; 43.22; 43.29; 43.31; 43.32; 43.33; 43.34; 43.39; 43.99; 43.99.7; 49.39.13; 49.41; 71.12.6; 71.20; 77.32; 77.39.2</t>
        </is>
      </c>
      <c r="K5369" s="53" t="inlineStr">
        <is>
          <t>Да</t>
        </is>
      </c>
      <c r="L5369" s="53" t="inlineStr">
        <is>
          <t>Да</t>
        </is>
      </c>
      <c r="M5369" s="53" t="inlineStr">
        <is>
          <t>До 100</t>
        </is>
      </c>
      <c r="N5369" s="54" t="n">
        <v>33600</v>
      </c>
      <c r="O5369" s="55" t="inlineStr">
        <is>
          <t>51–100</t>
        </is>
      </c>
      <c r="P5369" s="16" t="inlineStr">
        <is>
          <t>ССЧР + ОКВЭД обогащены</t>
        </is>
      </c>
      <c r="Q5369" s="16" t="inlineStr">
        <is>
          <t>ФНС открытые данные ССЧР (ДатаСост 31.12.2025; набор 7707329152-sshr2019)</t>
        </is>
      </c>
      <c r="R5369" s="16" t="inlineStr">
        <is>
          <t>ЕГРЮЛ / egrul.nalog.ru (выписка)</t>
        </is>
      </c>
      <c r="S5369" t="n">
        <v>1</v>
      </c>
      <c r="T5369" s="35" t="inlineStr">
        <is>
          <t>1 — Горячий</t>
        </is>
      </c>
      <c r="U5369" s="35" t="inlineStr">
        <is>
          <t>ОКВЭД + 22+</t>
        </is>
      </c>
      <c r="V5369" s="35" t="inlineStr">
        <is>
          <t>Да</t>
        </is>
      </c>
      <c r="W5369" s="35" t="inlineStr">
        <is>
          <t>Да</t>
        </is>
      </c>
      <c r="X5369" s="35" t="inlineStr">
        <is>
          <t>Да</t>
        </is>
      </c>
    </row>
    <row r="5370" ht="41.25" customHeight="1" s="24">
      <c r="A5370" s="13" t="n">
        <v>802405405</v>
      </c>
      <c r="B5370" s="13" t="inlineStr">
        <is>
          <t>ОБЩЕСТВО С ОГРАНИЧЕННОЙ ОТВЕТСТВЕННОСТЬЮ "СПЕЦИАЛИЗИРОВАННЫЙ ЗАСТРОЙЩИК "ФЛАГМАН""</t>
        </is>
      </c>
      <c r="C5370" s="13" t="n">
        <v>3811465130</v>
      </c>
      <c r="D5370" s="13" t="inlineStr">
        <is>
          <t>3811465130</t>
        </is>
      </c>
      <c r="E5370" s="13" t="inlineStr">
        <is>
          <t>ЮЛ РФ</t>
        </is>
      </c>
      <c r="F5370" s="13" t="n"/>
      <c r="G5370" s="52" t="n">
        <v>0</v>
      </c>
      <c r="H5370" s="52" t="n">
        <v>2025</v>
      </c>
      <c r="I5370" s="14" t="n"/>
      <c r="J5370" s="14" t="n"/>
      <c r="K5370" s="53" t="inlineStr">
        <is>
          <t>Нет</t>
        </is>
      </c>
      <c r="L5370" s="53" t="inlineStr">
        <is>
          <t>Не определено</t>
        </is>
      </c>
      <c r="M5370" s="53" t="inlineStr">
        <is>
          <t>До 10</t>
        </is>
      </c>
      <c r="N5370" s="54" t="n">
        <v>3360</v>
      </c>
      <c r="O5370" s="55" t="inlineStr">
        <is>
          <t>1–15</t>
        </is>
      </c>
      <c r="P5370" s="16" t="inlineStr">
        <is>
          <t>ССЧР обогащена; ОКВЭД не найден/не загружен</t>
        </is>
      </c>
      <c r="Q5370" s="16" t="inlineStr">
        <is>
          <t>ФНС открытые данные ССЧР (ДатаСост 31.12.2025; набор 7707329152-sshr2019)</t>
        </is>
      </c>
      <c r="R5370" s="16">
        <f>HYPERLINK("https://checko.ru/search?query=3801001629","Чекко: проверить")</f>
        <v/>
      </c>
      <c r="S5370" t="n">
        <v>1</v>
      </c>
      <c r="T5370" s="35" t="inlineStr">
        <is>
          <t>4 — Не обогащён</t>
        </is>
      </c>
      <c r="U5370" s="35" t="inlineStr">
        <is>
          <t>Нет ОКВЭД/ССЧР</t>
        </is>
      </c>
      <c r="V5370" s="35" t="inlineStr">
        <is>
          <t>Не определено</t>
        </is>
      </c>
      <c r="W5370" s="35" t="inlineStr">
        <is>
          <t>Нет</t>
        </is>
      </c>
      <c r="X5370" s="35" t="inlineStr"/>
    </row>
    <row r="5371" ht="15" customHeight="1" s="24">
      <c r="A5371" s="13" t="n">
        <v>9351948</v>
      </c>
      <c r="B5371" s="13" t="inlineStr">
        <is>
          <t>ИПБОЮЛ Соломина Ольга Альбертовна</t>
        </is>
      </c>
      <c r="C5371" s="13" t="n">
        <v>383700208552</v>
      </c>
      <c r="D5371" s="13" t="inlineStr">
        <is>
          <t>383700208552</t>
        </is>
      </c>
      <c r="E5371" s="13" t="inlineStr">
        <is>
          <t>ИП РФ / физлицо</t>
        </is>
      </c>
      <c r="F5371" s="13" t="n"/>
      <c r="G5371" s="14" t="n"/>
      <c r="H5371" s="14" t="n"/>
      <c r="I5371" s="14" t="n"/>
      <c r="J5371" s="14" t="n"/>
      <c r="K5371" s="53" t="inlineStr"/>
      <c r="L5371" s="53" t="inlineStr">
        <is>
          <t>Не определено</t>
        </is>
      </c>
      <c r="M5371" s="53" t="inlineStr"/>
      <c r="N5371" s="54" t="inlineStr"/>
      <c r="O5371" s="55" t="inlineStr"/>
      <c r="P5371" s="16" t="inlineStr">
        <is>
          <t>Требует обогащения</t>
        </is>
      </c>
      <c r="Q5371" s="16">
        <f>HYPERLINK("https://pb.nalog.ru/search.html?query=383700208552","ФНС: проверить")</f>
        <v/>
      </c>
      <c r="R5371" s="16">
        <f>HYPERLINK("https://checko.ru/search?query=3801001629","Чекко: проверить")</f>
        <v/>
      </c>
      <c r="S5371" t="n">
        <v>1</v>
      </c>
      <c r="T5371" s="35" t="inlineStr">
        <is>
          <t>4 — Не обогащён</t>
        </is>
      </c>
      <c r="U5371" s="35" t="inlineStr">
        <is>
          <t>Нет ОКВЭД/ССЧР</t>
        </is>
      </c>
      <c r="V5371" s="35" t="inlineStr">
        <is>
          <t>Не определено</t>
        </is>
      </c>
      <c r="W5371" s="35" t="inlineStr"/>
      <c r="X5371" s="35" t="inlineStr"/>
    </row>
    <row r="5372" ht="15" customHeight="1" s="24">
      <c r="A5372" s="13" t="n">
        <v>9184316</v>
      </c>
      <c r="B5372" s="13" t="inlineStr">
        <is>
          <t>ИСПМЕНЕДЖЕР</t>
        </is>
      </c>
      <c r="C5372" s="13" t="n">
        <v>3810037036</v>
      </c>
      <c r="D5372" s="13" t="inlineStr">
        <is>
          <t>3810037036</t>
        </is>
      </c>
      <c r="E5372" s="13" t="inlineStr">
        <is>
          <t>ЮЛ РФ</t>
        </is>
      </c>
      <c r="F5372" s="13" t="n"/>
      <c r="G5372" s="52" t="n">
        <v>67</v>
      </c>
      <c r="H5372" s="52" t="n">
        <v>2025</v>
      </c>
      <c r="I5372" s="52" t="inlineStr">
        <is>
          <t>62.01</t>
        </is>
      </c>
      <c r="J5372" s="52" t="inlineStr">
        <is>
          <t>62.01; 61.10.4; 62.02; 62.09; 63.11</t>
        </is>
      </c>
      <c r="K5372" s="53" t="inlineStr">
        <is>
          <t>Да</t>
        </is>
      </c>
      <c r="L5372" s="53" t="inlineStr">
        <is>
          <t>Да</t>
        </is>
      </c>
      <c r="M5372" s="53" t="inlineStr">
        <is>
          <t>До 100</t>
        </is>
      </c>
      <c r="N5372" s="54" t="n">
        <v>33600</v>
      </c>
      <c r="O5372" s="55" t="inlineStr">
        <is>
          <t>51–100</t>
        </is>
      </c>
      <c r="P5372" s="16" t="inlineStr">
        <is>
          <t>ССЧР + ОКВЭД обогащены</t>
        </is>
      </c>
      <c r="Q5372" s="16" t="inlineStr">
        <is>
          <t>ФНС открытые данные ССЧР (ДатаСост 31.12.2025; набор 7707329152-sshr2019)</t>
        </is>
      </c>
      <c r="R5372" s="16" t="inlineStr">
        <is>
          <t>ЕГРЮЛ / egrul.nalog.ru (выписка)</t>
        </is>
      </c>
      <c r="S5372" t="n">
        <v>1</v>
      </c>
      <c r="T5372" s="35" t="inlineStr">
        <is>
          <t>1 — Горячий</t>
        </is>
      </c>
      <c r="U5372" s="35" t="inlineStr">
        <is>
          <t>ОКВЭД + 22+</t>
        </is>
      </c>
      <c r="V5372" s="35" t="inlineStr">
        <is>
          <t>Да</t>
        </is>
      </c>
      <c r="W5372" s="35" t="inlineStr">
        <is>
          <t>Да</t>
        </is>
      </c>
      <c r="X5372" s="35" t="inlineStr">
        <is>
          <t>Да</t>
        </is>
      </c>
    </row>
    <row r="5373" ht="27.75" customHeight="1" s="24">
      <c r="A5373" s="13" t="n">
        <v>801348167</v>
      </c>
      <c r="B5373" s="13" t="inlineStr">
        <is>
          <t>Общество с ограниченной ответственностью "СИБГЕОТЕХ"</t>
        </is>
      </c>
      <c r="C5373" s="13" t="n">
        <v>3827049720</v>
      </c>
      <c r="D5373" s="13" t="inlineStr">
        <is>
          <t>3827049720</t>
        </is>
      </c>
      <c r="E5373" s="13" t="inlineStr">
        <is>
          <t>ЮЛ РФ</t>
        </is>
      </c>
      <c r="F5373" s="13" t="n"/>
      <c r="G5373" s="52" t="n">
        <v>0</v>
      </c>
      <c r="H5373" s="52" t="n">
        <v>2025</v>
      </c>
      <c r="I5373" s="14" t="n"/>
      <c r="J5373" s="14" t="n"/>
      <c r="K5373" s="53" t="inlineStr">
        <is>
          <t>Нет</t>
        </is>
      </c>
      <c r="L5373" s="53" t="inlineStr">
        <is>
          <t>Не определено</t>
        </is>
      </c>
      <c r="M5373" s="53" t="inlineStr">
        <is>
          <t>До 10</t>
        </is>
      </c>
      <c r="N5373" s="54" t="n">
        <v>3360</v>
      </c>
      <c r="O5373" s="55" t="inlineStr">
        <is>
          <t>1–15</t>
        </is>
      </c>
      <c r="P5373" s="16" t="inlineStr">
        <is>
          <t>ССЧР обогащена; ОКВЭД не найден/не загружен</t>
        </is>
      </c>
      <c r="Q5373" s="16" t="inlineStr">
        <is>
          <t>ФНС открытые данные ССЧР (ДатаСост 31.12.2025; набор 7707329152-sshr2019)</t>
        </is>
      </c>
      <c r="R5373" s="16">
        <f>HYPERLINK("https://checko.ru/search?query=3801001629","Чекко: проверить")</f>
        <v/>
      </c>
      <c r="S5373" t="n">
        <v>1</v>
      </c>
      <c r="T5373" s="35" t="inlineStr">
        <is>
          <t>4 — Не обогащён</t>
        </is>
      </c>
      <c r="U5373" s="35" t="inlineStr">
        <is>
          <t>Нет ОКВЭД/ССЧР</t>
        </is>
      </c>
      <c r="V5373" s="35" t="inlineStr">
        <is>
          <t>Не определено</t>
        </is>
      </c>
      <c r="W5373" s="35" t="inlineStr">
        <is>
          <t>Нет</t>
        </is>
      </c>
      <c r="X5373" s="35" t="inlineStr"/>
    </row>
    <row r="5374" ht="15" customHeight="1" s="24">
      <c r="A5374" s="13" t="n">
        <v>802457342</v>
      </c>
      <c r="B5374" s="13" t="inlineStr">
        <is>
          <t>ООО "МАГИСТРАЛЬЛОГИСТИК"</t>
        </is>
      </c>
      <c r="C5374" s="13" t="n">
        <v>3818031445</v>
      </c>
      <c r="D5374" s="13" t="inlineStr">
        <is>
          <t>3818031445</t>
        </is>
      </c>
      <c r="E5374" s="13" t="inlineStr">
        <is>
          <t>ЮЛ РФ</t>
        </is>
      </c>
      <c r="F5374" s="13" t="n"/>
      <c r="G5374" s="52" t="n">
        <v>316</v>
      </c>
      <c r="H5374" s="52" t="n">
        <v>2025</v>
      </c>
      <c r="I5374" s="52" t="inlineStr">
        <is>
          <t>42.21</t>
        </is>
      </c>
      <c r="J5374" s="52" t="inlineStr">
        <is>
          <t>42.21; 06.10; 06.20; 09.10.1; 09.10.2; 09.10.3; 09.10.4; 09.10.9; 16.23.1; 33.17; 41.10; 41.20; 42.11; 42.12; 42.13; 42.22; 42.91; 42.99; 43.11; 43.12; 43.21; 43.22; 43.29; 43.31; 43.33; 43.34; 43.39; 43.99; 45.20; 45.31; 45.32; 45.40; 46.12; 46.13; 46.17; 46.18; 46.19; 46.34; 46.38; 46.39; 46.43; 46.44; 46.61; 46.69; 46.71; 46.71.3; 46.71.4; 46.71.5; 46.71.51; 46.71.52; 46.72; 46.73; 46.73.6; 47.11; 47.19; 47.25; 47.29; 47.30; 47.43; 47.52; 47.54; 47.59; 47.81; 47.99; 49.39; 49.42; 52.10; 52.21; 52.24; 52.29; 56.10; 56.10.3; 56.29; 68.10; 68.20; 71.12; 71.20; 77.11; 77.12; 77.32; 77.39; 86.90</t>
        </is>
      </c>
      <c r="K5374" s="53" t="inlineStr">
        <is>
          <t>Да</t>
        </is>
      </c>
      <c r="L5374" s="53" t="inlineStr">
        <is>
          <t>Да</t>
        </is>
      </c>
      <c r="M5374" s="53" t="inlineStr">
        <is>
          <t>До 500</t>
        </is>
      </c>
      <c r="N5374" s="54" t="n">
        <v>144000</v>
      </c>
      <c r="O5374" s="55" t="inlineStr">
        <is>
          <t>201–500</t>
        </is>
      </c>
      <c r="P5374" s="16" t="inlineStr">
        <is>
          <t>ССЧР + ОКВЭД обогащены</t>
        </is>
      </c>
      <c r="Q5374" s="16" t="inlineStr">
        <is>
          <t>ФНС открытые данные ССЧР (ДатаСост 31.12.2025; набор 7707329152-sshr2019)</t>
        </is>
      </c>
      <c r="R5374" s="16" t="inlineStr">
        <is>
          <t>ЕГРЮЛ / egrul.nalog.ru (выписка)</t>
        </is>
      </c>
      <c r="S5374" t="n">
        <v>1</v>
      </c>
      <c r="T5374" s="35" t="inlineStr">
        <is>
          <t>1 — Горячий</t>
        </is>
      </c>
      <c r="U5374" s="35" t="inlineStr">
        <is>
          <t>ОКВЭД + 22+</t>
        </is>
      </c>
      <c r="V5374" s="35" t="inlineStr">
        <is>
          <t>Да</t>
        </is>
      </c>
      <c r="W5374" s="35" t="inlineStr">
        <is>
          <t>Да</t>
        </is>
      </c>
      <c r="X5374" s="35" t="inlineStr">
        <is>
          <t>Да</t>
        </is>
      </c>
    </row>
    <row r="5375" ht="27.75" customHeight="1" s="24">
      <c r="A5375" s="13" t="n">
        <v>9834063</v>
      </c>
      <c r="B5375" s="13" t="inlineStr">
        <is>
          <t>БАЙКАЛЬСКАЯ ЭНЕРГЕТИЧЕСКАЯ КОМПАНИЯ ППО ООО</t>
        </is>
      </c>
      <c r="C5375" s="13" t="n">
        <v>3808272240</v>
      </c>
      <c r="D5375" s="13" t="inlineStr">
        <is>
          <t>3808272240</t>
        </is>
      </c>
      <c r="E5375" s="13" t="inlineStr">
        <is>
          <t>ЮЛ РФ</t>
        </is>
      </c>
      <c r="F5375" s="13" t="n"/>
      <c r="G5375" s="14" t="n"/>
      <c r="H5375" s="14" t="n"/>
      <c r="I5375" s="14" t="n"/>
      <c r="J5375" s="14" t="n"/>
      <c r="K5375" s="53" t="inlineStr"/>
      <c r="L5375" s="53" t="inlineStr">
        <is>
          <t>Не определено</t>
        </is>
      </c>
      <c r="M5375" s="53" t="inlineStr"/>
      <c r="N5375" s="54" t="inlineStr"/>
      <c r="O5375" s="55" t="inlineStr"/>
      <c r="P5375" s="16" t="inlineStr">
        <is>
          <t>Требует обогащения</t>
        </is>
      </c>
      <c r="Q5375" s="16">
        <f>HYPERLINK("https://pb.nalog.ru/search.html?query=3808272240","ФНС: проверить")</f>
        <v/>
      </c>
      <c r="R5375" s="16">
        <f>HYPERLINK("https://checko.ru/search?query=3801001629","Чекко: проверить")</f>
        <v/>
      </c>
      <c r="S5375" t="n">
        <v>1</v>
      </c>
      <c r="T5375" s="35" t="inlineStr">
        <is>
          <t>4 — Не обогащён</t>
        </is>
      </c>
      <c r="U5375" s="35" t="inlineStr">
        <is>
          <t>Нет ОКВЭД/ССЧР</t>
        </is>
      </c>
      <c r="V5375" s="35" t="inlineStr">
        <is>
          <t>Не определено</t>
        </is>
      </c>
      <c r="W5375" s="35" t="inlineStr"/>
      <c r="X5375" s="35" t="inlineStr"/>
    </row>
    <row r="5376" ht="27.75" customHeight="1" s="24">
      <c r="A5376" s="13" t="n">
        <v>9188476</v>
      </c>
      <c r="B5376" s="13" t="inlineStr">
        <is>
          <t>Казаченско-Ленское районное отделение Общероссийской общественной</t>
        </is>
      </c>
      <c r="C5376" s="13" t="n">
        <v>3828005807</v>
      </c>
      <c r="D5376" s="13" t="inlineStr">
        <is>
          <t>3828005807</t>
        </is>
      </c>
      <c r="E5376" s="13" t="inlineStr">
        <is>
          <t>ЮЛ РФ</t>
        </is>
      </c>
      <c r="F5376" s="13" t="n"/>
      <c r="G5376" s="14" t="n"/>
      <c r="H5376" s="14" t="n"/>
      <c r="I5376" s="14" t="n"/>
      <c r="J5376" s="14" t="n"/>
      <c r="K5376" s="53" t="inlineStr"/>
      <c r="L5376" s="53" t="inlineStr">
        <is>
          <t>Не определено</t>
        </is>
      </c>
      <c r="M5376" s="53" t="inlineStr"/>
      <c r="N5376" s="54" t="inlineStr"/>
      <c r="O5376" s="55" t="inlineStr"/>
      <c r="P5376" s="16" t="inlineStr">
        <is>
          <t>Требует обогащения</t>
        </is>
      </c>
      <c r="Q5376" s="16">
        <f>HYPERLINK("https://pb.nalog.ru/search.html?query=3828005807","ФНС: проверить")</f>
        <v/>
      </c>
      <c r="R5376" s="16">
        <f>HYPERLINK("https://checko.ru/search?query=3801001629","Чекко: проверить")</f>
        <v/>
      </c>
      <c r="S5376" t="n">
        <v>1</v>
      </c>
      <c r="T5376" s="35" t="inlineStr">
        <is>
          <t>4 — Не обогащён</t>
        </is>
      </c>
      <c r="U5376" s="35" t="inlineStr">
        <is>
          <t>Нет ОКВЭД/ССЧР</t>
        </is>
      </c>
      <c r="V5376" s="35" t="inlineStr">
        <is>
          <t>Не определено</t>
        </is>
      </c>
      <c r="W5376" s="35" t="inlineStr"/>
      <c r="X5376" s="35" t="inlineStr"/>
    </row>
    <row r="5377" ht="15" customHeight="1" s="24">
      <c r="A5377" s="13" t="n">
        <v>9850496</v>
      </c>
      <c r="B5377" s="13" t="inlineStr">
        <is>
          <t>АТЭК Фура</t>
        </is>
      </c>
      <c r="C5377" s="13" t="n">
        <v>3827045437</v>
      </c>
      <c r="D5377" s="13" t="inlineStr">
        <is>
          <t>3827045437</t>
        </is>
      </c>
      <c r="E5377" s="13" t="inlineStr">
        <is>
          <t>ЮЛ РФ</t>
        </is>
      </c>
      <c r="F5377" s="13" t="n"/>
      <c r="G5377" s="52" t="n">
        <v>10</v>
      </c>
      <c r="H5377" s="52" t="n">
        <v>2025</v>
      </c>
      <c r="I5377" s="14" t="n"/>
      <c r="J5377" s="14" t="n"/>
      <c r="K5377" s="53" t="inlineStr">
        <is>
          <t>Нет</t>
        </is>
      </c>
      <c r="L5377" s="53" t="inlineStr">
        <is>
          <t>Не определено</t>
        </is>
      </c>
      <c r="M5377" s="53" t="inlineStr">
        <is>
          <t>До 10</t>
        </is>
      </c>
      <c r="N5377" s="54" t="n">
        <v>3360</v>
      </c>
      <c r="O5377" s="55" t="inlineStr">
        <is>
          <t>1–15</t>
        </is>
      </c>
      <c r="P5377" s="16" t="inlineStr">
        <is>
          <t>ССЧР обогащена; ОКВЭД не найден/не загружен</t>
        </is>
      </c>
      <c r="Q5377" s="16" t="inlineStr">
        <is>
          <t>ФНС открытые данные ССЧР (ДатаСост 31.12.2025; набор 7707329152-sshr2019)</t>
        </is>
      </c>
      <c r="R5377" s="16">
        <f>HYPERLINK("https://checko.ru/search?query=3801001629","Чекко: проверить")</f>
        <v/>
      </c>
      <c r="S5377" t="n">
        <v>1</v>
      </c>
      <c r="T5377" s="35" t="inlineStr">
        <is>
          <t>4 — Не обогащён</t>
        </is>
      </c>
      <c r="U5377" s="35" t="inlineStr">
        <is>
          <t>Нет ОКВЭД/ССЧР</t>
        </is>
      </c>
      <c r="V5377" s="35" t="inlineStr">
        <is>
          <t>Не определено</t>
        </is>
      </c>
      <c r="W5377" s="35" t="inlineStr">
        <is>
          <t>Нет</t>
        </is>
      </c>
      <c r="X5377" s="35" t="inlineStr"/>
    </row>
    <row r="5378" ht="15" customHeight="1" s="24">
      <c r="A5378" s="13" t="n">
        <v>800514096</v>
      </c>
      <c r="B5378" s="13" t="inlineStr">
        <is>
          <t>ПРОМПАРК</t>
        </is>
      </c>
      <c r="C5378" s="13" t="n">
        <v>3811183858</v>
      </c>
      <c r="D5378" s="13" t="inlineStr">
        <is>
          <t>3811183858</t>
        </is>
      </c>
      <c r="E5378" s="13" t="inlineStr">
        <is>
          <t>ЮЛ РФ</t>
        </is>
      </c>
      <c r="F5378" s="13" t="n"/>
      <c r="G5378" s="52" t="n">
        <v>32</v>
      </c>
      <c r="H5378" s="52" t="n">
        <v>2025</v>
      </c>
      <c r="I5378" s="52" t="inlineStr">
        <is>
          <t>41.20</t>
        </is>
      </c>
      <c r="J5378" s="52" t="inlineStr">
        <is>
          <t>41.20; 33.12; 33.13; 41.10; 42.11; 42.13; 42.21; 42.22; 42.91; 42.99; 43.11; 43.12; 43.12.3; 43.13; 43.21; 43.22; 43.29; 43.31; 43.32; 43.33; 43.34; 43.39; 43.91; 43.99; 43.99.1; 45.31; 46.21; 46.46; 46.69; 46.71; 46.73; 46.90; 47.30; 47.73; 47.74; 47.75; 49.41; 77.31; 77.32</t>
        </is>
      </c>
      <c r="K5378" s="53" t="inlineStr">
        <is>
          <t>Да</t>
        </is>
      </c>
      <c r="L5378" s="53" t="inlineStr">
        <is>
          <t>Да</t>
        </is>
      </c>
      <c r="M5378" s="53" t="inlineStr">
        <is>
          <t>До 50</t>
        </is>
      </c>
      <c r="N5378" s="54" t="n">
        <v>16800</v>
      </c>
      <c r="O5378" s="55" t="inlineStr">
        <is>
          <t>31–50</t>
        </is>
      </c>
      <c r="P5378" s="16" t="inlineStr">
        <is>
          <t>ССЧР + ОКВЭД обогащены</t>
        </is>
      </c>
      <c r="Q5378" s="16" t="inlineStr">
        <is>
          <t>ФНС открытые данные ССЧР (ДатаСост 31.12.2025; набор 7707329152-sshr2019)</t>
        </is>
      </c>
      <c r="R5378" s="16" t="inlineStr">
        <is>
          <t>ЕГРЮЛ / egrul.nalog.ru (выписка)</t>
        </is>
      </c>
      <c r="S5378" t="n">
        <v>1</v>
      </c>
      <c r="T5378" s="35" t="inlineStr">
        <is>
          <t>1 — Горячий</t>
        </is>
      </c>
      <c r="U5378" s="35" t="inlineStr">
        <is>
          <t>ОКВЭД + 22+</t>
        </is>
      </c>
      <c r="V5378" s="35" t="inlineStr">
        <is>
          <t>Да</t>
        </is>
      </c>
      <c r="W5378" s="35" t="inlineStr">
        <is>
          <t>Да</t>
        </is>
      </c>
      <c r="X5378" s="35" t="inlineStr">
        <is>
          <t>Да</t>
        </is>
      </c>
    </row>
    <row r="5379" ht="41.25" customHeight="1" s="24">
      <c r="A5379" s="13" t="n">
        <v>801606777</v>
      </c>
      <c r="B5379" s="13" t="inlineStr">
        <is>
          <t>ОБЩЕСТВО С ОГРАНИЧЕННОЙ ОТВЕТСТВЕННОСТЬЮ "УНИВЕРСАЛЬНОЕ КОНСАЛТИНГОВОЕ ПРЕДПРИЯТИЕ "МАКТЕ"</t>
        </is>
      </c>
      <c r="C5379" s="13" t="n">
        <v>3808229968</v>
      </c>
      <c r="D5379" s="13" t="inlineStr">
        <is>
          <t>3808229968</t>
        </is>
      </c>
      <c r="E5379" s="13" t="inlineStr">
        <is>
          <t>ЮЛ РФ</t>
        </is>
      </c>
      <c r="F5379" s="13" t="n"/>
      <c r="G5379" s="52" t="n">
        <v>8</v>
      </c>
      <c r="H5379" s="52" t="n">
        <v>2025</v>
      </c>
      <c r="I5379" s="14" t="n"/>
      <c r="J5379" s="14" t="n"/>
      <c r="K5379" s="53" t="inlineStr">
        <is>
          <t>Нет</t>
        </is>
      </c>
      <c r="L5379" s="53" t="inlineStr">
        <is>
          <t>Не определено</t>
        </is>
      </c>
      <c r="M5379" s="53" t="inlineStr">
        <is>
          <t>До 10</t>
        </is>
      </c>
      <c r="N5379" s="54" t="n">
        <v>3360</v>
      </c>
      <c r="O5379" s="55" t="inlineStr">
        <is>
          <t>1–15</t>
        </is>
      </c>
      <c r="P5379" s="16" t="inlineStr">
        <is>
          <t>ССЧР обогащена; ОКВЭД не найден/не загружен</t>
        </is>
      </c>
      <c r="Q5379" s="16" t="inlineStr">
        <is>
          <t>ФНС открытые данные ССЧР (ДатаСост 31.12.2025; набор 7707329152-sshr2019)</t>
        </is>
      </c>
      <c r="R5379" s="16">
        <f>HYPERLINK("https://checko.ru/search?query=3801001629","Чекко: проверить")</f>
        <v/>
      </c>
      <c r="S5379" t="n">
        <v>1</v>
      </c>
      <c r="T5379" s="35" t="inlineStr">
        <is>
          <t>4 — Не обогащён</t>
        </is>
      </c>
      <c r="U5379" s="35" t="inlineStr">
        <is>
          <t>Нет ОКВЭД/ССЧР</t>
        </is>
      </c>
      <c r="V5379" s="35" t="inlineStr">
        <is>
          <t>Не определено</t>
        </is>
      </c>
      <c r="W5379" s="35" t="inlineStr">
        <is>
          <t>Нет</t>
        </is>
      </c>
      <c r="X5379" s="35" t="inlineStr"/>
    </row>
    <row r="5380" ht="15" customHeight="1" s="24">
      <c r="A5380" s="13" t="n">
        <v>9146874</v>
      </c>
      <c r="B5380" s="13" t="inlineStr">
        <is>
          <t>ООО "Торговый дом "РИЭЛТИ-ДИАЛОГ"</t>
        </is>
      </c>
      <c r="C5380" s="13" t="n">
        <v>3808025883</v>
      </c>
      <c r="D5380" s="13" t="inlineStr">
        <is>
          <t>3808025883</t>
        </is>
      </c>
      <c r="E5380" s="13" t="inlineStr">
        <is>
          <t>ЮЛ РФ</t>
        </is>
      </c>
      <c r="F5380" s="13" t="n"/>
      <c r="G5380" s="52" t="n">
        <v>47</v>
      </c>
      <c r="H5380" s="52" t="n">
        <v>2025</v>
      </c>
      <c r="I5380" s="52" t="inlineStr">
        <is>
          <t>46.34</t>
        </is>
      </c>
      <c r="J5380" s="52" t="inlineStr">
        <is>
          <t>46.34; 02.20; 16.10.1; 33.12; 46.19; 46.71; 47.25; 47.30; 52.10; 52.21.24; 56.10; 56.10.1; 56.10.3; 58.11.1; 70.22; 71.11; 71.12.3; 72.19; 73.11; 73.20.1; 79.11; 82.99; 93.11</t>
        </is>
      </c>
      <c r="K5380" s="53" t="inlineStr">
        <is>
          <t>Да</t>
        </is>
      </c>
      <c r="L5380" s="53" t="inlineStr">
        <is>
          <t>Да</t>
        </is>
      </c>
      <c r="M5380" s="53" t="inlineStr">
        <is>
          <t>До 50</t>
        </is>
      </c>
      <c r="N5380" s="54" t="n">
        <v>16800</v>
      </c>
      <c r="O5380" s="55" t="inlineStr">
        <is>
          <t>31–50</t>
        </is>
      </c>
      <c r="P5380" s="16" t="inlineStr">
        <is>
          <t>ССЧР + ОКВЭД обогащены</t>
        </is>
      </c>
      <c r="Q5380" s="16" t="inlineStr">
        <is>
          <t>ФНС открытые данные ССЧР (ДатаСост 31.12.2025; набор 7707329152-sshr2019)</t>
        </is>
      </c>
      <c r="R5380" s="16" t="inlineStr">
        <is>
          <t>ЕГРЮЛ / egrul.nalog.ru (выписка)</t>
        </is>
      </c>
      <c r="S5380" t="n">
        <v>1</v>
      </c>
      <c r="T5380" s="35" t="inlineStr">
        <is>
          <t>1 — Горячий</t>
        </is>
      </c>
      <c r="U5380" s="35" t="inlineStr">
        <is>
          <t>ОКВЭД + 22+</t>
        </is>
      </c>
      <c r="V5380" s="35" t="inlineStr">
        <is>
          <t>Да</t>
        </is>
      </c>
      <c r="W5380" s="35" t="inlineStr">
        <is>
          <t>Да</t>
        </is>
      </c>
      <c r="X5380" s="35" t="inlineStr">
        <is>
          <t>Да</t>
        </is>
      </c>
    </row>
    <row r="5381" ht="15" customHeight="1" s="24">
      <c r="A5381" s="13" t="n">
        <v>804707219</v>
      </c>
      <c r="B5381" s="13" t="inlineStr">
        <is>
          <t>ООО "Ремплюсстрой"</t>
        </is>
      </c>
      <c r="C5381" s="13" t="n">
        <v>3834016130</v>
      </c>
      <c r="D5381" s="13" t="inlineStr">
        <is>
          <t>3834016130</t>
        </is>
      </c>
      <c r="E5381" s="13" t="inlineStr">
        <is>
          <t>ЮЛ РФ</t>
        </is>
      </c>
      <c r="F5381" s="13" t="n"/>
      <c r="G5381" s="52" t="n">
        <v>7</v>
      </c>
      <c r="H5381" s="52" t="n">
        <v>2025</v>
      </c>
      <c r="I5381" s="14" t="n"/>
      <c r="J5381" s="14" t="n"/>
      <c r="K5381" s="53" t="inlineStr">
        <is>
          <t>Нет</t>
        </is>
      </c>
      <c r="L5381" s="53" t="inlineStr">
        <is>
          <t>Не определено</t>
        </is>
      </c>
      <c r="M5381" s="53" t="inlineStr">
        <is>
          <t>До 10</t>
        </is>
      </c>
      <c r="N5381" s="54" t="n">
        <v>3360</v>
      </c>
      <c r="O5381" s="55" t="inlineStr">
        <is>
          <t>1–15</t>
        </is>
      </c>
      <c r="P5381" s="16" t="inlineStr">
        <is>
          <t>ССЧР обогащена; ОКВЭД не найден/не загружен</t>
        </is>
      </c>
      <c r="Q5381" s="16" t="inlineStr">
        <is>
          <t>ФНС открытые данные ССЧР (ДатаСост 31.12.2025; набор 7707329152-sshr2019)</t>
        </is>
      </c>
      <c r="R5381" s="16">
        <f>HYPERLINK("https://checko.ru/search?query=3801001629","Чекко: проверить")</f>
        <v/>
      </c>
      <c r="S5381" t="n">
        <v>1</v>
      </c>
      <c r="T5381" s="35" t="inlineStr">
        <is>
          <t>4 — Не обогащён</t>
        </is>
      </c>
      <c r="U5381" s="35" t="inlineStr">
        <is>
          <t>Нет ОКВЭД/ССЧР</t>
        </is>
      </c>
      <c r="V5381" s="35" t="inlineStr">
        <is>
          <t>Не определено</t>
        </is>
      </c>
      <c r="W5381" s="35" t="inlineStr">
        <is>
          <t>Нет</t>
        </is>
      </c>
      <c r="X5381" s="35" t="inlineStr"/>
    </row>
    <row r="5382" ht="15" customHeight="1" s="24">
      <c r="A5382" s="13" t="n">
        <v>802456896</v>
      </c>
      <c r="B5382" s="13" t="inlineStr">
        <is>
          <t>Корпорация развития Иркутской области (КРИО)</t>
        </is>
      </c>
      <c r="C5382" s="13" t="n">
        <v>3812150421</v>
      </c>
      <c r="D5382" s="13" t="inlineStr">
        <is>
          <t>3812150421</t>
        </is>
      </c>
      <c r="E5382" s="13" t="inlineStr">
        <is>
          <t>ЮЛ РФ</t>
        </is>
      </c>
      <c r="F5382" s="13" t="n"/>
      <c r="G5382" s="52" t="n">
        <v>16</v>
      </c>
      <c r="H5382" s="52" t="n">
        <v>2025</v>
      </c>
      <c r="I5382" s="14" t="n"/>
      <c r="J5382" s="14" t="n"/>
      <c r="K5382" s="53" t="inlineStr">
        <is>
          <t>Нет</t>
        </is>
      </c>
      <c r="L5382" s="53" t="inlineStr">
        <is>
          <t>Не определено</t>
        </is>
      </c>
      <c r="M5382" s="53" t="inlineStr">
        <is>
          <t>До 25</t>
        </is>
      </c>
      <c r="N5382" s="54" t="n">
        <v>8400</v>
      </c>
      <c r="O5382" s="55" t="inlineStr">
        <is>
          <t>16–30</t>
        </is>
      </c>
      <c r="P5382" s="16" t="inlineStr">
        <is>
          <t>ССЧР обогащена; ОКВЭД не найден/не загружен</t>
        </is>
      </c>
      <c r="Q5382" s="16" t="inlineStr">
        <is>
          <t>ФНС открытые данные ССЧР (ДатаСост 31.12.2025; набор 7707329152-sshr2019)</t>
        </is>
      </c>
      <c r="R5382" s="16">
        <f>HYPERLINK("https://checko.ru/search?query=3801001629","Чекко: проверить")</f>
        <v/>
      </c>
      <c r="S5382" t="n">
        <v>1</v>
      </c>
      <c r="T5382" s="35" t="inlineStr">
        <is>
          <t>4 — Не обогащён</t>
        </is>
      </c>
      <c r="U5382" s="35" t="inlineStr">
        <is>
          <t>Нет ОКВЭД/ССЧР</t>
        </is>
      </c>
      <c r="V5382" s="35" t="inlineStr">
        <is>
          <t>Не определено</t>
        </is>
      </c>
      <c r="W5382" s="35" t="inlineStr">
        <is>
          <t>Нет</t>
        </is>
      </c>
      <c r="X5382" s="35" t="inlineStr"/>
    </row>
    <row r="5383" ht="15" customHeight="1" s="24">
      <c r="A5383" s="13" t="n">
        <v>9821548</v>
      </c>
      <c r="B5383" s="13" t="inlineStr">
        <is>
          <t>ООО "Ваш Интернет Сервис"</t>
        </is>
      </c>
      <c r="C5383" s="13" t="n">
        <v>3812080862</v>
      </c>
      <c r="D5383" s="13" t="inlineStr">
        <is>
          <t>3812080862</t>
        </is>
      </c>
      <c r="E5383" s="13" t="inlineStr">
        <is>
          <t>ЮЛ РФ</t>
        </is>
      </c>
      <c r="F5383" s="13" t="n"/>
      <c r="G5383" s="52" t="n">
        <v>11</v>
      </c>
      <c r="H5383" s="52" t="n">
        <v>2025</v>
      </c>
      <c r="I5383" s="14" t="n"/>
      <c r="J5383" s="14" t="n"/>
      <c r="K5383" s="53" t="inlineStr">
        <is>
          <t>Нет</t>
        </is>
      </c>
      <c r="L5383" s="53" t="inlineStr">
        <is>
          <t>Не определено</t>
        </is>
      </c>
      <c r="M5383" s="53" t="inlineStr">
        <is>
          <t>До 25</t>
        </is>
      </c>
      <c r="N5383" s="54" t="n">
        <v>8400</v>
      </c>
      <c r="O5383" s="55" t="inlineStr">
        <is>
          <t>1–15</t>
        </is>
      </c>
      <c r="P5383" s="16" t="inlineStr">
        <is>
          <t>ССЧР обогащена; ОКВЭД не найден/не загружен</t>
        </is>
      </c>
      <c r="Q5383" s="16" t="inlineStr">
        <is>
          <t>ФНС открытые данные ССЧР (ДатаСост 31.12.2025; набор 7707329152-sshr2019)</t>
        </is>
      </c>
      <c r="R5383" s="16">
        <f>HYPERLINK("https://checko.ru/search?query=3801001629","Чекко: проверить")</f>
        <v/>
      </c>
      <c r="S5383" t="n">
        <v>1</v>
      </c>
      <c r="T5383" s="35" t="inlineStr">
        <is>
          <t>4 — Не обогащён</t>
        </is>
      </c>
      <c r="U5383" s="35" t="inlineStr">
        <is>
          <t>Нет ОКВЭД/ССЧР</t>
        </is>
      </c>
      <c r="V5383" s="35" t="inlineStr">
        <is>
          <t>Не определено</t>
        </is>
      </c>
      <c r="W5383" s="35" t="inlineStr">
        <is>
          <t>Нет</t>
        </is>
      </c>
      <c r="X5383" s="35" t="inlineStr"/>
    </row>
    <row r="5384" ht="27.75" customHeight="1" s="24">
      <c r="A5384" s="13" t="n">
        <v>801606517</v>
      </c>
      <c r="B5384" s="13" t="inlineStr">
        <is>
          <t>Общество с ограниченной ответственностью "ФРЕШФУД"</t>
        </is>
      </c>
      <c r="C5384" s="13" t="n">
        <v>3812158043</v>
      </c>
      <c r="D5384" s="13" t="inlineStr">
        <is>
          <t>3812158043</t>
        </is>
      </c>
      <c r="E5384" s="13" t="inlineStr">
        <is>
          <t>ЮЛ РФ</t>
        </is>
      </c>
      <c r="F5384" s="13" t="n"/>
      <c r="G5384" s="52" t="n">
        <v>7</v>
      </c>
      <c r="H5384" s="52" t="n">
        <v>2025</v>
      </c>
      <c r="I5384" s="14" t="n"/>
      <c r="J5384" s="14" t="n"/>
      <c r="K5384" s="53" t="inlineStr">
        <is>
          <t>Нет</t>
        </is>
      </c>
      <c r="L5384" s="53" t="inlineStr">
        <is>
          <t>Не определено</t>
        </is>
      </c>
      <c r="M5384" s="53" t="inlineStr">
        <is>
          <t>До 10</t>
        </is>
      </c>
      <c r="N5384" s="54" t="n">
        <v>3360</v>
      </c>
      <c r="O5384" s="55" t="inlineStr">
        <is>
          <t>1–15</t>
        </is>
      </c>
      <c r="P5384" s="16" t="inlineStr">
        <is>
          <t>ССЧР обогащена; ОКВЭД не найден/не загружен</t>
        </is>
      </c>
      <c r="Q5384" s="16" t="inlineStr">
        <is>
          <t>ФНС открытые данные ССЧР (ДатаСост 31.12.2025; набор 7707329152-sshr2019)</t>
        </is>
      </c>
      <c r="R5384" s="16">
        <f>HYPERLINK("https://checko.ru/search?query=3801001629","Чекко: проверить")</f>
        <v/>
      </c>
      <c r="S5384" t="n">
        <v>1</v>
      </c>
      <c r="T5384" s="35" t="inlineStr">
        <is>
          <t>4 — Не обогащён</t>
        </is>
      </c>
      <c r="U5384" s="35" t="inlineStr">
        <is>
          <t>Нет ОКВЭД/ССЧР</t>
        </is>
      </c>
      <c r="V5384" s="35" t="inlineStr">
        <is>
          <t>Не определено</t>
        </is>
      </c>
      <c r="W5384" s="35" t="inlineStr">
        <is>
          <t>Нет</t>
        </is>
      </c>
      <c r="X5384" s="35" t="inlineStr"/>
    </row>
    <row r="5385" ht="15" customHeight="1" s="24">
      <c r="A5385" s="13" t="n">
        <v>800650194</v>
      </c>
      <c r="B5385" s="13" t="inlineStr">
        <is>
          <t>Восток Центр Иркутск АО</t>
        </is>
      </c>
      <c r="C5385" s="13" t="n">
        <v>3811146983</v>
      </c>
      <c r="D5385" s="13" t="inlineStr">
        <is>
          <t>3811146983</t>
        </is>
      </c>
      <c r="E5385" s="13" t="inlineStr">
        <is>
          <t>ЮЛ РФ</t>
        </is>
      </c>
      <c r="F5385" s="13" t="n"/>
      <c r="G5385" s="52" t="n">
        <v>0</v>
      </c>
      <c r="H5385" s="52" t="n">
        <v>2025</v>
      </c>
      <c r="I5385" s="14" t="n"/>
      <c r="J5385" s="14" t="n"/>
      <c r="K5385" s="53" t="inlineStr">
        <is>
          <t>Нет</t>
        </is>
      </c>
      <c r="L5385" s="53" t="inlineStr">
        <is>
          <t>Не определено</t>
        </is>
      </c>
      <c r="M5385" s="53" t="inlineStr">
        <is>
          <t>До 10</t>
        </is>
      </c>
      <c r="N5385" s="54" t="n">
        <v>3360</v>
      </c>
      <c r="O5385" s="55" t="inlineStr">
        <is>
          <t>1–15</t>
        </is>
      </c>
      <c r="P5385" s="16" t="inlineStr">
        <is>
          <t>ССЧР обогащена; ОКВЭД не найден/не загружен</t>
        </is>
      </c>
      <c r="Q5385" s="16" t="inlineStr">
        <is>
          <t>ФНС открытые данные ССЧР (ДатаСост 31.12.2025; набор 7707329152-sshr2019)</t>
        </is>
      </c>
      <c r="R5385" s="16">
        <f>HYPERLINK("https://checko.ru/search?query=3801001629","Чекко: проверить")</f>
        <v/>
      </c>
      <c r="S5385" t="n">
        <v>1</v>
      </c>
      <c r="T5385" s="35" t="inlineStr">
        <is>
          <t>4 — Не обогащён</t>
        </is>
      </c>
      <c r="U5385" s="35" t="inlineStr">
        <is>
          <t>Нет ОКВЭД/ССЧР</t>
        </is>
      </c>
      <c r="V5385" s="35" t="inlineStr">
        <is>
          <t>Не определено</t>
        </is>
      </c>
      <c r="W5385" s="35" t="inlineStr">
        <is>
          <t>Нет</t>
        </is>
      </c>
      <c r="X5385" s="35" t="inlineStr"/>
    </row>
    <row r="5386" ht="15" customHeight="1" s="24">
      <c r="A5386" s="13" t="n">
        <v>802610567</v>
      </c>
      <c r="B5386" s="13" t="inlineStr">
        <is>
          <t>ООО "РУБЕЖ НПО"</t>
        </is>
      </c>
      <c r="C5386" s="13" t="n">
        <v>3804042454</v>
      </c>
      <c r="D5386" s="13" t="inlineStr">
        <is>
          <t>3804042454</t>
        </is>
      </c>
      <c r="E5386" s="13" t="inlineStr">
        <is>
          <t>ЮЛ РФ</t>
        </is>
      </c>
      <c r="F5386" s="13" t="n"/>
      <c r="G5386" s="52" t="n">
        <v>9</v>
      </c>
      <c r="H5386" s="52" t="n">
        <v>2025</v>
      </c>
      <c r="I5386" s="14" t="n"/>
      <c r="J5386" s="14" t="n"/>
      <c r="K5386" s="53" t="inlineStr">
        <is>
          <t>Нет</t>
        </is>
      </c>
      <c r="L5386" s="53" t="inlineStr">
        <is>
          <t>Не определено</t>
        </is>
      </c>
      <c r="M5386" s="53" t="inlineStr">
        <is>
          <t>До 10</t>
        </is>
      </c>
      <c r="N5386" s="54" t="n">
        <v>3360</v>
      </c>
      <c r="O5386" s="55" t="inlineStr">
        <is>
          <t>1–15</t>
        </is>
      </c>
      <c r="P5386" s="16" t="inlineStr">
        <is>
          <t>ССЧР обогащена; ОКВЭД не найден/не загружен</t>
        </is>
      </c>
      <c r="Q5386" s="16" t="inlineStr">
        <is>
          <t>ФНС открытые данные ССЧР (ДатаСост 31.12.2025; набор 7707329152-sshr2019)</t>
        </is>
      </c>
      <c r="R5386" s="16">
        <f>HYPERLINK("https://checko.ru/search?query=3801001629","Чекко: проверить")</f>
        <v/>
      </c>
      <c r="S5386" t="n">
        <v>1</v>
      </c>
      <c r="T5386" s="35" t="inlineStr">
        <is>
          <t>4 — Не обогащён</t>
        </is>
      </c>
      <c r="U5386" s="35" t="inlineStr">
        <is>
          <t>Нет ОКВЭД/ССЧР</t>
        </is>
      </c>
      <c r="V5386" s="35" t="inlineStr">
        <is>
          <t>Не определено</t>
        </is>
      </c>
      <c r="W5386" s="35" t="inlineStr">
        <is>
          <t>Нет</t>
        </is>
      </c>
      <c r="X5386" s="35" t="inlineStr"/>
    </row>
    <row r="5387" ht="15" customHeight="1" s="24">
      <c r="A5387" s="13" t="n">
        <v>9119285</v>
      </c>
      <c r="B5387" s="13" t="inlineStr">
        <is>
          <t>Уралспецкомплект, ООО</t>
        </is>
      </c>
      <c r="C5387" s="13" t="n">
        <v>6672356418</v>
      </c>
      <c r="D5387" s="13" t="inlineStr">
        <is>
          <t>6672356418</t>
        </is>
      </c>
      <c r="E5387" s="13" t="inlineStr">
        <is>
          <t>ЮЛ РФ</t>
        </is>
      </c>
      <c r="F5387" s="13" t="n"/>
      <c r="G5387" s="52" t="n">
        <v>3</v>
      </c>
      <c r="H5387" s="52" t="n">
        <v>2025</v>
      </c>
      <c r="I5387" s="14" t="n"/>
      <c r="J5387" s="14" t="n"/>
      <c r="K5387" s="53" t="inlineStr">
        <is>
          <t>Нет</t>
        </is>
      </c>
      <c r="L5387" s="53" t="inlineStr">
        <is>
          <t>Не определено</t>
        </is>
      </c>
      <c r="M5387" s="53" t="inlineStr">
        <is>
          <t>До 10</t>
        </is>
      </c>
      <c r="N5387" s="54" t="n">
        <v>3360</v>
      </c>
      <c r="O5387" s="55" t="inlineStr">
        <is>
          <t>1–15</t>
        </is>
      </c>
      <c r="P5387" s="16" t="inlineStr">
        <is>
          <t>ССЧР обогащена; ОКВЭД не найден/не загружен</t>
        </is>
      </c>
      <c r="Q5387" s="16" t="inlineStr">
        <is>
          <t>ФНС открытые данные ССЧР (ДатаСост 31.12.2025; набор 7707329152-sshr2019)</t>
        </is>
      </c>
      <c r="R5387" s="16">
        <f>HYPERLINK("https://checko.ru/search?query=3801001629","Чекко: проверить")</f>
        <v/>
      </c>
      <c r="S5387" t="n">
        <v>1</v>
      </c>
      <c r="T5387" s="35" t="inlineStr">
        <is>
          <t>4 — Не обогащён</t>
        </is>
      </c>
      <c r="U5387" s="35" t="inlineStr">
        <is>
          <t>Нет ОКВЭД/ССЧР</t>
        </is>
      </c>
      <c r="V5387" s="35" t="inlineStr">
        <is>
          <t>Не определено</t>
        </is>
      </c>
      <c r="W5387" s="35" t="inlineStr">
        <is>
          <t>Нет</t>
        </is>
      </c>
      <c r="X5387" s="35" t="inlineStr"/>
    </row>
    <row r="5388" ht="15" customHeight="1" s="24">
      <c r="A5388" s="13" t="n">
        <v>9129310</v>
      </c>
      <c r="B5388" s="13" t="inlineStr">
        <is>
          <t>ООО ТДВ-ГАЗ</t>
        </is>
      </c>
      <c r="C5388" s="13" t="n">
        <v>1434025377</v>
      </c>
      <c r="D5388" s="13" t="inlineStr">
        <is>
          <t>1434025377</t>
        </is>
      </c>
      <c r="E5388" s="13" t="inlineStr">
        <is>
          <t>ЮЛ РФ</t>
        </is>
      </c>
      <c r="F5388" s="13" t="n"/>
      <c r="G5388" s="52" t="n">
        <v>10</v>
      </c>
      <c r="H5388" s="52" t="n">
        <v>2025</v>
      </c>
      <c r="I5388" s="14" t="n"/>
      <c r="J5388" s="14" t="n"/>
      <c r="K5388" s="53" t="inlineStr">
        <is>
          <t>Нет</t>
        </is>
      </c>
      <c r="L5388" s="53" t="inlineStr">
        <is>
          <t>Не определено</t>
        </is>
      </c>
      <c r="M5388" s="53" t="inlineStr">
        <is>
          <t>До 10</t>
        </is>
      </c>
      <c r="N5388" s="54" t="n">
        <v>3360</v>
      </c>
      <c r="O5388" s="55" t="inlineStr">
        <is>
          <t>1–15</t>
        </is>
      </c>
      <c r="P5388" s="16" t="inlineStr">
        <is>
          <t>ССЧР обогащена; ОКВЭД не найден/не загружен</t>
        </is>
      </c>
      <c r="Q5388" s="16" t="inlineStr">
        <is>
          <t>ФНС открытые данные ССЧР (ДатаСост 31.12.2025; набор 7707329152-sshr2019)</t>
        </is>
      </c>
      <c r="R5388" s="16">
        <f>HYPERLINK("https://checko.ru/search?query=3801001629","Чекко: проверить")</f>
        <v/>
      </c>
      <c r="S5388" t="n">
        <v>1</v>
      </c>
      <c r="T5388" s="35" t="inlineStr">
        <is>
          <t>4 — Не обогащён</t>
        </is>
      </c>
      <c r="U5388" s="35" t="inlineStr">
        <is>
          <t>Нет ОКВЭД/ССЧР</t>
        </is>
      </c>
      <c r="V5388" s="35" t="inlineStr">
        <is>
          <t>Не определено</t>
        </is>
      </c>
      <c r="W5388" s="35" t="inlineStr">
        <is>
          <t>Нет</t>
        </is>
      </c>
      <c r="X5388" s="35" t="inlineStr"/>
    </row>
    <row r="5389" ht="15" customHeight="1" s="24">
      <c r="A5389" s="13" t="n">
        <v>800406676</v>
      </c>
      <c r="B5389" s="13" t="inlineStr">
        <is>
          <t>ЗАО "Усть-Кутский лес"</t>
        </is>
      </c>
      <c r="C5389" s="13" t="n">
        <v>3818014104</v>
      </c>
      <c r="D5389" s="13" t="inlineStr">
        <is>
          <t>3818014104</t>
        </is>
      </c>
      <c r="E5389" s="13" t="inlineStr">
        <is>
          <t>ЮЛ РФ</t>
        </is>
      </c>
      <c r="F5389" s="13" t="n"/>
      <c r="G5389" s="52" t="n">
        <v>112</v>
      </c>
      <c r="H5389" s="52" t="n">
        <v>2025</v>
      </c>
      <c r="I5389" s="52" t="inlineStr">
        <is>
          <t>16.10.1</t>
        </is>
      </c>
      <c r="J5389" s="52" t="inlineStr">
        <is>
          <t>16.10.1; 02.20; 50.40.1; 02.10.1; 02.10.2; 02.10.11; 02.10.19; 02.40.2; 16.10; 16.29.15; 46.73; 46.73.1; 46.73.2; 47.52.71; 49.41; 50.40.2; 50.40.3; 52.10.9; 52.22.29; 52.24; 52.24.1; 52.24.2; 52.29</t>
        </is>
      </c>
      <c r="K5389" s="53" t="inlineStr">
        <is>
          <t>Да</t>
        </is>
      </c>
      <c r="L5389" s="53" t="inlineStr">
        <is>
          <t>Да</t>
        </is>
      </c>
      <c r="M5389" s="53" t="inlineStr">
        <is>
          <t>До 200</t>
        </is>
      </c>
      <c r="N5389" s="54" t="n">
        <v>62400</v>
      </c>
      <c r="O5389" s="55" t="inlineStr">
        <is>
          <t>101–200</t>
        </is>
      </c>
      <c r="P5389" s="16" t="inlineStr">
        <is>
          <t>ССЧР + ОКВЭД обогащены</t>
        </is>
      </c>
      <c r="Q5389" s="16" t="inlineStr">
        <is>
          <t>ФНС открытые данные ССЧР (ДатаСост 31.12.2025; набор 7707329152-sshr2019)</t>
        </is>
      </c>
      <c r="R5389" s="16" t="inlineStr">
        <is>
          <t>ЕГРЮЛ / egrul.nalog.ru (выписка)</t>
        </is>
      </c>
      <c r="S5389" t="n">
        <v>1</v>
      </c>
      <c r="T5389" s="35" t="inlineStr">
        <is>
          <t>1 — Горячий</t>
        </is>
      </c>
      <c r="U5389" s="35" t="inlineStr">
        <is>
          <t>ОКВЭД + 22+</t>
        </is>
      </c>
      <c r="V5389" s="35" t="inlineStr">
        <is>
          <t>Да</t>
        </is>
      </c>
      <c r="W5389" s="35" t="inlineStr">
        <is>
          <t>Да</t>
        </is>
      </c>
      <c r="X5389" s="35" t="inlineStr">
        <is>
          <t>Да</t>
        </is>
      </c>
    </row>
    <row r="5390" ht="15" customHeight="1" s="24">
      <c r="A5390" s="13" t="n">
        <v>9127959</v>
      </c>
      <c r="B5390" s="13" t="inlineStr">
        <is>
          <t>ООО ИТЦ "Альтер Энерго"</t>
        </is>
      </c>
      <c r="C5390" s="13" t="n">
        <v>3812097834</v>
      </c>
      <c r="D5390" s="13" t="inlineStr">
        <is>
          <t>3812097834</t>
        </is>
      </c>
      <c r="E5390" s="13" t="inlineStr">
        <is>
          <t>ЮЛ РФ</t>
        </is>
      </c>
      <c r="F5390" s="13" t="n"/>
      <c r="G5390" s="52" t="n">
        <v>7</v>
      </c>
      <c r="H5390" s="52" t="n">
        <v>2025</v>
      </c>
      <c r="I5390" s="14" t="n"/>
      <c r="J5390" s="14" t="n"/>
      <c r="K5390" s="53" t="inlineStr">
        <is>
          <t>Нет</t>
        </is>
      </c>
      <c r="L5390" s="53" t="inlineStr">
        <is>
          <t>Не определено</t>
        </is>
      </c>
      <c r="M5390" s="53" t="inlineStr">
        <is>
          <t>До 10</t>
        </is>
      </c>
      <c r="N5390" s="54" t="n">
        <v>3360</v>
      </c>
      <c r="O5390" s="55" t="inlineStr">
        <is>
          <t>1–15</t>
        </is>
      </c>
      <c r="P5390" s="16" t="inlineStr">
        <is>
          <t>ССЧР обогащена; ОКВЭД не найден/не загружен</t>
        </is>
      </c>
      <c r="Q5390" s="16" t="inlineStr">
        <is>
          <t>ФНС открытые данные ССЧР (ДатаСост 31.12.2025; набор 7707329152-sshr2019)</t>
        </is>
      </c>
      <c r="R5390" s="16">
        <f>HYPERLINK("https://checko.ru/search?query=3801001629","Чекко: проверить")</f>
        <v/>
      </c>
      <c r="S5390" t="n">
        <v>1</v>
      </c>
      <c r="T5390" s="35" t="inlineStr">
        <is>
          <t>4 — Не обогащён</t>
        </is>
      </c>
      <c r="U5390" s="35" t="inlineStr">
        <is>
          <t>Нет ОКВЭД/ССЧР</t>
        </is>
      </c>
      <c r="V5390" s="35" t="inlineStr">
        <is>
          <t>Не определено</t>
        </is>
      </c>
      <c r="W5390" s="35" t="inlineStr">
        <is>
          <t>Нет</t>
        </is>
      </c>
      <c r="X5390" s="35" t="inlineStr"/>
    </row>
    <row r="5391" ht="15" customHeight="1" s="24">
      <c r="A5391" s="13" t="n">
        <v>9123099</v>
      </c>
      <c r="B5391" s="13" t="inlineStr">
        <is>
          <t>Центр Материнства и Детства</t>
        </is>
      </c>
      <c r="C5391" s="13" t="n">
        <v>3811180600</v>
      </c>
      <c r="D5391" s="13" t="inlineStr">
        <is>
          <t>3811180600</t>
        </is>
      </c>
      <c r="E5391" s="13" t="inlineStr">
        <is>
          <t>ЮЛ РФ</t>
        </is>
      </c>
      <c r="F5391" s="13" t="n"/>
      <c r="G5391" s="52" t="n">
        <v>12</v>
      </c>
      <c r="H5391" s="52" t="n">
        <v>2025</v>
      </c>
      <c r="I5391" s="14" t="n"/>
      <c r="J5391" s="14" t="n"/>
      <c r="K5391" s="53" t="inlineStr">
        <is>
          <t>Нет</t>
        </is>
      </c>
      <c r="L5391" s="53" t="inlineStr">
        <is>
          <t>Не определено</t>
        </is>
      </c>
      <c r="M5391" s="53" t="inlineStr">
        <is>
          <t>До 25</t>
        </is>
      </c>
      <c r="N5391" s="54" t="n">
        <v>8400</v>
      </c>
      <c r="O5391" s="55" t="inlineStr">
        <is>
          <t>1–15</t>
        </is>
      </c>
      <c r="P5391" s="16" t="inlineStr">
        <is>
          <t>ССЧР обогащена; ОКВЭД не найден/не загружен</t>
        </is>
      </c>
      <c r="Q5391" s="16" t="inlineStr">
        <is>
          <t>ФНС открытые данные ССЧР (ДатаСост 31.12.2025; набор 7707329152-sshr2019)</t>
        </is>
      </c>
      <c r="R5391" s="16">
        <f>HYPERLINK("https://checko.ru/search?query=3801001629","Чекко: проверить")</f>
        <v/>
      </c>
      <c r="S5391" t="n">
        <v>1</v>
      </c>
      <c r="T5391" s="35" t="inlineStr">
        <is>
          <t>4 — Не обогащён</t>
        </is>
      </c>
      <c r="U5391" s="35" t="inlineStr">
        <is>
          <t>Нет ОКВЭД/ССЧР</t>
        </is>
      </c>
      <c r="V5391" s="35" t="inlineStr">
        <is>
          <t>Не определено</t>
        </is>
      </c>
      <c r="W5391" s="35" t="inlineStr">
        <is>
          <t>Нет</t>
        </is>
      </c>
      <c r="X5391" s="35" t="inlineStr"/>
    </row>
    <row r="5392" ht="15" customHeight="1" s="24">
      <c r="A5392" s="13" t="n">
        <v>9109568</v>
      </c>
      <c r="B5392" s="13" t="inlineStr">
        <is>
          <t>ЗАО "Ангарский лес"</t>
        </is>
      </c>
      <c r="C5392" s="13" t="n">
        <v>3842000896</v>
      </c>
      <c r="D5392" s="13" t="inlineStr">
        <is>
          <t>3842000896</t>
        </is>
      </c>
      <c r="E5392" s="13" t="inlineStr">
        <is>
          <t>ЮЛ РФ</t>
        </is>
      </c>
      <c r="F5392" s="13" t="n"/>
      <c r="G5392" s="52" t="n">
        <v>55</v>
      </c>
      <c r="H5392" s="52" t="n">
        <v>2025</v>
      </c>
      <c r="I5392" s="52" t="inlineStr">
        <is>
          <t>02.20</t>
        </is>
      </c>
      <c r="J5392" s="52" t="inlineStr">
        <is>
          <t>02.20; 16.10.2; 23.20.1; 46.73.1; 46.73.2; 46.73.6; 47.89.1; 47.99.3; 49.41.1; 50.40.1; 50.40.2; 50.40.3</t>
        </is>
      </c>
      <c r="K5392" s="53" t="inlineStr">
        <is>
          <t>Да</t>
        </is>
      </c>
      <c r="L5392" s="53" t="inlineStr">
        <is>
          <t>Да</t>
        </is>
      </c>
      <c r="M5392" s="53" t="inlineStr">
        <is>
          <t>До 100</t>
        </is>
      </c>
      <c r="N5392" s="54" t="n">
        <v>33600</v>
      </c>
      <c r="O5392" s="55" t="inlineStr">
        <is>
          <t>51–100</t>
        </is>
      </c>
      <c r="P5392" s="16" t="inlineStr">
        <is>
          <t>ССЧР + ОКВЭД обогащены</t>
        </is>
      </c>
      <c r="Q5392" s="16" t="inlineStr">
        <is>
          <t>ФНС открытые данные ССЧР (ДатаСост 31.12.2025; набор 7707329152-sshr2019)</t>
        </is>
      </c>
      <c r="R5392" s="16" t="inlineStr">
        <is>
          <t>ЕГРЮЛ / egrul.nalog.ru (выписка)</t>
        </is>
      </c>
      <c r="S5392" t="n">
        <v>1</v>
      </c>
      <c r="T5392" s="35" t="inlineStr">
        <is>
          <t>1 — Горячий</t>
        </is>
      </c>
      <c r="U5392" s="35" t="inlineStr">
        <is>
          <t>ОКВЭД + 22+</t>
        </is>
      </c>
      <c r="V5392" s="35" t="inlineStr">
        <is>
          <t>Да</t>
        </is>
      </c>
      <c r="W5392" s="35" t="inlineStr">
        <is>
          <t>Да</t>
        </is>
      </c>
      <c r="X5392" s="35" t="inlineStr">
        <is>
          <t>Да</t>
        </is>
      </c>
    </row>
    <row r="5393" ht="15" customHeight="1" s="24">
      <c r="A5393" s="13" t="n">
        <v>9127566</v>
      </c>
      <c r="B5393" s="13" t="inlineStr">
        <is>
          <t>Приоритет на Поленова</t>
        </is>
      </c>
      <c r="C5393" s="13" t="n">
        <v>3808129402</v>
      </c>
      <c r="D5393" s="13" t="inlineStr">
        <is>
          <t>3808129402</t>
        </is>
      </c>
      <c r="E5393" s="13" t="inlineStr">
        <is>
          <t>ЮЛ РФ</t>
        </is>
      </c>
      <c r="F5393" s="13" t="n"/>
      <c r="G5393" s="52" t="n">
        <v>11</v>
      </c>
      <c r="H5393" s="52" t="n">
        <v>2025</v>
      </c>
      <c r="I5393" s="14" t="n"/>
      <c r="J5393" s="14" t="n"/>
      <c r="K5393" s="53" t="inlineStr">
        <is>
          <t>Нет</t>
        </is>
      </c>
      <c r="L5393" s="53" t="inlineStr">
        <is>
          <t>Не определено</t>
        </is>
      </c>
      <c r="M5393" s="53" t="inlineStr">
        <is>
          <t>До 25</t>
        </is>
      </c>
      <c r="N5393" s="54" t="n">
        <v>8400</v>
      </c>
      <c r="O5393" s="55" t="inlineStr">
        <is>
          <t>1–15</t>
        </is>
      </c>
      <c r="P5393" s="16" t="inlineStr">
        <is>
          <t>ССЧР обогащена; ОКВЭД не найден/не загружен</t>
        </is>
      </c>
      <c r="Q5393" s="16" t="inlineStr">
        <is>
          <t>ФНС открытые данные ССЧР (ДатаСост 31.12.2025; набор 7707329152-sshr2019)</t>
        </is>
      </c>
      <c r="R5393" s="16">
        <f>HYPERLINK("https://checko.ru/search?query=3801001629","Чекко: проверить")</f>
        <v/>
      </c>
      <c r="S5393" t="n">
        <v>1</v>
      </c>
      <c r="T5393" s="35" t="inlineStr">
        <is>
          <t>4 — Не обогащён</t>
        </is>
      </c>
      <c r="U5393" s="35" t="inlineStr">
        <is>
          <t>Нет ОКВЭД/ССЧР</t>
        </is>
      </c>
      <c r="V5393" s="35" t="inlineStr">
        <is>
          <t>Не определено</t>
        </is>
      </c>
      <c r="W5393" s="35" t="inlineStr">
        <is>
          <t>Нет</t>
        </is>
      </c>
      <c r="X5393" s="35" t="inlineStr"/>
    </row>
    <row r="5394" ht="27.75" customHeight="1" s="24">
      <c r="A5394" s="13" t="n">
        <v>9347730</v>
      </c>
      <c r="B5394" s="13" t="inlineStr">
        <is>
          <t>Иркутский областной союз потребительских обществ</t>
        </is>
      </c>
      <c r="C5394" s="13" t="n">
        <v>3807001181</v>
      </c>
      <c r="D5394" s="13" t="inlineStr">
        <is>
          <t>3807001181</t>
        </is>
      </c>
      <c r="E5394" s="13" t="inlineStr">
        <is>
          <t>ЮЛ РФ</t>
        </is>
      </c>
      <c r="F5394" s="13" t="n"/>
      <c r="G5394" s="14" t="n"/>
      <c r="H5394" s="14" t="n"/>
      <c r="I5394" s="14" t="n"/>
      <c r="J5394" s="14" t="n"/>
      <c r="K5394" s="53" t="inlineStr"/>
      <c r="L5394" s="53" t="inlineStr">
        <is>
          <t>Не определено</t>
        </is>
      </c>
      <c r="M5394" s="53" t="inlineStr"/>
      <c r="N5394" s="54" t="inlineStr"/>
      <c r="O5394" s="55" t="inlineStr"/>
      <c r="P5394" s="16" t="inlineStr">
        <is>
          <t>Требует обогащения</t>
        </is>
      </c>
      <c r="Q5394" s="16">
        <f>HYPERLINK("https://pb.nalog.ru/search.html?query=3807001181","ФНС: проверить")</f>
        <v/>
      </c>
      <c r="R5394" s="16">
        <f>HYPERLINK("https://checko.ru/search?query=3801001629","Чекко: проверить")</f>
        <v/>
      </c>
      <c r="S5394" t="n">
        <v>1</v>
      </c>
      <c r="T5394" s="35" t="inlineStr">
        <is>
          <t>4 — Не обогащён</t>
        </is>
      </c>
      <c r="U5394" s="35" t="inlineStr">
        <is>
          <t>Нет ОКВЭД/ССЧР</t>
        </is>
      </c>
      <c r="V5394" s="35" t="inlineStr">
        <is>
          <t>Не определено</t>
        </is>
      </c>
      <c r="W5394" s="35" t="inlineStr"/>
      <c r="X5394" s="35" t="inlineStr"/>
    </row>
    <row r="5395" ht="27.75" customHeight="1" s="24">
      <c r="A5395" s="13" t="n">
        <v>802320721</v>
      </c>
      <c r="B5395" s="13" t="inlineStr">
        <is>
          <t>Общество с ограниченной ответственностью "СОБОЛЬ"</t>
        </is>
      </c>
      <c r="C5395" s="13" t="n">
        <v>3801065559</v>
      </c>
      <c r="D5395" s="13" t="inlineStr">
        <is>
          <t>3801065559</t>
        </is>
      </c>
      <c r="E5395" s="13" t="inlineStr">
        <is>
          <t>ЮЛ РФ</t>
        </is>
      </c>
      <c r="F5395" s="13" t="n"/>
      <c r="G5395" s="52" t="n">
        <v>5</v>
      </c>
      <c r="H5395" s="52" t="n">
        <v>2025</v>
      </c>
      <c r="I5395" s="14" t="n"/>
      <c r="J5395" s="14" t="n"/>
      <c r="K5395" s="53" t="inlineStr">
        <is>
          <t>Нет</t>
        </is>
      </c>
      <c r="L5395" s="53" t="inlineStr">
        <is>
          <t>Не определено</t>
        </is>
      </c>
      <c r="M5395" s="53" t="inlineStr">
        <is>
          <t>До 10</t>
        </is>
      </c>
      <c r="N5395" s="54" t="n">
        <v>3360</v>
      </c>
      <c r="O5395" s="55" t="inlineStr">
        <is>
          <t>1–15</t>
        </is>
      </c>
      <c r="P5395" s="16" t="inlineStr">
        <is>
          <t>ССЧР обогащена; ОКВЭД не найден/не загружен</t>
        </is>
      </c>
      <c r="Q5395" s="16" t="inlineStr">
        <is>
          <t>ФНС открытые данные ССЧР (ДатаСост 31.12.2025; набор 7707329152-sshr2019)</t>
        </is>
      </c>
      <c r="R5395" s="16">
        <f>HYPERLINK("https://checko.ru/search?query=3801001629","Чекко: проверить")</f>
        <v/>
      </c>
      <c r="S5395" t="n">
        <v>1</v>
      </c>
      <c r="T5395" s="35" t="inlineStr">
        <is>
          <t>4 — Не обогащён</t>
        </is>
      </c>
      <c r="U5395" s="35" t="inlineStr">
        <is>
          <t>Нет ОКВЭД/ССЧР</t>
        </is>
      </c>
      <c r="V5395" s="35" t="inlineStr">
        <is>
          <t>Не определено</t>
        </is>
      </c>
      <c r="W5395" s="35" t="inlineStr">
        <is>
          <t>Нет</t>
        </is>
      </c>
      <c r="X5395" s="35" t="inlineStr"/>
    </row>
    <row r="5396" ht="15" customHeight="1" s="24">
      <c r="A5396" s="13" t="n">
        <v>800406482</v>
      </c>
      <c r="B5396" s="13" t="inlineStr">
        <is>
          <t>ООО ТЭК "Киренскэнергосервис"</t>
        </is>
      </c>
      <c r="C5396" s="13" t="n">
        <v>3818025160</v>
      </c>
      <c r="D5396" s="13" t="inlineStr">
        <is>
          <t>3818025160</t>
        </is>
      </c>
      <c r="E5396" s="13" t="inlineStr">
        <is>
          <t>ЮЛ РФ</t>
        </is>
      </c>
      <c r="F5396" s="13" t="n"/>
      <c r="G5396" s="52" t="n">
        <v>3</v>
      </c>
      <c r="H5396" s="52" t="n">
        <v>2025</v>
      </c>
      <c r="I5396" s="14" t="n"/>
      <c r="J5396" s="14" t="n"/>
      <c r="K5396" s="53" t="inlineStr">
        <is>
          <t>Нет</t>
        </is>
      </c>
      <c r="L5396" s="53" t="inlineStr">
        <is>
          <t>Не определено</t>
        </is>
      </c>
      <c r="M5396" s="53" t="inlineStr">
        <is>
          <t>До 10</t>
        </is>
      </c>
      <c r="N5396" s="54" t="n">
        <v>3360</v>
      </c>
      <c r="O5396" s="55" t="inlineStr">
        <is>
          <t>1–15</t>
        </is>
      </c>
      <c r="P5396" s="16" t="inlineStr">
        <is>
          <t>ССЧР обогащена; ОКВЭД не найден/не загружен</t>
        </is>
      </c>
      <c r="Q5396" s="16" t="inlineStr">
        <is>
          <t>ФНС открытые данные ССЧР (ДатаСост 31.12.2025; набор 7707329152-sshr2019)</t>
        </is>
      </c>
      <c r="R5396" s="16">
        <f>HYPERLINK("https://checko.ru/search?query=3801001629","Чекко: проверить")</f>
        <v/>
      </c>
      <c r="S5396" t="n">
        <v>1</v>
      </c>
      <c r="T5396" s="35" t="inlineStr">
        <is>
          <t>4 — Не обогащён</t>
        </is>
      </c>
      <c r="U5396" s="35" t="inlineStr">
        <is>
          <t>Нет ОКВЭД/ССЧР</t>
        </is>
      </c>
      <c r="V5396" s="35" t="inlineStr">
        <is>
          <t>Не определено</t>
        </is>
      </c>
      <c r="W5396" s="35" t="inlineStr">
        <is>
          <t>Нет</t>
        </is>
      </c>
      <c r="X5396" s="35" t="inlineStr"/>
    </row>
    <row r="5397" ht="15" customHeight="1" s="24">
      <c r="A5397" s="13" t="n">
        <v>802384844</v>
      </c>
      <c r="B5397" s="13" t="inlineStr">
        <is>
          <t>ИП Паленга Наталья Анатольевна</t>
        </is>
      </c>
      <c r="C5397" s="13" t="n">
        <v>381100159349</v>
      </c>
      <c r="D5397" s="13" t="inlineStr">
        <is>
          <t>381100159349</t>
        </is>
      </c>
      <c r="E5397" s="13" t="inlineStr">
        <is>
          <t>ИП РФ / физлицо</t>
        </is>
      </c>
      <c r="F5397" s="13" t="n"/>
      <c r="G5397" s="14" t="n"/>
      <c r="H5397" s="14" t="n"/>
      <c r="I5397" s="14" t="n"/>
      <c r="J5397" s="14" t="n"/>
      <c r="K5397" s="53" t="inlineStr"/>
      <c r="L5397" s="53" t="inlineStr">
        <is>
          <t>Не определено</t>
        </is>
      </c>
      <c r="M5397" s="53" t="inlineStr"/>
      <c r="N5397" s="54" t="inlineStr"/>
      <c r="O5397" s="55" t="inlineStr"/>
      <c r="P5397" s="16" t="inlineStr">
        <is>
          <t>Требует обогащения</t>
        </is>
      </c>
      <c r="Q5397" s="16">
        <f>HYPERLINK("https://pb.nalog.ru/search.html?query=381100159349","ФНС: проверить")</f>
        <v/>
      </c>
      <c r="R5397" s="16">
        <f>HYPERLINK("https://checko.ru/search?query=3801001629","Чекко: проверить")</f>
        <v/>
      </c>
      <c r="S5397" t="n">
        <v>1</v>
      </c>
      <c r="T5397" s="35" t="inlineStr">
        <is>
          <t>4 — Не обогащён</t>
        </is>
      </c>
      <c r="U5397" s="35" t="inlineStr">
        <is>
          <t>Нет ОКВЭД/ССЧР</t>
        </is>
      </c>
      <c r="V5397" s="35" t="inlineStr">
        <is>
          <t>Не определено</t>
        </is>
      </c>
      <c r="W5397" s="35" t="inlineStr"/>
      <c r="X5397" s="35" t="inlineStr"/>
    </row>
    <row r="5398" ht="15" customHeight="1" s="24">
      <c r="A5398" s="13" t="n">
        <v>9784293</v>
      </c>
      <c r="B5398" s="13" t="inlineStr">
        <is>
          <t>АНО "Сибирский независимый испыт</t>
        </is>
      </c>
      <c r="C5398" s="13" t="n">
        <v>3848002321</v>
      </c>
      <c r="D5398" s="13" t="inlineStr">
        <is>
          <t>3848002321</t>
        </is>
      </c>
      <c r="E5398" s="13" t="inlineStr">
        <is>
          <t>ЮЛ РФ</t>
        </is>
      </c>
      <c r="F5398" s="13" t="n"/>
      <c r="G5398" s="14" t="n"/>
      <c r="H5398" s="14" t="n"/>
      <c r="I5398" s="14" t="n"/>
      <c r="J5398" s="14" t="n"/>
      <c r="K5398" s="53" t="inlineStr"/>
      <c r="L5398" s="53" t="inlineStr">
        <is>
          <t>Не определено</t>
        </is>
      </c>
      <c r="M5398" s="53" t="inlineStr"/>
      <c r="N5398" s="54" t="inlineStr"/>
      <c r="O5398" s="55" t="inlineStr"/>
      <c r="P5398" s="16" t="inlineStr">
        <is>
          <t>Требует обогащения</t>
        </is>
      </c>
      <c r="Q5398" s="16">
        <f>HYPERLINK("https://pb.nalog.ru/search.html?query=3848002321","ФНС: проверить")</f>
        <v/>
      </c>
      <c r="R5398" s="16">
        <f>HYPERLINK("https://checko.ru/search?query=3801001629","Чекко: проверить")</f>
        <v/>
      </c>
      <c r="S5398" t="n">
        <v>1</v>
      </c>
      <c r="T5398" s="35" t="inlineStr">
        <is>
          <t>4 — Не обогащён</t>
        </is>
      </c>
      <c r="U5398" s="35" t="inlineStr">
        <is>
          <t>Нет ОКВЭД/ССЧР</t>
        </is>
      </c>
      <c r="V5398" s="35" t="inlineStr">
        <is>
          <t>Не определено</t>
        </is>
      </c>
      <c r="W5398" s="35" t="inlineStr"/>
      <c r="X5398" s="35" t="inlineStr"/>
    </row>
    <row r="5399" ht="15" customHeight="1" s="24">
      <c r="A5399" s="13" t="n">
        <v>9124600</v>
      </c>
      <c r="B5399" s="13" t="inlineStr">
        <is>
          <t>ООО "ЦАВС"</t>
        </is>
      </c>
      <c r="C5399" s="13" t="n">
        <v>3808239437</v>
      </c>
      <c r="D5399" s="13" t="inlineStr">
        <is>
          <t>3808239437</t>
        </is>
      </c>
      <c r="E5399" s="13" t="inlineStr">
        <is>
          <t>ЮЛ РФ</t>
        </is>
      </c>
      <c r="F5399" s="13" t="n"/>
      <c r="G5399" s="52" t="n">
        <v>20</v>
      </c>
      <c r="H5399" s="52" t="n">
        <v>2025</v>
      </c>
      <c r="I5399" s="14" t="n"/>
      <c r="J5399" s="14" t="n"/>
      <c r="K5399" s="53" t="inlineStr">
        <is>
          <t>Нет</t>
        </is>
      </c>
      <c r="L5399" s="53" t="inlineStr">
        <is>
          <t>Не определено</t>
        </is>
      </c>
      <c r="M5399" s="53" t="inlineStr">
        <is>
          <t>До 25</t>
        </is>
      </c>
      <c r="N5399" s="54" t="n">
        <v>8400</v>
      </c>
      <c r="O5399" s="55" t="inlineStr">
        <is>
          <t>16–30</t>
        </is>
      </c>
      <c r="P5399" s="16" t="inlineStr">
        <is>
          <t>ССЧР обогащена; ОКВЭД не найден/не загружен</t>
        </is>
      </c>
      <c r="Q5399" s="16" t="inlineStr">
        <is>
          <t>ФНС открытые данные ССЧР (ДатаСост 31.12.2025; набор 7707329152-sshr2019)</t>
        </is>
      </c>
      <c r="R5399" s="16">
        <f>HYPERLINK("https://checko.ru/search?query=3801001629","Чекко: проверить")</f>
        <v/>
      </c>
      <c r="S5399" t="n">
        <v>1</v>
      </c>
      <c r="T5399" s="35" t="inlineStr">
        <is>
          <t>4 — Не обогащён</t>
        </is>
      </c>
      <c r="U5399" s="35" t="inlineStr">
        <is>
          <t>Нет ОКВЭД/ССЧР</t>
        </is>
      </c>
      <c r="V5399" s="35" t="inlineStr">
        <is>
          <t>Не определено</t>
        </is>
      </c>
      <c r="W5399" s="35" t="inlineStr">
        <is>
          <t>Нет</t>
        </is>
      </c>
      <c r="X5399" s="35" t="inlineStr"/>
    </row>
    <row r="5400" ht="27.75" customHeight="1" s="24">
      <c r="A5400" s="13" t="n">
        <v>802461930</v>
      </c>
      <c r="B5400" s="13" t="inlineStr">
        <is>
          <t>Общество с ограниченной ответственностью "ЭГИТИНСКИЙ ГОК ПЛЮС"</t>
        </is>
      </c>
      <c r="C5400" s="13" t="n">
        <v>326601656</v>
      </c>
      <c r="D5400" s="13" t="n"/>
      <c r="E5400" s="13" t="inlineStr">
        <is>
          <t>Не определён</t>
        </is>
      </c>
      <c r="F5400" s="13" t="inlineStr">
        <is>
          <t>326601656</t>
        </is>
      </c>
      <c r="G5400" s="14" t="n"/>
      <c r="H5400" s="14" t="n"/>
      <c r="I5400" s="14" t="n"/>
      <c r="J5400" s="14" t="n"/>
      <c r="K5400" s="13">
        <f>IF(G5400="","",IF(G5400&gt;=22,"Да","Нет"))</f>
        <v/>
      </c>
      <c r="L5400" s="13">
        <f>IF(OR(I5400="",J5400=""),"Не определено",IF(OR(COUNTIF(I5400,"45*")&gt;0,COUNTIF(J5400,"*45*")&gt;0,COUNTIF(I5400,"46*")&gt;0,COUNTIF(J5400,"*46*")&gt;0,COUNTIF(I5400,"47*")&gt;0,COUNTIF(J5400,"*47*")&gt;0,COUNTIF(I5400,"10*")&gt;0,COUNTIF(J5400,"*10*")&gt;0,COUNTIF(I5400,"11*")&gt;0,COUNTIF(J5400,"*11*")&gt;0,COUNTIF(I5400,"12*")&gt;0,COUNTIF(J5400,"*12*")&gt;0,COUNTIF(I5400,"13*")&gt;0,COUNTIF(J5400,"*13*")&gt;0,COUNTIF(I5400,"14*")&gt;0,COUNTIF(J5400,"*14*")&gt;0,COUNTIF(I5400,"15*")&gt;0,COUNTIF(J5400,"*15*")&gt;0,COUNTIF(I5400,"16*")&gt;0,COUNTIF(J5400,"*16*")&gt;0,COUNTIF(I5400,"17*")&gt;0,COUNTIF(J5400,"*17*")&gt;0,COUNTIF(I5400,"18*")&gt;0,COUNTIF(J5400,"*18*")&gt;0,COUNTIF(I5400,"19*")&gt;0,COUNTIF(J5400,"*19*")&gt;0,COUNTIF(I5400,"20*")&gt;0,COUNTIF(J5400,"*20*")&gt;0,COUNTIF(I5400,"21*")&gt;0,COUNTIF(J5400,"*21*")&gt;0,COUNTIF(I5400,"22*")&gt;0,COUNTIF(J5400,"*22*")&gt;0,COUNTIF(I5400,"23*")&gt;0,COUNTIF(J5400,"*23*")&gt;0,COUNTIF(I5400,"24*")&gt;0,COUNTIF(J5400,"*24*")&gt;0,COUNTIF(I5400,"25*")&gt;0,COUNTIF(J5400,"*25*")&gt;0,COUNTIF(I5400,"26*")&gt;0,COUNTIF(J5400,"*26*")&gt;0,COUNTIF(I5400,"27*")&gt;0,COUNTIF(J5400,"*27*")&gt;0,COUNTIF(I5400,"28*")&gt;0,COUNTIF(J5400,"*28*")&gt;0,COUNTIF(I5400,"29*")&gt;0,COUNTIF(J5400,"*29*")&gt;0,COUNTIF(I5400,"30*")&gt;0,COUNTIF(J5400,"*30*")&gt;0,COUNTIF(I5400,"31*")&gt;0,COUNTIF(J5400,"*31*")&gt;0,COUNTIF(I5400,"32*")&gt;0,COUNTIF(J5400,"*32*")&gt;0,COUNTIF(I5400,"33*")&gt;0,COUNTIF(J5400,"*33*")&gt;0,COUNTIF(I5400,"41*")&gt;0,COUNTIF(J5400,"*41*")&gt;0,COUNTIF(I5400,"42*")&gt;0,COUNTIF(J5400,"*42*")&gt;0,COUNTIF(I5400,"43*")&gt;0,COUNTIF(J5400,"*43*")&gt;0,COUNTIF(I5400,"49*")&gt;0,COUNTIF(J5400,"*49*")&gt;0,COUNTIF(I5400,"52*")&gt;0,COUNTIF(J5400,"*52*")&gt;0,COUNTIF(I5400,"55*")&gt;0,COUNTIF(J5400,"*55*")&gt;0,COUNTIF(I5400,"56*")&gt;0,COUNTIF(J5400,"*56*")&gt;0,COUNTIF(I5400,"68*")&gt;0,COUNTIF(J5400,"*68*")&gt;0,COUNTIF(I5400,"78*")&gt;0,COUNTIF(J5400,"*78*")&gt;0,COUNTIF(I5400,"81*")&gt;0,COUNTIF(J5400,"*81*")&gt;0,COUNTIF(I5400,"82*")&gt;0,COUNTIF(J5400,"*82*")&gt;0,COUNTIF(I5400,"64*")&gt;0,COUNTIF(J5400,"*64*")&gt;0,COUNTIF(I5400,"65*")&gt;0,COUNTIF(J5400,"*65*")&gt;0,COUNTIF(I5400,"66*")&gt;0,COUNTIF(J5400,"*66*")&gt;0,COUNTIF(I5400,"61*")&gt;0,COUNTIF(J5400,"*61*")&gt;0,COUNTIF(I5400,"62*")&gt;0,COUNTIF(J5400,"*62*")&gt;0,COUNTIF(I5400,"63*")&gt;0,COUNTIF(J5400,"*63*")&gt;0,COUNTIF(I5400,"85*")&gt;0,COUNTIF(J5400,"*85*")&gt;0,COUNTIF(I5400,"86*")&gt;0,COUNTIF(J5400,"*86*")&gt;0),"Да","Нет"))</f>
        <v/>
      </c>
      <c r="M5400" s="13">
        <f>IF(OR(G5400="",L5400&lt;&gt;"Да"),"",IF(G5400&lt;=100,"До 100",IF(G5400&lt;=200,"До 200",IF(G5400&lt;=500,"До 500","Отдельное КП"))))</f>
        <v/>
      </c>
      <c r="N5400" s="15">
        <f>IF(OR(G5400="",L5400&lt;&gt;"Да"),"",IF(G5400&lt;=100,33600,IF(G5400&lt;=200,62400,IF(G5400&lt;=500,144000,""))))</f>
        <v/>
      </c>
      <c r="O5400" s="16">
        <f>IF(G5400="","",IF(G5400&lt;=15,"1–15",IF(G5400&lt;=30,"16–30",IF(G5400&lt;=50,"31–50",IF(G5400&lt;=100,"51–100",IF(G5400&lt;=150,"101–150",IF(G5400&lt;=200,"151–200",IF(G5400&lt;=500,"201–500","500+"))))))))</f>
        <v/>
      </c>
      <c r="P5400" s="16" t="inlineStr">
        <is>
          <t>Нет совпадения в предоставленной выгрузке ССЧР</t>
        </is>
      </c>
      <c r="Q5400" s="16" t="n"/>
      <c r="R5400" s="16">
        <f>HYPERLINK("https://checko.ru/search?query=3801001629","Чекко: проверить")</f>
        <v/>
      </c>
      <c r="S5400" t="n">
        <v>0</v>
      </c>
    </row>
    <row r="5401" ht="15" customHeight="1" s="24">
      <c r="A5401" s="13" t="n">
        <v>9863672</v>
      </c>
      <c r="B5401" s="13" t="inlineStr">
        <is>
          <t>Иркутские ЭММ</t>
        </is>
      </c>
      <c r="C5401" s="13" t="n">
        <v>3849008051</v>
      </c>
      <c r="D5401" s="13" t="inlineStr">
        <is>
          <t>3849008051</t>
        </is>
      </c>
      <c r="E5401" s="13" t="inlineStr">
        <is>
          <t>ЮЛ РФ</t>
        </is>
      </c>
      <c r="F5401" s="13" t="n"/>
      <c r="G5401" s="52" t="n">
        <v>17</v>
      </c>
      <c r="H5401" s="52" t="n">
        <v>2025</v>
      </c>
      <c r="I5401" s="14" t="n"/>
      <c r="J5401" s="14" t="n"/>
      <c r="K5401" s="53" t="inlineStr">
        <is>
          <t>Нет</t>
        </is>
      </c>
      <c r="L5401" s="53" t="inlineStr">
        <is>
          <t>Не определено</t>
        </is>
      </c>
      <c r="M5401" s="53" t="inlineStr">
        <is>
          <t>До 25</t>
        </is>
      </c>
      <c r="N5401" s="54" t="n">
        <v>8400</v>
      </c>
      <c r="O5401" s="55" t="inlineStr">
        <is>
          <t>16–30</t>
        </is>
      </c>
      <c r="P5401" s="16" t="inlineStr">
        <is>
          <t>ССЧР обогащена; ОКВЭД не найден/не загружен</t>
        </is>
      </c>
      <c r="Q5401" s="16" t="inlineStr">
        <is>
          <t>ФНС открытые данные ССЧР (ДатаСост 31.12.2025; набор 7707329152-sshr2019)</t>
        </is>
      </c>
      <c r="R5401" s="16">
        <f>HYPERLINK("https://checko.ru/search?query=3801001629","Чекко: проверить")</f>
        <v/>
      </c>
      <c r="S5401" t="n">
        <v>1</v>
      </c>
      <c r="T5401" s="35" t="inlineStr">
        <is>
          <t>4 — Не обогащён</t>
        </is>
      </c>
      <c r="U5401" s="35" t="inlineStr">
        <is>
          <t>Нет ОКВЭД/ССЧР</t>
        </is>
      </c>
      <c r="V5401" s="35" t="inlineStr">
        <is>
          <t>Не определено</t>
        </is>
      </c>
      <c r="W5401" s="35" t="inlineStr">
        <is>
          <t>Нет</t>
        </is>
      </c>
      <c r="X5401" s="35" t="inlineStr"/>
    </row>
    <row r="5402" ht="15" customHeight="1" s="24">
      <c r="A5402" s="13" t="n">
        <v>9818175</v>
      </c>
      <c r="B5402" s="13" t="inlineStr">
        <is>
          <t>ООО "ВСТК"</t>
        </is>
      </c>
      <c r="C5402" s="13" t="n">
        <v>3810313286</v>
      </c>
      <c r="D5402" s="13" t="inlineStr">
        <is>
          <t>3810313286</t>
        </is>
      </c>
      <c r="E5402" s="13" t="inlineStr">
        <is>
          <t>ЮЛ РФ</t>
        </is>
      </c>
      <c r="F5402" s="13" t="n"/>
      <c r="G5402" s="52" t="n">
        <v>40</v>
      </c>
      <c r="H5402" s="52" t="n">
        <v>2025</v>
      </c>
      <c r="I5402" s="52" t="inlineStr">
        <is>
          <t>52.29</t>
        </is>
      </c>
      <c r="J5402" s="52" t="inlineStr">
        <is>
          <t>52.29; 49.41.1; 42.11; 43.12.3; 46.64; 46.69.2; 49.10; 49.20; 49.41; 52.10; 52.24; 52.24.2</t>
        </is>
      </c>
      <c r="K5402" s="53" t="inlineStr">
        <is>
          <t>Да</t>
        </is>
      </c>
      <c r="L5402" s="53" t="inlineStr">
        <is>
          <t>Да</t>
        </is>
      </c>
      <c r="M5402" s="53" t="inlineStr">
        <is>
          <t>До 50</t>
        </is>
      </c>
      <c r="N5402" s="54" t="n">
        <v>16800</v>
      </c>
      <c r="O5402" s="55" t="inlineStr">
        <is>
          <t>31–50</t>
        </is>
      </c>
      <c r="P5402" s="16" t="inlineStr">
        <is>
          <t>ССЧР + ОКВЭД обогащены</t>
        </is>
      </c>
      <c r="Q5402" s="16" t="inlineStr">
        <is>
          <t>ФНС открытые данные ССЧР (ДатаСост 31.12.2025; набор 7707329152-sshr2019)</t>
        </is>
      </c>
      <c r="R5402" s="16" t="inlineStr">
        <is>
          <t>ЕГРЮЛ / egrul.nalog.ru (выписка)</t>
        </is>
      </c>
      <c r="S5402" t="n">
        <v>1</v>
      </c>
      <c r="T5402" s="35" t="inlineStr">
        <is>
          <t>1 — Горячий</t>
        </is>
      </c>
      <c r="U5402" s="35" t="inlineStr">
        <is>
          <t>ОКВЭД + 22+</t>
        </is>
      </c>
      <c r="V5402" s="35" t="inlineStr">
        <is>
          <t>Да</t>
        </is>
      </c>
      <c r="W5402" s="35" t="inlineStr">
        <is>
          <t>Да</t>
        </is>
      </c>
      <c r="X5402" s="35" t="inlineStr">
        <is>
          <t>Да</t>
        </is>
      </c>
    </row>
    <row r="5403" ht="15" customHeight="1" s="24">
      <c r="A5403" s="13" t="n">
        <v>800843419</v>
      </c>
      <c r="B5403" s="13" t="inlineStr">
        <is>
          <t>ООО "Труд"</t>
        </is>
      </c>
      <c r="C5403" s="13" t="n">
        <v>3838004658</v>
      </c>
      <c r="D5403" s="13" t="inlineStr">
        <is>
          <t>3838004658</t>
        </is>
      </c>
      <c r="E5403" s="13" t="inlineStr">
        <is>
          <t>ЮЛ РФ</t>
        </is>
      </c>
      <c r="F5403" s="13" t="n"/>
      <c r="G5403" s="52" t="n">
        <v>4</v>
      </c>
      <c r="H5403" s="52" t="n">
        <v>2025</v>
      </c>
      <c r="I5403" s="14" t="n"/>
      <c r="J5403" s="14" t="n"/>
      <c r="K5403" s="53" t="inlineStr">
        <is>
          <t>Нет</t>
        </is>
      </c>
      <c r="L5403" s="53" t="inlineStr">
        <is>
          <t>Не определено</t>
        </is>
      </c>
      <c r="M5403" s="53" t="inlineStr">
        <is>
          <t>До 10</t>
        </is>
      </c>
      <c r="N5403" s="54" t="n">
        <v>3360</v>
      </c>
      <c r="O5403" s="55" t="inlineStr">
        <is>
          <t>1–15</t>
        </is>
      </c>
      <c r="P5403" s="16" t="inlineStr">
        <is>
          <t>ССЧР обогащена; ОКВЭД не найден/не загружен</t>
        </is>
      </c>
      <c r="Q5403" s="16" t="inlineStr">
        <is>
          <t>ФНС открытые данные ССЧР (ДатаСост 31.12.2025; набор 7707329152-sshr2019)</t>
        </is>
      </c>
      <c r="R5403" s="16">
        <f>HYPERLINK("https://checko.ru/search?query=3801001629","Чекко: проверить")</f>
        <v/>
      </c>
      <c r="S5403" t="n">
        <v>1</v>
      </c>
      <c r="T5403" s="35" t="inlineStr">
        <is>
          <t>4 — Не обогащён</t>
        </is>
      </c>
      <c r="U5403" s="35" t="inlineStr">
        <is>
          <t>Нет ОКВЭД/ССЧР</t>
        </is>
      </c>
      <c r="V5403" s="35" t="inlineStr">
        <is>
          <t>Не определено</t>
        </is>
      </c>
      <c r="W5403" s="35" t="inlineStr">
        <is>
          <t>Нет</t>
        </is>
      </c>
      <c r="X5403" s="35" t="inlineStr"/>
    </row>
    <row r="5404" ht="15" customHeight="1" s="24">
      <c r="A5404" s="13" t="n">
        <v>801606683</v>
      </c>
      <c r="B5404" s="13" t="inlineStr">
        <is>
          <t>ООО "БМК"</t>
        </is>
      </c>
      <c r="C5404" s="13" t="n">
        <v>3808203470</v>
      </c>
      <c r="D5404" s="13" t="inlineStr">
        <is>
          <t>3808203470</t>
        </is>
      </c>
      <c r="E5404" s="13" t="inlineStr">
        <is>
          <t>ЮЛ РФ</t>
        </is>
      </c>
      <c r="F5404" s="13" t="n"/>
      <c r="G5404" s="52" t="n">
        <v>24</v>
      </c>
      <c r="H5404" s="52" t="n">
        <v>2025</v>
      </c>
      <c r="I5404" s="52" t="inlineStr">
        <is>
          <t>62.02</t>
        </is>
      </c>
      <c r="J5404" s="52" t="inlineStr">
        <is>
          <t>62.02; 46.51; 46.52; 62.01; 62.03; 62.09; 63.11; 63.12; 68.20; 77.33</t>
        </is>
      </c>
      <c r="K5404" s="53" t="inlineStr">
        <is>
          <t>Да</t>
        </is>
      </c>
      <c r="L5404" s="53" t="inlineStr">
        <is>
          <t>Да</t>
        </is>
      </c>
      <c r="M5404" s="53" t="inlineStr">
        <is>
          <t>До 25</t>
        </is>
      </c>
      <c r="N5404" s="54" t="n">
        <v>8400</v>
      </c>
      <c r="O5404" s="55" t="inlineStr">
        <is>
          <t>16–30</t>
        </is>
      </c>
      <c r="P5404" s="16" t="inlineStr">
        <is>
          <t>ССЧР + ОКВЭД обогащены</t>
        </is>
      </c>
      <c r="Q5404" s="16" t="inlineStr">
        <is>
          <t>ФНС открытые данные ССЧР (ДатаСост 31.12.2025; набор 7707329152-sshr2019)</t>
        </is>
      </c>
      <c r="R5404" s="16" t="inlineStr">
        <is>
          <t>ЕГРЮЛ / egrul.nalog.ru (выписка)</t>
        </is>
      </c>
      <c r="S5404" t="n">
        <v>1</v>
      </c>
      <c r="T5404" s="35" t="inlineStr">
        <is>
          <t>1 — Горячий</t>
        </is>
      </c>
      <c r="U5404" s="35" t="inlineStr">
        <is>
          <t>ОКВЭД + 22+</t>
        </is>
      </c>
      <c r="V5404" s="35" t="inlineStr">
        <is>
          <t>Да</t>
        </is>
      </c>
      <c r="W5404" s="35" t="inlineStr">
        <is>
          <t>Да</t>
        </is>
      </c>
      <c r="X5404" s="35" t="inlineStr">
        <is>
          <t>Да</t>
        </is>
      </c>
    </row>
    <row r="5405" ht="15" customHeight="1" s="24">
      <c r="A5405" s="13" t="n">
        <v>800062998</v>
      </c>
      <c r="B5405" s="13" t="inlineStr">
        <is>
          <t>ООО «ЛИСТ»</t>
        </is>
      </c>
      <c r="C5405" s="13" t="n">
        <v>9722089935</v>
      </c>
      <c r="D5405" s="13" t="inlineStr">
        <is>
          <t>9722089935</t>
        </is>
      </c>
      <c r="E5405" s="13" t="inlineStr">
        <is>
          <t>ЮЛ РФ</t>
        </is>
      </c>
      <c r="F5405" s="13" t="n"/>
      <c r="G5405" s="52" t="n">
        <v>2</v>
      </c>
      <c r="H5405" s="52" t="n">
        <v>2025</v>
      </c>
      <c r="I5405" s="14" t="n"/>
      <c r="J5405" s="14" t="n"/>
      <c r="K5405" s="53" t="inlineStr">
        <is>
          <t>Нет</t>
        </is>
      </c>
      <c r="L5405" s="53" t="inlineStr">
        <is>
          <t>Не определено</t>
        </is>
      </c>
      <c r="M5405" s="53" t="inlineStr">
        <is>
          <t>До 10</t>
        </is>
      </c>
      <c r="N5405" s="54" t="n">
        <v>3360</v>
      </c>
      <c r="O5405" s="55" t="inlineStr">
        <is>
          <t>1–15</t>
        </is>
      </c>
      <c r="P5405" s="16" t="inlineStr">
        <is>
          <t>ССЧР обогащена; ОКВЭД не найден/не загружен</t>
        </is>
      </c>
      <c r="Q5405" s="16" t="inlineStr">
        <is>
          <t>ФНС открытые данные ССЧР (ДатаСост 31.12.2025; набор 7707329152-sshr2019)</t>
        </is>
      </c>
      <c r="R5405" s="16">
        <f>HYPERLINK("https://checko.ru/search?query=3801001629","Чекко: проверить")</f>
        <v/>
      </c>
      <c r="S5405" t="n">
        <v>1</v>
      </c>
      <c r="T5405" s="35" t="inlineStr">
        <is>
          <t>4 — Не обогащён</t>
        </is>
      </c>
      <c r="U5405" s="35" t="inlineStr">
        <is>
          <t>Нет ОКВЭД/ССЧР</t>
        </is>
      </c>
      <c r="V5405" s="35" t="inlineStr">
        <is>
          <t>Не определено</t>
        </is>
      </c>
      <c r="W5405" s="35" t="inlineStr">
        <is>
          <t>Нет</t>
        </is>
      </c>
      <c r="X5405" s="35" t="inlineStr"/>
    </row>
    <row r="5406" ht="15" customHeight="1" s="24">
      <c r="A5406" s="13" t="n">
        <v>802403240</v>
      </c>
      <c r="B5406" s="13" t="inlineStr">
        <is>
          <t>ООО "КШП Г.ТУЛУНА"</t>
        </is>
      </c>
      <c r="C5406" s="13" t="n">
        <v>3816036712</v>
      </c>
      <c r="D5406" s="13" t="inlineStr">
        <is>
          <t>3816036712</t>
        </is>
      </c>
      <c r="E5406" s="13" t="inlineStr">
        <is>
          <t>ЮЛ РФ</t>
        </is>
      </c>
      <c r="F5406" s="13" t="n"/>
      <c r="G5406" s="52" t="n">
        <v>73</v>
      </c>
      <c r="H5406" s="52" t="n">
        <v>2025</v>
      </c>
      <c r="I5406" s="52" t="inlineStr">
        <is>
          <t>56.29.2</t>
        </is>
      </c>
      <c r="J5406" s="52" t="inlineStr">
        <is>
          <t>56.29.2; 10.71; 56.10.1; 56.21; 56.29; 56.29.1</t>
        </is>
      </c>
      <c r="K5406" s="53" t="inlineStr">
        <is>
          <t>Да</t>
        </is>
      </c>
      <c r="L5406" s="53" t="inlineStr">
        <is>
          <t>Да</t>
        </is>
      </c>
      <c r="M5406" s="53" t="inlineStr">
        <is>
          <t>До 100</t>
        </is>
      </c>
      <c r="N5406" s="54" t="n">
        <v>33600</v>
      </c>
      <c r="O5406" s="55" t="inlineStr">
        <is>
          <t>51–100</t>
        </is>
      </c>
      <c r="P5406" s="16" t="inlineStr">
        <is>
          <t>ССЧР + ОКВЭД обогащены</t>
        </is>
      </c>
      <c r="Q5406" s="16" t="inlineStr">
        <is>
          <t>ФНС открытые данные ССЧР (ДатаСост 31.12.2025; набор 7707329152-sshr2019)</t>
        </is>
      </c>
      <c r="R5406" s="16" t="inlineStr">
        <is>
          <t>ЕГРЮЛ / egrul.nalog.ru (выписка)</t>
        </is>
      </c>
      <c r="S5406" t="n">
        <v>1</v>
      </c>
      <c r="T5406" s="35" t="inlineStr">
        <is>
          <t>1 — Горячий</t>
        </is>
      </c>
      <c r="U5406" s="35" t="inlineStr">
        <is>
          <t>ОКВЭД + 22+</t>
        </is>
      </c>
      <c r="V5406" s="35" t="inlineStr">
        <is>
          <t>Да</t>
        </is>
      </c>
      <c r="W5406" s="35" t="inlineStr">
        <is>
          <t>Да</t>
        </is>
      </c>
      <c r="X5406" s="35" t="inlineStr">
        <is>
          <t>Да</t>
        </is>
      </c>
    </row>
    <row r="5407" ht="15" customHeight="1" s="24">
      <c r="A5407" s="13" t="n">
        <v>800520258</v>
      </c>
      <c r="B5407" s="13" t="inlineStr">
        <is>
          <t>ФМК ИО МКК</t>
        </is>
      </c>
      <c r="C5407" s="13" t="n">
        <v>3801990027</v>
      </c>
      <c r="D5407" s="13" t="inlineStr">
        <is>
          <t>3801990027</t>
        </is>
      </c>
      <c r="E5407" s="13" t="inlineStr">
        <is>
          <t>ЮЛ РФ</t>
        </is>
      </c>
      <c r="F5407" s="13" t="n"/>
      <c r="G5407" s="14" t="n"/>
      <c r="H5407" s="14" t="n"/>
      <c r="I5407" s="14" t="n"/>
      <c r="J5407" s="14" t="n"/>
      <c r="K5407" s="53" t="inlineStr"/>
      <c r="L5407" s="53" t="inlineStr">
        <is>
          <t>Не определено</t>
        </is>
      </c>
      <c r="M5407" s="53" t="inlineStr"/>
      <c r="N5407" s="54" t="inlineStr"/>
      <c r="O5407" s="55" t="inlineStr"/>
      <c r="P5407" s="16" t="inlineStr">
        <is>
          <t>Требует обогащения</t>
        </is>
      </c>
      <c r="Q5407" s="16">
        <f>HYPERLINK("https://pb.nalog.ru/search.html?query=3801990027","ФНС: проверить")</f>
        <v/>
      </c>
      <c r="R5407" s="16">
        <f>HYPERLINK("https://checko.ru/search?query=3801001629","Чекко: проверить")</f>
        <v/>
      </c>
      <c r="S5407" t="n">
        <v>1</v>
      </c>
      <c r="T5407" s="35" t="inlineStr">
        <is>
          <t>4 — Не обогащён</t>
        </is>
      </c>
      <c r="U5407" s="35" t="inlineStr">
        <is>
          <t>Нет ОКВЭД/ССЧР</t>
        </is>
      </c>
      <c r="V5407" s="35" t="inlineStr">
        <is>
          <t>Не определено</t>
        </is>
      </c>
      <c r="W5407" s="35" t="inlineStr"/>
      <c r="X5407" s="35" t="inlineStr"/>
    </row>
    <row r="5408" ht="15" customHeight="1" s="24">
      <c r="A5408" s="13" t="n">
        <v>9870144</v>
      </c>
      <c r="B5408" s="13" t="inlineStr">
        <is>
          <t>ООО "НАВИГАТОР"</t>
        </is>
      </c>
      <c r="C5408" s="13" t="n">
        <v>3810340674</v>
      </c>
      <c r="D5408" s="13" t="inlineStr">
        <is>
          <t>3810340674</t>
        </is>
      </c>
      <c r="E5408" s="13" t="inlineStr">
        <is>
          <t>ЮЛ РФ</t>
        </is>
      </c>
      <c r="F5408" s="13" t="n"/>
      <c r="G5408" s="52" t="n">
        <v>51</v>
      </c>
      <c r="H5408" s="52" t="n">
        <v>2025</v>
      </c>
      <c r="I5408" s="52" t="inlineStr">
        <is>
          <t>43.13</t>
        </is>
      </c>
      <c r="J5408" s="52" t="inlineStr">
        <is>
          <t>43.13; 45.20; 49.41.3; 52.10.9; 52.21.24; 52.29; 62.09; 63.11.1; 68.10; 68.10.1; 68.20; 68.32; 71.12.3; 71.12.4; 71.12.5; 71.12.6; 71.12.9; 71.12.41; 71.12.42; 71.12.43; 71.12.44; 71.12.45</t>
        </is>
      </c>
      <c r="K5408" s="53" t="inlineStr">
        <is>
          <t>Да</t>
        </is>
      </c>
      <c r="L5408" s="53" t="inlineStr">
        <is>
          <t>Да</t>
        </is>
      </c>
      <c r="M5408" s="53" t="inlineStr">
        <is>
          <t>До 100</t>
        </is>
      </c>
      <c r="N5408" s="54" t="n">
        <v>33600</v>
      </c>
      <c r="O5408" s="55" t="inlineStr">
        <is>
          <t>51–100</t>
        </is>
      </c>
      <c r="P5408" s="16" t="inlineStr">
        <is>
          <t>ССЧР + ОКВЭД обогащены</t>
        </is>
      </c>
      <c r="Q5408" s="16" t="inlineStr">
        <is>
          <t>ФНС открытые данные ССЧР (ДатаСост 31.12.2025; набор 7707329152-sshr2019)</t>
        </is>
      </c>
      <c r="R5408" s="16" t="inlineStr">
        <is>
          <t>ЕГРЮЛ / egrul.nalog.ru (выписка)</t>
        </is>
      </c>
      <c r="S5408" t="n">
        <v>1</v>
      </c>
      <c r="T5408" s="35" t="inlineStr">
        <is>
          <t>1 — Горячий</t>
        </is>
      </c>
      <c r="U5408" s="35" t="inlineStr">
        <is>
          <t>ОКВЭД + 22+</t>
        </is>
      </c>
      <c r="V5408" s="35" t="inlineStr">
        <is>
          <t>Да</t>
        </is>
      </c>
      <c r="W5408" s="35" t="inlineStr">
        <is>
          <t>Да</t>
        </is>
      </c>
      <c r="X5408" s="35" t="inlineStr">
        <is>
          <t>Да</t>
        </is>
      </c>
    </row>
    <row r="5409" ht="15" customHeight="1" s="24">
      <c r="A5409" s="13" t="n">
        <v>9130984</v>
      </c>
      <c r="B5409" s="13" t="inlineStr">
        <is>
          <t>ИП Рютина Светлана Павловна</t>
        </is>
      </c>
      <c r="C5409" s="13" t="n">
        <v>380401113811</v>
      </c>
      <c r="D5409" s="13" t="inlineStr">
        <is>
          <t>380401113811</t>
        </is>
      </c>
      <c r="E5409" s="13" t="inlineStr">
        <is>
          <t>ИП РФ / физлицо</t>
        </is>
      </c>
      <c r="F5409" s="13" t="n"/>
      <c r="G5409" s="14" t="n"/>
      <c r="H5409" s="14" t="n"/>
      <c r="I5409" s="14" t="n"/>
      <c r="J5409" s="14" t="n"/>
      <c r="K5409" s="53" t="inlineStr"/>
      <c r="L5409" s="53" t="inlineStr">
        <is>
          <t>Не определено</t>
        </is>
      </c>
      <c r="M5409" s="53" t="inlineStr"/>
      <c r="N5409" s="54" t="inlineStr"/>
      <c r="O5409" s="55" t="inlineStr"/>
      <c r="P5409" s="16" t="inlineStr">
        <is>
          <t>Требует обогащения</t>
        </is>
      </c>
      <c r="Q5409" s="16">
        <f>HYPERLINK("https://pb.nalog.ru/search.html?query=380401113811","ФНС: проверить")</f>
        <v/>
      </c>
      <c r="R5409" s="16">
        <f>HYPERLINK("https://checko.ru/search?query=3801001629","Чекко: проверить")</f>
        <v/>
      </c>
      <c r="S5409" t="n">
        <v>1</v>
      </c>
      <c r="T5409" s="35" t="inlineStr">
        <is>
          <t>4 — Не обогащён</t>
        </is>
      </c>
      <c r="U5409" s="35" t="inlineStr">
        <is>
          <t>Нет ОКВЭД/ССЧР</t>
        </is>
      </c>
      <c r="V5409" s="35" t="inlineStr">
        <is>
          <t>Не определено</t>
        </is>
      </c>
      <c r="W5409" s="35" t="inlineStr"/>
      <c r="X5409" s="35" t="inlineStr"/>
    </row>
    <row r="5410" ht="27.75" customHeight="1" s="24">
      <c r="A5410" s="13" t="n">
        <v>802174585</v>
      </c>
      <c r="B5410" s="13" t="inlineStr">
        <is>
          <t>ОБЩЕСТВО С ОГРАНИЧЕННОЙ ОТВЕТСТВЕННОСТЬЮ "КАМАМБЕР"</t>
        </is>
      </c>
      <c r="C5410" s="13" t="n">
        <v>3812999254</v>
      </c>
      <c r="D5410" s="13" t="inlineStr">
        <is>
          <t>3812999254</t>
        </is>
      </c>
      <c r="E5410" s="13" t="inlineStr">
        <is>
          <t>ЮЛ РФ</t>
        </is>
      </c>
      <c r="F5410" s="13" t="n"/>
      <c r="G5410" s="52" t="n">
        <v>1</v>
      </c>
      <c r="H5410" s="52" t="n">
        <v>2025</v>
      </c>
      <c r="I5410" s="14" t="n"/>
      <c r="J5410" s="14" t="n"/>
      <c r="K5410" s="53" t="inlineStr">
        <is>
          <t>Нет</t>
        </is>
      </c>
      <c r="L5410" s="53" t="inlineStr">
        <is>
          <t>Не определено</t>
        </is>
      </c>
      <c r="M5410" s="53" t="inlineStr">
        <is>
          <t>До 10</t>
        </is>
      </c>
      <c r="N5410" s="54" t="n">
        <v>3360</v>
      </c>
      <c r="O5410" s="55" t="inlineStr">
        <is>
          <t>1–15</t>
        </is>
      </c>
      <c r="P5410" s="16" t="inlineStr">
        <is>
          <t>ССЧР обогащена; ОКВЭД не найден/не загружен</t>
        </is>
      </c>
      <c r="Q5410" s="16" t="inlineStr">
        <is>
          <t>ФНС открытые данные ССЧР (ДатаСост 31.12.2025; набор 7707329152-sshr2019)</t>
        </is>
      </c>
      <c r="R5410" s="16">
        <f>HYPERLINK("https://checko.ru/search?query=3801001629","Чекко: проверить")</f>
        <v/>
      </c>
      <c r="S5410" t="n">
        <v>1</v>
      </c>
      <c r="T5410" s="35" t="inlineStr">
        <is>
          <t>4 — Не обогащён</t>
        </is>
      </c>
      <c r="U5410" s="35" t="inlineStr">
        <is>
          <t>Нет ОКВЭД/ССЧР</t>
        </is>
      </c>
      <c r="V5410" s="35" t="inlineStr">
        <is>
          <t>Не определено</t>
        </is>
      </c>
      <c r="W5410" s="35" t="inlineStr">
        <is>
          <t>Нет</t>
        </is>
      </c>
      <c r="X5410" s="35" t="inlineStr"/>
    </row>
    <row r="5411" ht="15" customHeight="1" s="24">
      <c r="A5411" s="13" t="n">
        <v>801614877</v>
      </c>
      <c r="B5411" s="13" t="inlineStr">
        <is>
          <t>ООО Рубеж</t>
        </is>
      </c>
      <c r="C5411" s="13" t="n">
        <v>3804019007</v>
      </c>
      <c r="D5411" s="13" t="inlineStr">
        <is>
          <t>3804019007</t>
        </is>
      </c>
      <c r="E5411" s="13" t="inlineStr">
        <is>
          <t>ЮЛ РФ</t>
        </is>
      </c>
      <c r="F5411" s="13" t="n"/>
      <c r="G5411" s="52" t="n">
        <v>33</v>
      </c>
      <c r="H5411" s="52" t="n">
        <v>2025</v>
      </c>
      <c r="I5411" s="52" t="inlineStr">
        <is>
          <t>33.14</t>
        </is>
      </c>
      <c r="J5411" s="52" t="inlineStr">
        <is>
          <t>33.14; 33.20; 43.21; 71.12</t>
        </is>
      </c>
      <c r="K5411" s="53" t="inlineStr">
        <is>
          <t>Да</t>
        </is>
      </c>
      <c r="L5411" s="53" t="inlineStr">
        <is>
          <t>Да</t>
        </is>
      </c>
      <c r="M5411" s="53" t="inlineStr">
        <is>
          <t>До 50</t>
        </is>
      </c>
      <c r="N5411" s="54" t="n">
        <v>16800</v>
      </c>
      <c r="O5411" s="55" t="inlineStr">
        <is>
          <t>31–50</t>
        </is>
      </c>
      <c r="P5411" s="16" t="inlineStr">
        <is>
          <t>ССЧР + ОКВЭД обогащены</t>
        </is>
      </c>
      <c r="Q5411" s="16" t="inlineStr">
        <is>
          <t>ФНС открытые данные ССЧР (ДатаСост 31.12.2025; набор 7707329152-sshr2019)</t>
        </is>
      </c>
      <c r="R5411" s="16" t="inlineStr">
        <is>
          <t>ЕГРЮЛ / egrul.nalog.ru (выписка)</t>
        </is>
      </c>
      <c r="S5411" t="n">
        <v>1</v>
      </c>
      <c r="T5411" s="35" t="inlineStr">
        <is>
          <t>1 — Горячий</t>
        </is>
      </c>
      <c r="U5411" s="35" t="inlineStr">
        <is>
          <t>ОКВЭД + 22+</t>
        </is>
      </c>
      <c r="V5411" s="35" t="inlineStr">
        <is>
          <t>Да</t>
        </is>
      </c>
      <c r="W5411" s="35" t="inlineStr">
        <is>
          <t>Да</t>
        </is>
      </c>
      <c r="X5411" s="35" t="inlineStr">
        <is>
          <t>Да</t>
        </is>
      </c>
    </row>
    <row r="5412" ht="15" customHeight="1" s="24">
      <c r="A5412" s="13" t="n">
        <v>802465212</v>
      </c>
      <c r="B5412" s="13" t="inlineStr">
        <is>
          <t>ООО "ВЕКТОР ФИТНЕС ХОЛЛ"</t>
        </is>
      </c>
      <c r="C5412" s="13" t="n">
        <v>3811445077</v>
      </c>
      <c r="D5412" s="13" t="inlineStr">
        <is>
          <t>3811445077</t>
        </is>
      </c>
      <c r="E5412" s="13" t="inlineStr">
        <is>
          <t>ЮЛ РФ</t>
        </is>
      </c>
      <c r="F5412" s="13" t="n"/>
      <c r="G5412" s="52" t="n">
        <v>21</v>
      </c>
      <c r="H5412" s="52" t="n">
        <v>2025</v>
      </c>
      <c r="I5412" s="14" t="n"/>
      <c r="J5412" s="14" t="n"/>
      <c r="K5412" s="53" t="inlineStr">
        <is>
          <t>Нет</t>
        </is>
      </c>
      <c r="L5412" s="53" t="inlineStr">
        <is>
          <t>Не определено</t>
        </is>
      </c>
      <c r="M5412" s="53" t="inlineStr">
        <is>
          <t>До 25</t>
        </is>
      </c>
      <c r="N5412" s="54" t="n">
        <v>8400</v>
      </c>
      <c r="O5412" s="55" t="inlineStr">
        <is>
          <t>16–30</t>
        </is>
      </c>
      <c r="P5412" s="16" t="inlineStr">
        <is>
          <t>ССЧР обогащена; ОКВЭД не найден/не загружен</t>
        </is>
      </c>
      <c r="Q5412" s="16" t="inlineStr">
        <is>
          <t>ФНС открытые данные ССЧР (ДатаСост 31.12.2025; набор 7707329152-sshr2019)</t>
        </is>
      </c>
      <c r="R5412" s="16">
        <f>HYPERLINK("https://checko.ru/search?query=3801001629","Чекко: проверить")</f>
        <v/>
      </c>
      <c r="S5412" t="n">
        <v>1</v>
      </c>
      <c r="T5412" s="35" t="inlineStr">
        <is>
          <t>4 — Не обогащён</t>
        </is>
      </c>
      <c r="U5412" s="35" t="inlineStr">
        <is>
          <t>Нет ОКВЭД/ССЧР</t>
        </is>
      </c>
      <c r="V5412" s="35" t="inlineStr">
        <is>
          <t>Не определено</t>
        </is>
      </c>
      <c r="W5412" s="35" t="inlineStr">
        <is>
          <t>Нет</t>
        </is>
      </c>
      <c r="X5412" s="35" t="inlineStr"/>
    </row>
    <row r="5413" ht="15" customHeight="1" s="24">
      <c r="A5413" s="13" t="n">
        <v>9148603</v>
      </c>
      <c r="B5413" s="13" t="inlineStr">
        <is>
          <t>ТРАНССЕРВИСИРКУТСК ООО</t>
        </is>
      </c>
      <c r="C5413" s="13" t="n">
        <v>3810071492</v>
      </c>
      <c r="D5413" s="13" t="inlineStr">
        <is>
          <t>3810071492</t>
        </is>
      </c>
      <c r="E5413" s="13" t="inlineStr">
        <is>
          <t>ЮЛ РФ</t>
        </is>
      </c>
      <c r="F5413" s="13" t="n"/>
      <c r="G5413" s="52" t="n">
        <v>6</v>
      </c>
      <c r="H5413" s="52" t="n">
        <v>2025</v>
      </c>
      <c r="I5413" s="14" t="n"/>
      <c r="J5413" s="14" t="n"/>
      <c r="K5413" s="53" t="inlineStr">
        <is>
          <t>Нет</t>
        </is>
      </c>
      <c r="L5413" s="53" t="inlineStr">
        <is>
          <t>Не определено</t>
        </is>
      </c>
      <c r="M5413" s="53" t="inlineStr">
        <is>
          <t>До 10</t>
        </is>
      </c>
      <c r="N5413" s="54" t="n">
        <v>3360</v>
      </c>
      <c r="O5413" s="55" t="inlineStr">
        <is>
          <t>1–15</t>
        </is>
      </c>
      <c r="P5413" s="16" t="inlineStr">
        <is>
          <t>ССЧР обогащена; ОКВЭД не найден/не загружен</t>
        </is>
      </c>
      <c r="Q5413" s="16" t="inlineStr">
        <is>
          <t>ФНС открытые данные ССЧР (ДатаСост 31.12.2025; набор 7707329152-sshr2019)</t>
        </is>
      </c>
      <c r="R5413" s="16">
        <f>HYPERLINK("https://checko.ru/search?query=3801001629","Чекко: проверить")</f>
        <v/>
      </c>
      <c r="S5413" t="n">
        <v>1</v>
      </c>
      <c r="T5413" s="35" t="inlineStr">
        <is>
          <t>4 — Не обогащён</t>
        </is>
      </c>
      <c r="U5413" s="35" t="inlineStr">
        <is>
          <t>Нет ОКВЭД/ССЧР</t>
        </is>
      </c>
      <c r="V5413" s="35" t="inlineStr">
        <is>
          <t>Не определено</t>
        </is>
      </c>
      <c r="W5413" s="35" t="inlineStr">
        <is>
          <t>Нет</t>
        </is>
      </c>
      <c r="X5413" s="35" t="inlineStr"/>
    </row>
    <row r="5414" ht="15" customHeight="1" s="24">
      <c r="A5414" s="13" t="n">
        <v>9197634</v>
      </c>
      <c r="B5414" s="13" t="inlineStr">
        <is>
          <t>ООО ПКЦ "Энергоремонт"</t>
        </is>
      </c>
      <c r="C5414" s="13" t="n">
        <v>3808054179</v>
      </c>
      <c r="D5414" s="13" t="inlineStr">
        <is>
          <t>3808054179</t>
        </is>
      </c>
      <c r="E5414" s="13" t="inlineStr">
        <is>
          <t>ЮЛ РФ</t>
        </is>
      </c>
      <c r="F5414" s="13" t="n"/>
      <c r="G5414" s="52" t="n">
        <v>64</v>
      </c>
      <c r="H5414" s="52" t="n">
        <v>2025</v>
      </c>
      <c r="I5414" s="52" t="inlineStr">
        <is>
          <t>33.12</t>
        </is>
      </c>
      <c r="J5414" s="52" t="inlineStr">
        <is>
          <t>33.12; 27.12; 42.22.3; 52.10; 52.24; 52.29; 63.11.1; 84.24</t>
        </is>
      </c>
      <c r="K5414" s="53" t="inlineStr">
        <is>
          <t>Да</t>
        </is>
      </c>
      <c r="L5414" s="53" t="inlineStr">
        <is>
          <t>Да</t>
        </is>
      </c>
      <c r="M5414" s="53" t="inlineStr">
        <is>
          <t>До 100</t>
        </is>
      </c>
      <c r="N5414" s="54" t="n">
        <v>33600</v>
      </c>
      <c r="O5414" s="55" t="inlineStr">
        <is>
          <t>51–100</t>
        </is>
      </c>
      <c r="P5414" s="16" t="inlineStr">
        <is>
          <t>ССЧР + ОКВЭД обогащены</t>
        </is>
      </c>
      <c r="Q5414" s="16" t="inlineStr">
        <is>
          <t>ФНС открытые данные ССЧР (ДатаСост 31.12.2025; набор 7707329152-sshr2019)</t>
        </is>
      </c>
      <c r="R5414" s="16" t="inlineStr">
        <is>
          <t>ЕГРЮЛ / egrul.nalog.ru (выписка)</t>
        </is>
      </c>
      <c r="S5414" t="n">
        <v>1</v>
      </c>
      <c r="T5414" s="35" t="inlineStr">
        <is>
          <t>1 — Горячий</t>
        </is>
      </c>
      <c r="U5414" s="35" t="inlineStr">
        <is>
          <t>ОКВЭД + 22+</t>
        </is>
      </c>
      <c r="V5414" s="35" t="inlineStr">
        <is>
          <t>Да</t>
        </is>
      </c>
      <c r="W5414" s="35" t="inlineStr">
        <is>
          <t>Да</t>
        </is>
      </c>
      <c r="X5414" s="35" t="inlineStr">
        <is>
          <t>Да</t>
        </is>
      </c>
    </row>
    <row r="5415" ht="27.75" customHeight="1" s="24">
      <c r="A5415" s="13" t="n">
        <v>804668077</v>
      </c>
      <c r="B5415" s="13" t="inlineStr">
        <is>
          <t>Общество с ограниченной ответственностью "Промлесторг"</t>
        </is>
      </c>
      <c r="C5415" s="13" t="n">
        <v>3805715575</v>
      </c>
      <c r="D5415" s="13" t="inlineStr">
        <is>
          <t>3805715575</t>
        </is>
      </c>
      <c r="E5415" s="13" t="inlineStr">
        <is>
          <t>ЮЛ РФ</t>
        </is>
      </c>
      <c r="F5415" s="13" t="n"/>
      <c r="G5415" s="52" t="n">
        <v>2</v>
      </c>
      <c r="H5415" s="52" t="n">
        <v>2025</v>
      </c>
      <c r="I5415" s="14" t="n"/>
      <c r="J5415" s="14" t="n"/>
      <c r="K5415" s="53" t="inlineStr">
        <is>
          <t>Нет</t>
        </is>
      </c>
      <c r="L5415" s="53" t="inlineStr">
        <is>
          <t>Не определено</t>
        </is>
      </c>
      <c r="M5415" s="53" t="inlineStr">
        <is>
          <t>До 10</t>
        </is>
      </c>
      <c r="N5415" s="54" t="n">
        <v>3360</v>
      </c>
      <c r="O5415" s="55" t="inlineStr">
        <is>
          <t>1–15</t>
        </is>
      </c>
      <c r="P5415" s="16" t="inlineStr">
        <is>
          <t>ССЧР обогащена; ОКВЭД не найден/не загружен</t>
        </is>
      </c>
      <c r="Q5415" s="16" t="inlineStr">
        <is>
          <t>ФНС открытые данные ССЧР (ДатаСост 31.12.2025; набор 7707329152-sshr2019)</t>
        </is>
      </c>
      <c r="R5415" s="16">
        <f>HYPERLINK("https://checko.ru/search?query=3801001629","Чекко: проверить")</f>
        <v/>
      </c>
      <c r="S5415" t="n">
        <v>1</v>
      </c>
      <c r="T5415" s="35" t="inlineStr">
        <is>
          <t>4 — Не обогащён</t>
        </is>
      </c>
      <c r="U5415" s="35" t="inlineStr">
        <is>
          <t>Нет ОКВЭД/ССЧР</t>
        </is>
      </c>
      <c r="V5415" s="35" t="inlineStr">
        <is>
          <t>Не определено</t>
        </is>
      </c>
      <c r="W5415" s="35" t="inlineStr">
        <is>
          <t>Нет</t>
        </is>
      </c>
      <c r="X5415" s="35" t="inlineStr"/>
    </row>
    <row r="5416" ht="41.25" customHeight="1" s="24">
      <c r="A5416" s="13" t="n">
        <v>804669650</v>
      </c>
      <c r="B5416" s="13" t="inlineStr">
        <is>
          <t>ОБЩЕСТВО С ОГРАНИЧЕННОЙ ОТВЕТСТВЕННОСТЬЮ "БАЙКАЛЬСКИЕ ЭНЕРГЕТИЧЕСКИЕ ТЕХНОЛОГИИ"</t>
        </is>
      </c>
      <c r="C5416" s="13" t="n">
        <v>3812538422</v>
      </c>
      <c r="D5416" s="13" t="inlineStr">
        <is>
          <t>3812538422</t>
        </is>
      </c>
      <c r="E5416" s="13" t="inlineStr">
        <is>
          <t>ЮЛ РФ</t>
        </is>
      </c>
      <c r="F5416" s="13" t="n"/>
      <c r="G5416" s="52" t="n">
        <v>5</v>
      </c>
      <c r="H5416" s="52" t="n">
        <v>2025</v>
      </c>
      <c r="I5416" s="14" t="n"/>
      <c r="J5416" s="14" t="n"/>
      <c r="K5416" s="53" t="inlineStr">
        <is>
          <t>Нет</t>
        </is>
      </c>
      <c r="L5416" s="53" t="inlineStr">
        <is>
          <t>Не определено</t>
        </is>
      </c>
      <c r="M5416" s="53" t="inlineStr">
        <is>
          <t>До 10</t>
        </is>
      </c>
      <c r="N5416" s="54" t="n">
        <v>3360</v>
      </c>
      <c r="O5416" s="55" t="inlineStr">
        <is>
          <t>1–15</t>
        </is>
      </c>
      <c r="P5416" s="16" t="inlineStr">
        <is>
          <t>ССЧР обогащена; ОКВЭД не найден/не загружен</t>
        </is>
      </c>
      <c r="Q5416" s="16" t="inlineStr">
        <is>
          <t>ФНС открытые данные ССЧР (ДатаСост 31.12.2025; набор 7707329152-sshr2019)</t>
        </is>
      </c>
      <c r="R5416" s="16">
        <f>HYPERLINK("https://checko.ru/search?query=3801001629","Чекко: проверить")</f>
        <v/>
      </c>
      <c r="S5416" t="n">
        <v>1</v>
      </c>
      <c r="T5416" s="35" t="inlineStr">
        <is>
          <t>4 — Не обогащён</t>
        </is>
      </c>
      <c r="U5416" s="35" t="inlineStr">
        <is>
          <t>Нет ОКВЭД/ССЧР</t>
        </is>
      </c>
      <c r="V5416" s="35" t="inlineStr">
        <is>
          <t>Не определено</t>
        </is>
      </c>
      <c r="W5416" s="35" t="inlineStr">
        <is>
          <t>Нет</t>
        </is>
      </c>
      <c r="X5416" s="35" t="inlineStr"/>
    </row>
    <row r="5417" ht="15" customHeight="1" s="24">
      <c r="A5417" s="13" t="n">
        <v>800429893</v>
      </c>
      <c r="B5417" s="13" t="inlineStr">
        <is>
          <t>ООО "СПС"</t>
        </is>
      </c>
      <c r="C5417" s="13" t="n">
        <v>3805700515</v>
      </c>
      <c r="D5417" s="13" t="inlineStr">
        <is>
          <t>3805700515</t>
        </is>
      </c>
      <c r="E5417" s="13" t="inlineStr">
        <is>
          <t>ЮЛ РФ</t>
        </is>
      </c>
      <c r="F5417" s="13" t="n"/>
      <c r="G5417" s="52" t="n">
        <v>42</v>
      </c>
      <c r="H5417" s="52" t="n">
        <v>2025</v>
      </c>
      <c r="I5417" s="52" t="inlineStr">
        <is>
          <t>43.11</t>
        </is>
      </c>
      <c r="J5417" s="52" t="inlineStr">
        <is>
          <t>43.11; 02.10; 02.10.1; 02.10.2; 02.10.11; 02.20; 02.40; 02.40.1; 02.40.2; 16.10; 16.10.1; 16.10.2; 16.10.3; 16.10.9; 16.23; 16.23.1; 33.12; 33.14; 41.20; 42.11; 42.12; 42.13; 42.21; 42.22.1; 42.22.2; 42.22.3; 42.91.1; 42.91.2; 42.91.3; 42.91.4; 42.91.5; 42.99; 43.12.1; 43.12.2; 43.12.3; 43.12.4; 43.13; 43.21; 43.22; 43.29; 43.31; 43.32; 43.33; 43.34; 43.39; 43.91; 43.99.1; 43.99.2; 43.99.3; 43.99.4; 43.99.5; 43.99.6; 43.99.7; 43.99.9; 46.13.1; 46.39.1; 46.69.9; 46.73.1; 46.73.2; 46.90; 47.11.1; 47.52.71; 49.41; 49.41.1; 49.41.2; 49.42; 52.10; 52.24; 52.24.2; 52.29; 53.20.31; 62.03; 62.03.1; 68.20.2; 77.12; 77.39; 77.39.1; 77.39.11; 81.22; 81.29.1; 81.29.9; 81.30</t>
        </is>
      </c>
      <c r="K5417" s="53" t="inlineStr">
        <is>
          <t>Да</t>
        </is>
      </c>
      <c r="L5417" s="53" t="inlineStr">
        <is>
          <t>Да</t>
        </is>
      </c>
      <c r="M5417" s="53" t="inlineStr">
        <is>
          <t>До 50</t>
        </is>
      </c>
      <c r="N5417" s="54" t="n">
        <v>16800</v>
      </c>
      <c r="O5417" s="55" t="inlineStr">
        <is>
          <t>31–50</t>
        </is>
      </c>
      <c r="P5417" s="16" t="inlineStr">
        <is>
          <t>ССЧР + ОКВЭД обогащены</t>
        </is>
      </c>
      <c r="Q5417" s="16" t="inlineStr">
        <is>
          <t>ФНС открытые данные ССЧР (ДатаСост 31.12.2025; набор 7707329152-sshr2019)</t>
        </is>
      </c>
      <c r="R5417" s="16" t="inlineStr">
        <is>
          <t>ЕГРЮЛ / egrul.nalog.ru (выписка)</t>
        </is>
      </c>
      <c r="S5417" t="n">
        <v>1</v>
      </c>
      <c r="T5417" s="35" t="inlineStr">
        <is>
          <t>1 — Горячий</t>
        </is>
      </c>
      <c r="U5417" s="35" t="inlineStr">
        <is>
          <t>ОКВЭД + 22+</t>
        </is>
      </c>
      <c r="V5417" s="35" t="inlineStr">
        <is>
          <t>Да</t>
        </is>
      </c>
      <c r="W5417" s="35" t="inlineStr">
        <is>
          <t>Да</t>
        </is>
      </c>
      <c r="X5417" s="35" t="inlineStr">
        <is>
          <t>Да</t>
        </is>
      </c>
    </row>
    <row r="5418" ht="15" customHeight="1" s="24">
      <c r="A5418" s="13" t="n">
        <v>800430585</v>
      </c>
      <c r="B5418" s="13" t="inlineStr">
        <is>
          <t>ООО "РОСТА"</t>
        </is>
      </c>
      <c r="C5418" s="13" t="n">
        <v>3808170344</v>
      </c>
      <c r="D5418" s="13" t="inlineStr">
        <is>
          <t>3808170344</t>
        </is>
      </c>
      <c r="E5418" s="13" t="inlineStr">
        <is>
          <t>ЮЛ РФ</t>
        </is>
      </c>
      <c r="F5418" s="13" t="n"/>
      <c r="G5418" s="52" t="n">
        <v>4</v>
      </c>
      <c r="H5418" s="52" t="n">
        <v>2025</v>
      </c>
      <c r="I5418" s="14" t="n"/>
      <c r="J5418" s="14" t="n"/>
      <c r="K5418" s="53" t="inlineStr">
        <is>
          <t>Нет</t>
        </is>
      </c>
      <c r="L5418" s="53" t="inlineStr">
        <is>
          <t>Не определено</t>
        </is>
      </c>
      <c r="M5418" s="53" t="inlineStr">
        <is>
          <t>До 10</t>
        </is>
      </c>
      <c r="N5418" s="54" t="n">
        <v>3360</v>
      </c>
      <c r="O5418" s="55" t="inlineStr">
        <is>
          <t>1–15</t>
        </is>
      </c>
      <c r="P5418" s="16" t="inlineStr">
        <is>
          <t>ССЧР обогащена; ОКВЭД не найден/не загружен</t>
        </is>
      </c>
      <c r="Q5418" s="16" t="inlineStr">
        <is>
          <t>ФНС открытые данные ССЧР (ДатаСост 31.12.2025; набор 7707329152-sshr2019)</t>
        </is>
      </c>
      <c r="R5418" s="16">
        <f>HYPERLINK("https://checko.ru/search?query=3801001629","Чекко: проверить")</f>
        <v/>
      </c>
      <c r="S5418" t="n">
        <v>1</v>
      </c>
      <c r="T5418" s="35" t="inlineStr">
        <is>
          <t>4 — Не обогащён</t>
        </is>
      </c>
      <c r="U5418" s="35" t="inlineStr">
        <is>
          <t>Нет ОКВЭД/ССЧР</t>
        </is>
      </c>
      <c r="V5418" s="35" t="inlineStr">
        <is>
          <t>Не определено</t>
        </is>
      </c>
      <c r="W5418" s="35" t="inlineStr">
        <is>
          <t>Нет</t>
        </is>
      </c>
      <c r="X5418" s="35" t="inlineStr"/>
    </row>
    <row r="5419" ht="27.75" customHeight="1" s="24">
      <c r="A5419" s="13" t="n">
        <v>802472638</v>
      </c>
      <c r="B5419" s="13" t="inlineStr">
        <is>
          <t>Общество с ограниченной ответственностью "УСОЛЬМАШ"</t>
        </is>
      </c>
      <c r="C5419" s="13" t="n">
        <v>3851018498</v>
      </c>
      <c r="D5419" s="13" t="inlineStr">
        <is>
          <t>3851018498</t>
        </is>
      </c>
      <c r="E5419" s="13" t="inlineStr">
        <is>
          <t>ЮЛ РФ</t>
        </is>
      </c>
      <c r="F5419" s="13" t="n"/>
      <c r="G5419" s="52" t="n">
        <v>234</v>
      </c>
      <c r="H5419" s="52" t="n">
        <v>2025</v>
      </c>
      <c r="I5419" s="52" t="inlineStr">
        <is>
          <t>28.92</t>
        </is>
      </c>
      <c r="J5419" s="52" t="inlineStr">
        <is>
          <t>28.92; 08.11.1; 08.12; 16.10; 22.19.2; 22.19.7; 23.32; 23.61; 23.70; 24.10.2; 24.51; 24.52; 25.11; 25.30.1; 25.92; 27.11; 28.13; 28.22; 28.22.41; 28.22.42; 28.25.1; 28.91; 28.92.4; 33.12; 41.20; 42.11; 46.69.9; 46.72.21; 46.90; 47.19; 49.41; 62.09; 68.20.2; 71.20.1; 71.20.3; 73.11</t>
        </is>
      </c>
      <c r="K5419" s="53" t="inlineStr">
        <is>
          <t>Да</t>
        </is>
      </c>
      <c r="L5419" s="53" t="inlineStr">
        <is>
          <t>Да</t>
        </is>
      </c>
      <c r="M5419" s="53" t="inlineStr">
        <is>
          <t>До 500</t>
        </is>
      </c>
      <c r="N5419" s="54" t="n">
        <v>144000</v>
      </c>
      <c r="O5419" s="55" t="inlineStr">
        <is>
          <t>201–500</t>
        </is>
      </c>
      <c r="P5419" s="16" t="inlineStr">
        <is>
          <t>ССЧР + ОКВЭД обогащены</t>
        </is>
      </c>
      <c r="Q5419" s="16" t="inlineStr">
        <is>
          <t>ФНС открытые данные ССЧР (ДатаСост 31.12.2025; набор 7707329152-sshr2019)</t>
        </is>
      </c>
      <c r="R5419" s="16" t="inlineStr">
        <is>
          <t>ЕГРЮЛ / egrul.nalog.ru (выписка)</t>
        </is>
      </c>
      <c r="S5419" t="n">
        <v>1</v>
      </c>
      <c r="T5419" s="35" t="inlineStr">
        <is>
          <t>1 — Горячий</t>
        </is>
      </c>
      <c r="U5419" s="35" t="inlineStr">
        <is>
          <t>ОКВЭД + 22+</t>
        </is>
      </c>
      <c r="V5419" s="35" t="inlineStr">
        <is>
          <t>Да</t>
        </is>
      </c>
      <c r="W5419" s="35" t="inlineStr">
        <is>
          <t>Да</t>
        </is>
      </c>
      <c r="X5419" s="35" t="inlineStr">
        <is>
          <t>Да</t>
        </is>
      </c>
    </row>
    <row r="5420" ht="15" customHeight="1" s="24">
      <c r="A5420" s="13" t="n">
        <v>800485559</v>
      </c>
      <c r="B5420" s="13" t="inlineStr">
        <is>
          <t>Потребительское общество "Диалог"</t>
        </is>
      </c>
      <c r="C5420" s="13" t="n">
        <v>3810035825</v>
      </c>
      <c r="D5420" s="13" t="inlineStr">
        <is>
          <t>3810035825</t>
        </is>
      </c>
      <c r="E5420" s="13" t="inlineStr">
        <is>
          <t>ЮЛ РФ</t>
        </is>
      </c>
      <c r="F5420" s="13" t="n"/>
      <c r="G5420" s="14" t="n"/>
      <c r="H5420" s="14" t="n"/>
      <c r="I5420" s="14" t="n"/>
      <c r="J5420" s="14" t="n"/>
      <c r="K5420" s="53" t="inlineStr"/>
      <c r="L5420" s="53" t="inlineStr">
        <is>
          <t>Не определено</t>
        </is>
      </c>
      <c r="M5420" s="53" t="inlineStr"/>
      <c r="N5420" s="54" t="inlineStr"/>
      <c r="O5420" s="55" t="inlineStr"/>
      <c r="P5420" s="16" t="inlineStr">
        <is>
          <t>Требует обогащения</t>
        </is>
      </c>
      <c r="Q5420" s="16">
        <f>HYPERLINK("https://pb.nalog.ru/search.html?query=3810035825","ФНС: проверить")</f>
        <v/>
      </c>
      <c r="R5420" s="16">
        <f>HYPERLINK("https://checko.ru/search?query=3801001629","Чекко: проверить")</f>
        <v/>
      </c>
      <c r="S5420" t="n">
        <v>1</v>
      </c>
      <c r="T5420" s="35" t="inlineStr">
        <is>
          <t>4 — Не обогащён</t>
        </is>
      </c>
      <c r="U5420" s="35" t="inlineStr">
        <is>
          <t>Нет ОКВЭД/ССЧР</t>
        </is>
      </c>
      <c r="V5420" s="35" t="inlineStr">
        <is>
          <t>Не определено</t>
        </is>
      </c>
      <c r="W5420" s="35" t="inlineStr"/>
      <c r="X5420" s="35" t="inlineStr"/>
    </row>
    <row r="5421" ht="27.75" customHeight="1" s="24">
      <c r="A5421" s="13" t="n">
        <v>801633091</v>
      </c>
      <c r="B5421" s="13" t="inlineStr">
        <is>
          <t>Общество с ограниченной ответственностью "НСК-АЙС"</t>
        </is>
      </c>
      <c r="C5421" s="13" t="n">
        <v>5407472542</v>
      </c>
      <c r="D5421" s="13" t="inlineStr">
        <is>
          <t>5407472542</t>
        </is>
      </c>
      <c r="E5421" s="13" t="inlineStr">
        <is>
          <t>ЮЛ РФ</t>
        </is>
      </c>
      <c r="F5421" s="13" t="n"/>
      <c r="G5421" s="52" t="n">
        <v>6</v>
      </c>
      <c r="H5421" s="52" t="n">
        <v>2025</v>
      </c>
      <c r="I5421" s="14" t="n"/>
      <c r="J5421" s="14" t="n"/>
      <c r="K5421" s="53" t="inlineStr">
        <is>
          <t>Нет</t>
        </is>
      </c>
      <c r="L5421" s="53" t="inlineStr">
        <is>
          <t>Не определено</t>
        </is>
      </c>
      <c r="M5421" s="53" t="inlineStr">
        <is>
          <t>До 10</t>
        </is>
      </c>
      <c r="N5421" s="54" t="n">
        <v>3360</v>
      </c>
      <c r="O5421" s="55" t="inlineStr">
        <is>
          <t>1–15</t>
        </is>
      </c>
      <c r="P5421" s="16" t="inlineStr">
        <is>
          <t>ССЧР обогащена; ОКВЭД не найден/не загружен</t>
        </is>
      </c>
      <c r="Q5421" s="16" t="inlineStr">
        <is>
          <t>ФНС открытые данные ССЧР (ДатаСост 31.12.2025; набор 7707329152-sshr2019)</t>
        </is>
      </c>
      <c r="R5421" s="16">
        <f>HYPERLINK("https://checko.ru/search?query=3801001629","Чекко: проверить")</f>
        <v/>
      </c>
      <c r="S5421" t="n">
        <v>1</v>
      </c>
      <c r="T5421" s="35" t="inlineStr">
        <is>
          <t>4 — Не обогащён</t>
        </is>
      </c>
      <c r="U5421" s="35" t="inlineStr">
        <is>
          <t>Нет ОКВЭД/ССЧР</t>
        </is>
      </c>
      <c r="V5421" s="35" t="inlineStr">
        <is>
          <t>Не определено</t>
        </is>
      </c>
      <c r="W5421" s="35" t="inlineStr">
        <is>
          <t>Нет</t>
        </is>
      </c>
      <c r="X5421" s="35" t="inlineStr"/>
    </row>
    <row r="5422" ht="15" customHeight="1" s="24">
      <c r="A5422" s="13" t="n">
        <v>801633287</v>
      </c>
      <c r="B5422" s="13" t="inlineStr">
        <is>
          <t>ООО "СПЕЦСТРОЙ"</t>
        </is>
      </c>
      <c r="C5422" s="13" t="n">
        <v>3811468726</v>
      </c>
      <c r="D5422" s="13" t="inlineStr">
        <is>
          <t>3811468726</t>
        </is>
      </c>
      <c r="E5422" s="13" t="inlineStr">
        <is>
          <t>ЮЛ РФ</t>
        </is>
      </c>
      <c r="F5422" s="13" t="n"/>
      <c r="G5422" s="52" t="n">
        <v>14</v>
      </c>
      <c r="H5422" s="52" t="n">
        <v>2025</v>
      </c>
      <c r="I5422" s="14" t="n"/>
      <c r="J5422" s="14" t="n"/>
      <c r="K5422" s="53" t="inlineStr">
        <is>
          <t>Нет</t>
        </is>
      </c>
      <c r="L5422" s="53" t="inlineStr">
        <is>
          <t>Не определено</t>
        </is>
      </c>
      <c r="M5422" s="53" t="inlineStr">
        <is>
          <t>До 25</t>
        </is>
      </c>
      <c r="N5422" s="54" t="n">
        <v>8400</v>
      </c>
      <c r="O5422" s="55" t="inlineStr">
        <is>
          <t>1–15</t>
        </is>
      </c>
      <c r="P5422" s="16" t="inlineStr">
        <is>
          <t>ССЧР обогащена; ОКВЭД не найден/не загружен</t>
        </is>
      </c>
      <c r="Q5422" s="16" t="inlineStr">
        <is>
          <t>ФНС открытые данные ССЧР (ДатаСост 31.12.2025; набор 7707329152-sshr2019)</t>
        </is>
      </c>
      <c r="R5422" s="16">
        <f>HYPERLINK("https://checko.ru/search?query=3801001629","Чекко: проверить")</f>
        <v/>
      </c>
      <c r="S5422" t="n">
        <v>1</v>
      </c>
      <c r="T5422" s="35" t="inlineStr">
        <is>
          <t>4 — Не обогащён</t>
        </is>
      </c>
      <c r="U5422" s="35" t="inlineStr">
        <is>
          <t>Нет ОКВЭД/ССЧР</t>
        </is>
      </c>
      <c r="V5422" s="35" t="inlineStr">
        <is>
          <t>Не определено</t>
        </is>
      </c>
      <c r="W5422" s="35" t="inlineStr">
        <is>
          <t>Нет</t>
        </is>
      </c>
      <c r="X5422" s="35" t="inlineStr"/>
    </row>
    <row r="5423" ht="41.25" customHeight="1" s="24">
      <c r="A5423" s="13" t="n">
        <v>13612647</v>
      </c>
      <c r="B5423" s="13" t="inlineStr">
        <is>
          <t>Муниципальное унитарное предприятие "Восток" администрации муниципального образования "Оса"</t>
        </is>
      </c>
      <c r="C5423" s="13" t="n">
        <v>3849024960</v>
      </c>
      <c r="D5423" s="13" t="inlineStr">
        <is>
          <t>3849024960</t>
        </is>
      </c>
      <c r="E5423" s="13" t="inlineStr">
        <is>
          <t>ЮЛ РФ</t>
        </is>
      </c>
      <c r="F5423" s="13" t="n"/>
      <c r="G5423" s="14" t="n"/>
      <c r="H5423" s="14" t="n"/>
      <c r="I5423" s="14" t="n"/>
      <c r="J5423" s="14" t="n"/>
      <c r="K5423" s="53" t="inlineStr"/>
      <c r="L5423" s="53" t="inlineStr">
        <is>
          <t>Не определено</t>
        </is>
      </c>
      <c r="M5423" s="53" t="inlineStr"/>
      <c r="N5423" s="54" t="inlineStr"/>
      <c r="O5423" s="55" t="inlineStr"/>
      <c r="P5423" s="16" t="inlineStr">
        <is>
          <t>Требует обогащения</t>
        </is>
      </c>
      <c r="Q5423" s="16">
        <f>HYPERLINK("https://pb.nalog.ru/search.html?query=3849024960","ФНС: проверить")</f>
        <v/>
      </c>
      <c r="R5423" s="16">
        <f>HYPERLINK("https://checko.ru/search?query=3801001629","Чекко: проверить")</f>
        <v/>
      </c>
      <c r="S5423" t="n">
        <v>1</v>
      </c>
      <c r="T5423" s="35" t="inlineStr">
        <is>
          <t>4 — Не обогащён</t>
        </is>
      </c>
      <c r="U5423" s="35" t="inlineStr">
        <is>
          <t>Нет ОКВЭД/ССЧР</t>
        </is>
      </c>
      <c r="V5423" s="35" t="inlineStr">
        <is>
          <t>Не определено</t>
        </is>
      </c>
      <c r="W5423" s="35" t="inlineStr"/>
      <c r="X5423" s="35" t="inlineStr"/>
    </row>
    <row r="5424" ht="15" customHeight="1" s="24">
      <c r="A5424" s="13" t="n">
        <v>800832227</v>
      </c>
      <c r="B5424" s="13" t="inlineStr">
        <is>
          <t>ООО "Дорина"</t>
        </is>
      </c>
      <c r="C5424" s="13" t="n">
        <v>3804031075</v>
      </c>
      <c r="D5424" s="13" t="inlineStr">
        <is>
          <t>3804031075</t>
        </is>
      </c>
      <c r="E5424" s="13" t="inlineStr">
        <is>
          <t>ЮЛ РФ</t>
        </is>
      </c>
      <c r="F5424" s="13" t="n"/>
      <c r="G5424" s="52" t="n">
        <v>5</v>
      </c>
      <c r="H5424" s="52" t="n">
        <v>2025</v>
      </c>
      <c r="I5424" s="14" t="n"/>
      <c r="J5424" s="14" t="n"/>
      <c r="K5424" s="53" t="inlineStr">
        <is>
          <t>Нет</t>
        </is>
      </c>
      <c r="L5424" s="53" t="inlineStr">
        <is>
          <t>Не определено</t>
        </is>
      </c>
      <c r="M5424" s="53" t="inlineStr">
        <is>
          <t>До 10</t>
        </is>
      </c>
      <c r="N5424" s="54" t="n">
        <v>3360</v>
      </c>
      <c r="O5424" s="55" t="inlineStr">
        <is>
          <t>1–15</t>
        </is>
      </c>
      <c r="P5424" s="16" t="inlineStr">
        <is>
          <t>ССЧР обогащена; ОКВЭД не найден/не загружен</t>
        </is>
      </c>
      <c r="Q5424" s="16" t="inlineStr">
        <is>
          <t>ФНС открытые данные ССЧР (ДатаСост 31.12.2025; набор 7707329152-sshr2019)</t>
        </is>
      </c>
      <c r="R5424" s="16">
        <f>HYPERLINK("https://checko.ru/search?query=3801001629","Чекко: проверить")</f>
        <v/>
      </c>
      <c r="S5424" t="n">
        <v>1</v>
      </c>
      <c r="T5424" s="35" t="inlineStr">
        <is>
          <t>4 — Не обогащён</t>
        </is>
      </c>
      <c r="U5424" s="35" t="inlineStr">
        <is>
          <t>Нет ОКВЭД/ССЧР</t>
        </is>
      </c>
      <c r="V5424" s="35" t="inlineStr">
        <is>
          <t>Не определено</t>
        </is>
      </c>
      <c r="W5424" s="35" t="inlineStr">
        <is>
          <t>Нет</t>
        </is>
      </c>
      <c r="X5424" s="35" t="inlineStr"/>
    </row>
    <row r="5425" ht="27.75" customHeight="1" s="24">
      <c r="A5425" s="13" t="n">
        <v>801632210</v>
      </c>
      <c r="B5425" s="13" t="inlineStr">
        <is>
          <t>Общество с ограниченной ответственностью "БАЙКАЛ ТЕЛЕКОМ"</t>
        </is>
      </c>
      <c r="C5425" s="13" t="n">
        <v>3812537436</v>
      </c>
      <c r="D5425" s="13" t="inlineStr">
        <is>
          <t>3812537436</t>
        </is>
      </c>
      <c r="E5425" s="13" t="inlineStr">
        <is>
          <t>ЮЛ РФ</t>
        </is>
      </c>
      <c r="F5425" s="13" t="n"/>
      <c r="G5425" s="52" t="n">
        <v>7</v>
      </c>
      <c r="H5425" s="52" t="n">
        <v>2025</v>
      </c>
      <c r="I5425" s="14" t="n"/>
      <c r="J5425" s="14" t="n"/>
      <c r="K5425" s="53" t="inlineStr">
        <is>
          <t>Нет</t>
        </is>
      </c>
      <c r="L5425" s="53" t="inlineStr">
        <is>
          <t>Не определено</t>
        </is>
      </c>
      <c r="M5425" s="53" t="inlineStr">
        <is>
          <t>До 10</t>
        </is>
      </c>
      <c r="N5425" s="54" t="n">
        <v>3360</v>
      </c>
      <c r="O5425" s="55" t="inlineStr">
        <is>
          <t>1–15</t>
        </is>
      </c>
      <c r="P5425" s="16" t="inlineStr">
        <is>
          <t>ССЧР обогащена; ОКВЭД не найден/не загружен</t>
        </is>
      </c>
      <c r="Q5425" s="16" t="inlineStr">
        <is>
          <t>ФНС открытые данные ССЧР (ДатаСост 31.12.2025; набор 7707329152-sshr2019)</t>
        </is>
      </c>
      <c r="R5425" s="16">
        <f>HYPERLINK("https://checko.ru/search?query=3801001629","Чекко: проверить")</f>
        <v/>
      </c>
      <c r="S5425" t="n">
        <v>1</v>
      </c>
      <c r="T5425" s="35" t="inlineStr">
        <is>
          <t>4 — Не обогащён</t>
        </is>
      </c>
      <c r="U5425" s="35" t="inlineStr">
        <is>
          <t>Нет ОКВЭД/ССЧР</t>
        </is>
      </c>
      <c r="V5425" s="35" t="inlineStr">
        <is>
          <t>Не определено</t>
        </is>
      </c>
      <c r="W5425" s="35" t="inlineStr">
        <is>
          <t>Нет</t>
        </is>
      </c>
      <c r="X5425" s="35" t="inlineStr"/>
    </row>
    <row r="5426" ht="15" customHeight="1" s="24">
      <c r="A5426" s="13" t="n">
        <v>9807412</v>
      </c>
      <c r="B5426" s="13" t="inlineStr">
        <is>
          <t>ООО "ИНФОРМСЕРВИС"</t>
        </is>
      </c>
      <c r="C5426" s="13" t="n">
        <v>3849105672</v>
      </c>
      <c r="D5426" s="13" t="inlineStr">
        <is>
          <t>3849105672</t>
        </is>
      </c>
      <c r="E5426" s="13" t="inlineStr">
        <is>
          <t>ЮЛ РФ</t>
        </is>
      </c>
      <c r="F5426" s="13" t="n"/>
      <c r="G5426" s="52" t="n">
        <v>41</v>
      </c>
      <c r="H5426" s="52" t="n">
        <v>2025</v>
      </c>
      <c r="I5426" s="52" t="inlineStr">
        <is>
          <t>63.11.1</t>
        </is>
      </c>
      <c r="J5426" s="52" t="inlineStr">
        <is>
          <t>63.11.1; 46.18; 46.19; 69.10; 96.09</t>
        </is>
      </c>
      <c r="K5426" s="53" t="inlineStr">
        <is>
          <t>Да</t>
        </is>
      </c>
      <c r="L5426" s="53" t="inlineStr">
        <is>
          <t>Да</t>
        </is>
      </c>
      <c r="M5426" s="53" t="inlineStr">
        <is>
          <t>До 50</t>
        </is>
      </c>
      <c r="N5426" s="54" t="n">
        <v>16800</v>
      </c>
      <c r="O5426" s="55" t="inlineStr">
        <is>
          <t>31–50</t>
        </is>
      </c>
      <c r="P5426" s="16" t="inlineStr">
        <is>
          <t>ССЧР + ОКВЭД обогащены</t>
        </is>
      </c>
      <c r="Q5426" s="16" t="inlineStr">
        <is>
          <t>ФНС открытые данные ССЧР (ДатаСост 31.12.2025; набор 7707329152-sshr2019)</t>
        </is>
      </c>
      <c r="R5426" s="16" t="inlineStr">
        <is>
          <t>ЕГРЮЛ / egrul.nalog.ru (выписка)</t>
        </is>
      </c>
      <c r="S5426" t="n">
        <v>1</v>
      </c>
      <c r="T5426" s="35" t="inlineStr">
        <is>
          <t>1 — Горячий</t>
        </is>
      </c>
      <c r="U5426" s="35" t="inlineStr">
        <is>
          <t>ОКВЭД + 22+</t>
        </is>
      </c>
      <c r="V5426" s="35" t="inlineStr">
        <is>
          <t>Да</t>
        </is>
      </c>
      <c r="W5426" s="35" t="inlineStr">
        <is>
          <t>Да</t>
        </is>
      </c>
      <c r="X5426" s="35" t="inlineStr">
        <is>
          <t>Да</t>
        </is>
      </c>
    </row>
    <row r="5427" ht="15" customHeight="1" s="24">
      <c r="A5427" s="13" t="n">
        <v>802403217</v>
      </c>
      <c r="B5427" s="13" t="inlineStr">
        <is>
          <t>ООО "КВАРТАЛЫ"</t>
        </is>
      </c>
      <c r="C5427" s="13" t="n">
        <v>3812114952</v>
      </c>
      <c r="D5427" s="13" t="inlineStr">
        <is>
          <t>3812114952</t>
        </is>
      </c>
      <c r="E5427" s="13" t="inlineStr">
        <is>
          <t>ЮЛ РФ</t>
        </is>
      </c>
      <c r="F5427" s="13" t="n"/>
      <c r="G5427" s="52" t="n">
        <v>22</v>
      </c>
      <c r="H5427" s="52" t="n">
        <v>2025</v>
      </c>
      <c r="I5427" s="52" t="inlineStr">
        <is>
          <t>68.32.1</t>
        </is>
      </c>
      <c r="J5427" s="52" t="inlineStr">
        <is>
          <t>68.32.1; 16.23.1; 25.11; 25.12; 42.21; 43.21; 43.22; 43.32; 43.33; 43.91; 43.99.3; 43.99.6; 43.99.9; 68.32.2; 69.10; 69.20; 70.22</t>
        </is>
      </c>
      <c r="K5427" s="53" t="inlineStr">
        <is>
          <t>Да</t>
        </is>
      </c>
      <c r="L5427" s="53" t="inlineStr">
        <is>
          <t>Да</t>
        </is>
      </c>
      <c r="M5427" s="53" t="inlineStr">
        <is>
          <t>До 25</t>
        </is>
      </c>
      <c r="N5427" s="54" t="n">
        <v>8400</v>
      </c>
      <c r="O5427" s="55" t="inlineStr">
        <is>
          <t>16–30</t>
        </is>
      </c>
      <c r="P5427" s="16" t="inlineStr">
        <is>
          <t>ССЧР + ОКВЭД обогащены</t>
        </is>
      </c>
      <c r="Q5427" s="16" t="inlineStr">
        <is>
          <t>ФНС открытые данные ССЧР (ДатаСост 31.12.2025; набор 7707329152-sshr2019)</t>
        </is>
      </c>
      <c r="R5427" s="16" t="inlineStr">
        <is>
          <t>ЕГРЮЛ / egrul.nalog.ru (выписка)</t>
        </is>
      </c>
      <c r="S5427" t="n">
        <v>1</v>
      </c>
      <c r="T5427" s="35" t="inlineStr">
        <is>
          <t>1 — Горячий</t>
        </is>
      </c>
      <c r="U5427" s="35" t="inlineStr">
        <is>
          <t>ОКВЭД + 22+</t>
        </is>
      </c>
      <c r="V5427" s="35" t="inlineStr">
        <is>
          <t>Да</t>
        </is>
      </c>
      <c r="W5427" s="35" t="inlineStr">
        <is>
          <t>Да</t>
        </is>
      </c>
      <c r="X5427" s="35" t="inlineStr">
        <is>
          <t>Да</t>
        </is>
      </c>
    </row>
    <row r="5428" ht="15" customHeight="1" s="24">
      <c r="A5428" s="13" t="n">
        <v>802453255</v>
      </c>
      <c r="B5428" s="13" t="inlineStr">
        <is>
          <t>ООО "ГлавТранс"</t>
        </is>
      </c>
      <c r="C5428" s="13" t="n">
        <v>3811119651</v>
      </c>
      <c r="D5428" s="13" t="inlineStr">
        <is>
          <t>3811119651</t>
        </is>
      </c>
      <c r="E5428" s="13" t="inlineStr">
        <is>
          <t>ЮЛ РФ</t>
        </is>
      </c>
      <c r="F5428" s="13" t="n"/>
      <c r="G5428" s="52" t="n">
        <v>6</v>
      </c>
      <c r="H5428" s="52" t="n">
        <v>2025</v>
      </c>
      <c r="I5428" s="14" t="n"/>
      <c r="J5428" s="14" t="n"/>
      <c r="K5428" s="53" t="inlineStr">
        <is>
          <t>Нет</t>
        </is>
      </c>
      <c r="L5428" s="53" t="inlineStr">
        <is>
          <t>Не определено</t>
        </is>
      </c>
      <c r="M5428" s="53" t="inlineStr">
        <is>
          <t>До 10</t>
        </is>
      </c>
      <c r="N5428" s="54" t="n">
        <v>3360</v>
      </c>
      <c r="O5428" s="55" t="inlineStr">
        <is>
          <t>1–15</t>
        </is>
      </c>
      <c r="P5428" s="16" t="inlineStr">
        <is>
          <t>ССЧР обогащена; ОКВЭД не найден/не загружен</t>
        </is>
      </c>
      <c r="Q5428" s="16" t="inlineStr">
        <is>
          <t>ФНС открытые данные ССЧР (ДатаСост 31.12.2025; набор 7707329152-sshr2019)</t>
        </is>
      </c>
      <c r="R5428" s="16">
        <f>HYPERLINK("https://checko.ru/search?query=3801001629","Чекко: проверить")</f>
        <v/>
      </c>
      <c r="S5428" t="n">
        <v>1</v>
      </c>
      <c r="T5428" s="35" t="inlineStr">
        <is>
          <t>4 — Не обогащён</t>
        </is>
      </c>
      <c r="U5428" s="35" t="inlineStr">
        <is>
          <t>Нет ОКВЭД/ССЧР</t>
        </is>
      </c>
      <c r="V5428" s="35" t="inlineStr">
        <is>
          <t>Не определено</t>
        </is>
      </c>
      <c r="W5428" s="35" t="inlineStr">
        <is>
          <t>Нет</t>
        </is>
      </c>
      <c r="X5428" s="35" t="inlineStr"/>
    </row>
    <row r="5429" ht="15" customHeight="1" s="24">
      <c r="A5429" s="13" t="n">
        <v>800566496</v>
      </c>
      <c r="B5429" s="13" t="inlineStr">
        <is>
          <t>ООО «ПАДУН ЛЕС»</t>
        </is>
      </c>
      <c r="C5429" s="13" t="n">
        <v>3805714243</v>
      </c>
      <c r="D5429" s="13" t="inlineStr">
        <is>
          <t>3805714243</t>
        </is>
      </c>
      <c r="E5429" s="13" t="inlineStr">
        <is>
          <t>ЮЛ РФ</t>
        </is>
      </c>
      <c r="F5429" s="13" t="n"/>
      <c r="G5429" s="52" t="n">
        <v>1</v>
      </c>
      <c r="H5429" s="52" t="n">
        <v>2025</v>
      </c>
      <c r="I5429" s="14" t="n"/>
      <c r="J5429" s="14" t="n"/>
      <c r="K5429" s="53" t="inlineStr">
        <is>
          <t>Нет</t>
        </is>
      </c>
      <c r="L5429" s="53" t="inlineStr">
        <is>
          <t>Не определено</t>
        </is>
      </c>
      <c r="M5429" s="53" t="inlineStr">
        <is>
          <t>До 10</t>
        </is>
      </c>
      <c r="N5429" s="54" t="n">
        <v>3360</v>
      </c>
      <c r="O5429" s="55" t="inlineStr">
        <is>
          <t>1–15</t>
        </is>
      </c>
      <c r="P5429" s="16" t="inlineStr">
        <is>
          <t>ССЧР обогащена; ОКВЭД не найден/не загружен</t>
        </is>
      </c>
      <c r="Q5429" s="16" t="inlineStr">
        <is>
          <t>ФНС открытые данные ССЧР (ДатаСост 31.12.2025; набор 7707329152-sshr2019)</t>
        </is>
      </c>
      <c r="R5429" s="16">
        <f>HYPERLINK("https://checko.ru/search?query=3801001629","Чекко: проверить")</f>
        <v/>
      </c>
      <c r="S5429" t="n">
        <v>1</v>
      </c>
      <c r="T5429" s="35" t="inlineStr">
        <is>
          <t>4 — Не обогащён</t>
        </is>
      </c>
      <c r="U5429" s="35" t="inlineStr">
        <is>
          <t>Нет ОКВЭД/ССЧР</t>
        </is>
      </c>
      <c r="V5429" s="35" t="inlineStr">
        <is>
          <t>Не определено</t>
        </is>
      </c>
      <c r="W5429" s="35" t="inlineStr">
        <is>
          <t>Нет</t>
        </is>
      </c>
      <c r="X5429" s="35" t="inlineStr"/>
    </row>
    <row r="5430" ht="15" customHeight="1" s="24">
      <c r="A5430" s="13" t="n">
        <v>800428272</v>
      </c>
      <c r="B5430" s="13" t="inlineStr">
        <is>
          <t>ООО "Земля"</t>
        </is>
      </c>
      <c r="C5430" s="13" t="n">
        <v>3818013421</v>
      </c>
      <c r="D5430" s="13" t="inlineStr">
        <is>
          <t>3818013421</t>
        </is>
      </c>
      <c r="E5430" s="13" t="inlineStr">
        <is>
          <t>ЮЛ РФ</t>
        </is>
      </c>
      <c r="F5430" s="13" t="n"/>
      <c r="G5430" s="14" t="n"/>
      <c r="H5430" s="14" t="n"/>
      <c r="I5430" s="14" t="n"/>
      <c r="J5430" s="14" t="n"/>
      <c r="K5430" s="53" t="inlineStr"/>
      <c r="L5430" s="53" t="inlineStr">
        <is>
          <t>Не определено</t>
        </is>
      </c>
      <c r="M5430" s="53" t="inlineStr"/>
      <c r="N5430" s="54" t="inlineStr"/>
      <c r="O5430" s="55" t="inlineStr"/>
      <c r="P5430" s="16" t="inlineStr">
        <is>
          <t>Требует обогащения</t>
        </is>
      </c>
      <c r="Q5430" s="16">
        <f>HYPERLINK("https://pb.nalog.ru/search.html?query=3818013421","ФНС: проверить")</f>
        <v/>
      </c>
      <c r="R5430" s="16">
        <f>HYPERLINK("https://checko.ru/search?query=3801001629","Чекко: проверить")</f>
        <v/>
      </c>
      <c r="S5430" t="n">
        <v>1</v>
      </c>
      <c r="T5430" s="35" t="inlineStr">
        <is>
          <t>4 — Не обогащён</t>
        </is>
      </c>
      <c r="U5430" s="35" t="inlineStr">
        <is>
          <t>Нет ОКВЭД/ССЧР</t>
        </is>
      </c>
      <c r="V5430" s="35" t="inlineStr">
        <is>
          <t>Не определено</t>
        </is>
      </c>
      <c r="W5430" s="35" t="inlineStr"/>
      <c r="X5430" s="35" t="inlineStr"/>
    </row>
    <row r="5431" ht="27.75" customHeight="1" s="24">
      <c r="A5431" s="13" t="n">
        <v>9146858</v>
      </c>
      <c r="B5431" s="13" t="inlineStr">
        <is>
          <t>Иркутское областное объединение организации профсоюзов</t>
        </is>
      </c>
      <c r="C5431" s="13" t="n">
        <v>3808016670</v>
      </c>
      <c r="D5431" s="13" t="inlineStr">
        <is>
          <t>3808016670</t>
        </is>
      </c>
      <c r="E5431" s="13" t="inlineStr">
        <is>
          <t>ЮЛ РФ</t>
        </is>
      </c>
      <c r="F5431" s="13" t="n"/>
      <c r="G5431" s="14" t="n"/>
      <c r="H5431" s="14" t="n"/>
      <c r="I5431" s="14" t="n"/>
      <c r="J5431" s="14" t="n"/>
      <c r="K5431" s="53" t="inlineStr"/>
      <c r="L5431" s="53" t="inlineStr">
        <is>
          <t>Не определено</t>
        </is>
      </c>
      <c r="M5431" s="53" t="inlineStr"/>
      <c r="N5431" s="54" t="inlineStr"/>
      <c r="O5431" s="55" t="inlineStr"/>
      <c r="P5431" s="16" t="inlineStr">
        <is>
          <t>Требует обогащения</t>
        </is>
      </c>
      <c r="Q5431" s="16">
        <f>HYPERLINK("https://pb.nalog.ru/search.html?query=3808016670","ФНС: проверить")</f>
        <v/>
      </c>
      <c r="R5431" s="16">
        <f>HYPERLINK("https://checko.ru/search?query=3801001629","Чекко: проверить")</f>
        <v/>
      </c>
      <c r="S5431" t="n">
        <v>1</v>
      </c>
      <c r="T5431" s="35" t="inlineStr">
        <is>
          <t>4 — Не обогащён</t>
        </is>
      </c>
      <c r="U5431" s="35" t="inlineStr">
        <is>
          <t>Нет ОКВЭД/ССЧР</t>
        </is>
      </c>
      <c r="V5431" s="35" t="inlineStr">
        <is>
          <t>Не определено</t>
        </is>
      </c>
      <c r="W5431" s="35" t="inlineStr"/>
      <c r="X5431" s="35" t="inlineStr"/>
    </row>
    <row r="5432" ht="15" customHeight="1" s="24">
      <c r="A5432" s="13" t="n">
        <v>800304824</v>
      </c>
      <c r="B5432" s="13" t="inlineStr">
        <is>
          <t>ООО "ВС"</t>
        </is>
      </c>
      <c r="C5432" s="13" t="n">
        <v>3810064833</v>
      </c>
      <c r="D5432" s="13" t="inlineStr">
        <is>
          <t>3810064833</t>
        </is>
      </c>
      <c r="E5432" s="13" t="inlineStr">
        <is>
          <t>ЮЛ РФ</t>
        </is>
      </c>
      <c r="F5432" s="13" t="n"/>
      <c r="G5432" s="52" t="n">
        <v>18</v>
      </c>
      <c r="H5432" s="52" t="n">
        <v>2025</v>
      </c>
      <c r="I5432" s="14" t="n"/>
      <c r="J5432" s="14" t="n"/>
      <c r="K5432" s="53" t="inlineStr">
        <is>
          <t>Нет</t>
        </is>
      </c>
      <c r="L5432" s="53" t="inlineStr">
        <is>
          <t>Не определено</t>
        </is>
      </c>
      <c r="M5432" s="53" t="inlineStr">
        <is>
          <t>До 25</t>
        </is>
      </c>
      <c r="N5432" s="54" t="n">
        <v>8400</v>
      </c>
      <c r="O5432" s="55" t="inlineStr">
        <is>
          <t>16–30</t>
        </is>
      </c>
      <c r="P5432" s="16" t="inlineStr">
        <is>
          <t>ССЧР обогащена; ОКВЭД не найден/не загружен</t>
        </is>
      </c>
      <c r="Q5432" s="16" t="inlineStr">
        <is>
          <t>ФНС открытые данные ССЧР (ДатаСост 31.12.2025; набор 7707329152-sshr2019)</t>
        </is>
      </c>
      <c r="R5432" s="16">
        <f>HYPERLINK("https://checko.ru/search?query=3801001629","Чекко: проверить")</f>
        <v/>
      </c>
      <c r="S5432" t="n">
        <v>1</v>
      </c>
      <c r="T5432" s="35" t="inlineStr">
        <is>
          <t>4 — Не обогащён</t>
        </is>
      </c>
      <c r="U5432" s="35" t="inlineStr">
        <is>
          <t>Нет ОКВЭД/ССЧР</t>
        </is>
      </c>
      <c r="V5432" s="35" t="inlineStr">
        <is>
          <t>Не определено</t>
        </is>
      </c>
      <c r="W5432" s="35" t="inlineStr">
        <is>
          <t>Нет</t>
        </is>
      </c>
      <c r="X5432" s="35" t="inlineStr"/>
    </row>
    <row r="5433" ht="15" customHeight="1" s="24">
      <c r="A5433" s="13" t="n">
        <v>801632600</v>
      </c>
      <c r="B5433" s="13" t="inlineStr">
        <is>
          <t>ООО "ПРОЧНОСТЬ"</t>
        </is>
      </c>
      <c r="C5433" s="13" t="n">
        <v>3804052100</v>
      </c>
      <c r="D5433" s="13" t="inlineStr">
        <is>
          <t>3804052100</t>
        </is>
      </c>
      <c r="E5433" s="13" t="inlineStr">
        <is>
          <t>ЮЛ РФ</t>
        </is>
      </c>
      <c r="F5433" s="13" t="n"/>
      <c r="G5433" s="52" t="n">
        <v>14</v>
      </c>
      <c r="H5433" s="52" t="n">
        <v>2025</v>
      </c>
      <c r="I5433" s="14" t="n"/>
      <c r="J5433" s="14" t="n"/>
      <c r="K5433" s="53" t="inlineStr">
        <is>
          <t>Нет</t>
        </is>
      </c>
      <c r="L5433" s="53" t="inlineStr">
        <is>
          <t>Не определено</t>
        </is>
      </c>
      <c r="M5433" s="53" t="inlineStr">
        <is>
          <t>До 25</t>
        </is>
      </c>
      <c r="N5433" s="54" t="n">
        <v>8400</v>
      </c>
      <c r="O5433" s="55" t="inlineStr">
        <is>
          <t>1–15</t>
        </is>
      </c>
      <c r="P5433" s="16" t="inlineStr">
        <is>
          <t>ССЧР обогащена; ОКВЭД не найден/не загружен</t>
        </is>
      </c>
      <c r="Q5433" s="16" t="inlineStr">
        <is>
          <t>ФНС открытые данные ССЧР (ДатаСост 31.12.2025; набор 7707329152-sshr2019)</t>
        </is>
      </c>
      <c r="R5433" s="16">
        <f>HYPERLINK("https://checko.ru/search?query=3801001629","Чекко: проверить")</f>
        <v/>
      </c>
      <c r="S5433" t="n">
        <v>1</v>
      </c>
      <c r="T5433" s="35" t="inlineStr">
        <is>
          <t>4 — Не обогащён</t>
        </is>
      </c>
      <c r="U5433" s="35" t="inlineStr">
        <is>
          <t>Нет ОКВЭД/ССЧР</t>
        </is>
      </c>
      <c r="V5433" s="35" t="inlineStr">
        <is>
          <t>Не определено</t>
        </is>
      </c>
      <c r="W5433" s="35" t="inlineStr">
        <is>
          <t>Нет</t>
        </is>
      </c>
      <c r="X5433" s="35" t="inlineStr"/>
    </row>
    <row r="5434" ht="15" customHeight="1" s="24">
      <c r="A5434" s="13" t="n">
        <v>800554396</v>
      </c>
      <c r="B5434" s="13" t="inlineStr">
        <is>
          <t>ООО "ВАНТЭК"</t>
        </is>
      </c>
      <c r="C5434" s="13" t="n">
        <v>2709006655</v>
      </c>
      <c r="D5434" s="13" t="inlineStr">
        <is>
          <t>2709006655</t>
        </is>
      </c>
      <c r="E5434" s="13" t="inlineStr">
        <is>
          <t>ЮЛ РФ</t>
        </is>
      </c>
      <c r="F5434" s="13" t="n"/>
      <c r="G5434" s="52" t="n">
        <v>7</v>
      </c>
      <c r="H5434" s="52" t="n">
        <v>2025</v>
      </c>
      <c r="I5434" s="14" t="n"/>
      <c r="J5434" s="14" t="n"/>
      <c r="K5434" s="53" t="inlineStr">
        <is>
          <t>Нет</t>
        </is>
      </c>
      <c r="L5434" s="53" t="inlineStr">
        <is>
          <t>Не определено</t>
        </is>
      </c>
      <c r="M5434" s="53" t="inlineStr">
        <is>
          <t>До 10</t>
        </is>
      </c>
      <c r="N5434" s="54" t="n">
        <v>3360</v>
      </c>
      <c r="O5434" s="55" t="inlineStr">
        <is>
          <t>1–15</t>
        </is>
      </c>
      <c r="P5434" s="16" t="inlineStr">
        <is>
          <t>ССЧР обогащена; ОКВЭД не найден/не загружен</t>
        </is>
      </c>
      <c r="Q5434" s="16" t="inlineStr">
        <is>
          <t>ФНС открытые данные ССЧР (ДатаСост 31.12.2025; набор 7707329152-sshr2019)</t>
        </is>
      </c>
      <c r="R5434" s="16">
        <f>HYPERLINK("https://checko.ru/search?query=3801001629","Чекко: проверить")</f>
        <v/>
      </c>
      <c r="S5434" t="n">
        <v>1</v>
      </c>
      <c r="T5434" s="35" t="inlineStr">
        <is>
          <t>4 — Не обогащён</t>
        </is>
      </c>
      <c r="U5434" s="35" t="inlineStr">
        <is>
          <t>Нет ОКВЭД/ССЧР</t>
        </is>
      </c>
      <c r="V5434" s="35" t="inlineStr">
        <is>
          <t>Не определено</t>
        </is>
      </c>
      <c r="W5434" s="35" t="inlineStr">
        <is>
          <t>Нет</t>
        </is>
      </c>
      <c r="X5434" s="35" t="inlineStr"/>
    </row>
    <row r="5435" ht="15" customHeight="1" s="24">
      <c r="A5435" s="13" t="n">
        <v>9186908</v>
      </c>
      <c r="B5435" s="13" t="inlineStr">
        <is>
          <t>ООО "СИБСТРОЙТЕХМОНТАЖ"</t>
        </is>
      </c>
      <c r="C5435" s="13" t="n">
        <v>3810021477</v>
      </c>
      <c r="D5435" s="13" t="inlineStr">
        <is>
          <t>3810021477</t>
        </is>
      </c>
      <c r="E5435" s="13" t="inlineStr">
        <is>
          <t>ЮЛ РФ</t>
        </is>
      </c>
      <c r="F5435" s="13" t="n"/>
      <c r="G5435" s="52" t="n">
        <v>43</v>
      </c>
      <c r="H5435" s="52" t="n">
        <v>2025</v>
      </c>
      <c r="I5435" s="52" t="inlineStr">
        <is>
          <t>25.11</t>
        </is>
      </c>
      <c r="J5435" s="52" t="inlineStr">
        <is>
          <t>25.11; 25.12; 25.29; 41.20; 43.21; 43.22; 43.29; 43.31; 43.32; 43.33; 43.34; 43.39; 43.99.1; 43.99.5; 43.99.7; 46.73.6; 47.52.7</t>
        </is>
      </c>
      <c r="K5435" s="53" t="inlineStr">
        <is>
          <t>Да</t>
        </is>
      </c>
      <c r="L5435" s="53" t="inlineStr">
        <is>
          <t>Да</t>
        </is>
      </c>
      <c r="M5435" s="53" t="inlineStr">
        <is>
          <t>До 50</t>
        </is>
      </c>
      <c r="N5435" s="54" t="n">
        <v>16800</v>
      </c>
      <c r="O5435" s="55" t="inlineStr">
        <is>
          <t>31–50</t>
        </is>
      </c>
      <c r="P5435" s="16" t="inlineStr">
        <is>
          <t>ССЧР + ОКВЭД обогащены</t>
        </is>
      </c>
      <c r="Q5435" s="16" t="inlineStr">
        <is>
          <t>ФНС открытые данные ССЧР (ДатаСост 31.12.2025; набор 7707329152-sshr2019)</t>
        </is>
      </c>
      <c r="R5435" s="16" t="inlineStr">
        <is>
          <t>ЕГРЮЛ / egrul.nalog.ru (выписка)</t>
        </is>
      </c>
      <c r="S5435" t="n">
        <v>1</v>
      </c>
      <c r="T5435" s="35" t="inlineStr">
        <is>
          <t>1 — Горячий</t>
        </is>
      </c>
      <c r="U5435" s="35" t="inlineStr">
        <is>
          <t>ОКВЭД + 22+</t>
        </is>
      </c>
      <c r="V5435" s="35" t="inlineStr">
        <is>
          <t>Да</t>
        </is>
      </c>
      <c r="W5435" s="35" t="inlineStr">
        <is>
          <t>Да</t>
        </is>
      </c>
      <c r="X5435" s="35" t="inlineStr">
        <is>
          <t>Да</t>
        </is>
      </c>
    </row>
    <row r="5436" ht="27.75" customHeight="1" s="24">
      <c r="A5436" s="13" t="n">
        <v>16513381</v>
      </c>
      <c r="B5436" s="13" t="inlineStr">
        <is>
          <t>ОБЩЕСТВО С ОГРАНИЧЕННОЙ ОТВЕТСТВЕННОСТЬЮ "БТТК-ГРУПП"</t>
        </is>
      </c>
      <c r="C5436" s="13" t="n">
        <v>3802017999</v>
      </c>
      <c r="D5436" s="13" t="inlineStr">
        <is>
          <t>3802017999</t>
        </is>
      </c>
      <c r="E5436" s="13" t="inlineStr">
        <is>
          <t>ЮЛ РФ</t>
        </is>
      </c>
      <c r="F5436" s="13" t="n"/>
      <c r="G5436" s="52" t="n">
        <v>8</v>
      </c>
      <c r="H5436" s="52" t="n">
        <v>2025</v>
      </c>
      <c r="I5436" s="14" t="n"/>
      <c r="J5436" s="14" t="n"/>
      <c r="K5436" s="53" t="inlineStr">
        <is>
          <t>Нет</t>
        </is>
      </c>
      <c r="L5436" s="53" t="inlineStr">
        <is>
          <t>Не определено</t>
        </is>
      </c>
      <c r="M5436" s="53" t="inlineStr">
        <is>
          <t>До 10</t>
        </is>
      </c>
      <c r="N5436" s="54" t="n">
        <v>3360</v>
      </c>
      <c r="O5436" s="55" t="inlineStr">
        <is>
          <t>1–15</t>
        </is>
      </c>
      <c r="P5436" s="16" t="inlineStr">
        <is>
          <t>ССЧР обогащена; ОКВЭД не найден/не загружен</t>
        </is>
      </c>
      <c r="Q5436" s="16" t="inlineStr">
        <is>
          <t>ФНС открытые данные ССЧР (ДатаСост 31.12.2025; набор 7707329152-sshr2019)</t>
        </is>
      </c>
      <c r="R5436" s="16">
        <f>HYPERLINK("https://checko.ru/search?query=3801001629","Чекко: проверить")</f>
        <v/>
      </c>
      <c r="S5436" t="n">
        <v>1</v>
      </c>
      <c r="T5436" s="35" t="inlineStr">
        <is>
          <t>4 — Не обогащён</t>
        </is>
      </c>
      <c r="U5436" s="35" t="inlineStr">
        <is>
          <t>Нет ОКВЭД/ССЧР</t>
        </is>
      </c>
      <c r="V5436" s="35" t="inlineStr">
        <is>
          <t>Не определено</t>
        </is>
      </c>
      <c r="W5436" s="35" t="inlineStr">
        <is>
          <t>Нет</t>
        </is>
      </c>
      <c r="X5436" s="35" t="inlineStr"/>
    </row>
    <row r="5437" ht="15" customHeight="1" s="24">
      <c r="A5437" s="13" t="n">
        <v>803018395</v>
      </c>
      <c r="B5437" s="13" t="inlineStr">
        <is>
          <t>ООО "ДНС ТЕХНОЛОГИИ"</t>
        </is>
      </c>
      <c r="C5437" s="13" t="n">
        <v>2543151084</v>
      </c>
      <c r="D5437" s="13" t="inlineStr">
        <is>
          <t>2543151084</t>
        </is>
      </c>
      <c r="E5437" s="13" t="inlineStr">
        <is>
          <t>ЮЛ РФ</t>
        </is>
      </c>
      <c r="F5437" s="13" t="n"/>
      <c r="G5437" s="52" t="n">
        <v>917</v>
      </c>
      <c r="H5437" s="52" t="n">
        <v>2025</v>
      </c>
      <c r="I5437" s="52" t="inlineStr">
        <is>
          <t>62.01</t>
        </is>
      </c>
      <c r="J5437" s="52" t="inlineStr">
        <is>
          <t>62.01; 62.02; 62.03; 62.09; 63.11.1; 63.11.9; 63.12; 68.20; 85.30; 85.41.9; 85.42.9</t>
        </is>
      </c>
      <c r="K5437" s="53" t="inlineStr">
        <is>
          <t>Да</t>
        </is>
      </c>
      <c r="L5437" s="53" t="inlineStr">
        <is>
          <t>Да</t>
        </is>
      </c>
      <c r="M5437" s="53" t="inlineStr">
        <is>
          <t>До 2000</t>
        </is>
      </c>
      <c r="N5437" s="54" t="n">
        <v>528000</v>
      </c>
      <c r="O5437" s="55" t="inlineStr">
        <is>
          <t>500+</t>
        </is>
      </c>
      <c r="P5437" s="16" t="inlineStr">
        <is>
          <t>ССЧР + ОКВЭД обогащены</t>
        </is>
      </c>
      <c r="Q5437" s="16" t="inlineStr">
        <is>
          <t>ФНС открытые данные ССЧР (ДатаСост 31.12.2025; набор 7707329152-sshr2019)</t>
        </is>
      </c>
      <c r="R5437" s="16" t="inlineStr">
        <is>
          <t>ЕГРЮЛ / egrul.nalog.ru (выписка)</t>
        </is>
      </c>
      <c r="S5437" t="n">
        <v>1</v>
      </c>
      <c r="T5437" s="35" t="inlineStr">
        <is>
          <t>1 — Горячий</t>
        </is>
      </c>
      <c r="U5437" s="35" t="inlineStr">
        <is>
          <t>ОКВЭД + 22+</t>
        </is>
      </c>
      <c r="V5437" s="35" t="inlineStr">
        <is>
          <t>Да</t>
        </is>
      </c>
      <c r="W5437" s="35" t="inlineStr">
        <is>
          <t>Да</t>
        </is>
      </c>
      <c r="X5437" s="35" t="inlineStr">
        <is>
          <t>Да</t>
        </is>
      </c>
    </row>
    <row r="5438" ht="15" customHeight="1" s="24">
      <c r="A5438" s="13" t="n">
        <v>804704486</v>
      </c>
      <c r="B5438" s="13" t="inlineStr">
        <is>
          <t>ООО "ТЕРМИНАЛ ИРКУТСК"</t>
        </is>
      </c>
      <c r="C5438" s="13" t="n">
        <v>3807004496</v>
      </c>
      <c r="D5438" s="13" t="inlineStr">
        <is>
          <t>3807004496</t>
        </is>
      </c>
      <c r="E5438" s="13" t="inlineStr">
        <is>
          <t>ЮЛ РФ</t>
        </is>
      </c>
      <c r="F5438" s="13" t="n"/>
      <c r="G5438" s="52" t="n">
        <v>3</v>
      </c>
      <c r="H5438" s="52" t="n">
        <v>2025</v>
      </c>
      <c r="I5438" s="14" t="n"/>
      <c r="J5438" s="14" t="n"/>
      <c r="K5438" s="53" t="inlineStr">
        <is>
          <t>Нет</t>
        </is>
      </c>
      <c r="L5438" s="53" t="inlineStr">
        <is>
          <t>Не определено</t>
        </is>
      </c>
      <c r="M5438" s="53" t="inlineStr">
        <is>
          <t>До 10</t>
        </is>
      </c>
      <c r="N5438" s="54" t="n">
        <v>3360</v>
      </c>
      <c r="O5438" s="55" t="inlineStr">
        <is>
          <t>1–15</t>
        </is>
      </c>
      <c r="P5438" s="16" t="inlineStr">
        <is>
          <t>ССЧР обогащена; ОКВЭД не найден/не загружен</t>
        </is>
      </c>
      <c r="Q5438" s="16" t="inlineStr">
        <is>
          <t>ФНС открытые данные ССЧР (ДатаСост 31.12.2025; набор 7707329152-sshr2019)</t>
        </is>
      </c>
      <c r="R5438" s="16">
        <f>HYPERLINK("https://checko.ru/search?query=3801001629","Чекко: проверить")</f>
        <v/>
      </c>
      <c r="S5438" t="n">
        <v>1</v>
      </c>
      <c r="T5438" s="35" t="inlineStr">
        <is>
          <t>4 — Не обогащён</t>
        </is>
      </c>
      <c r="U5438" s="35" t="inlineStr">
        <is>
          <t>Нет ОКВЭД/ССЧР</t>
        </is>
      </c>
      <c r="V5438" s="35" t="inlineStr">
        <is>
          <t>Не определено</t>
        </is>
      </c>
      <c r="W5438" s="35" t="inlineStr">
        <is>
          <t>Нет</t>
        </is>
      </c>
      <c r="X5438" s="35" t="inlineStr"/>
    </row>
    <row r="5439" ht="27.75" customHeight="1" s="24">
      <c r="A5439" s="13" t="n">
        <v>802450198</v>
      </c>
      <c r="B5439" s="13" t="inlineStr">
        <is>
          <t>Общество с ограниченной ответственностью "МЕТАЛЛОКОРД"</t>
        </is>
      </c>
      <c r="C5439" s="13" t="n">
        <v>3801146840</v>
      </c>
      <c r="D5439" s="13" t="inlineStr">
        <is>
          <t>3801146840</t>
        </is>
      </c>
      <c r="E5439" s="13" t="inlineStr">
        <is>
          <t>ЮЛ РФ</t>
        </is>
      </c>
      <c r="F5439" s="13" t="n"/>
      <c r="G5439" s="52" t="n">
        <v>7</v>
      </c>
      <c r="H5439" s="52" t="n">
        <v>2025</v>
      </c>
      <c r="I5439" s="14" t="n"/>
      <c r="J5439" s="14" t="n"/>
      <c r="K5439" s="53" t="inlineStr">
        <is>
          <t>Нет</t>
        </is>
      </c>
      <c r="L5439" s="53" t="inlineStr">
        <is>
          <t>Не определено</t>
        </is>
      </c>
      <c r="M5439" s="53" t="inlineStr">
        <is>
          <t>До 10</t>
        </is>
      </c>
      <c r="N5439" s="54" t="n">
        <v>3360</v>
      </c>
      <c r="O5439" s="55" t="inlineStr">
        <is>
          <t>1–15</t>
        </is>
      </c>
      <c r="P5439" s="16" t="inlineStr">
        <is>
          <t>ССЧР обогащена; ОКВЭД не найден/не загружен</t>
        </is>
      </c>
      <c r="Q5439" s="16" t="inlineStr">
        <is>
          <t>ФНС открытые данные ССЧР (ДатаСост 31.12.2025; набор 7707329152-sshr2019)</t>
        </is>
      </c>
      <c r="R5439" s="16">
        <f>HYPERLINK("https://checko.ru/search?query=3801001629","Чекко: проверить")</f>
        <v/>
      </c>
      <c r="S5439" t="n">
        <v>1</v>
      </c>
      <c r="T5439" s="35" t="inlineStr">
        <is>
          <t>4 — Не обогащён</t>
        </is>
      </c>
      <c r="U5439" s="35" t="inlineStr">
        <is>
          <t>Нет ОКВЭД/ССЧР</t>
        </is>
      </c>
      <c r="V5439" s="35" t="inlineStr">
        <is>
          <t>Не определено</t>
        </is>
      </c>
      <c r="W5439" s="35" t="inlineStr">
        <is>
          <t>Нет</t>
        </is>
      </c>
      <c r="X5439" s="35" t="inlineStr"/>
    </row>
    <row r="5440" ht="15" customHeight="1" s="24">
      <c r="A5440" s="13" t="n">
        <v>800541824</v>
      </c>
      <c r="B5440" s="13" t="inlineStr">
        <is>
          <t>ООО "ПКХ"</t>
        </is>
      </c>
      <c r="C5440" s="13" t="n">
        <v>3805736575</v>
      </c>
      <c r="D5440" s="13" t="inlineStr">
        <is>
          <t>3805736575</t>
        </is>
      </c>
      <c r="E5440" s="13" t="inlineStr">
        <is>
          <t>ЮЛ РФ</t>
        </is>
      </c>
      <c r="F5440" s="13" t="n"/>
      <c r="G5440" s="52" t="n">
        <v>4</v>
      </c>
      <c r="H5440" s="52" t="n">
        <v>2025</v>
      </c>
      <c r="I5440" s="14" t="n"/>
      <c r="J5440" s="14" t="n"/>
      <c r="K5440" s="53" t="inlineStr">
        <is>
          <t>Нет</t>
        </is>
      </c>
      <c r="L5440" s="53" t="inlineStr">
        <is>
          <t>Не определено</t>
        </is>
      </c>
      <c r="M5440" s="53" t="inlineStr">
        <is>
          <t>До 10</t>
        </is>
      </c>
      <c r="N5440" s="54" t="n">
        <v>3360</v>
      </c>
      <c r="O5440" s="55" t="inlineStr">
        <is>
          <t>1–15</t>
        </is>
      </c>
      <c r="P5440" s="16" t="inlineStr">
        <is>
          <t>ССЧР обогащена; ОКВЭД не найден/не загружен</t>
        </is>
      </c>
      <c r="Q5440" s="16" t="inlineStr">
        <is>
          <t>ФНС открытые данные ССЧР (ДатаСост 31.12.2025; набор 7707329152-sshr2019)</t>
        </is>
      </c>
      <c r="R5440" s="16">
        <f>HYPERLINK("https://checko.ru/search?query=3801001629","Чекко: проверить")</f>
        <v/>
      </c>
      <c r="S5440" t="n">
        <v>1</v>
      </c>
      <c r="T5440" s="35" t="inlineStr">
        <is>
          <t>4 — Не обогащён</t>
        </is>
      </c>
      <c r="U5440" s="35" t="inlineStr">
        <is>
          <t>Нет ОКВЭД/ССЧР</t>
        </is>
      </c>
      <c r="V5440" s="35" t="inlineStr">
        <is>
          <t>Не определено</t>
        </is>
      </c>
      <c r="W5440" s="35" t="inlineStr">
        <is>
          <t>Нет</t>
        </is>
      </c>
      <c r="X5440" s="35" t="inlineStr"/>
    </row>
    <row r="5441" ht="15" customHeight="1" s="24">
      <c r="A5441" s="13" t="n">
        <v>800465345</v>
      </c>
      <c r="B5441" s="13" t="inlineStr">
        <is>
          <t>ООО "ТракЦентр-Иркутск"</t>
        </is>
      </c>
      <c r="C5441" s="13" t="n">
        <v>3849022842</v>
      </c>
      <c r="D5441" s="13" t="inlineStr">
        <is>
          <t>3849022842</t>
        </is>
      </c>
      <c r="E5441" s="13" t="inlineStr">
        <is>
          <t>ЮЛ РФ</t>
        </is>
      </c>
      <c r="F5441" s="13" t="n"/>
      <c r="G5441" s="52" t="n">
        <v>2</v>
      </c>
      <c r="H5441" s="52" t="n">
        <v>2025</v>
      </c>
      <c r="I5441" s="14" t="n"/>
      <c r="J5441" s="14" t="n"/>
      <c r="K5441" s="53" t="inlineStr">
        <is>
          <t>Нет</t>
        </is>
      </c>
      <c r="L5441" s="53" t="inlineStr">
        <is>
          <t>Не определено</t>
        </is>
      </c>
      <c r="M5441" s="53" t="inlineStr">
        <is>
          <t>До 10</t>
        </is>
      </c>
      <c r="N5441" s="54" t="n">
        <v>3360</v>
      </c>
      <c r="O5441" s="55" t="inlineStr">
        <is>
          <t>1–15</t>
        </is>
      </c>
      <c r="P5441" s="16" t="inlineStr">
        <is>
          <t>ССЧР обогащена; ОКВЭД не найден/не загружен</t>
        </is>
      </c>
      <c r="Q5441" s="16" t="inlineStr">
        <is>
          <t>ФНС открытые данные ССЧР (ДатаСост 31.12.2025; набор 7707329152-sshr2019)</t>
        </is>
      </c>
      <c r="R5441" s="16">
        <f>HYPERLINK("https://checko.ru/search?query=3801001629","Чекко: проверить")</f>
        <v/>
      </c>
      <c r="S5441" t="n">
        <v>1</v>
      </c>
      <c r="T5441" s="35" t="inlineStr">
        <is>
          <t>4 — Не обогащён</t>
        </is>
      </c>
      <c r="U5441" s="35" t="inlineStr">
        <is>
          <t>Нет ОКВЭД/ССЧР</t>
        </is>
      </c>
      <c r="V5441" s="35" t="inlineStr">
        <is>
          <t>Не определено</t>
        </is>
      </c>
      <c r="W5441" s="35" t="inlineStr">
        <is>
          <t>Нет</t>
        </is>
      </c>
      <c r="X5441" s="35" t="inlineStr"/>
    </row>
    <row r="5442" ht="15" customHeight="1" s="24">
      <c r="A5442" s="13" t="n">
        <v>800452488</v>
      </c>
      <c r="B5442" s="13" t="inlineStr">
        <is>
          <t>Автоматика, ООО</t>
        </is>
      </c>
      <c r="C5442" s="13" t="n">
        <v>3820006340</v>
      </c>
      <c r="D5442" s="13" t="inlineStr">
        <is>
          <t>3820006340</t>
        </is>
      </c>
      <c r="E5442" s="13" t="inlineStr">
        <is>
          <t>ЮЛ РФ</t>
        </is>
      </c>
      <c r="F5442" s="13" t="n"/>
      <c r="G5442" s="52" t="n">
        <v>5</v>
      </c>
      <c r="H5442" s="52" t="n">
        <v>2025</v>
      </c>
      <c r="I5442" s="14" t="n"/>
      <c r="J5442" s="14" t="n"/>
      <c r="K5442" s="53" t="inlineStr">
        <is>
          <t>Нет</t>
        </is>
      </c>
      <c r="L5442" s="53" t="inlineStr">
        <is>
          <t>Не определено</t>
        </is>
      </c>
      <c r="M5442" s="53" t="inlineStr">
        <is>
          <t>До 10</t>
        </is>
      </c>
      <c r="N5442" s="54" t="n">
        <v>3360</v>
      </c>
      <c r="O5442" s="55" t="inlineStr">
        <is>
          <t>1–15</t>
        </is>
      </c>
      <c r="P5442" s="16" t="inlineStr">
        <is>
          <t>ССЧР обогащена; ОКВЭД не найден/не загружен</t>
        </is>
      </c>
      <c r="Q5442" s="16" t="inlineStr">
        <is>
          <t>ФНС открытые данные ССЧР (ДатаСост 31.12.2025; набор 7707329152-sshr2019)</t>
        </is>
      </c>
      <c r="R5442" s="16">
        <f>HYPERLINK("https://checko.ru/search?query=3801001629","Чекко: проверить")</f>
        <v/>
      </c>
      <c r="S5442" t="n">
        <v>1</v>
      </c>
      <c r="T5442" s="35" t="inlineStr">
        <is>
          <t>4 — Не обогащён</t>
        </is>
      </c>
      <c r="U5442" s="35" t="inlineStr">
        <is>
          <t>Нет ОКВЭД/ССЧР</t>
        </is>
      </c>
      <c r="V5442" s="35" t="inlineStr">
        <is>
          <t>Не определено</t>
        </is>
      </c>
      <c r="W5442" s="35" t="inlineStr">
        <is>
          <t>Нет</t>
        </is>
      </c>
      <c r="X5442" s="35" t="inlineStr"/>
    </row>
    <row r="5443" ht="15" customHeight="1" s="24">
      <c r="A5443" s="13" t="n">
        <v>800382497</v>
      </c>
      <c r="B5443" s="13" t="inlineStr">
        <is>
          <t>ООО "ФЕНСТЕР"</t>
        </is>
      </c>
      <c r="C5443" s="13" t="n">
        <v>3849026036</v>
      </c>
      <c r="D5443" s="13" t="inlineStr">
        <is>
          <t>3849026036</t>
        </is>
      </c>
      <c r="E5443" s="13" t="inlineStr">
        <is>
          <t>ЮЛ РФ</t>
        </is>
      </c>
      <c r="F5443" s="13" t="n"/>
      <c r="G5443" s="52" t="n">
        <v>201</v>
      </c>
      <c r="H5443" s="52" t="n">
        <v>2025</v>
      </c>
      <c r="I5443" s="52" t="inlineStr">
        <is>
          <t>22.23.1</t>
        </is>
      </c>
      <c r="J5443" s="52" t="inlineStr">
        <is>
          <t>22.23.1; 25.12; 22.23; 32.99; 41.20; 43.34.2; 43.99.2; 43.99.3; 46.73.5; 46.73.6</t>
        </is>
      </c>
      <c r="K5443" s="53" t="inlineStr">
        <is>
          <t>Да</t>
        </is>
      </c>
      <c r="L5443" s="53" t="inlineStr">
        <is>
          <t>Да</t>
        </is>
      </c>
      <c r="M5443" s="53" t="inlineStr">
        <is>
          <t>До 500</t>
        </is>
      </c>
      <c r="N5443" s="54" t="n">
        <v>144000</v>
      </c>
      <c r="O5443" s="55" t="inlineStr">
        <is>
          <t>201–500</t>
        </is>
      </c>
      <c r="P5443" s="16" t="inlineStr">
        <is>
          <t>ССЧР + ОКВЭД обогащены</t>
        </is>
      </c>
      <c r="Q5443" s="16" t="inlineStr">
        <is>
          <t>ФНС открытые данные ССЧР (ДатаСост 31.12.2025; набор 7707329152-sshr2019)</t>
        </is>
      </c>
      <c r="R5443" s="16" t="inlineStr">
        <is>
          <t>ЕГРЮЛ / egrul.nalog.ru (выписка)</t>
        </is>
      </c>
      <c r="S5443" t="n">
        <v>1</v>
      </c>
      <c r="T5443" s="35" t="inlineStr">
        <is>
          <t>1 — Горячий</t>
        </is>
      </c>
      <c r="U5443" s="35" t="inlineStr">
        <is>
          <t>ОКВЭД + 22+</t>
        </is>
      </c>
      <c r="V5443" s="35" t="inlineStr">
        <is>
          <t>Да</t>
        </is>
      </c>
      <c r="W5443" s="35" t="inlineStr">
        <is>
          <t>Да</t>
        </is>
      </c>
      <c r="X5443" s="35" t="inlineStr">
        <is>
          <t>Да</t>
        </is>
      </c>
    </row>
    <row r="5444" ht="41.25" customHeight="1" s="24">
      <c r="A5444" s="13" t="n">
        <v>802173015</v>
      </c>
      <c r="B5444" s="13" t="inlineStr">
        <is>
          <t>ОБЩЕСТВО С ОГРАНИЧЕННОЙ ОТВЕТСТВЕННОСТЬЮ "ПЕРВАЯ КРОВЕЛЬНАЯ КОМПАНИЯ"</t>
        </is>
      </c>
      <c r="C5444" s="13" t="n">
        <v>3811458661</v>
      </c>
      <c r="D5444" s="13" t="inlineStr">
        <is>
          <t>3811458661</t>
        </is>
      </c>
      <c r="E5444" s="13" t="inlineStr">
        <is>
          <t>ЮЛ РФ</t>
        </is>
      </c>
      <c r="F5444" s="13" t="n"/>
      <c r="G5444" s="52" t="n">
        <v>5</v>
      </c>
      <c r="H5444" s="52" t="n">
        <v>2025</v>
      </c>
      <c r="I5444" s="14" t="n"/>
      <c r="J5444" s="14" t="n"/>
      <c r="K5444" s="53" t="inlineStr">
        <is>
          <t>Нет</t>
        </is>
      </c>
      <c r="L5444" s="53" t="inlineStr">
        <is>
          <t>Не определено</t>
        </is>
      </c>
      <c r="M5444" s="53" t="inlineStr">
        <is>
          <t>До 10</t>
        </is>
      </c>
      <c r="N5444" s="54" t="n">
        <v>3360</v>
      </c>
      <c r="O5444" s="55" t="inlineStr">
        <is>
          <t>1–15</t>
        </is>
      </c>
      <c r="P5444" s="16" t="inlineStr">
        <is>
          <t>ССЧР обогащена; ОКВЭД не найден/не загружен</t>
        </is>
      </c>
      <c r="Q5444" s="16" t="inlineStr">
        <is>
          <t>ФНС открытые данные ССЧР (ДатаСост 31.12.2025; набор 7707329152-sshr2019)</t>
        </is>
      </c>
      <c r="R5444" s="16">
        <f>HYPERLINK("https://checko.ru/search?query=3801001629","Чекко: проверить")</f>
        <v/>
      </c>
      <c r="S5444" t="n">
        <v>1</v>
      </c>
      <c r="T5444" s="35" t="inlineStr">
        <is>
          <t>4 — Не обогащён</t>
        </is>
      </c>
      <c r="U5444" s="35" t="inlineStr">
        <is>
          <t>Нет ОКВЭД/ССЧР</t>
        </is>
      </c>
      <c r="V5444" s="35" t="inlineStr">
        <is>
          <t>Не определено</t>
        </is>
      </c>
      <c r="W5444" s="35" t="inlineStr">
        <is>
          <t>Нет</t>
        </is>
      </c>
      <c r="X5444" s="35" t="inlineStr"/>
    </row>
    <row r="5445" ht="27.75" customHeight="1" s="24">
      <c r="A5445" s="13" t="n">
        <v>802464435</v>
      </c>
      <c r="B5445" s="13" t="inlineStr">
        <is>
          <t>ИНДИВИДУАЛЬНЫЙ ПРЕДПРИНИМАТЕЛЬ Усова Александра Викторовна</t>
        </is>
      </c>
      <c r="C5445" s="13" t="n">
        <v>380101362447</v>
      </c>
      <c r="D5445" s="13" t="inlineStr">
        <is>
          <t>380101362447</t>
        </is>
      </c>
      <c r="E5445" s="13" t="inlineStr">
        <is>
          <t>ИП РФ / физлицо</t>
        </is>
      </c>
      <c r="F5445" s="13" t="n"/>
      <c r="G5445" s="14" t="n"/>
      <c r="H5445" s="14" t="n"/>
      <c r="I5445" s="14" t="n"/>
      <c r="J5445" s="14" t="n"/>
      <c r="K5445" s="53" t="inlineStr"/>
      <c r="L5445" s="53" t="inlineStr">
        <is>
          <t>Не определено</t>
        </is>
      </c>
      <c r="M5445" s="53" t="inlineStr"/>
      <c r="N5445" s="54" t="inlineStr"/>
      <c r="O5445" s="55" t="inlineStr"/>
      <c r="P5445" s="16" t="inlineStr">
        <is>
          <t>Требует обогащения</t>
        </is>
      </c>
      <c r="Q5445" s="16">
        <f>HYPERLINK("https://pb.nalog.ru/search.html?query=380101362447","ФНС: проверить")</f>
        <v/>
      </c>
      <c r="R5445" s="16">
        <f>HYPERLINK("https://checko.ru/search?query=3801001629","Чекко: проверить")</f>
        <v/>
      </c>
      <c r="S5445" t="n">
        <v>1</v>
      </c>
      <c r="T5445" s="35" t="inlineStr">
        <is>
          <t>4 — Не обогащён</t>
        </is>
      </c>
      <c r="U5445" s="35" t="inlineStr">
        <is>
          <t>Нет ОКВЭД/ССЧР</t>
        </is>
      </c>
      <c r="V5445" s="35" t="inlineStr">
        <is>
          <t>Не определено</t>
        </is>
      </c>
      <c r="W5445" s="35" t="inlineStr"/>
      <c r="X5445" s="35" t="inlineStr"/>
    </row>
    <row r="5446" ht="15" customHeight="1" s="24">
      <c r="A5446" s="13" t="n">
        <v>801830105</v>
      </c>
      <c r="B5446" s="13" t="inlineStr">
        <is>
          <t>ООО Иркутский завод электромонтажных изделий</t>
        </is>
      </c>
      <c r="C5446" s="13" t="n">
        <v>3811067234</v>
      </c>
      <c r="D5446" s="13" t="inlineStr">
        <is>
          <t>3811067234</t>
        </is>
      </c>
      <c r="E5446" s="13" t="inlineStr">
        <is>
          <t>ЮЛ РФ</t>
        </is>
      </c>
      <c r="F5446" s="13" t="n"/>
      <c r="G5446" s="52" t="n">
        <v>37</v>
      </c>
      <c r="H5446" s="52" t="n">
        <v>2025</v>
      </c>
      <c r="I5446" s="52" t="inlineStr">
        <is>
          <t>27.12</t>
        </is>
      </c>
      <c r="J5446" s="52" t="inlineStr">
        <is>
          <t>27.12; 25.11; 33.14; 43.21; 43.29; 46.69.5; 46.73; 46.90; 52.10; 68.10.1; 68.10.22; 68.10.23; 68.20.2; 77.39</t>
        </is>
      </c>
      <c r="K5446" s="53" t="inlineStr">
        <is>
          <t>Да</t>
        </is>
      </c>
      <c r="L5446" s="53" t="inlineStr">
        <is>
          <t>Да</t>
        </is>
      </c>
      <c r="M5446" s="53" t="inlineStr">
        <is>
          <t>До 50</t>
        </is>
      </c>
      <c r="N5446" s="54" t="n">
        <v>16800</v>
      </c>
      <c r="O5446" s="55" t="inlineStr">
        <is>
          <t>31–50</t>
        </is>
      </c>
      <c r="P5446" s="16" t="inlineStr">
        <is>
          <t>ССЧР + ОКВЭД обогащены</t>
        </is>
      </c>
      <c r="Q5446" s="16" t="inlineStr">
        <is>
          <t>ФНС открытые данные ССЧР (ДатаСост 31.12.2025; набор 7707329152-sshr2019)</t>
        </is>
      </c>
      <c r="R5446" s="16" t="inlineStr">
        <is>
          <t>ЕГРЮЛ / egrul.nalog.ru (выписка)</t>
        </is>
      </c>
      <c r="S5446" t="n">
        <v>1</v>
      </c>
      <c r="T5446" s="35" t="inlineStr">
        <is>
          <t>1 — Горячий</t>
        </is>
      </c>
      <c r="U5446" s="35" t="inlineStr">
        <is>
          <t>ОКВЭД + 22+</t>
        </is>
      </c>
      <c r="V5446" s="35" t="inlineStr">
        <is>
          <t>Да</t>
        </is>
      </c>
      <c r="W5446" s="35" t="inlineStr">
        <is>
          <t>Да</t>
        </is>
      </c>
      <c r="X5446" s="35" t="inlineStr">
        <is>
          <t>Да</t>
        </is>
      </c>
    </row>
    <row r="5447" ht="27.75" customHeight="1" s="24">
      <c r="A5447" s="13" t="n">
        <v>802176297</v>
      </c>
      <c r="B5447" s="13" t="inlineStr">
        <is>
          <t>Общество с ограниченной ответственностью "ЗАВОД ЖЕЛЕЗОБЕТОННЫХ ИЗДЕЛИЙ СИГМА"</t>
        </is>
      </c>
      <c r="C5447" s="13" t="n">
        <v>3811474617</v>
      </c>
      <c r="D5447" s="13" t="inlineStr">
        <is>
          <t>3811474617</t>
        </is>
      </c>
      <c r="E5447" s="13" t="inlineStr">
        <is>
          <t>ЮЛ РФ</t>
        </is>
      </c>
      <c r="F5447" s="13" t="n"/>
      <c r="G5447" s="52" t="n">
        <v>4</v>
      </c>
      <c r="H5447" s="52" t="n">
        <v>2025</v>
      </c>
      <c r="I5447" s="14" t="n"/>
      <c r="J5447" s="14" t="n"/>
      <c r="K5447" s="53" t="inlineStr">
        <is>
          <t>Нет</t>
        </is>
      </c>
      <c r="L5447" s="53" t="inlineStr">
        <is>
          <t>Не определено</t>
        </is>
      </c>
      <c r="M5447" s="53" t="inlineStr">
        <is>
          <t>До 10</t>
        </is>
      </c>
      <c r="N5447" s="54" t="n">
        <v>3360</v>
      </c>
      <c r="O5447" s="55" t="inlineStr">
        <is>
          <t>1–15</t>
        </is>
      </c>
      <c r="P5447" s="16" t="inlineStr">
        <is>
          <t>ССЧР обогащена; ОКВЭД не найден/не загружен</t>
        </is>
      </c>
      <c r="Q5447" s="16" t="inlineStr">
        <is>
          <t>ФНС открытые данные ССЧР (ДатаСост 31.12.2025; набор 7707329152-sshr2019)</t>
        </is>
      </c>
      <c r="R5447" s="16">
        <f>HYPERLINK("https://checko.ru/search?query=3801001629","Чекко: проверить")</f>
        <v/>
      </c>
      <c r="S5447" t="n">
        <v>1</v>
      </c>
      <c r="T5447" s="35" t="inlineStr">
        <is>
          <t>4 — Не обогащён</t>
        </is>
      </c>
      <c r="U5447" s="35" t="inlineStr">
        <is>
          <t>Нет ОКВЭД/ССЧР</t>
        </is>
      </c>
      <c r="V5447" s="35" t="inlineStr">
        <is>
          <t>Не определено</t>
        </is>
      </c>
      <c r="W5447" s="35" t="inlineStr">
        <is>
          <t>Нет</t>
        </is>
      </c>
      <c r="X5447" s="35" t="inlineStr"/>
    </row>
    <row r="5448" ht="27.75" customHeight="1" s="24">
      <c r="A5448" s="13" t="n">
        <v>804707180</v>
      </c>
      <c r="B5448" s="13" t="inlineStr">
        <is>
          <t>ОБЩЕСТВО С ОГРАНИЧЕННОЙ ОТВЕТСТВЕННОСТЬЮ "РОЩА"</t>
        </is>
      </c>
      <c r="C5448" s="13" t="n">
        <v>3808290105</v>
      </c>
      <c r="D5448" s="13" t="inlineStr">
        <is>
          <t>3808290105</t>
        </is>
      </c>
      <c r="E5448" s="13" t="inlineStr">
        <is>
          <t>ЮЛ РФ</t>
        </is>
      </c>
      <c r="F5448" s="13" t="n"/>
      <c r="G5448" s="52" t="n">
        <v>156</v>
      </c>
      <c r="H5448" s="52" t="n">
        <v>2025</v>
      </c>
      <c r="I5448" s="52" t="inlineStr">
        <is>
          <t>47.78</t>
        </is>
      </c>
      <c r="J5448" s="52" t="inlineStr">
        <is>
          <t>47.78; 49.41.1; 46.73; 46.74; 46.90; 47.19; 47.52; 47.54; 47.59; 49.41; 52.10; 52.21.29; 52.29</t>
        </is>
      </c>
      <c r="K5448" s="53" t="inlineStr">
        <is>
          <t>Да</t>
        </is>
      </c>
      <c r="L5448" s="53" t="inlineStr">
        <is>
          <t>Да</t>
        </is>
      </c>
      <c r="M5448" s="53" t="inlineStr">
        <is>
          <t>До 200</t>
        </is>
      </c>
      <c r="N5448" s="54" t="n">
        <v>62400</v>
      </c>
      <c r="O5448" s="55" t="inlineStr">
        <is>
          <t>101–200</t>
        </is>
      </c>
      <c r="P5448" s="16" t="inlineStr">
        <is>
          <t>ССЧР + ОКВЭД обогащены</t>
        </is>
      </c>
      <c r="Q5448" s="16" t="inlineStr">
        <is>
          <t>ФНС открытые данные ССЧР (ДатаСост 31.12.2025; набор 7707329152-sshr2019)</t>
        </is>
      </c>
      <c r="R5448" s="16" t="inlineStr">
        <is>
          <t>ЕГРЮЛ / egrul.nalog.ru (выписка)</t>
        </is>
      </c>
      <c r="S5448" t="n">
        <v>1</v>
      </c>
      <c r="T5448" s="35" t="inlineStr">
        <is>
          <t>1 — Горячий</t>
        </is>
      </c>
      <c r="U5448" s="35" t="inlineStr">
        <is>
          <t>ОКВЭД + 22+</t>
        </is>
      </c>
      <c r="V5448" s="35" t="inlineStr">
        <is>
          <t>Да</t>
        </is>
      </c>
      <c r="W5448" s="35" t="inlineStr">
        <is>
          <t>Да</t>
        </is>
      </c>
      <c r="X5448" s="35" t="inlineStr">
        <is>
          <t>Да</t>
        </is>
      </c>
    </row>
    <row r="5449" ht="15" customHeight="1" s="24">
      <c r="A5449" s="13" t="n">
        <v>801436621</v>
      </c>
      <c r="B5449" s="13" t="inlineStr">
        <is>
          <t>ИП Сухорукова Анна Ивановна</t>
        </is>
      </c>
      <c r="C5449" s="13" t="n">
        <v>380415131962</v>
      </c>
      <c r="D5449" s="13" t="inlineStr">
        <is>
          <t>380415131962</t>
        </is>
      </c>
      <c r="E5449" s="13" t="inlineStr">
        <is>
          <t>ИП РФ / физлицо</t>
        </is>
      </c>
      <c r="F5449" s="13" t="n"/>
      <c r="G5449" s="14" t="n"/>
      <c r="H5449" s="14" t="n"/>
      <c r="I5449" s="14" t="n"/>
      <c r="J5449" s="14" t="n"/>
      <c r="K5449" s="53" t="inlineStr"/>
      <c r="L5449" s="53" t="inlineStr">
        <is>
          <t>Не определено</t>
        </is>
      </c>
      <c r="M5449" s="53" t="inlineStr"/>
      <c r="N5449" s="54" t="inlineStr"/>
      <c r="O5449" s="55" t="inlineStr"/>
      <c r="P5449" s="16" t="inlineStr">
        <is>
          <t>Требует обогащения</t>
        </is>
      </c>
      <c r="Q5449" s="16">
        <f>HYPERLINK("https://pb.nalog.ru/search.html?query=380415131962","ФНС: проверить")</f>
        <v/>
      </c>
      <c r="R5449" s="16">
        <f>HYPERLINK("https://checko.ru/search?query=3801001629","Чекко: проверить")</f>
        <v/>
      </c>
      <c r="S5449" t="n">
        <v>1</v>
      </c>
      <c r="T5449" s="35" t="inlineStr">
        <is>
          <t>4 — Не обогащён</t>
        </is>
      </c>
      <c r="U5449" s="35" t="inlineStr">
        <is>
          <t>Нет ОКВЭД/ССЧР</t>
        </is>
      </c>
      <c r="V5449" s="35" t="inlineStr">
        <is>
          <t>Не определено</t>
        </is>
      </c>
      <c r="W5449" s="35" t="inlineStr"/>
      <c r="X5449" s="35" t="inlineStr"/>
    </row>
    <row r="5450" ht="15" customHeight="1" s="24">
      <c r="A5450" s="13" t="n">
        <v>804688317</v>
      </c>
      <c r="B5450" s="13" t="inlineStr">
        <is>
          <t>ООО "Южнобайкальское"</t>
        </is>
      </c>
      <c r="C5450" s="13" t="n">
        <v>3848006527</v>
      </c>
      <c r="D5450" s="13" t="inlineStr">
        <is>
          <t>3848006527</t>
        </is>
      </c>
      <c r="E5450" s="13" t="inlineStr">
        <is>
          <t>ЮЛ РФ</t>
        </is>
      </c>
      <c r="F5450" s="13" t="n"/>
      <c r="G5450" s="52" t="n">
        <v>30</v>
      </c>
      <c r="H5450" s="52" t="n">
        <v>2025</v>
      </c>
      <c r="I5450" s="52" t="inlineStr">
        <is>
          <t>35.30</t>
        </is>
      </c>
      <c r="J5450" s="52" t="inlineStr">
        <is>
          <t>35.30; 35.30.2; 35.30.3; 35.30.4; 35.30.5; 35.30.14; 36.00; 37.00; 52.21.24; 68.32; 69.10; 69.20; 70.22; 82.99</t>
        </is>
      </c>
      <c r="K5450" s="53" t="inlineStr">
        <is>
          <t>Да</t>
        </is>
      </c>
      <c r="L5450" s="53" t="inlineStr">
        <is>
          <t>Да</t>
        </is>
      </c>
      <c r="M5450" s="53" t="inlineStr">
        <is>
          <t>До 50</t>
        </is>
      </c>
      <c r="N5450" s="54" t="n">
        <v>16800</v>
      </c>
      <c r="O5450" s="55" t="inlineStr">
        <is>
          <t>16–30</t>
        </is>
      </c>
      <c r="P5450" s="16" t="inlineStr">
        <is>
          <t>ССЧР + ОКВЭД обогащены</t>
        </is>
      </c>
      <c r="Q5450" s="16" t="inlineStr">
        <is>
          <t>ФНС открытые данные ССЧР (ДатаСост 31.12.2025; набор 7707329152-sshr2019)</t>
        </is>
      </c>
      <c r="R5450" s="16" t="inlineStr">
        <is>
          <t>ЕГРЮЛ / egrul.nalog.ru (выписка)</t>
        </is>
      </c>
      <c r="S5450" t="n">
        <v>1</v>
      </c>
      <c r="T5450" s="35" t="inlineStr">
        <is>
          <t>1 — Горячий</t>
        </is>
      </c>
      <c r="U5450" s="35" t="inlineStr">
        <is>
          <t>ОКВЭД + 22+</t>
        </is>
      </c>
      <c r="V5450" s="35" t="inlineStr">
        <is>
          <t>Да</t>
        </is>
      </c>
      <c r="W5450" s="35" t="inlineStr">
        <is>
          <t>Да</t>
        </is>
      </c>
      <c r="X5450" s="35" t="inlineStr">
        <is>
          <t>Да</t>
        </is>
      </c>
    </row>
    <row r="5451" ht="27.75" customHeight="1" s="24">
      <c r="A5451" s="13" t="n">
        <v>802456237</v>
      </c>
      <c r="B5451" s="13" t="inlineStr">
        <is>
          <t>Общество с ограниченной ответственностью "СИБВЕРК-БАЙКАЛ"</t>
        </is>
      </c>
      <c r="C5451" s="13" t="n">
        <v>3808147176</v>
      </c>
      <c r="D5451" s="13" t="inlineStr">
        <is>
          <t>3808147176</t>
        </is>
      </c>
      <c r="E5451" s="13" t="inlineStr">
        <is>
          <t>ЮЛ РФ</t>
        </is>
      </c>
      <c r="F5451" s="13" t="n"/>
      <c r="G5451" s="52" t="n">
        <v>11</v>
      </c>
      <c r="H5451" s="52" t="n">
        <v>2025</v>
      </c>
      <c r="I5451" s="14" t="n"/>
      <c r="J5451" s="14" t="n"/>
      <c r="K5451" s="53" t="inlineStr">
        <is>
          <t>Нет</t>
        </is>
      </c>
      <c r="L5451" s="53" t="inlineStr">
        <is>
          <t>Не определено</t>
        </is>
      </c>
      <c r="M5451" s="53" t="inlineStr">
        <is>
          <t>До 25</t>
        </is>
      </c>
      <c r="N5451" s="54" t="n">
        <v>8400</v>
      </c>
      <c r="O5451" s="55" t="inlineStr">
        <is>
          <t>1–15</t>
        </is>
      </c>
      <c r="P5451" s="16" t="inlineStr">
        <is>
          <t>ССЧР обогащена; ОКВЭД не найден/не загружен</t>
        </is>
      </c>
      <c r="Q5451" s="16" t="inlineStr">
        <is>
          <t>ФНС открытые данные ССЧР (ДатаСост 31.12.2025; набор 7707329152-sshr2019)</t>
        </is>
      </c>
      <c r="R5451" s="16">
        <f>HYPERLINK("https://checko.ru/search?query=3801001629","Чекко: проверить")</f>
        <v/>
      </c>
      <c r="S5451" t="n">
        <v>1</v>
      </c>
      <c r="T5451" s="35" t="inlineStr">
        <is>
          <t>4 — Не обогащён</t>
        </is>
      </c>
      <c r="U5451" s="35" t="inlineStr">
        <is>
          <t>Нет ОКВЭД/ССЧР</t>
        </is>
      </c>
      <c r="V5451" s="35" t="inlineStr">
        <is>
          <t>Не определено</t>
        </is>
      </c>
      <c r="W5451" s="35" t="inlineStr">
        <is>
          <t>Нет</t>
        </is>
      </c>
      <c r="X5451" s="35" t="inlineStr"/>
    </row>
    <row r="5452" ht="15" customHeight="1" s="24">
      <c r="A5452" s="13" t="n">
        <v>9152770</v>
      </c>
      <c r="B5452" s="13" t="inlineStr">
        <is>
          <t>БАКАЛЕЯ ООО</t>
        </is>
      </c>
      <c r="C5452" s="13" t="n">
        <v>3810338594</v>
      </c>
      <c r="D5452" s="13" t="inlineStr">
        <is>
          <t>3810338594</t>
        </is>
      </c>
      <c r="E5452" s="13" t="inlineStr">
        <is>
          <t>ЮЛ РФ</t>
        </is>
      </c>
      <c r="F5452" s="13" t="n"/>
      <c r="G5452" s="52" t="n">
        <v>41</v>
      </c>
      <c r="H5452" s="52" t="n">
        <v>2025</v>
      </c>
      <c r="I5452" s="52" t="inlineStr">
        <is>
          <t>68.20.2</t>
        </is>
      </c>
      <c r="J5452" s="52" t="inlineStr">
        <is>
          <t>68.20.2; 41.20; 43.99; 52.10; 52.10.9; 52.29; 64.91; 68.10.11; 68.10.22; 68.32; 68.32.2; 73.11; 73.20.1; 78.10; 82.99</t>
        </is>
      </c>
      <c r="K5452" s="53" t="inlineStr">
        <is>
          <t>Да</t>
        </is>
      </c>
      <c r="L5452" s="53" t="inlineStr">
        <is>
          <t>Да</t>
        </is>
      </c>
      <c r="M5452" s="53" t="inlineStr">
        <is>
          <t>До 50</t>
        </is>
      </c>
      <c r="N5452" s="54" t="n">
        <v>16800</v>
      </c>
      <c r="O5452" s="55" t="inlineStr">
        <is>
          <t>31–50</t>
        </is>
      </c>
      <c r="P5452" s="16" t="inlineStr">
        <is>
          <t>ССЧР + ОКВЭД обогащены</t>
        </is>
      </c>
      <c r="Q5452" s="16" t="inlineStr">
        <is>
          <t>ФНС открытые данные ССЧР (ДатаСост 31.12.2025; набор 7707329152-sshr2019)</t>
        </is>
      </c>
      <c r="R5452" s="16" t="inlineStr">
        <is>
          <t>ЕГРЮЛ / egrul.nalog.ru (выписка)</t>
        </is>
      </c>
      <c r="S5452" t="n">
        <v>1</v>
      </c>
      <c r="T5452" s="35" t="inlineStr">
        <is>
          <t>1 — Горячий</t>
        </is>
      </c>
      <c r="U5452" s="35" t="inlineStr">
        <is>
          <t>ОКВЭД + 22+</t>
        </is>
      </c>
      <c r="V5452" s="35" t="inlineStr">
        <is>
          <t>Да</t>
        </is>
      </c>
      <c r="W5452" s="35" t="inlineStr">
        <is>
          <t>Да</t>
        </is>
      </c>
      <c r="X5452" s="35" t="inlineStr">
        <is>
          <t>Да</t>
        </is>
      </c>
    </row>
    <row r="5453" ht="15" customHeight="1" s="24">
      <c r="A5453" s="13" t="n">
        <v>803030658</v>
      </c>
      <c r="B5453" s="13" t="inlineStr">
        <is>
          <t>ООО "СибЦемСтрой"</t>
        </is>
      </c>
      <c r="C5453" s="13" t="n">
        <v>3812147387</v>
      </c>
      <c r="D5453" s="13" t="inlineStr">
        <is>
          <t>3812147387</t>
        </is>
      </c>
      <c r="E5453" s="13" t="inlineStr">
        <is>
          <t>ЮЛ РФ</t>
        </is>
      </c>
      <c r="F5453" s="13" t="n"/>
      <c r="G5453" s="52" t="n">
        <v>4</v>
      </c>
      <c r="H5453" s="52" t="n">
        <v>2025</v>
      </c>
      <c r="I5453" s="14" t="n"/>
      <c r="J5453" s="14" t="n"/>
      <c r="K5453" s="53" t="inlineStr">
        <is>
          <t>Нет</t>
        </is>
      </c>
      <c r="L5453" s="53" t="inlineStr">
        <is>
          <t>Не определено</t>
        </is>
      </c>
      <c r="M5453" s="53" t="inlineStr">
        <is>
          <t>До 10</t>
        </is>
      </c>
      <c r="N5453" s="54" t="n">
        <v>3360</v>
      </c>
      <c r="O5453" s="55" t="inlineStr">
        <is>
          <t>1–15</t>
        </is>
      </c>
      <c r="P5453" s="16" t="inlineStr">
        <is>
          <t>ССЧР обогащена; ОКВЭД не найден/не загружен</t>
        </is>
      </c>
      <c r="Q5453" s="16" t="inlineStr">
        <is>
          <t>ФНС открытые данные ССЧР (ДатаСост 31.12.2025; набор 7707329152-sshr2019)</t>
        </is>
      </c>
      <c r="R5453" s="16">
        <f>HYPERLINK("https://checko.ru/search?query=3801001629","Чекко: проверить")</f>
        <v/>
      </c>
      <c r="S5453" t="n">
        <v>1</v>
      </c>
      <c r="T5453" s="35" t="inlineStr">
        <is>
          <t>4 — Не обогащён</t>
        </is>
      </c>
      <c r="U5453" s="35" t="inlineStr">
        <is>
          <t>Нет ОКВЭД/ССЧР</t>
        </is>
      </c>
      <c r="V5453" s="35" t="inlineStr">
        <is>
          <t>Не определено</t>
        </is>
      </c>
      <c r="W5453" s="35" t="inlineStr">
        <is>
          <t>Нет</t>
        </is>
      </c>
      <c r="X5453" s="35" t="inlineStr"/>
    </row>
    <row r="5454" ht="27.75" customHeight="1" s="24">
      <c r="A5454" s="13" t="n">
        <v>800868964</v>
      </c>
      <c r="B5454" s="13" t="inlineStr">
        <is>
          <t>ОБЩЕСТВО С ОГРАНИЧЕННОЙ ОТВЕТСТВЕННОСТЬЮ "СИБАКТИВСНАБ"</t>
        </is>
      </c>
      <c r="C5454" s="13" t="n">
        <v>3812059444</v>
      </c>
      <c r="D5454" s="13" t="inlineStr">
        <is>
          <t>3812059444</t>
        </is>
      </c>
      <c r="E5454" s="13" t="inlineStr">
        <is>
          <t>ЮЛ РФ</t>
        </is>
      </c>
      <c r="F5454" s="13" t="n"/>
      <c r="G5454" s="52" t="n">
        <v>1</v>
      </c>
      <c r="H5454" s="52" t="n">
        <v>2025</v>
      </c>
      <c r="I5454" s="14" t="n"/>
      <c r="J5454" s="14" t="n"/>
      <c r="K5454" s="53" t="inlineStr">
        <is>
          <t>Нет</t>
        </is>
      </c>
      <c r="L5454" s="53" t="inlineStr">
        <is>
          <t>Не определено</t>
        </is>
      </c>
      <c r="M5454" s="53" t="inlineStr">
        <is>
          <t>До 10</t>
        </is>
      </c>
      <c r="N5454" s="54" t="n">
        <v>3360</v>
      </c>
      <c r="O5454" s="55" t="inlineStr">
        <is>
          <t>1–15</t>
        </is>
      </c>
      <c r="P5454" s="16" t="inlineStr">
        <is>
          <t>ССЧР обогащена; ОКВЭД не найден/не загружен</t>
        </is>
      </c>
      <c r="Q5454" s="16" t="inlineStr">
        <is>
          <t>ФНС открытые данные ССЧР (ДатаСост 31.12.2025; набор 7707329152-sshr2019)</t>
        </is>
      </c>
      <c r="R5454" s="16">
        <f>HYPERLINK("https://checko.ru/search?query=3801001629","Чекко: проверить")</f>
        <v/>
      </c>
      <c r="S5454" t="n">
        <v>1</v>
      </c>
      <c r="T5454" s="35" t="inlineStr">
        <is>
          <t>4 — Не обогащён</t>
        </is>
      </c>
      <c r="U5454" s="35" t="inlineStr">
        <is>
          <t>Нет ОКВЭД/ССЧР</t>
        </is>
      </c>
      <c r="V5454" s="35" t="inlineStr">
        <is>
          <t>Не определено</t>
        </is>
      </c>
      <c r="W5454" s="35" t="inlineStr">
        <is>
          <t>Нет</t>
        </is>
      </c>
      <c r="X5454" s="35" t="inlineStr"/>
    </row>
    <row r="5455" ht="15" customHeight="1" s="24">
      <c r="A5455" s="13" t="n">
        <v>800886011</v>
      </c>
      <c r="B5455" s="13" t="inlineStr">
        <is>
          <t>ООО "Зеленый Дом"</t>
        </is>
      </c>
      <c r="C5455" s="13" t="n">
        <v>3848005851</v>
      </c>
      <c r="D5455" s="13" t="inlineStr">
        <is>
          <t>3848005851</t>
        </is>
      </c>
      <c r="E5455" s="13" t="inlineStr">
        <is>
          <t>ЮЛ РФ</t>
        </is>
      </c>
      <c r="F5455" s="13" t="n"/>
      <c r="G5455" s="52" t="n">
        <v>70</v>
      </c>
      <c r="H5455" s="52" t="n">
        <v>2025</v>
      </c>
      <c r="I5455" s="52" t="inlineStr">
        <is>
          <t>81.22</t>
        </is>
      </c>
      <c r="J5455" s="52" t="inlineStr">
        <is>
          <t>81.22; 38.32.2; 38.32.3; 38.32.4; 38.32.5; 46.44.2; 46.45.2; 46.77; 47.19.1; 47.75.2; 47.78.9; 49.41.1; 49.41.2; 49.41.3; 52.10; 52.24; 52.29; 64.91.2; 77.33.1; 77.39.2; 77.39.11; 81.10; 81.21; 81.29; 81.29.2; 81.29.9; 82.99</t>
        </is>
      </c>
      <c r="K5455" s="53" t="inlineStr">
        <is>
          <t>Да</t>
        </is>
      </c>
      <c r="L5455" s="53" t="inlineStr">
        <is>
          <t>Да</t>
        </is>
      </c>
      <c r="M5455" s="53" t="inlineStr">
        <is>
          <t>До 100</t>
        </is>
      </c>
      <c r="N5455" s="54" t="n">
        <v>33600</v>
      </c>
      <c r="O5455" s="55" t="inlineStr">
        <is>
          <t>51–100</t>
        </is>
      </c>
      <c r="P5455" s="16" t="inlineStr">
        <is>
          <t>ССЧР + ОКВЭД обогащены</t>
        </is>
      </c>
      <c r="Q5455" s="16" t="inlineStr">
        <is>
          <t>ФНС открытые данные ССЧР (ДатаСост 31.12.2025; набор 7707329152-sshr2019)</t>
        </is>
      </c>
      <c r="R5455" s="16" t="inlineStr">
        <is>
          <t>ЕГРЮЛ / egrul.nalog.ru (выписка)</t>
        </is>
      </c>
      <c r="S5455" t="n">
        <v>1</v>
      </c>
      <c r="T5455" s="35" t="inlineStr">
        <is>
          <t>1 — Горячий</t>
        </is>
      </c>
      <c r="U5455" s="35" t="inlineStr">
        <is>
          <t>ОКВЭД + 22+</t>
        </is>
      </c>
      <c r="V5455" s="35" t="inlineStr">
        <is>
          <t>Да</t>
        </is>
      </c>
      <c r="W5455" s="35" t="inlineStr">
        <is>
          <t>Да</t>
        </is>
      </c>
      <c r="X5455" s="35" t="inlineStr">
        <is>
          <t>Да</t>
        </is>
      </c>
    </row>
    <row r="5456" ht="27.75" customHeight="1" s="24">
      <c r="A5456" s="13" t="n">
        <v>800867145</v>
      </c>
      <c r="B5456" s="13" t="inlineStr">
        <is>
          <t>ООО "Частная охранная организация "КНГ-Охрана Восток"</t>
        </is>
      </c>
      <c r="C5456" s="13" t="n">
        <v>1434048399</v>
      </c>
      <c r="D5456" s="13" t="inlineStr">
        <is>
          <t>1434048399</t>
        </is>
      </c>
      <c r="E5456" s="13" t="inlineStr">
        <is>
          <t>ЮЛ РФ</t>
        </is>
      </c>
      <c r="F5456" s="13" t="n"/>
      <c r="G5456" s="52" t="n">
        <v>39</v>
      </c>
      <c r="H5456" s="52" t="n">
        <v>2025</v>
      </c>
      <c r="I5456" s="52" t="inlineStr">
        <is>
          <t>80.10</t>
        </is>
      </c>
      <c r="J5456" s="52" t="inlineStr">
        <is>
          <t>80.10; 80.20</t>
        </is>
      </c>
      <c r="K5456" s="53" t="inlineStr">
        <is>
          <t>Да</t>
        </is>
      </c>
      <c r="L5456" s="53" t="inlineStr">
        <is>
          <t>Да</t>
        </is>
      </c>
      <c r="M5456" s="53" t="inlineStr">
        <is>
          <t>До 50</t>
        </is>
      </c>
      <c r="N5456" s="54" t="n">
        <v>16800</v>
      </c>
      <c r="O5456" s="55" t="inlineStr">
        <is>
          <t>31–50</t>
        </is>
      </c>
      <c r="P5456" s="16" t="inlineStr">
        <is>
          <t>ССЧР + ОКВЭД обогащены</t>
        </is>
      </c>
      <c r="Q5456" s="16" t="inlineStr">
        <is>
          <t>ФНС открытые данные ССЧР (ДатаСост 31.12.2025; набор 7707329152-sshr2019)</t>
        </is>
      </c>
      <c r="R5456" s="16" t="inlineStr">
        <is>
          <t>ЕГРЮЛ / egrul.nalog.ru (выписка)</t>
        </is>
      </c>
      <c r="S5456" t="n">
        <v>1</v>
      </c>
      <c r="T5456" s="35" t="inlineStr">
        <is>
          <t>1 — Горячий</t>
        </is>
      </c>
      <c r="U5456" s="35" t="inlineStr">
        <is>
          <t>ОКВЭД + 22+</t>
        </is>
      </c>
      <c r="V5456" s="35" t="inlineStr">
        <is>
          <t>Да</t>
        </is>
      </c>
      <c r="W5456" s="35" t="inlineStr">
        <is>
          <t>Да</t>
        </is>
      </c>
      <c r="X5456" s="35" t="inlineStr">
        <is>
          <t>Да</t>
        </is>
      </c>
    </row>
    <row r="5457" ht="27.75" customHeight="1" s="24">
      <c r="A5457" s="13" t="n">
        <v>804676602</v>
      </c>
      <c r="B5457" s="13" t="inlineStr">
        <is>
          <t>ОБЩЕСТВО С ОГРАНИЧЕННОЙ ОТВЕТСТВЕННОСТЬЮ "РЕГИОНЛЕС"</t>
        </is>
      </c>
      <c r="C5457" s="13" t="n">
        <v>2461033354</v>
      </c>
      <c r="D5457" s="13" t="inlineStr">
        <is>
          <t>2461033354</t>
        </is>
      </c>
      <c r="E5457" s="13" t="inlineStr">
        <is>
          <t>ЮЛ РФ</t>
        </is>
      </c>
      <c r="F5457" s="13" t="n"/>
      <c r="G5457" s="52" t="n">
        <v>1</v>
      </c>
      <c r="H5457" s="52" t="n">
        <v>2025</v>
      </c>
      <c r="I5457" s="14" t="n"/>
      <c r="J5457" s="14" t="n"/>
      <c r="K5457" s="53" t="inlineStr">
        <is>
          <t>Нет</t>
        </is>
      </c>
      <c r="L5457" s="53" t="inlineStr">
        <is>
          <t>Не определено</t>
        </is>
      </c>
      <c r="M5457" s="53" t="inlineStr">
        <is>
          <t>До 10</t>
        </is>
      </c>
      <c r="N5457" s="54" t="n">
        <v>3360</v>
      </c>
      <c r="O5457" s="55" t="inlineStr">
        <is>
          <t>1–15</t>
        </is>
      </c>
      <c r="P5457" s="16" t="inlineStr">
        <is>
          <t>ССЧР обогащена; ОКВЭД не найден/не загружен</t>
        </is>
      </c>
      <c r="Q5457" s="16" t="inlineStr">
        <is>
          <t>ФНС открытые данные ССЧР (ДатаСост 31.12.2025; набор 7707329152-sshr2019)</t>
        </is>
      </c>
      <c r="R5457" s="16">
        <f>HYPERLINK("https://checko.ru/search?query=3801001629","Чекко: проверить")</f>
        <v/>
      </c>
      <c r="S5457" t="n">
        <v>1</v>
      </c>
      <c r="T5457" s="35" t="inlineStr">
        <is>
          <t>4 — Не обогащён</t>
        </is>
      </c>
      <c r="U5457" s="35" t="inlineStr">
        <is>
          <t>Нет ОКВЭД/ССЧР</t>
        </is>
      </c>
      <c r="V5457" s="35" t="inlineStr">
        <is>
          <t>Не определено</t>
        </is>
      </c>
      <c r="W5457" s="35" t="inlineStr">
        <is>
          <t>Нет</t>
        </is>
      </c>
      <c r="X5457" s="35" t="inlineStr"/>
    </row>
    <row r="5458" ht="15" customHeight="1" s="24">
      <c r="A5458" s="13" t="n">
        <v>801613885</v>
      </c>
      <c r="B5458" s="13" t="inlineStr">
        <is>
          <t>ООО "ВИТА"</t>
        </is>
      </c>
      <c r="C5458" s="13" t="n">
        <v>3805702985</v>
      </c>
      <c r="D5458" s="13" t="inlineStr">
        <is>
          <t>3805702985</t>
        </is>
      </c>
      <c r="E5458" s="13" t="inlineStr">
        <is>
          <t>ЮЛ РФ</t>
        </is>
      </c>
      <c r="F5458" s="13" t="n"/>
      <c r="G5458" s="52" t="n">
        <v>14</v>
      </c>
      <c r="H5458" s="52" t="n">
        <v>2025</v>
      </c>
      <c r="I5458" s="14" t="n"/>
      <c r="J5458" s="14" t="n"/>
      <c r="K5458" s="53" t="inlineStr">
        <is>
          <t>Нет</t>
        </is>
      </c>
      <c r="L5458" s="53" t="inlineStr">
        <is>
          <t>Не определено</t>
        </is>
      </c>
      <c r="M5458" s="53" t="inlineStr">
        <is>
          <t>До 25</t>
        </is>
      </c>
      <c r="N5458" s="54" t="n">
        <v>8400</v>
      </c>
      <c r="O5458" s="55" t="inlineStr">
        <is>
          <t>1–15</t>
        </is>
      </c>
      <c r="P5458" s="16" t="inlineStr">
        <is>
          <t>ССЧР обогащена; ОКВЭД не найден/не загружен</t>
        </is>
      </c>
      <c r="Q5458" s="16" t="inlineStr">
        <is>
          <t>ФНС открытые данные ССЧР (ДатаСост 31.12.2025; набор 7707329152-sshr2019)</t>
        </is>
      </c>
      <c r="R5458" s="16">
        <f>HYPERLINK("https://checko.ru/search?query=3801001629","Чекко: проверить")</f>
        <v/>
      </c>
      <c r="S5458" t="n">
        <v>1</v>
      </c>
      <c r="T5458" s="35" t="inlineStr">
        <is>
          <t>4 — Не обогащён</t>
        </is>
      </c>
      <c r="U5458" s="35" t="inlineStr">
        <is>
          <t>Нет ОКВЭД/ССЧР</t>
        </is>
      </c>
      <c r="V5458" s="35" t="inlineStr">
        <is>
          <t>Не определено</t>
        </is>
      </c>
      <c r="W5458" s="35" t="inlineStr">
        <is>
          <t>Нет</t>
        </is>
      </c>
      <c r="X5458" s="35" t="inlineStr"/>
    </row>
    <row r="5459" ht="27.75" customHeight="1" s="24">
      <c r="A5459" s="13" t="n">
        <v>804707764</v>
      </c>
      <c r="B5459" s="13" t="inlineStr">
        <is>
          <t>ОБЩЕСТВО С ОГРАНИЧЕННОЙ ОТВЕТСТВЕННОСТЬЮ "ТЕХСПЕЦВОСТОК"</t>
        </is>
      </c>
      <c r="C5459" s="13" t="n">
        <v>2312203031</v>
      </c>
      <c r="D5459" s="13" t="inlineStr">
        <is>
          <t>2312203031</t>
        </is>
      </c>
      <c r="E5459" s="13" t="inlineStr">
        <is>
          <t>ЮЛ РФ</t>
        </is>
      </c>
      <c r="F5459" s="13" t="n"/>
      <c r="G5459" s="52" t="n">
        <v>0</v>
      </c>
      <c r="H5459" s="52" t="n">
        <v>2025</v>
      </c>
      <c r="I5459" s="14" t="n"/>
      <c r="J5459" s="14" t="n"/>
      <c r="K5459" s="53" t="inlineStr">
        <is>
          <t>Нет</t>
        </is>
      </c>
      <c r="L5459" s="53" t="inlineStr">
        <is>
          <t>Не определено</t>
        </is>
      </c>
      <c r="M5459" s="53" t="inlineStr">
        <is>
          <t>До 10</t>
        </is>
      </c>
      <c r="N5459" s="54" t="n">
        <v>3360</v>
      </c>
      <c r="O5459" s="55" t="inlineStr">
        <is>
          <t>1–15</t>
        </is>
      </c>
      <c r="P5459" s="16" t="inlineStr">
        <is>
          <t>ССЧР обогащена; ОКВЭД не найден/не загружен</t>
        </is>
      </c>
      <c r="Q5459" s="16" t="inlineStr">
        <is>
          <t>ФНС открытые данные ССЧР (ДатаСост 31.12.2025; набор 7707329152-sshr2019)</t>
        </is>
      </c>
      <c r="R5459" s="16">
        <f>HYPERLINK("https://checko.ru/search?query=3801001629","Чекко: проверить")</f>
        <v/>
      </c>
      <c r="S5459" t="n">
        <v>1</v>
      </c>
      <c r="T5459" s="35" t="inlineStr">
        <is>
          <t>4 — Не обогащён</t>
        </is>
      </c>
      <c r="U5459" s="35" t="inlineStr">
        <is>
          <t>Нет ОКВЭД/ССЧР</t>
        </is>
      </c>
      <c r="V5459" s="35" t="inlineStr">
        <is>
          <t>Не определено</t>
        </is>
      </c>
      <c r="W5459" s="35" t="inlineStr">
        <is>
          <t>Нет</t>
        </is>
      </c>
      <c r="X5459" s="35" t="inlineStr"/>
    </row>
    <row r="5460" ht="15" customHeight="1" s="24">
      <c r="A5460" s="13" t="n">
        <v>9863803</v>
      </c>
      <c r="B5460" s="13" t="inlineStr">
        <is>
          <t>ООО "Усть-Кутские тепловые сети и котельные"</t>
        </is>
      </c>
      <c r="C5460" s="13" t="n">
        <v>3818025152</v>
      </c>
      <c r="D5460" s="13" t="inlineStr">
        <is>
          <t>3818025152</t>
        </is>
      </c>
      <c r="E5460" s="13" t="inlineStr">
        <is>
          <t>ЮЛ РФ</t>
        </is>
      </c>
      <c r="F5460" s="13" t="n"/>
      <c r="G5460" s="52" t="n">
        <v>286</v>
      </c>
      <c r="H5460" s="52" t="n">
        <v>2025</v>
      </c>
      <c r="I5460" s="52" t="inlineStr">
        <is>
          <t>35.30.14</t>
        </is>
      </c>
      <c r="J5460" s="52" t="inlineStr">
        <is>
          <t>35.30.14; 36.00.1; 36.00.2; 33.12; 33.14; 33.20; 35.12; 35.13; 35.14; 35.30; 35.30.1; 35.30.2; 35.30.3; 35.30.4; 35.30.5; 37.00; 42.21; 42.22.1; 43.21; 46.71; 46.90; 47.78.9; 68.32.1; 68.32.2; 81.29.9</t>
        </is>
      </c>
      <c r="K5460" s="53" t="inlineStr">
        <is>
          <t>Да</t>
        </is>
      </c>
      <c r="L5460" s="53" t="inlineStr">
        <is>
          <t>Да</t>
        </is>
      </c>
      <c r="M5460" s="53" t="inlineStr">
        <is>
          <t>До 500</t>
        </is>
      </c>
      <c r="N5460" s="54" t="n">
        <v>144000</v>
      </c>
      <c r="O5460" s="55" t="inlineStr">
        <is>
          <t>201–500</t>
        </is>
      </c>
      <c r="P5460" s="16" t="inlineStr">
        <is>
          <t>ССЧР + ОКВЭД обогащены</t>
        </is>
      </c>
      <c r="Q5460" s="16" t="inlineStr">
        <is>
          <t>ФНС открытые данные ССЧР (ДатаСост 31.12.2025; набор 7707329152-sshr2019)</t>
        </is>
      </c>
      <c r="R5460" s="16" t="inlineStr">
        <is>
          <t>ЕГРЮЛ / egrul.nalog.ru (выписка)</t>
        </is>
      </c>
      <c r="S5460" t="n">
        <v>1</v>
      </c>
      <c r="T5460" s="35" t="inlineStr">
        <is>
          <t>1 — Горячий</t>
        </is>
      </c>
      <c r="U5460" s="35" t="inlineStr">
        <is>
          <t>ОКВЭД + 22+</t>
        </is>
      </c>
      <c r="V5460" s="35" t="inlineStr">
        <is>
          <t>Да</t>
        </is>
      </c>
      <c r="W5460" s="35" t="inlineStr">
        <is>
          <t>Да</t>
        </is>
      </c>
      <c r="X5460" s="35" t="inlineStr">
        <is>
          <t>Да</t>
        </is>
      </c>
    </row>
    <row r="5461" ht="15" customHeight="1" s="24">
      <c r="A5461" s="13" t="n">
        <v>800396138</v>
      </c>
      <c r="B5461" s="13" t="inlineStr">
        <is>
          <t>НКУ по ФКиС Яхт-клуб профкома ОАО "БрАЗ"</t>
        </is>
      </c>
      <c r="C5461" s="13" t="n">
        <v>3804019952</v>
      </c>
      <c r="D5461" s="13" t="inlineStr">
        <is>
          <t>3804019952</t>
        </is>
      </c>
      <c r="E5461" s="13" t="inlineStr">
        <is>
          <t>ЮЛ РФ</t>
        </is>
      </c>
      <c r="F5461" s="13" t="n"/>
      <c r="G5461" s="14" t="n"/>
      <c r="H5461" s="14" t="n"/>
      <c r="I5461" s="14" t="n"/>
      <c r="J5461" s="14" t="n"/>
      <c r="K5461" s="53" t="inlineStr"/>
      <c r="L5461" s="53" t="inlineStr">
        <is>
          <t>Не определено</t>
        </is>
      </c>
      <c r="M5461" s="53" t="inlineStr"/>
      <c r="N5461" s="54" t="inlineStr"/>
      <c r="O5461" s="55" t="inlineStr"/>
      <c r="P5461" s="16" t="inlineStr">
        <is>
          <t>Требует обогащения</t>
        </is>
      </c>
      <c r="Q5461" s="16">
        <f>HYPERLINK("https://pb.nalog.ru/search.html?query=3804019952","ФНС: проверить")</f>
        <v/>
      </c>
      <c r="R5461" s="16">
        <f>HYPERLINK("https://checko.ru/search?query=3801001629","Чекко: проверить")</f>
        <v/>
      </c>
      <c r="S5461" t="n">
        <v>1</v>
      </c>
      <c r="T5461" s="35" t="inlineStr">
        <is>
          <t>4 — Не обогащён</t>
        </is>
      </c>
      <c r="U5461" s="35" t="inlineStr">
        <is>
          <t>Нет ОКВЭД/ССЧР</t>
        </is>
      </c>
      <c r="V5461" s="35" t="inlineStr">
        <is>
          <t>Не определено</t>
        </is>
      </c>
      <c r="W5461" s="35" t="inlineStr"/>
      <c r="X5461" s="35" t="inlineStr"/>
    </row>
    <row r="5462" ht="15" customHeight="1" s="24">
      <c r="A5462" s="13" t="n">
        <v>802411585</v>
      </c>
      <c r="B5462" s="13" t="inlineStr">
        <is>
          <t>ООО "ГЛОБАЛ ИМПОРТ"</t>
        </is>
      </c>
      <c r="C5462" s="13" t="n">
        <v>3810066510</v>
      </c>
      <c r="D5462" s="13" t="inlineStr">
        <is>
          <t>3810066510</t>
        </is>
      </c>
      <c r="E5462" s="13" t="inlineStr">
        <is>
          <t>ЮЛ РФ</t>
        </is>
      </c>
      <c r="F5462" s="13" t="n"/>
      <c r="G5462" s="52" t="n">
        <v>52</v>
      </c>
      <c r="H5462" s="52" t="n">
        <v>2025</v>
      </c>
      <c r="I5462" s="52" t="inlineStr">
        <is>
          <t>45.19.1</t>
        </is>
      </c>
      <c r="J5462" s="52" t="inlineStr">
        <is>
          <t>45.19.1; 05.10; 05.20; 08.12; 09.10; 09.90; 25.11; 41.20; 43.12.3; 45.19; 45.20; 45.31; 45.32; 46.63; 46.69; 46.73; 46.90; 49.41; 52.10; 52.21.22; 52.24; 52.29; 62.02; 62.09; 63.11; 70.22; 77.32; 77.39</t>
        </is>
      </c>
      <c r="K5462" s="53" t="inlineStr">
        <is>
          <t>Да</t>
        </is>
      </c>
      <c r="L5462" s="53" t="inlineStr">
        <is>
          <t>Да</t>
        </is>
      </c>
      <c r="M5462" s="53" t="inlineStr">
        <is>
          <t>До 100</t>
        </is>
      </c>
      <c r="N5462" s="54" t="n">
        <v>33600</v>
      </c>
      <c r="O5462" s="55" t="inlineStr">
        <is>
          <t>51–100</t>
        </is>
      </c>
      <c r="P5462" s="16" t="inlineStr">
        <is>
          <t>ССЧР + ОКВЭД обогащены</t>
        </is>
      </c>
      <c r="Q5462" s="16" t="inlineStr">
        <is>
          <t>ФНС открытые данные ССЧР (ДатаСост 31.12.2025; набор 7707329152-sshr2019)</t>
        </is>
      </c>
      <c r="R5462" s="16" t="inlineStr">
        <is>
          <t>ЕГРЮЛ / egrul.nalog.ru (выписка)</t>
        </is>
      </c>
      <c r="S5462" t="n">
        <v>1</v>
      </c>
      <c r="T5462" s="35" t="inlineStr">
        <is>
          <t>1 — Горячий</t>
        </is>
      </c>
      <c r="U5462" s="35" t="inlineStr">
        <is>
          <t>ОКВЭД + 22+</t>
        </is>
      </c>
      <c r="V5462" s="35" t="inlineStr">
        <is>
          <t>Да</t>
        </is>
      </c>
      <c r="W5462" s="35" t="inlineStr">
        <is>
          <t>Да</t>
        </is>
      </c>
      <c r="X5462" s="35" t="inlineStr">
        <is>
          <t>Да</t>
        </is>
      </c>
    </row>
    <row r="5463" ht="15" customHeight="1" s="24">
      <c r="A5463" s="13" t="n">
        <v>10914726</v>
      </c>
      <c r="B5463" s="13" t="inlineStr">
        <is>
          <t>ООО «Защита»</t>
        </is>
      </c>
      <c r="C5463" s="13" t="n">
        <v>3804004064</v>
      </c>
      <c r="D5463" s="13" t="inlineStr">
        <is>
          <t>3804004064</t>
        </is>
      </c>
      <c r="E5463" s="13" t="inlineStr">
        <is>
          <t>ЮЛ РФ</t>
        </is>
      </c>
      <c r="F5463" s="13" t="n"/>
      <c r="G5463" s="52" t="n">
        <v>25</v>
      </c>
      <c r="H5463" s="52" t="n">
        <v>2025</v>
      </c>
      <c r="I5463" s="52" t="inlineStr">
        <is>
          <t>41.20</t>
        </is>
      </c>
      <c r="J5463" s="52" t="inlineStr">
        <is>
          <t>41.20; 42.11; 42.13; 42.21; 42.22; 42.22.1; 42.22.2; 42.91.2; 42.99; 43.11; 43.12; 43.12.1; 43.12.2; 43.12.3; 43.21; 43.22; 43.29; 43.31; 43.32; 43.32.1; 43.32.2; 43.32.3; 43.33; 43.34; 43.34.1; 43.34.2; 43.39; 43.91; 43.99; 43.99.1; 43.99.2; 43.99.3; 43.99.4; 43.99.5; 43.99.6; 43.99.7; 43.99.9; 45.20.2; 46.73.6</t>
        </is>
      </c>
      <c r="K5463" s="53" t="inlineStr">
        <is>
          <t>Да</t>
        </is>
      </c>
      <c r="L5463" s="53" t="inlineStr">
        <is>
          <t>Да</t>
        </is>
      </c>
      <c r="M5463" s="53" t="inlineStr">
        <is>
          <t>До 25</t>
        </is>
      </c>
      <c r="N5463" s="54" t="n">
        <v>8400</v>
      </c>
      <c r="O5463" s="55" t="inlineStr">
        <is>
          <t>16–30</t>
        </is>
      </c>
      <c r="P5463" s="16" t="inlineStr">
        <is>
          <t>ССЧР + ОКВЭД обогащены</t>
        </is>
      </c>
      <c r="Q5463" s="16" t="inlineStr">
        <is>
          <t>ФНС открытые данные ССЧР (ДатаСост 31.12.2025; набор 7707329152-sshr2019)</t>
        </is>
      </c>
      <c r="R5463" s="16" t="inlineStr">
        <is>
          <t>ЕГРЮЛ / egrul.nalog.ru (выписка)</t>
        </is>
      </c>
      <c r="S5463" t="n">
        <v>1</v>
      </c>
      <c r="T5463" s="35" t="inlineStr">
        <is>
          <t>1 — Горячий</t>
        </is>
      </c>
      <c r="U5463" s="35" t="inlineStr">
        <is>
          <t>ОКВЭД + 22+</t>
        </is>
      </c>
      <c r="V5463" s="35" t="inlineStr">
        <is>
          <t>Да</t>
        </is>
      </c>
      <c r="W5463" s="35" t="inlineStr">
        <is>
          <t>Да</t>
        </is>
      </c>
      <c r="X5463" s="35" t="inlineStr">
        <is>
          <t>Да</t>
        </is>
      </c>
    </row>
    <row r="5464" ht="15" customHeight="1" s="24">
      <c r="A5464" s="13" t="n">
        <v>802461049</v>
      </c>
      <c r="B5464" s="13" t="inlineStr">
        <is>
          <t>ООО СК "МОСТОТРЯД-97"</t>
        </is>
      </c>
      <c r="C5464" s="13" t="n">
        <v>3812111648</v>
      </c>
      <c r="D5464" s="13" t="inlineStr">
        <is>
          <t>3812111648</t>
        </is>
      </c>
      <c r="E5464" s="13" t="inlineStr">
        <is>
          <t>ЮЛ РФ</t>
        </is>
      </c>
      <c r="F5464" s="13" t="n"/>
      <c r="G5464" s="52" t="n">
        <v>368</v>
      </c>
      <c r="H5464" s="52" t="n">
        <v>2025</v>
      </c>
      <c r="I5464" s="52" t="inlineStr">
        <is>
          <t>42.11</t>
        </is>
      </c>
      <c r="J5464" s="52" t="inlineStr">
        <is>
          <t>42.11; 41.20; 42.12; 42.13; 42.21; 42.99; 43.12.1; 43.12.3; 43.21; 43.22; 43.29; 43.31; 43.32; 43.33; 43.34; 43.34.1; 43.34.2; 43.39; 43.91; 43.99; 43.99.1; 43.99.2; 43.99.3; 43.99.4; 43.99.5; 43.99.6; 43.99.7; 43.99.9; 71.20; 71.20.3</t>
        </is>
      </c>
      <c r="K5464" s="53" t="inlineStr">
        <is>
          <t>Да</t>
        </is>
      </c>
      <c r="L5464" s="53" t="inlineStr">
        <is>
          <t>Да</t>
        </is>
      </c>
      <c r="M5464" s="53" t="inlineStr">
        <is>
          <t>До 500</t>
        </is>
      </c>
      <c r="N5464" s="54" t="n">
        <v>144000</v>
      </c>
      <c r="O5464" s="55" t="inlineStr">
        <is>
          <t>201–500</t>
        </is>
      </c>
      <c r="P5464" s="16" t="inlineStr">
        <is>
          <t>ССЧР + ОКВЭД обогащены</t>
        </is>
      </c>
      <c r="Q5464" s="16" t="inlineStr">
        <is>
          <t>ФНС открытые данные ССЧР (ДатаСост 31.12.2025; набор 7707329152-sshr2019)</t>
        </is>
      </c>
      <c r="R5464" s="16" t="inlineStr">
        <is>
          <t>ЕГРЮЛ / egrul.nalog.ru (выписка)</t>
        </is>
      </c>
      <c r="S5464" t="n">
        <v>1</v>
      </c>
      <c r="T5464" s="35" t="inlineStr">
        <is>
          <t>1 — Горячий</t>
        </is>
      </c>
      <c r="U5464" s="35" t="inlineStr">
        <is>
          <t>ОКВЭД + 22+</t>
        </is>
      </c>
      <c r="V5464" s="35" t="inlineStr">
        <is>
          <t>Да</t>
        </is>
      </c>
      <c r="W5464" s="35" t="inlineStr">
        <is>
          <t>Да</t>
        </is>
      </c>
      <c r="X5464" s="35" t="inlineStr">
        <is>
          <t>Да</t>
        </is>
      </c>
    </row>
    <row r="5465" ht="15" customHeight="1" s="24">
      <c r="A5465" s="13" t="n">
        <v>20000197629</v>
      </c>
      <c r="B5465" s="13" t="inlineStr">
        <is>
          <t>ООО "АвтоСнабСтрой"</t>
        </is>
      </c>
      <c r="C5465" s="13" t="n">
        <v>1433022905</v>
      </c>
      <c r="D5465" s="13" t="inlineStr">
        <is>
          <t>1433022905</t>
        </is>
      </c>
      <c r="E5465" s="13" t="inlineStr">
        <is>
          <t>ЮЛ РФ</t>
        </is>
      </c>
      <c r="F5465" s="13" t="n"/>
      <c r="G5465" s="52" t="n">
        <v>9</v>
      </c>
      <c r="H5465" s="52" t="n">
        <v>2025</v>
      </c>
      <c r="I5465" s="14" t="n"/>
      <c r="J5465" s="14" t="n"/>
      <c r="K5465" s="53" t="inlineStr">
        <is>
          <t>Нет</t>
        </is>
      </c>
      <c r="L5465" s="53" t="inlineStr">
        <is>
          <t>Не определено</t>
        </is>
      </c>
      <c r="M5465" s="53" t="inlineStr">
        <is>
          <t>До 10</t>
        </is>
      </c>
      <c r="N5465" s="54" t="n">
        <v>3360</v>
      </c>
      <c r="O5465" s="55" t="inlineStr">
        <is>
          <t>1–15</t>
        </is>
      </c>
      <c r="P5465" s="16" t="inlineStr">
        <is>
          <t>ССЧР обогащена; ОКВЭД не найден/не загружен</t>
        </is>
      </c>
      <c r="Q5465" s="16" t="inlineStr">
        <is>
          <t>ФНС открытые данные ССЧР (ДатаСост 31.12.2025; набор 7707329152-sshr2019)</t>
        </is>
      </c>
      <c r="R5465" s="16">
        <f>HYPERLINK("https://checko.ru/search?query=3801001629","Чекко: проверить")</f>
        <v/>
      </c>
      <c r="S5465" t="n">
        <v>1</v>
      </c>
      <c r="T5465" s="35" t="inlineStr">
        <is>
          <t>4 — Не обогащён</t>
        </is>
      </c>
      <c r="U5465" s="35" t="inlineStr">
        <is>
          <t>Нет ОКВЭД/ССЧР</t>
        </is>
      </c>
      <c r="V5465" s="35" t="inlineStr">
        <is>
          <t>Не определено</t>
        </is>
      </c>
      <c r="W5465" s="35" t="inlineStr">
        <is>
          <t>Нет</t>
        </is>
      </c>
      <c r="X5465" s="35" t="inlineStr"/>
    </row>
    <row r="5466" ht="27.75" customHeight="1" s="24">
      <c r="A5466" s="13" t="n">
        <v>801606815</v>
      </c>
      <c r="B5466" s="13" t="inlineStr">
        <is>
          <t>Общество с ограниченной ответственностью Частное охранное предприятие "Тантал-1"</t>
        </is>
      </c>
      <c r="C5466" s="13" t="n">
        <v>7536099280</v>
      </c>
      <c r="D5466" s="13" t="inlineStr">
        <is>
          <t>7536099280</t>
        </is>
      </c>
      <c r="E5466" s="13" t="inlineStr">
        <is>
          <t>ЮЛ РФ</t>
        </is>
      </c>
      <c r="F5466" s="13" t="n"/>
      <c r="G5466" s="52" t="n">
        <v>25</v>
      </c>
      <c r="H5466" s="52" t="n">
        <v>2025</v>
      </c>
      <c r="I5466" s="52" t="inlineStr">
        <is>
          <t>80.10</t>
        </is>
      </c>
      <c r="J5466" s="52" t="inlineStr">
        <is>
          <t>80.10; 43.21; 80.20; 80.30</t>
        </is>
      </c>
      <c r="K5466" s="53" t="inlineStr">
        <is>
          <t>Да</t>
        </is>
      </c>
      <c r="L5466" s="53" t="inlineStr">
        <is>
          <t>Да</t>
        </is>
      </c>
      <c r="M5466" s="53" t="inlineStr">
        <is>
          <t>До 25</t>
        </is>
      </c>
      <c r="N5466" s="54" t="n">
        <v>8400</v>
      </c>
      <c r="O5466" s="55" t="inlineStr">
        <is>
          <t>16–30</t>
        </is>
      </c>
      <c r="P5466" s="16" t="inlineStr">
        <is>
          <t>ССЧР + ОКВЭД обогащены</t>
        </is>
      </c>
      <c r="Q5466" s="16" t="inlineStr">
        <is>
          <t>ФНС открытые данные ССЧР (ДатаСост 31.12.2025; набор 7707329152-sshr2019)</t>
        </is>
      </c>
      <c r="R5466" s="16" t="inlineStr">
        <is>
          <t>ЕГРЮЛ / egrul.nalog.ru (выписка)</t>
        </is>
      </c>
      <c r="S5466" t="n">
        <v>1</v>
      </c>
      <c r="T5466" s="35" t="inlineStr">
        <is>
          <t>1 — Горячий</t>
        </is>
      </c>
      <c r="U5466" s="35" t="inlineStr">
        <is>
          <t>ОКВЭД + 22+</t>
        </is>
      </c>
      <c r="V5466" s="35" t="inlineStr">
        <is>
          <t>Да</t>
        </is>
      </c>
      <c r="W5466" s="35" t="inlineStr">
        <is>
          <t>Да</t>
        </is>
      </c>
      <c r="X5466" s="35" t="inlineStr">
        <is>
          <t>Да</t>
        </is>
      </c>
    </row>
    <row r="5467" ht="15" customHeight="1" s="24">
      <c r="A5467" s="13" t="n">
        <v>802456729</v>
      </c>
      <c r="B5467" s="13" t="inlineStr">
        <is>
          <t>ООО "СтройДорХолдинг"</t>
        </is>
      </c>
      <c r="C5467" s="13" t="n">
        <v>3810050189</v>
      </c>
      <c r="D5467" s="13" t="inlineStr">
        <is>
          <t>3810050189</t>
        </is>
      </c>
      <c r="E5467" s="13" t="inlineStr">
        <is>
          <t>ЮЛ РФ</t>
        </is>
      </c>
      <c r="F5467" s="13" t="n"/>
      <c r="G5467" s="52" t="n">
        <v>119</v>
      </c>
      <c r="H5467" s="52" t="n">
        <v>2025</v>
      </c>
      <c r="I5467" s="52" t="inlineStr">
        <is>
          <t>42.11</t>
        </is>
      </c>
      <c r="J5467" s="52" t="inlineStr">
        <is>
          <t>42.11; 68.20.29; 08.11; 08.12; 23.61; 23.63; 23.99.2; 42.91; 43.11; 43.12; 43.12.4; 43.13; 43.99; 46.90; 47.19.1; 49.41; 52.29; 68.20.2; 71.12; 71.20</t>
        </is>
      </c>
      <c r="K5467" s="53" t="inlineStr">
        <is>
          <t>Да</t>
        </is>
      </c>
      <c r="L5467" s="53" t="inlineStr">
        <is>
          <t>Да</t>
        </is>
      </c>
      <c r="M5467" s="53" t="inlineStr">
        <is>
          <t>До 200</t>
        </is>
      </c>
      <c r="N5467" s="54" t="n">
        <v>62400</v>
      </c>
      <c r="O5467" s="55" t="inlineStr">
        <is>
          <t>101–200</t>
        </is>
      </c>
      <c r="P5467" s="16" t="inlineStr">
        <is>
          <t>ССЧР + ОКВЭД обогащены</t>
        </is>
      </c>
      <c r="Q5467" s="16" t="inlineStr">
        <is>
          <t>ФНС открытые данные ССЧР (ДатаСост 31.12.2025; набор 7707329152-sshr2019)</t>
        </is>
      </c>
      <c r="R5467" s="16" t="inlineStr">
        <is>
          <t>ЕГРЮЛ / egrul.nalog.ru (выписка)</t>
        </is>
      </c>
      <c r="S5467" t="n">
        <v>1</v>
      </c>
      <c r="T5467" s="35" t="inlineStr">
        <is>
          <t>1 — Горячий</t>
        </is>
      </c>
      <c r="U5467" s="35" t="inlineStr">
        <is>
          <t>ОКВЭД + 22+</t>
        </is>
      </c>
      <c r="V5467" s="35" t="inlineStr">
        <is>
          <t>Да</t>
        </is>
      </c>
      <c r="W5467" s="35" t="inlineStr">
        <is>
          <t>Да</t>
        </is>
      </c>
      <c r="X5467" s="35" t="inlineStr">
        <is>
          <t>Да</t>
        </is>
      </c>
    </row>
    <row r="5468" ht="15" customHeight="1" s="24">
      <c r="A5468" s="13" t="n">
        <v>9877723</v>
      </c>
      <c r="B5468" s="13" t="inlineStr">
        <is>
          <t>ЗАО "НИПИИ Восток"</t>
        </is>
      </c>
      <c r="C5468" s="13" t="n">
        <v>3808218155</v>
      </c>
      <c r="D5468" s="13" t="inlineStr">
        <is>
          <t>3808218155</t>
        </is>
      </c>
      <c r="E5468" s="13" t="inlineStr">
        <is>
          <t>ЮЛ РФ</t>
        </is>
      </c>
      <c r="F5468" s="13" t="n"/>
      <c r="G5468" s="52" t="n">
        <v>30</v>
      </c>
      <c r="H5468" s="52" t="n">
        <v>2025</v>
      </c>
      <c r="I5468" s="52" t="inlineStr">
        <is>
          <t>09.10.3</t>
        </is>
      </c>
      <c r="J5468" s="52" t="inlineStr">
        <is>
          <t>09.10.3; 32.99; 41.20; 43.13; 45.20; 51.21; 52.10; 58.11.3; 58.14; 58.19; 62.01; 62.02; 62.09; 63.11; 63.11.1; 64.92; 64.99; 68.10; 68.10.1; 68.20; 68.31; 68.32; 69.10; 69.20; 70.10.1; 70.10.2; 70.22; 71.12.5; 71.12.6; 71.20; 72.19; 77.11; 77.33; 77.39.2; 77.39.11; 95.11</t>
        </is>
      </c>
      <c r="K5468" s="53" t="inlineStr">
        <is>
          <t>Да</t>
        </is>
      </c>
      <c r="L5468" s="53" t="inlineStr">
        <is>
          <t>Да</t>
        </is>
      </c>
      <c r="M5468" s="53" t="inlineStr">
        <is>
          <t>До 50</t>
        </is>
      </c>
      <c r="N5468" s="54" t="n">
        <v>16800</v>
      </c>
      <c r="O5468" s="55" t="inlineStr">
        <is>
          <t>16–30</t>
        </is>
      </c>
      <c r="P5468" s="16" t="inlineStr">
        <is>
          <t>ССЧР + ОКВЭД обогащены</t>
        </is>
      </c>
      <c r="Q5468" s="16" t="inlineStr">
        <is>
          <t>ФНС открытые данные ССЧР (ДатаСост 31.12.2025; набор 7707329152-sshr2019)</t>
        </is>
      </c>
      <c r="R5468" s="16" t="inlineStr">
        <is>
          <t>ЕГРЮЛ / egrul.nalog.ru (выписка)</t>
        </is>
      </c>
      <c r="S5468" t="n">
        <v>1</v>
      </c>
      <c r="T5468" s="35" t="inlineStr">
        <is>
          <t>1 — Горячий</t>
        </is>
      </c>
      <c r="U5468" s="35" t="inlineStr">
        <is>
          <t>ОКВЭД + 22+</t>
        </is>
      </c>
      <c r="V5468" s="35" t="inlineStr">
        <is>
          <t>Да</t>
        </is>
      </c>
      <c r="W5468" s="35" t="inlineStr">
        <is>
          <t>Да</t>
        </is>
      </c>
      <c r="X5468" s="35" t="inlineStr">
        <is>
          <t>Да</t>
        </is>
      </c>
    </row>
    <row r="5469" ht="27.75" customHeight="1" s="24">
      <c r="A5469" s="13" t="n">
        <v>801894944</v>
      </c>
      <c r="B5469" s="13" t="inlineStr">
        <is>
          <t>Акционерное общество "КЛИНИЧЕСКИЙ КУРОРТ "АНГАРА"</t>
        </is>
      </c>
      <c r="C5469" s="13" t="n">
        <v>3812010801</v>
      </c>
      <c r="D5469" s="13" t="inlineStr">
        <is>
          <t>3812010801</t>
        </is>
      </c>
      <c r="E5469" s="13" t="inlineStr">
        <is>
          <t>ЮЛ РФ</t>
        </is>
      </c>
      <c r="F5469" s="13" t="n"/>
      <c r="G5469" s="52" t="n">
        <v>160</v>
      </c>
      <c r="H5469" s="52" t="n">
        <v>2025</v>
      </c>
      <c r="I5469" s="14" t="n"/>
      <c r="J5469" s="14" t="n"/>
      <c r="K5469" s="53" t="inlineStr">
        <is>
          <t>Да</t>
        </is>
      </c>
      <c r="L5469" s="53" t="inlineStr">
        <is>
          <t>Не определено</t>
        </is>
      </c>
      <c r="M5469" s="53" t="inlineStr">
        <is>
          <t>До 200</t>
        </is>
      </c>
      <c r="N5469" s="54" t="n">
        <v>62400</v>
      </c>
      <c r="O5469" s="55" t="inlineStr">
        <is>
          <t>101–200</t>
        </is>
      </c>
      <c r="P5469" s="16" t="inlineStr">
        <is>
          <t>ССЧР обогащена; ОКВЭД не найден/не загружен</t>
        </is>
      </c>
      <c r="Q5469" s="16" t="inlineStr">
        <is>
          <t>ФНС открытые данные ССЧР (ДатаСост 31.12.2025; набор 7707329152-sshr2019)</t>
        </is>
      </c>
      <c r="R5469" s="16">
        <f>HYPERLINK("https://checko.ru/search?query=3801001629","Чекко: проверить")</f>
        <v/>
      </c>
      <c r="S5469" t="n">
        <v>1</v>
      </c>
      <c r="T5469" s="35" t="inlineStr">
        <is>
          <t>1 — Горячий</t>
        </is>
      </c>
      <c r="U5469" s="35" t="inlineStr">
        <is>
          <t>50+ стратегический</t>
        </is>
      </c>
      <c r="V5469" s="35" t="inlineStr">
        <is>
          <t>Не определено</t>
        </is>
      </c>
      <c r="W5469" s="35" t="inlineStr">
        <is>
          <t>Да</t>
        </is>
      </c>
      <c r="X5469" s="35" t="inlineStr"/>
    </row>
    <row r="5470" ht="15" customHeight="1" s="24">
      <c r="A5470" s="13" t="n">
        <v>9869636</v>
      </c>
      <c r="B5470" s="13" t="inlineStr">
        <is>
          <t>Глухова Яна Валерьевна</t>
        </is>
      </c>
      <c r="C5470" s="13" t="n">
        <v>380506588570</v>
      </c>
      <c r="D5470" s="13" t="inlineStr">
        <is>
          <t>380506588570</t>
        </is>
      </c>
      <c r="E5470" s="13" t="inlineStr">
        <is>
          <t>ИП РФ / физлицо</t>
        </is>
      </c>
      <c r="F5470" s="13" t="n"/>
      <c r="G5470" s="14" t="n"/>
      <c r="H5470" s="14" t="n"/>
      <c r="I5470" s="14" t="n"/>
      <c r="J5470" s="14" t="n"/>
      <c r="K5470" s="53" t="inlineStr"/>
      <c r="L5470" s="53" t="inlineStr">
        <is>
          <t>Не определено</t>
        </is>
      </c>
      <c r="M5470" s="53" t="inlineStr"/>
      <c r="N5470" s="54" t="inlineStr"/>
      <c r="O5470" s="55" t="inlineStr"/>
      <c r="P5470" s="16" t="inlineStr">
        <is>
          <t>Требует обогащения</t>
        </is>
      </c>
      <c r="Q5470" s="16">
        <f>HYPERLINK("https://pb.nalog.ru/search.html?query=380506588570","ФНС: проверить")</f>
        <v/>
      </c>
      <c r="R5470" s="16">
        <f>HYPERLINK("https://checko.ru/search?query=3801001629","Чекко: проверить")</f>
        <v/>
      </c>
      <c r="S5470" t="n">
        <v>1</v>
      </c>
      <c r="T5470" s="35" t="inlineStr">
        <is>
          <t>4 — Не обогащён</t>
        </is>
      </c>
      <c r="U5470" s="35" t="inlineStr">
        <is>
          <t>Нет ОКВЭД/ССЧР</t>
        </is>
      </c>
      <c r="V5470" s="35" t="inlineStr">
        <is>
          <t>Не определено</t>
        </is>
      </c>
      <c r="W5470" s="35" t="inlineStr"/>
      <c r="X5470" s="35" t="inlineStr"/>
    </row>
    <row r="5471" ht="15" customHeight="1" s="24">
      <c r="A5471" s="13" t="n">
        <v>9022014</v>
      </c>
      <c r="B5471" s="13" t="inlineStr">
        <is>
          <t>Классика чистоты ООО</t>
        </is>
      </c>
      <c r="C5471" s="13" t="n">
        <v>3808077507</v>
      </c>
      <c r="D5471" s="13" t="inlineStr">
        <is>
          <t>3808077507</t>
        </is>
      </c>
      <c r="E5471" s="13" t="inlineStr">
        <is>
          <t>ЮЛ РФ</t>
        </is>
      </c>
      <c r="F5471" s="13" t="n"/>
      <c r="G5471" s="52" t="n">
        <v>6</v>
      </c>
      <c r="H5471" s="52" t="n">
        <v>2025</v>
      </c>
      <c r="I5471" s="14" t="n"/>
      <c r="J5471" s="14" t="n"/>
      <c r="K5471" s="53" t="inlineStr">
        <is>
          <t>Нет</t>
        </is>
      </c>
      <c r="L5471" s="53" t="inlineStr">
        <is>
          <t>Не определено</t>
        </is>
      </c>
      <c r="M5471" s="53" t="inlineStr">
        <is>
          <t>До 10</t>
        </is>
      </c>
      <c r="N5471" s="54" t="n">
        <v>3360</v>
      </c>
      <c r="O5471" s="55" t="inlineStr">
        <is>
          <t>1–15</t>
        </is>
      </c>
      <c r="P5471" s="16" t="inlineStr">
        <is>
          <t>ССЧР обогащена; ОКВЭД не найден/не загружен</t>
        </is>
      </c>
      <c r="Q5471" s="16" t="inlineStr">
        <is>
          <t>ФНС открытые данные ССЧР (ДатаСост 31.12.2025; набор 7707329152-sshr2019)</t>
        </is>
      </c>
      <c r="R5471" s="16">
        <f>HYPERLINK("https://checko.ru/search?query=3801001629","Чекко: проверить")</f>
        <v/>
      </c>
      <c r="S5471" t="n">
        <v>1</v>
      </c>
      <c r="T5471" s="35" t="inlineStr">
        <is>
          <t>4 — Не обогащён</t>
        </is>
      </c>
      <c r="U5471" s="35" t="inlineStr">
        <is>
          <t>Нет ОКВЭД/ССЧР</t>
        </is>
      </c>
      <c r="V5471" s="35" t="inlineStr">
        <is>
          <t>Не определено</t>
        </is>
      </c>
      <c r="W5471" s="35" t="inlineStr">
        <is>
          <t>Нет</t>
        </is>
      </c>
      <c r="X5471" s="35" t="inlineStr"/>
    </row>
    <row r="5472" ht="15" customHeight="1" s="24">
      <c r="A5472" s="13" t="n">
        <v>9184349</v>
      </c>
      <c r="B5472" s="13" t="inlineStr">
        <is>
          <t>АЗС-1 ООО</t>
        </is>
      </c>
      <c r="C5472" s="13" t="n">
        <v>3816021836</v>
      </c>
      <c r="D5472" s="13" t="inlineStr">
        <is>
          <t>3816021836</t>
        </is>
      </c>
      <c r="E5472" s="13" t="inlineStr">
        <is>
          <t>ЮЛ РФ</t>
        </is>
      </c>
      <c r="F5472" s="13" t="n"/>
      <c r="G5472" s="52" t="n">
        <v>16</v>
      </c>
      <c r="H5472" s="52" t="n">
        <v>2025</v>
      </c>
      <c r="I5472" s="14" t="n"/>
      <c r="J5472" s="14" t="n"/>
      <c r="K5472" s="53" t="inlineStr">
        <is>
          <t>Нет</t>
        </is>
      </c>
      <c r="L5472" s="53" t="inlineStr">
        <is>
          <t>Не определено</t>
        </is>
      </c>
      <c r="M5472" s="53" t="inlineStr">
        <is>
          <t>До 25</t>
        </is>
      </c>
      <c r="N5472" s="54" t="n">
        <v>8400</v>
      </c>
      <c r="O5472" s="55" t="inlineStr">
        <is>
          <t>16–30</t>
        </is>
      </c>
      <c r="P5472" s="16" t="inlineStr">
        <is>
          <t>ССЧР обогащена; ОКВЭД не найден/не загружен</t>
        </is>
      </c>
      <c r="Q5472" s="16" t="inlineStr">
        <is>
          <t>ФНС открытые данные ССЧР (ДатаСост 31.12.2025; набор 7707329152-sshr2019)</t>
        </is>
      </c>
      <c r="R5472" s="16">
        <f>HYPERLINK("https://checko.ru/search?query=3801001629","Чекко: проверить")</f>
        <v/>
      </c>
      <c r="S5472" t="n">
        <v>1</v>
      </c>
      <c r="T5472" s="35" t="inlineStr">
        <is>
          <t>4 — Не обогащён</t>
        </is>
      </c>
      <c r="U5472" s="35" t="inlineStr">
        <is>
          <t>Нет ОКВЭД/ССЧР</t>
        </is>
      </c>
      <c r="V5472" s="35" t="inlineStr">
        <is>
          <t>Не определено</t>
        </is>
      </c>
      <c r="W5472" s="35" t="inlineStr">
        <is>
          <t>Нет</t>
        </is>
      </c>
      <c r="X5472" s="35" t="inlineStr"/>
    </row>
    <row r="5473" ht="15" customHeight="1" s="24">
      <c r="A5473" s="13" t="n">
        <v>9403454</v>
      </c>
      <c r="B5473" s="13" t="inlineStr">
        <is>
          <t>Нерюнгринская жилищная компания</t>
        </is>
      </c>
      <c r="C5473" s="13" t="n">
        <v>1434033057</v>
      </c>
      <c r="D5473" s="13" t="inlineStr">
        <is>
          <t>1434033057</t>
        </is>
      </c>
      <c r="E5473" s="13" t="inlineStr">
        <is>
          <t>ЮЛ РФ</t>
        </is>
      </c>
      <c r="F5473" s="13" t="n"/>
      <c r="G5473" s="52" t="n">
        <v>24</v>
      </c>
      <c r="H5473" s="52" t="n">
        <v>2025</v>
      </c>
      <c r="I5473" s="52" t="inlineStr">
        <is>
          <t>68.32</t>
        </is>
      </c>
      <c r="J5473" s="52" t="inlineStr">
        <is>
          <t>68.32; 37.00; 43.21; 43.22; 43.31; 43.32; 43.33; 43.34; 43.39; 43.91; 43.99.1; 68.32.1; 68.32.2; 81.29.9</t>
        </is>
      </c>
      <c r="K5473" s="53" t="inlineStr">
        <is>
          <t>Да</t>
        </is>
      </c>
      <c r="L5473" s="53" t="inlineStr">
        <is>
          <t>Да</t>
        </is>
      </c>
      <c r="M5473" s="53" t="inlineStr">
        <is>
          <t>До 25</t>
        </is>
      </c>
      <c r="N5473" s="54" t="n">
        <v>8400</v>
      </c>
      <c r="O5473" s="55" t="inlineStr">
        <is>
          <t>16–30</t>
        </is>
      </c>
      <c r="P5473" s="16" t="inlineStr">
        <is>
          <t>ССЧР + ОКВЭД обогащены</t>
        </is>
      </c>
      <c r="Q5473" s="16" t="inlineStr">
        <is>
          <t>ФНС открытые данные ССЧР (ДатаСост 31.12.2025; набор 7707329152-sshr2019)</t>
        </is>
      </c>
      <c r="R5473" s="16" t="inlineStr">
        <is>
          <t>ЕГРЮЛ / egrul.nalog.ru (выписка)</t>
        </is>
      </c>
      <c r="S5473" t="n">
        <v>1</v>
      </c>
      <c r="T5473" s="35" t="inlineStr">
        <is>
          <t>1 — Горячий</t>
        </is>
      </c>
      <c r="U5473" s="35" t="inlineStr">
        <is>
          <t>ОКВЭД + 22+</t>
        </is>
      </c>
      <c r="V5473" s="35" t="inlineStr">
        <is>
          <t>Да</t>
        </is>
      </c>
      <c r="W5473" s="35" t="inlineStr">
        <is>
          <t>Да</t>
        </is>
      </c>
      <c r="X5473" s="35" t="inlineStr">
        <is>
          <t>Да</t>
        </is>
      </c>
    </row>
    <row r="5474" ht="15" customHeight="1" s="24">
      <c r="A5474" s="13" t="n">
        <v>800566860</v>
      </c>
      <c r="B5474" s="13" t="inlineStr">
        <is>
          <t>ООО "ИНВЕСТ"</t>
        </is>
      </c>
      <c r="C5474" s="13" t="n">
        <v>3849068830</v>
      </c>
      <c r="D5474" s="13" t="inlineStr">
        <is>
          <t>3849068830</t>
        </is>
      </c>
      <c r="E5474" s="13" t="inlineStr">
        <is>
          <t>ЮЛ РФ</t>
        </is>
      </c>
      <c r="F5474" s="13" t="n"/>
      <c r="G5474" s="52" t="n">
        <v>3</v>
      </c>
      <c r="H5474" s="52" t="n">
        <v>2025</v>
      </c>
      <c r="I5474" s="14" t="n"/>
      <c r="J5474" s="14" t="n"/>
      <c r="K5474" s="53" t="inlineStr">
        <is>
          <t>Нет</t>
        </is>
      </c>
      <c r="L5474" s="53" t="inlineStr">
        <is>
          <t>Не определено</t>
        </is>
      </c>
      <c r="M5474" s="53" t="inlineStr">
        <is>
          <t>До 10</t>
        </is>
      </c>
      <c r="N5474" s="54" t="n">
        <v>3360</v>
      </c>
      <c r="O5474" s="55" t="inlineStr">
        <is>
          <t>1–15</t>
        </is>
      </c>
      <c r="P5474" s="16" t="inlineStr">
        <is>
          <t>ССЧР обогащена; ОКВЭД не найден/не загружен</t>
        </is>
      </c>
      <c r="Q5474" s="16" t="inlineStr">
        <is>
          <t>ФНС открытые данные ССЧР (ДатаСост 31.12.2025; набор 7707329152-sshr2019)</t>
        </is>
      </c>
      <c r="R5474" s="16">
        <f>HYPERLINK("https://checko.ru/search?query=3801001629","Чекко: проверить")</f>
        <v/>
      </c>
      <c r="S5474" t="n">
        <v>1</v>
      </c>
      <c r="T5474" s="35" t="inlineStr">
        <is>
          <t>4 — Не обогащён</t>
        </is>
      </c>
      <c r="U5474" s="35" t="inlineStr">
        <is>
          <t>Нет ОКВЭД/ССЧР</t>
        </is>
      </c>
      <c r="V5474" s="35" t="inlineStr">
        <is>
          <t>Не определено</t>
        </is>
      </c>
      <c r="W5474" s="35" t="inlineStr">
        <is>
          <t>Нет</t>
        </is>
      </c>
      <c r="X5474" s="35" t="inlineStr"/>
    </row>
    <row r="5475" ht="15" customHeight="1" s="24">
      <c r="A5475" s="13" t="n">
        <v>9171942</v>
      </c>
      <c r="B5475" s="13" t="inlineStr">
        <is>
          <t>ООО "Нордтрейд"</t>
        </is>
      </c>
      <c r="C5475" s="13" t="n">
        <v>3818027738</v>
      </c>
      <c r="D5475" s="13" t="inlineStr">
        <is>
          <t>3818027738</t>
        </is>
      </c>
      <c r="E5475" s="13" t="inlineStr">
        <is>
          <t>ЮЛ РФ</t>
        </is>
      </c>
      <c r="F5475" s="13" t="n"/>
      <c r="G5475" s="52" t="n">
        <v>18</v>
      </c>
      <c r="H5475" s="52" t="n">
        <v>2025</v>
      </c>
      <c r="I5475" s="14" t="n"/>
      <c r="J5475" s="14" t="n"/>
      <c r="K5475" s="53" t="inlineStr">
        <is>
          <t>Нет</t>
        </is>
      </c>
      <c r="L5475" s="53" t="inlineStr">
        <is>
          <t>Не определено</t>
        </is>
      </c>
      <c r="M5475" s="53" t="inlineStr">
        <is>
          <t>До 25</t>
        </is>
      </c>
      <c r="N5475" s="54" t="n">
        <v>8400</v>
      </c>
      <c r="O5475" s="55" t="inlineStr">
        <is>
          <t>16–30</t>
        </is>
      </c>
      <c r="P5475" s="16" t="inlineStr">
        <is>
          <t>ССЧР обогащена; ОКВЭД не найден/не загружен</t>
        </is>
      </c>
      <c r="Q5475" s="16" t="inlineStr">
        <is>
          <t>ФНС открытые данные ССЧР (ДатаСост 31.12.2025; набор 7707329152-sshr2019)</t>
        </is>
      </c>
      <c r="R5475" s="16">
        <f>HYPERLINK("https://checko.ru/search?query=3801001629","Чекко: проверить")</f>
        <v/>
      </c>
      <c r="S5475" t="n">
        <v>1</v>
      </c>
      <c r="T5475" s="35" t="inlineStr">
        <is>
          <t>4 — Не обогащён</t>
        </is>
      </c>
      <c r="U5475" s="35" t="inlineStr">
        <is>
          <t>Нет ОКВЭД/ССЧР</t>
        </is>
      </c>
      <c r="V5475" s="35" t="inlineStr">
        <is>
          <t>Не определено</t>
        </is>
      </c>
      <c r="W5475" s="35" t="inlineStr">
        <is>
          <t>Нет</t>
        </is>
      </c>
      <c r="X5475" s="35" t="inlineStr"/>
    </row>
    <row r="5476" ht="15" customHeight="1" s="24">
      <c r="A5476" s="13" t="n">
        <v>10071746</v>
      </c>
      <c r="B5476" s="13" t="inlineStr">
        <is>
          <t>МУП г.Иркутска "ИркутскАвтодор"</t>
        </is>
      </c>
      <c r="C5476" s="13" t="n">
        <v>3808065646</v>
      </c>
      <c r="D5476" s="13" t="inlineStr">
        <is>
          <t>3808065646</t>
        </is>
      </c>
      <c r="E5476" s="13" t="inlineStr">
        <is>
          <t>ЮЛ РФ</t>
        </is>
      </c>
      <c r="F5476" s="13" t="n"/>
      <c r="G5476" s="14" t="n"/>
      <c r="H5476" s="14" t="n"/>
      <c r="I5476" s="14" t="n"/>
      <c r="J5476" s="14" t="n"/>
      <c r="K5476" s="53" t="inlineStr"/>
      <c r="L5476" s="53" t="inlineStr">
        <is>
          <t>Не определено</t>
        </is>
      </c>
      <c r="M5476" s="53" t="inlineStr"/>
      <c r="N5476" s="54" t="inlineStr"/>
      <c r="O5476" s="55" t="inlineStr"/>
      <c r="P5476" s="16" t="inlineStr">
        <is>
          <t>Требует обогащения</t>
        </is>
      </c>
      <c r="Q5476" s="16">
        <f>HYPERLINK("https://pb.nalog.ru/search.html?query=3808065646","ФНС: проверить")</f>
        <v/>
      </c>
      <c r="R5476" s="16">
        <f>HYPERLINK("https://checko.ru/search?query=3801001629","Чекко: проверить")</f>
        <v/>
      </c>
      <c r="S5476" t="n">
        <v>1</v>
      </c>
      <c r="T5476" s="35" t="inlineStr">
        <is>
          <t>4 — Не обогащён</t>
        </is>
      </c>
      <c r="U5476" s="35" t="inlineStr">
        <is>
          <t>Нет ОКВЭД/ССЧР</t>
        </is>
      </c>
      <c r="V5476" s="35" t="inlineStr">
        <is>
          <t>Не определено</t>
        </is>
      </c>
      <c r="W5476" s="35" t="inlineStr"/>
      <c r="X5476" s="35" t="inlineStr"/>
    </row>
    <row r="5477" ht="27.75" customHeight="1" s="24">
      <c r="A5477" s="13" t="n">
        <v>804670024</v>
      </c>
      <c r="B5477" s="13" t="inlineStr">
        <is>
          <t>Общество с ограниченной ответственностью "РАЗРЕЗ ИШИДЕЙСКИЙ"</t>
        </is>
      </c>
      <c r="C5477" s="13" t="n">
        <v>3816016804</v>
      </c>
      <c r="D5477" s="13" t="inlineStr">
        <is>
          <t>3816016804</t>
        </is>
      </c>
      <c r="E5477" s="13" t="inlineStr">
        <is>
          <t>ЮЛ РФ</t>
        </is>
      </c>
      <c r="F5477" s="13" t="n"/>
      <c r="G5477" s="52" t="n">
        <v>5</v>
      </c>
      <c r="H5477" s="52" t="n">
        <v>2025</v>
      </c>
      <c r="I5477" s="14" t="n"/>
      <c r="J5477" s="14" t="n"/>
      <c r="K5477" s="53" t="inlineStr">
        <is>
          <t>Нет</t>
        </is>
      </c>
      <c r="L5477" s="53" t="inlineStr">
        <is>
          <t>Не определено</t>
        </is>
      </c>
      <c r="M5477" s="53" t="inlineStr">
        <is>
          <t>До 10</t>
        </is>
      </c>
      <c r="N5477" s="54" t="n">
        <v>3360</v>
      </c>
      <c r="O5477" s="55" t="inlineStr">
        <is>
          <t>1–15</t>
        </is>
      </c>
      <c r="P5477" s="16" t="inlineStr">
        <is>
          <t>ССЧР обогащена; ОКВЭД не найден/не загружен</t>
        </is>
      </c>
      <c r="Q5477" s="16" t="inlineStr">
        <is>
          <t>ФНС открытые данные ССЧР (ДатаСост 31.12.2025; набор 7707329152-sshr2019)</t>
        </is>
      </c>
      <c r="R5477" s="16">
        <f>HYPERLINK("https://checko.ru/search?query=3801001629","Чекко: проверить")</f>
        <v/>
      </c>
      <c r="S5477" t="n">
        <v>1</v>
      </c>
      <c r="T5477" s="35" t="inlineStr">
        <is>
          <t>4 — Не обогащён</t>
        </is>
      </c>
      <c r="U5477" s="35" t="inlineStr">
        <is>
          <t>Нет ОКВЭД/ССЧР</t>
        </is>
      </c>
      <c r="V5477" s="35" t="inlineStr">
        <is>
          <t>Не определено</t>
        </is>
      </c>
      <c r="W5477" s="35" t="inlineStr">
        <is>
          <t>Нет</t>
        </is>
      </c>
      <c r="X5477" s="35" t="inlineStr"/>
    </row>
    <row r="5478" ht="15" customHeight="1" s="24">
      <c r="A5478" s="13" t="n">
        <v>800883217</v>
      </c>
      <c r="B5478" s="13" t="inlineStr">
        <is>
          <t>ИП Кокшаров Константин Владимирович</t>
        </is>
      </c>
      <c r="C5478" s="13" t="n">
        <v>380500318721</v>
      </c>
      <c r="D5478" s="13" t="inlineStr">
        <is>
          <t>380500318721</t>
        </is>
      </c>
      <c r="E5478" s="13" t="inlineStr">
        <is>
          <t>ИП РФ / физлицо</t>
        </is>
      </c>
      <c r="F5478" s="13" t="n"/>
      <c r="G5478" s="14" t="n"/>
      <c r="H5478" s="14" t="n"/>
      <c r="I5478" s="14" t="n"/>
      <c r="J5478" s="14" t="n"/>
      <c r="K5478" s="53" t="inlineStr"/>
      <c r="L5478" s="53" t="inlineStr">
        <is>
          <t>Не определено</t>
        </is>
      </c>
      <c r="M5478" s="53" t="inlineStr"/>
      <c r="N5478" s="54" t="inlineStr"/>
      <c r="O5478" s="55" t="inlineStr"/>
      <c r="P5478" s="16" t="inlineStr">
        <is>
          <t>Требует обогащения</t>
        </is>
      </c>
      <c r="Q5478" s="16">
        <f>HYPERLINK("https://pb.nalog.ru/search.html?query=380500318721","ФНС: проверить")</f>
        <v/>
      </c>
      <c r="R5478" s="16">
        <f>HYPERLINK("https://checko.ru/search?query=3801001629","Чекко: проверить")</f>
        <v/>
      </c>
      <c r="S5478" t="n">
        <v>1</v>
      </c>
      <c r="T5478" s="35" t="inlineStr">
        <is>
          <t>4 — Не обогащён</t>
        </is>
      </c>
      <c r="U5478" s="35" t="inlineStr">
        <is>
          <t>Нет ОКВЭД/ССЧР</t>
        </is>
      </c>
      <c r="V5478" s="35" t="inlineStr">
        <is>
          <t>Не определено</t>
        </is>
      </c>
      <c r="W5478" s="35" t="inlineStr"/>
      <c r="X5478" s="35" t="inlineStr"/>
    </row>
    <row r="5479" ht="27.75" customHeight="1" s="24">
      <c r="A5479" s="13" t="n">
        <v>9900297</v>
      </c>
      <c r="B5479" s="13" t="inlineStr">
        <is>
          <t>ОБЩЕСТВО С ОГРАНИЧЕННОЙ ОТВЕТСТВЕННОСТЬЮ "ТАЙРИКУ-ИГИРМА ГРУПП"</t>
        </is>
      </c>
      <c r="C5479" s="13" t="n">
        <v>3811462996</v>
      </c>
      <c r="D5479" s="13" t="inlineStr">
        <is>
          <t>3811462996</t>
        </is>
      </c>
      <c r="E5479" s="13" t="inlineStr">
        <is>
          <t>ЮЛ РФ</t>
        </is>
      </c>
      <c r="F5479" s="13" t="n"/>
      <c r="G5479" s="52" t="n">
        <v>739</v>
      </c>
      <c r="H5479" s="52" t="n">
        <v>2025</v>
      </c>
      <c r="I5479" s="52" t="inlineStr">
        <is>
          <t>16.10.1</t>
        </is>
      </c>
      <c r="J5479" s="52" t="inlineStr">
        <is>
          <t>16.10.1; 02.40.2; 16.10.2; 16.29; 35.30.5; 45.20.1; 46.73.1; 46.90; 49.41.1; 52.29; 55.10; 56.10.1; 56.29.2; 02.10; 02.20; 02.40; 16.10.3; 16.10.9; 16.23; 16.24; 16.29.15; 42.11; 42.12; 43.99.7; 46.71; 46.73.2; 47.52.71; 47.91; 47.99; 49.41.2; 49.42; 50.40; 56.10; 56.29; 68.10.23; 68.20.2</t>
        </is>
      </c>
      <c r="K5479" s="53" t="inlineStr">
        <is>
          <t>Да</t>
        </is>
      </c>
      <c r="L5479" s="53" t="inlineStr">
        <is>
          <t>Да</t>
        </is>
      </c>
      <c r="M5479" s="53" t="inlineStr">
        <is>
          <t>До 2000</t>
        </is>
      </c>
      <c r="N5479" s="54" t="n">
        <v>528000</v>
      </c>
      <c r="O5479" s="55" t="inlineStr">
        <is>
          <t>500+</t>
        </is>
      </c>
      <c r="P5479" s="16" t="inlineStr">
        <is>
          <t>ССЧР + ОКВЭД обогащены</t>
        </is>
      </c>
      <c r="Q5479" s="16" t="inlineStr">
        <is>
          <t>ФНС открытые данные ССЧР (ДатаСост 31.12.2025; набор 7707329152-sshr2019)</t>
        </is>
      </c>
      <c r="R5479" s="16" t="inlineStr">
        <is>
          <t>ЕГРЮЛ / egrul.nalog.ru (выписка)</t>
        </is>
      </c>
      <c r="S5479" t="n">
        <v>1</v>
      </c>
      <c r="T5479" s="35" t="inlineStr">
        <is>
          <t>1 — Горячий</t>
        </is>
      </c>
      <c r="U5479" s="35" t="inlineStr">
        <is>
          <t>ОКВЭД + 22+</t>
        </is>
      </c>
      <c r="V5479" s="35" t="inlineStr">
        <is>
          <t>Да</t>
        </is>
      </c>
      <c r="W5479" s="35" t="inlineStr">
        <is>
          <t>Да</t>
        </is>
      </c>
      <c r="X5479" s="35" t="inlineStr">
        <is>
          <t>Да</t>
        </is>
      </c>
    </row>
    <row r="5480" ht="15" customHeight="1" s="24">
      <c r="A5480" s="13" t="n">
        <v>9155107</v>
      </c>
      <c r="B5480" s="13" t="inlineStr">
        <is>
          <t>Наружная реклама, ООО</t>
        </is>
      </c>
      <c r="C5480" s="13" t="n">
        <v>3811056521</v>
      </c>
      <c r="D5480" s="13" t="inlineStr">
        <is>
          <t>3811056521</t>
        </is>
      </c>
      <c r="E5480" s="13" t="inlineStr">
        <is>
          <t>ЮЛ РФ</t>
        </is>
      </c>
      <c r="F5480" s="13" t="n"/>
      <c r="G5480" s="52" t="n">
        <v>1</v>
      </c>
      <c r="H5480" s="52" t="n">
        <v>2025</v>
      </c>
      <c r="I5480" s="14" t="n"/>
      <c r="J5480" s="14" t="n"/>
      <c r="K5480" s="53" t="inlineStr">
        <is>
          <t>Нет</t>
        </is>
      </c>
      <c r="L5480" s="53" t="inlineStr">
        <is>
          <t>Не определено</t>
        </is>
      </c>
      <c r="M5480" s="53" t="inlineStr">
        <is>
          <t>До 10</t>
        </is>
      </c>
      <c r="N5480" s="54" t="n">
        <v>3360</v>
      </c>
      <c r="O5480" s="55" t="inlineStr">
        <is>
          <t>1–15</t>
        </is>
      </c>
      <c r="P5480" s="16" t="inlineStr">
        <is>
          <t>ССЧР обогащена; ОКВЭД не найден/не загружен</t>
        </is>
      </c>
      <c r="Q5480" s="16" t="inlineStr">
        <is>
          <t>ФНС открытые данные ССЧР (ДатаСост 31.12.2025; набор 7707329152-sshr2019)</t>
        </is>
      </c>
      <c r="R5480" s="16">
        <f>HYPERLINK("https://checko.ru/search?query=3801001629","Чекко: проверить")</f>
        <v/>
      </c>
      <c r="S5480" t="n">
        <v>1</v>
      </c>
      <c r="T5480" s="35" t="inlineStr">
        <is>
          <t>4 — Не обогащён</t>
        </is>
      </c>
      <c r="U5480" s="35" t="inlineStr">
        <is>
          <t>Нет ОКВЭД/ССЧР</t>
        </is>
      </c>
      <c r="V5480" s="35" t="inlineStr">
        <is>
          <t>Не определено</t>
        </is>
      </c>
      <c r="W5480" s="35" t="inlineStr">
        <is>
          <t>Нет</t>
        </is>
      </c>
      <c r="X5480" s="35" t="inlineStr"/>
    </row>
    <row r="5481" ht="15" customHeight="1" s="24">
      <c r="A5481" s="13" t="n">
        <v>802458036</v>
      </c>
      <c r="B5481" s="13" t="inlineStr">
        <is>
          <t>ООО "ЭДЕЛЬВЕЙС" ДИАЙ КЛИНИК"</t>
        </is>
      </c>
      <c r="C5481" s="13" t="n">
        <v>3808220108</v>
      </c>
      <c r="D5481" s="13" t="inlineStr">
        <is>
          <t>3808220108</t>
        </is>
      </c>
      <c r="E5481" s="13" t="inlineStr">
        <is>
          <t>ЮЛ РФ</t>
        </is>
      </c>
      <c r="F5481" s="13" t="n"/>
      <c r="G5481" s="52" t="n">
        <v>62</v>
      </c>
      <c r="H5481" s="52" t="n">
        <v>2025</v>
      </c>
      <c r="I5481" s="52" t="inlineStr">
        <is>
          <t>86.23</t>
        </is>
      </c>
      <c r="J5481" s="52" t="inlineStr">
        <is>
          <t>86.23; 25.11; 26.51; 26.60.1; 32.50; 33.13; 41.20; 42.11; 42.99; 43.11; 43.12.3; 43.31; 43.91; 43.99.7; 46.11; 46.13; 46.14.1; 46.15.3; 46.15.4; 46.16.1; 46.18.1; 46.46; 46.73; 46.74.2; 46.74.3; 46.75.2; 47.43; 47.52.71; 47.54; 47.59; 47.71; 47.72; 47.73; 47.74; 68.20; 75.00; 86.21; 86.90.4; 86.90.9</t>
        </is>
      </c>
      <c r="K5481" s="53" t="inlineStr">
        <is>
          <t>Да</t>
        </is>
      </c>
      <c r="L5481" s="53" t="inlineStr">
        <is>
          <t>Да</t>
        </is>
      </c>
      <c r="M5481" s="53" t="inlineStr">
        <is>
          <t>До 100</t>
        </is>
      </c>
      <c r="N5481" s="54" t="n">
        <v>33600</v>
      </c>
      <c r="O5481" s="55" t="inlineStr">
        <is>
          <t>51–100</t>
        </is>
      </c>
      <c r="P5481" s="16" t="inlineStr">
        <is>
          <t>ССЧР + ОКВЭД обогащены</t>
        </is>
      </c>
      <c r="Q5481" s="16" t="inlineStr">
        <is>
          <t>ФНС открытые данные ССЧР (ДатаСост 31.12.2025; набор 7707329152-sshr2019)</t>
        </is>
      </c>
      <c r="R5481" s="16" t="inlineStr">
        <is>
          <t>ЕГРЮЛ / egrul.nalog.ru (выписка)</t>
        </is>
      </c>
      <c r="S5481" t="n">
        <v>1</v>
      </c>
      <c r="T5481" s="35" t="inlineStr">
        <is>
          <t>1 — Горячий</t>
        </is>
      </c>
      <c r="U5481" s="35" t="inlineStr">
        <is>
          <t>ОКВЭД + 22+</t>
        </is>
      </c>
      <c r="V5481" s="35" t="inlineStr">
        <is>
          <t>Да</t>
        </is>
      </c>
      <c r="W5481" s="35" t="inlineStr">
        <is>
          <t>Да</t>
        </is>
      </c>
      <c r="X5481" s="35" t="inlineStr">
        <is>
          <t>Да</t>
        </is>
      </c>
    </row>
    <row r="5482" ht="27.75" customHeight="1" s="24">
      <c r="A5482" s="13" t="n">
        <v>800514094</v>
      </c>
      <c r="B5482" s="13" t="inlineStr">
        <is>
          <t>ООО "ВОСТОЧНО-СИБИРСКАЯ ЛЕСОПРОМЫШЛЕННАЯ КОМПАНИЯ"</t>
        </is>
      </c>
      <c r="C5482" s="13" t="n">
        <v>3814019461</v>
      </c>
      <c r="D5482" s="13" t="inlineStr">
        <is>
          <t>3814019461</t>
        </is>
      </c>
      <c r="E5482" s="13" t="inlineStr">
        <is>
          <t>ЮЛ РФ</t>
        </is>
      </c>
      <c r="F5482" s="13" t="n"/>
      <c r="G5482" s="52" t="n">
        <v>11</v>
      </c>
      <c r="H5482" s="52" t="n">
        <v>2025</v>
      </c>
      <c r="I5482" s="14" t="n"/>
      <c r="J5482" s="14" t="n"/>
      <c r="K5482" s="53" t="inlineStr">
        <is>
          <t>Нет</t>
        </is>
      </c>
      <c r="L5482" s="53" t="inlineStr">
        <is>
          <t>Не определено</t>
        </is>
      </c>
      <c r="M5482" s="53" t="inlineStr">
        <is>
          <t>До 25</t>
        </is>
      </c>
      <c r="N5482" s="54" t="n">
        <v>8400</v>
      </c>
      <c r="O5482" s="55" t="inlineStr">
        <is>
          <t>1–15</t>
        </is>
      </c>
      <c r="P5482" s="16" t="inlineStr">
        <is>
          <t>ССЧР обогащена; ОКВЭД не найден/не загружен</t>
        </is>
      </c>
      <c r="Q5482" s="16" t="inlineStr">
        <is>
          <t>ФНС открытые данные ССЧР (ДатаСост 31.12.2025; набор 7707329152-sshr2019)</t>
        </is>
      </c>
      <c r="R5482" s="16">
        <f>HYPERLINK("https://checko.ru/search?query=3801001629","Чекко: проверить")</f>
        <v/>
      </c>
      <c r="S5482" t="n">
        <v>1</v>
      </c>
      <c r="T5482" s="35" t="inlineStr">
        <is>
          <t>4 — Не обогащён</t>
        </is>
      </c>
      <c r="U5482" s="35" t="inlineStr">
        <is>
          <t>Нет ОКВЭД/ССЧР</t>
        </is>
      </c>
      <c r="V5482" s="35" t="inlineStr">
        <is>
          <t>Не определено</t>
        </is>
      </c>
      <c r="W5482" s="35" t="inlineStr">
        <is>
          <t>Нет</t>
        </is>
      </c>
      <c r="X5482" s="35" t="inlineStr"/>
    </row>
    <row r="5483" ht="15" customHeight="1" s="24">
      <c r="A5483" s="13" t="n">
        <v>9819180</v>
      </c>
      <c r="B5483" s="13" t="inlineStr">
        <is>
          <t>Стек</t>
        </is>
      </c>
      <c r="C5483" s="13" t="n">
        <v>3821011625</v>
      </c>
      <c r="D5483" s="13" t="inlineStr">
        <is>
          <t>3821011625</t>
        </is>
      </c>
      <c r="E5483" s="13" t="inlineStr">
        <is>
          <t>ЮЛ РФ</t>
        </is>
      </c>
      <c r="F5483" s="13" t="n"/>
      <c r="G5483" s="52" t="n">
        <v>6</v>
      </c>
      <c r="H5483" s="52" t="n">
        <v>2025</v>
      </c>
      <c r="I5483" s="14" t="n"/>
      <c r="J5483" s="14" t="n"/>
      <c r="K5483" s="53" t="inlineStr">
        <is>
          <t>Нет</t>
        </is>
      </c>
      <c r="L5483" s="53" t="inlineStr">
        <is>
          <t>Не определено</t>
        </is>
      </c>
      <c r="M5483" s="53" t="inlineStr">
        <is>
          <t>До 10</t>
        </is>
      </c>
      <c r="N5483" s="54" t="n">
        <v>3360</v>
      </c>
      <c r="O5483" s="55" t="inlineStr">
        <is>
          <t>1–15</t>
        </is>
      </c>
      <c r="P5483" s="16" t="inlineStr">
        <is>
          <t>ССЧР обогащена; ОКВЭД не найден/не загружен</t>
        </is>
      </c>
      <c r="Q5483" s="16" t="inlineStr">
        <is>
          <t>ФНС открытые данные ССЧР (ДатаСост 31.12.2025; набор 7707329152-sshr2019)</t>
        </is>
      </c>
      <c r="R5483" s="16">
        <f>HYPERLINK("https://checko.ru/search?query=3801001629","Чекко: проверить")</f>
        <v/>
      </c>
      <c r="S5483" t="n">
        <v>1</v>
      </c>
      <c r="T5483" s="35" t="inlineStr">
        <is>
          <t>4 — Не обогащён</t>
        </is>
      </c>
      <c r="U5483" s="35" t="inlineStr">
        <is>
          <t>Нет ОКВЭД/ССЧР</t>
        </is>
      </c>
      <c r="V5483" s="35" t="inlineStr">
        <is>
          <t>Не определено</t>
        </is>
      </c>
      <c r="W5483" s="35" t="inlineStr">
        <is>
          <t>Нет</t>
        </is>
      </c>
      <c r="X5483" s="35" t="inlineStr"/>
    </row>
    <row r="5484" ht="27.75" customHeight="1" s="24">
      <c r="A5484" s="13" t="n">
        <v>9344754</v>
      </c>
      <c r="B5484" s="13" t="inlineStr">
        <is>
          <t>Иркутская объединенная техническая Школа ДОСААФ России</t>
        </is>
      </c>
      <c r="C5484" s="13" t="n">
        <v>3809010946</v>
      </c>
      <c r="D5484" s="13" t="inlineStr">
        <is>
          <t>3809010946</t>
        </is>
      </c>
      <c r="E5484" s="13" t="inlineStr">
        <is>
          <t>ЮЛ РФ</t>
        </is>
      </c>
      <c r="F5484" s="13" t="n"/>
      <c r="G5484" s="14" t="n"/>
      <c r="H5484" s="14" t="n"/>
      <c r="I5484" s="14" t="n"/>
      <c r="J5484" s="14" t="n"/>
      <c r="K5484" s="53" t="inlineStr"/>
      <c r="L5484" s="53" t="inlineStr">
        <is>
          <t>Не определено</t>
        </is>
      </c>
      <c r="M5484" s="53" t="inlineStr"/>
      <c r="N5484" s="54" t="inlineStr"/>
      <c r="O5484" s="55" t="inlineStr"/>
      <c r="P5484" s="16" t="inlineStr">
        <is>
          <t>Требует обогащения</t>
        </is>
      </c>
      <c r="Q5484" s="16">
        <f>HYPERLINK("https://pb.nalog.ru/search.html?query=3809010946","ФНС: проверить")</f>
        <v/>
      </c>
      <c r="R5484" s="16">
        <f>HYPERLINK("https://checko.ru/search?query=3801001629","Чекко: проверить")</f>
        <v/>
      </c>
      <c r="S5484" t="n">
        <v>1</v>
      </c>
      <c r="T5484" s="35" t="inlineStr">
        <is>
          <t>4 — Не обогащён</t>
        </is>
      </c>
      <c r="U5484" s="35" t="inlineStr">
        <is>
          <t>Нет ОКВЭД/ССЧР</t>
        </is>
      </c>
      <c r="V5484" s="35" t="inlineStr">
        <is>
          <t>Не определено</t>
        </is>
      </c>
      <c r="W5484" s="35" t="inlineStr"/>
      <c r="X5484" s="35" t="inlineStr"/>
    </row>
    <row r="5485" ht="15" customHeight="1" s="24">
      <c r="A5485" s="13" t="n">
        <v>800555877</v>
      </c>
      <c r="B5485" s="13" t="inlineStr">
        <is>
          <t>СТРОЙ-РЕСУРС</t>
        </is>
      </c>
      <c r="C5485" s="13" t="n">
        <v>3849012499</v>
      </c>
      <c r="D5485" s="13" t="inlineStr">
        <is>
          <t>3849012499</t>
        </is>
      </c>
      <c r="E5485" s="13" t="inlineStr">
        <is>
          <t>ЮЛ РФ</t>
        </is>
      </c>
      <c r="F5485" s="13" t="n"/>
      <c r="G5485" s="52" t="n">
        <v>54</v>
      </c>
      <c r="H5485" s="52" t="n">
        <v>2025</v>
      </c>
      <c r="I5485" s="52" t="inlineStr">
        <is>
          <t>43.12</t>
        </is>
      </c>
      <c r="J5485" s="52" t="inlineStr">
        <is>
          <t>43.12; 41.20; 43.12.3; 43.31; 43.32; 43.33; 43.34</t>
        </is>
      </c>
      <c r="K5485" s="53" t="inlineStr">
        <is>
          <t>Да</t>
        </is>
      </c>
      <c r="L5485" s="53" t="inlineStr">
        <is>
          <t>Да</t>
        </is>
      </c>
      <c r="M5485" s="53" t="inlineStr">
        <is>
          <t>До 100</t>
        </is>
      </c>
      <c r="N5485" s="54" t="n">
        <v>33600</v>
      </c>
      <c r="O5485" s="55" t="inlineStr">
        <is>
          <t>51–100</t>
        </is>
      </c>
      <c r="P5485" s="16" t="inlineStr">
        <is>
          <t>ССЧР + ОКВЭД обогащены</t>
        </is>
      </c>
      <c r="Q5485" s="16" t="inlineStr">
        <is>
          <t>ФНС открытые данные ССЧР (ДатаСост 31.12.2025; набор 7707329152-sshr2019)</t>
        </is>
      </c>
      <c r="R5485" s="16" t="inlineStr">
        <is>
          <t>ЕГРЮЛ / egrul.nalog.ru (выписка)</t>
        </is>
      </c>
      <c r="S5485" t="n">
        <v>1</v>
      </c>
      <c r="T5485" s="35" t="inlineStr">
        <is>
          <t>1 — Горячий</t>
        </is>
      </c>
      <c r="U5485" s="35" t="inlineStr">
        <is>
          <t>ОКВЭД + 22+</t>
        </is>
      </c>
      <c r="V5485" s="35" t="inlineStr">
        <is>
          <t>Да</t>
        </is>
      </c>
      <c r="W5485" s="35" t="inlineStr">
        <is>
          <t>Да</t>
        </is>
      </c>
      <c r="X5485" s="35" t="inlineStr">
        <is>
          <t>Да</t>
        </is>
      </c>
    </row>
    <row r="5486" ht="15" customHeight="1" s="24">
      <c r="A5486" s="13" t="n">
        <v>800517955</v>
      </c>
      <c r="B5486" s="13" t="inlineStr">
        <is>
          <t>ООО "ЛКС"</t>
        </is>
      </c>
      <c r="C5486" s="13" t="n">
        <v>9729351927</v>
      </c>
      <c r="D5486" s="13" t="inlineStr">
        <is>
          <t>9729351927</t>
        </is>
      </c>
      <c r="E5486" s="13" t="inlineStr">
        <is>
          <t>ЮЛ РФ</t>
        </is>
      </c>
      <c r="F5486" s="13" t="n"/>
      <c r="G5486" s="52" t="n">
        <v>6</v>
      </c>
      <c r="H5486" s="52" t="n">
        <v>2025</v>
      </c>
      <c r="I5486" s="14" t="n"/>
      <c r="J5486" s="14" t="n"/>
      <c r="K5486" s="53" t="inlineStr">
        <is>
          <t>Нет</t>
        </is>
      </c>
      <c r="L5486" s="53" t="inlineStr">
        <is>
          <t>Не определено</t>
        </is>
      </c>
      <c r="M5486" s="53" t="inlineStr">
        <is>
          <t>До 10</t>
        </is>
      </c>
      <c r="N5486" s="54" t="n">
        <v>3360</v>
      </c>
      <c r="O5486" s="55" t="inlineStr">
        <is>
          <t>1–15</t>
        </is>
      </c>
      <c r="P5486" s="16" t="inlineStr">
        <is>
          <t>ССЧР обогащена; ОКВЭД не найден/не загружен</t>
        </is>
      </c>
      <c r="Q5486" s="16" t="inlineStr">
        <is>
          <t>ФНС открытые данные ССЧР (ДатаСост 31.12.2025; набор 7707329152-sshr2019)</t>
        </is>
      </c>
      <c r="R5486" s="16">
        <f>HYPERLINK("https://checko.ru/search?query=3801001629","Чекко: проверить")</f>
        <v/>
      </c>
      <c r="S5486" t="n">
        <v>1</v>
      </c>
      <c r="T5486" s="35" t="inlineStr">
        <is>
          <t>4 — Не обогащён</t>
        </is>
      </c>
      <c r="U5486" s="35" t="inlineStr">
        <is>
          <t>Нет ОКВЭД/ССЧР</t>
        </is>
      </c>
      <c r="V5486" s="35" t="inlineStr">
        <is>
          <t>Не определено</t>
        </is>
      </c>
      <c r="W5486" s="35" t="inlineStr">
        <is>
          <t>Нет</t>
        </is>
      </c>
      <c r="X5486" s="35" t="inlineStr"/>
    </row>
    <row r="5487" ht="15" customHeight="1" s="24">
      <c r="A5487" s="13" t="n">
        <v>800304965</v>
      </c>
      <c r="B5487" s="13" t="inlineStr">
        <is>
          <t>ООО "ТехноЭнергоМонтаж"</t>
        </is>
      </c>
      <c r="C5487" s="13" t="n">
        <v>3804033717</v>
      </c>
      <c r="D5487" s="13" t="inlineStr">
        <is>
          <t>3804033717</t>
        </is>
      </c>
      <c r="E5487" s="13" t="inlineStr">
        <is>
          <t>ЮЛ РФ</t>
        </is>
      </c>
      <c r="F5487" s="13" t="n"/>
      <c r="G5487" s="52" t="n">
        <v>1</v>
      </c>
      <c r="H5487" s="52" t="n">
        <v>2025</v>
      </c>
      <c r="I5487" s="14" t="n"/>
      <c r="J5487" s="14" t="n"/>
      <c r="K5487" s="53" t="inlineStr">
        <is>
          <t>Нет</t>
        </is>
      </c>
      <c r="L5487" s="53" t="inlineStr">
        <is>
          <t>Не определено</t>
        </is>
      </c>
      <c r="M5487" s="53" t="inlineStr">
        <is>
          <t>До 10</t>
        </is>
      </c>
      <c r="N5487" s="54" t="n">
        <v>3360</v>
      </c>
      <c r="O5487" s="55" t="inlineStr">
        <is>
          <t>1–15</t>
        </is>
      </c>
      <c r="P5487" s="16" t="inlineStr">
        <is>
          <t>ССЧР обогащена; ОКВЭД не найден/не загружен</t>
        </is>
      </c>
      <c r="Q5487" s="16" t="inlineStr">
        <is>
          <t>ФНС открытые данные ССЧР (ДатаСост 31.12.2025; набор 7707329152-sshr2019)</t>
        </is>
      </c>
      <c r="R5487" s="16">
        <f>HYPERLINK("https://checko.ru/search?query=3801001629","Чекко: проверить")</f>
        <v/>
      </c>
      <c r="S5487" t="n">
        <v>1</v>
      </c>
      <c r="T5487" s="35" t="inlineStr">
        <is>
          <t>4 — Не обогащён</t>
        </is>
      </c>
      <c r="U5487" s="35" t="inlineStr">
        <is>
          <t>Нет ОКВЭД/ССЧР</t>
        </is>
      </c>
      <c r="V5487" s="35" t="inlineStr">
        <is>
          <t>Не определено</t>
        </is>
      </c>
      <c r="W5487" s="35" t="inlineStr">
        <is>
          <t>Нет</t>
        </is>
      </c>
      <c r="X5487" s="35" t="inlineStr"/>
    </row>
    <row r="5488" ht="15" customHeight="1" s="24">
      <c r="A5488" s="13" t="n">
        <v>800776222</v>
      </c>
      <c r="B5488" s="13" t="inlineStr">
        <is>
          <t>ООО "ПРОМСНАБСИБИРЬ"</t>
        </is>
      </c>
      <c r="C5488" s="13" t="n">
        <v>3812019811</v>
      </c>
      <c r="D5488" s="13" t="inlineStr">
        <is>
          <t>3812019811</t>
        </is>
      </c>
      <c r="E5488" s="13" t="inlineStr">
        <is>
          <t>ЮЛ РФ</t>
        </is>
      </c>
      <c r="F5488" s="13" t="n"/>
      <c r="G5488" s="52" t="n">
        <v>1</v>
      </c>
      <c r="H5488" s="52" t="n">
        <v>2025</v>
      </c>
      <c r="I5488" s="14" t="n"/>
      <c r="J5488" s="14" t="n"/>
      <c r="K5488" s="53" t="inlineStr">
        <is>
          <t>Нет</t>
        </is>
      </c>
      <c r="L5488" s="53" t="inlineStr">
        <is>
          <t>Не определено</t>
        </is>
      </c>
      <c r="M5488" s="53" t="inlineStr">
        <is>
          <t>До 10</t>
        </is>
      </c>
      <c r="N5488" s="54" t="n">
        <v>3360</v>
      </c>
      <c r="O5488" s="55" t="inlineStr">
        <is>
          <t>1–15</t>
        </is>
      </c>
      <c r="P5488" s="16" t="inlineStr">
        <is>
          <t>ССЧР обогащена; ОКВЭД не найден/не загружен</t>
        </is>
      </c>
      <c r="Q5488" s="16" t="inlineStr">
        <is>
          <t>ФНС открытые данные ССЧР (ДатаСост 31.12.2025; набор 7707329152-sshr2019)</t>
        </is>
      </c>
      <c r="R5488" s="16">
        <f>HYPERLINK("https://checko.ru/search?query=3801001629","Чекко: проверить")</f>
        <v/>
      </c>
      <c r="S5488" t="n">
        <v>1</v>
      </c>
      <c r="T5488" s="35" t="inlineStr">
        <is>
          <t>4 — Не обогащён</t>
        </is>
      </c>
      <c r="U5488" s="35" t="inlineStr">
        <is>
          <t>Нет ОКВЭД/ССЧР</t>
        </is>
      </c>
      <c r="V5488" s="35" t="inlineStr">
        <is>
          <t>Не определено</t>
        </is>
      </c>
      <c r="W5488" s="35" t="inlineStr">
        <is>
          <t>Нет</t>
        </is>
      </c>
      <c r="X5488" s="35" t="inlineStr"/>
    </row>
    <row r="5489" ht="15" customHeight="1" s="24">
      <c r="A5489" s="13" t="n">
        <v>801346538</v>
      </c>
      <c r="B5489" s="13" t="inlineStr">
        <is>
          <t>ООО "ПРОМИНЖИНИРИНГ"</t>
        </is>
      </c>
      <c r="C5489" s="13" t="n">
        <v>3804055421</v>
      </c>
      <c r="D5489" s="13" t="inlineStr">
        <is>
          <t>3804055421</t>
        </is>
      </c>
      <c r="E5489" s="13" t="inlineStr">
        <is>
          <t>ЮЛ РФ</t>
        </is>
      </c>
      <c r="F5489" s="13" t="n"/>
      <c r="G5489" s="52" t="n">
        <v>1</v>
      </c>
      <c r="H5489" s="52" t="n">
        <v>2025</v>
      </c>
      <c r="I5489" s="14" t="n"/>
      <c r="J5489" s="14" t="n"/>
      <c r="K5489" s="53" t="inlineStr">
        <is>
          <t>Нет</t>
        </is>
      </c>
      <c r="L5489" s="53" t="inlineStr">
        <is>
          <t>Не определено</t>
        </is>
      </c>
      <c r="M5489" s="53" t="inlineStr">
        <is>
          <t>До 10</t>
        </is>
      </c>
      <c r="N5489" s="54" t="n">
        <v>3360</v>
      </c>
      <c r="O5489" s="55" t="inlineStr">
        <is>
          <t>1–15</t>
        </is>
      </c>
      <c r="P5489" s="16" t="inlineStr">
        <is>
          <t>ССЧР обогащена; ОКВЭД не найден/не загружен</t>
        </is>
      </c>
      <c r="Q5489" s="16" t="inlineStr">
        <is>
          <t>ФНС открытые данные ССЧР (ДатаСост 31.12.2025; набор 7707329152-sshr2019)</t>
        </is>
      </c>
      <c r="R5489" s="16">
        <f>HYPERLINK("https://checko.ru/search?query=3801001629","Чекко: проверить")</f>
        <v/>
      </c>
      <c r="S5489" t="n">
        <v>1</v>
      </c>
      <c r="T5489" s="35" t="inlineStr">
        <is>
          <t>4 — Не обогащён</t>
        </is>
      </c>
      <c r="U5489" s="35" t="inlineStr">
        <is>
          <t>Нет ОКВЭД/ССЧР</t>
        </is>
      </c>
      <c r="V5489" s="35" t="inlineStr">
        <is>
          <t>Не определено</t>
        </is>
      </c>
      <c r="W5489" s="35" t="inlineStr">
        <is>
          <t>Нет</t>
        </is>
      </c>
      <c r="X5489" s="35" t="inlineStr"/>
    </row>
    <row r="5490" ht="15" customHeight="1" s="24">
      <c r="A5490" s="13" t="n">
        <v>9140637</v>
      </c>
      <c r="B5490" s="13" t="inlineStr">
        <is>
          <t>Чарди, ООО</t>
        </is>
      </c>
      <c r="C5490" s="13" t="n">
        <v>3808048827</v>
      </c>
      <c r="D5490" s="13" t="inlineStr">
        <is>
          <t>3808048827</t>
        </is>
      </c>
      <c r="E5490" s="13" t="inlineStr">
        <is>
          <t>ЮЛ РФ</t>
        </is>
      </c>
      <c r="F5490" s="13" t="n"/>
      <c r="G5490" s="52" t="n">
        <v>11</v>
      </c>
      <c r="H5490" s="52" t="n">
        <v>2025</v>
      </c>
      <c r="I5490" s="14" t="n"/>
      <c r="J5490" s="14" t="n"/>
      <c r="K5490" s="53" t="inlineStr">
        <is>
          <t>Нет</t>
        </is>
      </c>
      <c r="L5490" s="53" t="inlineStr">
        <is>
          <t>Не определено</t>
        </is>
      </c>
      <c r="M5490" s="53" t="inlineStr">
        <is>
          <t>До 25</t>
        </is>
      </c>
      <c r="N5490" s="54" t="n">
        <v>8400</v>
      </c>
      <c r="O5490" s="55" t="inlineStr">
        <is>
          <t>1–15</t>
        </is>
      </c>
      <c r="P5490" s="16" t="inlineStr">
        <is>
          <t>ССЧР обогащена; ОКВЭД не найден/не загружен</t>
        </is>
      </c>
      <c r="Q5490" s="16" t="inlineStr">
        <is>
          <t>ФНС открытые данные ССЧР (ДатаСост 31.12.2025; набор 7707329152-sshr2019)</t>
        </is>
      </c>
      <c r="R5490" s="16">
        <f>HYPERLINK("https://checko.ru/search?query=3801001629","Чекко: проверить")</f>
        <v/>
      </c>
      <c r="S5490" t="n">
        <v>1</v>
      </c>
      <c r="T5490" s="35" t="inlineStr">
        <is>
          <t>4 — Не обогащён</t>
        </is>
      </c>
      <c r="U5490" s="35" t="inlineStr">
        <is>
          <t>Нет ОКВЭД/ССЧР</t>
        </is>
      </c>
      <c r="V5490" s="35" t="inlineStr">
        <is>
          <t>Не определено</t>
        </is>
      </c>
      <c r="W5490" s="35" t="inlineStr">
        <is>
          <t>Нет</t>
        </is>
      </c>
      <c r="X5490" s="35" t="inlineStr"/>
    </row>
    <row r="5491" ht="15" customHeight="1" s="24">
      <c r="A5491" s="13" t="n">
        <v>9109560</v>
      </c>
      <c r="B5491" s="13" t="inlineStr">
        <is>
          <t>БТС ООО</t>
        </is>
      </c>
      <c r="C5491" s="13" t="n">
        <v>3827053780</v>
      </c>
      <c r="D5491" s="13" t="inlineStr">
        <is>
          <t>3827053780</t>
        </is>
      </c>
      <c r="E5491" s="13" t="inlineStr">
        <is>
          <t>ЮЛ РФ</t>
        </is>
      </c>
      <c r="F5491" s="13" t="n"/>
      <c r="G5491" s="52" t="n">
        <v>3</v>
      </c>
      <c r="H5491" s="52" t="n">
        <v>2025</v>
      </c>
      <c r="I5491" s="14" t="n"/>
      <c r="J5491" s="14" t="n"/>
      <c r="K5491" s="53" t="inlineStr">
        <is>
          <t>Нет</t>
        </is>
      </c>
      <c r="L5491" s="53" t="inlineStr">
        <is>
          <t>Не определено</t>
        </is>
      </c>
      <c r="M5491" s="53" t="inlineStr">
        <is>
          <t>До 10</t>
        </is>
      </c>
      <c r="N5491" s="54" t="n">
        <v>3360</v>
      </c>
      <c r="O5491" s="55" t="inlineStr">
        <is>
          <t>1–15</t>
        </is>
      </c>
      <c r="P5491" s="16" t="inlineStr">
        <is>
          <t>ССЧР обогащена; ОКВЭД не найден/не загружен</t>
        </is>
      </c>
      <c r="Q5491" s="16" t="inlineStr">
        <is>
          <t>ФНС открытые данные ССЧР (ДатаСост 31.12.2025; набор 7707329152-sshr2019)</t>
        </is>
      </c>
      <c r="R5491" s="16">
        <f>HYPERLINK("https://checko.ru/search?query=3801001629","Чекко: проверить")</f>
        <v/>
      </c>
      <c r="S5491" t="n">
        <v>1</v>
      </c>
      <c r="T5491" s="35" t="inlineStr">
        <is>
          <t>4 — Не обогащён</t>
        </is>
      </c>
      <c r="U5491" s="35" t="inlineStr">
        <is>
          <t>Нет ОКВЭД/ССЧР</t>
        </is>
      </c>
      <c r="V5491" s="35" t="inlineStr">
        <is>
          <t>Не определено</t>
        </is>
      </c>
      <c r="W5491" s="35" t="inlineStr">
        <is>
          <t>Нет</t>
        </is>
      </c>
      <c r="X5491" s="35" t="inlineStr"/>
    </row>
    <row r="5492" ht="15" customHeight="1" s="24">
      <c r="A5492" s="13" t="n">
        <v>800439050</v>
      </c>
      <c r="B5492" s="13" t="inlineStr">
        <is>
          <t>ООО "Аптека "Панацея"</t>
        </is>
      </c>
      <c r="C5492" s="13" t="n">
        <v>3834009260</v>
      </c>
      <c r="D5492" s="13" t="inlineStr">
        <is>
          <t>3834009260</t>
        </is>
      </c>
      <c r="E5492" s="13" t="inlineStr">
        <is>
          <t>ЮЛ РФ</t>
        </is>
      </c>
      <c r="F5492" s="13" t="n"/>
      <c r="G5492" s="52" t="n">
        <v>18</v>
      </c>
      <c r="H5492" s="52" t="n">
        <v>2025</v>
      </c>
      <c r="I5492" s="14" t="n"/>
      <c r="J5492" s="14" t="n"/>
      <c r="K5492" s="53" t="inlineStr">
        <is>
          <t>Нет</t>
        </is>
      </c>
      <c r="L5492" s="53" t="inlineStr">
        <is>
          <t>Не определено</t>
        </is>
      </c>
      <c r="M5492" s="53" t="inlineStr">
        <is>
          <t>До 25</t>
        </is>
      </c>
      <c r="N5492" s="54" t="n">
        <v>8400</v>
      </c>
      <c r="O5492" s="55" t="inlineStr">
        <is>
          <t>16–30</t>
        </is>
      </c>
      <c r="P5492" s="16" t="inlineStr">
        <is>
          <t>ССЧР обогащена; ОКВЭД не найден/не загружен</t>
        </is>
      </c>
      <c r="Q5492" s="16" t="inlineStr">
        <is>
          <t>ФНС открытые данные ССЧР (ДатаСост 31.12.2025; набор 7707329152-sshr2019)</t>
        </is>
      </c>
      <c r="R5492" s="16">
        <f>HYPERLINK("https://checko.ru/search?query=3801001629","Чекко: проверить")</f>
        <v/>
      </c>
      <c r="S5492" t="n">
        <v>1</v>
      </c>
      <c r="T5492" s="35" t="inlineStr">
        <is>
          <t>4 — Не обогащён</t>
        </is>
      </c>
      <c r="U5492" s="35" t="inlineStr">
        <is>
          <t>Нет ОКВЭД/ССЧР</t>
        </is>
      </c>
      <c r="V5492" s="35" t="inlineStr">
        <is>
          <t>Не определено</t>
        </is>
      </c>
      <c r="W5492" s="35" t="inlineStr">
        <is>
          <t>Нет</t>
        </is>
      </c>
      <c r="X5492" s="35" t="inlineStr"/>
    </row>
    <row r="5493" ht="15" customHeight="1" s="24">
      <c r="A5493" s="13" t="n">
        <v>9145715</v>
      </c>
      <c r="B5493" s="13" t="inlineStr">
        <is>
          <t>Парчумлес</t>
        </is>
      </c>
      <c r="C5493" s="13" t="n">
        <v>3815003200</v>
      </c>
      <c r="D5493" s="13" t="inlineStr">
        <is>
          <t>3815003200</t>
        </is>
      </c>
      <c r="E5493" s="13" t="inlineStr">
        <is>
          <t>ЮЛ РФ</t>
        </is>
      </c>
      <c r="F5493" s="13" t="n"/>
      <c r="G5493" s="52" t="n">
        <v>44</v>
      </c>
      <c r="H5493" s="52" t="n">
        <v>2025</v>
      </c>
      <c r="I5493" s="52" t="inlineStr">
        <is>
          <t>02.20</t>
        </is>
      </c>
      <c r="J5493" s="52" t="inlineStr">
        <is>
          <t>02.20; 02.40.2; 16.10.1; 16.10.2; 16.10.3</t>
        </is>
      </c>
      <c r="K5493" s="53" t="inlineStr">
        <is>
          <t>Да</t>
        </is>
      </c>
      <c r="L5493" s="53" t="inlineStr">
        <is>
          <t>Да</t>
        </is>
      </c>
      <c r="M5493" s="53" t="inlineStr">
        <is>
          <t>До 50</t>
        </is>
      </c>
      <c r="N5493" s="54" t="n">
        <v>16800</v>
      </c>
      <c r="O5493" s="55" t="inlineStr">
        <is>
          <t>31–50</t>
        </is>
      </c>
      <c r="P5493" s="16" t="inlineStr">
        <is>
          <t>ССЧР + ОКВЭД обогащены</t>
        </is>
      </c>
      <c r="Q5493" s="16" t="inlineStr">
        <is>
          <t>ФНС открытые данные ССЧР (ДатаСост 31.12.2025; набор 7707329152-sshr2019)</t>
        </is>
      </c>
      <c r="R5493" s="16" t="inlineStr">
        <is>
          <t>ЕГРЮЛ / egrul.nalog.ru (выписка)</t>
        </is>
      </c>
      <c r="S5493" t="n">
        <v>1</v>
      </c>
      <c r="T5493" s="35" t="inlineStr">
        <is>
          <t>1 — Горячий</t>
        </is>
      </c>
      <c r="U5493" s="35" t="inlineStr">
        <is>
          <t>ОКВЭД + 22+</t>
        </is>
      </c>
      <c r="V5493" s="35" t="inlineStr">
        <is>
          <t>Да</t>
        </is>
      </c>
      <c r="W5493" s="35" t="inlineStr">
        <is>
          <t>Да</t>
        </is>
      </c>
      <c r="X5493" s="35" t="inlineStr">
        <is>
          <t>Да</t>
        </is>
      </c>
    </row>
    <row r="5494" ht="15" customHeight="1" s="24">
      <c r="A5494" s="13" t="n">
        <v>9405527</v>
      </c>
      <c r="B5494" s="13" t="inlineStr">
        <is>
          <t>ООО Группа компаний "СПМ"</t>
        </is>
      </c>
      <c r="C5494" s="13" t="n">
        <v>5405480523</v>
      </c>
      <c r="D5494" s="13" t="inlineStr">
        <is>
          <t>5405480523</t>
        </is>
      </c>
      <c r="E5494" s="13" t="inlineStr">
        <is>
          <t>ЮЛ РФ</t>
        </is>
      </c>
      <c r="F5494" s="13" t="n"/>
      <c r="G5494" s="52" t="n">
        <v>18</v>
      </c>
      <c r="H5494" s="52" t="n">
        <v>2025</v>
      </c>
      <c r="I5494" s="14" t="n"/>
      <c r="J5494" s="14" t="n"/>
      <c r="K5494" s="53" t="inlineStr">
        <is>
          <t>Нет</t>
        </is>
      </c>
      <c r="L5494" s="53" t="inlineStr">
        <is>
          <t>Не определено</t>
        </is>
      </c>
      <c r="M5494" s="53" t="inlineStr">
        <is>
          <t>До 25</t>
        </is>
      </c>
      <c r="N5494" s="54" t="n">
        <v>8400</v>
      </c>
      <c r="O5494" s="55" t="inlineStr">
        <is>
          <t>16–30</t>
        </is>
      </c>
      <c r="P5494" s="16" t="inlineStr">
        <is>
          <t>ССЧР обогащена; ОКВЭД не найден/не загружен</t>
        </is>
      </c>
      <c r="Q5494" s="16" t="inlineStr">
        <is>
          <t>ФНС открытые данные ССЧР (ДатаСост 31.12.2025; набор 7707329152-sshr2019)</t>
        </is>
      </c>
      <c r="R5494" s="16">
        <f>HYPERLINK("https://checko.ru/search?query=3801001629","Чекко: проверить")</f>
        <v/>
      </c>
      <c r="S5494" t="n">
        <v>1</v>
      </c>
      <c r="T5494" s="35" t="inlineStr">
        <is>
          <t>4 — Не обогащён</t>
        </is>
      </c>
      <c r="U5494" s="35" t="inlineStr">
        <is>
          <t>Нет ОКВЭД/ССЧР</t>
        </is>
      </c>
      <c r="V5494" s="35" t="inlineStr">
        <is>
          <t>Не определено</t>
        </is>
      </c>
      <c r="W5494" s="35" t="inlineStr">
        <is>
          <t>Нет</t>
        </is>
      </c>
      <c r="X5494" s="35" t="inlineStr"/>
    </row>
    <row r="5495" ht="15" customHeight="1" s="24">
      <c r="A5495" s="13" t="n">
        <v>801604563</v>
      </c>
      <c r="B5495" s="13" t="inlineStr">
        <is>
          <t>ООО "Супер"</t>
        </is>
      </c>
      <c r="C5495" s="13" t="n">
        <v>3816014606</v>
      </c>
      <c r="D5495" s="13" t="inlineStr">
        <is>
          <t>3816014606</t>
        </is>
      </c>
      <c r="E5495" s="13" t="inlineStr">
        <is>
          <t>ЮЛ РФ</t>
        </is>
      </c>
      <c r="F5495" s="13" t="n"/>
      <c r="G5495" s="52" t="n">
        <v>26</v>
      </c>
      <c r="H5495" s="52" t="n">
        <v>2025</v>
      </c>
      <c r="I5495" s="52" t="inlineStr">
        <is>
          <t>47.25.1</t>
        </is>
      </c>
      <c r="J5495" s="52" t="inlineStr">
        <is>
          <t>47.25.1; 10.13; 10.13.9; 10.32; 43.99; 46.19; 46.90; 47.11; 47.11.1; 47.11.2; 47.19; 47.21; 47.21.2; 47.22; 47.22.1; 47.22.2; 47.22.3; 47.23; 47.23.1; 47.23.2; 47.24; 47.24.1; 47.24.2; 47.24.3; 47.24.21; 47.24.22; 47.25; 47.25.2; 47.25.11; 47.25.12; 47.26; 47.29; 47.29.1; 47.29.2; 47.29.3; 47.29.11; 47.29.12; 47.29.21; 47.29.22; 47.29.31; 47.29.32; 47.29.33; 47.29.34; 47.29.35; 47.29.39; 47.53.3; 47.61; 47.62.1; 47.62.2; 47.71.6; 47.71.8; 47.72.2; 47.75; 47.75.1; 47.75.2; 47.76.1; 47.76.2; 47.78; 47.78.3; 47.78.4; 47.78.6; 47.91.2; 47.91.3; 47.91.4; 47.99; 56.10; 56.10.1; 56.10.3; 79.11</t>
        </is>
      </c>
      <c r="K5495" s="53" t="inlineStr">
        <is>
          <t>Да</t>
        </is>
      </c>
      <c r="L5495" s="53" t="inlineStr">
        <is>
          <t>Да</t>
        </is>
      </c>
      <c r="M5495" s="53" t="inlineStr">
        <is>
          <t>До 50</t>
        </is>
      </c>
      <c r="N5495" s="54" t="n">
        <v>16800</v>
      </c>
      <c r="O5495" s="55" t="inlineStr">
        <is>
          <t>16–30</t>
        </is>
      </c>
      <c r="P5495" s="16" t="inlineStr">
        <is>
          <t>ССЧР + ОКВЭД обогащены</t>
        </is>
      </c>
      <c r="Q5495" s="16" t="inlineStr">
        <is>
          <t>ФНС открытые данные ССЧР (ДатаСост 31.12.2025; набор 7707329152-sshr2019)</t>
        </is>
      </c>
      <c r="R5495" s="16" t="inlineStr">
        <is>
          <t>ЕГРЮЛ / egrul.nalog.ru (выписка)</t>
        </is>
      </c>
      <c r="S5495" t="n">
        <v>1</v>
      </c>
      <c r="T5495" s="35" t="inlineStr">
        <is>
          <t>1 — Горячий</t>
        </is>
      </c>
      <c r="U5495" s="35" t="inlineStr">
        <is>
          <t>ОКВЭД + 22+</t>
        </is>
      </c>
      <c r="V5495" s="35" t="inlineStr">
        <is>
          <t>Да</t>
        </is>
      </c>
      <c r="W5495" s="35" t="inlineStr">
        <is>
          <t>Да</t>
        </is>
      </c>
      <c r="X5495" s="35" t="inlineStr">
        <is>
          <t>Да</t>
        </is>
      </c>
    </row>
    <row r="5496" ht="15" customHeight="1" s="24">
      <c r="A5496" s="13" t="n">
        <v>802501844</v>
      </c>
      <c r="B5496" s="13" t="inlineStr">
        <is>
          <t>ООО "Трансуголь"</t>
        </is>
      </c>
      <c r="C5496" s="13" t="n">
        <v>3849023959</v>
      </c>
      <c r="D5496" s="13" t="inlineStr">
        <is>
          <t>3849023959</t>
        </is>
      </c>
      <c r="E5496" s="13" t="inlineStr">
        <is>
          <t>ЮЛ РФ</t>
        </is>
      </c>
      <c r="F5496" s="13" t="n"/>
      <c r="G5496" s="52" t="n">
        <v>44</v>
      </c>
      <c r="H5496" s="52" t="n">
        <v>2025</v>
      </c>
      <c r="I5496" s="52" t="inlineStr">
        <is>
          <t>05.10.11</t>
        </is>
      </c>
      <c r="J5496" s="52" t="inlineStr">
        <is>
          <t>05.10.11; 05.10.12; 05.10.13; 06.10.1; 06.20.1; 06.20.2; 07.29.41; 42.11; 42.12; 42.13; 43.12.3; 45.31; 45.32.2; 45.32.21; 45.32.29; 46.71.1; 46.90; 47.19; 47.52.7; 47.52.79; 52.10; 52.24; 52.29; 71.12.3; 77.39.22</t>
        </is>
      </c>
      <c r="K5496" s="53" t="inlineStr">
        <is>
          <t>Да</t>
        </is>
      </c>
      <c r="L5496" s="53" t="inlineStr">
        <is>
          <t>Да</t>
        </is>
      </c>
      <c r="M5496" s="53" t="inlineStr">
        <is>
          <t>До 50</t>
        </is>
      </c>
      <c r="N5496" s="54" t="n">
        <v>16800</v>
      </c>
      <c r="O5496" s="55" t="inlineStr">
        <is>
          <t>31–50</t>
        </is>
      </c>
      <c r="P5496" s="16" t="inlineStr">
        <is>
          <t>ССЧР + ОКВЭД обогащены</t>
        </is>
      </c>
      <c r="Q5496" s="16" t="inlineStr">
        <is>
          <t>ФНС открытые данные ССЧР (ДатаСост 31.12.2025; набор 7707329152-sshr2019)</t>
        </is>
      </c>
      <c r="R5496" s="16" t="inlineStr">
        <is>
          <t>ЕГРЮЛ / egrul.nalog.ru (выписка)</t>
        </is>
      </c>
      <c r="S5496" t="n">
        <v>1</v>
      </c>
      <c r="T5496" s="35" t="inlineStr">
        <is>
          <t>1 — Горячий</t>
        </is>
      </c>
      <c r="U5496" s="35" t="inlineStr">
        <is>
          <t>ОКВЭД + 22+</t>
        </is>
      </c>
      <c r="V5496" s="35" t="inlineStr">
        <is>
          <t>Да</t>
        </is>
      </c>
      <c r="W5496" s="35" t="inlineStr">
        <is>
          <t>Да</t>
        </is>
      </c>
      <c r="X5496" s="35" t="inlineStr">
        <is>
          <t>Да</t>
        </is>
      </c>
    </row>
    <row r="5497" ht="15" customHeight="1" s="24">
      <c r="A5497" s="13" t="n">
        <v>9179724</v>
      </c>
      <c r="B5497" s="13" t="inlineStr">
        <is>
          <t>ФОРТУНА ООО</t>
        </is>
      </c>
      <c r="C5497" s="13" t="n">
        <v>1414016254</v>
      </c>
      <c r="D5497" s="13" t="inlineStr">
        <is>
          <t>1414016254</t>
        </is>
      </c>
      <c r="E5497" s="13" t="inlineStr">
        <is>
          <t>ЮЛ РФ</t>
        </is>
      </c>
      <c r="F5497" s="13" t="n"/>
      <c r="G5497" s="52" t="n">
        <v>2</v>
      </c>
      <c r="H5497" s="52" t="n">
        <v>2025</v>
      </c>
      <c r="I5497" s="14" t="n"/>
      <c r="J5497" s="14" t="n"/>
      <c r="K5497" s="53" t="inlineStr">
        <is>
          <t>Нет</t>
        </is>
      </c>
      <c r="L5497" s="53" t="inlineStr">
        <is>
          <t>Не определено</t>
        </is>
      </c>
      <c r="M5497" s="53" t="inlineStr">
        <is>
          <t>До 10</t>
        </is>
      </c>
      <c r="N5497" s="54" t="n">
        <v>3360</v>
      </c>
      <c r="O5497" s="55" t="inlineStr">
        <is>
          <t>1–15</t>
        </is>
      </c>
      <c r="P5497" s="16" t="inlineStr">
        <is>
          <t>ССЧР обогащена; ОКВЭД не найден/не загружен</t>
        </is>
      </c>
      <c r="Q5497" s="16" t="inlineStr">
        <is>
          <t>ФНС открытые данные ССЧР (ДатаСост 31.12.2025; набор 7707329152-sshr2019)</t>
        </is>
      </c>
      <c r="R5497" s="16">
        <f>HYPERLINK("https://checko.ru/search?query=3801001629","Чекко: проверить")</f>
        <v/>
      </c>
      <c r="S5497" t="n">
        <v>1</v>
      </c>
      <c r="T5497" s="35" t="inlineStr">
        <is>
          <t>4 — Не обогащён</t>
        </is>
      </c>
      <c r="U5497" s="35" t="inlineStr">
        <is>
          <t>Нет ОКВЭД/ССЧР</t>
        </is>
      </c>
      <c r="V5497" s="35" t="inlineStr">
        <is>
          <t>Не определено</t>
        </is>
      </c>
      <c r="W5497" s="35" t="inlineStr">
        <is>
          <t>Нет</t>
        </is>
      </c>
      <c r="X5497" s="35" t="inlineStr"/>
    </row>
    <row r="5498" ht="15" customHeight="1" s="24">
      <c r="A5498" s="13" t="n">
        <v>800402790</v>
      </c>
      <c r="B5498" s="13" t="inlineStr">
        <is>
          <t>МУП "Трансавто"</t>
        </is>
      </c>
      <c r="C5498" s="13" t="n">
        <v>3818029460</v>
      </c>
      <c r="D5498" s="13" t="inlineStr">
        <is>
          <t>3818029460</t>
        </is>
      </c>
      <c r="E5498" s="13" t="inlineStr">
        <is>
          <t>ЮЛ РФ</t>
        </is>
      </c>
      <c r="F5498" s="13" t="n"/>
      <c r="G5498" s="14" t="n"/>
      <c r="H5498" s="14" t="n"/>
      <c r="I5498" s="14" t="n"/>
      <c r="J5498" s="14" t="n"/>
      <c r="K5498" s="53" t="inlineStr"/>
      <c r="L5498" s="53" t="inlineStr">
        <is>
          <t>Не определено</t>
        </is>
      </c>
      <c r="M5498" s="53" t="inlineStr"/>
      <c r="N5498" s="54" t="inlineStr"/>
      <c r="O5498" s="55" t="inlineStr"/>
      <c r="P5498" s="16" t="inlineStr">
        <is>
          <t>Требует обогащения</t>
        </is>
      </c>
      <c r="Q5498" s="16">
        <f>HYPERLINK("https://pb.nalog.ru/search.html?query=3818029460","ФНС: проверить")</f>
        <v/>
      </c>
      <c r="R5498" s="16">
        <f>HYPERLINK("https://checko.ru/search?query=3801001629","Чекко: проверить")</f>
        <v/>
      </c>
      <c r="S5498" t="n">
        <v>1</v>
      </c>
      <c r="T5498" s="35" t="inlineStr">
        <is>
          <t>4 — Не обогащён</t>
        </is>
      </c>
      <c r="U5498" s="35" t="inlineStr">
        <is>
          <t>Нет ОКВЭД/ССЧР</t>
        </is>
      </c>
      <c r="V5498" s="35" t="inlineStr">
        <is>
          <t>Не определено</t>
        </is>
      </c>
      <c r="W5498" s="35" t="inlineStr"/>
      <c r="X5498" s="35" t="inlineStr"/>
    </row>
    <row r="5499" ht="15" customHeight="1" s="24">
      <c r="A5499" s="13" t="n">
        <v>800557345</v>
      </c>
      <c r="B5499" s="13" t="inlineStr">
        <is>
          <t>Охранное Агентство БАБР, ООО</t>
        </is>
      </c>
      <c r="C5499" s="13" t="n">
        <v>3808070237</v>
      </c>
      <c r="D5499" s="13" t="inlineStr">
        <is>
          <t>3808070237</t>
        </is>
      </c>
      <c r="E5499" s="13" t="inlineStr">
        <is>
          <t>ЮЛ РФ</t>
        </is>
      </c>
      <c r="F5499" s="13" t="n"/>
      <c r="G5499" s="52" t="n">
        <v>33</v>
      </c>
      <c r="H5499" s="52" t="n">
        <v>2025</v>
      </c>
      <c r="I5499" s="52" t="inlineStr">
        <is>
          <t>80.10</t>
        </is>
      </c>
      <c r="J5499" s="52" t="inlineStr">
        <is>
          <t>80.10; 80.20</t>
        </is>
      </c>
      <c r="K5499" s="53" t="inlineStr">
        <is>
          <t>Да</t>
        </is>
      </c>
      <c r="L5499" s="53" t="inlineStr">
        <is>
          <t>Да</t>
        </is>
      </c>
      <c r="M5499" s="53" t="inlineStr">
        <is>
          <t>До 50</t>
        </is>
      </c>
      <c r="N5499" s="54" t="n">
        <v>16800</v>
      </c>
      <c r="O5499" s="55" t="inlineStr">
        <is>
          <t>31–50</t>
        </is>
      </c>
      <c r="P5499" s="16" t="inlineStr">
        <is>
          <t>ССЧР + ОКВЭД обогащены</t>
        </is>
      </c>
      <c r="Q5499" s="16" t="inlineStr">
        <is>
          <t>ФНС открытые данные ССЧР (ДатаСост 31.12.2025; набор 7707329152-sshr2019)</t>
        </is>
      </c>
      <c r="R5499" s="16" t="inlineStr">
        <is>
          <t>ЕГРЮЛ / egrul.nalog.ru (выписка)</t>
        </is>
      </c>
      <c r="S5499" t="n">
        <v>1</v>
      </c>
      <c r="T5499" s="35" t="inlineStr">
        <is>
          <t>1 — Горячий</t>
        </is>
      </c>
      <c r="U5499" s="35" t="inlineStr">
        <is>
          <t>ОКВЭД + 22+</t>
        </is>
      </c>
      <c r="V5499" s="35" t="inlineStr">
        <is>
          <t>Да</t>
        </is>
      </c>
      <c r="W5499" s="35" t="inlineStr">
        <is>
          <t>Да</t>
        </is>
      </c>
      <c r="X5499" s="35" t="inlineStr">
        <is>
          <t>Да</t>
        </is>
      </c>
    </row>
    <row r="5500" ht="15" customHeight="1" s="24">
      <c r="A5500" s="13" t="n">
        <v>14126145</v>
      </c>
      <c r="B5500" s="13" t="inlineStr">
        <is>
          <t>ООО "АгроСмоленское"</t>
        </is>
      </c>
      <c r="C5500" s="13" t="n">
        <v>3827010850</v>
      </c>
      <c r="D5500" s="13" t="inlineStr">
        <is>
          <t>3827010850</t>
        </is>
      </c>
      <c r="E5500" s="13" t="inlineStr">
        <is>
          <t>ЮЛ РФ</t>
        </is>
      </c>
      <c r="F5500" s="13" t="n"/>
      <c r="G5500" s="52" t="n">
        <v>25</v>
      </c>
      <c r="H5500" s="52" t="n">
        <v>2025</v>
      </c>
      <c r="I5500" s="52" t="inlineStr">
        <is>
          <t>01.13.1</t>
        </is>
      </c>
      <c r="J5500" s="52" t="inlineStr">
        <is>
          <t>01.13.1; 01.11; 01.13; 01.13.3; 01.19; 01.30; 01.49; 01.49.11; 01.61; 01.62; 01.63; 01.64; 02.20; 10.11; 10.39.1; 10.51; 16.10.1; 41.20; 43.99.7; 47.21; 47.29.11; 82.99</t>
        </is>
      </c>
      <c r="K5500" s="53" t="inlineStr">
        <is>
          <t>Да</t>
        </is>
      </c>
      <c r="L5500" s="53" t="inlineStr">
        <is>
          <t>Да</t>
        </is>
      </c>
      <c r="M5500" s="53" t="inlineStr">
        <is>
          <t>До 25</t>
        </is>
      </c>
      <c r="N5500" s="54" t="n">
        <v>8400</v>
      </c>
      <c r="O5500" s="55" t="inlineStr">
        <is>
          <t>16–30</t>
        </is>
      </c>
      <c r="P5500" s="16" t="inlineStr">
        <is>
          <t>ССЧР + ОКВЭД обогащены</t>
        </is>
      </c>
      <c r="Q5500" s="16" t="inlineStr">
        <is>
          <t>ФНС открытые данные ССЧР (ДатаСост 31.12.2025; набор 7707329152-sshr2019)</t>
        </is>
      </c>
      <c r="R5500" s="16" t="inlineStr">
        <is>
          <t>ЕГРЮЛ / egrul.nalog.ru (выписка)</t>
        </is>
      </c>
      <c r="S5500" t="n">
        <v>1</v>
      </c>
      <c r="T5500" s="35" t="inlineStr">
        <is>
          <t>1 — Горячий</t>
        </is>
      </c>
      <c r="U5500" s="35" t="inlineStr">
        <is>
          <t>ОКВЭД + 22+</t>
        </is>
      </c>
      <c r="V5500" s="35" t="inlineStr">
        <is>
          <t>Да</t>
        </is>
      </c>
      <c r="W5500" s="35" t="inlineStr">
        <is>
          <t>Да</t>
        </is>
      </c>
      <c r="X5500" s="35" t="inlineStr">
        <is>
          <t>Да</t>
        </is>
      </c>
    </row>
    <row r="5501" ht="15" customHeight="1" s="24">
      <c r="A5501" s="13" t="n">
        <v>801635531</v>
      </c>
      <c r="B5501" s="13" t="inlineStr">
        <is>
          <t>ООО "АЛЕКС АВТО"</t>
        </is>
      </c>
      <c r="C5501" s="13" t="n">
        <v>3811456689</v>
      </c>
      <c r="D5501" s="13" t="inlineStr">
        <is>
          <t>3811456689</t>
        </is>
      </c>
      <c r="E5501" s="13" t="inlineStr">
        <is>
          <t>ЮЛ РФ</t>
        </is>
      </c>
      <c r="F5501" s="13" t="n"/>
      <c r="G5501" s="52" t="n">
        <v>7</v>
      </c>
      <c r="H5501" s="52" t="n">
        <v>2025</v>
      </c>
      <c r="I5501" s="14" t="n"/>
      <c r="J5501" s="14" t="n"/>
      <c r="K5501" s="53" t="inlineStr">
        <is>
          <t>Нет</t>
        </is>
      </c>
      <c r="L5501" s="53" t="inlineStr">
        <is>
          <t>Не определено</t>
        </is>
      </c>
      <c r="M5501" s="53" t="inlineStr">
        <is>
          <t>До 10</t>
        </is>
      </c>
      <c r="N5501" s="54" t="n">
        <v>3360</v>
      </c>
      <c r="O5501" s="55" t="inlineStr">
        <is>
          <t>1–15</t>
        </is>
      </c>
      <c r="P5501" s="16" t="inlineStr">
        <is>
          <t>ССЧР обогащена; ОКВЭД не найден/не загружен</t>
        </is>
      </c>
      <c r="Q5501" s="16" t="inlineStr">
        <is>
          <t>ФНС открытые данные ССЧР (ДатаСост 31.12.2025; набор 7707329152-sshr2019)</t>
        </is>
      </c>
      <c r="R5501" s="16">
        <f>HYPERLINK("https://checko.ru/search?query=3801001629","Чекко: проверить")</f>
        <v/>
      </c>
      <c r="S5501" t="n">
        <v>1</v>
      </c>
      <c r="T5501" s="35" t="inlineStr">
        <is>
          <t>4 — Не обогащён</t>
        </is>
      </c>
      <c r="U5501" s="35" t="inlineStr">
        <is>
          <t>Нет ОКВЭД/ССЧР</t>
        </is>
      </c>
      <c r="V5501" s="35" t="inlineStr">
        <is>
          <t>Не определено</t>
        </is>
      </c>
      <c r="W5501" s="35" t="inlineStr">
        <is>
          <t>Нет</t>
        </is>
      </c>
      <c r="X5501" s="35" t="inlineStr"/>
    </row>
    <row r="5502" ht="15" customHeight="1" s="24">
      <c r="A5502" s="13" t="n">
        <v>801620278</v>
      </c>
      <c r="B5502" s="13" t="inlineStr">
        <is>
          <t>ООО "УК ТРАНСЛОГИСТИКА"</t>
        </is>
      </c>
      <c r="C5502" s="13" t="n">
        <v>3818051466</v>
      </c>
      <c r="D5502" s="13" t="inlineStr">
        <is>
          <t>3818051466</t>
        </is>
      </c>
      <c r="E5502" s="13" t="inlineStr">
        <is>
          <t>ЮЛ РФ</t>
        </is>
      </c>
      <c r="F5502" s="13" t="n"/>
      <c r="G5502" s="52" t="n">
        <v>15</v>
      </c>
      <c r="H5502" s="52" t="n">
        <v>2025</v>
      </c>
      <c r="I5502" s="14" t="n"/>
      <c r="J5502" s="14" t="n"/>
      <c r="K5502" s="53" t="inlineStr">
        <is>
          <t>Нет</t>
        </is>
      </c>
      <c r="L5502" s="53" t="inlineStr">
        <is>
          <t>Не определено</t>
        </is>
      </c>
      <c r="M5502" s="53" t="inlineStr">
        <is>
          <t>До 25</t>
        </is>
      </c>
      <c r="N5502" s="54" t="n">
        <v>8400</v>
      </c>
      <c r="O5502" s="55" t="inlineStr">
        <is>
          <t>1–15</t>
        </is>
      </c>
      <c r="P5502" s="16" t="inlineStr">
        <is>
          <t>ССЧР обогащена; ОКВЭД не найден/не загружен</t>
        </is>
      </c>
      <c r="Q5502" s="16" t="inlineStr">
        <is>
          <t>ФНС открытые данные ССЧР (ДатаСост 31.12.2025; набор 7707329152-sshr2019)</t>
        </is>
      </c>
      <c r="R5502" s="16">
        <f>HYPERLINK("https://checko.ru/search?query=3801001629","Чекко: проверить")</f>
        <v/>
      </c>
      <c r="S5502" t="n">
        <v>1</v>
      </c>
      <c r="T5502" s="35" t="inlineStr">
        <is>
          <t>4 — Не обогащён</t>
        </is>
      </c>
      <c r="U5502" s="35" t="inlineStr">
        <is>
          <t>Нет ОКВЭД/ССЧР</t>
        </is>
      </c>
      <c r="V5502" s="35" t="inlineStr">
        <is>
          <t>Не определено</t>
        </is>
      </c>
      <c r="W5502" s="35" t="inlineStr">
        <is>
          <t>Нет</t>
        </is>
      </c>
      <c r="X5502" s="35" t="inlineStr"/>
    </row>
    <row r="5503" ht="27.75" customHeight="1" s="24">
      <c r="A5503" s="13" t="n">
        <v>801355239</v>
      </c>
      <c r="B5503" s="13" t="inlineStr">
        <is>
          <t>Индивидуальный предприниматель Полькин Юрий Васильевич</t>
        </is>
      </c>
      <c r="C5503" s="13" t="n">
        <v>165024472620</v>
      </c>
      <c r="D5503" s="13" t="inlineStr">
        <is>
          <t>165024472620</t>
        </is>
      </c>
      <c r="E5503" s="13" t="inlineStr">
        <is>
          <t>ИП РФ / физлицо</t>
        </is>
      </c>
      <c r="F5503" s="13" t="n"/>
      <c r="G5503" s="14" t="n"/>
      <c r="H5503" s="14" t="n"/>
      <c r="I5503" s="14" t="n"/>
      <c r="J5503" s="14" t="n"/>
      <c r="K5503" s="53" t="inlineStr"/>
      <c r="L5503" s="53" t="inlineStr">
        <is>
          <t>Не определено</t>
        </is>
      </c>
      <c r="M5503" s="53" t="inlineStr"/>
      <c r="N5503" s="54" t="inlineStr"/>
      <c r="O5503" s="55" t="inlineStr"/>
      <c r="P5503" s="16" t="inlineStr">
        <is>
          <t>Требует обогащения</t>
        </is>
      </c>
      <c r="Q5503" s="16">
        <f>HYPERLINK("https://pb.nalog.ru/search.html?query=165024472620","ФНС: проверить")</f>
        <v/>
      </c>
      <c r="R5503" s="16">
        <f>HYPERLINK("https://checko.ru/search?query=3801001629","Чекко: проверить")</f>
        <v/>
      </c>
      <c r="S5503" t="n">
        <v>1</v>
      </c>
      <c r="T5503" s="35" t="inlineStr">
        <is>
          <t>4 — Не обогащён</t>
        </is>
      </c>
      <c r="U5503" s="35" t="inlineStr">
        <is>
          <t>Нет ОКВЭД/ССЧР</t>
        </is>
      </c>
      <c r="V5503" s="35" t="inlineStr">
        <is>
          <t>Не определено</t>
        </is>
      </c>
      <c r="W5503" s="35" t="inlineStr"/>
      <c r="X5503" s="35" t="inlineStr"/>
    </row>
    <row r="5504" ht="15" customHeight="1" s="24">
      <c r="A5504" s="13" t="n">
        <v>800300452</v>
      </c>
      <c r="B5504" s="13" t="inlineStr">
        <is>
          <t>Гранд Байкал ВИП</t>
        </is>
      </c>
      <c r="C5504" s="13" t="n">
        <v>3808079832</v>
      </c>
      <c r="D5504" s="13" t="inlineStr">
        <is>
          <t>3808079832</t>
        </is>
      </c>
      <c r="E5504" s="13" t="inlineStr">
        <is>
          <t>ЮЛ РФ</t>
        </is>
      </c>
      <c r="F5504" s="13" t="n"/>
      <c r="G5504" s="52" t="n">
        <v>445</v>
      </c>
      <c r="H5504" s="52" t="n">
        <v>2025</v>
      </c>
      <c r="I5504" s="52" t="inlineStr">
        <is>
          <t>86.90.4</t>
        </is>
      </c>
      <c r="J5504" s="52" t="inlineStr">
        <is>
          <t>86.90.4; 37.00; 47.19; 55.10; 55.20; 56.10.1; 56.30; 68.20.29; 70.22; 77.21; 79.11; 79.12; 82.99; 85.41.91; 86.21; 96.01; 96.04; 01.70.2; 01.70.4; 01.70.6; 01.70.21; 01.70.29; 08.99; 41.20; 47.11; 47.21; 47.22; 47.23; 47.24; 47.25; 47.26; 47.29; 47.29.1; 47.41; 47.41.4; 47.59.1; 47.61; 47.71.5; 47.71.6; 47.73; 47.74; 47.75; 47.78.1; 47.78.3; 47.78.4; 47.99; 49.31; 49.31.2; 49.32; 49.39.39; 50.30; 50.30.2; 50.40.2; 56.10; 56.29; 59.14; 60.10; 60.20; 68.20; 73.11; 82.30.1; 85.41; 85.41.1; 85.41.2; 85.41.9; 86.23; 86.90.9; 93.11; 93.29.9; 96.02</t>
        </is>
      </c>
      <c r="K5504" s="53" t="inlineStr">
        <is>
          <t>Да</t>
        </is>
      </c>
      <c r="L5504" s="53" t="inlineStr">
        <is>
          <t>Да</t>
        </is>
      </c>
      <c r="M5504" s="53" t="inlineStr">
        <is>
          <t>До 500</t>
        </is>
      </c>
      <c r="N5504" s="54" t="n">
        <v>144000</v>
      </c>
      <c r="O5504" s="55" t="inlineStr">
        <is>
          <t>201–500</t>
        </is>
      </c>
      <c r="P5504" s="16" t="inlineStr">
        <is>
          <t>ССЧР + ОКВЭД обогащены</t>
        </is>
      </c>
      <c r="Q5504" s="16" t="inlineStr">
        <is>
          <t>ФНС открытые данные ССЧР (ДатаСост 31.12.2025; набор 7707329152-sshr2019)</t>
        </is>
      </c>
      <c r="R5504" s="16" t="inlineStr">
        <is>
          <t>ЕГРЮЛ / egrul.nalog.ru (выписка)</t>
        </is>
      </c>
      <c r="S5504" t="n">
        <v>1</v>
      </c>
      <c r="T5504" s="35" t="inlineStr">
        <is>
          <t>1 — Горячий</t>
        </is>
      </c>
      <c r="U5504" s="35" t="inlineStr">
        <is>
          <t>ОКВЭД + 22+</t>
        </is>
      </c>
      <c r="V5504" s="35" t="inlineStr">
        <is>
          <t>Да</t>
        </is>
      </c>
      <c r="W5504" s="35" t="inlineStr">
        <is>
          <t>Да</t>
        </is>
      </c>
      <c r="X5504" s="35" t="inlineStr">
        <is>
          <t>Да</t>
        </is>
      </c>
    </row>
    <row r="5505" ht="15" customHeight="1" s="24">
      <c r="A5505" s="13" t="n">
        <v>9575244</v>
      </c>
      <c r="B5505" s="13" t="inlineStr">
        <is>
          <t>ОАО Горно-металлургическая компания "Тимир"</t>
        </is>
      </c>
      <c r="C5505" s="13" t="n">
        <v>1434036925</v>
      </c>
      <c r="D5505" s="13" t="inlineStr">
        <is>
          <t>1434036925</t>
        </is>
      </c>
      <c r="E5505" s="13" t="inlineStr">
        <is>
          <t>ЮЛ РФ</t>
        </is>
      </c>
      <c r="F5505" s="13" t="n"/>
      <c r="G5505" s="52" t="n">
        <v>13</v>
      </c>
      <c r="H5505" s="52" t="n">
        <v>2025</v>
      </c>
      <c r="I5505" s="14" t="n"/>
      <c r="J5505" s="14" t="n"/>
      <c r="K5505" s="53" t="inlineStr">
        <is>
          <t>Нет</t>
        </is>
      </c>
      <c r="L5505" s="53" t="inlineStr">
        <is>
          <t>Не определено</t>
        </is>
      </c>
      <c r="M5505" s="53" t="inlineStr">
        <is>
          <t>До 25</t>
        </is>
      </c>
      <c r="N5505" s="54" t="n">
        <v>8400</v>
      </c>
      <c r="O5505" s="55" t="inlineStr">
        <is>
          <t>1–15</t>
        </is>
      </c>
      <c r="P5505" s="16" t="inlineStr">
        <is>
          <t>ССЧР обогащена; ОКВЭД не найден/не загружен</t>
        </is>
      </c>
      <c r="Q5505" s="16" t="inlineStr">
        <is>
          <t>ФНС открытые данные ССЧР (ДатаСост 31.12.2025; набор 7707329152-sshr2019)</t>
        </is>
      </c>
      <c r="R5505" s="16">
        <f>HYPERLINK("https://checko.ru/search?query=3801001629","Чекко: проверить")</f>
        <v/>
      </c>
      <c r="S5505" t="n">
        <v>1</v>
      </c>
      <c r="T5505" s="35" t="inlineStr">
        <is>
          <t>4 — Не обогащён</t>
        </is>
      </c>
      <c r="U5505" s="35" t="inlineStr">
        <is>
          <t>Нет ОКВЭД/ССЧР</t>
        </is>
      </c>
      <c r="V5505" s="35" t="inlineStr">
        <is>
          <t>Не определено</t>
        </is>
      </c>
      <c r="W5505" s="35" t="inlineStr">
        <is>
          <t>Нет</t>
        </is>
      </c>
      <c r="X5505" s="35" t="inlineStr"/>
    </row>
    <row r="5506" ht="15" customHeight="1" s="24">
      <c r="A5506" s="13" t="n">
        <v>800405095</v>
      </c>
      <c r="B5506" s="13" t="inlineStr">
        <is>
          <t>ПЕРЕВОЗЧИК ООО</t>
        </is>
      </c>
      <c r="C5506" s="13" t="n">
        <v>3811451352</v>
      </c>
      <c r="D5506" s="13" t="inlineStr">
        <is>
          <t>3811451352</t>
        </is>
      </c>
      <c r="E5506" s="13" t="inlineStr">
        <is>
          <t>ЮЛ РФ</t>
        </is>
      </c>
      <c r="F5506" s="13" t="n"/>
      <c r="G5506" s="52" t="n">
        <v>7</v>
      </c>
      <c r="H5506" s="52" t="n">
        <v>2025</v>
      </c>
      <c r="I5506" s="14" t="n"/>
      <c r="J5506" s="14" t="n"/>
      <c r="K5506" s="53" t="inlineStr">
        <is>
          <t>Нет</t>
        </is>
      </c>
      <c r="L5506" s="53" t="inlineStr">
        <is>
          <t>Не определено</t>
        </is>
      </c>
      <c r="M5506" s="53" t="inlineStr">
        <is>
          <t>До 10</t>
        </is>
      </c>
      <c r="N5506" s="54" t="n">
        <v>3360</v>
      </c>
      <c r="O5506" s="55" t="inlineStr">
        <is>
          <t>1–15</t>
        </is>
      </c>
      <c r="P5506" s="16" t="inlineStr">
        <is>
          <t>ССЧР обогащена; ОКВЭД не найден/не загружен</t>
        </is>
      </c>
      <c r="Q5506" s="16" t="inlineStr">
        <is>
          <t>ФНС открытые данные ССЧР (ДатаСост 31.12.2025; набор 7707329152-sshr2019)</t>
        </is>
      </c>
      <c r="R5506" s="16">
        <f>HYPERLINK("https://checko.ru/search?query=3801001629","Чекко: проверить")</f>
        <v/>
      </c>
      <c r="S5506" t="n">
        <v>1</v>
      </c>
      <c r="T5506" s="35" t="inlineStr">
        <is>
          <t>4 — Не обогащён</t>
        </is>
      </c>
      <c r="U5506" s="35" t="inlineStr">
        <is>
          <t>Нет ОКВЭД/ССЧР</t>
        </is>
      </c>
      <c r="V5506" s="35" t="inlineStr">
        <is>
          <t>Не определено</t>
        </is>
      </c>
      <c r="W5506" s="35" t="inlineStr">
        <is>
          <t>Нет</t>
        </is>
      </c>
      <c r="X5506" s="35" t="inlineStr"/>
    </row>
    <row r="5507" ht="15" customHeight="1" s="24">
      <c r="A5507" s="13" t="n">
        <v>800559551</v>
      </c>
      <c r="B5507" s="13" t="inlineStr">
        <is>
          <t>ООО «Прогресс»</t>
        </is>
      </c>
      <c r="C5507" s="13" t="n">
        <v>3815008575</v>
      </c>
      <c r="D5507" s="13" t="inlineStr">
        <is>
          <t>3815008575</t>
        </is>
      </c>
      <c r="E5507" s="13" t="inlineStr">
        <is>
          <t>ЮЛ РФ</t>
        </is>
      </c>
      <c r="F5507" s="13" t="n"/>
      <c r="G5507" s="52" t="n">
        <v>33</v>
      </c>
      <c r="H5507" s="52" t="n">
        <v>2025</v>
      </c>
      <c r="I5507" s="52" t="inlineStr">
        <is>
          <t>02.20</t>
        </is>
      </c>
      <c r="J5507" s="52" t="inlineStr">
        <is>
          <t>02.20; 02.10; 02.10.11; 02.40.1; 02.40.2; 16.10; 16.10.1; 16.10.2; 16.10.3; 16.10.9; 16.21; 41.20; 42.11; 42.12; 42.13; 42.21; 42.99; 43.11; 43.12.1; 43.12.3; 43.31; 43.32; 43.33; 43.34; 43.34.1; 43.34.2; 43.39; 43.99; 43.99.3; 46.11; 46.11.3; 46.11.31; 46.11.32; 46.11.34; 46.12.32; 46.13; 46.13.1; 46.13.2; 46.21; 46.32.1; 49.41; 68.20.1; 77.11; 77.31; 77.39.1; 77.39.11</t>
        </is>
      </c>
      <c r="K5507" s="53" t="inlineStr">
        <is>
          <t>Да</t>
        </is>
      </c>
      <c r="L5507" s="53" t="inlineStr">
        <is>
          <t>Да</t>
        </is>
      </c>
      <c r="M5507" s="53" t="inlineStr">
        <is>
          <t>До 50</t>
        </is>
      </c>
      <c r="N5507" s="54" t="n">
        <v>16800</v>
      </c>
      <c r="O5507" s="55" t="inlineStr">
        <is>
          <t>31–50</t>
        </is>
      </c>
      <c r="P5507" s="16" t="inlineStr">
        <is>
          <t>ССЧР + ОКВЭД обогащены</t>
        </is>
      </c>
      <c r="Q5507" s="16" t="inlineStr">
        <is>
          <t>ФНС открытые данные ССЧР (ДатаСост 31.12.2025; набор 7707329152-sshr2019)</t>
        </is>
      </c>
      <c r="R5507" s="16" t="inlineStr">
        <is>
          <t>ЕГРЮЛ / egrul.nalog.ru (выписка)</t>
        </is>
      </c>
      <c r="S5507" t="n">
        <v>1</v>
      </c>
      <c r="T5507" s="35" t="inlineStr">
        <is>
          <t>1 — Горячий</t>
        </is>
      </c>
      <c r="U5507" s="35" t="inlineStr">
        <is>
          <t>ОКВЭД + 22+</t>
        </is>
      </c>
      <c r="V5507" s="35" t="inlineStr">
        <is>
          <t>Да</t>
        </is>
      </c>
      <c r="W5507" s="35" t="inlineStr">
        <is>
          <t>Да</t>
        </is>
      </c>
      <c r="X5507" s="35" t="inlineStr">
        <is>
          <t>Да</t>
        </is>
      </c>
    </row>
    <row r="5508" ht="27.75" customHeight="1" s="24">
      <c r="A5508" s="13" t="n">
        <v>800752152</v>
      </c>
      <c r="B5508" s="13" t="inlineStr">
        <is>
          <t>Индивидуальный предприниматель Черепенников Сергей Валерьевич</t>
        </is>
      </c>
      <c r="C5508" s="13" t="n">
        <v>381100043305</v>
      </c>
      <c r="D5508" s="13" t="inlineStr">
        <is>
          <t>381100043305</t>
        </is>
      </c>
      <c r="E5508" s="13" t="inlineStr">
        <is>
          <t>ИП РФ / физлицо</t>
        </is>
      </c>
      <c r="F5508" s="13" t="n"/>
      <c r="G5508" s="14" t="n"/>
      <c r="H5508" s="14" t="n"/>
      <c r="I5508" s="14" t="n"/>
      <c r="J5508" s="14" t="n"/>
      <c r="K5508" s="53" t="inlineStr"/>
      <c r="L5508" s="53" t="inlineStr">
        <is>
          <t>Не определено</t>
        </is>
      </c>
      <c r="M5508" s="53" t="inlineStr"/>
      <c r="N5508" s="54" t="inlineStr"/>
      <c r="O5508" s="55" t="inlineStr"/>
      <c r="P5508" s="16" t="inlineStr">
        <is>
          <t>Требует обогащения</t>
        </is>
      </c>
      <c r="Q5508" s="16">
        <f>HYPERLINK("https://pb.nalog.ru/search.html?query=381100043305","ФНС: проверить")</f>
        <v/>
      </c>
      <c r="R5508" s="16">
        <f>HYPERLINK("https://checko.ru/search?query=3801001629","Чекко: проверить")</f>
        <v/>
      </c>
      <c r="S5508" t="n">
        <v>1</v>
      </c>
      <c r="T5508" s="35" t="inlineStr">
        <is>
          <t>4 — Не обогащён</t>
        </is>
      </c>
      <c r="U5508" s="35" t="inlineStr">
        <is>
          <t>Нет ОКВЭД/ССЧР</t>
        </is>
      </c>
      <c r="V5508" s="35" t="inlineStr">
        <is>
          <t>Не определено</t>
        </is>
      </c>
      <c r="W5508" s="35" t="inlineStr"/>
      <c r="X5508" s="35" t="inlineStr"/>
    </row>
    <row r="5509" ht="15" customHeight="1" s="24">
      <c r="A5509" s="13" t="n">
        <v>800383864</v>
      </c>
      <c r="B5509" s="13" t="inlineStr">
        <is>
          <t>ООО "СваркаСиб"</t>
        </is>
      </c>
      <c r="C5509" s="13" t="n">
        <v>3810314265</v>
      </c>
      <c r="D5509" s="13" t="inlineStr">
        <is>
          <t>3810314265</t>
        </is>
      </c>
      <c r="E5509" s="13" t="inlineStr">
        <is>
          <t>ЮЛ РФ</t>
        </is>
      </c>
      <c r="F5509" s="13" t="n"/>
      <c r="G5509" s="52" t="n">
        <v>8</v>
      </c>
      <c r="H5509" s="52" t="n">
        <v>2025</v>
      </c>
      <c r="I5509" s="14" t="n"/>
      <c r="J5509" s="14" t="n"/>
      <c r="K5509" s="53" t="inlineStr">
        <is>
          <t>Нет</t>
        </is>
      </c>
      <c r="L5509" s="53" t="inlineStr">
        <is>
          <t>Не определено</t>
        </is>
      </c>
      <c r="M5509" s="53" t="inlineStr">
        <is>
          <t>До 10</t>
        </is>
      </c>
      <c r="N5509" s="54" t="n">
        <v>3360</v>
      </c>
      <c r="O5509" s="55" t="inlineStr">
        <is>
          <t>1–15</t>
        </is>
      </c>
      <c r="P5509" s="16" t="inlineStr">
        <is>
          <t>ССЧР обогащена; ОКВЭД не найден/не загружен</t>
        </is>
      </c>
      <c r="Q5509" s="16" t="inlineStr">
        <is>
          <t>ФНС открытые данные ССЧР (ДатаСост 31.12.2025; набор 7707329152-sshr2019)</t>
        </is>
      </c>
      <c r="R5509" s="16">
        <f>HYPERLINK("https://checko.ru/search?query=3801001629","Чекко: проверить")</f>
        <v/>
      </c>
      <c r="S5509" t="n">
        <v>1</v>
      </c>
      <c r="T5509" s="35" t="inlineStr">
        <is>
          <t>4 — Не обогащён</t>
        </is>
      </c>
      <c r="U5509" s="35" t="inlineStr">
        <is>
          <t>Нет ОКВЭД/ССЧР</t>
        </is>
      </c>
      <c r="V5509" s="35" t="inlineStr">
        <is>
          <t>Не определено</t>
        </is>
      </c>
      <c r="W5509" s="35" t="inlineStr">
        <is>
          <t>Нет</t>
        </is>
      </c>
      <c r="X5509" s="35" t="inlineStr"/>
    </row>
    <row r="5510" ht="27.75" customHeight="1" s="24">
      <c r="A5510" s="13" t="n">
        <v>802796352</v>
      </c>
      <c r="B5510" s="13" t="inlineStr">
        <is>
          <t>ОБЩЕСТВО С ОГРАНИЧЕННОЙ ОТВЕТСТВЕННОСТЬЮ "ИТ СОВА"</t>
        </is>
      </c>
      <c r="C5510" s="13" t="n">
        <v>2700020905</v>
      </c>
      <c r="D5510" s="13" t="inlineStr">
        <is>
          <t>2700020905</t>
        </is>
      </c>
      <c r="E5510" s="13" t="inlineStr">
        <is>
          <t>ЮЛ РФ</t>
        </is>
      </c>
      <c r="F5510" s="13" t="n"/>
      <c r="G5510" s="52" t="n">
        <v>90</v>
      </c>
      <c r="H5510" s="52" t="n">
        <v>2025</v>
      </c>
      <c r="I5510" s="52" t="inlineStr">
        <is>
          <t>63.11.1</t>
        </is>
      </c>
      <c r="J5510" s="52" t="inlineStr">
        <is>
          <t>63.11.1; 62.01; 62.02; 62.09; 69.10; 69.20.2; 70.22; 74.90.9; 82.99</t>
        </is>
      </c>
      <c r="K5510" s="53" t="inlineStr">
        <is>
          <t>Да</t>
        </is>
      </c>
      <c r="L5510" s="53" t="inlineStr">
        <is>
          <t>Да</t>
        </is>
      </c>
      <c r="M5510" s="53" t="inlineStr">
        <is>
          <t>До 100</t>
        </is>
      </c>
      <c r="N5510" s="54" t="n">
        <v>33600</v>
      </c>
      <c r="O5510" s="55" t="inlineStr">
        <is>
          <t>51–100</t>
        </is>
      </c>
      <c r="P5510" s="16" t="inlineStr">
        <is>
          <t>ССЧР + ОКВЭД обогащены</t>
        </is>
      </c>
      <c r="Q5510" s="16" t="inlineStr">
        <is>
          <t>ФНС открытые данные ССЧР (ДатаСост 31.12.2025; набор 7707329152-sshr2019)</t>
        </is>
      </c>
      <c r="R5510" s="16" t="inlineStr">
        <is>
          <t>ЕГРЮЛ / egrul.nalog.ru (выписка)</t>
        </is>
      </c>
      <c r="S5510" t="n">
        <v>1</v>
      </c>
      <c r="T5510" s="35" t="inlineStr">
        <is>
          <t>1 — Горячий</t>
        </is>
      </c>
      <c r="U5510" s="35" t="inlineStr">
        <is>
          <t>ОКВЭД + 22+</t>
        </is>
      </c>
      <c r="V5510" s="35" t="inlineStr">
        <is>
          <t>Да</t>
        </is>
      </c>
      <c r="W5510" s="35" t="inlineStr">
        <is>
          <t>Да</t>
        </is>
      </c>
      <c r="X5510" s="35" t="inlineStr">
        <is>
          <t>Да</t>
        </is>
      </c>
    </row>
    <row r="5511" ht="27.75" customHeight="1" s="24">
      <c r="A5511" s="13" t="n">
        <v>9150842</v>
      </c>
      <c r="B5511" s="13" t="inlineStr">
        <is>
          <t>Общество с ограниченной ответственностью Научно- производственная компания «Спирит»</t>
        </is>
      </c>
      <c r="C5511" s="13" t="n">
        <v>3810329663</v>
      </c>
      <c r="D5511" s="13" t="inlineStr">
        <is>
          <t>3810329663</t>
        </is>
      </c>
      <c r="E5511" s="13" t="inlineStr">
        <is>
          <t>ЮЛ РФ</t>
        </is>
      </c>
      <c r="F5511" s="13" t="n"/>
      <c r="G5511" s="52" t="n">
        <v>99</v>
      </c>
      <c r="H5511" s="52" t="n">
        <v>2025</v>
      </c>
      <c r="I5511" s="52" t="inlineStr">
        <is>
          <t>28.92</t>
        </is>
      </c>
      <c r="J5511" s="52" t="inlineStr">
        <is>
          <t>28.92; 09.90; 33.12; 33.20; 38.32.3; 71.12.5; 71.12.6; 71.20</t>
        </is>
      </c>
      <c r="K5511" s="53" t="inlineStr">
        <is>
          <t>Да</t>
        </is>
      </c>
      <c r="L5511" s="53" t="inlineStr">
        <is>
          <t>Да</t>
        </is>
      </c>
      <c r="M5511" s="53" t="inlineStr">
        <is>
          <t>До 100</t>
        </is>
      </c>
      <c r="N5511" s="54" t="n">
        <v>33600</v>
      </c>
      <c r="O5511" s="55" t="inlineStr">
        <is>
          <t>51–100</t>
        </is>
      </c>
      <c r="P5511" s="16" t="inlineStr">
        <is>
          <t>ССЧР + ОКВЭД обогащены</t>
        </is>
      </c>
      <c r="Q5511" s="16" t="inlineStr">
        <is>
          <t>ФНС открытые данные ССЧР (ДатаСост 31.12.2025; набор 7707329152-sshr2019)</t>
        </is>
      </c>
      <c r="R5511" s="16" t="inlineStr">
        <is>
          <t>ЕГРЮЛ / egrul.nalog.ru (выписка)</t>
        </is>
      </c>
      <c r="S5511" t="n">
        <v>1</v>
      </c>
      <c r="T5511" s="35" t="inlineStr">
        <is>
          <t>1 — Горячий</t>
        </is>
      </c>
      <c r="U5511" s="35" t="inlineStr">
        <is>
          <t>ОКВЭД + 22+</t>
        </is>
      </c>
      <c r="V5511" s="35" t="inlineStr">
        <is>
          <t>Да</t>
        </is>
      </c>
      <c r="W5511" s="35" t="inlineStr">
        <is>
          <t>Да</t>
        </is>
      </c>
      <c r="X5511" s="35" t="inlineStr">
        <is>
          <t>Да</t>
        </is>
      </c>
    </row>
    <row r="5512" ht="41.25" customHeight="1" s="24">
      <c r="A5512" s="13" t="n">
        <v>804669649</v>
      </c>
      <c r="B5512" s="13" t="inlineStr">
        <is>
          <t>ОБЩЕСТВО С ОГРАНИЧЕННОЙ ОТВЕТСТВЕННОСТЬЮ "СИБИРСКАЯ ЛЕСОТОРГОВАЯ КОМПАНИЯ"</t>
        </is>
      </c>
      <c r="C5512" s="13" t="n">
        <v>3810072489</v>
      </c>
      <c r="D5512" s="13" t="inlineStr">
        <is>
          <t>3810072489</t>
        </is>
      </c>
      <c r="E5512" s="13" t="inlineStr">
        <is>
          <t>ЮЛ РФ</t>
        </is>
      </c>
      <c r="F5512" s="13" t="n"/>
      <c r="G5512" s="52" t="n">
        <v>4</v>
      </c>
      <c r="H5512" s="52" t="n">
        <v>2025</v>
      </c>
      <c r="I5512" s="14" t="n"/>
      <c r="J5512" s="14" t="n"/>
      <c r="K5512" s="53" t="inlineStr">
        <is>
          <t>Нет</t>
        </is>
      </c>
      <c r="L5512" s="53" t="inlineStr">
        <is>
          <t>Не определено</t>
        </is>
      </c>
      <c r="M5512" s="53" t="inlineStr">
        <is>
          <t>До 10</t>
        </is>
      </c>
      <c r="N5512" s="54" t="n">
        <v>3360</v>
      </c>
      <c r="O5512" s="55" t="inlineStr">
        <is>
          <t>1–15</t>
        </is>
      </c>
      <c r="P5512" s="16" t="inlineStr">
        <is>
          <t>ССЧР обогащена; ОКВЭД не найден/не загружен</t>
        </is>
      </c>
      <c r="Q5512" s="16" t="inlineStr">
        <is>
          <t>ФНС открытые данные ССЧР (ДатаСост 31.12.2025; набор 7707329152-sshr2019)</t>
        </is>
      </c>
      <c r="R5512" s="16">
        <f>HYPERLINK("https://checko.ru/search?query=3801001629","Чекко: проверить")</f>
        <v/>
      </c>
      <c r="S5512" t="n">
        <v>1</v>
      </c>
      <c r="T5512" s="35" t="inlineStr">
        <is>
          <t>4 — Не обогащён</t>
        </is>
      </c>
      <c r="U5512" s="35" t="inlineStr">
        <is>
          <t>Нет ОКВЭД/ССЧР</t>
        </is>
      </c>
      <c r="V5512" s="35" t="inlineStr">
        <is>
          <t>Не определено</t>
        </is>
      </c>
      <c r="W5512" s="35" t="inlineStr">
        <is>
          <t>Нет</t>
        </is>
      </c>
      <c r="X5512" s="35" t="inlineStr"/>
    </row>
    <row r="5513" ht="15" customHeight="1" s="24">
      <c r="A5513" s="13" t="n">
        <v>801603765</v>
      </c>
      <c r="B5513" s="13" t="inlineStr">
        <is>
          <t>ОАО Чунский Лесопромышленный комбинат</t>
        </is>
      </c>
      <c r="C5513" s="13" t="n">
        <v>3808075098</v>
      </c>
      <c r="D5513" s="13" t="inlineStr">
        <is>
          <t>3808075098</t>
        </is>
      </c>
      <c r="E5513" s="13" t="inlineStr">
        <is>
          <t>ЮЛ РФ</t>
        </is>
      </c>
      <c r="F5513" s="13" t="n"/>
      <c r="G5513" s="52" t="n">
        <v>9</v>
      </c>
      <c r="H5513" s="52" t="n">
        <v>2025</v>
      </c>
      <c r="I5513" s="14" t="n"/>
      <c r="J5513" s="14" t="n"/>
      <c r="K5513" s="53" t="inlineStr">
        <is>
          <t>Нет</t>
        </is>
      </c>
      <c r="L5513" s="53" t="inlineStr">
        <is>
          <t>Не определено</t>
        </is>
      </c>
      <c r="M5513" s="53" t="inlineStr">
        <is>
          <t>До 10</t>
        </is>
      </c>
      <c r="N5513" s="54" t="n">
        <v>3360</v>
      </c>
      <c r="O5513" s="55" t="inlineStr">
        <is>
          <t>1–15</t>
        </is>
      </c>
      <c r="P5513" s="16" t="inlineStr">
        <is>
          <t>ССЧР обогащена; ОКВЭД не найден/не загружен</t>
        </is>
      </c>
      <c r="Q5513" s="16" t="inlineStr">
        <is>
          <t>ФНС открытые данные ССЧР (ДатаСост 31.12.2025; набор 7707329152-sshr2019)</t>
        </is>
      </c>
      <c r="R5513" s="16">
        <f>HYPERLINK("https://checko.ru/search?query=3801001629","Чекко: проверить")</f>
        <v/>
      </c>
      <c r="S5513" t="n">
        <v>1</v>
      </c>
      <c r="T5513" s="35" t="inlineStr">
        <is>
          <t>4 — Не обогащён</t>
        </is>
      </c>
      <c r="U5513" s="35" t="inlineStr">
        <is>
          <t>Нет ОКВЭД/ССЧР</t>
        </is>
      </c>
      <c r="V5513" s="35" t="inlineStr">
        <is>
          <t>Не определено</t>
        </is>
      </c>
      <c r="W5513" s="35" t="inlineStr">
        <is>
          <t>Нет</t>
        </is>
      </c>
      <c r="X5513" s="35" t="inlineStr"/>
    </row>
    <row r="5514" ht="15" customHeight="1" s="24">
      <c r="A5514" s="13" t="n">
        <v>801612239</v>
      </c>
      <c r="B5514" s="13" t="inlineStr">
        <is>
          <t>ООО "Кран"</t>
        </is>
      </c>
      <c r="C5514" s="13" t="n">
        <v>3812079793</v>
      </c>
      <c r="D5514" s="13" t="inlineStr">
        <is>
          <t>3812079793</t>
        </is>
      </c>
      <c r="E5514" s="13" t="inlineStr">
        <is>
          <t>ЮЛ РФ</t>
        </is>
      </c>
      <c r="F5514" s="13" t="n"/>
      <c r="G5514" s="52" t="n">
        <v>44</v>
      </c>
      <c r="H5514" s="52" t="n">
        <v>2025</v>
      </c>
      <c r="I5514" s="52" t="inlineStr">
        <is>
          <t>42.11</t>
        </is>
      </c>
      <c r="J5514" s="52" t="inlineStr">
        <is>
          <t>42.11; 43.11; 43.12; 43.99; 45.20.1; 45.20.2; 49.41.1; 49.41.2; 49.41.3; 52.21; 77.11; 77.12; 77.32; 81.29; 81.30</t>
        </is>
      </c>
      <c r="K5514" s="53" t="inlineStr">
        <is>
          <t>Да</t>
        </is>
      </c>
      <c r="L5514" s="53" t="inlineStr">
        <is>
          <t>Да</t>
        </is>
      </c>
      <c r="M5514" s="53" t="inlineStr">
        <is>
          <t>До 50</t>
        </is>
      </c>
      <c r="N5514" s="54" t="n">
        <v>16800</v>
      </c>
      <c r="O5514" s="55" t="inlineStr">
        <is>
          <t>31–50</t>
        </is>
      </c>
      <c r="P5514" s="16" t="inlineStr">
        <is>
          <t>ССЧР + ОКВЭД обогащены</t>
        </is>
      </c>
      <c r="Q5514" s="16" t="inlineStr">
        <is>
          <t>ФНС открытые данные ССЧР (ДатаСост 31.12.2025; набор 7707329152-sshr2019)</t>
        </is>
      </c>
      <c r="R5514" s="16" t="inlineStr">
        <is>
          <t>ЕГРЮЛ / egrul.nalog.ru (выписка)</t>
        </is>
      </c>
      <c r="S5514" t="n">
        <v>1</v>
      </c>
      <c r="T5514" s="35" t="inlineStr">
        <is>
          <t>1 — Горячий</t>
        </is>
      </c>
      <c r="U5514" s="35" t="inlineStr">
        <is>
          <t>ОКВЭД + 22+</t>
        </is>
      </c>
      <c r="V5514" s="35" t="inlineStr">
        <is>
          <t>Да</t>
        </is>
      </c>
      <c r="W5514" s="35" t="inlineStr">
        <is>
          <t>Да</t>
        </is>
      </c>
      <c r="X5514" s="35" t="inlineStr">
        <is>
          <t>Да</t>
        </is>
      </c>
    </row>
    <row r="5515" ht="15" customHeight="1" s="24">
      <c r="A5515" s="13" t="n">
        <v>802479266</v>
      </c>
      <c r="B5515" s="13" t="inlineStr">
        <is>
          <t>ИП ГУЛИНА ЕЛЕНА ГЕННАДЬЕВНА</t>
        </is>
      </c>
      <c r="C5515" s="13" t="n">
        <v>381206707556</v>
      </c>
      <c r="D5515" s="13" t="inlineStr">
        <is>
          <t>381206707556</t>
        </is>
      </c>
      <c r="E5515" s="13" t="inlineStr">
        <is>
          <t>ИП РФ / физлицо</t>
        </is>
      </c>
      <c r="F5515" s="13" t="n"/>
      <c r="G5515" s="14" t="n"/>
      <c r="H5515" s="14" t="n"/>
      <c r="I5515" s="14" t="n"/>
      <c r="J5515" s="14" t="n"/>
      <c r="K5515" s="53" t="inlineStr"/>
      <c r="L5515" s="53" t="inlineStr">
        <is>
          <t>Не определено</t>
        </is>
      </c>
      <c r="M5515" s="53" t="inlineStr"/>
      <c r="N5515" s="54" t="inlineStr"/>
      <c r="O5515" s="55" t="inlineStr"/>
      <c r="P5515" s="16" t="inlineStr">
        <is>
          <t>Требует обогащения</t>
        </is>
      </c>
      <c r="Q5515" s="16">
        <f>HYPERLINK("https://pb.nalog.ru/search.html?query=381206707556","ФНС: проверить")</f>
        <v/>
      </c>
      <c r="R5515" s="16">
        <f>HYPERLINK("https://checko.ru/search?query=3801001629","Чекко: проверить")</f>
        <v/>
      </c>
      <c r="S5515" t="n">
        <v>1</v>
      </c>
      <c r="T5515" s="35" t="inlineStr">
        <is>
          <t>4 — Не обогащён</t>
        </is>
      </c>
      <c r="U5515" s="35" t="inlineStr">
        <is>
          <t>Нет ОКВЭД/ССЧР</t>
        </is>
      </c>
      <c r="V5515" s="35" t="inlineStr">
        <is>
          <t>Не определено</t>
        </is>
      </c>
      <c r="W5515" s="35" t="inlineStr"/>
      <c r="X5515" s="35" t="inlineStr"/>
    </row>
    <row r="5516" ht="27.75" customHeight="1" s="24">
      <c r="A5516" s="13" t="n">
        <v>802421844</v>
      </c>
      <c r="B5516" s="13" t="inlineStr">
        <is>
          <t>Общество с ограниченной ответственностью "ПРОФИЛЬНАЯ КОМПАНИЯ "СИБИРЬ"</t>
        </is>
      </c>
      <c r="C5516" s="13" t="n">
        <v>3827038623</v>
      </c>
      <c r="D5516" s="13" t="inlineStr">
        <is>
          <t>3827038623</t>
        </is>
      </c>
      <c r="E5516" s="13" t="inlineStr">
        <is>
          <t>ЮЛ РФ</t>
        </is>
      </c>
      <c r="F5516" s="13" t="n"/>
      <c r="G5516" s="52" t="n">
        <v>149</v>
      </c>
      <c r="H5516" s="52" t="n">
        <v>2025</v>
      </c>
      <c r="I5516" s="52" t="inlineStr">
        <is>
          <t>43.12.3</t>
        </is>
      </c>
      <c r="J5516" s="52" t="inlineStr">
        <is>
          <t>43.12.3; 23.20; 23.32; 23.61; 23.63; 23.64; 23.70; 23.99.3; 25.29; 25.50; 43.12; 43.22; 43.29; 43.39; 43.99; 43.99.1; 45.11.1; 45.11.4; 45.19.1; 45.19.4; 46.61; 46.62; 46.63; 46.69; 46.73.6; 46.90; 47.52.72; 47.52.73; 52.10.9; 68.20.2; 74.20; 74.30; 82.92</t>
        </is>
      </c>
      <c r="K5516" s="53" t="inlineStr">
        <is>
          <t>Да</t>
        </is>
      </c>
      <c r="L5516" s="53" t="inlineStr">
        <is>
          <t>Да</t>
        </is>
      </c>
      <c r="M5516" s="53" t="inlineStr">
        <is>
          <t>До 200</t>
        </is>
      </c>
      <c r="N5516" s="54" t="n">
        <v>62400</v>
      </c>
      <c r="O5516" s="55" t="inlineStr">
        <is>
          <t>101–200</t>
        </is>
      </c>
      <c r="P5516" s="16" t="inlineStr">
        <is>
          <t>ССЧР + ОКВЭД обогащены</t>
        </is>
      </c>
      <c r="Q5516" s="16" t="inlineStr">
        <is>
          <t>ФНС открытые данные ССЧР (ДатаСост 31.12.2025; набор 7707329152-sshr2019)</t>
        </is>
      </c>
      <c r="R5516" s="16" t="inlineStr">
        <is>
          <t>ЕГРЮЛ / egrul.nalog.ru (выписка)</t>
        </is>
      </c>
      <c r="S5516" t="n">
        <v>1</v>
      </c>
      <c r="T5516" s="35" t="inlineStr">
        <is>
          <t>1 — Горячий</t>
        </is>
      </c>
      <c r="U5516" s="35" t="inlineStr">
        <is>
          <t>ОКВЭД + 22+</t>
        </is>
      </c>
      <c r="V5516" s="35" t="inlineStr">
        <is>
          <t>Да</t>
        </is>
      </c>
      <c r="W5516" s="35" t="inlineStr">
        <is>
          <t>Да</t>
        </is>
      </c>
      <c r="X5516" s="35" t="inlineStr">
        <is>
          <t>Да</t>
        </is>
      </c>
    </row>
    <row r="5517" ht="15" customHeight="1" s="24">
      <c r="A5517" s="13" t="n">
        <v>800573851</v>
      </c>
      <c r="B5517" s="13" t="inlineStr">
        <is>
          <t>ОО "Конис"</t>
        </is>
      </c>
      <c r="C5517" s="13" t="n">
        <v>3805113027</v>
      </c>
      <c r="D5517" s="13" t="inlineStr">
        <is>
          <t>3805113027</t>
        </is>
      </c>
      <c r="E5517" s="13" t="inlineStr">
        <is>
          <t>ЮЛ РФ</t>
        </is>
      </c>
      <c r="F5517" s="13" t="n"/>
      <c r="G5517" s="52" t="n">
        <v>20</v>
      </c>
      <c r="H5517" s="52" t="n">
        <v>2025</v>
      </c>
      <c r="I5517" s="14" t="n"/>
      <c r="J5517" s="14" t="n"/>
      <c r="K5517" s="53" t="inlineStr">
        <is>
          <t>Нет</t>
        </is>
      </c>
      <c r="L5517" s="53" t="inlineStr">
        <is>
          <t>Не определено</t>
        </is>
      </c>
      <c r="M5517" s="53" t="inlineStr">
        <is>
          <t>До 25</t>
        </is>
      </c>
      <c r="N5517" s="54" t="n">
        <v>8400</v>
      </c>
      <c r="O5517" s="55" t="inlineStr">
        <is>
          <t>16–30</t>
        </is>
      </c>
      <c r="P5517" s="16" t="inlineStr">
        <is>
          <t>ССЧР обогащена; ОКВЭД не найден/не загружен</t>
        </is>
      </c>
      <c r="Q5517" s="16" t="inlineStr">
        <is>
          <t>ФНС открытые данные ССЧР (ДатаСост 31.12.2025; набор 7707329152-sshr2019)</t>
        </is>
      </c>
      <c r="R5517" s="16">
        <f>HYPERLINK("https://checko.ru/search?query=3801001629","Чекко: проверить")</f>
        <v/>
      </c>
      <c r="S5517" t="n">
        <v>1</v>
      </c>
      <c r="T5517" s="35" t="inlineStr">
        <is>
          <t>4 — Не обогащён</t>
        </is>
      </c>
      <c r="U5517" s="35" t="inlineStr">
        <is>
          <t>Нет ОКВЭД/ССЧР</t>
        </is>
      </c>
      <c r="V5517" s="35" t="inlineStr">
        <is>
          <t>Не определено</t>
        </is>
      </c>
      <c r="W5517" s="35" t="inlineStr">
        <is>
          <t>Нет</t>
        </is>
      </c>
      <c r="X5517" s="35" t="inlineStr"/>
    </row>
    <row r="5518" ht="27.75" customHeight="1" s="24">
      <c r="A5518" s="13" t="n">
        <v>801607208</v>
      </c>
      <c r="B5518" s="13" t="inlineStr">
        <is>
          <t>Общество с ограниченной ответственностью "СК ЭНЕРГИЯ"</t>
        </is>
      </c>
      <c r="C5518" s="13" t="n">
        <v>3827035693</v>
      </c>
      <c r="D5518" s="13" t="inlineStr">
        <is>
          <t>3827035693</t>
        </is>
      </c>
      <c r="E5518" s="13" t="inlineStr">
        <is>
          <t>ЮЛ РФ</t>
        </is>
      </c>
      <c r="F5518" s="13" t="n"/>
      <c r="G5518" s="52" t="n">
        <v>3</v>
      </c>
      <c r="H5518" s="52" t="n">
        <v>2025</v>
      </c>
      <c r="I5518" s="14" t="n"/>
      <c r="J5518" s="14" t="n"/>
      <c r="K5518" s="53" t="inlineStr">
        <is>
          <t>Нет</t>
        </is>
      </c>
      <c r="L5518" s="53" t="inlineStr">
        <is>
          <t>Не определено</t>
        </is>
      </c>
      <c r="M5518" s="53" t="inlineStr">
        <is>
          <t>До 10</t>
        </is>
      </c>
      <c r="N5518" s="54" t="n">
        <v>3360</v>
      </c>
      <c r="O5518" s="55" t="inlineStr">
        <is>
          <t>1–15</t>
        </is>
      </c>
      <c r="P5518" s="16" t="inlineStr">
        <is>
          <t>ССЧР обогащена; ОКВЭД не найден/не загружен</t>
        </is>
      </c>
      <c r="Q5518" s="16" t="inlineStr">
        <is>
          <t>ФНС открытые данные ССЧР (ДатаСост 31.12.2025; набор 7707329152-sshr2019)</t>
        </is>
      </c>
      <c r="R5518" s="16">
        <f>HYPERLINK("https://checko.ru/search?query=3801001629","Чекко: проверить")</f>
        <v/>
      </c>
      <c r="S5518" t="n">
        <v>1</v>
      </c>
      <c r="T5518" s="35" t="inlineStr">
        <is>
          <t>4 — Не обогащён</t>
        </is>
      </c>
      <c r="U5518" s="35" t="inlineStr">
        <is>
          <t>Нет ОКВЭД/ССЧР</t>
        </is>
      </c>
      <c r="V5518" s="35" t="inlineStr">
        <is>
          <t>Не определено</t>
        </is>
      </c>
      <c r="W5518" s="35" t="inlineStr">
        <is>
          <t>Нет</t>
        </is>
      </c>
      <c r="X5518" s="35" t="inlineStr"/>
    </row>
    <row r="5519" ht="15" customHeight="1" s="24">
      <c r="A5519" s="13" t="n">
        <v>802491800</v>
      </c>
      <c r="B5519" s="13" t="inlineStr">
        <is>
          <t>ИП Костомаров Арсентий Геннадьевич</t>
        </is>
      </c>
      <c r="C5519" s="13" t="n">
        <v>381114280426</v>
      </c>
      <c r="D5519" s="13" t="inlineStr">
        <is>
          <t>381114280426</t>
        </is>
      </c>
      <c r="E5519" s="13" t="inlineStr">
        <is>
          <t>ИП РФ / физлицо</t>
        </is>
      </c>
      <c r="F5519" s="13" t="n"/>
      <c r="G5519" s="14" t="n"/>
      <c r="H5519" s="14" t="n"/>
      <c r="I5519" s="14" t="n"/>
      <c r="J5519" s="14" t="n"/>
      <c r="K5519" s="53" t="inlineStr"/>
      <c r="L5519" s="53" t="inlineStr">
        <is>
          <t>Не определено</t>
        </is>
      </c>
      <c r="M5519" s="53" t="inlineStr"/>
      <c r="N5519" s="54" t="inlineStr"/>
      <c r="O5519" s="55" t="inlineStr"/>
      <c r="P5519" s="16" t="inlineStr">
        <is>
          <t>Требует обогащения</t>
        </is>
      </c>
      <c r="Q5519" s="16">
        <f>HYPERLINK("https://pb.nalog.ru/search.html?query=381114280426","ФНС: проверить")</f>
        <v/>
      </c>
      <c r="R5519" s="16">
        <f>HYPERLINK("https://checko.ru/search?query=3801001629","Чекко: проверить")</f>
        <v/>
      </c>
      <c r="S5519" t="n">
        <v>1</v>
      </c>
      <c r="T5519" s="35" t="inlineStr">
        <is>
          <t>4 — Не обогащён</t>
        </is>
      </c>
      <c r="U5519" s="35" t="inlineStr">
        <is>
          <t>Нет ОКВЭД/ССЧР</t>
        </is>
      </c>
      <c r="V5519" s="35" t="inlineStr">
        <is>
          <t>Не определено</t>
        </is>
      </c>
      <c r="W5519" s="35" t="inlineStr"/>
      <c r="X5519" s="35" t="inlineStr"/>
    </row>
    <row r="5520" ht="15" customHeight="1" s="24">
      <c r="A5520" s="13" t="n">
        <v>800512747</v>
      </c>
      <c r="B5520" s="13" t="inlineStr">
        <is>
          <t>Школа-интернат №23 ОАО "РЖД"</t>
        </is>
      </c>
      <c r="C5520" s="13" t="n">
        <v>3837002619</v>
      </c>
      <c r="D5520" s="13" t="inlineStr">
        <is>
          <t>3837002619</t>
        </is>
      </c>
      <c r="E5520" s="13" t="inlineStr">
        <is>
          <t>ЮЛ РФ</t>
        </is>
      </c>
      <c r="F5520" s="13" t="n"/>
      <c r="G5520" s="14" t="n"/>
      <c r="H5520" s="14" t="n"/>
      <c r="I5520" s="14" t="n"/>
      <c r="J5520" s="14" t="n"/>
      <c r="K5520" s="53" t="inlineStr"/>
      <c r="L5520" s="53" t="inlineStr">
        <is>
          <t>Не определено</t>
        </is>
      </c>
      <c r="M5520" s="53" t="inlineStr"/>
      <c r="N5520" s="54" t="inlineStr"/>
      <c r="O5520" s="55" t="inlineStr"/>
      <c r="P5520" s="16" t="inlineStr">
        <is>
          <t>Требует обогащения</t>
        </is>
      </c>
      <c r="Q5520" s="16">
        <f>HYPERLINK("https://pb.nalog.ru/search.html?query=3837002619","ФНС: проверить")</f>
        <v/>
      </c>
      <c r="R5520" s="16">
        <f>HYPERLINK("https://checko.ru/search?query=3801001629","Чекко: проверить")</f>
        <v/>
      </c>
      <c r="S5520" t="n">
        <v>1</v>
      </c>
      <c r="T5520" s="35" t="inlineStr">
        <is>
          <t>4 — Не обогащён</t>
        </is>
      </c>
      <c r="U5520" s="35" t="inlineStr">
        <is>
          <t>Нет ОКВЭД/ССЧР</t>
        </is>
      </c>
      <c r="V5520" s="35" t="inlineStr">
        <is>
          <t>Не определено</t>
        </is>
      </c>
      <c r="W5520" s="35" t="inlineStr"/>
      <c r="X5520" s="35" t="inlineStr"/>
    </row>
    <row r="5521" ht="15" customHeight="1" s="24">
      <c r="A5521" s="13" t="n">
        <v>800405965</v>
      </c>
      <c r="B5521" s="13" t="inlineStr">
        <is>
          <t>Сансара, ООО</t>
        </is>
      </c>
      <c r="C5521" s="13" t="n">
        <v>3810037861</v>
      </c>
      <c r="D5521" s="13" t="inlineStr">
        <is>
          <t>3810037861</t>
        </is>
      </c>
      <c r="E5521" s="13" t="inlineStr">
        <is>
          <t>ЮЛ РФ</t>
        </is>
      </c>
      <c r="F5521" s="13" t="n"/>
      <c r="G5521" s="52" t="n">
        <v>1</v>
      </c>
      <c r="H5521" s="52" t="n">
        <v>2025</v>
      </c>
      <c r="I5521" s="14" t="n"/>
      <c r="J5521" s="14" t="n"/>
      <c r="K5521" s="53" t="inlineStr">
        <is>
          <t>Нет</t>
        </is>
      </c>
      <c r="L5521" s="53" t="inlineStr">
        <is>
          <t>Не определено</t>
        </is>
      </c>
      <c r="M5521" s="53" t="inlineStr">
        <is>
          <t>До 10</t>
        </is>
      </c>
      <c r="N5521" s="54" t="n">
        <v>3360</v>
      </c>
      <c r="O5521" s="55" t="inlineStr">
        <is>
          <t>1–15</t>
        </is>
      </c>
      <c r="P5521" s="16" t="inlineStr">
        <is>
          <t>ССЧР обогащена; ОКВЭД не найден/не загружен</t>
        </is>
      </c>
      <c r="Q5521" s="16" t="inlineStr">
        <is>
          <t>ФНС открытые данные ССЧР (ДатаСост 31.12.2025; набор 7707329152-sshr2019)</t>
        </is>
      </c>
      <c r="R5521" s="16">
        <f>HYPERLINK("https://checko.ru/search?query=3801001629","Чекко: проверить")</f>
        <v/>
      </c>
      <c r="S5521" t="n">
        <v>1</v>
      </c>
      <c r="T5521" s="35" t="inlineStr">
        <is>
          <t>4 — Не обогащён</t>
        </is>
      </c>
      <c r="U5521" s="35" t="inlineStr">
        <is>
          <t>Нет ОКВЭД/ССЧР</t>
        </is>
      </c>
      <c r="V5521" s="35" t="inlineStr">
        <is>
          <t>Не определено</t>
        </is>
      </c>
      <c r="W5521" s="35" t="inlineStr">
        <is>
          <t>Нет</t>
        </is>
      </c>
      <c r="X5521" s="35" t="inlineStr"/>
    </row>
    <row r="5522" ht="15" customHeight="1" s="24">
      <c r="A5522" s="13" t="n">
        <v>9405972</v>
      </c>
      <c r="B5522" s="13" t="inlineStr">
        <is>
          <t>МУП "Иркутскавтотранс" г. Иркутска</t>
        </is>
      </c>
      <c r="C5522" s="13" t="n">
        <v>3810036184</v>
      </c>
      <c r="D5522" s="13" t="inlineStr">
        <is>
          <t>3810036184</t>
        </is>
      </c>
      <c r="E5522" s="13" t="inlineStr">
        <is>
          <t>ЮЛ РФ</t>
        </is>
      </c>
      <c r="F5522" s="13" t="n"/>
      <c r="G5522" s="14" t="n"/>
      <c r="H5522" s="14" t="n"/>
      <c r="I5522" s="14" t="n"/>
      <c r="J5522" s="14" t="n"/>
      <c r="K5522" s="53" t="inlineStr"/>
      <c r="L5522" s="53" t="inlineStr">
        <is>
          <t>Не определено</t>
        </is>
      </c>
      <c r="M5522" s="53" t="inlineStr"/>
      <c r="N5522" s="54" t="inlineStr"/>
      <c r="O5522" s="55" t="inlineStr"/>
      <c r="P5522" s="16" t="inlineStr">
        <is>
          <t>Требует обогащения</t>
        </is>
      </c>
      <c r="Q5522" s="16">
        <f>HYPERLINK("https://pb.nalog.ru/search.html?query=3810036184","ФНС: проверить")</f>
        <v/>
      </c>
      <c r="R5522" s="16">
        <f>HYPERLINK("https://checko.ru/search?query=3801001629","Чекко: проверить")</f>
        <v/>
      </c>
      <c r="S5522" t="n">
        <v>1</v>
      </c>
      <c r="T5522" s="35" t="inlineStr">
        <is>
          <t>4 — Не обогащён</t>
        </is>
      </c>
      <c r="U5522" s="35" t="inlineStr">
        <is>
          <t>Нет ОКВЭД/ССЧР</t>
        </is>
      </c>
      <c r="V5522" s="35" t="inlineStr">
        <is>
          <t>Не определено</t>
        </is>
      </c>
      <c r="W5522" s="35" t="inlineStr"/>
      <c r="X5522" s="35" t="inlineStr"/>
    </row>
    <row r="5523" ht="15" customHeight="1" s="24">
      <c r="A5523" s="13" t="n">
        <v>800406168</v>
      </c>
      <c r="B5523" s="13" t="inlineStr">
        <is>
          <t>ООО "АзияВнешТранзит"</t>
        </is>
      </c>
      <c r="C5523" s="13" t="n">
        <v>3810031531</v>
      </c>
      <c r="D5523" s="13" t="inlineStr">
        <is>
          <t>3810031531</t>
        </is>
      </c>
      <c r="E5523" s="13" t="inlineStr">
        <is>
          <t>ЮЛ РФ</t>
        </is>
      </c>
      <c r="F5523" s="13" t="n"/>
      <c r="G5523" s="52" t="n">
        <v>1</v>
      </c>
      <c r="H5523" s="52" t="n">
        <v>2025</v>
      </c>
      <c r="I5523" s="14" t="n"/>
      <c r="J5523" s="14" t="n"/>
      <c r="K5523" s="53" t="inlineStr">
        <is>
          <t>Нет</t>
        </is>
      </c>
      <c r="L5523" s="53" t="inlineStr">
        <is>
          <t>Не определено</t>
        </is>
      </c>
      <c r="M5523" s="53" t="inlineStr">
        <is>
          <t>До 10</t>
        </is>
      </c>
      <c r="N5523" s="54" t="n">
        <v>3360</v>
      </c>
      <c r="O5523" s="55" t="inlineStr">
        <is>
          <t>1–15</t>
        </is>
      </c>
      <c r="P5523" s="16" t="inlineStr">
        <is>
          <t>ССЧР обогащена; ОКВЭД не найден/не загружен</t>
        </is>
      </c>
      <c r="Q5523" s="16" t="inlineStr">
        <is>
          <t>ФНС открытые данные ССЧР (ДатаСост 31.12.2025; набор 7707329152-sshr2019)</t>
        </is>
      </c>
      <c r="R5523" s="16">
        <f>HYPERLINK("https://checko.ru/search?query=3801001629","Чекко: проверить")</f>
        <v/>
      </c>
      <c r="S5523" t="n">
        <v>1</v>
      </c>
      <c r="T5523" s="35" t="inlineStr">
        <is>
          <t>4 — Не обогащён</t>
        </is>
      </c>
      <c r="U5523" s="35" t="inlineStr">
        <is>
          <t>Нет ОКВЭД/ССЧР</t>
        </is>
      </c>
      <c r="V5523" s="35" t="inlineStr">
        <is>
          <t>Не определено</t>
        </is>
      </c>
      <c r="W5523" s="35" t="inlineStr">
        <is>
          <t>Нет</t>
        </is>
      </c>
      <c r="X5523" s="35" t="inlineStr"/>
    </row>
    <row r="5524" ht="15" customHeight="1" s="24">
      <c r="A5524" s="13" t="n">
        <v>801605179</v>
      </c>
      <c r="B5524" s="13" t="inlineStr">
        <is>
          <t>ООО "ЛАЗУРИТ"</t>
        </is>
      </c>
      <c r="C5524" s="13" t="n">
        <v>3816027228</v>
      </c>
      <c r="D5524" s="13" t="inlineStr">
        <is>
          <t>3816027228</t>
        </is>
      </c>
      <c r="E5524" s="13" t="inlineStr">
        <is>
          <t>ЮЛ РФ</t>
        </is>
      </c>
      <c r="F5524" s="13" t="n"/>
      <c r="G5524" s="52" t="n">
        <v>1</v>
      </c>
      <c r="H5524" s="52" t="n">
        <v>2025</v>
      </c>
      <c r="I5524" s="14" t="n"/>
      <c r="J5524" s="14" t="n"/>
      <c r="K5524" s="53" t="inlineStr">
        <is>
          <t>Нет</t>
        </is>
      </c>
      <c r="L5524" s="53" t="inlineStr">
        <is>
          <t>Не определено</t>
        </is>
      </c>
      <c r="M5524" s="53" t="inlineStr">
        <is>
          <t>До 10</t>
        </is>
      </c>
      <c r="N5524" s="54" t="n">
        <v>3360</v>
      </c>
      <c r="O5524" s="55" t="inlineStr">
        <is>
          <t>1–15</t>
        </is>
      </c>
      <c r="P5524" s="16" t="inlineStr">
        <is>
          <t>ССЧР обогащена; ОКВЭД не найден/не загружен</t>
        </is>
      </c>
      <c r="Q5524" s="16" t="inlineStr">
        <is>
          <t>ФНС открытые данные ССЧР (ДатаСост 31.12.2025; набор 7707329152-sshr2019)</t>
        </is>
      </c>
      <c r="R5524" s="16">
        <f>HYPERLINK("https://checko.ru/search?query=3801001629","Чекко: проверить")</f>
        <v/>
      </c>
      <c r="S5524" t="n">
        <v>1</v>
      </c>
      <c r="T5524" s="35" t="inlineStr">
        <is>
          <t>4 — Не обогащён</t>
        </is>
      </c>
      <c r="U5524" s="35" t="inlineStr">
        <is>
          <t>Нет ОКВЭД/ССЧР</t>
        </is>
      </c>
      <c r="V5524" s="35" t="inlineStr">
        <is>
          <t>Не определено</t>
        </is>
      </c>
      <c r="W5524" s="35" t="inlineStr">
        <is>
          <t>Нет</t>
        </is>
      </c>
      <c r="X5524" s="35" t="inlineStr"/>
    </row>
    <row r="5525" ht="15" customHeight="1" s="24">
      <c r="A5525" s="13" t="n">
        <v>802450967</v>
      </c>
      <c r="B5525" s="13" t="inlineStr">
        <is>
          <t>ООО "ЭКОТЕХ"</t>
        </is>
      </c>
      <c r="C5525" s="13" t="n">
        <v>3808192450</v>
      </c>
      <c r="D5525" s="13" t="inlineStr">
        <is>
          <t>3808192450</t>
        </is>
      </c>
      <c r="E5525" s="13" t="inlineStr">
        <is>
          <t>ЮЛ РФ</t>
        </is>
      </c>
      <c r="F5525" s="13" t="n"/>
      <c r="G5525" s="52" t="n">
        <v>4</v>
      </c>
      <c r="H5525" s="52" t="n">
        <v>2025</v>
      </c>
      <c r="I5525" s="14" t="n"/>
      <c r="J5525" s="14" t="n"/>
      <c r="K5525" s="53" t="inlineStr">
        <is>
          <t>Нет</t>
        </is>
      </c>
      <c r="L5525" s="53" t="inlineStr">
        <is>
          <t>Не определено</t>
        </is>
      </c>
      <c r="M5525" s="53" t="inlineStr">
        <is>
          <t>До 10</t>
        </is>
      </c>
      <c r="N5525" s="54" t="n">
        <v>3360</v>
      </c>
      <c r="O5525" s="55" t="inlineStr">
        <is>
          <t>1–15</t>
        </is>
      </c>
      <c r="P5525" s="16" t="inlineStr">
        <is>
          <t>ССЧР обогащена; ОКВЭД не найден/не загружен</t>
        </is>
      </c>
      <c r="Q5525" s="16" t="inlineStr">
        <is>
          <t>ФНС открытые данные ССЧР (ДатаСост 31.12.2025; набор 7707329152-sshr2019)</t>
        </is>
      </c>
      <c r="R5525" s="16">
        <f>HYPERLINK("https://checko.ru/search?query=3801001629","Чекко: проверить")</f>
        <v/>
      </c>
      <c r="S5525" t="n">
        <v>1</v>
      </c>
      <c r="T5525" s="35" t="inlineStr">
        <is>
          <t>4 — Не обогащён</t>
        </is>
      </c>
      <c r="U5525" s="35" t="inlineStr">
        <is>
          <t>Нет ОКВЭД/ССЧР</t>
        </is>
      </c>
      <c r="V5525" s="35" t="inlineStr">
        <is>
          <t>Не определено</t>
        </is>
      </c>
      <c r="W5525" s="35" t="inlineStr">
        <is>
          <t>Нет</t>
        </is>
      </c>
      <c r="X5525" s="35" t="inlineStr"/>
    </row>
    <row r="5526" ht="15" customHeight="1" s="24">
      <c r="A5526" s="13" t="n">
        <v>800689735</v>
      </c>
      <c r="B5526" s="13" t="inlineStr">
        <is>
          <t>ООО "НАШЕ ДЕЛО"</t>
        </is>
      </c>
      <c r="C5526" s="13" t="n">
        <v>3811461336</v>
      </c>
      <c r="D5526" s="13" t="inlineStr">
        <is>
          <t>3811461336</t>
        </is>
      </c>
      <c r="E5526" s="13" t="inlineStr">
        <is>
          <t>ЮЛ РФ</t>
        </is>
      </c>
      <c r="F5526" s="13" t="n"/>
      <c r="G5526" s="52" t="n">
        <v>22</v>
      </c>
      <c r="H5526" s="52" t="n">
        <v>2025</v>
      </c>
      <c r="I5526" s="52" t="inlineStr">
        <is>
          <t>10.71</t>
        </is>
      </c>
      <c r="J5526" s="52" t="inlineStr">
        <is>
          <t>10.71; 10.72; 10.73; 10.85; 10.89; 46.36.3; 46.36.4; 46.38.29; 46.90; 47.11; 47.19; 47.24; 47.29</t>
        </is>
      </c>
      <c r="K5526" s="53" t="inlineStr">
        <is>
          <t>Да</t>
        </is>
      </c>
      <c r="L5526" s="53" t="inlineStr">
        <is>
          <t>Да</t>
        </is>
      </c>
      <c r="M5526" s="53" t="inlineStr">
        <is>
          <t>До 25</t>
        </is>
      </c>
      <c r="N5526" s="54" t="n">
        <v>8400</v>
      </c>
      <c r="O5526" s="55" t="inlineStr">
        <is>
          <t>16–30</t>
        </is>
      </c>
      <c r="P5526" s="16" t="inlineStr">
        <is>
          <t>ССЧР + ОКВЭД обогащены</t>
        </is>
      </c>
      <c r="Q5526" s="16" t="inlineStr">
        <is>
          <t>ФНС открытые данные ССЧР (ДатаСост 31.12.2025; набор 7707329152-sshr2019)</t>
        </is>
      </c>
      <c r="R5526" s="16" t="inlineStr">
        <is>
          <t>ЕГРЮЛ / egrul.nalog.ru (выписка)</t>
        </is>
      </c>
      <c r="S5526" t="n">
        <v>1</v>
      </c>
      <c r="T5526" s="35" t="inlineStr">
        <is>
          <t>1 — Горячий</t>
        </is>
      </c>
      <c r="U5526" s="35" t="inlineStr">
        <is>
          <t>ОКВЭД + 22+</t>
        </is>
      </c>
      <c r="V5526" s="35" t="inlineStr">
        <is>
          <t>Да</t>
        </is>
      </c>
      <c r="W5526" s="35" t="inlineStr">
        <is>
          <t>Да</t>
        </is>
      </c>
      <c r="X5526" s="35" t="inlineStr">
        <is>
          <t>Да</t>
        </is>
      </c>
    </row>
    <row r="5527" ht="15" customHeight="1" s="24">
      <c r="A5527" s="13" t="n">
        <v>802505139</v>
      </c>
      <c r="B5527" s="13" t="inlineStr">
        <is>
          <t>ООО "БАЙКАЛТРАНССТРОЙ"</t>
        </is>
      </c>
      <c r="C5527" s="13" t="n">
        <v>7500009251</v>
      </c>
      <c r="D5527" s="13" t="inlineStr">
        <is>
          <t>7500009251</t>
        </is>
      </c>
      <c r="E5527" s="13" t="inlineStr">
        <is>
          <t>ЮЛ РФ</t>
        </is>
      </c>
      <c r="F5527" s="13" t="n"/>
      <c r="G5527" s="52" t="n">
        <v>3</v>
      </c>
      <c r="H5527" s="52" t="n">
        <v>2025</v>
      </c>
      <c r="I5527" s="14" t="n"/>
      <c r="J5527" s="14" t="n"/>
      <c r="K5527" s="53" t="inlineStr">
        <is>
          <t>Нет</t>
        </is>
      </c>
      <c r="L5527" s="53" t="inlineStr">
        <is>
          <t>Не определено</t>
        </is>
      </c>
      <c r="M5527" s="53" t="inlineStr">
        <is>
          <t>До 10</t>
        </is>
      </c>
      <c r="N5527" s="54" t="n">
        <v>3360</v>
      </c>
      <c r="O5527" s="55" t="inlineStr">
        <is>
          <t>1–15</t>
        </is>
      </c>
      <c r="P5527" s="16" t="inlineStr">
        <is>
          <t>ССЧР обогащена; ОКВЭД не найден/не загружен</t>
        </is>
      </c>
      <c r="Q5527" s="16" t="inlineStr">
        <is>
          <t>ФНС открытые данные ССЧР (ДатаСост 31.12.2025; набор 7707329152-sshr2019)</t>
        </is>
      </c>
      <c r="R5527" s="16">
        <f>HYPERLINK("https://checko.ru/search?query=3801001629","Чекко: проверить")</f>
        <v/>
      </c>
      <c r="S5527" t="n">
        <v>1</v>
      </c>
      <c r="T5527" s="35" t="inlineStr">
        <is>
          <t>4 — Не обогащён</t>
        </is>
      </c>
      <c r="U5527" s="35" t="inlineStr">
        <is>
          <t>Нет ОКВЭД/ССЧР</t>
        </is>
      </c>
      <c r="V5527" s="35" t="inlineStr">
        <is>
          <t>Не определено</t>
        </is>
      </c>
      <c r="W5527" s="35" t="inlineStr">
        <is>
          <t>Нет</t>
        </is>
      </c>
      <c r="X5527" s="35" t="inlineStr"/>
    </row>
    <row r="5528" ht="15" customHeight="1" s="24">
      <c r="A5528" s="13" t="n">
        <v>800406469</v>
      </c>
      <c r="B5528" s="13" t="inlineStr">
        <is>
          <t>ИП Стативо Сергей Яковлевич</t>
        </is>
      </c>
      <c r="C5528" s="13" t="n">
        <v>381100399742</v>
      </c>
      <c r="D5528" s="13" t="inlineStr">
        <is>
          <t>381100399742</t>
        </is>
      </c>
      <c r="E5528" s="13" t="inlineStr">
        <is>
          <t>ИП РФ / физлицо</t>
        </is>
      </c>
      <c r="F5528" s="13" t="n"/>
      <c r="G5528" s="14" t="n"/>
      <c r="H5528" s="14" t="n"/>
      <c r="I5528" s="14" t="n"/>
      <c r="J5528" s="14" t="n"/>
      <c r="K5528" s="53" t="inlineStr"/>
      <c r="L5528" s="53" t="inlineStr">
        <is>
          <t>Не определено</t>
        </is>
      </c>
      <c r="M5528" s="53" t="inlineStr"/>
      <c r="N5528" s="54" t="inlineStr"/>
      <c r="O5528" s="55" t="inlineStr"/>
      <c r="P5528" s="16" t="inlineStr">
        <is>
          <t>Требует обогащения</t>
        </is>
      </c>
      <c r="Q5528" s="16">
        <f>HYPERLINK("https://pb.nalog.ru/search.html?query=381100399742","ФНС: проверить")</f>
        <v/>
      </c>
      <c r="R5528" s="16">
        <f>HYPERLINK("https://checko.ru/search?query=3801001629","Чекко: проверить")</f>
        <v/>
      </c>
      <c r="S5528" t="n">
        <v>1</v>
      </c>
      <c r="T5528" s="35" t="inlineStr">
        <is>
          <t>4 — Не обогащён</t>
        </is>
      </c>
      <c r="U5528" s="35" t="inlineStr">
        <is>
          <t>Нет ОКВЭД/ССЧР</t>
        </is>
      </c>
      <c r="V5528" s="35" t="inlineStr">
        <is>
          <t>Не определено</t>
        </is>
      </c>
      <c r="W5528" s="35" t="inlineStr"/>
      <c r="X5528" s="35" t="inlineStr"/>
    </row>
    <row r="5529" ht="15" customHeight="1" s="24">
      <c r="A5529" s="13" t="n">
        <v>800560488</v>
      </c>
      <c r="B5529" s="13" t="inlineStr">
        <is>
          <t>Учебный центр "За безопасный труд"</t>
        </is>
      </c>
      <c r="C5529" s="13" t="n">
        <v>3827024645</v>
      </c>
      <c r="D5529" s="13" t="inlineStr">
        <is>
          <t>3827024645</t>
        </is>
      </c>
      <c r="E5529" s="13" t="inlineStr">
        <is>
          <t>ЮЛ РФ</t>
        </is>
      </c>
      <c r="F5529" s="13" t="n"/>
      <c r="G5529" s="14" t="n"/>
      <c r="H5529" s="14" t="n"/>
      <c r="I5529" s="14" t="n"/>
      <c r="J5529" s="14" t="n"/>
      <c r="K5529" s="53" t="inlineStr"/>
      <c r="L5529" s="53" t="inlineStr">
        <is>
          <t>Не определено</t>
        </is>
      </c>
      <c r="M5529" s="53" t="inlineStr"/>
      <c r="N5529" s="54" t="inlineStr"/>
      <c r="O5529" s="55" t="inlineStr"/>
      <c r="P5529" s="16" t="inlineStr">
        <is>
          <t>Требует обогащения</t>
        </is>
      </c>
      <c r="Q5529" s="16">
        <f>HYPERLINK("https://pb.nalog.ru/search.html?query=3827024645","ФНС: проверить")</f>
        <v/>
      </c>
      <c r="R5529" s="16">
        <f>HYPERLINK("https://checko.ru/search?query=3801001629","Чекко: проверить")</f>
        <v/>
      </c>
      <c r="S5529" t="n">
        <v>1</v>
      </c>
      <c r="T5529" s="35" t="inlineStr">
        <is>
          <t>4 — Не обогащён</t>
        </is>
      </c>
      <c r="U5529" s="35" t="inlineStr">
        <is>
          <t>Нет ОКВЭД/ССЧР</t>
        </is>
      </c>
      <c r="V5529" s="35" t="inlineStr">
        <is>
          <t>Не определено</t>
        </is>
      </c>
      <c r="W5529" s="35" t="inlineStr"/>
      <c r="X5529" s="35" t="inlineStr"/>
    </row>
    <row r="5530" ht="15" customHeight="1" s="24">
      <c r="A5530" s="13" t="n">
        <v>9173948</v>
      </c>
      <c r="B5530" s="13" t="inlineStr">
        <is>
          <t>ООО УК "ЖИЛОЙ РАЙОН"</t>
        </is>
      </c>
      <c r="C5530" s="13" t="n">
        <v>3808281848</v>
      </c>
      <c r="D5530" s="13" t="inlineStr">
        <is>
          <t>3808281848</t>
        </is>
      </c>
      <c r="E5530" s="13" t="inlineStr">
        <is>
          <t>ЮЛ РФ</t>
        </is>
      </c>
      <c r="F5530" s="13" t="n"/>
      <c r="G5530" s="52" t="n">
        <v>13</v>
      </c>
      <c r="H5530" s="52" t="n">
        <v>2025</v>
      </c>
      <c r="I5530" s="14" t="n"/>
      <c r="J5530" s="14" t="n"/>
      <c r="K5530" s="53" t="inlineStr">
        <is>
          <t>Нет</t>
        </is>
      </c>
      <c r="L5530" s="53" t="inlineStr">
        <is>
          <t>Не определено</t>
        </is>
      </c>
      <c r="M5530" s="53" t="inlineStr">
        <is>
          <t>До 25</t>
        </is>
      </c>
      <c r="N5530" s="54" t="n">
        <v>8400</v>
      </c>
      <c r="O5530" s="55" t="inlineStr">
        <is>
          <t>1–15</t>
        </is>
      </c>
      <c r="P5530" s="16" t="inlineStr">
        <is>
          <t>ССЧР обогащена; ОКВЭД не найден/не загружен</t>
        </is>
      </c>
      <c r="Q5530" s="16" t="inlineStr">
        <is>
          <t>ФНС открытые данные ССЧР (ДатаСост 31.12.2025; набор 7707329152-sshr2019)</t>
        </is>
      </c>
      <c r="R5530" s="16">
        <f>HYPERLINK("https://checko.ru/search?query=3801001629","Чекко: проверить")</f>
        <v/>
      </c>
      <c r="S5530" t="n">
        <v>1</v>
      </c>
      <c r="T5530" s="35" t="inlineStr">
        <is>
          <t>4 — Не обогащён</t>
        </is>
      </c>
      <c r="U5530" s="35" t="inlineStr">
        <is>
          <t>Нет ОКВЭД/ССЧР</t>
        </is>
      </c>
      <c r="V5530" s="35" t="inlineStr">
        <is>
          <t>Не определено</t>
        </is>
      </c>
      <c r="W5530" s="35" t="inlineStr">
        <is>
          <t>Нет</t>
        </is>
      </c>
      <c r="X5530" s="35" t="inlineStr"/>
    </row>
    <row r="5531" ht="15" customHeight="1" s="24">
      <c r="A5531" s="13" t="n">
        <v>9342291</v>
      </c>
      <c r="B5531" s="13" t="inlineStr">
        <is>
          <t>ООО "Илимтехносервис"</t>
        </is>
      </c>
      <c r="C5531" s="13" t="n">
        <v>3817024558</v>
      </c>
      <c r="D5531" s="13" t="inlineStr">
        <is>
          <t>3817024558</t>
        </is>
      </c>
      <c r="E5531" s="13" t="inlineStr">
        <is>
          <t>ЮЛ РФ</t>
        </is>
      </c>
      <c r="F5531" s="13" t="n"/>
      <c r="G5531" s="52" t="n">
        <v>137</v>
      </c>
      <c r="H5531" s="52" t="n">
        <v>2025</v>
      </c>
      <c r="I5531" s="52" t="inlineStr">
        <is>
          <t>33.12</t>
        </is>
      </c>
      <c r="J5531" s="52" t="inlineStr">
        <is>
          <t>33.12; 25.62; 25.12; 25.29; 25.61; 25.73; 28.14; 28.15.2; 28.22; 28.49.4; 28.95; 32.12.1; 33.13; 33.14; 33.20; 35.11.1; 35.11.4; 35.12; 35.13; 35.30.4; 35.30.5; 38.32.2; 38.32.3; 38.32.4; 42.21; 42.22.2; 42.22.3; 43.21; 43.22; 43.29; 43.99.1; 43.99.2; 43.99.5; 45.32; 45.40; 45.40.2; 45.40.3; 45.40.5; 52.24; 62.02; 62.09; 63.11.1; 64.99.3; 68.32.2; 69.20; 70.10.1; 70.10.2; 70.22; 71.12.4; 71.12.5; 71.12.6; 71.12.9; 71.12.12; 71.12.41; 71.12.45; 71.12.61; 71.12.62; 71.20.3; 71.20.5; 73.20; 77.39.11; 95.12; 95.21</t>
        </is>
      </c>
      <c r="K5531" s="53" t="inlineStr">
        <is>
          <t>Да</t>
        </is>
      </c>
      <c r="L5531" s="53" t="inlineStr">
        <is>
          <t>Да</t>
        </is>
      </c>
      <c r="M5531" s="53" t="inlineStr">
        <is>
          <t>До 200</t>
        </is>
      </c>
      <c r="N5531" s="54" t="n">
        <v>62400</v>
      </c>
      <c r="O5531" s="55" t="inlineStr">
        <is>
          <t>101–200</t>
        </is>
      </c>
      <c r="P5531" s="16" t="inlineStr">
        <is>
          <t>ССЧР + ОКВЭД обогащены</t>
        </is>
      </c>
      <c r="Q5531" s="16" t="inlineStr">
        <is>
          <t>ФНС открытые данные ССЧР (ДатаСост 31.12.2025; набор 7707329152-sshr2019)</t>
        </is>
      </c>
      <c r="R5531" s="16" t="inlineStr">
        <is>
          <t>ЕГРЮЛ / egrul.nalog.ru (выписка)</t>
        </is>
      </c>
      <c r="S5531" t="n">
        <v>1</v>
      </c>
      <c r="T5531" s="35" t="inlineStr">
        <is>
          <t>1 — Горячий</t>
        </is>
      </c>
      <c r="U5531" s="35" t="inlineStr">
        <is>
          <t>ОКВЭД + 22+</t>
        </is>
      </c>
      <c r="V5531" s="35" t="inlineStr">
        <is>
          <t>Да</t>
        </is>
      </c>
      <c r="W5531" s="35" t="inlineStr">
        <is>
          <t>Да</t>
        </is>
      </c>
      <c r="X5531" s="35" t="inlineStr">
        <is>
          <t>Да</t>
        </is>
      </c>
    </row>
    <row r="5532" ht="15" customHeight="1" s="24">
      <c r="A5532" s="13" t="n">
        <v>801603164</v>
      </c>
      <c r="B5532" s="13" t="inlineStr">
        <is>
          <t>МУПП "Формат"</t>
        </is>
      </c>
      <c r="C5532" s="13" t="n">
        <v>3818020010</v>
      </c>
      <c r="D5532" s="13" t="inlineStr">
        <is>
          <t>3818020010</t>
        </is>
      </c>
      <c r="E5532" s="13" t="inlineStr">
        <is>
          <t>ЮЛ РФ</t>
        </is>
      </c>
      <c r="F5532" s="13" t="n"/>
      <c r="G5532" s="14" t="n"/>
      <c r="H5532" s="14" t="n"/>
      <c r="I5532" s="14" t="n"/>
      <c r="J5532" s="14" t="n"/>
      <c r="K5532" s="53" t="inlineStr"/>
      <c r="L5532" s="53" t="inlineStr">
        <is>
          <t>Не определено</t>
        </is>
      </c>
      <c r="M5532" s="53" t="inlineStr"/>
      <c r="N5532" s="54" t="inlineStr"/>
      <c r="O5532" s="55" t="inlineStr"/>
      <c r="P5532" s="16" t="inlineStr">
        <is>
          <t>Требует обогащения</t>
        </is>
      </c>
      <c r="Q5532" s="16">
        <f>HYPERLINK("https://pb.nalog.ru/search.html?query=3818020010","ФНС: проверить")</f>
        <v/>
      </c>
      <c r="R5532" s="16">
        <f>HYPERLINK("https://checko.ru/search?query=3801001629","Чекко: проверить")</f>
        <v/>
      </c>
      <c r="S5532" t="n">
        <v>1</v>
      </c>
      <c r="T5532" s="35" t="inlineStr">
        <is>
          <t>4 — Не обогащён</t>
        </is>
      </c>
      <c r="U5532" s="35" t="inlineStr">
        <is>
          <t>Нет ОКВЭД/ССЧР</t>
        </is>
      </c>
      <c r="V5532" s="35" t="inlineStr">
        <is>
          <t>Не определено</t>
        </is>
      </c>
      <c r="W5532" s="35" t="inlineStr"/>
      <c r="X5532" s="35" t="inlineStr"/>
    </row>
    <row r="5533" ht="15" customHeight="1" s="24">
      <c r="A5533" s="13" t="n">
        <v>802455265</v>
      </c>
      <c r="B5533" s="13" t="inlineStr">
        <is>
          <t>ООО "РЫНОЧНЫЙ КОМПЛЕКС"</t>
        </is>
      </c>
      <c r="C5533" s="13" t="n">
        <v>3816036857</v>
      </c>
      <c r="D5533" s="13" t="inlineStr">
        <is>
          <t>3816036857</t>
        </is>
      </c>
      <c r="E5533" s="13" t="inlineStr">
        <is>
          <t>ЮЛ РФ</t>
        </is>
      </c>
      <c r="F5533" s="13" t="n"/>
      <c r="G5533" s="52" t="n">
        <v>7</v>
      </c>
      <c r="H5533" s="52" t="n">
        <v>2025</v>
      </c>
      <c r="I5533" s="14" t="n"/>
      <c r="J5533" s="14" t="n"/>
      <c r="K5533" s="53" t="inlineStr">
        <is>
          <t>Нет</t>
        </is>
      </c>
      <c r="L5533" s="53" t="inlineStr">
        <is>
          <t>Не определено</t>
        </is>
      </c>
      <c r="M5533" s="53" t="inlineStr">
        <is>
          <t>До 10</t>
        </is>
      </c>
      <c r="N5533" s="54" t="n">
        <v>3360</v>
      </c>
      <c r="O5533" s="55" t="inlineStr">
        <is>
          <t>1–15</t>
        </is>
      </c>
      <c r="P5533" s="16" t="inlineStr">
        <is>
          <t>ССЧР обогащена; ОКВЭД не найден/не загружен</t>
        </is>
      </c>
      <c r="Q5533" s="16" t="inlineStr">
        <is>
          <t>ФНС открытые данные ССЧР (ДатаСост 31.12.2025; набор 7707329152-sshr2019)</t>
        </is>
      </c>
      <c r="R5533" s="16">
        <f>HYPERLINK("https://checko.ru/search?query=3801001629","Чекко: проверить")</f>
        <v/>
      </c>
      <c r="S5533" t="n">
        <v>1</v>
      </c>
      <c r="T5533" s="35" t="inlineStr">
        <is>
          <t>4 — Не обогащён</t>
        </is>
      </c>
      <c r="U5533" s="35" t="inlineStr">
        <is>
          <t>Нет ОКВЭД/ССЧР</t>
        </is>
      </c>
      <c r="V5533" s="35" t="inlineStr">
        <is>
          <t>Не определено</t>
        </is>
      </c>
      <c r="W5533" s="35" t="inlineStr">
        <is>
          <t>Нет</t>
        </is>
      </c>
      <c r="X5533" s="35" t="inlineStr"/>
    </row>
    <row r="5534" ht="15" customHeight="1" s="24">
      <c r="A5534" s="13" t="n">
        <v>9187937</v>
      </c>
      <c r="B5534" s="13" t="inlineStr">
        <is>
          <t>ООО "Восточный"</t>
        </is>
      </c>
      <c r="C5534" s="13" t="n">
        <v>3802012888</v>
      </c>
      <c r="D5534" s="13" t="inlineStr">
        <is>
          <t>3802012888</t>
        </is>
      </c>
      <c r="E5534" s="13" t="inlineStr">
        <is>
          <t>ЮЛ РФ</t>
        </is>
      </c>
      <c r="F5534" s="13" t="n"/>
      <c r="G5534" s="52" t="n">
        <v>4</v>
      </c>
      <c r="H5534" s="52" t="n">
        <v>2025</v>
      </c>
      <c r="I5534" s="14" t="n"/>
      <c r="J5534" s="14" t="n"/>
      <c r="K5534" s="53" t="inlineStr">
        <is>
          <t>Нет</t>
        </is>
      </c>
      <c r="L5534" s="53" t="inlineStr">
        <is>
          <t>Не определено</t>
        </is>
      </c>
      <c r="M5534" s="53" t="inlineStr">
        <is>
          <t>До 10</t>
        </is>
      </c>
      <c r="N5534" s="54" t="n">
        <v>3360</v>
      </c>
      <c r="O5534" s="55" t="inlineStr">
        <is>
          <t>1–15</t>
        </is>
      </c>
      <c r="P5534" s="16" t="inlineStr">
        <is>
          <t>ССЧР обогащена; ОКВЭД не найден/не загружен</t>
        </is>
      </c>
      <c r="Q5534" s="16" t="inlineStr">
        <is>
          <t>ФНС открытые данные ССЧР (ДатаСост 31.12.2025; набор 7707329152-sshr2019)</t>
        </is>
      </c>
      <c r="R5534" s="16">
        <f>HYPERLINK("https://checko.ru/search?query=3801001629","Чекко: проверить")</f>
        <v/>
      </c>
      <c r="S5534" t="n">
        <v>1</v>
      </c>
      <c r="T5534" s="35" t="inlineStr">
        <is>
          <t>4 — Не обогащён</t>
        </is>
      </c>
      <c r="U5534" s="35" t="inlineStr">
        <is>
          <t>Нет ОКВЭД/ССЧР</t>
        </is>
      </c>
      <c r="V5534" s="35" t="inlineStr">
        <is>
          <t>Не определено</t>
        </is>
      </c>
      <c r="W5534" s="35" t="inlineStr">
        <is>
          <t>Нет</t>
        </is>
      </c>
      <c r="X5534" s="35" t="inlineStr"/>
    </row>
    <row r="5535" ht="15" customHeight="1" s="24">
      <c r="A5535" s="13" t="n">
        <v>801895994</v>
      </c>
      <c r="B5535" s="13" t="inlineStr">
        <is>
          <t>СОЮЗЭНЕРГОСЕРВИС</t>
        </is>
      </c>
      <c r="C5535" s="13" t="n">
        <v>3827050250</v>
      </c>
      <c r="D5535" s="13" t="inlineStr">
        <is>
          <t>3827050250</t>
        </is>
      </c>
      <c r="E5535" s="13" t="inlineStr">
        <is>
          <t>ЮЛ РФ</t>
        </is>
      </c>
      <c r="F5535" s="13" t="n"/>
      <c r="G5535" s="52" t="n">
        <v>920</v>
      </c>
      <c r="H5535" s="52" t="n">
        <v>2025</v>
      </c>
      <c r="I5535" s="52" t="inlineStr">
        <is>
          <t>49.41.1</t>
        </is>
      </c>
      <c r="J5535" s="52" t="inlineStr">
        <is>
          <t>49.41.1; 46.90; 49.39.39; 52.21.29; 09.10; 09.90; 36.00; 37.00; 38.11; 38.31; 39.00; 42.21; 43.11; 43.13; 43.99; 45.20; 46.13; 46.14; 46.15; 46.16; 46.18; 46.19; 46.41; 46.41.2; 46.42; 46.43; 46.44; 46.45; 46.46; 46.49; 46.61; 46.62; 46.63; 46.64; 46.66; 46.69; 46.71; 46.73; 46.74; 46.75; 46.77; 47.43; 47.51; 47.52; 47.54; 47.59; 47.61; 47.71; 47.72; 47.73; 47.74; 47.75; 47.79; 47.99; 52.21.24; 52.29; 77.31; 77.32; 77.33; 77.39.2; 77.39.11</t>
        </is>
      </c>
      <c r="K5535" s="53" t="inlineStr">
        <is>
          <t>Да</t>
        </is>
      </c>
      <c r="L5535" s="53" t="inlineStr">
        <is>
          <t>Да</t>
        </is>
      </c>
      <c r="M5535" s="53" t="inlineStr">
        <is>
          <t>До 2000</t>
        </is>
      </c>
      <c r="N5535" s="54" t="n">
        <v>528000</v>
      </c>
      <c r="O5535" s="55" t="inlineStr">
        <is>
          <t>500+</t>
        </is>
      </c>
      <c r="P5535" s="16" t="inlineStr">
        <is>
          <t>ССЧР + ОКВЭД обогащены</t>
        </is>
      </c>
      <c r="Q5535" s="16" t="inlineStr">
        <is>
          <t>ФНС открытые данные ССЧР (ДатаСост 31.12.2025; набор 7707329152-sshr2019)</t>
        </is>
      </c>
      <c r="R5535" s="16" t="inlineStr">
        <is>
          <t>ЕГРЮЛ / egrul.nalog.ru (выписка)</t>
        </is>
      </c>
      <c r="S5535" t="n">
        <v>1</v>
      </c>
      <c r="T5535" s="35" t="inlineStr">
        <is>
          <t>1 — Горячий</t>
        </is>
      </c>
      <c r="U5535" s="35" t="inlineStr">
        <is>
          <t>ОКВЭД + 22+</t>
        </is>
      </c>
      <c r="V5535" s="35" t="inlineStr">
        <is>
          <t>Да</t>
        </is>
      </c>
      <c r="W5535" s="35" t="inlineStr">
        <is>
          <t>Да</t>
        </is>
      </c>
      <c r="X5535" s="35" t="inlineStr">
        <is>
          <t>Да</t>
        </is>
      </c>
    </row>
    <row r="5536" ht="27.75" customHeight="1" s="24">
      <c r="A5536" s="13" t="n">
        <v>804695445</v>
      </c>
      <c r="B5536" s="13" t="inlineStr">
        <is>
          <t>Индивидуальный Предприниматель Адамян Арамаис Аракелович</t>
        </is>
      </c>
      <c r="C5536" s="13" t="n">
        <v>380895019929</v>
      </c>
      <c r="D5536" s="13" t="inlineStr">
        <is>
          <t>380895019929</t>
        </is>
      </c>
      <c r="E5536" s="13" t="inlineStr">
        <is>
          <t>ИП РФ / физлицо</t>
        </is>
      </c>
      <c r="F5536" s="13" t="n"/>
      <c r="G5536" s="14" t="n"/>
      <c r="H5536" s="14" t="n"/>
      <c r="I5536" s="14" t="n"/>
      <c r="J5536" s="14" t="n"/>
      <c r="K5536" s="53" t="inlineStr"/>
      <c r="L5536" s="53" t="inlineStr">
        <is>
          <t>Не определено</t>
        </is>
      </c>
      <c r="M5536" s="53" t="inlineStr"/>
      <c r="N5536" s="54" t="inlineStr"/>
      <c r="O5536" s="55" t="inlineStr"/>
      <c r="P5536" s="16" t="inlineStr">
        <is>
          <t>Требует обогащения</t>
        </is>
      </c>
      <c r="Q5536" s="16">
        <f>HYPERLINK("https://pb.nalog.ru/search.html?query=380895019929","ФНС: проверить")</f>
        <v/>
      </c>
      <c r="R5536" s="16">
        <f>HYPERLINK("https://checko.ru/search?query=3801001629","Чекко: проверить")</f>
        <v/>
      </c>
      <c r="S5536" t="n">
        <v>1</v>
      </c>
      <c r="T5536" s="35" t="inlineStr">
        <is>
          <t>4 — Не обогащён</t>
        </is>
      </c>
      <c r="U5536" s="35" t="inlineStr">
        <is>
          <t>Нет ОКВЭД/ССЧР</t>
        </is>
      </c>
      <c r="V5536" s="35" t="inlineStr">
        <is>
          <t>Не определено</t>
        </is>
      </c>
      <c r="W5536" s="35" t="inlineStr"/>
      <c r="X5536" s="35" t="inlineStr"/>
    </row>
    <row r="5537" ht="15" customHeight="1" s="24">
      <c r="A5537" s="13" t="n">
        <v>800842203</v>
      </c>
      <c r="B5537" s="13" t="inlineStr">
        <is>
          <t>Александровское, ООО</t>
        </is>
      </c>
      <c r="C5537" s="13" t="n">
        <v>3827018909</v>
      </c>
      <c r="D5537" s="13" t="inlineStr">
        <is>
          <t>3827018909</t>
        </is>
      </c>
      <c r="E5537" s="13" t="inlineStr">
        <is>
          <t>ЮЛ РФ</t>
        </is>
      </c>
      <c r="F5537" s="13" t="n"/>
      <c r="G5537" s="52" t="n">
        <v>62</v>
      </c>
      <c r="H5537" s="52" t="n">
        <v>2025</v>
      </c>
      <c r="I5537" s="52" t="inlineStr">
        <is>
          <t>68.32.1</t>
        </is>
      </c>
      <c r="J5537" s="52" t="inlineStr">
        <is>
          <t>68.32.1; 35.30.2; 35.30.3; 35.30.14; 36.00; 37.00; 46.52.2; 46.73.2; 46.73.6; 46.90; 78.30; 81.29.9</t>
        </is>
      </c>
      <c r="K5537" s="53" t="inlineStr">
        <is>
          <t>Да</t>
        </is>
      </c>
      <c r="L5537" s="53" t="inlineStr">
        <is>
          <t>Да</t>
        </is>
      </c>
      <c r="M5537" s="53" t="inlineStr">
        <is>
          <t>До 100</t>
        </is>
      </c>
      <c r="N5537" s="54" t="n">
        <v>33600</v>
      </c>
      <c r="O5537" s="55" t="inlineStr">
        <is>
          <t>51–100</t>
        </is>
      </c>
      <c r="P5537" s="16" t="inlineStr">
        <is>
          <t>ССЧР + ОКВЭД обогащены</t>
        </is>
      </c>
      <c r="Q5537" s="16" t="inlineStr">
        <is>
          <t>ФНС открытые данные ССЧР (ДатаСост 31.12.2025; набор 7707329152-sshr2019)</t>
        </is>
      </c>
      <c r="R5537" s="16" t="inlineStr">
        <is>
          <t>ЕГРЮЛ / egrul.nalog.ru (выписка)</t>
        </is>
      </c>
      <c r="S5537" t="n">
        <v>1</v>
      </c>
      <c r="T5537" s="35" t="inlineStr">
        <is>
          <t>1 — Горячий</t>
        </is>
      </c>
      <c r="U5537" s="35" t="inlineStr">
        <is>
          <t>ОКВЭД + 22+</t>
        </is>
      </c>
      <c r="V5537" s="35" t="inlineStr">
        <is>
          <t>Да</t>
        </is>
      </c>
      <c r="W5537" s="35" t="inlineStr">
        <is>
          <t>Да</t>
        </is>
      </c>
      <c r="X5537" s="35" t="inlineStr">
        <is>
          <t>Да</t>
        </is>
      </c>
    </row>
    <row r="5538" ht="15" customHeight="1" s="24">
      <c r="A5538" s="13" t="n">
        <v>802792680</v>
      </c>
      <c r="B5538" s="13" t="inlineStr">
        <is>
          <t>Зангеев Илья Борисович</t>
        </is>
      </c>
      <c r="C5538" s="13" t="n">
        <v>32386132708</v>
      </c>
      <c r="D5538" s="13" t="n"/>
      <c r="E5538" s="13" t="inlineStr">
        <is>
          <t>Не определён</t>
        </is>
      </c>
      <c r="F5538" s="13" t="n"/>
      <c r="G5538" s="14" t="n"/>
      <c r="H5538" s="14" t="n"/>
      <c r="I5538" s="14" t="n"/>
      <c r="J5538" s="14" t="n"/>
      <c r="K5538" s="13">
        <f>IF(G5538="","",IF(G5538&gt;=22,"Да","Нет"))</f>
        <v/>
      </c>
      <c r="L5538" s="13">
        <f>IF(OR(I5538="",J5538=""),"Не определено",IF(OR(COUNTIF(I5538,"45*")&gt;0,COUNTIF(J5538,"*45*")&gt;0,COUNTIF(I5538,"46*")&gt;0,COUNTIF(J5538,"*46*")&gt;0,COUNTIF(I5538,"47*")&gt;0,COUNTIF(J5538,"*47*")&gt;0,COUNTIF(I5538,"10*")&gt;0,COUNTIF(J5538,"*10*")&gt;0,COUNTIF(I5538,"11*")&gt;0,COUNTIF(J5538,"*11*")&gt;0,COUNTIF(I5538,"12*")&gt;0,COUNTIF(J5538,"*12*")&gt;0,COUNTIF(I5538,"13*")&gt;0,COUNTIF(J5538,"*13*")&gt;0,COUNTIF(I5538,"14*")&gt;0,COUNTIF(J5538,"*14*")&gt;0,COUNTIF(I5538,"15*")&gt;0,COUNTIF(J5538,"*15*")&gt;0,COUNTIF(I5538,"16*")&gt;0,COUNTIF(J5538,"*16*")&gt;0,COUNTIF(I5538,"17*")&gt;0,COUNTIF(J5538,"*17*")&gt;0,COUNTIF(I5538,"18*")&gt;0,COUNTIF(J5538,"*18*")&gt;0,COUNTIF(I5538,"19*")&gt;0,COUNTIF(J5538,"*19*")&gt;0,COUNTIF(I5538,"20*")&gt;0,COUNTIF(J5538,"*20*")&gt;0,COUNTIF(I5538,"21*")&gt;0,COUNTIF(J5538,"*21*")&gt;0,COUNTIF(I5538,"22*")&gt;0,COUNTIF(J5538,"*22*")&gt;0,COUNTIF(I5538,"23*")&gt;0,COUNTIF(J5538,"*23*")&gt;0,COUNTIF(I5538,"24*")&gt;0,COUNTIF(J5538,"*24*")&gt;0,COUNTIF(I5538,"25*")&gt;0,COUNTIF(J5538,"*25*")&gt;0,COUNTIF(I5538,"26*")&gt;0,COUNTIF(J5538,"*26*")&gt;0,COUNTIF(I5538,"27*")&gt;0,COUNTIF(J5538,"*27*")&gt;0,COUNTIF(I5538,"28*")&gt;0,COUNTIF(J5538,"*28*")&gt;0,COUNTIF(I5538,"29*")&gt;0,COUNTIF(J5538,"*29*")&gt;0,COUNTIF(I5538,"30*")&gt;0,COUNTIF(J5538,"*30*")&gt;0,COUNTIF(I5538,"31*")&gt;0,COUNTIF(J5538,"*31*")&gt;0,COUNTIF(I5538,"32*")&gt;0,COUNTIF(J5538,"*32*")&gt;0,COUNTIF(I5538,"33*")&gt;0,COUNTIF(J5538,"*33*")&gt;0,COUNTIF(I5538,"41*")&gt;0,COUNTIF(J5538,"*41*")&gt;0,COUNTIF(I5538,"42*")&gt;0,COUNTIF(J5538,"*42*")&gt;0,COUNTIF(I5538,"43*")&gt;0,COUNTIF(J5538,"*43*")&gt;0,COUNTIF(I5538,"49*")&gt;0,COUNTIF(J5538,"*49*")&gt;0,COUNTIF(I5538,"52*")&gt;0,COUNTIF(J5538,"*52*")&gt;0,COUNTIF(I5538,"55*")&gt;0,COUNTIF(J5538,"*55*")&gt;0,COUNTIF(I5538,"56*")&gt;0,COUNTIF(J5538,"*56*")&gt;0,COUNTIF(I5538,"68*")&gt;0,COUNTIF(J5538,"*68*")&gt;0,COUNTIF(I5538,"78*")&gt;0,COUNTIF(J5538,"*78*")&gt;0,COUNTIF(I5538,"81*")&gt;0,COUNTIF(J5538,"*81*")&gt;0,COUNTIF(I5538,"82*")&gt;0,COUNTIF(J5538,"*82*")&gt;0,COUNTIF(I5538,"64*")&gt;0,COUNTIF(J5538,"*64*")&gt;0,COUNTIF(I5538,"65*")&gt;0,COUNTIF(J5538,"*65*")&gt;0,COUNTIF(I5538,"66*")&gt;0,COUNTIF(J5538,"*66*")&gt;0,COUNTIF(I5538,"61*")&gt;0,COUNTIF(J5538,"*61*")&gt;0,COUNTIF(I5538,"62*")&gt;0,COUNTIF(J5538,"*62*")&gt;0,COUNTIF(I5538,"63*")&gt;0,COUNTIF(J5538,"*63*")&gt;0,COUNTIF(I5538,"85*")&gt;0,COUNTIF(J5538,"*85*")&gt;0,COUNTIF(I5538,"86*")&gt;0,COUNTIF(J5538,"*86*")&gt;0),"Да","Нет"))</f>
        <v/>
      </c>
      <c r="M5538" s="13">
        <f>IF(OR(G5538="",L5538&lt;&gt;"Да"),"",IF(G5538&lt;=100,"До 100",IF(G5538&lt;=200,"До 200",IF(G5538&lt;=500,"До 500","Отдельное КП"))))</f>
        <v/>
      </c>
      <c r="N5538" s="15">
        <f>IF(OR(G5538="",L5538&lt;&gt;"Да"),"",IF(G5538&lt;=100,33600,IF(G5538&lt;=200,62400,IF(G5538&lt;=500,144000,""))))</f>
        <v/>
      </c>
      <c r="O5538" s="16">
        <f>IF(G5538="","",IF(G5538&lt;=15,"1–15",IF(G5538&lt;=30,"16–30",IF(G5538&lt;=50,"31–50",IF(G5538&lt;=100,"51–100",IF(G5538&lt;=150,"101–150",IF(G5538&lt;=200,"151–200",IF(G5538&lt;=500,"201–500","500+"))))))))</f>
        <v/>
      </c>
      <c r="P5538" s="16" t="inlineStr">
        <is>
          <t>Нет совпадения в предоставленной выгрузке ССЧР</t>
        </is>
      </c>
      <c r="Q5538" s="16" t="n"/>
      <c r="R5538" s="16">
        <f>HYPERLINK("https://checko.ru/search?query=3801001629","Чекко: проверить")</f>
        <v/>
      </c>
      <c r="S5538" t="n">
        <v>0</v>
      </c>
    </row>
    <row r="5539" ht="15" customHeight="1" s="24">
      <c r="A5539" s="13" t="n">
        <v>802451479</v>
      </c>
      <c r="B5539" s="13" t="inlineStr">
        <is>
          <t>ООО "ИСТ ТРЕЙД СМ"</t>
        </is>
      </c>
      <c r="C5539" s="13" t="n">
        <v>3802012408</v>
      </c>
      <c r="D5539" s="13" t="inlineStr">
        <is>
          <t>3802012408</t>
        </is>
      </c>
      <c r="E5539" s="13" t="inlineStr">
        <is>
          <t>ЮЛ РФ</t>
        </is>
      </c>
      <c r="F5539" s="13" t="n"/>
      <c r="G5539" s="52" t="n">
        <v>58</v>
      </c>
      <c r="H5539" s="52" t="n">
        <v>2025</v>
      </c>
      <c r="I5539" s="52" t="inlineStr">
        <is>
          <t>46.71</t>
        </is>
      </c>
      <c r="J5539" s="52" t="inlineStr">
        <is>
          <t>46.71; 45.31; 45.32; 46.69.1; 46.69.2; 46.69.3; 46.71.1; 46.71.2; 46.90; 47.59.9; 49.41; 49.42; 50.40; 71.20.3; 85.41.1; 93.13</t>
        </is>
      </c>
      <c r="K5539" s="53" t="inlineStr">
        <is>
          <t>Да</t>
        </is>
      </c>
      <c r="L5539" s="53" t="inlineStr">
        <is>
          <t>Да</t>
        </is>
      </c>
      <c r="M5539" s="53" t="inlineStr">
        <is>
          <t>До 100</t>
        </is>
      </c>
      <c r="N5539" s="54" t="n">
        <v>33600</v>
      </c>
      <c r="O5539" s="55" t="inlineStr">
        <is>
          <t>51–100</t>
        </is>
      </c>
      <c r="P5539" s="16" t="inlineStr">
        <is>
          <t>ССЧР + ОКВЭД обогащены</t>
        </is>
      </c>
      <c r="Q5539" s="16" t="inlineStr">
        <is>
          <t>ФНС открытые данные ССЧР (ДатаСост 31.12.2025; набор 7707329152-sshr2019)</t>
        </is>
      </c>
      <c r="R5539" s="16" t="inlineStr">
        <is>
          <t>ЕГРЮЛ / egrul.nalog.ru (выписка)</t>
        </is>
      </c>
      <c r="S5539" t="n">
        <v>1</v>
      </c>
      <c r="T5539" s="35" t="inlineStr">
        <is>
          <t>1 — Горячий</t>
        </is>
      </c>
      <c r="U5539" s="35" t="inlineStr">
        <is>
          <t>ОКВЭД + 22+</t>
        </is>
      </c>
      <c r="V5539" s="35" t="inlineStr">
        <is>
          <t>Да</t>
        </is>
      </c>
      <c r="W5539" s="35" t="inlineStr">
        <is>
          <t>Да</t>
        </is>
      </c>
      <c r="X5539" s="35" t="inlineStr">
        <is>
          <t>Да</t>
        </is>
      </c>
    </row>
    <row r="5540" ht="15" customHeight="1" s="24">
      <c r="A5540" s="13" t="n">
        <v>800540042</v>
      </c>
      <c r="B5540" s="13" t="inlineStr">
        <is>
          <t>ООО "КСИ-СТРОЙ"</t>
        </is>
      </c>
      <c r="C5540" s="13" t="n">
        <v>3810044393</v>
      </c>
      <c r="D5540" s="13" t="inlineStr">
        <is>
          <t>3810044393</t>
        </is>
      </c>
      <c r="E5540" s="13" t="inlineStr">
        <is>
          <t>ЮЛ РФ</t>
        </is>
      </c>
      <c r="F5540" s="13" t="n"/>
      <c r="G5540" s="52" t="n">
        <v>27</v>
      </c>
      <c r="H5540" s="52" t="n">
        <v>2025</v>
      </c>
      <c r="I5540" s="52" t="inlineStr">
        <is>
          <t>71.12.2</t>
        </is>
      </c>
      <c r="J5540" s="52" t="inlineStr">
        <is>
          <t>71.12.2; 77.32</t>
        </is>
      </c>
      <c r="K5540" s="53" t="inlineStr">
        <is>
          <t>Да</t>
        </is>
      </c>
      <c r="L5540" s="53" t="inlineStr">
        <is>
          <t>Нет</t>
        </is>
      </c>
      <c r="M5540" s="53" t="inlineStr">
        <is>
          <t>До 50</t>
        </is>
      </c>
      <c r="N5540" s="54" t="n">
        <v>16800</v>
      </c>
      <c r="O5540" s="55" t="inlineStr">
        <is>
          <t>16–30</t>
        </is>
      </c>
      <c r="P5540" s="16" t="inlineStr">
        <is>
          <t>ССЧР + ОКВЭД обогащены</t>
        </is>
      </c>
      <c r="Q5540" s="16" t="inlineStr">
        <is>
          <t>ФНС открытые данные ССЧР (ДатаСост 31.12.2025; набор 7707329152-sshr2019)</t>
        </is>
      </c>
      <c r="R5540" s="16" t="inlineStr">
        <is>
          <t>ЕГРЮЛ / egrul.nalog.ru (выписка)</t>
        </is>
      </c>
      <c r="S5540" t="n">
        <v>1</v>
      </c>
      <c r="T5540" s="35" t="inlineStr">
        <is>
          <t>3 — 22+ без ОКВЭД</t>
        </is>
      </c>
      <c r="U5540" s="35" t="inlineStr">
        <is>
          <t>22+ без целевого ОКВЭД</t>
        </is>
      </c>
      <c r="V5540" s="35" t="inlineStr">
        <is>
          <t>Нет</t>
        </is>
      </c>
      <c r="W5540" s="35" t="inlineStr">
        <is>
          <t>Да</t>
        </is>
      </c>
      <c r="X5540" s="35" t="inlineStr">
        <is>
          <t>Нет</t>
        </is>
      </c>
    </row>
    <row r="5541" ht="15" customHeight="1" s="24">
      <c r="A5541" s="13" t="n">
        <v>800835386</v>
      </c>
      <c r="B5541" s="13" t="inlineStr">
        <is>
          <t>ИП Васильев Сергей Владимирович</t>
        </is>
      </c>
      <c r="C5541" s="13" t="n">
        <v>381700120600</v>
      </c>
      <c r="D5541" s="13" t="inlineStr">
        <is>
          <t>381700120600</t>
        </is>
      </c>
      <c r="E5541" s="13" t="inlineStr">
        <is>
          <t>ИП РФ / физлицо</t>
        </is>
      </c>
      <c r="F5541" s="13" t="n"/>
      <c r="G5541" s="14" t="n"/>
      <c r="H5541" s="14" t="n"/>
      <c r="I5541" s="14" t="n"/>
      <c r="J5541" s="14" t="n"/>
      <c r="K5541" s="53" t="inlineStr"/>
      <c r="L5541" s="53" t="inlineStr">
        <is>
          <t>Не определено</t>
        </is>
      </c>
      <c r="M5541" s="53" t="inlineStr"/>
      <c r="N5541" s="54" t="inlineStr"/>
      <c r="O5541" s="55" t="inlineStr"/>
      <c r="P5541" s="16" t="inlineStr">
        <is>
          <t>Требует обогащения</t>
        </is>
      </c>
      <c r="Q5541" s="16">
        <f>HYPERLINK("https://pb.nalog.ru/search.html?query=381700120600","ФНС: проверить")</f>
        <v/>
      </c>
      <c r="R5541" s="16">
        <f>HYPERLINK("https://checko.ru/search?query=3801001629","Чекко: проверить")</f>
        <v/>
      </c>
      <c r="S5541" t="n">
        <v>1</v>
      </c>
      <c r="T5541" s="35" t="inlineStr">
        <is>
          <t>4 — Не обогащён</t>
        </is>
      </c>
      <c r="U5541" s="35" t="inlineStr">
        <is>
          <t>Нет ОКВЭД/ССЧР</t>
        </is>
      </c>
      <c r="V5541" s="35" t="inlineStr">
        <is>
          <t>Не определено</t>
        </is>
      </c>
      <c r="W5541" s="35" t="inlineStr"/>
      <c r="X5541" s="35" t="inlineStr"/>
    </row>
    <row r="5542" ht="15" customHeight="1" s="24">
      <c r="A5542" s="13" t="n">
        <v>800644801</v>
      </c>
      <c r="B5542" s="13" t="inlineStr">
        <is>
          <t>Восточная инжиниринговая компания</t>
        </is>
      </c>
      <c r="C5542" s="13" t="n">
        <v>3811135685</v>
      </c>
      <c r="D5542" s="13" t="inlineStr">
        <is>
          <t>3811135685</t>
        </is>
      </c>
      <c r="E5542" s="13" t="inlineStr">
        <is>
          <t>ЮЛ РФ</t>
        </is>
      </c>
      <c r="F5542" s="13" t="n"/>
      <c r="G5542" s="52" t="n">
        <v>14</v>
      </c>
      <c r="H5542" s="52" t="n">
        <v>2025</v>
      </c>
      <c r="I5542" s="14" t="n"/>
      <c r="J5542" s="14" t="n"/>
      <c r="K5542" s="53" t="inlineStr">
        <is>
          <t>Нет</t>
        </is>
      </c>
      <c r="L5542" s="53" t="inlineStr">
        <is>
          <t>Не определено</t>
        </is>
      </c>
      <c r="M5542" s="53" t="inlineStr">
        <is>
          <t>До 25</t>
        </is>
      </c>
      <c r="N5542" s="54" t="n">
        <v>8400</v>
      </c>
      <c r="O5542" s="55" t="inlineStr">
        <is>
          <t>1–15</t>
        </is>
      </c>
      <c r="P5542" s="16" t="inlineStr">
        <is>
          <t>ССЧР обогащена; ОКВЭД не найден/не загружен</t>
        </is>
      </c>
      <c r="Q5542" s="16" t="inlineStr">
        <is>
          <t>ФНС открытые данные ССЧР (ДатаСост 31.12.2025; набор 7707329152-sshr2019)</t>
        </is>
      </c>
      <c r="R5542" s="16">
        <f>HYPERLINK("https://checko.ru/search?query=3801001629","Чекко: проверить")</f>
        <v/>
      </c>
      <c r="S5542" t="n">
        <v>1</v>
      </c>
      <c r="T5542" s="35" t="inlineStr">
        <is>
          <t>4 — Не обогащён</t>
        </is>
      </c>
      <c r="U5542" s="35" t="inlineStr">
        <is>
          <t>Нет ОКВЭД/ССЧР</t>
        </is>
      </c>
      <c r="V5542" s="35" t="inlineStr">
        <is>
          <t>Не определено</t>
        </is>
      </c>
      <c r="W5542" s="35" t="inlineStr">
        <is>
          <t>Нет</t>
        </is>
      </c>
      <c r="X5542" s="35" t="inlineStr"/>
    </row>
    <row r="5543" ht="15" customHeight="1" s="24">
      <c r="A5543" s="13" t="n">
        <v>801622898</v>
      </c>
      <c r="B5543" s="13" t="inlineStr">
        <is>
          <t>ИП Давыдова Анастасия Викторовна</t>
        </is>
      </c>
      <c r="C5543" s="13" t="n">
        <v>380411124763</v>
      </c>
      <c r="D5543" s="13" t="inlineStr">
        <is>
          <t>380411124763</t>
        </is>
      </c>
      <c r="E5543" s="13" t="inlineStr">
        <is>
          <t>ИП РФ / физлицо</t>
        </is>
      </c>
      <c r="F5543" s="13" t="n"/>
      <c r="G5543" s="14" t="n"/>
      <c r="H5543" s="14" t="n"/>
      <c r="I5543" s="14" t="n"/>
      <c r="J5543" s="14" t="n"/>
      <c r="K5543" s="53" t="inlineStr"/>
      <c r="L5543" s="53" t="inlineStr">
        <is>
          <t>Не определено</t>
        </is>
      </c>
      <c r="M5543" s="53" t="inlineStr"/>
      <c r="N5543" s="54" t="inlineStr"/>
      <c r="O5543" s="55" t="inlineStr"/>
      <c r="P5543" s="16" t="inlineStr">
        <is>
          <t>Требует обогащения</t>
        </is>
      </c>
      <c r="Q5543" s="16">
        <f>HYPERLINK("https://pb.nalog.ru/search.html?query=380411124763","ФНС: проверить")</f>
        <v/>
      </c>
      <c r="R5543" s="16">
        <f>HYPERLINK("https://checko.ru/search?query=3801001629","Чекко: проверить")</f>
        <v/>
      </c>
      <c r="S5543" t="n">
        <v>1</v>
      </c>
      <c r="T5543" s="35" t="inlineStr">
        <is>
          <t>4 — Не обогащён</t>
        </is>
      </c>
      <c r="U5543" s="35" t="inlineStr">
        <is>
          <t>Нет ОКВЭД/ССЧР</t>
        </is>
      </c>
      <c r="V5543" s="35" t="inlineStr">
        <is>
          <t>Не определено</t>
        </is>
      </c>
      <c r="W5543" s="35" t="inlineStr"/>
      <c r="X5543" s="35" t="inlineStr"/>
    </row>
    <row r="5544" ht="15" customHeight="1" s="24">
      <c r="A5544" s="13" t="n">
        <v>9837555</v>
      </c>
      <c r="B5544" s="13" t="inlineStr">
        <is>
          <t>ООО "ГРАДСЕРВИС"</t>
        </is>
      </c>
      <c r="C5544" s="13" t="n">
        <v>1414016310</v>
      </c>
      <c r="D5544" s="13" t="inlineStr">
        <is>
          <t>1414016310</t>
        </is>
      </c>
      <c r="E5544" s="13" t="inlineStr">
        <is>
          <t>ЮЛ РФ</t>
        </is>
      </c>
      <c r="F5544" s="13" t="n"/>
      <c r="G5544" s="52" t="n">
        <v>11</v>
      </c>
      <c r="H5544" s="52" t="n">
        <v>2025</v>
      </c>
      <c r="I5544" s="14" t="n"/>
      <c r="J5544" s="14" t="n"/>
      <c r="K5544" s="53" t="inlineStr">
        <is>
          <t>Нет</t>
        </is>
      </c>
      <c r="L5544" s="53" t="inlineStr">
        <is>
          <t>Не определено</t>
        </is>
      </c>
      <c r="M5544" s="53" t="inlineStr">
        <is>
          <t>До 25</t>
        </is>
      </c>
      <c r="N5544" s="54" t="n">
        <v>8400</v>
      </c>
      <c r="O5544" s="55" t="inlineStr">
        <is>
          <t>1–15</t>
        </is>
      </c>
      <c r="P5544" s="16" t="inlineStr">
        <is>
          <t>ССЧР обогащена; ОКВЭД не найден/не загружен</t>
        </is>
      </c>
      <c r="Q5544" s="16" t="inlineStr">
        <is>
          <t>ФНС открытые данные ССЧР (ДатаСост 31.12.2025; набор 7707329152-sshr2019)</t>
        </is>
      </c>
      <c r="R5544" s="16">
        <f>HYPERLINK("https://checko.ru/search?query=3801001629","Чекко: проверить")</f>
        <v/>
      </c>
      <c r="S5544" t="n">
        <v>1</v>
      </c>
      <c r="T5544" s="35" t="inlineStr">
        <is>
          <t>4 — Не обогащён</t>
        </is>
      </c>
      <c r="U5544" s="35" t="inlineStr">
        <is>
          <t>Нет ОКВЭД/ССЧР</t>
        </is>
      </c>
      <c r="V5544" s="35" t="inlineStr">
        <is>
          <t>Не определено</t>
        </is>
      </c>
      <c r="W5544" s="35" t="inlineStr">
        <is>
          <t>Нет</t>
        </is>
      </c>
      <c r="X5544" s="35" t="inlineStr"/>
    </row>
    <row r="5545" ht="15" customHeight="1" s="24">
      <c r="A5545" s="13" t="n">
        <v>800546921</v>
      </c>
      <c r="B5545" s="13" t="inlineStr">
        <is>
          <t>ООО "ГУРМАНИЯ"</t>
        </is>
      </c>
      <c r="C5545" s="13" t="n">
        <v>1414015356</v>
      </c>
      <c r="D5545" s="13" t="inlineStr">
        <is>
          <t>1414015356</t>
        </is>
      </c>
      <c r="E5545" s="13" t="inlineStr">
        <is>
          <t>ЮЛ РФ</t>
        </is>
      </c>
      <c r="F5545" s="13" t="n"/>
      <c r="G5545" s="52" t="n">
        <v>8</v>
      </c>
      <c r="H5545" s="52" t="n">
        <v>2025</v>
      </c>
      <c r="I5545" s="14" t="n"/>
      <c r="J5545" s="14" t="n"/>
      <c r="K5545" s="53" t="inlineStr">
        <is>
          <t>Нет</t>
        </is>
      </c>
      <c r="L5545" s="53" t="inlineStr">
        <is>
          <t>Не определено</t>
        </is>
      </c>
      <c r="M5545" s="53" t="inlineStr">
        <is>
          <t>До 10</t>
        </is>
      </c>
      <c r="N5545" s="54" t="n">
        <v>3360</v>
      </c>
      <c r="O5545" s="55" t="inlineStr">
        <is>
          <t>1–15</t>
        </is>
      </c>
      <c r="P5545" s="16" t="inlineStr">
        <is>
          <t>ССЧР обогащена; ОКВЭД не найден/не загружен</t>
        </is>
      </c>
      <c r="Q5545" s="16" t="inlineStr">
        <is>
          <t>ФНС открытые данные ССЧР (ДатаСост 31.12.2025; набор 7707329152-sshr2019)</t>
        </is>
      </c>
      <c r="R5545" s="16">
        <f>HYPERLINK("https://checko.ru/search?query=3801001629","Чекко: проверить")</f>
        <v/>
      </c>
      <c r="S5545" t="n">
        <v>1</v>
      </c>
      <c r="T5545" s="35" t="inlineStr">
        <is>
          <t>4 — Не обогащён</t>
        </is>
      </c>
      <c r="U5545" s="35" t="inlineStr">
        <is>
          <t>Нет ОКВЭД/ССЧР</t>
        </is>
      </c>
      <c r="V5545" s="35" t="inlineStr">
        <is>
          <t>Не определено</t>
        </is>
      </c>
      <c r="W5545" s="35" t="inlineStr">
        <is>
          <t>Нет</t>
        </is>
      </c>
      <c r="X5545" s="35" t="inlineStr"/>
    </row>
    <row r="5546" ht="15" customHeight="1" s="24">
      <c r="A5546" s="13" t="n">
        <v>802455073</v>
      </c>
      <c r="B5546" s="13" t="inlineStr">
        <is>
          <t>ООО "ТЕРМИНАЛ"</t>
        </is>
      </c>
      <c r="C5546" s="13" t="n">
        <v>3818042824</v>
      </c>
      <c r="D5546" s="13" t="inlineStr">
        <is>
          <t>3818042824</t>
        </is>
      </c>
      <c r="E5546" s="13" t="inlineStr">
        <is>
          <t>ЮЛ РФ</t>
        </is>
      </c>
      <c r="F5546" s="13" t="n"/>
      <c r="G5546" s="52" t="n">
        <v>72</v>
      </c>
      <c r="H5546" s="52" t="n">
        <v>2025</v>
      </c>
      <c r="I5546" s="52" t="inlineStr">
        <is>
          <t>49.42</t>
        </is>
      </c>
      <c r="J5546" s="52" t="inlineStr">
        <is>
          <t>49.42; 42.91; 46.71.2; 46.71.9; 49.20; 49.20.1; 49.41; 50.40.1; 52.10.9; 52.10.21; 52.21; 52.22; 52.22.29; 52.24; 52.24.1; 52.24.2; 52.29; 68.20; 77.12; 77.39</t>
        </is>
      </c>
      <c r="K5546" s="53" t="inlineStr">
        <is>
          <t>Да</t>
        </is>
      </c>
      <c r="L5546" s="53" t="inlineStr">
        <is>
          <t>Да</t>
        </is>
      </c>
      <c r="M5546" s="53" t="inlineStr">
        <is>
          <t>До 100</t>
        </is>
      </c>
      <c r="N5546" s="54" t="n">
        <v>33600</v>
      </c>
      <c r="O5546" s="55" t="inlineStr">
        <is>
          <t>51–100</t>
        </is>
      </c>
      <c r="P5546" s="16" t="inlineStr">
        <is>
          <t>ССЧР + ОКВЭД обогащены</t>
        </is>
      </c>
      <c r="Q5546" s="16" t="inlineStr">
        <is>
          <t>ФНС открытые данные ССЧР (ДатаСост 31.12.2025; набор 7707329152-sshr2019)</t>
        </is>
      </c>
      <c r="R5546" s="16" t="inlineStr">
        <is>
          <t>ЕГРЮЛ / egrul.nalog.ru (выписка)</t>
        </is>
      </c>
      <c r="S5546" t="n">
        <v>1</v>
      </c>
      <c r="T5546" s="35" t="inlineStr">
        <is>
          <t>1 — Горячий</t>
        </is>
      </c>
      <c r="U5546" s="35" t="inlineStr">
        <is>
          <t>ОКВЭД + 22+</t>
        </is>
      </c>
      <c r="V5546" s="35" t="inlineStr">
        <is>
          <t>Да</t>
        </is>
      </c>
      <c r="W5546" s="35" t="inlineStr">
        <is>
          <t>Да</t>
        </is>
      </c>
      <c r="X5546" s="35" t="inlineStr">
        <is>
          <t>Да</t>
        </is>
      </c>
    </row>
    <row r="5547" ht="27.75" customHeight="1" s="24">
      <c r="A5547" s="13" t="n">
        <v>802499497</v>
      </c>
      <c r="B5547" s="13" t="inlineStr">
        <is>
          <t>Индивидуальный предприниматель Веретнов Евгений Константинович</t>
        </is>
      </c>
      <c r="C5547" s="13" t="n">
        <v>381009556001</v>
      </c>
      <c r="D5547" s="13" t="inlineStr">
        <is>
          <t>381009556001</t>
        </is>
      </c>
      <c r="E5547" s="13" t="inlineStr">
        <is>
          <t>ИП РФ / физлицо</t>
        </is>
      </c>
      <c r="F5547" s="13" t="n"/>
      <c r="G5547" s="14" t="n"/>
      <c r="H5547" s="14" t="n"/>
      <c r="I5547" s="14" t="n"/>
      <c r="J5547" s="14" t="n"/>
      <c r="K5547" s="53" t="inlineStr"/>
      <c r="L5547" s="53" t="inlineStr">
        <is>
          <t>Не определено</t>
        </is>
      </c>
      <c r="M5547" s="53" t="inlineStr"/>
      <c r="N5547" s="54" t="inlineStr"/>
      <c r="O5547" s="55" t="inlineStr"/>
      <c r="P5547" s="16" t="inlineStr">
        <is>
          <t>Требует обогащения</t>
        </is>
      </c>
      <c r="Q5547" s="16">
        <f>HYPERLINK("https://pb.nalog.ru/search.html?query=381009556001","ФНС: проверить")</f>
        <v/>
      </c>
      <c r="R5547" s="16">
        <f>HYPERLINK("https://checko.ru/search?query=3801001629","Чекко: проверить")</f>
        <v/>
      </c>
      <c r="S5547" t="n">
        <v>1</v>
      </c>
      <c r="T5547" s="35" t="inlineStr">
        <is>
          <t>4 — Не обогащён</t>
        </is>
      </c>
      <c r="U5547" s="35" t="inlineStr">
        <is>
          <t>Нет ОКВЭД/ССЧР</t>
        </is>
      </c>
      <c r="V5547" s="35" t="inlineStr">
        <is>
          <t>Не определено</t>
        </is>
      </c>
      <c r="W5547" s="35" t="inlineStr"/>
      <c r="X5547" s="35" t="inlineStr"/>
    </row>
    <row r="5548" ht="15" customHeight="1" s="24">
      <c r="A5548" s="13" t="n">
        <v>9259735</v>
      </c>
      <c r="B5548" s="13" t="inlineStr">
        <is>
          <t>ИП Суханов Роман Викторович</t>
        </is>
      </c>
      <c r="C5548" s="13" t="n">
        <v>382704372110</v>
      </c>
      <c r="D5548" s="13" t="inlineStr">
        <is>
          <t>382704372110</t>
        </is>
      </c>
      <c r="E5548" s="13" t="inlineStr">
        <is>
          <t>ИП РФ / физлицо</t>
        </is>
      </c>
      <c r="F5548" s="13" t="n"/>
      <c r="G5548" s="14" t="n"/>
      <c r="H5548" s="14" t="n"/>
      <c r="I5548" s="14" t="n"/>
      <c r="J5548" s="14" t="n"/>
      <c r="K5548" s="53" t="inlineStr"/>
      <c r="L5548" s="53" t="inlineStr">
        <is>
          <t>Не определено</t>
        </is>
      </c>
      <c r="M5548" s="53" t="inlineStr"/>
      <c r="N5548" s="54" t="inlineStr"/>
      <c r="O5548" s="55" t="inlineStr"/>
      <c r="P5548" s="16" t="inlineStr">
        <is>
          <t>Требует обогащения</t>
        </is>
      </c>
      <c r="Q5548" s="16">
        <f>HYPERLINK("https://pb.nalog.ru/search.html?query=382704372110","ФНС: проверить")</f>
        <v/>
      </c>
      <c r="R5548" s="16">
        <f>HYPERLINK("https://checko.ru/search?query=3801001629","Чекко: проверить")</f>
        <v/>
      </c>
      <c r="S5548" t="n">
        <v>1</v>
      </c>
      <c r="T5548" s="35" t="inlineStr">
        <is>
          <t>4 — Не обогащён</t>
        </is>
      </c>
      <c r="U5548" s="35" t="inlineStr">
        <is>
          <t>Нет ОКВЭД/ССЧР</t>
        </is>
      </c>
      <c r="V5548" s="35" t="inlineStr">
        <is>
          <t>Не определено</t>
        </is>
      </c>
      <c r="W5548" s="35" t="inlineStr"/>
      <c r="X5548" s="35" t="inlineStr"/>
    </row>
    <row r="5549" ht="15" customHeight="1" s="24">
      <c r="A5549" s="13" t="n">
        <v>9257602</v>
      </c>
      <c r="B5549" s="13" t="inlineStr">
        <is>
          <t>Телекомпания Ангара ООО</t>
        </is>
      </c>
      <c r="C5549" s="13" t="n">
        <v>3808080764</v>
      </c>
      <c r="D5549" s="13" t="inlineStr">
        <is>
          <t>3808080764</t>
        </is>
      </c>
      <c r="E5549" s="13" t="inlineStr">
        <is>
          <t>ЮЛ РФ</t>
        </is>
      </c>
      <c r="F5549" s="13" t="n"/>
      <c r="G5549" s="52" t="n">
        <v>1</v>
      </c>
      <c r="H5549" s="52" t="n">
        <v>2025</v>
      </c>
      <c r="I5549" s="14" t="n"/>
      <c r="J5549" s="14" t="n"/>
      <c r="K5549" s="53" t="inlineStr">
        <is>
          <t>Нет</t>
        </is>
      </c>
      <c r="L5549" s="53" t="inlineStr">
        <is>
          <t>Не определено</t>
        </is>
      </c>
      <c r="M5549" s="53" t="inlineStr">
        <is>
          <t>До 10</t>
        </is>
      </c>
      <c r="N5549" s="54" t="n">
        <v>3360</v>
      </c>
      <c r="O5549" s="55" t="inlineStr">
        <is>
          <t>1–15</t>
        </is>
      </c>
      <c r="P5549" s="16" t="inlineStr">
        <is>
          <t>ССЧР обогащена; ОКВЭД не найден/не загружен</t>
        </is>
      </c>
      <c r="Q5549" s="16" t="inlineStr">
        <is>
          <t>ФНС открытые данные ССЧР (ДатаСост 31.12.2025; набор 7707329152-sshr2019)</t>
        </is>
      </c>
      <c r="R5549" s="16">
        <f>HYPERLINK("https://checko.ru/search?query=3801001629","Чекко: проверить")</f>
        <v/>
      </c>
      <c r="S5549" t="n">
        <v>1</v>
      </c>
      <c r="T5549" s="35" t="inlineStr">
        <is>
          <t>4 — Не обогащён</t>
        </is>
      </c>
      <c r="U5549" s="35" t="inlineStr">
        <is>
          <t>Нет ОКВЭД/ССЧР</t>
        </is>
      </c>
      <c r="V5549" s="35" t="inlineStr">
        <is>
          <t>Не определено</t>
        </is>
      </c>
      <c r="W5549" s="35" t="inlineStr">
        <is>
          <t>Нет</t>
        </is>
      </c>
      <c r="X5549" s="35" t="inlineStr"/>
    </row>
    <row r="5550" ht="15" customHeight="1" s="24">
      <c r="A5550" s="13" t="n">
        <v>9977403</v>
      </c>
      <c r="B5550" s="13" t="inlineStr">
        <is>
          <t>ЗАО "Иркутскстройоптторг"</t>
        </is>
      </c>
      <c r="C5550" s="13" t="n">
        <v>3810025680</v>
      </c>
      <c r="D5550" s="13" t="inlineStr">
        <is>
          <t>3810025680</t>
        </is>
      </c>
      <c r="E5550" s="13" t="inlineStr">
        <is>
          <t>ЮЛ РФ</t>
        </is>
      </c>
      <c r="F5550" s="13" t="n"/>
      <c r="G5550" s="52" t="n">
        <v>79</v>
      </c>
      <c r="H5550" s="52" t="n">
        <v>2025</v>
      </c>
      <c r="I5550" s="52" t="inlineStr">
        <is>
          <t>68.20.29</t>
        </is>
      </c>
      <c r="J5550" s="52" t="inlineStr">
        <is>
          <t>68.20.29; 46.49; 47.78; 43.99; 45.11.1; 45.11.2; 45.11.3; 45.11.4; 45.19.1; 45.19.2; 45.19.3; 45.19.4; 45.31.1; 45.32; 46.43.2; 46.51; 46.73; 46.73.6; 46.90; 47.41; 47.43; 47.52.7; 63.11.1; 68.20.2</t>
        </is>
      </c>
      <c r="K5550" s="53" t="inlineStr">
        <is>
          <t>Да</t>
        </is>
      </c>
      <c r="L5550" s="53" t="inlineStr">
        <is>
          <t>Да</t>
        </is>
      </c>
      <c r="M5550" s="53" t="inlineStr">
        <is>
          <t>До 100</t>
        </is>
      </c>
      <c r="N5550" s="54" t="n">
        <v>33600</v>
      </c>
      <c r="O5550" s="55" t="inlineStr">
        <is>
          <t>51–100</t>
        </is>
      </c>
      <c r="P5550" s="16" t="inlineStr">
        <is>
          <t>ССЧР + ОКВЭД обогащены</t>
        </is>
      </c>
      <c r="Q5550" s="16" t="inlineStr">
        <is>
          <t>ФНС открытые данные ССЧР (ДатаСост 31.12.2025; набор 7707329152-sshr2019)</t>
        </is>
      </c>
      <c r="R5550" s="16" t="inlineStr">
        <is>
          <t>ЕГРЮЛ / egrul.nalog.ru (выписка)</t>
        </is>
      </c>
      <c r="S5550" t="n">
        <v>1</v>
      </c>
      <c r="T5550" s="35" t="inlineStr">
        <is>
          <t>1 — Горячий</t>
        </is>
      </c>
      <c r="U5550" s="35" t="inlineStr">
        <is>
          <t>ОКВЭД + 22+</t>
        </is>
      </c>
      <c r="V5550" s="35" t="inlineStr">
        <is>
          <t>Да</t>
        </is>
      </c>
      <c r="W5550" s="35" t="inlineStr">
        <is>
          <t>Да</t>
        </is>
      </c>
      <c r="X5550" s="35" t="inlineStr">
        <is>
          <t>Да</t>
        </is>
      </c>
    </row>
    <row r="5551" ht="15" customHeight="1" s="24">
      <c r="A5551" s="13" t="n">
        <v>802454381</v>
      </c>
      <c r="B5551" s="13" t="inlineStr">
        <is>
          <t>Восточное управление ЖКС</t>
        </is>
      </c>
      <c r="C5551" s="13" t="n">
        <v>3811101580</v>
      </c>
      <c r="D5551" s="13" t="inlineStr">
        <is>
          <t>3811101580</t>
        </is>
      </c>
      <c r="E5551" s="13" t="inlineStr">
        <is>
          <t>ЮЛ РФ</t>
        </is>
      </c>
      <c r="F5551" s="13" t="n"/>
      <c r="G5551" s="52" t="n">
        <v>41</v>
      </c>
      <c r="H5551" s="52" t="n">
        <v>2025</v>
      </c>
      <c r="I5551" s="52" t="inlineStr">
        <is>
          <t>68.32.1</t>
        </is>
      </c>
      <c r="J5551" s="52" t="inlineStr">
        <is>
          <t>68.32.1; 35.12; 35.30.5; 37.00; 68.32.2; 69.20; 81.29.9</t>
        </is>
      </c>
      <c r="K5551" s="53" t="inlineStr">
        <is>
          <t>Да</t>
        </is>
      </c>
      <c r="L5551" s="53" t="inlineStr">
        <is>
          <t>Да</t>
        </is>
      </c>
      <c r="M5551" s="53" t="inlineStr">
        <is>
          <t>До 50</t>
        </is>
      </c>
      <c r="N5551" s="54" t="n">
        <v>16800</v>
      </c>
      <c r="O5551" s="55" t="inlineStr">
        <is>
          <t>31–50</t>
        </is>
      </c>
      <c r="P5551" s="16" t="inlineStr">
        <is>
          <t>ССЧР + ОКВЭД обогащены</t>
        </is>
      </c>
      <c r="Q5551" s="16" t="inlineStr">
        <is>
          <t>ФНС открытые данные ССЧР (ДатаСост 31.12.2025; набор 7707329152-sshr2019)</t>
        </is>
      </c>
      <c r="R5551" s="16" t="inlineStr">
        <is>
          <t>ЕГРЮЛ / egrul.nalog.ru (выписка)</t>
        </is>
      </c>
      <c r="S5551" t="n">
        <v>1</v>
      </c>
      <c r="T5551" s="35" t="inlineStr">
        <is>
          <t>1 — Горячий</t>
        </is>
      </c>
      <c r="U5551" s="35" t="inlineStr">
        <is>
          <t>ОКВЭД + 22+</t>
        </is>
      </c>
      <c r="V5551" s="35" t="inlineStr">
        <is>
          <t>Да</t>
        </is>
      </c>
      <c r="W5551" s="35" t="inlineStr">
        <is>
          <t>Да</t>
        </is>
      </c>
      <c r="X5551" s="35" t="inlineStr">
        <is>
          <t>Да</t>
        </is>
      </c>
    </row>
    <row r="5552" ht="15" customHeight="1" s="24">
      <c r="A5552" s="13" t="n">
        <v>801621213</v>
      </c>
      <c r="B5552" s="13" t="inlineStr">
        <is>
          <t>ООО "АРСЕНАЛ-ИРКУТСК"</t>
        </is>
      </c>
      <c r="C5552" s="13" t="n">
        <v>3808272064</v>
      </c>
      <c r="D5552" s="13" t="inlineStr">
        <is>
          <t>3808272064</t>
        </is>
      </c>
      <c r="E5552" s="13" t="inlineStr">
        <is>
          <t>ЮЛ РФ</t>
        </is>
      </c>
      <c r="F5552" s="13" t="n"/>
      <c r="G5552" s="52" t="n">
        <v>41</v>
      </c>
      <c r="H5552" s="52" t="n">
        <v>2025</v>
      </c>
      <c r="I5552" s="52" t="inlineStr">
        <is>
          <t>80.10</t>
        </is>
      </c>
      <c r="J5552" s="52" t="inlineStr">
        <is>
          <t>80.10; 80.20</t>
        </is>
      </c>
      <c r="K5552" s="53" t="inlineStr">
        <is>
          <t>Да</t>
        </is>
      </c>
      <c r="L5552" s="53" t="inlineStr">
        <is>
          <t>Да</t>
        </is>
      </c>
      <c r="M5552" s="53" t="inlineStr">
        <is>
          <t>До 50</t>
        </is>
      </c>
      <c r="N5552" s="54" t="n">
        <v>16800</v>
      </c>
      <c r="O5552" s="55" t="inlineStr">
        <is>
          <t>31–50</t>
        </is>
      </c>
      <c r="P5552" s="16" t="inlineStr">
        <is>
          <t>ССЧР + ОКВЭД обогащены</t>
        </is>
      </c>
      <c r="Q5552" s="16" t="inlineStr">
        <is>
          <t>ФНС открытые данные ССЧР (ДатаСост 31.12.2025; набор 7707329152-sshr2019)</t>
        </is>
      </c>
      <c r="R5552" s="16" t="inlineStr">
        <is>
          <t>ЕГРЮЛ / egrul.nalog.ru (выписка)</t>
        </is>
      </c>
      <c r="S5552" t="n">
        <v>1</v>
      </c>
      <c r="T5552" s="35" t="inlineStr">
        <is>
          <t>1 — Горячий</t>
        </is>
      </c>
      <c r="U5552" s="35" t="inlineStr">
        <is>
          <t>ОКВЭД + 22+</t>
        </is>
      </c>
      <c r="V5552" s="35" t="inlineStr">
        <is>
          <t>Да</t>
        </is>
      </c>
      <c r="W5552" s="35" t="inlineStr">
        <is>
          <t>Да</t>
        </is>
      </c>
      <c r="X5552" s="35" t="inlineStr">
        <is>
          <t>Да</t>
        </is>
      </c>
    </row>
    <row r="5553" ht="27.75" customHeight="1" s="24">
      <c r="A5553" s="13" t="n">
        <v>801608027</v>
      </c>
      <c r="B5553" s="13" t="inlineStr">
        <is>
          <t>Общество с ограниченной ответственностью "ИМИДЖ"</t>
        </is>
      </c>
      <c r="C5553" s="13" t="n">
        <v>317003508</v>
      </c>
      <c r="D5553" s="13" t="n"/>
      <c r="E5553" s="13" t="inlineStr">
        <is>
          <t>Не определён</t>
        </is>
      </c>
      <c r="F5553" s="13" t="inlineStr">
        <is>
          <t>317003508</t>
        </is>
      </c>
      <c r="G5553" s="14" t="n"/>
      <c r="H5553" s="14" t="n"/>
      <c r="I5553" s="14" t="n"/>
      <c r="J5553" s="14" t="n"/>
      <c r="K5553" s="13">
        <f>IF(G5553="","",IF(G5553&gt;=22,"Да","Нет"))</f>
        <v/>
      </c>
      <c r="L5553" s="13">
        <f>IF(OR(I5553="",J5553=""),"Не определено",IF(OR(COUNTIF(I5553,"45*")&gt;0,COUNTIF(J5553,"*45*")&gt;0,COUNTIF(I5553,"46*")&gt;0,COUNTIF(J5553,"*46*")&gt;0,COUNTIF(I5553,"47*")&gt;0,COUNTIF(J5553,"*47*")&gt;0,COUNTIF(I5553,"10*")&gt;0,COUNTIF(J5553,"*10*")&gt;0,COUNTIF(I5553,"11*")&gt;0,COUNTIF(J5553,"*11*")&gt;0,COUNTIF(I5553,"12*")&gt;0,COUNTIF(J5553,"*12*")&gt;0,COUNTIF(I5553,"13*")&gt;0,COUNTIF(J5553,"*13*")&gt;0,COUNTIF(I5553,"14*")&gt;0,COUNTIF(J5553,"*14*")&gt;0,COUNTIF(I5553,"15*")&gt;0,COUNTIF(J5553,"*15*")&gt;0,COUNTIF(I5553,"16*")&gt;0,COUNTIF(J5553,"*16*")&gt;0,COUNTIF(I5553,"17*")&gt;0,COUNTIF(J5553,"*17*")&gt;0,COUNTIF(I5553,"18*")&gt;0,COUNTIF(J5553,"*18*")&gt;0,COUNTIF(I5553,"19*")&gt;0,COUNTIF(J5553,"*19*")&gt;0,COUNTIF(I5553,"20*")&gt;0,COUNTIF(J5553,"*20*")&gt;0,COUNTIF(I5553,"21*")&gt;0,COUNTIF(J5553,"*21*")&gt;0,COUNTIF(I5553,"22*")&gt;0,COUNTIF(J5553,"*22*")&gt;0,COUNTIF(I5553,"23*")&gt;0,COUNTIF(J5553,"*23*")&gt;0,COUNTIF(I5553,"24*")&gt;0,COUNTIF(J5553,"*24*")&gt;0,COUNTIF(I5553,"25*")&gt;0,COUNTIF(J5553,"*25*")&gt;0,COUNTIF(I5553,"26*")&gt;0,COUNTIF(J5553,"*26*")&gt;0,COUNTIF(I5553,"27*")&gt;0,COUNTIF(J5553,"*27*")&gt;0,COUNTIF(I5553,"28*")&gt;0,COUNTIF(J5553,"*28*")&gt;0,COUNTIF(I5553,"29*")&gt;0,COUNTIF(J5553,"*29*")&gt;0,COUNTIF(I5553,"30*")&gt;0,COUNTIF(J5553,"*30*")&gt;0,COUNTIF(I5553,"31*")&gt;0,COUNTIF(J5553,"*31*")&gt;0,COUNTIF(I5553,"32*")&gt;0,COUNTIF(J5553,"*32*")&gt;0,COUNTIF(I5553,"33*")&gt;0,COUNTIF(J5553,"*33*")&gt;0,COUNTIF(I5553,"41*")&gt;0,COUNTIF(J5553,"*41*")&gt;0,COUNTIF(I5553,"42*")&gt;0,COUNTIF(J5553,"*42*")&gt;0,COUNTIF(I5553,"43*")&gt;0,COUNTIF(J5553,"*43*")&gt;0,COUNTIF(I5553,"49*")&gt;0,COUNTIF(J5553,"*49*")&gt;0,COUNTIF(I5553,"52*")&gt;0,COUNTIF(J5553,"*52*")&gt;0,COUNTIF(I5553,"55*")&gt;0,COUNTIF(J5553,"*55*")&gt;0,COUNTIF(I5553,"56*")&gt;0,COUNTIF(J5553,"*56*")&gt;0,COUNTIF(I5553,"68*")&gt;0,COUNTIF(J5553,"*68*")&gt;0,COUNTIF(I5553,"78*")&gt;0,COUNTIF(J5553,"*78*")&gt;0,COUNTIF(I5553,"81*")&gt;0,COUNTIF(J5553,"*81*")&gt;0,COUNTIF(I5553,"82*")&gt;0,COUNTIF(J5553,"*82*")&gt;0,COUNTIF(I5553,"64*")&gt;0,COUNTIF(J5553,"*64*")&gt;0,COUNTIF(I5553,"65*")&gt;0,COUNTIF(J5553,"*65*")&gt;0,COUNTIF(I5553,"66*")&gt;0,COUNTIF(J5553,"*66*")&gt;0,COUNTIF(I5553,"61*")&gt;0,COUNTIF(J5553,"*61*")&gt;0,COUNTIF(I5553,"62*")&gt;0,COUNTIF(J5553,"*62*")&gt;0,COUNTIF(I5553,"63*")&gt;0,COUNTIF(J5553,"*63*")&gt;0,COUNTIF(I5553,"85*")&gt;0,COUNTIF(J5553,"*85*")&gt;0,COUNTIF(I5553,"86*")&gt;0,COUNTIF(J5553,"*86*")&gt;0),"Да","Нет"))</f>
        <v/>
      </c>
      <c r="M5553" s="13">
        <f>IF(OR(G5553="",L5553&lt;&gt;"Да"),"",IF(G5553&lt;=100,"До 100",IF(G5553&lt;=200,"До 200",IF(G5553&lt;=500,"До 500","Отдельное КП"))))</f>
        <v/>
      </c>
      <c r="N5553" s="15">
        <f>IF(OR(G5553="",L5553&lt;&gt;"Да"),"",IF(G5553&lt;=100,33600,IF(G5553&lt;=200,62400,IF(G5553&lt;=500,144000,""))))</f>
        <v/>
      </c>
      <c r="O5553" s="16">
        <f>IF(G5553="","",IF(G5553&lt;=15,"1–15",IF(G5553&lt;=30,"16–30",IF(G5553&lt;=50,"31–50",IF(G5553&lt;=100,"51–100",IF(G5553&lt;=150,"101–150",IF(G5553&lt;=200,"151–200",IF(G5553&lt;=500,"201–500","500+"))))))))</f>
        <v/>
      </c>
      <c r="P5553" s="16" t="inlineStr">
        <is>
          <t>Нет совпадения в предоставленной выгрузке ССЧР</t>
        </is>
      </c>
      <c r="Q5553" s="16" t="n"/>
      <c r="R5553" s="16">
        <f>HYPERLINK("https://checko.ru/search?query=3801001629","Чекко: проверить")</f>
        <v/>
      </c>
      <c r="S5553" t="n">
        <v>0</v>
      </c>
    </row>
    <row r="5554" ht="15" customHeight="1" s="24">
      <c r="A5554" s="13" t="n">
        <v>800543724</v>
      </c>
      <c r="B5554" s="13" t="inlineStr">
        <is>
          <t>ГАРАНТДОРСТРОЙ ООО</t>
        </is>
      </c>
      <c r="C5554" s="13" t="n">
        <v>3811459785</v>
      </c>
      <c r="D5554" s="13" t="inlineStr">
        <is>
          <t>3811459785</t>
        </is>
      </c>
      <c r="E5554" s="13" t="inlineStr">
        <is>
          <t>ЮЛ РФ</t>
        </is>
      </c>
      <c r="F5554" s="13" t="n"/>
      <c r="G5554" s="52" t="n">
        <v>21</v>
      </c>
      <c r="H5554" s="52" t="n">
        <v>2025</v>
      </c>
      <c r="I5554" s="14" t="n"/>
      <c r="J5554" s="14" t="n"/>
      <c r="K5554" s="53" t="inlineStr">
        <is>
          <t>Нет</t>
        </is>
      </c>
      <c r="L5554" s="53" t="inlineStr">
        <is>
          <t>Не определено</t>
        </is>
      </c>
      <c r="M5554" s="53" t="inlineStr">
        <is>
          <t>До 25</t>
        </is>
      </c>
      <c r="N5554" s="54" t="n">
        <v>8400</v>
      </c>
      <c r="O5554" s="55" t="inlineStr">
        <is>
          <t>16–30</t>
        </is>
      </c>
      <c r="P5554" s="16" t="inlineStr">
        <is>
          <t>ССЧР обогащена; ОКВЭД не найден/не загружен</t>
        </is>
      </c>
      <c r="Q5554" s="16" t="inlineStr">
        <is>
          <t>ФНС открытые данные ССЧР (ДатаСост 31.12.2025; набор 7707329152-sshr2019)</t>
        </is>
      </c>
      <c r="R5554" s="16">
        <f>HYPERLINK("https://checko.ru/search?query=3801001629","Чекко: проверить")</f>
        <v/>
      </c>
      <c r="S5554" t="n">
        <v>1</v>
      </c>
      <c r="T5554" s="35" t="inlineStr">
        <is>
          <t>4 — Не обогащён</t>
        </is>
      </c>
      <c r="U5554" s="35" t="inlineStr">
        <is>
          <t>Нет ОКВЭД/ССЧР</t>
        </is>
      </c>
      <c r="V5554" s="35" t="inlineStr">
        <is>
          <t>Не определено</t>
        </is>
      </c>
      <c r="W5554" s="35" t="inlineStr">
        <is>
          <t>Нет</t>
        </is>
      </c>
      <c r="X5554" s="35" t="inlineStr"/>
    </row>
    <row r="5555" ht="27.75" customHeight="1" s="24">
      <c r="A5555" s="13" t="n">
        <v>802169967</v>
      </c>
      <c r="B5555" s="13" t="inlineStr">
        <is>
          <t>Общество с ограниченной ответственностью "Структура Света"</t>
        </is>
      </c>
      <c r="C5555" s="13" t="n">
        <v>3810058519</v>
      </c>
      <c r="D5555" s="13" t="inlineStr">
        <is>
          <t>3810058519</t>
        </is>
      </c>
      <c r="E5555" s="13" t="inlineStr">
        <is>
          <t>ЮЛ РФ</t>
        </is>
      </c>
      <c r="F5555" s="13" t="n"/>
      <c r="G5555" s="52" t="n">
        <v>22</v>
      </c>
      <c r="H5555" s="52" t="n">
        <v>2025</v>
      </c>
      <c r="I5555" s="52" t="inlineStr">
        <is>
          <t>46.69.5</t>
        </is>
      </c>
      <c r="J5555" s="52" t="inlineStr">
        <is>
          <t>46.69.5; 33.14; 33.20; 43.21; 43.29; 43.99.1; 46.15.3; 46.43.1; 46.69; 46.73; 47.42; 47.54; 49.41.1; 49.41.2; 49.41.3; 52.29; 53.20.3; 61.10.9</t>
        </is>
      </c>
      <c r="K5555" s="53" t="inlineStr">
        <is>
          <t>Да</t>
        </is>
      </c>
      <c r="L5555" s="53" t="inlineStr">
        <is>
          <t>Да</t>
        </is>
      </c>
      <c r="M5555" s="53" t="inlineStr">
        <is>
          <t>До 25</t>
        </is>
      </c>
      <c r="N5555" s="54" t="n">
        <v>8400</v>
      </c>
      <c r="O5555" s="55" t="inlineStr">
        <is>
          <t>16–30</t>
        </is>
      </c>
      <c r="P5555" s="16" t="inlineStr">
        <is>
          <t>ССЧР + ОКВЭД обогащены</t>
        </is>
      </c>
      <c r="Q5555" s="16" t="inlineStr">
        <is>
          <t>ФНС открытые данные ССЧР (ДатаСост 31.12.2025; набор 7707329152-sshr2019)</t>
        </is>
      </c>
      <c r="R5555" s="16" t="inlineStr">
        <is>
          <t>ЕГРЮЛ / egrul.nalog.ru (выписка)</t>
        </is>
      </c>
      <c r="S5555" t="n">
        <v>1</v>
      </c>
      <c r="T5555" s="35" t="inlineStr">
        <is>
          <t>1 — Горячий</t>
        </is>
      </c>
      <c r="U5555" s="35" t="inlineStr">
        <is>
          <t>ОКВЭД + 22+</t>
        </is>
      </c>
      <c r="V5555" s="35" t="inlineStr">
        <is>
          <t>Да</t>
        </is>
      </c>
      <c r="W5555" s="35" t="inlineStr">
        <is>
          <t>Да</t>
        </is>
      </c>
      <c r="X5555" s="35" t="inlineStr">
        <is>
          <t>Да</t>
        </is>
      </c>
    </row>
    <row r="5556" ht="15" customHeight="1" s="24">
      <c r="A5556" s="13" t="n">
        <v>16392699</v>
      </c>
      <c r="B5556" s="13" t="inlineStr">
        <is>
          <t>ООО "Сетевая компания "Иркут"</t>
        </is>
      </c>
      <c r="C5556" s="13" t="n">
        <v>3810035487</v>
      </c>
      <c r="D5556" s="13" t="inlineStr">
        <is>
          <t>3810035487</t>
        </is>
      </c>
      <c r="E5556" s="13" t="inlineStr">
        <is>
          <t>ЮЛ РФ</t>
        </is>
      </c>
      <c r="F5556" s="13" t="n"/>
      <c r="G5556" s="52" t="n">
        <v>359</v>
      </c>
      <c r="H5556" s="52" t="n">
        <v>2025</v>
      </c>
      <c r="I5556" s="52" t="inlineStr">
        <is>
          <t>43.22</t>
        </is>
      </c>
      <c r="J5556" s="52" t="inlineStr">
        <is>
          <t>43.22; 35.30.5; 36.00.2; 37.00; 68.32.1; 81.30; 01.61; 33.12; 33.14; 33.20; 35.12; 35.30.2; 35.30.3; 36.00.1; 42.21; 42.22.1; 42.22.2; 42.99; 43.12.3; 43.21; 43.29; 43.99.1; 45.20; 46.73.3; 46.74.2; 49.41.1; 52.29; 68.32; 68.32.2; 69.10; 71.11.1; 71.12; 71.12.3; 79.11; 82.99</t>
        </is>
      </c>
      <c r="K5556" s="53" t="inlineStr">
        <is>
          <t>Да</t>
        </is>
      </c>
      <c r="L5556" s="53" t="inlineStr">
        <is>
          <t>Да</t>
        </is>
      </c>
      <c r="M5556" s="53" t="inlineStr">
        <is>
          <t>До 500</t>
        </is>
      </c>
      <c r="N5556" s="54" t="n">
        <v>144000</v>
      </c>
      <c r="O5556" s="55" t="inlineStr">
        <is>
          <t>201–500</t>
        </is>
      </c>
      <c r="P5556" s="16" t="inlineStr">
        <is>
          <t>ССЧР + ОКВЭД обогащены</t>
        </is>
      </c>
      <c r="Q5556" s="16" t="inlineStr">
        <is>
          <t>ФНС открытые данные ССЧР (ДатаСост 31.12.2025; набор 7707329152-sshr2019)</t>
        </is>
      </c>
      <c r="R5556" s="16" t="inlineStr">
        <is>
          <t>ЕГРЮЛ / egrul.nalog.ru (выписка)</t>
        </is>
      </c>
      <c r="S5556" t="n">
        <v>1</v>
      </c>
      <c r="T5556" s="35" t="inlineStr">
        <is>
          <t>1 — Горячий</t>
        </is>
      </c>
      <c r="U5556" s="35" t="inlineStr">
        <is>
          <t>ОКВЭД + 22+</t>
        </is>
      </c>
      <c r="V5556" s="35" t="inlineStr">
        <is>
          <t>Да</t>
        </is>
      </c>
      <c r="W5556" s="35" t="inlineStr">
        <is>
          <t>Да</t>
        </is>
      </c>
      <c r="X5556" s="35" t="inlineStr">
        <is>
          <t>Да</t>
        </is>
      </c>
    </row>
    <row r="5557" ht="15" customHeight="1" s="24">
      <c r="A5557" s="13" t="n">
        <v>13216471</v>
      </c>
      <c r="B5557" s="13" t="inlineStr">
        <is>
          <t>ИП Кахаров Салом Кушматович</t>
        </is>
      </c>
      <c r="C5557" s="13" t="n">
        <v>384200656149</v>
      </c>
      <c r="D5557" s="13" t="inlineStr">
        <is>
          <t>384200656149</t>
        </is>
      </c>
      <c r="E5557" s="13" t="inlineStr">
        <is>
          <t>ИП РФ / физлицо</t>
        </is>
      </c>
      <c r="F5557" s="13" t="n"/>
      <c r="G5557" s="14" t="n"/>
      <c r="H5557" s="14" t="n"/>
      <c r="I5557" s="14" t="n"/>
      <c r="J5557" s="14" t="n"/>
      <c r="K5557" s="53" t="inlineStr"/>
      <c r="L5557" s="53" t="inlineStr">
        <is>
          <t>Не определено</t>
        </is>
      </c>
      <c r="M5557" s="53" t="inlineStr"/>
      <c r="N5557" s="54" t="inlineStr"/>
      <c r="O5557" s="55" t="inlineStr"/>
      <c r="P5557" s="16" t="inlineStr">
        <is>
          <t>Требует обогащения</t>
        </is>
      </c>
      <c r="Q5557" s="16">
        <f>HYPERLINK("https://pb.nalog.ru/search.html?query=384200656149","ФНС: проверить")</f>
        <v/>
      </c>
      <c r="R5557" s="16">
        <f>HYPERLINK("https://checko.ru/search?query=3801001629","Чекко: проверить")</f>
        <v/>
      </c>
      <c r="S5557" t="n">
        <v>1</v>
      </c>
      <c r="T5557" s="35" t="inlineStr">
        <is>
          <t>4 — Не обогащён</t>
        </is>
      </c>
      <c r="U5557" s="35" t="inlineStr">
        <is>
          <t>Нет ОКВЭД/ССЧР</t>
        </is>
      </c>
      <c r="V5557" s="35" t="inlineStr">
        <is>
          <t>Не определено</t>
        </is>
      </c>
      <c r="W5557" s="35" t="inlineStr"/>
      <c r="X5557" s="35" t="inlineStr"/>
    </row>
    <row r="5558" ht="15" customHeight="1" s="24">
      <c r="A5558" s="13" t="n">
        <v>800781401</v>
      </c>
      <c r="B5558" s="13" t="inlineStr">
        <is>
          <t>ИП Шиян Ирина Ивановна</t>
        </is>
      </c>
      <c r="C5558" s="13" t="n">
        <v>380400945912</v>
      </c>
      <c r="D5558" s="13" t="inlineStr">
        <is>
          <t>380400945912</t>
        </is>
      </c>
      <c r="E5558" s="13" t="inlineStr">
        <is>
          <t>ИП РФ / физлицо</t>
        </is>
      </c>
      <c r="F5558" s="13" t="n"/>
      <c r="G5558" s="14" t="n"/>
      <c r="H5558" s="14" t="n"/>
      <c r="I5558" s="14" t="n"/>
      <c r="J5558" s="14" t="n"/>
      <c r="K5558" s="53" t="inlineStr"/>
      <c r="L5558" s="53" t="inlineStr">
        <is>
          <t>Не определено</t>
        </is>
      </c>
      <c r="M5558" s="53" t="inlineStr"/>
      <c r="N5558" s="54" t="inlineStr"/>
      <c r="O5558" s="55" t="inlineStr"/>
      <c r="P5558" s="16" t="inlineStr">
        <is>
          <t>Требует обогащения</t>
        </is>
      </c>
      <c r="Q5558" s="16">
        <f>HYPERLINK("https://pb.nalog.ru/search.html?query=380400945912","ФНС: проверить")</f>
        <v/>
      </c>
      <c r="R5558" s="16">
        <f>HYPERLINK("https://checko.ru/search?query=3801001629","Чекко: проверить")</f>
        <v/>
      </c>
      <c r="S5558" t="n">
        <v>1</v>
      </c>
      <c r="T5558" s="35" t="inlineStr">
        <is>
          <t>4 — Не обогащён</t>
        </is>
      </c>
      <c r="U5558" s="35" t="inlineStr">
        <is>
          <t>Нет ОКВЭД/ССЧР</t>
        </is>
      </c>
      <c r="V5558" s="35" t="inlineStr">
        <is>
          <t>Не определено</t>
        </is>
      </c>
      <c r="W5558" s="35" t="inlineStr"/>
      <c r="X5558" s="35" t="inlineStr"/>
    </row>
    <row r="5559" ht="41.25" customHeight="1" s="24">
      <c r="A5559" s="13" t="n">
        <v>800520260</v>
      </c>
      <c r="B5559" s="13" t="inlineStr">
        <is>
          <t>Общество с ограниченной ответственностью УПРАВЛЯЮЩАЯ КОМПАНИЯ "ОБЩЕДОМОВЫЕ ИНЖЕНЕРНЫЕ СИСТЕМЫ"</t>
        </is>
      </c>
      <c r="C5559" s="13" t="n">
        <v>317318280</v>
      </c>
      <c r="D5559" s="13" t="n"/>
      <c r="E5559" s="13" t="inlineStr">
        <is>
          <t>Не определён</t>
        </is>
      </c>
      <c r="F5559" s="13" t="inlineStr">
        <is>
          <t>317318280</t>
        </is>
      </c>
      <c r="G5559" s="14" t="n"/>
      <c r="H5559" s="14" t="n"/>
      <c r="I5559" s="14" t="n"/>
      <c r="J5559" s="14" t="n"/>
      <c r="K5559" s="13">
        <f>IF(G5559="","",IF(G5559&gt;=22,"Да","Нет"))</f>
        <v/>
      </c>
      <c r="L5559" s="13">
        <f>IF(OR(I5559="",J5559=""),"Не определено",IF(OR(COUNTIF(I5559,"45*")&gt;0,COUNTIF(J5559,"*45*")&gt;0,COUNTIF(I5559,"46*")&gt;0,COUNTIF(J5559,"*46*")&gt;0,COUNTIF(I5559,"47*")&gt;0,COUNTIF(J5559,"*47*")&gt;0,COUNTIF(I5559,"10*")&gt;0,COUNTIF(J5559,"*10*")&gt;0,COUNTIF(I5559,"11*")&gt;0,COUNTIF(J5559,"*11*")&gt;0,COUNTIF(I5559,"12*")&gt;0,COUNTIF(J5559,"*12*")&gt;0,COUNTIF(I5559,"13*")&gt;0,COUNTIF(J5559,"*13*")&gt;0,COUNTIF(I5559,"14*")&gt;0,COUNTIF(J5559,"*14*")&gt;0,COUNTIF(I5559,"15*")&gt;0,COUNTIF(J5559,"*15*")&gt;0,COUNTIF(I5559,"16*")&gt;0,COUNTIF(J5559,"*16*")&gt;0,COUNTIF(I5559,"17*")&gt;0,COUNTIF(J5559,"*17*")&gt;0,COUNTIF(I5559,"18*")&gt;0,COUNTIF(J5559,"*18*")&gt;0,COUNTIF(I5559,"19*")&gt;0,COUNTIF(J5559,"*19*")&gt;0,COUNTIF(I5559,"20*")&gt;0,COUNTIF(J5559,"*20*")&gt;0,COUNTIF(I5559,"21*")&gt;0,COUNTIF(J5559,"*21*")&gt;0,COUNTIF(I5559,"22*")&gt;0,COUNTIF(J5559,"*22*")&gt;0,COUNTIF(I5559,"23*")&gt;0,COUNTIF(J5559,"*23*")&gt;0,COUNTIF(I5559,"24*")&gt;0,COUNTIF(J5559,"*24*")&gt;0,COUNTIF(I5559,"25*")&gt;0,COUNTIF(J5559,"*25*")&gt;0,COUNTIF(I5559,"26*")&gt;0,COUNTIF(J5559,"*26*")&gt;0,COUNTIF(I5559,"27*")&gt;0,COUNTIF(J5559,"*27*")&gt;0,COUNTIF(I5559,"28*")&gt;0,COUNTIF(J5559,"*28*")&gt;0,COUNTIF(I5559,"29*")&gt;0,COUNTIF(J5559,"*29*")&gt;0,COUNTIF(I5559,"30*")&gt;0,COUNTIF(J5559,"*30*")&gt;0,COUNTIF(I5559,"31*")&gt;0,COUNTIF(J5559,"*31*")&gt;0,COUNTIF(I5559,"32*")&gt;0,COUNTIF(J5559,"*32*")&gt;0,COUNTIF(I5559,"33*")&gt;0,COUNTIF(J5559,"*33*")&gt;0,COUNTIF(I5559,"41*")&gt;0,COUNTIF(J5559,"*41*")&gt;0,COUNTIF(I5559,"42*")&gt;0,COUNTIF(J5559,"*42*")&gt;0,COUNTIF(I5559,"43*")&gt;0,COUNTIF(J5559,"*43*")&gt;0,COUNTIF(I5559,"49*")&gt;0,COUNTIF(J5559,"*49*")&gt;0,COUNTIF(I5559,"52*")&gt;0,COUNTIF(J5559,"*52*")&gt;0,COUNTIF(I5559,"55*")&gt;0,COUNTIF(J5559,"*55*")&gt;0,COUNTIF(I5559,"56*")&gt;0,COUNTIF(J5559,"*56*")&gt;0,COUNTIF(I5559,"68*")&gt;0,COUNTIF(J5559,"*68*")&gt;0,COUNTIF(I5559,"78*")&gt;0,COUNTIF(J5559,"*78*")&gt;0,COUNTIF(I5559,"81*")&gt;0,COUNTIF(J5559,"*81*")&gt;0,COUNTIF(I5559,"82*")&gt;0,COUNTIF(J5559,"*82*")&gt;0,COUNTIF(I5559,"64*")&gt;0,COUNTIF(J5559,"*64*")&gt;0,COUNTIF(I5559,"65*")&gt;0,COUNTIF(J5559,"*65*")&gt;0,COUNTIF(I5559,"66*")&gt;0,COUNTIF(J5559,"*66*")&gt;0,COUNTIF(I5559,"61*")&gt;0,COUNTIF(J5559,"*61*")&gt;0,COUNTIF(I5559,"62*")&gt;0,COUNTIF(J5559,"*62*")&gt;0,COUNTIF(I5559,"63*")&gt;0,COUNTIF(J5559,"*63*")&gt;0,COUNTIF(I5559,"85*")&gt;0,COUNTIF(J5559,"*85*")&gt;0,COUNTIF(I5559,"86*")&gt;0,COUNTIF(J5559,"*86*")&gt;0),"Да","Нет"))</f>
        <v/>
      </c>
      <c r="M5559" s="13">
        <f>IF(OR(G5559="",L5559&lt;&gt;"Да"),"",IF(G5559&lt;=100,"До 100",IF(G5559&lt;=200,"До 200",IF(G5559&lt;=500,"До 500","Отдельное КП"))))</f>
        <v/>
      </c>
      <c r="N5559" s="15">
        <f>IF(OR(G5559="",L5559&lt;&gt;"Да"),"",IF(G5559&lt;=100,33600,IF(G5559&lt;=200,62400,IF(G5559&lt;=500,144000,""))))</f>
        <v/>
      </c>
      <c r="O5559" s="16">
        <f>IF(G5559="","",IF(G5559&lt;=15,"1–15",IF(G5559&lt;=30,"16–30",IF(G5559&lt;=50,"31–50",IF(G5559&lt;=100,"51–100",IF(G5559&lt;=150,"101–150",IF(G5559&lt;=200,"151–200",IF(G5559&lt;=500,"201–500","500+"))))))))</f>
        <v/>
      </c>
      <c r="P5559" s="16" t="inlineStr">
        <is>
          <t>Нет совпадения в предоставленной выгрузке ССЧР</t>
        </is>
      </c>
      <c r="Q5559" s="16" t="n"/>
      <c r="R5559" s="16">
        <f>HYPERLINK("https://checko.ru/search?query=3801001629","Чекко: проверить")</f>
        <v/>
      </c>
      <c r="S5559" t="n">
        <v>0</v>
      </c>
    </row>
    <row r="5560" ht="15" customHeight="1" s="24">
      <c r="A5560" s="13" t="n">
        <v>802322783</v>
      </c>
      <c r="B5560" s="13" t="inlineStr">
        <is>
          <t>ИП Шнитуленко Михаил Александрович</t>
        </is>
      </c>
      <c r="C5560" s="13" t="n">
        <v>380119097479</v>
      </c>
      <c r="D5560" s="13" t="inlineStr">
        <is>
          <t>380119097479</t>
        </is>
      </c>
      <c r="E5560" s="13" t="inlineStr">
        <is>
          <t>ИП РФ / физлицо</t>
        </is>
      </c>
      <c r="F5560" s="13" t="n"/>
      <c r="G5560" s="14" t="n"/>
      <c r="H5560" s="14" t="n"/>
      <c r="I5560" s="14" t="n"/>
      <c r="J5560" s="14" t="n"/>
      <c r="K5560" s="53" t="inlineStr"/>
      <c r="L5560" s="53" t="inlineStr">
        <is>
          <t>Не определено</t>
        </is>
      </c>
      <c r="M5560" s="53" t="inlineStr"/>
      <c r="N5560" s="54" t="inlineStr"/>
      <c r="O5560" s="55" t="inlineStr"/>
      <c r="P5560" s="16" t="inlineStr">
        <is>
          <t>Требует обогащения</t>
        </is>
      </c>
      <c r="Q5560" s="16">
        <f>HYPERLINK("https://pb.nalog.ru/search.html?query=380119097479","ФНС: проверить")</f>
        <v/>
      </c>
      <c r="R5560" s="16">
        <f>HYPERLINK("https://checko.ru/search?query=3801001629","Чекко: проверить")</f>
        <v/>
      </c>
      <c r="S5560" t="n">
        <v>1</v>
      </c>
      <c r="T5560" s="35" t="inlineStr">
        <is>
          <t>4 — Не обогащён</t>
        </is>
      </c>
      <c r="U5560" s="35" t="inlineStr">
        <is>
          <t>Нет ОКВЭД/ССЧР</t>
        </is>
      </c>
      <c r="V5560" s="35" t="inlineStr">
        <is>
          <t>Не определено</t>
        </is>
      </c>
      <c r="W5560" s="35" t="inlineStr"/>
      <c r="X5560" s="35" t="inlineStr"/>
    </row>
    <row r="5561" ht="15" customHeight="1" s="24">
      <c r="A5561" s="13" t="n">
        <v>802317189</v>
      </c>
      <c r="B5561" s="13" t="inlineStr">
        <is>
          <t>КТК ООО</t>
        </is>
      </c>
      <c r="C5561" s="13" t="n">
        <v>3808198491</v>
      </c>
      <c r="D5561" s="13" t="inlineStr">
        <is>
          <t>3808198491</t>
        </is>
      </c>
      <c r="E5561" s="13" t="inlineStr">
        <is>
          <t>ЮЛ РФ</t>
        </is>
      </c>
      <c r="F5561" s="13" t="n"/>
      <c r="G5561" s="52" t="n">
        <v>16</v>
      </c>
      <c r="H5561" s="52" t="n">
        <v>2025</v>
      </c>
      <c r="I5561" s="14" t="n"/>
      <c r="J5561" s="14" t="n"/>
      <c r="K5561" s="53" t="inlineStr">
        <is>
          <t>Нет</t>
        </is>
      </c>
      <c r="L5561" s="53" t="inlineStr">
        <is>
          <t>Не определено</t>
        </is>
      </c>
      <c r="M5561" s="53" t="inlineStr">
        <is>
          <t>До 25</t>
        </is>
      </c>
      <c r="N5561" s="54" t="n">
        <v>8400</v>
      </c>
      <c r="O5561" s="55" t="inlineStr">
        <is>
          <t>16–30</t>
        </is>
      </c>
      <c r="P5561" s="16" t="inlineStr">
        <is>
          <t>ССЧР обогащена; ОКВЭД не найден/не загружен</t>
        </is>
      </c>
      <c r="Q5561" s="16" t="inlineStr">
        <is>
          <t>ФНС открытые данные ССЧР (ДатаСост 31.12.2025; набор 7707329152-sshr2019)</t>
        </is>
      </c>
      <c r="R5561" s="16">
        <f>HYPERLINK("https://checko.ru/search?query=3801001629","Чекко: проверить")</f>
        <v/>
      </c>
      <c r="S5561" t="n">
        <v>1</v>
      </c>
      <c r="T5561" s="35" t="inlineStr">
        <is>
          <t>4 — Не обогащён</t>
        </is>
      </c>
      <c r="U5561" s="35" t="inlineStr">
        <is>
          <t>Нет ОКВЭД/ССЧР</t>
        </is>
      </c>
      <c r="V5561" s="35" t="inlineStr">
        <is>
          <t>Не определено</t>
        </is>
      </c>
      <c r="W5561" s="35" t="inlineStr">
        <is>
          <t>Нет</t>
        </is>
      </c>
      <c r="X5561" s="35" t="inlineStr"/>
    </row>
    <row r="5562" ht="15" customHeight="1" s="24">
      <c r="A5562" s="13" t="n">
        <v>9959336</v>
      </c>
      <c r="B5562" s="13" t="inlineStr">
        <is>
          <t>ЗАО "Санаторий Усть-Кут"</t>
        </is>
      </c>
      <c r="C5562" s="13" t="n">
        <v>3818000870</v>
      </c>
      <c r="D5562" s="13" t="inlineStr">
        <is>
          <t>3818000870</t>
        </is>
      </c>
      <c r="E5562" s="13" t="inlineStr">
        <is>
          <t>ЮЛ РФ</t>
        </is>
      </c>
      <c r="F5562" s="13" t="n"/>
      <c r="G5562" s="52" t="n">
        <v>56</v>
      </c>
      <c r="H5562" s="52" t="n">
        <v>2025</v>
      </c>
      <c r="I5562" s="52" t="inlineStr">
        <is>
          <t>86.90.4</t>
        </is>
      </c>
      <c r="J5562" s="52" t="inlineStr">
        <is>
          <t>86.90.4; 36.00.1; 37.00; 56.29.2; 68.20.1; 35.12; 35.30.3; 36.00.2; 46.19; 46.34.1; 47.25.2; 47.62.2; 47.71.6; 47.72.1; 47.75.1; 47.75.2; 55.10; 56.10; 56.10.1; 56.10.3; 85.41.91; 96.02</t>
        </is>
      </c>
      <c r="K5562" s="53" t="inlineStr">
        <is>
          <t>Да</t>
        </is>
      </c>
      <c r="L5562" s="53" t="inlineStr">
        <is>
          <t>Да</t>
        </is>
      </c>
      <c r="M5562" s="53" t="inlineStr">
        <is>
          <t>До 100</t>
        </is>
      </c>
      <c r="N5562" s="54" t="n">
        <v>33600</v>
      </c>
      <c r="O5562" s="55" t="inlineStr">
        <is>
          <t>51–100</t>
        </is>
      </c>
      <c r="P5562" s="16" t="inlineStr">
        <is>
          <t>ССЧР + ОКВЭД обогащены</t>
        </is>
      </c>
      <c r="Q5562" s="16" t="inlineStr">
        <is>
          <t>ФНС открытые данные ССЧР (ДатаСост 31.12.2025; набор 7707329152-sshr2019)</t>
        </is>
      </c>
      <c r="R5562" s="16" t="inlineStr">
        <is>
          <t>ЕГРЮЛ / egrul.nalog.ru (выписка)</t>
        </is>
      </c>
      <c r="S5562" t="n">
        <v>1</v>
      </c>
      <c r="T5562" s="35" t="inlineStr">
        <is>
          <t>1 — Горячий</t>
        </is>
      </c>
      <c r="U5562" s="35" t="inlineStr">
        <is>
          <t>ОКВЭД + 22+</t>
        </is>
      </c>
      <c r="V5562" s="35" t="inlineStr">
        <is>
          <t>Да</t>
        </is>
      </c>
      <c r="W5562" s="35" t="inlineStr">
        <is>
          <t>Да</t>
        </is>
      </c>
      <c r="X5562" s="35" t="inlineStr">
        <is>
          <t>Да</t>
        </is>
      </c>
    </row>
    <row r="5563" ht="15" customHeight="1" s="24">
      <c r="A5563" s="13" t="n">
        <v>804712207</v>
      </c>
      <c r="B5563" s="13" t="inlineStr">
        <is>
          <t>ООО "СТРУКТУРА СИБИРИ"</t>
        </is>
      </c>
      <c r="C5563" s="13" t="n">
        <v>3804045342</v>
      </c>
      <c r="D5563" s="13" t="inlineStr">
        <is>
          <t>3804045342</t>
        </is>
      </c>
      <c r="E5563" s="13" t="inlineStr">
        <is>
          <t>ЮЛ РФ</t>
        </is>
      </c>
      <c r="F5563" s="13" t="n"/>
      <c r="G5563" s="52" t="n">
        <v>19</v>
      </c>
      <c r="H5563" s="52" t="n">
        <v>2025</v>
      </c>
      <c r="I5563" s="14" t="n"/>
      <c r="J5563" s="14" t="n"/>
      <c r="K5563" s="53" t="inlineStr">
        <is>
          <t>Нет</t>
        </is>
      </c>
      <c r="L5563" s="53" t="inlineStr">
        <is>
          <t>Не определено</t>
        </is>
      </c>
      <c r="M5563" s="53" t="inlineStr">
        <is>
          <t>До 25</t>
        </is>
      </c>
      <c r="N5563" s="54" t="n">
        <v>8400</v>
      </c>
      <c r="O5563" s="55" t="inlineStr">
        <is>
          <t>16–30</t>
        </is>
      </c>
      <c r="P5563" s="16" t="inlineStr">
        <is>
          <t>ССЧР обогащена; ОКВЭД не найден/не загружен</t>
        </is>
      </c>
      <c r="Q5563" s="16" t="inlineStr">
        <is>
          <t>ФНС открытые данные ССЧР (ДатаСост 31.12.2025; набор 7707329152-sshr2019)</t>
        </is>
      </c>
      <c r="R5563" s="16">
        <f>HYPERLINK("https://checko.ru/search?query=3801001629","Чекко: проверить")</f>
        <v/>
      </c>
      <c r="S5563" t="n">
        <v>1</v>
      </c>
      <c r="T5563" s="35" t="inlineStr">
        <is>
          <t>4 — Не обогащён</t>
        </is>
      </c>
      <c r="U5563" s="35" t="inlineStr">
        <is>
          <t>Нет ОКВЭД/ССЧР</t>
        </is>
      </c>
      <c r="V5563" s="35" t="inlineStr">
        <is>
          <t>Не определено</t>
        </is>
      </c>
      <c r="W5563" s="35" t="inlineStr">
        <is>
          <t>Нет</t>
        </is>
      </c>
      <c r="X5563" s="35" t="inlineStr"/>
    </row>
    <row r="5564" ht="15" customHeight="1" s="24">
      <c r="A5564" s="13" t="n">
        <v>800614068</v>
      </c>
      <c r="B5564" s="13" t="inlineStr">
        <is>
          <t>ТЕПЛОВОДОКАНАЛ ООО</t>
        </is>
      </c>
      <c r="C5564" s="13" t="n">
        <v>3818048128</v>
      </c>
      <c r="D5564" s="13" t="inlineStr">
        <is>
          <t>3818048128</t>
        </is>
      </c>
      <c r="E5564" s="13" t="inlineStr">
        <is>
          <t>ЮЛ РФ</t>
        </is>
      </c>
      <c r="F5564" s="13" t="n"/>
      <c r="G5564" s="52" t="n">
        <v>28</v>
      </c>
      <c r="H5564" s="52" t="n">
        <v>2025</v>
      </c>
      <c r="I5564" s="52" t="inlineStr">
        <is>
          <t>36.00.1</t>
        </is>
      </c>
      <c r="J5564" s="52" t="inlineStr">
        <is>
          <t>36.00.1; 35.11.1; 35.30.2; 35.30.3; 35.30.4; 35.30.5; 35.30.14; 36.00.2; 37.00; 38.11; 38.12; 41.20; 42.11; 49.20.9; 49.41.1; 49.41.2; 49.41.3; 52.21.22; 68.32; 68.32.1; 68.32.2; 81.29.9</t>
        </is>
      </c>
      <c r="K5564" s="53" t="inlineStr">
        <is>
          <t>Да</t>
        </is>
      </c>
      <c r="L5564" s="53" t="inlineStr">
        <is>
          <t>Да</t>
        </is>
      </c>
      <c r="M5564" s="53" t="inlineStr">
        <is>
          <t>До 50</t>
        </is>
      </c>
      <c r="N5564" s="54" t="n">
        <v>16800</v>
      </c>
      <c r="O5564" s="55" t="inlineStr">
        <is>
          <t>16–30</t>
        </is>
      </c>
      <c r="P5564" s="16" t="inlineStr">
        <is>
          <t>ССЧР + ОКВЭД обогащены</t>
        </is>
      </c>
      <c r="Q5564" s="16" t="inlineStr">
        <is>
          <t>ФНС открытые данные ССЧР (ДатаСост 31.12.2025; набор 7707329152-sshr2019)</t>
        </is>
      </c>
      <c r="R5564" s="16" t="inlineStr">
        <is>
          <t>ЕГРЮЛ / egrul.nalog.ru (выписка)</t>
        </is>
      </c>
      <c r="S5564" t="n">
        <v>1</v>
      </c>
      <c r="T5564" s="35" t="inlineStr">
        <is>
          <t>1 — Горячий</t>
        </is>
      </c>
      <c r="U5564" s="35" t="inlineStr">
        <is>
          <t>ОКВЭД + 22+</t>
        </is>
      </c>
      <c r="V5564" s="35" t="inlineStr">
        <is>
          <t>Да</t>
        </is>
      </c>
      <c r="W5564" s="35" t="inlineStr">
        <is>
          <t>Да</t>
        </is>
      </c>
      <c r="X5564" s="35" t="inlineStr">
        <is>
          <t>Да</t>
        </is>
      </c>
    </row>
    <row r="5565" ht="15" customHeight="1" s="24">
      <c r="A5565" s="13" t="n">
        <v>802462854</v>
      </c>
      <c r="B5565" s="13" t="inlineStr">
        <is>
          <t>ООО "ВАШ БУХГАЛТЕР"</t>
        </is>
      </c>
      <c r="C5565" s="13" t="n">
        <v>3808104158</v>
      </c>
      <c r="D5565" s="13" t="inlineStr">
        <is>
          <t>3808104158</t>
        </is>
      </c>
      <c r="E5565" s="13" t="inlineStr">
        <is>
          <t>ЮЛ РФ</t>
        </is>
      </c>
      <c r="F5565" s="13" t="n"/>
      <c r="G5565" s="52" t="n">
        <v>2</v>
      </c>
      <c r="H5565" s="52" t="n">
        <v>2025</v>
      </c>
      <c r="I5565" s="14" t="n"/>
      <c r="J5565" s="14" t="n"/>
      <c r="K5565" s="53" t="inlineStr">
        <is>
          <t>Нет</t>
        </is>
      </c>
      <c r="L5565" s="53" t="inlineStr">
        <is>
          <t>Не определено</t>
        </is>
      </c>
      <c r="M5565" s="53" t="inlineStr">
        <is>
          <t>До 10</t>
        </is>
      </c>
      <c r="N5565" s="54" t="n">
        <v>3360</v>
      </c>
      <c r="O5565" s="55" t="inlineStr">
        <is>
          <t>1–15</t>
        </is>
      </c>
      <c r="P5565" s="16" t="inlineStr">
        <is>
          <t>ССЧР обогащена; ОКВЭД не найден/не загружен</t>
        </is>
      </c>
      <c r="Q5565" s="16" t="inlineStr">
        <is>
          <t>ФНС открытые данные ССЧР (ДатаСост 31.12.2025; набор 7707329152-sshr2019)</t>
        </is>
      </c>
      <c r="R5565" s="16">
        <f>HYPERLINK("https://checko.ru/search?query=3801001629","Чекко: проверить")</f>
        <v/>
      </c>
      <c r="S5565" t="n">
        <v>1</v>
      </c>
      <c r="T5565" s="35" t="inlineStr">
        <is>
          <t>4 — Не обогащён</t>
        </is>
      </c>
      <c r="U5565" s="35" t="inlineStr">
        <is>
          <t>Нет ОКВЭД/ССЧР</t>
        </is>
      </c>
      <c r="V5565" s="35" t="inlineStr">
        <is>
          <t>Не определено</t>
        </is>
      </c>
      <c r="W5565" s="35" t="inlineStr">
        <is>
          <t>Нет</t>
        </is>
      </c>
      <c r="X5565" s="35" t="inlineStr"/>
    </row>
    <row r="5566" ht="15" customHeight="1" s="24">
      <c r="A5566" s="13" t="n">
        <v>10637681</v>
      </c>
      <c r="B5566" s="13" t="inlineStr">
        <is>
          <t>СЗ Танар, ООО</t>
        </is>
      </c>
      <c r="C5566" s="13" t="n">
        <v>3812002127</v>
      </c>
      <c r="D5566" s="13" t="inlineStr">
        <is>
          <t>3812002127</t>
        </is>
      </c>
      <c r="E5566" s="13" t="inlineStr">
        <is>
          <t>ЮЛ РФ</t>
        </is>
      </c>
      <c r="F5566" s="13" t="n"/>
      <c r="G5566" s="52" t="n">
        <v>21</v>
      </c>
      <c r="H5566" s="52" t="n">
        <v>2025</v>
      </c>
      <c r="I5566" s="14" t="n"/>
      <c r="J5566" s="14" t="n"/>
      <c r="K5566" s="53" t="inlineStr">
        <is>
          <t>Нет</t>
        </is>
      </c>
      <c r="L5566" s="53" t="inlineStr">
        <is>
          <t>Не определено</t>
        </is>
      </c>
      <c r="M5566" s="53" t="inlineStr">
        <is>
          <t>До 25</t>
        </is>
      </c>
      <c r="N5566" s="54" t="n">
        <v>8400</v>
      </c>
      <c r="O5566" s="55" t="inlineStr">
        <is>
          <t>16–30</t>
        </is>
      </c>
      <c r="P5566" s="16" t="inlineStr">
        <is>
          <t>ССЧР обогащена; ОКВЭД не найден/не загружен</t>
        </is>
      </c>
      <c r="Q5566" s="16" t="inlineStr">
        <is>
          <t>ФНС открытые данные ССЧР (ДатаСост 31.12.2025; набор 7707329152-sshr2019)</t>
        </is>
      </c>
      <c r="R5566" s="16">
        <f>HYPERLINK("https://checko.ru/search?query=3801001629","Чекко: проверить")</f>
        <v/>
      </c>
      <c r="S5566" t="n">
        <v>1</v>
      </c>
      <c r="T5566" s="35" t="inlineStr">
        <is>
          <t>4 — Не обогащён</t>
        </is>
      </c>
      <c r="U5566" s="35" t="inlineStr">
        <is>
          <t>Нет ОКВЭД/ССЧР</t>
        </is>
      </c>
      <c r="V5566" s="35" t="inlineStr">
        <is>
          <t>Не определено</t>
        </is>
      </c>
      <c r="W5566" s="35" t="inlineStr">
        <is>
          <t>Нет</t>
        </is>
      </c>
      <c r="X5566" s="35" t="inlineStr"/>
    </row>
    <row r="5567" ht="15" customHeight="1" s="24">
      <c r="A5567" s="13" t="n">
        <v>9847199</v>
      </c>
      <c r="B5567" s="13" t="inlineStr">
        <is>
          <t>ООО "Аква-Люкс"</t>
        </is>
      </c>
      <c r="C5567" s="13" t="n">
        <v>3849003350</v>
      </c>
      <c r="D5567" s="13" t="inlineStr">
        <is>
          <t>3849003350</t>
        </is>
      </c>
      <c r="E5567" s="13" t="inlineStr">
        <is>
          <t>ЮЛ РФ</t>
        </is>
      </c>
      <c r="F5567" s="13" t="n"/>
      <c r="G5567" s="52" t="n">
        <v>11</v>
      </c>
      <c r="H5567" s="52" t="n">
        <v>2025</v>
      </c>
      <c r="I5567" s="14" t="n"/>
      <c r="J5567" s="14" t="n"/>
      <c r="K5567" s="53" t="inlineStr">
        <is>
          <t>Нет</t>
        </is>
      </c>
      <c r="L5567" s="53" t="inlineStr">
        <is>
          <t>Не определено</t>
        </is>
      </c>
      <c r="M5567" s="53" t="inlineStr">
        <is>
          <t>До 25</t>
        </is>
      </c>
      <c r="N5567" s="54" t="n">
        <v>8400</v>
      </c>
      <c r="O5567" s="55" t="inlineStr">
        <is>
          <t>1–15</t>
        </is>
      </c>
      <c r="P5567" s="16" t="inlineStr">
        <is>
          <t>ССЧР обогащена; ОКВЭД не найден/не загружен</t>
        </is>
      </c>
      <c r="Q5567" s="16" t="inlineStr">
        <is>
          <t>ФНС открытые данные ССЧР (ДатаСост 31.12.2025; набор 7707329152-sshr2019)</t>
        </is>
      </c>
      <c r="R5567" s="16">
        <f>HYPERLINK("https://checko.ru/search?query=3801001629","Чекко: проверить")</f>
        <v/>
      </c>
      <c r="S5567" t="n">
        <v>1</v>
      </c>
      <c r="T5567" s="35" t="inlineStr">
        <is>
          <t>4 — Не обогащён</t>
        </is>
      </c>
      <c r="U5567" s="35" t="inlineStr">
        <is>
          <t>Нет ОКВЭД/ССЧР</t>
        </is>
      </c>
      <c r="V5567" s="35" t="inlineStr">
        <is>
          <t>Не определено</t>
        </is>
      </c>
      <c r="W5567" s="35" t="inlineStr">
        <is>
          <t>Нет</t>
        </is>
      </c>
      <c r="X5567" s="35" t="inlineStr"/>
    </row>
    <row r="5568" ht="15" customHeight="1" s="24">
      <c r="A5568" s="13" t="n">
        <v>800055433</v>
      </c>
      <c r="B5568" s="13" t="inlineStr">
        <is>
          <t>ООО "Управляющая компания "Колмар"</t>
        </is>
      </c>
      <c r="C5568" s="13" t="n">
        <v>7701924275</v>
      </c>
      <c r="D5568" s="13" t="inlineStr">
        <is>
          <t>7701924275</t>
        </is>
      </c>
      <c r="E5568" s="13" t="inlineStr">
        <is>
          <t>ЮЛ РФ</t>
        </is>
      </c>
      <c r="F5568" s="13" t="n"/>
      <c r="G5568" s="14" t="n"/>
      <c r="H5568" s="14" t="n"/>
      <c r="I5568" s="14" t="n"/>
      <c r="J5568" s="14" t="n"/>
      <c r="K5568" s="53" t="inlineStr"/>
      <c r="L5568" s="53" t="inlineStr">
        <is>
          <t>Не определено</t>
        </is>
      </c>
      <c r="M5568" s="53" t="inlineStr"/>
      <c r="N5568" s="54" t="inlineStr"/>
      <c r="O5568" s="55" t="inlineStr"/>
      <c r="P5568" s="16" t="inlineStr">
        <is>
          <t>Требует обогащения</t>
        </is>
      </c>
      <c r="Q5568" s="16">
        <f>HYPERLINK("https://pb.nalog.ru/search.html?query=7701924275","ФНС: проверить")</f>
        <v/>
      </c>
      <c r="R5568" s="16">
        <f>HYPERLINK("https://checko.ru/search?query=3801001629","Чекко: проверить")</f>
        <v/>
      </c>
      <c r="S5568" t="n">
        <v>1</v>
      </c>
      <c r="T5568" s="35" t="inlineStr">
        <is>
          <t>4 — Не обогащён</t>
        </is>
      </c>
      <c r="U5568" s="35" t="inlineStr">
        <is>
          <t>Нет ОКВЭД/ССЧР</t>
        </is>
      </c>
      <c r="V5568" s="35" t="inlineStr">
        <is>
          <t>Не определено</t>
        </is>
      </c>
      <c r="W5568" s="35" t="inlineStr"/>
      <c r="X5568" s="35" t="inlineStr"/>
    </row>
    <row r="5569" ht="15" customHeight="1" s="24">
      <c r="A5569" s="13" t="n">
        <v>9130210</v>
      </c>
      <c r="B5569" s="13" t="inlineStr">
        <is>
          <t>ООО "СПЕЦАВТО"</t>
        </is>
      </c>
      <c r="C5569" s="13" t="n">
        <v>3818018758</v>
      </c>
      <c r="D5569" s="13" t="inlineStr">
        <is>
          <t>3818018758</t>
        </is>
      </c>
      <c r="E5569" s="13" t="inlineStr">
        <is>
          <t>ЮЛ РФ</t>
        </is>
      </c>
      <c r="F5569" s="13" t="n"/>
      <c r="G5569" s="52" t="n">
        <v>30</v>
      </c>
      <c r="H5569" s="52" t="n">
        <v>2025</v>
      </c>
      <c r="I5569" s="52" t="inlineStr">
        <is>
          <t>38.12</t>
        </is>
      </c>
      <c r="J5569" s="52" t="inlineStr">
        <is>
          <t>38.12; 37.00; 38.11; 38.21; 38.22; 52.10; 52.24</t>
        </is>
      </c>
      <c r="K5569" s="53" t="inlineStr">
        <is>
          <t>Да</t>
        </is>
      </c>
      <c r="L5569" s="53" t="inlineStr">
        <is>
          <t>Да</t>
        </is>
      </c>
      <c r="M5569" s="53" t="inlineStr">
        <is>
          <t>До 50</t>
        </is>
      </c>
      <c r="N5569" s="54" t="n">
        <v>16800</v>
      </c>
      <c r="O5569" s="55" t="inlineStr">
        <is>
          <t>16–30</t>
        </is>
      </c>
      <c r="P5569" s="16" t="inlineStr">
        <is>
          <t>ССЧР + ОКВЭД обогащены</t>
        </is>
      </c>
      <c r="Q5569" s="16" t="inlineStr">
        <is>
          <t>ФНС открытые данные ССЧР (ДатаСост 31.12.2025; набор 7707329152-sshr2019)</t>
        </is>
      </c>
      <c r="R5569" s="16" t="inlineStr">
        <is>
          <t>ЕГРЮЛ / egrul.nalog.ru (выписка)</t>
        </is>
      </c>
      <c r="S5569" t="n">
        <v>1</v>
      </c>
      <c r="T5569" s="35" t="inlineStr">
        <is>
          <t>1 — Горячий</t>
        </is>
      </c>
      <c r="U5569" s="35" t="inlineStr">
        <is>
          <t>ОКВЭД + 22+</t>
        </is>
      </c>
      <c r="V5569" s="35" t="inlineStr">
        <is>
          <t>Да</t>
        </is>
      </c>
      <c r="W5569" s="35" t="inlineStr">
        <is>
          <t>Да</t>
        </is>
      </c>
      <c r="X5569" s="35" t="inlineStr">
        <is>
          <t>Да</t>
        </is>
      </c>
    </row>
    <row r="5570" ht="15" customHeight="1" s="24">
      <c r="A5570" s="13" t="n">
        <v>800447696</v>
      </c>
      <c r="B5570" s="13" t="inlineStr">
        <is>
          <t>СибирьТрансСтрой</t>
        </is>
      </c>
      <c r="C5570" s="13" t="n">
        <v>3811148211</v>
      </c>
      <c r="D5570" s="13" t="inlineStr">
        <is>
          <t>3811148211</t>
        </is>
      </c>
      <c r="E5570" s="13" t="inlineStr">
        <is>
          <t>ЮЛ РФ</t>
        </is>
      </c>
      <c r="F5570" s="13" t="n"/>
      <c r="G5570" s="52" t="n">
        <v>16</v>
      </c>
      <c r="H5570" s="52" t="n">
        <v>2025</v>
      </c>
      <c r="I5570" s="14" t="n"/>
      <c r="J5570" s="14" t="n"/>
      <c r="K5570" s="53" t="inlineStr">
        <is>
          <t>Нет</t>
        </is>
      </c>
      <c r="L5570" s="53" t="inlineStr">
        <is>
          <t>Не определено</t>
        </is>
      </c>
      <c r="M5570" s="53" t="inlineStr">
        <is>
          <t>До 25</t>
        </is>
      </c>
      <c r="N5570" s="54" t="n">
        <v>8400</v>
      </c>
      <c r="O5570" s="55" t="inlineStr">
        <is>
          <t>16–30</t>
        </is>
      </c>
      <c r="P5570" s="16" t="inlineStr">
        <is>
          <t>ССЧР обогащена; ОКВЭД не найден/не загружен</t>
        </is>
      </c>
      <c r="Q5570" s="16" t="inlineStr">
        <is>
          <t>ФНС открытые данные ССЧР (ДатаСост 31.12.2025; набор 7707329152-sshr2019)</t>
        </is>
      </c>
      <c r="R5570" s="16">
        <f>HYPERLINK("https://checko.ru/search?query=3801001629","Чекко: проверить")</f>
        <v/>
      </c>
      <c r="S5570" t="n">
        <v>1</v>
      </c>
      <c r="T5570" s="35" t="inlineStr">
        <is>
          <t>4 — Не обогащён</t>
        </is>
      </c>
      <c r="U5570" s="35" t="inlineStr">
        <is>
          <t>Нет ОКВЭД/ССЧР</t>
        </is>
      </c>
      <c r="V5570" s="35" t="inlineStr">
        <is>
          <t>Не определено</t>
        </is>
      </c>
      <c r="W5570" s="35" t="inlineStr">
        <is>
          <t>Нет</t>
        </is>
      </c>
      <c r="X5570" s="35" t="inlineStr"/>
    </row>
    <row r="5571" ht="15" customHeight="1" s="24">
      <c r="A5571" s="13" t="n">
        <v>800514147</v>
      </c>
      <c r="B5571" s="13" t="inlineStr">
        <is>
          <t>ООО "Торговый дом "Виндзор"</t>
        </is>
      </c>
      <c r="C5571" s="13" t="n">
        <v>5406647285</v>
      </c>
      <c r="D5571" s="13" t="inlineStr">
        <is>
          <t>5406647285</t>
        </is>
      </c>
      <c r="E5571" s="13" t="inlineStr">
        <is>
          <t>ЮЛ РФ</t>
        </is>
      </c>
      <c r="F5571" s="13" t="n"/>
      <c r="G5571" s="52" t="n">
        <v>2</v>
      </c>
      <c r="H5571" s="52" t="n">
        <v>2025</v>
      </c>
      <c r="I5571" s="14" t="n"/>
      <c r="J5571" s="14" t="n"/>
      <c r="K5571" s="53" t="inlineStr">
        <is>
          <t>Нет</t>
        </is>
      </c>
      <c r="L5571" s="53" t="inlineStr">
        <is>
          <t>Не определено</t>
        </is>
      </c>
      <c r="M5571" s="53" t="inlineStr">
        <is>
          <t>До 10</t>
        </is>
      </c>
      <c r="N5571" s="54" t="n">
        <v>3360</v>
      </c>
      <c r="O5571" s="55" t="inlineStr">
        <is>
          <t>1–15</t>
        </is>
      </c>
      <c r="P5571" s="16" t="inlineStr">
        <is>
          <t>ССЧР обогащена; ОКВЭД не найден/не загружен</t>
        </is>
      </c>
      <c r="Q5571" s="16" t="inlineStr">
        <is>
          <t>ФНС открытые данные ССЧР (ДатаСост 31.12.2025; набор 7707329152-sshr2019)</t>
        </is>
      </c>
      <c r="R5571" s="16">
        <f>HYPERLINK("https://checko.ru/search?query=3801001629","Чекко: проверить")</f>
        <v/>
      </c>
      <c r="S5571" t="n">
        <v>1</v>
      </c>
      <c r="T5571" s="35" t="inlineStr">
        <is>
          <t>4 — Не обогащён</t>
        </is>
      </c>
      <c r="U5571" s="35" t="inlineStr">
        <is>
          <t>Нет ОКВЭД/ССЧР</t>
        </is>
      </c>
      <c r="V5571" s="35" t="inlineStr">
        <is>
          <t>Не определено</t>
        </is>
      </c>
      <c r="W5571" s="35" t="inlineStr">
        <is>
          <t>Нет</t>
        </is>
      </c>
      <c r="X5571" s="35" t="inlineStr"/>
    </row>
    <row r="5572" ht="15" customHeight="1" s="24">
      <c r="A5572" s="13" t="n">
        <v>801624588</v>
      </c>
      <c r="B5572" s="13" t="inlineStr">
        <is>
          <t>ООО Ресурс</t>
        </is>
      </c>
      <c r="C5572" s="13" t="n">
        <v>326554090</v>
      </c>
      <c r="D5572" s="13" t="n"/>
      <c r="E5572" s="13" t="inlineStr">
        <is>
          <t>Не определён</t>
        </is>
      </c>
      <c r="F5572" s="13" t="inlineStr">
        <is>
          <t>326554090</t>
        </is>
      </c>
      <c r="G5572" s="14" t="n"/>
      <c r="H5572" s="14" t="n"/>
      <c r="I5572" s="14" t="n"/>
      <c r="J5572" s="14" t="n"/>
      <c r="K5572" s="13">
        <f>IF(G5572="","",IF(G5572&gt;=22,"Да","Нет"))</f>
        <v/>
      </c>
      <c r="L5572" s="13">
        <f>IF(OR(I5572="",J5572=""),"Не определено",IF(OR(COUNTIF(I5572,"45*")&gt;0,COUNTIF(J5572,"*45*")&gt;0,COUNTIF(I5572,"46*")&gt;0,COUNTIF(J5572,"*46*")&gt;0,COUNTIF(I5572,"47*")&gt;0,COUNTIF(J5572,"*47*")&gt;0,COUNTIF(I5572,"10*")&gt;0,COUNTIF(J5572,"*10*")&gt;0,COUNTIF(I5572,"11*")&gt;0,COUNTIF(J5572,"*11*")&gt;0,COUNTIF(I5572,"12*")&gt;0,COUNTIF(J5572,"*12*")&gt;0,COUNTIF(I5572,"13*")&gt;0,COUNTIF(J5572,"*13*")&gt;0,COUNTIF(I5572,"14*")&gt;0,COUNTIF(J5572,"*14*")&gt;0,COUNTIF(I5572,"15*")&gt;0,COUNTIF(J5572,"*15*")&gt;0,COUNTIF(I5572,"16*")&gt;0,COUNTIF(J5572,"*16*")&gt;0,COUNTIF(I5572,"17*")&gt;0,COUNTIF(J5572,"*17*")&gt;0,COUNTIF(I5572,"18*")&gt;0,COUNTIF(J5572,"*18*")&gt;0,COUNTIF(I5572,"19*")&gt;0,COUNTIF(J5572,"*19*")&gt;0,COUNTIF(I5572,"20*")&gt;0,COUNTIF(J5572,"*20*")&gt;0,COUNTIF(I5572,"21*")&gt;0,COUNTIF(J5572,"*21*")&gt;0,COUNTIF(I5572,"22*")&gt;0,COUNTIF(J5572,"*22*")&gt;0,COUNTIF(I5572,"23*")&gt;0,COUNTIF(J5572,"*23*")&gt;0,COUNTIF(I5572,"24*")&gt;0,COUNTIF(J5572,"*24*")&gt;0,COUNTIF(I5572,"25*")&gt;0,COUNTIF(J5572,"*25*")&gt;0,COUNTIF(I5572,"26*")&gt;0,COUNTIF(J5572,"*26*")&gt;0,COUNTIF(I5572,"27*")&gt;0,COUNTIF(J5572,"*27*")&gt;0,COUNTIF(I5572,"28*")&gt;0,COUNTIF(J5572,"*28*")&gt;0,COUNTIF(I5572,"29*")&gt;0,COUNTIF(J5572,"*29*")&gt;0,COUNTIF(I5572,"30*")&gt;0,COUNTIF(J5572,"*30*")&gt;0,COUNTIF(I5572,"31*")&gt;0,COUNTIF(J5572,"*31*")&gt;0,COUNTIF(I5572,"32*")&gt;0,COUNTIF(J5572,"*32*")&gt;0,COUNTIF(I5572,"33*")&gt;0,COUNTIF(J5572,"*33*")&gt;0,COUNTIF(I5572,"41*")&gt;0,COUNTIF(J5572,"*41*")&gt;0,COUNTIF(I5572,"42*")&gt;0,COUNTIF(J5572,"*42*")&gt;0,COUNTIF(I5572,"43*")&gt;0,COUNTIF(J5572,"*43*")&gt;0,COUNTIF(I5572,"49*")&gt;0,COUNTIF(J5572,"*49*")&gt;0,COUNTIF(I5572,"52*")&gt;0,COUNTIF(J5572,"*52*")&gt;0,COUNTIF(I5572,"55*")&gt;0,COUNTIF(J5572,"*55*")&gt;0,COUNTIF(I5572,"56*")&gt;0,COUNTIF(J5572,"*56*")&gt;0,COUNTIF(I5572,"68*")&gt;0,COUNTIF(J5572,"*68*")&gt;0,COUNTIF(I5572,"78*")&gt;0,COUNTIF(J5572,"*78*")&gt;0,COUNTIF(I5572,"81*")&gt;0,COUNTIF(J5572,"*81*")&gt;0,COUNTIF(I5572,"82*")&gt;0,COUNTIF(J5572,"*82*")&gt;0,COUNTIF(I5572,"64*")&gt;0,COUNTIF(J5572,"*64*")&gt;0,COUNTIF(I5572,"65*")&gt;0,COUNTIF(J5572,"*65*")&gt;0,COUNTIF(I5572,"66*")&gt;0,COUNTIF(J5572,"*66*")&gt;0,COUNTIF(I5572,"61*")&gt;0,COUNTIF(J5572,"*61*")&gt;0,COUNTIF(I5572,"62*")&gt;0,COUNTIF(J5572,"*62*")&gt;0,COUNTIF(I5572,"63*")&gt;0,COUNTIF(J5572,"*63*")&gt;0,COUNTIF(I5572,"85*")&gt;0,COUNTIF(J5572,"*85*")&gt;0,COUNTIF(I5572,"86*")&gt;0,COUNTIF(J5572,"*86*")&gt;0),"Да","Нет"))</f>
        <v/>
      </c>
      <c r="M5572" s="13">
        <f>IF(OR(G5572="",L5572&lt;&gt;"Да"),"",IF(G5572&lt;=100,"До 100",IF(G5572&lt;=200,"До 200",IF(G5572&lt;=500,"До 500","Отдельное КП"))))</f>
        <v/>
      </c>
      <c r="N5572" s="15">
        <f>IF(OR(G5572="",L5572&lt;&gt;"Да"),"",IF(G5572&lt;=100,33600,IF(G5572&lt;=200,62400,IF(G5572&lt;=500,144000,""))))</f>
        <v/>
      </c>
      <c r="O5572" s="16">
        <f>IF(G5572="","",IF(G5572&lt;=15,"1–15",IF(G5572&lt;=30,"16–30",IF(G5572&lt;=50,"31–50",IF(G5572&lt;=100,"51–100",IF(G5572&lt;=150,"101–150",IF(G5572&lt;=200,"151–200",IF(G5572&lt;=500,"201–500","500+"))))))))</f>
        <v/>
      </c>
      <c r="P5572" s="16" t="inlineStr">
        <is>
          <t>Нет совпадения в предоставленной выгрузке ССЧР</t>
        </is>
      </c>
      <c r="Q5572" s="16" t="n"/>
      <c r="R5572" s="16">
        <f>HYPERLINK("https://checko.ru/search?query=3801001629","Чекко: проверить")</f>
        <v/>
      </c>
      <c r="S5572" t="n">
        <v>0</v>
      </c>
    </row>
    <row r="5573" ht="41.25" customHeight="1" s="24">
      <c r="A5573" s="13" t="n">
        <v>801625392</v>
      </c>
      <c r="B5573" s="13" t="inlineStr">
        <is>
          <t>Общество с ограниченной ответственностью "ПРИДОРОЖНЫЙ МНОГОФУНКЦИОНАЛЬНЫЙ КОМПЛЕКС"</t>
        </is>
      </c>
      <c r="C5573" s="13" t="n">
        <v>1434049018</v>
      </c>
      <c r="D5573" s="13" t="inlineStr">
        <is>
          <t>1434049018</t>
        </is>
      </c>
      <c r="E5573" s="13" t="inlineStr">
        <is>
          <t>ЮЛ РФ</t>
        </is>
      </c>
      <c r="F5573" s="13" t="n"/>
      <c r="G5573" s="52" t="n">
        <v>2</v>
      </c>
      <c r="H5573" s="52" t="n">
        <v>2025</v>
      </c>
      <c r="I5573" s="14" t="n"/>
      <c r="J5573" s="14" t="n"/>
      <c r="K5573" s="53" t="inlineStr">
        <is>
          <t>Нет</t>
        </is>
      </c>
      <c r="L5573" s="53" t="inlineStr">
        <is>
          <t>Не определено</t>
        </is>
      </c>
      <c r="M5573" s="53" t="inlineStr">
        <is>
          <t>До 10</t>
        </is>
      </c>
      <c r="N5573" s="54" t="n">
        <v>3360</v>
      </c>
      <c r="O5573" s="55" t="inlineStr">
        <is>
          <t>1–15</t>
        </is>
      </c>
      <c r="P5573" s="16" t="inlineStr">
        <is>
          <t>ССЧР обогащена; ОКВЭД не найден/не загружен</t>
        </is>
      </c>
      <c r="Q5573" s="16" t="inlineStr">
        <is>
          <t>ФНС открытые данные ССЧР (ДатаСост 31.12.2025; набор 7707329152-sshr2019)</t>
        </is>
      </c>
      <c r="R5573" s="16">
        <f>HYPERLINK("https://checko.ru/search?query=3801001629","Чекко: проверить")</f>
        <v/>
      </c>
      <c r="S5573" t="n">
        <v>1</v>
      </c>
      <c r="T5573" s="35" t="inlineStr">
        <is>
          <t>4 — Не обогащён</t>
        </is>
      </c>
      <c r="U5573" s="35" t="inlineStr">
        <is>
          <t>Нет ОКВЭД/ССЧР</t>
        </is>
      </c>
      <c r="V5573" s="35" t="inlineStr">
        <is>
          <t>Не определено</t>
        </is>
      </c>
      <c r="W5573" s="35" t="inlineStr">
        <is>
          <t>Нет</t>
        </is>
      </c>
      <c r="X5573" s="35" t="inlineStr"/>
    </row>
    <row r="5574" ht="15" customHeight="1" s="24">
      <c r="A5574" s="13" t="n">
        <v>801625775</v>
      </c>
      <c r="B5574" s="13" t="inlineStr">
        <is>
          <t>ООО СЗ «Регион Сибири»</t>
        </is>
      </c>
      <c r="C5574" s="13" t="n">
        <v>3808168391</v>
      </c>
      <c r="D5574" s="13" t="inlineStr">
        <is>
          <t>3808168391</t>
        </is>
      </c>
      <c r="E5574" s="13" t="inlineStr">
        <is>
          <t>ЮЛ РФ</t>
        </is>
      </c>
      <c r="F5574" s="13" t="n"/>
      <c r="G5574" s="52" t="n">
        <v>23</v>
      </c>
      <c r="H5574" s="52" t="n">
        <v>2025</v>
      </c>
      <c r="I5574" s="52" t="inlineStr">
        <is>
          <t>41.20</t>
        </is>
      </c>
      <c r="J5574" s="52" t="inlineStr">
        <is>
          <t>41.20; 43.12; 45.11; 68.10; 68.20; 68.31; 69.10; 69.20; 71.11; 71.11.1; 71.12; 73.11; 78.10; 81.30</t>
        </is>
      </c>
      <c r="K5574" s="53" t="inlineStr">
        <is>
          <t>Да</t>
        </is>
      </c>
      <c r="L5574" s="53" t="inlineStr">
        <is>
          <t>Да</t>
        </is>
      </c>
      <c r="M5574" s="53" t="inlineStr">
        <is>
          <t>До 25</t>
        </is>
      </c>
      <c r="N5574" s="54" t="n">
        <v>8400</v>
      </c>
      <c r="O5574" s="55" t="inlineStr">
        <is>
          <t>16–30</t>
        </is>
      </c>
      <c r="P5574" s="16" t="inlineStr">
        <is>
          <t>ССЧР + ОКВЭД обогащены</t>
        </is>
      </c>
      <c r="Q5574" s="16" t="inlineStr">
        <is>
          <t>ФНС открытые данные ССЧР (ДатаСост 31.12.2025; набор 7707329152-sshr2019)</t>
        </is>
      </c>
      <c r="R5574" s="16" t="inlineStr">
        <is>
          <t>ЕГРЮЛ / egrul.nalog.ru (выписка)</t>
        </is>
      </c>
      <c r="S5574" t="n">
        <v>1</v>
      </c>
      <c r="T5574" s="35" t="inlineStr">
        <is>
          <t>1 — Горячий</t>
        </is>
      </c>
      <c r="U5574" s="35" t="inlineStr">
        <is>
          <t>ОКВЭД + 22+</t>
        </is>
      </c>
      <c r="V5574" s="35" t="inlineStr">
        <is>
          <t>Да</t>
        </is>
      </c>
      <c r="W5574" s="35" t="inlineStr">
        <is>
          <t>Да</t>
        </is>
      </c>
      <c r="X5574" s="35" t="inlineStr">
        <is>
          <t>Да</t>
        </is>
      </c>
    </row>
    <row r="5575" ht="15" customHeight="1" s="24">
      <c r="A5575" s="13" t="n">
        <v>800500152</v>
      </c>
      <c r="B5575" s="13" t="inlineStr">
        <is>
          <t>АО "РИЦ ИРКУТСКОЙ ОБЛАСТИ"</t>
        </is>
      </c>
      <c r="C5575" s="13" t="n">
        <v>3812155469</v>
      </c>
      <c r="D5575" s="13" t="inlineStr">
        <is>
          <t>3812155469</t>
        </is>
      </c>
      <c r="E5575" s="13" t="inlineStr">
        <is>
          <t>ЮЛ РФ</t>
        </is>
      </c>
      <c r="F5575" s="13" t="n"/>
      <c r="G5575" s="52" t="n">
        <v>6</v>
      </c>
      <c r="H5575" s="52" t="n">
        <v>2025</v>
      </c>
      <c r="I5575" s="14" t="n"/>
      <c r="J5575" s="14" t="n"/>
      <c r="K5575" s="53" t="inlineStr">
        <is>
          <t>Нет</t>
        </is>
      </c>
      <c r="L5575" s="53" t="inlineStr">
        <is>
          <t>Не определено</t>
        </is>
      </c>
      <c r="M5575" s="53" t="inlineStr">
        <is>
          <t>До 10</t>
        </is>
      </c>
      <c r="N5575" s="54" t="n">
        <v>3360</v>
      </c>
      <c r="O5575" s="55" t="inlineStr">
        <is>
          <t>1–15</t>
        </is>
      </c>
      <c r="P5575" s="16" t="inlineStr">
        <is>
          <t>ССЧР обогащена; ОКВЭД не найден/не загружен</t>
        </is>
      </c>
      <c r="Q5575" s="16" t="inlineStr">
        <is>
          <t>ФНС открытые данные ССЧР (ДатаСост 31.12.2025; набор 7707329152-sshr2019)</t>
        </is>
      </c>
      <c r="R5575" s="16">
        <f>HYPERLINK("https://checko.ru/search?query=3801001629","Чекко: проверить")</f>
        <v/>
      </c>
      <c r="S5575" t="n">
        <v>1</v>
      </c>
      <c r="T5575" s="35" t="inlineStr">
        <is>
          <t>4 — Не обогащён</t>
        </is>
      </c>
      <c r="U5575" s="35" t="inlineStr">
        <is>
          <t>Нет ОКВЭД/ССЧР</t>
        </is>
      </c>
      <c r="V5575" s="35" t="inlineStr">
        <is>
          <t>Не определено</t>
        </is>
      </c>
      <c r="W5575" s="35" t="inlineStr">
        <is>
          <t>Нет</t>
        </is>
      </c>
      <c r="X5575" s="35" t="inlineStr"/>
    </row>
    <row r="5576" ht="15" customHeight="1" s="24">
      <c r="A5576" s="13" t="n">
        <v>800483361</v>
      </c>
      <c r="B5576" s="13" t="inlineStr">
        <is>
          <t>ООО "ПРОМАВТО"</t>
        </is>
      </c>
      <c r="C5576" s="13" t="n">
        <v>3851993295</v>
      </c>
      <c r="D5576" s="13" t="inlineStr">
        <is>
          <t>3851993295</t>
        </is>
      </c>
      <c r="E5576" s="13" t="inlineStr">
        <is>
          <t>ЮЛ РФ</t>
        </is>
      </c>
      <c r="F5576" s="13" t="n"/>
      <c r="G5576" s="52" t="n">
        <v>34</v>
      </c>
      <c r="H5576" s="52" t="n">
        <v>2025</v>
      </c>
      <c r="I5576" s="52" t="inlineStr">
        <is>
          <t>41.20</t>
        </is>
      </c>
      <c r="J5576" s="52" t="inlineStr">
        <is>
          <t>41.20; 02.20; 02.40.2; 08.12; 16.10; 16.23; 23.63; 23.70; 42.11; 43.11; 43.21; 43.29; 43.31; 45.32; 46.13; 46.63; 46.71; 46.77; 49.31; 52.10.21; 52.29; 55.10; 55.20; 68.10; 68.20; 77.11; 77.32; 81.22; 86.90</t>
        </is>
      </c>
      <c r="K5576" s="53" t="inlineStr">
        <is>
          <t>Да</t>
        </is>
      </c>
      <c r="L5576" s="53" t="inlineStr">
        <is>
          <t>Да</t>
        </is>
      </c>
      <c r="M5576" s="53" t="inlineStr">
        <is>
          <t>До 50</t>
        </is>
      </c>
      <c r="N5576" s="54" t="n">
        <v>16800</v>
      </c>
      <c r="O5576" s="55" t="inlineStr">
        <is>
          <t>31–50</t>
        </is>
      </c>
      <c r="P5576" s="16" t="inlineStr">
        <is>
          <t>ССЧР + ОКВЭД обогащены</t>
        </is>
      </c>
      <c r="Q5576" s="16" t="inlineStr">
        <is>
          <t>ФНС открытые данные ССЧР (ДатаСост 31.12.2025; набор 7707329152-sshr2019)</t>
        </is>
      </c>
      <c r="R5576" s="16" t="inlineStr">
        <is>
          <t>ЕГРЮЛ / egrul.nalog.ru (выписка)</t>
        </is>
      </c>
      <c r="S5576" t="n">
        <v>1</v>
      </c>
      <c r="T5576" s="35" t="inlineStr">
        <is>
          <t>1 — Горячий</t>
        </is>
      </c>
      <c r="U5576" s="35" t="inlineStr">
        <is>
          <t>ОКВЭД + 22+</t>
        </is>
      </c>
      <c r="V5576" s="35" t="inlineStr">
        <is>
          <t>Да</t>
        </is>
      </c>
      <c r="W5576" s="35" t="inlineStr">
        <is>
          <t>Да</t>
        </is>
      </c>
      <c r="X5576" s="35" t="inlineStr">
        <is>
          <t>Да</t>
        </is>
      </c>
    </row>
    <row r="5577" ht="27.75" customHeight="1" s="24">
      <c r="A5577" s="13" t="n">
        <v>801623850</v>
      </c>
      <c r="B5577" s="13" t="inlineStr">
        <is>
          <t>ОБЩЕСТВО С ОГРАНИЧЕННОЙ ОТВЕТСТВЕННОСТЬЮ "МКС"</t>
        </is>
      </c>
      <c r="C5577" s="13" t="n">
        <v>3818051265</v>
      </c>
      <c r="D5577" s="13" t="inlineStr">
        <is>
          <t>3818051265</t>
        </is>
      </c>
      <c r="E5577" s="13" t="inlineStr">
        <is>
          <t>ЮЛ РФ</t>
        </is>
      </c>
      <c r="F5577" s="13" t="n"/>
      <c r="G5577" s="52" t="n">
        <v>5</v>
      </c>
      <c r="H5577" s="52" t="n">
        <v>2025</v>
      </c>
      <c r="I5577" s="14" t="n"/>
      <c r="J5577" s="14" t="n"/>
      <c r="K5577" s="53" t="inlineStr">
        <is>
          <t>Нет</t>
        </is>
      </c>
      <c r="L5577" s="53" t="inlineStr">
        <is>
          <t>Не определено</t>
        </is>
      </c>
      <c r="M5577" s="53" t="inlineStr">
        <is>
          <t>До 10</t>
        </is>
      </c>
      <c r="N5577" s="54" t="n">
        <v>3360</v>
      </c>
      <c r="O5577" s="55" t="inlineStr">
        <is>
          <t>1–15</t>
        </is>
      </c>
      <c r="P5577" s="16" t="inlineStr">
        <is>
          <t>ССЧР обогащена; ОКВЭД не найден/не загружен</t>
        </is>
      </c>
      <c r="Q5577" s="16" t="inlineStr">
        <is>
          <t>ФНС открытые данные ССЧР (ДатаСост 31.12.2025; набор 7707329152-sshr2019)</t>
        </is>
      </c>
      <c r="R5577" s="16">
        <f>HYPERLINK("https://checko.ru/search?query=3801001629","Чекко: проверить")</f>
        <v/>
      </c>
      <c r="S5577" t="n">
        <v>1</v>
      </c>
      <c r="T5577" s="35" t="inlineStr">
        <is>
          <t>4 — Не обогащён</t>
        </is>
      </c>
      <c r="U5577" s="35" t="inlineStr">
        <is>
          <t>Нет ОКВЭД/ССЧР</t>
        </is>
      </c>
      <c r="V5577" s="35" t="inlineStr">
        <is>
          <t>Не определено</t>
        </is>
      </c>
      <c r="W5577" s="35" t="inlineStr">
        <is>
          <t>Нет</t>
        </is>
      </c>
      <c r="X5577" s="35" t="inlineStr"/>
    </row>
    <row r="5578" ht="15" customHeight="1" s="24">
      <c r="A5578" s="13" t="n">
        <v>801624031</v>
      </c>
      <c r="B5578" s="13" t="inlineStr">
        <is>
          <t>ООО "АЛТЫН"</t>
        </is>
      </c>
      <c r="C5578" s="13" t="n">
        <v>3808271832</v>
      </c>
      <c r="D5578" s="13" t="inlineStr">
        <is>
          <t>3808271832</t>
        </is>
      </c>
      <c r="E5578" s="13" t="inlineStr">
        <is>
          <t>ЮЛ РФ</t>
        </is>
      </c>
      <c r="F5578" s="13" t="n"/>
      <c r="G5578" s="52" t="n">
        <v>15</v>
      </c>
      <c r="H5578" s="52" t="n">
        <v>2025</v>
      </c>
      <c r="I5578" s="14" t="n"/>
      <c r="J5578" s="14" t="n"/>
      <c r="K5578" s="53" t="inlineStr">
        <is>
          <t>Нет</t>
        </is>
      </c>
      <c r="L5578" s="53" t="inlineStr">
        <is>
          <t>Не определено</t>
        </is>
      </c>
      <c r="M5578" s="53" t="inlineStr">
        <is>
          <t>До 25</t>
        </is>
      </c>
      <c r="N5578" s="54" t="n">
        <v>8400</v>
      </c>
      <c r="O5578" s="55" t="inlineStr">
        <is>
          <t>1–15</t>
        </is>
      </c>
      <c r="P5578" s="16" t="inlineStr">
        <is>
          <t>ССЧР обогащена; ОКВЭД не найден/не загружен</t>
        </is>
      </c>
      <c r="Q5578" s="16" t="inlineStr">
        <is>
          <t>ФНС открытые данные ССЧР (ДатаСост 31.12.2025; набор 7707329152-sshr2019)</t>
        </is>
      </c>
      <c r="R5578" s="16">
        <f>HYPERLINK("https://checko.ru/search?query=3801001629","Чекко: проверить")</f>
        <v/>
      </c>
      <c r="S5578" t="n">
        <v>1</v>
      </c>
      <c r="T5578" s="35" t="inlineStr">
        <is>
          <t>4 — Не обогащён</t>
        </is>
      </c>
      <c r="U5578" s="35" t="inlineStr">
        <is>
          <t>Нет ОКВЭД/ССЧР</t>
        </is>
      </c>
      <c r="V5578" s="35" t="inlineStr">
        <is>
          <t>Не определено</t>
        </is>
      </c>
      <c r="W5578" s="35" t="inlineStr">
        <is>
          <t>Нет</t>
        </is>
      </c>
      <c r="X5578" s="35" t="inlineStr"/>
    </row>
    <row r="5579" ht="27.75" customHeight="1" s="24">
      <c r="A5579" s="13" t="n">
        <v>801635612</v>
      </c>
      <c r="B5579" s="13" t="inlineStr">
        <is>
          <t>Общество с ограниченной ответственностью "МТССЕРВИС"</t>
        </is>
      </c>
      <c r="C5579" s="13" t="n">
        <v>3849062972</v>
      </c>
      <c r="D5579" s="13" t="inlineStr">
        <is>
          <t>3849062972</t>
        </is>
      </c>
      <c r="E5579" s="13" t="inlineStr">
        <is>
          <t>ЮЛ РФ</t>
        </is>
      </c>
      <c r="F5579" s="13" t="n"/>
      <c r="G5579" s="52" t="n">
        <v>2</v>
      </c>
      <c r="H5579" s="52" t="n">
        <v>2025</v>
      </c>
      <c r="I5579" s="14" t="n"/>
      <c r="J5579" s="14" t="n"/>
      <c r="K5579" s="53" t="inlineStr">
        <is>
          <t>Нет</t>
        </is>
      </c>
      <c r="L5579" s="53" t="inlineStr">
        <is>
          <t>Не определено</t>
        </is>
      </c>
      <c r="M5579" s="53" t="inlineStr">
        <is>
          <t>До 10</t>
        </is>
      </c>
      <c r="N5579" s="54" t="n">
        <v>3360</v>
      </c>
      <c r="O5579" s="55" t="inlineStr">
        <is>
          <t>1–15</t>
        </is>
      </c>
      <c r="P5579" s="16" t="inlineStr">
        <is>
          <t>ССЧР обогащена; ОКВЭД не найден/не загружен</t>
        </is>
      </c>
      <c r="Q5579" s="16" t="inlineStr">
        <is>
          <t>ФНС открытые данные ССЧР (ДатаСост 31.12.2025; набор 7707329152-sshr2019)</t>
        </is>
      </c>
      <c r="R5579" s="16">
        <f>HYPERLINK("https://checko.ru/search?query=3801001629","Чекко: проверить")</f>
        <v/>
      </c>
      <c r="S5579" t="n">
        <v>1</v>
      </c>
      <c r="T5579" s="35" t="inlineStr">
        <is>
          <t>4 — Не обогащён</t>
        </is>
      </c>
      <c r="U5579" s="35" t="inlineStr">
        <is>
          <t>Нет ОКВЭД/ССЧР</t>
        </is>
      </c>
      <c r="V5579" s="35" t="inlineStr">
        <is>
          <t>Не определено</t>
        </is>
      </c>
      <c r="W5579" s="35" t="inlineStr">
        <is>
          <t>Нет</t>
        </is>
      </c>
      <c r="X5579" s="35" t="inlineStr"/>
    </row>
    <row r="5580" ht="27.75" customHeight="1" s="24">
      <c r="A5580" s="13" t="n">
        <v>801637168</v>
      </c>
      <c r="B5580" s="13" t="inlineStr">
        <is>
          <t>ОБЩЕСТВО С ОГРАНИЧЕННОЙ ОТВЕТСТВЕННОСТЬЮ "ТРАНСТЕХСЕРВИС"</t>
        </is>
      </c>
      <c r="C5580" s="13" t="n">
        <v>3849003173</v>
      </c>
      <c r="D5580" s="13" t="inlineStr">
        <is>
          <t>3849003173</t>
        </is>
      </c>
      <c r="E5580" s="13" t="inlineStr">
        <is>
          <t>ЮЛ РФ</t>
        </is>
      </c>
      <c r="F5580" s="13" t="n"/>
      <c r="G5580" s="52" t="n">
        <v>5</v>
      </c>
      <c r="H5580" s="52" t="n">
        <v>2025</v>
      </c>
      <c r="I5580" s="14" t="n"/>
      <c r="J5580" s="14" t="n"/>
      <c r="K5580" s="53" t="inlineStr">
        <is>
          <t>Нет</t>
        </is>
      </c>
      <c r="L5580" s="53" t="inlineStr">
        <is>
          <t>Не определено</t>
        </is>
      </c>
      <c r="M5580" s="53" t="inlineStr">
        <is>
          <t>До 10</t>
        </is>
      </c>
      <c r="N5580" s="54" t="n">
        <v>3360</v>
      </c>
      <c r="O5580" s="55" t="inlineStr">
        <is>
          <t>1–15</t>
        </is>
      </c>
      <c r="P5580" s="16" t="inlineStr">
        <is>
          <t>ССЧР обогащена; ОКВЭД не найден/не загружен</t>
        </is>
      </c>
      <c r="Q5580" s="16" t="inlineStr">
        <is>
          <t>ФНС открытые данные ССЧР (ДатаСост 31.12.2025; набор 7707329152-sshr2019)</t>
        </is>
      </c>
      <c r="R5580" s="16">
        <f>HYPERLINK("https://checko.ru/search?query=3801001629","Чекко: проверить")</f>
        <v/>
      </c>
      <c r="S5580" t="n">
        <v>1</v>
      </c>
      <c r="T5580" s="35" t="inlineStr">
        <is>
          <t>4 — Не обогащён</t>
        </is>
      </c>
      <c r="U5580" s="35" t="inlineStr">
        <is>
          <t>Нет ОКВЭД/ССЧР</t>
        </is>
      </c>
      <c r="V5580" s="35" t="inlineStr">
        <is>
          <t>Не определено</t>
        </is>
      </c>
      <c r="W5580" s="35" t="inlineStr">
        <is>
          <t>Нет</t>
        </is>
      </c>
      <c r="X5580" s="35" t="inlineStr"/>
    </row>
    <row r="5581" ht="15" customHeight="1" s="24">
      <c r="A5581" s="13" t="n">
        <v>801910288</v>
      </c>
      <c r="B5581" s="13" t="inlineStr">
        <is>
          <t>ООО "Байкал-Автотрак-Сервис"</t>
        </is>
      </c>
      <c r="C5581" s="13" t="n">
        <v>3812127630</v>
      </c>
      <c r="D5581" s="13" t="inlineStr">
        <is>
          <t>3812127630</t>
        </is>
      </c>
      <c r="E5581" s="13" t="inlineStr">
        <is>
          <t>ЮЛ РФ</t>
        </is>
      </c>
      <c r="F5581" s="13" t="n"/>
      <c r="G5581" s="52" t="n">
        <v>224</v>
      </c>
      <c r="H5581" s="52" t="n">
        <v>2025</v>
      </c>
      <c r="I5581" s="52" t="inlineStr">
        <is>
          <t>45.31.1</t>
        </is>
      </c>
      <c r="J5581" s="52" t="inlineStr">
        <is>
          <t>45.31.1; 33.12; 45.11.1; 45.11.4; 45.19.1; 45.19.4; 45.32; 46.49.49; 46.61; 46.61.1; 46.90; 47.30; 52.10; 52.29; 55.10; 55.20; 68.20.2</t>
        </is>
      </c>
      <c r="K5581" s="53" t="inlineStr">
        <is>
          <t>Да</t>
        </is>
      </c>
      <c r="L5581" s="53" t="inlineStr">
        <is>
          <t>Да</t>
        </is>
      </c>
      <c r="M5581" s="53" t="inlineStr">
        <is>
          <t>До 500</t>
        </is>
      </c>
      <c r="N5581" s="54" t="n">
        <v>144000</v>
      </c>
      <c r="O5581" s="55" t="inlineStr">
        <is>
          <t>201–500</t>
        </is>
      </c>
      <c r="P5581" s="16" t="inlineStr">
        <is>
          <t>ССЧР + ОКВЭД обогащены</t>
        </is>
      </c>
      <c r="Q5581" s="16" t="inlineStr">
        <is>
          <t>ФНС открытые данные ССЧР (ДатаСост 31.12.2025; набор 7707329152-sshr2019)</t>
        </is>
      </c>
      <c r="R5581" s="16" t="inlineStr">
        <is>
          <t>ЕГРЮЛ / egrul.nalog.ru (выписка)</t>
        </is>
      </c>
      <c r="S5581" t="n">
        <v>1</v>
      </c>
      <c r="T5581" s="35" t="inlineStr">
        <is>
          <t>1 — Горячий</t>
        </is>
      </c>
      <c r="U5581" s="35" t="inlineStr">
        <is>
          <t>ОКВЭД + 22+</t>
        </is>
      </c>
      <c r="V5581" s="35" t="inlineStr">
        <is>
          <t>Да</t>
        </is>
      </c>
      <c r="W5581" s="35" t="inlineStr">
        <is>
          <t>Да</t>
        </is>
      </c>
      <c r="X5581" s="35" t="inlineStr">
        <is>
          <t>Да</t>
        </is>
      </c>
    </row>
    <row r="5582" ht="41.25" customHeight="1" s="24">
      <c r="A5582" s="13" t="n">
        <v>801613523</v>
      </c>
      <c r="B5582" s="13" t="inlineStr">
        <is>
          <t>ОБЩЕСТВО С ОГРАНИЧЕННОЙ ОТВЕТСТВЕННОСТЬЮ ТК "ВОСТСИБТРАНСЛОГИСТИК"</t>
        </is>
      </c>
      <c r="C5582" s="13" t="n">
        <v>3810059960</v>
      </c>
      <c r="D5582" s="13" t="inlineStr">
        <is>
          <t>3810059960</t>
        </is>
      </c>
      <c r="E5582" s="13" t="inlineStr">
        <is>
          <t>ЮЛ РФ</t>
        </is>
      </c>
      <c r="F5582" s="13" t="n"/>
      <c r="G5582" s="52" t="n">
        <v>4</v>
      </c>
      <c r="H5582" s="52" t="n">
        <v>2025</v>
      </c>
      <c r="I5582" s="14" t="n"/>
      <c r="J5582" s="14" t="n"/>
      <c r="K5582" s="53" t="inlineStr">
        <is>
          <t>Нет</t>
        </is>
      </c>
      <c r="L5582" s="53" t="inlineStr">
        <is>
          <t>Не определено</t>
        </is>
      </c>
      <c r="M5582" s="53" t="inlineStr">
        <is>
          <t>До 10</t>
        </is>
      </c>
      <c r="N5582" s="54" t="n">
        <v>3360</v>
      </c>
      <c r="O5582" s="55" t="inlineStr">
        <is>
          <t>1–15</t>
        </is>
      </c>
      <c r="P5582" s="16" t="inlineStr">
        <is>
          <t>ССЧР обогащена; ОКВЭД не найден/не загружен</t>
        </is>
      </c>
      <c r="Q5582" s="16" t="inlineStr">
        <is>
          <t>ФНС открытые данные ССЧР (ДатаСост 31.12.2025; набор 7707329152-sshr2019)</t>
        </is>
      </c>
      <c r="R5582" s="16">
        <f>HYPERLINK("https://checko.ru/search?query=3801001629","Чекко: проверить")</f>
        <v/>
      </c>
      <c r="S5582" t="n">
        <v>1</v>
      </c>
      <c r="T5582" s="35" t="inlineStr">
        <is>
          <t>4 — Не обогащён</t>
        </is>
      </c>
      <c r="U5582" s="35" t="inlineStr">
        <is>
          <t>Нет ОКВЭД/ССЧР</t>
        </is>
      </c>
      <c r="V5582" s="35" t="inlineStr">
        <is>
          <t>Не определено</t>
        </is>
      </c>
      <c r="W5582" s="35" t="inlineStr">
        <is>
          <t>Нет</t>
        </is>
      </c>
      <c r="X5582" s="35" t="inlineStr"/>
    </row>
    <row r="5583" ht="15" customHeight="1" s="24">
      <c r="A5583" s="13" t="n">
        <v>800503619</v>
      </c>
      <c r="B5583" s="13" t="inlineStr">
        <is>
          <t>Восток</t>
        </is>
      </c>
      <c r="C5583" s="13" t="n">
        <v>3849015073</v>
      </c>
      <c r="D5583" s="13" t="inlineStr">
        <is>
          <t>3849015073</t>
        </is>
      </c>
      <c r="E5583" s="13" t="inlineStr">
        <is>
          <t>ЮЛ РФ</t>
        </is>
      </c>
      <c r="F5583" s="13" t="n"/>
      <c r="G5583" s="52" t="n">
        <v>21</v>
      </c>
      <c r="H5583" s="52" t="n">
        <v>2025</v>
      </c>
      <c r="I5583" s="14" t="n"/>
      <c r="J5583" s="14" t="n"/>
      <c r="K5583" s="53" t="inlineStr">
        <is>
          <t>Нет</t>
        </is>
      </c>
      <c r="L5583" s="53" t="inlineStr">
        <is>
          <t>Не определено</t>
        </is>
      </c>
      <c r="M5583" s="53" t="inlineStr">
        <is>
          <t>До 25</t>
        </is>
      </c>
      <c r="N5583" s="54" t="n">
        <v>8400</v>
      </c>
      <c r="O5583" s="55" t="inlineStr">
        <is>
          <t>16–30</t>
        </is>
      </c>
      <c r="P5583" s="16" t="inlineStr">
        <is>
          <t>ССЧР обогащена; ОКВЭД не найден/не загружен</t>
        </is>
      </c>
      <c r="Q5583" s="16" t="inlineStr">
        <is>
          <t>ФНС открытые данные ССЧР (ДатаСост 31.12.2025; набор 7707329152-sshr2019)</t>
        </is>
      </c>
      <c r="R5583" s="16">
        <f>HYPERLINK("https://checko.ru/search?query=3801001629","Чекко: проверить")</f>
        <v/>
      </c>
      <c r="S5583" t="n">
        <v>1</v>
      </c>
      <c r="T5583" s="35" t="inlineStr">
        <is>
          <t>4 — Не обогащён</t>
        </is>
      </c>
      <c r="U5583" s="35" t="inlineStr">
        <is>
          <t>Нет ОКВЭД/ССЧР</t>
        </is>
      </c>
      <c r="V5583" s="35" t="inlineStr">
        <is>
          <t>Не определено</t>
        </is>
      </c>
      <c r="W5583" s="35" t="inlineStr">
        <is>
          <t>Нет</t>
        </is>
      </c>
      <c r="X5583" s="35" t="inlineStr"/>
    </row>
    <row r="5584" ht="15" customHeight="1" s="24">
      <c r="A5584" s="13" t="n">
        <v>802914486</v>
      </c>
      <c r="B5584" s="13" t="inlineStr">
        <is>
          <t>ФОНД "ОБНОВЛЕНИЕ ЖИЗНИ"</t>
        </is>
      </c>
      <c r="C5584" s="13" t="n">
        <v>3834014126</v>
      </c>
      <c r="D5584" s="13" t="inlineStr">
        <is>
          <t>3834014126</t>
        </is>
      </c>
      <c r="E5584" s="13" t="inlineStr">
        <is>
          <t>ЮЛ РФ</t>
        </is>
      </c>
      <c r="F5584" s="13" t="n"/>
      <c r="G5584" s="14" t="n"/>
      <c r="H5584" s="14" t="n"/>
      <c r="I5584" s="14" t="n"/>
      <c r="J5584" s="14" t="n"/>
      <c r="K5584" s="53" t="inlineStr"/>
      <c r="L5584" s="53" t="inlineStr">
        <is>
          <t>Не определено</t>
        </is>
      </c>
      <c r="M5584" s="53" t="inlineStr"/>
      <c r="N5584" s="54" t="inlineStr"/>
      <c r="O5584" s="55" t="inlineStr"/>
      <c r="P5584" s="16" t="inlineStr">
        <is>
          <t>Требует обогащения</t>
        </is>
      </c>
      <c r="Q5584" s="16">
        <f>HYPERLINK("https://pb.nalog.ru/search.html?query=3834014126","ФНС: проверить")</f>
        <v/>
      </c>
      <c r="R5584" s="16">
        <f>HYPERLINK("https://checko.ru/search?query=3801001629","Чекко: проверить")</f>
        <v/>
      </c>
      <c r="S5584" t="n">
        <v>1</v>
      </c>
      <c r="T5584" s="35" t="inlineStr">
        <is>
          <t>4 — Не обогащён</t>
        </is>
      </c>
      <c r="U5584" s="35" t="inlineStr">
        <is>
          <t>Нет ОКВЭД/ССЧР</t>
        </is>
      </c>
      <c r="V5584" s="35" t="inlineStr">
        <is>
          <t>Не определено</t>
        </is>
      </c>
      <c r="W5584" s="35" t="inlineStr"/>
      <c r="X5584" s="35" t="inlineStr"/>
    </row>
    <row r="5585" ht="27.75" customHeight="1" s="24">
      <c r="A5585" s="13" t="n">
        <v>804678975</v>
      </c>
      <c r="B5585" s="13" t="inlineStr">
        <is>
          <t>Индивидуальный предприниматель Хандюк Наталья Андреевна</t>
        </is>
      </c>
      <c r="C5585" s="13" t="n">
        <v>380202864002</v>
      </c>
      <c r="D5585" s="13" t="inlineStr">
        <is>
          <t>380202864002</t>
        </is>
      </c>
      <c r="E5585" s="13" t="inlineStr">
        <is>
          <t>ИП РФ / физлицо</t>
        </is>
      </c>
      <c r="F5585" s="13" t="n"/>
      <c r="G5585" s="14" t="n"/>
      <c r="H5585" s="14" t="n"/>
      <c r="I5585" s="14" t="n"/>
      <c r="J5585" s="14" t="n"/>
      <c r="K5585" s="53" t="inlineStr"/>
      <c r="L5585" s="53" t="inlineStr">
        <is>
          <t>Не определено</t>
        </is>
      </c>
      <c r="M5585" s="53" t="inlineStr"/>
      <c r="N5585" s="54" t="inlineStr"/>
      <c r="O5585" s="55" t="inlineStr"/>
      <c r="P5585" s="16" t="inlineStr">
        <is>
          <t>Требует обогащения</t>
        </is>
      </c>
      <c r="Q5585" s="16">
        <f>HYPERLINK("https://pb.nalog.ru/search.html?query=380202864002","ФНС: проверить")</f>
        <v/>
      </c>
      <c r="R5585" s="16">
        <f>HYPERLINK("https://checko.ru/search?query=3801001629","Чекко: проверить")</f>
        <v/>
      </c>
      <c r="S5585" t="n">
        <v>1</v>
      </c>
      <c r="T5585" s="35" t="inlineStr">
        <is>
          <t>4 — Не обогащён</t>
        </is>
      </c>
      <c r="U5585" s="35" t="inlineStr">
        <is>
          <t>Нет ОКВЭД/ССЧР</t>
        </is>
      </c>
      <c r="V5585" s="35" t="inlineStr">
        <is>
          <t>Не определено</t>
        </is>
      </c>
      <c r="W5585" s="35" t="inlineStr"/>
      <c r="X5585" s="35" t="inlineStr"/>
    </row>
    <row r="5586" ht="15" customHeight="1" s="24">
      <c r="A5586" s="13" t="n">
        <v>16045655</v>
      </c>
      <c r="B5586" s="13" t="inlineStr">
        <is>
          <t>ООО СК Монолит</t>
        </is>
      </c>
      <c r="C5586" s="13" t="n">
        <v>3811159887</v>
      </c>
      <c r="D5586" s="13" t="inlineStr">
        <is>
          <t>3811159887</t>
        </is>
      </c>
      <c r="E5586" s="13" t="inlineStr">
        <is>
          <t>ЮЛ РФ</t>
        </is>
      </c>
      <c r="F5586" s="13" t="n"/>
      <c r="G5586" s="52" t="n">
        <v>9</v>
      </c>
      <c r="H5586" s="52" t="n">
        <v>2025</v>
      </c>
      <c r="I5586" s="14" t="n"/>
      <c r="J5586" s="14" t="n"/>
      <c r="K5586" s="53" t="inlineStr">
        <is>
          <t>Нет</t>
        </is>
      </c>
      <c r="L5586" s="53" t="inlineStr">
        <is>
          <t>Не определено</t>
        </is>
      </c>
      <c r="M5586" s="53" t="inlineStr">
        <is>
          <t>До 10</t>
        </is>
      </c>
      <c r="N5586" s="54" t="n">
        <v>3360</v>
      </c>
      <c r="O5586" s="55" t="inlineStr">
        <is>
          <t>1–15</t>
        </is>
      </c>
      <c r="P5586" s="16" t="inlineStr">
        <is>
          <t>ССЧР обогащена; ОКВЭД не найден/не загружен</t>
        </is>
      </c>
      <c r="Q5586" s="16" t="inlineStr">
        <is>
          <t>ФНС открытые данные ССЧР (ДатаСост 31.12.2025; набор 7707329152-sshr2019)</t>
        </is>
      </c>
      <c r="R5586" s="16">
        <f>HYPERLINK("https://checko.ru/search?query=3801001629","Чекко: проверить")</f>
        <v/>
      </c>
      <c r="S5586" t="n">
        <v>1</v>
      </c>
      <c r="T5586" s="35" t="inlineStr">
        <is>
          <t>4 — Не обогащён</t>
        </is>
      </c>
      <c r="U5586" s="35" t="inlineStr">
        <is>
          <t>Нет ОКВЭД/ССЧР</t>
        </is>
      </c>
      <c r="V5586" s="35" t="inlineStr">
        <is>
          <t>Не определено</t>
        </is>
      </c>
      <c r="W5586" s="35" t="inlineStr">
        <is>
          <t>Нет</t>
        </is>
      </c>
      <c r="X5586" s="35" t="inlineStr"/>
    </row>
    <row r="5587" ht="15" customHeight="1" s="24">
      <c r="A5587" s="13" t="n">
        <v>802524153</v>
      </c>
      <c r="B5587" s="13" t="inlineStr">
        <is>
          <t>ООО "Финестра оптима"</t>
        </is>
      </c>
      <c r="C5587" s="13" t="n">
        <v>3812154881</v>
      </c>
      <c r="D5587" s="13" t="inlineStr">
        <is>
          <t>3812154881</t>
        </is>
      </c>
      <c r="E5587" s="13" t="inlineStr">
        <is>
          <t>ЮЛ РФ</t>
        </is>
      </c>
      <c r="F5587" s="13" t="n"/>
      <c r="G5587" s="52" t="n">
        <v>148</v>
      </c>
      <c r="H5587" s="52" t="n">
        <v>2025</v>
      </c>
      <c r="I5587" s="14" t="n"/>
      <c r="J5587" s="14" t="n"/>
      <c r="K5587" s="53" t="inlineStr">
        <is>
          <t>Да</t>
        </is>
      </c>
      <c r="L5587" s="53" t="inlineStr">
        <is>
          <t>Не определено</t>
        </is>
      </c>
      <c r="M5587" s="53" t="inlineStr">
        <is>
          <t>До 200</t>
        </is>
      </c>
      <c r="N5587" s="54" t="n">
        <v>62400</v>
      </c>
      <c r="O5587" s="55" t="inlineStr">
        <is>
          <t>101–200</t>
        </is>
      </c>
      <c r="P5587" s="16" t="inlineStr">
        <is>
          <t>ССЧР обогащена; ОКВЭД не найден/не загружен</t>
        </is>
      </c>
      <c r="Q5587" s="16" t="inlineStr">
        <is>
          <t>ФНС открытые данные ССЧР (ДатаСост 31.12.2025; набор 7707329152-sshr2019)</t>
        </is>
      </c>
      <c r="R5587" s="16">
        <f>HYPERLINK("https://checko.ru/search?query=3801001629","Чекко: проверить")</f>
        <v/>
      </c>
      <c r="S5587" t="n">
        <v>1</v>
      </c>
      <c r="T5587" s="35" t="inlineStr">
        <is>
          <t>1 — Горячий</t>
        </is>
      </c>
      <c r="U5587" s="35" t="inlineStr">
        <is>
          <t>50+ стратегический</t>
        </is>
      </c>
      <c r="V5587" s="35" t="inlineStr">
        <is>
          <t>Не определено</t>
        </is>
      </c>
      <c r="W5587" s="35" t="inlineStr">
        <is>
          <t>Да</t>
        </is>
      </c>
      <c r="X5587" s="35" t="inlineStr"/>
    </row>
    <row r="5588" ht="15" customHeight="1" s="24">
      <c r="A5588" s="13" t="n">
        <v>804878215</v>
      </c>
      <c r="B5588" s="13" t="inlineStr">
        <is>
          <t>ООО РИТУАЛЬНОЕ АГЕНТСТВО "СТИКС"</t>
        </is>
      </c>
      <c r="C5588" s="13" t="n">
        <v>3808164534</v>
      </c>
      <c r="D5588" s="13" t="inlineStr">
        <is>
          <t>3808164534</t>
        </is>
      </c>
      <c r="E5588" s="13" t="inlineStr">
        <is>
          <t>ЮЛ РФ</t>
        </is>
      </c>
      <c r="F5588" s="13" t="n"/>
      <c r="G5588" s="52" t="n">
        <v>2</v>
      </c>
      <c r="H5588" s="52" t="n">
        <v>2025</v>
      </c>
      <c r="I5588" s="14" t="n"/>
      <c r="J5588" s="14" t="n"/>
      <c r="K5588" s="53" t="inlineStr">
        <is>
          <t>Нет</t>
        </is>
      </c>
      <c r="L5588" s="53" t="inlineStr">
        <is>
          <t>Не определено</t>
        </is>
      </c>
      <c r="M5588" s="53" t="inlineStr">
        <is>
          <t>До 10</t>
        </is>
      </c>
      <c r="N5588" s="54" t="n">
        <v>3360</v>
      </c>
      <c r="O5588" s="55" t="inlineStr">
        <is>
          <t>1–15</t>
        </is>
      </c>
      <c r="P5588" s="16" t="inlineStr">
        <is>
          <t>ССЧР обогащена; ОКВЭД не найден/не загружен</t>
        </is>
      </c>
      <c r="Q5588" s="16" t="inlineStr">
        <is>
          <t>ФНС открытые данные ССЧР (ДатаСост 31.12.2025; набор 7707329152-sshr2019)</t>
        </is>
      </c>
      <c r="R5588" s="16">
        <f>HYPERLINK("https://checko.ru/search?query=3801001629","Чекко: проверить")</f>
        <v/>
      </c>
      <c r="S5588" t="n">
        <v>1</v>
      </c>
      <c r="T5588" s="35" t="inlineStr">
        <is>
          <t>4 — Не обогащён</t>
        </is>
      </c>
      <c r="U5588" s="35" t="inlineStr">
        <is>
          <t>Нет ОКВЭД/ССЧР</t>
        </is>
      </c>
      <c r="V5588" s="35" t="inlineStr">
        <is>
          <t>Не определено</t>
        </is>
      </c>
      <c r="W5588" s="35" t="inlineStr">
        <is>
          <t>Нет</t>
        </is>
      </c>
      <c r="X5588" s="35" t="inlineStr"/>
    </row>
    <row r="5589" ht="15" customHeight="1" s="24">
      <c r="A5589" s="13" t="n">
        <v>9857626</v>
      </c>
      <c r="B5589" s="13" t="inlineStr">
        <is>
          <t>Иркутские семена ЗАО</t>
        </is>
      </c>
      <c r="C5589" s="13" t="n">
        <v>3827011808</v>
      </c>
      <c r="D5589" s="13" t="inlineStr">
        <is>
          <t>3827011808</t>
        </is>
      </c>
      <c r="E5589" s="13" t="inlineStr">
        <is>
          <t>ЮЛ РФ</t>
        </is>
      </c>
      <c r="F5589" s="13" t="n"/>
      <c r="G5589" s="52" t="n">
        <v>52</v>
      </c>
      <c r="H5589" s="52" t="n">
        <v>2025</v>
      </c>
      <c r="I5589" s="52" t="inlineStr">
        <is>
          <t>01.50</t>
        </is>
      </c>
      <c r="J5589" s="52" t="inlineStr">
        <is>
          <t>01.50; 01.11.1; 01.11.2; 01.11.3; 01.13.1; 01.13.3; 01.19; 01.19.1; 01.25.1; 01.29; 01.41; 01.42; 01.46; 01.49; 10.11.1; 10.11.2; 10.11.3; 10.61.2; 10.61.4; 10.71; 16.23.2; 46.21; 46.31; 46.31.11; 46.90</t>
        </is>
      </c>
      <c r="K5589" s="53" t="inlineStr">
        <is>
          <t>Да</t>
        </is>
      </c>
      <c r="L5589" s="53" t="inlineStr">
        <is>
          <t>Да</t>
        </is>
      </c>
      <c r="M5589" s="53" t="inlineStr">
        <is>
          <t>До 100</t>
        </is>
      </c>
      <c r="N5589" s="54" t="n">
        <v>33600</v>
      </c>
      <c r="O5589" s="55" t="inlineStr">
        <is>
          <t>51–100</t>
        </is>
      </c>
      <c r="P5589" s="16" t="inlineStr">
        <is>
          <t>ССЧР + ОКВЭД обогащены</t>
        </is>
      </c>
      <c r="Q5589" s="16" t="inlineStr">
        <is>
          <t>ФНС открытые данные ССЧР (ДатаСост 31.12.2025; набор 7707329152-sshr2019)</t>
        </is>
      </c>
      <c r="R5589" s="16" t="inlineStr">
        <is>
          <t>ЕГРЮЛ / egrul.nalog.ru (выписка)</t>
        </is>
      </c>
      <c r="S5589" t="n">
        <v>1</v>
      </c>
      <c r="T5589" s="35" t="inlineStr">
        <is>
          <t>1 — Горячий</t>
        </is>
      </c>
      <c r="U5589" s="35" t="inlineStr">
        <is>
          <t>ОКВЭД + 22+</t>
        </is>
      </c>
      <c r="V5589" s="35" t="inlineStr">
        <is>
          <t>Да</t>
        </is>
      </c>
      <c r="W5589" s="35" t="inlineStr">
        <is>
          <t>Да</t>
        </is>
      </c>
      <c r="X5589" s="35" t="inlineStr">
        <is>
          <t>Да</t>
        </is>
      </c>
    </row>
    <row r="5590" ht="15" customHeight="1" s="24">
      <c r="A5590" s="13" t="n">
        <v>9351283</v>
      </c>
      <c r="B5590" s="13" t="inlineStr">
        <is>
          <t>ЗАО "Поиск Золото"</t>
        </is>
      </c>
      <c r="C5590" s="13" t="n">
        <v>1420005042</v>
      </c>
      <c r="D5590" s="13" t="inlineStr">
        <is>
          <t>1420005042</t>
        </is>
      </c>
      <c r="E5590" s="13" t="inlineStr">
        <is>
          <t>ЮЛ РФ</t>
        </is>
      </c>
      <c r="F5590" s="13" t="n"/>
      <c r="G5590" s="52" t="n">
        <v>313</v>
      </c>
      <c r="H5590" s="52" t="n">
        <v>2025</v>
      </c>
      <c r="I5590" s="52" t="inlineStr">
        <is>
          <t>24.41</t>
        </is>
      </c>
      <c r="J5590" s="52" t="inlineStr">
        <is>
          <t>24.41; 09.90; 02.20; 07.29.41; 20.11; 42.21; 46.48.2; 46.72.23; 46.90; 47.11; 70.22; 71.12.3; 71.12.41; 73.20.1; 77.39.22</t>
        </is>
      </c>
      <c r="K5590" s="53" t="inlineStr">
        <is>
          <t>Да</t>
        </is>
      </c>
      <c r="L5590" s="53" t="inlineStr">
        <is>
          <t>Да</t>
        </is>
      </c>
      <c r="M5590" s="53" t="inlineStr">
        <is>
          <t>До 500</t>
        </is>
      </c>
      <c r="N5590" s="54" t="n">
        <v>144000</v>
      </c>
      <c r="O5590" s="55" t="inlineStr">
        <is>
          <t>201–500</t>
        </is>
      </c>
      <c r="P5590" s="16" t="inlineStr">
        <is>
          <t>ССЧР + ОКВЭД обогащены</t>
        </is>
      </c>
      <c r="Q5590" s="16" t="inlineStr">
        <is>
          <t>ФНС открытые данные ССЧР (ДатаСост 31.12.2025; набор 7707329152-sshr2019)</t>
        </is>
      </c>
      <c r="R5590" s="16" t="inlineStr">
        <is>
          <t>ЕГРЮЛ / egrul.nalog.ru (выписка)</t>
        </is>
      </c>
      <c r="S5590" t="n">
        <v>1</v>
      </c>
      <c r="T5590" s="35" t="inlineStr">
        <is>
          <t>1 — Горячий</t>
        </is>
      </c>
      <c r="U5590" s="35" t="inlineStr">
        <is>
          <t>ОКВЭД + 22+</t>
        </is>
      </c>
      <c r="V5590" s="35" t="inlineStr">
        <is>
          <t>Да</t>
        </is>
      </c>
      <c r="W5590" s="35" t="inlineStr">
        <is>
          <t>Да</t>
        </is>
      </c>
      <c r="X5590" s="35" t="inlineStr">
        <is>
          <t>Да</t>
        </is>
      </c>
    </row>
    <row r="5591" ht="15" customHeight="1" s="24">
      <c r="A5591" s="13" t="n">
        <v>9346893</v>
      </c>
      <c r="B5591" s="13" t="inlineStr">
        <is>
          <t>Клиника ЦМД</t>
        </is>
      </c>
      <c r="C5591" s="13" t="n">
        <v>3808142058</v>
      </c>
      <c r="D5591" s="13" t="inlineStr">
        <is>
          <t>3808142058</t>
        </is>
      </c>
      <c r="E5591" s="13" t="inlineStr">
        <is>
          <t>ЮЛ РФ</t>
        </is>
      </c>
      <c r="F5591" s="13" t="n"/>
      <c r="G5591" s="52" t="n">
        <v>167</v>
      </c>
      <c r="H5591" s="52" t="n">
        <v>2025</v>
      </c>
      <c r="I5591" s="52" t="inlineStr">
        <is>
          <t>86.10</t>
        </is>
      </c>
      <c r="J5591" s="52" t="inlineStr">
        <is>
          <t>86.10; 46.19; 70.22; 73.20.1; 86.21; 86.90.9</t>
        </is>
      </c>
      <c r="K5591" s="53" t="inlineStr">
        <is>
          <t>Да</t>
        </is>
      </c>
      <c r="L5591" s="53" t="inlineStr">
        <is>
          <t>Да</t>
        </is>
      </c>
      <c r="M5591" s="53" t="inlineStr">
        <is>
          <t>До 200</t>
        </is>
      </c>
      <c r="N5591" s="54" t="n">
        <v>62400</v>
      </c>
      <c r="O5591" s="55" t="inlineStr">
        <is>
          <t>101–200</t>
        </is>
      </c>
      <c r="P5591" s="16" t="inlineStr">
        <is>
          <t>ССЧР + ОКВЭД обогащены</t>
        </is>
      </c>
      <c r="Q5591" s="16" t="inlineStr">
        <is>
          <t>ФНС открытые данные ССЧР (ДатаСост 31.12.2025; набор 7707329152-sshr2019)</t>
        </is>
      </c>
      <c r="R5591" s="16" t="inlineStr">
        <is>
          <t>ЕГРЮЛ / egrul.nalog.ru (выписка)</t>
        </is>
      </c>
      <c r="S5591" t="n">
        <v>1</v>
      </c>
      <c r="T5591" s="35" t="inlineStr">
        <is>
          <t>1 — Горячий</t>
        </is>
      </c>
      <c r="U5591" s="35" t="inlineStr">
        <is>
          <t>ОКВЭД + 22+</t>
        </is>
      </c>
      <c r="V5591" s="35" t="inlineStr">
        <is>
          <t>Да</t>
        </is>
      </c>
      <c r="W5591" s="35" t="inlineStr">
        <is>
          <t>Да</t>
        </is>
      </c>
      <c r="X5591" s="35" t="inlineStr">
        <is>
          <t>Да</t>
        </is>
      </c>
    </row>
    <row r="5592" ht="15" customHeight="1" s="24">
      <c r="A5592" s="13" t="n">
        <v>801334051</v>
      </c>
      <c r="B5592" s="13" t="inlineStr">
        <is>
          <t>ООО "Атом"</t>
        </is>
      </c>
      <c r="C5592" s="13" t="n">
        <v>1434043601</v>
      </c>
      <c r="D5592" s="13" t="inlineStr">
        <is>
          <t>1434043601</t>
        </is>
      </c>
      <c r="E5592" s="13" t="inlineStr">
        <is>
          <t>ЮЛ РФ</t>
        </is>
      </c>
      <c r="F5592" s="13" t="n"/>
      <c r="G5592" s="52" t="n">
        <v>9</v>
      </c>
      <c r="H5592" s="52" t="n">
        <v>2025</v>
      </c>
      <c r="I5592" s="14" t="n"/>
      <c r="J5592" s="14" t="n"/>
      <c r="K5592" s="53" t="inlineStr">
        <is>
          <t>Нет</t>
        </is>
      </c>
      <c r="L5592" s="53" t="inlineStr">
        <is>
          <t>Не определено</t>
        </is>
      </c>
      <c r="M5592" s="53" t="inlineStr">
        <is>
          <t>До 10</t>
        </is>
      </c>
      <c r="N5592" s="54" t="n">
        <v>3360</v>
      </c>
      <c r="O5592" s="55" t="inlineStr">
        <is>
          <t>1–15</t>
        </is>
      </c>
      <c r="P5592" s="16" t="inlineStr">
        <is>
          <t>ССЧР обогащена; ОКВЭД не найден/не загружен</t>
        </is>
      </c>
      <c r="Q5592" s="16" t="inlineStr">
        <is>
          <t>ФНС открытые данные ССЧР (ДатаСост 31.12.2025; набор 7707329152-sshr2019)</t>
        </is>
      </c>
      <c r="R5592" s="16">
        <f>HYPERLINK("https://checko.ru/search?query=3801001629","Чекко: проверить")</f>
        <v/>
      </c>
      <c r="S5592" t="n">
        <v>1</v>
      </c>
      <c r="T5592" s="35" t="inlineStr">
        <is>
          <t>4 — Не обогащён</t>
        </is>
      </c>
      <c r="U5592" s="35" t="inlineStr">
        <is>
          <t>Нет ОКВЭД/ССЧР</t>
        </is>
      </c>
      <c r="V5592" s="35" t="inlineStr">
        <is>
          <t>Не определено</t>
        </is>
      </c>
      <c r="W5592" s="35" t="inlineStr">
        <is>
          <t>Нет</t>
        </is>
      </c>
      <c r="X5592" s="35" t="inlineStr"/>
    </row>
    <row r="5593" ht="15" customHeight="1" s="24">
      <c r="A5593" s="13" t="n">
        <v>800661898</v>
      </c>
      <c r="B5593" s="13" t="inlineStr">
        <is>
          <t>ИП Дрягалов Юрий Олегович</t>
        </is>
      </c>
      <c r="C5593" s="13" t="n">
        <v>381200895656</v>
      </c>
      <c r="D5593" s="13" t="inlineStr">
        <is>
          <t>381200895656</t>
        </is>
      </c>
      <c r="E5593" s="13" t="inlineStr">
        <is>
          <t>ИП РФ / физлицо</t>
        </is>
      </c>
      <c r="F5593" s="13" t="n"/>
      <c r="G5593" s="14" t="n"/>
      <c r="H5593" s="14" t="n"/>
      <c r="I5593" s="14" t="n"/>
      <c r="J5593" s="14" t="n"/>
      <c r="K5593" s="53" t="inlineStr"/>
      <c r="L5593" s="53" t="inlineStr">
        <is>
          <t>Не определено</t>
        </is>
      </c>
      <c r="M5593" s="53" t="inlineStr"/>
      <c r="N5593" s="54" t="inlineStr"/>
      <c r="O5593" s="55" t="inlineStr"/>
      <c r="P5593" s="16" t="inlineStr">
        <is>
          <t>Требует обогащения</t>
        </is>
      </c>
      <c r="Q5593" s="16">
        <f>HYPERLINK("https://pb.nalog.ru/search.html?query=381200895656","ФНС: проверить")</f>
        <v/>
      </c>
      <c r="R5593" s="16">
        <f>HYPERLINK("https://checko.ru/search?query=3801001629","Чекко: проверить")</f>
        <v/>
      </c>
      <c r="S5593" t="n">
        <v>1</v>
      </c>
      <c r="T5593" s="35" t="inlineStr">
        <is>
          <t>4 — Не обогащён</t>
        </is>
      </c>
      <c r="U5593" s="35" t="inlineStr">
        <is>
          <t>Нет ОКВЭД/ССЧР</t>
        </is>
      </c>
      <c r="V5593" s="35" t="inlineStr">
        <is>
          <t>Не определено</t>
        </is>
      </c>
      <c r="W5593" s="35" t="inlineStr"/>
      <c r="X5593" s="35" t="inlineStr"/>
    </row>
    <row r="5594" ht="15" customHeight="1" s="24">
      <c r="A5594" s="13" t="n">
        <v>802541036</v>
      </c>
      <c r="B5594" s="13" t="inlineStr">
        <is>
          <t>ООО "ПОЛИПЛАСТИК Сибирь"</t>
        </is>
      </c>
      <c r="C5594" s="13" t="n">
        <v>3808155508</v>
      </c>
      <c r="D5594" s="13" t="inlineStr">
        <is>
          <t>3808155508</t>
        </is>
      </c>
      <c r="E5594" s="13" t="inlineStr">
        <is>
          <t>ЮЛ РФ</t>
        </is>
      </c>
      <c r="F5594" s="13" t="n"/>
      <c r="G5594" s="14" t="n"/>
      <c r="H5594" s="14" t="n"/>
      <c r="I5594" s="14" t="n"/>
      <c r="J5594" s="14" t="n"/>
      <c r="K5594" s="53" t="inlineStr"/>
      <c r="L5594" s="53" t="inlineStr">
        <is>
          <t>Не определено</t>
        </is>
      </c>
      <c r="M5594" s="53" t="inlineStr"/>
      <c r="N5594" s="54" t="inlineStr"/>
      <c r="O5594" s="55" t="inlineStr"/>
      <c r="P5594" s="16" t="inlineStr">
        <is>
          <t>Требует обогащения</t>
        </is>
      </c>
      <c r="Q5594" s="16">
        <f>HYPERLINK("https://pb.nalog.ru/search.html?query=3808155508","ФНС: проверить")</f>
        <v/>
      </c>
      <c r="R5594" s="16">
        <f>HYPERLINK("https://checko.ru/search?query=3801001629","Чекко: проверить")</f>
        <v/>
      </c>
      <c r="S5594" t="n">
        <v>1</v>
      </c>
      <c r="T5594" s="35" t="inlineStr">
        <is>
          <t>4 — Не обогащён</t>
        </is>
      </c>
      <c r="U5594" s="35" t="inlineStr">
        <is>
          <t>Нет ОКВЭД/ССЧР</t>
        </is>
      </c>
      <c r="V5594" s="35" t="inlineStr">
        <is>
          <t>Не определено</t>
        </is>
      </c>
      <c r="W5594" s="35" t="inlineStr"/>
      <c r="X5594" s="35" t="inlineStr"/>
    </row>
    <row r="5595" ht="27.75" customHeight="1" s="24">
      <c r="A5595" s="13" t="n">
        <v>20002317514</v>
      </c>
      <c r="B5595" s="13" t="inlineStr">
        <is>
          <t>ООО "Инженерное конструкторское бюро Альеско"</t>
        </is>
      </c>
      <c r="C5595" s="13" t="n">
        <v>3810315124</v>
      </c>
      <c r="D5595" s="13" t="inlineStr">
        <is>
          <t>3810315124</t>
        </is>
      </c>
      <c r="E5595" s="13" t="inlineStr">
        <is>
          <t>ЮЛ РФ</t>
        </is>
      </c>
      <c r="F5595" s="13" t="n"/>
      <c r="G5595" s="52" t="n">
        <v>4</v>
      </c>
      <c r="H5595" s="52" t="n">
        <v>2025</v>
      </c>
      <c r="I5595" s="14" t="n"/>
      <c r="J5595" s="14" t="n"/>
      <c r="K5595" s="53" t="inlineStr">
        <is>
          <t>Нет</t>
        </is>
      </c>
      <c r="L5595" s="53" t="inlineStr">
        <is>
          <t>Не определено</t>
        </is>
      </c>
      <c r="M5595" s="53" t="inlineStr">
        <is>
          <t>До 10</t>
        </is>
      </c>
      <c r="N5595" s="54" t="n">
        <v>3360</v>
      </c>
      <c r="O5595" s="55" t="inlineStr">
        <is>
          <t>1–15</t>
        </is>
      </c>
      <c r="P5595" s="16" t="inlineStr">
        <is>
          <t>ССЧР обогащена; ОКВЭД не найден/не загружен</t>
        </is>
      </c>
      <c r="Q5595" s="16" t="inlineStr">
        <is>
          <t>ФНС открытые данные ССЧР (ДатаСост 31.12.2025; набор 7707329152-sshr2019)</t>
        </is>
      </c>
      <c r="R5595" s="16">
        <f>HYPERLINK("https://checko.ru/search?query=3801001629","Чекко: проверить")</f>
        <v/>
      </c>
      <c r="S5595" t="n">
        <v>1</v>
      </c>
      <c r="T5595" s="35" t="inlineStr">
        <is>
          <t>4 — Не обогащён</t>
        </is>
      </c>
      <c r="U5595" s="35" t="inlineStr">
        <is>
          <t>Нет ОКВЭД/ССЧР</t>
        </is>
      </c>
      <c r="V5595" s="35" t="inlineStr">
        <is>
          <t>Не определено</t>
        </is>
      </c>
      <c r="W5595" s="35" t="inlineStr">
        <is>
          <t>Нет</t>
        </is>
      </c>
      <c r="X5595" s="35" t="inlineStr"/>
    </row>
    <row r="5596" ht="15" customHeight="1" s="24">
      <c r="A5596" s="13" t="n">
        <v>802459443</v>
      </c>
      <c r="B5596" s="13" t="inlineStr">
        <is>
          <t>ИП Белов Илья Александрович</t>
        </is>
      </c>
      <c r="C5596" s="13" t="n">
        <v>380116229840</v>
      </c>
      <c r="D5596" s="13" t="inlineStr">
        <is>
          <t>380116229840</t>
        </is>
      </c>
      <c r="E5596" s="13" t="inlineStr">
        <is>
          <t>ИП РФ / физлицо</t>
        </is>
      </c>
      <c r="F5596" s="13" t="n"/>
      <c r="G5596" s="14" t="n"/>
      <c r="H5596" s="14" t="n"/>
      <c r="I5596" s="14" t="n"/>
      <c r="J5596" s="14" t="n"/>
      <c r="K5596" s="53" t="inlineStr"/>
      <c r="L5596" s="53" t="inlineStr">
        <is>
          <t>Не определено</t>
        </is>
      </c>
      <c r="M5596" s="53" t="inlineStr"/>
      <c r="N5596" s="54" t="inlineStr"/>
      <c r="O5596" s="55" t="inlineStr"/>
      <c r="P5596" s="16" t="inlineStr">
        <is>
          <t>Требует обогащения</t>
        </is>
      </c>
      <c r="Q5596" s="16">
        <f>HYPERLINK("https://pb.nalog.ru/search.html?query=380116229840","ФНС: проверить")</f>
        <v/>
      </c>
      <c r="R5596" s="16">
        <f>HYPERLINK("https://checko.ru/search?query=3801001629","Чекко: проверить")</f>
        <v/>
      </c>
      <c r="S5596" t="n">
        <v>1</v>
      </c>
      <c r="T5596" s="35" t="inlineStr">
        <is>
          <t>4 — Не обогащён</t>
        </is>
      </c>
      <c r="U5596" s="35" t="inlineStr">
        <is>
          <t>Нет ОКВЭД/ССЧР</t>
        </is>
      </c>
      <c r="V5596" s="35" t="inlineStr">
        <is>
          <t>Не определено</t>
        </is>
      </c>
      <c r="W5596" s="35" t="inlineStr"/>
      <c r="X5596" s="35" t="inlineStr"/>
    </row>
    <row r="5597" ht="15" customHeight="1" s="24">
      <c r="A5597" s="13" t="n">
        <v>9169347</v>
      </c>
      <c r="B5597" s="13" t="inlineStr">
        <is>
          <t>ООО "ТехЦентр"</t>
        </is>
      </c>
      <c r="C5597" s="13" t="n">
        <v>3810036145</v>
      </c>
      <c r="D5597" s="13" t="inlineStr">
        <is>
          <t>3810036145</t>
        </is>
      </c>
      <c r="E5597" s="13" t="inlineStr">
        <is>
          <t>ЮЛ РФ</t>
        </is>
      </c>
      <c r="F5597" s="13" t="n"/>
      <c r="G5597" s="52" t="n">
        <v>22</v>
      </c>
      <c r="H5597" s="52" t="n">
        <v>2025</v>
      </c>
      <c r="I5597" s="52" t="inlineStr">
        <is>
          <t>45.20.1</t>
        </is>
      </c>
      <c r="J5597" s="52" t="inlineStr">
        <is>
          <t>45.20.1; 45.11.2; 45.31.1; 46.73; 47.30; 47.52.71; 68.10; 68.20; 68.31; 77.11; 82.99</t>
        </is>
      </c>
      <c r="K5597" s="53" t="inlineStr">
        <is>
          <t>Да</t>
        </is>
      </c>
      <c r="L5597" s="53" t="inlineStr">
        <is>
          <t>Да</t>
        </is>
      </c>
      <c r="M5597" s="53" t="inlineStr">
        <is>
          <t>До 25</t>
        </is>
      </c>
      <c r="N5597" s="54" t="n">
        <v>8400</v>
      </c>
      <c r="O5597" s="55" t="inlineStr">
        <is>
          <t>16–30</t>
        </is>
      </c>
      <c r="P5597" s="16" t="inlineStr">
        <is>
          <t>ССЧР + ОКВЭД обогащены</t>
        </is>
      </c>
      <c r="Q5597" s="16" t="inlineStr">
        <is>
          <t>ФНС открытые данные ССЧР (ДатаСост 31.12.2025; набор 7707329152-sshr2019)</t>
        </is>
      </c>
      <c r="R5597" s="16" t="inlineStr">
        <is>
          <t>ЕГРЮЛ / egrul.nalog.ru (выписка)</t>
        </is>
      </c>
      <c r="S5597" t="n">
        <v>1</v>
      </c>
      <c r="T5597" s="35" t="inlineStr">
        <is>
          <t>1 — Горячий</t>
        </is>
      </c>
      <c r="U5597" s="35" t="inlineStr">
        <is>
          <t>ОКВЭД + 22+</t>
        </is>
      </c>
      <c r="V5597" s="35" t="inlineStr">
        <is>
          <t>Да</t>
        </is>
      </c>
      <c r="W5597" s="35" t="inlineStr">
        <is>
          <t>Да</t>
        </is>
      </c>
      <c r="X5597" s="35" t="inlineStr">
        <is>
          <t>Да</t>
        </is>
      </c>
    </row>
    <row r="5598" ht="15" customHeight="1" s="24">
      <c r="A5598" s="13" t="n">
        <v>802471664</v>
      </c>
      <c r="B5598" s="13" t="inlineStr">
        <is>
          <t>Филиала «Текно Фронтиа Ко. ЛТД»</t>
        </is>
      </c>
      <c r="C5598" s="13" t="n">
        <v>9909451871</v>
      </c>
      <c r="D5598" s="13" t="inlineStr">
        <is>
          <t>9909451871</t>
        </is>
      </c>
      <c r="E5598" s="13" t="inlineStr">
        <is>
          <t>ЮЛ РФ</t>
        </is>
      </c>
      <c r="F5598" s="13" t="n"/>
      <c r="G5598" s="14" t="n"/>
      <c r="H5598" s="14" t="n"/>
      <c r="I5598" s="14" t="n"/>
      <c r="J5598" s="14" t="n"/>
      <c r="K5598" s="53" t="inlineStr"/>
      <c r="L5598" s="53" t="inlineStr">
        <is>
          <t>Не определено</t>
        </is>
      </c>
      <c r="M5598" s="53" t="inlineStr"/>
      <c r="N5598" s="54" t="inlineStr"/>
      <c r="O5598" s="55" t="inlineStr"/>
      <c r="P5598" s="16" t="inlineStr">
        <is>
          <t>Требует обогащения</t>
        </is>
      </c>
      <c r="Q5598" s="16">
        <f>HYPERLINK("https://pb.nalog.ru/search.html?query=9909451871","ФНС: проверить")</f>
        <v/>
      </c>
      <c r="R5598" s="16">
        <f>HYPERLINK("https://checko.ru/search?query=3801001629","Чекко: проверить")</f>
        <v/>
      </c>
      <c r="S5598" t="n">
        <v>1</v>
      </c>
      <c r="T5598" s="35" t="inlineStr">
        <is>
          <t>4 — Не обогащён</t>
        </is>
      </c>
      <c r="U5598" s="35" t="inlineStr">
        <is>
          <t>Нет ОКВЭД/ССЧР</t>
        </is>
      </c>
      <c r="V5598" s="35" t="inlineStr">
        <is>
          <t>Не определено</t>
        </is>
      </c>
      <c r="W5598" s="35" t="inlineStr"/>
      <c r="X5598" s="35" t="inlineStr"/>
    </row>
    <row r="5599" ht="15" customHeight="1" s="24">
      <c r="A5599" s="13" t="n">
        <v>10562686</v>
      </c>
      <c r="B5599" s="13" t="inlineStr">
        <is>
          <t>Товарищество собственников жилья "Южный"</t>
        </is>
      </c>
      <c r="C5599" s="13" t="n">
        <v>3812084049</v>
      </c>
      <c r="D5599" s="13" t="inlineStr">
        <is>
          <t>3812084049</t>
        </is>
      </c>
      <c r="E5599" s="13" t="inlineStr">
        <is>
          <t>ЮЛ РФ</t>
        </is>
      </c>
      <c r="F5599" s="13" t="n"/>
      <c r="G5599" s="14" t="n"/>
      <c r="H5599" s="14" t="n"/>
      <c r="I5599" s="14" t="n"/>
      <c r="J5599" s="14" t="n"/>
      <c r="K5599" s="53" t="inlineStr"/>
      <c r="L5599" s="53" t="inlineStr">
        <is>
          <t>Не определено</t>
        </is>
      </c>
      <c r="M5599" s="53" t="inlineStr"/>
      <c r="N5599" s="54" t="inlineStr"/>
      <c r="O5599" s="55" t="inlineStr"/>
      <c r="P5599" s="16" t="inlineStr">
        <is>
          <t>Требует обогащения</t>
        </is>
      </c>
      <c r="Q5599" s="16">
        <f>HYPERLINK("https://pb.nalog.ru/search.html?query=3812084049","ФНС: проверить")</f>
        <v/>
      </c>
      <c r="R5599" s="16">
        <f>HYPERLINK("https://checko.ru/search?query=3801001629","Чекко: проверить")</f>
        <v/>
      </c>
      <c r="S5599" t="n">
        <v>1</v>
      </c>
      <c r="T5599" s="35" t="inlineStr">
        <is>
          <t>4 — Не обогащён</t>
        </is>
      </c>
      <c r="U5599" s="35" t="inlineStr">
        <is>
          <t>Нет ОКВЭД/ССЧР</t>
        </is>
      </c>
      <c r="V5599" s="35" t="inlineStr">
        <is>
          <t>Не определено</t>
        </is>
      </c>
      <c r="W5599" s="35" t="inlineStr"/>
      <c r="X5599" s="35" t="inlineStr"/>
    </row>
    <row r="5600" ht="15" customHeight="1" s="24">
      <c r="A5600" s="13" t="n">
        <v>800396081</v>
      </c>
      <c r="B5600" s="13" t="inlineStr">
        <is>
          <t>Нижнеилимская церковь Святой Троицы, МРОХВЕ</t>
        </is>
      </c>
      <c r="C5600" s="13" t="n">
        <v>3834004520</v>
      </c>
      <c r="D5600" s="13" t="inlineStr">
        <is>
          <t>3834004520</t>
        </is>
      </c>
      <c r="E5600" s="13" t="inlineStr">
        <is>
          <t>ЮЛ РФ</t>
        </is>
      </c>
      <c r="F5600" s="13" t="n"/>
      <c r="G5600" s="14" t="n"/>
      <c r="H5600" s="14" t="n"/>
      <c r="I5600" s="14" t="n"/>
      <c r="J5600" s="14" t="n"/>
      <c r="K5600" s="53" t="inlineStr"/>
      <c r="L5600" s="53" t="inlineStr">
        <is>
          <t>Не определено</t>
        </is>
      </c>
      <c r="M5600" s="53" t="inlineStr"/>
      <c r="N5600" s="54" t="inlineStr"/>
      <c r="O5600" s="55" t="inlineStr"/>
      <c r="P5600" s="16" t="inlineStr">
        <is>
          <t>Требует обогащения</t>
        </is>
      </c>
      <c r="Q5600" s="16">
        <f>HYPERLINK("https://pb.nalog.ru/search.html?query=3834004520","ФНС: проверить")</f>
        <v/>
      </c>
      <c r="R5600" s="16">
        <f>HYPERLINK("https://checko.ru/search?query=3801001629","Чекко: проверить")</f>
        <v/>
      </c>
      <c r="S5600" t="n">
        <v>1</v>
      </c>
      <c r="T5600" s="35" t="inlineStr">
        <is>
          <t>4 — Не обогащён</t>
        </is>
      </c>
      <c r="U5600" s="35" t="inlineStr">
        <is>
          <t>Нет ОКВЭД/ССЧР</t>
        </is>
      </c>
      <c r="V5600" s="35" t="inlineStr">
        <is>
          <t>Не определено</t>
        </is>
      </c>
      <c r="W5600" s="35" t="inlineStr"/>
      <c r="X5600" s="35" t="inlineStr"/>
    </row>
    <row r="5601" ht="15" customHeight="1" s="24">
      <c r="A5601" s="13" t="n">
        <v>9887071</v>
      </c>
      <c r="B5601" s="13" t="inlineStr">
        <is>
          <t>Потребительское общество "Любава"</t>
        </is>
      </c>
      <c r="C5601" s="13" t="n">
        <v>3810034740</v>
      </c>
      <c r="D5601" s="13" t="inlineStr">
        <is>
          <t>3810034740</t>
        </is>
      </c>
      <c r="E5601" s="13" t="inlineStr">
        <is>
          <t>ЮЛ РФ</t>
        </is>
      </c>
      <c r="F5601" s="13" t="n"/>
      <c r="G5601" s="14" t="n"/>
      <c r="H5601" s="14" t="n"/>
      <c r="I5601" s="14" t="n"/>
      <c r="J5601" s="14" t="n"/>
      <c r="K5601" s="53" t="inlineStr"/>
      <c r="L5601" s="53" t="inlineStr">
        <is>
          <t>Не определено</t>
        </is>
      </c>
      <c r="M5601" s="53" t="inlineStr"/>
      <c r="N5601" s="54" t="inlineStr"/>
      <c r="O5601" s="55" t="inlineStr"/>
      <c r="P5601" s="16" t="inlineStr">
        <is>
          <t>Требует обогащения</t>
        </is>
      </c>
      <c r="Q5601" s="16">
        <f>HYPERLINK("https://pb.nalog.ru/search.html?query=3810034740","ФНС: проверить")</f>
        <v/>
      </c>
      <c r="R5601" s="16">
        <f>HYPERLINK("https://checko.ru/search?query=3801001629","Чекко: проверить")</f>
        <v/>
      </c>
      <c r="S5601" t="n">
        <v>1</v>
      </c>
      <c r="T5601" s="35" t="inlineStr">
        <is>
          <t>4 — Не обогащён</t>
        </is>
      </c>
      <c r="U5601" s="35" t="inlineStr">
        <is>
          <t>Нет ОКВЭД/ССЧР</t>
        </is>
      </c>
      <c r="V5601" s="35" t="inlineStr">
        <is>
          <t>Не определено</t>
        </is>
      </c>
      <c r="W5601" s="35" t="inlineStr"/>
      <c r="X5601" s="35" t="inlineStr"/>
    </row>
    <row r="5602" ht="15" customHeight="1" s="24">
      <c r="A5602" s="13" t="n">
        <v>800489604</v>
      </c>
      <c r="B5602" s="13" t="inlineStr">
        <is>
          <t>Синергия Ойл Групп, ООО</t>
        </is>
      </c>
      <c r="C5602" s="13" t="n">
        <v>3808190887</v>
      </c>
      <c r="D5602" s="13" t="inlineStr">
        <is>
          <t>3808190887</t>
        </is>
      </c>
      <c r="E5602" s="13" t="inlineStr">
        <is>
          <t>ЮЛ РФ</t>
        </is>
      </c>
      <c r="F5602" s="13" t="n"/>
      <c r="G5602" s="14" t="n"/>
      <c r="H5602" s="14" t="n"/>
      <c r="I5602" s="14" t="n"/>
      <c r="J5602" s="14" t="n"/>
      <c r="K5602" s="53" t="inlineStr"/>
      <c r="L5602" s="53" t="inlineStr">
        <is>
          <t>Не определено</t>
        </is>
      </c>
      <c r="M5602" s="53" t="inlineStr"/>
      <c r="N5602" s="54" t="inlineStr"/>
      <c r="O5602" s="55" t="inlineStr"/>
      <c r="P5602" s="16" t="inlineStr">
        <is>
          <t>Требует обогащения</t>
        </is>
      </c>
      <c r="Q5602" s="16">
        <f>HYPERLINK("https://pb.nalog.ru/search.html?query=3808190887","ФНС: проверить")</f>
        <v/>
      </c>
      <c r="R5602" s="16">
        <f>HYPERLINK("https://checko.ru/search?query=3801001629","Чекко: проверить")</f>
        <v/>
      </c>
      <c r="S5602" t="n">
        <v>1</v>
      </c>
      <c r="T5602" s="35" t="inlineStr">
        <is>
          <t>4 — Не обогащён</t>
        </is>
      </c>
      <c r="U5602" s="35" t="inlineStr">
        <is>
          <t>Нет ОКВЭД/ССЧР</t>
        </is>
      </c>
      <c r="V5602" s="35" t="inlineStr">
        <is>
          <t>Не определено</t>
        </is>
      </c>
      <c r="W5602" s="35" t="inlineStr"/>
      <c r="X5602" s="35" t="inlineStr"/>
    </row>
    <row r="5603" ht="15" customHeight="1" s="24">
      <c r="A5603" s="13" t="n">
        <v>802474879</v>
      </c>
      <c r="B5603" s="13" t="inlineStr">
        <is>
          <t>ООО «Разрез Велистовский»</t>
        </is>
      </c>
      <c r="C5603" s="13" t="n">
        <v>3808234358</v>
      </c>
      <c r="D5603" s="13" t="inlineStr">
        <is>
          <t>3808234358</t>
        </is>
      </c>
      <c r="E5603" s="13" t="inlineStr">
        <is>
          <t>ЮЛ РФ</t>
        </is>
      </c>
      <c r="F5603" s="13" t="n"/>
      <c r="G5603" s="52" t="n">
        <v>28</v>
      </c>
      <c r="H5603" s="52" t="n">
        <v>2025</v>
      </c>
      <c r="I5603" s="52" t="inlineStr">
        <is>
          <t>05.20.11</t>
        </is>
      </c>
      <c r="J5603" s="52" t="inlineStr">
        <is>
          <t>05.20.11; 19.33; 35.30; 38.32.5</t>
        </is>
      </c>
      <c r="K5603" s="53" t="inlineStr">
        <is>
          <t>Да</t>
        </is>
      </c>
      <c r="L5603" s="53" t="inlineStr">
        <is>
          <t>Да</t>
        </is>
      </c>
      <c r="M5603" s="53" t="inlineStr">
        <is>
          <t>До 50</t>
        </is>
      </c>
      <c r="N5603" s="54" t="n">
        <v>16800</v>
      </c>
      <c r="O5603" s="55" t="inlineStr">
        <is>
          <t>16–30</t>
        </is>
      </c>
      <c r="P5603" s="16" t="inlineStr">
        <is>
          <t>ССЧР + ОКВЭД обогащены</t>
        </is>
      </c>
      <c r="Q5603" s="16" t="inlineStr">
        <is>
          <t>ФНС открытые данные ССЧР (ДатаСост 31.12.2025; набор 7707329152-sshr2019)</t>
        </is>
      </c>
      <c r="R5603" s="16" t="inlineStr">
        <is>
          <t>ЕГРЮЛ / egrul.nalog.ru (выписка)</t>
        </is>
      </c>
      <c r="S5603" t="n">
        <v>1</v>
      </c>
      <c r="T5603" s="35" t="inlineStr">
        <is>
          <t>1 — Горячий</t>
        </is>
      </c>
      <c r="U5603" s="35" t="inlineStr">
        <is>
          <t>ОКВЭД + 22+</t>
        </is>
      </c>
      <c r="V5603" s="35" t="inlineStr">
        <is>
          <t>Да</t>
        </is>
      </c>
      <c r="W5603" s="35" t="inlineStr">
        <is>
          <t>Да</t>
        </is>
      </c>
      <c r="X5603" s="35" t="inlineStr">
        <is>
          <t>Да</t>
        </is>
      </c>
    </row>
    <row r="5604" ht="15" customHeight="1" s="24">
      <c r="A5604" s="13" t="n">
        <v>801606582</v>
      </c>
      <c r="B5604" s="13" t="inlineStr">
        <is>
          <t>ООО "ТИМ ТРЕЙД"</t>
        </is>
      </c>
      <c r="C5604" s="13" t="n">
        <v>3812116445</v>
      </c>
      <c r="D5604" s="13" t="inlineStr">
        <is>
          <t>3812116445</t>
        </is>
      </c>
      <c r="E5604" s="13" t="inlineStr">
        <is>
          <t>ЮЛ РФ</t>
        </is>
      </c>
      <c r="F5604" s="13" t="n"/>
      <c r="G5604" s="52" t="n">
        <v>36</v>
      </c>
      <c r="H5604" s="52" t="n">
        <v>2025</v>
      </c>
      <c r="I5604" s="52" t="inlineStr">
        <is>
          <t>17.22</t>
        </is>
      </c>
      <c r="J5604" s="52" t="inlineStr">
        <is>
          <t>17.22; 22.22; 46.15.9; 46.18.1; 46.36; 46.36.1; 46.36.2; 46.37; 46.38; 46.38.26; 46.41.2; 46.44; 46.44.2; 46.45; 46.45.2; 46.49; 46.49.4; 46.49.33; 46.49.42; 56.10; 56.10.1; 56.10.3</t>
        </is>
      </c>
      <c r="K5604" s="53" t="inlineStr">
        <is>
          <t>Да</t>
        </is>
      </c>
      <c r="L5604" s="53" t="inlineStr">
        <is>
          <t>Да</t>
        </is>
      </c>
      <c r="M5604" s="53" t="inlineStr">
        <is>
          <t>До 50</t>
        </is>
      </c>
      <c r="N5604" s="54" t="n">
        <v>16800</v>
      </c>
      <c r="O5604" s="55" t="inlineStr">
        <is>
          <t>31–50</t>
        </is>
      </c>
      <c r="P5604" s="16" t="inlineStr">
        <is>
          <t>ССЧР + ОКВЭД обогащены</t>
        </is>
      </c>
      <c r="Q5604" s="16" t="inlineStr">
        <is>
          <t>ФНС открытые данные ССЧР (ДатаСост 31.12.2025; набор 7707329152-sshr2019)</t>
        </is>
      </c>
      <c r="R5604" s="16" t="inlineStr">
        <is>
          <t>ЕГРЮЛ / egrul.nalog.ru (выписка)</t>
        </is>
      </c>
      <c r="S5604" t="n">
        <v>1</v>
      </c>
      <c r="T5604" s="35" t="inlineStr">
        <is>
          <t>1 — Горячий</t>
        </is>
      </c>
      <c r="U5604" s="35" t="inlineStr">
        <is>
          <t>ОКВЭД + 22+</t>
        </is>
      </c>
      <c r="V5604" s="35" t="inlineStr">
        <is>
          <t>Да</t>
        </is>
      </c>
      <c r="W5604" s="35" t="inlineStr">
        <is>
          <t>Да</t>
        </is>
      </c>
      <c r="X5604" s="35" t="inlineStr">
        <is>
          <t>Да</t>
        </is>
      </c>
    </row>
    <row r="5605" ht="15" customHeight="1" s="24">
      <c r="A5605" s="13" t="n">
        <v>801334222</v>
      </c>
      <c r="B5605" s="13" t="inlineStr">
        <is>
          <t>ООО "Стройиндустрия"</t>
        </is>
      </c>
      <c r="C5605" s="13" t="n">
        <v>1434027208</v>
      </c>
      <c r="D5605" s="13" t="inlineStr">
        <is>
          <t>1434027208</t>
        </is>
      </c>
      <c r="E5605" s="13" t="inlineStr">
        <is>
          <t>ЮЛ РФ</t>
        </is>
      </c>
      <c r="F5605" s="13" t="n"/>
      <c r="G5605" s="52" t="n">
        <v>12</v>
      </c>
      <c r="H5605" s="52" t="n">
        <v>2025</v>
      </c>
      <c r="I5605" s="14" t="n"/>
      <c r="J5605" s="14" t="n"/>
      <c r="K5605" s="53" t="inlineStr">
        <is>
          <t>Нет</t>
        </is>
      </c>
      <c r="L5605" s="53" t="inlineStr">
        <is>
          <t>Не определено</t>
        </is>
      </c>
      <c r="M5605" s="53" t="inlineStr">
        <is>
          <t>До 25</t>
        </is>
      </c>
      <c r="N5605" s="54" t="n">
        <v>8400</v>
      </c>
      <c r="O5605" s="55" t="inlineStr">
        <is>
          <t>1–15</t>
        </is>
      </c>
      <c r="P5605" s="16" t="inlineStr">
        <is>
          <t>ССЧР обогащена; ОКВЭД не найден/не загружен</t>
        </is>
      </c>
      <c r="Q5605" s="16" t="inlineStr">
        <is>
          <t>ФНС открытые данные ССЧР (ДатаСост 31.12.2025; набор 7707329152-sshr2019)</t>
        </is>
      </c>
      <c r="R5605" s="16">
        <f>HYPERLINK("https://checko.ru/search?query=3801001629","Чекко: проверить")</f>
        <v/>
      </c>
      <c r="S5605" t="n">
        <v>1</v>
      </c>
      <c r="T5605" s="35" t="inlineStr">
        <is>
          <t>4 — Не обогащён</t>
        </is>
      </c>
      <c r="U5605" s="35" t="inlineStr">
        <is>
          <t>Нет ОКВЭД/ССЧР</t>
        </is>
      </c>
      <c r="V5605" s="35" t="inlineStr">
        <is>
          <t>Не определено</t>
        </is>
      </c>
      <c r="W5605" s="35" t="inlineStr">
        <is>
          <t>Нет</t>
        </is>
      </c>
      <c r="X5605" s="35" t="inlineStr"/>
    </row>
    <row r="5606" ht="27.75" customHeight="1" s="24">
      <c r="A5606" s="13" t="n">
        <v>9075023</v>
      </c>
      <c r="B5606" s="13" t="inlineStr">
        <is>
          <t>ООО «Центральная аптека №34» города Черемхово»</t>
        </is>
      </c>
      <c r="C5606" s="13" t="n">
        <v>3801163108</v>
      </c>
      <c r="D5606" s="13" t="inlineStr">
        <is>
          <t>3801163108</t>
        </is>
      </c>
      <c r="E5606" s="13" t="inlineStr">
        <is>
          <t>ЮЛ РФ</t>
        </is>
      </c>
      <c r="F5606" s="13" t="n"/>
      <c r="G5606" s="52" t="n">
        <v>9</v>
      </c>
      <c r="H5606" s="52" t="n">
        <v>2025</v>
      </c>
      <c r="I5606" s="14" t="n"/>
      <c r="J5606" s="14" t="n"/>
      <c r="K5606" s="53" t="inlineStr">
        <is>
          <t>Нет</t>
        </is>
      </c>
      <c r="L5606" s="53" t="inlineStr">
        <is>
          <t>Не определено</t>
        </is>
      </c>
      <c r="M5606" s="53" t="inlineStr">
        <is>
          <t>До 10</t>
        </is>
      </c>
      <c r="N5606" s="54" t="n">
        <v>3360</v>
      </c>
      <c r="O5606" s="55" t="inlineStr">
        <is>
          <t>1–15</t>
        </is>
      </c>
      <c r="P5606" s="16" t="inlineStr">
        <is>
          <t>ССЧР обогащена; ОКВЭД не найден/не загружен</t>
        </is>
      </c>
      <c r="Q5606" s="16" t="inlineStr">
        <is>
          <t>ФНС открытые данные ССЧР (ДатаСост 31.12.2025; набор 7707329152-sshr2019)</t>
        </is>
      </c>
      <c r="R5606" s="16">
        <f>HYPERLINK("https://checko.ru/search?query=3801001629","Чекко: проверить")</f>
        <v/>
      </c>
      <c r="S5606" t="n">
        <v>1</v>
      </c>
      <c r="T5606" s="35" t="inlineStr">
        <is>
          <t>4 — Не обогащён</t>
        </is>
      </c>
      <c r="U5606" s="35" t="inlineStr">
        <is>
          <t>Нет ОКВЭД/ССЧР</t>
        </is>
      </c>
      <c r="V5606" s="35" t="inlineStr">
        <is>
          <t>Не определено</t>
        </is>
      </c>
      <c r="W5606" s="35" t="inlineStr">
        <is>
          <t>Нет</t>
        </is>
      </c>
      <c r="X5606" s="35" t="inlineStr"/>
    </row>
    <row r="5607" ht="15" customHeight="1" s="24">
      <c r="A5607" s="13" t="n">
        <v>800542361</v>
      </c>
      <c r="B5607" s="13" t="inlineStr">
        <is>
          <t>ООО "Байкальская инжиниринговая компания"</t>
        </is>
      </c>
      <c r="C5607" s="13" t="n">
        <v>3811148525</v>
      </c>
      <c r="D5607" s="13" t="inlineStr">
        <is>
          <t>3811148525</t>
        </is>
      </c>
      <c r="E5607" s="13" t="inlineStr">
        <is>
          <t>ЮЛ РФ</t>
        </is>
      </c>
      <c r="F5607" s="13" t="n"/>
      <c r="G5607" s="52" t="n">
        <v>31</v>
      </c>
      <c r="H5607" s="52" t="n">
        <v>2025</v>
      </c>
      <c r="I5607" s="52" t="inlineStr">
        <is>
          <t>71.12.2</t>
        </is>
      </c>
      <c r="J5607" s="52" t="inlineStr">
        <is>
          <t>71.12.2; 41.20; 43.91; 46.19; 46.90; 64.99; 68.31; 70.22; 71.11.1; 71.12.1; 82.99</t>
        </is>
      </c>
      <c r="K5607" s="53" t="inlineStr">
        <is>
          <t>Да</t>
        </is>
      </c>
      <c r="L5607" s="53" t="inlineStr">
        <is>
          <t>Да</t>
        </is>
      </c>
      <c r="M5607" s="53" t="inlineStr">
        <is>
          <t>До 50</t>
        </is>
      </c>
      <c r="N5607" s="54" t="n">
        <v>16800</v>
      </c>
      <c r="O5607" s="55" t="inlineStr">
        <is>
          <t>31–50</t>
        </is>
      </c>
      <c r="P5607" s="16" t="inlineStr">
        <is>
          <t>ССЧР + ОКВЭД обогащены</t>
        </is>
      </c>
      <c r="Q5607" s="16" t="inlineStr">
        <is>
          <t>ФНС открытые данные ССЧР (ДатаСост 31.12.2025; набор 7707329152-sshr2019)</t>
        </is>
      </c>
      <c r="R5607" s="16" t="inlineStr">
        <is>
          <t>ЕГРЮЛ / egrul.nalog.ru (выписка)</t>
        </is>
      </c>
      <c r="S5607" t="n">
        <v>1</v>
      </c>
      <c r="T5607" s="35" t="inlineStr">
        <is>
          <t>1 — Горячий</t>
        </is>
      </c>
      <c r="U5607" s="35" t="inlineStr">
        <is>
          <t>ОКВЭД + 22+</t>
        </is>
      </c>
      <c r="V5607" s="35" t="inlineStr">
        <is>
          <t>Да</t>
        </is>
      </c>
      <c r="W5607" s="35" t="inlineStr">
        <is>
          <t>Да</t>
        </is>
      </c>
      <c r="X5607" s="35" t="inlineStr">
        <is>
          <t>Да</t>
        </is>
      </c>
    </row>
    <row r="5608" ht="15" customHeight="1" s="24">
      <c r="A5608" s="13" t="n">
        <v>802523099</v>
      </c>
      <c r="B5608" s="13" t="inlineStr">
        <is>
          <t>СосновГео</t>
        </is>
      </c>
      <c r="C5608" s="13" t="n">
        <v>3827000436</v>
      </c>
      <c r="D5608" s="13" t="inlineStr">
        <is>
          <t>3827000436</t>
        </is>
      </c>
      <c r="E5608" s="13" t="inlineStr">
        <is>
          <t>ЮЛ РФ</t>
        </is>
      </c>
      <c r="F5608" s="13" t="n"/>
      <c r="G5608" s="52" t="n">
        <v>288</v>
      </c>
      <c r="H5608" s="52" t="n">
        <v>2025</v>
      </c>
      <c r="I5608" s="52" t="inlineStr">
        <is>
          <t>09.90</t>
        </is>
      </c>
      <c r="J5608" s="52" t="inlineStr">
        <is>
          <t>09.90; 08.12.1; 08.92.1; 23.70.1; 23.70.2; 68.20.1; 68.20.21; 02.20; 07.29.41; 08.11; 08.12; 16.10.1; 23.70; 23.99; 24.41; 28.29; 32.12.2; 37.00; 38.32.5; 42.99; 43.13; 43.21; 43.99.7; 46.72.23; 47.19.1; 47.52.7; 49.39; 49.41.1; 49.41.2; 52.29; 72.19</t>
        </is>
      </c>
      <c r="K5608" s="53" t="inlineStr">
        <is>
          <t>Да</t>
        </is>
      </c>
      <c r="L5608" s="53" t="inlineStr">
        <is>
          <t>Да</t>
        </is>
      </c>
      <c r="M5608" s="53" t="inlineStr">
        <is>
          <t>До 500</t>
        </is>
      </c>
      <c r="N5608" s="54" t="n">
        <v>144000</v>
      </c>
      <c r="O5608" s="55" t="inlineStr">
        <is>
          <t>201–500</t>
        </is>
      </c>
      <c r="P5608" s="16" t="inlineStr">
        <is>
          <t>ССЧР + ОКВЭД обогащены</t>
        </is>
      </c>
      <c r="Q5608" s="16" t="inlineStr">
        <is>
          <t>ФНС открытые данные ССЧР (ДатаСост 31.12.2025; набор 7707329152-sshr2019)</t>
        </is>
      </c>
      <c r="R5608" s="16" t="inlineStr">
        <is>
          <t>ЕГРЮЛ / egrul.nalog.ru (выписка)</t>
        </is>
      </c>
      <c r="S5608" t="n">
        <v>1</v>
      </c>
      <c r="T5608" s="35" t="inlineStr">
        <is>
          <t>1 — Горячий</t>
        </is>
      </c>
      <c r="U5608" s="35" t="inlineStr">
        <is>
          <t>ОКВЭД + 22+</t>
        </is>
      </c>
      <c r="V5608" s="35" t="inlineStr">
        <is>
          <t>Да</t>
        </is>
      </c>
      <c r="W5608" s="35" t="inlineStr">
        <is>
          <t>Да</t>
        </is>
      </c>
      <c r="X5608" s="35" t="inlineStr">
        <is>
          <t>Да</t>
        </is>
      </c>
    </row>
    <row r="5609" ht="15" customHeight="1" s="24">
      <c r="A5609" s="13" t="n">
        <v>802450035</v>
      </c>
      <c r="B5609" s="13" t="inlineStr">
        <is>
          <t>ООО "ПРОММЕТАЛЛ"</t>
        </is>
      </c>
      <c r="C5609" s="13" t="n">
        <v>3804023042</v>
      </c>
      <c r="D5609" s="13" t="inlineStr">
        <is>
          <t>3804023042</t>
        </is>
      </c>
      <c r="E5609" s="13" t="inlineStr">
        <is>
          <t>ЮЛ РФ</t>
        </is>
      </c>
      <c r="F5609" s="13" t="n"/>
      <c r="G5609" s="52" t="n">
        <v>24</v>
      </c>
      <c r="H5609" s="52" t="n">
        <v>2025</v>
      </c>
      <c r="I5609" s="52" t="inlineStr">
        <is>
          <t>46.90</t>
        </is>
      </c>
      <c r="J5609" s="52" t="inlineStr">
        <is>
          <t>46.90; 16.10.1; 16.23.1; 33.20; 38.32.5; 43.11; 43.29; 45.20.1; 45.20.2; 46.12; 46.12.22; 46.71.2; 46.72.2; 46.72.21; 47.30; 50.30; 50.30.2; 50.40; 50.40.2; 52.10.21; 52.24; 52.29; 56.10.1; 56.10.3; 66.12; 74.20; 74.30; 82.92</t>
        </is>
      </c>
      <c r="K5609" s="53" t="inlineStr">
        <is>
          <t>Да</t>
        </is>
      </c>
      <c r="L5609" s="53" t="inlineStr">
        <is>
          <t>Да</t>
        </is>
      </c>
      <c r="M5609" s="53" t="inlineStr">
        <is>
          <t>До 25</t>
        </is>
      </c>
      <c r="N5609" s="54" t="n">
        <v>8400</v>
      </c>
      <c r="O5609" s="55" t="inlineStr">
        <is>
          <t>16–30</t>
        </is>
      </c>
      <c r="P5609" s="16" t="inlineStr">
        <is>
          <t>ССЧР + ОКВЭД обогащены</t>
        </is>
      </c>
      <c r="Q5609" s="16" t="inlineStr">
        <is>
          <t>ФНС открытые данные ССЧР (ДатаСост 31.12.2025; набор 7707329152-sshr2019)</t>
        </is>
      </c>
      <c r="R5609" s="16" t="inlineStr">
        <is>
          <t>ЕГРЮЛ / egrul.nalog.ru (выписка)</t>
        </is>
      </c>
      <c r="S5609" t="n">
        <v>1</v>
      </c>
      <c r="T5609" s="35" t="inlineStr">
        <is>
          <t>1 — Горячий</t>
        </is>
      </c>
      <c r="U5609" s="35" t="inlineStr">
        <is>
          <t>ОКВЭД + 22+</t>
        </is>
      </c>
      <c r="V5609" s="35" t="inlineStr">
        <is>
          <t>Да</t>
        </is>
      </c>
      <c r="W5609" s="35" t="inlineStr">
        <is>
          <t>Да</t>
        </is>
      </c>
      <c r="X5609" s="35" t="inlineStr">
        <is>
          <t>Да</t>
        </is>
      </c>
    </row>
    <row r="5610" ht="15" customHeight="1" s="24">
      <c r="A5610" s="13" t="n">
        <v>9012656</v>
      </c>
      <c r="B5610" s="13" t="inlineStr">
        <is>
          <t>Ал-Юр ПК ООО</t>
        </is>
      </c>
      <c r="C5610" s="13" t="n">
        <v>3812048925</v>
      </c>
      <c r="D5610" s="13" t="inlineStr">
        <is>
          <t>3812048925</t>
        </is>
      </c>
      <c r="E5610" s="13" t="inlineStr">
        <is>
          <t>ЮЛ РФ</t>
        </is>
      </c>
      <c r="F5610" s="13" t="n"/>
      <c r="G5610" s="52" t="n">
        <v>33</v>
      </c>
      <c r="H5610" s="52" t="n">
        <v>2025</v>
      </c>
      <c r="I5610" s="52" t="inlineStr">
        <is>
          <t>46.49.3</t>
        </is>
      </c>
      <c r="J5610" s="52" t="inlineStr">
        <is>
          <t>46.49.3; 46.36.2; 46.37; 46.38.29; 46.43; 46.44; 46.45; 46.49; 46.66; 46.76.1; 47.19; 47.73; 47.74; 47.75; 49.41.2; 74.20; 74.30; 82.92</t>
        </is>
      </c>
      <c r="K5610" s="53" t="inlineStr">
        <is>
          <t>Да</t>
        </is>
      </c>
      <c r="L5610" s="53" t="inlineStr">
        <is>
          <t>Да</t>
        </is>
      </c>
      <c r="M5610" s="53" t="inlineStr">
        <is>
          <t>До 50</t>
        </is>
      </c>
      <c r="N5610" s="54" t="n">
        <v>16800</v>
      </c>
      <c r="O5610" s="55" t="inlineStr">
        <is>
          <t>31–50</t>
        </is>
      </c>
      <c r="P5610" s="16" t="inlineStr">
        <is>
          <t>ССЧР + ОКВЭД обогащены</t>
        </is>
      </c>
      <c r="Q5610" s="16" t="inlineStr">
        <is>
          <t>ФНС открытые данные ССЧР (ДатаСост 31.12.2025; набор 7707329152-sshr2019)</t>
        </is>
      </c>
      <c r="R5610" s="16" t="inlineStr">
        <is>
          <t>ЕГРЮЛ / egrul.nalog.ru (выписка)</t>
        </is>
      </c>
      <c r="S5610" t="n">
        <v>1</v>
      </c>
      <c r="T5610" s="35" t="inlineStr">
        <is>
          <t>1 — Горячий</t>
        </is>
      </c>
      <c r="U5610" s="35" t="inlineStr">
        <is>
          <t>ОКВЭД + 22+</t>
        </is>
      </c>
      <c r="V5610" s="35" t="inlineStr">
        <is>
          <t>Да</t>
        </is>
      </c>
      <c r="W5610" s="35" t="inlineStr">
        <is>
          <t>Да</t>
        </is>
      </c>
      <c r="X5610" s="35" t="inlineStr">
        <is>
          <t>Да</t>
        </is>
      </c>
    </row>
    <row r="5611" ht="15" customHeight="1" s="24">
      <c r="A5611" s="13" t="n">
        <v>800413590</v>
      </c>
      <c r="B5611" s="13" t="inlineStr">
        <is>
          <t>ООО "НИТРОН ПЛЮС"</t>
        </is>
      </c>
      <c r="C5611" s="13" t="n">
        <v>3801095881</v>
      </c>
      <c r="D5611" s="13" t="inlineStr">
        <is>
          <t>3801095881</t>
        </is>
      </c>
      <c r="E5611" s="13" t="inlineStr">
        <is>
          <t>ЮЛ РФ</t>
        </is>
      </c>
      <c r="F5611" s="13" t="n"/>
      <c r="G5611" s="52" t="n">
        <v>6</v>
      </c>
      <c r="H5611" s="52" t="n">
        <v>2025</v>
      </c>
      <c r="I5611" s="14" t="n"/>
      <c r="J5611" s="14" t="n"/>
      <c r="K5611" s="53" t="inlineStr">
        <is>
          <t>Нет</t>
        </is>
      </c>
      <c r="L5611" s="53" t="inlineStr">
        <is>
          <t>Не определено</t>
        </is>
      </c>
      <c r="M5611" s="53" t="inlineStr">
        <is>
          <t>До 10</t>
        </is>
      </c>
      <c r="N5611" s="54" t="n">
        <v>3360</v>
      </c>
      <c r="O5611" s="55" t="inlineStr">
        <is>
          <t>1–15</t>
        </is>
      </c>
      <c r="P5611" s="16" t="inlineStr">
        <is>
          <t>ССЧР обогащена; ОКВЭД не найден/не загружен</t>
        </is>
      </c>
      <c r="Q5611" s="16" t="inlineStr">
        <is>
          <t>ФНС открытые данные ССЧР (ДатаСост 31.12.2025; набор 7707329152-sshr2019)</t>
        </is>
      </c>
      <c r="R5611" s="16">
        <f>HYPERLINK("https://checko.ru/search?query=3801001629","Чекко: проверить")</f>
        <v/>
      </c>
      <c r="S5611" t="n">
        <v>1</v>
      </c>
      <c r="T5611" s="35" t="inlineStr">
        <is>
          <t>4 — Не обогащён</t>
        </is>
      </c>
      <c r="U5611" s="35" t="inlineStr">
        <is>
          <t>Нет ОКВЭД/ССЧР</t>
        </is>
      </c>
      <c r="V5611" s="35" t="inlineStr">
        <is>
          <t>Не определено</t>
        </is>
      </c>
      <c r="W5611" s="35" t="inlineStr">
        <is>
          <t>Нет</t>
        </is>
      </c>
      <c r="X5611" s="35" t="inlineStr"/>
    </row>
    <row r="5612" ht="27.75" customHeight="1" s="24">
      <c r="A5612" s="13" t="n">
        <v>802462909</v>
      </c>
      <c r="B5612" s="13" t="inlineStr">
        <is>
          <t>ОБЩЕСТВО С ОГРАНИЧЕННОЙ ОТВЕТСТВЕННОСТЬЮ "ВОСТОК-ЛЕС-СЕРВИС"</t>
        </is>
      </c>
      <c r="C5612" s="13" t="n">
        <v>3808236757</v>
      </c>
      <c r="D5612" s="13" t="inlineStr">
        <is>
          <t>3808236757</t>
        </is>
      </c>
      <c r="E5612" s="13" t="inlineStr">
        <is>
          <t>ЮЛ РФ</t>
        </is>
      </c>
      <c r="F5612" s="13" t="n"/>
      <c r="G5612" s="52" t="n">
        <v>5</v>
      </c>
      <c r="H5612" s="52" t="n">
        <v>2025</v>
      </c>
      <c r="I5612" s="14" t="n"/>
      <c r="J5612" s="14" t="n"/>
      <c r="K5612" s="53" t="inlineStr">
        <is>
          <t>Нет</t>
        </is>
      </c>
      <c r="L5612" s="53" t="inlineStr">
        <is>
          <t>Не определено</t>
        </is>
      </c>
      <c r="M5612" s="53" t="inlineStr">
        <is>
          <t>До 10</t>
        </is>
      </c>
      <c r="N5612" s="54" t="n">
        <v>3360</v>
      </c>
      <c r="O5612" s="55" t="inlineStr">
        <is>
          <t>1–15</t>
        </is>
      </c>
      <c r="P5612" s="16" t="inlineStr">
        <is>
          <t>ССЧР обогащена; ОКВЭД не найден/не загружен</t>
        </is>
      </c>
      <c r="Q5612" s="16" t="inlineStr">
        <is>
          <t>ФНС открытые данные ССЧР (ДатаСост 31.12.2025; набор 7707329152-sshr2019)</t>
        </is>
      </c>
      <c r="R5612" s="16">
        <f>HYPERLINK("https://checko.ru/search?query=3801001629","Чекко: проверить")</f>
        <v/>
      </c>
      <c r="S5612" t="n">
        <v>1</v>
      </c>
      <c r="T5612" s="35" t="inlineStr">
        <is>
          <t>4 — Не обогащён</t>
        </is>
      </c>
      <c r="U5612" s="35" t="inlineStr">
        <is>
          <t>Нет ОКВЭД/ССЧР</t>
        </is>
      </c>
      <c r="V5612" s="35" t="inlineStr">
        <is>
          <t>Не определено</t>
        </is>
      </c>
      <c r="W5612" s="35" t="inlineStr">
        <is>
          <t>Нет</t>
        </is>
      </c>
      <c r="X5612" s="35" t="inlineStr"/>
    </row>
    <row r="5613" ht="15" customHeight="1" s="24">
      <c r="A5613" s="13" t="n">
        <v>9155117</v>
      </c>
      <c r="B5613" s="13" t="inlineStr">
        <is>
          <t>ООО Глинки</t>
        </is>
      </c>
      <c r="C5613" s="13" t="n">
        <v>3826003667</v>
      </c>
      <c r="D5613" s="13" t="inlineStr">
        <is>
          <t>3826003667</t>
        </is>
      </c>
      <c r="E5613" s="13" t="inlineStr">
        <is>
          <t>ЮЛ РФ</t>
        </is>
      </c>
      <c r="F5613" s="13" t="n"/>
      <c r="G5613" s="52" t="n">
        <v>17</v>
      </c>
      <c r="H5613" s="52" t="n">
        <v>2025</v>
      </c>
      <c r="I5613" s="14" t="n"/>
      <c r="J5613" s="14" t="n"/>
      <c r="K5613" s="53" t="inlineStr">
        <is>
          <t>Нет</t>
        </is>
      </c>
      <c r="L5613" s="53" t="inlineStr">
        <is>
          <t>Не определено</t>
        </is>
      </c>
      <c r="M5613" s="53" t="inlineStr">
        <is>
          <t>До 25</t>
        </is>
      </c>
      <c r="N5613" s="54" t="n">
        <v>8400</v>
      </c>
      <c r="O5613" s="55" t="inlineStr">
        <is>
          <t>16–30</t>
        </is>
      </c>
      <c r="P5613" s="16" t="inlineStr">
        <is>
          <t>ССЧР обогащена; ОКВЭД не найден/не загружен</t>
        </is>
      </c>
      <c r="Q5613" s="16" t="inlineStr">
        <is>
          <t>ФНС открытые данные ССЧР (ДатаСост 31.12.2025; набор 7707329152-sshr2019)</t>
        </is>
      </c>
      <c r="R5613" s="16">
        <f>HYPERLINK("https://checko.ru/search?query=3801001629","Чекко: проверить")</f>
        <v/>
      </c>
      <c r="S5613" t="n">
        <v>1</v>
      </c>
      <c r="T5613" s="35" t="inlineStr">
        <is>
          <t>4 — Не обогащён</t>
        </is>
      </c>
      <c r="U5613" s="35" t="inlineStr">
        <is>
          <t>Нет ОКВЭД/ССЧР</t>
        </is>
      </c>
      <c r="V5613" s="35" t="inlineStr">
        <is>
          <t>Не определено</t>
        </is>
      </c>
      <c r="W5613" s="35" t="inlineStr">
        <is>
          <t>Нет</t>
        </is>
      </c>
      <c r="X5613" s="35" t="inlineStr"/>
    </row>
    <row r="5614" ht="15" customHeight="1" s="24">
      <c r="A5614" s="13" t="n">
        <v>11815005</v>
      </c>
      <c r="B5614" s="13" t="inlineStr">
        <is>
          <t>ООО "КиренскТеплоРесурс"</t>
        </is>
      </c>
      <c r="C5614" s="13" t="n">
        <v>3818029213</v>
      </c>
      <c r="D5614" s="13" t="inlineStr">
        <is>
          <t>3818029213</t>
        </is>
      </c>
      <c r="E5614" s="13" t="inlineStr">
        <is>
          <t>ЮЛ РФ</t>
        </is>
      </c>
      <c r="F5614" s="13" t="n"/>
      <c r="G5614" s="52" t="n">
        <v>116</v>
      </c>
      <c r="H5614" s="52" t="n">
        <v>2025</v>
      </c>
      <c r="I5614" s="52" t="inlineStr">
        <is>
          <t>02.20</t>
        </is>
      </c>
      <c r="J5614" s="52" t="inlineStr">
        <is>
          <t>02.20; 42.21; 42.99; 43.99.7; 49.41; 49.42; 68.20</t>
        </is>
      </c>
      <c r="K5614" s="53" t="inlineStr">
        <is>
          <t>Да</t>
        </is>
      </c>
      <c r="L5614" s="53" t="inlineStr">
        <is>
          <t>Да</t>
        </is>
      </c>
      <c r="M5614" s="53" t="inlineStr">
        <is>
          <t>До 200</t>
        </is>
      </c>
      <c r="N5614" s="54" t="n">
        <v>62400</v>
      </c>
      <c r="O5614" s="55" t="inlineStr">
        <is>
          <t>101–200</t>
        </is>
      </c>
      <c r="P5614" s="16" t="inlineStr">
        <is>
          <t>ССЧР + ОКВЭД обогащены</t>
        </is>
      </c>
      <c r="Q5614" s="16" t="inlineStr">
        <is>
          <t>ФНС открытые данные ССЧР (ДатаСост 31.12.2025; набор 7707329152-sshr2019)</t>
        </is>
      </c>
      <c r="R5614" s="16" t="inlineStr">
        <is>
          <t>ЕГРЮЛ / egrul.nalog.ru (выписка)</t>
        </is>
      </c>
      <c r="S5614" t="n">
        <v>1</v>
      </c>
      <c r="T5614" s="35" t="inlineStr">
        <is>
          <t>1 — Горячий</t>
        </is>
      </c>
      <c r="U5614" s="35" t="inlineStr">
        <is>
          <t>ОКВЭД + 22+</t>
        </is>
      </c>
      <c r="V5614" s="35" t="inlineStr">
        <is>
          <t>Да</t>
        </is>
      </c>
      <c r="W5614" s="35" t="inlineStr">
        <is>
          <t>Да</t>
        </is>
      </c>
      <c r="X5614" s="35" t="inlineStr">
        <is>
          <t>Да</t>
        </is>
      </c>
    </row>
    <row r="5615" ht="27.75" customHeight="1" s="24">
      <c r="A5615" s="13" t="n">
        <v>9390448</v>
      </c>
      <c r="B5615" s="13" t="inlineStr">
        <is>
          <t>ОБЩЕСТВО С ОГРАНИЧЕННОЙ ОТВЕТСТВЕННОСТЬЮ "САНАТОРИЙ "РЯБИНУШКА"</t>
        </is>
      </c>
      <c r="C5615" s="13" t="n">
        <v>5612028900</v>
      </c>
      <c r="D5615" s="13" t="inlineStr">
        <is>
          <t>5612028900</t>
        </is>
      </c>
      <c r="E5615" s="13" t="inlineStr">
        <is>
          <t>ЮЛ РФ</t>
        </is>
      </c>
      <c r="F5615" s="13" t="n"/>
      <c r="G5615" s="52" t="n">
        <v>68</v>
      </c>
      <c r="H5615" s="52" t="n">
        <v>2025</v>
      </c>
      <c r="I5615" s="52" t="inlineStr">
        <is>
          <t>86.90.4</t>
        </is>
      </c>
      <c r="J5615" s="52" t="inlineStr">
        <is>
          <t>86.90.4; 55.10</t>
        </is>
      </c>
      <c r="K5615" s="53" t="inlineStr">
        <is>
          <t>Да</t>
        </is>
      </c>
      <c r="L5615" s="53" t="inlineStr">
        <is>
          <t>Да</t>
        </is>
      </c>
      <c r="M5615" s="53" t="inlineStr">
        <is>
          <t>До 100</t>
        </is>
      </c>
      <c r="N5615" s="54" t="n">
        <v>33600</v>
      </c>
      <c r="O5615" s="55" t="inlineStr">
        <is>
          <t>51–100</t>
        </is>
      </c>
      <c r="P5615" s="16" t="inlineStr">
        <is>
          <t>ССЧР + ОКВЭД обогащены</t>
        </is>
      </c>
      <c r="Q5615" s="16" t="inlineStr">
        <is>
          <t>ФНС открытые данные ССЧР (ДатаСост 31.12.2025; набор 7707329152-sshr2019)</t>
        </is>
      </c>
      <c r="R5615" s="16" t="inlineStr">
        <is>
          <t>ЕГРЮЛ / egrul.nalog.ru (выписка)</t>
        </is>
      </c>
      <c r="S5615" t="n">
        <v>1</v>
      </c>
      <c r="T5615" s="35" t="inlineStr">
        <is>
          <t>1 — Горячий</t>
        </is>
      </c>
      <c r="U5615" s="35" t="inlineStr">
        <is>
          <t>ОКВЭД + 22+</t>
        </is>
      </c>
      <c r="V5615" s="35" t="inlineStr">
        <is>
          <t>Да</t>
        </is>
      </c>
      <c r="W5615" s="35" t="inlineStr">
        <is>
          <t>Да</t>
        </is>
      </c>
      <c r="X5615" s="35" t="inlineStr">
        <is>
          <t>Да</t>
        </is>
      </c>
    </row>
    <row r="5616" ht="15" customHeight="1" s="24">
      <c r="A5616" s="13" t="n">
        <v>9827262</v>
      </c>
      <c r="B5616" s="13" t="inlineStr">
        <is>
          <t>ООО "Торговый дом ИЗНУ"</t>
        </is>
      </c>
      <c r="C5616" s="13" t="n">
        <v>3810048366</v>
      </c>
      <c r="D5616" s="13" t="inlineStr">
        <is>
          <t>3810048366</t>
        </is>
      </c>
      <c r="E5616" s="13" t="inlineStr">
        <is>
          <t>ЮЛ РФ</t>
        </is>
      </c>
      <c r="F5616" s="13" t="n"/>
      <c r="G5616" s="52" t="n">
        <v>1</v>
      </c>
      <c r="H5616" s="52" t="n">
        <v>2025</v>
      </c>
      <c r="I5616" s="14" t="n"/>
      <c r="J5616" s="14" t="n"/>
      <c r="K5616" s="53" t="inlineStr">
        <is>
          <t>Нет</t>
        </is>
      </c>
      <c r="L5616" s="53" t="inlineStr">
        <is>
          <t>Не определено</t>
        </is>
      </c>
      <c r="M5616" s="53" t="inlineStr">
        <is>
          <t>До 10</t>
        </is>
      </c>
      <c r="N5616" s="54" t="n">
        <v>3360</v>
      </c>
      <c r="O5616" s="55" t="inlineStr">
        <is>
          <t>1–15</t>
        </is>
      </c>
      <c r="P5616" s="16" t="inlineStr">
        <is>
          <t>ССЧР обогащена; ОКВЭД не найден/не загружен</t>
        </is>
      </c>
      <c r="Q5616" s="16" t="inlineStr">
        <is>
          <t>ФНС открытые данные ССЧР (ДатаСост 31.12.2025; набор 7707329152-sshr2019)</t>
        </is>
      </c>
      <c r="R5616" s="16">
        <f>HYPERLINK("https://checko.ru/search?query=3801001629","Чекко: проверить")</f>
        <v/>
      </c>
      <c r="S5616" t="n">
        <v>1</v>
      </c>
      <c r="T5616" s="35" t="inlineStr">
        <is>
          <t>4 — Не обогащён</t>
        </is>
      </c>
      <c r="U5616" s="35" t="inlineStr">
        <is>
          <t>Нет ОКВЭД/ССЧР</t>
        </is>
      </c>
      <c r="V5616" s="35" t="inlineStr">
        <is>
          <t>Не определено</t>
        </is>
      </c>
      <c r="W5616" s="35" t="inlineStr">
        <is>
          <t>Нет</t>
        </is>
      </c>
      <c r="X5616" s="35" t="inlineStr"/>
    </row>
    <row r="5617" ht="15" customHeight="1" s="24">
      <c r="A5617" s="13" t="n">
        <v>9349991</v>
      </c>
      <c r="B5617" s="13" t="inlineStr">
        <is>
          <t>АНО НИИ МЭПЗ</t>
        </is>
      </c>
      <c r="C5617" s="13" t="n">
        <v>3808025749</v>
      </c>
      <c r="D5617" s="13" t="inlineStr">
        <is>
          <t>3808025749</t>
        </is>
      </c>
      <c r="E5617" s="13" t="inlineStr">
        <is>
          <t>ЮЛ РФ</t>
        </is>
      </c>
      <c r="F5617" s="13" t="n"/>
      <c r="G5617" s="14" t="n"/>
      <c r="H5617" s="14" t="n"/>
      <c r="I5617" s="14" t="n"/>
      <c r="J5617" s="14" t="n"/>
      <c r="K5617" s="53" t="inlineStr"/>
      <c r="L5617" s="53" t="inlineStr">
        <is>
          <t>Не определено</t>
        </is>
      </c>
      <c r="M5617" s="53" t="inlineStr"/>
      <c r="N5617" s="54" t="inlineStr"/>
      <c r="O5617" s="55" t="inlineStr"/>
      <c r="P5617" s="16" t="inlineStr">
        <is>
          <t>Требует обогащения</t>
        </is>
      </c>
      <c r="Q5617" s="16">
        <f>HYPERLINK("https://pb.nalog.ru/search.html?query=3808025749","ФНС: проверить")</f>
        <v/>
      </c>
      <c r="R5617" s="16">
        <f>HYPERLINK("https://checko.ru/search?query=3801001629","Чекко: проверить")</f>
        <v/>
      </c>
      <c r="S5617" t="n">
        <v>1</v>
      </c>
      <c r="T5617" s="35" t="inlineStr">
        <is>
          <t>4 — Не обогащён</t>
        </is>
      </c>
      <c r="U5617" s="35" t="inlineStr">
        <is>
          <t>Нет ОКВЭД/ССЧР</t>
        </is>
      </c>
      <c r="V5617" s="35" t="inlineStr">
        <is>
          <t>Не определено</t>
        </is>
      </c>
      <c r="W5617" s="35" t="inlineStr"/>
      <c r="X5617" s="35" t="inlineStr"/>
    </row>
    <row r="5618" ht="15" customHeight="1" s="24">
      <c r="A5618" s="13" t="n">
        <v>800443682</v>
      </c>
      <c r="B5618" s="13" t="inlineStr">
        <is>
          <t>ИП Козлова Елена Васильевна</t>
        </is>
      </c>
      <c r="C5618" s="13" t="n">
        <v>380401775830</v>
      </c>
      <c r="D5618" s="13" t="inlineStr">
        <is>
          <t>380401775830</t>
        </is>
      </c>
      <c r="E5618" s="13" t="inlineStr">
        <is>
          <t>ИП РФ / физлицо</t>
        </is>
      </c>
      <c r="F5618" s="13" t="n"/>
      <c r="G5618" s="14" t="n"/>
      <c r="H5618" s="14" t="n"/>
      <c r="I5618" s="14" t="n"/>
      <c r="J5618" s="14" t="n"/>
      <c r="K5618" s="53" t="inlineStr"/>
      <c r="L5618" s="53" t="inlineStr">
        <is>
          <t>Не определено</t>
        </is>
      </c>
      <c r="M5618" s="53" t="inlineStr"/>
      <c r="N5618" s="54" t="inlineStr"/>
      <c r="O5618" s="55" t="inlineStr"/>
      <c r="P5618" s="16" t="inlineStr">
        <is>
          <t>Требует обогащения</t>
        </is>
      </c>
      <c r="Q5618" s="16">
        <f>HYPERLINK("https://pb.nalog.ru/search.html?query=380401775830","ФНС: проверить")</f>
        <v/>
      </c>
      <c r="R5618" s="16">
        <f>HYPERLINK("https://checko.ru/search?query=3801001629","Чекко: проверить")</f>
        <v/>
      </c>
      <c r="S5618" t="n">
        <v>1</v>
      </c>
      <c r="T5618" s="35" t="inlineStr">
        <is>
          <t>4 — Не обогащён</t>
        </is>
      </c>
      <c r="U5618" s="35" t="inlineStr">
        <is>
          <t>Нет ОКВЭД/ССЧР</t>
        </is>
      </c>
      <c r="V5618" s="35" t="inlineStr">
        <is>
          <t>Не определено</t>
        </is>
      </c>
      <c r="W5618" s="35" t="inlineStr"/>
      <c r="X5618" s="35" t="inlineStr"/>
    </row>
    <row r="5619" ht="15" customHeight="1" s="24">
      <c r="A5619" s="13" t="n">
        <v>803017895</v>
      </c>
      <c r="B5619" s="13" t="inlineStr">
        <is>
          <t>ООО МПК "Якутия"</t>
        </is>
      </c>
      <c r="C5619" s="13" t="n">
        <v>1434029614</v>
      </c>
      <c r="D5619" s="13" t="inlineStr">
        <is>
          <t>1434029614</t>
        </is>
      </c>
      <c r="E5619" s="13" t="inlineStr">
        <is>
          <t>ЮЛ РФ</t>
        </is>
      </c>
      <c r="F5619" s="13" t="n"/>
      <c r="G5619" s="52" t="n">
        <v>6</v>
      </c>
      <c r="H5619" s="52" t="n">
        <v>2025</v>
      </c>
      <c r="I5619" s="14" t="n"/>
      <c r="J5619" s="14" t="n"/>
      <c r="K5619" s="53" t="inlineStr">
        <is>
          <t>Нет</t>
        </is>
      </c>
      <c r="L5619" s="53" t="inlineStr">
        <is>
          <t>Не определено</t>
        </is>
      </c>
      <c r="M5619" s="53" t="inlineStr">
        <is>
          <t>До 10</t>
        </is>
      </c>
      <c r="N5619" s="54" t="n">
        <v>3360</v>
      </c>
      <c r="O5619" s="55" t="inlineStr">
        <is>
          <t>1–15</t>
        </is>
      </c>
      <c r="P5619" s="16" t="inlineStr">
        <is>
          <t>ССЧР обогащена; ОКВЭД не найден/не загружен</t>
        </is>
      </c>
      <c r="Q5619" s="16" t="inlineStr">
        <is>
          <t>ФНС открытые данные ССЧР (ДатаСост 31.12.2025; набор 7707329152-sshr2019)</t>
        </is>
      </c>
      <c r="R5619" s="16">
        <f>HYPERLINK("https://checko.ru/search?query=3801001629","Чекко: проверить")</f>
        <v/>
      </c>
      <c r="S5619" t="n">
        <v>1</v>
      </c>
      <c r="T5619" s="35" t="inlineStr">
        <is>
          <t>4 — Не обогащён</t>
        </is>
      </c>
      <c r="U5619" s="35" t="inlineStr">
        <is>
          <t>Нет ОКВЭД/ССЧР</t>
        </is>
      </c>
      <c r="V5619" s="35" t="inlineStr">
        <is>
          <t>Не определено</t>
        </is>
      </c>
      <c r="W5619" s="35" t="inlineStr">
        <is>
          <t>Нет</t>
        </is>
      </c>
      <c r="X5619" s="35" t="inlineStr"/>
    </row>
    <row r="5620" ht="15" customHeight="1" s="24">
      <c r="A5620" s="13" t="n">
        <v>12063753</v>
      </c>
      <c r="B5620" s="13" t="inlineStr">
        <is>
          <t>ООО "Рассвет"</t>
        </is>
      </c>
      <c r="C5620" s="13" t="n">
        <v>3823032638</v>
      </c>
      <c r="D5620" s="13" t="inlineStr">
        <is>
          <t>3823032638</t>
        </is>
      </c>
      <c r="E5620" s="13" t="inlineStr">
        <is>
          <t>ЮЛ РФ</t>
        </is>
      </c>
      <c r="F5620" s="13" t="n"/>
      <c r="G5620" s="52" t="n">
        <v>159</v>
      </c>
      <c r="H5620" s="52" t="n">
        <v>2025</v>
      </c>
      <c r="I5620" s="52" t="inlineStr">
        <is>
          <t>01.50</t>
        </is>
      </c>
      <c r="J5620" s="52" t="inlineStr">
        <is>
          <t>01.50; 10.41; 10.71; 43.29; 45.31; 45.32; 46.11.34; 46.11.39; 46.36.4; 46.38.23; 46.38.24; 46.61; 46.90; 47.19; 47.76; 49.20; 49.41; 52.10; 52.29; 77.39.1</t>
        </is>
      </c>
      <c r="K5620" s="53" t="inlineStr">
        <is>
          <t>Да</t>
        </is>
      </c>
      <c r="L5620" s="53" t="inlineStr">
        <is>
          <t>Да</t>
        </is>
      </c>
      <c r="M5620" s="53" t="inlineStr">
        <is>
          <t>До 200</t>
        </is>
      </c>
      <c r="N5620" s="54" t="n">
        <v>62400</v>
      </c>
      <c r="O5620" s="55" t="inlineStr">
        <is>
          <t>101–200</t>
        </is>
      </c>
      <c r="P5620" s="16" t="inlineStr">
        <is>
          <t>ССЧР + ОКВЭД обогащены</t>
        </is>
      </c>
      <c r="Q5620" s="16" t="inlineStr">
        <is>
          <t>ФНС открытые данные ССЧР (ДатаСост 31.12.2025; набор 7707329152-sshr2019)</t>
        </is>
      </c>
      <c r="R5620" s="16" t="inlineStr">
        <is>
          <t>ЕГРЮЛ / egrul.nalog.ru (выписка)</t>
        </is>
      </c>
      <c r="S5620" t="n">
        <v>1</v>
      </c>
      <c r="T5620" s="35" t="inlineStr">
        <is>
          <t>1 — Горячий</t>
        </is>
      </c>
      <c r="U5620" s="35" t="inlineStr">
        <is>
          <t>ОКВЭД + 22+</t>
        </is>
      </c>
      <c r="V5620" s="35" t="inlineStr">
        <is>
          <t>Да</t>
        </is>
      </c>
      <c r="W5620" s="35" t="inlineStr">
        <is>
          <t>Да</t>
        </is>
      </c>
      <c r="X5620" s="35" t="inlineStr">
        <is>
          <t>Да</t>
        </is>
      </c>
    </row>
    <row r="5621" ht="41.25" customHeight="1" s="24">
      <c r="A5621" s="13" t="n">
        <v>800567440</v>
      </c>
      <c r="B5621" s="13" t="inlineStr">
        <is>
          <t>МУНИЦИПАЛЬНОЕ УНИТАРНОЕ ПРЕДПРИЯТИЕ "КАТАНГСКАЯ ТОПЛИВНО-ЭНЕРГЕТИЧЕСКАЯ КОМПАНИЯ"</t>
        </is>
      </c>
      <c r="C5621" s="13" t="n">
        <v>3818030360</v>
      </c>
      <c r="D5621" s="13" t="inlineStr">
        <is>
          <t>3818030360</t>
        </is>
      </c>
      <c r="E5621" s="13" t="inlineStr">
        <is>
          <t>ЮЛ РФ</t>
        </is>
      </c>
      <c r="F5621" s="13" t="n"/>
      <c r="G5621" s="14" t="n"/>
      <c r="H5621" s="14" t="n"/>
      <c r="I5621" s="14" t="n"/>
      <c r="J5621" s="14" t="n"/>
      <c r="K5621" s="53" t="inlineStr"/>
      <c r="L5621" s="53" t="inlineStr">
        <is>
          <t>Не определено</t>
        </is>
      </c>
      <c r="M5621" s="53" t="inlineStr"/>
      <c r="N5621" s="54" t="inlineStr"/>
      <c r="O5621" s="55" t="inlineStr"/>
      <c r="P5621" s="16" t="inlineStr">
        <is>
          <t>Требует обогащения</t>
        </is>
      </c>
      <c r="Q5621" s="16">
        <f>HYPERLINK("https://pb.nalog.ru/search.html?query=3818030360","ФНС: проверить")</f>
        <v/>
      </c>
      <c r="R5621" s="16">
        <f>HYPERLINK("https://checko.ru/search?query=3801001629","Чекко: проверить")</f>
        <v/>
      </c>
      <c r="S5621" t="n">
        <v>1</v>
      </c>
      <c r="T5621" s="35" t="inlineStr">
        <is>
          <t>4 — Не обогащён</t>
        </is>
      </c>
      <c r="U5621" s="35" t="inlineStr">
        <is>
          <t>Нет ОКВЭД/ССЧР</t>
        </is>
      </c>
      <c r="V5621" s="35" t="inlineStr">
        <is>
          <t>Не определено</t>
        </is>
      </c>
      <c r="W5621" s="35" t="inlineStr"/>
      <c r="X5621" s="35" t="inlineStr"/>
    </row>
    <row r="5622" ht="15" customHeight="1" s="24">
      <c r="A5622" s="13" t="n">
        <v>9891478</v>
      </c>
      <c r="B5622" s="13" t="inlineStr">
        <is>
          <t>ООО Торгово-Строительная компания "ТОН-М"</t>
        </is>
      </c>
      <c r="C5622" s="13" t="n">
        <v>3849054080</v>
      </c>
      <c r="D5622" s="13" t="inlineStr">
        <is>
          <t>3849054080</t>
        </is>
      </c>
      <c r="E5622" s="13" t="inlineStr">
        <is>
          <t>ЮЛ РФ</t>
        </is>
      </c>
      <c r="F5622" s="13" t="n"/>
      <c r="G5622" s="52" t="n">
        <v>46</v>
      </c>
      <c r="H5622" s="52" t="n">
        <v>2025</v>
      </c>
      <c r="I5622" s="52" t="inlineStr">
        <is>
          <t>46.73</t>
        </is>
      </c>
      <c r="J5622" s="52" t="inlineStr">
        <is>
          <t>46.73; 41.20; 42.11; 42.91; 43.11; 43.12.3; 43.12.4; 43.13; 43.21; 43.22; 43.29; 43.31; 43.32; 43.33; 43.34; 43.39; 43.91; 43.99; 43.99.1; 43.99.7; 45.20; 45.20.2; 46.12; 46.13; 46.18; 46.19; 46.34; 46.35; 46.44.2; 46.45; 46.62; 46.63; 46.71; 46.72; 46.72.23; 46.73.3; 46.73.4; 46.73.5; 46.73.6; 46.73.7; 46.74; 46.75; 46.75.2; 46.76; 46.76.1; 46.76.2; 46.76.4; 46.77; 46.90; 47.52; 47.52.7; 47.52.71; 47.52.72; 47.52.73; 47.53.3; 47.78; 47.91.2; 47.91.3; 47.91.4; 49.41.3; 52.10; 52.21; 52.21.24; 52.24; 52.24.1; 52.29; 68.10; 68.10.1; 68.20; 68.31.1; 68.31.2; 68.31.3; 68.31.4; 68.32; 71.12.3; 71.12.5; 71.12.6; 71.12.9; 71.12.45; 71.20; 77.11; 77.32; 77.33; 77.34; 77.35; 77.39.1; 77.39.2; 77.39.11; 77.39.23; 77.39.25</t>
        </is>
      </c>
      <c r="K5622" s="53" t="inlineStr">
        <is>
          <t>Да</t>
        </is>
      </c>
      <c r="L5622" s="53" t="inlineStr">
        <is>
          <t>Да</t>
        </is>
      </c>
      <c r="M5622" s="53" t="inlineStr">
        <is>
          <t>До 50</t>
        </is>
      </c>
      <c r="N5622" s="54" t="n">
        <v>16800</v>
      </c>
      <c r="O5622" s="55" t="inlineStr">
        <is>
          <t>31–50</t>
        </is>
      </c>
      <c r="P5622" s="16" t="inlineStr">
        <is>
          <t>ССЧР + ОКВЭД обогащены</t>
        </is>
      </c>
      <c r="Q5622" s="16" t="inlineStr">
        <is>
          <t>ФНС открытые данные ССЧР (ДатаСост 31.12.2025; набор 7707329152-sshr2019)</t>
        </is>
      </c>
      <c r="R5622" s="16" t="inlineStr">
        <is>
          <t>ЕГРЮЛ / egrul.nalog.ru (выписка)</t>
        </is>
      </c>
      <c r="S5622" t="n">
        <v>1</v>
      </c>
      <c r="T5622" s="35" t="inlineStr">
        <is>
          <t>1 — Горячий</t>
        </is>
      </c>
      <c r="U5622" s="35" t="inlineStr">
        <is>
          <t>ОКВЭД + 22+</t>
        </is>
      </c>
      <c r="V5622" s="35" t="inlineStr">
        <is>
          <t>Да</t>
        </is>
      </c>
      <c r="W5622" s="35" t="inlineStr">
        <is>
          <t>Да</t>
        </is>
      </c>
      <c r="X5622" s="35" t="inlineStr">
        <is>
          <t>Да</t>
        </is>
      </c>
    </row>
    <row r="5623" ht="27.75" customHeight="1" s="24">
      <c r="A5623" s="13" t="n">
        <v>800471293</v>
      </c>
      <c r="B5623" s="13" t="inlineStr">
        <is>
          <t>Центр Профессиональной Подготовки Работников Автомобильного Транспорта</t>
        </is>
      </c>
      <c r="C5623" s="13" t="n">
        <v>3849028234</v>
      </c>
      <c r="D5623" s="13" t="inlineStr">
        <is>
          <t>3849028234</t>
        </is>
      </c>
      <c r="E5623" s="13" t="inlineStr">
        <is>
          <t>ЮЛ РФ</t>
        </is>
      </c>
      <c r="F5623" s="13" t="n"/>
      <c r="G5623" s="14" t="n"/>
      <c r="H5623" s="14" t="n"/>
      <c r="I5623" s="14" t="n"/>
      <c r="J5623" s="14" t="n"/>
      <c r="K5623" s="53" t="inlineStr"/>
      <c r="L5623" s="53" t="inlineStr">
        <is>
          <t>Не определено</t>
        </is>
      </c>
      <c r="M5623" s="53" t="inlineStr"/>
      <c r="N5623" s="54" t="inlineStr"/>
      <c r="O5623" s="55" t="inlineStr"/>
      <c r="P5623" s="16" t="inlineStr">
        <is>
          <t>Требует обогащения</t>
        </is>
      </c>
      <c r="Q5623" s="16">
        <f>HYPERLINK("https://pb.nalog.ru/search.html?query=3849028234","ФНС: проверить")</f>
        <v/>
      </c>
      <c r="R5623" s="16">
        <f>HYPERLINK("https://checko.ru/search?query=3801001629","Чекко: проверить")</f>
        <v/>
      </c>
      <c r="S5623" t="n">
        <v>1</v>
      </c>
      <c r="T5623" s="35" t="inlineStr">
        <is>
          <t>4 — Не обогащён</t>
        </is>
      </c>
      <c r="U5623" s="35" t="inlineStr">
        <is>
          <t>Нет ОКВЭД/ССЧР</t>
        </is>
      </c>
      <c r="V5623" s="35" t="inlineStr">
        <is>
          <t>Не определено</t>
        </is>
      </c>
      <c r="W5623" s="35" t="inlineStr"/>
      <c r="X5623" s="35" t="inlineStr"/>
    </row>
    <row r="5624" ht="15" customHeight="1" s="24">
      <c r="A5624" s="13" t="n">
        <v>800707359</v>
      </c>
      <c r="B5624" s="13" t="inlineStr">
        <is>
          <t>ИП Сеньков Дмитрий Александрович</t>
        </is>
      </c>
      <c r="C5624" s="13" t="n">
        <v>380508468292</v>
      </c>
      <c r="D5624" s="13" t="inlineStr">
        <is>
          <t>380508468292</t>
        </is>
      </c>
      <c r="E5624" s="13" t="inlineStr">
        <is>
          <t>ИП РФ / физлицо</t>
        </is>
      </c>
      <c r="F5624" s="13" t="n"/>
      <c r="G5624" s="14" t="n"/>
      <c r="H5624" s="14" t="n"/>
      <c r="I5624" s="14" t="n"/>
      <c r="J5624" s="14" t="n"/>
      <c r="K5624" s="53" t="inlineStr"/>
      <c r="L5624" s="53" t="inlineStr">
        <is>
          <t>Не определено</t>
        </is>
      </c>
      <c r="M5624" s="53" t="inlineStr"/>
      <c r="N5624" s="54" t="inlineStr"/>
      <c r="O5624" s="55" t="inlineStr"/>
      <c r="P5624" s="16" t="inlineStr">
        <is>
          <t>Требует обогащения</t>
        </is>
      </c>
      <c r="Q5624" s="16">
        <f>HYPERLINK("https://pb.nalog.ru/search.html?query=380508468292","ФНС: проверить")</f>
        <v/>
      </c>
      <c r="R5624" s="16">
        <f>HYPERLINK("https://checko.ru/search?query=3801001629","Чекко: проверить")</f>
        <v/>
      </c>
      <c r="S5624" t="n">
        <v>1</v>
      </c>
      <c r="T5624" s="35" t="inlineStr">
        <is>
          <t>4 — Не обогащён</t>
        </is>
      </c>
      <c r="U5624" s="35" t="inlineStr">
        <is>
          <t>Нет ОКВЭД/ССЧР</t>
        </is>
      </c>
      <c r="V5624" s="35" t="inlineStr">
        <is>
          <t>Не определено</t>
        </is>
      </c>
      <c r="W5624" s="35" t="inlineStr"/>
      <c r="X5624" s="35" t="inlineStr"/>
    </row>
    <row r="5625" ht="15" customHeight="1" s="24">
      <c r="A5625" s="13" t="n">
        <v>11815454</v>
      </c>
      <c r="B5625" s="13" t="inlineStr">
        <is>
          <t>ООО "Управляющая компания "Наш дом "</t>
        </is>
      </c>
      <c r="C5625" s="13" t="n">
        <v>3811137315</v>
      </c>
      <c r="D5625" s="13" t="inlineStr">
        <is>
          <t>3811137315</t>
        </is>
      </c>
      <c r="E5625" s="13" t="inlineStr">
        <is>
          <t>ЮЛ РФ</t>
        </is>
      </c>
      <c r="F5625" s="13" t="n"/>
      <c r="G5625" s="52" t="n">
        <v>13</v>
      </c>
      <c r="H5625" s="52" t="n">
        <v>2025</v>
      </c>
      <c r="I5625" s="14" t="n"/>
      <c r="J5625" s="14" t="n"/>
      <c r="K5625" s="53" t="inlineStr">
        <is>
          <t>Нет</t>
        </is>
      </c>
      <c r="L5625" s="53" t="inlineStr">
        <is>
          <t>Не определено</t>
        </is>
      </c>
      <c r="M5625" s="53" t="inlineStr">
        <is>
          <t>До 25</t>
        </is>
      </c>
      <c r="N5625" s="54" t="n">
        <v>8400</v>
      </c>
      <c r="O5625" s="55" t="inlineStr">
        <is>
          <t>1–15</t>
        </is>
      </c>
      <c r="P5625" s="16" t="inlineStr">
        <is>
          <t>ССЧР обогащена; ОКВЭД не найден/не загружен</t>
        </is>
      </c>
      <c r="Q5625" s="16" t="inlineStr">
        <is>
          <t>ФНС открытые данные ССЧР (ДатаСост 31.12.2025; набор 7707329152-sshr2019)</t>
        </is>
      </c>
      <c r="R5625" s="16">
        <f>HYPERLINK("https://checko.ru/search?query=3801001629","Чекко: проверить")</f>
        <v/>
      </c>
      <c r="S5625" t="n">
        <v>1</v>
      </c>
      <c r="T5625" s="35" t="inlineStr">
        <is>
          <t>4 — Не обогащён</t>
        </is>
      </c>
      <c r="U5625" s="35" t="inlineStr">
        <is>
          <t>Нет ОКВЭД/ССЧР</t>
        </is>
      </c>
      <c r="V5625" s="35" t="inlineStr">
        <is>
          <t>Не определено</t>
        </is>
      </c>
      <c r="W5625" s="35" t="inlineStr">
        <is>
          <t>Нет</t>
        </is>
      </c>
      <c r="X5625" s="35" t="inlineStr"/>
    </row>
    <row r="5626" ht="15" customHeight="1" s="24">
      <c r="A5626" s="13" t="n">
        <v>800448293</v>
      </c>
      <c r="B5626" s="13" t="inlineStr">
        <is>
          <t>ООО "ИркутАвто"</t>
        </is>
      </c>
      <c r="C5626" s="13" t="n">
        <v>3849018483</v>
      </c>
      <c r="D5626" s="13" t="inlineStr">
        <is>
          <t>3849018483</t>
        </is>
      </c>
      <c r="E5626" s="13" t="inlineStr">
        <is>
          <t>ЮЛ РФ</t>
        </is>
      </c>
      <c r="F5626" s="13" t="n"/>
      <c r="G5626" s="52" t="n">
        <v>7</v>
      </c>
      <c r="H5626" s="52" t="n">
        <v>2025</v>
      </c>
      <c r="I5626" s="14" t="n"/>
      <c r="J5626" s="14" t="n"/>
      <c r="K5626" s="53" t="inlineStr">
        <is>
          <t>Нет</t>
        </is>
      </c>
      <c r="L5626" s="53" t="inlineStr">
        <is>
          <t>Не определено</t>
        </is>
      </c>
      <c r="M5626" s="53" t="inlineStr">
        <is>
          <t>До 10</t>
        </is>
      </c>
      <c r="N5626" s="54" t="n">
        <v>3360</v>
      </c>
      <c r="O5626" s="55" t="inlineStr">
        <is>
          <t>1–15</t>
        </is>
      </c>
      <c r="P5626" s="16" t="inlineStr">
        <is>
          <t>ССЧР обогащена; ОКВЭД не найден/не загружен</t>
        </is>
      </c>
      <c r="Q5626" s="16" t="inlineStr">
        <is>
          <t>ФНС открытые данные ССЧР (ДатаСост 31.12.2025; набор 7707329152-sshr2019)</t>
        </is>
      </c>
      <c r="R5626" s="16">
        <f>HYPERLINK("https://checko.ru/search?query=3801001629","Чекко: проверить")</f>
        <v/>
      </c>
      <c r="S5626" t="n">
        <v>1</v>
      </c>
      <c r="T5626" s="35" t="inlineStr">
        <is>
          <t>4 — Не обогащён</t>
        </is>
      </c>
      <c r="U5626" s="35" t="inlineStr">
        <is>
          <t>Нет ОКВЭД/ССЧР</t>
        </is>
      </c>
      <c r="V5626" s="35" t="inlineStr">
        <is>
          <t>Не определено</t>
        </is>
      </c>
      <c r="W5626" s="35" t="inlineStr">
        <is>
          <t>Нет</t>
        </is>
      </c>
      <c r="X5626" s="35" t="inlineStr"/>
    </row>
    <row r="5627" ht="15" customHeight="1" s="24">
      <c r="A5627" s="13" t="n">
        <v>10344002</v>
      </c>
      <c r="B5627" s="13" t="inlineStr">
        <is>
          <t>Глава КФХ Борисов Андрей Германович</t>
        </is>
      </c>
      <c r="C5627" s="13" t="n">
        <v>383100005335</v>
      </c>
      <c r="D5627" s="13" t="inlineStr">
        <is>
          <t>383100005335</t>
        </is>
      </c>
      <c r="E5627" s="13" t="inlineStr">
        <is>
          <t>ИП РФ / физлицо</t>
        </is>
      </c>
      <c r="F5627" s="13" t="n"/>
      <c r="G5627" s="14" t="n"/>
      <c r="H5627" s="14" t="n"/>
      <c r="I5627" s="14" t="n"/>
      <c r="J5627" s="14" t="n"/>
      <c r="K5627" s="53" t="inlineStr"/>
      <c r="L5627" s="53" t="inlineStr">
        <is>
          <t>Не определено</t>
        </is>
      </c>
      <c r="M5627" s="53" t="inlineStr"/>
      <c r="N5627" s="54" t="inlineStr"/>
      <c r="O5627" s="55" t="inlineStr"/>
      <c r="P5627" s="16" t="inlineStr">
        <is>
          <t>Требует обогащения</t>
        </is>
      </c>
      <c r="Q5627" s="16">
        <f>HYPERLINK("https://pb.nalog.ru/search.html?query=383100005335","ФНС: проверить")</f>
        <v/>
      </c>
      <c r="R5627" s="16">
        <f>HYPERLINK("https://checko.ru/search?query=3801001629","Чекко: проверить")</f>
        <v/>
      </c>
      <c r="S5627" t="n">
        <v>1</v>
      </c>
      <c r="T5627" s="35" t="inlineStr">
        <is>
          <t>4 — Не обогащён</t>
        </is>
      </c>
      <c r="U5627" s="35" t="inlineStr">
        <is>
          <t>Нет ОКВЭД/ССЧР</t>
        </is>
      </c>
      <c r="V5627" s="35" t="inlineStr">
        <is>
          <t>Не определено</t>
        </is>
      </c>
      <c r="W5627" s="35" t="inlineStr"/>
      <c r="X5627" s="35" t="inlineStr"/>
    </row>
    <row r="5628" ht="15" customHeight="1" s="24">
      <c r="A5628" s="13" t="n">
        <v>802611555</v>
      </c>
      <c r="B5628" s="13" t="inlineStr">
        <is>
          <t>ООО "РОКФОР ГРУПП",</t>
        </is>
      </c>
      <c r="C5628" s="13" t="n">
        <v>7719454824</v>
      </c>
      <c r="D5628" s="13" t="inlineStr">
        <is>
          <t>7719454824</t>
        </is>
      </c>
      <c r="E5628" s="13" t="inlineStr">
        <is>
          <t>ЮЛ РФ</t>
        </is>
      </c>
      <c r="F5628" s="13" t="n"/>
      <c r="G5628" s="52" t="n">
        <v>17</v>
      </c>
      <c r="H5628" s="52" t="n">
        <v>2025</v>
      </c>
      <c r="I5628" s="14" t="n"/>
      <c r="J5628" s="14" t="n"/>
      <c r="K5628" s="53" t="inlineStr">
        <is>
          <t>Нет</t>
        </is>
      </c>
      <c r="L5628" s="53" t="inlineStr">
        <is>
          <t>Не определено</t>
        </is>
      </c>
      <c r="M5628" s="53" t="inlineStr">
        <is>
          <t>До 25</t>
        </is>
      </c>
      <c r="N5628" s="54" t="n">
        <v>8400</v>
      </c>
      <c r="O5628" s="55" t="inlineStr">
        <is>
          <t>16–30</t>
        </is>
      </c>
      <c r="P5628" s="16" t="inlineStr">
        <is>
          <t>ССЧР обогащена; ОКВЭД не найден/не загружен</t>
        </is>
      </c>
      <c r="Q5628" s="16" t="inlineStr">
        <is>
          <t>ФНС открытые данные ССЧР (ДатаСост 31.12.2025; набор 7707329152-sshr2019)</t>
        </is>
      </c>
      <c r="R5628" s="16">
        <f>HYPERLINK("https://checko.ru/search?query=3801001629","Чекко: проверить")</f>
        <v/>
      </c>
      <c r="S5628" t="n">
        <v>1</v>
      </c>
      <c r="T5628" s="35" t="inlineStr">
        <is>
          <t>4 — Не обогащён</t>
        </is>
      </c>
      <c r="U5628" s="35" t="inlineStr">
        <is>
          <t>Нет ОКВЭД/ССЧР</t>
        </is>
      </c>
      <c r="V5628" s="35" t="inlineStr">
        <is>
          <t>Не определено</t>
        </is>
      </c>
      <c r="W5628" s="35" t="inlineStr">
        <is>
          <t>Нет</t>
        </is>
      </c>
      <c r="X5628" s="35" t="inlineStr"/>
    </row>
    <row r="5629" ht="15" customHeight="1" s="24">
      <c r="A5629" s="13" t="n">
        <v>800745419</v>
      </c>
      <c r="B5629" s="13" t="inlineStr">
        <is>
          <t>ООО "Компания СпецМонтажПроект"</t>
        </is>
      </c>
      <c r="C5629" s="13" t="n">
        <v>3811077539</v>
      </c>
      <c r="D5629" s="13" t="inlineStr">
        <is>
          <t>3811077539</t>
        </is>
      </c>
      <c r="E5629" s="13" t="inlineStr">
        <is>
          <t>ЮЛ РФ</t>
        </is>
      </c>
      <c r="F5629" s="13" t="n"/>
      <c r="G5629" s="52" t="n">
        <v>535</v>
      </c>
      <c r="H5629" s="52" t="n">
        <v>2025</v>
      </c>
      <c r="I5629" s="52" t="inlineStr">
        <is>
          <t>42.99</t>
        </is>
      </c>
      <c r="J5629" s="52" t="inlineStr">
        <is>
          <t>42.99; 08.12.1; 52.21.22; 08.11; 08.11.1; 08.11.3; 08.12; 18.12; 41.20; 42.11; 42.21; 42.22; 43.21; 43.99; 45.20; 46.39; 46.90; 47.41; 47.78; 49.32; 52.10; 52.24; 58.14; 62.01; 62.02; 70.10.1; 70.10.2; 71.11; 71.12; 71.12.1; 71.12.45; 73.11; 73.20.1; 77.11; 77.12; 77.32; 77.34; 79.11</t>
        </is>
      </c>
      <c r="K5629" s="53" t="inlineStr">
        <is>
          <t>Да</t>
        </is>
      </c>
      <c r="L5629" s="53" t="inlineStr">
        <is>
          <t>Да</t>
        </is>
      </c>
      <c r="M5629" s="53" t="inlineStr">
        <is>
          <t>До 2000</t>
        </is>
      </c>
      <c r="N5629" s="54" t="n">
        <v>528000</v>
      </c>
      <c r="O5629" s="55" t="inlineStr">
        <is>
          <t>500+</t>
        </is>
      </c>
      <c r="P5629" s="16" t="inlineStr">
        <is>
          <t>ССЧР + ОКВЭД обогащены</t>
        </is>
      </c>
      <c r="Q5629" s="16" t="inlineStr">
        <is>
          <t>ФНС открытые данные ССЧР (ДатаСост 31.12.2025; набор 7707329152-sshr2019)</t>
        </is>
      </c>
      <c r="R5629" s="16" t="inlineStr">
        <is>
          <t>ЕГРЮЛ / egrul.nalog.ru (выписка)</t>
        </is>
      </c>
      <c r="S5629" t="n">
        <v>1</v>
      </c>
      <c r="T5629" s="35" t="inlineStr">
        <is>
          <t>1 — Горячий</t>
        </is>
      </c>
      <c r="U5629" s="35" t="inlineStr">
        <is>
          <t>ОКВЭД + 22+</t>
        </is>
      </c>
      <c r="V5629" s="35" t="inlineStr">
        <is>
          <t>Да</t>
        </is>
      </c>
      <c r="W5629" s="35" t="inlineStr">
        <is>
          <t>Да</t>
        </is>
      </c>
      <c r="X5629" s="35" t="inlineStr">
        <is>
          <t>Да</t>
        </is>
      </c>
    </row>
    <row r="5630" ht="15" customHeight="1" s="24">
      <c r="A5630" s="13" t="n">
        <v>802459148</v>
      </c>
      <c r="B5630" s="13" t="inlineStr">
        <is>
          <t>ООО "ЧЕКОТОВА П.А.ФОРТУНА"</t>
        </is>
      </c>
      <c r="C5630" s="13" t="n">
        <v>3808051530</v>
      </c>
      <c r="D5630" s="13" t="inlineStr">
        <is>
          <t>3808051530</t>
        </is>
      </c>
      <c r="E5630" s="13" t="inlineStr">
        <is>
          <t>ЮЛ РФ</t>
        </is>
      </c>
      <c r="F5630" s="13" t="n"/>
      <c r="G5630" s="52" t="n">
        <v>2</v>
      </c>
      <c r="H5630" s="52" t="n">
        <v>2025</v>
      </c>
      <c r="I5630" s="14" t="n"/>
      <c r="J5630" s="14" t="n"/>
      <c r="K5630" s="53" t="inlineStr">
        <is>
          <t>Нет</t>
        </is>
      </c>
      <c r="L5630" s="53" t="inlineStr">
        <is>
          <t>Не определено</t>
        </is>
      </c>
      <c r="M5630" s="53" t="inlineStr">
        <is>
          <t>До 10</t>
        </is>
      </c>
      <c r="N5630" s="54" t="n">
        <v>3360</v>
      </c>
      <c r="O5630" s="55" t="inlineStr">
        <is>
          <t>1–15</t>
        </is>
      </c>
      <c r="P5630" s="16" t="inlineStr">
        <is>
          <t>ССЧР обогащена; ОКВЭД не найден/не загружен</t>
        </is>
      </c>
      <c r="Q5630" s="16" t="inlineStr">
        <is>
          <t>ФНС открытые данные ССЧР (ДатаСост 31.12.2025; набор 7707329152-sshr2019)</t>
        </is>
      </c>
      <c r="R5630" s="16">
        <f>HYPERLINK("https://checko.ru/search?query=3801001629","Чекко: проверить")</f>
        <v/>
      </c>
      <c r="S5630" t="n">
        <v>1</v>
      </c>
      <c r="T5630" s="35" t="inlineStr">
        <is>
          <t>4 — Не обогащён</t>
        </is>
      </c>
      <c r="U5630" s="35" t="inlineStr">
        <is>
          <t>Нет ОКВЭД/ССЧР</t>
        </is>
      </c>
      <c r="V5630" s="35" t="inlineStr">
        <is>
          <t>Не определено</t>
        </is>
      </c>
      <c r="W5630" s="35" t="inlineStr">
        <is>
          <t>Нет</t>
        </is>
      </c>
      <c r="X5630" s="35" t="inlineStr"/>
    </row>
    <row r="5631" ht="27.75" customHeight="1" s="24">
      <c r="A5631" s="13" t="n">
        <v>802793431</v>
      </c>
      <c r="B5631" s="13" t="inlineStr">
        <is>
          <t>Общество с ограниченной ответственностью "Краслэнд"</t>
        </is>
      </c>
      <c r="C5631" s="13" t="n">
        <v>3801139698</v>
      </c>
      <c r="D5631" s="13" t="inlineStr">
        <is>
          <t>3801139698</t>
        </is>
      </c>
      <c r="E5631" s="13" t="inlineStr">
        <is>
          <t>ЮЛ РФ</t>
        </is>
      </c>
      <c r="F5631" s="13" t="n"/>
      <c r="G5631" s="52" t="n">
        <v>221</v>
      </c>
      <c r="H5631" s="52" t="n">
        <v>2025</v>
      </c>
      <c r="I5631" s="52" t="inlineStr">
        <is>
          <t>46.73</t>
        </is>
      </c>
      <c r="J5631" s="52" t="inlineStr">
        <is>
          <t>46.73; 16.10; 16.10.9; 16.23; 20.30; 20.30.1; 20.30.2; 23.61; 23.62; 23.63; 23.64; 23.65; 23.69; 46.69; 46.73.4; 46.73.6; 47.91; 47.99; 52.10; 52.21.2; 52.24; 52.29; 68.20; 71.20</t>
        </is>
      </c>
      <c r="K5631" s="53" t="inlineStr">
        <is>
          <t>Да</t>
        </is>
      </c>
      <c r="L5631" s="53" t="inlineStr">
        <is>
          <t>Да</t>
        </is>
      </c>
      <c r="M5631" s="53" t="inlineStr">
        <is>
          <t>До 500</t>
        </is>
      </c>
      <c r="N5631" s="54" t="n">
        <v>144000</v>
      </c>
      <c r="O5631" s="55" t="inlineStr">
        <is>
          <t>201–500</t>
        </is>
      </c>
      <c r="P5631" s="16" t="inlineStr">
        <is>
          <t>ССЧР + ОКВЭД обогащены</t>
        </is>
      </c>
      <c r="Q5631" s="16" t="inlineStr">
        <is>
          <t>ФНС открытые данные ССЧР (ДатаСост 31.12.2025; набор 7707329152-sshr2019)</t>
        </is>
      </c>
      <c r="R5631" s="16" t="inlineStr">
        <is>
          <t>ЕГРЮЛ / egrul.nalog.ru (выписка)</t>
        </is>
      </c>
      <c r="S5631" t="n">
        <v>1</v>
      </c>
      <c r="T5631" s="35" t="inlineStr">
        <is>
          <t>1 — Горячий</t>
        </is>
      </c>
      <c r="U5631" s="35" t="inlineStr">
        <is>
          <t>ОКВЭД + 22+</t>
        </is>
      </c>
      <c r="V5631" s="35" t="inlineStr">
        <is>
          <t>Да</t>
        </is>
      </c>
      <c r="W5631" s="35" t="inlineStr">
        <is>
          <t>Да</t>
        </is>
      </c>
      <c r="X5631" s="35" t="inlineStr">
        <is>
          <t>Да</t>
        </is>
      </c>
    </row>
    <row r="5632" ht="41.25" customHeight="1" s="24">
      <c r="A5632" s="13" t="n">
        <v>12575495</v>
      </c>
      <c r="B5632" s="13" t="inlineStr">
        <is>
          <t>ОБЩЕСТВО С ОГРАНИЧЕННОЙ ОТВЕТСТВЕННОСТЬЮ "ХАРЛАМПИЕВСКАЯ КЛИНИКА</t>
        </is>
      </c>
      <c r="C5632" s="13" t="n">
        <v>3808203504</v>
      </c>
      <c r="D5632" s="13" t="inlineStr">
        <is>
          <t>3808203504</t>
        </is>
      </c>
      <c r="E5632" s="13" t="inlineStr">
        <is>
          <t>ЮЛ РФ</t>
        </is>
      </c>
      <c r="F5632" s="13" t="n"/>
      <c r="G5632" s="52" t="n">
        <v>44</v>
      </c>
      <c r="H5632" s="52" t="n">
        <v>2025</v>
      </c>
      <c r="I5632" s="52" t="inlineStr">
        <is>
          <t>86.22</t>
        </is>
      </c>
      <c r="J5632" s="52" t="inlineStr">
        <is>
          <t>86.22; 47.73; 47.74; 47.74.1; 47.74.2; 47.75; 86.10; 86.21; 86.23; 86.90; 86.90.3; 86.90.9</t>
        </is>
      </c>
      <c r="K5632" s="53" t="inlineStr">
        <is>
          <t>Да</t>
        </is>
      </c>
      <c r="L5632" s="53" t="inlineStr">
        <is>
          <t>Да</t>
        </is>
      </c>
      <c r="M5632" s="53" t="inlineStr">
        <is>
          <t>До 50</t>
        </is>
      </c>
      <c r="N5632" s="54" t="n">
        <v>16800</v>
      </c>
      <c r="O5632" s="55" t="inlineStr">
        <is>
          <t>31–50</t>
        </is>
      </c>
      <c r="P5632" s="16" t="inlineStr">
        <is>
          <t>ССЧР + ОКВЭД обогащены</t>
        </is>
      </c>
      <c r="Q5632" s="16" t="inlineStr">
        <is>
          <t>ФНС открытые данные ССЧР (ДатаСост 31.12.2025; набор 7707329152-sshr2019)</t>
        </is>
      </c>
      <c r="R5632" s="16" t="inlineStr">
        <is>
          <t>ЕГРЮЛ / egrul.nalog.ru (выписка)</t>
        </is>
      </c>
      <c r="S5632" t="n">
        <v>1</v>
      </c>
      <c r="T5632" s="35" t="inlineStr">
        <is>
          <t>1 — Горячий</t>
        </is>
      </c>
      <c r="U5632" s="35" t="inlineStr">
        <is>
          <t>ОКВЭД + 22+</t>
        </is>
      </c>
      <c r="V5632" s="35" t="inlineStr">
        <is>
          <t>Да</t>
        </is>
      </c>
      <c r="W5632" s="35" t="inlineStr">
        <is>
          <t>Да</t>
        </is>
      </c>
      <c r="X5632" s="35" t="inlineStr">
        <is>
          <t>Да</t>
        </is>
      </c>
    </row>
    <row r="5633" ht="15" customHeight="1" s="24">
      <c r="A5633" s="13" t="n">
        <v>800438690</v>
      </c>
      <c r="B5633" s="13" t="inlineStr">
        <is>
          <t>ИП Стельмах Ирина Геннадьевна</t>
        </is>
      </c>
      <c r="C5633" s="13" t="n">
        <v>381100423508</v>
      </c>
      <c r="D5633" s="13" t="inlineStr">
        <is>
          <t>381100423508</t>
        </is>
      </c>
      <c r="E5633" s="13" t="inlineStr">
        <is>
          <t>ИП РФ / физлицо</t>
        </is>
      </c>
      <c r="F5633" s="13" t="n"/>
      <c r="G5633" s="14" t="n"/>
      <c r="H5633" s="14" t="n"/>
      <c r="I5633" s="14" t="n"/>
      <c r="J5633" s="14" t="n"/>
      <c r="K5633" s="53" t="inlineStr"/>
      <c r="L5633" s="53" t="inlineStr">
        <is>
          <t>Не определено</t>
        </is>
      </c>
      <c r="M5633" s="53" t="inlineStr"/>
      <c r="N5633" s="54" t="inlineStr"/>
      <c r="O5633" s="55" t="inlineStr"/>
      <c r="P5633" s="16" t="inlineStr">
        <is>
          <t>Требует обогащения</t>
        </is>
      </c>
      <c r="Q5633" s="16">
        <f>HYPERLINK("https://pb.nalog.ru/search.html?query=381100423508","ФНС: проверить")</f>
        <v/>
      </c>
      <c r="R5633" s="16">
        <f>HYPERLINK("https://checko.ru/search?query=3801001629","Чекко: проверить")</f>
        <v/>
      </c>
      <c r="S5633" t="n">
        <v>1</v>
      </c>
      <c r="T5633" s="35" t="inlineStr">
        <is>
          <t>4 — Не обогащён</t>
        </is>
      </c>
      <c r="U5633" s="35" t="inlineStr">
        <is>
          <t>Нет ОКВЭД/ССЧР</t>
        </is>
      </c>
      <c r="V5633" s="35" t="inlineStr">
        <is>
          <t>Не определено</t>
        </is>
      </c>
      <c r="W5633" s="35" t="inlineStr"/>
      <c r="X5633" s="35" t="inlineStr"/>
    </row>
    <row r="5634" ht="15" customHeight="1" s="24">
      <c r="A5634" s="13" t="n">
        <v>800642474</v>
      </c>
      <c r="B5634" s="13" t="inlineStr">
        <is>
          <t>ООО "ТЦ СЕВЕР"</t>
        </is>
      </c>
      <c r="C5634" s="13" t="n">
        <v>3804050984</v>
      </c>
      <c r="D5634" s="13" t="inlineStr">
        <is>
          <t>3804050984</t>
        </is>
      </c>
      <c r="E5634" s="13" t="inlineStr">
        <is>
          <t>ЮЛ РФ</t>
        </is>
      </c>
      <c r="F5634" s="13" t="n"/>
      <c r="G5634" s="52" t="n">
        <v>24</v>
      </c>
      <c r="H5634" s="52" t="n">
        <v>2025</v>
      </c>
      <c r="I5634" s="52" t="inlineStr">
        <is>
          <t>45.11.1</t>
        </is>
      </c>
      <c r="J5634" s="52" t="inlineStr">
        <is>
          <t>45.11.1; 45.11.4; 45.19.1; 45.19.4; 45.20.1; 45.20.2; 45.32; 47.30; 77.11</t>
        </is>
      </c>
      <c r="K5634" s="53" t="inlineStr">
        <is>
          <t>Да</t>
        </is>
      </c>
      <c r="L5634" s="53" t="inlineStr">
        <is>
          <t>Да</t>
        </is>
      </c>
      <c r="M5634" s="53" t="inlineStr">
        <is>
          <t>До 25</t>
        </is>
      </c>
      <c r="N5634" s="54" t="n">
        <v>8400</v>
      </c>
      <c r="O5634" s="55" t="inlineStr">
        <is>
          <t>16–30</t>
        </is>
      </c>
      <c r="P5634" s="16" t="inlineStr">
        <is>
          <t>ССЧР + ОКВЭД обогащены</t>
        </is>
      </c>
      <c r="Q5634" s="16" t="inlineStr">
        <is>
          <t>ФНС открытые данные ССЧР (ДатаСост 31.12.2025; набор 7707329152-sshr2019)</t>
        </is>
      </c>
      <c r="R5634" s="16" t="inlineStr">
        <is>
          <t>ЕГРЮЛ / egrul.nalog.ru (выписка)</t>
        </is>
      </c>
      <c r="S5634" t="n">
        <v>1</v>
      </c>
      <c r="T5634" s="35" t="inlineStr">
        <is>
          <t>1 — Горячий</t>
        </is>
      </c>
      <c r="U5634" s="35" t="inlineStr">
        <is>
          <t>ОКВЭД + 22+</t>
        </is>
      </c>
      <c r="V5634" s="35" t="inlineStr">
        <is>
          <t>Да</t>
        </is>
      </c>
      <c r="W5634" s="35" t="inlineStr">
        <is>
          <t>Да</t>
        </is>
      </c>
      <c r="X5634" s="35" t="inlineStr">
        <is>
          <t>Да</t>
        </is>
      </c>
    </row>
    <row r="5635" ht="41.25" customHeight="1" s="24">
      <c r="A5635" s="13" t="n">
        <v>800307426</v>
      </c>
      <c r="B5635" s="13" t="inlineStr">
        <is>
          <t>ОБЩЕСТВО С ОГРАНИЧЕННОЙ ОТВЕТСТВЕННОСТЬЮ "ЦЕНТР РЕМОНТНЫХ ТЕХНОЛОГИЙ"</t>
        </is>
      </c>
      <c r="C5635" s="13" t="n">
        <v>2538057488</v>
      </c>
      <c r="D5635" s="13" t="inlineStr">
        <is>
          <t>2538057488</t>
        </is>
      </c>
      <c r="E5635" s="13" t="inlineStr">
        <is>
          <t>ЮЛ РФ</t>
        </is>
      </c>
      <c r="F5635" s="13" t="n"/>
      <c r="G5635" s="52" t="n">
        <v>65</v>
      </c>
      <c r="H5635" s="52" t="n">
        <v>2025</v>
      </c>
      <c r="I5635" s="52" t="inlineStr">
        <is>
          <t>29.32.3</t>
        </is>
      </c>
      <c r="J5635" s="52" t="inlineStr">
        <is>
          <t>29.32.3; 29.32; 45.31.1; 62.09; 63.11.1</t>
        </is>
      </c>
      <c r="K5635" s="53" t="inlineStr">
        <is>
          <t>Да</t>
        </is>
      </c>
      <c r="L5635" s="53" t="inlineStr">
        <is>
          <t>Да</t>
        </is>
      </c>
      <c r="M5635" s="53" t="inlineStr">
        <is>
          <t>До 100</t>
        </is>
      </c>
      <c r="N5635" s="54" t="n">
        <v>33600</v>
      </c>
      <c r="O5635" s="55" t="inlineStr">
        <is>
          <t>51–100</t>
        </is>
      </c>
      <c r="P5635" s="16" t="inlineStr">
        <is>
          <t>ССЧР + ОКВЭД обогащены</t>
        </is>
      </c>
      <c r="Q5635" s="16" t="inlineStr">
        <is>
          <t>ФНС открытые данные ССЧР (ДатаСост 31.12.2025; набор 7707329152-sshr2019)</t>
        </is>
      </c>
      <c r="R5635" s="16" t="inlineStr">
        <is>
          <t>ЕГРЮЛ / egrul.nalog.ru (выписка)</t>
        </is>
      </c>
      <c r="S5635" t="n">
        <v>1</v>
      </c>
      <c r="T5635" s="35" t="inlineStr">
        <is>
          <t>1 — Горячий</t>
        </is>
      </c>
      <c r="U5635" s="35" t="inlineStr">
        <is>
          <t>ОКВЭД + 22+</t>
        </is>
      </c>
      <c r="V5635" s="35" t="inlineStr">
        <is>
          <t>Да</t>
        </is>
      </c>
      <c r="W5635" s="35" t="inlineStr">
        <is>
          <t>Да</t>
        </is>
      </c>
      <c r="X5635" s="35" t="inlineStr">
        <is>
          <t>Да</t>
        </is>
      </c>
    </row>
    <row r="5636" ht="27.75" customHeight="1" s="24">
      <c r="A5636" s="13" t="n">
        <v>801604557</v>
      </c>
      <c r="B5636" s="13" t="inlineStr">
        <is>
          <t>Общество с ограниченной ответственностью "АВАЛОН"</t>
        </is>
      </c>
      <c r="C5636" s="13" t="n">
        <v>3808128430</v>
      </c>
      <c r="D5636" s="13" t="inlineStr">
        <is>
          <t>3808128430</t>
        </is>
      </c>
      <c r="E5636" s="13" t="inlineStr">
        <is>
          <t>ЮЛ РФ</t>
        </is>
      </c>
      <c r="F5636" s="13" t="n"/>
      <c r="G5636" s="52" t="n">
        <v>7</v>
      </c>
      <c r="H5636" s="52" t="n">
        <v>2025</v>
      </c>
      <c r="I5636" s="14" t="n"/>
      <c r="J5636" s="14" t="n"/>
      <c r="K5636" s="53" t="inlineStr">
        <is>
          <t>Нет</t>
        </is>
      </c>
      <c r="L5636" s="53" t="inlineStr">
        <is>
          <t>Не определено</t>
        </is>
      </c>
      <c r="M5636" s="53" t="inlineStr">
        <is>
          <t>До 10</t>
        </is>
      </c>
      <c r="N5636" s="54" t="n">
        <v>3360</v>
      </c>
      <c r="O5636" s="55" t="inlineStr">
        <is>
          <t>1–15</t>
        </is>
      </c>
      <c r="P5636" s="16" t="inlineStr">
        <is>
          <t>ССЧР обогащена; ОКВЭД не найден/не загружен</t>
        </is>
      </c>
      <c r="Q5636" s="16" t="inlineStr">
        <is>
          <t>ФНС открытые данные ССЧР (ДатаСост 31.12.2025; набор 7707329152-sshr2019)</t>
        </is>
      </c>
      <c r="R5636" s="16">
        <f>HYPERLINK("https://checko.ru/search?query=3801001629","Чекко: проверить")</f>
        <v/>
      </c>
      <c r="S5636" t="n">
        <v>1</v>
      </c>
      <c r="T5636" s="35" t="inlineStr">
        <is>
          <t>4 — Не обогащён</t>
        </is>
      </c>
      <c r="U5636" s="35" t="inlineStr">
        <is>
          <t>Нет ОКВЭД/ССЧР</t>
        </is>
      </c>
      <c r="V5636" s="35" t="inlineStr">
        <is>
          <t>Не определено</t>
        </is>
      </c>
      <c r="W5636" s="35" t="inlineStr">
        <is>
          <t>Нет</t>
        </is>
      </c>
      <c r="X5636" s="35" t="inlineStr"/>
    </row>
    <row r="5637" ht="15" customHeight="1" s="24">
      <c r="A5637" s="13" t="n">
        <v>800687555</v>
      </c>
      <c r="B5637" s="13" t="inlineStr">
        <is>
          <t>ООО "ДК КЛЕВЕР"</t>
        </is>
      </c>
      <c r="C5637" s="13" t="n">
        <v>3801136707</v>
      </c>
      <c r="D5637" s="13" t="inlineStr">
        <is>
          <t>3801136707</t>
        </is>
      </c>
      <c r="E5637" s="13" t="inlineStr">
        <is>
          <t>ЮЛ РФ</t>
        </is>
      </c>
      <c r="F5637" s="13" t="n"/>
      <c r="G5637" s="52" t="n">
        <v>40</v>
      </c>
      <c r="H5637" s="52" t="n">
        <v>2025</v>
      </c>
      <c r="I5637" s="52" t="inlineStr">
        <is>
          <t>42.11</t>
        </is>
      </c>
      <c r="J5637" s="52" t="inlineStr">
        <is>
          <t>42.11; 23.32; 23.61; 23.61.1; 23.61.2; 23.99.2; 24.20; 28.92.4; 41.20; 42.12; 42.13; 42.21; 42.22.1; 42.99; 43.11; 43.12.3; 43.21; 43.29; 43.31; 43.32; 43.33; 43.34; 43.39; 43.91; 43.99; 69.10; 71.20; 71.20.2; 71.20.3; 82.99</t>
        </is>
      </c>
      <c r="K5637" s="53" t="inlineStr">
        <is>
          <t>Да</t>
        </is>
      </c>
      <c r="L5637" s="53" t="inlineStr">
        <is>
          <t>Да</t>
        </is>
      </c>
      <c r="M5637" s="53" t="inlineStr">
        <is>
          <t>До 50</t>
        </is>
      </c>
      <c r="N5637" s="54" t="n">
        <v>16800</v>
      </c>
      <c r="O5637" s="55" t="inlineStr">
        <is>
          <t>31–50</t>
        </is>
      </c>
      <c r="P5637" s="16" t="inlineStr">
        <is>
          <t>ССЧР + ОКВЭД обогащены</t>
        </is>
      </c>
      <c r="Q5637" s="16" t="inlineStr">
        <is>
          <t>ФНС открытые данные ССЧР (ДатаСост 31.12.2025; набор 7707329152-sshr2019)</t>
        </is>
      </c>
      <c r="R5637" s="16" t="inlineStr">
        <is>
          <t>ЕГРЮЛ / egrul.nalog.ru (выписка)</t>
        </is>
      </c>
      <c r="S5637" t="n">
        <v>1</v>
      </c>
      <c r="T5637" s="35" t="inlineStr">
        <is>
          <t>1 — Горячий</t>
        </is>
      </c>
      <c r="U5637" s="35" t="inlineStr">
        <is>
          <t>ОКВЭД + 22+</t>
        </is>
      </c>
      <c r="V5637" s="35" t="inlineStr">
        <is>
          <t>Да</t>
        </is>
      </c>
      <c r="W5637" s="35" t="inlineStr">
        <is>
          <t>Да</t>
        </is>
      </c>
      <c r="X5637" s="35" t="inlineStr">
        <is>
          <t>Да</t>
        </is>
      </c>
    </row>
    <row r="5638" ht="15" customHeight="1" s="24">
      <c r="A5638" s="13" t="n">
        <v>801896219</v>
      </c>
      <c r="B5638" s="13" t="inlineStr">
        <is>
          <t>ООО "АйТи Саппорт"</t>
        </is>
      </c>
      <c r="C5638" s="13" t="n">
        <v>3812133673</v>
      </c>
      <c r="D5638" s="13" t="inlineStr">
        <is>
          <t>3812133673</t>
        </is>
      </c>
      <c r="E5638" s="13" t="inlineStr">
        <is>
          <t>ЮЛ РФ</t>
        </is>
      </c>
      <c r="F5638" s="13" t="n"/>
      <c r="G5638" s="52" t="n">
        <v>90</v>
      </c>
      <c r="H5638" s="52" t="n">
        <v>2025</v>
      </c>
      <c r="I5638" s="52" t="inlineStr">
        <is>
          <t>69.20</t>
        </is>
      </c>
      <c r="J5638" s="52" t="inlineStr">
        <is>
          <t>69.20; 62.09; 63.11.1; 68.31.1; 68.31.2; 68.31.3; 68.31.4</t>
        </is>
      </c>
      <c r="K5638" s="53" t="inlineStr">
        <is>
          <t>Да</t>
        </is>
      </c>
      <c r="L5638" s="53" t="inlineStr">
        <is>
          <t>Да</t>
        </is>
      </c>
      <c r="M5638" s="53" t="inlineStr">
        <is>
          <t>До 100</t>
        </is>
      </c>
      <c r="N5638" s="54" t="n">
        <v>33600</v>
      </c>
      <c r="O5638" s="55" t="inlineStr">
        <is>
          <t>51–100</t>
        </is>
      </c>
      <c r="P5638" s="16" t="inlineStr">
        <is>
          <t>ССЧР + ОКВЭД обогащены</t>
        </is>
      </c>
      <c r="Q5638" s="16" t="inlineStr">
        <is>
          <t>ФНС открытые данные ССЧР (ДатаСост 31.12.2025; набор 7707329152-sshr2019)</t>
        </is>
      </c>
      <c r="R5638" s="16" t="inlineStr">
        <is>
          <t>ЕГРЮЛ / egrul.nalog.ru (выписка)</t>
        </is>
      </c>
      <c r="S5638" t="n">
        <v>1</v>
      </c>
      <c r="T5638" s="35" t="inlineStr">
        <is>
          <t>1 — Горячий</t>
        </is>
      </c>
      <c r="U5638" s="35" t="inlineStr">
        <is>
          <t>ОКВЭД + 22+</t>
        </is>
      </c>
      <c r="V5638" s="35" t="inlineStr">
        <is>
          <t>Да</t>
        </is>
      </c>
      <c r="W5638" s="35" t="inlineStr">
        <is>
          <t>Да</t>
        </is>
      </c>
      <c r="X5638" s="35" t="inlineStr">
        <is>
          <t>Да</t>
        </is>
      </c>
    </row>
    <row r="5639" ht="15" customHeight="1" s="24">
      <c r="A5639" s="13" t="n">
        <v>804709015</v>
      </c>
      <c r="B5639" s="13" t="inlineStr">
        <is>
          <t>ООО "ЛЕСПРОЕКТ"</t>
        </is>
      </c>
      <c r="C5639" s="13" t="n">
        <v>3804044821</v>
      </c>
      <c r="D5639" s="13" t="inlineStr">
        <is>
          <t>3804044821</t>
        </is>
      </c>
      <c r="E5639" s="13" t="inlineStr">
        <is>
          <t>ЮЛ РФ</t>
        </is>
      </c>
      <c r="F5639" s="13" t="n"/>
      <c r="G5639" s="52" t="n">
        <v>25</v>
      </c>
      <c r="H5639" s="52" t="n">
        <v>2025</v>
      </c>
      <c r="I5639" s="52" t="inlineStr">
        <is>
          <t>02.20</t>
        </is>
      </c>
      <c r="J5639" s="52" t="inlineStr">
        <is>
          <t>02.20; 02.10; 16.10; 16.10.9; 16.23; 16.24; 16.29.1; 45.32; 46.73.1; 46.73.2; 47.29.39; 49.41; 52.10; 77.39.1; 82.99</t>
        </is>
      </c>
      <c r="K5639" s="53" t="inlineStr">
        <is>
          <t>Да</t>
        </is>
      </c>
      <c r="L5639" s="53" t="inlineStr">
        <is>
          <t>Да</t>
        </is>
      </c>
      <c r="M5639" s="53" t="inlineStr">
        <is>
          <t>До 25</t>
        </is>
      </c>
      <c r="N5639" s="54" t="n">
        <v>8400</v>
      </c>
      <c r="O5639" s="55" t="inlineStr">
        <is>
          <t>16–30</t>
        </is>
      </c>
      <c r="P5639" s="16" t="inlineStr">
        <is>
          <t>ССЧР + ОКВЭД обогащены</t>
        </is>
      </c>
      <c r="Q5639" s="16" t="inlineStr">
        <is>
          <t>ФНС открытые данные ССЧР (ДатаСост 31.12.2025; набор 7707329152-sshr2019)</t>
        </is>
      </c>
      <c r="R5639" s="16" t="inlineStr">
        <is>
          <t>ЕГРЮЛ / egrul.nalog.ru (выписка)</t>
        </is>
      </c>
      <c r="S5639" t="n">
        <v>1</v>
      </c>
      <c r="T5639" s="35" t="inlineStr">
        <is>
          <t>1 — Горячий</t>
        </is>
      </c>
      <c r="U5639" s="35" t="inlineStr">
        <is>
          <t>ОКВЭД + 22+</t>
        </is>
      </c>
      <c r="V5639" s="35" t="inlineStr">
        <is>
          <t>Да</t>
        </is>
      </c>
      <c r="W5639" s="35" t="inlineStr">
        <is>
          <t>Да</t>
        </is>
      </c>
      <c r="X5639" s="35" t="inlineStr">
        <is>
          <t>Да</t>
        </is>
      </c>
    </row>
    <row r="5640" ht="27.75" customHeight="1" s="24">
      <c r="A5640" s="13" t="n">
        <v>802459333</v>
      </c>
      <c r="B5640" s="13" t="inlineStr">
        <is>
          <t>ОБЩЕСТВО С ОГРАНИЧЕННОЙ ОТВЕТСТВЕННОСТЬЮ "ГОРЗЕЛЕНХОЗ"</t>
        </is>
      </c>
      <c r="C5640" s="13" t="n">
        <v>3849092504</v>
      </c>
      <c r="D5640" s="13" t="inlineStr">
        <is>
          <t>3849092504</t>
        </is>
      </c>
      <c r="E5640" s="13" t="inlineStr">
        <is>
          <t>ЮЛ РФ</t>
        </is>
      </c>
      <c r="F5640" s="13" t="n"/>
      <c r="G5640" s="52" t="n">
        <v>1</v>
      </c>
      <c r="H5640" s="52" t="n">
        <v>2025</v>
      </c>
      <c r="I5640" s="14" t="n"/>
      <c r="J5640" s="14" t="n"/>
      <c r="K5640" s="53" t="inlineStr">
        <is>
          <t>Нет</t>
        </is>
      </c>
      <c r="L5640" s="53" t="inlineStr">
        <is>
          <t>Не определено</t>
        </is>
      </c>
      <c r="M5640" s="53" t="inlineStr">
        <is>
          <t>До 10</t>
        </is>
      </c>
      <c r="N5640" s="54" t="n">
        <v>3360</v>
      </c>
      <c r="O5640" s="55" t="inlineStr">
        <is>
          <t>1–15</t>
        </is>
      </c>
      <c r="P5640" s="16" t="inlineStr">
        <is>
          <t>ССЧР обогащена; ОКВЭД не найден/не загружен</t>
        </is>
      </c>
      <c r="Q5640" s="16" t="inlineStr">
        <is>
          <t>ФНС открытые данные ССЧР (ДатаСост 31.12.2025; набор 7707329152-sshr2019)</t>
        </is>
      </c>
      <c r="R5640" s="16">
        <f>HYPERLINK("https://checko.ru/search?query=3801001629","Чекко: проверить")</f>
        <v/>
      </c>
      <c r="S5640" t="n">
        <v>1</v>
      </c>
      <c r="T5640" s="35" t="inlineStr">
        <is>
          <t>4 — Не обогащён</t>
        </is>
      </c>
      <c r="U5640" s="35" t="inlineStr">
        <is>
          <t>Нет ОКВЭД/ССЧР</t>
        </is>
      </c>
      <c r="V5640" s="35" t="inlineStr">
        <is>
          <t>Не определено</t>
        </is>
      </c>
      <c r="W5640" s="35" t="inlineStr">
        <is>
          <t>Нет</t>
        </is>
      </c>
      <c r="X5640" s="35" t="inlineStr"/>
    </row>
    <row r="5641" ht="15" customHeight="1" s="24">
      <c r="A5641" s="13" t="n">
        <v>802489256</v>
      </c>
      <c r="B5641" s="13" t="inlineStr">
        <is>
          <t>ООО "Управляющая компания "Энергия"</t>
        </is>
      </c>
      <c r="C5641" s="13" t="n">
        <v>3808226131</v>
      </c>
      <c r="D5641" s="13" t="inlineStr">
        <is>
          <t>3808226131</t>
        </is>
      </c>
      <c r="E5641" s="13" t="inlineStr">
        <is>
          <t>ЮЛ РФ</t>
        </is>
      </c>
      <c r="F5641" s="13" t="n"/>
      <c r="G5641" s="52" t="n">
        <v>6</v>
      </c>
      <c r="H5641" s="52" t="n">
        <v>2025</v>
      </c>
      <c r="I5641" s="14" t="n"/>
      <c r="J5641" s="14" t="n"/>
      <c r="K5641" s="53" t="inlineStr">
        <is>
          <t>Нет</t>
        </is>
      </c>
      <c r="L5641" s="53" t="inlineStr">
        <is>
          <t>Не определено</t>
        </is>
      </c>
      <c r="M5641" s="53" t="inlineStr">
        <is>
          <t>До 10</t>
        </is>
      </c>
      <c r="N5641" s="54" t="n">
        <v>3360</v>
      </c>
      <c r="O5641" s="55" t="inlineStr">
        <is>
          <t>1–15</t>
        </is>
      </c>
      <c r="P5641" s="16" t="inlineStr">
        <is>
          <t>ССЧР обогащена; ОКВЭД не найден/не загружен</t>
        </is>
      </c>
      <c r="Q5641" s="16" t="inlineStr">
        <is>
          <t>ФНС открытые данные ССЧР (ДатаСост 31.12.2025; набор 7707329152-sshr2019)</t>
        </is>
      </c>
      <c r="R5641" s="16">
        <f>HYPERLINK("https://checko.ru/search?query=3801001629","Чекко: проверить")</f>
        <v/>
      </c>
      <c r="S5641" t="n">
        <v>1</v>
      </c>
      <c r="T5641" s="35" t="inlineStr">
        <is>
          <t>4 — Не обогащён</t>
        </is>
      </c>
      <c r="U5641" s="35" t="inlineStr">
        <is>
          <t>Нет ОКВЭД/ССЧР</t>
        </is>
      </c>
      <c r="V5641" s="35" t="inlineStr">
        <is>
          <t>Не определено</t>
        </is>
      </c>
      <c r="W5641" s="35" t="inlineStr">
        <is>
          <t>Нет</t>
        </is>
      </c>
      <c r="X5641" s="35" t="inlineStr"/>
    </row>
    <row r="5642" ht="15" customHeight="1" s="24">
      <c r="A5642" s="13" t="n">
        <v>9186941</v>
      </c>
      <c r="B5642" s="13" t="inlineStr">
        <is>
          <t>ООО Управляющая компания "Радуга"</t>
        </is>
      </c>
      <c r="C5642" s="13" t="n">
        <v>3808129603</v>
      </c>
      <c r="D5642" s="13" t="inlineStr">
        <is>
          <t>3808129603</t>
        </is>
      </c>
      <c r="E5642" s="13" t="inlineStr">
        <is>
          <t>ЮЛ РФ</t>
        </is>
      </c>
      <c r="F5642" s="13" t="n"/>
      <c r="G5642" s="52" t="n">
        <v>4</v>
      </c>
      <c r="H5642" s="52" t="n">
        <v>2025</v>
      </c>
      <c r="I5642" s="14" t="n"/>
      <c r="J5642" s="14" t="n"/>
      <c r="K5642" s="53" t="inlineStr">
        <is>
          <t>Нет</t>
        </is>
      </c>
      <c r="L5642" s="53" t="inlineStr">
        <is>
          <t>Не определено</t>
        </is>
      </c>
      <c r="M5642" s="53" t="inlineStr">
        <is>
          <t>До 10</t>
        </is>
      </c>
      <c r="N5642" s="54" t="n">
        <v>3360</v>
      </c>
      <c r="O5642" s="55" t="inlineStr">
        <is>
          <t>1–15</t>
        </is>
      </c>
      <c r="P5642" s="16" t="inlineStr">
        <is>
          <t>ССЧР обогащена; ОКВЭД не найден/не загружен</t>
        </is>
      </c>
      <c r="Q5642" s="16" t="inlineStr">
        <is>
          <t>ФНС открытые данные ССЧР (ДатаСост 31.12.2025; набор 7707329152-sshr2019)</t>
        </is>
      </c>
      <c r="R5642" s="16">
        <f>HYPERLINK("https://checko.ru/search?query=3801001629","Чекко: проверить")</f>
        <v/>
      </c>
      <c r="S5642" t="n">
        <v>1</v>
      </c>
      <c r="T5642" s="35" t="inlineStr">
        <is>
          <t>4 — Не обогащён</t>
        </is>
      </c>
      <c r="U5642" s="35" t="inlineStr">
        <is>
          <t>Нет ОКВЭД/ССЧР</t>
        </is>
      </c>
      <c r="V5642" s="35" t="inlineStr">
        <is>
          <t>Не определено</t>
        </is>
      </c>
      <c r="W5642" s="35" t="inlineStr">
        <is>
          <t>Нет</t>
        </is>
      </c>
      <c r="X5642" s="35" t="inlineStr"/>
    </row>
    <row r="5643" ht="15" customHeight="1" s="24">
      <c r="A5643" s="13" t="n">
        <v>800052313</v>
      </c>
      <c r="B5643" s="13" t="inlineStr">
        <is>
          <t>ТРАНСТЕХРЕСУРС</t>
        </is>
      </c>
      <c r="C5643" s="13" t="n">
        <v>3816014476</v>
      </c>
      <c r="D5643" s="13" t="inlineStr">
        <is>
          <t>3816014476</t>
        </is>
      </c>
      <c r="E5643" s="13" t="inlineStr">
        <is>
          <t>ЮЛ РФ</t>
        </is>
      </c>
      <c r="F5643" s="13" t="n"/>
      <c r="G5643" s="52" t="n">
        <v>55</v>
      </c>
      <c r="H5643" s="52" t="n">
        <v>2025</v>
      </c>
      <c r="I5643" s="52" t="inlineStr">
        <is>
          <t>35.30.14</t>
        </is>
      </c>
      <c r="J5643" s="52" t="inlineStr">
        <is>
          <t>35.30.14; 35.12; 35.13; 35.30.2; 35.30.3; 35.30.4; 35.30.5; 36.00; 36.00.1; 36.00.2; 37.00; 38.32.2; 38.32.3; 38.32.4; 38.32.5; 38.32.53; 38.32.54; 41.20; 42.21; 42.22.2; 43.13; 49.10; 49.20; 49.41.1; 68.20.2; 81.29.9</t>
        </is>
      </c>
      <c r="K5643" s="53" t="inlineStr">
        <is>
          <t>Да</t>
        </is>
      </c>
      <c r="L5643" s="53" t="inlineStr">
        <is>
          <t>Да</t>
        </is>
      </c>
      <c r="M5643" s="53" t="inlineStr">
        <is>
          <t>До 100</t>
        </is>
      </c>
      <c r="N5643" s="54" t="n">
        <v>33600</v>
      </c>
      <c r="O5643" s="55" t="inlineStr">
        <is>
          <t>51–100</t>
        </is>
      </c>
      <c r="P5643" s="16" t="inlineStr">
        <is>
          <t>ССЧР + ОКВЭД обогащены</t>
        </is>
      </c>
      <c r="Q5643" s="16" t="inlineStr">
        <is>
          <t>ФНС открытые данные ССЧР (ДатаСост 31.12.2025; набор 7707329152-sshr2019)</t>
        </is>
      </c>
      <c r="R5643" s="16" t="inlineStr">
        <is>
          <t>ЕГРЮЛ / egrul.nalog.ru (выписка)</t>
        </is>
      </c>
      <c r="S5643" t="n">
        <v>1</v>
      </c>
      <c r="T5643" s="35" t="inlineStr">
        <is>
          <t>1 — Горячий</t>
        </is>
      </c>
      <c r="U5643" s="35" t="inlineStr">
        <is>
          <t>ОКВЭД + 22+</t>
        </is>
      </c>
      <c r="V5643" s="35" t="inlineStr">
        <is>
          <t>Да</t>
        </is>
      </c>
      <c r="W5643" s="35" t="inlineStr">
        <is>
          <t>Да</t>
        </is>
      </c>
      <c r="X5643" s="35" t="inlineStr">
        <is>
          <t>Да</t>
        </is>
      </c>
    </row>
    <row r="5644" ht="27.75" customHeight="1" s="24">
      <c r="A5644" s="13" t="n">
        <v>800428268</v>
      </c>
      <c r="B5644" s="13" t="inlineStr">
        <is>
          <t>Общество с ограниченной ответственностью "БАЙКАЛ-АЗИЯ-ИНЖЕНЕРИНГ"</t>
        </is>
      </c>
      <c r="C5644" s="13" t="n">
        <v>3827055996</v>
      </c>
      <c r="D5644" s="13" t="inlineStr">
        <is>
          <t>3827055996</t>
        </is>
      </c>
      <c r="E5644" s="13" t="inlineStr">
        <is>
          <t>ЮЛ РФ</t>
        </is>
      </c>
      <c r="F5644" s="13" t="n"/>
      <c r="G5644" s="52" t="n">
        <v>4</v>
      </c>
      <c r="H5644" s="52" t="n">
        <v>2025</v>
      </c>
      <c r="I5644" s="14" t="n"/>
      <c r="J5644" s="14" t="n"/>
      <c r="K5644" s="53" t="inlineStr">
        <is>
          <t>Нет</t>
        </is>
      </c>
      <c r="L5644" s="53" t="inlineStr">
        <is>
          <t>Не определено</t>
        </is>
      </c>
      <c r="M5644" s="53" t="inlineStr">
        <is>
          <t>До 10</t>
        </is>
      </c>
      <c r="N5644" s="54" t="n">
        <v>3360</v>
      </c>
      <c r="O5644" s="55" t="inlineStr">
        <is>
          <t>1–15</t>
        </is>
      </c>
      <c r="P5644" s="16" t="inlineStr">
        <is>
          <t>ССЧР обогащена; ОКВЭД не найден/не загружен</t>
        </is>
      </c>
      <c r="Q5644" s="16" t="inlineStr">
        <is>
          <t>ФНС открытые данные ССЧР (ДатаСост 31.12.2025; набор 7707329152-sshr2019)</t>
        </is>
      </c>
      <c r="R5644" s="16">
        <f>HYPERLINK("https://checko.ru/search?query=3801001629","Чекко: проверить")</f>
        <v/>
      </c>
      <c r="S5644" t="n">
        <v>1</v>
      </c>
      <c r="T5644" s="35" t="inlineStr">
        <is>
          <t>4 — Не обогащён</t>
        </is>
      </c>
      <c r="U5644" s="35" t="inlineStr">
        <is>
          <t>Нет ОКВЭД/ССЧР</t>
        </is>
      </c>
      <c r="V5644" s="35" t="inlineStr">
        <is>
          <t>Не определено</t>
        </is>
      </c>
      <c r="W5644" s="35" t="inlineStr">
        <is>
          <t>Нет</t>
        </is>
      </c>
      <c r="X5644" s="35" t="inlineStr"/>
    </row>
    <row r="5645" ht="15" customHeight="1" s="24">
      <c r="A5645" s="13" t="n">
        <v>800558791</v>
      </c>
      <c r="B5645" s="13" t="inlineStr">
        <is>
          <t>ОБЛАКО ООО</t>
        </is>
      </c>
      <c r="C5645" s="13" t="n">
        <v>3808237581</v>
      </c>
      <c r="D5645" s="13" t="inlineStr">
        <is>
          <t>3808237581</t>
        </is>
      </c>
      <c r="E5645" s="13" t="inlineStr">
        <is>
          <t>ЮЛ РФ</t>
        </is>
      </c>
      <c r="F5645" s="13" t="n"/>
      <c r="G5645" s="52" t="n">
        <v>6</v>
      </c>
      <c r="H5645" s="52" t="n">
        <v>2025</v>
      </c>
      <c r="I5645" s="14" t="n"/>
      <c r="J5645" s="14" t="n"/>
      <c r="K5645" s="53" t="inlineStr">
        <is>
          <t>Нет</t>
        </is>
      </c>
      <c r="L5645" s="53" t="inlineStr">
        <is>
          <t>Не определено</t>
        </is>
      </c>
      <c r="M5645" s="53" t="inlineStr">
        <is>
          <t>До 10</t>
        </is>
      </c>
      <c r="N5645" s="54" t="n">
        <v>3360</v>
      </c>
      <c r="O5645" s="55" t="inlineStr">
        <is>
          <t>1–15</t>
        </is>
      </c>
      <c r="P5645" s="16" t="inlineStr">
        <is>
          <t>ССЧР обогащена; ОКВЭД не найден/не загружен</t>
        </is>
      </c>
      <c r="Q5645" s="16" t="inlineStr">
        <is>
          <t>ФНС открытые данные ССЧР (ДатаСост 31.12.2025; набор 7707329152-sshr2019)</t>
        </is>
      </c>
      <c r="R5645" s="16">
        <f>HYPERLINK("https://checko.ru/search?query=3801001629","Чекко: проверить")</f>
        <v/>
      </c>
      <c r="S5645" t="n">
        <v>1</v>
      </c>
      <c r="T5645" s="35" t="inlineStr">
        <is>
          <t>4 — Не обогащён</t>
        </is>
      </c>
      <c r="U5645" s="35" t="inlineStr">
        <is>
          <t>Нет ОКВЭД/ССЧР</t>
        </is>
      </c>
      <c r="V5645" s="35" t="inlineStr">
        <is>
          <t>Не определено</t>
        </is>
      </c>
      <c r="W5645" s="35" t="inlineStr">
        <is>
          <t>Нет</t>
        </is>
      </c>
      <c r="X5645" s="35" t="inlineStr"/>
    </row>
    <row r="5646" ht="41.25" customHeight="1" s="24">
      <c r="A5646" s="13" t="n">
        <v>14126454</v>
      </c>
      <c r="B5646" s="13" t="inlineStr">
        <is>
          <t>ООО НАУЧНО-ПРОИЗВОДСТВЕННОЕ ОБЪЕДИНЕНИЕ СЕЛЕКЦИОННО-СЕМЕНОВОДЧЕСКИЙ ЦЕНТР "АНГАРА"</t>
        </is>
      </c>
      <c r="C5646" s="13" t="n">
        <v>3827035485</v>
      </c>
      <c r="D5646" s="13" t="inlineStr">
        <is>
          <t>3827035485</t>
        </is>
      </c>
      <c r="E5646" s="13" t="inlineStr">
        <is>
          <t>ЮЛ РФ</t>
        </is>
      </c>
      <c r="F5646" s="13" t="n"/>
      <c r="G5646" s="52" t="n">
        <v>6</v>
      </c>
      <c r="H5646" s="52" t="n">
        <v>2025</v>
      </c>
      <c r="I5646" s="14" t="n"/>
      <c r="J5646" s="14" t="n"/>
      <c r="K5646" s="53" t="inlineStr">
        <is>
          <t>Нет</t>
        </is>
      </c>
      <c r="L5646" s="53" t="inlineStr">
        <is>
          <t>Не определено</t>
        </is>
      </c>
      <c r="M5646" s="53" t="inlineStr">
        <is>
          <t>До 10</t>
        </is>
      </c>
      <c r="N5646" s="54" t="n">
        <v>3360</v>
      </c>
      <c r="O5646" s="55" t="inlineStr">
        <is>
          <t>1–15</t>
        </is>
      </c>
      <c r="P5646" s="16" t="inlineStr">
        <is>
          <t>ССЧР обогащена; ОКВЭД не найден/не загружен</t>
        </is>
      </c>
      <c r="Q5646" s="16" t="inlineStr">
        <is>
          <t>ФНС открытые данные ССЧР (ДатаСост 31.12.2025; набор 7707329152-sshr2019)</t>
        </is>
      </c>
      <c r="R5646" s="16">
        <f>HYPERLINK("https://checko.ru/search?query=3801001629","Чекко: проверить")</f>
        <v/>
      </c>
      <c r="S5646" t="n">
        <v>1</v>
      </c>
      <c r="T5646" s="35" t="inlineStr">
        <is>
          <t>4 — Не обогащён</t>
        </is>
      </c>
      <c r="U5646" s="35" t="inlineStr">
        <is>
          <t>Нет ОКВЭД/ССЧР</t>
        </is>
      </c>
      <c r="V5646" s="35" t="inlineStr">
        <is>
          <t>Не определено</t>
        </is>
      </c>
      <c r="W5646" s="35" t="inlineStr">
        <is>
          <t>Нет</t>
        </is>
      </c>
      <c r="X5646" s="35" t="inlineStr"/>
    </row>
    <row r="5647" ht="15" customHeight="1" s="24">
      <c r="A5647" s="13" t="n">
        <v>800454486</v>
      </c>
      <c r="B5647" s="13" t="inlineStr">
        <is>
          <t>ООО "Аптека № 135"</t>
        </is>
      </c>
      <c r="C5647" s="13" t="n">
        <v>3816036776</v>
      </c>
      <c r="D5647" s="13" t="inlineStr">
        <is>
          <t>3816036776</t>
        </is>
      </c>
      <c r="E5647" s="13" t="inlineStr">
        <is>
          <t>ЮЛ РФ</t>
        </is>
      </c>
      <c r="F5647" s="13" t="n"/>
      <c r="G5647" s="52" t="n">
        <v>13</v>
      </c>
      <c r="H5647" s="52" t="n">
        <v>2025</v>
      </c>
      <c r="I5647" s="14" t="n"/>
      <c r="J5647" s="14" t="n"/>
      <c r="K5647" s="53" t="inlineStr">
        <is>
          <t>Нет</t>
        </is>
      </c>
      <c r="L5647" s="53" t="inlineStr">
        <is>
          <t>Не определено</t>
        </is>
      </c>
      <c r="M5647" s="53" t="inlineStr">
        <is>
          <t>До 25</t>
        </is>
      </c>
      <c r="N5647" s="54" t="n">
        <v>8400</v>
      </c>
      <c r="O5647" s="55" t="inlineStr">
        <is>
          <t>1–15</t>
        </is>
      </c>
      <c r="P5647" s="16" t="inlineStr">
        <is>
          <t>ССЧР обогащена; ОКВЭД не найден/не загружен</t>
        </is>
      </c>
      <c r="Q5647" s="16" t="inlineStr">
        <is>
          <t>ФНС открытые данные ССЧР (ДатаСост 31.12.2025; набор 7707329152-sshr2019)</t>
        </is>
      </c>
      <c r="R5647" s="16">
        <f>HYPERLINK("https://checko.ru/search?query=3801001629","Чекко: проверить")</f>
        <v/>
      </c>
      <c r="S5647" t="n">
        <v>1</v>
      </c>
      <c r="T5647" s="35" t="inlineStr">
        <is>
          <t>4 — Не обогащён</t>
        </is>
      </c>
      <c r="U5647" s="35" t="inlineStr">
        <is>
          <t>Нет ОКВЭД/ССЧР</t>
        </is>
      </c>
      <c r="V5647" s="35" t="inlineStr">
        <is>
          <t>Не определено</t>
        </is>
      </c>
      <c r="W5647" s="35" t="inlineStr">
        <is>
          <t>Нет</t>
        </is>
      </c>
      <c r="X5647" s="35" t="inlineStr"/>
    </row>
    <row r="5648" ht="27.75" customHeight="1" s="24">
      <c r="A5648" s="13" t="n">
        <v>800586781</v>
      </c>
      <c r="B5648" s="13" t="inlineStr">
        <is>
          <t>Общество с ограниченной ответственностью СТРОИТЕЛЬНАЯ КОМПАНИЯ "ЛИДЕР"</t>
        </is>
      </c>
      <c r="C5648" s="13" t="n">
        <v>3811454057</v>
      </c>
      <c r="D5648" s="13" t="inlineStr">
        <is>
          <t>3811454057</t>
        </is>
      </c>
      <c r="E5648" s="13" t="inlineStr">
        <is>
          <t>ЮЛ РФ</t>
        </is>
      </c>
      <c r="F5648" s="13" t="n"/>
      <c r="G5648" s="52" t="n">
        <v>73</v>
      </c>
      <c r="H5648" s="52" t="n">
        <v>2025</v>
      </c>
      <c r="I5648" s="52" t="inlineStr">
        <is>
          <t>41.20</t>
        </is>
      </c>
      <c r="J5648" s="52" t="inlineStr">
        <is>
          <t>41.20; 42.11; 42.99; 43.11; 43.21; 43.22; 43.29; 43.31; 43.32; 43.33; 43.34; 43.39; 43.91; 43.99; 43.99.1</t>
        </is>
      </c>
      <c r="K5648" s="53" t="inlineStr">
        <is>
          <t>Да</t>
        </is>
      </c>
      <c r="L5648" s="53" t="inlineStr">
        <is>
          <t>Да</t>
        </is>
      </c>
      <c r="M5648" s="53" t="inlineStr">
        <is>
          <t>До 100</t>
        </is>
      </c>
      <c r="N5648" s="54" t="n">
        <v>33600</v>
      </c>
      <c r="O5648" s="55" t="inlineStr">
        <is>
          <t>51–100</t>
        </is>
      </c>
      <c r="P5648" s="16" t="inlineStr">
        <is>
          <t>ССЧР + ОКВЭД обогащены</t>
        </is>
      </c>
      <c r="Q5648" s="16" t="inlineStr">
        <is>
          <t>ФНС открытые данные ССЧР (ДатаСост 31.12.2025; набор 7707329152-sshr2019)</t>
        </is>
      </c>
      <c r="R5648" s="16" t="inlineStr">
        <is>
          <t>ЕГРЮЛ / egrul.nalog.ru (выписка)</t>
        </is>
      </c>
      <c r="S5648" t="n">
        <v>1</v>
      </c>
      <c r="T5648" s="35" t="inlineStr">
        <is>
          <t>1 — Горячий</t>
        </is>
      </c>
      <c r="U5648" s="35" t="inlineStr">
        <is>
          <t>ОКВЭД + 22+</t>
        </is>
      </c>
      <c r="V5648" s="35" t="inlineStr">
        <is>
          <t>Да</t>
        </is>
      </c>
      <c r="W5648" s="35" t="inlineStr">
        <is>
          <t>Да</t>
        </is>
      </c>
      <c r="X5648" s="35" t="inlineStr">
        <is>
          <t>Да</t>
        </is>
      </c>
    </row>
    <row r="5649" ht="15" customHeight="1" s="24">
      <c r="A5649" s="13" t="n">
        <v>800523842</v>
      </c>
      <c r="B5649" s="13" t="inlineStr">
        <is>
          <t>АльянсСтрой</t>
        </is>
      </c>
      <c r="C5649" s="13" t="n">
        <v>3811112374</v>
      </c>
      <c r="D5649" s="13" t="inlineStr">
        <is>
          <t>3811112374</t>
        </is>
      </c>
      <c r="E5649" s="13" t="inlineStr">
        <is>
          <t>ЮЛ РФ</t>
        </is>
      </c>
      <c r="F5649" s="13" t="n"/>
      <c r="G5649" s="52" t="n">
        <v>40</v>
      </c>
      <c r="H5649" s="52" t="n">
        <v>2025</v>
      </c>
      <c r="I5649" s="52" t="inlineStr">
        <is>
          <t>41.20</t>
        </is>
      </c>
      <c r="J5649" s="52" t="inlineStr">
        <is>
          <t>41.20; 38.32.2; 38.32.3; 38.32.4; 42.11; 42.99; 43.12; 43.99; 46.18; 46.47; 46.90; 52.21.24; 56.10; 56.10.1; 56.10.3; 72.19; 73.20; 79.11; 93.29.9</t>
        </is>
      </c>
      <c r="K5649" s="53" t="inlineStr">
        <is>
          <t>Да</t>
        </is>
      </c>
      <c r="L5649" s="53" t="inlineStr">
        <is>
          <t>Да</t>
        </is>
      </c>
      <c r="M5649" s="53" t="inlineStr">
        <is>
          <t>До 50</t>
        </is>
      </c>
      <c r="N5649" s="54" t="n">
        <v>16800</v>
      </c>
      <c r="O5649" s="55" t="inlineStr">
        <is>
          <t>31–50</t>
        </is>
      </c>
      <c r="P5649" s="16" t="inlineStr">
        <is>
          <t>ССЧР + ОКВЭД обогащены</t>
        </is>
      </c>
      <c r="Q5649" s="16" t="inlineStr">
        <is>
          <t>ФНС открытые данные ССЧР (ДатаСост 31.12.2025; набор 7707329152-sshr2019)</t>
        </is>
      </c>
      <c r="R5649" s="16" t="inlineStr">
        <is>
          <t>ЕГРЮЛ / egrul.nalog.ru (выписка)</t>
        </is>
      </c>
      <c r="S5649" t="n">
        <v>1</v>
      </c>
      <c r="T5649" s="35" t="inlineStr">
        <is>
          <t>1 — Горячий</t>
        </is>
      </c>
      <c r="U5649" s="35" t="inlineStr">
        <is>
          <t>ОКВЭД + 22+</t>
        </is>
      </c>
      <c r="V5649" s="35" t="inlineStr">
        <is>
          <t>Да</t>
        </is>
      </c>
      <c r="W5649" s="35" t="inlineStr">
        <is>
          <t>Да</t>
        </is>
      </c>
      <c r="X5649" s="35" t="inlineStr">
        <is>
          <t>Да</t>
        </is>
      </c>
    </row>
    <row r="5650" ht="27.75" customHeight="1" s="24">
      <c r="A5650" s="13" t="n">
        <v>801910262</v>
      </c>
      <c r="B5650" s="13" t="inlineStr">
        <is>
          <t>Индивидуальный предприниматель Бахрамов Джейхун Гусейнага Оглы</t>
        </is>
      </c>
      <c r="C5650" s="13" t="n">
        <v>381017741248</v>
      </c>
      <c r="D5650" s="13" t="inlineStr">
        <is>
          <t>381017741248</t>
        </is>
      </c>
      <c r="E5650" s="13" t="inlineStr">
        <is>
          <t>ИП РФ / физлицо</t>
        </is>
      </c>
      <c r="F5650" s="13" t="n"/>
      <c r="G5650" s="14" t="n"/>
      <c r="H5650" s="14" t="n"/>
      <c r="I5650" s="14" t="n"/>
      <c r="J5650" s="14" t="n"/>
      <c r="K5650" s="53" t="inlineStr"/>
      <c r="L5650" s="53" t="inlineStr">
        <is>
          <t>Не определено</t>
        </is>
      </c>
      <c r="M5650" s="53" t="inlineStr"/>
      <c r="N5650" s="54" t="inlineStr"/>
      <c r="O5650" s="55" t="inlineStr"/>
      <c r="P5650" s="16" t="inlineStr">
        <is>
          <t>Требует обогащения</t>
        </is>
      </c>
      <c r="Q5650" s="16">
        <f>HYPERLINK("https://pb.nalog.ru/search.html?query=381017741248","ФНС: проверить")</f>
        <v/>
      </c>
      <c r="R5650" s="16">
        <f>HYPERLINK("https://checko.ru/search?query=3801001629","Чекко: проверить")</f>
        <v/>
      </c>
      <c r="S5650" t="n">
        <v>1</v>
      </c>
      <c r="T5650" s="35" t="inlineStr">
        <is>
          <t>4 — Не обогащён</t>
        </is>
      </c>
      <c r="U5650" s="35" t="inlineStr">
        <is>
          <t>Нет ОКВЭД/ССЧР</t>
        </is>
      </c>
      <c r="V5650" s="35" t="inlineStr">
        <is>
          <t>Не определено</t>
        </is>
      </c>
      <c r="W5650" s="35" t="inlineStr"/>
      <c r="X5650" s="35" t="inlineStr"/>
    </row>
    <row r="5651" ht="15" customHeight="1" s="24">
      <c r="A5651" s="13" t="n">
        <v>801621224</v>
      </c>
      <c r="B5651" s="13" t="inlineStr">
        <is>
          <t>ООО "Крестьянский торговый дом"</t>
        </is>
      </c>
      <c r="C5651" s="13" t="n">
        <v>3830000732</v>
      </c>
      <c r="D5651" s="13" t="inlineStr">
        <is>
          <t>3830000732</t>
        </is>
      </c>
      <c r="E5651" s="13" t="inlineStr">
        <is>
          <t>ЮЛ РФ</t>
        </is>
      </c>
      <c r="F5651" s="13" t="n"/>
      <c r="G5651" s="52" t="n">
        <v>60</v>
      </c>
      <c r="H5651" s="52" t="n">
        <v>2025</v>
      </c>
      <c r="I5651" s="52" t="inlineStr">
        <is>
          <t>47.19</t>
        </is>
      </c>
      <c r="J5651" s="52" t="inlineStr">
        <is>
          <t>47.19; 10.13; 10.71; 16.10; 16.10.9; 47.25; 47.73; 47.75; 55.10; 56.10.1; 58.13; 95.22; 96.04</t>
        </is>
      </c>
      <c r="K5651" s="53" t="inlineStr">
        <is>
          <t>Да</t>
        </is>
      </c>
      <c r="L5651" s="53" t="inlineStr">
        <is>
          <t>Да</t>
        </is>
      </c>
      <c r="M5651" s="53" t="inlineStr">
        <is>
          <t>До 100</t>
        </is>
      </c>
      <c r="N5651" s="54" t="n">
        <v>33600</v>
      </c>
      <c r="O5651" s="55" t="inlineStr">
        <is>
          <t>51–100</t>
        </is>
      </c>
      <c r="P5651" s="16" t="inlineStr">
        <is>
          <t>ССЧР + ОКВЭД обогащены</t>
        </is>
      </c>
      <c r="Q5651" s="16" t="inlineStr">
        <is>
          <t>ФНС открытые данные ССЧР (ДатаСост 31.12.2025; набор 7707329152-sshr2019)</t>
        </is>
      </c>
      <c r="R5651" s="16" t="inlineStr">
        <is>
          <t>ЕГРЮЛ / egrul.nalog.ru (выписка)</t>
        </is>
      </c>
      <c r="S5651" t="n">
        <v>1</v>
      </c>
      <c r="T5651" s="35" t="inlineStr">
        <is>
          <t>1 — Горячий</t>
        </is>
      </c>
      <c r="U5651" s="35" t="inlineStr">
        <is>
          <t>ОКВЭД + 22+</t>
        </is>
      </c>
      <c r="V5651" s="35" t="inlineStr">
        <is>
          <t>Да</t>
        </is>
      </c>
      <c r="W5651" s="35" t="inlineStr">
        <is>
          <t>Да</t>
        </is>
      </c>
      <c r="X5651" s="35" t="inlineStr">
        <is>
          <t>Да</t>
        </is>
      </c>
    </row>
    <row r="5652" ht="15" customHeight="1" s="24">
      <c r="A5652" s="13" t="n">
        <v>9191554</v>
      </c>
      <c r="B5652" s="13" t="inlineStr">
        <is>
          <t>ООО фирма "1000 мелочей"</t>
        </is>
      </c>
      <c r="C5652" s="13" t="n">
        <v>3807001390</v>
      </c>
      <c r="D5652" s="13" t="inlineStr">
        <is>
          <t>3807001390</t>
        </is>
      </c>
      <c r="E5652" s="13" t="inlineStr">
        <is>
          <t>ЮЛ РФ</t>
        </is>
      </c>
      <c r="F5652" s="13" t="n"/>
      <c r="G5652" s="52" t="n">
        <v>4</v>
      </c>
      <c r="H5652" s="52" t="n">
        <v>2025</v>
      </c>
      <c r="I5652" s="14" t="n"/>
      <c r="J5652" s="14" t="n"/>
      <c r="K5652" s="53" t="inlineStr">
        <is>
          <t>Нет</t>
        </is>
      </c>
      <c r="L5652" s="53" t="inlineStr">
        <is>
          <t>Не определено</t>
        </is>
      </c>
      <c r="M5652" s="53" t="inlineStr">
        <is>
          <t>До 10</t>
        </is>
      </c>
      <c r="N5652" s="54" t="n">
        <v>3360</v>
      </c>
      <c r="O5652" s="55" t="inlineStr">
        <is>
          <t>1–15</t>
        </is>
      </c>
      <c r="P5652" s="16" t="inlineStr">
        <is>
          <t>ССЧР обогащена; ОКВЭД не найден/не загружен</t>
        </is>
      </c>
      <c r="Q5652" s="16" t="inlineStr">
        <is>
          <t>ФНС открытые данные ССЧР (ДатаСост 31.12.2025; набор 7707329152-sshr2019)</t>
        </is>
      </c>
      <c r="R5652" s="16">
        <f>HYPERLINK("https://checko.ru/search?query=3801001629","Чекко: проверить")</f>
        <v/>
      </c>
      <c r="S5652" t="n">
        <v>1</v>
      </c>
      <c r="T5652" s="35" t="inlineStr">
        <is>
          <t>4 — Не обогащён</t>
        </is>
      </c>
      <c r="U5652" s="35" t="inlineStr">
        <is>
          <t>Нет ОКВЭД/ССЧР</t>
        </is>
      </c>
      <c r="V5652" s="35" t="inlineStr">
        <is>
          <t>Не определено</t>
        </is>
      </c>
      <c r="W5652" s="35" t="inlineStr">
        <is>
          <t>Нет</t>
        </is>
      </c>
      <c r="X5652" s="35" t="inlineStr"/>
    </row>
    <row r="5653" ht="27.75" customHeight="1" s="24">
      <c r="A5653" s="13" t="n">
        <v>800581265</v>
      </c>
      <c r="B5653" s="13" t="inlineStr">
        <is>
          <t>Общество с ограниченной ответственностью "ДЕБЕТТ"</t>
        </is>
      </c>
      <c r="C5653" s="13" t="n">
        <v>3812053435</v>
      </c>
      <c r="D5653" s="13" t="inlineStr">
        <is>
          <t>3812053435</t>
        </is>
      </c>
      <c r="E5653" s="13" t="inlineStr">
        <is>
          <t>ЮЛ РФ</t>
        </is>
      </c>
      <c r="F5653" s="13" t="n"/>
      <c r="G5653" s="52" t="n">
        <v>1</v>
      </c>
      <c r="H5653" s="52" t="n">
        <v>2025</v>
      </c>
      <c r="I5653" s="14" t="n"/>
      <c r="J5653" s="14" t="n"/>
      <c r="K5653" s="53" t="inlineStr">
        <is>
          <t>Нет</t>
        </is>
      </c>
      <c r="L5653" s="53" t="inlineStr">
        <is>
          <t>Не определено</t>
        </is>
      </c>
      <c r="M5653" s="53" t="inlineStr">
        <is>
          <t>До 10</t>
        </is>
      </c>
      <c r="N5653" s="54" t="n">
        <v>3360</v>
      </c>
      <c r="O5653" s="55" t="inlineStr">
        <is>
          <t>1–15</t>
        </is>
      </c>
      <c r="P5653" s="16" t="inlineStr">
        <is>
          <t>ССЧР обогащена; ОКВЭД не найден/не загружен</t>
        </is>
      </c>
      <c r="Q5653" s="16" t="inlineStr">
        <is>
          <t>ФНС открытые данные ССЧР (ДатаСост 31.12.2025; набор 7707329152-sshr2019)</t>
        </is>
      </c>
      <c r="R5653" s="16">
        <f>HYPERLINK("https://checko.ru/search?query=3801001629","Чекко: проверить")</f>
        <v/>
      </c>
      <c r="S5653" t="n">
        <v>1</v>
      </c>
      <c r="T5653" s="35" t="inlineStr">
        <is>
          <t>4 — Не обогащён</t>
        </is>
      </c>
      <c r="U5653" s="35" t="inlineStr">
        <is>
          <t>Нет ОКВЭД/ССЧР</t>
        </is>
      </c>
      <c r="V5653" s="35" t="inlineStr">
        <is>
          <t>Не определено</t>
        </is>
      </c>
      <c r="W5653" s="35" t="inlineStr">
        <is>
          <t>Нет</t>
        </is>
      </c>
      <c r="X5653" s="35" t="inlineStr"/>
    </row>
    <row r="5654" ht="15" customHeight="1" s="24">
      <c r="A5654" s="13" t="n">
        <v>75027833</v>
      </c>
      <c r="B5654" s="13" t="inlineStr">
        <is>
          <t>ОАО Алмаз</t>
        </is>
      </c>
      <c r="C5654" s="13" t="n">
        <v>3807003044</v>
      </c>
      <c r="D5654" s="13" t="inlineStr">
        <is>
          <t>3807003044</t>
        </is>
      </c>
      <c r="E5654" s="13" t="inlineStr">
        <is>
          <t>ЮЛ РФ</t>
        </is>
      </c>
      <c r="F5654" s="13" t="n"/>
      <c r="G5654" s="52" t="n">
        <v>66</v>
      </c>
      <c r="H5654" s="52" t="n">
        <v>2025</v>
      </c>
      <c r="I5654" s="52" t="inlineStr">
        <is>
          <t>47.77.2</t>
        </is>
      </c>
      <c r="J5654" s="52" t="inlineStr">
        <is>
          <t>47.77.2; 46.44.1; 46.48.2; 46.49.49; 46.90; 47.59.2; 47.77.1; 47.78.3; 47.78.4; 47.78.9; 47.79; 47.91.2; 95.25; 96.09</t>
        </is>
      </c>
      <c r="K5654" s="53" t="inlineStr">
        <is>
          <t>Да</t>
        </is>
      </c>
      <c r="L5654" s="53" t="inlineStr">
        <is>
          <t>Да</t>
        </is>
      </c>
      <c r="M5654" s="53" t="inlineStr">
        <is>
          <t>До 100</t>
        </is>
      </c>
      <c r="N5654" s="54" t="n">
        <v>33600</v>
      </c>
      <c r="O5654" s="55" t="inlineStr">
        <is>
          <t>51–100</t>
        </is>
      </c>
      <c r="P5654" s="16" t="inlineStr">
        <is>
          <t>ССЧР + ОКВЭД обогащены</t>
        </is>
      </c>
      <c r="Q5654" s="16" t="inlineStr">
        <is>
          <t>ФНС открытые данные ССЧР (ДатаСост 31.12.2025; набор 7707329152-sshr2019)</t>
        </is>
      </c>
      <c r="R5654" s="16" t="inlineStr">
        <is>
          <t>ЕГРЮЛ / egrul.nalog.ru (выписка)</t>
        </is>
      </c>
      <c r="S5654" t="n">
        <v>1</v>
      </c>
      <c r="T5654" s="35" t="inlineStr">
        <is>
          <t>1 — Горячий</t>
        </is>
      </c>
      <c r="U5654" s="35" t="inlineStr">
        <is>
          <t>ОКВЭД + 22+</t>
        </is>
      </c>
      <c r="V5654" s="35" t="inlineStr">
        <is>
          <t>Да</t>
        </is>
      </c>
      <c r="W5654" s="35" t="inlineStr">
        <is>
          <t>Да</t>
        </is>
      </c>
      <c r="X5654" s="35" t="inlineStr">
        <is>
          <t>Да</t>
        </is>
      </c>
    </row>
    <row r="5655" ht="15" customHeight="1" s="24">
      <c r="A5655" s="13" t="n">
        <v>9257142</v>
      </c>
      <c r="B5655" s="13" t="inlineStr">
        <is>
          <t>ООО "ИНКОМ"</t>
        </is>
      </c>
      <c r="C5655" s="13" t="n">
        <v>3805705513</v>
      </c>
      <c r="D5655" s="13" t="inlineStr">
        <is>
          <t>3805705513</t>
        </is>
      </c>
      <c r="E5655" s="13" t="inlineStr">
        <is>
          <t>ЮЛ РФ</t>
        </is>
      </c>
      <c r="F5655" s="13" t="n"/>
      <c r="G5655" s="52" t="n">
        <v>16</v>
      </c>
      <c r="H5655" s="52" t="n">
        <v>2025</v>
      </c>
      <c r="I5655" s="14" t="n"/>
      <c r="J5655" s="14" t="n"/>
      <c r="K5655" s="53" t="inlineStr">
        <is>
          <t>Нет</t>
        </is>
      </c>
      <c r="L5655" s="53" t="inlineStr">
        <is>
          <t>Не определено</t>
        </is>
      </c>
      <c r="M5655" s="53" t="inlineStr">
        <is>
          <t>До 25</t>
        </is>
      </c>
      <c r="N5655" s="54" t="n">
        <v>8400</v>
      </c>
      <c r="O5655" s="55" t="inlineStr">
        <is>
          <t>16–30</t>
        </is>
      </c>
      <c r="P5655" s="16" t="inlineStr">
        <is>
          <t>ССЧР обогащена; ОКВЭД не найден/не загружен</t>
        </is>
      </c>
      <c r="Q5655" s="16" t="inlineStr">
        <is>
          <t>ФНС открытые данные ССЧР (ДатаСост 31.12.2025; набор 7707329152-sshr2019)</t>
        </is>
      </c>
      <c r="R5655" s="16">
        <f>HYPERLINK("https://checko.ru/search?query=3801001629","Чекко: проверить")</f>
        <v/>
      </c>
      <c r="S5655" t="n">
        <v>1</v>
      </c>
      <c r="T5655" s="35" t="inlineStr">
        <is>
          <t>4 — Не обогащён</t>
        </is>
      </c>
      <c r="U5655" s="35" t="inlineStr">
        <is>
          <t>Нет ОКВЭД/ССЧР</t>
        </is>
      </c>
      <c r="V5655" s="35" t="inlineStr">
        <is>
          <t>Не определено</t>
        </is>
      </c>
      <c r="W5655" s="35" t="inlineStr">
        <is>
          <t>Нет</t>
        </is>
      </c>
      <c r="X5655" s="35" t="inlineStr"/>
    </row>
    <row r="5656" ht="27.75" customHeight="1" s="24">
      <c r="A5656" s="13" t="n">
        <v>801605098</v>
      </c>
      <c r="B5656" s="13" t="inlineStr">
        <is>
          <t>Общество с ограниченной ответственностью "ПРОМЭНЕРГО-М"</t>
        </is>
      </c>
      <c r="C5656" s="13" t="n">
        <v>3811454226</v>
      </c>
      <c r="D5656" s="13" t="inlineStr">
        <is>
          <t>3811454226</t>
        </is>
      </c>
      <c r="E5656" s="13" t="inlineStr">
        <is>
          <t>ЮЛ РФ</t>
        </is>
      </c>
      <c r="F5656" s="13" t="n"/>
      <c r="G5656" s="52" t="n">
        <v>5</v>
      </c>
      <c r="H5656" s="52" t="n">
        <v>2025</v>
      </c>
      <c r="I5656" s="14" t="n"/>
      <c r="J5656" s="14" t="n"/>
      <c r="K5656" s="53" t="inlineStr">
        <is>
          <t>Нет</t>
        </is>
      </c>
      <c r="L5656" s="53" t="inlineStr">
        <is>
          <t>Не определено</t>
        </is>
      </c>
      <c r="M5656" s="53" t="inlineStr">
        <is>
          <t>До 10</t>
        </is>
      </c>
      <c r="N5656" s="54" t="n">
        <v>3360</v>
      </c>
      <c r="O5656" s="55" t="inlineStr">
        <is>
          <t>1–15</t>
        </is>
      </c>
      <c r="P5656" s="16" t="inlineStr">
        <is>
          <t>ССЧР обогащена; ОКВЭД не найден/не загружен</t>
        </is>
      </c>
      <c r="Q5656" s="16" t="inlineStr">
        <is>
          <t>ФНС открытые данные ССЧР (ДатаСост 31.12.2025; набор 7707329152-sshr2019)</t>
        </is>
      </c>
      <c r="R5656" s="16">
        <f>HYPERLINK("https://checko.ru/search?query=3801001629","Чекко: проверить")</f>
        <v/>
      </c>
      <c r="S5656" t="n">
        <v>1</v>
      </c>
      <c r="T5656" s="35" t="inlineStr">
        <is>
          <t>4 — Не обогащён</t>
        </is>
      </c>
      <c r="U5656" s="35" t="inlineStr">
        <is>
          <t>Нет ОКВЭД/ССЧР</t>
        </is>
      </c>
      <c r="V5656" s="35" t="inlineStr">
        <is>
          <t>Не определено</t>
        </is>
      </c>
      <c r="W5656" s="35" t="inlineStr">
        <is>
          <t>Нет</t>
        </is>
      </c>
      <c r="X5656" s="35" t="inlineStr"/>
    </row>
    <row r="5657" ht="15" customHeight="1" s="24">
      <c r="A5657" s="13" t="n">
        <v>9850533</v>
      </c>
      <c r="B5657" s="13" t="inlineStr">
        <is>
          <t>ОАО "Байкальская ППК"</t>
        </is>
      </c>
      <c r="C5657" s="13" t="n">
        <v>3808218300</v>
      </c>
      <c r="D5657" s="13" t="inlineStr">
        <is>
          <t>3808218300</t>
        </is>
      </c>
      <c r="E5657" s="13" t="inlineStr">
        <is>
          <t>ЮЛ РФ</t>
        </is>
      </c>
      <c r="F5657" s="13" t="n"/>
      <c r="G5657" s="52" t="n">
        <v>352</v>
      </c>
      <c r="H5657" s="52" t="n">
        <v>2025</v>
      </c>
      <c r="I5657" s="52" t="inlineStr">
        <is>
          <t>49.31.11</t>
        </is>
      </c>
      <c r="J5657" s="52" t="inlineStr">
        <is>
          <t>49.31.11; 47.99; 49.10; 49.20; 49.31.1; 52.21; 53.20; 55.90; 73.11; 79.11</t>
        </is>
      </c>
      <c r="K5657" s="53" t="inlineStr">
        <is>
          <t>Да</t>
        </is>
      </c>
      <c r="L5657" s="53" t="inlineStr">
        <is>
          <t>Да</t>
        </is>
      </c>
      <c r="M5657" s="53" t="inlineStr">
        <is>
          <t>До 500</t>
        </is>
      </c>
      <c r="N5657" s="54" t="n">
        <v>144000</v>
      </c>
      <c r="O5657" s="55" t="inlineStr">
        <is>
          <t>201–500</t>
        </is>
      </c>
      <c r="P5657" s="16" t="inlineStr">
        <is>
          <t>ССЧР + ОКВЭД обогащены</t>
        </is>
      </c>
      <c r="Q5657" s="16" t="inlineStr">
        <is>
          <t>ФНС открытые данные ССЧР (ДатаСост 31.12.2025; набор 7707329152-sshr2019)</t>
        </is>
      </c>
      <c r="R5657" s="16" t="inlineStr">
        <is>
          <t>ЕГРЮЛ / egrul.nalog.ru (выписка)</t>
        </is>
      </c>
      <c r="S5657" t="n">
        <v>1</v>
      </c>
      <c r="T5657" s="35" t="inlineStr">
        <is>
          <t>1 — Горячий</t>
        </is>
      </c>
      <c r="U5657" s="35" t="inlineStr">
        <is>
          <t>ОКВЭД + 22+</t>
        </is>
      </c>
      <c r="V5657" s="35" t="inlineStr">
        <is>
          <t>Да</t>
        </is>
      </c>
      <c r="W5657" s="35" t="inlineStr">
        <is>
          <t>Да</t>
        </is>
      </c>
      <c r="X5657" s="35" t="inlineStr">
        <is>
          <t>Да</t>
        </is>
      </c>
    </row>
    <row r="5658" ht="15" customHeight="1" s="24">
      <c r="A5658" s="13" t="n">
        <v>800578534</v>
      </c>
      <c r="B5658" s="13" t="inlineStr">
        <is>
          <t>ООО "ВЕСТРА"</t>
        </is>
      </c>
      <c r="C5658" s="13" t="n">
        <v>3805703795</v>
      </c>
      <c r="D5658" s="13" t="inlineStr">
        <is>
          <t>3805703795</t>
        </is>
      </c>
      <c r="E5658" s="13" t="inlineStr">
        <is>
          <t>ЮЛ РФ</t>
        </is>
      </c>
      <c r="F5658" s="13" t="n"/>
      <c r="G5658" s="52" t="n">
        <v>25</v>
      </c>
      <c r="H5658" s="52" t="n">
        <v>2025</v>
      </c>
      <c r="I5658" s="52" t="inlineStr">
        <is>
          <t>41.20</t>
        </is>
      </c>
      <c r="J5658" s="52" t="inlineStr">
        <is>
          <t>41.20; 42.21; 43.11; 43.12.3; 43.21; 43.22; 43.29; 43.31; 43.32; 43.33; 43.34; 43.39; 43.91; 43.99; 43.99.1; 46.19; 46.63; 46.73; 46.74; 46.90; 49.41; 68.32; 70.10.1; 70.10.2; 70.22; 71.12</t>
        </is>
      </c>
      <c r="K5658" s="53" t="inlineStr">
        <is>
          <t>Да</t>
        </is>
      </c>
      <c r="L5658" s="53" t="inlineStr">
        <is>
          <t>Да</t>
        </is>
      </c>
      <c r="M5658" s="53" t="inlineStr">
        <is>
          <t>До 25</t>
        </is>
      </c>
      <c r="N5658" s="54" t="n">
        <v>8400</v>
      </c>
      <c r="O5658" s="55" t="inlineStr">
        <is>
          <t>16–30</t>
        </is>
      </c>
      <c r="P5658" s="16" t="inlineStr">
        <is>
          <t>ССЧР + ОКВЭД обогащены</t>
        </is>
      </c>
      <c r="Q5658" s="16" t="inlineStr">
        <is>
          <t>ФНС открытые данные ССЧР (ДатаСост 31.12.2025; набор 7707329152-sshr2019)</t>
        </is>
      </c>
      <c r="R5658" s="16" t="inlineStr">
        <is>
          <t>ЕГРЮЛ / egrul.nalog.ru (выписка)</t>
        </is>
      </c>
      <c r="S5658" t="n">
        <v>1</v>
      </c>
      <c r="T5658" s="35" t="inlineStr">
        <is>
          <t>1 — Горячий</t>
        </is>
      </c>
      <c r="U5658" s="35" t="inlineStr">
        <is>
          <t>ОКВЭД + 22+</t>
        </is>
      </c>
      <c r="V5658" s="35" t="inlineStr">
        <is>
          <t>Да</t>
        </is>
      </c>
      <c r="W5658" s="35" t="inlineStr">
        <is>
          <t>Да</t>
        </is>
      </c>
      <c r="X5658" s="35" t="inlineStr">
        <is>
          <t>Да</t>
        </is>
      </c>
    </row>
    <row r="5659" ht="15" customHeight="1" s="24">
      <c r="A5659" s="13" t="n">
        <v>802793011</v>
      </c>
      <c r="B5659" s="13" t="inlineStr">
        <is>
          <t>ПрофСталь</t>
        </is>
      </c>
      <c r="C5659" s="13" t="n">
        <v>3827019733</v>
      </c>
      <c r="D5659" s="13" t="inlineStr">
        <is>
          <t>3827019733</t>
        </is>
      </c>
      <c r="E5659" s="13" t="inlineStr">
        <is>
          <t>ЮЛ РФ</t>
        </is>
      </c>
      <c r="F5659" s="13" t="n"/>
      <c r="G5659" s="52" t="n">
        <v>202</v>
      </c>
      <c r="H5659" s="52" t="n">
        <v>2025</v>
      </c>
      <c r="I5659" s="52" t="inlineStr">
        <is>
          <t>25.11</t>
        </is>
      </c>
      <c r="J5659" s="52" t="inlineStr">
        <is>
          <t>25.11; 24.10.5; 49.41.2; 68.20.21; 24.33; 25.12; 41.20; 43.91; 46.13.2; 46.14.9; 46.90; 47.11; 47.43; 47.52; 47.52.1; 47.52.2; 47.52.7; 47.52.73; 47.54; 52.29; 56.10; 56.10.1; 56.10.3; 56.29; 71.12.5; 71.12.6</t>
        </is>
      </c>
      <c r="K5659" s="53" t="inlineStr">
        <is>
          <t>Да</t>
        </is>
      </c>
      <c r="L5659" s="53" t="inlineStr">
        <is>
          <t>Да</t>
        </is>
      </c>
      <c r="M5659" s="53" t="inlineStr">
        <is>
          <t>До 500</t>
        </is>
      </c>
      <c r="N5659" s="54" t="n">
        <v>144000</v>
      </c>
      <c r="O5659" s="55" t="inlineStr">
        <is>
          <t>201–500</t>
        </is>
      </c>
      <c r="P5659" s="16" t="inlineStr">
        <is>
          <t>ССЧР + ОКВЭД обогащены</t>
        </is>
      </c>
      <c r="Q5659" s="16" t="inlineStr">
        <is>
          <t>ФНС открытые данные ССЧР (ДатаСост 31.12.2025; набор 7707329152-sshr2019)</t>
        </is>
      </c>
      <c r="R5659" s="16" t="inlineStr">
        <is>
          <t>ЕГРЮЛ / egrul.nalog.ru (выписка)</t>
        </is>
      </c>
      <c r="S5659" t="n">
        <v>1</v>
      </c>
      <c r="T5659" s="35" t="inlineStr">
        <is>
          <t>1 — Горячий</t>
        </is>
      </c>
      <c r="U5659" s="35" t="inlineStr">
        <is>
          <t>ОКВЭД + 22+</t>
        </is>
      </c>
      <c r="V5659" s="35" t="inlineStr">
        <is>
          <t>Да</t>
        </is>
      </c>
      <c r="W5659" s="35" t="inlineStr">
        <is>
          <t>Да</t>
        </is>
      </c>
      <c r="X5659" s="35" t="inlineStr">
        <is>
          <t>Да</t>
        </is>
      </c>
    </row>
    <row r="5660" ht="15" customHeight="1" s="24">
      <c r="A5660" s="13" t="n">
        <v>10562687</v>
      </c>
      <c r="B5660" s="13" t="inlineStr">
        <is>
          <t>ТЕПЛОРЕСУРС, ООО</t>
        </is>
      </c>
      <c r="C5660" s="13" t="n">
        <v>3818046970</v>
      </c>
      <c r="D5660" s="13" t="inlineStr">
        <is>
          <t>3818046970</t>
        </is>
      </c>
      <c r="E5660" s="13" t="inlineStr">
        <is>
          <t>ЮЛ РФ</t>
        </is>
      </c>
      <c r="F5660" s="13" t="n"/>
      <c r="G5660" s="52" t="n">
        <v>24</v>
      </c>
      <c r="H5660" s="52" t="n">
        <v>2025</v>
      </c>
      <c r="I5660" s="52" t="inlineStr">
        <is>
          <t>36.00</t>
        </is>
      </c>
      <c r="J5660" s="52" t="inlineStr">
        <is>
          <t>36.00; 35.30; 35.30.3; 35.30.4; 35.30.5; 35.30.14; 36.00.2; 37.00; 41.20; 43.21; 43.22; 68.32; 68.32.1; 68.32.2; 77.32</t>
        </is>
      </c>
      <c r="K5660" s="53" t="inlineStr">
        <is>
          <t>Да</t>
        </is>
      </c>
      <c r="L5660" s="53" t="inlineStr">
        <is>
          <t>Да</t>
        </is>
      </c>
      <c r="M5660" s="53" t="inlineStr">
        <is>
          <t>До 25</t>
        </is>
      </c>
      <c r="N5660" s="54" t="n">
        <v>8400</v>
      </c>
      <c r="O5660" s="55" t="inlineStr">
        <is>
          <t>16–30</t>
        </is>
      </c>
      <c r="P5660" s="16" t="inlineStr">
        <is>
          <t>ССЧР + ОКВЭД обогащены</t>
        </is>
      </c>
      <c r="Q5660" s="16" t="inlineStr">
        <is>
          <t>ФНС открытые данные ССЧР (ДатаСост 31.12.2025; набор 7707329152-sshr2019)</t>
        </is>
      </c>
      <c r="R5660" s="16" t="inlineStr">
        <is>
          <t>ЕГРЮЛ / egrul.nalog.ru (выписка)</t>
        </is>
      </c>
      <c r="S5660" t="n">
        <v>1</v>
      </c>
      <c r="T5660" s="35" t="inlineStr">
        <is>
          <t>1 — Горячий</t>
        </is>
      </c>
      <c r="U5660" s="35" t="inlineStr">
        <is>
          <t>ОКВЭД + 22+</t>
        </is>
      </c>
      <c r="V5660" s="35" t="inlineStr">
        <is>
          <t>Да</t>
        </is>
      </c>
      <c r="W5660" s="35" t="inlineStr">
        <is>
          <t>Да</t>
        </is>
      </c>
      <c r="X5660" s="35" t="inlineStr">
        <is>
          <t>Да</t>
        </is>
      </c>
    </row>
    <row r="5661" ht="15" customHeight="1" s="24">
      <c r="A5661" s="13" t="n">
        <v>9400507</v>
      </c>
      <c r="B5661" s="13" t="inlineStr">
        <is>
          <t>ИП Кошукова Виктория Александровна</t>
        </is>
      </c>
      <c r="C5661" s="13" t="n">
        <v>143402309297</v>
      </c>
      <c r="D5661" s="13" t="inlineStr">
        <is>
          <t>143402309297</t>
        </is>
      </c>
      <c r="E5661" s="13" t="inlineStr">
        <is>
          <t>ИП РФ / физлицо</t>
        </is>
      </c>
      <c r="F5661" s="13" t="n"/>
      <c r="G5661" s="14" t="n"/>
      <c r="H5661" s="14" t="n"/>
      <c r="I5661" s="14" t="n"/>
      <c r="J5661" s="14" t="n"/>
      <c r="K5661" s="53" t="inlineStr"/>
      <c r="L5661" s="53" t="inlineStr">
        <is>
          <t>Не определено</t>
        </is>
      </c>
      <c r="M5661" s="53" t="inlineStr"/>
      <c r="N5661" s="54" t="inlineStr"/>
      <c r="O5661" s="55" t="inlineStr"/>
      <c r="P5661" s="16" t="inlineStr">
        <is>
          <t>Требует обогащения</t>
        </is>
      </c>
      <c r="Q5661" s="16">
        <f>HYPERLINK("https://pb.nalog.ru/search.html?query=143402309297","ФНС: проверить")</f>
        <v/>
      </c>
      <c r="R5661" s="16">
        <f>HYPERLINK("https://checko.ru/search?query=3801001629","Чекко: проверить")</f>
        <v/>
      </c>
      <c r="S5661" t="n">
        <v>1</v>
      </c>
      <c r="T5661" s="35" t="inlineStr">
        <is>
          <t>4 — Не обогащён</t>
        </is>
      </c>
      <c r="U5661" s="35" t="inlineStr">
        <is>
          <t>Нет ОКВЭД/ССЧР</t>
        </is>
      </c>
      <c r="V5661" s="35" t="inlineStr">
        <is>
          <t>Не определено</t>
        </is>
      </c>
      <c r="W5661" s="35" t="inlineStr"/>
      <c r="X5661" s="35" t="inlineStr"/>
    </row>
    <row r="5662" ht="15" customHeight="1" s="24">
      <c r="A5662" s="13" t="n">
        <v>9124562</v>
      </c>
      <c r="B5662" s="13" t="inlineStr">
        <is>
          <t>ООО "Элма"</t>
        </is>
      </c>
      <c r="C5662" s="13" t="n">
        <v>3811074104</v>
      </c>
      <c r="D5662" s="13" t="inlineStr">
        <is>
          <t>3811074104</t>
        </is>
      </c>
      <c r="E5662" s="13" t="inlineStr">
        <is>
          <t>ЮЛ РФ</t>
        </is>
      </c>
      <c r="F5662" s="13" t="n"/>
      <c r="G5662" s="52" t="n">
        <v>24</v>
      </c>
      <c r="H5662" s="52" t="n">
        <v>2025</v>
      </c>
      <c r="I5662" s="52" t="inlineStr">
        <is>
          <t>43.21</t>
        </is>
      </c>
      <c r="J5662" s="52" t="inlineStr">
        <is>
          <t>43.21; 41.20; 43.29; 49.41.1; 71.12; 71.12.1; 71.12.12; 84.24</t>
        </is>
      </c>
      <c r="K5662" s="53" t="inlineStr">
        <is>
          <t>Да</t>
        </is>
      </c>
      <c r="L5662" s="53" t="inlineStr">
        <is>
          <t>Да</t>
        </is>
      </c>
      <c r="M5662" s="53" t="inlineStr">
        <is>
          <t>До 25</t>
        </is>
      </c>
      <c r="N5662" s="54" t="n">
        <v>8400</v>
      </c>
      <c r="O5662" s="55" t="inlineStr">
        <is>
          <t>16–30</t>
        </is>
      </c>
      <c r="P5662" s="16" t="inlineStr">
        <is>
          <t>ССЧР + ОКВЭД обогащены</t>
        </is>
      </c>
      <c r="Q5662" s="16" t="inlineStr">
        <is>
          <t>ФНС открытые данные ССЧР (ДатаСост 31.12.2025; набор 7707329152-sshr2019)</t>
        </is>
      </c>
      <c r="R5662" s="16" t="inlineStr">
        <is>
          <t>ЕГРЮЛ / egrul.nalog.ru (выписка)</t>
        </is>
      </c>
      <c r="S5662" t="n">
        <v>1</v>
      </c>
      <c r="T5662" s="35" t="inlineStr">
        <is>
          <t>1 — Горячий</t>
        </is>
      </c>
      <c r="U5662" s="35" t="inlineStr">
        <is>
          <t>ОКВЭД + 22+</t>
        </is>
      </c>
      <c r="V5662" s="35" t="inlineStr">
        <is>
          <t>Да</t>
        </is>
      </c>
      <c r="W5662" s="35" t="inlineStr">
        <is>
          <t>Да</t>
        </is>
      </c>
      <c r="X5662" s="35" t="inlineStr">
        <is>
          <t>Да</t>
        </is>
      </c>
    </row>
    <row r="5663" ht="15" customHeight="1" s="24">
      <c r="A5663" s="13" t="n">
        <v>9121873</v>
      </c>
      <c r="B5663" s="13" t="inlineStr">
        <is>
          <t>ТРУД ООО УК</t>
        </is>
      </c>
      <c r="C5663" s="13" t="n">
        <v>3814039690</v>
      </c>
      <c r="D5663" s="13" t="inlineStr">
        <is>
          <t>3814039690</t>
        </is>
      </c>
      <c r="E5663" s="13" t="inlineStr">
        <is>
          <t>ЮЛ РФ</t>
        </is>
      </c>
      <c r="F5663" s="13" t="n"/>
      <c r="G5663" s="52" t="n">
        <v>72</v>
      </c>
      <c r="H5663" s="52" t="n">
        <v>2025</v>
      </c>
      <c r="I5663" s="52" t="inlineStr">
        <is>
          <t>68.32</t>
        </is>
      </c>
      <c r="J5663" s="52" t="inlineStr">
        <is>
          <t>68.32; 35.12; 35.30.3; 36.00.2; 43.21; 43.22; 43.29; 43.31; 43.32; 43.34; 43.39; 43.99.1; 68.32.1; 68.32.2</t>
        </is>
      </c>
      <c r="K5663" s="53" t="inlineStr">
        <is>
          <t>Да</t>
        </is>
      </c>
      <c r="L5663" s="53" t="inlineStr">
        <is>
          <t>Да</t>
        </is>
      </c>
      <c r="M5663" s="53" t="inlineStr">
        <is>
          <t>До 100</t>
        </is>
      </c>
      <c r="N5663" s="54" t="n">
        <v>33600</v>
      </c>
      <c r="O5663" s="55" t="inlineStr">
        <is>
          <t>51–100</t>
        </is>
      </c>
      <c r="P5663" s="16" t="inlineStr">
        <is>
          <t>ССЧР + ОКВЭД обогащены</t>
        </is>
      </c>
      <c r="Q5663" s="16" t="inlineStr">
        <is>
          <t>ФНС открытые данные ССЧР (ДатаСост 31.12.2025; набор 7707329152-sshr2019)</t>
        </is>
      </c>
      <c r="R5663" s="16" t="inlineStr">
        <is>
          <t>ЕГРЮЛ / egrul.nalog.ru (выписка)</t>
        </is>
      </c>
      <c r="S5663" t="n">
        <v>1</v>
      </c>
      <c r="T5663" s="35" t="inlineStr">
        <is>
          <t>1 — Горячий</t>
        </is>
      </c>
      <c r="U5663" s="35" t="inlineStr">
        <is>
          <t>ОКВЭД + 22+</t>
        </is>
      </c>
      <c r="V5663" s="35" t="inlineStr">
        <is>
          <t>Да</t>
        </is>
      </c>
      <c r="W5663" s="35" t="inlineStr">
        <is>
          <t>Да</t>
        </is>
      </c>
      <c r="X5663" s="35" t="inlineStr">
        <is>
          <t>Да</t>
        </is>
      </c>
    </row>
    <row r="5664" ht="15" customHeight="1" s="24">
      <c r="A5664" s="13" t="n">
        <v>800566839</v>
      </c>
      <c r="B5664" s="13" t="inlineStr">
        <is>
          <t>Благотворительный фонд Оберег</t>
        </is>
      </c>
      <c r="C5664" s="13" t="n">
        <v>3811127860</v>
      </c>
      <c r="D5664" s="13" t="inlineStr">
        <is>
          <t>3811127860</t>
        </is>
      </c>
      <c r="E5664" s="13" t="inlineStr">
        <is>
          <t>ЮЛ РФ</t>
        </is>
      </c>
      <c r="F5664" s="13" t="n"/>
      <c r="G5664" s="14" t="n"/>
      <c r="H5664" s="14" t="n"/>
      <c r="I5664" s="14" t="n"/>
      <c r="J5664" s="14" t="n"/>
      <c r="K5664" s="53" t="inlineStr"/>
      <c r="L5664" s="53" t="inlineStr">
        <is>
          <t>Не определено</t>
        </is>
      </c>
      <c r="M5664" s="53" t="inlineStr"/>
      <c r="N5664" s="54" t="inlineStr"/>
      <c r="O5664" s="55" t="inlineStr"/>
      <c r="P5664" s="16" t="inlineStr">
        <is>
          <t>Требует обогащения</t>
        </is>
      </c>
      <c r="Q5664" s="16">
        <f>HYPERLINK("https://pb.nalog.ru/search.html?query=3811127860","ФНС: проверить")</f>
        <v/>
      </c>
      <c r="R5664" s="16">
        <f>HYPERLINK("https://checko.ru/search?query=3801001629","Чекко: проверить")</f>
        <v/>
      </c>
      <c r="S5664" t="n">
        <v>1</v>
      </c>
      <c r="T5664" s="35" t="inlineStr">
        <is>
          <t>4 — Не обогащён</t>
        </is>
      </c>
      <c r="U5664" s="35" t="inlineStr">
        <is>
          <t>Нет ОКВЭД/ССЧР</t>
        </is>
      </c>
      <c r="V5664" s="35" t="inlineStr">
        <is>
          <t>Не определено</t>
        </is>
      </c>
      <c r="W5664" s="35" t="inlineStr"/>
      <c r="X5664" s="35" t="inlineStr"/>
    </row>
    <row r="5665" ht="15" customHeight="1" s="24">
      <c r="A5665" s="13" t="n">
        <v>9844488</v>
      </c>
      <c r="B5665" s="13" t="inlineStr">
        <is>
          <t>СТОМЦЕНТР ПЕРВЫЙ, ООО</t>
        </is>
      </c>
      <c r="C5665" s="13" t="n">
        <v>3808225699</v>
      </c>
      <c r="D5665" s="13" t="inlineStr">
        <is>
          <t>3808225699</t>
        </is>
      </c>
      <c r="E5665" s="13" t="inlineStr">
        <is>
          <t>ЮЛ РФ</t>
        </is>
      </c>
      <c r="F5665" s="13" t="n"/>
      <c r="G5665" s="52" t="n">
        <v>32</v>
      </c>
      <c r="H5665" s="52" t="n">
        <v>2025</v>
      </c>
      <c r="I5665" s="52" t="inlineStr">
        <is>
          <t>86.23</t>
        </is>
      </c>
      <c r="J5665" s="52" t="inlineStr">
        <is>
          <t>86.23; 46.12.1; 46.18.1; 46.46; 46.71; 46.75.2; 47.73; 47.74; 47.75; 68.10; 68.20</t>
        </is>
      </c>
      <c r="K5665" s="53" t="inlineStr">
        <is>
          <t>Да</t>
        </is>
      </c>
      <c r="L5665" s="53" t="inlineStr">
        <is>
          <t>Да</t>
        </is>
      </c>
      <c r="M5665" s="53" t="inlineStr">
        <is>
          <t>До 50</t>
        </is>
      </c>
      <c r="N5665" s="54" t="n">
        <v>16800</v>
      </c>
      <c r="O5665" s="55" t="inlineStr">
        <is>
          <t>31–50</t>
        </is>
      </c>
      <c r="P5665" s="16" t="inlineStr">
        <is>
          <t>ССЧР + ОКВЭД обогащены</t>
        </is>
      </c>
      <c r="Q5665" s="16" t="inlineStr">
        <is>
          <t>ФНС открытые данные ССЧР (ДатаСост 31.12.2025; набор 7707329152-sshr2019)</t>
        </is>
      </c>
      <c r="R5665" s="16" t="inlineStr">
        <is>
          <t>ЕГРЮЛ / egrul.nalog.ru (выписка)</t>
        </is>
      </c>
      <c r="S5665" t="n">
        <v>1</v>
      </c>
      <c r="T5665" s="35" t="inlineStr">
        <is>
          <t>1 — Горячий</t>
        </is>
      </c>
      <c r="U5665" s="35" t="inlineStr">
        <is>
          <t>ОКВЭД + 22+</t>
        </is>
      </c>
      <c r="V5665" s="35" t="inlineStr">
        <is>
          <t>Да</t>
        </is>
      </c>
      <c r="W5665" s="35" t="inlineStr">
        <is>
          <t>Да</t>
        </is>
      </c>
      <c r="X5665" s="35" t="inlineStr">
        <is>
          <t>Да</t>
        </is>
      </c>
    </row>
    <row r="5666" ht="15" customHeight="1" s="24">
      <c r="A5666" s="13" t="n">
        <v>9246281</v>
      </c>
      <c r="B5666" s="13" t="inlineStr">
        <is>
          <t>ООО "Профклимат-Монтаж"</t>
        </is>
      </c>
      <c r="C5666" s="13" t="n">
        <v>3811117855</v>
      </c>
      <c r="D5666" s="13" t="inlineStr">
        <is>
          <t>3811117855</t>
        </is>
      </c>
      <c r="E5666" s="13" t="inlineStr">
        <is>
          <t>ЮЛ РФ</t>
        </is>
      </c>
      <c r="F5666" s="13" t="n"/>
      <c r="G5666" s="52" t="n">
        <v>33</v>
      </c>
      <c r="H5666" s="52" t="n">
        <v>2025</v>
      </c>
      <c r="I5666" s="52" t="inlineStr">
        <is>
          <t>43.22</t>
        </is>
      </c>
      <c r="J5666" s="52" t="inlineStr">
        <is>
          <t>43.22; 33.12; 33.14; 33.20; 43.29; 55.10; 71.11.1</t>
        </is>
      </c>
      <c r="K5666" s="53" t="inlineStr">
        <is>
          <t>Да</t>
        </is>
      </c>
      <c r="L5666" s="53" t="inlineStr">
        <is>
          <t>Да</t>
        </is>
      </c>
      <c r="M5666" s="53" t="inlineStr">
        <is>
          <t>До 50</t>
        </is>
      </c>
      <c r="N5666" s="54" t="n">
        <v>16800</v>
      </c>
      <c r="O5666" s="55" t="inlineStr">
        <is>
          <t>31–50</t>
        </is>
      </c>
      <c r="P5666" s="16" t="inlineStr">
        <is>
          <t>ССЧР + ОКВЭД обогащены</t>
        </is>
      </c>
      <c r="Q5666" s="16" t="inlineStr">
        <is>
          <t>ФНС открытые данные ССЧР (ДатаСост 31.12.2025; набор 7707329152-sshr2019)</t>
        </is>
      </c>
      <c r="R5666" s="16" t="inlineStr">
        <is>
          <t>ЕГРЮЛ / egrul.nalog.ru (выписка)</t>
        </is>
      </c>
      <c r="S5666" t="n">
        <v>1</v>
      </c>
      <c r="T5666" s="35" t="inlineStr">
        <is>
          <t>1 — Горячий</t>
        </is>
      </c>
      <c r="U5666" s="35" t="inlineStr">
        <is>
          <t>ОКВЭД + 22+</t>
        </is>
      </c>
      <c r="V5666" s="35" t="inlineStr">
        <is>
          <t>Да</t>
        </is>
      </c>
      <c r="W5666" s="35" t="inlineStr">
        <is>
          <t>Да</t>
        </is>
      </c>
      <c r="X5666" s="35" t="inlineStr">
        <is>
          <t>Да</t>
        </is>
      </c>
    </row>
    <row r="5667" ht="15" customHeight="1" s="24">
      <c r="A5667" s="13" t="n">
        <v>9847197</v>
      </c>
      <c r="B5667" s="13" t="inlineStr">
        <is>
          <t>ПРОМСВЕТ ООО</t>
        </is>
      </c>
      <c r="C5667" s="13" t="n">
        <v>3810067168</v>
      </c>
      <c r="D5667" s="13" t="inlineStr">
        <is>
          <t>3810067168</t>
        </is>
      </c>
      <c r="E5667" s="13" t="inlineStr">
        <is>
          <t>ЮЛ РФ</t>
        </is>
      </c>
      <c r="F5667" s="13" t="n"/>
      <c r="G5667" s="52" t="n">
        <v>2</v>
      </c>
      <c r="H5667" s="52" t="n">
        <v>2025</v>
      </c>
      <c r="I5667" s="14" t="n"/>
      <c r="J5667" s="14" t="n"/>
      <c r="K5667" s="53" t="inlineStr">
        <is>
          <t>Нет</t>
        </is>
      </c>
      <c r="L5667" s="53" t="inlineStr">
        <is>
          <t>Не определено</t>
        </is>
      </c>
      <c r="M5667" s="53" t="inlineStr">
        <is>
          <t>До 10</t>
        </is>
      </c>
      <c r="N5667" s="54" t="n">
        <v>3360</v>
      </c>
      <c r="O5667" s="55" t="inlineStr">
        <is>
          <t>1–15</t>
        </is>
      </c>
      <c r="P5667" s="16" t="inlineStr">
        <is>
          <t>ССЧР обогащена; ОКВЭД не найден/не загружен</t>
        </is>
      </c>
      <c r="Q5667" s="16" t="inlineStr">
        <is>
          <t>ФНС открытые данные ССЧР (ДатаСост 31.12.2025; набор 7707329152-sshr2019)</t>
        </is>
      </c>
      <c r="R5667" s="16">
        <f>HYPERLINK("https://checko.ru/search?query=3801001629","Чекко: проверить")</f>
        <v/>
      </c>
      <c r="S5667" t="n">
        <v>1</v>
      </c>
      <c r="T5667" s="35" t="inlineStr">
        <is>
          <t>4 — Не обогащён</t>
        </is>
      </c>
      <c r="U5667" s="35" t="inlineStr">
        <is>
          <t>Нет ОКВЭД/ССЧР</t>
        </is>
      </c>
      <c r="V5667" s="35" t="inlineStr">
        <is>
          <t>Не определено</t>
        </is>
      </c>
      <c r="W5667" s="35" t="inlineStr">
        <is>
          <t>Нет</t>
        </is>
      </c>
      <c r="X5667" s="35" t="inlineStr"/>
    </row>
    <row r="5668" ht="15" customHeight="1" s="24">
      <c r="A5668" s="13" t="n">
        <v>802401341</v>
      </c>
      <c r="B5668" s="13" t="inlineStr">
        <is>
          <t>Технопарк</t>
        </is>
      </c>
      <c r="C5668" s="13" t="n">
        <v>5404503440</v>
      </c>
      <c r="D5668" s="13" t="inlineStr">
        <is>
          <t>5404503440</t>
        </is>
      </c>
      <c r="E5668" s="13" t="inlineStr">
        <is>
          <t>ЮЛ РФ</t>
        </is>
      </c>
      <c r="F5668" s="13" t="n"/>
      <c r="G5668" s="52" t="n">
        <v>7</v>
      </c>
      <c r="H5668" s="52" t="n">
        <v>2025</v>
      </c>
      <c r="I5668" s="14" t="n"/>
      <c r="J5668" s="14" t="n"/>
      <c r="K5668" s="53" t="inlineStr">
        <is>
          <t>Нет</t>
        </is>
      </c>
      <c r="L5668" s="53" t="inlineStr">
        <is>
          <t>Не определено</t>
        </is>
      </c>
      <c r="M5668" s="53" t="inlineStr">
        <is>
          <t>До 10</t>
        </is>
      </c>
      <c r="N5668" s="54" t="n">
        <v>3360</v>
      </c>
      <c r="O5668" s="55" t="inlineStr">
        <is>
          <t>1–15</t>
        </is>
      </c>
      <c r="P5668" s="16" t="inlineStr">
        <is>
          <t>ССЧР обогащена; ОКВЭД не найден/не загружен</t>
        </is>
      </c>
      <c r="Q5668" s="16" t="inlineStr">
        <is>
          <t>ФНС открытые данные ССЧР (ДатаСост 31.12.2025; набор 7707329152-sshr2019)</t>
        </is>
      </c>
      <c r="R5668" s="16">
        <f>HYPERLINK("https://checko.ru/search?query=3801001629","Чекко: проверить")</f>
        <v/>
      </c>
      <c r="S5668" t="n">
        <v>1</v>
      </c>
      <c r="T5668" s="35" t="inlineStr">
        <is>
          <t>4 — Не обогащён</t>
        </is>
      </c>
      <c r="U5668" s="35" t="inlineStr">
        <is>
          <t>Нет ОКВЭД/ССЧР</t>
        </is>
      </c>
      <c r="V5668" s="35" t="inlineStr">
        <is>
          <t>Не определено</t>
        </is>
      </c>
      <c r="W5668" s="35" t="inlineStr">
        <is>
          <t>Нет</t>
        </is>
      </c>
      <c r="X5668" s="35" t="inlineStr"/>
    </row>
    <row r="5669" ht="15" customHeight="1" s="24">
      <c r="A5669" s="13" t="n">
        <v>802405396</v>
      </c>
      <c r="B5669" s="13" t="inlineStr">
        <is>
          <t>ООО "ГЕОЛОГ"</t>
        </is>
      </c>
      <c r="C5669" s="13" t="n">
        <v>3835000510</v>
      </c>
      <c r="D5669" s="13" t="inlineStr">
        <is>
          <t>3835000510</t>
        </is>
      </c>
      <c r="E5669" s="13" t="inlineStr">
        <is>
          <t>ЮЛ РФ</t>
        </is>
      </c>
      <c r="F5669" s="13" t="n"/>
      <c r="G5669" s="52" t="n">
        <v>1</v>
      </c>
      <c r="H5669" s="52" t="n">
        <v>2025</v>
      </c>
      <c r="I5669" s="14" t="n"/>
      <c r="J5669" s="14" t="n"/>
      <c r="K5669" s="53" t="inlineStr">
        <is>
          <t>Нет</t>
        </is>
      </c>
      <c r="L5669" s="53" t="inlineStr">
        <is>
          <t>Не определено</t>
        </is>
      </c>
      <c r="M5669" s="53" t="inlineStr">
        <is>
          <t>До 10</t>
        </is>
      </c>
      <c r="N5669" s="54" t="n">
        <v>3360</v>
      </c>
      <c r="O5669" s="55" t="inlineStr">
        <is>
          <t>1–15</t>
        </is>
      </c>
      <c r="P5669" s="16" t="inlineStr">
        <is>
          <t>ССЧР обогащена; ОКВЭД не найден/не загружен</t>
        </is>
      </c>
      <c r="Q5669" s="16" t="inlineStr">
        <is>
          <t>ФНС открытые данные ССЧР (ДатаСост 31.12.2025; набор 7707329152-sshr2019)</t>
        </is>
      </c>
      <c r="R5669" s="16">
        <f>HYPERLINK("https://checko.ru/search?query=3801001629","Чекко: проверить")</f>
        <v/>
      </c>
      <c r="S5669" t="n">
        <v>1</v>
      </c>
      <c r="T5669" s="35" t="inlineStr">
        <is>
          <t>4 — Не обогащён</t>
        </is>
      </c>
      <c r="U5669" s="35" t="inlineStr">
        <is>
          <t>Нет ОКВЭД/ССЧР</t>
        </is>
      </c>
      <c r="V5669" s="35" t="inlineStr">
        <is>
          <t>Не определено</t>
        </is>
      </c>
      <c r="W5669" s="35" t="inlineStr">
        <is>
          <t>Нет</t>
        </is>
      </c>
      <c r="X5669" s="35" t="inlineStr"/>
    </row>
    <row r="5670" ht="27.75" customHeight="1" s="24">
      <c r="A5670" s="13" t="n">
        <v>802511551</v>
      </c>
      <c r="B5670" s="13" t="inlineStr">
        <is>
          <t>Общество с ограниченной ответственностью "СИБИРСКИЙ ТРАНСПОРТНЫЙ ТЕРМИНАЛ"</t>
        </is>
      </c>
      <c r="C5670" s="13" t="n">
        <v>2465158690</v>
      </c>
      <c r="D5670" s="13" t="inlineStr">
        <is>
          <t>2465158690</t>
        </is>
      </c>
      <c r="E5670" s="13" t="inlineStr">
        <is>
          <t>ЮЛ РФ</t>
        </is>
      </c>
      <c r="F5670" s="13" t="n"/>
      <c r="G5670" s="52" t="n">
        <v>32</v>
      </c>
      <c r="H5670" s="52" t="n">
        <v>2025</v>
      </c>
      <c r="I5670" s="52" t="inlineStr">
        <is>
          <t>49.42</t>
        </is>
      </c>
      <c r="J5670" s="52" t="inlineStr">
        <is>
          <t>49.42; 45.20; 49.41; 52.10; 52.21; 52.24; 52.29; 68.20; 70.22; 82.99</t>
        </is>
      </c>
      <c r="K5670" s="53" t="inlineStr">
        <is>
          <t>Да</t>
        </is>
      </c>
      <c r="L5670" s="53" t="inlineStr">
        <is>
          <t>Да</t>
        </is>
      </c>
      <c r="M5670" s="53" t="inlineStr">
        <is>
          <t>До 50</t>
        </is>
      </c>
      <c r="N5670" s="54" t="n">
        <v>16800</v>
      </c>
      <c r="O5670" s="55" t="inlineStr">
        <is>
          <t>31–50</t>
        </is>
      </c>
      <c r="P5670" s="16" t="inlineStr">
        <is>
          <t>ССЧР + ОКВЭД обогащены</t>
        </is>
      </c>
      <c r="Q5670" s="16" t="inlineStr">
        <is>
          <t>ФНС открытые данные ССЧР (ДатаСост 31.12.2025; набор 7707329152-sshr2019)</t>
        </is>
      </c>
      <c r="R5670" s="16" t="inlineStr">
        <is>
          <t>ЕГРЮЛ / egrul.nalog.ru (выписка)</t>
        </is>
      </c>
      <c r="S5670" t="n">
        <v>1</v>
      </c>
      <c r="T5670" s="35" t="inlineStr">
        <is>
          <t>1 — Горячий</t>
        </is>
      </c>
      <c r="U5670" s="35" t="inlineStr">
        <is>
          <t>ОКВЭД + 22+</t>
        </is>
      </c>
      <c r="V5670" s="35" t="inlineStr">
        <is>
          <t>Да</t>
        </is>
      </c>
      <c r="W5670" s="35" t="inlineStr">
        <is>
          <t>Да</t>
        </is>
      </c>
      <c r="X5670" s="35" t="inlineStr">
        <is>
          <t>Да</t>
        </is>
      </c>
    </row>
    <row r="5671" ht="27.75" customHeight="1" s="24">
      <c r="A5671" s="13" t="n">
        <v>802514063</v>
      </c>
      <c r="B5671" s="13" t="inlineStr">
        <is>
          <t>Общество с ограниченной ответственностью "СК ЛЕГЕНДАСТРОЙ"</t>
        </is>
      </c>
      <c r="C5671" s="13" t="n">
        <v>3810084710</v>
      </c>
      <c r="D5671" s="13" t="inlineStr">
        <is>
          <t>3810084710</t>
        </is>
      </c>
      <c r="E5671" s="13" t="inlineStr">
        <is>
          <t>ЮЛ РФ</t>
        </is>
      </c>
      <c r="F5671" s="13" t="n"/>
      <c r="G5671" s="52" t="n">
        <v>53</v>
      </c>
      <c r="H5671" s="52" t="n">
        <v>2025</v>
      </c>
      <c r="I5671" s="52" t="inlineStr">
        <is>
          <t>49.41</t>
        </is>
      </c>
      <c r="J5671" s="52" t="inlineStr">
        <is>
          <t>49.41; 41.20; 42.11; 42.21; 42.22; 42.99; 43.11; 43.12; 43.31; 43.33; 43.34; 43.39; 45.32; 56.10; 71.11</t>
        </is>
      </c>
      <c r="K5671" s="53" t="inlineStr">
        <is>
          <t>Да</t>
        </is>
      </c>
      <c r="L5671" s="53" t="inlineStr">
        <is>
          <t>Да</t>
        </is>
      </c>
      <c r="M5671" s="53" t="inlineStr">
        <is>
          <t>До 100</t>
        </is>
      </c>
      <c r="N5671" s="54" t="n">
        <v>33600</v>
      </c>
      <c r="O5671" s="55" t="inlineStr">
        <is>
          <t>51–100</t>
        </is>
      </c>
      <c r="P5671" s="16" t="inlineStr">
        <is>
          <t>ССЧР + ОКВЭД обогащены</t>
        </is>
      </c>
      <c r="Q5671" s="16" t="inlineStr">
        <is>
          <t>ФНС открытые данные ССЧР (ДатаСост 31.12.2025; набор 7707329152-sshr2019)</t>
        </is>
      </c>
      <c r="R5671" s="16" t="inlineStr">
        <is>
          <t>ЕГРЮЛ / egrul.nalog.ru (выписка)</t>
        </is>
      </c>
      <c r="S5671" t="n">
        <v>1</v>
      </c>
      <c r="T5671" s="35" t="inlineStr">
        <is>
          <t>1 — Горячий</t>
        </is>
      </c>
      <c r="U5671" s="35" t="inlineStr">
        <is>
          <t>ОКВЭД + 22+</t>
        </is>
      </c>
      <c r="V5671" s="35" t="inlineStr">
        <is>
          <t>Да</t>
        </is>
      </c>
      <c r="W5671" s="35" t="inlineStr">
        <is>
          <t>Да</t>
        </is>
      </c>
      <c r="X5671" s="35" t="inlineStr">
        <is>
          <t>Да</t>
        </is>
      </c>
    </row>
    <row r="5672" ht="41.25" customHeight="1" s="24">
      <c r="A5672" s="13" t="n">
        <v>804710620</v>
      </c>
      <c r="B5672" s="13" t="inlineStr">
        <is>
          <t>ОБЩЕСТВО С ОГРАНИЧЕННОЙ ОТВЕТСТВЕННОСТЬЮ ЧАСТНОЕ ОХРАННОЕ ПРЕДПРИЯТИЕ "БРЕСТ КР"</t>
        </is>
      </c>
      <c r="C5672" s="13" t="n">
        <v>7536136768</v>
      </c>
      <c r="D5672" s="13" t="inlineStr">
        <is>
          <t>7536136768</t>
        </is>
      </c>
      <c r="E5672" s="13" t="inlineStr">
        <is>
          <t>ЮЛ РФ</t>
        </is>
      </c>
      <c r="F5672" s="13" t="n"/>
      <c r="G5672" s="52" t="n">
        <v>110</v>
      </c>
      <c r="H5672" s="52" t="n">
        <v>2025</v>
      </c>
      <c r="I5672" s="14" t="n"/>
      <c r="J5672" s="14" t="n"/>
      <c r="K5672" s="53" t="inlineStr">
        <is>
          <t>Да</t>
        </is>
      </c>
      <c r="L5672" s="53" t="inlineStr">
        <is>
          <t>Не определено</t>
        </is>
      </c>
      <c r="M5672" s="53" t="inlineStr">
        <is>
          <t>До 200</t>
        </is>
      </c>
      <c r="N5672" s="54" t="n">
        <v>62400</v>
      </c>
      <c r="O5672" s="55" t="inlineStr">
        <is>
          <t>101–200</t>
        </is>
      </c>
      <c r="P5672" s="16" t="inlineStr">
        <is>
          <t>ССЧР обогащена; ОКВЭД не найден/не загружен</t>
        </is>
      </c>
      <c r="Q5672" s="16" t="inlineStr">
        <is>
          <t>ФНС открытые данные ССЧР (ДатаСост 31.12.2025; набор 7707329152-sshr2019)</t>
        </is>
      </c>
      <c r="R5672" s="16">
        <f>HYPERLINK("https://checko.ru/search?query=3801001629","Чекко: проверить")</f>
        <v/>
      </c>
      <c r="S5672" t="n">
        <v>1</v>
      </c>
      <c r="T5672" s="35" t="inlineStr">
        <is>
          <t>1 — Горячий</t>
        </is>
      </c>
      <c r="U5672" s="35" t="inlineStr">
        <is>
          <t>50+ стратегический</t>
        </is>
      </c>
      <c r="V5672" s="35" t="inlineStr">
        <is>
          <t>Не определено</t>
        </is>
      </c>
      <c r="W5672" s="35" t="inlineStr">
        <is>
          <t>Да</t>
        </is>
      </c>
      <c r="X5672" s="35" t="inlineStr"/>
    </row>
    <row r="5673" ht="41.25" customHeight="1" s="24">
      <c r="A5673" s="13" t="n">
        <v>802424646</v>
      </c>
      <c r="B5673" s="13" t="inlineStr">
        <is>
          <t>Общество с ограниченной ответственностью "РЕГИОНАЛЬНЫЙ ЦЕНТР ИНФОРМАЦИОННЫХ РЕСУРСОВ И ТЕХНОЛОГИЙ"</t>
        </is>
      </c>
      <c r="C5673" s="13" t="n">
        <v>3808104542</v>
      </c>
      <c r="D5673" s="13" t="inlineStr">
        <is>
          <t>3808104542</t>
        </is>
      </c>
      <c r="E5673" s="13" t="inlineStr">
        <is>
          <t>ЮЛ РФ</t>
        </is>
      </c>
      <c r="F5673" s="13" t="n"/>
      <c r="G5673" s="52" t="n">
        <v>9</v>
      </c>
      <c r="H5673" s="52" t="n">
        <v>2025</v>
      </c>
      <c r="I5673" s="14" t="n"/>
      <c r="J5673" s="14" t="n"/>
      <c r="K5673" s="53" t="inlineStr">
        <is>
          <t>Нет</t>
        </is>
      </c>
      <c r="L5673" s="53" t="inlineStr">
        <is>
          <t>Не определено</t>
        </is>
      </c>
      <c r="M5673" s="53" t="inlineStr">
        <is>
          <t>До 10</t>
        </is>
      </c>
      <c r="N5673" s="54" t="n">
        <v>3360</v>
      </c>
      <c r="O5673" s="55" t="inlineStr">
        <is>
          <t>1–15</t>
        </is>
      </c>
      <c r="P5673" s="16" t="inlineStr">
        <is>
          <t>ССЧР обогащена; ОКВЭД не найден/не загружен</t>
        </is>
      </c>
      <c r="Q5673" s="16" t="inlineStr">
        <is>
          <t>ФНС открытые данные ССЧР (ДатаСост 31.12.2025; набор 7707329152-sshr2019)</t>
        </is>
      </c>
      <c r="R5673" s="16">
        <f>HYPERLINK("https://checko.ru/search?query=3801001629","Чекко: проверить")</f>
        <v/>
      </c>
      <c r="S5673" t="n">
        <v>1</v>
      </c>
      <c r="T5673" s="35" t="inlineStr">
        <is>
          <t>4 — Не обогащён</t>
        </is>
      </c>
      <c r="U5673" s="35" t="inlineStr">
        <is>
          <t>Нет ОКВЭД/ССЧР</t>
        </is>
      </c>
      <c r="V5673" s="35" t="inlineStr">
        <is>
          <t>Не определено</t>
        </is>
      </c>
      <c r="W5673" s="35" t="inlineStr">
        <is>
          <t>Нет</t>
        </is>
      </c>
      <c r="X5673" s="35" t="inlineStr"/>
    </row>
    <row r="5674" ht="15" customHeight="1" s="24">
      <c r="A5674" s="13" t="n">
        <v>802333837</v>
      </c>
      <c r="B5674" s="13" t="inlineStr">
        <is>
          <t>ООО "ЦЕЛЬСИЙ"</t>
        </is>
      </c>
      <c r="C5674" s="13" t="n">
        <v>3849013904</v>
      </c>
      <c r="D5674" s="13" t="inlineStr">
        <is>
          <t>3849013904</t>
        </is>
      </c>
      <c r="E5674" s="13" t="inlineStr">
        <is>
          <t>ЮЛ РФ</t>
        </is>
      </c>
      <c r="F5674" s="13" t="n"/>
      <c r="G5674" s="52" t="n">
        <v>21</v>
      </c>
      <c r="H5674" s="52" t="n">
        <v>2025</v>
      </c>
      <c r="I5674" s="14" t="n"/>
      <c r="J5674" s="14" t="n"/>
      <c r="K5674" s="53" t="inlineStr">
        <is>
          <t>Нет</t>
        </is>
      </c>
      <c r="L5674" s="53" t="inlineStr">
        <is>
          <t>Не определено</t>
        </is>
      </c>
      <c r="M5674" s="53" t="inlineStr">
        <is>
          <t>До 25</t>
        </is>
      </c>
      <c r="N5674" s="54" t="n">
        <v>8400</v>
      </c>
      <c r="O5674" s="55" t="inlineStr">
        <is>
          <t>16–30</t>
        </is>
      </c>
      <c r="P5674" s="16" t="inlineStr">
        <is>
          <t>ССЧР обогащена; ОКВЭД не найден/не загружен</t>
        </is>
      </c>
      <c r="Q5674" s="16" t="inlineStr">
        <is>
          <t>ФНС открытые данные ССЧР (ДатаСост 31.12.2025; набор 7707329152-sshr2019)</t>
        </is>
      </c>
      <c r="R5674" s="16">
        <f>HYPERLINK("https://checko.ru/search?query=3801001629","Чекко: проверить")</f>
        <v/>
      </c>
      <c r="S5674" t="n">
        <v>1</v>
      </c>
      <c r="T5674" s="35" t="inlineStr">
        <is>
          <t>4 — Не обогащён</t>
        </is>
      </c>
      <c r="U5674" s="35" t="inlineStr">
        <is>
          <t>Нет ОКВЭД/ССЧР</t>
        </is>
      </c>
      <c r="V5674" s="35" t="inlineStr">
        <is>
          <t>Не определено</t>
        </is>
      </c>
      <c r="W5674" s="35" t="inlineStr">
        <is>
          <t>Нет</t>
        </is>
      </c>
      <c r="X5674" s="35" t="inlineStr"/>
    </row>
    <row r="5675" ht="15" customHeight="1" s="24">
      <c r="A5675" s="13" t="n">
        <v>805167512</v>
      </c>
      <c r="B5675" s="13" t="inlineStr">
        <is>
          <t>СТА, ООО</t>
        </is>
      </c>
      <c r="C5675" s="13" t="n">
        <v>3811435939</v>
      </c>
      <c r="D5675" s="13" t="inlineStr">
        <is>
          <t>3811435939</t>
        </is>
      </c>
      <c r="E5675" s="13" t="inlineStr">
        <is>
          <t>ЮЛ РФ</t>
        </is>
      </c>
      <c r="F5675" s="13" t="n"/>
      <c r="G5675" s="52" t="n">
        <v>237</v>
      </c>
      <c r="H5675" s="52" t="n">
        <v>2025</v>
      </c>
      <c r="I5675" s="52" t="inlineStr">
        <is>
          <t>49.41</t>
        </is>
      </c>
      <c r="J5675" s="52" t="inlineStr">
        <is>
          <t>49.41; 09.10.1; 09.10.9; 35.11; 35.14; 41.20; 42.21; 42.22.2; 42.22.3; 42.99; 43.11; 43.12.3; 43.21; 43.22; 43.29; 43.31; 43.32; 43.33; 43.34; 43.39; 43.99; 43.99.1; 46.18; 46.49; 46.62; 46.63; 46.66; 46.69; 46.90; 52.10; 52.24; 69.10; 69.20; 70.22; 73.11; 73.20</t>
        </is>
      </c>
      <c r="K5675" s="53" t="inlineStr">
        <is>
          <t>Да</t>
        </is>
      </c>
      <c r="L5675" s="53" t="inlineStr">
        <is>
          <t>Да</t>
        </is>
      </c>
      <c r="M5675" s="53" t="inlineStr">
        <is>
          <t>До 500</t>
        </is>
      </c>
      <c r="N5675" s="54" t="n">
        <v>144000</v>
      </c>
      <c r="O5675" s="55" t="inlineStr">
        <is>
          <t>201–500</t>
        </is>
      </c>
      <c r="P5675" s="16" t="inlineStr">
        <is>
          <t>ССЧР + ОКВЭД обогащены</t>
        </is>
      </c>
      <c r="Q5675" s="16" t="inlineStr">
        <is>
          <t>ФНС открытые данные ССЧР (ДатаСост 31.12.2025; набор 7707329152-sshr2019)</t>
        </is>
      </c>
      <c r="R5675" s="16" t="inlineStr">
        <is>
          <t>ЕГРЮЛ / egrul.nalog.ru (выписка)</t>
        </is>
      </c>
      <c r="S5675" t="n">
        <v>1</v>
      </c>
      <c r="T5675" s="35" t="inlineStr">
        <is>
          <t>1 — Горячий</t>
        </is>
      </c>
      <c r="U5675" s="35" t="inlineStr">
        <is>
          <t>ОКВЭД + 22+</t>
        </is>
      </c>
      <c r="V5675" s="35" t="inlineStr">
        <is>
          <t>Да</t>
        </is>
      </c>
      <c r="W5675" s="35" t="inlineStr">
        <is>
          <t>Да</t>
        </is>
      </c>
      <c r="X5675" s="35" t="inlineStr">
        <is>
          <t>Да</t>
        </is>
      </c>
    </row>
    <row r="5676" ht="27.75" customHeight="1" s="24">
      <c r="A5676" s="13" t="n">
        <v>800131901</v>
      </c>
      <c r="B5676" s="13" t="inlineStr">
        <is>
          <t>Территориальный фонд ОМС граждан Иркутской области (Исп.дирекция)</t>
        </is>
      </c>
      <c r="C5676" s="13" t="n">
        <v>3811028531</v>
      </c>
      <c r="D5676" s="13" t="inlineStr">
        <is>
          <t>3811028531</t>
        </is>
      </c>
      <c r="E5676" s="13" t="inlineStr">
        <is>
          <t>ЮЛ РФ</t>
        </is>
      </c>
      <c r="F5676" s="13" t="n"/>
      <c r="G5676" s="14" t="n"/>
      <c r="H5676" s="14" t="n"/>
      <c r="I5676" s="14" t="n"/>
      <c r="J5676" s="14" t="n"/>
      <c r="K5676" s="53" t="inlineStr"/>
      <c r="L5676" s="53" t="inlineStr">
        <is>
          <t>Не определено</t>
        </is>
      </c>
      <c r="M5676" s="53" t="inlineStr"/>
      <c r="N5676" s="54" t="inlineStr"/>
      <c r="O5676" s="55" t="inlineStr"/>
      <c r="P5676" s="16" t="inlineStr">
        <is>
          <t>Требует обогащения</t>
        </is>
      </c>
      <c r="Q5676" s="16">
        <f>HYPERLINK("https://pb.nalog.ru/search.html?query=3811028531","ФНС: проверить")</f>
        <v/>
      </c>
      <c r="R5676" s="16">
        <f>HYPERLINK("https://checko.ru/search?query=3801001629","Чекко: проверить")</f>
        <v/>
      </c>
      <c r="S5676" t="n">
        <v>1</v>
      </c>
      <c r="T5676" s="35" t="inlineStr">
        <is>
          <t>4 — Не обогащён</t>
        </is>
      </c>
      <c r="U5676" s="35" t="inlineStr">
        <is>
          <t>Нет ОКВЭД/ССЧР</t>
        </is>
      </c>
      <c r="V5676" s="35" t="inlineStr">
        <is>
          <t>Не определено</t>
        </is>
      </c>
      <c r="W5676" s="35" t="inlineStr"/>
      <c r="X5676" s="35" t="inlineStr"/>
    </row>
    <row r="5677" ht="15" customHeight="1" s="24">
      <c r="A5677" s="13" t="n">
        <v>9652383</v>
      </c>
      <c r="B5677" s="13" t="inlineStr">
        <is>
          <t>МАУК Театрально-концертный центр "Братск-АРТ"</t>
        </is>
      </c>
      <c r="C5677" s="13" t="n">
        <v>3804013541</v>
      </c>
      <c r="D5677" s="13" t="inlineStr">
        <is>
          <t>3804013541</t>
        </is>
      </c>
      <c r="E5677" s="13" t="inlineStr">
        <is>
          <t>ЮЛ РФ</t>
        </is>
      </c>
      <c r="F5677" s="13" t="n"/>
      <c r="G5677" s="14" t="n"/>
      <c r="H5677" s="14" t="n"/>
      <c r="I5677" s="14" t="n"/>
      <c r="J5677" s="14" t="n"/>
      <c r="K5677" s="53" t="inlineStr"/>
      <c r="L5677" s="53" t="inlineStr">
        <is>
          <t>Не определено</t>
        </is>
      </c>
      <c r="M5677" s="53" t="inlineStr"/>
      <c r="N5677" s="54" t="inlineStr"/>
      <c r="O5677" s="55" t="inlineStr"/>
      <c r="P5677" s="16" t="inlineStr">
        <is>
          <t>Требует обогащения</t>
        </is>
      </c>
      <c r="Q5677" s="16">
        <f>HYPERLINK("https://pb.nalog.ru/search.html?query=3804013541","ФНС: проверить")</f>
        <v/>
      </c>
      <c r="R5677" s="16">
        <f>HYPERLINK("https://checko.ru/search?query=3801001629","Чекко: проверить")</f>
        <v/>
      </c>
      <c r="S5677" t="n">
        <v>1</v>
      </c>
      <c r="T5677" s="35" t="inlineStr">
        <is>
          <t>4 — Не обогащён</t>
        </is>
      </c>
      <c r="U5677" s="35" t="inlineStr">
        <is>
          <t>Нет ОКВЭД/ССЧР</t>
        </is>
      </c>
      <c r="V5677" s="35" t="inlineStr">
        <is>
          <t>Не определено</t>
        </is>
      </c>
      <c r="W5677" s="35" t="inlineStr"/>
      <c r="X5677" s="35" t="inlineStr"/>
    </row>
    <row r="5678" ht="15" customHeight="1" s="24">
      <c r="A5678" s="13" t="n">
        <v>802680539</v>
      </c>
      <c r="B5678" s="13" t="inlineStr">
        <is>
          <t>Избирательная комиссия Иркутской области</t>
        </is>
      </c>
      <c r="C5678" s="13" t="n">
        <v>3808023004</v>
      </c>
      <c r="D5678" s="13" t="inlineStr">
        <is>
          <t>3808023004</t>
        </is>
      </c>
      <c r="E5678" s="13" t="inlineStr">
        <is>
          <t>ЮЛ РФ</t>
        </is>
      </c>
      <c r="F5678" s="13" t="n"/>
      <c r="G5678" s="14" t="n"/>
      <c r="H5678" s="14" t="n"/>
      <c r="I5678" s="14" t="n"/>
      <c r="J5678" s="14" t="n"/>
      <c r="K5678" s="53" t="inlineStr"/>
      <c r="L5678" s="53" t="inlineStr">
        <is>
          <t>Не определено</t>
        </is>
      </c>
      <c r="M5678" s="53" t="inlineStr"/>
      <c r="N5678" s="54" t="inlineStr"/>
      <c r="O5678" s="55" t="inlineStr"/>
      <c r="P5678" s="16" t="inlineStr">
        <is>
          <t>Требует обогащения</t>
        </is>
      </c>
      <c r="Q5678" s="16">
        <f>HYPERLINK("https://pb.nalog.ru/search.html?query=3808023004","ФНС: проверить")</f>
        <v/>
      </c>
      <c r="R5678" s="16">
        <f>HYPERLINK("https://checko.ru/search?query=3801001629","Чекко: проверить")</f>
        <v/>
      </c>
      <c r="S5678" t="n">
        <v>1</v>
      </c>
      <c r="T5678" s="35" t="inlineStr">
        <is>
          <t>4 — Не обогащён</t>
        </is>
      </c>
      <c r="U5678" s="35" t="inlineStr">
        <is>
          <t>Нет ОКВЭД/ССЧР</t>
        </is>
      </c>
      <c r="V5678" s="35" t="inlineStr">
        <is>
          <t>Не определено</t>
        </is>
      </c>
      <c r="W5678" s="35" t="inlineStr"/>
      <c r="X5678" s="35" t="inlineStr"/>
    </row>
    <row r="5679" ht="27.75" customHeight="1" s="24">
      <c r="A5679" s="13" t="n">
        <v>800232856</v>
      </c>
      <c r="B5679" s="13" t="inlineStr">
        <is>
          <t>ФГУ «Иркутская региональная поисково-спасательная база»</t>
        </is>
      </c>
      <c r="C5679" s="13" t="n">
        <v>3811072770</v>
      </c>
      <c r="D5679" s="13" t="inlineStr">
        <is>
          <t>3811072770</t>
        </is>
      </c>
      <c r="E5679" s="13" t="inlineStr">
        <is>
          <t>ЮЛ РФ</t>
        </is>
      </c>
      <c r="F5679" s="13" t="n"/>
      <c r="G5679" s="14" t="n"/>
      <c r="H5679" s="14" t="n"/>
      <c r="I5679" s="14" t="n"/>
      <c r="J5679" s="14" t="n"/>
      <c r="K5679" s="53" t="inlineStr"/>
      <c r="L5679" s="53" t="inlineStr">
        <is>
          <t>Не определено</t>
        </is>
      </c>
      <c r="M5679" s="53" t="inlineStr"/>
      <c r="N5679" s="54" t="inlineStr"/>
      <c r="O5679" s="55" t="inlineStr"/>
      <c r="P5679" s="16" t="inlineStr">
        <is>
          <t>Требует обогащения</t>
        </is>
      </c>
      <c r="Q5679" s="16">
        <f>HYPERLINK("https://pb.nalog.ru/search.html?query=3811072770","ФНС: проверить")</f>
        <v/>
      </c>
      <c r="R5679" s="16">
        <f>HYPERLINK("https://checko.ru/search?query=3801001629","Чекко: проверить")</f>
        <v/>
      </c>
      <c r="S5679" t="n">
        <v>1</v>
      </c>
      <c r="T5679" s="35" t="inlineStr">
        <is>
          <t>4 — Не обогащён</t>
        </is>
      </c>
      <c r="U5679" s="35" t="inlineStr">
        <is>
          <t>Нет ОКВЭД/ССЧР</t>
        </is>
      </c>
      <c r="V5679" s="35" t="inlineStr">
        <is>
          <t>Не определено</t>
        </is>
      </c>
      <c r="W5679" s="35" t="inlineStr"/>
      <c r="X5679" s="35" t="inlineStr"/>
    </row>
    <row r="5680" ht="27.75" customHeight="1" s="24">
      <c r="A5680" s="13" t="n">
        <v>800128350</v>
      </c>
      <c r="B5680" s="13" t="inlineStr">
        <is>
          <t>МУК "Братский городской объединенный музей истории освоения Ангар</t>
        </is>
      </c>
      <c r="C5680" s="13" t="n">
        <v>3804013975</v>
      </c>
      <c r="D5680" s="13" t="inlineStr">
        <is>
          <t>3804013975</t>
        </is>
      </c>
      <c r="E5680" s="13" t="inlineStr">
        <is>
          <t>ЮЛ РФ</t>
        </is>
      </c>
      <c r="F5680" s="13" t="n"/>
      <c r="G5680" s="14" t="n"/>
      <c r="H5680" s="14" t="n"/>
      <c r="I5680" s="14" t="n"/>
      <c r="J5680" s="14" t="n"/>
      <c r="K5680" s="53" t="inlineStr"/>
      <c r="L5680" s="53" t="inlineStr">
        <is>
          <t>Не определено</t>
        </is>
      </c>
      <c r="M5680" s="53" t="inlineStr"/>
      <c r="N5680" s="54" t="inlineStr"/>
      <c r="O5680" s="55" t="inlineStr"/>
      <c r="P5680" s="16" t="inlineStr">
        <is>
          <t>Требует обогащения</t>
        </is>
      </c>
      <c r="Q5680" s="16">
        <f>HYPERLINK("https://pb.nalog.ru/search.html?query=3804013975","ФНС: проверить")</f>
        <v/>
      </c>
      <c r="R5680" s="16">
        <f>HYPERLINK("https://checko.ru/search?query=3801001629","Чекко: проверить")</f>
        <v/>
      </c>
      <c r="S5680" t="n">
        <v>1</v>
      </c>
      <c r="T5680" s="35" t="inlineStr">
        <is>
          <t>4 — Не обогащён</t>
        </is>
      </c>
      <c r="U5680" s="35" t="inlineStr">
        <is>
          <t>Нет ОКВЭД/ССЧР</t>
        </is>
      </c>
      <c r="V5680" s="35" t="inlineStr">
        <is>
          <t>Не определено</t>
        </is>
      </c>
      <c r="W5680" s="35" t="inlineStr"/>
      <c r="X5680" s="35" t="inlineStr"/>
    </row>
    <row r="5681" ht="15" customHeight="1" s="24">
      <c r="A5681" s="13" t="n">
        <v>800127938</v>
      </c>
      <c r="B5681" s="13" t="inlineStr">
        <is>
          <t>АМО Усть-Бюрский сельсовет</t>
        </is>
      </c>
      <c r="C5681" s="13" t="n">
        <v>1910009840</v>
      </c>
      <c r="D5681" s="13" t="inlineStr">
        <is>
          <t>1910009840</t>
        </is>
      </c>
      <c r="E5681" s="13" t="inlineStr">
        <is>
          <t>ЮЛ РФ</t>
        </is>
      </c>
      <c r="F5681" s="13" t="n"/>
      <c r="G5681" s="14" t="n"/>
      <c r="H5681" s="14" t="n"/>
      <c r="I5681" s="14" t="n"/>
      <c r="J5681" s="14" t="n"/>
      <c r="K5681" s="53" t="inlineStr"/>
      <c r="L5681" s="53" t="inlineStr">
        <is>
          <t>Не определено</t>
        </is>
      </c>
      <c r="M5681" s="53" t="inlineStr"/>
      <c r="N5681" s="54" t="inlineStr"/>
      <c r="O5681" s="55" t="inlineStr"/>
      <c r="P5681" s="16" t="inlineStr">
        <is>
          <t>Требует обогащения</t>
        </is>
      </c>
      <c r="Q5681" s="16">
        <f>HYPERLINK("https://pb.nalog.ru/search.html?query=1910009840","ФНС: проверить")</f>
        <v/>
      </c>
      <c r="R5681" s="16">
        <f>HYPERLINK("https://checko.ru/search?query=3801001629","Чекко: проверить")</f>
        <v/>
      </c>
      <c r="S5681" t="n">
        <v>1</v>
      </c>
      <c r="T5681" s="35" t="inlineStr">
        <is>
          <t>4 — Не обогащён</t>
        </is>
      </c>
      <c r="U5681" s="35" t="inlineStr">
        <is>
          <t>Нет ОКВЭД/ССЧР</t>
        </is>
      </c>
      <c r="V5681" s="35" t="inlineStr">
        <is>
          <t>Не определено</t>
        </is>
      </c>
      <c r="W5681" s="35" t="inlineStr"/>
      <c r="X5681" s="35" t="inlineStr"/>
    </row>
    <row r="5682" ht="27.75" customHeight="1" s="24">
      <c r="A5682" s="13" t="n">
        <v>800152277</v>
      </c>
      <c r="B5682" s="13" t="inlineStr">
        <is>
          <t>МКУ «Управление образования» муниципального образования «Боханский район»</t>
        </is>
      </c>
      <c r="C5682" s="13" t="n">
        <v>3849014640</v>
      </c>
      <c r="D5682" s="13" t="inlineStr">
        <is>
          <t>3849014640</t>
        </is>
      </c>
      <c r="E5682" s="13" t="inlineStr">
        <is>
          <t>ЮЛ РФ</t>
        </is>
      </c>
      <c r="F5682" s="13" t="n"/>
      <c r="G5682" s="14" t="n"/>
      <c r="H5682" s="14" t="n"/>
      <c r="I5682" s="14" t="n"/>
      <c r="J5682" s="14" t="n"/>
      <c r="K5682" s="53" t="inlineStr"/>
      <c r="L5682" s="53" t="inlineStr">
        <is>
          <t>Не определено</t>
        </is>
      </c>
      <c r="M5682" s="53" t="inlineStr"/>
      <c r="N5682" s="54" t="inlineStr"/>
      <c r="O5682" s="55" t="inlineStr"/>
      <c r="P5682" s="16" t="inlineStr">
        <is>
          <t>Требует обогащения</t>
        </is>
      </c>
      <c r="Q5682" s="16">
        <f>HYPERLINK("https://pb.nalog.ru/search.html?query=3849014640","ФНС: проверить")</f>
        <v/>
      </c>
      <c r="R5682" s="16">
        <f>HYPERLINK("https://checko.ru/search?query=3801001629","Чекко: проверить")</f>
        <v/>
      </c>
      <c r="S5682" t="n">
        <v>1</v>
      </c>
      <c r="T5682" s="35" t="inlineStr">
        <is>
          <t>4 — Не обогащён</t>
        </is>
      </c>
      <c r="U5682" s="35" t="inlineStr">
        <is>
          <t>Нет ОКВЭД/ССЧР</t>
        </is>
      </c>
      <c r="V5682" s="35" t="inlineStr">
        <is>
          <t>Не определено</t>
        </is>
      </c>
      <c r="W5682" s="35" t="inlineStr"/>
      <c r="X5682" s="35" t="inlineStr"/>
    </row>
    <row r="5683" ht="54.75" customHeight="1" s="24">
      <c r="A5683" s="13" t="n">
        <v>800124646</v>
      </c>
      <c r="B5683" s="13" t="inlineStr">
        <is>
          <t>МУНИЦИПАЛЬНОЕ КАЗЕННОЕ УЧРЕЖДЕНИЕ "БРАТСКИЙ ГОРОДСКОЙ ЛЕСХОЗ" МУНИЦИПАЛЬНОГО ОБРАЗОВАНИЯ ГОРОДА БРАТСКА</t>
        </is>
      </c>
      <c r="C5683" s="13" t="n">
        <v>3805700674</v>
      </c>
      <c r="D5683" s="13" t="inlineStr">
        <is>
          <t>3805700674</t>
        </is>
      </c>
      <c r="E5683" s="13" t="inlineStr">
        <is>
          <t>ЮЛ РФ</t>
        </is>
      </c>
      <c r="F5683" s="13" t="n"/>
      <c r="G5683" s="14" t="n"/>
      <c r="H5683" s="14" t="n"/>
      <c r="I5683" s="14" t="n"/>
      <c r="J5683" s="14" t="n"/>
      <c r="K5683" s="53" t="inlineStr"/>
      <c r="L5683" s="53" t="inlineStr">
        <is>
          <t>Не определено</t>
        </is>
      </c>
      <c r="M5683" s="53" t="inlineStr"/>
      <c r="N5683" s="54" t="inlineStr"/>
      <c r="O5683" s="55" t="inlineStr"/>
      <c r="P5683" s="16" t="inlineStr">
        <is>
          <t>Требует обогащения</t>
        </is>
      </c>
      <c r="Q5683" s="16">
        <f>HYPERLINK("https://pb.nalog.ru/search.html?query=3805700674","ФНС: проверить")</f>
        <v/>
      </c>
      <c r="R5683" s="16">
        <f>HYPERLINK("https://checko.ru/search?query=3801001629","Чекко: проверить")</f>
        <v/>
      </c>
      <c r="S5683" t="n">
        <v>1</v>
      </c>
      <c r="T5683" s="35" t="inlineStr">
        <is>
          <t>4 — Не обогащён</t>
        </is>
      </c>
      <c r="U5683" s="35" t="inlineStr">
        <is>
          <t>Нет ОКВЭД/ССЧР</t>
        </is>
      </c>
      <c r="V5683" s="35" t="inlineStr">
        <is>
          <t>Не определено</t>
        </is>
      </c>
      <c r="W5683" s="35" t="inlineStr"/>
      <c r="X5683" s="35" t="inlineStr"/>
    </row>
    <row r="5684" ht="15" customHeight="1" s="24">
      <c r="A5684" s="13" t="n">
        <v>801105549</v>
      </c>
      <c r="B5684" s="13" t="inlineStr">
        <is>
          <t>СКЦ МО «Олонки»</t>
        </is>
      </c>
      <c r="C5684" s="13" t="n">
        <v>3849012467</v>
      </c>
      <c r="D5684" s="13" t="inlineStr">
        <is>
          <t>3849012467</t>
        </is>
      </c>
      <c r="E5684" s="13" t="inlineStr">
        <is>
          <t>ЮЛ РФ</t>
        </is>
      </c>
      <c r="F5684" s="13" t="n"/>
      <c r="G5684" s="14" t="n"/>
      <c r="H5684" s="14" t="n"/>
      <c r="I5684" s="14" t="n"/>
      <c r="J5684" s="14" t="n"/>
      <c r="K5684" s="53" t="inlineStr"/>
      <c r="L5684" s="53" t="inlineStr">
        <is>
          <t>Не определено</t>
        </is>
      </c>
      <c r="M5684" s="53" t="inlineStr"/>
      <c r="N5684" s="54" t="inlineStr"/>
      <c r="O5684" s="55" t="inlineStr"/>
      <c r="P5684" s="16" t="inlineStr">
        <is>
          <t>Требует обогащения</t>
        </is>
      </c>
      <c r="Q5684" s="16">
        <f>HYPERLINK("https://pb.nalog.ru/search.html?query=3849012467","ФНС: проверить")</f>
        <v/>
      </c>
      <c r="R5684" s="16">
        <f>HYPERLINK("https://checko.ru/search?query=3801001629","Чекко: проверить")</f>
        <v/>
      </c>
      <c r="S5684" t="n">
        <v>1</v>
      </c>
      <c r="T5684" s="35" t="inlineStr">
        <is>
          <t>4 — Не обогащён</t>
        </is>
      </c>
      <c r="U5684" s="35" t="inlineStr">
        <is>
          <t>Нет ОКВЭД/ССЧР</t>
        </is>
      </c>
      <c r="V5684" s="35" t="inlineStr">
        <is>
          <t>Не определено</t>
        </is>
      </c>
      <c r="W5684" s="35" t="inlineStr"/>
      <c r="X5684" s="35" t="inlineStr"/>
    </row>
    <row r="5685" ht="27.75" customHeight="1" s="24">
      <c r="A5685" s="13" t="n">
        <v>800223742</v>
      </c>
      <c r="B5685" s="13" t="inlineStr">
        <is>
          <t>ФГБОУ ВО "Иркутский государственный университет"</t>
        </is>
      </c>
      <c r="C5685" s="13" t="n">
        <v>3808013278</v>
      </c>
      <c r="D5685" s="13" t="inlineStr">
        <is>
          <t>3808013278</t>
        </is>
      </c>
      <c r="E5685" s="13" t="inlineStr">
        <is>
          <t>ЮЛ РФ</t>
        </is>
      </c>
      <c r="F5685" s="13" t="n"/>
      <c r="G5685" s="14" t="n"/>
      <c r="H5685" s="14" t="n"/>
      <c r="I5685" s="14" t="n"/>
      <c r="J5685" s="14" t="n"/>
      <c r="K5685" s="53" t="inlineStr"/>
      <c r="L5685" s="53" t="inlineStr">
        <is>
          <t>Не определено</t>
        </is>
      </c>
      <c r="M5685" s="53" t="inlineStr"/>
      <c r="N5685" s="54" t="inlineStr"/>
      <c r="O5685" s="55" t="inlineStr"/>
      <c r="P5685" s="16" t="inlineStr">
        <is>
          <t>Требует обогащения</t>
        </is>
      </c>
      <c r="Q5685" s="16">
        <f>HYPERLINK("https://pb.nalog.ru/search.html?query=3808013278","ФНС: проверить")</f>
        <v/>
      </c>
      <c r="R5685" s="16">
        <f>HYPERLINK("https://checko.ru/search?query=3801001629","Чекко: проверить")</f>
        <v/>
      </c>
      <c r="S5685" t="n">
        <v>1</v>
      </c>
      <c r="T5685" s="35" t="inlineStr">
        <is>
          <t>4 — Не обогащён</t>
        </is>
      </c>
      <c r="U5685" s="35" t="inlineStr">
        <is>
          <t>Нет ОКВЭД/ССЧР</t>
        </is>
      </c>
      <c r="V5685" s="35" t="inlineStr">
        <is>
          <t>Не определено</t>
        </is>
      </c>
      <c r="W5685" s="35" t="inlineStr"/>
      <c r="X5685" s="35" t="inlineStr"/>
    </row>
    <row r="5686" ht="68.25" customHeight="1" s="24">
      <c r="A5686" s="13" t="n">
        <v>802685291</v>
      </c>
      <c r="B5686" s="13" t="inlineStr">
        <is>
          <t>ГОСУДАРСТВЕННОЕ БЮДЖЕТНОЕ УЧРЕЖДЕНИЕ АМУРСКОЙ ОБЛАСТИ "СТАНЦИЯ ПО БОРЬБЕ С БОЛЕЗНЯМИ ЖИВОТНЫХ ПО ОКТЯБРЬСКОМУ РАЙОНУ И АРХАРИНСКОМУ МУНИЦИПАЛЬНОМУ ОКР</t>
        </is>
      </c>
      <c r="C5686" s="13" t="n">
        <v>2827010584</v>
      </c>
      <c r="D5686" s="13" t="inlineStr">
        <is>
          <t>2827010584</t>
        </is>
      </c>
      <c r="E5686" s="13" t="inlineStr">
        <is>
          <t>ЮЛ РФ</t>
        </is>
      </c>
      <c r="F5686" s="13" t="n"/>
      <c r="G5686" s="14" t="n"/>
      <c r="H5686" s="14" t="n"/>
      <c r="I5686" s="14" t="n"/>
      <c r="J5686" s="14" t="n"/>
      <c r="K5686" s="53" t="inlineStr"/>
      <c r="L5686" s="53" t="inlineStr">
        <is>
          <t>Не определено</t>
        </is>
      </c>
      <c r="M5686" s="53" t="inlineStr"/>
      <c r="N5686" s="54" t="inlineStr"/>
      <c r="O5686" s="55" t="inlineStr"/>
      <c r="P5686" s="16" t="inlineStr">
        <is>
          <t>Требует обогащения</t>
        </is>
      </c>
      <c r="Q5686" s="16">
        <f>HYPERLINK("https://pb.nalog.ru/search.html?query=2827010584","ФНС: проверить")</f>
        <v/>
      </c>
      <c r="R5686" s="16">
        <f>HYPERLINK("https://checko.ru/search?query=3801001629","Чекко: проверить")</f>
        <v/>
      </c>
      <c r="S5686" t="n">
        <v>1</v>
      </c>
      <c r="T5686" s="35" t="inlineStr">
        <is>
          <t>4 — Не обогащён</t>
        </is>
      </c>
      <c r="U5686" s="35" t="inlineStr">
        <is>
          <t>Нет ОКВЭД/ССЧР</t>
        </is>
      </c>
      <c r="V5686" s="35" t="inlineStr">
        <is>
          <t>Не определено</t>
        </is>
      </c>
      <c r="W5686" s="35" t="inlineStr"/>
      <c r="X5686" s="35" t="inlineStr"/>
    </row>
    <row r="5687" ht="15" customHeight="1" s="24">
      <c r="A5687" s="13" t="n">
        <v>800229463</v>
      </c>
      <c r="B5687" s="13" t="inlineStr">
        <is>
          <t>ФИЦ ЕГС РАН</t>
        </is>
      </c>
      <c r="C5687" s="13" t="n">
        <v>4025040355</v>
      </c>
      <c r="D5687" s="13" t="inlineStr">
        <is>
          <t>4025040355</t>
        </is>
      </c>
      <c r="E5687" s="13" t="inlineStr">
        <is>
          <t>ЮЛ РФ</t>
        </is>
      </c>
      <c r="F5687" s="13" t="n"/>
      <c r="G5687" s="14" t="n"/>
      <c r="H5687" s="14" t="n"/>
      <c r="I5687" s="14" t="n"/>
      <c r="J5687" s="14" t="n"/>
      <c r="K5687" s="53" t="inlineStr"/>
      <c r="L5687" s="53" t="inlineStr">
        <is>
          <t>Не определено</t>
        </is>
      </c>
      <c r="M5687" s="53" t="inlineStr"/>
      <c r="N5687" s="54" t="inlineStr"/>
      <c r="O5687" s="55" t="inlineStr"/>
      <c r="P5687" s="16" t="inlineStr">
        <is>
          <t>Требует обогащения</t>
        </is>
      </c>
      <c r="Q5687" s="16">
        <f>HYPERLINK("https://pb.nalog.ru/search.html?query=4025040355","ФНС: проверить")</f>
        <v/>
      </c>
      <c r="R5687" s="16">
        <f>HYPERLINK("https://checko.ru/search?query=3801001629","Чекко: проверить")</f>
        <v/>
      </c>
      <c r="S5687" t="n">
        <v>1</v>
      </c>
      <c r="T5687" s="35" t="inlineStr">
        <is>
          <t>4 — Не обогащён</t>
        </is>
      </c>
      <c r="U5687" s="35" t="inlineStr">
        <is>
          <t>Нет ОКВЭД/ССЧР</t>
        </is>
      </c>
      <c r="V5687" s="35" t="inlineStr">
        <is>
          <t>Не определено</t>
        </is>
      </c>
      <c r="W5687" s="35" t="inlineStr"/>
      <c r="X5687" s="35" t="inlineStr"/>
    </row>
    <row r="5688" ht="15" customHeight="1" s="24">
      <c r="A5688" s="13" t="n">
        <v>802685329</v>
      </c>
      <c r="B5688" s="13" t="inlineStr">
        <is>
          <t>Свободненская РСББЖ</t>
        </is>
      </c>
      <c r="C5688" s="13" t="n">
        <v>2807011950</v>
      </c>
      <c r="D5688" s="13" t="inlineStr">
        <is>
          <t>2807011950</t>
        </is>
      </c>
      <c r="E5688" s="13" t="inlineStr">
        <is>
          <t>ЮЛ РФ</t>
        </is>
      </c>
      <c r="F5688" s="13" t="n"/>
      <c r="G5688" s="14" t="n"/>
      <c r="H5688" s="14" t="n"/>
      <c r="I5688" s="14" t="n"/>
      <c r="J5688" s="14" t="n"/>
      <c r="K5688" s="53" t="inlineStr"/>
      <c r="L5688" s="53" t="inlineStr">
        <is>
          <t>Не определено</t>
        </is>
      </c>
      <c r="M5688" s="53" t="inlineStr"/>
      <c r="N5688" s="54" t="inlineStr"/>
      <c r="O5688" s="55" t="inlineStr"/>
      <c r="P5688" s="16" t="inlineStr">
        <is>
          <t>Требует обогащения</t>
        </is>
      </c>
      <c r="Q5688" s="16">
        <f>HYPERLINK("https://pb.nalog.ru/search.html?query=2807011950","ФНС: проверить")</f>
        <v/>
      </c>
      <c r="R5688" s="16">
        <f>HYPERLINK("https://checko.ru/search?query=3801001629","Чекко: проверить")</f>
        <v/>
      </c>
      <c r="S5688" t="n">
        <v>1</v>
      </c>
      <c r="T5688" s="35" t="inlineStr">
        <is>
          <t>4 — Не обогащён</t>
        </is>
      </c>
      <c r="U5688" s="35" t="inlineStr">
        <is>
          <t>Нет ОКВЭД/ССЧР</t>
        </is>
      </c>
      <c r="V5688" s="35" t="inlineStr">
        <is>
          <t>Не определено</t>
        </is>
      </c>
      <c r="W5688" s="35" t="inlineStr"/>
      <c r="X5688" s="35" t="inlineStr"/>
    </row>
    <row r="5689" ht="27.75" customHeight="1" s="24">
      <c r="A5689" s="13" t="n">
        <v>9666393</v>
      </c>
      <c r="B5689" s="13" t="inlineStr">
        <is>
          <t>Администрация Усть-Кутского муниципального образования</t>
        </is>
      </c>
      <c r="C5689" s="13" t="n">
        <v>3818009263</v>
      </c>
      <c r="D5689" s="13" t="inlineStr">
        <is>
          <t>3818009263</t>
        </is>
      </c>
      <c r="E5689" s="13" t="inlineStr">
        <is>
          <t>ЮЛ РФ</t>
        </is>
      </c>
      <c r="F5689" s="13" t="n"/>
      <c r="G5689" s="14" t="n"/>
      <c r="H5689" s="14" t="n"/>
      <c r="I5689" s="14" t="n"/>
      <c r="J5689" s="14" t="n"/>
      <c r="K5689" s="53" t="inlineStr"/>
      <c r="L5689" s="53" t="inlineStr">
        <is>
          <t>Не определено</t>
        </is>
      </c>
      <c r="M5689" s="53" t="inlineStr"/>
      <c r="N5689" s="54" t="inlineStr"/>
      <c r="O5689" s="55" t="inlineStr"/>
      <c r="P5689" s="16" t="inlineStr">
        <is>
          <t>Требует обогащения</t>
        </is>
      </c>
      <c r="Q5689" s="16">
        <f>HYPERLINK("https://pb.nalog.ru/search.html?query=3818009263","ФНС: проверить")</f>
        <v/>
      </c>
      <c r="R5689" s="16">
        <f>HYPERLINK("https://checko.ru/search?query=3801001629","Чекко: проверить")</f>
        <v/>
      </c>
      <c r="S5689" t="n">
        <v>1</v>
      </c>
      <c r="T5689" s="35" t="inlineStr">
        <is>
          <t>4 — Не обогащён</t>
        </is>
      </c>
      <c r="U5689" s="35" t="inlineStr">
        <is>
          <t>Нет ОКВЭД/ССЧР</t>
        </is>
      </c>
      <c r="V5689" s="35" t="inlineStr">
        <is>
          <t>Не определено</t>
        </is>
      </c>
      <c r="W5689" s="35" t="inlineStr"/>
      <c r="X5689" s="35" t="inlineStr"/>
    </row>
    <row r="5690" ht="68.25" customHeight="1" s="24">
      <c r="A5690" s="13" t="n">
        <v>800161991</v>
      </c>
      <c r="B5690" s="13" t="inlineStr">
        <is>
          <t>ФЕДЕРАЛЬНОЕ ГОСУДАРСТВЕННОЕ БЮДЖЕТНОЕ УЧРЕЖДЕНИЕ ДОПОЛНИТЕЛЬНОГО ПРОФЕССИОНАЛЬНОГО ОБРАЗОВАНИЯ "УЧЕБНО-МЕТОДИЧЕСКИЙ ЦЕНТР ПО ОБРАЗОВАНИЮ НА ЖЕЛЕЗНОДОР</t>
        </is>
      </c>
      <c r="C5690" s="13" t="n">
        <v>7717087897</v>
      </c>
      <c r="D5690" s="13" t="inlineStr">
        <is>
          <t>7717087897</t>
        </is>
      </c>
      <c r="E5690" s="13" t="inlineStr">
        <is>
          <t>ЮЛ РФ</t>
        </is>
      </c>
      <c r="F5690" s="13" t="n"/>
      <c r="G5690" s="14" t="n"/>
      <c r="H5690" s="14" t="n"/>
      <c r="I5690" s="14" t="n"/>
      <c r="J5690" s="14" t="n"/>
      <c r="K5690" s="53" t="inlineStr"/>
      <c r="L5690" s="53" t="inlineStr">
        <is>
          <t>Не определено</t>
        </is>
      </c>
      <c r="M5690" s="53" t="inlineStr"/>
      <c r="N5690" s="54" t="inlineStr"/>
      <c r="O5690" s="55" t="inlineStr"/>
      <c r="P5690" s="16" t="inlineStr">
        <is>
          <t>Требует обогащения</t>
        </is>
      </c>
      <c r="Q5690" s="16">
        <f>HYPERLINK("https://pb.nalog.ru/search.html?query=7717087897","ФНС: проверить")</f>
        <v/>
      </c>
      <c r="R5690" s="16">
        <f>HYPERLINK("https://checko.ru/search?query=3801001629","Чекко: проверить")</f>
        <v/>
      </c>
      <c r="S5690" t="n">
        <v>1</v>
      </c>
      <c r="T5690" s="35" t="inlineStr">
        <is>
          <t>4 — Не обогащён</t>
        </is>
      </c>
      <c r="U5690" s="35" t="inlineStr">
        <is>
          <t>Нет ОКВЭД/ССЧР</t>
        </is>
      </c>
      <c r="V5690" s="35" t="inlineStr">
        <is>
          <t>Не определено</t>
        </is>
      </c>
      <c r="W5690" s="35" t="inlineStr"/>
      <c r="X5690" s="35" t="inlineStr"/>
    </row>
    <row r="5691" ht="15" customHeight="1" s="24">
      <c r="A5691" s="13" t="n">
        <v>801121787</v>
      </c>
      <c r="B5691" s="13" t="inlineStr">
        <is>
          <t>ФГБУ СЭУ ФПС ИПЛ по Красноярскому краю</t>
        </is>
      </c>
      <c r="C5691" s="13" t="n">
        <v>2465099170</v>
      </c>
      <c r="D5691" s="13" t="inlineStr">
        <is>
          <t>2465099170</t>
        </is>
      </c>
      <c r="E5691" s="13" t="inlineStr">
        <is>
          <t>ЮЛ РФ</t>
        </is>
      </c>
      <c r="F5691" s="13" t="n"/>
      <c r="G5691" s="14" t="n"/>
      <c r="H5691" s="14" t="n"/>
      <c r="I5691" s="14" t="n"/>
      <c r="J5691" s="14" t="n"/>
      <c r="K5691" s="53" t="inlineStr"/>
      <c r="L5691" s="53" t="inlineStr">
        <is>
          <t>Не определено</t>
        </is>
      </c>
      <c r="M5691" s="53" t="inlineStr"/>
      <c r="N5691" s="54" t="inlineStr"/>
      <c r="O5691" s="55" t="inlineStr"/>
      <c r="P5691" s="16" t="inlineStr">
        <is>
          <t>Требует обогащения</t>
        </is>
      </c>
      <c r="Q5691" s="16">
        <f>HYPERLINK("https://pb.nalog.ru/search.html?query=2465099170","ФНС: проверить")</f>
        <v/>
      </c>
      <c r="R5691" s="16">
        <f>HYPERLINK("https://checko.ru/search?query=3801001629","Чекко: проверить")</f>
        <v/>
      </c>
      <c r="S5691" t="n">
        <v>1</v>
      </c>
      <c r="T5691" s="35" t="inlineStr">
        <is>
          <t>4 — Не обогащён</t>
        </is>
      </c>
      <c r="U5691" s="35" t="inlineStr">
        <is>
          <t>Нет ОКВЭД/ССЧР</t>
        </is>
      </c>
      <c r="V5691" s="35" t="inlineStr">
        <is>
          <t>Не определено</t>
        </is>
      </c>
      <c r="W5691" s="35" t="inlineStr"/>
      <c r="X5691" s="35" t="inlineStr"/>
    </row>
    <row r="5692" ht="15" customHeight="1" s="24">
      <c r="A5692" s="13" t="n">
        <v>801102092</v>
      </c>
      <c r="B5692" s="13" t="inlineStr">
        <is>
          <t>КСК Казачинско-Ленского муниципального района</t>
        </is>
      </c>
      <c r="C5692" s="13" t="n">
        <v>3818030970</v>
      </c>
      <c r="D5692" s="13" t="inlineStr">
        <is>
          <t>3818030970</t>
        </is>
      </c>
      <c r="E5692" s="13" t="inlineStr">
        <is>
          <t>ЮЛ РФ</t>
        </is>
      </c>
      <c r="F5692" s="13" t="n"/>
      <c r="G5692" s="14" t="n"/>
      <c r="H5692" s="14" t="n"/>
      <c r="I5692" s="14" t="n"/>
      <c r="J5692" s="14" t="n"/>
      <c r="K5692" s="53" t="inlineStr"/>
      <c r="L5692" s="53" t="inlineStr">
        <is>
          <t>Не определено</t>
        </is>
      </c>
      <c r="M5692" s="53" t="inlineStr"/>
      <c r="N5692" s="54" t="inlineStr"/>
      <c r="O5692" s="55" t="inlineStr"/>
      <c r="P5692" s="16" t="inlineStr">
        <is>
          <t>Требует обогащения</t>
        </is>
      </c>
      <c r="Q5692" s="16">
        <f>HYPERLINK("https://pb.nalog.ru/search.html?query=3818030970","ФНС: проверить")</f>
        <v/>
      </c>
      <c r="R5692" s="16">
        <f>HYPERLINK("https://checko.ru/search?query=3801001629","Чекко: проверить")</f>
        <v/>
      </c>
      <c r="S5692" t="n">
        <v>1</v>
      </c>
      <c r="T5692" s="35" t="inlineStr">
        <is>
          <t>4 — Не обогащён</t>
        </is>
      </c>
      <c r="U5692" s="35" t="inlineStr">
        <is>
          <t>Нет ОКВЭД/ССЧР</t>
        </is>
      </c>
      <c r="V5692" s="35" t="inlineStr">
        <is>
          <t>Не определено</t>
        </is>
      </c>
      <c r="W5692" s="35" t="inlineStr"/>
      <c r="X5692" s="35" t="inlineStr"/>
    </row>
    <row r="5693" ht="27.75" customHeight="1" s="24">
      <c r="A5693" s="13" t="n">
        <v>9591763</v>
      </c>
      <c r="B5693" s="13" t="inlineStr">
        <is>
          <t>Корпоративный учебно-исследовательский центр ОАО "Иркутскэнерго"- ИрГТУ</t>
        </is>
      </c>
      <c r="C5693" s="13" t="n"/>
      <c r="D5693" s="13" t="n"/>
      <c r="E5693" s="13" t="inlineStr">
        <is>
          <t>Не определён</t>
        </is>
      </c>
      <c r="F5693" s="13" t="n"/>
      <c r="G5693" s="14" t="n"/>
      <c r="H5693" s="14" t="n"/>
      <c r="I5693" s="14" t="n"/>
      <c r="J5693" s="14" t="n"/>
      <c r="K5693" s="13">
        <f>IF(G5693="","",IF(G5693&gt;=22,"Да","Нет"))</f>
        <v/>
      </c>
      <c r="L5693" s="13">
        <f>IF(OR(I5693="",J5693=""),"Не определено",IF(OR(COUNTIF(I5693,"45*")&gt;0,COUNTIF(J5693,"*45*")&gt;0,COUNTIF(I5693,"46*")&gt;0,COUNTIF(J5693,"*46*")&gt;0,COUNTIF(I5693,"47*")&gt;0,COUNTIF(J5693,"*47*")&gt;0,COUNTIF(I5693,"10*")&gt;0,COUNTIF(J5693,"*10*")&gt;0,COUNTIF(I5693,"11*")&gt;0,COUNTIF(J5693,"*11*")&gt;0,COUNTIF(I5693,"12*")&gt;0,COUNTIF(J5693,"*12*")&gt;0,COUNTIF(I5693,"13*")&gt;0,COUNTIF(J5693,"*13*")&gt;0,COUNTIF(I5693,"14*")&gt;0,COUNTIF(J5693,"*14*")&gt;0,COUNTIF(I5693,"15*")&gt;0,COUNTIF(J5693,"*15*")&gt;0,COUNTIF(I5693,"16*")&gt;0,COUNTIF(J5693,"*16*")&gt;0,COUNTIF(I5693,"17*")&gt;0,COUNTIF(J5693,"*17*")&gt;0,COUNTIF(I5693,"18*")&gt;0,COUNTIF(J5693,"*18*")&gt;0,COUNTIF(I5693,"19*")&gt;0,COUNTIF(J5693,"*19*")&gt;0,COUNTIF(I5693,"20*")&gt;0,COUNTIF(J5693,"*20*")&gt;0,COUNTIF(I5693,"21*")&gt;0,COUNTIF(J5693,"*21*")&gt;0,COUNTIF(I5693,"22*")&gt;0,COUNTIF(J5693,"*22*")&gt;0,COUNTIF(I5693,"23*")&gt;0,COUNTIF(J5693,"*23*")&gt;0,COUNTIF(I5693,"24*")&gt;0,COUNTIF(J5693,"*24*")&gt;0,COUNTIF(I5693,"25*")&gt;0,COUNTIF(J5693,"*25*")&gt;0,COUNTIF(I5693,"26*")&gt;0,COUNTIF(J5693,"*26*")&gt;0,COUNTIF(I5693,"27*")&gt;0,COUNTIF(J5693,"*27*")&gt;0,COUNTIF(I5693,"28*")&gt;0,COUNTIF(J5693,"*28*")&gt;0,COUNTIF(I5693,"29*")&gt;0,COUNTIF(J5693,"*29*")&gt;0,COUNTIF(I5693,"30*")&gt;0,COUNTIF(J5693,"*30*")&gt;0,COUNTIF(I5693,"31*")&gt;0,COUNTIF(J5693,"*31*")&gt;0,COUNTIF(I5693,"32*")&gt;0,COUNTIF(J5693,"*32*")&gt;0,COUNTIF(I5693,"33*")&gt;0,COUNTIF(J5693,"*33*")&gt;0,COUNTIF(I5693,"41*")&gt;0,COUNTIF(J5693,"*41*")&gt;0,COUNTIF(I5693,"42*")&gt;0,COUNTIF(J5693,"*42*")&gt;0,COUNTIF(I5693,"43*")&gt;0,COUNTIF(J5693,"*43*")&gt;0,COUNTIF(I5693,"49*")&gt;0,COUNTIF(J5693,"*49*")&gt;0,COUNTIF(I5693,"52*")&gt;0,COUNTIF(J5693,"*52*")&gt;0,COUNTIF(I5693,"55*")&gt;0,COUNTIF(J5693,"*55*")&gt;0,COUNTIF(I5693,"56*")&gt;0,COUNTIF(J5693,"*56*")&gt;0,COUNTIF(I5693,"68*")&gt;0,COUNTIF(J5693,"*68*")&gt;0,COUNTIF(I5693,"78*")&gt;0,COUNTIF(J5693,"*78*")&gt;0,COUNTIF(I5693,"81*")&gt;0,COUNTIF(J5693,"*81*")&gt;0,COUNTIF(I5693,"82*")&gt;0,COUNTIF(J5693,"*82*")&gt;0,COUNTIF(I5693,"64*")&gt;0,COUNTIF(J5693,"*64*")&gt;0,COUNTIF(I5693,"65*")&gt;0,COUNTIF(J5693,"*65*")&gt;0,COUNTIF(I5693,"66*")&gt;0,COUNTIF(J5693,"*66*")&gt;0,COUNTIF(I5693,"61*")&gt;0,COUNTIF(J5693,"*61*")&gt;0,COUNTIF(I5693,"62*")&gt;0,COUNTIF(J5693,"*62*")&gt;0,COUNTIF(I5693,"63*")&gt;0,COUNTIF(J5693,"*63*")&gt;0,COUNTIF(I5693,"85*")&gt;0,COUNTIF(J5693,"*85*")&gt;0,COUNTIF(I5693,"86*")&gt;0,COUNTIF(J5693,"*86*")&gt;0),"Да","Нет"))</f>
        <v/>
      </c>
      <c r="M5693" s="13">
        <f>IF(OR(G5693="",L5693&lt;&gt;"Да"),"",IF(G5693&lt;=100,"До 100",IF(G5693&lt;=200,"До 200",IF(G5693&lt;=500,"До 500","Отдельное КП"))))</f>
        <v/>
      </c>
      <c r="N5693" s="15">
        <f>IF(OR(G5693="",L5693&lt;&gt;"Да"),"",IF(G5693&lt;=100,33600,IF(G5693&lt;=200,62400,IF(G5693&lt;=500,144000,""))))</f>
        <v/>
      </c>
      <c r="O5693" s="16">
        <f>IF(G5693="","",IF(G5693&lt;=15,"1–15",IF(G5693&lt;=30,"16–30",IF(G5693&lt;=50,"31–50",IF(G5693&lt;=100,"51–100",IF(G5693&lt;=150,"101–150",IF(G5693&lt;=200,"151–200",IF(G5693&lt;=500,"201–500","500+"))))))))</f>
        <v/>
      </c>
      <c r="P5693" s="16" t="inlineStr">
        <is>
          <t>Нет совпадения в предоставленной выгрузке ССЧР</t>
        </is>
      </c>
      <c r="Q5693" s="16" t="n"/>
      <c r="R5693" s="16">
        <f>HYPERLINK("https://checko.ru/search?query=3801001629","Чекко: проверить")</f>
        <v/>
      </c>
      <c r="S5693" t="n">
        <v>0</v>
      </c>
    </row>
    <row r="5694" ht="15" customHeight="1" s="24">
      <c r="A5694" s="13" t="n">
        <v>800124739</v>
      </c>
      <c r="B5694" s="13" t="inlineStr">
        <is>
          <t>ЧУКОТСКОЕ УГМС ФГБУ</t>
        </is>
      </c>
      <c r="C5694" s="13" t="n">
        <v>8706004308</v>
      </c>
      <c r="D5694" s="13" t="inlineStr">
        <is>
          <t>8706004308</t>
        </is>
      </c>
      <c r="E5694" s="13" t="inlineStr">
        <is>
          <t>ЮЛ РФ</t>
        </is>
      </c>
      <c r="F5694" s="13" t="n"/>
      <c r="G5694" s="14" t="n"/>
      <c r="H5694" s="14" t="n"/>
      <c r="I5694" s="14" t="n"/>
      <c r="J5694" s="14" t="n"/>
      <c r="K5694" s="53" t="inlineStr"/>
      <c r="L5694" s="53" t="inlineStr">
        <is>
          <t>Не определено</t>
        </is>
      </c>
      <c r="M5694" s="53" t="inlineStr"/>
      <c r="N5694" s="54" t="inlineStr"/>
      <c r="O5694" s="55" t="inlineStr"/>
      <c r="P5694" s="16" t="inlineStr">
        <is>
          <t>Требует обогащения</t>
        </is>
      </c>
      <c r="Q5694" s="16">
        <f>HYPERLINK("https://pb.nalog.ru/search.html?query=8706004308","ФНС: проверить")</f>
        <v/>
      </c>
      <c r="R5694" s="16">
        <f>HYPERLINK("https://checko.ru/search?query=3801001629","Чекко: проверить")</f>
        <v/>
      </c>
      <c r="S5694" t="n">
        <v>1</v>
      </c>
      <c r="T5694" s="35" t="inlineStr">
        <is>
          <t>4 — Не обогащён</t>
        </is>
      </c>
      <c r="U5694" s="35" t="inlineStr">
        <is>
          <t>Нет ОКВЭД/ССЧР</t>
        </is>
      </c>
      <c r="V5694" s="35" t="inlineStr">
        <is>
          <t>Не определено</t>
        </is>
      </c>
      <c r="W5694" s="35" t="inlineStr"/>
      <c r="X5694" s="35" t="inlineStr"/>
    </row>
    <row r="5695" ht="15" customHeight="1" s="24">
      <c r="A5695" s="13" t="n">
        <v>801099202</v>
      </c>
      <c r="B5695" s="13" t="inlineStr">
        <is>
          <t>МБУ Аларского района Издательский дом "Аларь"</t>
        </is>
      </c>
      <c r="C5695" s="13" t="n">
        <v>8501004642</v>
      </c>
      <c r="D5695" s="13" t="inlineStr">
        <is>
          <t>8501004642</t>
        </is>
      </c>
      <c r="E5695" s="13" t="inlineStr">
        <is>
          <t>ЮЛ РФ</t>
        </is>
      </c>
      <c r="F5695" s="13" t="n"/>
      <c r="G5695" s="14" t="n"/>
      <c r="H5695" s="14" t="n"/>
      <c r="I5695" s="14" t="n"/>
      <c r="J5695" s="14" t="n"/>
      <c r="K5695" s="53" t="inlineStr"/>
      <c r="L5695" s="53" t="inlineStr">
        <is>
          <t>Не определено</t>
        </is>
      </c>
      <c r="M5695" s="53" t="inlineStr"/>
      <c r="N5695" s="54" t="inlineStr"/>
      <c r="O5695" s="55" t="inlineStr"/>
      <c r="P5695" s="16" t="inlineStr">
        <is>
          <t>Требует обогащения</t>
        </is>
      </c>
      <c r="Q5695" s="16">
        <f>HYPERLINK("https://pb.nalog.ru/search.html?query=8501004642","ФНС: проверить")</f>
        <v/>
      </c>
      <c r="R5695" s="16">
        <f>HYPERLINK("https://checko.ru/search?query=3801001629","Чекко: проверить")</f>
        <v/>
      </c>
      <c r="S5695" t="n">
        <v>1</v>
      </c>
      <c r="T5695" s="35" t="inlineStr">
        <is>
          <t>4 — Не обогащён</t>
        </is>
      </c>
      <c r="U5695" s="35" t="inlineStr">
        <is>
          <t>Нет ОКВЭД/ССЧР</t>
        </is>
      </c>
      <c r="V5695" s="35" t="inlineStr">
        <is>
          <t>Не определено</t>
        </is>
      </c>
      <c r="W5695" s="35" t="inlineStr"/>
      <c r="X5695" s="35" t="inlineStr"/>
    </row>
    <row r="5696" ht="41.25" customHeight="1" s="24">
      <c r="A5696" s="13" t="n">
        <v>802660549</v>
      </c>
      <c r="B5696" s="13" t="inlineStr">
        <is>
          <t>МУНИЦИПАЛЬНОЕ КАЗЁННОЕ УЧРЕЖДЕНИЕ "КУЛЬТУРНО-СПОРТИВНЫЙ ЦЕНТР "СИБИРЬ" ГОРОДА ТАЙШЕТА</t>
        </is>
      </c>
      <c r="C5696" s="13" t="n">
        <v>3816030005</v>
      </c>
      <c r="D5696" s="13" t="inlineStr">
        <is>
          <t>3816030005</t>
        </is>
      </c>
      <c r="E5696" s="13" t="inlineStr">
        <is>
          <t>ЮЛ РФ</t>
        </is>
      </c>
      <c r="F5696" s="13" t="n"/>
      <c r="G5696" s="14" t="n"/>
      <c r="H5696" s="14" t="n"/>
      <c r="I5696" s="14" t="n"/>
      <c r="J5696" s="14" t="n"/>
      <c r="K5696" s="53" t="inlineStr"/>
      <c r="L5696" s="53" t="inlineStr">
        <is>
          <t>Не определено</t>
        </is>
      </c>
      <c r="M5696" s="53" t="inlineStr"/>
      <c r="N5696" s="54" t="inlineStr"/>
      <c r="O5696" s="55" t="inlineStr"/>
      <c r="P5696" s="16" t="inlineStr">
        <is>
          <t>Требует обогащения</t>
        </is>
      </c>
      <c r="Q5696" s="16">
        <f>HYPERLINK("https://pb.nalog.ru/search.html?query=3816030005","ФНС: проверить")</f>
        <v/>
      </c>
      <c r="R5696" s="16">
        <f>HYPERLINK("https://checko.ru/search?query=3801001629","Чекко: проверить")</f>
        <v/>
      </c>
      <c r="S5696" t="n">
        <v>1</v>
      </c>
      <c r="T5696" s="35" t="inlineStr">
        <is>
          <t>4 — Не обогащён</t>
        </is>
      </c>
      <c r="U5696" s="35" t="inlineStr">
        <is>
          <t>Нет ОКВЭД/ССЧР</t>
        </is>
      </c>
      <c r="V5696" s="35" t="inlineStr">
        <is>
          <t>Не определено</t>
        </is>
      </c>
      <c r="W5696" s="35" t="inlineStr"/>
      <c r="X5696" s="35" t="inlineStr"/>
    </row>
    <row r="5697" ht="15" customHeight="1" s="24">
      <c r="A5697" s="13" t="n">
        <v>800130038</v>
      </c>
      <c r="B5697" s="13" t="inlineStr">
        <is>
          <t>ФКОУ НПО Профессиональное училище №338</t>
        </is>
      </c>
      <c r="C5697" s="13" t="n">
        <v>6501099633</v>
      </c>
      <c r="D5697" s="13" t="inlineStr">
        <is>
          <t>6501099633</t>
        </is>
      </c>
      <c r="E5697" s="13" t="inlineStr">
        <is>
          <t>ЮЛ РФ</t>
        </is>
      </c>
      <c r="F5697" s="13" t="n"/>
      <c r="G5697" s="14" t="n"/>
      <c r="H5697" s="14" t="n"/>
      <c r="I5697" s="14" t="n"/>
      <c r="J5697" s="14" t="n"/>
      <c r="K5697" s="53" t="inlineStr"/>
      <c r="L5697" s="53" t="inlineStr">
        <is>
          <t>Не определено</t>
        </is>
      </c>
      <c r="M5697" s="53" t="inlineStr"/>
      <c r="N5697" s="54" t="inlineStr"/>
      <c r="O5697" s="55" t="inlineStr"/>
      <c r="P5697" s="16" t="inlineStr">
        <is>
          <t>Требует обогащения</t>
        </is>
      </c>
      <c r="Q5697" s="16">
        <f>HYPERLINK("https://pb.nalog.ru/search.html?query=6501099633","ФНС: проверить")</f>
        <v/>
      </c>
      <c r="R5697" s="16">
        <f>HYPERLINK("https://checko.ru/search?query=3801001629","Чекко: проверить")</f>
        <v/>
      </c>
      <c r="S5697" t="n">
        <v>1</v>
      </c>
      <c r="T5697" s="35" t="inlineStr">
        <is>
          <t>4 — Не обогащён</t>
        </is>
      </c>
      <c r="U5697" s="35" t="inlineStr">
        <is>
          <t>Нет ОКВЭД/ССЧР</t>
        </is>
      </c>
      <c r="V5697" s="35" t="inlineStr">
        <is>
          <t>Не определено</t>
        </is>
      </c>
      <c r="W5697" s="35" t="inlineStr"/>
      <c r="X5697" s="35" t="inlineStr"/>
    </row>
    <row r="5698" ht="68.25" customHeight="1" s="24">
      <c r="A5698" s="13" t="n">
        <v>802685655</v>
      </c>
      <c r="B5698" s="13" t="inlineStr">
        <is>
          <t>ГОСУДАРСТВЕННОЕ БЮДЖЕТНОЕ УЧРЕЖДЕНИЕ АМУРСКОЙ ОБЛАСТИ "СТАНЦИЯ ПО БОРЬБЕ С БОЛЕЗНЯМИ ЖИВОТНЫХ ПО ГОРОДУ ШИМАНОВСК, ШИМАНОВСКОМУ МУНИЦИПАЛЬНОМУ ОКРУГУ,</t>
        </is>
      </c>
      <c r="C5698" s="13" t="n">
        <v>2809002703</v>
      </c>
      <c r="D5698" s="13" t="inlineStr">
        <is>
          <t>2809002703</t>
        </is>
      </c>
      <c r="E5698" s="13" t="inlineStr">
        <is>
          <t>ЮЛ РФ</t>
        </is>
      </c>
      <c r="F5698" s="13" t="n"/>
      <c r="G5698" s="14" t="n"/>
      <c r="H5698" s="14" t="n"/>
      <c r="I5698" s="14" t="n"/>
      <c r="J5698" s="14" t="n"/>
      <c r="K5698" s="53" t="inlineStr"/>
      <c r="L5698" s="53" t="inlineStr">
        <is>
          <t>Не определено</t>
        </is>
      </c>
      <c r="M5698" s="53" t="inlineStr"/>
      <c r="N5698" s="54" t="inlineStr"/>
      <c r="O5698" s="55" t="inlineStr"/>
      <c r="P5698" s="16" t="inlineStr">
        <is>
          <t>Требует обогащения</t>
        </is>
      </c>
      <c r="Q5698" s="16">
        <f>HYPERLINK("https://pb.nalog.ru/search.html?query=2809002703","ФНС: проверить")</f>
        <v/>
      </c>
      <c r="R5698" s="16">
        <f>HYPERLINK("https://checko.ru/search?query=3801001629","Чекко: проверить")</f>
        <v/>
      </c>
      <c r="S5698" t="n">
        <v>1</v>
      </c>
      <c r="T5698" s="35" t="inlineStr">
        <is>
          <t>4 — Не обогащён</t>
        </is>
      </c>
      <c r="U5698" s="35" t="inlineStr">
        <is>
          <t>Нет ОКВЭД/ССЧР</t>
        </is>
      </c>
      <c r="V5698" s="35" t="inlineStr">
        <is>
          <t>Не определено</t>
        </is>
      </c>
      <c r="W5698" s="35" t="inlineStr"/>
      <c r="X5698" s="35" t="inlineStr"/>
    </row>
    <row r="5699" ht="41.25" customHeight="1" s="24">
      <c r="A5699" s="13" t="n">
        <v>802684231</v>
      </c>
      <c r="B5699" s="13" t="inlineStr">
        <is>
          <t>Федеральное государственное бюджетное профессиональное образовательное учреждение "Братский целлюлозно-бумажный колледж"</t>
        </is>
      </c>
      <c r="C5699" s="13" t="n">
        <v>3804119530</v>
      </c>
      <c r="D5699" s="13" t="inlineStr">
        <is>
          <t>3804119530</t>
        </is>
      </c>
      <c r="E5699" s="13" t="inlineStr">
        <is>
          <t>ЮЛ РФ</t>
        </is>
      </c>
      <c r="F5699" s="13" t="n"/>
      <c r="G5699" s="14" t="n"/>
      <c r="H5699" s="14" t="n"/>
      <c r="I5699" s="14" t="n"/>
      <c r="J5699" s="14" t="n"/>
      <c r="K5699" s="53" t="inlineStr"/>
      <c r="L5699" s="53" t="inlineStr">
        <is>
          <t>Не определено</t>
        </is>
      </c>
      <c r="M5699" s="53" t="inlineStr"/>
      <c r="N5699" s="54" t="inlineStr"/>
      <c r="O5699" s="55" t="inlineStr"/>
      <c r="P5699" s="16" t="inlineStr">
        <is>
          <t>Требует обогащения</t>
        </is>
      </c>
      <c r="Q5699" s="16">
        <f>HYPERLINK("https://pb.nalog.ru/search.html?query=3804119530","ФНС: проверить")</f>
        <v/>
      </c>
      <c r="R5699" s="16">
        <f>HYPERLINK("https://checko.ru/search?query=3801001629","Чекко: проверить")</f>
        <v/>
      </c>
      <c r="S5699" t="n">
        <v>1</v>
      </c>
      <c r="T5699" s="35" t="inlineStr">
        <is>
          <t>4 — Не обогащён</t>
        </is>
      </c>
      <c r="U5699" s="35" t="inlineStr">
        <is>
          <t>Нет ОКВЭД/ССЧР</t>
        </is>
      </c>
      <c r="V5699" s="35" t="inlineStr">
        <is>
          <t>Не определено</t>
        </is>
      </c>
      <c r="W5699" s="35" t="inlineStr"/>
      <c r="X5699" s="35" t="inlineStr"/>
    </row>
    <row r="5700" ht="15" customHeight="1" s="24">
      <c r="A5700" s="13" t="n">
        <v>801101063</v>
      </c>
      <c r="B5700" s="13" t="inlineStr">
        <is>
          <t>КУМИ Усть-Удинского р-на</t>
        </is>
      </c>
      <c r="C5700" s="13" t="n">
        <v>3842000945</v>
      </c>
      <c r="D5700" s="13" t="inlineStr">
        <is>
          <t>3842000945</t>
        </is>
      </c>
      <c r="E5700" s="13" t="inlineStr">
        <is>
          <t>ЮЛ РФ</t>
        </is>
      </c>
      <c r="F5700" s="13" t="n"/>
      <c r="G5700" s="14" t="n"/>
      <c r="H5700" s="14" t="n"/>
      <c r="I5700" s="14" t="n"/>
      <c r="J5700" s="14" t="n"/>
      <c r="K5700" s="53" t="inlineStr"/>
      <c r="L5700" s="53" t="inlineStr">
        <is>
          <t>Не определено</t>
        </is>
      </c>
      <c r="M5700" s="53" t="inlineStr"/>
      <c r="N5700" s="54" t="inlineStr"/>
      <c r="O5700" s="55" t="inlineStr"/>
      <c r="P5700" s="16" t="inlineStr">
        <is>
          <t>Требует обогащения</t>
        </is>
      </c>
      <c r="Q5700" s="16">
        <f>HYPERLINK("https://pb.nalog.ru/search.html?query=3842000945","ФНС: проверить")</f>
        <v/>
      </c>
      <c r="R5700" s="16">
        <f>HYPERLINK("https://checko.ru/search?query=3801001629","Чекко: проверить")</f>
        <v/>
      </c>
      <c r="S5700" t="n">
        <v>1</v>
      </c>
      <c r="T5700" s="35" t="inlineStr">
        <is>
          <t>4 — Не обогащён</t>
        </is>
      </c>
      <c r="U5700" s="35" t="inlineStr">
        <is>
          <t>Нет ОКВЭД/ССЧР</t>
        </is>
      </c>
      <c r="V5700" s="35" t="inlineStr">
        <is>
          <t>Не определено</t>
        </is>
      </c>
      <c r="W5700" s="35" t="inlineStr"/>
      <c r="X5700" s="35" t="inlineStr"/>
    </row>
    <row r="5701" ht="54.75" customHeight="1" s="24">
      <c r="A5701" s="13" t="n">
        <v>804561485</v>
      </c>
      <c r="B5701" s="13" t="inlineStr">
        <is>
          <t>ТИХООКЕАНСКИЙ ГОСУДАРСТВЕННЫЙ УНИВЕРСИТЕТ, ФГБОУ ВО "ТИХООКЕАНСКИЙ ГОСУДАРСТВЕННЫЙ УНИВЕРСИТЕТ", ФГБОУ ВО "ТОГУ", ТОГУ</t>
        </is>
      </c>
      <c r="C5701" s="13" t="n">
        <v>2725006620</v>
      </c>
      <c r="D5701" s="13" t="inlineStr">
        <is>
          <t>2725006620</t>
        </is>
      </c>
      <c r="E5701" s="13" t="inlineStr">
        <is>
          <t>ЮЛ РФ</t>
        </is>
      </c>
      <c r="F5701" s="13" t="n"/>
      <c r="G5701" s="14" t="n"/>
      <c r="H5701" s="14" t="n"/>
      <c r="I5701" s="14" t="n"/>
      <c r="J5701" s="14" t="n"/>
      <c r="K5701" s="53" t="inlineStr"/>
      <c r="L5701" s="53" t="inlineStr">
        <is>
          <t>Не определено</t>
        </is>
      </c>
      <c r="M5701" s="53" t="inlineStr"/>
      <c r="N5701" s="54" t="inlineStr"/>
      <c r="O5701" s="55" t="inlineStr"/>
      <c r="P5701" s="16" t="inlineStr">
        <is>
          <t>Требует обогащения</t>
        </is>
      </c>
      <c r="Q5701" s="16">
        <f>HYPERLINK("https://pb.nalog.ru/search.html?query=2725006620","ФНС: проверить")</f>
        <v/>
      </c>
      <c r="R5701" s="16">
        <f>HYPERLINK("https://checko.ru/search?query=3801001629","Чекко: проверить")</f>
        <v/>
      </c>
      <c r="S5701" t="n">
        <v>1</v>
      </c>
      <c r="T5701" s="35" t="inlineStr">
        <is>
          <t>4 — Не обогащён</t>
        </is>
      </c>
      <c r="U5701" s="35" t="inlineStr">
        <is>
          <t>Нет ОКВЭД/ССЧР</t>
        </is>
      </c>
      <c r="V5701" s="35" t="inlineStr">
        <is>
          <t>Не определено</t>
        </is>
      </c>
      <c r="W5701" s="35" t="inlineStr"/>
      <c r="X5701" s="35" t="inlineStr"/>
    </row>
    <row r="5702" ht="15" customHeight="1" s="24">
      <c r="A5702" s="13" t="n">
        <v>800131282</v>
      </c>
      <c r="B5702" s="13" t="inlineStr">
        <is>
          <t>Контрольно-счетная палата г. Тулун</t>
        </is>
      </c>
      <c r="C5702" s="13" t="n">
        <v>3816008306</v>
      </c>
      <c r="D5702" s="13" t="inlineStr">
        <is>
          <t>3816008306</t>
        </is>
      </c>
      <c r="E5702" s="13" t="inlineStr">
        <is>
          <t>ЮЛ РФ</t>
        </is>
      </c>
      <c r="F5702" s="13" t="n"/>
      <c r="G5702" s="14" t="n"/>
      <c r="H5702" s="14" t="n"/>
      <c r="I5702" s="14" t="n"/>
      <c r="J5702" s="14" t="n"/>
      <c r="K5702" s="53" t="inlineStr"/>
      <c r="L5702" s="53" t="inlineStr">
        <is>
          <t>Не определено</t>
        </is>
      </c>
      <c r="M5702" s="53" t="inlineStr"/>
      <c r="N5702" s="54" t="inlineStr"/>
      <c r="O5702" s="55" t="inlineStr"/>
      <c r="P5702" s="16" t="inlineStr">
        <is>
          <t>Требует обогащения</t>
        </is>
      </c>
      <c r="Q5702" s="16">
        <f>HYPERLINK("https://pb.nalog.ru/search.html?query=3816008306","ФНС: проверить")</f>
        <v/>
      </c>
      <c r="R5702" s="16">
        <f>HYPERLINK("https://checko.ru/search?query=3801001629","Чекко: проверить")</f>
        <v/>
      </c>
      <c r="S5702" t="n">
        <v>1</v>
      </c>
      <c r="T5702" s="35" t="inlineStr">
        <is>
          <t>4 — Не обогащён</t>
        </is>
      </c>
      <c r="U5702" s="35" t="inlineStr">
        <is>
          <t>Нет ОКВЭД/ССЧР</t>
        </is>
      </c>
      <c r="V5702" s="35" t="inlineStr">
        <is>
          <t>Не определено</t>
        </is>
      </c>
      <c r="W5702" s="35" t="inlineStr"/>
      <c r="X5702" s="35" t="inlineStr"/>
    </row>
    <row r="5703" ht="27.75" customHeight="1" s="24">
      <c r="A5703" s="13" t="n">
        <v>802685741</v>
      </c>
      <c r="B5703" s="13" t="inlineStr">
        <is>
          <t>МУНИЦИПАЛЬНОЕ БЮДЖЕТНОЕ УЧРЕЖДЕНИЕ "МОЛОДЕЖНЫЙ ЦЕНТР" ГОРОДА ИРКУТСКА</t>
        </is>
      </c>
      <c r="C5703" s="13" t="n">
        <v>3849097164</v>
      </c>
      <c r="D5703" s="13" t="inlineStr">
        <is>
          <t>3849097164</t>
        </is>
      </c>
      <c r="E5703" s="13" t="inlineStr">
        <is>
          <t>ЮЛ РФ</t>
        </is>
      </c>
      <c r="F5703" s="13" t="n"/>
      <c r="G5703" s="14" t="n"/>
      <c r="H5703" s="14" t="n"/>
      <c r="I5703" s="14" t="n"/>
      <c r="J5703" s="14" t="n"/>
      <c r="K5703" s="53" t="inlineStr"/>
      <c r="L5703" s="53" t="inlineStr">
        <is>
          <t>Не определено</t>
        </is>
      </c>
      <c r="M5703" s="53" t="inlineStr"/>
      <c r="N5703" s="54" t="inlineStr"/>
      <c r="O5703" s="55" t="inlineStr"/>
      <c r="P5703" s="16" t="inlineStr">
        <is>
          <t>Требует обогащения</t>
        </is>
      </c>
      <c r="Q5703" s="16">
        <f>HYPERLINK("https://pb.nalog.ru/search.html?query=3849097164","ФНС: проверить")</f>
        <v/>
      </c>
      <c r="R5703" s="16">
        <f>HYPERLINK("https://checko.ru/search?query=3801001629","Чекко: проверить")</f>
        <v/>
      </c>
      <c r="S5703" t="n">
        <v>1</v>
      </c>
      <c r="T5703" s="35" t="inlineStr">
        <is>
          <t>4 — Не обогащён</t>
        </is>
      </c>
      <c r="U5703" s="35" t="inlineStr">
        <is>
          <t>Нет ОКВЭД/ССЧР</t>
        </is>
      </c>
      <c r="V5703" s="35" t="inlineStr">
        <is>
          <t>Не определено</t>
        </is>
      </c>
      <c r="W5703" s="35" t="inlineStr"/>
      <c r="X5703" s="35" t="inlineStr"/>
    </row>
    <row r="5704" ht="15" customHeight="1" s="24">
      <c r="A5704" s="13" t="n">
        <v>9644022</v>
      </c>
      <c r="B5704" s="13" t="inlineStr">
        <is>
          <t>АДМИНИСТРАЦИЯ МО "БОХАНСКИЙ РАЙОН"</t>
        </is>
      </c>
      <c r="C5704" s="13" t="n">
        <v>8503002087</v>
      </c>
      <c r="D5704" s="13" t="inlineStr">
        <is>
          <t>8503002087</t>
        </is>
      </c>
      <c r="E5704" s="13" t="inlineStr">
        <is>
          <t>ЮЛ РФ</t>
        </is>
      </c>
      <c r="F5704" s="13" t="n"/>
      <c r="G5704" s="14" t="n"/>
      <c r="H5704" s="14" t="n"/>
      <c r="I5704" s="14" t="n"/>
      <c r="J5704" s="14" t="n"/>
      <c r="K5704" s="53" t="inlineStr"/>
      <c r="L5704" s="53" t="inlineStr">
        <is>
          <t>Не определено</t>
        </is>
      </c>
      <c r="M5704" s="53" t="inlineStr"/>
      <c r="N5704" s="54" t="inlineStr"/>
      <c r="O5704" s="55" t="inlineStr"/>
      <c r="P5704" s="16" t="inlineStr">
        <is>
          <t>Требует обогащения</t>
        </is>
      </c>
      <c r="Q5704" s="16">
        <f>HYPERLINK("https://pb.nalog.ru/search.html?query=8503002087","ФНС: проверить")</f>
        <v/>
      </c>
      <c r="R5704" s="16">
        <f>HYPERLINK("https://checko.ru/search?query=3801001629","Чекко: проверить")</f>
        <v/>
      </c>
      <c r="S5704" t="n">
        <v>1</v>
      </c>
      <c r="T5704" s="35" t="inlineStr">
        <is>
          <t>4 — Не обогащён</t>
        </is>
      </c>
      <c r="U5704" s="35" t="inlineStr">
        <is>
          <t>Нет ОКВЭД/ССЧР</t>
        </is>
      </c>
      <c r="V5704" s="35" t="inlineStr">
        <is>
          <t>Не определено</t>
        </is>
      </c>
      <c r="W5704" s="35" t="inlineStr"/>
      <c r="X5704" s="35" t="inlineStr"/>
    </row>
    <row r="5705" ht="27.75" customHeight="1" s="24">
      <c r="A5705" s="13" t="n">
        <v>800128279</v>
      </c>
      <c r="B5705" s="13" t="inlineStr">
        <is>
          <t>МУК "Централизованная библиотечная система г. Братска"</t>
        </is>
      </c>
      <c r="C5705" s="13" t="n">
        <v>3803100706</v>
      </c>
      <c r="D5705" s="13" t="inlineStr">
        <is>
          <t>3803100706</t>
        </is>
      </c>
      <c r="E5705" s="13" t="inlineStr">
        <is>
          <t>ЮЛ РФ</t>
        </is>
      </c>
      <c r="F5705" s="13" t="n"/>
      <c r="G5705" s="14" t="n"/>
      <c r="H5705" s="14" t="n"/>
      <c r="I5705" s="14" t="n"/>
      <c r="J5705" s="14" t="n"/>
      <c r="K5705" s="53" t="inlineStr"/>
      <c r="L5705" s="53" t="inlineStr">
        <is>
          <t>Не определено</t>
        </is>
      </c>
      <c r="M5705" s="53" t="inlineStr"/>
      <c r="N5705" s="54" t="inlineStr"/>
      <c r="O5705" s="55" t="inlineStr"/>
      <c r="P5705" s="16" t="inlineStr">
        <is>
          <t>Требует обогащения</t>
        </is>
      </c>
      <c r="Q5705" s="16">
        <f>HYPERLINK("https://pb.nalog.ru/search.html?query=3803100706","ФНС: проверить")</f>
        <v/>
      </c>
      <c r="R5705" s="16">
        <f>HYPERLINK("https://checko.ru/search?query=3801001629","Чекко: проверить")</f>
        <v/>
      </c>
      <c r="S5705" t="n">
        <v>1</v>
      </c>
      <c r="T5705" s="35" t="inlineStr">
        <is>
          <t>4 — Не обогащён</t>
        </is>
      </c>
      <c r="U5705" s="35" t="inlineStr">
        <is>
          <t>Нет ОКВЭД/ССЧР</t>
        </is>
      </c>
      <c r="V5705" s="35" t="inlineStr">
        <is>
          <t>Не определено</t>
        </is>
      </c>
      <c r="W5705" s="35" t="inlineStr"/>
      <c r="X5705" s="35" t="inlineStr"/>
    </row>
    <row r="5706" ht="41.25" customHeight="1" s="24">
      <c r="A5706" s="13" t="n">
        <v>802660700</v>
      </c>
      <c r="B5706" s="13" t="inlineStr">
        <is>
          <t>МУНИЦИПАЛЬНОЕ БЮДЖЕТНОЕ УЧРЕЖДЕНИЕ КУЛЬТУРЫ "СОЦИАЛЬНО-КУЛЬТУРНЫЙ ЦЕНТР" МУНИЦИПАЛЬНОГО ОБРАЗОВАНИЯ "УКЫР"</t>
        </is>
      </c>
      <c r="C5706" s="13" t="n">
        <v>3849012474</v>
      </c>
      <c r="D5706" s="13" t="inlineStr">
        <is>
          <t>3849012474</t>
        </is>
      </c>
      <c r="E5706" s="13" t="inlineStr">
        <is>
          <t>ЮЛ РФ</t>
        </is>
      </c>
      <c r="F5706" s="13" t="n"/>
      <c r="G5706" s="14" t="n"/>
      <c r="H5706" s="14" t="n"/>
      <c r="I5706" s="14" t="n"/>
      <c r="J5706" s="14" t="n"/>
      <c r="K5706" s="53" t="inlineStr"/>
      <c r="L5706" s="53" t="inlineStr">
        <is>
          <t>Не определено</t>
        </is>
      </c>
      <c r="M5706" s="53" t="inlineStr"/>
      <c r="N5706" s="54" t="inlineStr"/>
      <c r="O5706" s="55" t="inlineStr"/>
      <c r="P5706" s="16" t="inlineStr">
        <is>
          <t>Требует обогащения</t>
        </is>
      </c>
      <c r="Q5706" s="16">
        <f>HYPERLINK("https://pb.nalog.ru/search.html?query=3849012474","ФНС: проверить")</f>
        <v/>
      </c>
      <c r="R5706" s="16">
        <f>HYPERLINK("https://checko.ru/search?query=3801001629","Чекко: проверить")</f>
        <v/>
      </c>
      <c r="S5706" t="n">
        <v>1</v>
      </c>
      <c r="T5706" s="35" t="inlineStr">
        <is>
          <t>4 — Не обогащён</t>
        </is>
      </c>
      <c r="U5706" s="35" t="inlineStr">
        <is>
          <t>Нет ОКВЭД/ССЧР</t>
        </is>
      </c>
      <c r="V5706" s="35" t="inlineStr">
        <is>
          <t>Не определено</t>
        </is>
      </c>
      <c r="W5706" s="35" t="inlineStr"/>
      <c r="X5706" s="35" t="inlineStr"/>
    </row>
    <row r="5707" ht="27.75" customHeight="1" s="24">
      <c r="A5707" s="13" t="n">
        <v>800134153</v>
      </c>
      <c r="B5707" s="13" t="inlineStr">
        <is>
          <t>Администрация Шелеховского муниципального района</t>
        </is>
      </c>
      <c r="C5707" s="13" t="n">
        <v>3821001560</v>
      </c>
      <c r="D5707" s="13" t="inlineStr">
        <is>
          <t>3821001560</t>
        </is>
      </c>
      <c r="E5707" s="13" t="inlineStr">
        <is>
          <t>ЮЛ РФ</t>
        </is>
      </c>
      <c r="F5707" s="13" t="n"/>
      <c r="G5707" s="14" t="n"/>
      <c r="H5707" s="14" t="n"/>
      <c r="I5707" s="14" t="n"/>
      <c r="J5707" s="14" t="n"/>
      <c r="K5707" s="53" t="inlineStr"/>
      <c r="L5707" s="53" t="inlineStr">
        <is>
          <t>Не определено</t>
        </is>
      </c>
      <c r="M5707" s="53" t="inlineStr"/>
      <c r="N5707" s="54" t="inlineStr"/>
      <c r="O5707" s="55" t="inlineStr"/>
      <c r="P5707" s="16" t="inlineStr">
        <is>
          <t>Требует обогащения</t>
        </is>
      </c>
      <c r="Q5707" s="16">
        <f>HYPERLINK("https://pb.nalog.ru/search.html?query=3821001560","ФНС: проверить")</f>
        <v/>
      </c>
      <c r="R5707" s="16">
        <f>HYPERLINK("https://checko.ru/search?query=3801001629","Чекко: проверить")</f>
        <v/>
      </c>
      <c r="S5707" t="n">
        <v>1</v>
      </c>
      <c r="T5707" s="35" t="inlineStr">
        <is>
          <t>4 — Не обогащён</t>
        </is>
      </c>
      <c r="U5707" s="35" t="inlineStr">
        <is>
          <t>Нет ОКВЭД/ССЧР</t>
        </is>
      </c>
      <c r="V5707" s="35" t="inlineStr">
        <is>
          <t>Не определено</t>
        </is>
      </c>
      <c r="W5707" s="35" t="inlineStr"/>
      <c r="X5707" s="35" t="inlineStr"/>
    </row>
    <row r="5708" ht="15" customHeight="1" s="24">
      <c r="A5708" s="13" t="n">
        <v>13103150</v>
      </c>
      <c r="B5708" s="13" t="inlineStr">
        <is>
          <t>МБОУ Тарнопольская СОШ</t>
        </is>
      </c>
      <c r="C5708" s="13" t="n">
        <v>3822001281</v>
      </c>
      <c r="D5708" s="13" t="inlineStr">
        <is>
          <t>3822001281</t>
        </is>
      </c>
      <c r="E5708" s="13" t="inlineStr">
        <is>
          <t>ЮЛ РФ</t>
        </is>
      </c>
      <c r="F5708" s="13" t="n"/>
      <c r="G5708" s="14" t="n"/>
      <c r="H5708" s="14" t="n"/>
      <c r="I5708" s="14" t="n"/>
      <c r="J5708" s="14" t="n"/>
      <c r="K5708" s="53" t="inlineStr"/>
      <c r="L5708" s="53" t="inlineStr">
        <is>
          <t>Не определено</t>
        </is>
      </c>
      <c r="M5708" s="53" t="inlineStr"/>
      <c r="N5708" s="54" t="inlineStr"/>
      <c r="O5708" s="55" t="inlineStr"/>
      <c r="P5708" s="16" t="inlineStr">
        <is>
          <t>Требует обогащения</t>
        </is>
      </c>
      <c r="Q5708" s="16">
        <f>HYPERLINK("https://pb.nalog.ru/search.html?query=3822001281","ФНС: проверить")</f>
        <v/>
      </c>
      <c r="R5708" s="16">
        <f>HYPERLINK("https://checko.ru/search?query=3801001629","Чекко: проверить")</f>
        <v/>
      </c>
      <c r="S5708" t="n">
        <v>1</v>
      </c>
      <c r="T5708" s="35" t="inlineStr">
        <is>
          <t>4 — Не обогащён</t>
        </is>
      </c>
      <c r="U5708" s="35" t="inlineStr">
        <is>
          <t>Нет ОКВЭД/ССЧР</t>
        </is>
      </c>
      <c r="V5708" s="35" t="inlineStr">
        <is>
          <t>Не определено</t>
        </is>
      </c>
      <c r="W5708" s="35" t="inlineStr"/>
      <c r="X5708" s="35" t="inlineStr"/>
    </row>
    <row r="5709" ht="27.75" customHeight="1" s="24">
      <c r="A5709" s="13" t="n">
        <v>800140949</v>
      </c>
      <c r="B5709" s="13" t="inlineStr">
        <is>
          <t>ФБУЗ "Центр гигиены и эпидемиологии № 28 ФМБА России</t>
        </is>
      </c>
      <c r="C5709" s="13" t="n">
        <v>3801055180</v>
      </c>
      <c r="D5709" s="13" t="inlineStr">
        <is>
          <t>3801055180</t>
        </is>
      </c>
      <c r="E5709" s="13" t="inlineStr">
        <is>
          <t>ЮЛ РФ</t>
        </is>
      </c>
      <c r="F5709" s="13" t="n"/>
      <c r="G5709" s="14" t="n"/>
      <c r="H5709" s="14" t="n"/>
      <c r="I5709" s="14" t="n"/>
      <c r="J5709" s="14" t="n"/>
      <c r="K5709" s="53" t="inlineStr"/>
      <c r="L5709" s="53" t="inlineStr">
        <is>
          <t>Не определено</t>
        </is>
      </c>
      <c r="M5709" s="53" t="inlineStr"/>
      <c r="N5709" s="54" t="inlineStr"/>
      <c r="O5709" s="55" t="inlineStr"/>
      <c r="P5709" s="16" t="inlineStr">
        <is>
          <t>Требует обогащения</t>
        </is>
      </c>
      <c r="Q5709" s="16">
        <f>HYPERLINK("https://pb.nalog.ru/search.html?query=3801055180","ФНС: проверить")</f>
        <v/>
      </c>
      <c r="R5709" s="16">
        <f>HYPERLINK("https://checko.ru/search?query=3801001629","Чекко: проверить")</f>
        <v/>
      </c>
      <c r="S5709" t="n">
        <v>1</v>
      </c>
      <c r="T5709" s="35" t="inlineStr">
        <is>
          <t>4 — Не обогащён</t>
        </is>
      </c>
      <c r="U5709" s="35" t="inlineStr">
        <is>
          <t>Нет ОКВЭД/ССЧР</t>
        </is>
      </c>
      <c r="V5709" s="35" t="inlineStr">
        <is>
          <t>Не определено</t>
        </is>
      </c>
      <c r="W5709" s="35" t="inlineStr"/>
      <c r="X5709" s="35" t="inlineStr"/>
    </row>
    <row r="5710" ht="27.75" customHeight="1" s="24">
      <c r="A5710" s="13" t="n">
        <v>17690400</v>
      </c>
      <c r="B5710" s="13" t="inlineStr">
        <is>
          <t>ФГБОУ ВПО "Московский государственный технический университет гражданской авиации"</t>
        </is>
      </c>
      <c r="C5710" s="13" t="n">
        <v>7712029250</v>
      </c>
      <c r="D5710" s="13" t="inlineStr">
        <is>
          <t>7712029250</t>
        </is>
      </c>
      <c r="E5710" s="13" t="inlineStr">
        <is>
          <t>ЮЛ РФ</t>
        </is>
      </c>
      <c r="F5710" s="13" t="n"/>
      <c r="G5710" s="14" t="n"/>
      <c r="H5710" s="14" t="n"/>
      <c r="I5710" s="14" t="n"/>
      <c r="J5710" s="14" t="n"/>
      <c r="K5710" s="53" t="inlineStr"/>
      <c r="L5710" s="53" t="inlineStr">
        <is>
          <t>Не определено</t>
        </is>
      </c>
      <c r="M5710" s="53" t="inlineStr"/>
      <c r="N5710" s="54" t="inlineStr"/>
      <c r="O5710" s="55" t="inlineStr"/>
      <c r="P5710" s="16" t="inlineStr">
        <is>
          <t>Требует обогащения</t>
        </is>
      </c>
      <c r="Q5710" s="16">
        <f>HYPERLINK("https://pb.nalog.ru/search.html?query=7712029250","ФНС: проверить")</f>
        <v/>
      </c>
      <c r="R5710" s="16">
        <f>HYPERLINK("https://checko.ru/search?query=3801001629","Чекко: проверить")</f>
        <v/>
      </c>
      <c r="S5710" t="n">
        <v>1</v>
      </c>
      <c r="T5710" s="35" t="inlineStr">
        <is>
          <t>4 — Не обогащён</t>
        </is>
      </c>
      <c r="U5710" s="35" t="inlineStr">
        <is>
          <t>Нет ОКВЭД/ССЧР</t>
        </is>
      </c>
      <c r="V5710" s="35" t="inlineStr">
        <is>
          <t>Не определено</t>
        </is>
      </c>
      <c r="W5710" s="35" t="inlineStr"/>
      <c r="X5710" s="35" t="inlineStr"/>
    </row>
    <row r="5711" ht="27.75" customHeight="1" s="24">
      <c r="A5711" s="13" t="n">
        <v>800140774</v>
      </c>
      <c r="B5711" s="13" t="inlineStr">
        <is>
          <t>Финансовое управление Администрации Киренского района</t>
        </is>
      </c>
      <c r="C5711" s="13" t="n">
        <v>3831000615</v>
      </c>
      <c r="D5711" s="13" t="inlineStr">
        <is>
          <t>3831000615</t>
        </is>
      </c>
      <c r="E5711" s="13" t="inlineStr">
        <is>
          <t>ЮЛ РФ</t>
        </is>
      </c>
      <c r="F5711" s="13" t="n"/>
      <c r="G5711" s="14" t="n"/>
      <c r="H5711" s="14" t="n"/>
      <c r="I5711" s="14" t="n"/>
      <c r="J5711" s="14" t="n"/>
      <c r="K5711" s="53" t="inlineStr"/>
      <c r="L5711" s="53" t="inlineStr">
        <is>
          <t>Не определено</t>
        </is>
      </c>
      <c r="M5711" s="53" t="inlineStr"/>
      <c r="N5711" s="54" t="inlineStr"/>
      <c r="O5711" s="55" t="inlineStr"/>
      <c r="P5711" s="16" t="inlineStr">
        <is>
          <t>Требует обогащения</t>
        </is>
      </c>
      <c r="Q5711" s="16">
        <f>HYPERLINK("https://pb.nalog.ru/search.html?query=3831000615","ФНС: проверить")</f>
        <v/>
      </c>
      <c r="R5711" s="16">
        <f>HYPERLINK("https://checko.ru/search?query=3801001629","Чекко: проверить")</f>
        <v/>
      </c>
      <c r="S5711" t="n">
        <v>1</v>
      </c>
      <c r="T5711" s="35" t="inlineStr">
        <is>
          <t>4 — Не обогащён</t>
        </is>
      </c>
      <c r="U5711" s="35" t="inlineStr">
        <is>
          <t>Нет ОКВЭД/ССЧР</t>
        </is>
      </c>
      <c r="V5711" s="35" t="inlineStr">
        <is>
          <t>Не определено</t>
        </is>
      </c>
      <c r="W5711" s="35" t="inlineStr"/>
      <c r="X5711" s="35" t="inlineStr"/>
    </row>
    <row r="5712" ht="15" customHeight="1" s="24">
      <c r="A5712" s="13" t="n">
        <v>800223803</v>
      </c>
      <c r="B5712" s="13" t="inlineStr">
        <is>
          <t>ФГБУ "Авиаметтелеком Росгидромета"</t>
        </is>
      </c>
      <c r="C5712" s="13" t="n">
        <v>7703019417</v>
      </c>
      <c r="D5712" s="13" t="inlineStr">
        <is>
          <t>7703019417</t>
        </is>
      </c>
      <c r="E5712" s="13" t="inlineStr">
        <is>
          <t>ЮЛ РФ</t>
        </is>
      </c>
      <c r="F5712" s="13" t="n"/>
      <c r="G5712" s="14" t="n"/>
      <c r="H5712" s="14" t="n"/>
      <c r="I5712" s="14" t="n"/>
      <c r="J5712" s="14" t="n"/>
      <c r="K5712" s="53" t="inlineStr"/>
      <c r="L5712" s="53" t="inlineStr">
        <is>
          <t>Не определено</t>
        </is>
      </c>
      <c r="M5712" s="53" t="inlineStr"/>
      <c r="N5712" s="54" t="inlineStr"/>
      <c r="O5712" s="55" t="inlineStr"/>
      <c r="P5712" s="16" t="inlineStr">
        <is>
          <t>Требует обогащения</t>
        </is>
      </c>
      <c r="Q5712" s="16">
        <f>HYPERLINK("https://pb.nalog.ru/search.html?query=7703019417","ФНС: проверить")</f>
        <v/>
      </c>
      <c r="R5712" s="16">
        <f>HYPERLINK("https://checko.ru/search?query=3801001629","Чекко: проверить")</f>
        <v/>
      </c>
      <c r="S5712" t="n">
        <v>1</v>
      </c>
      <c r="T5712" s="35" t="inlineStr">
        <is>
          <t>4 — Не обогащён</t>
        </is>
      </c>
      <c r="U5712" s="35" t="inlineStr">
        <is>
          <t>Нет ОКВЭД/ССЧР</t>
        </is>
      </c>
      <c r="V5712" s="35" t="inlineStr">
        <is>
          <t>Не определено</t>
        </is>
      </c>
      <c r="W5712" s="35" t="inlineStr"/>
      <c r="X5712" s="35" t="inlineStr"/>
    </row>
    <row r="5713" ht="15" customHeight="1" s="24">
      <c r="A5713" s="13" t="n">
        <v>800221830</v>
      </c>
      <c r="B5713" s="13" t="inlineStr">
        <is>
          <t>ГОУ ВПО РПА Минюста России</t>
        </is>
      </c>
      <c r="C5713" s="13" t="n"/>
      <c r="D5713" s="13" t="n"/>
      <c r="E5713" s="13" t="inlineStr">
        <is>
          <t>Не определён</t>
        </is>
      </c>
      <c r="F5713" s="13" t="n"/>
      <c r="G5713" s="14" t="n"/>
      <c r="H5713" s="14" t="n"/>
      <c r="I5713" s="14" t="n"/>
      <c r="J5713" s="14" t="n"/>
      <c r="K5713" s="13">
        <f>IF(G5713="","",IF(G5713&gt;=22,"Да","Нет"))</f>
        <v/>
      </c>
      <c r="L5713" s="13">
        <f>IF(OR(I5713="",J5713=""),"Не определено",IF(OR(COUNTIF(I5713,"45*")&gt;0,COUNTIF(J5713,"*45*")&gt;0,COUNTIF(I5713,"46*")&gt;0,COUNTIF(J5713,"*46*")&gt;0,COUNTIF(I5713,"47*")&gt;0,COUNTIF(J5713,"*47*")&gt;0,COUNTIF(I5713,"10*")&gt;0,COUNTIF(J5713,"*10*")&gt;0,COUNTIF(I5713,"11*")&gt;0,COUNTIF(J5713,"*11*")&gt;0,COUNTIF(I5713,"12*")&gt;0,COUNTIF(J5713,"*12*")&gt;0,COUNTIF(I5713,"13*")&gt;0,COUNTIF(J5713,"*13*")&gt;0,COUNTIF(I5713,"14*")&gt;0,COUNTIF(J5713,"*14*")&gt;0,COUNTIF(I5713,"15*")&gt;0,COUNTIF(J5713,"*15*")&gt;0,COUNTIF(I5713,"16*")&gt;0,COUNTIF(J5713,"*16*")&gt;0,COUNTIF(I5713,"17*")&gt;0,COUNTIF(J5713,"*17*")&gt;0,COUNTIF(I5713,"18*")&gt;0,COUNTIF(J5713,"*18*")&gt;0,COUNTIF(I5713,"19*")&gt;0,COUNTIF(J5713,"*19*")&gt;0,COUNTIF(I5713,"20*")&gt;0,COUNTIF(J5713,"*20*")&gt;0,COUNTIF(I5713,"21*")&gt;0,COUNTIF(J5713,"*21*")&gt;0,COUNTIF(I5713,"22*")&gt;0,COUNTIF(J5713,"*22*")&gt;0,COUNTIF(I5713,"23*")&gt;0,COUNTIF(J5713,"*23*")&gt;0,COUNTIF(I5713,"24*")&gt;0,COUNTIF(J5713,"*24*")&gt;0,COUNTIF(I5713,"25*")&gt;0,COUNTIF(J5713,"*25*")&gt;0,COUNTIF(I5713,"26*")&gt;0,COUNTIF(J5713,"*26*")&gt;0,COUNTIF(I5713,"27*")&gt;0,COUNTIF(J5713,"*27*")&gt;0,COUNTIF(I5713,"28*")&gt;0,COUNTIF(J5713,"*28*")&gt;0,COUNTIF(I5713,"29*")&gt;0,COUNTIF(J5713,"*29*")&gt;0,COUNTIF(I5713,"30*")&gt;0,COUNTIF(J5713,"*30*")&gt;0,COUNTIF(I5713,"31*")&gt;0,COUNTIF(J5713,"*31*")&gt;0,COUNTIF(I5713,"32*")&gt;0,COUNTIF(J5713,"*32*")&gt;0,COUNTIF(I5713,"33*")&gt;0,COUNTIF(J5713,"*33*")&gt;0,COUNTIF(I5713,"41*")&gt;0,COUNTIF(J5713,"*41*")&gt;0,COUNTIF(I5713,"42*")&gt;0,COUNTIF(J5713,"*42*")&gt;0,COUNTIF(I5713,"43*")&gt;0,COUNTIF(J5713,"*43*")&gt;0,COUNTIF(I5713,"49*")&gt;0,COUNTIF(J5713,"*49*")&gt;0,COUNTIF(I5713,"52*")&gt;0,COUNTIF(J5713,"*52*")&gt;0,COUNTIF(I5713,"55*")&gt;0,COUNTIF(J5713,"*55*")&gt;0,COUNTIF(I5713,"56*")&gt;0,COUNTIF(J5713,"*56*")&gt;0,COUNTIF(I5713,"68*")&gt;0,COUNTIF(J5713,"*68*")&gt;0,COUNTIF(I5713,"78*")&gt;0,COUNTIF(J5713,"*78*")&gt;0,COUNTIF(I5713,"81*")&gt;0,COUNTIF(J5713,"*81*")&gt;0,COUNTIF(I5713,"82*")&gt;0,COUNTIF(J5713,"*82*")&gt;0,COUNTIF(I5713,"64*")&gt;0,COUNTIF(J5713,"*64*")&gt;0,COUNTIF(I5713,"65*")&gt;0,COUNTIF(J5713,"*65*")&gt;0,COUNTIF(I5713,"66*")&gt;0,COUNTIF(J5713,"*66*")&gt;0,COUNTIF(I5713,"61*")&gt;0,COUNTIF(J5713,"*61*")&gt;0,COUNTIF(I5713,"62*")&gt;0,COUNTIF(J5713,"*62*")&gt;0,COUNTIF(I5713,"63*")&gt;0,COUNTIF(J5713,"*63*")&gt;0,COUNTIF(I5713,"85*")&gt;0,COUNTIF(J5713,"*85*")&gt;0,COUNTIF(I5713,"86*")&gt;0,COUNTIF(J5713,"*86*")&gt;0),"Да","Нет"))</f>
        <v/>
      </c>
      <c r="M5713" s="13">
        <f>IF(OR(G5713="",L5713&lt;&gt;"Да"),"",IF(G5713&lt;=100,"До 100",IF(G5713&lt;=200,"До 200",IF(G5713&lt;=500,"До 500","Отдельное КП"))))</f>
        <v/>
      </c>
      <c r="N5713" s="15">
        <f>IF(OR(G5713="",L5713&lt;&gt;"Да"),"",IF(G5713&lt;=100,33600,IF(G5713&lt;=200,62400,IF(G5713&lt;=500,144000,""))))</f>
        <v/>
      </c>
      <c r="O5713" s="16">
        <f>IF(G5713="","",IF(G5713&lt;=15,"1–15",IF(G5713&lt;=30,"16–30",IF(G5713&lt;=50,"31–50",IF(G5713&lt;=100,"51–100",IF(G5713&lt;=150,"101–150",IF(G5713&lt;=200,"151–200",IF(G5713&lt;=500,"201–500","500+"))))))))</f>
        <v/>
      </c>
      <c r="P5713" s="16" t="inlineStr">
        <is>
          <t>Нет совпадения в предоставленной выгрузке ССЧР</t>
        </is>
      </c>
      <c r="Q5713" s="16" t="n"/>
      <c r="R5713" s="16">
        <f>HYPERLINK("https://checko.ru/search?query=3801001629","Чекко: проверить")</f>
        <v/>
      </c>
      <c r="S5713" t="n">
        <v>0</v>
      </c>
    </row>
    <row r="5714" ht="27.75" customHeight="1" s="24">
      <c r="A5714" s="13" t="n">
        <v>800225574</v>
      </c>
      <c r="B5714" s="13" t="inlineStr">
        <is>
          <t>Администрация муниципального образования Олонки</t>
        </is>
      </c>
      <c r="C5714" s="13" t="n">
        <v>8503005828</v>
      </c>
      <c r="D5714" s="13" t="inlineStr">
        <is>
          <t>8503005828</t>
        </is>
      </c>
      <c r="E5714" s="13" t="inlineStr">
        <is>
          <t>ЮЛ РФ</t>
        </is>
      </c>
      <c r="F5714" s="13" t="n"/>
      <c r="G5714" s="14" t="n"/>
      <c r="H5714" s="14" t="n"/>
      <c r="I5714" s="14" t="n"/>
      <c r="J5714" s="14" t="n"/>
      <c r="K5714" s="53" t="inlineStr"/>
      <c r="L5714" s="53" t="inlineStr">
        <is>
          <t>Не определено</t>
        </is>
      </c>
      <c r="M5714" s="53" t="inlineStr"/>
      <c r="N5714" s="54" t="inlineStr"/>
      <c r="O5714" s="55" t="inlineStr"/>
      <c r="P5714" s="16" t="inlineStr">
        <is>
          <t>Требует обогащения</t>
        </is>
      </c>
      <c r="Q5714" s="16">
        <f>HYPERLINK("https://pb.nalog.ru/search.html?query=8503005828","ФНС: проверить")</f>
        <v/>
      </c>
      <c r="R5714" s="16">
        <f>HYPERLINK("https://checko.ru/search?query=3801001629","Чекко: проверить")</f>
        <v/>
      </c>
      <c r="S5714" t="n">
        <v>1</v>
      </c>
      <c r="T5714" s="35" t="inlineStr">
        <is>
          <t>4 — Не обогащён</t>
        </is>
      </c>
      <c r="U5714" s="35" t="inlineStr">
        <is>
          <t>Нет ОКВЭД/ССЧР</t>
        </is>
      </c>
      <c r="V5714" s="35" t="inlineStr">
        <is>
          <t>Не определено</t>
        </is>
      </c>
      <c r="W5714" s="35" t="inlineStr"/>
      <c r="X5714" s="35" t="inlineStr"/>
    </row>
    <row r="5715" ht="41.25" customHeight="1" s="24">
      <c r="A5715" s="13" t="n">
        <v>802681624</v>
      </c>
      <c r="B5715" s="13" t="inlineStr">
        <is>
          <t>Межотраслевой региональный центр повышения квалификации и переподготовки специалистов ФГБОУ ВО "ИРНИТУ"</t>
        </is>
      </c>
      <c r="C5715" s="13" t="n">
        <v>3812014066</v>
      </c>
      <c r="D5715" s="13" t="inlineStr">
        <is>
          <t>3812014066</t>
        </is>
      </c>
      <c r="E5715" s="13" t="inlineStr">
        <is>
          <t>ЮЛ РФ</t>
        </is>
      </c>
      <c r="F5715" s="13" t="n"/>
      <c r="G5715" s="14" t="n"/>
      <c r="H5715" s="14" t="n"/>
      <c r="I5715" s="14" t="n"/>
      <c r="J5715" s="14" t="n"/>
      <c r="K5715" s="53" t="inlineStr"/>
      <c r="L5715" s="53" t="inlineStr">
        <is>
          <t>Не определено</t>
        </is>
      </c>
      <c r="M5715" s="53" t="inlineStr"/>
      <c r="N5715" s="54" t="inlineStr"/>
      <c r="O5715" s="55" t="inlineStr"/>
      <c r="P5715" s="16" t="inlineStr">
        <is>
          <t>Требует обогащения</t>
        </is>
      </c>
      <c r="Q5715" s="16">
        <f>HYPERLINK("https://pb.nalog.ru/search.html?query=3812014066","ФНС: проверить")</f>
        <v/>
      </c>
      <c r="R5715" s="16">
        <f>HYPERLINK("https://checko.ru/search?query=3801001629","Чекко: проверить")</f>
        <v/>
      </c>
      <c r="S5715" t="n">
        <v>0</v>
      </c>
      <c r="T5715" s="35" t="inlineStr">
        <is>
          <t>4 — Не обогащён</t>
        </is>
      </c>
      <c r="U5715" s="35" t="inlineStr">
        <is>
          <t>Нет ОКВЭД/ССЧР</t>
        </is>
      </c>
      <c r="V5715" s="35" t="inlineStr">
        <is>
          <t>Не определено</t>
        </is>
      </c>
      <c r="W5715" s="35" t="inlineStr"/>
      <c r="X5715" s="35" t="inlineStr"/>
    </row>
    <row r="5716" ht="41.25" customHeight="1" s="24">
      <c r="A5716" s="13" t="n">
        <v>800165548</v>
      </c>
      <c r="B5716" s="13" t="inlineStr">
        <is>
          <t>ФГБУ науки Иркутский институт химии им. А.Е. Фаворского Сибирского отделения Российской Академии Наук</t>
        </is>
      </c>
      <c r="C5716" s="13" t="n">
        <v>3812011770</v>
      </c>
      <c r="D5716" s="13" t="inlineStr">
        <is>
          <t>3812011770</t>
        </is>
      </c>
      <c r="E5716" s="13" t="inlineStr">
        <is>
          <t>ЮЛ РФ</t>
        </is>
      </c>
      <c r="F5716" s="13" t="n"/>
      <c r="G5716" s="14" t="n"/>
      <c r="H5716" s="14" t="n"/>
      <c r="I5716" s="14" t="n"/>
      <c r="J5716" s="14" t="n"/>
      <c r="K5716" s="53" t="inlineStr"/>
      <c r="L5716" s="53" t="inlineStr">
        <is>
          <t>Не определено</t>
        </is>
      </c>
      <c r="M5716" s="53" t="inlineStr"/>
      <c r="N5716" s="54" t="inlineStr"/>
      <c r="O5716" s="55" t="inlineStr"/>
      <c r="P5716" s="16" t="inlineStr">
        <is>
          <t>Требует обогащения</t>
        </is>
      </c>
      <c r="Q5716" s="16">
        <f>HYPERLINK("https://pb.nalog.ru/search.html?query=3812011770","ФНС: проверить")</f>
        <v/>
      </c>
      <c r="R5716" s="16">
        <f>HYPERLINK("https://checko.ru/search?query=3801001629","Чекко: проверить")</f>
        <v/>
      </c>
      <c r="S5716" t="n">
        <v>1</v>
      </c>
      <c r="T5716" s="35" t="inlineStr">
        <is>
          <t>4 — Не обогащён</t>
        </is>
      </c>
      <c r="U5716" s="35" t="inlineStr">
        <is>
          <t>Нет ОКВЭД/ССЧР</t>
        </is>
      </c>
      <c r="V5716" s="35" t="inlineStr">
        <is>
          <t>Не определено</t>
        </is>
      </c>
      <c r="W5716" s="35" t="inlineStr"/>
      <c r="X5716" s="35" t="inlineStr"/>
    </row>
    <row r="5717" ht="15" customHeight="1" s="24">
      <c r="A5717" s="13" t="n">
        <v>800148757</v>
      </c>
      <c r="B5717" s="13" t="inlineStr">
        <is>
          <t>Контрольный орган МО «Ленский район»</t>
        </is>
      </c>
      <c r="C5717" s="13" t="n">
        <v>1414014095</v>
      </c>
      <c r="D5717" s="13" t="inlineStr">
        <is>
          <t>1414014095</t>
        </is>
      </c>
      <c r="E5717" s="13" t="inlineStr">
        <is>
          <t>ЮЛ РФ</t>
        </is>
      </c>
      <c r="F5717" s="13" t="n"/>
      <c r="G5717" s="14" t="n"/>
      <c r="H5717" s="14" t="n"/>
      <c r="I5717" s="14" t="n"/>
      <c r="J5717" s="14" t="n"/>
      <c r="K5717" s="53" t="inlineStr"/>
      <c r="L5717" s="53" t="inlineStr">
        <is>
          <t>Не определено</t>
        </is>
      </c>
      <c r="M5717" s="53" t="inlineStr"/>
      <c r="N5717" s="54" t="inlineStr"/>
      <c r="O5717" s="55" t="inlineStr"/>
      <c r="P5717" s="16" t="inlineStr">
        <is>
          <t>Требует обогащения</t>
        </is>
      </c>
      <c r="Q5717" s="16">
        <f>HYPERLINK("https://pb.nalog.ru/search.html?query=1414014095","ФНС: проверить")</f>
        <v/>
      </c>
      <c r="R5717" s="16">
        <f>HYPERLINK("https://checko.ru/search?query=3801001629","Чекко: проверить")</f>
        <v/>
      </c>
      <c r="S5717" t="n">
        <v>1</v>
      </c>
      <c r="T5717" s="35" t="inlineStr">
        <is>
          <t>4 — Не обогащён</t>
        </is>
      </c>
      <c r="U5717" s="35" t="inlineStr">
        <is>
          <t>Нет ОКВЭД/ССЧР</t>
        </is>
      </c>
      <c r="V5717" s="35" t="inlineStr">
        <is>
          <t>Не определено</t>
        </is>
      </c>
      <c r="W5717" s="35" t="inlineStr"/>
      <c r="X5717" s="35" t="inlineStr"/>
    </row>
    <row r="5718" ht="27.75" customHeight="1" s="24">
      <c r="A5718" s="13" t="n">
        <v>801099211</v>
      </c>
      <c r="B5718" s="13" t="inlineStr">
        <is>
          <t>Отдел Государственной фельдъегерской службы Российской Федерации в г. Иркутске</t>
        </is>
      </c>
      <c r="C5718" s="13" t="n">
        <v>3808011721</v>
      </c>
      <c r="D5718" s="13" t="inlineStr">
        <is>
          <t>3808011721</t>
        </is>
      </c>
      <c r="E5718" s="13" t="inlineStr">
        <is>
          <t>ЮЛ РФ</t>
        </is>
      </c>
      <c r="F5718" s="13" t="n"/>
      <c r="G5718" s="14" t="n"/>
      <c r="H5718" s="14" t="n"/>
      <c r="I5718" s="14" t="n"/>
      <c r="J5718" s="14" t="n"/>
      <c r="K5718" s="53" t="inlineStr"/>
      <c r="L5718" s="53" t="inlineStr">
        <is>
          <t>Не определено</t>
        </is>
      </c>
      <c r="M5718" s="53" t="inlineStr"/>
      <c r="N5718" s="54" t="inlineStr"/>
      <c r="O5718" s="55" t="inlineStr"/>
      <c r="P5718" s="16" t="inlineStr">
        <is>
          <t>Требует обогащения</t>
        </is>
      </c>
      <c r="Q5718" s="16">
        <f>HYPERLINK("https://pb.nalog.ru/search.html?query=3808011721","ФНС: проверить")</f>
        <v/>
      </c>
      <c r="R5718" s="16">
        <f>HYPERLINK("https://checko.ru/search?query=3801001629","Чекко: проверить")</f>
        <v/>
      </c>
      <c r="S5718" t="n">
        <v>1</v>
      </c>
      <c r="T5718" s="35" t="inlineStr">
        <is>
          <t>4 — Не обогащён</t>
        </is>
      </c>
      <c r="U5718" s="35" t="inlineStr">
        <is>
          <t>Нет ОКВЭД/ССЧР</t>
        </is>
      </c>
      <c r="V5718" s="35" t="inlineStr">
        <is>
          <t>Не определено</t>
        </is>
      </c>
      <c r="W5718" s="35" t="inlineStr"/>
      <c r="X5718" s="35" t="inlineStr"/>
    </row>
    <row r="5719" ht="41.25" customHeight="1" s="24">
      <c r="A5719" s="13" t="n">
        <v>801992346</v>
      </c>
      <c r="B5719" s="13" t="inlineStr">
        <is>
          <t>Районный Совет депутатов муниципального образования "Ленский район" Республики Саха (Якутия)</t>
        </is>
      </c>
      <c r="C5719" s="13" t="n">
        <v>1414011859</v>
      </c>
      <c r="D5719" s="13" t="inlineStr">
        <is>
          <t>1414011859</t>
        </is>
      </c>
      <c r="E5719" s="13" t="inlineStr">
        <is>
          <t>ЮЛ РФ</t>
        </is>
      </c>
      <c r="F5719" s="13" t="n"/>
      <c r="G5719" s="14" t="n"/>
      <c r="H5719" s="14" t="n"/>
      <c r="I5719" s="14" t="n"/>
      <c r="J5719" s="14" t="n"/>
      <c r="K5719" s="53" t="inlineStr"/>
      <c r="L5719" s="53" t="inlineStr">
        <is>
          <t>Не определено</t>
        </is>
      </c>
      <c r="M5719" s="53" t="inlineStr"/>
      <c r="N5719" s="54" t="inlineStr"/>
      <c r="O5719" s="55" t="inlineStr"/>
      <c r="P5719" s="16" t="inlineStr">
        <is>
          <t>Требует обогащения</t>
        </is>
      </c>
      <c r="Q5719" s="16">
        <f>HYPERLINK("https://pb.nalog.ru/search.html?query=1414011859","ФНС: проверить")</f>
        <v/>
      </c>
      <c r="R5719" s="16">
        <f>HYPERLINK("https://checko.ru/search?query=3801001629","Чекко: проверить")</f>
        <v/>
      </c>
      <c r="S5719" t="n">
        <v>1</v>
      </c>
      <c r="T5719" s="35" t="inlineStr">
        <is>
          <t>4 — Не обогащён</t>
        </is>
      </c>
      <c r="U5719" s="35" t="inlineStr">
        <is>
          <t>Нет ОКВЭД/ССЧР</t>
        </is>
      </c>
      <c r="V5719" s="35" t="inlineStr">
        <is>
          <t>Не определено</t>
        </is>
      </c>
      <c r="W5719" s="35" t="inlineStr"/>
      <c r="X5719" s="35" t="inlineStr"/>
    </row>
    <row r="5720" ht="27.75" customHeight="1" s="24">
      <c r="A5720" s="13" t="n">
        <v>800228656</v>
      </c>
      <c r="B5720" s="13" t="inlineStr">
        <is>
          <t>ИДСТУ СО РАН (Институт динамики систем и теории управления»)</t>
        </is>
      </c>
      <c r="C5720" s="13" t="n">
        <v>3812011682</v>
      </c>
      <c r="D5720" s="13" t="inlineStr">
        <is>
          <t>3812011682</t>
        </is>
      </c>
      <c r="E5720" s="13" t="inlineStr">
        <is>
          <t>ЮЛ РФ</t>
        </is>
      </c>
      <c r="F5720" s="13" t="n"/>
      <c r="G5720" s="14" t="n"/>
      <c r="H5720" s="14" t="n"/>
      <c r="I5720" s="14" t="n"/>
      <c r="J5720" s="14" t="n"/>
      <c r="K5720" s="53" t="inlineStr"/>
      <c r="L5720" s="53" t="inlineStr">
        <is>
          <t>Не определено</t>
        </is>
      </c>
      <c r="M5720" s="53" t="inlineStr"/>
      <c r="N5720" s="54" t="inlineStr"/>
      <c r="O5720" s="55" t="inlineStr"/>
      <c r="P5720" s="16" t="inlineStr">
        <is>
          <t>Требует обогащения</t>
        </is>
      </c>
      <c r="Q5720" s="16">
        <f>HYPERLINK("https://pb.nalog.ru/search.html?query=3812011682","ФНС: проверить")</f>
        <v/>
      </c>
      <c r="R5720" s="16">
        <f>HYPERLINK("https://checko.ru/search?query=3801001629","Чекко: проверить")</f>
        <v/>
      </c>
      <c r="S5720" t="n">
        <v>1</v>
      </c>
      <c r="T5720" s="35" t="inlineStr">
        <is>
          <t>4 — Не обогащён</t>
        </is>
      </c>
      <c r="U5720" s="35" t="inlineStr">
        <is>
          <t>Нет ОКВЭД/ССЧР</t>
        </is>
      </c>
      <c r="V5720" s="35" t="inlineStr">
        <is>
          <t>Не определено</t>
        </is>
      </c>
      <c r="W5720" s="35" t="inlineStr"/>
      <c r="X5720" s="35" t="inlineStr"/>
    </row>
    <row r="5721" ht="15" customHeight="1" s="24">
      <c r="A5721" s="13" t="n">
        <v>801988008</v>
      </c>
      <c r="B5721" s="13" t="inlineStr">
        <is>
          <t>МАУ "КУЛЬТУРА-СЕРВИС"</t>
        </is>
      </c>
      <c r="C5721" s="13" t="n">
        <v>3814018771</v>
      </c>
      <c r="D5721" s="13" t="inlineStr">
        <is>
          <t>3814018771</t>
        </is>
      </c>
      <c r="E5721" s="13" t="inlineStr">
        <is>
          <t>ЮЛ РФ</t>
        </is>
      </c>
      <c r="F5721" s="13" t="n"/>
      <c r="G5721" s="14" t="n"/>
      <c r="H5721" s="14" t="n"/>
      <c r="I5721" s="14" t="n"/>
      <c r="J5721" s="14" t="n"/>
      <c r="K5721" s="53" t="inlineStr"/>
      <c r="L5721" s="53" t="inlineStr">
        <is>
          <t>Не определено</t>
        </is>
      </c>
      <c r="M5721" s="53" t="inlineStr"/>
      <c r="N5721" s="54" t="inlineStr"/>
      <c r="O5721" s="55" t="inlineStr"/>
      <c r="P5721" s="16" t="inlineStr">
        <is>
          <t>Требует обогащения</t>
        </is>
      </c>
      <c r="Q5721" s="16">
        <f>HYPERLINK("https://pb.nalog.ru/search.html?query=3814018771","ФНС: проверить")</f>
        <v/>
      </c>
      <c r="R5721" s="16">
        <f>HYPERLINK("https://checko.ru/search?query=3801001629","Чекко: проверить")</f>
        <v/>
      </c>
      <c r="S5721" t="n">
        <v>1</v>
      </c>
      <c r="T5721" s="35" t="inlineStr">
        <is>
          <t>4 — Не обогащён</t>
        </is>
      </c>
      <c r="U5721" s="35" t="inlineStr">
        <is>
          <t>Нет ОКВЭД/ССЧР</t>
        </is>
      </c>
      <c r="V5721" s="35" t="inlineStr">
        <is>
          <t>Не определено</t>
        </is>
      </c>
      <c r="W5721" s="35" t="inlineStr"/>
      <c r="X5721" s="35" t="inlineStr"/>
    </row>
    <row r="5722" ht="27.75" customHeight="1" s="24">
      <c r="A5722" s="13" t="n">
        <v>800125630</v>
      </c>
      <c r="B5722" s="13" t="inlineStr">
        <is>
          <t>МБУК г. Иркутска "Централизованная библиотечная система"</t>
        </is>
      </c>
      <c r="C5722" s="13" t="n">
        <v>3811032390</v>
      </c>
      <c r="D5722" s="13" t="inlineStr">
        <is>
          <t>3811032390</t>
        </is>
      </c>
      <c r="E5722" s="13" t="inlineStr">
        <is>
          <t>ЮЛ РФ</t>
        </is>
      </c>
      <c r="F5722" s="13" t="n"/>
      <c r="G5722" s="14" t="n"/>
      <c r="H5722" s="14" t="n"/>
      <c r="I5722" s="14" t="n"/>
      <c r="J5722" s="14" t="n"/>
      <c r="K5722" s="53" t="inlineStr"/>
      <c r="L5722" s="53" t="inlineStr">
        <is>
          <t>Не определено</t>
        </is>
      </c>
      <c r="M5722" s="53" t="inlineStr"/>
      <c r="N5722" s="54" t="inlineStr"/>
      <c r="O5722" s="55" t="inlineStr"/>
      <c r="P5722" s="16" t="inlineStr">
        <is>
          <t>Требует обогащения</t>
        </is>
      </c>
      <c r="Q5722" s="16">
        <f>HYPERLINK("https://pb.nalog.ru/search.html?query=3811032390","ФНС: проверить")</f>
        <v/>
      </c>
      <c r="R5722" s="16">
        <f>HYPERLINK("https://checko.ru/search?query=3801001629","Чекко: проверить")</f>
        <v/>
      </c>
      <c r="S5722" t="n">
        <v>1</v>
      </c>
      <c r="T5722" s="35" t="inlineStr">
        <is>
          <t>4 — Не обогащён</t>
        </is>
      </c>
      <c r="U5722" s="35" t="inlineStr">
        <is>
          <t>Нет ОКВЭД/ССЧР</t>
        </is>
      </c>
      <c r="V5722" s="35" t="inlineStr">
        <is>
          <t>Не определено</t>
        </is>
      </c>
      <c r="W5722" s="35" t="inlineStr"/>
      <c r="X5722" s="35" t="inlineStr"/>
    </row>
    <row r="5723" ht="27.75" customHeight="1" s="24">
      <c r="A5723" s="13" t="n">
        <v>800148836</v>
      </c>
      <c r="B5723" s="13" t="inlineStr">
        <is>
          <t>Муниципальное автономное учреждение города Иркутска «Редакция «Город новостей»</t>
        </is>
      </c>
      <c r="C5723" s="13" t="n">
        <v>3811156519</v>
      </c>
      <c r="D5723" s="13" t="inlineStr">
        <is>
          <t>3811156519</t>
        </is>
      </c>
      <c r="E5723" s="13" t="inlineStr">
        <is>
          <t>ЮЛ РФ</t>
        </is>
      </c>
      <c r="F5723" s="13" t="n"/>
      <c r="G5723" s="14" t="n"/>
      <c r="H5723" s="14" t="n"/>
      <c r="I5723" s="14" t="n"/>
      <c r="J5723" s="14" t="n"/>
      <c r="K5723" s="53" t="inlineStr"/>
      <c r="L5723" s="53" t="inlineStr">
        <is>
          <t>Не определено</t>
        </is>
      </c>
      <c r="M5723" s="53" t="inlineStr"/>
      <c r="N5723" s="54" t="inlineStr"/>
      <c r="O5723" s="55" t="inlineStr"/>
      <c r="P5723" s="16" t="inlineStr">
        <is>
          <t>Требует обогащения</t>
        </is>
      </c>
      <c r="Q5723" s="16">
        <f>HYPERLINK("https://pb.nalog.ru/search.html?query=3811156519","ФНС: проверить")</f>
        <v/>
      </c>
      <c r="R5723" s="16">
        <f>HYPERLINK("https://checko.ru/search?query=3801001629","Чекко: проверить")</f>
        <v/>
      </c>
      <c r="S5723" t="n">
        <v>1</v>
      </c>
      <c r="T5723" s="35" t="inlineStr">
        <is>
          <t>4 — Не обогащён</t>
        </is>
      </c>
      <c r="U5723" s="35" t="inlineStr">
        <is>
          <t>Нет ОКВЭД/ССЧР</t>
        </is>
      </c>
      <c r="V5723" s="35" t="inlineStr">
        <is>
          <t>Не определено</t>
        </is>
      </c>
      <c r="W5723" s="35" t="inlineStr"/>
      <c r="X5723" s="35" t="inlineStr"/>
    </row>
    <row r="5724" ht="68.25" customHeight="1" s="24">
      <c r="A5724" s="13" t="n">
        <v>802685811</v>
      </c>
      <c r="B5724" s="13" t="inlineStr">
        <is>
          <t>ГОСУДАРСТВЕННОЕ БЮДЖЕТНОЕ УЧРЕЖДЕНИЕ АМУРСКОЙ ОБЛАСТИ "СТАНЦИЯ ПО БОРЬБЕ С БОЛЕЗНЯМИ ЖИВОТНЫХ ПО ГОРОДУ БЕЛОГОРСКУ, БЕЛОГОРСКОМУ И РОМНЕНСКОМУ МУНИЦИП</t>
        </is>
      </c>
      <c r="C5724" s="13" t="n">
        <v>2804010740</v>
      </c>
      <c r="D5724" s="13" t="inlineStr">
        <is>
          <t>2804010740</t>
        </is>
      </c>
      <c r="E5724" s="13" t="inlineStr">
        <is>
          <t>ЮЛ РФ</t>
        </is>
      </c>
      <c r="F5724" s="13" t="n"/>
      <c r="G5724" s="14" t="n"/>
      <c r="H5724" s="14" t="n"/>
      <c r="I5724" s="14" t="n"/>
      <c r="J5724" s="14" t="n"/>
      <c r="K5724" s="53" t="inlineStr"/>
      <c r="L5724" s="53" t="inlineStr">
        <is>
          <t>Не определено</t>
        </is>
      </c>
      <c r="M5724" s="53" t="inlineStr"/>
      <c r="N5724" s="54" t="inlineStr"/>
      <c r="O5724" s="55" t="inlineStr"/>
      <c r="P5724" s="16" t="inlineStr">
        <is>
          <t>Требует обогащения</t>
        </is>
      </c>
      <c r="Q5724" s="16">
        <f>HYPERLINK("https://pb.nalog.ru/search.html?query=2804010740","ФНС: проверить")</f>
        <v/>
      </c>
      <c r="R5724" s="16">
        <f>HYPERLINK("https://checko.ru/search?query=3801001629","Чекко: проверить")</f>
        <v/>
      </c>
      <c r="S5724" t="n">
        <v>1</v>
      </c>
      <c r="T5724" s="35" t="inlineStr">
        <is>
          <t>4 — Не обогащён</t>
        </is>
      </c>
      <c r="U5724" s="35" t="inlineStr">
        <is>
          <t>Нет ОКВЭД/ССЧР</t>
        </is>
      </c>
      <c r="V5724" s="35" t="inlineStr">
        <is>
          <t>Не определено</t>
        </is>
      </c>
      <c r="W5724" s="35" t="inlineStr"/>
      <c r="X5724" s="35" t="inlineStr"/>
    </row>
    <row r="5725" ht="15" customHeight="1" s="24">
      <c r="A5725" s="13" t="n">
        <v>9650405</v>
      </c>
      <c r="B5725" s="13" t="inlineStr">
        <is>
          <t>Институт земной коры СО РАН</t>
        </is>
      </c>
      <c r="C5725" s="13" t="n">
        <v>3812011756</v>
      </c>
      <c r="D5725" s="13" t="inlineStr">
        <is>
          <t>3812011756</t>
        </is>
      </c>
      <c r="E5725" s="13" t="inlineStr">
        <is>
          <t>ЮЛ РФ</t>
        </is>
      </c>
      <c r="F5725" s="13" t="n"/>
      <c r="G5725" s="14" t="n"/>
      <c r="H5725" s="14" t="n"/>
      <c r="I5725" s="14" t="n"/>
      <c r="J5725" s="14" t="n"/>
      <c r="K5725" s="53" t="inlineStr"/>
      <c r="L5725" s="53" t="inlineStr">
        <is>
          <t>Не определено</t>
        </is>
      </c>
      <c r="M5725" s="53" t="inlineStr"/>
      <c r="N5725" s="54" t="inlineStr"/>
      <c r="O5725" s="55" t="inlineStr"/>
      <c r="P5725" s="16" t="inlineStr">
        <is>
          <t>Требует обогащения</t>
        </is>
      </c>
      <c r="Q5725" s="16">
        <f>HYPERLINK("https://pb.nalog.ru/search.html?query=3812011756","ФНС: проверить")</f>
        <v/>
      </c>
      <c r="R5725" s="16">
        <f>HYPERLINK("https://checko.ru/search?query=3801001629","Чекко: проверить")</f>
        <v/>
      </c>
      <c r="S5725" t="n">
        <v>1</v>
      </c>
      <c r="T5725" s="35" t="inlineStr">
        <is>
          <t>4 — Не обогащён</t>
        </is>
      </c>
      <c r="U5725" s="35" t="inlineStr">
        <is>
          <t>Нет ОКВЭД/ССЧР</t>
        </is>
      </c>
      <c r="V5725" s="35" t="inlineStr">
        <is>
          <t>Не определено</t>
        </is>
      </c>
      <c r="W5725" s="35" t="inlineStr"/>
      <c r="X5725" s="35" t="inlineStr"/>
    </row>
    <row r="5726" ht="41.25" customHeight="1" s="24">
      <c r="A5726" s="13" t="n">
        <v>800228650</v>
      </c>
      <c r="B5726" s="13" t="inlineStr">
        <is>
          <t>Учреждение Российской академии наук Сибирский институт физиологии и биохимии растений Сибирского отделения РАН</t>
        </is>
      </c>
      <c r="C5726" s="13" t="n">
        <v>3812010449</v>
      </c>
      <c r="D5726" s="13" t="inlineStr">
        <is>
          <t>3812010449</t>
        </is>
      </c>
      <c r="E5726" s="13" t="inlineStr">
        <is>
          <t>ЮЛ РФ</t>
        </is>
      </c>
      <c r="F5726" s="13" t="n"/>
      <c r="G5726" s="14" t="n"/>
      <c r="H5726" s="14" t="n"/>
      <c r="I5726" s="14" t="n"/>
      <c r="J5726" s="14" t="n"/>
      <c r="K5726" s="53" t="inlineStr"/>
      <c r="L5726" s="53" t="inlineStr">
        <is>
          <t>Не определено</t>
        </is>
      </c>
      <c r="M5726" s="53" t="inlineStr"/>
      <c r="N5726" s="54" t="inlineStr"/>
      <c r="O5726" s="55" t="inlineStr"/>
      <c r="P5726" s="16" t="inlineStr">
        <is>
          <t>Требует обогащения</t>
        </is>
      </c>
      <c r="Q5726" s="16">
        <f>HYPERLINK("https://pb.nalog.ru/search.html?query=3812010449","ФНС: проверить")</f>
        <v/>
      </c>
      <c r="R5726" s="16">
        <f>HYPERLINK("https://checko.ru/search?query=3801001629","Чекко: проверить")</f>
        <v/>
      </c>
      <c r="S5726" t="n">
        <v>1</v>
      </c>
      <c r="T5726" s="35" t="inlineStr">
        <is>
          <t>4 — Не обогащён</t>
        </is>
      </c>
      <c r="U5726" s="35" t="inlineStr">
        <is>
          <t>Нет ОКВЭД/ССЧР</t>
        </is>
      </c>
      <c r="V5726" s="35" t="inlineStr">
        <is>
          <t>Не определено</t>
        </is>
      </c>
      <c r="W5726" s="35" t="inlineStr"/>
      <c r="X5726" s="35" t="inlineStr"/>
    </row>
    <row r="5727" ht="68.25" customHeight="1" s="24">
      <c r="A5727" s="13" t="n">
        <v>802684138</v>
      </c>
      <c r="B5727" s="13" t="inlineStr">
        <is>
          <t>ГОСУДАРСТВЕННОЕ БЮДЖЕТНОЕ УЧРЕЖДЕНИЕ АМУРСКОЙ ОБЛАСТИ "СТАНЦИЯ ПО БОРЬБЕ С БОЛЕЗНЯМИ ЖИВОТНЫХ ПО ГОРОДУ БЛАГОВЕЩЕНСК И БЛАГОВЕЩЕНСКОМУ МУНИЦИПАЛЬНОМУ</t>
        </is>
      </c>
      <c r="C5727" s="13" t="n">
        <v>2801095569</v>
      </c>
      <c r="D5727" s="13" t="inlineStr">
        <is>
          <t>2801095569</t>
        </is>
      </c>
      <c r="E5727" s="13" t="inlineStr">
        <is>
          <t>ЮЛ РФ</t>
        </is>
      </c>
      <c r="F5727" s="13" t="n"/>
      <c r="G5727" s="14" t="n"/>
      <c r="H5727" s="14" t="n"/>
      <c r="I5727" s="14" t="n"/>
      <c r="J5727" s="14" t="n"/>
      <c r="K5727" s="53" t="inlineStr"/>
      <c r="L5727" s="53" t="inlineStr">
        <is>
          <t>Не определено</t>
        </is>
      </c>
      <c r="M5727" s="53" t="inlineStr"/>
      <c r="N5727" s="54" t="inlineStr"/>
      <c r="O5727" s="55" t="inlineStr"/>
      <c r="P5727" s="16" t="inlineStr">
        <is>
          <t>Требует обогащения</t>
        </is>
      </c>
      <c r="Q5727" s="16">
        <f>HYPERLINK("https://pb.nalog.ru/search.html?query=2801095569","ФНС: проверить")</f>
        <v/>
      </c>
      <c r="R5727" s="16">
        <f>HYPERLINK("https://checko.ru/search?query=3801001629","Чекко: проверить")</f>
        <v/>
      </c>
      <c r="S5727" t="n">
        <v>1</v>
      </c>
      <c r="T5727" s="35" t="inlineStr">
        <is>
          <t>4 — Не обогащён</t>
        </is>
      </c>
      <c r="U5727" s="35" t="inlineStr">
        <is>
          <t>Нет ОКВЭД/ССЧР</t>
        </is>
      </c>
      <c r="V5727" s="35" t="inlineStr">
        <is>
          <t>Не определено</t>
        </is>
      </c>
      <c r="W5727" s="35" t="inlineStr"/>
      <c r="X5727" s="35" t="inlineStr"/>
    </row>
    <row r="5728" ht="15" customHeight="1" s="24">
      <c r="A5728" s="13" t="n">
        <v>801101163</v>
      </c>
      <c r="B5728" s="13" t="inlineStr">
        <is>
          <t>УФКИС АДМИНИСТРАЦИИ АГО</t>
        </is>
      </c>
      <c r="C5728" s="13" t="n">
        <v>3801131882</v>
      </c>
      <c r="D5728" s="13" t="inlineStr">
        <is>
          <t>3801131882</t>
        </is>
      </c>
      <c r="E5728" s="13" t="inlineStr">
        <is>
          <t>ЮЛ РФ</t>
        </is>
      </c>
      <c r="F5728" s="13" t="n"/>
      <c r="G5728" s="14" t="n"/>
      <c r="H5728" s="14" t="n"/>
      <c r="I5728" s="14" t="n"/>
      <c r="J5728" s="14" t="n"/>
      <c r="K5728" s="53" t="inlineStr"/>
      <c r="L5728" s="53" t="inlineStr">
        <is>
          <t>Не определено</t>
        </is>
      </c>
      <c r="M5728" s="53" t="inlineStr"/>
      <c r="N5728" s="54" t="inlineStr"/>
      <c r="O5728" s="55" t="inlineStr"/>
      <c r="P5728" s="16" t="inlineStr">
        <is>
          <t>Требует обогащения</t>
        </is>
      </c>
      <c r="Q5728" s="16">
        <f>HYPERLINK("https://pb.nalog.ru/search.html?query=3801131882","ФНС: проверить")</f>
        <v/>
      </c>
      <c r="R5728" s="16">
        <f>HYPERLINK("https://checko.ru/search?query=3801001629","Чекко: проверить")</f>
        <v/>
      </c>
      <c r="S5728" t="n">
        <v>1</v>
      </c>
      <c r="T5728" s="35" t="inlineStr">
        <is>
          <t>4 — Не обогащён</t>
        </is>
      </c>
      <c r="U5728" s="35" t="inlineStr">
        <is>
          <t>Нет ОКВЭД/ССЧР</t>
        </is>
      </c>
      <c r="V5728" s="35" t="inlineStr">
        <is>
          <t>Не определено</t>
        </is>
      </c>
      <c r="W5728" s="35" t="inlineStr"/>
      <c r="X5728" s="35" t="inlineStr"/>
    </row>
    <row r="5729" ht="41.25" customHeight="1" s="24">
      <c r="A5729" s="13" t="n">
        <v>801984383</v>
      </c>
      <c r="B5729" s="13" t="inlineStr">
        <is>
          <t>МУНИЦИПАЛЬНОЕ БЮДЖЕТНОЕ УЧРЕЖДЕНИЕ КУЛЬТУРЫ ГОРОДА ИРКУТСКА "ТВОРЧЕСКИЙ КЛУБ"СОЗВЕЗДИЕ</t>
        </is>
      </c>
      <c r="C5729" s="13" t="n">
        <v>3810077416</v>
      </c>
      <c r="D5729" s="13" t="inlineStr">
        <is>
          <t>3810077416</t>
        </is>
      </c>
      <c r="E5729" s="13" t="inlineStr">
        <is>
          <t>ЮЛ РФ</t>
        </is>
      </c>
      <c r="F5729" s="13" t="n"/>
      <c r="G5729" s="14" t="n"/>
      <c r="H5729" s="14" t="n"/>
      <c r="I5729" s="14" t="n"/>
      <c r="J5729" s="14" t="n"/>
      <c r="K5729" s="53" t="inlineStr"/>
      <c r="L5729" s="53" t="inlineStr">
        <is>
          <t>Не определено</t>
        </is>
      </c>
      <c r="M5729" s="53" t="inlineStr"/>
      <c r="N5729" s="54" t="inlineStr"/>
      <c r="O5729" s="55" t="inlineStr"/>
      <c r="P5729" s="16" t="inlineStr">
        <is>
          <t>Требует обогащения</t>
        </is>
      </c>
      <c r="Q5729" s="16">
        <f>HYPERLINK("https://pb.nalog.ru/search.html?query=3810077416","ФНС: проверить")</f>
        <v/>
      </c>
      <c r="R5729" s="16">
        <f>HYPERLINK("https://checko.ru/search?query=3801001629","Чекко: проверить")</f>
        <v/>
      </c>
      <c r="S5729" t="n">
        <v>1</v>
      </c>
      <c r="T5729" s="35" t="inlineStr">
        <is>
          <t>4 — Не обогащён</t>
        </is>
      </c>
      <c r="U5729" s="35" t="inlineStr">
        <is>
          <t>Нет ОКВЭД/ССЧР</t>
        </is>
      </c>
      <c r="V5729" s="35" t="inlineStr">
        <is>
          <t>Не определено</t>
        </is>
      </c>
      <c r="W5729" s="35" t="inlineStr"/>
      <c r="X5729" s="35" t="inlineStr"/>
    </row>
    <row r="5730" ht="15" customHeight="1" s="24">
      <c r="A5730" s="13" t="n">
        <v>10631516</v>
      </c>
      <c r="B5730" s="13" t="inlineStr">
        <is>
          <t>МОУ СОШ №16 Братск</t>
        </is>
      </c>
      <c r="C5730" s="13" t="n">
        <v>3803203878</v>
      </c>
      <c r="D5730" s="13" t="inlineStr">
        <is>
          <t>3803203878</t>
        </is>
      </c>
      <c r="E5730" s="13" t="inlineStr">
        <is>
          <t>ЮЛ РФ</t>
        </is>
      </c>
      <c r="F5730" s="13" t="n"/>
      <c r="G5730" s="14" t="n"/>
      <c r="H5730" s="14" t="n"/>
      <c r="I5730" s="14" t="n"/>
      <c r="J5730" s="14" t="n"/>
      <c r="K5730" s="53" t="inlineStr"/>
      <c r="L5730" s="53" t="inlineStr">
        <is>
          <t>Не определено</t>
        </is>
      </c>
      <c r="M5730" s="53" t="inlineStr"/>
      <c r="N5730" s="54" t="inlineStr"/>
      <c r="O5730" s="55" t="inlineStr"/>
      <c r="P5730" s="16" t="inlineStr">
        <is>
          <t>Требует обогащения</t>
        </is>
      </c>
      <c r="Q5730" s="16">
        <f>HYPERLINK("https://pb.nalog.ru/search.html?query=3803203878","ФНС: проверить")</f>
        <v/>
      </c>
      <c r="R5730" s="16">
        <f>HYPERLINK("https://checko.ru/search?query=3801001629","Чекко: проверить")</f>
        <v/>
      </c>
      <c r="S5730" t="n">
        <v>1</v>
      </c>
      <c r="T5730" s="35" t="inlineStr">
        <is>
          <t>4 — Не обогащён</t>
        </is>
      </c>
      <c r="U5730" s="35" t="inlineStr">
        <is>
          <t>Нет ОКВЭД/ССЧР</t>
        </is>
      </c>
      <c r="V5730" s="35" t="inlineStr">
        <is>
          <t>Не определено</t>
        </is>
      </c>
      <c r="W5730" s="35" t="inlineStr"/>
      <c r="X5730" s="35" t="inlineStr"/>
    </row>
    <row r="5731" ht="41.25" customHeight="1" s="24">
      <c r="A5731" s="13" t="n">
        <v>800154604</v>
      </c>
      <c r="B5731" s="13" t="inlineStr">
        <is>
          <t>Служба заказчика МУП по ЖКХ Усть-Кутскому муниципальному образованию городского поселения</t>
        </is>
      </c>
      <c r="C5731" s="13" t="n">
        <v>3818013005</v>
      </c>
      <c r="D5731" s="13" t="inlineStr">
        <is>
          <t>3818013005</t>
        </is>
      </c>
      <c r="E5731" s="13" t="inlineStr">
        <is>
          <t>ЮЛ РФ</t>
        </is>
      </c>
      <c r="F5731" s="13" t="n"/>
      <c r="G5731" s="14" t="n"/>
      <c r="H5731" s="14" t="n"/>
      <c r="I5731" s="14" t="n"/>
      <c r="J5731" s="14" t="n"/>
      <c r="K5731" s="53" t="inlineStr"/>
      <c r="L5731" s="53" t="inlineStr">
        <is>
          <t>Не определено</t>
        </is>
      </c>
      <c r="M5731" s="53" t="inlineStr"/>
      <c r="N5731" s="54" t="inlineStr"/>
      <c r="O5731" s="55" t="inlineStr"/>
      <c r="P5731" s="16" t="inlineStr">
        <is>
          <t>Требует обогащения</t>
        </is>
      </c>
      <c r="Q5731" s="16">
        <f>HYPERLINK("https://pb.nalog.ru/search.html?query=3818013005","ФНС: проверить")</f>
        <v/>
      </c>
      <c r="R5731" s="16">
        <f>HYPERLINK("https://checko.ru/search?query=3801001629","Чекко: проверить")</f>
        <v/>
      </c>
      <c r="S5731" t="n">
        <v>1</v>
      </c>
      <c r="T5731" s="35" t="inlineStr">
        <is>
          <t>4 — Не обогащён</t>
        </is>
      </c>
      <c r="U5731" s="35" t="inlineStr">
        <is>
          <t>Нет ОКВЭД/ССЧР</t>
        </is>
      </c>
      <c r="V5731" s="35" t="inlineStr">
        <is>
          <t>Не определено</t>
        </is>
      </c>
      <c r="W5731" s="35" t="inlineStr"/>
      <c r="X5731" s="35" t="inlineStr"/>
    </row>
    <row r="5732" ht="15" customHeight="1" s="24">
      <c r="A5732" s="13" t="n">
        <v>801101292</v>
      </c>
      <c r="B5732" s="13" t="inlineStr">
        <is>
          <t>ТО "ЗАКУЛЕЙСКАЯ СЕЛЬСКАЯ АДМИНИСТРАЦИЯ"</t>
        </is>
      </c>
      <c r="C5732" s="13" t="n">
        <v>3801166268</v>
      </c>
      <c r="D5732" s="13" t="inlineStr">
        <is>
          <t>3801166268</t>
        </is>
      </c>
      <c r="E5732" s="13" t="inlineStr">
        <is>
          <t>ЮЛ РФ</t>
        </is>
      </c>
      <c r="F5732" s="13" t="n"/>
      <c r="G5732" s="14" t="n"/>
      <c r="H5732" s="14" t="n"/>
      <c r="I5732" s="14" t="n"/>
      <c r="J5732" s="14" t="n"/>
      <c r="K5732" s="53" t="inlineStr"/>
      <c r="L5732" s="53" t="inlineStr">
        <is>
          <t>Не определено</t>
        </is>
      </c>
      <c r="M5732" s="53" t="inlineStr"/>
      <c r="N5732" s="54" t="inlineStr"/>
      <c r="O5732" s="55" t="inlineStr"/>
      <c r="P5732" s="16" t="inlineStr">
        <is>
          <t>Требует обогащения</t>
        </is>
      </c>
      <c r="Q5732" s="16">
        <f>HYPERLINK("https://pb.nalog.ru/search.html?query=3801166268","ФНС: проверить")</f>
        <v/>
      </c>
      <c r="R5732" s="16">
        <f>HYPERLINK("https://checko.ru/search?query=3801001629","Чекко: проверить")</f>
        <v/>
      </c>
      <c r="S5732" t="n">
        <v>1</v>
      </c>
      <c r="T5732" s="35" t="inlineStr">
        <is>
          <t>4 — Не обогащён</t>
        </is>
      </c>
      <c r="U5732" s="35" t="inlineStr">
        <is>
          <t>Нет ОКВЭД/ССЧР</t>
        </is>
      </c>
      <c r="V5732" s="35" t="inlineStr">
        <is>
          <t>Не определено</t>
        </is>
      </c>
      <c r="W5732" s="35" t="inlineStr"/>
      <c r="X5732" s="35" t="inlineStr"/>
    </row>
    <row r="5733" ht="27.75" customHeight="1" s="24">
      <c r="A5733" s="13" t="n">
        <v>801099945</v>
      </c>
      <c r="B5733" s="13" t="inlineStr">
        <is>
          <t>Финансовое управление администрации  Усть-Удинского района</t>
        </is>
      </c>
      <c r="C5733" s="13" t="n">
        <v>3842000470</v>
      </c>
      <c r="D5733" s="13" t="inlineStr">
        <is>
          <t>3842000470</t>
        </is>
      </c>
      <c r="E5733" s="13" t="inlineStr">
        <is>
          <t>ЮЛ РФ</t>
        </is>
      </c>
      <c r="F5733" s="13" t="n"/>
      <c r="G5733" s="14" t="n"/>
      <c r="H5733" s="14" t="n"/>
      <c r="I5733" s="14" t="n"/>
      <c r="J5733" s="14" t="n"/>
      <c r="K5733" s="53" t="inlineStr"/>
      <c r="L5733" s="53" t="inlineStr">
        <is>
          <t>Не определено</t>
        </is>
      </c>
      <c r="M5733" s="53" t="inlineStr"/>
      <c r="N5733" s="54" t="inlineStr"/>
      <c r="O5733" s="55" t="inlineStr"/>
      <c r="P5733" s="16" t="inlineStr">
        <is>
          <t>Требует обогащения</t>
        </is>
      </c>
      <c r="Q5733" s="16">
        <f>HYPERLINK("https://pb.nalog.ru/search.html?query=3842000470","ФНС: проверить")</f>
        <v/>
      </c>
      <c r="R5733" s="16">
        <f>HYPERLINK("https://checko.ru/search?query=3801001629","Чекко: проверить")</f>
        <v/>
      </c>
      <c r="S5733" t="n">
        <v>1</v>
      </c>
      <c r="T5733" s="35" t="inlineStr">
        <is>
          <t>4 — Не обогащён</t>
        </is>
      </c>
      <c r="U5733" s="35" t="inlineStr">
        <is>
          <t>Нет ОКВЭД/ССЧР</t>
        </is>
      </c>
      <c r="V5733" s="35" t="inlineStr">
        <is>
          <t>Не определено</t>
        </is>
      </c>
      <c r="W5733" s="35" t="inlineStr"/>
      <c r="X5733" s="35" t="inlineStr"/>
    </row>
    <row r="5734" ht="15" customHeight="1" s="24">
      <c r="A5734" s="13" t="n">
        <v>800167960</v>
      </c>
      <c r="B5734" s="13" t="inlineStr">
        <is>
          <t>КУМИ Мамско-Чуйского района</t>
        </is>
      </c>
      <c r="C5734" s="13" t="n">
        <v>3833001269</v>
      </c>
      <c r="D5734" s="13" t="inlineStr">
        <is>
          <t>3833001269</t>
        </is>
      </c>
      <c r="E5734" s="13" t="inlineStr">
        <is>
          <t>ЮЛ РФ</t>
        </is>
      </c>
      <c r="F5734" s="13" t="n"/>
      <c r="G5734" s="14" t="n"/>
      <c r="H5734" s="14" t="n"/>
      <c r="I5734" s="14" t="n"/>
      <c r="J5734" s="14" t="n"/>
      <c r="K5734" s="53" t="inlineStr"/>
      <c r="L5734" s="53" t="inlineStr">
        <is>
          <t>Не определено</t>
        </is>
      </c>
      <c r="M5734" s="53" t="inlineStr"/>
      <c r="N5734" s="54" t="inlineStr"/>
      <c r="O5734" s="55" t="inlineStr"/>
      <c r="P5734" s="16" t="inlineStr">
        <is>
          <t>Требует обогащения</t>
        </is>
      </c>
      <c r="Q5734" s="16">
        <f>HYPERLINK("https://pb.nalog.ru/search.html?query=3833001269","ФНС: проверить")</f>
        <v/>
      </c>
      <c r="R5734" s="16">
        <f>HYPERLINK("https://checko.ru/search?query=3801001629","Чекко: проверить")</f>
        <v/>
      </c>
      <c r="S5734" t="n">
        <v>1</v>
      </c>
      <c r="T5734" s="35" t="inlineStr">
        <is>
          <t>4 — Не обогащён</t>
        </is>
      </c>
      <c r="U5734" s="35" t="inlineStr">
        <is>
          <t>Нет ОКВЭД/ССЧР</t>
        </is>
      </c>
      <c r="V5734" s="35" t="inlineStr">
        <is>
          <t>Не определено</t>
        </is>
      </c>
      <c r="W5734" s="35" t="inlineStr"/>
      <c r="X5734" s="35" t="inlineStr"/>
    </row>
    <row r="5735" ht="41.25" customHeight="1" s="24">
      <c r="A5735" s="13" t="n">
        <v>800233012</v>
      </c>
      <c r="B5735" s="13" t="inlineStr">
        <is>
          <t>Учреждение Российской академии наук Институт систем энергетики им. Мелентьева Сибирского отделения РАН</t>
        </is>
      </c>
      <c r="C5735" s="13" t="n">
        <v>3812011700</v>
      </c>
      <c r="D5735" s="13" t="inlineStr">
        <is>
          <t>3812011700</t>
        </is>
      </c>
      <c r="E5735" s="13" t="inlineStr">
        <is>
          <t>ЮЛ РФ</t>
        </is>
      </c>
      <c r="F5735" s="13" t="n"/>
      <c r="G5735" s="14" t="n"/>
      <c r="H5735" s="14" t="n"/>
      <c r="I5735" s="14" t="n"/>
      <c r="J5735" s="14" t="n"/>
      <c r="K5735" s="53" t="inlineStr"/>
      <c r="L5735" s="53" t="inlineStr">
        <is>
          <t>Не определено</t>
        </is>
      </c>
      <c r="M5735" s="53" t="inlineStr"/>
      <c r="N5735" s="54" t="inlineStr"/>
      <c r="O5735" s="55" t="inlineStr"/>
      <c r="P5735" s="16" t="inlineStr">
        <is>
          <t>Требует обогащения</t>
        </is>
      </c>
      <c r="Q5735" s="16">
        <f>HYPERLINK("https://pb.nalog.ru/search.html?query=3812011700","ФНС: проверить")</f>
        <v/>
      </c>
      <c r="R5735" s="16">
        <f>HYPERLINK("https://checko.ru/search?query=3801001629","Чекко: проверить")</f>
        <v/>
      </c>
      <c r="S5735" t="n">
        <v>1</v>
      </c>
      <c r="T5735" s="35" t="inlineStr">
        <is>
          <t>4 — Не обогащён</t>
        </is>
      </c>
      <c r="U5735" s="35" t="inlineStr">
        <is>
          <t>Нет ОКВЭД/ССЧР</t>
        </is>
      </c>
      <c r="V5735" s="35" t="inlineStr">
        <is>
          <t>Не определено</t>
        </is>
      </c>
      <c r="W5735" s="35" t="inlineStr"/>
      <c r="X5735" s="35" t="inlineStr"/>
    </row>
    <row r="5736" ht="15" customHeight="1" s="24">
      <c r="A5736" s="13" t="n">
        <v>801106421</v>
      </c>
      <c r="B5736" s="13" t="inlineStr">
        <is>
          <t>МКУ "Служба городских кладбищ"</t>
        </is>
      </c>
      <c r="C5736" s="13" t="n">
        <v>3804051579</v>
      </c>
      <c r="D5736" s="13" t="inlineStr">
        <is>
          <t>3804051579</t>
        </is>
      </c>
      <c r="E5736" s="13" t="inlineStr">
        <is>
          <t>ЮЛ РФ</t>
        </is>
      </c>
      <c r="F5736" s="13" t="n"/>
      <c r="G5736" s="14" t="n"/>
      <c r="H5736" s="14" t="n"/>
      <c r="I5736" s="14" t="n"/>
      <c r="J5736" s="14" t="n"/>
      <c r="K5736" s="53" t="inlineStr"/>
      <c r="L5736" s="53" t="inlineStr">
        <is>
          <t>Не определено</t>
        </is>
      </c>
      <c r="M5736" s="53" t="inlineStr"/>
      <c r="N5736" s="54" t="inlineStr"/>
      <c r="O5736" s="55" t="inlineStr"/>
      <c r="P5736" s="16" t="inlineStr">
        <is>
          <t>Требует обогащения</t>
        </is>
      </c>
      <c r="Q5736" s="16">
        <f>HYPERLINK("https://pb.nalog.ru/search.html?query=3804051579","ФНС: проверить")</f>
        <v/>
      </c>
      <c r="R5736" s="16">
        <f>HYPERLINK("https://checko.ru/search?query=3801001629","Чекко: проверить")</f>
        <v/>
      </c>
      <c r="S5736" t="n">
        <v>1</v>
      </c>
      <c r="T5736" s="35" t="inlineStr">
        <is>
          <t>4 — Не обогащён</t>
        </is>
      </c>
      <c r="U5736" s="35" t="inlineStr">
        <is>
          <t>Нет ОКВЭД/ССЧР</t>
        </is>
      </c>
      <c r="V5736" s="35" t="inlineStr">
        <is>
          <t>Не определено</t>
        </is>
      </c>
      <c r="W5736" s="35" t="inlineStr"/>
      <c r="X5736" s="35" t="inlineStr"/>
    </row>
    <row r="5737" ht="27.75" customHeight="1" s="24">
      <c r="A5737" s="13" t="n">
        <v>802660023</v>
      </c>
      <c r="B5737" s="13" t="inlineStr">
        <is>
          <t>ДУМА МУНИЦИПАЛЬНОГО ОБРАЗОВАНИЯ (ГОРОД УСТЬ-КУТ)</t>
        </is>
      </c>
      <c r="C5737" s="13" t="n">
        <v>3818019582</v>
      </c>
      <c r="D5737" s="13" t="inlineStr">
        <is>
          <t>3818019582</t>
        </is>
      </c>
      <c r="E5737" s="13" t="inlineStr">
        <is>
          <t>ЮЛ РФ</t>
        </is>
      </c>
      <c r="F5737" s="13" t="n"/>
      <c r="G5737" s="14" t="n"/>
      <c r="H5737" s="14" t="n"/>
      <c r="I5737" s="14" t="n"/>
      <c r="J5737" s="14" t="n"/>
      <c r="K5737" s="53" t="inlineStr"/>
      <c r="L5737" s="53" t="inlineStr">
        <is>
          <t>Не определено</t>
        </is>
      </c>
      <c r="M5737" s="53" t="inlineStr"/>
      <c r="N5737" s="54" t="inlineStr"/>
      <c r="O5737" s="55" t="inlineStr"/>
      <c r="P5737" s="16" t="inlineStr">
        <is>
          <t>Требует обогащения</t>
        </is>
      </c>
      <c r="Q5737" s="16">
        <f>HYPERLINK("https://pb.nalog.ru/search.html?query=3818019582","ФНС: проверить")</f>
        <v/>
      </c>
      <c r="R5737" s="16">
        <f>HYPERLINK("https://checko.ru/search?query=3801001629","Чекко: проверить")</f>
        <v/>
      </c>
      <c r="S5737" t="n">
        <v>1</v>
      </c>
      <c r="T5737" s="35" t="inlineStr">
        <is>
          <t>4 — Не обогащён</t>
        </is>
      </c>
      <c r="U5737" s="35" t="inlineStr">
        <is>
          <t>Нет ОКВЭД/ССЧР</t>
        </is>
      </c>
      <c r="V5737" s="35" t="inlineStr">
        <is>
          <t>Не определено</t>
        </is>
      </c>
      <c r="W5737" s="35" t="inlineStr"/>
      <c r="X5737" s="35" t="inlineStr"/>
    </row>
    <row r="5738" ht="15" customHeight="1" s="24">
      <c r="A5738" s="13" t="n">
        <v>800167265</v>
      </c>
      <c r="B5738" s="13" t="inlineStr">
        <is>
          <t>ГОРОДСКОЙ СОВЕТ ДЕПУТАТОВ ГП "ГОРОД ЛЕНСК"</t>
        </is>
      </c>
      <c r="C5738" s="13" t="n">
        <v>1414015571</v>
      </c>
      <c r="D5738" s="13" t="inlineStr">
        <is>
          <t>1414015571</t>
        </is>
      </c>
      <c r="E5738" s="13" t="inlineStr">
        <is>
          <t>ЮЛ РФ</t>
        </is>
      </c>
      <c r="F5738" s="13" t="n"/>
      <c r="G5738" s="14" t="n"/>
      <c r="H5738" s="14" t="n"/>
      <c r="I5738" s="14" t="n"/>
      <c r="J5738" s="14" t="n"/>
      <c r="K5738" s="53" t="inlineStr"/>
      <c r="L5738" s="53" t="inlineStr">
        <is>
          <t>Не определено</t>
        </is>
      </c>
      <c r="M5738" s="53" t="inlineStr"/>
      <c r="N5738" s="54" t="inlineStr"/>
      <c r="O5738" s="55" t="inlineStr"/>
      <c r="P5738" s="16" t="inlineStr">
        <is>
          <t>Требует обогащения</t>
        </is>
      </c>
      <c r="Q5738" s="16">
        <f>HYPERLINK("https://pb.nalog.ru/search.html?query=1414015571","ФНС: проверить")</f>
        <v/>
      </c>
      <c r="R5738" s="16">
        <f>HYPERLINK("https://checko.ru/search?query=3801001629","Чекко: проверить")</f>
        <v/>
      </c>
      <c r="S5738" t="n">
        <v>1</v>
      </c>
      <c r="T5738" s="35" t="inlineStr">
        <is>
          <t>4 — Не обогащён</t>
        </is>
      </c>
      <c r="U5738" s="35" t="inlineStr">
        <is>
          <t>Нет ОКВЭД/ССЧР</t>
        </is>
      </c>
      <c r="V5738" s="35" t="inlineStr">
        <is>
          <t>Не определено</t>
        </is>
      </c>
      <c r="W5738" s="35" t="inlineStr"/>
      <c r="X5738" s="35" t="inlineStr"/>
    </row>
    <row r="5739" ht="15" customHeight="1" s="24">
      <c r="A5739" s="13" t="n">
        <v>9599294</v>
      </c>
      <c r="B5739" s="13" t="inlineStr">
        <is>
          <t>Российский университет правосудия В-С филиал</t>
        </is>
      </c>
      <c r="C5739" s="13" t="n">
        <v>7710324108</v>
      </c>
      <c r="D5739" s="13" t="inlineStr">
        <is>
          <t>7710324108</t>
        </is>
      </c>
      <c r="E5739" s="13" t="inlineStr">
        <is>
          <t>ЮЛ РФ</t>
        </is>
      </c>
      <c r="F5739" s="13" t="n"/>
      <c r="G5739" s="14" t="n"/>
      <c r="H5739" s="14" t="n"/>
      <c r="I5739" s="14" t="n"/>
      <c r="J5739" s="14" t="n"/>
      <c r="K5739" s="53" t="inlineStr"/>
      <c r="L5739" s="53" t="inlineStr">
        <is>
          <t>Не определено</t>
        </is>
      </c>
      <c r="M5739" s="53" t="inlineStr"/>
      <c r="N5739" s="54" t="inlineStr"/>
      <c r="O5739" s="55" t="inlineStr"/>
      <c r="P5739" s="16" t="inlineStr">
        <is>
          <t>Требует обогащения</t>
        </is>
      </c>
      <c r="Q5739" s="16">
        <f>HYPERLINK("https://pb.nalog.ru/search.html?query=7710324108","ФНС: проверить")</f>
        <v/>
      </c>
      <c r="R5739" s="16">
        <f>HYPERLINK("https://checko.ru/search?query=3801001629","Чекко: проверить")</f>
        <v/>
      </c>
      <c r="S5739" t="n">
        <v>1</v>
      </c>
      <c r="T5739" s="35" t="inlineStr">
        <is>
          <t>4 — Не обогащён</t>
        </is>
      </c>
      <c r="U5739" s="35" t="inlineStr">
        <is>
          <t>Нет ОКВЭД/ССЧР</t>
        </is>
      </c>
      <c r="V5739" s="35" t="inlineStr">
        <is>
          <t>Не определено</t>
        </is>
      </c>
      <c r="W5739" s="35" t="inlineStr"/>
      <c r="X5739" s="35" t="inlineStr"/>
    </row>
    <row r="5740" ht="54.75" customHeight="1" s="24">
      <c r="A5740" s="13" t="n">
        <v>801105157</v>
      </c>
      <c r="B5740" s="13" t="inlineStr">
        <is>
          <t>МУНИЦИПАЛЬНОЕ БЮДЖЕТНОЕ ОБЩЕОБРАЗОВАТЕЛЬНОЕ УЧРЕЖДЕНИЕ БАЛАГАНСКАЯ СРЕДНЯЯ ОБЩЕОБРАЗОВАТЕЛЬНАЯ ШКОЛА № 1</t>
        </is>
      </c>
      <c r="C5740" s="13" t="n">
        <v>3822001161</v>
      </c>
      <c r="D5740" s="13" t="inlineStr">
        <is>
          <t>3822001161</t>
        </is>
      </c>
      <c r="E5740" s="13" t="inlineStr">
        <is>
          <t>ЮЛ РФ</t>
        </is>
      </c>
      <c r="F5740" s="13" t="n"/>
      <c r="G5740" s="14" t="n"/>
      <c r="H5740" s="14" t="n"/>
      <c r="I5740" s="14" t="n"/>
      <c r="J5740" s="14" t="n"/>
      <c r="K5740" s="53" t="inlineStr"/>
      <c r="L5740" s="53" t="inlineStr">
        <is>
          <t>Не определено</t>
        </is>
      </c>
      <c r="M5740" s="53" t="inlineStr"/>
      <c r="N5740" s="54" t="inlineStr"/>
      <c r="O5740" s="55" t="inlineStr"/>
      <c r="P5740" s="16" t="inlineStr">
        <is>
          <t>Требует обогащения</t>
        </is>
      </c>
      <c r="Q5740" s="16">
        <f>HYPERLINK("https://pb.nalog.ru/search.html?query=3822001161","ФНС: проверить")</f>
        <v/>
      </c>
      <c r="R5740" s="16">
        <f>HYPERLINK("https://checko.ru/search?query=3801001629","Чекко: проверить")</f>
        <v/>
      </c>
      <c r="S5740" t="n">
        <v>1</v>
      </c>
      <c r="T5740" s="35" t="inlineStr">
        <is>
          <t>4 — Не обогащён</t>
        </is>
      </c>
      <c r="U5740" s="35" t="inlineStr">
        <is>
          <t>Нет ОКВЭД/ССЧР</t>
        </is>
      </c>
      <c r="V5740" s="35" t="inlineStr">
        <is>
          <t>Не определено</t>
        </is>
      </c>
      <c r="W5740" s="35" t="inlineStr"/>
      <c r="X5740" s="35" t="inlineStr"/>
    </row>
    <row r="5741" ht="15" customHeight="1" s="24">
      <c r="A5741" s="13" t="n">
        <v>801103150</v>
      </c>
      <c r="B5741" s="13" t="inlineStr">
        <is>
          <t>Центр по защите оборонных технологий</t>
        </is>
      </c>
      <c r="C5741" s="13" t="n">
        <v>3812074668</v>
      </c>
      <c r="D5741" s="13" t="inlineStr">
        <is>
          <t>3812074668</t>
        </is>
      </c>
      <c r="E5741" s="13" t="inlineStr">
        <is>
          <t>ЮЛ РФ</t>
        </is>
      </c>
      <c r="F5741" s="13" t="n"/>
      <c r="G5741" s="14" t="n"/>
      <c r="H5741" s="14" t="n"/>
      <c r="I5741" s="14" t="n"/>
      <c r="J5741" s="14" t="n"/>
      <c r="K5741" s="53" t="inlineStr"/>
      <c r="L5741" s="53" t="inlineStr">
        <is>
          <t>Не определено</t>
        </is>
      </c>
      <c r="M5741" s="53" t="inlineStr"/>
      <c r="N5741" s="54" t="inlineStr"/>
      <c r="O5741" s="55" t="inlineStr"/>
      <c r="P5741" s="16" t="inlineStr">
        <is>
          <t>Требует обогащения</t>
        </is>
      </c>
      <c r="Q5741" s="16">
        <f>HYPERLINK("https://pb.nalog.ru/search.html?query=3812074668","ФНС: проверить")</f>
        <v/>
      </c>
      <c r="R5741" s="16">
        <f>HYPERLINK("https://checko.ru/search?query=3801001629","Чекко: проверить")</f>
        <v/>
      </c>
      <c r="S5741" t="n">
        <v>1</v>
      </c>
      <c r="T5741" s="35" t="inlineStr">
        <is>
          <t>4 — Не обогащён</t>
        </is>
      </c>
      <c r="U5741" s="35" t="inlineStr">
        <is>
          <t>Нет ОКВЭД/ССЧР</t>
        </is>
      </c>
      <c r="V5741" s="35" t="inlineStr">
        <is>
          <t>Не определено</t>
        </is>
      </c>
      <c r="W5741" s="35" t="inlineStr"/>
      <c r="X5741" s="35" t="inlineStr"/>
    </row>
    <row r="5742" ht="27.75" customHeight="1" s="24">
      <c r="A5742" s="13" t="n">
        <v>802684780</v>
      </c>
      <c r="B5742" s="13" t="inlineStr">
        <is>
          <t>Контрольно-ревизионная палата Шелеховского района</t>
        </is>
      </c>
      <c r="C5742" s="13" t="n">
        <v>3848003519</v>
      </c>
      <c r="D5742" s="13" t="inlineStr">
        <is>
          <t>3848003519</t>
        </is>
      </c>
      <c r="E5742" s="13" t="inlineStr">
        <is>
          <t>ЮЛ РФ</t>
        </is>
      </c>
      <c r="F5742" s="13" t="n"/>
      <c r="G5742" s="14" t="n"/>
      <c r="H5742" s="14" t="n"/>
      <c r="I5742" s="14" t="n"/>
      <c r="J5742" s="14" t="n"/>
      <c r="K5742" s="53" t="inlineStr"/>
      <c r="L5742" s="53" t="inlineStr">
        <is>
          <t>Не определено</t>
        </is>
      </c>
      <c r="M5742" s="53" t="inlineStr"/>
      <c r="N5742" s="54" t="inlineStr"/>
      <c r="O5742" s="55" t="inlineStr"/>
      <c r="P5742" s="16" t="inlineStr">
        <is>
          <t>Требует обогащения</t>
        </is>
      </c>
      <c r="Q5742" s="16">
        <f>HYPERLINK("https://pb.nalog.ru/search.html?query=3848003519","ФНС: проверить")</f>
        <v/>
      </c>
      <c r="R5742" s="16">
        <f>HYPERLINK("https://checko.ru/search?query=3801001629","Чекко: проверить")</f>
        <v/>
      </c>
      <c r="S5742" t="n">
        <v>1</v>
      </c>
      <c r="T5742" s="35" t="inlineStr">
        <is>
          <t>4 — Не обогащён</t>
        </is>
      </c>
      <c r="U5742" s="35" t="inlineStr">
        <is>
          <t>Нет ОКВЭД/ССЧР</t>
        </is>
      </c>
      <c r="V5742" s="35" t="inlineStr">
        <is>
          <t>Не определено</t>
        </is>
      </c>
      <c r="W5742" s="35" t="inlineStr"/>
      <c r="X5742" s="35" t="inlineStr"/>
    </row>
    <row r="5743" ht="15" customHeight="1" s="24">
      <c r="A5743" s="13" t="n">
        <v>800153051</v>
      </c>
      <c r="B5743" s="13" t="inlineStr">
        <is>
          <t>Городской спортивно-методический центр</t>
        </is>
      </c>
      <c r="C5743" s="13" t="n">
        <v>3808105747</v>
      </c>
      <c r="D5743" s="13" t="inlineStr">
        <is>
          <t>3808105747</t>
        </is>
      </c>
      <c r="E5743" s="13" t="inlineStr">
        <is>
          <t>ЮЛ РФ</t>
        </is>
      </c>
      <c r="F5743" s="13" t="n"/>
      <c r="G5743" s="14" t="n"/>
      <c r="H5743" s="14" t="n"/>
      <c r="I5743" s="14" t="n"/>
      <c r="J5743" s="14" t="n"/>
      <c r="K5743" s="53" t="inlineStr"/>
      <c r="L5743" s="53" t="inlineStr">
        <is>
          <t>Не определено</t>
        </is>
      </c>
      <c r="M5743" s="53" t="inlineStr"/>
      <c r="N5743" s="54" t="inlineStr"/>
      <c r="O5743" s="55" t="inlineStr"/>
      <c r="P5743" s="16" t="inlineStr">
        <is>
          <t>Требует обогащения</t>
        </is>
      </c>
      <c r="Q5743" s="16">
        <f>HYPERLINK("https://pb.nalog.ru/search.html?query=3808105747","ФНС: проверить")</f>
        <v/>
      </c>
      <c r="R5743" s="16">
        <f>HYPERLINK("https://checko.ru/search?query=3801001629","Чекко: проверить")</f>
        <v/>
      </c>
      <c r="S5743" t="n">
        <v>1</v>
      </c>
      <c r="T5743" s="35" t="inlineStr">
        <is>
          <t>4 — Не обогащён</t>
        </is>
      </c>
      <c r="U5743" s="35" t="inlineStr">
        <is>
          <t>Нет ОКВЭД/ССЧР</t>
        </is>
      </c>
      <c r="V5743" s="35" t="inlineStr">
        <is>
          <t>Не определено</t>
        </is>
      </c>
      <c r="W5743" s="35" t="inlineStr"/>
      <c r="X5743" s="35" t="inlineStr"/>
    </row>
    <row r="5744" ht="41.25" customHeight="1" s="24">
      <c r="A5744" s="13" t="n">
        <v>20018700107</v>
      </c>
      <c r="B5744" s="13" t="inlineStr">
        <is>
          <t>МКУ "Библиотечное объединение" Тайшетского муниципального образования "Тайшетское городское поселение"</t>
        </is>
      </c>
      <c r="C5744" s="13" t="n">
        <v>3815010101</v>
      </c>
      <c r="D5744" s="13" t="inlineStr">
        <is>
          <t>3815010101</t>
        </is>
      </c>
      <c r="E5744" s="13" t="inlineStr">
        <is>
          <t>ЮЛ РФ</t>
        </is>
      </c>
      <c r="F5744" s="13" t="n"/>
      <c r="G5744" s="14" t="n"/>
      <c r="H5744" s="14" t="n"/>
      <c r="I5744" s="14" t="n"/>
      <c r="J5744" s="14" t="n"/>
      <c r="K5744" s="53" t="inlineStr"/>
      <c r="L5744" s="53" t="inlineStr">
        <is>
          <t>Не определено</t>
        </is>
      </c>
      <c r="M5744" s="53" t="inlineStr"/>
      <c r="N5744" s="54" t="inlineStr"/>
      <c r="O5744" s="55" t="inlineStr"/>
      <c r="P5744" s="16" t="inlineStr">
        <is>
          <t>Требует обогащения</t>
        </is>
      </c>
      <c r="Q5744" s="16">
        <f>HYPERLINK("https://pb.nalog.ru/search.html?query=3815010101","ФНС: проверить")</f>
        <v/>
      </c>
      <c r="R5744" s="16">
        <f>HYPERLINK("https://checko.ru/search?query=3801001629","Чекко: проверить")</f>
        <v/>
      </c>
      <c r="S5744" t="n">
        <v>1</v>
      </c>
      <c r="T5744" s="35" t="inlineStr">
        <is>
          <t>4 — Не обогащён</t>
        </is>
      </c>
      <c r="U5744" s="35" t="inlineStr">
        <is>
          <t>Нет ОКВЭД/ССЧР</t>
        </is>
      </c>
      <c r="V5744" s="35" t="inlineStr">
        <is>
          <t>Не определено</t>
        </is>
      </c>
      <c r="W5744" s="35" t="inlineStr"/>
      <c r="X5744" s="35" t="inlineStr"/>
    </row>
    <row r="5745" ht="27.75" customHeight="1" s="24">
      <c r="A5745" s="13" t="n">
        <v>802684922</v>
      </c>
      <c r="B5745" s="13" t="inlineStr">
        <is>
          <t>Институт "Сибирская школа геонаук (Siberian school of geosciences)"</t>
        </is>
      </c>
      <c r="C5745" s="13" t="n">
        <v>3812014066</v>
      </c>
      <c r="D5745" s="13" t="inlineStr">
        <is>
          <t>3812014066</t>
        </is>
      </c>
      <c r="E5745" s="13" t="inlineStr">
        <is>
          <t>ЮЛ РФ</t>
        </is>
      </c>
      <c r="F5745" s="13" t="n"/>
      <c r="G5745" s="14" t="n"/>
      <c r="H5745" s="14" t="n"/>
      <c r="I5745" s="14" t="n"/>
      <c r="J5745" s="14" t="n"/>
      <c r="K5745" s="53" t="inlineStr"/>
      <c r="L5745" s="53" t="inlineStr">
        <is>
          <t>Не определено</t>
        </is>
      </c>
      <c r="M5745" s="53" t="inlineStr"/>
      <c r="N5745" s="54" t="inlineStr"/>
      <c r="O5745" s="55" t="inlineStr"/>
      <c r="P5745" s="16" t="inlineStr">
        <is>
          <t>Требует обогащения</t>
        </is>
      </c>
      <c r="Q5745" s="16">
        <f>HYPERLINK("https://pb.nalog.ru/search.html?query=3812014066","ФНС: проверить")</f>
        <v/>
      </c>
      <c r="R5745" s="16">
        <f>HYPERLINK("https://checko.ru/search?query=3801001629","Чекко: проверить")</f>
        <v/>
      </c>
      <c r="S5745" t="n">
        <v>0</v>
      </c>
      <c r="T5745" s="35" t="inlineStr">
        <is>
          <t>4 — Не обогащён</t>
        </is>
      </c>
      <c r="U5745" s="35" t="inlineStr">
        <is>
          <t>Нет ОКВЭД/ССЧР</t>
        </is>
      </c>
      <c r="V5745" s="35" t="inlineStr">
        <is>
          <t>Не определено</t>
        </is>
      </c>
      <c r="W5745" s="35" t="inlineStr"/>
      <c r="X5745" s="35" t="inlineStr"/>
    </row>
    <row r="5746" ht="15" customHeight="1" s="24">
      <c r="A5746" s="13" t="n">
        <v>801109263</v>
      </c>
      <c r="B5746" s="13" t="inlineStr">
        <is>
          <t>Дума Усть-Кутского муниципального образования</t>
        </is>
      </c>
      <c r="C5746" s="13" t="n">
        <v>3818019279</v>
      </c>
      <c r="D5746" s="13" t="inlineStr">
        <is>
          <t>3818019279</t>
        </is>
      </c>
      <c r="E5746" s="13" t="inlineStr">
        <is>
          <t>ЮЛ РФ</t>
        </is>
      </c>
      <c r="F5746" s="13" t="n"/>
      <c r="G5746" s="14" t="n"/>
      <c r="H5746" s="14" t="n"/>
      <c r="I5746" s="14" t="n"/>
      <c r="J5746" s="14" t="n"/>
      <c r="K5746" s="53" t="inlineStr"/>
      <c r="L5746" s="53" t="inlineStr">
        <is>
          <t>Не определено</t>
        </is>
      </c>
      <c r="M5746" s="53" t="inlineStr"/>
      <c r="N5746" s="54" t="inlineStr"/>
      <c r="O5746" s="55" t="inlineStr"/>
      <c r="P5746" s="16" t="inlineStr">
        <is>
          <t>Требует обогащения</t>
        </is>
      </c>
      <c r="Q5746" s="16">
        <f>HYPERLINK("https://pb.nalog.ru/search.html?query=3818019279","ФНС: проверить")</f>
        <v/>
      </c>
      <c r="R5746" s="16">
        <f>HYPERLINK("https://checko.ru/search?query=3801001629","Чекко: проверить")</f>
        <v/>
      </c>
      <c r="S5746" t="n">
        <v>1</v>
      </c>
      <c r="T5746" s="35" t="inlineStr">
        <is>
          <t>4 — Не обогащён</t>
        </is>
      </c>
      <c r="U5746" s="35" t="inlineStr">
        <is>
          <t>Нет ОКВЭД/ССЧР</t>
        </is>
      </c>
      <c r="V5746" s="35" t="inlineStr">
        <is>
          <t>Не определено</t>
        </is>
      </c>
      <c r="W5746" s="35" t="inlineStr"/>
      <c r="X5746" s="35" t="inlineStr"/>
    </row>
    <row r="5747" ht="15" customHeight="1" s="24">
      <c r="A5747" s="13" t="n">
        <v>800120290</v>
      </c>
      <c r="B5747" s="13" t="inlineStr">
        <is>
          <t>МКОУ КВИТОКСКАЯ СОШ №1</t>
        </is>
      </c>
      <c r="C5747" s="13" t="n">
        <v>3838004560</v>
      </c>
      <c r="D5747" s="13" t="inlineStr">
        <is>
          <t>3838004560</t>
        </is>
      </c>
      <c r="E5747" s="13" t="inlineStr">
        <is>
          <t>ЮЛ РФ</t>
        </is>
      </c>
      <c r="F5747" s="13" t="n"/>
      <c r="G5747" s="14" t="n"/>
      <c r="H5747" s="14" t="n"/>
      <c r="I5747" s="14" t="n"/>
      <c r="J5747" s="14" t="n"/>
      <c r="K5747" s="53" t="inlineStr"/>
      <c r="L5747" s="53" t="inlineStr">
        <is>
          <t>Не определено</t>
        </is>
      </c>
      <c r="M5747" s="53" t="inlineStr"/>
      <c r="N5747" s="54" t="inlineStr"/>
      <c r="O5747" s="55" t="inlineStr"/>
      <c r="P5747" s="16" t="inlineStr">
        <is>
          <t>Требует обогащения</t>
        </is>
      </c>
      <c r="Q5747" s="16">
        <f>HYPERLINK("https://pb.nalog.ru/search.html?query=3838004560","ФНС: проверить")</f>
        <v/>
      </c>
      <c r="R5747" s="16">
        <f>HYPERLINK("https://checko.ru/search?query=3801001629","Чекко: проверить")</f>
        <v/>
      </c>
      <c r="S5747" t="n">
        <v>1</v>
      </c>
      <c r="T5747" s="35" t="inlineStr">
        <is>
          <t>4 — Не обогащён</t>
        </is>
      </c>
      <c r="U5747" s="35" t="inlineStr">
        <is>
          <t>Нет ОКВЭД/ССЧР</t>
        </is>
      </c>
      <c r="V5747" s="35" t="inlineStr">
        <is>
          <t>Не определено</t>
        </is>
      </c>
      <c r="W5747" s="35" t="inlineStr"/>
      <c r="X5747" s="35" t="inlineStr"/>
    </row>
    <row r="5748" ht="41.25" customHeight="1" s="24">
      <c r="A5748" s="13" t="n">
        <v>800121419</v>
      </c>
      <c r="B5748" s="13" t="inlineStr">
        <is>
          <t>Муниципальное бюджетное учреждение культуры г. Иркутска "Иркутский городской театр народной драмы"</t>
        </is>
      </c>
      <c r="C5748" s="13" t="n">
        <v>3812014443</v>
      </c>
      <c r="D5748" s="13" t="inlineStr">
        <is>
          <t>3812014443</t>
        </is>
      </c>
      <c r="E5748" s="13" t="inlineStr">
        <is>
          <t>ЮЛ РФ</t>
        </is>
      </c>
      <c r="F5748" s="13" t="n"/>
      <c r="G5748" s="14" t="n"/>
      <c r="H5748" s="14" t="n"/>
      <c r="I5748" s="14" t="n"/>
      <c r="J5748" s="14" t="n"/>
      <c r="K5748" s="53" t="inlineStr"/>
      <c r="L5748" s="53" t="inlineStr">
        <is>
          <t>Не определено</t>
        </is>
      </c>
      <c r="M5748" s="53" t="inlineStr"/>
      <c r="N5748" s="54" t="inlineStr"/>
      <c r="O5748" s="55" t="inlineStr"/>
      <c r="P5748" s="16" t="inlineStr">
        <is>
          <t>Требует обогащения</t>
        </is>
      </c>
      <c r="Q5748" s="16">
        <f>HYPERLINK("https://pb.nalog.ru/search.html?query=3812014443","ФНС: проверить")</f>
        <v/>
      </c>
      <c r="R5748" s="16">
        <f>HYPERLINK("https://checko.ru/search?query=3801001629","Чекко: проверить")</f>
        <v/>
      </c>
      <c r="S5748" t="n">
        <v>1</v>
      </c>
      <c r="T5748" s="35" t="inlineStr">
        <is>
          <t>4 — Не обогащён</t>
        </is>
      </c>
      <c r="U5748" s="35" t="inlineStr">
        <is>
          <t>Нет ОКВЭД/ССЧР</t>
        </is>
      </c>
      <c r="V5748" s="35" t="inlineStr">
        <is>
          <t>Не определено</t>
        </is>
      </c>
      <c r="W5748" s="35" t="inlineStr"/>
      <c r="X5748" s="35" t="inlineStr"/>
    </row>
    <row r="5749" ht="27.75" customHeight="1" s="24">
      <c r="A5749" s="13" t="n">
        <v>800140785</v>
      </c>
      <c r="B5749" s="13" t="inlineStr">
        <is>
          <t>Комитет по управлению имуществом и промышленностью УКМО</t>
        </is>
      </c>
      <c r="C5749" s="13" t="n">
        <v>3818001659</v>
      </c>
      <c r="D5749" s="13" t="inlineStr">
        <is>
          <t>3818001659</t>
        </is>
      </c>
      <c r="E5749" s="13" t="inlineStr">
        <is>
          <t>ЮЛ РФ</t>
        </is>
      </c>
      <c r="F5749" s="13" t="n"/>
      <c r="G5749" s="14" t="n"/>
      <c r="H5749" s="14" t="n"/>
      <c r="I5749" s="14" t="n"/>
      <c r="J5749" s="14" t="n"/>
      <c r="K5749" s="53" t="inlineStr"/>
      <c r="L5749" s="53" t="inlineStr">
        <is>
          <t>Не определено</t>
        </is>
      </c>
      <c r="M5749" s="53" t="inlineStr"/>
      <c r="N5749" s="54" t="inlineStr"/>
      <c r="O5749" s="55" t="inlineStr"/>
      <c r="P5749" s="16" t="inlineStr">
        <is>
          <t>Требует обогащения</t>
        </is>
      </c>
      <c r="Q5749" s="16">
        <f>HYPERLINK("https://pb.nalog.ru/search.html?query=3818001659","ФНС: проверить")</f>
        <v/>
      </c>
      <c r="R5749" s="16">
        <f>HYPERLINK("https://checko.ru/search?query=3801001629","Чекко: проверить")</f>
        <v/>
      </c>
      <c r="S5749" t="n">
        <v>1</v>
      </c>
      <c r="T5749" s="35" t="inlineStr">
        <is>
          <t>4 — Не обогащён</t>
        </is>
      </c>
      <c r="U5749" s="35" t="inlineStr">
        <is>
          <t>Нет ОКВЭД/ССЧР</t>
        </is>
      </c>
      <c r="V5749" s="35" t="inlineStr">
        <is>
          <t>Не определено</t>
        </is>
      </c>
      <c r="W5749" s="35" t="inlineStr"/>
      <c r="X5749" s="35" t="inlineStr"/>
    </row>
    <row r="5750" ht="15" customHeight="1" s="24">
      <c r="A5750" s="13" t="n">
        <v>800676025</v>
      </c>
      <c r="B5750" s="13" t="inlineStr">
        <is>
          <t>ИП Кузьменко Лариса Анатольевна</t>
        </is>
      </c>
      <c r="C5750" s="13" t="n">
        <v>380102000344</v>
      </c>
      <c r="D5750" s="13" t="inlineStr">
        <is>
          <t>380102000344</t>
        </is>
      </c>
      <c r="E5750" s="13" t="inlineStr">
        <is>
          <t>ИП РФ / физлицо</t>
        </is>
      </c>
      <c r="F5750" s="13" t="n"/>
      <c r="G5750" s="14" t="n"/>
      <c r="H5750" s="14" t="n"/>
      <c r="I5750" s="14" t="n"/>
      <c r="J5750" s="14" t="n"/>
      <c r="K5750" s="53" t="inlineStr"/>
      <c r="L5750" s="53" t="inlineStr">
        <is>
          <t>Не определено</t>
        </is>
      </c>
      <c r="M5750" s="53" t="inlineStr"/>
      <c r="N5750" s="54" t="inlineStr"/>
      <c r="O5750" s="55" t="inlineStr"/>
      <c r="P5750" s="16" t="inlineStr">
        <is>
          <t>Требует обогащения</t>
        </is>
      </c>
      <c r="Q5750" s="16">
        <f>HYPERLINK("https://pb.nalog.ru/search.html?query=380102000344","ФНС: проверить")</f>
        <v/>
      </c>
      <c r="R5750" s="16">
        <f>HYPERLINK("https://checko.ru/search?query=3801001629","Чекко: проверить")</f>
        <v/>
      </c>
      <c r="S5750" t="n">
        <v>1</v>
      </c>
      <c r="T5750" s="35" t="inlineStr">
        <is>
          <t>4 — Не обогащён</t>
        </is>
      </c>
      <c r="U5750" s="35" t="inlineStr">
        <is>
          <t>Нет ОКВЭД/ССЧР</t>
        </is>
      </c>
      <c r="V5750" s="35" t="inlineStr">
        <is>
          <t>Не определено</t>
        </is>
      </c>
      <c r="W5750" s="35" t="inlineStr"/>
      <c r="X5750" s="35" t="inlineStr"/>
    </row>
    <row r="5751" ht="15" customHeight="1" s="24">
      <c r="A5751" s="13" t="n">
        <v>801621240</v>
      </c>
      <c r="B5751" s="13" t="inlineStr">
        <is>
          <t>ИП Кузьменко Виталий Васильевич</t>
        </is>
      </c>
      <c r="C5751" s="13" t="n">
        <v>380104605472</v>
      </c>
      <c r="D5751" s="13" t="inlineStr">
        <is>
          <t>380104605472</t>
        </is>
      </c>
      <c r="E5751" s="13" t="inlineStr">
        <is>
          <t>ИП РФ / физлицо</t>
        </is>
      </c>
      <c r="F5751" s="13" t="n"/>
      <c r="G5751" s="14" t="n"/>
      <c r="H5751" s="14" t="n"/>
      <c r="I5751" s="14" t="n"/>
      <c r="J5751" s="14" t="n"/>
      <c r="K5751" s="53" t="inlineStr"/>
      <c r="L5751" s="53" t="inlineStr">
        <is>
          <t>Не определено</t>
        </is>
      </c>
      <c r="M5751" s="53" t="inlineStr"/>
      <c r="N5751" s="54" t="inlineStr"/>
      <c r="O5751" s="55" t="inlineStr"/>
      <c r="P5751" s="16" t="inlineStr">
        <is>
          <t>Требует обогащения</t>
        </is>
      </c>
      <c r="Q5751" s="16">
        <f>HYPERLINK("https://pb.nalog.ru/search.html?query=380104605472","ФНС: проверить")</f>
        <v/>
      </c>
      <c r="R5751" s="16">
        <f>HYPERLINK("https://checko.ru/search?query=3801001629","Чекко: проверить")</f>
        <v/>
      </c>
      <c r="S5751" t="n">
        <v>1</v>
      </c>
      <c r="T5751" s="35" t="inlineStr">
        <is>
          <t>4 — Не обогащён</t>
        </is>
      </c>
      <c r="U5751" s="35" t="inlineStr">
        <is>
          <t>Нет ОКВЭД/ССЧР</t>
        </is>
      </c>
      <c r="V5751" s="35" t="inlineStr">
        <is>
          <t>Не определено</t>
        </is>
      </c>
      <c r="W5751" s="35" t="inlineStr"/>
      <c r="X5751" s="35" t="inlineStr"/>
    </row>
    <row r="5752" ht="41.25" customHeight="1" s="24">
      <c r="A5752" s="13" t="n">
        <v>10428342</v>
      </c>
      <c r="B5752" s="13" t="inlineStr">
        <is>
          <t>Областное ГАУЗ "Иркутский областной клинический консультативно-диагностический центр"</t>
        </is>
      </c>
      <c r="C5752" s="13" t="n">
        <v>3811056264</v>
      </c>
      <c r="D5752" s="13" t="inlineStr">
        <is>
          <t>3811056264</t>
        </is>
      </c>
      <c r="E5752" s="13" t="inlineStr">
        <is>
          <t>ЮЛ РФ</t>
        </is>
      </c>
      <c r="F5752" s="13" t="n"/>
      <c r="G5752" s="14" t="n"/>
      <c r="H5752" s="14" t="n"/>
      <c r="I5752" s="14" t="n"/>
      <c r="J5752" s="14" t="n"/>
      <c r="K5752" s="53" t="inlineStr"/>
      <c r="L5752" s="53" t="inlineStr">
        <is>
          <t>Не определено</t>
        </is>
      </c>
      <c r="M5752" s="53" t="inlineStr"/>
      <c r="N5752" s="54" t="inlineStr"/>
      <c r="O5752" s="55" t="inlineStr"/>
      <c r="P5752" s="16" t="inlineStr">
        <is>
          <t>Требует обогащения</t>
        </is>
      </c>
      <c r="Q5752" s="16">
        <f>HYPERLINK("https://pb.nalog.ru/search.html?query=3811056264","ФНС: проверить")</f>
        <v/>
      </c>
      <c r="R5752" s="16">
        <f>HYPERLINK("https://checko.ru/search?query=3801001629","Чекко: проверить")</f>
        <v/>
      </c>
      <c r="S5752" t="n">
        <v>0</v>
      </c>
      <c r="T5752" s="35" t="inlineStr">
        <is>
          <t>4 — Не обогащён</t>
        </is>
      </c>
      <c r="U5752" s="35" t="inlineStr">
        <is>
          <t>Нет ОКВЭД/ССЧР</t>
        </is>
      </c>
      <c r="V5752" s="35" t="inlineStr">
        <is>
          <t>Не определено</t>
        </is>
      </c>
      <c r="W5752" s="35" t="inlineStr"/>
      <c r="X5752" s="35" t="inlineStr"/>
    </row>
    <row r="5753" ht="15" customHeight="1" s="24">
      <c r="A5753" s="13" t="n">
        <v>12575759</v>
      </c>
      <c r="B5753" s="13" t="inlineStr">
        <is>
          <t>МБУЗ "Зиминская городская больница"</t>
        </is>
      </c>
      <c r="C5753" s="13" t="n">
        <v>3806001340</v>
      </c>
      <c r="D5753" s="13" t="inlineStr">
        <is>
          <t>3806001340</t>
        </is>
      </c>
      <c r="E5753" s="13" t="inlineStr">
        <is>
          <t>ЮЛ РФ</t>
        </is>
      </c>
      <c r="F5753" s="13" t="n"/>
      <c r="G5753" s="14" t="n"/>
      <c r="H5753" s="14" t="n"/>
      <c r="I5753" s="14" t="n"/>
      <c r="J5753" s="14" t="n"/>
      <c r="K5753" s="53" t="inlineStr"/>
      <c r="L5753" s="53" t="inlineStr">
        <is>
          <t>Не определено</t>
        </is>
      </c>
      <c r="M5753" s="53" t="inlineStr"/>
      <c r="N5753" s="54" t="inlineStr"/>
      <c r="O5753" s="55" t="inlineStr"/>
      <c r="P5753" s="16" t="inlineStr">
        <is>
          <t>Требует обогащения</t>
        </is>
      </c>
      <c r="Q5753" s="16">
        <f>HYPERLINK("https://pb.nalog.ru/search.html?query=3806001340","ФНС: проверить")</f>
        <v/>
      </c>
      <c r="R5753" s="16">
        <f>HYPERLINK("https://checko.ru/search?query=3801001629","Чекко: проверить")</f>
        <v/>
      </c>
      <c r="S5753" t="n">
        <v>0</v>
      </c>
      <c r="T5753" s="35" t="inlineStr">
        <is>
          <t>4 — Не обогащён</t>
        </is>
      </c>
      <c r="U5753" s="35" t="inlineStr">
        <is>
          <t>Нет ОКВЭД/ССЧР</t>
        </is>
      </c>
      <c r="V5753" s="35" t="inlineStr">
        <is>
          <t>Не определено</t>
        </is>
      </c>
      <c r="W5753" s="35" t="inlineStr"/>
      <c r="X5753" s="35" t="inlineStr"/>
    </row>
    <row r="5754" ht="27.75" customHeight="1" s="24">
      <c r="A5754" s="13" t="n">
        <v>800167959</v>
      </c>
      <c r="B5754" s="13" t="inlineStr">
        <is>
          <t>МБУЗ «Казачинско-Ленская Центральная районная больница»</t>
        </is>
      </c>
      <c r="C5754" s="13" t="n">
        <v>3828000044</v>
      </c>
      <c r="D5754" s="13" t="inlineStr">
        <is>
          <t>3828000044</t>
        </is>
      </c>
      <c r="E5754" s="13" t="inlineStr">
        <is>
          <t>ЮЛ РФ</t>
        </is>
      </c>
      <c r="F5754" s="13" t="n"/>
      <c r="G5754" s="14" t="n"/>
      <c r="H5754" s="14" t="n"/>
      <c r="I5754" s="14" t="n"/>
      <c r="J5754" s="14" t="n"/>
      <c r="K5754" s="53" t="inlineStr"/>
      <c r="L5754" s="53" t="inlineStr">
        <is>
          <t>Не определено</t>
        </is>
      </c>
      <c r="M5754" s="53" t="inlineStr"/>
      <c r="N5754" s="54" t="inlineStr"/>
      <c r="O5754" s="55" t="inlineStr"/>
      <c r="P5754" s="16" t="inlineStr">
        <is>
          <t>Требует обогащения</t>
        </is>
      </c>
      <c r="Q5754" s="16">
        <f>HYPERLINK("https://pb.nalog.ru/search.html?query=3828000044","ФНС: проверить")</f>
        <v/>
      </c>
      <c r="R5754" s="16">
        <f>HYPERLINK("https://checko.ru/search?query=3801001629","Чекко: проверить")</f>
        <v/>
      </c>
      <c r="S5754" t="n">
        <v>0</v>
      </c>
      <c r="T5754" s="35" t="inlineStr">
        <is>
          <t>4 — Не обогащён</t>
        </is>
      </c>
      <c r="U5754" s="35" t="inlineStr">
        <is>
          <t>Нет ОКВЭД/ССЧР</t>
        </is>
      </c>
      <c r="V5754" s="35" t="inlineStr">
        <is>
          <t>Не определено</t>
        </is>
      </c>
      <c r="W5754" s="35" t="inlineStr"/>
      <c r="X5754" s="35" t="inlineStr"/>
    </row>
    <row r="5755" ht="15" customHeight="1" s="24">
      <c r="A5755" s="13" t="n">
        <v>800229604</v>
      </c>
      <c r="B5755" s="13" t="inlineStr">
        <is>
          <t>ОбГАУЗ "Братская городская больница № 5""</t>
        </is>
      </c>
      <c r="C5755" s="13" t="n">
        <v>3804002194</v>
      </c>
      <c r="D5755" s="13" t="inlineStr">
        <is>
          <t>3804002194</t>
        </is>
      </c>
      <c r="E5755" s="13" t="inlineStr">
        <is>
          <t>ЮЛ РФ</t>
        </is>
      </c>
      <c r="F5755" s="13" t="n"/>
      <c r="G5755" s="14" t="n"/>
      <c r="H5755" s="14" t="n"/>
      <c r="I5755" s="14" t="n"/>
      <c r="J5755" s="14" t="n"/>
      <c r="K5755" s="53" t="inlineStr"/>
      <c r="L5755" s="53" t="inlineStr">
        <is>
          <t>Не определено</t>
        </is>
      </c>
      <c r="M5755" s="53" t="inlineStr"/>
      <c r="N5755" s="54" t="inlineStr"/>
      <c r="O5755" s="55" t="inlineStr"/>
      <c r="P5755" s="16" t="inlineStr">
        <is>
          <t>Требует обогащения</t>
        </is>
      </c>
      <c r="Q5755" s="16">
        <f>HYPERLINK("https://pb.nalog.ru/search.html?query=3804002194","ФНС: проверить")</f>
        <v/>
      </c>
      <c r="R5755" s="16">
        <f>HYPERLINK("https://checko.ru/search?query=3801001629","Чекко: проверить")</f>
        <v/>
      </c>
      <c r="S5755" t="n">
        <v>0</v>
      </c>
      <c r="T5755" s="35" t="inlineStr">
        <is>
          <t>4 — Не обогащён</t>
        </is>
      </c>
      <c r="U5755" s="35" t="inlineStr">
        <is>
          <t>Нет ОКВЭД/ССЧР</t>
        </is>
      </c>
      <c r="V5755" s="35" t="inlineStr">
        <is>
          <t>Не определено</t>
        </is>
      </c>
      <c r="W5755" s="35" t="inlineStr"/>
      <c r="X5755" s="35" t="inlineStr"/>
    </row>
    <row r="5756" ht="27.75" customHeight="1" s="24">
      <c r="A5756" s="13" t="n">
        <v>10428579</v>
      </c>
      <c r="B5756" s="13" t="inlineStr">
        <is>
          <t>МУЗ Стоматологическая поликлиника №1 г. Иркутска</t>
        </is>
      </c>
      <c r="C5756" s="13" t="n">
        <v>3811031982</v>
      </c>
      <c r="D5756" s="13" t="inlineStr">
        <is>
          <t>3811031982</t>
        </is>
      </c>
      <c r="E5756" s="13" t="inlineStr">
        <is>
          <t>ЮЛ РФ</t>
        </is>
      </c>
      <c r="F5756" s="13" t="n"/>
      <c r="G5756" s="14" t="n"/>
      <c r="H5756" s="14" t="n"/>
      <c r="I5756" s="14" t="n"/>
      <c r="J5756" s="14" t="n"/>
      <c r="K5756" s="53" t="inlineStr"/>
      <c r="L5756" s="53" t="inlineStr">
        <is>
          <t>Не определено</t>
        </is>
      </c>
      <c r="M5756" s="53" t="inlineStr"/>
      <c r="N5756" s="54" t="inlineStr"/>
      <c r="O5756" s="55" t="inlineStr"/>
      <c r="P5756" s="16" t="inlineStr">
        <is>
          <t>Требует обогащения</t>
        </is>
      </c>
      <c r="Q5756" s="16">
        <f>HYPERLINK("https://pb.nalog.ru/search.html?query=3811031982","ФНС: проверить")</f>
        <v/>
      </c>
      <c r="R5756" s="16">
        <f>HYPERLINK("https://checko.ru/search?query=3801001629","Чекко: проверить")</f>
        <v/>
      </c>
      <c r="S5756" t="n">
        <v>0</v>
      </c>
      <c r="T5756" s="35" t="inlineStr">
        <is>
          <t>4 — Не обогащён</t>
        </is>
      </c>
      <c r="U5756" s="35" t="inlineStr">
        <is>
          <t>Нет ОКВЭД/ССЧР</t>
        </is>
      </c>
      <c r="V5756" s="35" t="inlineStr">
        <is>
          <t>Не определено</t>
        </is>
      </c>
      <c r="W5756" s="35" t="inlineStr"/>
      <c r="X5756" s="35" t="inlineStr"/>
    </row>
    <row r="5757" ht="54.75" customHeight="1" s="24">
      <c r="A5757" s="13" t="n">
        <v>801094651</v>
      </c>
      <c r="B5757" s="13" t="inlineStr">
        <is>
          <t>ФГАУ «Национальный медицинский исследовательский центр «МНТК «Микрохирургия глаза» имени академика С.Н. Федорова» Министерства здравоохранения РФ</t>
        </is>
      </c>
      <c r="C5757" s="13" t="n">
        <v>7713059497</v>
      </c>
      <c r="D5757" s="13" t="inlineStr">
        <is>
          <t>7713059497</t>
        </is>
      </c>
      <c r="E5757" s="13" t="inlineStr">
        <is>
          <t>ЮЛ РФ</t>
        </is>
      </c>
      <c r="F5757" s="13" t="n"/>
      <c r="G5757" s="14" t="n"/>
      <c r="H5757" s="14" t="n"/>
      <c r="I5757" s="14" t="n"/>
      <c r="J5757" s="14" t="n"/>
      <c r="K5757" s="53" t="inlineStr"/>
      <c r="L5757" s="53" t="inlineStr">
        <is>
          <t>Не определено</t>
        </is>
      </c>
      <c r="M5757" s="53" t="inlineStr"/>
      <c r="N5757" s="54" t="inlineStr"/>
      <c r="O5757" s="55" t="inlineStr"/>
      <c r="P5757" s="16" t="inlineStr">
        <is>
          <t>Требует обогащения</t>
        </is>
      </c>
      <c r="Q5757" s="16">
        <f>HYPERLINK("https://pb.nalog.ru/search.html?query=7713059497","ФНС: проверить")</f>
        <v/>
      </c>
      <c r="R5757" s="16">
        <f>HYPERLINK("https://checko.ru/search?query=3801001629","Чекко: проверить")</f>
        <v/>
      </c>
      <c r="S5757" t="n">
        <v>1</v>
      </c>
      <c r="T5757" s="35" t="inlineStr">
        <is>
          <t>4 — Не обогащён</t>
        </is>
      </c>
      <c r="U5757" s="35" t="inlineStr">
        <is>
          <t>Нет ОКВЭД/ССЧР</t>
        </is>
      </c>
      <c r="V5757" s="35" t="inlineStr">
        <is>
          <t>Не определено</t>
        </is>
      </c>
      <c r="W5757" s="35" t="inlineStr"/>
      <c r="X5757" s="35" t="inlineStr"/>
    </row>
    <row r="5758" ht="27.75" customHeight="1" s="24">
      <c r="A5758" s="13" t="n">
        <v>10428261</v>
      </c>
      <c r="B5758" s="13" t="inlineStr">
        <is>
          <t>МАУЗ "Городская больница №3" муниципального образования города Братска</t>
        </is>
      </c>
      <c r="C5758" s="13" t="n">
        <v>3805100099</v>
      </c>
      <c r="D5758" s="13" t="inlineStr">
        <is>
          <t>3805100099</t>
        </is>
      </c>
      <c r="E5758" s="13" t="inlineStr">
        <is>
          <t>ЮЛ РФ</t>
        </is>
      </c>
      <c r="F5758" s="13" t="n"/>
      <c r="G5758" s="14" t="n"/>
      <c r="H5758" s="14" t="n"/>
      <c r="I5758" s="14" t="n"/>
      <c r="J5758" s="14" t="n"/>
      <c r="K5758" s="53" t="inlineStr"/>
      <c r="L5758" s="53" t="inlineStr">
        <is>
          <t>Не определено</t>
        </is>
      </c>
      <c r="M5758" s="53" t="inlineStr"/>
      <c r="N5758" s="54" t="inlineStr"/>
      <c r="O5758" s="55" t="inlineStr"/>
      <c r="P5758" s="16" t="inlineStr">
        <is>
          <t>Требует обогащения</t>
        </is>
      </c>
      <c r="Q5758" s="16">
        <f>HYPERLINK("https://pb.nalog.ru/search.html?query=3805100099","ФНС: проверить")</f>
        <v/>
      </c>
      <c r="R5758" s="16">
        <f>HYPERLINK("https://checko.ru/search?query=3801001629","Чекко: проверить")</f>
        <v/>
      </c>
      <c r="S5758" t="n">
        <v>0</v>
      </c>
      <c r="T5758" s="35" t="inlineStr">
        <is>
          <t>4 — Не обогащён</t>
        </is>
      </c>
      <c r="U5758" s="35" t="inlineStr">
        <is>
          <t>Нет ОКВЭД/ССЧР</t>
        </is>
      </c>
      <c r="V5758" s="35" t="inlineStr">
        <is>
          <t>Не определено</t>
        </is>
      </c>
      <c r="W5758" s="35" t="inlineStr"/>
      <c r="X5758" s="35" t="inlineStr"/>
    </row>
    <row r="5759" ht="27.75" customHeight="1" s="24">
      <c r="A5759" s="13" t="n">
        <v>800232102</v>
      </c>
      <c r="B5759" s="13" t="inlineStr">
        <is>
          <t>МУЗ "Мамско-Чуйская центральная районная больница"</t>
        </is>
      </c>
      <c r="C5759" s="13" t="n">
        <v>3833001251</v>
      </c>
      <c r="D5759" s="13" t="inlineStr">
        <is>
          <t>3833001251</t>
        </is>
      </c>
      <c r="E5759" s="13" t="inlineStr">
        <is>
          <t>ЮЛ РФ</t>
        </is>
      </c>
      <c r="F5759" s="13" t="n"/>
      <c r="G5759" s="14" t="n"/>
      <c r="H5759" s="14" t="n"/>
      <c r="I5759" s="14" t="n"/>
      <c r="J5759" s="14" t="n"/>
      <c r="K5759" s="53" t="inlineStr"/>
      <c r="L5759" s="53" t="inlineStr">
        <is>
          <t>Не определено</t>
        </is>
      </c>
      <c r="M5759" s="53" t="inlineStr"/>
      <c r="N5759" s="54" t="inlineStr"/>
      <c r="O5759" s="55" t="inlineStr"/>
      <c r="P5759" s="16" t="inlineStr">
        <is>
          <t>Требует обогащения</t>
        </is>
      </c>
      <c r="Q5759" s="16">
        <f>HYPERLINK("https://pb.nalog.ru/search.html?query=3833001251","ФНС: проверить")</f>
        <v/>
      </c>
      <c r="R5759" s="16">
        <f>HYPERLINK("https://checko.ru/search?query=3801001629","Чекко: проверить")</f>
        <v/>
      </c>
      <c r="S5759" t="n">
        <v>0</v>
      </c>
      <c r="T5759" s="35" t="inlineStr">
        <is>
          <t>4 — Не обогащён</t>
        </is>
      </c>
      <c r="U5759" s="35" t="inlineStr">
        <is>
          <t>Нет ОКВЭД/ССЧР</t>
        </is>
      </c>
      <c r="V5759" s="35" t="inlineStr">
        <is>
          <t>Не определено</t>
        </is>
      </c>
      <c r="W5759" s="35" t="inlineStr"/>
      <c r="X5759" s="35" t="inlineStr"/>
    </row>
    <row r="5760" ht="15" customHeight="1" s="24">
      <c r="A5760" s="13" t="n">
        <v>17486551</v>
      </c>
      <c r="B5760" s="13" t="inlineStr">
        <is>
          <t>ОГБУ "ИРКУТСКАЯ ГСББЖ"</t>
        </is>
      </c>
      <c r="C5760" s="13" t="n">
        <v>3808103524</v>
      </c>
      <c r="D5760" s="13" t="inlineStr">
        <is>
          <t>3808103524</t>
        </is>
      </c>
      <c r="E5760" s="13" t="inlineStr">
        <is>
          <t>ЮЛ РФ</t>
        </is>
      </c>
      <c r="F5760" s="13" t="n"/>
      <c r="G5760" s="14" t="n"/>
      <c r="H5760" s="14" t="n"/>
      <c r="I5760" s="14" t="n"/>
      <c r="J5760" s="14" t="n"/>
      <c r="K5760" s="53" t="inlineStr"/>
      <c r="L5760" s="53" t="inlineStr">
        <is>
          <t>Не определено</t>
        </is>
      </c>
      <c r="M5760" s="53" t="inlineStr"/>
      <c r="N5760" s="54" t="inlineStr"/>
      <c r="O5760" s="55" t="inlineStr"/>
      <c r="P5760" s="16" t="inlineStr">
        <is>
          <t>Требует обогащения</t>
        </is>
      </c>
      <c r="Q5760" s="16">
        <f>HYPERLINK("https://pb.nalog.ru/search.html?query=3808103524","ФНС: проверить")</f>
        <v/>
      </c>
      <c r="R5760" s="16">
        <f>HYPERLINK("https://checko.ru/search?query=3801001629","Чекко: проверить")</f>
        <v/>
      </c>
      <c r="S5760" t="n">
        <v>0</v>
      </c>
      <c r="T5760" s="35" t="inlineStr">
        <is>
          <t>4 — Не обогащён</t>
        </is>
      </c>
      <c r="U5760" s="35" t="inlineStr">
        <is>
          <t>Нет ОКВЭД/ССЧР</t>
        </is>
      </c>
      <c r="V5760" s="35" t="inlineStr">
        <is>
          <t>Не определено</t>
        </is>
      </c>
      <c r="W5760" s="35" t="inlineStr"/>
      <c r="X5760" s="35" t="inlineStr"/>
    </row>
    <row r="5761" ht="27.75" customHeight="1" s="24">
      <c r="A5761" s="13" t="n">
        <v>9903536</v>
      </c>
      <c r="B5761" s="13" t="inlineStr">
        <is>
          <t>ОАО "Иркутская областная оптово-снабженческая аптечная база"</t>
        </is>
      </c>
      <c r="C5761" s="13" t="n">
        <v>3810040374</v>
      </c>
      <c r="D5761" s="13" t="inlineStr">
        <is>
          <t>3810040374</t>
        </is>
      </c>
      <c r="E5761" s="13" t="inlineStr">
        <is>
          <t>ЮЛ РФ</t>
        </is>
      </c>
      <c r="F5761" s="13" t="n"/>
      <c r="G5761" s="52" t="n">
        <v>100</v>
      </c>
      <c r="H5761" s="52" t="n">
        <v>2025</v>
      </c>
      <c r="I5761" s="52" t="inlineStr">
        <is>
          <t>82.99</t>
        </is>
      </c>
      <c r="J5761" s="52" t="inlineStr">
        <is>
          <t>82.99; 46.46; 47.73; 68.20.29; 46.46.1; 52.10; 52.24; 72.19; 73.11; 86.10</t>
        </is>
      </c>
      <c r="K5761" s="53" t="inlineStr">
        <is>
          <t>Да</t>
        </is>
      </c>
      <c r="L5761" s="53" t="inlineStr">
        <is>
          <t>Да</t>
        </is>
      </c>
      <c r="M5761" s="53" t="inlineStr">
        <is>
          <t>До 100</t>
        </is>
      </c>
      <c r="N5761" s="54" t="n">
        <v>33600</v>
      </c>
      <c r="O5761" s="55" t="inlineStr">
        <is>
          <t>51–100</t>
        </is>
      </c>
      <c r="P5761" s="16" t="inlineStr">
        <is>
          <t>ССЧР + ОКВЭД обогащены</t>
        </is>
      </c>
      <c r="Q5761" s="16" t="inlineStr">
        <is>
          <t>ФНС открытые данные ССЧР (ДатаСост 31.12.2025; набор 7707329152-sshr2019)</t>
        </is>
      </c>
      <c r="R5761" s="16" t="inlineStr">
        <is>
          <t>ЕГРЮЛ / egrul.nalog.ru (выписка)</t>
        </is>
      </c>
      <c r="S5761" t="n">
        <v>1</v>
      </c>
      <c r="T5761" s="35" t="inlineStr">
        <is>
          <t>1 — Горячий</t>
        </is>
      </c>
      <c r="U5761" s="35" t="inlineStr">
        <is>
          <t>ОКВЭД + 22+</t>
        </is>
      </c>
      <c r="V5761" s="35" t="inlineStr">
        <is>
          <t>Да</t>
        </is>
      </c>
      <c r="W5761" s="35" t="inlineStr">
        <is>
          <t>Да</t>
        </is>
      </c>
      <c r="X5761" s="35" t="inlineStr">
        <is>
          <t>Да</t>
        </is>
      </c>
    </row>
    <row r="5762" ht="15" customHeight="1" s="24">
      <c r="A5762" s="13" t="n">
        <v>800235875</v>
      </c>
      <c r="B5762" s="13" t="inlineStr">
        <is>
          <t>ОГБУЗ «Нукутская районная больница»</t>
        </is>
      </c>
      <c r="C5762" s="13" t="n">
        <v>8504000759</v>
      </c>
      <c r="D5762" s="13" t="inlineStr">
        <is>
          <t>8504000759</t>
        </is>
      </c>
      <c r="E5762" s="13" t="inlineStr">
        <is>
          <t>ЮЛ РФ</t>
        </is>
      </c>
      <c r="F5762" s="13" t="n"/>
      <c r="G5762" s="14" t="n"/>
      <c r="H5762" s="14" t="n"/>
      <c r="I5762" s="14" t="n"/>
      <c r="J5762" s="14" t="n"/>
      <c r="K5762" s="53" t="inlineStr"/>
      <c r="L5762" s="53" t="inlineStr">
        <is>
          <t>Не определено</t>
        </is>
      </c>
      <c r="M5762" s="53" t="inlineStr"/>
      <c r="N5762" s="54" t="inlineStr"/>
      <c r="O5762" s="55" t="inlineStr"/>
      <c r="P5762" s="16" t="inlineStr">
        <is>
          <t>Требует обогащения</t>
        </is>
      </c>
      <c r="Q5762" s="16">
        <f>HYPERLINK("https://pb.nalog.ru/search.html?query=8504000759","ФНС: проверить")</f>
        <v/>
      </c>
      <c r="R5762" s="16">
        <f>HYPERLINK("https://checko.ru/search?query=3801001629","Чекко: проверить")</f>
        <v/>
      </c>
      <c r="S5762" t="n">
        <v>0</v>
      </c>
      <c r="T5762" s="35" t="inlineStr">
        <is>
          <t>4 — Не обогащён</t>
        </is>
      </c>
      <c r="U5762" s="35" t="inlineStr">
        <is>
          <t>Нет ОКВЭД/ССЧР</t>
        </is>
      </c>
      <c r="V5762" s="35" t="inlineStr">
        <is>
          <t>Не определено</t>
        </is>
      </c>
      <c r="W5762" s="35" t="inlineStr"/>
      <c r="X5762" s="35" t="inlineStr"/>
    </row>
    <row r="5763" ht="15" customHeight="1" s="24">
      <c r="A5763" s="13" t="n">
        <v>10428971</v>
      </c>
      <c r="B5763" s="13" t="inlineStr">
        <is>
          <t>МАУЗ "Городская больница № 2" г. Братск</t>
        </is>
      </c>
      <c r="C5763" s="13" t="n">
        <v>3805100162</v>
      </c>
      <c r="D5763" s="13" t="inlineStr">
        <is>
          <t>3805100162</t>
        </is>
      </c>
      <c r="E5763" s="13" t="inlineStr">
        <is>
          <t>ЮЛ РФ</t>
        </is>
      </c>
      <c r="F5763" s="13" t="n"/>
      <c r="G5763" s="14" t="n"/>
      <c r="H5763" s="14" t="n"/>
      <c r="I5763" s="14" t="n"/>
      <c r="J5763" s="14" t="n"/>
      <c r="K5763" s="53" t="inlineStr"/>
      <c r="L5763" s="53" t="inlineStr">
        <is>
          <t>Не определено</t>
        </is>
      </c>
      <c r="M5763" s="53" t="inlineStr"/>
      <c r="N5763" s="54" t="inlineStr"/>
      <c r="O5763" s="55" t="inlineStr"/>
      <c r="P5763" s="16" t="inlineStr">
        <is>
          <t>Требует обогащения</t>
        </is>
      </c>
      <c r="Q5763" s="16">
        <f>HYPERLINK("https://pb.nalog.ru/search.html?query=3805100162","ФНС: проверить")</f>
        <v/>
      </c>
      <c r="R5763" s="16">
        <f>HYPERLINK("https://checko.ru/search?query=3801001629","Чекко: проверить")</f>
        <v/>
      </c>
      <c r="S5763" t="n">
        <v>0</v>
      </c>
      <c r="T5763" s="35" t="inlineStr">
        <is>
          <t>4 — Не обогащён</t>
        </is>
      </c>
      <c r="U5763" s="35" t="inlineStr">
        <is>
          <t>Нет ОКВЭД/ССЧР</t>
        </is>
      </c>
      <c r="V5763" s="35" t="inlineStr">
        <is>
          <t>Не определено</t>
        </is>
      </c>
      <c r="W5763" s="35" t="inlineStr"/>
      <c r="X5763" s="35" t="inlineStr"/>
    </row>
    <row r="5764" ht="27.75" customHeight="1" s="24">
      <c r="A5764" s="13" t="n">
        <v>800167780</v>
      </c>
      <c r="B5764" s="13" t="inlineStr">
        <is>
          <t>МБУЗ "Ольхонская центральная районная больница"</t>
        </is>
      </c>
      <c r="C5764" s="13" t="n">
        <v>3836001179</v>
      </c>
      <c r="D5764" s="13" t="inlineStr">
        <is>
          <t>3836001179</t>
        </is>
      </c>
      <c r="E5764" s="13" t="inlineStr">
        <is>
          <t>ЮЛ РФ</t>
        </is>
      </c>
      <c r="F5764" s="13" t="n"/>
      <c r="G5764" s="14" t="n"/>
      <c r="H5764" s="14" t="n"/>
      <c r="I5764" s="14" t="n"/>
      <c r="J5764" s="14" t="n"/>
      <c r="K5764" s="53" t="inlineStr"/>
      <c r="L5764" s="53" t="inlineStr">
        <is>
          <t>Не определено</t>
        </is>
      </c>
      <c r="M5764" s="53" t="inlineStr"/>
      <c r="N5764" s="54" t="inlineStr"/>
      <c r="O5764" s="55" t="inlineStr"/>
      <c r="P5764" s="16" t="inlineStr">
        <is>
          <t>Требует обогащения</t>
        </is>
      </c>
      <c r="Q5764" s="16">
        <f>HYPERLINK("https://pb.nalog.ru/search.html?query=3836001179","ФНС: проверить")</f>
        <v/>
      </c>
      <c r="R5764" s="16">
        <f>HYPERLINK("https://checko.ru/search?query=3801001629","Чекко: проверить")</f>
        <v/>
      </c>
      <c r="S5764" t="n">
        <v>0</v>
      </c>
      <c r="T5764" s="35" t="inlineStr">
        <is>
          <t>4 — Не обогащён</t>
        </is>
      </c>
      <c r="U5764" s="35" t="inlineStr">
        <is>
          <t>Нет ОКВЭД/ССЧР</t>
        </is>
      </c>
      <c r="V5764" s="35" t="inlineStr">
        <is>
          <t>Не определено</t>
        </is>
      </c>
      <c r="W5764" s="35" t="inlineStr"/>
      <c r="X5764" s="35" t="inlineStr"/>
    </row>
    <row r="5765" ht="27.75" customHeight="1" s="24">
      <c r="A5765" s="13" t="n">
        <v>800128260</v>
      </c>
      <c r="B5765" s="13" t="inlineStr">
        <is>
          <t>ГБУЗ Иркутская государственная областная детская клиническая больница</t>
        </is>
      </c>
      <c r="C5765" s="13" t="n">
        <v>3811029091</v>
      </c>
      <c r="D5765" s="13" t="inlineStr">
        <is>
          <t>3811029091</t>
        </is>
      </c>
      <c r="E5765" s="13" t="inlineStr">
        <is>
          <t>ЮЛ РФ</t>
        </is>
      </c>
      <c r="F5765" s="13" t="n"/>
      <c r="G5765" s="14" t="n"/>
      <c r="H5765" s="14" t="n"/>
      <c r="I5765" s="14" t="n"/>
      <c r="J5765" s="14" t="n"/>
      <c r="K5765" s="53" t="inlineStr"/>
      <c r="L5765" s="53" t="inlineStr">
        <is>
          <t>Не определено</t>
        </is>
      </c>
      <c r="M5765" s="53" t="inlineStr"/>
      <c r="N5765" s="54" t="inlineStr"/>
      <c r="O5765" s="55" t="inlineStr"/>
      <c r="P5765" s="16" t="inlineStr">
        <is>
          <t>Требует обогащения</t>
        </is>
      </c>
      <c r="Q5765" s="16">
        <f>HYPERLINK("https://pb.nalog.ru/search.html?query=3811029091","ФНС: проверить")</f>
        <v/>
      </c>
      <c r="R5765" s="16">
        <f>HYPERLINK("https://checko.ru/search?query=3801001629","Чекко: проверить")</f>
        <v/>
      </c>
      <c r="S5765" t="n">
        <v>0</v>
      </c>
      <c r="T5765" s="35" t="inlineStr">
        <is>
          <t>4 — Не обогащён</t>
        </is>
      </c>
      <c r="U5765" s="35" t="inlineStr">
        <is>
          <t>Нет ОКВЭД/ССЧР</t>
        </is>
      </c>
      <c r="V5765" s="35" t="inlineStr">
        <is>
          <t>Не определено</t>
        </is>
      </c>
      <c r="W5765" s="35" t="inlineStr"/>
      <c r="X5765" s="35" t="inlineStr"/>
    </row>
    <row r="5766" ht="15" customHeight="1" s="24">
      <c r="A5766" s="13" t="n">
        <v>12575033</v>
      </c>
      <c r="B5766" s="13" t="inlineStr">
        <is>
          <t>МАУЗ Санаторий "Юбилейный" МО г.Братска</t>
        </is>
      </c>
      <c r="C5766" s="13" t="n">
        <v>3803202828</v>
      </c>
      <c r="D5766" s="13" t="inlineStr">
        <is>
          <t>3803202828</t>
        </is>
      </c>
      <c r="E5766" s="13" t="inlineStr">
        <is>
          <t>ЮЛ РФ</t>
        </is>
      </c>
      <c r="F5766" s="13" t="n"/>
      <c r="G5766" s="14" t="n"/>
      <c r="H5766" s="14" t="n"/>
      <c r="I5766" s="14" t="n"/>
      <c r="J5766" s="14" t="n"/>
      <c r="K5766" s="53" t="inlineStr"/>
      <c r="L5766" s="53" t="inlineStr">
        <is>
          <t>Не определено</t>
        </is>
      </c>
      <c r="M5766" s="53" t="inlineStr"/>
      <c r="N5766" s="54" t="inlineStr"/>
      <c r="O5766" s="55" t="inlineStr"/>
      <c r="P5766" s="16" t="inlineStr">
        <is>
          <t>Требует обогащения</t>
        </is>
      </c>
      <c r="Q5766" s="16">
        <f>HYPERLINK("https://pb.nalog.ru/search.html?query=3803202828","ФНС: проверить")</f>
        <v/>
      </c>
      <c r="R5766" s="16">
        <f>HYPERLINK("https://checko.ru/search?query=3801001629","Чекко: проверить")</f>
        <v/>
      </c>
      <c r="S5766" t="n">
        <v>0</v>
      </c>
      <c r="T5766" s="35" t="inlineStr">
        <is>
          <t>4 — Не обогащён</t>
        </is>
      </c>
      <c r="U5766" s="35" t="inlineStr">
        <is>
          <t>Нет ОКВЭД/ССЧР</t>
        </is>
      </c>
      <c r="V5766" s="35" t="inlineStr">
        <is>
          <t>Не определено</t>
        </is>
      </c>
      <c r="W5766" s="35" t="inlineStr"/>
      <c r="X5766" s="35" t="inlineStr"/>
    </row>
    <row r="5767" ht="27.75" customHeight="1" s="24">
      <c r="A5767" s="13" t="n">
        <v>10552925</v>
      </c>
      <c r="B5767" s="13" t="inlineStr">
        <is>
          <t>ГБУЗ "Территориальный центр медицины катастроф Иркутской области"</t>
        </is>
      </c>
      <c r="C5767" s="13" t="n">
        <v>3812062609</v>
      </c>
      <c r="D5767" s="13" t="inlineStr">
        <is>
          <t>3812062609</t>
        </is>
      </c>
      <c r="E5767" s="13" t="inlineStr">
        <is>
          <t>ЮЛ РФ</t>
        </is>
      </c>
      <c r="F5767" s="13" t="n"/>
      <c r="G5767" s="14" t="n"/>
      <c r="H5767" s="14" t="n"/>
      <c r="I5767" s="14" t="n"/>
      <c r="J5767" s="14" t="n"/>
      <c r="K5767" s="53" t="inlineStr"/>
      <c r="L5767" s="53" t="inlineStr">
        <is>
          <t>Не определено</t>
        </is>
      </c>
      <c r="M5767" s="53" t="inlineStr"/>
      <c r="N5767" s="54" t="inlineStr"/>
      <c r="O5767" s="55" t="inlineStr"/>
      <c r="P5767" s="16" t="inlineStr">
        <is>
          <t>Требует обогащения</t>
        </is>
      </c>
      <c r="Q5767" s="16">
        <f>HYPERLINK("https://pb.nalog.ru/search.html?query=3812062609","ФНС: проверить")</f>
        <v/>
      </c>
      <c r="R5767" s="16">
        <f>HYPERLINK("https://checko.ru/search?query=3801001629","Чекко: проверить")</f>
        <v/>
      </c>
      <c r="S5767" t="n">
        <v>0</v>
      </c>
      <c r="T5767" s="35" t="inlineStr">
        <is>
          <t>4 — Не обогащён</t>
        </is>
      </c>
      <c r="U5767" s="35" t="inlineStr">
        <is>
          <t>Нет ОКВЭД/ССЧР</t>
        </is>
      </c>
      <c r="V5767" s="35" t="inlineStr">
        <is>
          <t>Не определено</t>
        </is>
      </c>
      <c r="W5767" s="35" t="inlineStr"/>
      <c r="X5767" s="35" t="inlineStr"/>
    </row>
    <row r="5768" ht="27.75" customHeight="1" s="24">
      <c r="A5768" s="13" t="n">
        <v>800154537</v>
      </c>
      <c r="B5768" s="13" t="inlineStr">
        <is>
          <t>ОбГКУЗ "Иркутская областная психиатрическая больница № 2"</t>
        </is>
      </c>
      <c r="C5768" s="13" t="n">
        <v>8503001492</v>
      </c>
      <c r="D5768" s="13" t="inlineStr">
        <is>
          <t>8503001492</t>
        </is>
      </c>
      <c r="E5768" s="13" t="inlineStr">
        <is>
          <t>ЮЛ РФ</t>
        </is>
      </c>
      <c r="F5768" s="13" t="n"/>
      <c r="G5768" s="14" t="n"/>
      <c r="H5768" s="14" t="n"/>
      <c r="I5768" s="14" t="n"/>
      <c r="J5768" s="14" t="n"/>
      <c r="K5768" s="53" t="inlineStr"/>
      <c r="L5768" s="53" t="inlineStr">
        <is>
          <t>Не определено</t>
        </is>
      </c>
      <c r="M5768" s="53" t="inlineStr"/>
      <c r="N5768" s="54" t="inlineStr"/>
      <c r="O5768" s="55" t="inlineStr"/>
      <c r="P5768" s="16" t="inlineStr">
        <is>
          <t>Требует обогащения</t>
        </is>
      </c>
      <c r="Q5768" s="16">
        <f>HYPERLINK("https://pb.nalog.ru/search.html?query=8503001492","ФНС: проверить")</f>
        <v/>
      </c>
      <c r="R5768" s="16">
        <f>HYPERLINK("https://checko.ru/search?query=3801001629","Чекко: проверить")</f>
        <v/>
      </c>
      <c r="S5768" t="n">
        <v>0</v>
      </c>
      <c r="T5768" s="35" t="inlineStr">
        <is>
          <t>4 — Не обогащён</t>
        </is>
      </c>
      <c r="U5768" s="35" t="inlineStr">
        <is>
          <t>Нет ОКВЭД/ССЧР</t>
        </is>
      </c>
      <c r="V5768" s="35" t="inlineStr">
        <is>
          <t>Не определено</t>
        </is>
      </c>
      <c r="W5768" s="35" t="inlineStr"/>
      <c r="X5768" s="35" t="inlineStr"/>
    </row>
    <row r="5769" ht="15" customHeight="1" s="24">
      <c r="A5769" s="13" t="n">
        <v>10428601</v>
      </c>
      <c r="B5769" s="13" t="inlineStr">
        <is>
          <t>ОГБУЗ "Баяндаевская ЦРБ"</t>
        </is>
      </c>
      <c r="C5769" s="13" t="n">
        <v>8502000263</v>
      </c>
      <c r="D5769" s="13" t="inlineStr">
        <is>
          <t>8502000263</t>
        </is>
      </c>
      <c r="E5769" s="13" t="inlineStr">
        <is>
          <t>ЮЛ РФ</t>
        </is>
      </c>
      <c r="F5769" s="13" t="n"/>
      <c r="G5769" s="14" t="n"/>
      <c r="H5769" s="14" t="n"/>
      <c r="I5769" s="14" t="n"/>
      <c r="J5769" s="14" t="n"/>
      <c r="K5769" s="53" t="inlineStr"/>
      <c r="L5769" s="53" t="inlineStr">
        <is>
          <t>Не определено</t>
        </is>
      </c>
      <c r="M5769" s="53" t="inlineStr"/>
      <c r="N5769" s="54" t="inlineStr"/>
      <c r="O5769" s="55" t="inlineStr"/>
      <c r="P5769" s="16" t="inlineStr">
        <is>
          <t>Требует обогащения</t>
        </is>
      </c>
      <c r="Q5769" s="16">
        <f>HYPERLINK("https://pb.nalog.ru/search.html?query=8502000263","ФНС: проверить")</f>
        <v/>
      </c>
      <c r="R5769" s="16">
        <f>HYPERLINK("https://checko.ru/search?query=3801001629","Чекко: проверить")</f>
        <v/>
      </c>
      <c r="S5769" t="n">
        <v>0</v>
      </c>
      <c r="T5769" s="35" t="inlineStr">
        <is>
          <t>4 — Не обогащён</t>
        </is>
      </c>
      <c r="U5769" s="35" t="inlineStr">
        <is>
          <t>Нет ОКВЭД/ССЧР</t>
        </is>
      </c>
      <c r="V5769" s="35" t="inlineStr">
        <is>
          <t>Не определено</t>
        </is>
      </c>
      <c r="W5769" s="35" t="inlineStr"/>
      <c r="X5769" s="35" t="inlineStr"/>
    </row>
    <row r="5770" ht="15" customHeight="1" s="24">
      <c r="A5770" s="13" t="n">
        <v>12575550</v>
      </c>
      <c r="B5770" s="13" t="inlineStr">
        <is>
          <t>МБУЗ Качугская центральная районная больница</t>
        </is>
      </c>
      <c r="C5770" s="13" t="n">
        <v>3830000130</v>
      </c>
      <c r="D5770" s="13" t="inlineStr">
        <is>
          <t>3830000130</t>
        </is>
      </c>
      <c r="E5770" s="13" t="inlineStr">
        <is>
          <t>ЮЛ РФ</t>
        </is>
      </c>
      <c r="F5770" s="13" t="n"/>
      <c r="G5770" s="14" t="n"/>
      <c r="H5770" s="14" t="n"/>
      <c r="I5770" s="14" t="n"/>
      <c r="J5770" s="14" t="n"/>
      <c r="K5770" s="53" t="inlineStr"/>
      <c r="L5770" s="53" t="inlineStr">
        <is>
          <t>Не определено</t>
        </is>
      </c>
      <c r="M5770" s="53" t="inlineStr"/>
      <c r="N5770" s="54" t="inlineStr"/>
      <c r="O5770" s="55" t="inlineStr"/>
      <c r="P5770" s="16" t="inlineStr">
        <is>
          <t>Требует обогащения</t>
        </is>
      </c>
      <c r="Q5770" s="16">
        <f>HYPERLINK("https://pb.nalog.ru/search.html?query=3830000130","ФНС: проверить")</f>
        <v/>
      </c>
      <c r="R5770" s="16">
        <f>HYPERLINK("https://checko.ru/search?query=3801001629","Чекко: проверить")</f>
        <v/>
      </c>
      <c r="S5770" t="n">
        <v>0</v>
      </c>
      <c r="T5770" s="35" t="inlineStr">
        <is>
          <t>4 — Не обогащён</t>
        </is>
      </c>
      <c r="U5770" s="35" t="inlineStr">
        <is>
          <t>Нет ОКВЭД/ССЧР</t>
        </is>
      </c>
      <c r="V5770" s="35" t="inlineStr">
        <is>
          <t>Не определено</t>
        </is>
      </c>
      <c r="W5770" s="35" t="inlineStr"/>
      <c r="X5770" s="35" t="inlineStr"/>
    </row>
    <row r="5771" ht="15" customHeight="1" s="24">
      <c r="A5771" s="13" t="n">
        <v>9903134</v>
      </c>
      <c r="B5771" s="13" t="inlineStr">
        <is>
          <t>ИП Перевозников Вадим Юрьевич</t>
        </is>
      </c>
      <c r="C5771" s="13" t="n">
        <v>382700171364</v>
      </c>
      <c r="D5771" s="13" t="inlineStr">
        <is>
          <t>382700171364</t>
        </is>
      </c>
      <c r="E5771" s="13" t="inlineStr">
        <is>
          <t>ИП РФ / физлицо</t>
        </is>
      </c>
      <c r="F5771" s="13" t="n"/>
      <c r="G5771" s="14" t="n"/>
      <c r="H5771" s="14" t="n"/>
      <c r="I5771" s="14" t="n"/>
      <c r="J5771" s="14" t="n"/>
      <c r="K5771" s="53" t="inlineStr"/>
      <c r="L5771" s="53" t="inlineStr">
        <is>
          <t>Не определено</t>
        </is>
      </c>
      <c r="M5771" s="53" t="inlineStr"/>
      <c r="N5771" s="54" t="inlineStr"/>
      <c r="O5771" s="55" t="inlineStr"/>
      <c r="P5771" s="16" t="inlineStr">
        <is>
          <t>Требует обогащения</t>
        </is>
      </c>
      <c r="Q5771" s="16">
        <f>HYPERLINK("https://pb.nalog.ru/search.html?query=382700171364","ФНС: проверить")</f>
        <v/>
      </c>
      <c r="R5771" s="16">
        <f>HYPERLINK("https://checko.ru/search?query=3801001629","Чекко: проверить")</f>
        <v/>
      </c>
      <c r="S5771" t="n">
        <v>1</v>
      </c>
      <c r="T5771" s="35" t="inlineStr">
        <is>
          <t>4 — Не обогащён</t>
        </is>
      </c>
      <c r="U5771" s="35" t="inlineStr">
        <is>
          <t>Нет ОКВЭД/ССЧР</t>
        </is>
      </c>
      <c r="V5771" s="35" t="inlineStr">
        <is>
          <t>Не определено</t>
        </is>
      </c>
      <c r="W5771" s="35" t="inlineStr"/>
      <c r="X5771" s="35" t="inlineStr"/>
    </row>
    <row r="5772" ht="27.75" customHeight="1" s="24">
      <c r="A5772" s="13" t="n">
        <v>9875490</v>
      </c>
      <c r="B5772" s="13" t="inlineStr">
        <is>
          <t>ООО "РЕГИОНАЛЬНОЕ АГЕНТСТВО ВОЗДУШНЫХ СООБЩЕНИЙ"</t>
        </is>
      </c>
      <c r="C5772" s="13" t="n">
        <v>3811143125</v>
      </c>
      <c r="D5772" s="13" t="inlineStr">
        <is>
          <t>3811143125</t>
        </is>
      </c>
      <c r="E5772" s="13" t="inlineStr">
        <is>
          <t>ЮЛ РФ</t>
        </is>
      </c>
      <c r="F5772" s="13" t="n"/>
      <c r="G5772" s="52" t="n">
        <v>19</v>
      </c>
      <c r="H5772" s="52" t="n">
        <v>2025</v>
      </c>
      <c r="I5772" s="14" t="n"/>
      <c r="J5772" s="14" t="n"/>
      <c r="K5772" s="53" t="inlineStr">
        <is>
          <t>Нет</t>
        </is>
      </c>
      <c r="L5772" s="53" t="inlineStr">
        <is>
          <t>Не определено</t>
        </is>
      </c>
      <c r="M5772" s="53" t="inlineStr">
        <is>
          <t>До 25</t>
        </is>
      </c>
      <c r="N5772" s="54" t="n">
        <v>8400</v>
      </c>
      <c r="O5772" s="55" t="inlineStr">
        <is>
          <t>16–30</t>
        </is>
      </c>
      <c r="P5772" s="16" t="inlineStr">
        <is>
          <t>ССЧР обогащена; ОКВЭД не найден/не загружен</t>
        </is>
      </c>
      <c r="Q5772" s="16" t="inlineStr">
        <is>
          <t>ФНС открытые данные ССЧР (ДатаСост 31.12.2025; набор 7707329152-sshr2019)</t>
        </is>
      </c>
      <c r="R5772" s="16">
        <f>HYPERLINK("https://checko.ru/search?query=3801001629","Чекко: проверить")</f>
        <v/>
      </c>
      <c r="S5772" t="n">
        <v>1</v>
      </c>
      <c r="T5772" s="35" t="inlineStr">
        <is>
          <t>4 — Не обогащён</t>
        </is>
      </c>
      <c r="U5772" s="35" t="inlineStr">
        <is>
          <t>Нет ОКВЭД/ССЧР</t>
        </is>
      </c>
      <c r="V5772" s="35" t="inlineStr">
        <is>
          <t>Не определено</t>
        </is>
      </c>
      <c r="W5772" s="35" t="inlineStr">
        <is>
          <t>Нет</t>
        </is>
      </c>
      <c r="X5772" s="35" t="inlineStr"/>
    </row>
    <row r="5773" ht="27.75" customHeight="1" s="24">
      <c r="A5773" s="13" t="n">
        <v>9988516</v>
      </c>
      <c r="B5773" s="13" t="inlineStr">
        <is>
          <t>Общество с ограниченной ответственностью "ИНК-СИНЕРГИЯ"</t>
        </is>
      </c>
      <c r="C5773" s="13" t="n">
        <v>3849092173</v>
      </c>
      <c r="D5773" s="13" t="inlineStr">
        <is>
          <t>3849092173</t>
        </is>
      </c>
      <c r="E5773" s="13" t="inlineStr">
        <is>
          <t>ЮЛ РФ</t>
        </is>
      </c>
      <c r="F5773" s="13" t="n"/>
      <c r="G5773" s="14" t="n"/>
      <c r="H5773" s="14" t="n"/>
      <c r="I5773" s="14" t="n"/>
      <c r="J5773" s="14" t="n"/>
      <c r="K5773" s="53" t="inlineStr"/>
      <c r="L5773" s="53" t="inlineStr">
        <is>
          <t>Не определено</t>
        </is>
      </c>
      <c r="M5773" s="53" t="inlineStr"/>
      <c r="N5773" s="54" t="inlineStr"/>
      <c r="O5773" s="55" t="inlineStr"/>
      <c r="P5773" s="16" t="inlineStr">
        <is>
          <t>Требует обогащения</t>
        </is>
      </c>
      <c r="Q5773" s="16">
        <f>HYPERLINK("https://pb.nalog.ru/search.html?query=3849092173","ФНС: проверить")</f>
        <v/>
      </c>
      <c r="R5773" s="16">
        <f>HYPERLINK("https://checko.ru/search?query=3801001629","Чекко: проверить")</f>
        <v/>
      </c>
      <c r="S5773" t="n">
        <v>1</v>
      </c>
      <c r="T5773" s="35" t="inlineStr">
        <is>
          <t>4 — Не обогащён</t>
        </is>
      </c>
      <c r="U5773" s="35" t="inlineStr">
        <is>
          <t>Нет ОКВЭД/ССЧР</t>
        </is>
      </c>
      <c r="V5773" s="35" t="inlineStr">
        <is>
          <t>Не определено</t>
        </is>
      </c>
      <c r="W5773" s="35" t="inlineStr"/>
      <c r="X5773" s="35" t="inlineStr"/>
    </row>
    <row r="5774" ht="27.75" customHeight="1" s="24">
      <c r="A5774" s="13" t="n">
        <v>800067467</v>
      </c>
      <c r="B5774" s="13" t="inlineStr">
        <is>
          <t>ОБЩЕСТВО С ОГРАНИЧЕННОЙ ОТВЕТСТВЕННОСТЬЮ "ЧИТА-ЧИТАЙ"</t>
        </is>
      </c>
      <c r="C5774" s="13" t="n">
        <v>7536122081</v>
      </c>
      <c r="D5774" s="13" t="inlineStr">
        <is>
          <t>7536122081</t>
        </is>
      </c>
      <c r="E5774" s="13" t="inlineStr">
        <is>
          <t>ЮЛ РФ</t>
        </is>
      </c>
      <c r="F5774" s="13" t="n"/>
      <c r="G5774" s="52" t="n">
        <v>5</v>
      </c>
      <c r="H5774" s="52" t="n">
        <v>2025</v>
      </c>
      <c r="I5774" s="14" t="n"/>
      <c r="J5774" s="14" t="n"/>
      <c r="K5774" s="53" t="inlineStr">
        <is>
          <t>Нет</t>
        </is>
      </c>
      <c r="L5774" s="53" t="inlineStr">
        <is>
          <t>Не определено</t>
        </is>
      </c>
      <c r="M5774" s="53" t="inlineStr">
        <is>
          <t>До 10</t>
        </is>
      </c>
      <c r="N5774" s="54" t="n">
        <v>3360</v>
      </c>
      <c r="O5774" s="55" t="inlineStr">
        <is>
          <t>1–15</t>
        </is>
      </c>
      <c r="P5774" s="16" t="inlineStr">
        <is>
          <t>ССЧР обогащена; ОКВЭД не найден/не загружен</t>
        </is>
      </c>
      <c r="Q5774" s="16" t="inlineStr">
        <is>
          <t>ФНС открытые данные ССЧР (ДатаСост 31.12.2025; набор 7707329152-sshr2019)</t>
        </is>
      </c>
      <c r="R5774" s="16">
        <f>HYPERLINK("https://checko.ru/search?query=3801001629","Чекко: проверить")</f>
        <v/>
      </c>
      <c r="S5774" t="n">
        <v>1</v>
      </c>
      <c r="T5774" s="35" t="inlineStr">
        <is>
          <t>4 — Не обогащён</t>
        </is>
      </c>
      <c r="U5774" s="35" t="inlineStr">
        <is>
          <t>Нет ОКВЭД/ССЧР</t>
        </is>
      </c>
      <c r="V5774" s="35" t="inlineStr">
        <is>
          <t>Не определено</t>
        </is>
      </c>
      <c r="W5774" s="35" t="inlineStr">
        <is>
          <t>Нет</t>
        </is>
      </c>
      <c r="X5774" s="35" t="inlineStr"/>
    </row>
    <row r="5775" ht="15" customHeight="1" s="24">
      <c r="A5775" s="13" t="n">
        <v>802363264</v>
      </c>
      <c r="B5775" s="13" t="inlineStr">
        <is>
          <t>ООО "ЧИТА-ЧИТАЙ"</t>
        </is>
      </c>
      <c r="C5775" s="13" t="n">
        <v>7536122081</v>
      </c>
      <c r="D5775" s="13" t="inlineStr">
        <is>
          <t>7536122081</t>
        </is>
      </c>
      <c r="E5775" s="13" t="inlineStr">
        <is>
          <t>ЮЛ РФ</t>
        </is>
      </c>
      <c r="F5775" s="13" t="n"/>
      <c r="G5775" s="52" t="n">
        <v>5</v>
      </c>
      <c r="H5775" s="52" t="n">
        <v>2025</v>
      </c>
      <c r="I5775" s="14" t="n"/>
      <c r="J5775" s="14" t="n"/>
      <c r="K5775" s="53" t="inlineStr">
        <is>
          <t>Нет</t>
        </is>
      </c>
      <c r="L5775" s="53" t="inlineStr">
        <is>
          <t>Не определено</t>
        </is>
      </c>
      <c r="M5775" s="53" t="inlineStr">
        <is>
          <t>До 10</t>
        </is>
      </c>
      <c r="N5775" s="54" t="n">
        <v>3360</v>
      </c>
      <c r="O5775" s="55" t="inlineStr">
        <is>
          <t>1–15</t>
        </is>
      </c>
      <c r="P5775" s="16" t="inlineStr">
        <is>
          <t>ССЧР обогащена; ОКВЭД не найден/не загружен</t>
        </is>
      </c>
      <c r="Q5775" s="16" t="inlineStr">
        <is>
          <t>ФНС открытые данные ССЧР (ДатаСост 31.12.2025; набор 7707329152-sshr2019)</t>
        </is>
      </c>
      <c r="R5775" s="16">
        <f>HYPERLINK("https://checko.ru/search?query=3801001629","Чекко: проверить")</f>
        <v/>
      </c>
      <c r="S5775" t="n">
        <v>0</v>
      </c>
      <c r="T5775" s="35" t="inlineStr">
        <is>
          <t>4 — Не обогащён</t>
        </is>
      </c>
      <c r="U5775" s="35" t="inlineStr">
        <is>
          <t>Нет ОКВЭД/ССЧР</t>
        </is>
      </c>
      <c r="V5775" s="35" t="inlineStr">
        <is>
          <t>Не определено</t>
        </is>
      </c>
      <c r="W5775" s="35" t="inlineStr">
        <is>
          <t>Нет</t>
        </is>
      </c>
      <c r="X5775" s="35" t="inlineStr"/>
    </row>
    <row r="5776" ht="15" customHeight="1" s="24">
      <c r="A5776" s="13" t="n">
        <v>802895333</v>
      </c>
      <c r="B5776" s="13" t="inlineStr">
        <is>
          <t>ООО "ЧИТА-ЧИТАЙ"</t>
        </is>
      </c>
      <c r="C5776" s="13" t="n"/>
      <c r="D5776" s="13" t="n"/>
      <c r="E5776" s="13" t="inlineStr">
        <is>
          <t>Не определён</t>
        </is>
      </c>
      <c r="F5776" s="13" t="n"/>
      <c r="G5776" s="14" t="n"/>
      <c r="H5776" s="14" t="n"/>
      <c r="I5776" s="14" t="n"/>
      <c r="J5776" s="14" t="n"/>
      <c r="K5776" s="13">
        <f>IF(G5776="","",IF(G5776&gt;=22,"Да","Нет"))</f>
        <v/>
      </c>
      <c r="L5776" s="13">
        <f>IF(OR(I5776="",J5776=""),"Не определено",IF(OR(COUNTIF(I5776,"45*")&gt;0,COUNTIF(J5776,"*45*")&gt;0,COUNTIF(I5776,"46*")&gt;0,COUNTIF(J5776,"*46*")&gt;0,COUNTIF(I5776,"47*")&gt;0,COUNTIF(J5776,"*47*")&gt;0,COUNTIF(I5776,"10*")&gt;0,COUNTIF(J5776,"*10*")&gt;0,COUNTIF(I5776,"11*")&gt;0,COUNTIF(J5776,"*11*")&gt;0,COUNTIF(I5776,"12*")&gt;0,COUNTIF(J5776,"*12*")&gt;0,COUNTIF(I5776,"13*")&gt;0,COUNTIF(J5776,"*13*")&gt;0,COUNTIF(I5776,"14*")&gt;0,COUNTIF(J5776,"*14*")&gt;0,COUNTIF(I5776,"15*")&gt;0,COUNTIF(J5776,"*15*")&gt;0,COUNTIF(I5776,"16*")&gt;0,COUNTIF(J5776,"*16*")&gt;0,COUNTIF(I5776,"17*")&gt;0,COUNTIF(J5776,"*17*")&gt;0,COUNTIF(I5776,"18*")&gt;0,COUNTIF(J5776,"*18*")&gt;0,COUNTIF(I5776,"19*")&gt;0,COUNTIF(J5776,"*19*")&gt;0,COUNTIF(I5776,"20*")&gt;0,COUNTIF(J5776,"*20*")&gt;0,COUNTIF(I5776,"21*")&gt;0,COUNTIF(J5776,"*21*")&gt;0,COUNTIF(I5776,"22*")&gt;0,COUNTIF(J5776,"*22*")&gt;0,COUNTIF(I5776,"23*")&gt;0,COUNTIF(J5776,"*23*")&gt;0,COUNTIF(I5776,"24*")&gt;0,COUNTIF(J5776,"*24*")&gt;0,COUNTIF(I5776,"25*")&gt;0,COUNTIF(J5776,"*25*")&gt;0,COUNTIF(I5776,"26*")&gt;0,COUNTIF(J5776,"*26*")&gt;0,COUNTIF(I5776,"27*")&gt;0,COUNTIF(J5776,"*27*")&gt;0,COUNTIF(I5776,"28*")&gt;0,COUNTIF(J5776,"*28*")&gt;0,COUNTIF(I5776,"29*")&gt;0,COUNTIF(J5776,"*29*")&gt;0,COUNTIF(I5776,"30*")&gt;0,COUNTIF(J5776,"*30*")&gt;0,COUNTIF(I5776,"31*")&gt;0,COUNTIF(J5776,"*31*")&gt;0,COUNTIF(I5776,"32*")&gt;0,COUNTIF(J5776,"*32*")&gt;0,COUNTIF(I5776,"33*")&gt;0,COUNTIF(J5776,"*33*")&gt;0,COUNTIF(I5776,"41*")&gt;0,COUNTIF(J5776,"*41*")&gt;0,COUNTIF(I5776,"42*")&gt;0,COUNTIF(J5776,"*42*")&gt;0,COUNTIF(I5776,"43*")&gt;0,COUNTIF(J5776,"*43*")&gt;0,COUNTIF(I5776,"49*")&gt;0,COUNTIF(J5776,"*49*")&gt;0,COUNTIF(I5776,"52*")&gt;0,COUNTIF(J5776,"*52*")&gt;0,COUNTIF(I5776,"55*")&gt;0,COUNTIF(J5776,"*55*")&gt;0,COUNTIF(I5776,"56*")&gt;0,COUNTIF(J5776,"*56*")&gt;0,COUNTIF(I5776,"68*")&gt;0,COUNTIF(J5776,"*68*")&gt;0,COUNTIF(I5776,"78*")&gt;0,COUNTIF(J5776,"*78*")&gt;0,COUNTIF(I5776,"81*")&gt;0,COUNTIF(J5776,"*81*")&gt;0,COUNTIF(I5776,"82*")&gt;0,COUNTIF(J5776,"*82*")&gt;0,COUNTIF(I5776,"64*")&gt;0,COUNTIF(J5776,"*64*")&gt;0,COUNTIF(I5776,"65*")&gt;0,COUNTIF(J5776,"*65*")&gt;0,COUNTIF(I5776,"66*")&gt;0,COUNTIF(J5776,"*66*")&gt;0,COUNTIF(I5776,"61*")&gt;0,COUNTIF(J5776,"*61*")&gt;0,COUNTIF(I5776,"62*")&gt;0,COUNTIF(J5776,"*62*")&gt;0,COUNTIF(I5776,"63*")&gt;0,COUNTIF(J5776,"*63*")&gt;0,COUNTIF(I5776,"85*")&gt;0,COUNTIF(J5776,"*85*")&gt;0,COUNTIF(I5776,"86*")&gt;0,COUNTIF(J5776,"*86*")&gt;0),"Да","Нет"))</f>
        <v/>
      </c>
      <c r="M5776" s="13">
        <f>IF(OR(G5776="",L5776&lt;&gt;"Да"),"",IF(G5776&lt;=100,"До 100",IF(G5776&lt;=200,"До 200",IF(G5776&lt;=500,"До 500","Отдельное КП"))))</f>
        <v/>
      </c>
      <c r="N5776" s="15">
        <f>IF(OR(G5776="",L5776&lt;&gt;"Да"),"",IF(G5776&lt;=100,33600,IF(G5776&lt;=200,62400,IF(G5776&lt;=500,144000,""))))</f>
        <v/>
      </c>
      <c r="O5776" s="16">
        <f>IF(G5776="","",IF(G5776&lt;=15,"1–15",IF(G5776&lt;=30,"16–30",IF(G5776&lt;=50,"31–50",IF(G5776&lt;=100,"51–100",IF(G5776&lt;=150,"101–150",IF(G5776&lt;=200,"151–200",IF(G5776&lt;=500,"201–500","500+"))))))))</f>
        <v/>
      </c>
      <c r="P5776" s="16" t="inlineStr">
        <is>
          <t>Нет совпадения в предоставленной выгрузке ССЧР</t>
        </is>
      </c>
      <c r="Q5776" s="16" t="n"/>
      <c r="R5776" s="16">
        <f>HYPERLINK("https://checko.ru/search?query=3801001629","Чекко: проверить")</f>
        <v/>
      </c>
      <c r="S5776" t="n">
        <v>0</v>
      </c>
    </row>
    <row r="5777" ht="15" customHeight="1" s="24">
      <c r="A5777" s="13" t="n">
        <v>9903109</v>
      </c>
      <c r="B5777" s="13" t="inlineStr">
        <is>
          <t>ООО "АЛФАВИТЪ"</t>
        </is>
      </c>
      <c r="C5777" s="13" t="n"/>
      <c r="D5777" s="13" t="n"/>
      <c r="E5777" s="13" t="inlineStr">
        <is>
          <t>Не определён</t>
        </is>
      </c>
      <c r="F5777" s="13" t="n"/>
      <c r="G5777" s="14" t="n"/>
      <c r="H5777" s="14" t="n"/>
      <c r="I5777" s="14" t="n"/>
      <c r="J5777" s="14" t="n"/>
      <c r="K5777" s="13">
        <f>IF(G5777="","",IF(G5777&gt;=22,"Да","Нет"))</f>
        <v/>
      </c>
      <c r="L5777" s="13">
        <f>IF(OR(I5777="",J5777=""),"Не определено",IF(OR(COUNTIF(I5777,"45*")&gt;0,COUNTIF(J5777,"*45*")&gt;0,COUNTIF(I5777,"46*")&gt;0,COUNTIF(J5777,"*46*")&gt;0,COUNTIF(I5777,"47*")&gt;0,COUNTIF(J5777,"*47*")&gt;0,COUNTIF(I5777,"10*")&gt;0,COUNTIF(J5777,"*10*")&gt;0,COUNTIF(I5777,"11*")&gt;0,COUNTIF(J5777,"*11*")&gt;0,COUNTIF(I5777,"12*")&gt;0,COUNTIF(J5777,"*12*")&gt;0,COUNTIF(I5777,"13*")&gt;0,COUNTIF(J5777,"*13*")&gt;0,COUNTIF(I5777,"14*")&gt;0,COUNTIF(J5777,"*14*")&gt;0,COUNTIF(I5777,"15*")&gt;0,COUNTIF(J5777,"*15*")&gt;0,COUNTIF(I5777,"16*")&gt;0,COUNTIF(J5777,"*16*")&gt;0,COUNTIF(I5777,"17*")&gt;0,COUNTIF(J5777,"*17*")&gt;0,COUNTIF(I5777,"18*")&gt;0,COUNTIF(J5777,"*18*")&gt;0,COUNTIF(I5777,"19*")&gt;0,COUNTIF(J5777,"*19*")&gt;0,COUNTIF(I5777,"20*")&gt;0,COUNTIF(J5777,"*20*")&gt;0,COUNTIF(I5777,"21*")&gt;0,COUNTIF(J5777,"*21*")&gt;0,COUNTIF(I5777,"22*")&gt;0,COUNTIF(J5777,"*22*")&gt;0,COUNTIF(I5777,"23*")&gt;0,COUNTIF(J5777,"*23*")&gt;0,COUNTIF(I5777,"24*")&gt;0,COUNTIF(J5777,"*24*")&gt;0,COUNTIF(I5777,"25*")&gt;0,COUNTIF(J5777,"*25*")&gt;0,COUNTIF(I5777,"26*")&gt;0,COUNTIF(J5777,"*26*")&gt;0,COUNTIF(I5777,"27*")&gt;0,COUNTIF(J5777,"*27*")&gt;0,COUNTIF(I5777,"28*")&gt;0,COUNTIF(J5777,"*28*")&gt;0,COUNTIF(I5777,"29*")&gt;0,COUNTIF(J5777,"*29*")&gt;0,COUNTIF(I5777,"30*")&gt;0,COUNTIF(J5777,"*30*")&gt;0,COUNTIF(I5777,"31*")&gt;0,COUNTIF(J5777,"*31*")&gt;0,COUNTIF(I5777,"32*")&gt;0,COUNTIF(J5777,"*32*")&gt;0,COUNTIF(I5777,"33*")&gt;0,COUNTIF(J5777,"*33*")&gt;0,COUNTIF(I5777,"41*")&gt;0,COUNTIF(J5777,"*41*")&gt;0,COUNTIF(I5777,"42*")&gt;0,COUNTIF(J5777,"*42*")&gt;0,COUNTIF(I5777,"43*")&gt;0,COUNTIF(J5777,"*43*")&gt;0,COUNTIF(I5777,"49*")&gt;0,COUNTIF(J5777,"*49*")&gt;0,COUNTIF(I5777,"52*")&gt;0,COUNTIF(J5777,"*52*")&gt;0,COUNTIF(I5777,"55*")&gt;0,COUNTIF(J5777,"*55*")&gt;0,COUNTIF(I5777,"56*")&gt;0,COUNTIF(J5777,"*56*")&gt;0,COUNTIF(I5777,"68*")&gt;0,COUNTIF(J5777,"*68*")&gt;0,COUNTIF(I5777,"78*")&gt;0,COUNTIF(J5777,"*78*")&gt;0,COUNTIF(I5777,"81*")&gt;0,COUNTIF(J5777,"*81*")&gt;0,COUNTIF(I5777,"82*")&gt;0,COUNTIF(J5777,"*82*")&gt;0,COUNTIF(I5777,"64*")&gt;0,COUNTIF(J5777,"*64*")&gt;0,COUNTIF(I5777,"65*")&gt;0,COUNTIF(J5777,"*65*")&gt;0,COUNTIF(I5777,"66*")&gt;0,COUNTIF(J5777,"*66*")&gt;0,COUNTIF(I5777,"61*")&gt;0,COUNTIF(J5777,"*61*")&gt;0,COUNTIF(I5777,"62*")&gt;0,COUNTIF(J5777,"*62*")&gt;0,COUNTIF(I5777,"63*")&gt;0,COUNTIF(J5777,"*63*")&gt;0,COUNTIF(I5777,"85*")&gt;0,COUNTIF(J5777,"*85*")&gt;0,COUNTIF(I5777,"86*")&gt;0,COUNTIF(J5777,"*86*")&gt;0),"Да","Нет"))</f>
        <v/>
      </c>
      <c r="M5777" s="13">
        <f>IF(OR(G5777="",L5777&lt;&gt;"Да"),"",IF(G5777&lt;=100,"До 100",IF(G5777&lt;=200,"До 200",IF(G5777&lt;=500,"До 500","Отдельное КП"))))</f>
        <v/>
      </c>
      <c r="N5777" s="15">
        <f>IF(OR(G5777="",L5777&lt;&gt;"Да"),"",IF(G5777&lt;=100,33600,IF(G5777&lt;=200,62400,IF(G5777&lt;=500,144000,""))))</f>
        <v/>
      </c>
      <c r="O5777" s="16">
        <f>IF(G5777="","",IF(G5777&lt;=15,"1–15",IF(G5777&lt;=30,"16–30",IF(G5777&lt;=50,"31–50",IF(G5777&lt;=100,"51–100",IF(G5777&lt;=150,"101–150",IF(G5777&lt;=200,"151–200",IF(G5777&lt;=500,"201–500","500+"))))))))</f>
        <v/>
      </c>
      <c r="P5777" s="16" t="inlineStr">
        <is>
          <t>Нет совпадения в предоставленной выгрузке ССЧР</t>
        </is>
      </c>
      <c r="Q5777" s="16" t="n"/>
      <c r="R5777" s="16">
        <f>HYPERLINK("https://checko.ru/search?query=3801001629","Чекко: проверить")</f>
        <v/>
      </c>
      <c r="S5777" t="n">
        <v>0</v>
      </c>
    </row>
    <row r="5778" ht="15" customHeight="1" s="24">
      <c r="A5778" s="13" t="n">
        <v>802894866</v>
      </c>
      <c r="B5778" s="13" t="inlineStr">
        <is>
          <t>ООО "АНГАРСКАЯ КНИГА"</t>
        </is>
      </c>
      <c r="C5778" s="13" t="n">
        <v>3801093362</v>
      </c>
      <c r="D5778" s="13" t="inlineStr">
        <is>
          <t>3801093362</t>
        </is>
      </c>
      <c r="E5778" s="13" t="inlineStr">
        <is>
          <t>ЮЛ РФ</t>
        </is>
      </c>
      <c r="F5778" s="13" t="n"/>
      <c r="G5778" s="52" t="n">
        <v>17</v>
      </c>
      <c r="H5778" s="52" t="n">
        <v>2025</v>
      </c>
      <c r="I5778" s="14" t="n"/>
      <c r="J5778" s="14" t="n"/>
      <c r="K5778" s="53" t="inlineStr">
        <is>
          <t>Нет</t>
        </is>
      </c>
      <c r="L5778" s="53" t="inlineStr">
        <is>
          <t>Не определено</t>
        </is>
      </c>
      <c r="M5778" s="53" t="inlineStr">
        <is>
          <t>До 25</t>
        </is>
      </c>
      <c r="N5778" s="54" t="n">
        <v>8400</v>
      </c>
      <c r="O5778" s="55" t="inlineStr">
        <is>
          <t>16–30</t>
        </is>
      </c>
      <c r="P5778" s="16" t="inlineStr">
        <is>
          <t>ССЧР обогащена; ОКВЭД не найден/не загружен</t>
        </is>
      </c>
      <c r="Q5778" s="16" t="inlineStr">
        <is>
          <t>ФНС открытые данные ССЧР (ДатаСост 31.12.2025; набор 7707329152-sshr2019)</t>
        </is>
      </c>
      <c r="R5778" s="16">
        <f>HYPERLINK("https://checko.ru/search?query=3801001629","Чекко: проверить")</f>
        <v/>
      </c>
      <c r="S5778" t="n">
        <v>1</v>
      </c>
      <c r="T5778" s="35" t="inlineStr">
        <is>
          <t>4 — Не обогащён</t>
        </is>
      </c>
      <c r="U5778" s="35" t="inlineStr">
        <is>
          <t>Нет ОКВЭД/ССЧР</t>
        </is>
      </c>
      <c r="V5778" s="35" t="inlineStr">
        <is>
          <t>Не определено</t>
        </is>
      </c>
      <c r="W5778" s="35" t="inlineStr">
        <is>
          <t>Нет</t>
        </is>
      </c>
      <c r="X5778" s="35" t="inlineStr"/>
    </row>
    <row r="5779" ht="15" customHeight="1" s="24">
      <c r="A5779" s="13" t="n">
        <v>802450428</v>
      </c>
      <c r="B5779" s="13" t="inlineStr">
        <is>
          <t>ООО "КНИЖНАЯ БУРЯТИЯ"</t>
        </is>
      </c>
      <c r="C5779" s="13" t="n">
        <v>326499307</v>
      </c>
      <c r="D5779" s="13" t="n"/>
      <c r="E5779" s="13" t="inlineStr">
        <is>
          <t>Не определён</t>
        </is>
      </c>
      <c r="F5779" s="13" t="inlineStr">
        <is>
          <t>326499307</t>
        </is>
      </c>
      <c r="G5779" s="14" t="n"/>
      <c r="H5779" s="14" t="n"/>
      <c r="I5779" s="14" t="n"/>
      <c r="J5779" s="14" t="n"/>
      <c r="K5779" s="13">
        <f>IF(G5779="","",IF(G5779&gt;=22,"Да","Нет"))</f>
        <v/>
      </c>
      <c r="L5779" s="13">
        <f>IF(OR(I5779="",J5779=""),"Не определено",IF(OR(COUNTIF(I5779,"45*")&gt;0,COUNTIF(J5779,"*45*")&gt;0,COUNTIF(I5779,"46*")&gt;0,COUNTIF(J5779,"*46*")&gt;0,COUNTIF(I5779,"47*")&gt;0,COUNTIF(J5779,"*47*")&gt;0,COUNTIF(I5779,"10*")&gt;0,COUNTIF(J5779,"*10*")&gt;0,COUNTIF(I5779,"11*")&gt;0,COUNTIF(J5779,"*11*")&gt;0,COUNTIF(I5779,"12*")&gt;0,COUNTIF(J5779,"*12*")&gt;0,COUNTIF(I5779,"13*")&gt;0,COUNTIF(J5779,"*13*")&gt;0,COUNTIF(I5779,"14*")&gt;0,COUNTIF(J5779,"*14*")&gt;0,COUNTIF(I5779,"15*")&gt;0,COUNTIF(J5779,"*15*")&gt;0,COUNTIF(I5779,"16*")&gt;0,COUNTIF(J5779,"*16*")&gt;0,COUNTIF(I5779,"17*")&gt;0,COUNTIF(J5779,"*17*")&gt;0,COUNTIF(I5779,"18*")&gt;0,COUNTIF(J5779,"*18*")&gt;0,COUNTIF(I5779,"19*")&gt;0,COUNTIF(J5779,"*19*")&gt;0,COUNTIF(I5779,"20*")&gt;0,COUNTIF(J5779,"*20*")&gt;0,COUNTIF(I5779,"21*")&gt;0,COUNTIF(J5779,"*21*")&gt;0,COUNTIF(I5779,"22*")&gt;0,COUNTIF(J5779,"*22*")&gt;0,COUNTIF(I5779,"23*")&gt;0,COUNTIF(J5779,"*23*")&gt;0,COUNTIF(I5779,"24*")&gt;0,COUNTIF(J5779,"*24*")&gt;0,COUNTIF(I5779,"25*")&gt;0,COUNTIF(J5779,"*25*")&gt;0,COUNTIF(I5779,"26*")&gt;0,COUNTIF(J5779,"*26*")&gt;0,COUNTIF(I5779,"27*")&gt;0,COUNTIF(J5779,"*27*")&gt;0,COUNTIF(I5779,"28*")&gt;0,COUNTIF(J5779,"*28*")&gt;0,COUNTIF(I5779,"29*")&gt;0,COUNTIF(J5779,"*29*")&gt;0,COUNTIF(I5779,"30*")&gt;0,COUNTIF(J5779,"*30*")&gt;0,COUNTIF(I5779,"31*")&gt;0,COUNTIF(J5779,"*31*")&gt;0,COUNTIF(I5779,"32*")&gt;0,COUNTIF(J5779,"*32*")&gt;0,COUNTIF(I5779,"33*")&gt;0,COUNTIF(J5779,"*33*")&gt;0,COUNTIF(I5779,"41*")&gt;0,COUNTIF(J5779,"*41*")&gt;0,COUNTIF(I5779,"42*")&gt;0,COUNTIF(J5779,"*42*")&gt;0,COUNTIF(I5779,"43*")&gt;0,COUNTIF(J5779,"*43*")&gt;0,COUNTIF(I5779,"49*")&gt;0,COUNTIF(J5779,"*49*")&gt;0,COUNTIF(I5779,"52*")&gt;0,COUNTIF(J5779,"*52*")&gt;0,COUNTIF(I5779,"55*")&gt;0,COUNTIF(J5779,"*55*")&gt;0,COUNTIF(I5779,"56*")&gt;0,COUNTIF(J5779,"*56*")&gt;0,COUNTIF(I5779,"68*")&gt;0,COUNTIF(J5779,"*68*")&gt;0,COUNTIF(I5779,"78*")&gt;0,COUNTIF(J5779,"*78*")&gt;0,COUNTIF(I5779,"81*")&gt;0,COUNTIF(J5779,"*81*")&gt;0,COUNTIF(I5779,"82*")&gt;0,COUNTIF(J5779,"*82*")&gt;0,COUNTIF(I5779,"64*")&gt;0,COUNTIF(J5779,"*64*")&gt;0,COUNTIF(I5779,"65*")&gt;0,COUNTIF(J5779,"*65*")&gt;0,COUNTIF(I5779,"66*")&gt;0,COUNTIF(J5779,"*66*")&gt;0,COUNTIF(I5779,"61*")&gt;0,COUNTIF(J5779,"*61*")&gt;0,COUNTIF(I5779,"62*")&gt;0,COUNTIF(J5779,"*62*")&gt;0,COUNTIF(I5779,"63*")&gt;0,COUNTIF(J5779,"*63*")&gt;0,COUNTIF(I5779,"85*")&gt;0,COUNTIF(J5779,"*85*")&gt;0,COUNTIF(I5779,"86*")&gt;0,COUNTIF(J5779,"*86*")&gt;0),"Да","Нет"))</f>
        <v/>
      </c>
      <c r="M5779" s="13">
        <f>IF(OR(G5779="",L5779&lt;&gt;"Да"),"",IF(G5779&lt;=100,"До 100",IF(G5779&lt;=200,"До 200",IF(G5779&lt;=500,"До 500","Отдельное КП"))))</f>
        <v/>
      </c>
      <c r="N5779" s="15">
        <f>IF(OR(G5779="",L5779&lt;&gt;"Да"),"",IF(G5779&lt;=100,33600,IF(G5779&lt;=200,62400,IF(G5779&lt;=500,144000,""))))</f>
        <v/>
      </c>
      <c r="O5779" s="16">
        <f>IF(G5779="","",IF(G5779&lt;=15,"1–15",IF(G5779&lt;=30,"16–30",IF(G5779&lt;=50,"31–50",IF(G5779&lt;=100,"51–100",IF(G5779&lt;=150,"101–150",IF(G5779&lt;=200,"151–200",IF(G5779&lt;=500,"201–500","500+"))))))))</f>
        <v/>
      </c>
      <c r="P5779" s="16" t="inlineStr">
        <is>
          <t>Нет совпадения в предоставленной выгрузке ССЧР</t>
        </is>
      </c>
      <c r="Q5779" s="16" t="n"/>
      <c r="R5779" s="16">
        <f>HYPERLINK("https://checko.ru/search?query=3801001629","Чекко: проверить")</f>
        <v/>
      </c>
      <c r="S5779" t="n">
        <v>0</v>
      </c>
    </row>
    <row r="5780" ht="15" customHeight="1" s="24">
      <c r="A5780" s="13" t="n">
        <v>802471657</v>
      </c>
      <c r="B5780" s="13" t="inlineStr">
        <is>
          <t>ООО "КНИЖНАЯ БУРЯТИЯ"</t>
        </is>
      </c>
      <c r="C5780" s="13" t="n"/>
      <c r="D5780" s="13" t="n"/>
      <c r="E5780" s="13" t="inlineStr">
        <is>
          <t>Не определён</t>
        </is>
      </c>
      <c r="F5780" s="13" t="n"/>
      <c r="G5780" s="14" t="n"/>
      <c r="H5780" s="14" t="n"/>
      <c r="I5780" s="14" t="n"/>
      <c r="J5780" s="14" t="n"/>
      <c r="K5780" s="13">
        <f>IF(G5780="","",IF(G5780&gt;=22,"Да","Нет"))</f>
        <v/>
      </c>
      <c r="L5780" s="13">
        <f>IF(OR(I5780="",J5780=""),"Не определено",IF(OR(COUNTIF(I5780,"45*")&gt;0,COUNTIF(J5780,"*45*")&gt;0,COUNTIF(I5780,"46*")&gt;0,COUNTIF(J5780,"*46*")&gt;0,COUNTIF(I5780,"47*")&gt;0,COUNTIF(J5780,"*47*")&gt;0,COUNTIF(I5780,"10*")&gt;0,COUNTIF(J5780,"*10*")&gt;0,COUNTIF(I5780,"11*")&gt;0,COUNTIF(J5780,"*11*")&gt;0,COUNTIF(I5780,"12*")&gt;0,COUNTIF(J5780,"*12*")&gt;0,COUNTIF(I5780,"13*")&gt;0,COUNTIF(J5780,"*13*")&gt;0,COUNTIF(I5780,"14*")&gt;0,COUNTIF(J5780,"*14*")&gt;0,COUNTIF(I5780,"15*")&gt;0,COUNTIF(J5780,"*15*")&gt;0,COUNTIF(I5780,"16*")&gt;0,COUNTIF(J5780,"*16*")&gt;0,COUNTIF(I5780,"17*")&gt;0,COUNTIF(J5780,"*17*")&gt;0,COUNTIF(I5780,"18*")&gt;0,COUNTIF(J5780,"*18*")&gt;0,COUNTIF(I5780,"19*")&gt;0,COUNTIF(J5780,"*19*")&gt;0,COUNTIF(I5780,"20*")&gt;0,COUNTIF(J5780,"*20*")&gt;0,COUNTIF(I5780,"21*")&gt;0,COUNTIF(J5780,"*21*")&gt;0,COUNTIF(I5780,"22*")&gt;0,COUNTIF(J5780,"*22*")&gt;0,COUNTIF(I5780,"23*")&gt;0,COUNTIF(J5780,"*23*")&gt;0,COUNTIF(I5780,"24*")&gt;0,COUNTIF(J5780,"*24*")&gt;0,COUNTIF(I5780,"25*")&gt;0,COUNTIF(J5780,"*25*")&gt;0,COUNTIF(I5780,"26*")&gt;0,COUNTIF(J5780,"*26*")&gt;0,COUNTIF(I5780,"27*")&gt;0,COUNTIF(J5780,"*27*")&gt;0,COUNTIF(I5780,"28*")&gt;0,COUNTIF(J5780,"*28*")&gt;0,COUNTIF(I5780,"29*")&gt;0,COUNTIF(J5780,"*29*")&gt;0,COUNTIF(I5780,"30*")&gt;0,COUNTIF(J5780,"*30*")&gt;0,COUNTIF(I5780,"31*")&gt;0,COUNTIF(J5780,"*31*")&gt;0,COUNTIF(I5780,"32*")&gt;0,COUNTIF(J5780,"*32*")&gt;0,COUNTIF(I5780,"33*")&gt;0,COUNTIF(J5780,"*33*")&gt;0,COUNTIF(I5780,"41*")&gt;0,COUNTIF(J5780,"*41*")&gt;0,COUNTIF(I5780,"42*")&gt;0,COUNTIF(J5780,"*42*")&gt;0,COUNTIF(I5780,"43*")&gt;0,COUNTIF(J5780,"*43*")&gt;0,COUNTIF(I5780,"49*")&gt;0,COUNTIF(J5780,"*49*")&gt;0,COUNTIF(I5780,"52*")&gt;0,COUNTIF(J5780,"*52*")&gt;0,COUNTIF(I5780,"55*")&gt;0,COUNTIF(J5780,"*55*")&gt;0,COUNTIF(I5780,"56*")&gt;0,COUNTIF(J5780,"*56*")&gt;0,COUNTIF(I5780,"68*")&gt;0,COUNTIF(J5780,"*68*")&gt;0,COUNTIF(I5780,"78*")&gt;0,COUNTIF(J5780,"*78*")&gt;0,COUNTIF(I5780,"81*")&gt;0,COUNTIF(J5780,"*81*")&gt;0,COUNTIF(I5780,"82*")&gt;0,COUNTIF(J5780,"*82*")&gt;0,COUNTIF(I5780,"64*")&gt;0,COUNTIF(J5780,"*64*")&gt;0,COUNTIF(I5780,"65*")&gt;0,COUNTIF(J5780,"*65*")&gt;0,COUNTIF(I5780,"66*")&gt;0,COUNTIF(J5780,"*66*")&gt;0,COUNTIF(I5780,"61*")&gt;0,COUNTIF(J5780,"*61*")&gt;0,COUNTIF(I5780,"62*")&gt;0,COUNTIF(J5780,"*62*")&gt;0,COUNTIF(I5780,"63*")&gt;0,COUNTIF(J5780,"*63*")&gt;0,COUNTIF(I5780,"85*")&gt;0,COUNTIF(J5780,"*85*")&gt;0,COUNTIF(I5780,"86*")&gt;0,COUNTIF(J5780,"*86*")&gt;0),"Да","Нет"))</f>
        <v/>
      </c>
      <c r="M5780" s="13">
        <f>IF(OR(G5780="",L5780&lt;&gt;"Да"),"",IF(G5780&lt;=100,"До 100",IF(G5780&lt;=200,"До 200",IF(G5780&lt;=500,"До 500","Отдельное КП"))))</f>
        <v/>
      </c>
      <c r="N5780" s="15">
        <f>IF(OR(G5780="",L5780&lt;&gt;"Да"),"",IF(G5780&lt;=100,33600,IF(G5780&lt;=200,62400,IF(G5780&lt;=500,144000,""))))</f>
        <v/>
      </c>
      <c r="O5780" s="16">
        <f>IF(G5780="","",IF(G5780&lt;=15,"1–15",IF(G5780&lt;=30,"16–30",IF(G5780&lt;=50,"31–50",IF(G5780&lt;=100,"51–100",IF(G5780&lt;=150,"101–150",IF(G5780&lt;=200,"151–200",IF(G5780&lt;=500,"201–500","500+"))))))))</f>
        <v/>
      </c>
      <c r="P5780" s="16" t="inlineStr">
        <is>
          <t>Нет совпадения в предоставленной выгрузке ССЧР</t>
        </is>
      </c>
      <c r="Q5780" s="16" t="n"/>
      <c r="R5780" s="16">
        <f>HYPERLINK("https://checko.ru/search?query=3801001629","Чекко: проверить")</f>
        <v/>
      </c>
      <c r="S5780" t="n">
        <v>0</v>
      </c>
    </row>
    <row r="5781" ht="15" customHeight="1" s="24">
      <c r="A5781" s="13" t="n">
        <v>9903009</v>
      </c>
      <c r="B5781" s="13" t="inlineStr">
        <is>
          <t>ООО "Усольский ПродаЛитЪ"</t>
        </is>
      </c>
      <c r="C5781" s="13" t="n">
        <v>3851998977</v>
      </c>
      <c r="D5781" s="13" t="inlineStr">
        <is>
          <t>3851998977</t>
        </is>
      </c>
      <c r="E5781" s="13" t="inlineStr">
        <is>
          <t>ЮЛ РФ</t>
        </is>
      </c>
      <c r="F5781" s="13" t="n"/>
      <c r="G5781" s="52" t="n">
        <v>10</v>
      </c>
      <c r="H5781" s="52" t="n">
        <v>2025</v>
      </c>
      <c r="I5781" s="14" t="n"/>
      <c r="J5781" s="14" t="n"/>
      <c r="K5781" s="53" t="inlineStr">
        <is>
          <t>Нет</t>
        </is>
      </c>
      <c r="L5781" s="53" t="inlineStr">
        <is>
          <t>Не определено</t>
        </is>
      </c>
      <c r="M5781" s="53" t="inlineStr">
        <is>
          <t>До 10</t>
        </is>
      </c>
      <c r="N5781" s="54" t="n">
        <v>3360</v>
      </c>
      <c r="O5781" s="55" t="inlineStr">
        <is>
          <t>1–15</t>
        </is>
      </c>
      <c r="P5781" s="16" t="inlineStr">
        <is>
          <t>ССЧР обогащена; ОКВЭД не найден/не загружен</t>
        </is>
      </c>
      <c r="Q5781" s="16" t="inlineStr">
        <is>
          <t>ФНС открытые данные ССЧР (ДатаСост 31.12.2025; набор 7707329152-sshr2019)</t>
        </is>
      </c>
      <c r="R5781" s="16">
        <f>HYPERLINK("https://checko.ru/search?query=3801001629","Чекко: проверить")</f>
        <v/>
      </c>
      <c r="S5781" t="n">
        <v>1</v>
      </c>
      <c r="T5781" s="35" t="inlineStr">
        <is>
          <t>4 — Не обогащён</t>
        </is>
      </c>
      <c r="U5781" s="35" t="inlineStr">
        <is>
          <t>Нет ОКВЭД/ССЧР</t>
        </is>
      </c>
      <c r="V5781" s="35" t="inlineStr">
        <is>
          <t>Не определено</t>
        </is>
      </c>
      <c r="W5781" s="35" t="inlineStr">
        <is>
          <t>Нет</t>
        </is>
      </c>
      <c r="X5781" s="35" t="inlineStr"/>
    </row>
    <row r="5782" ht="15" customHeight="1" s="24">
      <c r="A5782" s="13" t="n">
        <v>800532263</v>
      </c>
      <c r="B5782" s="13" t="inlineStr">
        <is>
          <t>ООО "РЕГИОНАЛЬНОЕ АГЕНТСТВО ПУТЕШЕСТВИЙ"</t>
        </is>
      </c>
      <c r="C5782" s="13" t="n">
        <v>3808188616</v>
      </c>
      <c r="D5782" s="13" t="inlineStr">
        <is>
          <t>3808188616</t>
        </is>
      </c>
      <c r="E5782" s="13" t="inlineStr">
        <is>
          <t>ЮЛ РФ</t>
        </is>
      </c>
      <c r="F5782" s="13" t="n"/>
      <c r="G5782" s="52" t="n">
        <v>0</v>
      </c>
      <c r="H5782" s="52" t="n">
        <v>2025</v>
      </c>
      <c r="I5782" s="14" t="n"/>
      <c r="J5782" s="14" t="n"/>
      <c r="K5782" s="53" t="inlineStr">
        <is>
          <t>Нет</t>
        </is>
      </c>
      <c r="L5782" s="53" t="inlineStr">
        <is>
          <t>Не определено</t>
        </is>
      </c>
      <c r="M5782" s="53" t="inlineStr">
        <is>
          <t>До 10</t>
        </is>
      </c>
      <c r="N5782" s="54" t="n">
        <v>3360</v>
      </c>
      <c r="O5782" s="55" t="inlineStr">
        <is>
          <t>1–15</t>
        </is>
      </c>
      <c r="P5782" s="16" t="inlineStr">
        <is>
          <t>ССЧР обогащена; ОКВЭД не найден/не загружен</t>
        </is>
      </c>
      <c r="Q5782" s="16" t="inlineStr">
        <is>
          <t>ФНС открытые данные ССЧР (ДатаСост 31.12.2025; набор 7707329152-sshr2019)</t>
        </is>
      </c>
      <c r="R5782" s="16">
        <f>HYPERLINK("https://checko.ru/search?query=3801001629","Чекко: проверить")</f>
        <v/>
      </c>
      <c r="S5782" t="n">
        <v>1</v>
      </c>
      <c r="T5782" s="35" t="inlineStr">
        <is>
          <t>4 — Не обогащён</t>
        </is>
      </c>
      <c r="U5782" s="35" t="inlineStr">
        <is>
          <t>Нет ОКВЭД/ССЧР</t>
        </is>
      </c>
      <c r="V5782" s="35" t="inlineStr">
        <is>
          <t>Не определено</t>
        </is>
      </c>
      <c r="W5782" s="35" t="inlineStr">
        <is>
          <t>Нет</t>
        </is>
      </c>
      <c r="X5782" s="35" t="inlineStr"/>
    </row>
    <row r="5783" ht="15" customHeight="1" s="24">
      <c r="A5783" s="13" t="n">
        <v>9800850</v>
      </c>
      <c r="B5783" s="13" t="inlineStr">
        <is>
          <t>АО "ИНК-Запад"</t>
        </is>
      </c>
      <c r="C5783" s="13" t="n">
        <v>3808208157</v>
      </c>
      <c r="D5783" s="13" t="inlineStr">
        <is>
          <t>3808208157</t>
        </is>
      </c>
      <c r="E5783" s="13" t="inlineStr">
        <is>
          <t>ЮЛ РФ</t>
        </is>
      </c>
      <c r="F5783" s="13" t="n"/>
      <c r="G5783" s="14" t="n"/>
      <c r="H5783" s="14" t="n"/>
      <c r="I5783" s="14" t="n"/>
      <c r="J5783" s="14" t="n"/>
      <c r="K5783" s="53" t="inlineStr"/>
      <c r="L5783" s="53" t="inlineStr">
        <is>
          <t>Не определено</t>
        </is>
      </c>
      <c r="M5783" s="53" t="inlineStr"/>
      <c r="N5783" s="54" t="inlineStr"/>
      <c r="O5783" s="55" t="inlineStr"/>
      <c r="P5783" s="16" t="inlineStr">
        <is>
          <t>Требует обогащения</t>
        </is>
      </c>
      <c r="Q5783" s="16">
        <f>HYPERLINK("https://pb.nalog.ru/search.html?query=3808208157","ФНС: проверить")</f>
        <v/>
      </c>
      <c r="R5783" s="16">
        <f>HYPERLINK("https://checko.ru/search?query=3801001629","Чекко: проверить")</f>
        <v/>
      </c>
      <c r="S5783" t="n">
        <v>1</v>
      </c>
      <c r="T5783" s="35" t="inlineStr">
        <is>
          <t>4 — Не обогащён</t>
        </is>
      </c>
      <c r="U5783" s="35" t="inlineStr">
        <is>
          <t>Нет ОКВЭД/ССЧР</t>
        </is>
      </c>
      <c r="V5783" s="35" t="inlineStr">
        <is>
          <t>Не определено</t>
        </is>
      </c>
      <c r="W5783" s="35" t="inlineStr"/>
      <c r="X5783" s="35" t="inlineStr"/>
    </row>
    <row r="5784" ht="15" customHeight="1" s="24">
      <c r="A5784" s="13" t="n">
        <v>9851633</v>
      </c>
      <c r="B5784" s="13" t="inlineStr">
        <is>
          <t>ООО "Приор"</t>
        </is>
      </c>
      <c r="C5784" s="13" t="n">
        <v>3808106324</v>
      </c>
      <c r="D5784" s="13" t="inlineStr">
        <is>
          <t>3808106324</t>
        </is>
      </c>
      <c r="E5784" s="13" t="inlineStr">
        <is>
          <t>ЮЛ РФ</t>
        </is>
      </c>
      <c r="F5784" s="13" t="n"/>
      <c r="G5784" s="52" t="n">
        <v>2</v>
      </c>
      <c r="H5784" s="52" t="n">
        <v>2025</v>
      </c>
      <c r="I5784" s="14" t="n"/>
      <c r="J5784" s="14" t="n"/>
      <c r="K5784" s="53" t="inlineStr">
        <is>
          <t>Нет</t>
        </is>
      </c>
      <c r="L5784" s="53" t="inlineStr">
        <is>
          <t>Не определено</t>
        </is>
      </c>
      <c r="M5784" s="53" t="inlineStr">
        <is>
          <t>До 10</t>
        </is>
      </c>
      <c r="N5784" s="54" t="n">
        <v>3360</v>
      </c>
      <c r="O5784" s="55" t="inlineStr">
        <is>
          <t>1–15</t>
        </is>
      </c>
      <c r="P5784" s="16" t="inlineStr">
        <is>
          <t>ССЧР обогащена; ОКВЭД не найден/не загружен</t>
        </is>
      </c>
      <c r="Q5784" s="16" t="inlineStr">
        <is>
          <t>ФНС открытые данные ССЧР (ДатаСост 31.12.2025; набор 7707329152-sshr2019)</t>
        </is>
      </c>
      <c r="R5784" s="16">
        <f>HYPERLINK("https://checko.ru/search?query=3801001629","Чекко: проверить")</f>
        <v/>
      </c>
      <c r="S5784" t="n">
        <v>1</v>
      </c>
      <c r="T5784" s="35" t="inlineStr">
        <is>
          <t>4 — Не обогащён</t>
        </is>
      </c>
      <c r="U5784" s="35" t="inlineStr">
        <is>
          <t>Нет ОКВЭД/ССЧР</t>
        </is>
      </c>
      <c r="V5784" s="35" t="inlineStr">
        <is>
          <t>Не определено</t>
        </is>
      </c>
      <c r="W5784" s="35" t="inlineStr">
        <is>
          <t>Нет</t>
        </is>
      </c>
      <c r="X5784" s="35" t="inlineStr"/>
    </row>
    <row r="5785" ht="15" customHeight="1" s="24">
      <c r="A5785" s="13" t="n">
        <v>9074045</v>
      </c>
      <c r="B5785" s="13" t="inlineStr">
        <is>
          <t>АО "ИНК-Капитал"</t>
        </is>
      </c>
      <c r="C5785" s="13" t="n">
        <v>3808175078</v>
      </c>
      <c r="D5785" s="13" t="inlineStr">
        <is>
          <t>3808175078</t>
        </is>
      </c>
      <c r="E5785" s="13" t="inlineStr">
        <is>
          <t>ЮЛ РФ</t>
        </is>
      </c>
      <c r="F5785" s="13" t="n"/>
      <c r="G5785" s="14" t="n"/>
      <c r="H5785" s="14" t="n"/>
      <c r="I5785" s="14" t="n"/>
      <c r="J5785" s="14" t="n"/>
      <c r="K5785" s="53" t="inlineStr"/>
      <c r="L5785" s="53" t="inlineStr">
        <is>
          <t>Не определено</t>
        </is>
      </c>
      <c r="M5785" s="53" t="inlineStr"/>
      <c r="N5785" s="54" t="inlineStr"/>
      <c r="O5785" s="55" t="inlineStr"/>
      <c r="P5785" s="16" t="inlineStr">
        <is>
          <t>Требует обогащения</t>
        </is>
      </c>
      <c r="Q5785" s="16">
        <f>HYPERLINK("https://pb.nalog.ru/search.html?query=3808175078","ФНС: проверить")</f>
        <v/>
      </c>
      <c r="R5785" s="16">
        <f>HYPERLINK("https://checko.ru/search?query=3801001629","Чекко: проверить")</f>
        <v/>
      </c>
      <c r="S5785" t="n">
        <v>1</v>
      </c>
      <c r="T5785" s="35" t="inlineStr">
        <is>
          <t>4 — Не обогащён</t>
        </is>
      </c>
      <c r="U5785" s="35" t="inlineStr">
        <is>
          <t>Нет ОКВЭД/ССЧР</t>
        </is>
      </c>
      <c r="V5785" s="35" t="inlineStr">
        <is>
          <t>Не определено</t>
        </is>
      </c>
      <c r="W5785" s="35" t="inlineStr"/>
      <c r="X5785" s="35" t="inlineStr"/>
    </row>
    <row r="5786" ht="15" customHeight="1" s="24">
      <c r="A5786" s="13" t="n">
        <v>9187831</v>
      </c>
      <c r="B5786" s="13" t="inlineStr">
        <is>
          <t>ООО "ИНК-СЕРВИС"</t>
        </is>
      </c>
      <c r="C5786" s="13" t="n">
        <v>3849037856</v>
      </c>
      <c r="D5786" s="13" t="inlineStr">
        <is>
          <t>3849037856</t>
        </is>
      </c>
      <c r="E5786" s="13" t="inlineStr">
        <is>
          <t>ЮЛ РФ</t>
        </is>
      </c>
      <c r="F5786" s="13" t="n"/>
      <c r="G5786" s="14" t="n"/>
      <c r="H5786" s="14" t="n"/>
      <c r="I5786" s="14" t="n"/>
      <c r="J5786" s="14" t="n"/>
      <c r="K5786" s="53" t="inlineStr"/>
      <c r="L5786" s="53" t="inlineStr">
        <is>
          <t>Не определено</t>
        </is>
      </c>
      <c r="M5786" s="53" t="inlineStr"/>
      <c r="N5786" s="54" t="inlineStr"/>
      <c r="O5786" s="55" t="inlineStr"/>
      <c r="P5786" s="16" t="inlineStr">
        <is>
          <t>Требует обогащения</t>
        </is>
      </c>
      <c r="Q5786" s="16">
        <f>HYPERLINK("https://pb.nalog.ru/search.html?query=3849037856","ФНС: проверить")</f>
        <v/>
      </c>
      <c r="R5786" s="16">
        <f>HYPERLINK("https://checko.ru/search?query=3801001629","Чекко: проверить")</f>
        <v/>
      </c>
      <c r="S5786" t="n">
        <v>1</v>
      </c>
      <c r="T5786" s="35" t="inlineStr">
        <is>
          <t>4 — Не обогащён</t>
        </is>
      </c>
      <c r="U5786" s="35" t="inlineStr">
        <is>
          <t>Нет ОКВЭД/ССЧР</t>
        </is>
      </c>
      <c r="V5786" s="35" t="inlineStr">
        <is>
          <t>Не определено</t>
        </is>
      </c>
      <c r="W5786" s="35" t="inlineStr"/>
      <c r="X5786" s="35" t="inlineStr"/>
    </row>
    <row r="5787" ht="15" customHeight="1" s="24">
      <c r="A5787" s="13" t="n">
        <v>800307737</v>
      </c>
      <c r="B5787" s="13" t="inlineStr">
        <is>
          <t>ООО "ИНК-СЕРВИС"</t>
        </is>
      </c>
      <c r="C5787" s="13" t="n">
        <v>3849037856</v>
      </c>
      <c r="D5787" s="13" t="inlineStr">
        <is>
          <t>3849037856</t>
        </is>
      </c>
      <c r="E5787" s="13" t="inlineStr">
        <is>
          <t>ЮЛ РФ</t>
        </is>
      </c>
      <c r="F5787" s="13" t="n"/>
      <c r="G5787" s="14" t="n"/>
      <c r="H5787" s="14" t="n"/>
      <c r="I5787" s="14" t="n"/>
      <c r="J5787" s="14" t="n"/>
      <c r="K5787" s="53" t="inlineStr"/>
      <c r="L5787" s="53" t="inlineStr">
        <is>
          <t>Не определено</t>
        </is>
      </c>
      <c r="M5787" s="53" t="inlineStr"/>
      <c r="N5787" s="54" t="inlineStr"/>
      <c r="O5787" s="55" t="inlineStr"/>
      <c r="P5787" s="16" t="inlineStr">
        <is>
          <t>Требует обогащения</t>
        </is>
      </c>
      <c r="Q5787" s="16">
        <f>HYPERLINK("https://pb.nalog.ru/search.html?query=3849037856","ФНС: проверить")</f>
        <v/>
      </c>
      <c r="R5787" s="16">
        <f>HYPERLINK("https://checko.ru/search?query=3801001629","Чекко: проверить")</f>
        <v/>
      </c>
      <c r="S5787" t="n">
        <v>0</v>
      </c>
      <c r="T5787" s="35" t="inlineStr">
        <is>
          <t>4 — Не обогащён</t>
        </is>
      </c>
      <c r="U5787" s="35" t="inlineStr">
        <is>
          <t>Нет ОКВЭД/ССЧР</t>
        </is>
      </c>
      <c r="V5787" s="35" t="inlineStr">
        <is>
          <t>Не определено</t>
        </is>
      </c>
      <c r="W5787" s="35" t="inlineStr"/>
      <c r="X5787" s="35" t="inlineStr"/>
    </row>
    <row r="5788" ht="15" customHeight="1" s="24">
      <c r="A5788" s="13" t="n">
        <v>9187849</v>
      </c>
      <c r="B5788" s="13" t="inlineStr">
        <is>
          <t>ООО "ИНК-НефтеГазГеология"</t>
        </is>
      </c>
      <c r="C5788" s="13" t="n">
        <v>3808113219</v>
      </c>
      <c r="D5788" s="13" t="inlineStr">
        <is>
          <t>3808113219</t>
        </is>
      </c>
      <c r="E5788" s="13" t="inlineStr">
        <is>
          <t>ЮЛ РФ</t>
        </is>
      </c>
      <c r="F5788" s="13" t="n"/>
      <c r="G5788" s="14" t="n"/>
      <c r="H5788" s="14" t="n"/>
      <c r="I5788" s="14" t="n"/>
      <c r="J5788" s="14" t="n"/>
      <c r="K5788" s="53" t="inlineStr"/>
      <c r="L5788" s="53" t="inlineStr">
        <is>
          <t>Не определено</t>
        </is>
      </c>
      <c r="M5788" s="53" t="inlineStr"/>
      <c r="N5788" s="54" t="inlineStr"/>
      <c r="O5788" s="55" t="inlineStr"/>
      <c r="P5788" s="16" t="inlineStr">
        <is>
          <t>Требует обогащения</t>
        </is>
      </c>
      <c r="Q5788" s="16">
        <f>HYPERLINK("https://pb.nalog.ru/search.html?query=3808113219","ФНС: проверить")</f>
        <v/>
      </c>
      <c r="R5788" s="16">
        <f>HYPERLINK("https://checko.ru/search?query=3801001629","Чекко: проверить")</f>
        <v/>
      </c>
      <c r="S5788" t="n">
        <v>1</v>
      </c>
      <c r="T5788" s="35" t="inlineStr">
        <is>
          <t>4 — Не обогащён</t>
        </is>
      </c>
      <c r="U5788" s="35" t="inlineStr">
        <is>
          <t>Нет ОКВЭД/ССЧР</t>
        </is>
      </c>
      <c r="V5788" s="35" t="inlineStr">
        <is>
          <t>Не определено</t>
        </is>
      </c>
      <c r="W5788" s="35" t="inlineStr"/>
      <c r="X5788" s="35" t="inlineStr"/>
    </row>
    <row r="5789" ht="15" customHeight="1" s="24">
      <c r="A5789" s="13" t="n">
        <v>9388201</v>
      </c>
      <c r="B5789" s="13" t="inlineStr">
        <is>
          <t>АО "ИНК-Капитал"</t>
        </is>
      </c>
      <c r="C5789" s="13" t="n">
        <v>3808175078</v>
      </c>
      <c r="D5789" s="13" t="inlineStr">
        <is>
          <t>3808175078</t>
        </is>
      </c>
      <c r="E5789" s="13" t="inlineStr">
        <is>
          <t>ЮЛ РФ</t>
        </is>
      </c>
      <c r="F5789" s="13" t="n"/>
      <c r="G5789" s="14" t="n"/>
      <c r="H5789" s="14" t="n"/>
      <c r="I5789" s="14" t="n"/>
      <c r="J5789" s="14" t="n"/>
      <c r="K5789" s="53" t="inlineStr"/>
      <c r="L5789" s="53" t="inlineStr">
        <is>
          <t>Не определено</t>
        </is>
      </c>
      <c r="M5789" s="53" t="inlineStr"/>
      <c r="N5789" s="54" t="inlineStr"/>
      <c r="O5789" s="55" t="inlineStr"/>
      <c r="P5789" s="16" t="inlineStr">
        <is>
          <t>Требует обогащения</t>
        </is>
      </c>
      <c r="Q5789" s="16">
        <f>HYPERLINK("https://pb.nalog.ru/search.html?query=3808175078","ФНС: проверить")</f>
        <v/>
      </c>
      <c r="R5789" s="16">
        <f>HYPERLINK("https://checko.ru/search?query=3801001629","Чекко: проверить")</f>
        <v/>
      </c>
      <c r="S5789" t="n">
        <v>0</v>
      </c>
      <c r="T5789" s="35" t="inlineStr">
        <is>
          <t>4 — Не обогащён</t>
        </is>
      </c>
      <c r="U5789" s="35" t="inlineStr">
        <is>
          <t>Нет ОКВЭД/ССЧР</t>
        </is>
      </c>
      <c r="V5789" s="35" t="inlineStr">
        <is>
          <t>Не определено</t>
        </is>
      </c>
      <c r="W5789" s="35" t="inlineStr"/>
      <c r="X5789" s="35" t="inlineStr"/>
    </row>
    <row r="5790" ht="15" customHeight="1" s="24">
      <c r="A5790" s="13" t="n">
        <v>5000020902</v>
      </c>
      <c r="B5790" s="13" t="inlineStr">
        <is>
          <t>МКУ "ЦБ СМР МО"</t>
        </is>
      </c>
      <c r="C5790" s="13" t="n">
        <v>5044096901</v>
      </c>
      <c r="D5790" s="13" t="inlineStr">
        <is>
          <t>5044096901</t>
        </is>
      </c>
      <c r="E5790" s="13" t="inlineStr">
        <is>
          <t>ЮЛ РФ</t>
        </is>
      </c>
      <c r="F5790" s="13" t="n"/>
      <c r="G5790" s="14" t="n"/>
      <c r="H5790" s="14" t="n"/>
      <c r="I5790" s="14" t="n"/>
      <c r="J5790" s="14" t="n"/>
      <c r="K5790" s="53" t="inlineStr"/>
      <c r="L5790" s="53" t="inlineStr">
        <is>
          <t>Не определено</t>
        </is>
      </c>
      <c r="M5790" s="53" t="inlineStr"/>
      <c r="N5790" s="54" t="inlineStr"/>
      <c r="O5790" s="55" t="inlineStr"/>
      <c r="P5790" s="16" t="inlineStr">
        <is>
          <t>Требует обогащения</t>
        </is>
      </c>
      <c r="Q5790" s="16">
        <f>HYPERLINK("https://pb.nalog.ru/search.html?query=5044096901","ФНС: проверить")</f>
        <v/>
      </c>
      <c r="R5790" s="16">
        <f>HYPERLINK("https://checko.ru/search?query=3801001629","Чекко: проверить")</f>
        <v/>
      </c>
      <c r="S5790" t="n">
        <v>1</v>
      </c>
      <c r="T5790" s="35" t="inlineStr">
        <is>
          <t>4 — Не обогащён</t>
        </is>
      </c>
      <c r="U5790" s="35" t="inlineStr">
        <is>
          <t>Нет ОКВЭД/ССЧР</t>
        </is>
      </c>
      <c r="V5790" s="35" t="inlineStr">
        <is>
          <t>Не определено</t>
        </is>
      </c>
      <c r="W5790" s="35" t="inlineStr"/>
      <c r="X5790" s="35" t="inlineStr"/>
    </row>
    <row r="5791" ht="15" customHeight="1" s="24">
      <c r="A5791" s="13" t="n">
        <v>5000077820</v>
      </c>
      <c r="B5791" s="13" t="inlineStr">
        <is>
          <t>КГБУ "Центр финансового обеспечения"</t>
        </is>
      </c>
      <c r="C5791" s="13" t="n">
        <v>4101171828</v>
      </c>
      <c r="D5791" s="13" t="inlineStr">
        <is>
          <t>4101171828</t>
        </is>
      </c>
      <c r="E5791" s="13" t="inlineStr">
        <is>
          <t>ЮЛ РФ</t>
        </is>
      </c>
      <c r="F5791" s="13" t="n"/>
      <c r="G5791" s="14" t="n"/>
      <c r="H5791" s="14" t="n"/>
      <c r="I5791" s="14" t="n"/>
      <c r="J5791" s="14" t="n"/>
      <c r="K5791" s="53" t="inlineStr"/>
      <c r="L5791" s="53" t="inlineStr">
        <is>
          <t>Не определено</t>
        </is>
      </c>
      <c r="M5791" s="53" t="inlineStr"/>
      <c r="N5791" s="54" t="inlineStr"/>
      <c r="O5791" s="55" t="inlineStr"/>
      <c r="P5791" s="16" t="inlineStr">
        <is>
          <t>Требует обогащения</t>
        </is>
      </c>
      <c r="Q5791" s="16">
        <f>HYPERLINK("https://pb.nalog.ru/search.html?query=4101171828","ФНС: проверить")</f>
        <v/>
      </c>
      <c r="R5791" s="16">
        <f>HYPERLINK("https://checko.ru/search?query=3801001629","Чекко: проверить")</f>
        <v/>
      </c>
      <c r="S5791" t="n">
        <v>1</v>
      </c>
      <c r="T5791" s="35" t="inlineStr">
        <is>
          <t>4 — Не обогащён</t>
        </is>
      </c>
      <c r="U5791" s="35" t="inlineStr">
        <is>
          <t>Нет ОКВЭД/ССЧР</t>
        </is>
      </c>
      <c r="V5791" s="35" t="inlineStr">
        <is>
          <t>Не определено</t>
        </is>
      </c>
      <c r="W5791" s="35" t="inlineStr"/>
      <c r="X5791" s="35" t="inlineStr"/>
    </row>
    <row r="5792" ht="15" customHeight="1" s="24">
      <c r="A5792" s="13" t="n">
        <v>5000067250</v>
      </c>
      <c r="B5792" s="13" t="inlineStr">
        <is>
          <t>МИНФИН ЗАБАЙКАЛЬСКОГО КРАЯ</t>
        </is>
      </c>
      <c r="C5792" s="13" t="n">
        <v>7536095230</v>
      </c>
      <c r="D5792" s="13" t="inlineStr">
        <is>
          <t>7536095230</t>
        </is>
      </c>
      <c r="E5792" s="13" t="inlineStr">
        <is>
          <t>ЮЛ РФ</t>
        </is>
      </c>
      <c r="F5792" s="13" t="n"/>
      <c r="G5792" s="14" t="n"/>
      <c r="H5792" s="14" t="n"/>
      <c r="I5792" s="14" t="n"/>
      <c r="J5792" s="14" t="n"/>
      <c r="K5792" s="53" t="inlineStr"/>
      <c r="L5792" s="53" t="inlineStr">
        <is>
          <t>Не определено</t>
        </is>
      </c>
      <c r="M5792" s="53" t="inlineStr"/>
      <c r="N5792" s="54" t="inlineStr"/>
      <c r="O5792" s="55" t="inlineStr"/>
      <c r="P5792" s="16" t="inlineStr">
        <is>
          <t>Требует обогащения</t>
        </is>
      </c>
      <c r="Q5792" s="16">
        <f>HYPERLINK("https://pb.nalog.ru/search.html?query=7536095230","ФНС: проверить")</f>
        <v/>
      </c>
      <c r="R5792" s="16">
        <f>HYPERLINK("https://checko.ru/search?query=3801001629","Чекко: проверить")</f>
        <v/>
      </c>
      <c r="S5792" t="n">
        <v>1</v>
      </c>
      <c r="T5792" s="35" t="inlineStr">
        <is>
          <t>4 — Не обогащён</t>
        </is>
      </c>
      <c r="U5792" s="35" t="inlineStr">
        <is>
          <t>Нет ОКВЭД/ССЧР</t>
        </is>
      </c>
      <c r="V5792" s="35" t="inlineStr">
        <is>
          <t>Не определено</t>
        </is>
      </c>
      <c r="W5792" s="35" t="inlineStr"/>
      <c r="X5792" s="35" t="inlineStr"/>
    </row>
    <row r="5793" ht="41.25" customHeight="1" s="24">
      <c r="A5793" s="13" t="n">
        <v>5000048079</v>
      </c>
      <c r="B5793" s="13" t="inlineStr">
        <is>
          <t>Централизованная бухгалтерия № 4 по обеспечению деятельности муниципальных образовательных учреждений г. Иркутска</t>
        </is>
      </c>
      <c r="C5793" s="13" t="n">
        <v>3811069640</v>
      </c>
      <c r="D5793" s="13" t="inlineStr">
        <is>
          <t>3811069640</t>
        </is>
      </c>
      <c r="E5793" s="13" t="inlineStr">
        <is>
          <t>ЮЛ РФ</t>
        </is>
      </c>
      <c r="F5793" s="13" t="n"/>
      <c r="G5793" s="14" t="n"/>
      <c r="H5793" s="14" t="n"/>
      <c r="I5793" s="14" t="n"/>
      <c r="J5793" s="14" t="n"/>
      <c r="K5793" s="53" t="inlineStr"/>
      <c r="L5793" s="53" t="inlineStr">
        <is>
          <t>Не определено</t>
        </is>
      </c>
      <c r="M5793" s="53" t="inlineStr"/>
      <c r="N5793" s="54" t="inlineStr"/>
      <c r="O5793" s="55" t="inlineStr"/>
      <c r="P5793" s="16" t="inlineStr">
        <is>
          <t>Требует обогащения</t>
        </is>
      </c>
      <c r="Q5793" s="16">
        <f>HYPERLINK("https://pb.nalog.ru/search.html?query=3811069640","ФНС: проверить")</f>
        <v/>
      </c>
      <c r="R5793" s="16">
        <f>HYPERLINK("https://checko.ru/search?query=3801001629","Чекко: проверить")</f>
        <v/>
      </c>
      <c r="S5793" t="n">
        <v>1</v>
      </c>
      <c r="T5793" s="35" t="inlineStr">
        <is>
          <t>4 — Не обогащён</t>
        </is>
      </c>
      <c r="U5793" s="35" t="inlineStr">
        <is>
          <t>Нет ОКВЭД/ССЧР</t>
        </is>
      </c>
      <c r="V5793" s="35" t="inlineStr">
        <is>
          <t>Не определено</t>
        </is>
      </c>
      <c r="W5793" s="35" t="inlineStr"/>
      <c r="X5793" s="35" t="inlineStr"/>
    </row>
    <row r="5794" ht="41.25" customHeight="1" s="24">
      <c r="A5794" s="13" t="n">
        <v>5000067373</v>
      </c>
      <c r="B5794" s="13" t="inlineStr">
        <is>
          <t>МКУ "ЦЕНТРАЛИЗОВАННАЯ БУХГАЛТЕРИЯ ОРЕХОВО-ЗУЕВСКОГО ГОРОДСКОГО ОКРУГА МОСКОВСКОЙ ОБЛАСТИ"</t>
        </is>
      </c>
      <c r="C5794" s="13" t="n">
        <v>5034050665</v>
      </c>
      <c r="D5794" s="13" t="inlineStr">
        <is>
          <t>5034050665</t>
        </is>
      </c>
      <c r="E5794" s="13" t="inlineStr">
        <is>
          <t>ЮЛ РФ</t>
        </is>
      </c>
      <c r="F5794" s="13" t="n"/>
      <c r="G5794" s="14" t="n"/>
      <c r="H5794" s="14" t="n"/>
      <c r="I5794" s="14" t="n"/>
      <c r="J5794" s="14" t="n"/>
      <c r="K5794" s="53" t="inlineStr"/>
      <c r="L5794" s="53" t="inlineStr">
        <is>
          <t>Не определено</t>
        </is>
      </c>
      <c r="M5794" s="53" t="inlineStr"/>
      <c r="N5794" s="54" t="inlineStr"/>
      <c r="O5794" s="55" t="inlineStr"/>
      <c r="P5794" s="16" t="inlineStr">
        <is>
          <t>Требует обогащения</t>
        </is>
      </c>
      <c r="Q5794" s="16">
        <f>HYPERLINK("https://pb.nalog.ru/search.html?query=5034050665","ФНС: проверить")</f>
        <v/>
      </c>
      <c r="R5794" s="16">
        <f>HYPERLINK("https://checko.ru/search?query=3801001629","Чекко: проверить")</f>
        <v/>
      </c>
      <c r="S5794" t="n">
        <v>1</v>
      </c>
      <c r="T5794" s="35" t="inlineStr">
        <is>
          <t>4 — Не обогащён</t>
        </is>
      </c>
      <c r="U5794" s="35" t="inlineStr">
        <is>
          <t>Нет ОКВЭД/ССЧР</t>
        </is>
      </c>
      <c r="V5794" s="35" t="inlineStr">
        <is>
          <t>Не определено</t>
        </is>
      </c>
      <c r="W5794" s="35" t="inlineStr"/>
      <c r="X5794" s="35" t="inlineStr"/>
    </row>
    <row r="5795" ht="15" customHeight="1" s="24">
      <c r="A5795" s="13" t="n">
        <v>5000092721</v>
      </c>
      <c r="B5795" s="13" t="inlineStr">
        <is>
          <t>Администрация Мамско-Чуйского района</t>
        </is>
      </c>
      <c r="C5795" s="13" t="n">
        <v>3833001300</v>
      </c>
      <c r="D5795" s="13" t="inlineStr">
        <is>
          <t>3833001300</t>
        </is>
      </c>
      <c r="E5795" s="13" t="inlineStr">
        <is>
          <t>ЮЛ РФ</t>
        </is>
      </c>
      <c r="F5795" s="13" t="n"/>
      <c r="G5795" s="14" t="n"/>
      <c r="H5795" s="14" t="n"/>
      <c r="I5795" s="14" t="n"/>
      <c r="J5795" s="14" t="n"/>
      <c r="K5795" s="53" t="inlineStr"/>
      <c r="L5795" s="53" t="inlineStr">
        <is>
          <t>Не определено</t>
        </is>
      </c>
      <c r="M5795" s="53" t="inlineStr"/>
      <c r="N5795" s="54" t="inlineStr"/>
      <c r="O5795" s="55" t="inlineStr"/>
      <c r="P5795" s="16" t="inlineStr">
        <is>
          <t>Требует обогащения</t>
        </is>
      </c>
      <c r="Q5795" s="16">
        <f>HYPERLINK("https://pb.nalog.ru/search.html?query=3833001300","ФНС: проверить")</f>
        <v/>
      </c>
      <c r="R5795" s="16">
        <f>HYPERLINK("https://checko.ru/search?query=3801001629","Чекко: проверить")</f>
        <v/>
      </c>
      <c r="S5795" t="n">
        <v>1</v>
      </c>
      <c r="T5795" s="35" t="inlineStr">
        <is>
          <t>4 — Не обогащён</t>
        </is>
      </c>
      <c r="U5795" s="35" t="inlineStr">
        <is>
          <t>Нет ОКВЭД/ССЧР</t>
        </is>
      </c>
      <c r="V5795" s="35" t="inlineStr">
        <is>
          <t>Не определено</t>
        </is>
      </c>
      <c r="W5795" s="35" t="inlineStr"/>
      <c r="X5795" s="35" t="inlineStr"/>
    </row>
    <row r="5796" ht="41.25" customHeight="1" s="24">
      <c r="A5796" s="13" t="n">
        <v>5000046063</v>
      </c>
      <c r="B5796" s="13" t="inlineStr">
        <is>
          <t>МКУ города Иркутска "Централизованная бухгалтерия № 5 по обеспечению деятельности муниципальных образовательных учрежде</t>
        </is>
      </c>
      <c r="C5796" s="13" t="n">
        <v>3812014323</v>
      </c>
      <c r="D5796" s="13" t="inlineStr">
        <is>
          <t>3812014323</t>
        </is>
      </c>
      <c r="E5796" s="13" t="inlineStr">
        <is>
          <t>ЮЛ РФ</t>
        </is>
      </c>
      <c r="F5796" s="13" t="n"/>
      <c r="G5796" s="14" t="n"/>
      <c r="H5796" s="14" t="n"/>
      <c r="I5796" s="14" t="n"/>
      <c r="J5796" s="14" t="n"/>
      <c r="K5796" s="53" t="inlineStr"/>
      <c r="L5796" s="53" t="inlineStr">
        <is>
          <t>Не определено</t>
        </is>
      </c>
      <c r="M5796" s="53" t="inlineStr"/>
      <c r="N5796" s="54" t="inlineStr"/>
      <c r="O5796" s="55" t="inlineStr"/>
      <c r="P5796" s="16" t="inlineStr">
        <is>
          <t>Требует обогащения</t>
        </is>
      </c>
      <c r="Q5796" s="16">
        <f>HYPERLINK("https://pb.nalog.ru/search.html?query=3812014323","ФНС: проверить")</f>
        <v/>
      </c>
      <c r="R5796" s="16">
        <f>HYPERLINK("https://checko.ru/search?query=3801001629","Чекко: проверить")</f>
        <v/>
      </c>
      <c r="S5796" t="n">
        <v>1</v>
      </c>
      <c r="T5796" s="35" t="inlineStr">
        <is>
          <t>4 — Не обогащён</t>
        </is>
      </c>
      <c r="U5796" s="35" t="inlineStr">
        <is>
          <t>Нет ОКВЭД/ССЧР</t>
        </is>
      </c>
      <c r="V5796" s="35" t="inlineStr">
        <is>
          <t>Не определено</t>
        </is>
      </c>
      <c r="W5796" s="35" t="inlineStr"/>
      <c r="X5796" s="35" t="inlineStr"/>
    </row>
    <row r="5797" ht="68.25" customHeight="1" s="24">
      <c r="A5797" s="13" t="n">
        <v>5000050875</v>
      </c>
      <c r="B5797" s="13" t="inlineStr">
        <is>
          <t>МУНИЦИПАЛЬНОЕ КАЗЕННОЕ УЧРЕЖДЕНИЕ ЦЕНТРАЛИЗОВАННАЯ БУХГАЛТЕРИЯ № 1 ПО ОБЕСПЕЧЕНИЮ ДЕЯТЕЛЬНОСТИ МУНИЦИПАЛЬНЫХ ОБРАЗОВАТЕЛЬНЫХ УЧРЕЖДЕНИЙ Г. ИРКУТСКА</t>
        </is>
      </c>
      <c r="C5797" s="13" t="n">
        <v>3808073855</v>
      </c>
      <c r="D5797" s="13" t="inlineStr">
        <is>
          <t>3808073855</t>
        </is>
      </c>
      <c r="E5797" s="13" t="inlineStr">
        <is>
          <t>ЮЛ РФ</t>
        </is>
      </c>
      <c r="F5797" s="13" t="n"/>
      <c r="G5797" s="14" t="n"/>
      <c r="H5797" s="14" t="n"/>
      <c r="I5797" s="14" t="n"/>
      <c r="J5797" s="14" t="n"/>
      <c r="K5797" s="53" t="inlineStr"/>
      <c r="L5797" s="53" t="inlineStr">
        <is>
          <t>Не определено</t>
        </is>
      </c>
      <c r="M5797" s="53" t="inlineStr"/>
      <c r="N5797" s="54" t="inlineStr"/>
      <c r="O5797" s="55" t="inlineStr"/>
      <c r="P5797" s="16" t="inlineStr">
        <is>
          <t>Требует обогащения</t>
        </is>
      </c>
      <c r="Q5797" s="16">
        <f>HYPERLINK("https://pb.nalog.ru/search.html?query=3808073855","ФНС: проверить")</f>
        <v/>
      </c>
      <c r="R5797" s="16">
        <f>HYPERLINK("https://checko.ru/search?query=3801001629","Чекко: проверить")</f>
        <v/>
      </c>
      <c r="S5797" t="n">
        <v>1</v>
      </c>
      <c r="T5797" s="35" t="inlineStr">
        <is>
          <t>4 — Не обогащён</t>
        </is>
      </c>
      <c r="U5797" s="35" t="inlineStr">
        <is>
          <t>Нет ОКВЭД/ССЧР</t>
        </is>
      </c>
      <c r="V5797" s="35" t="inlineStr">
        <is>
          <t>Не определено</t>
        </is>
      </c>
      <c r="W5797" s="35" t="inlineStr"/>
      <c r="X5797" s="35" t="inlineStr"/>
    </row>
    <row r="5798" ht="54.75" customHeight="1" s="24">
      <c r="A5798" s="13" t="n">
        <v>5000048031</v>
      </c>
      <c r="B5798" s="13" t="inlineStr">
        <is>
          <t>МКУ ЦЕНТРАЛИЗОВАННАЯ БУХГАЛТЕРИЯ № 3 ПО ОБЕСПЕЧЕНИЮ ДЕЯТЕЛЬНОСТИ МУНИЦИПАЛЬНЫХ ОБРАЗОВАТЕЛЬНЫХ УЧРЕЖДЕНИЙ Г. ИРКУТСКА</t>
        </is>
      </c>
      <c r="C5798" s="13" t="n">
        <v>3810031235</v>
      </c>
      <c r="D5798" s="13" t="inlineStr">
        <is>
          <t>3810031235</t>
        </is>
      </c>
      <c r="E5798" s="13" t="inlineStr">
        <is>
          <t>ЮЛ РФ</t>
        </is>
      </c>
      <c r="F5798" s="13" t="n"/>
      <c r="G5798" s="14" t="n"/>
      <c r="H5798" s="14" t="n"/>
      <c r="I5798" s="14" t="n"/>
      <c r="J5798" s="14" t="n"/>
      <c r="K5798" s="53" t="inlineStr"/>
      <c r="L5798" s="53" t="inlineStr">
        <is>
          <t>Не определено</t>
        </is>
      </c>
      <c r="M5798" s="53" t="inlineStr"/>
      <c r="N5798" s="54" t="inlineStr"/>
      <c r="O5798" s="55" t="inlineStr"/>
      <c r="P5798" s="16" t="inlineStr">
        <is>
          <t>Требует обогащения</t>
        </is>
      </c>
      <c r="Q5798" s="16">
        <f>HYPERLINK("https://pb.nalog.ru/search.html?query=3810031235","ФНС: проверить")</f>
        <v/>
      </c>
      <c r="R5798" s="16">
        <f>HYPERLINK("https://checko.ru/search?query=3801001629","Чекко: проверить")</f>
        <v/>
      </c>
      <c r="S5798" t="n">
        <v>1</v>
      </c>
      <c r="T5798" s="35" t="inlineStr">
        <is>
          <t>4 — Не обогащён</t>
        </is>
      </c>
      <c r="U5798" s="35" t="inlineStr">
        <is>
          <t>Нет ОКВЭД/ССЧР</t>
        </is>
      </c>
      <c r="V5798" s="35" t="inlineStr">
        <is>
          <t>Не определено</t>
        </is>
      </c>
      <c r="W5798" s="35" t="inlineStr"/>
      <c r="X5798" s="35" t="inlineStr"/>
    </row>
    <row r="5799" ht="27.75" customHeight="1" s="24">
      <c r="A5799" s="13" t="n">
        <v>5000024710</v>
      </c>
      <c r="B5799" s="13" t="inlineStr">
        <is>
          <t>Комитет по образованию администрации муниципального образования "</t>
        </is>
      </c>
      <c r="C5799" s="13" t="n">
        <v>3825002244</v>
      </c>
      <c r="D5799" s="13" t="inlineStr">
        <is>
          <t>3825002244</t>
        </is>
      </c>
      <c r="E5799" s="13" t="inlineStr">
        <is>
          <t>ЮЛ РФ</t>
        </is>
      </c>
      <c r="F5799" s="13" t="n"/>
      <c r="G5799" s="14" t="n"/>
      <c r="H5799" s="14" t="n"/>
      <c r="I5799" s="14" t="n"/>
      <c r="J5799" s="14" t="n"/>
      <c r="K5799" s="53" t="inlineStr"/>
      <c r="L5799" s="53" t="inlineStr">
        <is>
          <t>Не определено</t>
        </is>
      </c>
      <c r="M5799" s="53" t="inlineStr"/>
      <c r="N5799" s="54" t="inlineStr"/>
      <c r="O5799" s="55" t="inlineStr"/>
      <c r="P5799" s="16" t="inlineStr">
        <is>
          <t>Требует обогащения</t>
        </is>
      </c>
      <c r="Q5799" s="16">
        <f>HYPERLINK("https://pb.nalog.ru/search.html?query=3825002244","ФНС: проверить")</f>
        <v/>
      </c>
      <c r="R5799" s="16">
        <f>HYPERLINK("https://checko.ru/search?query=3801001629","Чекко: проверить")</f>
        <v/>
      </c>
      <c r="S5799" t="n">
        <v>1</v>
      </c>
      <c r="T5799" s="35" t="inlineStr">
        <is>
          <t>4 — Не обогащён</t>
        </is>
      </c>
      <c r="U5799" s="35" t="inlineStr">
        <is>
          <t>Нет ОКВЭД/ССЧР</t>
        </is>
      </c>
      <c r="V5799" s="35" t="inlineStr">
        <is>
          <t>Не определено</t>
        </is>
      </c>
      <c r="W5799" s="35" t="inlineStr"/>
      <c r="X5799" s="35" t="inlineStr"/>
    </row>
    <row r="5800" ht="27.75" customHeight="1" s="24">
      <c r="A5800" s="13" t="n">
        <v>5000064354</v>
      </c>
      <c r="B5800" s="13" t="inlineStr">
        <is>
          <t>КГБУЗ «Алтайский краевой медицинский информационно-аналитический центр"</t>
        </is>
      </c>
      <c r="C5800" s="13" t="n">
        <v>2225100449</v>
      </c>
      <c r="D5800" s="13" t="inlineStr">
        <is>
          <t>2225100449</t>
        </is>
      </c>
      <c r="E5800" s="13" t="inlineStr">
        <is>
          <t>ЮЛ РФ</t>
        </is>
      </c>
      <c r="F5800" s="13" t="n"/>
      <c r="G5800" s="14" t="n"/>
      <c r="H5800" s="14" t="n"/>
      <c r="I5800" s="14" t="n"/>
      <c r="J5800" s="14" t="n"/>
      <c r="K5800" s="53" t="inlineStr"/>
      <c r="L5800" s="53" t="inlineStr">
        <is>
          <t>Не определено</t>
        </is>
      </c>
      <c r="M5800" s="53" t="inlineStr"/>
      <c r="N5800" s="54" t="inlineStr"/>
      <c r="O5800" s="55" t="inlineStr"/>
      <c r="P5800" s="16" t="inlineStr">
        <is>
          <t>Требует обогащения</t>
        </is>
      </c>
      <c r="Q5800" s="16">
        <f>HYPERLINK("https://pb.nalog.ru/search.html?query=2225100449","ФНС: проверить")</f>
        <v/>
      </c>
      <c r="R5800" s="16">
        <f>HYPERLINK("https://checko.ru/search?query=3801001629","Чекко: проверить")</f>
        <v/>
      </c>
      <c r="S5800" t="n">
        <v>1</v>
      </c>
      <c r="T5800" s="35" t="inlineStr">
        <is>
          <t>4 — Не обогащён</t>
        </is>
      </c>
      <c r="U5800" s="35" t="inlineStr">
        <is>
          <t>Нет ОКВЭД/ССЧР</t>
        </is>
      </c>
      <c r="V5800" s="35" t="inlineStr">
        <is>
          <t>Не определено</t>
        </is>
      </c>
      <c r="W5800" s="35" t="inlineStr"/>
      <c r="X5800" s="35" t="inlineStr"/>
    </row>
    <row r="5801" ht="15" customHeight="1" s="24">
      <c r="A5801" s="13" t="n">
        <v>5000077821</v>
      </c>
      <c r="B5801" s="13" t="inlineStr">
        <is>
          <t>Министерство финансов Камчатского края</t>
        </is>
      </c>
      <c r="C5801" s="13" t="n">
        <v>4101121129</v>
      </c>
      <c r="D5801" s="13" t="inlineStr">
        <is>
          <t>4101121129</t>
        </is>
      </c>
      <c r="E5801" s="13" t="inlineStr">
        <is>
          <t>ЮЛ РФ</t>
        </is>
      </c>
      <c r="F5801" s="13" t="n"/>
      <c r="G5801" s="14" t="n"/>
      <c r="H5801" s="14" t="n"/>
      <c r="I5801" s="14" t="n"/>
      <c r="J5801" s="14" t="n"/>
      <c r="K5801" s="53" t="inlineStr"/>
      <c r="L5801" s="53" t="inlineStr">
        <is>
          <t>Не определено</t>
        </is>
      </c>
      <c r="M5801" s="53" t="inlineStr"/>
      <c r="N5801" s="54" t="inlineStr"/>
      <c r="O5801" s="55" t="inlineStr"/>
      <c r="P5801" s="16" t="inlineStr">
        <is>
          <t>Требует обогащения</t>
        </is>
      </c>
      <c r="Q5801" s="16">
        <f>HYPERLINK("https://pb.nalog.ru/search.html?query=4101121129","ФНС: проверить")</f>
        <v/>
      </c>
      <c r="R5801" s="16">
        <f>HYPERLINK("https://checko.ru/search?query=3801001629","Чекко: проверить")</f>
        <v/>
      </c>
      <c r="S5801" t="n">
        <v>0</v>
      </c>
      <c r="T5801" s="35" t="inlineStr">
        <is>
          <t>4 — Не обогащён</t>
        </is>
      </c>
      <c r="U5801" s="35" t="inlineStr">
        <is>
          <t>Нет ОКВЭД/ССЧР</t>
        </is>
      </c>
      <c r="V5801" s="35" t="inlineStr">
        <is>
          <t>Не определено</t>
        </is>
      </c>
      <c r="W5801" s="35" t="inlineStr"/>
      <c r="X5801" s="35" t="inlineStr"/>
    </row>
    <row r="5802" ht="15" customHeight="1" s="24">
      <c r="A5802" s="13" t="n">
        <v>5000081653</v>
      </c>
      <c r="B5802" s="13" t="inlineStr">
        <is>
          <t>МБОУ г. Иркутска СОШ№ 49</t>
        </is>
      </c>
      <c r="C5802" s="13" t="n">
        <v>3810024238</v>
      </c>
      <c r="D5802" s="13" t="inlineStr">
        <is>
          <t>3810024238</t>
        </is>
      </c>
      <c r="E5802" s="13" t="inlineStr">
        <is>
          <t>ЮЛ РФ</t>
        </is>
      </c>
      <c r="F5802" s="13" t="n"/>
      <c r="G5802" s="14" t="n"/>
      <c r="H5802" s="14" t="n"/>
      <c r="I5802" s="14" t="n"/>
      <c r="J5802" s="14" t="n"/>
      <c r="K5802" s="53" t="inlineStr"/>
      <c r="L5802" s="53" t="inlineStr">
        <is>
          <t>Не определено</t>
        </is>
      </c>
      <c r="M5802" s="53" t="inlineStr"/>
      <c r="N5802" s="54" t="inlineStr"/>
      <c r="O5802" s="55" t="inlineStr"/>
      <c r="P5802" s="16" t="inlineStr">
        <is>
          <t>Требует обогащения</t>
        </is>
      </c>
      <c r="Q5802" s="16">
        <f>HYPERLINK("https://pb.nalog.ru/search.html?query=3810024238","ФНС: проверить")</f>
        <v/>
      </c>
      <c r="R5802" s="16">
        <f>HYPERLINK("https://checko.ru/search?query=3801001629","Чекко: проверить")</f>
        <v/>
      </c>
      <c r="S5802" t="n">
        <v>1</v>
      </c>
      <c r="T5802" s="35" t="inlineStr">
        <is>
          <t>4 — Не обогащён</t>
        </is>
      </c>
      <c r="U5802" s="35" t="inlineStr">
        <is>
          <t>Нет ОКВЭД/ССЧР</t>
        </is>
      </c>
      <c r="V5802" s="35" t="inlineStr">
        <is>
          <t>Не определено</t>
        </is>
      </c>
      <c r="W5802" s="35" t="inlineStr"/>
      <c r="X5802" s="35" t="inlineStr"/>
    </row>
    <row r="5803" ht="15" customHeight="1" s="24">
      <c r="A5803" s="13" t="n">
        <v>5000081657</v>
      </c>
      <c r="B5803" s="13" t="inlineStr">
        <is>
          <t>МБОУ Г. ИРКУТСКА СОШ № 34</t>
        </is>
      </c>
      <c r="C5803" s="13" t="n">
        <v>3810023837</v>
      </c>
      <c r="D5803" s="13" t="inlineStr">
        <is>
          <t>3810023837</t>
        </is>
      </c>
      <c r="E5803" s="13" t="inlineStr">
        <is>
          <t>ЮЛ РФ</t>
        </is>
      </c>
      <c r="F5803" s="13" t="n"/>
      <c r="G5803" s="14" t="n"/>
      <c r="H5803" s="14" t="n"/>
      <c r="I5803" s="14" t="n"/>
      <c r="J5803" s="14" t="n"/>
      <c r="K5803" s="53" t="inlineStr"/>
      <c r="L5803" s="53" t="inlineStr">
        <is>
          <t>Не определено</t>
        </is>
      </c>
      <c r="M5803" s="53" t="inlineStr"/>
      <c r="N5803" s="54" t="inlineStr"/>
      <c r="O5803" s="55" t="inlineStr"/>
      <c r="P5803" s="16" t="inlineStr">
        <is>
          <t>Требует обогащения</t>
        </is>
      </c>
      <c r="Q5803" s="16">
        <f>HYPERLINK("https://pb.nalog.ru/search.html?query=3810023837","ФНС: проверить")</f>
        <v/>
      </c>
      <c r="R5803" s="16">
        <f>HYPERLINK("https://checko.ru/search?query=3801001629","Чекко: проверить")</f>
        <v/>
      </c>
      <c r="S5803" t="n">
        <v>1</v>
      </c>
      <c r="T5803" s="35" t="inlineStr">
        <is>
          <t>4 — Не обогащён</t>
        </is>
      </c>
      <c r="U5803" s="35" t="inlineStr">
        <is>
          <t>Нет ОКВЭД/ССЧР</t>
        </is>
      </c>
      <c r="V5803" s="35" t="inlineStr">
        <is>
          <t>Не определено</t>
        </is>
      </c>
      <c r="W5803" s="35" t="inlineStr"/>
      <c r="X5803" s="35" t="inlineStr"/>
    </row>
    <row r="5804" ht="15" customHeight="1" s="24">
      <c r="A5804" s="13" t="n">
        <v>5000081658</v>
      </c>
      <c r="B5804" s="13" t="inlineStr">
        <is>
          <t>МБОУ Г. ИРКУТСКА СОШ № 37</t>
        </is>
      </c>
      <c r="C5804" s="13" t="n">
        <v>3810024541</v>
      </c>
      <c r="D5804" s="13" t="inlineStr">
        <is>
          <t>3810024541</t>
        </is>
      </c>
      <c r="E5804" s="13" t="inlineStr">
        <is>
          <t>ЮЛ РФ</t>
        </is>
      </c>
      <c r="F5804" s="13" t="n"/>
      <c r="G5804" s="14" t="n"/>
      <c r="H5804" s="14" t="n"/>
      <c r="I5804" s="14" t="n"/>
      <c r="J5804" s="14" t="n"/>
      <c r="K5804" s="53" t="inlineStr"/>
      <c r="L5804" s="53" t="inlineStr">
        <is>
          <t>Не определено</t>
        </is>
      </c>
      <c r="M5804" s="53" t="inlineStr"/>
      <c r="N5804" s="54" t="inlineStr"/>
      <c r="O5804" s="55" t="inlineStr"/>
      <c r="P5804" s="16" t="inlineStr">
        <is>
          <t>Требует обогащения</t>
        </is>
      </c>
      <c r="Q5804" s="16">
        <f>HYPERLINK("https://pb.nalog.ru/search.html?query=3810024541","ФНС: проверить")</f>
        <v/>
      </c>
      <c r="R5804" s="16">
        <f>HYPERLINK("https://checko.ru/search?query=3801001629","Чекко: проверить")</f>
        <v/>
      </c>
      <c r="S5804" t="n">
        <v>1</v>
      </c>
      <c r="T5804" s="35" t="inlineStr">
        <is>
          <t>4 — Не обогащён</t>
        </is>
      </c>
      <c r="U5804" s="35" t="inlineStr">
        <is>
          <t>Нет ОКВЭД/ССЧР</t>
        </is>
      </c>
      <c r="V5804" s="35" t="inlineStr">
        <is>
          <t>Не определено</t>
        </is>
      </c>
      <c r="W5804" s="35" t="inlineStr"/>
      <c r="X5804" s="35" t="inlineStr"/>
    </row>
    <row r="5805" ht="15" customHeight="1" s="24">
      <c r="A5805" s="13" t="n">
        <v>5000081608</v>
      </c>
      <c r="B5805" s="13" t="inlineStr">
        <is>
          <t>МБОУ ГИМНАЗИЯ № 44 Г. ИРКУТСКА</t>
        </is>
      </c>
      <c r="C5805" s="13" t="n">
        <v>3811054806</v>
      </c>
      <c r="D5805" s="13" t="inlineStr">
        <is>
          <t>3811054806</t>
        </is>
      </c>
      <c r="E5805" s="13" t="inlineStr">
        <is>
          <t>ЮЛ РФ</t>
        </is>
      </c>
      <c r="F5805" s="13" t="n"/>
      <c r="G5805" s="14" t="n"/>
      <c r="H5805" s="14" t="n"/>
      <c r="I5805" s="14" t="n"/>
      <c r="J5805" s="14" t="n"/>
      <c r="K5805" s="53" t="inlineStr"/>
      <c r="L5805" s="53" t="inlineStr">
        <is>
          <t>Не определено</t>
        </is>
      </c>
      <c r="M5805" s="53" t="inlineStr"/>
      <c r="N5805" s="54" t="inlineStr"/>
      <c r="O5805" s="55" t="inlineStr"/>
      <c r="P5805" s="16" t="inlineStr">
        <is>
          <t>Требует обогащения</t>
        </is>
      </c>
      <c r="Q5805" s="16">
        <f>HYPERLINK("https://pb.nalog.ru/search.html?query=3811054806","ФНС: проверить")</f>
        <v/>
      </c>
      <c r="R5805" s="16">
        <f>HYPERLINK("https://checko.ru/search?query=3801001629","Чекко: проверить")</f>
        <v/>
      </c>
      <c r="S5805" t="n">
        <v>1</v>
      </c>
      <c r="T5805" s="35" t="inlineStr">
        <is>
          <t>4 — Не обогащён</t>
        </is>
      </c>
      <c r="U5805" s="35" t="inlineStr">
        <is>
          <t>Нет ОКВЭД/ССЧР</t>
        </is>
      </c>
      <c r="V5805" s="35" t="inlineStr">
        <is>
          <t>Не определено</t>
        </is>
      </c>
      <c r="W5805" s="35" t="inlineStr"/>
      <c r="X5805" s="35" t="inlineStr"/>
    </row>
    <row r="5806" ht="54.75" customHeight="1" s="24">
      <c r="A5806" s="13" t="n">
        <v>5000080628</v>
      </c>
      <c r="B5806" s="13" t="inlineStr">
        <is>
          <t>МУНИЦИПАЛЬНОЕ УЧРЕЖДЕНИЕ КУЛЬТУРЫ "ЦЕНТР КУЛЬТУРЫ И ДОСУГА" ОРЕХОВО-ЗУЕВСКОГО ГОРОДСКОГО ОКРУГА МОСКОВСКОЙ ОБЛАСТИ</t>
        </is>
      </c>
      <c r="C5806" s="13" t="n">
        <v>5034030884</v>
      </c>
      <c r="D5806" s="13" t="inlineStr">
        <is>
          <t>5034030884</t>
        </is>
      </c>
      <c r="E5806" s="13" t="inlineStr">
        <is>
          <t>ЮЛ РФ</t>
        </is>
      </c>
      <c r="F5806" s="13" t="n"/>
      <c r="G5806" s="14" t="n"/>
      <c r="H5806" s="14" t="n"/>
      <c r="I5806" s="14" t="n"/>
      <c r="J5806" s="14" t="n"/>
      <c r="K5806" s="53" t="inlineStr"/>
      <c r="L5806" s="53" t="inlineStr">
        <is>
          <t>Не определено</t>
        </is>
      </c>
      <c r="M5806" s="53" t="inlineStr"/>
      <c r="N5806" s="54" t="inlineStr"/>
      <c r="O5806" s="55" t="inlineStr"/>
      <c r="P5806" s="16" t="inlineStr">
        <is>
          <t>Требует обогащения</t>
        </is>
      </c>
      <c r="Q5806" s="16">
        <f>HYPERLINK("https://pb.nalog.ru/search.html?query=5034030884","ФНС: проверить")</f>
        <v/>
      </c>
      <c r="R5806" s="16">
        <f>HYPERLINK("https://checko.ru/search?query=3801001629","Чекко: проверить")</f>
        <v/>
      </c>
      <c r="S5806" t="n">
        <v>1</v>
      </c>
      <c r="T5806" s="35" t="inlineStr">
        <is>
          <t>4 — Не обогащён</t>
        </is>
      </c>
      <c r="U5806" s="35" t="inlineStr">
        <is>
          <t>Нет ОКВЭД/ССЧР</t>
        </is>
      </c>
      <c r="V5806" s="35" t="inlineStr">
        <is>
          <t>Не определено</t>
        </is>
      </c>
      <c r="W5806" s="35" t="inlineStr"/>
      <c r="X5806" s="35" t="inlineStr"/>
    </row>
    <row r="5807" ht="27.75" customHeight="1" s="24">
      <c r="A5807" s="13" t="n">
        <v>5000080603</v>
      </c>
      <c r="B5807" s="13" t="inlineStr">
        <is>
          <t>МОУ ДРЕЗНЕНСКАЯ СРЕДНЯЯ ОБЩЕОБРАЗОВАТЕЛЬНАЯ ШКОЛА № 1</t>
        </is>
      </c>
      <c r="C5807" s="13" t="n">
        <v>5073008681</v>
      </c>
      <c r="D5807" s="13" t="inlineStr">
        <is>
          <t>5073008681</t>
        </is>
      </c>
      <c r="E5807" s="13" t="inlineStr">
        <is>
          <t>ЮЛ РФ</t>
        </is>
      </c>
      <c r="F5807" s="13" t="n"/>
      <c r="G5807" s="14" t="n"/>
      <c r="H5807" s="14" t="n"/>
      <c r="I5807" s="14" t="n"/>
      <c r="J5807" s="14" t="n"/>
      <c r="K5807" s="53" t="inlineStr"/>
      <c r="L5807" s="53" t="inlineStr">
        <is>
          <t>Не определено</t>
        </is>
      </c>
      <c r="M5807" s="53" t="inlineStr"/>
      <c r="N5807" s="54" t="inlineStr"/>
      <c r="O5807" s="55" t="inlineStr"/>
      <c r="P5807" s="16" t="inlineStr">
        <is>
          <t>Требует обогащения</t>
        </is>
      </c>
      <c r="Q5807" s="16">
        <f>HYPERLINK("https://pb.nalog.ru/search.html?query=5073008681","ФНС: проверить")</f>
        <v/>
      </c>
      <c r="R5807" s="16">
        <f>HYPERLINK("https://checko.ru/search?query=3801001629","Чекко: проверить")</f>
        <v/>
      </c>
      <c r="S5807" t="n">
        <v>1</v>
      </c>
      <c r="T5807" s="35" t="inlineStr">
        <is>
          <t>4 — Не обогащён</t>
        </is>
      </c>
      <c r="U5807" s="35" t="inlineStr">
        <is>
          <t>Нет ОКВЭД/ССЧР</t>
        </is>
      </c>
      <c r="V5807" s="35" t="inlineStr">
        <is>
          <t>Не определено</t>
        </is>
      </c>
      <c r="W5807" s="35" t="inlineStr"/>
      <c r="X5807" s="35" t="inlineStr"/>
    </row>
    <row r="5808" ht="27.75" customHeight="1" s="24">
      <c r="A5808" s="13" t="n">
        <v>5000080605</v>
      </c>
      <c r="B5808" s="13" t="inlineStr">
        <is>
          <t>МУНИЦИПАЛЬНОЕ ОБЩЕОБРАЗОВАТЕЛЬНОЕ УЧРЕЖДЕНИЕ ДАВЫДОВСКАЯ ГИМНАЗИЯ</t>
        </is>
      </c>
      <c r="C5808" s="13" t="n">
        <v>5073008787</v>
      </c>
      <c r="D5808" s="13" t="inlineStr">
        <is>
          <t>5073008787</t>
        </is>
      </c>
      <c r="E5808" s="13" t="inlineStr">
        <is>
          <t>ЮЛ РФ</t>
        </is>
      </c>
      <c r="F5808" s="13" t="n"/>
      <c r="G5808" s="14" t="n"/>
      <c r="H5808" s="14" t="n"/>
      <c r="I5808" s="14" t="n"/>
      <c r="J5808" s="14" t="n"/>
      <c r="K5808" s="53" t="inlineStr"/>
      <c r="L5808" s="53" t="inlineStr">
        <is>
          <t>Не определено</t>
        </is>
      </c>
      <c r="M5808" s="53" t="inlineStr"/>
      <c r="N5808" s="54" t="inlineStr"/>
      <c r="O5808" s="55" t="inlineStr"/>
      <c r="P5808" s="16" t="inlineStr">
        <is>
          <t>Требует обогащения</t>
        </is>
      </c>
      <c r="Q5808" s="16">
        <f>HYPERLINK("https://pb.nalog.ru/search.html?query=5073008787","ФНС: проверить")</f>
        <v/>
      </c>
      <c r="R5808" s="16">
        <f>HYPERLINK("https://checko.ru/search?query=3801001629","Чекко: проверить")</f>
        <v/>
      </c>
      <c r="S5808" t="n">
        <v>1</v>
      </c>
      <c r="T5808" s="35" t="inlineStr">
        <is>
          <t>4 — Не обогащён</t>
        </is>
      </c>
      <c r="U5808" s="35" t="inlineStr">
        <is>
          <t>Нет ОКВЭД/ССЧР</t>
        </is>
      </c>
      <c r="V5808" s="35" t="inlineStr">
        <is>
          <t>Не определено</t>
        </is>
      </c>
      <c r="W5808" s="35" t="inlineStr"/>
      <c r="X5808" s="35" t="inlineStr"/>
    </row>
    <row r="5809" ht="41.25" customHeight="1" s="24">
      <c r="A5809" s="13" t="n">
        <v>5000080606</v>
      </c>
      <c r="B5809" s="13" t="inlineStr">
        <is>
          <t>МУНИЦИПАЛЬНОЕ ОБЩЕОБРАЗОВАТЕЛЬНОЕ УЧРЕЖДЕНИЕ ГУБИНСКАЯ СРЕДНЯЯ ОБЩЕОБРАЗОВАТЕЛЬНАЯ ШКОЛА</t>
        </is>
      </c>
      <c r="C5809" s="13" t="n">
        <v>5073008829</v>
      </c>
      <c r="D5809" s="13" t="inlineStr">
        <is>
          <t>5073008829</t>
        </is>
      </c>
      <c r="E5809" s="13" t="inlineStr">
        <is>
          <t>ЮЛ РФ</t>
        </is>
      </c>
      <c r="F5809" s="13" t="n"/>
      <c r="G5809" s="14" t="n"/>
      <c r="H5809" s="14" t="n"/>
      <c r="I5809" s="14" t="n"/>
      <c r="J5809" s="14" t="n"/>
      <c r="K5809" s="53" t="inlineStr"/>
      <c r="L5809" s="53" t="inlineStr">
        <is>
          <t>Не определено</t>
        </is>
      </c>
      <c r="M5809" s="53" t="inlineStr"/>
      <c r="N5809" s="54" t="inlineStr"/>
      <c r="O5809" s="55" t="inlineStr"/>
      <c r="P5809" s="16" t="inlineStr">
        <is>
          <t>Требует обогащения</t>
        </is>
      </c>
      <c r="Q5809" s="16">
        <f>HYPERLINK("https://pb.nalog.ru/search.html?query=5073008829","ФНС: проверить")</f>
        <v/>
      </c>
      <c r="R5809" s="16">
        <f>HYPERLINK("https://checko.ru/search?query=3801001629","Чекко: проверить")</f>
        <v/>
      </c>
      <c r="S5809" t="n">
        <v>1</v>
      </c>
      <c r="T5809" s="35" t="inlineStr">
        <is>
          <t>4 — Не обогащён</t>
        </is>
      </c>
      <c r="U5809" s="35" t="inlineStr">
        <is>
          <t>Нет ОКВЭД/ССЧР</t>
        </is>
      </c>
      <c r="V5809" s="35" t="inlineStr">
        <is>
          <t>Не определено</t>
        </is>
      </c>
      <c r="W5809" s="35" t="inlineStr"/>
      <c r="X5809" s="35" t="inlineStr"/>
    </row>
    <row r="5810" ht="41.25" customHeight="1" s="24">
      <c r="A5810" s="13" t="n">
        <v>5000080608</v>
      </c>
      <c r="B5810" s="13" t="inlineStr">
        <is>
          <t>МУНИЦИПАЛЬНОЕ ОБЩЕОБРАЗОВАТЕЛЬНОЕ УЧРЕЖДЕНИЕ АВСЮНИНСКАЯ СРЕДНЯЯ ОБЩЕОБРАЗОВАТЕЛЬНАЯ ШКОЛА</t>
        </is>
      </c>
      <c r="C5810" s="13" t="n">
        <v>5073008931</v>
      </c>
      <c r="D5810" s="13" t="inlineStr">
        <is>
          <t>5073008931</t>
        </is>
      </c>
      <c r="E5810" s="13" t="inlineStr">
        <is>
          <t>ЮЛ РФ</t>
        </is>
      </c>
      <c r="F5810" s="13" t="n"/>
      <c r="G5810" s="14" t="n"/>
      <c r="H5810" s="14" t="n"/>
      <c r="I5810" s="14" t="n"/>
      <c r="J5810" s="14" t="n"/>
      <c r="K5810" s="53" t="inlineStr"/>
      <c r="L5810" s="53" t="inlineStr">
        <is>
          <t>Не определено</t>
        </is>
      </c>
      <c r="M5810" s="53" t="inlineStr"/>
      <c r="N5810" s="54" t="inlineStr"/>
      <c r="O5810" s="55" t="inlineStr"/>
      <c r="P5810" s="16" t="inlineStr">
        <is>
          <t>Требует обогащения</t>
        </is>
      </c>
      <c r="Q5810" s="16">
        <f>HYPERLINK("https://pb.nalog.ru/search.html?query=5073008931","ФНС: проверить")</f>
        <v/>
      </c>
      <c r="R5810" s="16">
        <f>HYPERLINK("https://checko.ru/search?query=3801001629","Чекко: проверить")</f>
        <v/>
      </c>
      <c r="S5810" t="n">
        <v>1</v>
      </c>
      <c r="T5810" s="35" t="inlineStr">
        <is>
          <t>4 — Не обогащён</t>
        </is>
      </c>
      <c r="U5810" s="35" t="inlineStr">
        <is>
          <t>Нет ОКВЭД/ССЧР</t>
        </is>
      </c>
      <c r="V5810" s="35" t="inlineStr">
        <is>
          <t>Не определено</t>
        </is>
      </c>
      <c r="W5810" s="35" t="inlineStr"/>
      <c r="X5810" s="35" t="inlineStr"/>
    </row>
    <row r="5811" ht="41.25" customHeight="1" s="24">
      <c r="A5811" s="13" t="n">
        <v>5000080609</v>
      </c>
      <c r="B5811" s="13" t="inlineStr">
        <is>
          <t>МУНИЦИПАЛЬНОЕ ОБЩЕОБРАЗОВАТЕЛЬНОЕ УЧРЕЖДЕНИЕ ЛИКИНО-ДУЛЁВСКАЯ СРЕДНЯЯ ОБЩЕОБРАЗОВАТЕЛЬНАЯ ШКОЛА № 5</t>
        </is>
      </c>
      <c r="C5811" s="13" t="n">
        <v>5073008949</v>
      </c>
      <c r="D5811" s="13" t="inlineStr">
        <is>
          <t>5073008949</t>
        </is>
      </c>
      <c r="E5811" s="13" t="inlineStr">
        <is>
          <t>ЮЛ РФ</t>
        </is>
      </c>
      <c r="F5811" s="13" t="n"/>
      <c r="G5811" s="14" t="n"/>
      <c r="H5811" s="14" t="n"/>
      <c r="I5811" s="14" t="n"/>
      <c r="J5811" s="14" t="n"/>
      <c r="K5811" s="53" t="inlineStr"/>
      <c r="L5811" s="53" t="inlineStr">
        <is>
          <t>Не определено</t>
        </is>
      </c>
      <c r="M5811" s="53" t="inlineStr"/>
      <c r="N5811" s="54" t="inlineStr"/>
      <c r="O5811" s="55" t="inlineStr"/>
      <c r="P5811" s="16" t="inlineStr">
        <is>
          <t>Требует обогащения</t>
        </is>
      </c>
      <c r="Q5811" s="16">
        <f>HYPERLINK("https://pb.nalog.ru/search.html?query=5073008949","ФНС: проверить")</f>
        <v/>
      </c>
      <c r="R5811" s="16">
        <f>HYPERLINK("https://checko.ru/search?query=3801001629","Чекко: проверить")</f>
        <v/>
      </c>
      <c r="S5811" t="n">
        <v>1</v>
      </c>
      <c r="T5811" s="35" t="inlineStr">
        <is>
          <t>4 — Не обогащён</t>
        </is>
      </c>
      <c r="U5811" s="35" t="inlineStr">
        <is>
          <t>Нет ОКВЭД/ССЧР</t>
        </is>
      </c>
      <c r="V5811" s="35" t="inlineStr">
        <is>
          <t>Не определено</t>
        </is>
      </c>
      <c r="W5811" s="35" t="inlineStr"/>
      <c r="X5811" s="35" t="inlineStr"/>
    </row>
    <row r="5812" ht="27.75" customHeight="1" s="24">
      <c r="A5812" s="13" t="n">
        <v>5000097500</v>
      </c>
      <c r="B5812" s="13" t="inlineStr">
        <is>
          <t>АВТОНОМНОЕ УЧРЕЖДЕНИЕ "КЛУБ СОЛНЕЧНОГОРЬЯ "АКТИВНОЕ ДОЛГОЛЕТИЕ"</t>
        </is>
      </c>
      <c r="C5812" s="13" t="n">
        <v>5044068044</v>
      </c>
      <c r="D5812" s="13" t="inlineStr">
        <is>
          <t>5044068044</t>
        </is>
      </c>
      <c r="E5812" s="13" t="inlineStr">
        <is>
          <t>ЮЛ РФ</t>
        </is>
      </c>
      <c r="F5812" s="13" t="n"/>
      <c r="G5812" s="14" t="n"/>
      <c r="H5812" s="14" t="n"/>
      <c r="I5812" s="14" t="n"/>
      <c r="J5812" s="14" t="n"/>
      <c r="K5812" s="53" t="inlineStr"/>
      <c r="L5812" s="53" t="inlineStr">
        <is>
          <t>Не определено</t>
        </is>
      </c>
      <c r="M5812" s="53" t="inlineStr"/>
      <c r="N5812" s="54" t="inlineStr"/>
      <c r="O5812" s="55" t="inlineStr"/>
      <c r="P5812" s="16" t="inlineStr">
        <is>
          <t>Требует обогащения</t>
        </is>
      </c>
      <c r="Q5812" s="16">
        <f>HYPERLINK("https://pb.nalog.ru/search.html?query=5044068044","ФНС: проверить")</f>
        <v/>
      </c>
      <c r="R5812" s="16">
        <f>HYPERLINK("https://checko.ru/search?query=3801001629","Чекко: проверить")</f>
        <v/>
      </c>
      <c r="S5812" t="n">
        <v>1</v>
      </c>
      <c r="T5812" s="35" t="inlineStr">
        <is>
          <t>4 — Не обогащён</t>
        </is>
      </c>
      <c r="U5812" s="35" t="inlineStr">
        <is>
          <t>Нет ОКВЭД/ССЧР</t>
        </is>
      </c>
      <c r="V5812" s="35" t="inlineStr">
        <is>
          <t>Не определено</t>
        </is>
      </c>
      <c r="W5812" s="35" t="inlineStr"/>
      <c r="X5812" s="35" t="inlineStr"/>
    </row>
    <row r="5813" ht="41.25" customHeight="1" s="24">
      <c r="A5813" s="13" t="n">
        <v>5000090081</v>
      </c>
      <c r="B5813" s="13" t="inlineStr">
        <is>
          <t>МУНИЦИПАЛЬНОЕ ДОШКОЛЬНОЕ ОБРАЗОВАТЕЛЬНОЕ УЧРЕЖДЕНИЕ ДЕТСКИЙ САД П. УСТЬ-КАРСК СРЕТЕНСКОГО РАЙОНА</t>
        </is>
      </c>
      <c r="C5813" s="13" t="n">
        <v>7519003091</v>
      </c>
      <c r="D5813" s="13" t="inlineStr">
        <is>
          <t>7519003091</t>
        </is>
      </c>
      <c r="E5813" s="13" t="inlineStr">
        <is>
          <t>ЮЛ РФ</t>
        </is>
      </c>
      <c r="F5813" s="13" t="n"/>
      <c r="G5813" s="14" t="n"/>
      <c r="H5813" s="14" t="n"/>
      <c r="I5813" s="14" t="n"/>
      <c r="J5813" s="14" t="n"/>
      <c r="K5813" s="53" t="inlineStr"/>
      <c r="L5813" s="53" t="inlineStr">
        <is>
          <t>Не определено</t>
        </is>
      </c>
      <c r="M5813" s="53" t="inlineStr"/>
      <c r="N5813" s="54" t="inlineStr"/>
      <c r="O5813" s="55" t="inlineStr"/>
      <c r="P5813" s="16" t="inlineStr">
        <is>
          <t>Требует обогащения</t>
        </is>
      </c>
      <c r="Q5813" s="16">
        <f>HYPERLINK("https://pb.nalog.ru/search.html?query=7519003091","ФНС: проверить")</f>
        <v/>
      </c>
      <c r="R5813" s="16">
        <f>HYPERLINK("https://checko.ru/search?query=3801001629","Чекко: проверить")</f>
        <v/>
      </c>
      <c r="S5813" t="n">
        <v>1</v>
      </c>
      <c r="T5813" s="35" t="inlineStr">
        <is>
          <t>4 — Не обогащён</t>
        </is>
      </c>
      <c r="U5813" s="35" t="inlineStr">
        <is>
          <t>Нет ОКВЭД/ССЧР</t>
        </is>
      </c>
      <c r="V5813" s="35" t="inlineStr">
        <is>
          <t>Не определено</t>
        </is>
      </c>
      <c r="W5813" s="35" t="inlineStr"/>
      <c r="X5813" s="35" t="inlineStr"/>
    </row>
    <row r="5814" ht="41.25" customHeight="1" s="24">
      <c r="A5814" s="13" t="n">
        <v>5000090082</v>
      </c>
      <c r="B5814" s="13" t="inlineStr">
        <is>
          <t>МУНИЦИПАЛЬНОЕ ДОШКОЛЬНОЕ ОБРАЗОВАТЕЛЬНОЕ УЧРЕЖДЕНИЕ ДЕТСКИЙ САД С. ДУНАЕВО СРЕТЕНСКОГО РАЙОНА</t>
        </is>
      </c>
      <c r="C5814" s="13" t="n">
        <v>7519003454</v>
      </c>
      <c r="D5814" s="13" t="inlineStr">
        <is>
          <t>7519003454</t>
        </is>
      </c>
      <c r="E5814" s="13" t="inlineStr">
        <is>
          <t>ЮЛ РФ</t>
        </is>
      </c>
      <c r="F5814" s="13" t="n"/>
      <c r="G5814" s="14" t="n"/>
      <c r="H5814" s="14" t="n"/>
      <c r="I5814" s="14" t="n"/>
      <c r="J5814" s="14" t="n"/>
      <c r="K5814" s="53" t="inlineStr"/>
      <c r="L5814" s="53" t="inlineStr">
        <is>
          <t>Не определено</t>
        </is>
      </c>
      <c r="M5814" s="53" t="inlineStr"/>
      <c r="N5814" s="54" t="inlineStr"/>
      <c r="O5814" s="55" t="inlineStr"/>
      <c r="P5814" s="16" t="inlineStr">
        <is>
          <t>Требует обогащения</t>
        </is>
      </c>
      <c r="Q5814" s="16">
        <f>HYPERLINK("https://pb.nalog.ru/search.html?query=7519003454","ФНС: проверить")</f>
        <v/>
      </c>
      <c r="R5814" s="16">
        <f>HYPERLINK("https://checko.ru/search?query=3801001629","Чекко: проверить")</f>
        <v/>
      </c>
      <c r="S5814" t="n">
        <v>1</v>
      </c>
      <c r="T5814" s="35" t="inlineStr">
        <is>
          <t>4 — Не обогащён</t>
        </is>
      </c>
      <c r="U5814" s="35" t="inlineStr">
        <is>
          <t>Нет ОКВЭД/ССЧР</t>
        </is>
      </c>
      <c r="V5814" s="35" t="inlineStr">
        <is>
          <t>Не определено</t>
        </is>
      </c>
      <c r="W5814" s="35" t="inlineStr"/>
      <c r="X5814" s="35" t="inlineStr"/>
    </row>
    <row r="5815" ht="41.25" customHeight="1" s="24">
      <c r="A5815" s="13" t="n">
        <v>5000090083</v>
      </c>
      <c r="B5815" s="13" t="inlineStr">
        <is>
          <t>МУНИЦИПАЛЬНОЕ ДОШКОЛЬНОЕ ОБРАЗОВАТЕЛЬНОЕ УЧРЕЖДЕНИЕ ДЕТСКИЙ САД №3 ПГТ. КОКУЙ СРЕТЕНСКОГО РАЙОНА</t>
        </is>
      </c>
      <c r="C5815" s="13" t="n">
        <v>7519003013</v>
      </c>
      <c r="D5815" s="13" t="inlineStr">
        <is>
          <t>7519003013</t>
        </is>
      </c>
      <c r="E5815" s="13" t="inlineStr">
        <is>
          <t>ЮЛ РФ</t>
        </is>
      </c>
      <c r="F5815" s="13" t="n"/>
      <c r="G5815" s="14" t="n"/>
      <c r="H5815" s="14" t="n"/>
      <c r="I5815" s="14" t="n"/>
      <c r="J5815" s="14" t="n"/>
      <c r="K5815" s="53" t="inlineStr"/>
      <c r="L5815" s="53" t="inlineStr">
        <is>
          <t>Не определено</t>
        </is>
      </c>
      <c r="M5815" s="53" t="inlineStr"/>
      <c r="N5815" s="54" t="inlineStr"/>
      <c r="O5815" s="55" t="inlineStr"/>
      <c r="P5815" s="16" t="inlineStr">
        <is>
          <t>Требует обогащения</t>
        </is>
      </c>
      <c r="Q5815" s="16">
        <f>HYPERLINK("https://pb.nalog.ru/search.html?query=7519003013","ФНС: проверить")</f>
        <v/>
      </c>
      <c r="R5815" s="16">
        <f>HYPERLINK("https://checko.ru/search?query=3801001629","Чекко: проверить")</f>
        <v/>
      </c>
      <c r="S5815" t="n">
        <v>1</v>
      </c>
      <c r="T5815" s="35" t="inlineStr">
        <is>
          <t>4 — Не обогащён</t>
        </is>
      </c>
      <c r="U5815" s="35" t="inlineStr">
        <is>
          <t>Нет ОКВЭД/ССЧР</t>
        </is>
      </c>
      <c r="V5815" s="35" t="inlineStr">
        <is>
          <t>Не определено</t>
        </is>
      </c>
      <c r="W5815" s="35" t="inlineStr"/>
      <c r="X5815" s="35" t="inlineStr"/>
    </row>
    <row r="5816" ht="41.25" customHeight="1" s="24">
      <c r="A5816" s="13" t="n">
        <v>5000090084</v>
      </c>
      <c r="B5816" s="13" t="inlineStr">
        <is>
          <t>МУНИЦИПАЛЬНОЕ ДОШКОЛЬНОЕ ОБРАЗОВАТЕЛЬНОЕ УЧРЕЖДЕНИЕ ДЕТСКИЙ САД №4 ПГТ КОКУЙ СРЕТЕНСКОГО РАЙОНА</t>
        </is>
      </c>
      <c r="C5816" s="13" t="n">
        <v>7519003020</v>
      </c>
      <c r="D5816" s="13" t="inlineStr">
        <is>
          <t>7519003020</t>
        </is>
      </c>
      <c r="E5816" s="13" t="inlineStr">
        <is>
          <t>ЮЛ РФ</t>
        </is>
      </c>
      <c r="F5816" s="13" t="n"/>
      <c r="G5816" s="14" t="n"/>
      <c r="H5816" s="14" t="n"/>
      <c r="I5816" s="14" t="n"/>
      <c r="J5816" s="14" t="n"/>
      <c r="K5816" s="53" t="inlineStr"/>
      <c r="L5816" s="53" t="inlineStr">
        <is>
          <t>Не определено</t>
        </is>
      </c>
      <c r="M5816" s="53" t="inlineStr"/>
      <c r="N5816" s="54" t="inlineStr"/>
      <c r="O5816" s="55" t="inlineStr"/>
      <c r="P5816" s="16" t="inlineStr">
        <is>
          <t>Требует обогащения</t>
        </is>
      </c>
      <c r="Q5816" s="16">
        <f>HYPERLINK("https://pb.nalog.ru/search.html?query=7519003020","ФНС: проверить")</f>
        <v/>
      </c>
      <c r="R5816" s="16">
        <f>HYPERLINK("https://checko.ru/search?query=3801001629","Чекко: проверить")</f>
        <v/>
      </c>
      <c r="S5816" t="n">
        <v>1</v>
      </c>
      <c r="T5816" s="35" t="inlineStr">
        <is>
          <t>4 — Не обогащён</t>
        </is>
      </c>
      <c r="U5816" s="35" t="inlineStr">
        <is>
          <t>Нет ОКВЭД/ССЧР</t>
        </is>
      </c>
      <c r="V5816" s="35" t="inlineStr">
        <is>
          <t>Не определено</t>
        </is>
      </c>
      <c r="W5816" s="35" t="inlineStr"/>
      <c r="X5816" s="35" t="inlineStr"/>
    </row>
    <row r="5817" ht="27.75" customHeight="1" s="24">
      <c r="A5817" s="13" t="n">
        <v>5000090087</v>
      </c>
      <c r="B5817" s="13" t="inlineStr">
        <is>
          <t>МОУ "АЛИЯНСКАЯ ОСНОВНАЯ ОБЩЕОБРАЗОВАТЕЛЬНАЯ ШКОЛА"</t>
        </is>
      </c>
      <c r="C5817" s="13" t="n">
        <v>7519002771</v>
      </c>
      <c r="D5817" s="13" t="inlineStr">
        <is>
          <t>7519002771</t>
        </is>
      </c>
      <c r="E5817" s="13" t="inlineStr">
        <is>
          <t>ЮЛ РФ</t>
        </is>
      </c>
      <c r="F5817" s="13" t="n"/>
      <c r="G5817" s="14" t="n"/>
      <c r="H5817" s="14" t="n"/>
      <c r="I5817" s="14" t="n"/>
      <c r="J5817" s="14" t="n"/>
      <c r="K5817" s="53" t="inlineStr"/>
      <c r="L5817" s="53" t="inlineStr">
        <is>
          <t>Не определено</t>
        </is>
      </c>
      <c r="M5817" s="53" t="inlineStr"/>
      <c r="N5817" s="54" t="inlineStr"/>
      <c r="O5817" s="55" t="inlineStr"/>
      <c r="P5817" s="16" t="inlineStr">
        <is>
          <t>Требует обогащения</t>
        </is>
      </c>
      <c r="Q5817" s="16">
        <f>HYPERLINK("https://pb.nalog.ru/search.html?query=7519002771","ФНС: проверить")</f>
        <v/>
      </c>
      <c r="R5817" s="16">
        <f>HYPERLINK("https://checko.ru/search?query=3801001629","Чекко: проверить")</f>
        <v/>
      </c>
      <c r="S5817" t="n">
        <v>1</v>
      </c>
      <c r="T5817" s="35" t="inlineStr">
        <is>
          <t>4 — Не обогащён</t>
        </is>
      </c>
      <c r="U5817" s="35" t="inlineStr">
        <is>
          <t>Нет ОКВЭД/ССЧР</t>
        </is>
      </c>
      <c r="V5817" s="35" t="inlineStr">
        <is>
          <t>Не определено</t>
        </is>
      </c>
      <c r="W5817" s="35" t="inlineStr"/>
      <c r="X5817" s="35" t="inlineStr"/>
    </row>
    <row r="5818" ht="27.75" customHeight="1" s="24">
      <c r="A5818" s="13" t="n">
        <v>5000090088</v>
      </c>
      <c r="B5818" s="13" t="inlineStr">
        <is>
          <t>МОУ "НИЖНЕКУЭНГИНСКАЯ ОСНОВНАЯ ОБЩЕОБРАЗОВАТЕЛЬНАЯ ШКОЛА"</t>
        </is>
      </c>
      <c r="C5818" s="13" t="n">
        <v>7519003415</v>
      </c>
      <c r="D5818" s="13" t="inlineStr">
        <is>
          <t>7519003415</t>
        </is>
      </c>
      <c r="E5818" s="13" t="inlineStr">
        <is>
          <t>ЮЛ РФ</t>
        </is>
      </c>
      <c r="F5818" s="13" t="n"/>
      <c r="G5818" s="14" t="n"/>
      <c r="H5818" s="14" t="n"/>
      <c r="I5818" s="14" t="n"/>
      <c r="J5818" s="14" t="n"/>
      <c r="K5818" s="53" t="inlineStr"/>
      <c r="L5818" s="53" t="inlineStr">
        <is>
          <t>Не определено</t>
        </is>
      </c>
      <c r="M5818" s="53" t="inlineStr"/>
      <c r="N5818" s="54" t="inlineStr"/>
      <c r="O5818" s="55" t="inlineStr"/>
      <c r="P5818" s="16" t="inlineStr">
        <is>
          <t>Требует обогащения</t>
        </is>
      </c>
      <c r="Q5818" s="16">
        <f>HYPERLINK("https://pb.nalog.ru/search.html?query=7519003415","ФНС: проверить")</f>
        <v/>
      </c>
      <c r="R5818" s="16">
        <f>HYPERLINK("https://checko.ru/search?query=3801001629","Чекко: проверить")</f>
        <v/>
      </c>
      <c r="S5818" t="n">
        <v>1</v>
      </c>
      <c r="T5818" s="35" t="inlineStr">
        <is>
          <t>4 — Не обогащён</t>
        </is>
      </c>
      <c r="U5818" s="35" t="inlineStr">
        <is>
          <t>Нет ОКВЭД/ССЧР</t>
        </is>
      </c>
      <c r="V5818" s="35" t="inlineStr">
        <is>
          <t>Не определено</t>
        </is>
      </c>
      <c r="W5818" s="35" t="inlineStr"/>
      <c r="X5818" s="35" t="inlineStr"/>
    </row>
    <row r="5819" ht="27.75" customHeight="1" s="24">
      <c r="A5819" s="13" t="n">
        <v>5000090090</v>
      </c>
      <c r="B5819" s="13" t="inlineStr">
        <is>
          <t>МОУ "СРЕТЕНСКАЯ ОСНОВНАЯ ОБЩЕОБРАЗОВАТЕЛЬНАЯ ШКОЛА № 2"</t>
        </is>
      </c>
      <c r="C5819" s="13" t="n">
        <v>7519004183</v>
      </c>
      <c r="D5819" s="13" t="inlineStr">
        <is>
          <t>7519004183</t>
        </is>
      </c>
      <c r="E5819" s="13" t="inlineStr">
        <is>
          <t>ЮЛ РФ</t>
        </is>
      </c>
      <c r="F5819" s="13" t="n"/>
      <c r="G5819" s="14" t="n"/>
      <c r="H5819" s="14" t="n"/>
      <c r="I5819" s="14" t="n"/>
      <c r="J5819" s="14" t="n"/>
      <c r="K5819" s="53" t="inlineStr"/>
      <c r="L5819" s="53" t="inlineStr">
        <is>
          <t>Не определено</t>
        </is>
      </c>
      <c r="M5819" s="53" t="inlineStr"/>
      <c r="N5819" s="54" t="inlineStr"/>
      <c r="O5819" s="55" t="inlineStr"/>
      <c r="P5819" s="16" t="inlineStr">
        <is>
          <t>Требует обогащения</t>
        </is>
      </c>
      <c r="Q5819" s="16">
        <f>HYPERLINK("https://pb.nalog.ru/search.html?query=7519004183","ФНС: проверить")</f>
        <v/>
      </c>
      <c r="R5819" s="16">
        <f>HYPERLINK("https://checko.ru/search?query=3801001629","Чекко: проверить")</f>
        <v/>
      </c>
      <c r="S5819" t="n">
        <v>1</v>
      </c>
      <c r="T5819" s="35" t="inlineStr">
        <is>
          <t>4 — Не обогащён</t>
        </is>
      </c>
      <c r="U5819" s="35" t="inlineStr">
        <is>
          <t>Нет ОКВЭД/ССЧР</t>
        </is>
      </c>
      <c r="V5819" s="35" t="inlineStr">
        <is>
          <t>Не определено</t>
        </is>
      </c>
      <c r="W5819" s="35" t="inlineStr"/>
      <c r="X5819" s="35" t="inlineStr"/>
    </row>
    <row r="5820" ht="27.75" customHeight="1" s="24">
      <c r="A5820" s="13" t="n">
        <v>5000090091</v>
      </c>
      <c r="B5820" s="13" t="inlineStr">
        <is>
          <t>МОУ "ЧИКИЧЕЙСКАЯ ОСНОВНАЯ ОБЩЕОБРАЗОВАТЕЛЬНАЯ ШКОЛА"</t>
        </is>
      </c>
      <c r="C5820" s="13" t="n">
        <v>7519004169</v>
      </c>
      <c r="D5820" s="13" t="inlineStr">
        <is>
          <t>7519004169</t>
        </is>
      </c>
      <c r="E5820" s="13" t="inlineStr">
        <is>
          <t>ЮЛ РФ</t>
        </is>
      </c>
      <c r="F5820" s="13" t="n"/>
      <c r="G5820" s="14" t="n"/>
      <c r="H5820" s="14" t="n"/>
      <c r="I5820" s="14" t="n"/>
      <c r="J5820" s="14" t="n"/>
      <c r="K5820" s="53" t="inlineStr"/>
      <c r="L5820" s="53" t="inlineStr">
        <is>
          <t>Не определено</t>
        </is>
      </c>
      <c r="M5820" s="53" t="inlineStr"/>
      <c r="N5820" s="54" t="inlineStr"/>
      <c r="O5820" s="55" t="inlineStr"/>
      <c r="P5820" s="16" t="inlineStr">
        <is>
          <t>Требует обогащения</t>
        </is>
      </c>
      <c r="Q5820" s="16">
        <f>HYPERLINK("https://pb.nalog.ru/search.html?query=7519004169","ФНС: проверить")</f>
        <v/>
      </c>
      <c r="R5820" s="16">
        <f>HYPERLINK("https://checko.ru/search?query=3801001629","Чекко: проверить")</f>
        <v/>
      </c>
      <c r="S5820" t="n">
        <v>1</v>
      </c>
      <c r="T5820" s="35" t="inlineStr">
        <is>
          <t>4 — Не обогащён</t>
        </is>
      </c>
      <c r="U5820" s="35" t="inlineStr">
        <is>
          <t>Нет ОКВЭД/ССЧР</t>
        </is>
      </c>
      <c r="V5820" s="35" t="inlineStr">
        <is>
          <t>Не определено</t>
        </is>
      </c>
      <c r="W5820" s="35" t="inlineStr"/>
      <c r="X5820" s="35" t="inlineStr"/>
    </row>
    <row r="5821" ht="27.75" customHeight="1" s="24">
      <c r="A5821" s="13" t="n">
        <v>5000090093</v>
      </c>
      <c r="B5821" s="13" t="inlineStr">
        <is>
          <t>МОУ "УСТЬ-НАРИНЗОРСКАЯ ОСНОВНАЯ ОБЩЕОБРАЗОВАТЕЛЬНАЯ ШКОЛА"</t>
        </is>
      </c>
      <c r="C5821" s="13" t="n">
        <v>7519004634</v>
      </c>
      <c r="D5821" s="13" t="inlineStr">
        <is>
          <t>7519004634</t>
        </is>
      </c>
      <c r="E5821" s="13" t="inlineStr">
        <is>
          <t>ЮЛ РФ</t>
        </is>
      </c>
      <c r="F5821" s="13" t="n"/>
      <c r="G5821" s="14" t="n"/>
      <c r="H5821" s="14" t="n"/>
      <c r="I5821" s="14" t="n"/>
      <c r="J5821" s="14" t="n"/>
      <c r="K5821" s="53" t="inlineStr"/>
      <c r="L5821" s="53" t="inlineStr">
        <is>
          <t>Не определено</t>
        </is>
      </c>
      <c r="M5821" s="53" t="inlineStr"/>
      <c r="N5821" s="54" t="inlineStr"/>
      <c r="O5821" s="55" t="inlineStr"/>
      <c r="P5821" s="16" t="inlineStr">
        <is>
          <t>Требует обогащения</t>
        </is>
      </c>
      <c r="Q5821" s="16">
        <f>HYPERLINK("https://pb.nalog.ru/search.html?query=7519004634","ФНС: проверить")</f>
        <v/>
      </c>
      <c r="R5821" s="16">
        <f>HYPERLINK("https://checko.ru/search?query=3801001629","Чекко: проверить")</f>
        <v/>
      </c>
      <c r="S5821" t="n">
        <v>1</v>
      </c>
      <c r="T5821" s="35" t="inlineStr">
        <is>
          <t>4 — Не обогащён</t>
        </is>
      </c>
      <c r="U5821" s="35" t="inlineStr">
        <is>
          <t>Нет ОКВЭД/ССЧР</t>
        </is>
      </c>
      <c r="V5821" s="35" t="inlineStr">
        <is>
          <t>Не определено</t>
        </is>
      </c>
      <c r="W5821" s="35" t="inlineStr"/>
      <c r="X5821" s="35" t="inlineStr"/>
    </row>
    <row r="5822" ht="27.75" customHeight="1" s="24">
      <c r="A5822" s="13" t="n">
        <v>5000090095</v>
      </c>
      <c r="B5822" s="13" t="inlineStr">
        <is>
          <t>МОУ "ФИРСОВСКАЯ СРЕДНЯЯ ОБЩЕОБРАЗОВАТЕЛЬНАЯ ШКОЛА"</t>
        </is>
      </c>
      <c r="C5822" s="13" t="n">
        <v>7519002740</v>
      </c>
      <c r="D5822" s="13" t="inlineStr">
        <is>
          <t>7519002740</t>
        </is>
      </c>
      <c r="E5822" s="13" t="inlineStr">
        <is>
          <t>ЮЛ РФ</t>
        </is>
      </c>
      <c r="F5822" s="13" t="n"/>
      <c r="G5822" s="14" t="n"/>
      <c r="H5822" s="14" t="n"/>
      <c r="I5822" s="14" t="n"/>
      <c r="J5822" s="14" t="n"/>
      <c r="K5822" s="53" t="inlineStr"/>
      <c r="L5822" s="53" t="inlineStr">
        <is>
          <t>Не определено</t>
        </is>
      </c>
      <c r="M5822" s="53" t="inlineStr"/>
      <c r="N5822" s="54" t="inlineStr"/>
      <c r="O5822" s="55" t="inlineStr"/>
      <c r="P5822" s="16" t="inlineStr">
        <is>
          <t>Требует обогащения</t>
        </is>
      </c>
      <c r="Q5822" s="16">
        <f>HYPERLINK("https://pb.nalog.ru/search.html?query=7519002740","ФНС: проверить")</f>
        <v/>
      </c>
      <c r="R5822" s="16">
        <f>HYPERLINK("https://checko.ru/search?query=3801001629","Чекко: проверить")</f>
        <v/>
      </c>
      <c r="S5822" t="n">
        <v>1</v>
      </c>
      <c r="T5822" s="35" t="inlineStr">
        <is>
          <t>4 — Не обогащён</t>
        </is>
      </c>
      <c r="U5822" s="35" t="inlineStr">
        <is>
          <t>Нет ОКВЭД/ССЧР</t>
        </is>
      </c>
      <c r="V5822" s="35" t="inlineStr">
        <is>
          <t>Не определено</t>
        </is>
      </c>
      <c r="W5822" s="35" t="inlineStr"/>
      <c r="X5822" s="35" t="inlineStr"/>
    </row>
    <row r="5823" ht="27.75" customHeight="1" s="24">
      <c r="A5823" s="13" t="n">
        <v>5000090096</v>
      </c>
      <c r="B5823" s="13" t="inlineStr">
        <is>
          <t>МОУ "БОТОВСКАЯ СРЕДНЯЯ ОБЩЕОБРАЗОВАТЕЛЬНАЯ ШКОЛА"</t>
        </is>
      </c>
      <c r="C5823" s="13" t="n">
        <v>7519002789</v>
      </c>
      <c r="D5823" s="13" t="inlineStr">
        <is>
          <t>7519002789</t>
        </is>
      </c>
      <c r="E5823" s="13" t="inlineStr">
        <is>
          <t>ЮЛ РФ</t>
        </is>
      </c>
      <c r="F5823" s="13" t="n"/>
      <c r="G5823" s="14" t="n"/>
      <c r="H5823" s="14" t="n"/>
      <c r="I5823" s="14" t="n"/>
      <c r="J5823" s="14" t="n"/>
      <c r="K5823" s="53" t="inlineStr"/>
      <c r="L5823" s="53" t="inlineStr">
        <is>
          <t>Не определено</t>
        </is>
      </c>
      <c r="M5823" s="53" t="inlineStr"/>
      <c r="N5823" s="54" t="inlineStr"/>
      <c r="O5823" s="55" t="inlineStr"/>
      <c r="P5823" s="16" t="inlineStr">
        <is>
          <t>Требует обогащения</t>
        </is>
      </c>
      <c r="Q5823" s="16">
        <f>HYPERLINK("https://pb.nalog.ru/search.html?query=7519002789","ФНС: проверить")</f>
        <v/>
      </c>
      <c r="R5823" s="16">
        <f>HYPERLINK("https://checko.ru/search?query=3801001629","Чекко: проверить")</f>
        <v/>
      </c>
      <c r="S5823" t="n">
        <v>1</v>
      </c>
      <c r="T5823" s="35" t="inlineStr">
        <is>
          <t>4 — Не обогащён</t>
        </is>
      </c>
      <c r="U5823" s="35" t="inlineStr">
        <is>
          <t>Нет ОКВЭД/ССЧР</t>
        </is>
      </c>
      <c r="V5823" s="35" t="inlineStr">
        <is>
          <t>Не определено</t>
        </is>
      </c>
      <c r="W5823" s="35" t="inlineStr"/>
      <c r="X5823" s="35" t="inlineStr"/>
    </row>
    <row r="5824" ht="27.75" customHeight="1" s="24">
      <c r="A5824" s="13" t="n">
        <v>5000090101</v>
      </c>
      <c r="B5824" s="13" t="inlineStr">
        <is>
          <t>МОУ "ЛОМОВСКАЯ СРЕДНЯЯ ОБЩЕОБРАЗОВАТЕЛЬНАЯ ШКОЛА"</t>
        </is>
      </c>
      <c r="C5824" s="13" t="n">
        <v>7519002845</v>
      </c>
      <c r="D5824" s="13" t="inlineStr">
        <is>
          <t>7519002845</t>
        </is>
      </c>
      <c r="E5824" s="13" t="inlineStr">
        <is>
          <t>ЮЛ РФ</t>
        </is>
      </c>
      <c r="F5824" s="13" t="n"/>
      <c r="G5824" s="14" t="n"/>
      <c r="H5824" s="14" t="n"/>
      <c r="I5824" s="14" t="n"/>
      <c r="J5824" s="14" t="n"/>
      <c r="K5824" s="53" t="inlineStr"/>
      <c r="L5824" s="53" t="inlineStr">
        <is>
          <t>Не определено</t>
        </is>
      </c>
      <c r="M5824" s="53" t="inlineStr"/>
      <c r="N5824" s="54" t="inlineStr"/>
      <c r="O5824" s="55" t="inlineStr"/>
      <c r="P5824" s="16" t="inlineStr">
        <is>
          <t>Требует обогащения</t>
        </is>
      </c>
      <c r="Q5824" s="16">
        <f>HYPERLINK("https://pb.nalog.ru/search.html?query=7519002845","ФНС: проверить")</f>
        <v/>
      </c>
      <c r="R5824" s="16">
        <f>HYPERLINK("https://checko.ru/search?query=3801001629","Чекко: проверить")</f>
        <v/>
      </c>
      <c r="S5824" t="n">
        <v>1</v>
      </c>
      <c r="T5824" s="35" t="inlineStr">
        <is>
          <t>4 — Не обогащён</t>
        </is>
      </c>
      <c r="U5824" s="35" t="inlineStr">
        <is>
          <t>Нет ОКВЭД/ССЧР</t>
        </is>
      </c>
      <c r="V5824" s="35" t="inlineStr">
        <is>
          <t>Не определено</t>
        </is>
      </c>
      <c r="W5824" s="35" t="inlineStr"/>
      <c r="X5824" s="35" t="inlineStr"/>
    </row>
    <row r="5825" ht="27.75" customHeight="1" s="24">
      <c r="A5825" s="13" t="n">
        <v>5000090104</v>
      </c>
      <c r="B5825" s="13" t="inlineStr">
        <is>
          <t>МУДО "СРЕТЕНСКИЙ ДОМ ДЕТСКОГО ТВОРЧЕСТВА"</t>
        </is>
      </c>
      <c r="C5825" s="13" t="n">
        <v>7519003140</v>
      </c>
      <c r="D5825" s="13" t="inlineStr">
        <is>
          <t>7519003140</t>
        </is>
      </c>
      <c r="E5825" s="13" t="inlineStr">
        <is>
          <t>ЮЛ РФ</t>
        </is>
      </c>
      <c r="F5825" s="13" t="n"/>
      <c r="G5825" s="14" t="n"/>
      <c r="H5825" s="14" t="n"/>
      <c r="I5825" s="14" t="n"/>
      <c r="J5825" s="14" t="n"/>
      <c r="K5825" s="53" t="inlineStr"/>
      <c r="L5825" s="53" t="inlineStr">
        <is>
          <t>Не определено</t>
        </is>
      </c>
      <c r="M5825" s="53" t="inlineStr"/>
      <c r="N5825" s="54" t="inlineStr"/>
      <c r="O5825" s="55" t="inlineStr"/>
      <c r="P5825" s="16" t="inlineStr">
        <is>
          <t>Требует обогащения</t>
        </is>
      </c>
      <c r="Q5825" s="16">
        <f>HYPERLINK("https://pb.nalog.ru/search.html?query=7519003140","ФНС: проверить")</f>
        <v/>
      </c>
      <c r="R5825" s="16">
        <f>HYPERLINK("https://checko.ru/search?query=3801001629","Чекко: проверить")</f>
        <v/>
      </c>
      <c r="S5825" t="n">
        <v>1</v>
      </c>
      <c r="T5825" s="35" t="inlineStr">
        <is>
          <t>4 — Не обогащён</t>
        </is>
      </c>
      <c r="U5825" s="35" t="inlineStr">
        <is>
          <t>Нет ОКВЭД/ССЧР</t>
        </is>
      </c>
      <c r="V5825" s="35" t="inlineStr">
        <is>
          <t>Не определено</t>
        </is>
      </c>
      <c r="W5825" s="35" t="inlineStr"/>
      <c r="X5825" s="35" t="inlineStr"/>
    </row>
    <row r="5826" ht="27.75" customHeight="1" s="24">
      <c r="A5826" s="13" t="n">
        <v>5000090105</v>
      </c>
      <c r="B5826" s="13" t="inlineStr">
        <is>
          <t>МУДО "СРЕТЕНСКАЯ ДЕТСКО-ЮНОШЕСКАЯ СПОРТИВНАЯ ШКОЛА"</t>
        </is>
      </c>
      <c r="C5826" s="13" t="n">
        <v>7519003158</v>
      </c>
      <c r="D5826" s="13" t="inlineStr">
        <is>
          <t>7519003158</t>
        </is>
      </c>
      <c r="E5826" s="13" t="inlineStr">
        <is>
          <t>ЮЛ РФ</t>
        </is>
      </c>
      <c r="F5826" s="13" t="n"/>
      <c r="G5826" s="14" t="n"/>
      <c r="H5826" s="14" t="n"/>
      <c r="I5826" s="14" t="n"/>
      <c r="J5826" s="14" t="n"/>
      <c r="K5826" s="53" t="inlineStr"/>
      <c r="L5826" s="53" t="inlineStr">
        <is>
          <t>Не определено</t>
        </is>
      </c>
      <c r="M5826" s="53" t="inlineStr"/>
      <c r="N5826" s="54" t="inlineStr"/>
      <c r="O5826" s="55" t="inlineStr"/>
      <c r="P5826" s="16" t="inlineStr">
        <is>
          <t>Требует обогащения</t>
        </is>
      </c>
      <c r="Q5826" s="16">
        <f>HYPERLINK("https://pb.nalog.ru/search.html?query=7519003158","ФНС: проверить")</f>
        <v/>
      </c>
      <c r="R5826" s="16">
        <f>HYPERLINK("https://checko.ru/search?query=3801001629","Чекко: проверить")</f>
        <v/>
      </c>
      <c r="S5826" t="n">
        <v>1</v>
      </c>
      <c r="T5826" s="35" t="inlineStr">
        <is>
          <t>4 — Не обогащён</t>
        </is>
      </c>
      <c r="U5826" s="35" t="inlineStr">
        <is>
          <t>Нет ОКВЭД/ССЧР</t>
        </is>
      </c>
      <c r="V5826" s="35" t="inlineStr">
        <is>
          <t>Не определено</t>
        </is>
      </c>
      <c r="W5826" s="35" t="inlineStr"/>
      <c r="X5826" s="35" t="inlineStr"/>
    </row>
    <row r="5827" ht="27.75" customHeight="1" s="24">
      <c r="A5827" s="13" t="n">
        <v>5000090106</v>
      </c>
      <c r="B5827" s="13" t="inlineStr">
        <is>
          <t>МУДО "КОКУЙСКАЯ ДЕТСКО-ЮНОШЕСКАЯ СПОРТИВНАЯ ШКОЛА"</t>
        </is>
      </c>
      <c r="C5827" s="13" t="n">
        <v>7519003060</v>
      </c>
      <c r="D5827" s="13" t="inlineStr">
        <is>
          <t>7519003060</t>
        </is>
      </c>
      <c r="E5827" s="13" t="inlineStr">
        <is>
          <t>ЮЛ РФ</t>
        </is>
      </c>
      <c r="F5827" s="13" t="n"/>
      <c r="G5827" s="14" t="n"/>
      <c r="H5827" s="14" t="n"/>
      <c r="I5827" s="14" t="n"/>
      <c r="J5827" s="14" t="n"/>
      <c r="K5827" s="53" t="inlineStr"/>
      <c r="L5827" s="53" t="inlineStr">
        <is>
          <t>Не определено</t>
        </is>
      </c>
      <c r="M5827" s="53" t="inlineStr"/>
      <c r="N5827" s="54" t="inlineStr"/>
      <c r="O5827" s="55" t="inlineStr"/>
      <c r="P5827" s="16" t="inlineStr">
        <is>
          <t>Требует обогащения</t>
        </is>
      </c>
      <c r="Q5827" s="16">
        <f>HYPERLINK("https://pb.nalog.ru/search.html?query=7519003060","ФНС: проверить")</f>
        <v/>
      </c>
      <c r="R5827" s="16">
        <f>HYPERLINK("https://checko.ru/search?query=3801001629","Чекко: проверить")</f>
        <v/>
      </c>
      <c r="S5827" t="n">
        <v>1</v>
      </c>
      <c r="T5827" s="35" t="inlineStr">
        <is>
          <t>4 — Не обогащён</t>
        </is>
      </c>
      <c r="U5827" s="35" t="inlineStr">
        <is>
          <t>Нет ОКВЭД/ССЧР</t>
        </is>
      </c>
      <c r="V5827" s="35" t="inlineStr">
        <is>
          <t>Не определено</t>
        </is>
      </c>
      <c r="W5827" s="35" t="inlineStr"/>
      <c r="X5827" s="35" t="inlineStr"/>
    </row>
    <row r="5828" ht="15" customHeight="1" s="24">
      <c r="A5828" s="13" t="n">
        <v>5000092722</v>
      </c>
      <c r="B5828" s="13" t="inlineStr">
        <is>
          <t>Дума Мамско-Чуйского района</t>
        </is>
      </c>
      <c r="C5828" s="13" t="n">
        <v>3802012550</v>
      </c>
      <c r="D5828" s="13" t="inlineStr">
        <is>
          <t>3802012550</t>
        </is>
      </c>
      <c r="E5828" s="13" t="inlineStr">
        <is>
          <t>ЮЛ РФ</t>
        </is>
      </c>
      <c r="F5828" s="13" t="n"/>
      <c r="G5828" s="14" t="n"/>
      <c r="H5828" s="14" t="n"/>
      <c r="I5828" s="14" t="n"/>
      <c r="J5828" s="14" t="n"/>
      <c r="K5828" s="53" t="inlineStr"/>
      <c r="L5828" s="53" t="inlineStr">
        <is>
          <t>Не определено</t>
        </is>
      </c>
      <c r="M5828" s="53" t="inlineStr"/>
      <c r="N5828" s="54" t="inlineStr"/>
      <c r="O5828" s="55" t="inlineStr"/>
      <c r="P5828" s="16" t="inlineStr">
        <is>
          <t>Требует обогащения</t>
        </is>
      </c>
      <c r="Q5828" s="16">
        <f>HYPERLINK("https://pb.nalog.ru/search.html?query=3802012550","ФНС: проверить")</f>
        <v/>
      </c>
      <c r="R5828" s="16">
        <f>HYPERLINK("https://checko.ru/search?query=3801001629","Чекко: проверить")</f>
        <v/>
      </c>
      <c r="S5828" t="n">
        <v>1</v>
      </c>
      <c r="T5828" s="35" t="inlineStr">
        <is>
          <t>4 — Не обогащён</t>
        </is>
      </c>
      <c r="U5828" s="35" t="inlineStr">
        <is>
          <t>Нет ОКВЭД/ССЧР</t>
        </is>
      </c>
      <c r="V5828" s="35" t="inlineStr">
        <is>
          <t>Не определено</t>
        </is>
      </c>
      <c r="W5828" s="35" t="inlineStr"/>
      <c r="X5828" s="35" t="inlineStr"/>
    </row>
    <row r="5829" ht="54.75" customHeight="1" s="24">
      <c r="A5829" s="13" t="n">
        <v>5000116609</v>
      </c>
      <c r="B5829" s="13" t="inlineStr">
        <is>
          <t>Муниципальное автономное учреждение дополнительного профессионального образования "Центр информатизации образования"</t>
        </is>
      </c>
      <c r="C5829" s="13" t="n">
        <v>5044038762</v>
      </c>
      <c r="D5829" s="13" t="inlineStr">
        <is>
          <t>5044038762</t>
        </is>
      </c>
      <c r="E5829" s="13" t="inlineStr">
        <is>
          <t>ЮЛ РФ</t>
        </is>
      </c>
      <c r="F5829" s="13" t="n"/>
      <c r="G5829" s="14" t="n"/>
      <c r="H5829" s="14" t="n"/>
      <c r="I5829" s="14" t="n"/>
      <c r="J5829" s="14" t="n"/>
      <c r="K5829" s="53" t="inlineStr"/>
      <c r="L5829" s="53" t="inlineStr">
        <is>
          <t>Не определено</t>
        </is>
      </c>
      <c r="M5829" s="53" t="inlineStr"/>
      <c r="N5829" s="54" t="inlineStr"/>
      <c r="O5829" s="55" t="inlineStr"/>
      <c r="P5829" s="16" t="inlineStr">
        <is>
          <t>Требует обогащения</t>
        </is>
      </c>
      <c r="Q5829" s="16">
        <f>HYPERLINK("https://pb.nalog.ru/search.html?query=5044038762","ФНС: проверить")</f>
        <v/>
      </c>
      <c r="R5829" s="16">
        <f>HYPERLINK("https://checko.ru/search?query=3801001629","Чекко: проверить")</f>
        <v/>
      </c>
      <c r="S5829" t="n">
        <v>1</v>
      </c>
      <c r="T5829" s="35" t="inlineStr">
        <is>
          <t>4 — Не обогащён</t>
        </is>
      </c>
      <c r="U5829" s="35" t="inlineStr">
        <is>
          <t>Нет ОКВЭД/ССЧР</t>
        </is>
      </c>
      <c r="V5829" s="35" t="inlineStr">
        <is>
          <t>Не определено</t>
        </is>
      </c>
      <c r="W5829" s="35" t="inlineStr"/>
      <c r="X5829" s="35" t="inlineStr"/>
    </row>
    <row r="5830" ht="27.75" customHeight="1" s="24">
      <c r="A5830" s="13" t="n">
        <v>5000116612</v>
      </c>
      <c r="B5830" s="13" t="inlineStr">
        <is>
          <t>Автономное учреждение городског округа Солнечногорск "Содружество домов культуры"</t>
        </is>
      </c>
      <c r="C5830" s="13" t="n">
        <v>5044058624</v>
      </c>
      <c r="D5830" s="13" t="inlineStr">
        <is>
          <t>5044058624</t>
        </is>
      </c>
      <c r="E5830" s="13" t="inlineStr">
        <is>
          <t>ЮЛ РФ</t>
        </is>
      </c>
      <c r="F5830" s="13" t="n"/>
      <c r="G5830" s="14" t="n"/>
      <c r="H5830" s="14" t="n"/>
      <c r="I5830" s="14" t="n"/>
      <c r="J5830" s="14" t="n"/>
      <c r="K5830" s="53" t="inlineStr"/>
      <c r="L5830" s="53" t="inlineStr">
        <is>
          <t>Не определено</t>
        </is>
      </c>
      <c r="M5830" s="53" t="inlineStr"/>
      <c r="N5830" s="54" t="inlineStr"/>
      <c r="O5830" s="55" t="inlineStr"/>
      <c r="P5830" s="16" t="inlineStr">
        <is>
          <t>Требует обогащения</t>
        </is>
      </c>
      <c r="Q5830" s="16">
        <f>HYPERLINK("https://pb.nalog.ru/search.html?query=5044058624","ФНС: проверить")</f>
        <v/>
      </c>
      <c r="R5830" s="16">
        <f>HYPERLINK("https://checko.ru/search?query=3801001629","Чекко: проверить")</f>
        <v/>
      </c>
      <c r="S5830" t="n">
        <v>1</v>
      </c>
      <c r="T5830" s="35" t="inlineStr">
        <is>
          <t>4 — Не обогащён</t>
        </is>
      </c>
      <c r="U5830" s="35" t="inlineStr">
        <is>
          <t>Нет ОКВЭД/ССЧР</t>
        </is>
      </c>
      <c r="V5830" s="35" t="inlineStr">
        <is>
          <t>Не определено</t>
        </is>
      </c>
      <c r="W5830" s="35" t="inlineStr"/>
      <c r="X5830" s="35" t="inlineStr"/>
    </row>
    <row r="5831" ht="68.25" customHeight="1" s="24">
      <c r="A5831" s="13" t="n">
        <v>5000090850</v>
      </c>
      <c r="B5831" s="13" t="inlineStr">
        <is>
          <t>МУНИЦИПАЛЬНОЕ БЮДЖЕТНОЕ УЧРЕЖДЕНИЕ "ОРЕХОВО-ЗУЕВСКОЕ ГОРОДСКОЕ ПРЕДПРИЯТИЕ КОММУНАЛЬНОГО ХОЗЯЙСТВА И БЛАГОУСТРОЙСТВА" ОРЕХОВО-ЗУЕВСКОГО ГОРОДСКОГО ОКР</t>
        </is>
      </c>
      <c r="C5831" s="13" t="n">
        <v>5034061882</v>
      </c>
      <c r="D5831" s="13" t="inlineStr">
        <is>
          <t>5034061882</t>
        </is>
      </c>
      <c r="E5831" s="13" t="inlineStr">
        <is>
          <t>ЮЛ РФ</t>
        </is>
      </c>
      <c r="F5831" s="13" t="n"/>
      <c r="G5831" s="14" t="n"/>
      <c r="H5831" s="14" t="n"/>
      <c r="I5831" s="14" t="n"/>
      <c r="J5831" s="14" t="n"/>
      <c r="K5831" s="53" t="inlineStr"/>
      <c r="L5831" s="53" t="inlineStr">
        <is>
          <t>Не определено</t>
        </is>
      </c>
      <c r="M5831" s="53" t="inlineStr"/>
      <c r="N5831" s="54" t="inlineStr"/>
      <c r="O5831" s="55" t="inlineStr"/>
      <c r="P5831" s="16" t="inlineStr">
        <is>
          <t>Требует обогащения</t>
        </is>
      </c>
      <c r="Q5831" s="16">
        <f>HYPERLINK("https://pb.nalog.ru/search.html?query=5034061882","ФНС: проверить")</f>
        <v/>
      </c>
      <c r="R5831" s="16">
        <f>HYPERLINK("https://checko.ru/search?query=3801001629","Чекко: проверить")</f>
        <v/>
      </c>
      <c r="S5831" t="n">
        <v>1</v>
      </c>
      <c r="T5831" s="35" t="inlineStr">
        <is>
          <t>4 — Не обогащён</t>
        </is>
      </c>
      <c r="U5831" s="35" t="inlineStr">
        <is>
          <t>Нет ОКВЭД/ССЧР</t>
        </is>
      </c>
      <c r="V5831" s="35" t="inlineStr">
        <is>
          <t>Не определено</t>
        </is>
      </c>
      <c r="W5831" s="35" t="inlineStr"/>
      <c r="X5831" s="35" t="inlineStr"/>
    </row>
    <row r="5832" ht="27.75" customHeight="1" s="24">
      <c r="A5832" s="13" t="n">
        <v>5000092723</v>
      </c>
      <c r="B5832" s="13" t="inlineStr">
        <is>
          <t>Контрольно-счетная палата муниципального образования Мамско-Чуйского района</t>
        </is>
      </c>
      <c r="C5832" s="13" t="n">
        <v>3802013585</v>
      </c>
      <c r="D5832" s="13" t="inlineStr">
        <is>
          <t>3802013585</t>
        </is>
      </c>
      <c r="E5832" s="13" t="inlineStr">
        <is>
          <t>ЮЛ РФ</t>
        </is>
      </c>
      <c r="F5832" s="13" t="n"/>
      <c r="G5832" s="14" t="n"/>
      <c r="H5832" s="14" t="n"/>
      <c r="I5832" s="14" t="n"/>
      <c r="J5832" s="14" t="n"/>
      <c r="K5832" s="53" t="inlineStr"/>
      <c r="L5832" s="53" t="inlineStr">
        <is>
          <t>Не определено</t>
        </is>
      </c>
      <c r="M5832" s="53" t="inlineStr"/>
      <c r="N5832" s="54" t="inlineStr"/>
      <c r="O5832" s="55" t="inlineStr"/>
      <c r="P5832" s="16" t="inlineStr">
        <is>
          <t>Требует обогащения</t>
        </is>
      </c>
      <c r="Q5832" s="16">
        <f>HYPERLINK("https://pb.nalog.ru/search.html?query=3802013585","ФНС: проверить")</f>
        <v/>
      </c>
      <c r="R5832" s="16">
        <f>HYPERLINK("https://checko.ru/search?query=3801001629","Чекко: проверить")</f>
        <v/>
      </c>
      <c r="S5832" t="n">
        <v>1</v>
      </c>
      <c r="T5832" s="35" t="inlineStr">
        <is>
          <t>4 — Не обогащён</t>
        </is>
      </c>
      <c r="U5832" s="35" t="inlineStr">
        <is>
          <t>Нет ОКВЭД/ССЧР</t>
        </is>
      </c>
      <c r="V5832" s="35" t="inlineStr">
        <is>
          <t>Не определено</t>
        </is>
      </c>
      <c r="W5832" s="35" t="inlineStr"/>
      <c r="X5832" s="35" t="inlineStr"/>
    </row>
    <row r="5833" ht="27.75" customHeight="1" s="24">
      <c r="A5833" s="13" t="n">
        <v>5000116418</v>
      </c>
      <c r="B5833" s="13" t="inlineStr">
        <is>
          <t>Финуправление Администрации Орехово-Зуевского городского округа</t>
        </is>
      </c>
      <c r="C5833" s="13" t="n">
        <v>5034037329</v>
      </c>
      <c r="D5833" s="13" t="inlineStr">
        <is>
          <t>5034037329</t>
        </is>
      </c>
      <c r="E5833" s="13" t="inlineStr">
        <is>
          <t>ЮЛ РФ</t>
        </is>
      </c>
      <c r="F5833" s="13" t="n"/>
      <c r="G5833" s="14" t="n"/>
      <c r="H5833" s="14" t="n"/>
      <c r="I5833" s="14" t="n"/>
      <c r="J5833" s="14" t="n"/>
      <c r="K5833" s="53" t="inlineStr"/>
      <c r="L5833" s="53" t="inlineStr">
        <is>
          <t>Не определено</t>
        </is>
      </c>
      <c r="M5833" s="53" t="inlineStr"/>
      <c r="N5833" s="54" t="inlineStr"/>
      <c r="O5833" s="55" t="inlineStr"/>
      <c r="P5833" s="16" t="inlineStr">
        <is>
          <t>Требует обогащения</t>
        </is>
      </c>
      <c r="Q5833" s="16">
        <f>HYPERLINK("https://pb.nalog.ru/search.html?query=5034037329","ФНС: проверить")</f>
        <v/>
      </c>
      <c r="R5833" s="16">
        <f>HYPERLINK("https://checko.ru/search?query=3801001629","Чекко: проверить")</f>
        <v/>
      </c>
      <c r="S5833" t="n">
        <v>1</v>
      </c>
      <c r="T5833" s="35" t="inlineStr">
        <is>
          <t>4 — Не обогащён</t>
        </is>
      </c>
      <c r="U5833" s="35" t="inlineStr">
        <is>
          <t>Нет ОКВЭД/ССЧР</t>
        </is>
      </c>
      <c r="V5833" s="35" t="inlineStr">
        <is>
          <t>Не определено</t>
        </is>
      </c>
      <c r="W5833" s="35" t="inlineStr"/>
      <c r="X5833" s="35" t="inlineStr"/>
    </row>
    <row r="5834" ht="27.75" customHeight="1" s="24">
      <c r="A5834" s="13" t="n">
        <v>5000118210</v>
      </c>
      <c r="B5834" s="13" t="inlineStr">
        <is>
          <t>Агентство по обеспечению деятельности мировых судей Камчатского края</t>
        </is>
      </c>
      <c r="C5834" s="13" t="n">
        <v>4101128815</v>
      </c>
      <c r="D5834" s="13" t="inlineStr">
        <is>
          <t>4101128815</t>
        </is>
      </c>
      <c r="E5834" s="13" t="inlineStr">
        <is>
          <t>ЮЛ РФ</t>
        </is>
      </c>
      <c r="F5834" s="13" t="n"/>
      <c r="G5834" s="14" t="n"/>
      <c r="H5834" s="14" t="n"/>
      <c r="I5834" s="14" t="n"/>
      <c r="J5834" s="14" t="n"/>
      <c r="K5834" s="53" t="inlineStr"/>
      <c r="L5834" s="53" t="inlineStr">
        <is>
          <t>Не определено</t>
        </is>
      </c>
      <c r="M5834" s="53" t="inlineStr"/>
      <c r="N5834" s="54" t="inlineStr"/>
      <c r="O5834" s="55" t="inlineStr"/>
      <c r="P5834" s="16" t="inlineStr">
        <is>
          <t>Требует обогащения</t>
        </is>
      </c>
      <c r="Q5834" s="16">
        <f>HYPERLINK("https://pb.nalog.ru/search.html?query=4101128815","ФНС: проверить")</f>
        <v/>
      </c>
      <c r="R5834" s="16">
        <f>HYPERLINK("https://checko.ru/search?query=3801001629","Чекко: проверить")</f>
        <v/>
      </c>
      <c r="S5834" t="n">
        <v>1</v>
      </c>
      <c r="T5834" s="35" t="inlineStr">
        <is>
          <t>4 — Не обогащён</t>
        </is>
      </c>
      <c r="U5834" s="35" t="inlineStr">
        <is>
          <t>Нет ОКВЭД/ССЧР</t>
        </is>
      </c>
      <c r="V5834" s="35" t="inlineStr">
        <is>
          <t>Не определено</t>
        </is>
      </c>
      <c r="W5834" s="35" t="inlineStr"/>
      <c r="X5834" s="35" t="inlineStr"/>
    </row>
    <row r="5835" ht="54.75" customHeight="1" s="24">
      <c r="A5835" s="13" t="n">
        <v>5000118819</v>
      </c>
      <c r="B5835" s="13" t="inlineStr">
        <is>
          <t>Муниципальное казенное учреждение "Центр Психолого-Педагогической, Медицинской и Социальной Помощи Орехово-Зуевского Городского Округа Московской Обла</t>
        </is>
      </c>
      <c r="C5835" s="13" t="n">
        <v>5034071979</v>
      </c>
      <c r="D5835" s="13" t="inlineStr">
        <is>
          <t>5034071979</t>
        </is>
      </c>
      <c r="E5835" s="13" t="inlineStr">
        <is>
          <t>ЮЛ РФ</t>
        </is>
      </c>
      <c r="F5835" s="13" t="n"/>
      <c r="G5835" s="14" t="n"/>
      <c r="H5835" s="14" t="n"/>
      <c r="I5835" s="14" t="n"/>
      <c r="J5835" s="14" t="n"/>
      <c r="K5835" s="53" t="inlineStr"/>
      <c r="L5835" s="53" t="inlineStr">
        <is>
          <t>Не определено</t>
        </is>
      </c>
      <c r="M5835" s="53" t="inlineStr"/>
      <c r="N5835" s="54" t="inlineStr"/>
      <c r="O5835" s="55" t="inlineStr"/>
      <c r="P5835" s="16" t="inlineStr">
        <is>
          <t>Требует обогащения</t>
        </is>
      </c>
      <c r="Q5835" s="16">
        <f>HYPERLINK("https://pb.nalog.ru/search.html?query=5034071979","ФНС: проверить")</f>
        <v/>
      </c>
      <c r="R5835" s="16">
        <f>HYPERLINK("https://checko.ru/search?query=3801001629","Чекко: проверить")</f>
        <v/>
      </c>
      <c r="S5835" t="n">
        <v>1</v>
      </c>
      <c r="T5835" s="35" t="inlineStr">
        <is>
          <t>4 — Не обогащён</t>
        </is>
      </c>
      <c r="U5835" s="35" t="inlineStr">
        <is>
          <t>Нет ОКВЭД/ССЧР</t>
        </is>
      </c>
      <c r="V5835" s="35" t="inlineStr">
        <is>
          <t>Не определено</t>
        </is>
      </c>
      <c r="W5835" s="35" t="inlineStr"/>
      <c r="X5835" s="35" t="inlineStr"/>
    </row>
    <row r="5836" ht="15" customHeight="1" s="24">
      <c r="A5836" s="13" t="n">
        <v>5000118200</v>
      </c>
      <c r="B5836" s="13" t="inlineStr">
        <is>
          <t>Минкультуры Камчатского края</t>
        </is>
      </c>
      <c r="C5836" s="13" t="n">
        <v>4101121288</v>
      </c>
      <c r="D5836" s="13" t="inlineStr">
        <is>
          <t>4101121288</t>
        </is>
      </c>
      <c r="E5836" s="13" t="inlineStr">
        <is>
          <t>ЮЛ РФ</t>
        </is>
      </c>
      <c r="F5836" s="13" t="n"/>
      <c r="G5836" s="14" t="n"/>
      <c r="H5836" s="14" t="n"/>
      <c r="I5836" s="14" t="n"/>
      <c r="J5836" s="14" t="n"/>
      <c r="K5836" s="53" t="inlineStr"/>
      <c r="L5836" s="53" t="inlineStr">
        <is>
          <t>Не определено</t>
        </is>
      </c>
      <c r="M5836" s="53" t="inlineStr"/>
      <c r="N5836" s="54" t="inlineStr"/>
      <c r="O5836" s="55" t="inlineStr"/>
      <c r="P5836" s="16" t="inlineStr">
        <is>
          <t>Требует обогащения</t>
        </is>
      </c>
      <c r="Q5836" s="16">
        <f>HYPERLINK("https://pb.nalog.ru/search.html?query=4101121288","ФНС: проверить")</f>
        <v/>
      </c>
      <c r="R5836" s="16">
        <f>HYPERLINK("https://checko.ru/search?query=3801001629","Чекко: проверить")</f>
        <v/>
      </c>
      <c r="S5836" t="n">
        <v>1</v>
      </c>
      <c r="T5836" s="35" t="inlineStr">
        <is>
          <t>4 — Не обогащён</t>
        </is>
      </c>
      <c r="U5836" s="35" t="inlineStr">
        <is>
          <t>Нет ОКВЭД/ССЧР</t>
        </is>
      </c>
      <c r="V5836" s="35" t="inlineStr">
        <is>
          <t>Не определено</t>
        </is>
      </c>
      <c r="W5836" s="35" t="inlineStr"/>
      <c r="X5836" s="35" t="inlineStr"/>
    </row>
    <row r="5837" ht="15" customHeight="1" s="24">
      <c r="A5837" s="13" t="n">
        <v>5000118201</v>
      </c>
      <c r="B5837" s="13" t="inlineStr">
        <is>
          <t>Минздрав Камчатского края</t>
        </is>
      </c>
      <c r="C5837" s="13" t="n">
        <v>4100019852</v>
      </c>
      <c r="D5837" s="13" t="inlineStr">
        <is>
          <t>4100019852</t>
        </is>
      </c>
      <c r="E5837" s="13" t="inlineStr">
        <is>
          <t>ЮЛ РФ</t>
        </is>
      </c>
      <c r="F5837" s="13" t="n"/>
      <c r="G5837" s="14" t="n"/>
      <c r="H5837" s="14" t="n"/>
      <c r="I5837" s="14" t="n"/>
      <c r="J5837" s="14" t="n"/>
      <c r="K5837" s="53" t="inlineStr"/>
      <c r="L5837" s="53" t="inlineStr">
        <is>
          <t>Не определено</t>
        </is>
      </c>
      <c r="M5837" s="53" t="inlineStr"/>
      <c r="N5837" s="54" t="inlineStr"/>
      <c r="O5837" s="55" t="inlineStr"/>
      <c r="P5837" s="16" t="inlineStr">
        <is>
          <t>Требует обогащения</t>
        </is>
      </c>
      <c r="Q5837" s="16">
        <f>HYPERLINK("https://pb.nalog.ru/search.html?query=4100019852","ФНС: проверить")</f>
        <v/>
      </c>
      <c r="R5837" s="16">
        <f>HYPERLINK("https://checko.ru/search?query=3801001629","Чекко: проверить")</f>
        <v/>
      </c>
      <c r="S5837" t="n">
        <v>1</v>
      </c>
      <c r="T5837" s="35" t="inlineStr">
        <is>
          <t>4 — Не обогащён</t>
        </is>
      </c>
      <c r="U5837" s="35" t="inlineStr">
        <is>
          <t>Нет ОКВЭД/ССЧР</t>
        </is>
      </c>
      <c r="V5837" s="35" t="inlineStr">
        <is>
          <t>Не определено</t>
        </is>
      </c>
      <c r="W5837" s="35" t="inlineStr"/>
      <c r="X5837" s="35" t="inlineStr"/>
    </row>
    <row r="5838" ht="15" customHeight="1" s="24">
      <c r="A5838" s="13" t="n">
        <v>5000118203</v>
      </c>
      <c r="B5838" s="13" t="inlineStr">
        <is>
          <t>МИНИСТЕРСТВО СПОРТА КАМЧАТСКОГО КРАЯ</t>
        </is>
      </c>
      <c r="C5838" s="13" t="n">
        <v>4101155858</v>
      </c>
      <c r="D5838" s="13" t="inlineStr">
        <is>
          <t>4101155858</t>
        </is>
      </c>
      <c r="E5838" s="13" t="inlineStr">
        <is>
          <t>ЮЛ РФ</t>
        </is>
      </c>
      <c r="F5838" s="13" t="n"/>
      <c r="G5838" s="14" t="n"/>
      <c r="H5838" s="14" t="n"/>
      <c r="I5838" s="14" t="n"/>
      <c r="J5838" s="14" t="n"/>
      <c r="K5838" s="53" t="inlineStr"/>
      <c r="L5838" s="53" t="inlineStr">
        <is>
          <t>Не определено</t>
        </is>
      </c>
      <c r="M5838" s="53" t="inlineStr"/>
      <c r="N5838" s="54" t="inlineStr"/>
      <c r="O5838" s="55" t="inlineStr"/>
      <c r="P5838" s="16" t="inlineStr">
        <is>
          <t>Требует обогащения</t>
        </is>
      </c>
      <c r="Q5838" s="16">
        <f>HYPERLINK("https://pb.nalog.ru/search.html?query=4101155858","ФНС: проверить")</f>
        <v/>
      </c>
      <c r="R5838" s="16">
        <f>HYPERLINK("https://checko.ru/search?query=3801001629","Чекко: проверить")</f>
        <v/>
      </c>
      <c r="S5838" t="n">
        <v>1</v>
      </c>
      <c r="T5838" s="35" t="inlineStr">
        <is>
          <t>4 — Не обогащён</t>
        </is>
      </c>
      <c r="U5838" s="35" t="inlineStr">
        <is>
          <t>Нет ОКВЭД/ССЧР</t>
        </is>
      </c>
      <c r="V5838" s="35" t="inlineStr">
        <is>
          <t>Не определено</t>
        </is>
      </c>
      <c r="W5838" s="35" t="inlineStr"/>
      <c r="X5838" s="35" t="inlineStr"/>
    </row>
    <row r="5839" ht="15" customHeight="1" s="24">
      <c r="A5839" s="13" t="n">
        <v>5000118206</v>
      </c>
      <c r="B5839" s="13" t="inlineStr">
        <is>
          <t>Инспекция ГСН Камчатского края</t>
        </is>
      </c>
      <c r="C5839" s="13" t="n">
        <v>4101084364</v>
      </c>
      <c r="D5839" s="13" t="inlineStr">
        <is>
          <t>4101084364</t>
        </is>
      </c>
      <c r="E5839" s="13" t="inlineStr">
        <is>
          <t>ЮЛ РФ</t>
        </is>
      </c>
      <c r="F5839" s="13" t="n"/>
      <c r="G5839" s="14" t="n"/>
      <c r="H5839" s="14" t="n"/>
      <c r="I5839" s="14" t="n"/>
      <c r="J5839" s="14" t="n"/>
      <c r="K5839" s="53" t="inlineStr"/>
      <c r="L5839" s="53" t="inlineStr">
        <is>
          <t>Не определено</t>
        </is>
      </c>
      <c r="M5839" s="53" t="inlineStr"/>
      <c r="N5839" s="54" t="inlineStr"/>
      <c r="O5839" s="55" t="inlineStr"/>
      <c r="P5839" s="16" t="inlineStr">
        <is>
          <t>Требует обогащения</t>
        </is>
      </c>
      <c r="Q5839" s="16">
        <f>HYPERLINK("https://pb.nalog.ru/search.html?query=4101084364","ФНС: проверить")</f>
        <v/>
      </c>
      <c r="R5839" s="16">
        <f>HYPERLINK("https://checko.ru/search?query=3801001629","Чекко: проверить")</f>
        <v/>
      </c>
      <c r="S5839" t="n">
        <v>1</v>
      </c>
      <c r="T5839" s="35" t="inlineStr">
        <is>
          <t>4 — Не обогащён</t>
        </is>
      </c>
      <c r="U5839" s="35" t="inlineStr">
        <is>
          <t>Нет ОКВЭД/ССЧР</t>
        </is>
      </c>
      <c r="V5839" s="35" t="inlineStr">
        <is>
          <t>Не определено</t>
        </is>
      </c>
      <c r="W5839" s="35" t="inlineStr"/>
      <c r="X5839" s="35" t="inlineStr"/>
    </row>
    <row r="5840" ht="27.75" customHeight="1" s="24">
      <c r="A5840" s="13" t="n">
        <v>5000118209</v>
      </c>
      <c r="B5840" s="13" t="inlineStr">
        <is>
          <t>АГЕНТСТВО ЗАГС И АРХИВНОГО ДЕЛА КАМЧАТСКОГО КРАЯ</t>
        </is>
      </c>
      <c r="C5840" s="13" t="n">
        <v>4101187049</v>
      </c>
      <c r="D5840" s="13" t="inlineStr">
        <is>
          <t>4101187049</t>
        </is>
      </c>
      <c r="E5840" s="13" t="inlineStr">
        <is>
          <t>ЮЛ РФ</t>
        </is>
      </c>
      <c r="F5840" s="13" t="n"/>
      <c r="G5840" s="14" t="n"/>
      <c r="H5840" s="14" t="n"/>
      <c r="I5840" s="14" t="n"/>
      <c r="J5840" s="14" t="n"/>
      <c r="K5840" s="53" t="inlineStr"/>
      <c r="L5840" s="53" t="inlineStr">
        <is>
          <t>Не определено</t>
        </is>
      </c>
      <c r="M5840" s="53" t="inlineStr"/>
      <c r="N5840" s="54" t="inlineStr"/>
      <c r="O5840" s="55" t="inlineStr"/>
      <c r="P5840" s="16" t="inlineStr">
        <is>
          <t>Требует обогащения</t>
        </is>
      </c>
      <c r="Q5840" s="16">
        <f>HYPERLINK("https://pb.nalog.ru/search.html?query=4101187049","ФНС: проверить")</f>
        <v/>
      </c>
      <c r="R5840" s="16">
        <f>HYPERLINK("https://checko.ru/search?query=3801001629","Чекко: проверить")</f>
        <v/>
      </c>
      <c r="S5840" t="n">
        <v>1</v>
      </c>
      <c r="T5840" s="35" t="inlineStr">
        <is>
          <t>4 — Не обогащён</t>
        </is>
      </c>
      <c r="U5840" s="35" t="inlineStr">
        <is>
          <t>Нет ОКВЭД/ССЧР</t>
        </is>
      </c>
      <c r="V5840" s="35" t="inlineStr">
        <is>
          <t>Не определено</t>
        </is>
      </c>
      <c r="W5840" s="35" t="inlineStr"/>
      <c r="X5840" s="35" t="inlineStr"/>
    </row>
    <row r="5841" ht="15" customHeight="1" s="24">
      <c r="A5841" s="13" t="n">
        <v>5000118211</v>
      </c>
      <c r="B5841" s="13" t="inlineStr">
        <is>
          <t>КГКУ "ЦЕНТР ОМС"</t>
        </is>
      </c>
      <c r="C5841" s="13" t="n">
        <v>4101170373</v>
      </c>
      <c r="D5841" s="13" t="inlineStr">
        <is>
          <t>4101170373</t>
        </is>
      </c>
      <c r="E5841" s="13" t="inlineStr">
        <is>
          <t>ЮЛ РФ</t>
        </is>
      </c>
      <c r="F5841" s="13" t="n"/>
      <c r="G5841" s="14" t="n"/>
      <c r="H5841" s="14" t="n"/>
      <c r="I5841" s="14" t="n"/>
      <c r="J5841" s="14" t="n"/>
      <c r="K5841" s="53" t="inlineStr"/>
      <c r="L5841" s="53" t="inlineStr">
        <is>
          <t>Не определено</t>
        </is>
      </c>
      <c r="M5841" s="53" t="inlineStr"/>
      <c r="N5841" s="54" t="inlineStr"/>
      <c r="O5841" s="55" t="inlineStr"/>
      <c r="P5841" s="16" t="inlineStr">
        <is>
          <t>Требует обогащения</t>
        </is>
      </c>
      <c r="Q5841" s="16">
        <f>HYPERLINK("https://pb.nalog.ru/search.html?query=4101170373","ФНС: проверить")</f>
        <v/>
      </c>
      <c r="R5841" s="16">
        <f>HYPERLINK("https://checko.ru/search?query=3801001629","Чекко: проверить")</f>
        <v/>
      </c>
      <c r="S5841" t="n">
        <v>1</v>
      </c>
      <c r="T5841" s="35" t="inlineStr">
        <is>
          <t>4 — Не обогащён</t>
        </is>
      </c>
      <c r="U5841" s="35" t="inlineStr">
        <is>
          <t>Нет ОКВЭД/ССЧР</t>
        </is>
      </c>
      <c r="V5841" s="35" t="inlineStr">
        <is>
          <t>Не определено</t>
        </is>
      </c>
      <c r="W5841" s="35" t="inlineStr"/>
      <c r="X5841" s="35" t="inlineStr"/>
    </row>
    <row r="5842" ht="15" customHeight="1" s="24">
      <c r="A5842" s="13" t="n">
        <v>5000118213</v>
      </c>
      <c r="B5842" s="13" t="inlineStr">
        <is>
          <t>КГБУ "ККДБ им. В. Кручины"</t>
        </is>
      </c>
      <c r="C5842" s="13" t="n">
        <v>4101089330</v>
      </c>
      <c r="D5842" s="13" t="inlineStr">
        <is>
          <t>4101089330</t>
        </is>
      </c>
      <c r="E5842" s="13" t="inlineStr">
        <is>
          <t>ЮЛ РФ</t>
        </is>
      </c>
      <c r="F5842" s="13" t="n"/>
      <c r="G5842" s="14" t="n"/>
      <c r="H5842" s="14" t="n"/>
      <c r="I5842" s="14" t="n"/>
      <c r="J5842" s="14" t="n"/>
      <c r="K5842" s="53" t="inlineStr"/>
      <c r="L5842" s="53" t="inlineStr">
        <is>
          <t>Не определено</t>
        </is>
      </c>
      <c r="M5842" s="53" t="inlineStr"/>
      <c r="N5842" s="54" t="inlineStr"/>
      <c r="O5842" s="55" t="inlineStr"/>
      <c r="P5842" s="16" t="inlineStr">
        <is>
          <t>Требует обогащения</t>
        </is>
      </c>
      <c r="Q5842" s="16">
        <f>HYPERLINK("https://pb.nalog.ru/search.html?query=4101089330","ФНС: проверить")</f>
        <v/>
      </c>
      <c r="R5842" s="16">
        <f>HYPERLINK("https://checko.ru/search?query=3801001629","Чекко: проверить")</f>
        <v/>
      </c>
      <c r="S5842" t="n">
        <v>1</v>
      </c>
      <c r="T5842" s="35" t="inlineStr">
        <is>
          <t>4 — Не обогащён</t>
        </is>
      </c>
      <c r="U5842" s="35" t="inlineStr">
        <is>
          <t>Нет ОКВЭД/ССЧР</t>
        </is>
      </c>
      <c r="V5842" s="35" t="inlineStr">
        <is>
          <t>Не определено</t>
        </is>
      </c>
      <c r="W5842" s="35" t="inlineStr"/>
      <c r="X5842" s="35" t="inlineStr"/>
    </row>
    <row r="5843" ht="27.75" customHeight="1" s="24">
      <c r="A5843" s="13" t="n">
        <v>5000118214</v>
      </c>
      <c r="B5843" s="13" t="inlineStr">
        <is>
          <t>КГБУ "Камчатский краевой объединенный музей"; КГБУ ККОМ</t>
        </is>
      </c>
      <c r="C5843" s="13" t="n">
        <v>4101095260</v>
      </c>
      <c r="D5843" s="13" t="inlineStr">
        <is>
          <t>4101095260</t>
        </is>
      </c>
      <c r="E5843" s="13" t="inlineStr">
        <is>
          <t>ЮЛ РФ</t>
        </is>
      </c>
      <c r="F5843" s="13" t="n"/>
      <c r="G5843" s="14" t="n"/>
      <c r="H5843" s="14" t="n"/>
      <c r="I5843" s="14" t="n"/>
      <c r="J5843" s="14" t="n"/>
      <c r="K5843" s="53" t="inlineStr"/>
      <c r="L5843" s="53" t="inlineStr">
        <is>
          <t>Не определено</t>
        </is>
      </c>
      <c r="M5843" s="53" t="inlineStr"/>
      <c r="N5843" s="54" t="inlineStr"/>
      <c r="O5843" s="55" t="inlineStr"/>
      <c r="P5843" s="16" t="inlineStr">
        <is>
          <t>Требует обогащения</t>
        </is>
      </c>
      <c r="Q5843" s="16">
        <f>HYPERLINK("https://pb.nalog.ru/search.html?query=4101095260","ФНС: проверить")</f>
        <v/>
      </c>
      <c r="R5843" s="16">
        <f>HYPERLINK("https://checko.ru/search?query=3801001629","Чекко: проверить")</f>
        <v/>
      </c>
      <c r="S5843" t="n">
        <v>1</v>
      </c>
      <c r="T5843" s="35" t="inlineStr">
        <is>
          <t>4 — Не обогащён</t>
        </is>
      </c>
      <c r="U5843" s="35" t="inlineStr">
        <is>
          <t>Нет ОКВЭД/ССЧР</t>
        </is>
      </c>
      <c r="V5843" s="35" t="inlineStr">
        <is>
          <t>Не определено</t>
        </is>
      </c>
      <c r="W5843" s="35" t="inlineStr"/>
      <c r="X5843" s="35" t="inlineStr"/>
    </row>
    <row r="5844" ht="15" customHeight="1" s="24">
      <c r="A5844" s="13" t="n">
        <v>5000118215</v>
      </c>
      <c r="B5844" s="13" t="inlineStr">
        <is>
          <t>КГБУ ДПО КУМЦ</t>
        </is>
      </c>
      <c r="C5844" s="13" t="n">
        <v>4101089228</v>
      </c>
      <c r="D5844" s="13" t="inlineStr">
        <is>
          <t>4101089228</t>
        </is>
      </c>
      <c r="E5844" s="13" t="inlineStr">
        <is>
          <t>ЮЛ РФ</t>
        </is>
      </c>
      <c r="F5844" s="13" t="n"/>
      <c r="G5844" s="14" t="n"/>
      <c r="H5844" s="14" t="n"/>
      <c r="I5844" s="14" t="n"/>
      <c r="J5844" s="14" t="n"/>
      <c r="K5844" s="53" t="inlineStr"/>
      <c r="L5844" s="53" t="inlineStr">
        <is>
          <t>Не определено</t>
        </is>
      </c>
      <c r="M5844" s="53" t="inlineStr"/>
      <c r="N5844" s="54" t="inlineStr"/>
      <c r="O5844" s="55" t="inlineStr"/>
      <c r="P5844" s="16" t="inlineStr">
        <is>
          <t>Требует обогащения</t>
        </is>
      </c>
      <c r="Q5844" s="16">
        <f>HYPERLINK("https://pb.nalog.ru/search.html?query=4101089228","ФНС: проверить")</f>
        <v/>
      </c>
      <c r="R5844" s="16">
        <f>HYPERLINK("https://checko.ru/search?query=3801001629","Чекко: проверить")</f>
        <v/>
      </c>
      <c r="S5844" t="n">
        <v>1</v>
      </c>
      <c r="T5844" s="35" t="inlineStr">
        <is>
          <t>4 — Не обогащён</t>
        </is>
      </c>
      <c r="U5844" s="35" t="inlineStr">
        <is>
          <t>Нет ОКВЭД/ССЧР</t>
        </is>
      </c>
      <c r="V5844" s="35" t="inlineStr">
        <is>
          <t>Не определено</t>
        </is>
      </c>
      <c r="W5844" s="35" t="inlineStr"/>
      <c r="X5844" s="35" t="inlineStr"/>
    </row>
    <row r="5845" ht="27.75" customHeight="1" s="24">
      <c r="A5845" s="13" t="n">
        <v>5000119274</v>
      </c>
      <c r="B5845" s="13" t="inlineStr">
        <is>
          <t>Муниципальное казенное учреждение "Департамент Инфраструктурных Проектов"</t>
        </is>
      </c>
      <c r="C5845" s="13" t="n">
        <v>5044145563</v>
      </c>
      <c r="D5845" s="13" t="inlineStr">
        <is>
          <t>5044145563</t>
        </is>
      </c>
      <c r="E5845" s="13" t="inlineStr">
        <is>
          <t>ЮЛ РФ</t>
        </is>
      </c>
      <c r="F5845" s="13" t="n"/>
      <c r="G5845" s="14" t="n"/>
      <c r="H5845" s="14" t="n"/>
      <c r="I5845" s="14" t="n"/>
      <c r="J5845" s="14" t="n"/>
      <c r="K5845" s="53" t="inlineStr"/>
      <c r="L5845" s="53" t="inlineStr">
        <is>
          <t>Не определено</t>
        </is>
      </c>
      <c r="M5845" s="53" t="inlineStr"/>
      <c r="N5845" s="54" t="inlineStr"/>
      <c r="O5845" s="55" t="inlineStr"/>
      <c r="P5845" s="16" t="inlineStr">
        <is>
          <t>Требует обогащения</t>
        </is>
      </c>
      <c r="Q5845" s="16">
        <f>HYPERLINK("https://pb.nalog.ru/search.html?query=5044145563","ФНС: проверить")</f>
        <v/>
      </c>
      <c r="R5845" s="16">
        <f>HYPERLINK("https://checko.ru/search?query=3801001629","Чекко: проверить")</f>
        <v/>
      </c>
      <c r="S5845" t="n">
        <v>1</v>
      </c>
      <c r="T5845" s="35" t="inlineStr">
        <is>
          <t>4 — Не обогащён</t>
        </is>
      </c>
      <c r="U5845" s="35" t="inlineStr">
        <is>
          <t>Нет ОКВЭД/ССЧР</t>
        </is>
      </c>
      <c r="V5845" s="35" t="inlineStr">
        <is>
          <t>Не определено</t>
        </is>
      </c>
      <c r="W5845" s="35" t="inlineStr"/>
      <c r="X5845" s="35" t="inlineStr"/>
    </row>
    <row r="5846" ht="41.25" customHeight="1" s="24">
      <c r="A5846" s="13" t="n">
        <v>5000119651</v>
      </c>
      <c r="B5846" s="13" t="inlineStr">
        <is>
          <t>Управление Жилищно-Коммунального Хозяйства Администрации Орехово-Зуевского Городского Округа Московской Области</t>
        </is>
      </c>
      <c r="C5846" s="13" t="n">
        <v>5034072725</v>
      </c>
      <c r="D5846" s="13" t="inlineStr">
        <is>
          <t>5034072725</t>
        </is>
      </c>
      <c r="E5846" s="13" t="inlineStr">
        <is>
          <t>ЮЛ РФ</t>
        </is>
      </c>
      <c r="F5846" s="13" t="n"/>
      <c r="G5846" s="14" t="n"/>
      <c r="H5846" s="14" t="n"/>
      <c r="I5846" s="14" t="n"/>
      <c r="J5846" s="14" t="n"/>
      <c r="K5846" s="53" t="inlineStr"/>
      <c r="L5846" s="53" t="inlineStr">
        <is>
          <t>Не определено</t>
        </is>
      </c>
      <c r="M5846" s="53" t="inlineStr"/>
      <c r="N5846" s="54" t="inlineStr"/>
      <c r="O5846" s="55" t="inlineStr"/>
      <c r="P5846" s="16" t="inlineStr">
        <is>
          <t>Требует обогащения</t>
        </is>
      </c>
      <c r="Q5846" s="16">
        <f>HYPERLINK("https://pb.nalog.ru/search.html?query=5034072725","ФНС: проверить")</f>
        <v/>
      </c>
      <c r="R5846" s="16">
        <f>HYPERLINK("https://checko.ru/search?query=3801001629","Чекко: проверить")</f>
        <v/>
      </c>
      <c r="S5846" t="n">
        <v>1</v>
      </c>
      <c r="T5846" s="35" t="inlineStr">
        <is>
          <t>4 — Не обогащён</t>
        </is>
      </c>
      <c r="U5846" s="35" t="inlineStr">
        <is>
          <t>Нет ОКВЭД/ССЧР</t>
        </is>
      </c>
      <c r="V5846" s="35" t="inlineStr">
        <is>
          <t>Не определено</t>
        </is>
      </c>
      <c r="W5846" s="35" t="inlineStr"/>
      <c r="X5846" s="35" t="inlineStr"/>
    </row>
    <row r="5847" ht="41.25" customHeight="1" s="24">
      <c r="A5847" s="13" t="n">
        <v>5000120050</v>
      </c>
      <c r="B5847" s="13" t="inlineStr">
        <is>
          <t>Муниципальное казенное учреждение "Территориальное Управление Орехово-Зуевского Городского Округа Московской Области"</t>
        </is>
      </c>
      <c r="C5847" s="13" t="n">
        <v>5034072806</v>
      </c>
      <c r="D5847" s="13" t="inlineStr">
        <is>
          <t>5034072806</t>
        </is>
      </c>
      <c r="E5847" s="13" t="inlineStr">
        <is>
          <t>ЮЛ РФ</t>
        </is>
      </c>
      <c r="F5847" s="13" t="n"/>
      <c r="G5847" s="14" t="n"/>
      <c r="H5847" s="14" t="n"/>
      <c r="I5847" s="14" t="n"/>
      <c r="J5847" s="14" t="n"/>
      <c r="K5847" s="53" t="inlineStr"/>
      <c r="L5847" s="53" t="inlineStr">
        <is>
          <t>Не определено</t>
        </is>
      </c>
      <c r="M5847" s="53" t="inlineStr"/>
      <c r="N5847" s="54" t="inlineStr"/>
      <c r="O5847" s="55" t="inlineStr"/>
      <c r="P5847" s="16" t="inlineStr">
        <is>
          <t>Требует обогащения</t>
        </is>
      </c>
      <c r="Q5847" s="16">
        <f>HYPERLINK("https://pb.nalog.ru/search.html?query=5034072806","ФНС: проверить")</f>
        <v/>
      </c>
      <c r="R5847" s="16">
        <f>HYPERLINK("https://checko.ru/search?query=3801001629","Чекко: проверить")</f>
        <v/>
      </c>
      <c r="S5847" t="n">
        <v>1</v>
      </c>
      <c r="T5847" s="35" t="inlineStr">
        <is>
          <t>4 — Не обогащён</t>
        </is>
      </c>
      <c r="U5847" s="35" t="inlineStr">
        <is>
          <t>Нет ОКВЭД/ССЧР</t>
        </is>
      </c>
      <c r="V5847" s="35" t="inlineStr">
        <is>
          <t>Не определено</t>
        </is>
      </c>
      <c r="W5847" s="35" t="inlineStr"/>
      <c r="X5847" s="35" t="inlineStr"/>
    </row>
    <row r="5848" ht="27.75" customHeight="1" s="24">
      <c r="A5848" s="13" t="n">
        <v>5000061789</v>
      </c>
      <c r="B5848" s="13" t="inlineStr">
        <is>
          <t>Министерство рыбного хозяйства Камчатского края</t>
        </is>
      </c>
      <c r="C5848" s="13" t="n">
        <v>4101120943</v>
      </c>
      <c r="D5848" s="13" t="inlineStr">
        <is>
          <t>4101120943</t>
        </is>
      </c>
      <c r="E5848" s="13" t="inlineStr">
        <is>
          <t>ЮЛ РФ</t>
        </is>
      </c>
      <c r="F5848" s="13" t="n"/>
      <c r="G5848" s="14" t="n"/>
      <c r="H5848" s="14" t="n"/>
      <c r="I5848" s="14" t="n"/>
      <c r="J5848" s="14" t="n"/>
      <c r="K5848" s="53" t="inlineStr"/>
      <c r="L5848" s="53" t="inlineStr">
        <is>
          <t>Не определено</t>
        </is>
      </c>
      <c r="M5848" s="53" t="inlineStr"/>
      <c r="N5848" s="54" t="inlineStr"/>
      <c r="O5848" s="55" t="inlineStr"/>
      <c r="P5848" s="16" t="inlineStr">
        <is>
          <t>Требует обогащения</t>
        </is>
      </c>
      <c r="Q5848" s="16">
        <f>HYPERLINK("https://pb.nalog.ru/search.html?query=4101120943","ФНС: проверить")</f>
        <v/>
      </c>
      <c r="R5848" s="16">
        <f>HYPERLINK("https://checko.ru/search?query=3801001629","Чекко: проверить")</f>
        <v/>
      </c>
      <c r="S5848" t="n">
        <v>1</v>
      </c>
      <c r="T5848" s="35" t="inlineStr">
        <is>
          <t>4 — Не обогащён</t>
        </is>
      </c>
      <c r="U5848" s="35" t="inlineStr">
        <is>
          <t>Нет ОКВЭД/ССЧР</t>
        </is>
      </c>
      <c r="V5848" s="35" t="inlineStr">
        <is>
          <t>Не определено</t>
        </is>
      </c>
      <c r="W5848" s="35" t="inlineStr"/>
      <c r="X5848" s="35" t="inlineStr"/>
    </row>
    <row r="5849" ht="27.75" customHeight="1" s="24">
      <c r="A5849" s="13" t="n">
        <v>5000061791</v>
      </c>
      <c r="B5849" s="13" t="inlineStr">
        <is>
          <t>Министерство территориального развития Камчатского края</t>
        </is>
      </c>
      <c r="C5849" s="13" t="n">
        <v>4101157090</v>
      </c>
      <c r="D5849" s="13" t="inlineStr">
        <is>
          <t>4101157090</t>
        </is>
      </c>
      <c r="E5849" s="13" t="inlineStr">
        <is>
          <t>ЮЛ РФ</t>
        </is>
      </c>
      <c r="F5849" s="13" t="n"/>
      <c r="G5849" s="14" t="n"/>
      <c r="H5849" s="14" t="n"/>
      <c r="I5849" s="14" t="n"/>
      <c r="J5849" s="14" t="n"/>
      <c r="K5849" s="53" t="inlineStr"/>
      <c r="L5849" s="53" t="inlineStr">
        <is>
          <t>Не определено</t>
        </is>
      </c>
      <c r="M5849" s="53" t="inlineStr"/>
      <c r="N5849" s="54" t="inlineStr"/>
      <c r="O5849" s="55" t="inlineStr"/>
      <c r="P5849" s="16" t="inlineStr">
        <is>
          <t>Требует обогащения</t>
        </is>
      </c>
      <c r="Q5849" s="16">
        <f>HYPERLINK("https://pb.nalog.ru/search.html?query=4101157090","ФНС: проверить")</f>
        <v/>
      </c>
      <c r="R5849" s="16">
        <f>HYPERLINK("https://checko.ru/search?query=3801001629","Чекко: проверить")</f>
        <v/>
      </c>
      <c r="S5849" t="n">
        <v>1</v>
      </c>
      <c r="T5849" s="35" t="inlineStr">
        <is>
          <t>4 — Не обогащён</t>
        </is>
      </c>
      <c r="U5849" s="35" t="inlineStr">
        <is>
          <t>Нет ОКВЭД/ССЧР</t>
        </is>
      </c>
      <c r="V5849" s="35" t="inlineStr">
        <is>
          <t>Не определено</t>
        </is>
      </c>
      <c r="W5849" s="35" t="inlineStr"/>
      <c r="X5849" s="35" t="inlineStr"/>
    </row>
    <row r="5850" ht="27.75" customHeight="1" s="24">
      <c r="A5850" s="13" t="n">
        <v>5000061792</v>
      </c>
      <c r="B5850" s="13" t="inlineStr">
        <is>
          <t>Агентство по информатизации и связи Камчатского края</t>
        </is>
      </c>
      <c r="C5850" s="13" t="n">
        <v>4101120816</v>
      </c>
      <c r="D5850" s="13" t="inlineStr">
        <is>
          <t>4101120816</t>
        </is>
      </c>
      <c r="E5850" s="13" t="inlineStr">
        <is>
          <t>ЮЛ РФ</t>
        </is>
      </c>
      <c r="F5850" s="13" t="n"/>
      <c r="G5850" s="14" t="n"/>
      <c r="H5850" s="14" t="n"/>
      <c r="I5850" s="14" t="n"/>
      <c r="J5850" s="14" t="n"/>
      <c r="K5850" s="53" t="inlineStr"/>
      <c r="L5850" s="53" t="inlineStr">
        <is>
          <t>Не определено</t>
        </is>
      </c>
      <c r="M5850" s="53" t="inlineStr"/>
      <c r="N5850" s="54" t="inlineStr"/>
      <c r="O5850" s="55" t="inlineStr"/>
      <c r="P5850" s="16" t="inlineStr">
        <is>
          <t>Требует обогащения</t>
        </is>
      </c>
      <c r="Q5850" s="16">
        <f>HYPERLINK("https://pb.nalog.ru/search.html?query=4101120816","ФНС: проверить")</f>
        <v/>
      </c>
      <c r="R5850" s="16">
        <f>HYPERLINK("https://checko.ru/search?query=3801001629","Чекко: проверить")</f>
        <v/>
      </c>
      <c r="S5850" t="n">
        <v>1</v>
      </c>
      <c r="T5850" s="35" t="inlineStr">
        <is>
          <t>4 — Не обогащён</t>
        </is>
      </c>
      <c r="U5850" s="35" t="inlineStr">
        <is>
          <t>Нет ОКВЭД/ССЧР</t>
        </is>
      </c>
      <c r="V5850" s="35" t="inlineStr">
        <is>
          <t>Не определено</t>
        </is>
      </c>
      <c r="W5850" s="35" t="inlineStr"/>
      <c r="X5850" s="35" t="inlineStr"/>
    </row>
    <row r="5851" ht="41.25" customHeight="1" s="24">
      <c r="A5851" s="13" t="n">
        <v>5000118287</v>
      </c>
      <c r="B5851" s="13" t="inlineStr">
        <is>
          <t>МБУ "ЛИКИНО-ДУЛЕВСКИЙ КОМБИНАТ БЛАГОУСТРОЙСТВА" ОРЕХОВО-ЗУЕВСКОГО ГОРОДСКОГО ОКРУГА МОСКОВСКОЙ ОБЛАСТИ</t>
        </is>
      </c>
      <c r="C5851" s="13" t="n">
        <v>5034051122</v>
      </c>
      <c r="D5851" s="13" t="inlineStr">
        <is>
          <t>5034051122</t>
        </is>
      </c>
      <c r="E5851" s="13" t="inlineStr">
        <is>
          <t>ЮЛ РФ</t>
        </is>
      </c>
      <c r="F5851" s="13" t="n"/>
      <c r="G5851" s="14" t="n"/>
      <c r="H5851" s="14" t="n"/>
      <c r="I5851" s="14" t="n"/>
      <c r="J5851" s="14" t="n"/>
      <c r="K5851" s="53" t="inlineStr"/>
      <c r="L5851" s="53" t="inlineStr">
        <is>
          <t>Не определено</t>
        </is>
      </c>
      <c r="M5851" s="53" t="inlineStr"/>
      <c r="N5851" s="54" t="inlineStr"/>
      <c r="O5851" s="55" t="inlineStr"/>
      <c r="P5851" s="16" t="inlineStr">
        <is>
          <t>Требует обогащения</t>
        </is>
      </c>
      <c r="Q5851" s="16">
        <f>HYPERLINK("https://pb.nalog.ru/search.html?query=5034051122","ФНС: проверить")</f>
        <v/>
      </c>
      <c r="R5851" s="16">
        <f>HYPERLINK("https://checko.ru/search?query=3801001629","Чекко: проверить")</f>
        <v/>
      </c>
      <c r="S5851" t="n">
        <v>1</v>
      </c>
      <c r="T5851" s="35" t="inlineStr">
        <is>
          <t>4 — Не обогащён</t>
        </is>
      </c>
      <c r="U5851" s="35" t="inlineStr">
        <is>
          <t>Нет ОКВЭД/ССЧР</t>
        </is>
      </c>
      <c r="V5851" s="35" t="inlineStr">
        <is>
          <t>Не определено</t>
        </is>
      </c>
      <c r="W5851" s="35" t="inlineStr"/>
      <c r="X5851" s="35" t="inlineStr"/>
    </row>
    <row r="5852" ht="15" customHeight="1" s="24">
      <c r="A5852" s="13" t="n">
        <v>5000081611</v>
      </c>
      <c r="B5852" s="13" t="inlineStr">
        <is>
          <t>МБОУ г. Иркутска СОШ № 23</t>
        </is>
      </c>
      <c r="C5852" s="13" t="n">
        <v>3811056955</v>
      </c>
      <c r="D5852" s="13" t="inlineStr">
        <is>
          <t>3811056955</t>
        </is>
      </c>
      <c r="E5852" s="13" t="inlineStr">
        <is>
          <t>ЮЛ РФ</t>
        </is>
      </c>
      <c r="F5852" s="13" t="n"/>
      <c r="G5852" s="14" t="n"/>
      <c r="H5852" s="14" t="n"/>
      <c r="I5852" s="14" t="n"/>
      <c r="J5852" s="14" t="n"/>
      <c r="K5852" s="53" t="inlineStr"/>
      <c r="L5852" s="53" t="inlineStr">
        <is>
          <t>Не определено</t>
        </is>
      </c>
      <c r="M5852" s="53" t="inlineStr"/>
      <c r="N5852" s="54" t="inlineStr"/>
      <c r="O5852" s="55" t="inlineStr"/>
      <c r="P5852" s="16" t="inlineStr">
        <is>
          <t>Требует обогащения</t>
        </is>
      </c>
      <c r="Q5852" s="16">
        <f>HYPERLINK("https://pb.nalog.ru/search.html?query=3811056955","ФНС: проверить")</f>
        <v/>
      </c>
      <c r="R5852" s="16">
        <f>HYPERLINK("https://checko.ru/search?query=3801001629","Чекко: проверить")</f>
        <v/>
      </c>
      <c r="S5852" t="n">
        <v>1</v>
      </c>
      <c r="T5852" s="35" t="inlineStr">
        <is>
          <t>4 — Не обогащён</t>
        </is>
      </c>
      <c r="U5852" s="35" t="inlineStr">
        <is>
          <t>Нет ОКВЭД/ССЧР</t>
        </is>
      </c>
      <c r="V5852" s="35" t="inlineStr">
        <is>
          <t>Не определено</t>
        </is>
      </c>
      <c r="W5852" s="35" t="inlineStr"/>
      <c r="X5852" s="35" t="inlineStr"/>
    </row>
    <row r="5853" ht="27.75" customHeight="1" s="24">
      <c r="A5853" s="13" t="n">
        <v>5000081575</v>
      </c>
      <c r="B5853" s="13" t="inlineStr">
        <is>
          <t>МОУ средняя общеобразовательная школа № 80 г.Иркутска</t>
        </is>
      </c>
      <c r="C5853" s="13" t="n">
        <v>3812008320</v>
      </c>
      <c r="D5853" s="13" t="inlineStr">
        <is>
          <t>3812008320</t>
        </is>
      </c>
      <c r="E5853" s="13" t="inlineStr">
        <is>
          <t>ЮЛ РФ</t>
        </is>
      </c>
      <c r="F5853" s="13" t="n"/>
      <c r="G5853" s="14" t="n"/>
      <c r="H5853" s="14" t="n"/>
      <c r="I5853" s="14" t="n"/>
      <c r="J5853" s="14" t="n"/>
      <c r="K5853" s="53" t="inlineStr"/>
      <c r="L5853" s="53" t="inlineStr">
        <is>
          <t>Не определено</t>
        </is>
      </c>
      <c r="M5853" s="53" t="inlineStr"/>
      <c r="N5853" s="54" t="inlineStr"/>
      <c r="O5853" s="55" t="inlineStr"/>
      <c r="P5853" s="16" t="inlineStr">
        <is>
          <t>Требует обогащения</t>
        </is>
      </c>
      <c r="Q5853" s="16">
        <f>HYPERLINK("https://pb.nalog.ru/search.html?query=3812008320","ФНС: проверить")</f>
        <v/>
      </c>
      <c r="R5853" s="16">
        <f>HYPERLINK("https://checko.ru/search?query=3801001629","Чекко: проверить")</f>
        <v/>
      </c>
      <c r="S5853" t="n">
        <v>1</v>
      </c>
      <c r="T5853" s="35" t="inlineStr">
        <is>
          <t>4 — Не обогащён</t>
        </is>
      </c>
      <c r="U5853" s="35" t="inlineStr">
        <is>
          <t>Нет ОКВЭД/ССЧР</t>
        </is>
      </c>
      <c r="V5853" s="35" t="inlineStr">
        <is>
          <t>Не определено</t>
        </is>
      </c>
      <c r="W5853" s="35" t="inlineStr"/>
      <c r="X5853" s="35" t="inlineStr"/>
    </row>
    <row r="5854" ht="27.75" customHeight="1" s="24">
      <c r="A5854" s="13" t="n">
        <v>5000067260</v>
      </c>
      <c r="B5854" s="13" t="inlineStr">
        <is>
          <t>ГУК "Центр охраны и сохранения объектов культурного наследия" За</t>
        </is>
      </c>
      <c r="C5854" s="13" t="n">
        <v>7536066750</v>
      </c>
      <c r="D5854" s="13" t="inlineStr">
        <is>
          <t>7536066750</t>
        </is>
      </c>
      <c r="E5854" s="13" t="inlineStr">
        <is>
          <t>ЮЛ РФ</t>
        </is>
      </c>
      <c r="F5854" s="13" t="n"/>
      <c r="G5854" s="14" t="n"/>
      <c r="H5854" s="14" t="n"/>
      <c r="I5854" s="14" t="n"/>
      <c r="J5854" s="14" t="n"/>
      <c r="K5854" s="53" t="inlineStr"/>
      <c r="L5854" s="53" t="inlineStr">
        <is>
          <t>Не определено</t>
        </is>
      </c>
      <c r="M5854" s="53" t="inlineStr"/>
      <c r="N5854" s="54" t="inlineStr"/>
      <c r="O5854" s="55" t="inlineStr"/>
      <c r="P5854" s="16" t="inlineStr">
        <is>
          <t>Требует обогащения</t>
        </is>
      </c>
      <c r="Q5854" s="16">
        <f>HYPERLINK("https://pb.nalog.ru/search.html?query=7536066750","ФНС: проверить")</f>
        <v/>
      </c>
      <c r="R5854" s="16">
        <f>HYPERLINK("https://checko.ru/search?query=3801001629","Чекко: проверить")</f>
        <v/>
      </c>
      <c r="S5854" t="n">
        <v>1</v>
      </c>
      <c r="T5854" s="35" t="inlineStr">
        <is>
          <t>4 — Не обогащён</t>
        </is>
      </c>
      <c r="U5854" s="35" t="inlineStr">
        <is>
          <t>Нет ОКВЭД/ССЧР</t>
        </is>
      </c>
      <c r="V5854" s="35" t="inlineStr">
        <is>
          <t>Не определено</t>
        </is>
      </c>
      <c r="W5854" s="35" t="inlineStr"/>
      <c r="X5854" s="35" t="inlineStr"/>
    </row>
    <row r="5855" ht="27.75" customHeight="1" s="24">
      <c r="A5855" s="13" t="n">
        <v>5000081613</v>
      </c>
      <c r="B5855" s="13" t="inlineStr">
        <is>
          <t>МБОУ города Иркутска средняя общеобразовательная школа № 27</t>
        </is>
      </c>
      <c r="C5855" s="13" t="n">
        <v>3811056698</v>
      </c>
      <c r="D5855" s="13" t="inlineStr">
        <is>
          <t>3811056698</t>
        </is>
      </c>
      <c r="E5855" s="13" t="inlineStr">
        <is>
          <t>ЮЛ РФ</t>
        </is>
      </c>
      <c r="F5855" s="13" t="n"/>
      <c r="G5855" s="14" t="n"/>
      <c r="H5855" s="14" t="n"/>
      <c r="I5855" s="14" t="n"/>
      <c r="J5855" s="14" t="n"/>
      <c r="K5855" s="53" t="inlineStr"/>
      <c r="L5855" s="53" t="inlineStr">
        <is>
          <t>Не определено</t>
        </is>
      </c>
      <c r="M5855" s="53" t="inlineStr"/>
      <c r="N5855" s="54" t="inlineStr"/>
      <c r="O5855" s="55" t="inlineStr"/>
      <c r="P5855" s="16" t="inlineStr">
        <is>
          <t>Требует обогащения</t>
        </is>
      </c>
      <c r="Q5855" s="16">
        <f>HYPERLINK("https://pb.nalog.ru/search.html?query=3811056698","ФНС: проверить")</f>
        <v/>
      </c>
      <c r="R5855" s="16">
        <f>HYPERLINK("https://checko.ru/search?query=3801001629","Чекко: проверить")</f>
        <v/>
      </c>
      <c r="S5855" t="n">
        <v>1</v>
      </c>
      <c r="T5855" s="35" t="inlineStr">
        <is>
          <t>4 — Не обогащён</t>
        </is>
      </c>
      <c r="U5855" s="35" t="inlineStr">
        <is>
          <t>Нет ОКВЭД/ССЧР</t>
        </is>
      </c>
      <c r="V5855" s="35" t="inlineStr">
        <is>
          <t>Не определено</t>
        </is>
      </c>
      <c r="W5855" s="35" t="inlineStr"/>
      <c r="X5855" s="35" t="inlineStr"/>
    </row>
    <row r="5856" ht="27.75" customHeight="1" s="24">
      <c r="A5856" s="13" t="n">
        <v>5000067261</v>
      </c>
      <c r="B5856" s="13" t="inlineStr">
        <is>
          <t>ГКУ "Центр обслуживания, содержания и продаж казенного имущества Забайкальского края"</t>
        </is>
      </c>
      <c r="C5856" s="13" t="n">
        <v>7536151050</v>
      </c>
      <c r="D5856" s="13" t="inlineStr">
        <is>
          <t>7536151050</t>
        </is>
      </c>
      <c r="E5856" s="13" t="inlineStr">
        <is>
          <t>ЮЛ РФ</t>
        </is>
      </c>
      <c r="F5856" s="13" t="n"/>
      <c r="G5856" s="14" t="n"/>
      <c r="H5856" s="14" t="n"/>
      <c r="I5856" s="14" t="n"/>
      <c r="J5856" s="14" t="n"/>
      <c r="K5856" s="53" t="inlineStr"/>
      <c r="L5856" s="53" t="inlineStr">
        <is>
          <t>Не определено</t>
        </is>
      </c>
      <c r="M5856" s="53" t="inlineStr"/>
      <c r="N5856" s="54" t="inlineStr"/>
      <c r="O5856" s="55" t="inlineStr"/>
      <c r="P5856" s="16" t="inlineStr">
        <is>
          <t>Требует обогащения</t>
        </is>
      </c>
      <c r="Q5856" s="16">
        <f>HYPERLINK("https://pb.nalog.ru/search.html?query=7536151050","ФНС: проверить")</f>
        <v/>
      </c>
      <c r="R5856" s="16">
        <f>HYPERLINK("https://checko.ru/search?query=3801001629","Чекко: проверить")</f>
        <v/>
      </c>
      <c r="S5856" t="n">
        <v>1</v>
      </c>
      <c r="T5856" s="35" t="inlineStr">
        <is>
          <t>4 — Не обогащён</t>
        </is>
      </c>
      <c r="U5856" s="35" t="inlineStr">
        <is>
          <t>Нет ОКВЭД/ССЧР</t>
        </is>
      </c>
      <c r="V5856" s="35" t="inlineStr">
        <is>
          <t>Не определено</t>
        </is>
      </c>
      <c r="W5856" s="35" t="inlineStr"/>
      <c r="X5856" s="35" t="inlineStr"/>
    </row>
    <row r="5857" ht="15" customHeight="1" s="24">
      <c r="A5857" s="13" t="n">
        <v>5000067434</v>
      </c>
      <c r="B5857" s="13" t="inlineStr">
        <is>
          <t>Управление по делам молодежи,культ. и спорту</t>
        </is>
      </c>
      <c r="C5857" s="13" t="n">
        <v>5034031479</v>
      </c>
      <c r="D5857" s="13" t="inlineStr">
        <is>
          <t>5034031479</t>
        </is>
      </c>
      <c r="E5857" s="13" t="inlineStr">
        <is>
          <t>ЮЛ РФ</t>
        </is>
      </c>
      <c r="F5857" s="13" t="n"/>
      <c r="G5857" s="14" t="n"/>
      <c r="H5857" s="14" t="n"/>
      <c r="I5857" s="14" t="n"/>
      <c r="J5857" s="14" t="n"/>
      <c r="K5857" s="53" t="inlineStr"/>
      <c r="L5857" s="53" t="inlineStr">
        <is>
          <t>Не определено</t>
        </is>
      </c>
      <c r="M5857" s="53" t="inlineStr"/>
      <c r="N5857" s="54" t="inlineStr"/>
      <c r="O5857" s="55" t="inlineStr"/>
      <c r="P5857" s="16" t="inlineStr">
        <is>
          <t>Требует обогащения</t>
        </is>
      </c>
      <c r="Q5857" s="16">
        <f>HYPERLINK("https://pb.nalog.ru/search.html?query=5034031479","ФНС: проверить")</f>
        <v/>
      </c>
      <c r="R5857" s="16">
        <f>HYPERLINK("https://checko.ru/search?query=3801001629","Чекко: проверить")</f>
        <v/>
      </c>
      <c r="S5857" t="n">
        <v>1</v>
      </c>
      <c r="T5857" s="35" t="inlineStr">
        <is>
          <t>4 — Не обогащён</t>
        </is>
      </c>
      <c r="U5857" s="35" t="inlineStr">
        <is>
          <t>Нет ОКВЭД/ССЧР</t>
        </is>
      </c>
      <c r="V5857" s="35" t="inlineStr">
        <is>
          <t>Не определено</t>
        </is>
      </c>
      <c r="W5857" s="35" t="inlineStr"/>
      <c r="X5857" s="35" t="inlineStr"/>
    </row>
    <row r="5858" ht="41.25" customHeight="1" s="24">
      <c r="A5858" s="13" t="n">
        <v>5000067254</v>
      </c>
      <c r="B5858" s="13" t="inlineStr">
        <is>
          <t>КГУ Многофункциональный центр предоставления государственных и муниципальных услуг</t>
        </is>
      </c>
      <c r="C5858" s="13" t="n">
        <v>7535002338</v>
      </c>
      <c r="D5858" s="13" t="inlineStr">
        <is>
          <t>7535002338</t>
        </is>
      </c>
      <c r="E5858" s="13" t="inlineStr">
        <is>
          <t>ЮЛ РФ</t>
        </is>
      </c>
      <c r="F5858" s="13" t="n"/>
      <c r="G5858" s="14" t="n"/>
      <c r="H5858" s="14" t="n"/>
      <c r="I5858" s="14" t="n"/>
      <c r="J5858" s="14" t="n"/>
      <c r="K5858" s="53" t="inlineStr"/>
      <c r="L5858" s="53" t="inlineStr">
        <is>
          <t>Не определено</t>
        </is>
      </c>
      <c r="M5858" s="53" t="inlineStr"/>
      <c r="N5858" s="54" t="inlineStr"/>
      <c r="O5858" s="55" t="inlineStr"/>
      <c r="P5858" s="16" t="inlineStr">
        <is>
          <t>Требует обогащения</t>
        </is>
      </c>
      <c r="Q5858" s="16">
        <f>HYPERLINK("https://pb.nalog.ru/search.html?query=7535002338","ФНС: проверить")</f>
        <v/>
      </c>
      <c r="R5858" s="16">
        <f>HYPERLINK("https://checko.ru/search?query=3801001629","Чекко: проверить")</f>
        <v/>
      </c>
      <c r="S5858" t="n">
        <v>1</v>
      </c>
      <c r="T5858" s="35" t="inlineStr">
        <is>
          <t>4 — Не обогащён</t>
        </is>
      </c>
      <c r="U5858" s="35" t="inlineStr">
        <is>
          <t>Нет ОКВЭД/ССЧР</t>
        </is>
      </c>
      <c r="V5858" s="35" t="inlineStr">
        <is>
          <t>Не определено</t>
        </is>
      </c>
      <c r="W5858" s="35" t="inlineStr"/>
      <c r="X5858" s="35" t="inlineStr"/>
    </row>
    <row r="5859" ht="15" customHeight="1" s="24">
      <c r="A5859" s="13" t="n">
        <v>5000080635</v>
      </c>
      <c r="B5859" s="13" t="inlineStr">
        <is>
          <t>МУК ЦДК "Надежда"</t>
        </is>
      </c>
      <c r="C5859" s="13" t="n">
        <v>5034033356</v>
      </c>
      <c r="D5859" s="13" t="inlineStr">
        <is>
          <t>5034033356</t>
        </is>
      </c>
      <c r="E5859" s="13" t="inlineStr">
        <is>
          <t>ЮЛ РФ</t>
        </is>
      </c>
      <c r="F5859" s="13" t="n"/>
      <c r="G5859" s="14" t="n"/>
      <c r="H5859" s="14" t="n"/>
      <c r="I5859" s="14" t="n"/>
      <c r="J5859" s="14" t="n"/>
      <c r="K5859" s="53" t="inlineStr"/>
      <c r="L5859" s="53" t="inlineStr">
        <is>
          <t>Не определено</t>
        </is>
      </c>
      <c r="M5859" s="53" t="inlineStr"/>
      <c r="N5859" s="54" t="inlineStr"/>
      <c r="O5859" s="55" t="inlineStr"/>
      <c r="P5859" s="16" t="inlineStr">
        <is>
          <t>Требует обогащения</t>
        </is>
      </c>
      <c r="Q5859" s="16">
        <f>HYPERLINK("https://pb.nalog.ru/search.html?query=5034033356","ФНС: проверить")</f>
        <v/>
      </c>
      <c r="R5859" s="16">
        <f>HYPERLINK("https://checko.ru/search?query=3801001629","Чекко: проверить")</f>
        <v/>
      </c>
      <c r="S5859" t="n">
        <v>1</v>
      </c>
      <c r="T5859" s="35" t="inlineStr">
        <is>
          <t>4 — Не обогащён</t>
        </is>
      </c>
      <c r="U5859" s="35" t="inlineStr">
        <is>
          <t>Нет ОКВЭД/ССЧР</t>
        </is>
      </c>
      <c r="V5859" s="35" t="inlineStr">
        <is>
          <t>Не определено</t>
        </is>
      </c>
      <c r="W5859" s="35" t="inlineStr"/>
      <c r="X5859" s="35" t="inlineStr"/>
    </row>
    <row r="5860" ht="15" customHeight="1" s="24">
      <c r="A5860" s="13" t="n">
        <v>5000048089</v>
      </c>
      <c r="B5860" s="13" t="inlineStr">
        <is>
          <t>МБДОУ ГОРОДА ИРКУТСКА ДЕТСКИЙ САД № 63</t>
        </is>
      </c>
      <c r="C5860" s="13" t="n">
        <v>3811054612</v>
      </c>
      <c r="D5860" s="13" t="inlineStr">
        <is>
          <t>3811054612</t>
        </is>
      </c>
      <c r="E5860" s="13" t="inlineStr">
        <is>
          <t>ЮЛ РФ</t>
        </is>
      </c>
      <c r="F5860" s="13" t="n"/>
      <c r="G5860" s="14" t="n"/>
      <c r="H5860" s="14" t="n"/>
      <c r="I5860" s="14" t="n"/>
      <c r="J5860" s="14" t="n"/>
      <c r="K5860" s="53" t="inlineStr"/>
      <c r="L5860" s="53" t="inlineStr">
        <is>
          <t>Не определено</t>
        </is>
      </c>
      <c r="M5860" s="53" t="inlineStr"/>
      <c r="N5860" s="54" t="inlineStr"/>
      <c r="O5860" s="55" t="inlineStr"/>
      <c r="P5860" s="16" t="inlineStr">
        <is>
          <t>Требует обогащения</t>
        </is>
      </c>
      <c r="Q5860" s="16">
        <f>HYPERLINK("https://pb.nalog.ru/search.html?query=3811054612","ФНС: проверить")</f>
        <v/>
      </c>
      <c r="R5860" s="16">
        <f>HYPERLINK("https://checko.ru/search?query=3801001629","Чекко: проверить")</f>
        <v/>
      </c>
      <c r="S5860" t="n">
        <v>1</v>
      </c>
      <c r="T5860" s="35" t="inlineStr">
        <is>
          <t>4 — Не обогащён</t>
        </is>
      </c>
      <c r="U5860" s="35" t="inlineStr">
        <is>
          <t>Нет ОКВЭД/ССЧР</t>
        </is>
      </c>
      <c r="V5860" s="35" t="inlineStr">
        <is>
          <t>Не определено</t>
        </is>
      </c>
      <c r="W5860" s="35" t="inlineStr"/>
      <c r="X5860" s="35" t="inlineStr"/>
    </row>
    <row r="5861" ht="15" customHeight="1" s="24">
      <c r="A5861" s="13" t="n">
        <v>5000077058</v>
      </c>
      <c r="B5861" s="13" t="inlineStr">
        <is>
          <t>ГОУ НПО "Профессиональное училище №33"</t>
        </is>
      </c>
      <c r="C5861" s="13" t="n">
        <v>7537007941</v>
      </c>
      <c r="D5861" s="13" t="inlineStr">
        <is>
          <t>7537007941</t>
        </is>
      </c>
      <c r="E5861" s="13" t="inlineStr">
        <is>
          <t>ЮЛ РФ</t>
        </is>
      </c>
      <c r="F5861" s="13" t="n"/>
      <c r="G5861" s="14" t="n"/>
      <c r="H5861" s="14" t="n"/>
      <c r="I5861" s="14" t="n"/>
      <c r="J5861" s="14" t="n"/>
      <c r="K5861" s="53" t="inlineStr"/>
      <c r="L5861" s="53" t="inlineStr">
        <is>
          <t>Не определено</t>
        </is>
      </c>
      <c r="M5861" s="53" t="inlineStr"/>
      <c r="N5861" s="54" t="inlineStr"/>
      <c r="O5861" s="55" t="inlineStr"/>
      <c r="P5861" s="16" t="inlineStr">
        <is>
          <t>Требует обогащения</t>
        </is>
      </c>
      <c r="Q5861" s="16">
        <f>HYPERLINK("https://pb.nalog.ru/search.html?query=7537007941","ФНС: проверить")</f>
        <v/>
      </c>
      <c r="R5861" s="16">
        <f>HYPERLINK("https://checko.ru/search?query=3801001629","Чекко: проверить")</f>
        <v/>
      </c>
      <c r="S5861" t="n">
        <v>1</v>
      </c>
      <c r="T5861" s="35" t="inlineStr">
        <is>
          <t>4 — Не обогащён</t>
        </is>
      </c>
      <c r="U5861" s="35" t="inlineStr">
        <is>
          <t>Нет ОКВЭД/ССЧР</t>
        </is>
      </c>
      <c r="V5861" s="35" t="inlineStr">
        <is>
          <t>Не определено</t>
        </is>
      </c>
      <c r="W5861" s="35" t="inlineStr"/>
      <c r="X5861" s="35" t="inlineStr"/>
    </row>
    <row r="5862" ht="27.75" customHeight="1" s="24">
      <c r="A5862" s="13" t="n">
        <v>5000080644</v>
      </c>
      <c r="B5862" s="13" t="inlineStr">
        <is>
          <t>МАУДО «ДЮСШ Орехово-Зуевского муниципального района»</t>
        </is>
      </c>
      <c r="C5862" s="13" t="n">
        <v>5073004888</v>
      </c>
      <c r="D5862" s="13" t="inlineStr">
        <is>
          <t>5073004888</t>
        </is>
      </c>
      <c r="E5862" s="13" t="inlineStr">
        <is>
          <t>ЮЛ РФ</t>
        </is>
      </c>
      <c r="F5862" s="13" t="n"/>
      <c r="G5862" s="14" t="n"/>
      <c r="H5862" s="14" t="n"/>
      <c r="I5862" s="14" t="n"/>
      <c r="J5862" s="14" t="n"/>
      <c r="K5862" s="53" t="inlineStr"/>
      <c r="L5862" s="53" t="inlineStr">
        <is>
          <t>Не определено</t>
        </is>
      </c>
      <c r="M5862" s="53" t="inlineStr"/>
      <c r="N5862" s="54" t="inlineStr"/>
      <c r="O5862" s="55" t="inlineStr"/>
      <c r="P5862" s="16" t="inlineStr">
        <is>
          <t>Требует обогащения</t>
        </is>
      </c>
      <c r="Q5862" s="16">
        <f>HYPERLINK("https://pb.nalog.ru/search.html?query=5073004888","ФНС: проверить")</f>
        <v/>
      </c>
      <c r="R5862" s="16">
        <f>HYPERLINK("https://checko.ru/search?query=3801001629","Чекко: проверить")</f>
        <v/>
      </c>
      <c r="S5862" t="n">
        <v>1</v>
      </c>
      <c r="T5862" s="35" t="inlineStr">
        <is>
          <t>4 — Не обогащён</t>
        </is>
      </c>
      <c r="U5862" s="35" t="inlineStr">
        <is>
          <t>Нет ОКВЭД/ССЧР</t>
        </is>
      </c>
      <c r="V5862" s="35" t="inlineStr">
        <is>
          <t>Не определено</t>
        </is>
      </c>
      <c r="W5862" s="35" t="inlineStr"/>
      <c r="X5862" s="35" t="inlineStr"/>
    </row>
    <row r="5863" ht="41.25" customHeight="1" s="24">
      <c r="A5863" s="13" t="n">
        <v>5000106030</v>
      </c>
      <c r="B5863" s="13" t="inlineStr">
        <is>
          <t>Управление капитального строительства администрации городского округа Солнечногорск Московской области</t>
        </is>
      </c>
      <c r="C5863" s="13" t="n">
        <v>5044141738</v>
      </c>
      <c r="D5863" s="13" t="inlineStr">
        <is>
          <t>5044141738</t>
        </is>
      </c>
      <c r="E5863" s="13" t="inlineStr">
        <is>
          <t>ЮЛ РФ</t>
        </is>
      </c>
      <c r="F5863" s="13" t="n"/>
      <c r="G5863" s="14" t="n"/>
      <c r="H5863" s="14" t="n"/>
      <c r="I5863" s="14" t="n"/>
      <c r="J5863" s="14" t="n"/>
      <c r="K5863" s="53" t="inlineStr"/>
      <c r="L5863" s="53" t="inlineStr">
        <is>
          <t>Не определено</t>
        </is>
      </c>
      <c r="M5863" s="53" t="inlineStr"/>
      <c r="N5863" s="54" t="inlineStr"/>
      <c r="O5863" s="55" t="inlineStr"/>
      <c r="P5863" s="16" t="inlineStr">
        <is>
          <t>Требует обогащения</t>
        </is>
      </c>
      <c r="Q5863" s="16">
        <f>HYPERLINK("https://pb.nalog.ru/search.html?query=5044141738","ФНС: проверить")</f>
        <v/>
      </c>
      <c r="R5863" s="16">
        <f>HYPERLINK("https://checko.ru/search?query=3801001629","Чекко: проверить")</f>
        <v/>
      </c>
      <c r="S5863" t="n">
        <v>1</v>
      </c>
      <c r="T5863" s="35" t="inlineStr">
        <is>
          <t>4 — Не обогащён</t>
        </is>
      </c>
      <c r="U5863" s="35" t="inlineStr">
        <is>
          <t>Нет ОКВЭД/ССЧР</t>
        </is>
      </c>
      <c r="V5863" s="35" t="inlineStr">
        <is>
          <t>Не определено</t>
        </is>
      </c>
      <c r="W5863" s="35" t="inlineStr"/>
      <c r="X5863" s="35" t="inlineStr"/>
    </row>
    <row r="5864" ht="27.75" customHeight="1" s="24">
      <c r="A5864" s="13" t="n">
        <v>5000081569</v>
      </c>
      <c r="B5864" s="13" t="inlineStr">
        <is>
          <t>МОУ средняя общеобразовательная школа № 5 г. Иркутска</t>
        </is>
      </c>
      <c r="C5864" s="13" t="n">
        <v>3812008055</v>
      </c>
      <c r="D5864" s="13" t="inlineStr">
        <is>
          <t>3812008055</t>
        </is>
      </c>
      <c r="E5864" s="13" t="inlineStr">
        <is>
          <t>ЮЛ РФ</t>
        </is>
      </c>
      <c r="F5864" s="13" t="n"/>
      <c r="G5864" s="14" t="n"/>
      <c r="H5864" s="14" t="n"/>
      <c r="I5864" s="14" t="n"/>
      <c r="J5864" s="14" t="n"/>
      <c r="K5864" s="53" t="inlineStr"/>
      <c r="L5864" s="53" t="inlineStr">
        <is>
          <t>Не определено</t>
        </is>
      </c>
      <c r="M5864" s="53" t="inlineStr"/>
      <c r="N5864" s="54" t="inlineStr"/>
      <c r="O5864" s="55" t="inlineStr"/>
      <c r="P5864" s="16" t="inlineStr">
        <is>
          <t>Требует обогащения</t>
        </is>
      </c>
      <c r="Q5864" s="16">
        <f>HYPERLINK("https://pb.nalog.ru/search.html?query=3812008055","ФНС: проверить")</f>
        <v/>
      </c>
      <c r="R5864" s="16">
        <f>HYPERLINK("https://checko.ru/search?query=3801001629","Чекко: проверить")</f>
        <v/>
      </c>
      <c r="S5864" t="n">
        <v>1</v>
      </c>
      <c r="T5864" s="35" t="inlineStr">
        <is>
          <t>4 — Не обогащён</t>
        </is>
      </c>
      <c r="U5864" s="35" t="inlineStr">
        <is>
          <t>Нет ОКВЭД/ССЧР</t>
        </is>
      </c>
      <c r="V5864" s="35" t="inlineStr">
        <is>
          <t>Не определено</t>
        </is>
      </c>
      <c r="W5864" s="35" t="inlineStr"/>
      <c r="X5864" s="35" t="inlineStr"/>
    </row>
    <row r="5865" ht="27.75" customHeight="1" s="24">
      <c r="A5865" s="13" t="n">
        <v>5000067253</v>
      </c>
      <c r="B5865" s="13" t="inlineStr">
        <is>
          <t>Министерство экономического развития Забайкальского края</t>
        </is>
      </c>
      <c r="C5865" s="13" t="n">
        <v>7536095303</v>
      </c>
      <c r="D5865" s="13" t="inlineStr">
        <is>
          <t>7536095303</t>
        </is>
      </c>
      <c r="E5865" s="13" t="inlineStr">
        <is>
          <t>ЮЛ РФ</t>
        </is>
      </c>
      <c r="F5865" s="13" t="n"/>
      <c r="G5865" s="14" t="n"/>
      <c r="H5865" s="14" t="n"/>
      <c r="I5865" s="14" t="n"/>
      <c r="J5865" s="14" t="n"/>
      <c r="K5865" s="53" t="inlineStr"/>
      <c r="L5865" s="53" t="inlineStr">
        <is>
          <t>Не определено</t>
        </is>
      </c>
      <c r="M5865" s="53" t="inlineStr"/>
      <c r="N5865" s="54" t="inlineStr"/>
      <c r="O5865" s="55" t="inlineStr"/>
      <c r="P5865" s="16" t="inlineStr">
        <is>
          <t>Требует обогащения</t>
        </is>
      </c>
      <c r="Q5865" s="16">
        <f>HYPERLINK("https://pb.nalog.ru/search.html?query=7536095303","ФНС: проверить")</f>
        <v/>
      </c>
      <c r="R5865" s="16">
        <f>HYPERLINK("https://checko.ru/search?query=3801001629","Чекко: проверить")</f>
        <v/>
      </c>
      <c r="S5865" t="n">
        <v>1</v>
      </c>
      <c r="T5865" s="35" t="inlineStr">
        <is>
          <t>4 — Не обогащён</t>
        </is>
      </c>
      <c r="U5865" s="35" t="inlineStr">
        <is>
          <t>Нет ОКВЭД/ССЧР</t>
        </is>
      </c>
      <c r="V5865" s="35" t="inlineStr">
        <is>
          <t>Не определено</t>
        </is>
      </c>
      <c r="W5865" s="35" t="inlineStr"/>
      <c r="X5865" s="35" t="inlineStr"/>
    </row>
    <row r="5866" ht="27.75" customHeight="1" s="24">
      <c r="A5866" s="13" t="n">
        <v>5000046113</v>
      </c>
      <c r="B5866" s="13" t="inlineStr">
        <is>
          <t>МБОУ г. Иркутска средняя общеобразовательная школа № 46</t>
        </is>
      </c>
      <c r="C5866" s="13" t="n">
        <v>3812135705</v>
      </c>
      <c r="D5866" s="13" t="inlineStr">
        <is>
          <t>3812135705</t>
        </is>
      </c>
      <c r="E5866" s="13" t="inlineStr">
        <is>
          <t>ЮЛ РФ</t>
        </is>
      </c>
      <c r="F5866" s="13" t="n"/>
      <c r="G5866" s="14" t="n"/>
      <c r="H5866" s="14" t="n"/>
      <c r="I5866" s="14" t="n"/>
      <c r="J5866" s="14" t="n"/>
      <c r="K5866" s="53" t="inlineStr"/>
      <c r="L5866" s="53" t="inlineStr">
        <is>
          <t>Не определено</t>
        </is>
      </c>
      <c r="M5866" s="53" t="inlineStr"/>
      <c r="N5866" s="54" t="inlineStr"/>
      <c r="O5866" s="55" t="inlineStr"/>
      <c r="P5866" s="16" t="inlineStr">
        <is>
          <t>Требует обогащения</t>
        </is>
      </c>
      <c r="Q5866" s="16">
        <f>HYPERLINK("https://pb.nalog.ru/search.html?query=3812135705","ФНС: проверить")</f>
        <v/>
      </c>
      <c r="R5866" s="16">
        <f>HYPERLINK("https://checko.ru/search?query=3801001629","Чекко: проверить")</f>
        <v/>
      </c>
      <c r="S5866" t="n">
        <v>1</v>
      </c>
      <c r="T5866" s="35" t="inlineStr">
        <is>
          <t>4 — Не обогащён</t>
        </is>
      </c>
      <c r="U5866" s="35" t="inlineStr">
        <is>
          <t>Нет ОКВЭД/ССЧР</t>
        </is>
      </c>
      <c r="V5866" s="35" t="inlineStr">
        <is>
          <t>Не определено</t>
        </is>
      </c>
      <c r="W5866" s="35" t="inlineStr"/>
      <c r="X5866" s="35" t="inlineStr"/>
    </row>
    <row r="5867" ht="27.75" customHeight="1" s="24">
      <c r="A5867" s="13" t="n">
        <v>5000081577</v>
      </c>
      <c r="B5867" s="13" t="inlineStr">
        <is>
          <t>МБОУ ДОД "Детско-юношеская спортивная школа №5" г. Иркутска</t>
        </is>
      </c>
      <c r="C5867" s="13" t="n">
        <v>3812007830</v>
      </c>
      <c r="D5867" s="13" t="inlineStr">
        <is>
          <t>3812007830</t>
        </is>
      </c>
      <c r="E5867" s="13" t="inlineStr">
        <is>
          <t>ЮЛ РФ</t>
        </is>
      </c>
      <c r="F5867" s="13" t="n"/>
      <c r="G5867" s="14" t="n"/>
      <c r="H5867" s="14" t="n"/>
      <c r="I5867" s="14" t="n"/>
      <c r="J5867" s="14" t="n"/>
      <c r="K5867" s="53" t="inlineStr"/>
      <c r="L5867" s="53" t="inlineStr">
        <is>
          <t>Не определено</t>
        </is>
      </c>
      <c r="M5867" s="53" t="inlineStr"/>
      <c r="N5867" s="54" t="inlineStr"/>
      <c r="O5867" s="55" t="inlineStr"/>
      <c r="P5867" s="16" t="inlineStr">
        <is>
          <t>Требует обогащения</t>
        </is>
      </c>
      <c r="Q5867" s="16">
        <f>HYPERLINK("https://pb.nalog.ru/search.html?query=3812007830","ФНС: проверить")</f>
        <v/>
      </c>
      <c r="R5867" s="16">
        <f>HYPERLINK("https://checko.ru/search?query=3801001629","Чекко: проверить")</f>
        <v/>
      </c>
      <c r="S5867" t="n">
        <v>1</v>
      </c>
      <c r="T5867" s="35" t="inlineStr">
        <is>
          <t>4 — Не обогащён</t>
        </is>
      </c>
      <c r="U5867" s="35" t="inlineStr">
        <is>
          <t>Нет ОКВЭД/ССЧР</t>
        </is>
      </c>
      <c r="V5867" s="35" t="inlineStr">
        <is>
          <t>Не определено</t>
        </is>
      </c>
      <c r="W5867" s="35" t="inlineStr"/>
      <c r="X5867" s="35" t="inlineStr"/>
    </row>
    <row r="5868" ht="15" customHeight="1" s="24">
      <c r="A5868" s="13" t="n">
        <v>5000055975</v>
      </c>
      <c r="B5868" s="13" t="inlineStr">
        <is>
          <t>МБУК КДЦ "Тимоново"</t>
        </is>
      </c>
      <c r="C5868" s="13" t="n">
        <v>5044099116</v>
      </c>
      <c r="D5868" s="13" t="inlineStr">
        <is>
          <t>5044099116</t>
        </is>
      </c>
      <c r="E5868" s="13" t="inlineStr">
        <is>
          <t>ЮЛ РФ</t>
        </is>
      </c>
      <c r="F5868" s="13" t="n"/>
      <c r="G5868" s="14" t="n"/>
      <c r="H5868" s="14" t="n"/>
      <c r="I5868" s="14" t="n"/>
      <c r="J5868" s="14" t="n"/>
      <c r="K5868" s="53" t="inlineStr"/>
      <c r="L5868" s="53" t="inlineStr">
        <is>
          <t>Не определено</t>
        </is>
      </c>
      <c r="M5868" s="53" t="inlineStr"/>
      <c r="N5868" s="54" t="inlineStr"/>
      <c r="O5868" s="55" t="inlineStr"/>
      <c r="P5868" s="16" t="inlineStr">
        <is>
          <t>Требует обогащения</t>
        </is>
      </c>
      <c r="Q5868" s="16">
        <f>HYPERLINK("https://pb.nalog.ru/search.html?query=5044099116","ФНС: проверить")</f>
        <v/>
      </c>
      <c r="R5868" s="16">
        <f>HYPERLINK("https://checko.ru/search?query=3801001629","Чекко: проверить")</f>
        <v/>
      </c>
      <c r="S5868" t="n">
        <v>1</v>
      </c>
      <c r="T5868" s="35" t="inlineStr">
        <is>
          <t>4 — Не обогащён</t>
        </is>
      </c>
      <c r="U5868" s="35" t="inlineStr">
        <is>
          <t>Нет ОКВЭД/ССЧР</t>
        </is>
      </c>
      <c r="V5868" s="35" t="inlineStr">
        <is>
          <t>Не определено</t>
        </is>
      </c>
      <c r="W5868" s="35" t="inlineStr"/>
      <c r="X5868" s="35" t="inlineStr"/>
    </row>
    <row r="5869" ht="15" customHeight="1" s="24">
      <c r="A5869" s="13" t="n">
        <v>5000106708</v>
      </c>
      <c r="B5869" s="13" t="inlineStr">
        <is>
          <t>Министерство строительства Камчатского края</t>
        </is>
      </c>
      <c r="C5869" s="13" t="n">
        <v>4101121016</v>
      </c>
      <c r="D5869" s="13" t="inlineStr">
        <is>
          <t>4101121016</t>
        </is>
      </c>
      <c r="E5869" s="13" t="inlineStr">
        <is>
          <t>ЮЛ РФ</t>
        </is>
      </c>
      <c r="F5869" s="13" t="n"/>
      <c r="G5869" s="14" t="n"/>
      <c r="H5869" s="14" t="n"/>
      <c r="I5869" s="14" t="n"/>
      <c r="J5869" s="14" t="n"/>
      <c r="K5869" s="53" t="inlineStr"/>
      <c r="L5869" s="53" t="inlineStr">
        <is>
          <t>Не определено</t>
        </is>
      </c>
      <c r="M5869" s="53" t="inlineStr"/>
      <c r="N5869" s="54" t="inlineStr"/>
      <c r="O5869" s="55" t="inlineStr"/>
      <c r="P5869" s="16" t="inlineStr">
        <is>
          <t>Требует обогащения</t>
        </is>
      </c>
      <c r="Q5869" s="16">
        <f>HYPERLINK("https://pb.nalog.ru/search.html?query=4101121016","ФНС: проверить")</f>
        <v/>
      </c>
      <c r="R5869" s="16">
        <f>HYPERLINK("https://checko.ru/search?query=3801001629","Чекко: проверить")</f>
        <v/>
      </c>
      <c r="S5869" t="n">
        <v>1</v>
      </c>
      <c r="T5869" s="35" t="inlineStr">
        <is>
          <t>4 — Не обогащён</t>
        </is>
      </c>
      <c r="U5869" s="35" t="inlineStr">
        <is>
          <t>Нет ОКВЭД/ССЧР</t>
        </is>
      </c>
      <c r="V5869" s="35" t="inlineStr">
        <is>
          <t>Не определено</t>
        </is>
      </c>
      <c r="W5869" s="35" t="inlineStr"/>
      <c r="X5869" s="35" t="inlineStr"/>
    </row>
    <row r="5870" ht="27.75" customHeight="1" s="24">
      <c r="A5870" s="13" t="n">
        <v>5000081609</v>
      </c>
      <c r="B5870" s="13" t="inlineStr">
        <is>
          <t>МБОУ Г. ИРКУТСКА СОШ С УГЛУБЛЕННЫМ ИЗУЧЕНИЕМ ОТДЕЛЬНЫХ ПРЕДМЕТОВ №14</t>
        </is>
      </c>
      <c r="C5870" s="13" t="n">
        <v>3811055655</v>
      </c>
      <c r="D5870" s="13" t="inlineStr">
        <is>
          <t>3811055655</t>
        </is>
      </c>
      <c r="E5870" s="13" t="inlineStr">
        <is>
          <t>ЮЛ РФ</t>
        </is>
      </c>
      <c r="F5870" s="13" t="n"/>
      <c r="G5870" s="14" t="n"/>
      <c r="H5870" s="14" t="n"/>
      <c r="I5870" s="14" t="n"/>
      <c r="J5870" s="14" t="n"/>
      <c r="K5870" s="53" t="inlineStr"/>
      <c r="L5870" s="53" t="inlineStr">
        <is>
          <t>Не определено</t>
        </is>
      </c>
      <c r="M5870" s="53" t="inlineStr"/>
      <c r="N5870" s="54" t="inlineStr"/>
      <c r="O5870" s="55" t="inlineStr"/>
      <c r="P5870" s="16" t="inlineStr">
        <is>
          <t>Требует обогащения</t>
        </is>
      </c>
      <c r="Q5870" s="16">
        <f>HYPERLINK("https://pb.nalog.ru/search.html?query=3811055655","ФНС: проверить")</f>
        <v/>
      </c>
      <c r="R5870" s="16">
        <f>HYPERLINK("https://checko.ru/search?query=3801001629","Чекко: проверить")</f>
        <v/>
      </c>
      <c r="S5870" t="n">
        <v>1</v>
      </c>
      <c r="T5870" s="35" t="inlineStr">
        <is>
          <t>4 — Не обогащён</t>
        </is>
      </c>
      <c r="U5870" s="35" t="inlineStr">
        <is>
          <t>Нет ОКВЭД/ССЧР</t>
        </is>
      </c>
      <c r="V5870" s="35" t="inlineStr">
        <is>
          <t>Не определено</t>
        </is>
      </c>
      <c r="W5870" s="35" t="inlineStr"/>
      <c r="X5870" s="35" t="inlineStr"/>
    </row>
    <row r="5871" ht="15" customHeight="1" s="24">
      <c r="A5871" s="13" t="n">
        <v>5000085876</v>
      </c>
      <c r="B5871" s="13" t="inlineStr">
        <is>
          <t>МБУДО г. Иркутска ДДТ №3</t>
        </is>
      </c>
      <c r="C5871" s="13" t="n">
        <v>3812008513</v>
      </c>
      <c r="D5871" s="13" t="inlineStr">
        <is>
          <t>3812008513</t>
        </is>
      </c>
      <c r="E5871" s="13" t="inlineStr">
        <is>
          <t>ЮЛ РФ</t>
        </is>
      </c>
      <c r="F5871" s="13" t="n"/>
      <c r="G5871" s="14" t="n"/>
      <c r="H5871" s="14" t="n"/>
      <c r="I5871" s="14" t="n"/>
      <c r="J5871" s="14" t="n"/>
      <c r="K5871" s="53" t="inlineStr"/>
      <c r="L5871" s="53" t="inlineStr">
        <is>
          <t>Не определено</t>
        </is>
      </c>
      <c r="M5871" s="53" t="inlineStr"/>
      <c r="N5871" s="54" t="inlineStr"/>
      <c r="O5871" s="55" t="inlineStr"/>
      <c r="P5871" s="16" t="inlineStr">
        <is>
          <t>Требует обогащения</t>
        </is>
      </c>
      <c r="Q5871" s="16">
        <f>HYPERLINK("https://pb.nalog.ru/search.html?query=3812008513","ФНС: проверить")</f>
        <v/>
      </c>
      <c r="R5871" s="16">
        <f>HYPERLINK("https://checko.ru/search?query=3801001629","Чекко: проверить")</f>
        <v/>
      </c>
      <c r="S5871" t="n">
        <v>1</v>
      </c>
      <c r="T5871" s="35" t="inlineStr">
        <is>
          <t>4 — Не обогащён</t>
        </is>
      </c>
      <c r="U5871" s="35" t="inlineStr">
        <is>
          <t>Нет ОКВЭД/ССЧР</t>
        </is>
      </c>
      <c r="V5871" s="35" t="inlineStr">
        <is>
          <t>Не определено</t>
        </is>
      </c>
      <c r="W5871" s="35" t="inlineStr"/>
      <c r="X5871" s="35" t="inlineStr"/>
    </row>
    <row r="5872" ht="15" customHeight="1" s="24">
      <c r="A5872" s="13" t="n">
        <v>5000055972</v>
      </c>
      <c r="B5872" s="13" t="inlineStr">
        <is>
          <t>МБУК "Городской парк культуры и отдыха"</t>
        </is>
      </c>
      <c r="C5872" s="13" t="n">
        <v>5044067989</v>
      </c>
      <c r="D5872" s="13" t="inlineStr">
        <is>
          <t>5044067989</t>
        </is>
      </c>
      <c r="E5872" s="13" t="inlineStr">
        <is>
          <t>ЮЛ РФ</t>
        </is>
      </c>
      <c r="F5872" s="13" t="n"/>
      <c r="G5872" s="14" t="n"/>
      <c r="H5872" s="14" t="n"/>
      <c r="I5872" s="14" t="n"/>
      <c r="J5872" s="14" t="n"/>
      <c r="K5872" s="53" t="inlineStr"/>
      <c r="L5872" s="53" t="inlineStr">
        <is>
          <t>Не определено</t>
        </is>
      </c>
      <c r="M5872" s="53" t="inlineStr"/>
      <c r="N5872" s="54" t="inlineStr"/>
      <c r="O5872" s="55" t="inlineStr"/>
      <c r="P5872" s="16" t="inlineStr">
        <is>
          <t>Требует обогащения</t>
        </is>
      </c>
      <c r="Q5872" s="16">
        <f>HYPERLINK("https://pb.nalog.ru/search.html?query=5044067989","ФНС: проверить")</f>
        <v/>
      </c>
      <c r="R5872" s="16">
        <f>HYPERLINK("https://checko.ru/search?query=3801001629","Чекко: проверить")</f>
        <v/>
      </c>
      <c r="S5872" t="n">
        <v>1</v>
      </c>
      <c r="T5872" s="35" t="inlineStr">
        <is>
          <t>4 — Не обогащён</t>
        </is>
      </c>
      <c r="U5872" s="35" t="inlineStr">
        <is>
          <t>Нет ОКВЭД/ССЧР</t>
        </is>
      </c>
      <c r="V5872" s="35" t="inlineStr">
        <is>
          <t>Не определено</t>
        </is>
      </c>
      <c r="W5872" s="35" t="inlineStr"/>
      <c r="X5872" s="35" t="inlineStr"/>
    </row>
    <row r="5873" ht="15" customHeight="1" s="24">
      <c r="A5873" s="13" t="n">
        <v>5000055973</v>
      </c>
      <c r="B5873" s="13" t="inlineStr">
        <is>
          <t>МБУК "Театр "Галатея"</t>
        </is>
      </c>
      <c r="C5873" s="13" t="n">
        <v>5044068069</v>
      </c>
      <c r="D5873" s="13" t="inlineStr">
        <is>
          <t>5044068069</t>
        </is>
      </c>
      <c r="E5873" s="13" t="inlineStr">
        <is>
          <t>ЮЛ РФ</t>
        </is>
      </c>
      <c r="F5873" s="13" t="n"/>
      <c r="G5873" s="14" t="n"/>
      <c r="H5873" s="14" t="n"/>
      <c r="I5873" s="14" t="n"/>
      <c r="J5873" s="14" t="n"/>
      <c r="K5873" s="53" t="inlineStr"/>
      <c r="L5873" s="53" t="inlineStr">
        <is>
          <t>Не определено</t>
        </is>
      </c>
      <c r="M5873" s="53" t="inlineStr"/>
      <c r="N5873" s="54" t="inlineStr"/>
      <c r="O5873" s="55" t="inlineStr"/>
      <c r="P5873" s="16" t="inlineStr">
        <is>
          <t>Требует обогащения</t>
        </is>
      </c>
      <c r="Q5873" s="16">
        <f>HYPERLINK("https://pb.nalog.ru/search.html?query=5044068069","ФНС: проверить")</f>
        <v/>
      </c>
      <c r="R5873" s="16">
        <f>HYPERLINK("https://checko.ru/search?query=3801001629","Чекко: проверить")</f>
        <v/>
      </c>
      <c r="S5873" t="n">
        <v>1</v>
      </c>
      <c r="T5873" s="35" t="inlineStr">
        <is>
          <t>4 — Не обогащён</t>
        </is>
      </c>
      <c r="U5873" s="35" t="inlineStr">
        <is>
          <t>Нет ОКВЭД/ССЧР</t>
        </is>
      </c>
      <c r="V5873" s="35" t="inlineStr">
        <is>
          <t>Не определено</t>
        </is>
      </c>
      <c r="W5873" s="35" t="inlineStr"/>
      <c r="X5873" s="35" t="inlineStr"/>
    </row>
    <row r="5874" ht="27.75" customHeight="1" s="24">
      <c r="A5874" s="13" t="n">
        <v>5000055969</v>
      </c>
      <c r="B5874" s="13" t="inlineStr">
        <is>
          <t>МБУК "Городской центр народного творчества и досуга "Лепсе"</t>
        </is>
      </c>
      <c r="C5874" s="13" t="n">
        <v>5044068372</v>
      </c>
      <c r="D5874" s="13" t="inlineStr">
        <is>
          <t>5044068372</t>
        </is>
      </c>
      <c r="E5874" s="13" t="inlineStr">
        <is>
          <t>ЮЛ РФ</t>
        </is>
      </c>
      <c r="F5874" s="13" t="n"/>
      <c r="G5874" s="14" t="n"/>
      <c r="H5874" s="14" t="n"/>
      <c r="I5874" s="14" t="n"/>
      <c r="J5874" s="14" t="n"/>
      <c r="K5874" s="53" t="inlineStr"/>
      <c r="L5874" s="53" t="inlineStr">
        <is>
          <t>Не определено</t>
        </is>
      </c>
      <c r="M5874" s="53" t="inlineStr"/>
      <c r="N5874" s="54" t="inlineStr"/>
      <c r="O5874" s="55" t="inlineStr"/>
      <c r="P5874" s="16" t="inlineStr">
        <is>
          <t>Требует обогащения</t>
        </is>
      </c>
      <c r="Q5874" s="16">
        <f>HYPERLINK("https://pb.nalog.ru/search.html?query=5044068372","ФНС: проверить")</f>
        <v/>
      </c>
      <c r="R5874" s="16">
        <f>HYPERLINK("https://checko.ru/search?query=3801001629","Чекко: проверить")</f>
        <v/>
      </c>
      <c r="S5874" t="n">
        <v>1</v>
      </c>
      <c r="T5874" s="35" t="inlineStr">
        <is>
          <t>4 — Не обогащён</t>
        </is>
      </c>
      <c r="U5874" s="35" t="inlineStr">
        <is>
          <t>Нет ОКВЭД/ССЧР</t>
        </is>
      </c>
      <c r="V5874" s="35" t="inlineStr">
        <is>
          <t>Не определено</t>
        </is>
      </c>
      <c r="W5874" s="35" t="inlineStr"/>
      <c r="X5874" s="35" t="inlineStr"/>
    </row>
    <row r="5875" ht="15" customHeight="1" s="24">
      <c r="A5875" s="13" t="n">
        <v>5000055970</v>
      </c>
      <c r="B5875" s="13" t="inlineStr">
        <is>
          <t>МУ МВЦ "Путевой Дворец"</t>
        </is>
      </c>
      <c r="C5875" s="13" t="n">
        <v>5044052090</v>
      </c>
      <c r="D5875" s="13" t="inlineStr">
        <is>
          <t>5044052090</t>
        </is>
      </c>
      <c r="E5875" s="13" t="inlineStr">
        <is>
          <t>ЮЛ РФ</t>
        </is>
      </c>
      <c r="F5875" s="13" t="n"/>
      <c r="G5875" s="14" t="n"/>
      <c r="H5875" s="14" t="n"/>
      <c r="I5875" s="14" t="n"/>
      <c r="J5875" s="14" t="n"/>
      <c r="K5875" s="53" t="inlineStr"/>
      <c r="L5875" s="53" t="inlineStr">
        <is>
          <t>Не определено</t>
        </is>
      </c>
      <c r="M5875" s="53" t="inlineStr"/>
      <c r="N5875" s="54" t="inlineStr"/>
      <c r="O5875" s="55" t="inlineStr"/>
      <c r="P5875" s="16" t="inlineStr">
        <is>
          <t>Требует обогащения</t>
        </is>
      </c>
      <c r="Q5875" s="16">
        <f>HYPERLINK("https://pb.nalog.ru/search.html?query=5044052090","ФНС: проверить")</f>
        <v/>
      </c>
      <c r="R5875" s="16">
        <f>HYPERLINK("https://checko.ru/search?query=3801001629","Чекко: проверить")</f>
        <v/>
      </c>
      <c r="S5875" t="n">
        <v>1</v>
      </c>
      <c r="T5875" s="35" t="inlineStr">
        <is>
          <t>4 — Не обогащён</t>
        </is>
      </c>
      <c r="U5875" s="35" t="inlineStr">
        <is>
          <t>Нет ОКВЭД/ССЧР</t>
        </is>
      </c>
      <c r="V5875" s="35" t="inlineStr">
        <is>
          <t>Не определено</t>
        </is>
      </c>
      <c r="W5875" s="35" t="inlineStr"/>
      <c r="X5875" s="35" t="inlineStr"/>
    </row>
    <row r="5876" ht="15" customHeight="1" s="24">
      <c r="A5876" s="13" t="n">
        <v>5000055976</v>
      </c>
      <c r="B5876" s="13" t="inlineStr">
        <is>
          <t>МБУ "СК "Металлург"</t>
        </is>
      </c>
      <c r="C5876" s="13" t="n">
        <v>5044063751</v>
      </c>
      <c r="D5876" s="13" t="inlineStr">
        <is>
          <t>5044063751</t>
        </is>
      </c>
      <c r="E5876" s="13" t="inlineStr">
        <is>
          <t>ЮЛ РФ</t>
        </is>
      </c>
      <c r="F5876" s="13" t="n"/>
      <c r="G5876" s="14" t="n"/>
      <c r="H5876" s="14" t="n"/>
      <c r="I5876" s="14" t="n"/>
      <c r="J5876" s="14" t="n"/>
      <c r="K5876" s="53" t="inlineStr"/>
      <c r="L5876" s="53" t="inlineStr">
        <is>
          <t>Не определено</t>
        </is>
      </c>
      <c r="M5876" s="53" t="inlineStr"/>
      <c r="N5876" s="54" t="inlineStr"/>
      <c r="O5876" s="55" t="inlineStr"/>
      <c r="P5876" s="16" t="inlineStr">
        <is>
          <t>Требует обогащения</t>
        </is>
      </c>
      <c r="Q5876" s="16">
        <f>HYPERLINK("https://pb.nalog.ru/search.html?query=5044063751","ФНС: проверить")</f>
        <v/>
      </c>
      <c r="R5876" s="16">
        <f>HYPERLINK("https://checko.ru/search?query=3801001629","Чекко: проверить")</f>
        <v/>
      </c>
      <c r="S5876" t="n">
        <v>1</v>
      </c>
      <c r="T5876" s="35" t="inlineStr">
        <is>
          <t>4 — Не обогащён</t>
        </is>
      </c>
      <c r="U5876" s="35" t="inlineStr">
        <is>
          <t>Нет ОКВЭД/ССЧР</t>
        </is>
      </c>
      <c r="V5876" s="35" t="inlineStr">
        <is>
          <t>Не определено</t>
        </is>
      </c>
      <c r="W5876" s="35" t="inlineStr"/>
      <c r="X5876" s="35" t="inlineStr"/>
    </row>
    <row r="5877" ht="27.75" customHeight="1" s="24">
      <c r="A5877" s="13" t="n">
        <v>5000080647</v>
      </c>
      <c r="B5877" s="13" t="inlineStr">
        <is>
          <t>АУ "МЕДИА-ЦЕНТР ОРЕХОВО-ЗУЕВСКОГО ГОРОДСКОГО ОКРУГА МОСКОВСКОЙ ОБЛАСТИ"</t>
        </is>
      </c>
      <c r="C5877" s="13" t="n">
        <v>5034038795</v>
      </c>
      <c r="D5877" s="13" t="inlineStr">
        <is>
          <t>5034038795</t>
        </is>
      </c>
      <c r="E5877" s="13" t="inlineStr">
        <is>
          <t>ЮЛ РФ</t>
        </is>
      </c>
      <c r="F5877" s="13" t="n"/>
      <c r="G5877" s="14" t="n"/>
      <c r="H5877" s="14" t="n"/>
      <c r="I5877" s="14" t="n"/>
      <c r="J5877" s="14" t="n"/>
      <c r="K5877" s="53" t="inlineStr"/>
      <c r="L5877" s="53" t="inlineStr">
        <is>
          <t>Не определено</t>
        </is>
      </c>
      <c r="M5877" s="53" t="inlineStr"/>
      <c r="N5877" s="54" t="inlineStr"/>
      <c r="O5877" s="55" t="inlineStr"/>
      <c r="P5877" s="16" t="inlineStr">
        <is>
          <t>Требует обогащения</t>
        </is>
      </c>
      <c r="Q5877" s="16">
        <f>HYPERLINK("https://pb.nalog.ru/search.html?query=5034038795","ФНС: проверить")</f>
        <v/>
      </c>
      <c r="R5877" s="16">
        <f>HYPERLINK("https://checko.ru/search?query=3801001629","Чекко: проверить")</f>
        <v/>
      </c>
      <c r="S5877" t="n">
        <v>1</v>
      </c>
      <c r="T5877" s="35" t="inlineStr">
        <is>
          <t>4 — Не обогащён</t>
        </is>
      </c>
      <c r="U5877" s="35" t="inlineStr">
        <is>
          <t>Нет ОКВЭД/ССЧР</t>
        </is>
      </c>
      <c r="V5877" s="35" t="inlineStr">
        <is>
          <t>Не определено</t>
        </is>
      </c>
      <c r="W5877" s="35" t="inlineStr"/>
      <c r="X5877" s="35" t="inlineStr"/>
    </row>
    <row r="5878" ht="27.75" customHeight="1" s="24">
      <c r="A5878" s="13" t="n">
        <v>5000111841</v>
      </c>
      <c r="B5878" s="13" t="inlineStr">
        <is>
          <t>Контрольно-счетная палата Солнечногорского муниципального района</t>
        </is>
      </c>
      <c r="C5878" s="13" t="n">
        <v>5044074016</v>
      </c>
      <c r="D5878" s="13" t="inlineStr">
        <is>
          <t>5044074016</t>
        </is>
      </c>
      <c r="E5878" s="13" t="inlineStr">
        <is>
          <t>ЮЛ РФ</t>
        </is>
      </c>
      <c r="F5878" s="13" t="n"/>
      <c r="G5878" s="14" t="n"/>
      <c r="H5878" s="14" t="n"/>
      <c r="I5878" s="14" t="n"/>
      <c r="J5878" s="14" t="n"/>
      <c r="K5878" s="53" t="inlineStr"/>
      <c r="L5878" s="53" t="inlineStr">
        <is>
          <t>Не определено</t>
        </is>
      </c>
      <c r="M5878" s="53" t="inlineStr"/>
      <c r="N5878" s="54" t="inlineStr"/>
      <c r="O5878" s="55" t="inlineStr"/>
      <c r="P5878" s="16" t="inlineStr">
        <is>
          <t>Требует обогащения</t>
        </is>
      </c>
      <c r="Q5878" s="16">
        <f>HYPERLINK("https://pb.nalog.ru/search.html?query=5044074016","ФНС: проверить")</f>
        <v/>
      </c>
      <c r="R5878" s="16">
        <f>HYPERLINK("https://checko.ru/search?query=3801001629","Чекко: проверить")</f>
        <v/>
      </c>
      <c r="S5878" t="n">
        <v>1</v>
      </c>
      <c r="T5878" s="35" t="inlineStr">
        <is>
          <t>4 — Не обогащён</t>
        </is>
      </c>
      <c r="U5878" s="35" t="inlineStr">
        <is>
          <t>Нет ОКВЭД/ССЧР</t>
        </is>
      </c>
      <c r="V5878" s="35" t="inlineStr">
        <is>
          <t>Не определено</t>
        </is>
      </c>
      <c r="W5878" s="35" t="inlineStr"/>
      <c r="X5878" s="35" t="inlineStr"/>
    </row>
    <row r="5879" ht="15" customHeight="1" s="24">
      <c r="A5879" s="13" t="n">
        <v>5000081614</v>
      </c>
      <c r="B5879" s="13" t="inlineStr">
        <is>
          <t>МБОУ СОШ №32 г.Иркутска</t>
        </is>
      </c>
      <c r="C5879" s="13" t="n">
        <v>3811054933</v>
      </c>
      <c r="D5879" s="13" t="inlineStr">
        <is>
          <t>3811054933</t>
        </is>
      </c>
      <c r="E5879" s="13" t="inlineStr">
        <is>
          <t>ЮЛ РФ</t>
        </is>
      </c>
      <c r="F5879" s="13" t="n"/>
      <c r="G5879" s="14" t="n"/>
      <c r="H5879" s="14" t="n"/>
      <c r="I5879" s="14" t="n"/>
      <c r="J5879" s="14" t="n"/>
      <c r="K5879" s="53" t="inlineStr"/>
      <c r="L5879" s="53" t="inlineStr">
        <is>
          <t>Не определено</t>
        </is>
      </c>
      <c r="M5879" s="53" t="inlineStr"/>
      <c r="N5879" s="54" t="inlineStr"/>
      <c r="O5879" s="55" t="inlineStr"/>
      <c r="P5879" s="16" t="inlineStr">
        <is>
          <t>Требует обогащения</t>
        </is>
      </c>
      <c r="Q5879" s="16">
        <f>HYPERLINK("https://pb.nalog.ru/search.html?query=3811054933","ФНС: проверить")</f>
        <v/>
      </c>
      <c r="R5879" s="16">
        <f>HYPERLINK("https://checko.ru/search?query=3801001629","Чекко: проверить")</f>
        <v/>
      </c>
      <c r="S5879" t="n">
        <v>1</v>
      </c>
      <c r="T5879" s="35" t="inlineStr">
        <is>
          <t>4 — Не обогащён</t>
        </is>
      </c>
      <c r="U5879" s="35" t="inlineStr">
        <is>
          <t>Нет ОКВЭД/ССЧР</t>
        </is>
      </c>
      <c r="V5879" s="35" t="inlineStr">
        <is>
          <t>Не определено</t>
        </is>
      </c>
      <c r="W5879" s="35" t="inlineStr"/>
      <c r="X5879" s="35" t="inlineStr"/>
    </row>
    <row r="5880" ht="15" customHeight="1" s="24">
      <c r="A5880" s="13" t="n">
        <v>5000080604</v>
      </c>
      <c r="B5880" s="13" t="inlineStr">
        <is>
          <t>МОУ ЛИКИНО-ДУЛЁВСКИЙ ЛИЦЕЙ</t>
        </is>
      </c>
      <c r="C5880" s="13" t="n">
        <v>5073008723</v>
      </c>
      <c r="D5880" s="13" t="inlineStr">
        <is>
          <t>5073008723</t>
        </is>
      </c>
      <c r="E5880" s="13" t="inlineStr">
        <is>
          <t>ЮЛ РФ</t>
        </is>
      </c>
      <c r="F5880" s="13" t="n"/>
      <c r="G5880" s="14" t="n"/>
      <c r="H5880" s="14" t="n"/>
      <c r="I5880" s="14" t="n"/>
      <c r="J5880" s="14" t="n"/>
      <c r="K5880" s="53" t="inlineStr"/>
      <c r="L5880" s="53" t="inlineStr">
        <is>
          <t>Не определено</t>
        </is>
      </c>
      <c r="M5880" s="53" t="inlineStr"/>
      <c r="N5880" s="54" t="inlineStr"/>
      <c r="O5880" s="55" t="inlineStr"/>
      <c r="P5880" s="16" t="inlineStr">
        <is>
          <t>Требует обогащения</t>
        </is>
      </c>
      <c r="Q5880" s="16">
        <f>HYPERLINK("https://pb.nalog.ru/search.html?query=5073008723","ФНС: проверить")</f>
        <v/>
      </c>
      <c r="R5880" s="16">
        <f>HYPERLINK("https://checko.ru/search?query=3801001629","Чекко: проверить")</f>
        <v/>
      </c>
      <c r="S5880" t="n">
        <v>1</v>
      </c>
      <c r="T5880" s="35" t="inlineStr">
        <is>
          <t>4 — Не обогащён</t>
        </is>
      </c>
      <c r="U5880" s="35" t="inlineStr">
        <is>
          <t>Нет ОКВЭД/ССЧР</t>
        </is>
      </c>
      <c r="V5880" s="35" t="inlineStr">
        <is>
          <t>Не определено</t>
        </is>
      </c>
      <c r="W5880" s="35" t="inlineStr"/>
      <c r="X5880" s="35" t="inlineStr"/>
    </row>
    <row r="5881" ht="15" customHeight="1" s="24">
      <c r="A5881" s="13" t="n">
        <v>5000067251</v>
      </c>
      <c r="B5881" s="13" t="inlineStr">
        <is>
          <t>КГУ БО «ИНТЕГРА»</t>
        </is>
      </c>
      <c r="C5881" s="13" t="n">
        <v>7536145924</v>
      </c>
      <c r="D5881" s="13" t="inlineStr">
        <is>
          <t>7536145924</t>
        </is>
      </c>
      <c r="E5881" s="13" t="inlineStr">
        <is>
          <t>ЮЛ РФ</t>
        </is>
      </c>
      <c r="F5881" s="13" t="n"/>
      <c r="G5881" s="14" t="n"/>
      <c r="H5881" s="14" t="n"/>
      <c r="I5881" s="14" t="n"/>
      <c r="J5881" s="14" t="n"/>
      <c r="K5881" s="53" t="inlineStr"/>
      <c r="L5881" s="53" t="inlineStr">
        <is>
          <t>Не определено</t>
        </is>
      </c>
      <c r="M5881" s="53" t="inlineStr"/>
      <c r="N5881" s="54" t="inlineStr"/>
      <c r="O5881" s="55" t="inlineStr"/>
      <c r="P5881" s="16" t="inlineStr">
        <is>
          <t>Требует обогащения</t>
        </is>
      </c>
      <c r="Q5881" s="16">
        <f>HYPERLINK("https://pb.nalog.ru/search.html?query=7536145924","ФНС: проверить")</f>
        <v/>
      </c>
      <c r="R5881" s="16">
        <f>HYPERLINK("https://checko.ru/search?query=3801001629","Чекко: проверить")</f>
        <v/>
      </c>
      <c r="S5881" t="n">
        <v>1</v>
      </c>
      <c r="T5881" s="35" t="inlineStr">
        <is>
          <t>4 — Не обогащён</t>
        </is>
      </c>
      <c r="U5881" s="35" t="inlineStr">
        <is>
          <t>Нет ОКВЭД/ССЧР</t>
        </is>
      </c>
      <c r="V5881" s="35" t="inlineStr">
        <is>
          <t>Не определено</t>
        </is>
      </c>
      <c r="W5881" s="35" t="inlineStr"/>
      <c r="X5881" s="35" t="inlineStr"/>
    </row>
    <row r="5882" ht="27.75" customHeight="1" s="24">
      <c r="A5882" s="13" t="n">
        <v>5000077073</v>
      </c>
      <c r="B5882" s="13" t="inlineStr">
        <is>
          <t>ГОУ ДОД "Центр детско-юношеского технического творчества Забайкальского края"</t>
        </is>
      </c>
      <c r="C5882" s="13" t="n">
        <v>7536044644</v>
      </c>
      <c r="D5882" s="13" t="inlineStr">
        <is>
          <t>7536044644</t>
        </is>
      </c>
      <c r="E5882" s="13" t="inlineStr">
        <is>
          <t>ЮЛ РФ</t>
        </is>
      </c>
      <c r="F5882" s="13" t="n"/>
      <c r="G5882" s="14" t="n"/>
      <c r="H5882" s="14" t="n"/>
      <c r="I5882" s="14" t="n"/>
      <c r="J5882" s="14" t="n"/>
      <c r="K5882" s="53" t="inlineStr"/>
      <c r="L5882" s="53" t="inlineStr">
        <is>
          <t>Не определено</t>
        </is>
      </c>
      <c r="M5882" s="53" t="inlineStr"/>
      <c r="N5882" s="54" t="inlineStr"/>
      <c r="O5882" s="55" t="inlineStr"/>
      <c r="P5882" s="16" t="inlineStr">
        <is>
          <t>Требует обогащения</t>
        </is>
      </c>
      <c r="Q5882" s="16">
        <f>HYPERLINK("https://pb.nalog.ru/search.html?query=7536044644","ФНС: проверить")</f>
        <v/>
      </c>
      <c r="R5882" s="16">
        <f>HYPERLINK("https://checko.ru/search?query=3801001629","Чекко: проверить")</f>
        <v/>
      </c>
      <c r="S5882" t="n">
        <v>1</v>
      </c>
      <c r="T5882" s="35" t="inlineStr">
        <is>
          <t>4 — Не обогащён</t>
        </is>
      </c>
      <c r="U5882" s="35" t="inlineStr">
        <is>
          <t>Нет ОКВЭД/ССЧР</t>
        </is>
      </c>
      <c r="V5882" s="35" t="inlineStr">
        <is>
          <t>Не определено</t>
        </is>
      </c>
      <c r="W5882" s="35" t="inlineStr"/>
      <c r="X5882" s="35" t="inlineStr"/>
    </row>
    <row r="5883" ht="54.75" customHeight="1" s="24">
      <c r="A5883" s="13" t="n">
        <v>5000081572</v>
      </c>
      <c r="B5883" s="13" t="inlineStr">
        <is>
          <t>МБОУ ГОРОДА ИРКУТСКА СРЕДНЯЯ ОБЩЕОБРАЗОВАТЕЛЬНАЯ ШКОЛА С УГЛУБЛЁННЫМ ИЗУЧЕНИЕМ ОТДЕЛЬНЫХ ПРЕДМЕТОВ №</t>
        </is>
      </c>
      <c r="C5883" s="13" t="n">
        <v>3812008104</v>
      </c>
      <c r="D5883" s="13" t="inlineStr">
        <is>
          <t>3812008104</t>
        </is>
      </c>
      <c r="E5883" s="13" t="inlineStr">
        <is>
          <t>ЮЛ РФ</t>
        </is>
      </c>
      <c r="F5883" s="13" t="n"/>
      <c r="G5883" s="14" t="n"/>
      <c r="H5883" s="14" t="n"/>
      <c r="I5883" s="14" t="n"/>
      <c r="J5883" s="14" t="n"/>
      <c r="K5883" s="53" t="inlineStr"/>
      <c r="L5883" s="53" t="inlineStr">
        <is>
          <t>Не определено</t>
        </is>
      </c>
      <c r="M5883" s="53" t="inlineStr"/>
      <c r="N5883" s="54" t="inlineStr"/>
      <c r="O5883" s="55" t="inlineStr"/>
      <c r="P5883" s="16" t="inlineStr">
        <is>
          <t>Требует обогащения</t>
        </is>
      </c>
      <c r="Q5883" s="16">
        <f>HYPERLINK("https://pb.nalog.ru/search.html?query=3812008104","ФНС: проверить")</f>
        <v/>
      </c>
      <c r="R5883" s="16">
        <f>HYPERLINK("https://checko.ru/search?query=3801001629","Чекко: проверить")</f>
        <v/>
      </c>
      <c r="S5883" t="n">
        <v>1</v>
      </c>
      <c r="T5883" s="35" t="inlineStr">
        <is>
          <t>4 — Не обогащён</t>
        </is>
      </c>
      <c r="U5883" s="35" t="inlineStr">
        <is>
          <t>Нет ОКВЭД/ССЧР</t>
        </is>
      </c>
      <c r="V5883" s="35" t="inlineStr">
        <is>
          <t>Не определено</t>
        </is>
      </c>
      <c r="W5883" s="35" t="inlineStr"/>
      <c r="X5883" s="35" t="inlineStr"/>
    </row>
    <row r="5884" ht="54.75" customHeight="1" s="24">
      <c r="A5884" s="13" t="n">
        <v>5000077051</v>
      </c>
      <c r="B5884" s="13" t="inlineStr">
        <is>
          <t>Государственное учреждение «Центр материально-технического обеспечения образовательных учреждений Забайкальского края»</t>
        </is>
      </c>
      <c r="C5884" s="13" t="n">
        <v>7534017250</v>
      </c>
      <c r="D5884" s="13" t="inlineStr">
        <is>
          <t>7534017250</t>
        </is>
      </c>
      <c r="E5884" s="13" t="inlineStr">
        <is>
          <t>ЮЛ РФ</t>
        </is>
      </c>
      <c r="F5884" s="13" t="n"/>
      <c r="G5884" s="14" t="n"/>
      <c r="H5884" s="14" t="n"/>
      <c r="I5884" s="14" t="n"/>
      <c r="J5884" s="14" t="n"/>
      <c r="K5884" s="53" t="inlineStr"/>
      <c r="L5884" s="53" t="inlineStr">
        <is>
          <t>Не определено</t>
        </is>
      </c>
      <c r="M5884" s="53" t="inlineStr"/>
      <c r="N5884" s="54" t="inlineStr"/>
      <c r="O5884" s="55" t="inlineStr"/>
      <c r="P5884" s="16" t="inlineStr">
        <is>
          <t>Требует обогащения</t>
        </is>
      </c>
      <c r="Q5884" s="16">
        <f>HYPERLINK("https://pb.nalog.ru/search.html?query=7534017250","ФНС: проверить")</f>
        <v/>
      </c>
      <c r="R5884" s="16">
        <f>HYPERLINK("https://checko.ru/search?query=3801001629","Чекко: проверить")</f>
        <v/>
      </c>
      <c r="S5884" t="n">
        <v>1</v>
      </c>
      <c r="T5884" s="35" t="inlineStr">
        <is>
          <t>4 — Не обогащён</t>
        </is>
      </c>
      <c r="U5884" s="35" t="inlineStr">
        <is>
          <t>Нет ОКВЭД/ССЧР</t>
        </is>
      </c>
      <c r="V5884" s="35" t="inlineStr">
        <is>
          <t>Не определено</t>
        </is>
      </c>
      <c r="W5884" s="35" t="inlineStr"/>
      <c r="X5884" s="35" t="inlineStr"/>
    </row>
    <row r="5885" ht="27.75" customHeight="1" s="24">
      <c r="A5885" s="13" t="n">
        <v>5000067257</v>
      </c>
      <c r="B5885" s="13" t="inlineStr">
        <is>
          <t>Региональная служба по тарифам и ценообразованию Забайкальского к</t>
        </is>
      </c>
      <c r="C5885" s="13" t="n">
        <v>7536095977</v>
      </c>
      <c r="D5885" s="13" t="inlineStr">
        <is>
          <t>7536095977</t>
        </is>
      </c>
      <c r="E5885" s="13" t="inlineStr">
        <is>
          <t>ЮЛ РФ</t>
        </is>
      </c>
      <c r="F5885" s="13" t="n"/>
      <c r="G5885" s="14" t="n"/>
      <c r="H5885" s="14" t="n"/>
      <c r="I5885" s="14" t="n"/>
      <c r="J5885" s="14" t="n"/>
      <c r="K5885" s="53" t="inlineStr"/>
      <c r="L5885" s="53" t="inlineStr">
        <is>
          <t>Не определено</t>
        </is>
      </c>
      <c r="M5885" s="53" t="inlineStr"/>
      <c r="N5885" s="54" t="inlineStr"/>
      <c r="O5885" s="55" t="inlineStr"/>
      <c r="P5885" s="16" t="inlineStr">
        <is>
          <t>Требует обогащения</t>
        </is>
      </c>
      <c r="Q5885" s="16">
        <f>HYPERLINK("https://pb.nalog.ru/search.html?query=7536095977","ФНС: проверить")</f>
        <v/>
      </c>
      <c r="R5885" s="16">
        <f>HYPERLINK("https://checko.ru/search?query=3801001629","Чекко: проверить")</f>
        <v/>
      </c>
      <c r="S5885" t="n">
        <v>1</v>
      </c>
      <c r="T5885" s="35" t="inlineStr">
        <is>
          <t>4 — Не обогащён</t>
        </is>
      </c>
      <c r="U5885" s="35" t="inlineStr">
        <is>
          <t>Нет ОКВЭД/ССЧР</t>
        </is>
      </c>
      <c r="V5885" s="35" t="inlineStr">
        <is>
          <t>Не определено</t>
        </is>
      </c>
      <c r="W5885" s="35" t="inlineStr"/>
      <c r="X5885" s="35" t="inlineStr"/>
    </row>
    <row r="5886" ht="15" customHeight="1" s="24">
      <c r="A5886" s="13" t="n">
        <v>5000061783</v>
      </c>
      <c r="B5886" s="13" t="inlineStr">
        <is>
          <t>Министерство ЖКХ и энергетики Камчатского края</t>
        </is>
      </c>
      <c r="C5886" s="13" t="n">
        <v>4101120936</v>
      </c>
      <c r="D5886" s="13" t="inlineStr">
        <is>
          <t>4101120936</t>
        </is>
      </c>
      <c r="E5886" s="13" t="inlineStr">
        <is>
          <t>ЮЛ РФ</t>
        </is>
      </c>
      <c r="F5886" s="13" t="n"/>
      <c r="G5886" s="14" t="n"/>
      <c r="H5886" s="14" t="n"/>
      <c r="I5886" s="14" t="n"/>
      <c r="J5886" s="14" t="n"/>
      <c r="K5886" s="53" t="inlineStr"/>
      <c r="L5886" s="53" t="inlineStr">
        <is>
          <t>Не определено</t>
        </is>
      </c>
      <c r="M5886" s="53" t="inlineStr"/>
      <c r="N5886" s="54" t="inlineStr"/>
      <c r="O5886" s="55" t="inlineStr"/>
      <c r="P5886" s="16" t="inlineStr">
        <is>
          <t>Требует обогащения</t>
        </is>
      </c>
      <c r="Q5886" s="16">
        <f>HYPERLINK("https://pb.nalog.ru/search.html?query=4101120936","ФНС: проверить")</f>
        <v/>
      </c>
      <c r="R5886" s="16">
        <f>HYPERLINK("https://checko.ru/search?query=3801001629","Чекко: проверить")</f>
        <v/>
      </c>
      <c r="S5886" t="n">
        <v>1</v>
      </c>
      <c r="T5886" s="35" t="inlineStr">
        <is>
          <t>4 — Не обогащён</t>
        </is>
      </c>
      <c r="U5886" s="35" t="inlineStr">
        <is>
          <t>Нет ОКВЭД/ССЧР</t>
        </is>
      </c>
      <c r="V5886" s="35" t="inlineStr">
        <is>
          <t>Не определено</t>
        </is>
      </c>
      <c r="W5886" s="35" t="inlineStr"/>
      <c r="X5886" s="35" t="inlineStr"/>
    </row>
    <row r="5887" ht="27.75" customHeight="1" s="24">
      <c r="A5887" s="13" t="n">
        <v>5000061784</v>
      </c>
      <c r="B5887" s="13" t="inlineStr">
        <is>
          <t>Министерство природных ресурсов и экологии Камчатского края</t>
        </is>
      </c>
      <c r="C5887" s="13" t="n">
        <v>4101120894</v>
      </c>
      <c r="D5887" s="13" t="inlineStr">
        <is>
          <t>4101120894</t>
        </is>
      </c>
      <c r="E5887" s="13" t="inlineStr">
        <is>
          <t>ЮЛ РФ</t>
        </is>
      </c>
      <c r="F5887" s="13" t="n"/>
      <c r="G5887" s="14" t="n"/>
      <c r="H5887" s="14" t="n"/>
      <c r="I5887" s="14" t="n"/>
      <c r="J5887" s="14" t="n"/>
      <c r="K5887" s="53" t="inlineStr"/>
      <c r="L5887" s="53" t="inlineStr">
        <is>
          <t>Не определено</t>
        </is>
      </c>
      <c r="M5887" s="53" t="inlineStr"/>
      <c r="N5887" s="54" t="inlineStr"/>
      <c r="O5887" s="55" t="inlineStr"/>
      <c r="P5887" s="16" t="inlineStr">
        <is>
          <t>Требует обогащения</t>
        </is>
      </c>
      <c r="Q5887" s="16">
        <f>HYPERLINK("https://pb.nalog.ru/search.html?query=4101120894","ФНС: проверить")</f>
        <v/>
      </c>
      <c r="R5887" s="16">
        <f>HYPERLINK("https://checko.ru/search?query=3801001629","Чекко: проверить")</f>
        <v/>
      </c>
      <c r="S5887" t="n">
        <v>1</v>
      </c>
      <c r="T5887" s="35" t="inlineStr">
        <is>
          <t>4 — Не обогащён</t>
        </is>
      </c>
      <c r="U5887" s="35" t="inlineStr">
        <is>
          <t>Нет ОКВЭД/ССЧР</t>
        </is>
      </c>
      <c r="V5887" s="35" t="inlineStr">
        <is>
          <t>Не определено</t>
        </is>
      </c>
      <c r="W5887" s="35" t="inlineStr"/>
      <c r="X5887" s="35" t="inlineStr"/>
    </row>
    <row r="5888" ht="27.75" customHeight="1" s="24">
      <c r="A5888" s="13" t="n">
        <v>5000061785</v>
      </c>
      <c r="B5888" s="13" t="inlineStr">
        <is>
          <t>Министерство транспорта и дорожного строительства Камчатского края</t>
        </is>
      </c>
      <c r="C5888" s="13" t="n">
        <v>4101124338</v>
      </c>
      <c r="D5888" s="13" t="inlineStr">
        <is>
          <t>4101124338</t>
        </is>
      </c>
      <c r="E5888" s="13" t="inlineStr">
        <is>
          <t>ЮЛ РФ</t>
        </is>
      </c>
      <c r="F5888" s="13" t="n"/>
      <c r="G5888" s="14" t="n"/>
      <c r="H5888" s="14" t="n"/>
      <c r="I5888" s="14" t="n"/>
      <c r="J5888" s="14" t="n"/>
      <c r="K5888" s="53" t="inlineStr"/>
      <c r="L5888" s="53" t="inlineStr">
        <is>
          <t>Не определено</t>
        </is>
      </c>
      <c r="M5888" s="53" t="inlineStr"/>
      <c r="N5888" s="54" t="inlineStr"/>
      <c r="O5888" s="55" t="inlineStr"/>
      <c r="P5888" s="16" t="inlineStr">
        <is>
          <t>Требует обогащения</t>
        </is>
      </c>
      <c r="Q5888" s="16">
        <f>HYPERLINK("https://pb.nalog.ru/search.html?query=4101124338","ФНС: проверить")</f>
        <v/>
      </c>
      <c r="R5888" s="16">
        <f>HYPERLINK("https://checko.ru/search?query=3801001629","Чекко: проверить")</f>
        <v/>
      </c>
      <c r="S5888" t="n">
        <v>1</v>
      </c>
      <c r="T5888" s="35" t="inlineStr">
        <is>
          <t>4 — Не обогащён</t>
        </is>
      </c>
      <c r="U5888" s="35" t="inlineStr">
        <is>
          <t>Нет ОКВЭД/ССЧР</t>
        </is>
      </c>
      <c r="V5888" s="35" t="inlineStr">
        <is>
          <t>Не определено</t>
        </is>
      </c>
      <c r="W5888" s="35" t="inlineStr"/>
      <c r="X5888" s="35" t="inlineStr"/>
    </row>
    <row r="5889" ht="27.75" customHeight="1" s="24">
      <c r="A5889" s="13" t="n">
        <v>5000061786</v>
      </c>
      <c r="B5889" s="13" t="inlineStr">
        <is>
          <t>Министерство специальных программ и по делам казачества Камчатского края</t>
        </is>
      </c>
      <c r="C5889" s="13" t="n">
        <v>4101120911</v>
      </c>
      <c r="D5889" s="13" t="inlineStr">
        <is>
          <t>4101120911</t>
        </is>
      </c>
      <c r="E5889" s="13" t="inlineStr">
        <is>
          <t>ЮЛ РФ</t>
        </is>
      </c>
      <c r="F5889" s="13" t="n"/>
      <c r="G5889" s="14" t="n"/>
      <c r="H5889" s="14" t="n"/>
      <c r="I5889" s="14" t="n"/>
      <c r="J5889" s="14" t="n"/>
      <c r="K5889" s="53" t="inlineStr"/>
      <c r="L5889" s="53" t="inlineStr">
        <is>
          <t>Не определено</t>
        </is>
      </c>
      <c r="M5889" s="53" t="inlineStr"/>
      <c r="N5889" s="54" t="inlineStr"/>
      <c r="O5889" s="55" t="inlineStr"/>
      <c r="P5889" s="16" t="inlineStr">
        <is>
          <t>Требует обогащения</t>
        </is>
      </c>
      <c r="Q5889" s="16">
        <f>HYPERLINK("https://pb.nalog.ru/search.html?query=4101120911","ФНС: проверить")</f>
        <v/>
      </c>
      <c r="R5889" s="16">
        <f>HYPERLINK("https://checko.ru/search?query=3801001629","Чекко: проверить")</f>
        <v/>
      </c>
      <c r="S5889" t="n">
        <v>1</v>
      </c>
      <c r="T5889" s="35" t="inlineStr">
        <is>
          <t>4 — Не обогащён</t>
        </is>
      </c>
      <c r="U5889" s="35" t="inlineStr">
        <is>
          <t>Нет ОКВЭД/ССЧР</t>
        </is>
      </c>
      <c r="V5889" s="35" t="inlineStr">
        <is>
          <t>Не определено</t>
        </is>
      </c>
      <c r="W5889" s="35" t="inlineStr"/>
      <c r="X5889" s="35" t="inlineStr"/>
    </row>
    <row r="5890" ht="27.75" customHeight="1" s="24">
      <c r="A5890" s="13" t="n">
        <v>5000061787</v>
      </c>
      <c r="B5890" s="13" t="inlineStr">
        <is>
          <t>Министерство экономического развития и торговли Камчатского края</t>
        </is>
      </c>
      <c r="C5890" s="13" t="n">
        <v>4101156001</v>
      </c>
      <c r="D5890" s="13" t="inlineStr">
        <is>
          <t>4101156001</t>
        </is>
      </c>
      <c r="E5890" s="13" t="inlineStr">
        <is>
          <t>ЮЛ РФ</t>
        </is>
      </c>
      <c r="F5890" s="13" t="n"/>
      <c r="G5890" s="14" t="n"/>
      <c r="H5890" s="14" t="n"/>
      <c r="I5890" s="14" t="n"/>
      <c r="J5890" s="14" t="n"/>
      <c r="K5890" s="53" t="inlineStr"/>
      <c r="L5890" s="53" t="inlineStr">
        <is>
          <t>Не определено</t>
        </is>
      </c>
      <c r="M5890" s="53" t="inlineStr"/>
      <c r="N5890" s="54" t="inlineStr"/>
      <c r="O5890" s="55" t="inlineStr"/>
      <c r="P5890" s="16" t="inlineStr">
        <is>
          <t>Требует обогащения</t>
        </is>
      </c>
      <c r="Q5890" s="16">
        <f>HYPERLINK("https://pb.nalog.ru/search.html?query=4101156001","ФНС: проверить")</f>
        <v/>
      </c>
      <c r="R5890" s="16">
        <f>HYPERLINK("https://checko.ru/search?query=3801001629","Чекко: проверить")</f>
        <v/>
      </c>
      <c r="S5890" t="n">
        <v>1</v>
      </c>
      <c r="T5890" s="35" t="inlineStr">
        <is>
          <t>4 — Не обогащён</t>
        </is>
      </c>
      <c r="U5890" s="35" t="inlineStr">
        <is>
          <t>Нет ОКВЭД/ССЧР</t>
        </is>
      </c>
      <c r="V5890" s="35" t="inlineStr">
        <is>
          <t>Не определено</t>
        </is>
      </c>
      <c r="W5890" s="35" t="inlineStr"/>
      <c r="X5890" s="35" t="inlineStr"/>
    </row>
    <row r="5891" ht="41.25" customHeight="1" s="24">
      <c r="A5891" s="13" t="n">
        <v>5000118204</v>
      </c>
      <c r="B5891" s="13" t="inlineStr">
        <is>
          <t>Министерство сельского хозяйства, пищевой и перерабатывающей промышленности Камчатского края</t>
        </is>
      </c>
      <c r="C5891" s="13" t="n">
        <v>4101121200</v>
      </c>
      <c r="D5891" s="13" t="inlineStr">
        <is>
          <t>4101121200</t>
        </is>
      </c>
      <c r="E5891" s="13" t="inlineStr">
        <is>
          <t>ЮЛ РФ</t>
        </is>
      </c>
      <c r="F5891" s="13" t="n"/>
      <c r="G5891" s="14" t="n"/>
      <c r="H5891" s="14" t="n"/>
      <c r="I5891" s="14" t="n"/>
      <c r="J5891" s="14" t="n"/>
      <c r="K5891" s="53" t="inlineStr"/>
      <c r="L5891" s="53" t="inlineStr">
        <is>
          <t>Не определено</t>
        </is>
      </c>
      <c r="M5891" s="53" t="inlineStr"/>
      <c r="N5891" s="54" t="inlineStr"/>
      <c r="O5891" s="55" t="inlineStr"/>
      <c r="P5891" s="16" t="inlineStr">
        <is>
          <t>Требует обогащения</t>
        </is>
      </c>
      <c r="Q5891" s="16">
        <f>HYPERLINK("https://pb.nalog.ru/search.html?query=4101121200","ФНС: проверить")</f>
        <v/>
      </c>
      <c r="R5891" s="16">
        <f>HYPERLINK("https://checko.ru/search?query=3801001629","Чекко: проверить")</f>
        <v/>
      </c>
      <c r="S5891" t="n">
        <v>1</v>
      </c>
      <c r="T5891" s="35" t="inlineStr">
        <is>
          <t>4 — Не обогащён</t>
        </is>
      </c>
      <c r="U5891" s="35" t="inlineStr">
        <is>
          <t>Нет ОКВЭД/ССЧР</t>
        </is>
      </c>
      <c r="V5891" s="35" t="inlineStr">
        <is>
          <t>Не определено</t>
        </is>
      </c>
      <c r="W5891" s="35" t="inlineStr"/>
      <c r="X5891" s="35" t="inlineStr"/>
    </row>
    <row r="5892" ht="27.75" customHeight="1" s="24">
      <c r="A5892" s="13" t="n">
        <v>5000116416</v>
      </c>
      <c r="B5892" s="13" t="inlineStr">
        <is>
          <t>МБУ "МФЦ ОРЕХОВО-ЗУЕВСКОГО ГОРОДСКОГО ОКРУГА МОСКОВСКОЙ ОБЛАСТИ</t>
        </is>
      </c>
      <c r="C5892" s="13" t="n">
        <v>5034047581</v>
      </c>
      <c r="D5892" s="13" t="inlineStr">
        <is>
          <t>5034047581</t>
        </is>
      </c>
      <c r="E5892" s="13" t="inlineStr">
        <is>
          <t>ЮЛ РФ</t>
        </is>
      </c>
      <c r="F5892" s="13" t="n"/>
      <c r="G5892" s="14" t="n"/>
      <c r="H5892" s="14" t="n"/>
      <c r="I5892" s="14" t="n"/>
      <c r="J5892" s="14" t="n"/>
      <c r="K5892" s="53" t="inlineStr"/>
      <c r="L5892" s="53" t="inlineStr">
        <is>
          <t>Не определено</t>
        </is>
      </c>
      <c r="M5892" s="53" t="inlineStr"/>
      <c r="N5892" s="54" t="inlineStr"/>
      <c r="O5892" s="55" t="inlineStr"/>
      <c r="P5892" s="16" t="inlineStr">
        <is>
          <t>Требует обогащения</t>
        </is>
      </c>
      <c r="Q5892" s="16">
        <f>HYPERLINK("https://pb.nalog.ru/search.html?query=5034047581","ФНС: проверить")</f>
        <v/>
      </c>
      <c r="R5892" s="16">
        <f>HYPERLINK("https://checko.ru/search?query=3801001629","Чекко: проверить")</f>
        <v/>
      </c>
      <c r="S5892" t="n">
        <v>1</v>
      </c>
      <c r="T5892" s="35" t="inlineStr">
        <is>
          <t>4 — Не обогащён</t>
        </is>
      </c>
      <c r="U5892" s="35" t="inlineStr">
        <is>
          <t>Нет ОКВЭД/ССЧР</t>
        </is>
      </c>
      <c r="V5892" s="35" t="inlineStr">
        <is>
          <t>Не определено</t>
        </is>
      </c>
      <c r="W5892" s="35" t="inlineStr"/>
      <c r="X5892" s="35" t="inlineStr"/>
    </row>
    <row r="5893" ht="54.75" customHeight="1" s="24">
      <c r="A5893" s="13" t="n">
        <v>5000061290</v>
      </c>
      <c r="B5893" s="13" t="inlineStr">
        <is>
          <t>УПРАВЛЕНИЕ МОЛОДЕЖНОЙ ПОЛИТИКИ, ФИЗИЧЕСКОЙ КУЛЬТУРЫ И СПОРТА АДМИНИСТРАЦИИ ГОРОДСКОГО ОКРУГА СОЛНЕЧНОГОРСК МОСКОВСКОЙ ОБЛАСТИ</t>
        </is>
      </c>
      <c r="C5893" s="13" t="n">
        <v>5044119370</v>
      </c>
      <c r="D5893" s="13" t="inlineStr">
        <is>
          <t>5044119370</t>
        </is>
      </c>
      <c r="E5893" s="13" t="inlineStr">
        <is>
          <t>ЮЛ РФ</t>
        </is>
      </c>
      <c r="F5893" s="13" t="n"/>
      <c r="G5893" s="14" t="n"/>
      <c r="H5893" s="14" t="n"/>
      <c r="I5893" s="14" t="n"/>
      <c r="J5893" s="14" t="n"/>
      <c r="K5893" s="53" t="inlineStr"/>
      <c r="L5893" s="53" t="inlineStr">
        <is>
          <t>Не определено</t>
        </is>
      </c>
      <c r="M5893" s="53" t="inlineStr"/>
      <c r="N5893" s="54" t="inlineStr"/>
      <c r="O5893" s="55" t="inlineStr"/>
      <c r="P5893" s="16" t="inlineStr">
        <is>
          <t>Требует обогащения</t>
        </is>
      </c>
      <c r="Q5893" s="16">
        <f>HYPERLINK("https://pb.nalog.ru/search.html?query=5044119370","ФНС: проверить")</f>
        <v/>
      </c>
      <c r="R5893" s="16">
        <f>HYPERLINK("https://checko.ru/search?query=3801001629","Чекко: проверить")</f>
        <v/>
      </c>
      <c r="S5893" t="n">
        <v>1</v>
      </c>
      <c r="T5893" s="35" t="inlineStr">
        <is>
          <t>4 — Не обогащён</t>
        </is>
      </c>
      <c r="U5893" s="35" t="inlineStr">
        <is>
          <t>Нет ОКВЭД/ССЧР</t>
        </is>
      </c>
      <c r="V5893" s="35" t="inlineStr">
        <is>
          <t>Не определено</t>
        </is>
      </c>
      <c r="W5893" s="35" t="inlineStr"/>
      <c r="X5893" s="35" t="inlineStr"/>
    </row>
    <row r="5894" ht="54.75" customHeight="1" s="24">
      <c r="A5894" s="13" t="n">
        <v>5000048105</v>
      </c>
      <c r="B5894" s="13" t="inlineStr">
        <is>
          <t>МУНИЦИПАЛЬНОЕ БЮДЖЕТНОЕ ОБЩЕОБРАЗОВАТЕЛЬНОЕ УЧРЕЖДЕНИЕ ГОРОДА ИРКУТСКА СРЕДНЯЯ ОБЩЕОБРАЗОВАТЕЛЬНАЯ ШКОЛА № 16</t>
        </is>
      </c>
      <c r="C5894" s="13" t="n">
        <v>3811037536</v>
      </c>
      <c r="D5894" s="13" t="inlineStr">
        <is>
          <t>3811037536</t>
        </is>
      </c>
      <c r="E5894" s="13" t="inlineStr">
        <is>
          <t>ЮЛ РФ</t>
        </is>
      </c>
      <c r="F5894" s="13" t="n"/>
      <c r="G5894" s="14" t="n"/>
      <c r="H5894" s="14" t="n"/>
      <c r="I5894" s="14" t="n"/>
      <c r="J5894" s="14" t="n"/>
      <c r="K5894" s="53" t="inlineStr"/>
      <c r="L5894" s="53" t="inlineStr">
        <is>
          <t>Не определено</t>
        </is>
      </c>
      <c r="M5894" s="53" t="inlineStr"/>
      <c r="N5894" s="54" t="inlineStr"/>
      <c r="O5894" s="55" t="inlineStr"/>
      <c r="P5894" s="16" t="inlineStr">
        <is>
          <t>Требует обогащения</t>
        </is>
      </c>
      <c r="Q5894" s="16">
        <f>HYPERLINK("https://pb.nalog.ru/search.html?query=3811037536","ФНС: проверить")</f>
        <v/>
      </c>
      <c r="R5894" s="16">
        <f>HYPERLINK("https://checko.ru/search?query=3801001629","Чекко: проверить")</f>
        <v/>
      </c>
      <c r="S5894" t="n">
        <v>1</v>
      </c>
      <c r="T5894" s="35" t="inlineStr">
        <is>
          <t>4 — Не обогащён</t>
        </is>
      </c>
      <c r="U5894" s="35" t="inlineStr">
        <is>
          <t>Нет ОКВЭД/ССЧР</t>
        </is>
      </c>
      <c r="V5894" s="35" t="inlineStr">
        <is>
          <t>Не определено</t>
        </is>
      </c>
      <c r="W5894" s="35" t="inlineStr"/>
      <c r="X5894" s="35" t="inlineStr"/>
    </row>
    <row r="5895" ht="15" customHeight="1" s="24">
      <c r="A5895" s="13" t="n">
        <v>5000057649</v>
      </c>
      <c r="B5895" s="13" t="inlineStr">
        <is>
          <t>МАУ "Солнечногорье"</t>
        </is>
      </c>
      <c r="C5895" s="13" t="n">
        <v>5044050939</v>
      </c>
      <c r="D5895" s="13" t="inlineStr">
        <is>
          <t>5044050939</t>
        </is>
      </c>
      <c r="E5895" s="13" t="inlineStr">
        <is>
          <t>ЮЛ РФ</t>
        </is>
      </c>
      <c r="F5895" s="13" t="n"/>
      <c r="G5895" s="14" t="n"/>
      <c r="H5895" s="14" t="n"/>
      <c r="I5895" s="14" t="n"/>
      <c r="J5895" s="14" t="n"/>
      <c r="K5895" s="53" t="inlineStr"/>
      <c r="L5895" s="53" t="inlineStr">
        <is>
          <t>Не определено</t>
        </is>
      </c>
      <c r="M5895" s="53" t="inlineStr"/>
      <c r="N5895" s="54" t="inlineStr"/>
      <c r="O5895" s="55" t="inlineStr"/>
      <c r="P5895" s="16" t="inlineStr">
        <is>
          <t>Требует обогащения</t>
        </is>
      </c>
      <c r="Q5895" s="16">
        <f>HYPERLINK("https://pb.nalog.ru/search.html?query=5044050939","ФНС: проверить")</f>
        <v/>
      </c>
      <c r="R5895" s="16">
        <f>HYPERLINK("https://checko.ru/search?query=3801001629","Чекко: проверить")</f>
        <v/>
      </c>
      <c r="S5895" t="n">
        <v>1</v>
      </c>
      <c r="T5895" s="35" t="inlineStr">
        <is>
          <t>4 — Не обогащён</t>
        </is>
      </c>
      <c r="U5895" s="35" t="inlineStr">
        <is>
          <t>Нет ОКВЭД/ССЧР</t>
        </is>
      </c>
      <c r="V5895" s="35" t="inlineStr">
        <is>
          <t>Не определено</t>
        </is>
      </c>
      <c r="W5895" s="35" t="inlineStr"/>
      <c r="X5895" s="35" t="inlineStr"/>
    </row>
    <row r="5896" ht="27.75" customHeight="1" s="24">
      <c r="A5896" s="13" t="n">
        <v>5000119016</v>
      </c>
      <c r="B5896" s="13" t="inlineStr">
        <is>
          <t>МАУ "ЦЕНТР ПО РАЗВИТИЮ СПОРТА И ФИЗИЧЕСКОЙ КУЛЬТУРЫ "ЮНОСТЬ"</t>
        </is>
      </c>
      <c r="C5896" s="13" t="n">
        <v>5044115576</v>
      </c>
      <c r="D5896" s="13" t="inlineStr">
        <is>
          <t>5044115576</t>
        </is>
      </c>
      <c r="E5896" s="13" t="inlineStr">
        <is>
          <t>ЮЛ РФ</t>
        </is>
      </c>
      <c r="F5896" s="13" t="n"/>
      <c r="G5896" s="14" t="n"/>
      <c r="H5896" s="14" t="n"/>
      <c r="I5896" s="14" t="n"/>
      <c r="J5896" s="14" t="n"/>
      <c r="K5896" s="53" t="inlineStr"/>
      <c r="L5896" s="53" t="inlineStr">
        <is>
          <t>Не определено</t>
        </is>
      </c>
      <c r="M5896" s="53" t="inlineStr"/>
      <c r="N5896" s="54" t="inlineStr"/>
      <c r="O5896" s="55" t="inlineStr"/>
      <c r="P5896" s="16" t="inlineStr">
        <is>
          <t>Требует обогащения</t>
        </is>
      </c>
      <c r="Q5896" s="16">
        <f>HYPERLINK("https://pb.nalog.ru/search.html?query=5044115576","ФНС: проверить")</f>
        <v/>
      </c>
      <c r="R5896" s="16">
        <f>HYPERLINK("https://checko.ru/search?query=3801001629","Чекко: проверить")</f>
        <v/>
      </c>
      <c r="S5896" t="n">
        <v>1</v>
      </c>
      <c r="T5896" s="35" t="inlineStr">
        <is>
          <t>4 — Не обогащён</t>
        </is>
      </c>
      <c r="U5896" s="35" t="inlineStr">
        <is>
          <t>Нет ОКВЭД/ССЧР</t>
        </is>
      </c>
      <c r="V5896" s="35" t="inlineStr">
        <is>
          <t>Не определено</t>
        </is>
      </c>
      <c r="W5896" s="35" t="inlineStr"/>
      <c r="X5896" s="35" t="inlineStr"/>
    </row>
    <row r="5897" ht="27.75" customHeight="1" s="24">
      <c r="A5897" s="13" t="n">
        <v>5000116610</v>
      </c>
      <c r="B5897" s="13" t="inlineStr">
        <is>
          <t>МБУ "ЦЕНТР КУЛЬТУРНОГО И СПОРТИВНОГО РАЗВИТИЯ"</t>
        </is>
      </c>
      <c r="C5897" s="13" t="n">
        <v>5044067788</v>
      </c>
      <c r="D5897" s="13" t="inlineStr">
        <is>
          <t>5044067788</t>
        </is>
      </c>
      <c r="E5897" s="13" t="inlineStr">
        <is>
          <t>ЮЛ РФ</t>
        </is>
      </c>
      <c r="F5897" s="13" t="n"/>
      <c r="G5897" s="14" t="n"/>
      <c r="H5897" s="14" t="n"/>
      <c r="I5897" s="14" t="n"/>
      <c r="J5897" s="14" t="n"/>
      <c r="K5897" s="53" t="inlineStr"/>
      <c r="L5897" s="53" t="inlineStr">
        <is>
          <t>Не определено</t>
        </is>
      </c>
      <c r="M5897" s="53" t="inlineStr"/>
      <c r="N5897" s="54" t="inlineStr"/>
      <c r="O5897" s="55" t="inlineStr"/>
      <c r="P5897" s="16" t="inlineStr">
        <is>
          <t>Требует обогащения</t>
        </is>
      </c>
      <c r="Q5897" s="16">
        <f>HYPERLINK("https://pb.nalog.ru/search.html?query=5044067788","ФНС: проверить")</f>
        <v/>
      </c>
      <c r="R5897" s="16">
        <f>HYPERLINK("https://checko.ru/search?query=3801001629","Чекко: проверить")</f>
        <v/>
      </c>
      <c r="S5897" t="n">
        <v>1</v>
      </c>
      <c r="T5897" s="35" t="inlineStr">
        <is>
          <t>4 — Не обогащён</t>
        </is>
      </c>
      <c r="U5897" s="35" t="inlineStr">
        <is>
          <t>Нет ОКВЭД/ССЧР</t>
        </is>
      </c>
      <c r="V5897" s="35" t="inlineStr">
        <is>
          <t>Не определено</t>
        </is>
      </c>
      <c r="W5897" s="35" t="inlineStr"/>
      <c r="X5897" s="35" t="inlineStr"/>
    </row>
    <row r="5898" ht="27.75" customHeight="1" s="24">
      <c r="A5898" s="13" t="n">
        <v>5000085874</v>
      </c>
      <c r="B5898" s="13" t="inlineStr">
        <is>
          <t>МБОУ города Иркутска средняя общеобразовательная школа № 35</t>
        </is>
      </c>
      <c r="C5898" s="13" t="n">
        <v>3812008721</v>
      </c>
      <c r="D5898" s="13" t="inlineStr">
        <is>
          <t>3812008721</t>
        </is>
      </c>
      <c r="E5898" s="13" t="inlineStr">
        <is>
          <t>ЮЛ РФ</t>
        </is>
      </c>
      <c r="F5898" s="13" t="n"/>
      <c r="G5898" s="14" t="n"/>
      <c r="H5898" s="14" t="n"/>
      <c r="I5898" s="14" t="n"/>
      <c r="J5898" s="14" t="n"/>
      <c r="K5898" s="53" t="inlineStr"/>
      <c r="L5898" s="53" t="inlineStr">
        <is>
          <t>Не определено</t>
        </is>
      </c>
      <c r="M5898" s="53" t="inlineStr"/>
      <c r="N5898" s="54" t="inlineStr"/>
      <c r="O5898" s="55" t="inlineStr"/>
      <c r="P5898" s="16" t="inlineStr">
        <is>
          <t>Требует обогащения</t>
        </is>
      </c>
      <c r="Q5898" s="16">
        <f>HYPERLINK("https://pb.nalog.ru/search.html?query=3812008721","ФНС: проверить")</f>
        <v/>
      </c>
      <c r="R5898" s="16">
        <f>HYPERLINK("https://checko.ru/search?query=3801001629","Чекко: проверить")</f>
        <v/>
      </c>
      <c r="S5898" t="n">
        <v>1</v>
      </c>
      <c r="T5898" s="35" t="inlineStr">
        <is>
          <t>4 — Не обогащён</t>
        </is>
      </c>
      <c r="U5898" s="35" t="inlineStr">
        <is>
          <t>Нет ОКВЭД/ССЧР</t>
        </is>
      </c>
      <c r="V5898" s="35" t="inlineStr">
        <is>
          <t>Не определено</t>
        </is>
      </c>
      <c r="W5898" s="35" t="inlineStr"/>
      <c r="X5898" s="35" t="inlineStr"/>
    </row>
    <row r="5899" ht="15" customHeight="1" s="24">
      <c r="A5899" s="13" t="n">
        <v>5000081559</v>
      </c>
      <c r="B5899" s="13" t="inlineStr">
        <is>
          <t>МБОУ Г. Иркутска СОШ № 9 им. А.С. Пушкина</t>
        </is>
      </c>
      <c r="C5899" s="13" t="n">
        <v>3809023913</v>
      </c>
      <c r="D5899" s="13" t="inlineStr">
        <is>
          <t>3809023913</t>
        </is>
      </c>
      <c r="E5899" s="13" t="inlineStr">
        <is>
          <t>ЮЛ РФ</t>
        </is>
      </c>
      <c r="F5899" s="13" t="n"/>
      <c r="G5899" s="14" t="n"/>
      <c r="H5899" s="14" t="n"/>
      <c r="I5899" s="14" t="n"/>
      <c r="J5899" s="14" t="n"/>
      <c r="K5899" s="53" t="inlineStr"/>
      <c r="L5899" s="53" t="inlineStr">
        <is>
          <t>Не определено</t>
        </is>
      </c>
      <c r="M5899" s="53" t="inlineStr"/>
      <c r="N5899" s="54" t="inlineStr"/>
      <c r="O5899" s="55" t="inlineStr"/>
      <c r="P5899" s="16" t="inlineStr">
        <is>
          <t>Требует обогащения</t>
        </is>
      </c>
      <c r="Q5899" s="16">
        <f>HYPERLINK("https://pb.nalog.ru/search.html?query=3809023913","ФНС: проверить")</f>
        <v/>
      </c>
      <c r="R5899" s="16">
        <f>HYPERLINK("https://checko.ru/search?query=3801001629","Чекко: проверить")</f>
        <v/>
      </c>
      <c r="S5899" t="n">
        <v>1</v>
      </c>
      <c r="T5899" s="35" t="inlineStr">
        <is>
          <t>4 — Не обогащён</t>
        </is>
      </c>
      <c r="U5899" s="35" t="inlineStr">
        <is>
          <t>Нет ОКВЭД/ССЧР</t>
        </is>
      </c>
      <c r="V5899" s="35" t="inlineStr">
        <is>
          <t>Не определено</t>
        </is>
      </c>
      <c r="W5899" s="35" t="inlineStr"/>
      <c r="X5899" s="35" t="inlineStr"/>
    </row>
    <row r="5900" ht="15" customHeight="1" s="24">
      <c r="A5900" s="13" t="n">
        <v>5000081617</v>
      </c>
      <c r="B5900" s="13" t="inlineStr">
        <is>
          <t>МАОУ Центр образования № 47 г.Иркутска</t>
        </is>
      </c>
      <c r="C5900" s="13" t="n">
        <v>3811029976</v>
      </c>
      <c r="D5900" s="13" t="inlineStr">
        <is>
          <t>3811029976</t>
        </is>
      </c>
      <c r="E5900" s="13" t="inlineStr">
        <is>
          <t>ЮЛ РФ</t>
        </is>
      </c>
      <c r="F5900" s="13" t="n"/>
      <c r="G5900" s="14" t="n"/>
      <c r="H5900" s="14" t="n"/>
      <c r="I5900" s="14" t="n"/>
      <c r="J5900" s="14" t="n"/>
      <c r="K5900" s="53" t="inlineStr"/>
      <c r="L5900" s="53" t="inlineStr">
        <is>
          <t>Не определено</t>
        </is>
      </c>
      <c r="M5900" s="53" t="inlineStr"/>
      <c r="N5900" s="54" t="inlineStr"/>
      <c r="O5900" s="55" t="inlineStr"/>
      <c r="P5900" s="16" t="inlineStr">
        <is>
          <t>Требует обогащения</t>
        </is>
      </c>
      <c r="Q5900" s="16">
        <f>HYPERLINK("https://pb.nalog.ru/search.html?query=3811029976","ФНС: проверить")</f>
        <v/>
      </c>
      <c r="R5900" s="16">
        <f>HYPERLINK("https://checko.ru/search?query=3801001629","Чекко: проверить")</f>
        <v/>
      </c>
      <c r="S5900" t="n">
        <v>1</v>
      </c>
      <c r="T5900" s="35" t="inlineStr">
        <is>
          <t>4 — Не обогащён</t>
        </is>
      </c>
      <c r="U5900" s="35" t="inlineStr">
        <is>
          <t>Нет ОКВЭД/ССЧР</t>
        </is>
      </c>
      <c r="V5900" s="35" t="inlineStr">
        <is>
          <t>Не определено</t>
        </is>
      </c>
      <c r="W5900" s="35" t="inlineStr"/>
      <c r="X5900" s="35" t="inlineStr"/>
    </row>
    <row r="5901" ht="15" customHeight="1" s="24">
      <c r="A5901" s="13" t="n">
        <v>5000081560</v>
      </c>
      <c r="B5901" s="13" t="inlineStr">
        <is>
          <t>МАОУ ДО Г. Иркутска "Дворец Творчества"</t>
        </is>
      </c>
      <c r="C5901" s="13" t="n">
        <v>3808049443</v>
      </c>
      <c r="D5901" s="13" t="inlineStr">
        <is>
          <t>3808049443</t>
        </is>
      </c>
      <c r="E5901" s="13" t="inlineStr">
        <is>
          <t>ЮЛ РФ</t>
        </is>
      </c>
      <c r="F5901" s="13" t="n"/>
      <c r="G5901" s="14" t="n"/>
      <c r="H5901" s="14" t="n"/>
      <c r="I5901" s="14" t="n"/>
      <c r="J5901" s="14" t="n"/>
      <c r="K5901" s="53" t="inlineStr"/>
      <c r="L5901" s="53" t="inlineStr">
        <is>
          <t>Не определено</t>
        </is>
      </c>
      <c r="M5901" s="53" t="inlineStr"/>
      <c r="N5901" s="54" t="inlineStr"/>
      <c r="O5901" s="55" t="inlineStr"/>
      <c r="P5901" s="16" t="inlineStr">
        <is>
          <t>Требует обогащения</t>
        </is>
      </c>
      <c r="Q5901" s="16">
        <f>HYPERLINK("https://pb.nalog.ru/search.html?query=3808049443","ФНС: проверить")</f>
        <v/>
      </c>
      <c r="R5901" s="16">
        <f>HYPERLINK("https://checko.ru/search?query=3801001629","Чекко: проверить")</f>
        <v/>
      </c>
      <c r="S5901" t="n">
        <v>1</v>
      </c>
      <c r="T5901" s="35" t="inlineStr">
        <is>
          <t>4 — Не обогащён</t>
        </is>
      </c>
      <c r="U5901" s="35" t="inlineStr">
        <is>
          <t>Нет ОКВЭД/ССЧР</t>
        </is>
      </c>
      <c r="V5901" s="35" t="inlineStr">
        <is>
          <t>Не определено</t>
        </is>
      </c>
      <c r="W5901" s="35" t="inlineStr"/>
      <c r="X5901" s="35" t="inlineStr"/>
    </row>
    <row r="5902" ht="15" customHeight="1" s="24">
      <c r="A5902" s="13" t="n">
        <v>5000081654</v>
      </c>
      <c r="B5902" s="13" t="inlineStr">
        <is>
          <t>МБОУ ГОРОДА ИРКУТСКА ГИМНАЗИЯ № 3</t>
        </is>
      </c>
      <c r="C5902" s="13" t="n">
        <v>3810028289</v>
      </c>
      <c r="D5902" s="13" t="inlineStr">
        <is>
          <t>3810028289</t>
        </is>
      </c>
      <c r="E5902" s="13" t="inlineStr">
        <is>
          <t>ЮЛ РФ</t>
        </is>
      </c>
      <c r="F5902" s="13" t="n"/>
      <c r="G5902" s="14" t="n"/>
      <c r="H5902" s="14" t="n"/>
      <c r="I5902" s="14" t="n"/>
      <c r="J5902" s="14" t="n"/>
      <c r="K5902" s="53" t="inlineStr"/>
      <c r="L5902" s="53" t="inlineStr">
        <is>
          <t>Не определено</t>
        </is>
      </c>
      <c r="M5902" s="53" t="inlineStr"/>
      <c r="N5902" s="54" t="inlineStr"/>
      <c r="O5902" s="55" t="inlineStr"/>
      <c r="P5902" s="16" t="inlineStr">
        <is>
          <t>Требует обогащения</t>
        </is>
      </c>
      <c r="Q5902" s="16">
        <f>HYPERLINK("https://pb.nalog.ru/search.html?query=3810028289","ФНС: проверить")</f>
        <v/>
      </c>
      <c r="R5902" s="16">
        <f>HYPERLINK("https://checko.ru/search?query=3801001629","Чекко: проверить")</f>
        <v/>
      </c>
      <c r="S5902" t="n">
        <v>1</v>
      </c>
      <c r="T5902" s="35" t="inlineStr">
        <is>
          <t>4 — Не обогащён</t>
        </is>
      </c>
      <c r="U5902" s="35" t="inlineStr">
        <is>
          <t>Нет ОКВЭД/ССЧР</t>
        </is>
      </c>
      <c r="V5902" s="35" t="inlineStr">
        <is>
          <t>Не определено</t>
        </is>
      </c>
      <c r="W5902" s="35" t="inlineStr"/>
      <c r="X5902" s="35" t="inlineStr"/>
    </row>
    <row r="5903" ht="15" customHeight="1" s="24">
      <c r="A5903" s="13" t="n">
        <v>5000092219</v>
      </c>
      <c r="B5903" s="13" t="inlineStr">
        <is>
          <t>Палата уполномоченных в Камчатском крае</t>
        </is>
      </c>
      <c r="C5903" s="13" t="n">
        <v>4101144662</v>
      </c>
      <c r="D5903" s="13" t="inlineStr">
        <is>
          <t>4101144662</t>
        </is>
      </c>
      <c r="E5903" s="13" t="inlineStr">
        <is>
          <t>ЮЛ РФ</t>
        </is>
      </c>
      <c r="F5903" s="13" t="n"/>
      <c r="G5903" s="14" t="n"/>
      <c r="H5903" s="14" t="n"/>
      <c r="I5903" s="14" t="n"/>
      <c r="J5903" s="14" t="n"/>
      <c r="K5903" s="53" t="inlineStr"/>
      <c r="L5903" s="53" t="inlineStr">
        <is>
          <t>Не определено</t>
        </is>
      </c>
      <c r="M5903" s="53" t="inlineStr"/>
      <c r="N5903" s="54" t="inlineStr"/>
      <c r="O5903" s="55" t="inlineStr"/>
      <c r="P5903" s="16" t="inlineStr">
        <is>
          <t>Требует обогащения</t>
        </is>
      </c>
      <c r="Q5903" s="16">
        <f>HYPERLINK("https://pb.nalog.ru/search.html?query=4101144662","ФНС: проверить")</f>
        <v/>
      </c>
      <c r="R5903" s="16">
        <f>HYPERLINK("https://checko.ru/search?query=3801001629","Чекко: проверить")</f>
        <v/>
      </c>
      <c r="S5903" t="n">
        <v>1</v>
      </c>
      <c r="T5903" s="35" t="inlineStr">
        <is>
          <t>4 — Не обогащён</t>
        </is>
      </c>
      <c r="U5903" s="35" t="inlineStr">
        <is>
          <t>Нет ОКВЭД/ССЧР</t>
        </is>
      </c>
      <c r="V5903" s="35" t="inlineStr">
        <is>
          <t>Не определено</t>
        </is>
      </c>
      <c r="W5903" s="35" t="inlineStr"/>
      <c r="X5903" s="35" t="inlineStr"/>
    </row>
    <row r="5904" ht="27.75" customHeight="1" s="24">
      <c r="A5904" s="13" t="n">
        <v>5000067453</v>
      </c>
      <c r="B5904" s="13" t="inlineStr">
        <is>
          <t>АДМИНИСТРАЦИЯ ГОРОДСКОГО ОКРУГА ОРЕХОВО-ЗУЕВО</t>
        </is>
      </c>
      <c r="C5904" s="13" t="n">
        <v>5034082667</v>
      </c>
      <c r="D5904" s="13" t="inlineStr">
        <is>
          <t>5034082667</t>
        </is>
      </c>
      <c r="E5904" s="13" t="inlineStr">
        <is>
          <t>ЮЛ РФ</t>
        </is>
      </c>
      <c r="F5904" s="13" t="n"/>
      <c r="G5904" s="14" t="n"/>
      <c r="H5904" s="14" t="n"/>
      <c r="I5904" s="14" t="n"/>
      <c r="J5904" s="14" t="n"/>
      <c r="K5904" s="53" t="inlineStr"/>
      <c r="L5904" s="53" t="inlineStr">
        <is>
          <t>Не определено</t>
        </is>
      </c>
      <c r="M5904" s="53" t="inlineStr"/>
      <c r="N5904" s="54" t="inlineStr"/>
      <c r="O5904" s="55" t="inlineStr"/>
      <c r="P5904" s="16" t="inlineStr">
        <is>
          <t>Требует обогащения</t>
        </is>
      </c>
      <c r="Q5904" s="16">
        <f>HYPERLINK("https://pb.nalog.ru/search.html?query=5034082667","ФНС: проверить")</f>
        <v/>
      </c>
      <c r="R5904" s="16">
        <f>HYPERLINK("https://checko.ru/search?query=3801001629","Чекко: проверить")</f>
        <v/>
      </c>
      <c r="S5904" t="n">
        <v>1</v>
      </c>
      <c r="T5904" s="35" t="inlineStr">
        <is>
          <t>4 — Не обогащён</t>
        </is>
      </c>
      <c r="U5904" s="35" t="inlineStr">
        <is>
          <t>Нет ОКВЭД/ССЧР</t>
        </is>
      </c>
      <c r="V5904" s="35" t="inlineStr">
        <is>
          <t>Не определено</t>
        </is>
      </c>
      <c r="W5904" s="35" t="inlineStr"/>
      <c r="X5904" s="35" t="inlineStr"/>
    </row>
    <row r="5905" ht="27.75" customHeight="1" s="24">
      <c r="A5905" s="13" t="n">
        <v>5000067252</v>
      </c>
      <c r="B5905" s="13" t="inlineStr">
        <is>
          <t>ГКУ "Забайкальский центр государственных закупок"</t>
        </is>
      </c>
      <c r="C5905" s="13" t="n">
        <v>7536155048</v>
      </c>
      <c r="D5905" s="13" t="inlineStr">
        <is>
          <t>7536155048</t>
        </is>
      </c>
      <c r="E5905" s="13" t="inlineStr">
        <is>
          <t>ЮЛ РФ</t>
        </is>
      </c>
      <c r="F5905" s="13" t="n"/>
      <c r="G5905" s="14" t="n"/>
      <c r="H5905" s="14" t="n"/>
      <c r="I5905" s="14" t="n"/>
      <c r="J5905" s="14" t="n"/>
      <c r="K5905" s="53" t="inlineStr"/>
      <c r="L5905" s="53" t="inlineStr">
        <is>
          <t>Не определено</t>
        </is>
      </c>
      <c r="M5905" s="53" t="inlineStr"/>
      <c r="N5905" s="54" t="inlineStr"/>
      <c r="O5905" s="55" t="inlineStr"/>
      <c r="P5905" s="16" t="inlineStr">
        <is>
          <t>Требует обогащения</t>
        </is>
      </c>
      <c r="Q5905" s="16">
        <f>HYPERLINK("https://pb.nalog.ru/search.html?query=7536155048","ФНС: проверить")</f>
        <v/>
      </c>
      <c r="R5905" s="16">
        <f>HYPERLINK("https://checko.ru/search?query=3801001629","Чекко: проверить")</f>
        <v/>
      </c>
      <c r="S5905" t="n">
        <v>1</v>
      </c>
      <c r="T5905" s="35" t="inlineStr">
        <is>
          <t>4 — Не обогащён</t>
        </is>
      </c>
      <c r="U5905" s="35" t="inlineStr">
        <is>
          <t>Нет ОКВЭД/ССЧР</t>
        </is>
      </c>
      <c r="V5905" s="35" t="inlineStr">
        <is>
          <t>Не определено</t>
        </is>
      </c>
      <c r="W5905" s="35" t="inlineStr"/>
      <c r="X5905" s="35" t="inlineStr"/>
    </row>
    <row r="5906" ht="15" customHeight="1" s="24">
      <c r="A5906" s="13" t="n">
        <v>5000081660</v>
      </c>
      <c r="B5906" s="13" t="inlineStr">
        <is>
          <t>МБОУ г. Иркутска № 42</t>
        </is>
      </c>
      <c r="C5906" s="13" t="n">
        <v>3810023749</v>
      </c>
      <c r="D5906" s="13" t="inlineStr">
        <is>
          <t>3810023749</t>
        </is>
      </c>
      <c r="E5906" s="13" t="inlineStr">
        <is>
          <t>ЮЛ РФ</t>
        </is>
      </c>
      <c r="F5906" s="13" t="n"/>
      <c r="G5906" s="14" t="n"/>
      <c r="H5906" s="14" t="n"/>
      <c r="I5906" s="14" t="n"/>
      <c r="J5906" s="14" t="n"/>
      <c r="K5906" s="53" t="inlineStr"/>
      <c r="L5906" s="53" t="inlineStr">
        <is>
          <t>Не определено</t>
        </is>
      </c>
      <c r="M5906" s="53" t="inlineStr"/>
      <c r="N5906" s="54" t="inlineStr"/>
      <c r="O5906" s="55" t="inlineStr"/>
      <c r="P5906" s="16" t="inlineStr">
        <is>
          <t>Требует обогащения</t>
        </is>
      </c>
      <c r="Q5906" s="16">
        <f>HYPERLINK("https://pb.nalog.ru/search.html?query=3810023749","ФНС: проверить")</f>
        <v/>
      </c>
      <c r="R5906" s="16">
        <f>HYPERLINK("https://checko.ru/search?query=3801001629","Чекко: проверить")</f>
        <v/>
      </c>
      <c r="S5906" t="n">
        <v>1</v>
      </c>
      <c r="T5906" s="35" t="inlineStr">
        <is>
          <t>4 — Не обогащён</t>
        </is>
      </c>
      <c r="U5906" s="35" t="inlineStr">
        <is>
          <t>Нет ОКВЭД/ССЧР</t>
        </is>
      </c>
      <c r="V5906" s="35" t="inlineStr">
        <is>
          <t>Не определено</t>
        </is>
      </c>
      <c r="W5906" s="35" t="inlineStr"/>
      <c r="X5906" s="35" t="inlineStr"/>
    </row>
    <row r="5907" ht="15" customHeight="1" s="24">
      <c r="A5907" s="13" t="n">
        <v>5000081561</v>
      </c>
      <c r="B5907" s="13" t="inlineStr">
        <is>
          <t>МБОУ ДО Г. ИРКУТСКА "СШ № 7"</t>
        </is>
      </c>
      <c r="C5907" s="13" t="n">
        <v>3808049965</v>
      </c>
      <c r="D5907" s="13" t="inlineStr">
        <is>
          <t>3808049965</t>
        </is>
      </c>
      <c r="E5907" s="13" t="inlineStr">
        <is>
          <t>ЮЛ РФ</t>
        </is>
      </c>
      <c r="F5907" s="13" t="n"/>
      <c r="G5907" s="14" t="n"/>
      <c r="H5907" s="14" t="n"/>
      <c r="I5907" s="14" t="n"/>
      <c r="J5907" s="14" t="n"/>
      <c r="K5907" s="53" t="inlineStr"/>
      <c r="L5907" s="53" t="inlineStr">
        <is>
          <t>Не определено</t>
        </is>
      </c>
      <c r="M5907" s="53" t="inlineStr"/>
      <c r="N5907" s="54" t="inlineStr"/>
      <c r="O5907" s="55" t="inlineStr"/>
      <c r="P5907" s="16" t="inlineStr">
        <is>
          <t>Требует обогащения</t>
        </is>
      </c>
      <c r="Q5907" s="16">
        <f>HYPERLINK("https://pb.nalog.ru/search.html?query=3808049965","ФНС: проверить")</f>
        <v/>
      </c>
      <c r="R5907" s="16">
        <f>HYPERLINK("https://checko.ru/search?query=3801001629","Чекко: проверить")</f>
        <v/>
      </c>
      <c r="S5907" t="n">
        <v>1</v>
      </c>
      <c r="T5907" s="35" t="inlineStr">
        <is>
          <t>4 — Не обогащён</t>
        </is>
      </c>
      <c r="U5907" s="35" t="inlineStr">
        <is>
          <t>Нет ОКВЭД/ССЧР</t>
        </is>
      </c>
      <c r="V5907" s="35" t="inlineStr">
        <is>
          <t>Не определено</t>
        </is>
      </c>
      <c r="W5907" s="35" t="inlineStr"/>
      <c r="X5907" s="35" t="inlineStr"/>
    </row>
    <row r="5908" ht="15" customHeight="1" s="24">
      <c r="A5908" s="13" t="n">
        <v>5000048056</v>
      </c>
      <c r="B5908" s="13" t="inlineStr">
        <is>
          <t>МАДОУ ЦРР Детский сад " 148 г.Иркутска</t>
        </is>
      </c>
      <c r="C5908" s="13" t="n">
        <v>3810023989</v>
      </c>
      <c r="D5908" s="13" t="inlineStr">
        <is>
          <t>3810023989</t>
        </is>
      </c>
      <c r="E5908" s="13" t="inlineStr">
        <is>
          <t>ЮЛ РФ</t>
        </is>
      </c>
      <c r="F5908" s="13" t="n"/>
      <c r="G5908" s="14" t="n"/>
      <c r="H5908" s="14" t="n"/>
      <c r="I5908" s="14" t="n"/>
      <c r="J5908" s="14" t="n"/>
      <c r="K5908" s="53" t="inlineStr"/>
      <c r="L5908" s="53" t="inlineStr">
        <is>
          <t>Не определено</t>
        </is>
      </c>
      <c r="M5908" s="53" t="inlineStr"/>
      <c r="N5908" s="54" t="inlineStr"/>
      <c r="O5908" s="55" t="inlineStr"/>
      <c r="P5908" s="16" t="inlineStr">
        <is>
          <t>Требует обогащения</t>
        </is>
      </c>
      <c r="Q5908" s="16">
        <f>HYPERLINK("https://pb.nalog.ru/search.html?query=3810023989","ФНС: проверить")</f>
        <v/>
      </c>
      <c r="R5908" s="16">
        <f>HYPERLINK("https://checko.ru/search?query=3801001629","Чекко: проверить")</f>
        <v/>
      </c>
      <c r="S5908" t="n">
        <v>1</v>
      </c>
      <c r="T5908" s="35" t="inlineStr">
        <is>
          <t>4 — Не обогащён</t>
        </is>
      </c>
      <c r="U5908" s="35" t="inlineStr">
        <is>
          <t>Нет ОКВЭД/ССЧР</t>
        </is>
      </c>
      <c r="V5908" s="35" t="inlineStr">
        <is>
          <t>Не определено</t>
        </is>
      </c>
      <c r="W5908" s="35" t="inlineStr"/>
      <c r="X5908" s="35" t="inlineStr"/>
    </row>
    <row r="5909" ht="15" customHeight="1" s="24">
      <c r="A5909" s="13" t="n">
        <v>5000080627</v>
      </c>
      <c r="B5909" s="13" t="inlineStr">
        <is>
          <t>Дворец спорта "Молодёжный"</t>
        </is>
      </c>
      <c r="C5909" s="13" t="n">
        <v>5034024930</v>
      </c>
      <c r="D5909" s="13" t="inlineStr">
        <is>
          <t>5034024930</t>
        </is>
      </c>
      <c r="E5909" s="13" t="inlineStr">
        <is>
          <t>ЮЛ РФ</t>
        </is>
      </c>
      <c r="F5909" s="13" t="n"/>
      <c r="G5909" s="14" t="n"/>
      <c r="H5909" s="14" t="n"/>
      <c r="I5909" s="14" t="n"/>
      <c r="J5909" s="14" t="n"/>
      <c r="K5909" s="53" t="inlineStr"/>
      <c r="L5909" s="53" t="inlineStr">
        <is>
          <t>Не определено</t>
        </is>
      </c>
      <c r="M5909" s="53" t="inlineStr"/>
      <c r="N5909" s="54" t="inlineStr"/>
      <c r="O5909" s="55" t="inlineStr"/>
      <c r="P5909" s="16" t="inlineStr">
        <is>
          <t>Требует обогащения</t>
        </is>
      </c>
      <c r="Q5909" s="16">
        <f>HYPERLINK("https://pb.nalog.ru/search.html?query=5034024930","ФНС: проверить")</f>
        <v/>
      </c>
      <c r="R5909" s="16">
        <f>HYPERLINK("https://checko.ru/search?query=3801001629","Чекко: проверить")</f>
        <v/>
      </c>
      <c r="S5909" t="n">
        <v>1</v>
      </c>
      <c r="T5909" s="35" t="inlineStr">
        <is>
          <t>4 — Не обогащён</t>
        </is>
      </c>
      <c r="U5909" s="35" t="inlineStr">
        <is>
          <t>Нет ОКВЭД/ССЧР</t>
        </is>
      </c>
      <c r="V5909" s="35" t="inlineStr">
        <is>
          <t>Не определено</t>
        </is>
      </c>
      <c r="W5909" s="35" t="inlineStr"/>
      <c r="X5909" s="35" t="inlineStr"/>
    </row>
    <row r="5910" ht="27.75" customHeight="1" s="24">
      <c r="A5910" s="13" t="n">
        <v>5000116605</v>
      </c>
      <c r="B5910" s="13" t="inlineStr">
        <is>
          <t>Финансовое управление Администрации Солнечногорского муни-</t>
        </is>
      </c>
      <c r="C5910" s="13" t="n">
        <v>5044070131</v>
      </c>
      <c r="D5910" s="13" t="inlineStr">
        <is>
          <t>5044070131</t>
        </is>
      </c>
      <c r="E5910" s="13" t="inlineStr">
        <is>
          <t>ЮЛ РФ</t>
        </is>
      </c>
      <c r="F5910" s="13" t="n"/>
      <c r="G5910" s="14" t="n"/>
      <c r="H5910" s="14" t="n"/>
      <c r="I5910" s="14" t="n"/>
      <c r="J5910" s="14" t="n"/>
      <c r="K5910" s="53" t="inlineStr"/>
      <c r="L5910" s="53" t="inlineStr">
        <is>
          <t>Не определено</t>
        </is>
      </c>
      <c r="M5910" s="53" t="inlineStr"/>
      <c r="N5910" s="54" t="inlineStr"/>
      <c r="O5910" s="55" t="inlineStr"/>
      <c r="P5910" s="16" t="inlineStr">
        <is>
          <t>Требует обогащения</t>
        </is>
      </c>
      <c r="Q5910" s="16">
        <f>HYPERLINK("https://pb.nalog.ru/search.html?query=5044070131","ФНС: проверить")</f>
        <v/>
      </c>
      <c r="R5910" s="16">
        <f>HYPERLINK("https://checko.ru/search?query=3801001629","Чекко: проверить")</f>
        <v/>
      </c>
      <c r="S5910" t="n">
        <v>1</v>
      </c>
      <c r="T5910" s="35" t="inlineStr">
        <is>
          <t>4 — Не обогащён</t>
        </is>
      </c>
      <c r="U5910" s="35" t="inlineStr">
        <is>
          <t>Нет ОКВЭД/ССЧР</t>
        </is>
      </c>
      <c r="V5910" s="35" t="inlineStr">
        <is>
          <t>Не определено</t>
        </is>
      </c>
      <c r="W5910" s="35" t="inlineStr"/>
      <c r="X5910" s="35" t="inlineStr"/>
    </row>
    <row r="5911" ht="15" customHeight="1" s="24">
      <c r="A5911" s="13" t="n">
        <v>5000081557</v>
      </c>
      <c r="B5911" s="13" t="inlineStr">
        <is>
          <t>МАОУ Г. ИРКУТСКА ОК "ЛЕСНОЙ"</t>
        </is>
      </c>
      <c r="C5911" s="13" t="n">
        <v>3849074382</v>
      </c>
      <c r="D5911" s="13" t="inlineStr">
        <is>
          <t>3849074382</t>
        </is>
      </c>
      <c r="E5911" s="13" t="inlineStr">
        <is>
          <t>ЮЛ РФ</t>
        </is>
      </c>
      <c r="F5911" s="13" t="n"/>
      <c r="G5911" s="14" t="n"/>
      <c r="H5911" s="14" t="n"/>
      <c r="I5911" s="14" t="n"/>
      <c r="J5911" s="14" t="n"/>
      <c r="K5911" s="53" t="inlineStr"/>
      <c r="L5911" s="53" t="inlineStr">
        <is>
          <t>Не определено</t>
        </is>
      </c>
      <c r="M5911" s="53" t="inlineStr"/>
      <c r="N5911" s="54" t="inlineStr"/>
      <c r="O5911" s="55" t="inlineStr"/>
      <c r="P5911" s="16" t="inlineStr">
        <is>
          <t>Требует обогащения</t>
        </is>
      </c>
      <c r="Q5911" s="16">
        <f>HYPERLINK("https://pb.nalog.ru/search.html?query=3849074382","ФНС: проверить")</f>
        <v/>
      </c>
      <c r="R5911" s="16">
        <f>HYPERLINK("https://checko.ru/search?query=3801001629","Чекко: проверить")</f>
        <v/>
      </c>
      <c r="S5911" t="n">
        <v>1</v>
      </c>
      <c r="T5911" s="35" t="inlineStr">
        <is>
          <t>4 — Не обогащён</t>
        </is>
      </c>
      <c r="U5911" s="35" t="inlineStr">
        <is>
          <t>Нет ОКВЭД/ССЧР</t>
        </is>
      </c>
      <c r="V5911" s="35" t="inlineStr">
        <is>
          <t>Не определено</t>
        </is>
      </c>
      <c r="W5911" s="35" t="inlineStr"/>
      <c r="X5911" s="35" t="inlineStr"/>
    </row>
    <row r="5912" ht="15" customHeight="1" s="24">
      <c r="A5912" s="13" t="n">
        <v>5000116614</v>
      </c>
      <c r="B5912" s="13" t="inlineStr">
        <is>
          <t>МБУК «Андреевка»</t>
        </is>
      </c>
      <c r="C5912" s="13" t="n">
        <v>5044065928</v>
      </c>
      <c r="D5912" s="13" t="inlineStr">
        <is>
          <t>5044065928</t>
        </is>
      </c>
      <c r="E5912" s="13" t="inlineStr">
        <is>
          <t>ЮЛ РФ</t>
        </is>
      </c>
      <c r="F5912" s="13" t="n"/>
      <c r="G5912" s="14" t="n"/>
      <c r="H5912" s="14" t="n"/>
      <c r="I5912" s="14" t="n"/>
      <c r="J5912" s="14" t="n"/>
      <c r="K5912" s="53" t="inlineStr"/>
      <c r="L5912" s="53" t="inlineStr">
        <is>
          <t>Не определено</t>
        </is>
      </c>
      <c r="M5912" s="53" t="inlineStr"/>
      <c r="N5912" s="54" t="inlineStr"/>
      <c r="O5912" s="55" t="inlineStr"/>
      <c r="P5912" s="16" t="inlineStr">
        <is>
          <t>Требует обогащения</t>
        </is>
      </c>
      <c r="Q5912" s="16">
        <f>HYPERLINK("https://pb.nalog.ru/search.html?query=5044065928","ФНС: проверить")</f>
        <v/>
      </c>
      <c r="R5912" s="16">
        <f>HYPERLINK("https://checko.ru/search?query=3801001629","Чекко: проверить")</f>
        <v/>
      </c>
      <c r="S5912" t="n">
        <v>1</v>
      </c>
      <c r="T5912" s="35" t="inlineStr">
        <is>
          <t>4 — Не обогащён</t>
        </is>
      </c>
      <c r="U5912" s="35" t="inlineStr">
        <is>
          <t>Нет ОКВЭД/ССЧР</t>
        </is>
      </c>
      <c r="V5912" s="35" t="inlineStr">
        <is>
          <t>Не определено</t>
        </is>
      </c>
      <c r="W5912" s="35" t="inlineStr"/>
      <c r="X5912" s="35" t="inlineStr"/>
    </row>
    <row r="5913" ht="54.75" customHeight="1" s="24">
      <c r="A5913" s="13" t="n">
        <v>5000081566</v>
      </c>
      <c r="B5913" s="13" t="inlineStr">
        <is>
          <t>Муниципальное общеобразовательное учреждение средняя общеобразовательная школа № 2 с углубленным изучением отдельных предметов</t>
        </is>
      </c>
      <c r="C5913" s="13" t="n">
        <v>3812008746</v>
      </c>
      <c r="D5913" s="13" t="inlineStr">
        <is>
          <t>3812008746</t>
        </is>
      </c>
      <c r="E5913" s="13" t="inlineStr">
        <is>
          <t>ЮЛ РФ</t>
        </is>
      </c>
      <c r="F5913" s="13" t="n"/>
      <c r="G5913" s="14" t="n"/>
      <c r="H5913" s="14" t="n"/>
      <c r="I5913" s="14" t="n"/>
      <c r="J5913" s="14" t="n"/>
      <c r="K5913" s="53" t="inlineStr"/>
      <c r="L5913" s="53" t="inlineStr">
        <is>
          <t>Не определено</t>
        </is>
      </c>
      <c r="M5913" s="53" t="inlineStr"/>
      <c r="N5913" s="54" t="inlineStr"/>
      <c r="O5913" s="55" t="inlineStr"/>
      <c r="P5913" s="16" t="inlineStr">
        <is>
          <t>Требует обогащения</t>
        </is>
      </c>
      <c r="Q5913" s="16">
        <f>HYPERLINK("https://pb.nalog.ru/search.html?query=3812008746","ФНС: проверить")</f>
        <v/>
      </c>
      <c r="R5913" s="16">
        <f>HYPERLINK("https://checko.ru/search?query=3801001629","Чекко: проверить")</f>
        <v/>
      </c>
      <c r="S5913" t="n">
        <v>1</v>
      </c>
      <c r="T5913" s="35" t="inlineStr">
        <is>
          <t>4 — Не обогащён</t>
        </is>
      </c>
      <c r="U5913" s="35" t="inlineStr">
        <is>
          <t>Нет ОКВЭД/ССЧР</t>
        </is>
      </c>
      <c r="V5913" s="35" t="inlineStr">
        <is>
          <t>Не определено</t>
        </is>
      </c>
      <c r="W5913" s="35" t="inlineStr"/>
      <c r="X5913" s="35" t="inlineStr"/>
    </row>
    <row r="5914" ht="15" customHeight="1" s="24">
      <c r="A5914" s="13" t="n">
        <v>5000081564</v>
      </c>
      <c r="B5914" s="13" t="inlineStr">
        <is>
          <t>МБОУ г.Иркутска СОШ  №18</t>
        </is>
      </c>
      <c r="C5914" s="13" t="n">
        <v>3812008489</v>
      </c>
      <c r="D5914" s="13" t="inlineStr">
        <is>
          <t>3812008489</t>
        </is>
      </c>
      <c r="E5914" s="13" t="inlineStr">
        <is>
          <t>ЮЛ РФ</t>
        </is>
      </c>
      <c r="F5914" s="13" t="n"/>
      <c r="G5914" s="14" t="n"/>
      <c r="H5914" s="14" t="n"/>
      <c r="I5914" s="14" t="n"/>
      <c r="J5914" s="14" t="n"/>
      <c r="K5914" s="53" t="inlineStr"/>
      <c r="L5914" s="53" t="inlineStr">
        <is>
          <t>Не определено</t>
        </is>
      </c>
      <c r="M5914" s="53" t="inlineStr"/>
      <c r="N5914" s="54" t="inlineStr"/>
      <c r="O5914" s="55" t="inlineStr"/>
      <c r="P5914" s="16" t="inlineStr">
        <is>
          <t>Требует обогащения</t>
        </is>
      </c>
      <c r="Q5914" s="16">
        <f>HYPERLINK("https://pb.nalog.ru/search.html?query=3812008489","ФНС: проверить")</f>
        <v/>
      </c>
      <c r="R5914" s="16">
        <f>HYPERLINK("https://checko.ru/search?query=3801001629","Чекко: проверить")</f>
        <v/>
      </c>
      <c r="S5914" t="n">
        <v>1</v>
      </c>
      <c r="T5914" s="35" t="inlineStr">
        <is>
          <t>4 — Не обогащён</t>
        </is>
      </c>
      <c r="U5914" s="35" t="inlineStr">
        <is>
          <t>Нет ОКВЭД/ССЧР</t>
        </is>
      </c>
      <c r="V5914" s="35" t="inlineStr">
        <is>
          <t>Не определено</t>
        </is>
      </c>
      <c r="W5914" s="35" t="inlineStr"/>
      <c r="X5914" s="35" t="inlineStr"/>
    </row>
    <row r="5915" ht="41.25" customHeight="1" s="24">
      <c r="A5915" s="13" t="n">
        <v>5000081565</v>
      </c>
      <c r="B5915" s="13" t="inlineStr">
        <is>
          <t>МОУ средняя общеобразовательная школа № 19 с углубленным изучением отдельных предметов г. Иркутска</t>
        </is>
      </c>
      <c r="C5915" s="13" t="n">
        <v>3812007982</v>
      </c>
      <c r="D5915" s="13" t="inlineStr">
        <is>
          <t>3812007982</t>
        </is>
      </c>
      <c r="E5915" s="13" t="inlineStr">
        <is>
          <t>ЮЛ РФ</t>
        </is>
      </c>
      <c r="F5915" s="13" t="n"/>
      <c r="G5915" s="14" t="n"/>
      <c r="H5915" s="14" t="n"/>
      <c r="I5915" s="14" t="n"/>
      <c r="J5915" s="14" t="n"/>
      <c r="K5915" s="53" t="inlineStr"/>
      <c r="L5915" s="53" t="inlineStr">
        <is>
          <t>Не определено</t>
        </is>
      </c>
      <c r="M5915" s="53" t="inlineStr"/>
      <c r="N5915" s="54" t="inlineStr"/>
      <c r="O5915" s="55" t="inlineStr"/>
      <c r="P5915" s="16" t="inlineStr">
        <is>
          <t>Требует обогащения</t>
        </is>
      </c>
      <c r="Q5915" s="16">
        <f>HYPERLINK("https://pb.nalog.ru/search.html?query=3812007982","ФНС: проверить")</f>
        <v/>
      </c>
      <c r="R5915" s="16">
        <f>HYPERLINK("https://checko.ru/search?query=3801001629","Чекко: проверить")</f>
        <v/>
      </c>
      <c r="S5915" t="n">
        <v>1</v>
      </c>
      <c r="T5915" s="35" t="inlineStr">
        <is>
          <t>4 — Не обогащён</t>
        </is>
      </c>
      <c r="U5915" s="35" t="inlineStr">
        <is>
          <t>Нет ОКВЭД/ССЧР</t>
        </is>
      </c>
      <c r="V5915" s="35" t="inlineStr">
        <is>
          <t>Не определено</t>
        </is>
      </c>
      <c r="W5915" s="35" t="inlineStr"/>
      <c r="X5915" s="35" t="inlineStr"/>
    </row>
    <row r="5916" ht="27.75" customHeight="1" s="24">
      <c r="A5916" s="13" t="n">
        <v>5000081568</v>
      </c>
      <c r="B5916" s="13" t="inlineStr">
        <is>
          <t>МОУ Средняя общеобразовательная школа  № 4 г. Иркутска</t>
        </is>
      </c>
      <c r="C5916" s="13" t="n">
        <v>3812007855</v>
      </c>
      <c r="D5916" s="13" t="inlineStr">
        <is>
          <t>3812007855</t>
        </is>
      </c>
      <c r="E5916" s="13" t="inlineStr">
        <is>
          <t>ЮЛ РФ</t>
        </is>
      </c>
      <c r="F5916" s="13" t="n"/>
      <c r="G5916" s="14" t="n"/>
      <c r="H5916" s="14" t="n"/>
      <c r="I5916" s="14" t="n"/>
      <c r="J5916" s="14" t="n"/>
      <c r="K5916" s="53" t="inlineStr"/>
      <c r="L5916" s="53" t="inlineStr">
        <is>
          <t>Не определено</t>
        </is>
      </c>
      <c r="M5916" s="53" t="inlineStr"/>
      <c r="N5916" s="54" t="inlineStr"/>
      <c r="O5916" s="55" t="inlineStr"/>
      <c r="P5916" s="16" t="inlineStr">
        <is>
          <t>Требует обогащения</t>
        </is>
      </c>
      <c r="Q5916" s="16">
        <f>HYPERLINK("https://pb.nalog.ru/search.html?query=3812007855","ФНС: проверить")</f>
        <v/>
      </c>
      <c r="R5916" s="16">
        <f>HYPERLINK("https://checko.ru/search?query=3801001629","Чекко: проверить")</f>
        <v/>
      </c>
      <c r="S5916" t="n">
        <v>1</v>
      </c>
      <c r="T5916" s="35" t="inlineStr">
        <is>
          <t>4 — Не обогащён</t>
        </is>
      </c>
      <c r="U5916" s="35" t="inlineStr">
        <is>
          <t>Нет ОКВЭД/ССЧР</t>
        </is>
      </c>
      <c r="V5916" s="35" t="inlineStr">
        <is>
          <t>Не определено</t>
        </is>
      </c>
      <c r="W5916" s="35" t="inlineStr"/>
      <c r="X5916" s="35" t="inlineStr"/>
    </row>
    <row r="5917" ht="27.75" customHeight="1" s="24">
      <c r="A5917" s="13" t="n">
        <v>5000081573</v>
      </c>
      <c r="B5917" s="13" t="inlineStr">
        <is>
          <t>МБОУ г.Иркутска средняя общеобразовательная школа №75</t>
        </is>
      </c>
      <c r="C5917" s="13" t="n">
        <v>3812008231</v>
      </c>
      <c r="D5917" s="13" t="inlineStr">
        <is>
          <t>3812008231</t>
        </is>
      </c>
      <c r="E5917" s="13" t="inlineStr">
        <is>
          <t>ЮЛ РФ</t>
        </is>
      </c>
      <c r="F5917" s="13" t="n"/>
      <c r="G5917" s="14" t="n"/>
      <c r="H5917" s="14" t="n"/>
      <c r="I5917" s="14" t="n"/>
      <c r="J5917" s="14" t="n"/>
      <c r="K5917" s="53" t="inlineStr"/>
      <c r="L5917" s="53" t="inlineStr">
        <is>
          <t>Не определено</t>
        </is>
      </c>
      <c r="M5917" s="53" t="inlineStr"/>
      <c r="N5917" s="54" t="inlineStr"/>
      <c r="O5917" s="55" t="inlineStr"/>
      <c r="P5917" s="16" t="inlineStr">
        <is>
          <t>Требует обогащения</t>
        </is>
      </c>
      <c r="Q5917" s="16">
        <f>HYPERLINK("https://pb.nalog.ru/search.html?query=3812008231","ФНС: проверить")</f>
        <v/>
      </c>
      <c r="R5917" s="16">
        <f>HYPERLINK("https://checko.ru/search?query=3801001629","Чекко: проверить")</f>
        <v/>
      </c>
      <c r="S5917" t="n">
        <v>1</v>
      </c>
      <c r="T5917" s="35" t="inlineStr">
        <is>
          <t>4 — Не обогащён</t>
        </is>
      </c>
      <c r="U5917" s="35" t="inlineStr">
        <is>
          <t>Нет ОКВЭД/ССЧР</t>
        </is>
      </c>
      <c r="V5917" s="35" t="inlineStr">
        <is>
          <t>Не определено</t>
        </is>
      </c>
      <c r="W5917" s="35" t="inlineStr"/>
      <c r="X5917" s="35" t="inlineStr"/>
    </row>
    <row r="5918" ht="27.75" customHeight="1" s="24">
      <c r="A5918" s="13" t="n">
        <v>5000077060</v>
      </c>
      <c r="B5918" s="13" t="inlineStr">
        <is>
          <t>Вечерняя (сменная) общеобразовательная школа №20 при исправительно-трудовой колонии МОУ</t>
        </is>
      </c>
      <c r="C5918" s="13" t="n">
        <v>7534012809</v>
      </c>
      <c r="D5918" s="13" t="inlineStr">
        <is>
          <t>7534012809</t>
        </is>
      </c>
      <c r="E5918" s="13" t="inlineStr">
        <is>
          <t>ЮЛ РФ</t>
        </is>
      </c>
      <c r="F5918" s="13" t="n"/>
      <c r="G5918" s="14" t="n"/>
      <c r="H5918" s="14" t="n"/>
      <c r="I5918" s="14" t="n"/>
      <c r="J5918" s="14" t="n"/>
      <c r="K5918" s="53" t="inlineStr"/>
      <c r="L5918" s="53" t="inlineStr">
        <is>
          <t>Не определено</t>
        </is>
      </c>
      <c r="M5918" s="53" t="inlineStr"/>
      <c r="N5918" s="54" t="inlineStr"/>
      <c r="O5918" s="55" t="inlineStr"/>
      <c r="P5918" s="16" t="inlineStr">
        <is>
          <t>Требует обогащения</t>
        </is>
      </c>
      <c r="Q5918" s="16">
        <f>HYPERLINK("https://pb.nalog.ru/search.html?query=7534012809","ФНС: проверить")</f>
        <v/>
      </c>
      <c r="R5918" s="16">
        <f>HYPERLINK("https://checko.ru/search?query=3801001629","Чекко: проверить")</f>
        <v/>
      </c>
      <c r="S5918" t="n">
        <v>1</v>
      </c>
      <c r="T5918" s="35" t="inlineStr">
        <is>
          <t>4 — Не обогащён</t>
        </is>
      </c>
      <c r="U5918" s="35" t="inlineStr">
        <is>
          <t>Нет ОКВЭД/ССЧР</t>
        </is>
      </c>
      <c r="V5918" s="35" t="inlineStr">
        <is>
          <t>Не определено</t>
        </is>
      </c>
      <c r="W5918" s="35" t="inlineStr"/>
      <c r="X5918" s="35" t="inlineStr"/>
    </row>
    <row r="5919" ht="41.25" customHeight="1" s="24">
      <c r="A5919" s="13" t="n">
        <v>5000077056</v>
      </c>
      <c r="B5919" s="13" t="inlineStr">
        <is>
          <t>ГОУ для детей нуждающихся в психолого-педагогической и медико-социальной помощи "Центр психолого-медикосоциаль</t>
        </is>
      </c>
      <c r="C5919" s="13" t="n">
        <v>7537008800</v>
      </c>
      <c r="D5919" s="13" t="inlineStr">
        <is>
          <t>7537008800</t>
        </is>
      </c>
      <c r="E5919" s="13" t="inlineStr">
        <is>
          <t>ЮЛ РФ</t>
        </is>
      </c>
      <c r="F5919" s="13" t="n"/>
      <c r="G5919" s="14" t="n"/>
      <c r="H5919" s="14" t="n"/>
      <c r="I5919" s="14" t="n"/>
      <c r="J5919" s="14" t="n"/>
      <c r="K5919" s="53" t="inlineStr"/>
      <c r="L5919" s="53" t="inlineStr">
        <is>
          <t>Не определено</t>
        </is>
      </c>
      <c r="M5919" s="53" t="inlineStr"/>
      <c r="N5919" s="54" t="inlineStr"/>
      <c r="O5919" s="55" t="inlineStr"/>
      <c r="P5919" s="16" t="inlineStr">
        <is>
          <t>Требует обогащения</t>
        </is>
      </c>
      <c r="Q5919" s="16">
        <f>HYPERLINK("https://pb.nalog.ru/search.html?query=7537008800","ФНС: проверить")</f>
        <v/>
      </c>
      <c r="R5919" s="16">
        <f>HYPERLINK("https://checko.ru/search?query=3801001629","Чекко: проверить")</f>
        <v/>
      </c>
      <c r="S5919" t="n">
        <v>1</v>
      </c>
      <c r="T5919" s="35" t="inlineStr">
        <is>
          <t>4 — Не обогащён</t>
        </is>
      </c>
      <c r="U5919" s="35" t="inlineStr">
        <is>
          <t>Нет ОКВЭД/ССЧР</t>
        </is>
      </c>
      <c r="V5919" s="35" t="inlineStr">
        <is>
          <t>Не определено</t>
        </is>
      </c>
      <c r="W5919" s="35" t="inlineStr"/>
      <c r="X5919" s="35" t="inlineStr"/>
    </row>
    <row r="5920" ht="15" customHeight="1" s="24">
      <c r="A5920" s="13" t="n">
        <v>5000077067</v>
      </c>
      <c r="B5920" s="13" t="inlineStr">
        <is>
          <t>Нерчинский аграрный техникум</t>
        </is>
      </c>
      <c r="C5920" s="13" t="n">
        <v>7513000270</v>
      </c>
      <c r="D5920" s="13" t="inlineStr">
        <is>
          <t>7513000270</t>
        </is>
      </c>
      <c r="E5920" s="13" t="inlineStr">
        <is>
          <t>ЮЛ РФ</t>
        </is>
      </c>
      <c r="F5920" s="13" t="n"/>
      <c r="G5920" s="14" t="n"/>
      <c r="H5920" s="14" t="n"/>
      <c r="I5920" s="14" t="n"/>
      <c r="J5920" s="14" t="n"/>
      <c r="K5920" s="53" t="inlineStr"/>
      <c r="L5920" s="53" t="inlineStr">
        <is>
          <t>Не определено</t>
        </is>
      </c>
      <c r="M5920" s="53" t="inlineStr"/>
      <c r="N5920" s="54" t="inlineStr"/>
      <c r="O5920" s="55" t="inlineStr"/>
      <c r="P5920" s="16" t="inlineStr">
        <is>
          <t>Требует обогащения</t>
        </is>
      </c>
      <c r="Q5920" s="16">
        <f>HYPERLINK("https://pb.nalog.ru/search.html?query=7513000270","ФНС: проверить")</f>
        <v/>
      </c>
      <c r="R5920" s="16">
        <f>HYPERLINK("https://checko.ru/search?query=3801001629","Чекко: проверить")</f>
        <v/>
      </c>
      <c r="S5920" t="n">
        <v>1</v>
      </c>
      <c r="T5920" s="35" t="inlineStr">
        <is>
          <t>4 — Не обогащён</t>
        </is>
      </c>
      <c r="U5920" s="35" t="inlineStr">
        <is>
          <t>Нет ОКВЭД/ССЧР</t>
        </is>
      </c>
      <c r="V5920" s="35" t="inlineStr">
        <is>
          <t>Не определено</t>
        </is>
      </c>
      <c r="W5920" s="35" t="inlineStr"/>
      <c r="X5920" s="35" t="inlineStr"/>
    </row>
    <row r="5921" ht="27.75" customHeight="1" s="24">
      <c r="A5921" s="13" t="n">
        <v>5000118205</v>
      </c>
      <c r="B5921" s="13" t="inlineStr">
        <is>
          <t>Агентство лесного хозяйства и охраны животного мира Камчатского к</t>
        </is>
      </c>
      <c r="C5921" s="13" t="n">
        <v>4101145761</v>
      </c>
      <c r="D5921" s="13" t="inlineStr">
        <is>
          <t>4101145761</t>
        </is>
      </c>
      <c r="E5921" s="13" t="inlineStr">
        <is>
          <t>ЮЛ РФ</t>
        </is>
      </c>
      <c r="F5921" s="13" t="n"/>
      <c r="G5921" s="14" t="n"/>
      <c r="H5921" s="14" t="n"/>
      <c r="I5921" s="14" t="n"/>
      <c r="J5921" s="14" t="n"/>
      <c r="K5921" s="53" t="inlineStr"/>
      <c r="L5921" s="53" t="inlineStr">
        <is>
          <t>Не определено</t>
        </is>
      </c>
      <c r="M5921" s="53" t="inlineStr"/>
      <c r="N5921" s="54" t="inlineStr"/>
      <c r="O5921" s="55" t="inlineStr"/>
      <c r="P5921" s="16" t="inlineStr">
        <is>
          <t>Требует обогащения</t>
        </is>
      </c>
      <c r="Q5921" s="16">
        <f>HYPERLINK("https://pb.nalog.ru/search.html?query=4101145761","ФНС: проверить")</f>
        <v/>
      </c>
      <c r="R5921" s="16">
        <f>HYPERLINK("https://checko.ru/search?query=3801001629","Чекко: проверить")</f>
        <v/>
      </c>
      <c r="S5921" t="n">
        <v>1</v>
      </c>
      <c r="T5921" s="35" t="inlineStr">
        <is>
          <t>4 — Не обогащён</t>
        </is>
      </c>
      <c r="U5921" s="35" t="inlineStr">
        <is>
          <t>Нет ОКВЭД/ССЧР</t>
        </is>
      </c>
      <c r="V5921" s="35" t="inlineStr">
        <is>
          <t>Не определено</t>
        </is>
      </c>
      <c r="W5921" s="35" t="inlineStr"/>
      <c r="X5921" s="35" t="inlineStr"/>
    </row>
    <row r="5922" ht="54.75" customHeight="1" s="24">
      <c r="A5922" s="13" t="n">
        <v>5000024275</v>
      </c>
      <c r="B5922" s="13" t="inlineStr">
        <is>
          <t>Муниципальное бюджетное учреждение Солнечногорского муниципального района "Физкультурно-оздоровительный комплекс "Поварово"</t>
        </is>
      </c>
      <c r="C5922" s="13" t="n">
        <v>5044109710</v>
      </c>
      <c r="D5922" s="13" t="inlineStr">
        <is>
          <t>5044109710</t>
        </is>
      </c>
      <c r="E5922" s="13" t="inlineStr">
        <is>
          <t>ЮЛ РФ</t>
        </is>
      </c>
      <c r="F5922" s="13" t="n"/>
      <c r="G5922" s="14" t="n"/>
      <c r="H5922" s="14" t="n"/>
      <c r="I5922" s="14" t="n"/>
      <c r="J5922" s="14" t="n"/>
      <c r="K5922" s="53" t="inlineStr"/>
      <c r="L5922" s="53" t="inlineStr">
        <is>
          <t>Не определено</t>
        </is>
      </c>
      <c r="M5922" s="53" t="inlineStr"/>
      <c r="N5922" s="54" t="inlineStr"/>
      <c r="O5922" s="55" t="inlineStr"/>
      <c r="P5922" s="16" t="inlineStr">
        <is>
          <t>Требует обогащения</t>
        </is>
      </c>
      <c r="Q5922" s="16">
        <f>HYPERLINK("https://pb.nalog.ru/search.html?query=5044109710","ФНС: проверить")</f>
        <v/>
      </c>
      <c r="R5922" s="16">
        <f>HYPERLINK("https://checko.ru/search?query=3801001629","Чекко: проверить")</f>
        <v/>
      </c>
      <c r="S5922" t="n">
        <v>1</v>
      </c>
      <c r="T5922" s="35" t="inlineStr">
        <is>
          <t>4 — Не обогащён</t>
        </is>
      </c>
      <c r="U5922" s="35" t="inlineStr">
        <is>
          <t>Нет ОКВЭД/ССЧР</t>
        </is>
      </c>
      <c r="V5922" s="35" t="inlineStr">
        <is>
          <t>Не определено</t>
        </is>
      </c>
      <c r="W5922" s="35" t="inlineStr"/>
      <c r="X5922" s="35" t="inlineStr"/>
    </row>
    <row r="5923" ht="41.25" customHeight="1" s="24">
      <c r="A5923" s="13" t="n">
        <v>5000118283</v>
      </c>
      <c r="B5923" s="13" t="inlineStr">
        <is>
          <t>МУНИЦИПАЛЬНОЕ БЮДЖЕТНОЕ УЧРЕЖДЕНИЕ "ОРЕХОВО-ЗУЕВСКИЙ КОМБИНАТ БЛАГОУСТРОЙСТВА"</t>
        </is>
      </c>
      <c r="C5923" s="13" t="n">
        <v>5034051355</v>
      </c>
      <c r="D5923" s="13" t="inlineStr">
        <is>
          <t>5034051355</t>
        </is>
      </c>
      <c r="E5923" s="13" t="inlineStr">
        <is>
          <t>ЮЛ РФ</t>
        </is>
      </c>
      <c r="F5923" s="13" t="n"/>
      <c r="G5923" s="14" t="n"/>
      <c r="H5923" s="14" t="n"/>
      <c r="I5923" s="14" t="n"/>
      <c r="J5923" s="14" t="n"/>
      <c r="K5923" s="53" t="inlineStr"/>
      <c r="L5923" s="53" t="inlineStr">
        <is>
          <t>Не определено</t>
        </is>
      </c>
      <c r="M5923" s="53" t="inlineStr"/>
      <c r="N5923" s="54" t="inlineStr"/>
      <c r="O5923" s="55" t="inlineStr"/>
      <c r="P5923" s="16" t="inlineStr">
        <is>
          <t>Требует обогащения</t>
        </is>
      </c>
      <c r="Q5923" s="16">
        <f>HYPERLINK("https://pb.nalog.ru/search.html?query=5034051355","ФНС: проверить")</f>
        <v/>
      </c>
      <c r="R5923" s="16">
        <f>HYPERLINK("https://checko.ru/search?query=3801001629","Чекко: проверить")</f>
        <v/>
      </c>
      <c r="S5923" t="n">
        <v>1</v>
      </c>
      <c r="T5923" s="35" t="inlineStr">
        <is>
          <t>4 — Не обогащён</t>
        </is>
      </c>
      <c r="U5923" s="35" t="inlineStr">
        <is>
          <t>Нет ОКВЭД/ССЧР</t>
        </is>
      </c>
      <c r="V5923" s="35" t="inlineStr">
        <is>
          <t>Не определено</t>
        </is>
      </c>
      <c r="W5923" s="35" t="inlineStr"/>
      <c r="X5923" s="35" t="inlineStr"/>
    </row>
    <row r="5924" ht="27.75" customHeight="1" s="24">
      <c r="A5924" s="13" t="n">
        <v>5000081663</v>
      </c>
      <c r="B5924" s="13" t="inlineStr">
        <is>
          <t>МАОУ ГОРОДА ИРКУТСКА СРЕДНЯЯ ОБЩЕОБРАЗОВАТЕЛЬНАЯ ШКОЛА №69</t>
        </is>
      </c>
      <c r="C5924" s="13" t="n">
        <v>3810070393</v>
      </c>
      <c r="D5924" s="13" t="inlineStr">
        <is>
          <t>3810070393</t>
        </is>
      </c>
      <c r="E5924" s="13" t="inlineStr">
        <is>
          <t>ЮЛ РФ</t>
        </is>
      </c>
      <c r="F5924" s="13" t="n"/>
      <c r="G5924" s="14" t="n"/>
      <c r="H5924" s="14" t="n"/>
      <c r="I5924" s="14" t="n"/>
      <c r="J5924" s="14" t="n"/>
      <c r="K5924" s="53" t="inlineStr"/>
      <c r="L5924" s="53" t="inlineStr">
        <is>
          <t>Не определено</t>
        </is>
      </c>
      <c r="M5924" s="53" t="inlineStr"/>
      <c r="N5924" s="54" t="inlineStr"/>
      <c r="O5924" s="55" t="inlineStr"/>
      <c r="P5924" s="16" t="inlineStr">
        <is>
          <t>Требует обогащения</t>
        </is>
      </c>
      <c r="Q5924" s="16">
        <f>HYPERLINK("https://pb.nalog.ru/search.html?query=3810070393","ФНС: проверить")</f>
        <v/>
      </c>
      <c r="R5924" s="16">
        <f>HYPERLINK("https://checko.ru/search?query=3801001629","Чекко: проверить")</f>
        <v/>
      </c>
      <c r="S5924" t="n">
        <v>1</v>
      </c>
      <c r="T5924" s="35" t="inlineStr">
        <is>
          <t>4 — Не обогащён</t>
        </is>
      </c>
      <c r="U5924" s="35" t="inlineStr">
        <is>
          <t>Нет ОКВЭД/ССЧР</t>
        </is>
      </c>
      <c r="V5924" s="35" t="inlineStr">
        <is>
          <t>Не определено</t>
        </is>
      </c>
      <c r="W5924" s="35" t="inlineStr"/>
      <c r="X5924" s="35" t="inlineStr"/>
    </row>
    <row r="5925" ht="27.75" customHeight="1" s="24">
      <c r="A5925" s="13" t="n">
        <v>5000081659</v>
      </c>
      <c r="B5925" s="13" t="inlineStr">
        <is>
          <t>МБОУ средняя общеобразовательная школа № 40 г. Иркутска</t>
        </is>
      </c>
      <c r="C5925" s="13" t="n">
        <v>3810023717</v>
      </c>
      <c r="D5925" s="13" t="inlineStr">
        <is>
          <t>3810023717</t>
        </is>
      </c>
      <c r="E5925" s="13" t="inlineStr">
        <is>
          <t>ЮЛ РФ</t>
        </is>
      </c>
      <c r="F5925" s="13" t="n"/>
      <c r="G5925" s="14" t="n"/>
      <c r="H5925" s="14" t="n"/>
      <c r="I5925" s="14" t="n"/>
      <c r="J5925" s="14" t="n"/>
      <c r="K5925" s="53" t="inlineStr"/>
      <c r="L5925" s="53" t="inlineStr">
        <is>
          <t>Не определено</t>
        </is>
      </c>
      <c r="M5925" s="53" t="inlineStr"/>
      <c r="N5925" s="54" t="inlineStr"/>
      <c r="O5925" s="55" t="inlineStr"/>
      <c r="P5925" s="16" t="inlineStr">
        <is>
          <t>Требует обогащения</t>
        </is>
      </c>
      <c r="Q5925" s="16">
        <f>HYPERLINK("https://pb.nalog.ru/search.html?query=3810023717","ФНС: проверить")</f>
        <v/>
      </c>
      <c r="R5925" s="16">
        <f>HYPERLINK("https://checko.ru/search?query=3801001629","Чекко: проверить")</f>
        <v/>
      </c>
      <c r="S5925" t="n">
        <v>1</v>
      </c>
      <c r="T5925" s="35" t="inlineStr">
        <is>
          <t>4 — Не обогащён</t>
        </is>
      </c>
      <c r="U5925" s="35" t="inlineStr">
        <is>
          <t>Нет ОКВЭД/ССЧР</t>
        </is>
      </c>
      <c r="V5925" s="35" t="inlineStr">
        <is>
          <t>Не определено</t>
        </is>
      </c>
      <c r="W5925" s="35" t="inlineStr"/>
      <c r="X5925" s="35" t="inlineStr"/>
    </row>
    <row r="5926" ht="27.75" customHeight="1" s="24">
      <c r="A5926" s="13" t="n">
        <v>5000048068</v>
      </c>
      <c r="B5926" s="13" t="inlineStr">
        <is>
          <t>МБОУ города Иркутска средняя общеобразовательная школа № 12</t>
        </is>
      </c>
      <c r="C5926" s="13" t="n">
        <v>3810024421</v>
      </c>
      <c r="D5926" s="13" t="inlineStr">
        <is>
          <t>3810024421</t>
        </is>
      </c>
      <c r="E5926" s="13" t="inlineStr">
        <is>
          <t>ЮЛ РФ</t>
        </is>
      </c>
      <c r="F5926" s="13" t="n"/>
      <c r="G5926" s="14" t="n"/>
      <c r="H5926" s="14" t="n"/>
      <c r="I5926" s="14" t="n"/>
      <c r="J5926" s="14" t="n"/>
      <c r="K5926" s="53" t="inlineStr"/>
      <c r="L5926" s="53" t="inlineStr">
        <is>
          <t>Не определено</t>
        </is>
      </c>
      <c r="M5926" s="53" t="inlineStr"/>
      <c r="N5926" s="54" t="inlineStr"/>
      <c r="O5926" s="55" t="inlineStr"/>
      <c r="P5926" s="16" t="inlineStr">
        <is>
          <t>Требует обогащения</t>
        </is>
      </c>
      <c r="Q5926" s="16">
        <f>HYPERLINK("https://pb.nalog.ru/search.html?query=3810024421","ФНС: проверить")</f>
        <v/>
      </c>
      <c r="R5926" s="16">
        <f>HYPERLINK("https://checko.ru/search?query=3801001629","Чекко: проверить")</f>
        <v/>
      </c>
      <c r="S5926" t="n">
        <v>1</v>
      </c>
      <c r="T5926" s="35" t="inlineStr">
        <is>
          <t>4 — Не обогащён</t>
        </is>
      </c>
      <c r="U5926" s="35" t="inlineStr">
        <is>
          <t>Нет ОКВЭД/ССЧР</t>
        </is>
      </c>
      <c r="V5926" s="35" t="inlineStr">
        <is>
          <t>Не определено</t>
        </is>
      </c>
      <c r="W5926" s="35" t="inlineStr"/>
      <c r="X5926" s="35" t="inlineStr"/>
    </row>
    <row r="5927" ht="41.25" customHeight="1" s="24">
      <c r="A5927" s="13" t="n">
        <v>5000048075</v>
      </c>
      <c r="B5927" s="13" t="inlineStr">
        <is>
          <t>МБОУ города Иркутска общеобразовательная школа-интернат № 13 основного общего образования</t>
        </is>
      </c>
      <c r="C5927" s="13" t="n">
        <v>3810024189</v>
      </c>
      <c r="D5927" s="13" t="inlineStr">
        <is>
          <t>3810024189</t>
        </is>
      </c>
      <c r="E5927" s="13" t="inlineStr">
        <is>
          <t>ЮЛ РФ</t>
        </is>
      </c>
      <c r="F5927" s="13" t="n"/>
      <c r="G5927" s="14" t="n"/>
      <c r="H5927" s="14" t="n"/>
      <c r="I5927" s="14" t="n"/>
      <c r="J5927" s="14" t="n"/>
      <c r="K5927" s="53" t="inlineStr"/>
      <c r="L5927" s="53" t="inlineStr">
        <is>
          <t>Не определено</t>
        </is>
      </c>
      <c r="M5927" s="53" t="inlineStr"/>
      <c r="N5927" s="54" t="inlineStr"/>
      <c r="O5927" s="55" t="inlineStr"/>
      <c r="P5927" s="16" t="inlineStr">
        <is>
          <t>Требует обогащения</t>
        </is>
      </c>
      <c r="Q5927" s="16">
        <f>HYPERLINK("https://pb.nalog.ru/search.html?query=3810024189","ФНС: проверить")</f>
        <v/>
      </c>
      <c r="R5927" s="16">
        <f>HYPERLINK("https://checko.ru/search?query=3801001629","Чекко: проверить")</f>
        <v/>
      </c>
      <c r="S5927" t="n">
        <v>1</v>
      </c>
      <c r="T5927" s="35" t="inlineStr">
        <is>
          <t>4 — Не обогащён</t>
        </is>
      </c>
      <c r="U5927" s="35" t="inlineStr">
        <is>
          <t>Нет ОКВЭД/ССЧР</t>
        </is>
      </c>
      <c r="V5927" s="35" t="inlineStr">
        <is>
          <t>Не определено</t>
        </is>
      </c>
      <c r="W5927" s="35" t="inlineStr"/>
      <c r="X5927" s="35" t="inlineStr"/>
    </row>
    <row r="5928" ht="15" customHeight="1" s="24">
      <c r="A5928" s="13" t="n">
        <v>5000067258</v>
      </c>
      <c r="B5928" s="13" t="inlineStr">
        <is>
          <t>ГУ "Центр экспертиз"</t>
        </is>
      </c>
      <c r="C5928" s="13" t="n">
        <v>8001015420</v>
      </c>
      <c r="D5928" s="13" t="inlineStr">
        <is>
          <t>8001015420</t>
        </is>
      </c>
      <c r="E5928" s="13" t="inlineStr">
        <is>
          <t>ЮЛ РФ</t>
        </is>
      </c>
      <c r="F5928" s="13" t="n"/>
      <c r="G5928" s="14" t="n"/>
      <c r="H5928" s="14" t="n"/>
      <c r="I5928" s="14" t="n"/>
      <c r="J5928" s="14" t="n"/>
      <c r="K5928" s="53" t="inlineStr"/>
      <c r="L5928" s="53" t="inlineStr">
        <is>
          <t>Не определено</t>
        </is>
      </c>
      <c r="M5928" s="53" t="inlineStr"/>
      <c r="N5928" s="54" t="inlineStr"/>
      <c r="O5928" s="55" t="inlineStr"/>
      <c r="P5928" s="16" t="inlineStr">
        <is>
          <t>Требует обогащения</t>
        </is>
      </c>
      <c r="Q5928" s="16">
        <f>HYPERLINK("https://pb.nalog.ru/search.html?query=8001015420","ФНС: проверить")</f>
        <v/>
      </c>
      <c r="R5928" s="16">
        <f>HYPERLINK("https://checko.ru/search?query=3801001629","Чекко: проверить")</f>
        <v/>
      </c>
      <c r="S5928" t="n">
        <v>1</v>
      </c>
      <c r="T5928" s="35" t="inlineStr">
        <is>
          <t>4 — Не обогащён</t>
        </is>
      </c>
      <c r="U5928" s="35" t="inlineStr">
        <is>
          <t>Нет ОКВЭД/ССЧР</t>
        </is>
      </c>
      <c r="V5928" s="35" t="inlineStr">
        <is>
          <t>Не определено</t>
        </is>
      </c>
      <c r="W5928" s="35" t="inlineStr"/>
      <c r="X5928" s="35" t="inlineStr"/>
    </row>
    <row r="5929" ht="15" customHeight="1" s="24">
      <c r="A5929" s="13" t="n">
        <v>5000116611</v>
      </c>
      <c r="B5929" s="13" t="inlineStr">
        <is>
          <t>МЕТРОЛОГ, КДЦ, МАУ</t>
        </is>
      </c>
      <c r="C5929" s="13" t="n">
        <v>5044065621</v>
      </c>
      <c r="D5929" s="13" t="inlineStr">
        <is>
          <t>5044065621</t>
        </is>
      </c>
      <c r="E5929" s="13" t="inlineStr">
        <is>
          <t>ЮЛ РФ</t>
        </is>
      </c>
      <c r="F5929" s="13" t="n"/>
      <c r="G5929" s="14" t="n"/>
      <c r="H5929" s="14" t="n"/>
      <c r="I5929" s="14" t="n"/>
      <c r="J5929" s="14" t="n"/>
      <c r="K5929" s="53" t="inlineStr"/>
      <c r="L5929" s="53" t="inlineStr">
        <is>
          <t>Не определено</t>
        </is>
      </c>
      <c r="M5929" s="53" t="inlineStr"/>
      <c r="N5929" s="54" t="inlineStr"/>
      <c r="O5929" s="55" t="inlineStr"/>
      <c r="P5929" s="16" t="inlineStr">
        <is>
          <t>Требует обогащения</t>
        </is>
      </c>
      <c r="Q5929" s="16">
        <f>HYPERLINK("https://pb.nalog.ru/search.html?query=5044065621","ФНС: проверить")</f>
        <v/>
      </c>
      <c r="R5929" s="16">
        <f>HYPERLINK("https://checko.ru/search?query=3801001629","Чекко: проверить")</f>
        <v/>
      </c>
      <c r="S5929" t="n">
        <v>1</v>
      </c>
      <c r="T5929" s="35" t="inlineStr">
        <is>
          <t>4 — Не обогащён</t>
        </is>
      </c>
      <c r="U5929" s="35" t="inlineStr">
        <is>
          <t>Нет ОКВЭД/ССЧР</t>
        </is>
      </c>
      <c r="V5929" s="35" t="inlineStr">
        <is>
          <t>Не определено</t>
        </is>
      </c>
      <c r="W5929" s="35" t="inlineStr"/>
      <c r="X5929" s="35" t="inlineStr"/>
    </row>
    <row r="5930" ht="15" customHeight="1" s="24">
      <c r="A5930" s="13" t="n">
        <v>5000081616</v>
      </c>
      <c r="B5930" s="13" t="inlineStr">
        <is>
          <t>МОУ Центр образования №10 г. Иркутска</t>
        </is>
      </c>
      <c r="C5930" s="13" t="n">
        <v>3811057525</v>
      </c>
      <c r="D5930" s="13" t="inlineStr">
        <is>
          <t>3811057525</t>
        </is>
      </c>
      <c r="E5930" s="13" t="inlineStr">
        <is>
          <t>ЮЛ РФ</t>
        </is>
      </c>
      <c r="F5930" s="13" t="n"/>
      <c r="G5930" s="14" t="n"/>
      <c r="H5930" s="14" t="n"/>
      <c r="I5930" s="14" t="n"/>
      <c r="J5930" s="14" t="n"/>
      <c r="K5930" s="53" t="inlineStr"/>
      <c r="L5930" s="53" t="inlineStr">
        <is>
          <t>Не определено</t>
        </is>
      </c>
      <c r="M5930" s="53" t="inlineStr"/>
      <c r="N5930" s="54" t="inlineStr"/>
      <c r="O5930" s="55" t="inlineStr"/>
      <c r="P5930" s="16" t="inlineStr">
        <is>
          <t>Требует обогащения</t>
        </is>
      </c>
      <c r="Q5930" s="16">
        <f>HYPERLINK("https://pb.nalog.ru/search.html?query=3811057525","ФНС: проверить")</f>
        <v/>
      </c>
      <c r="R5930" s="16">
        <f>HYPERLINK("https://checko.ru/search?query=3801001629","Чекко: проверить")</f>
        <v/>
      </c>
      <c r="S5930" t="n">
        <v>1</v>
      </c>
      <c r="T5930" s="35" t="inlineStr">
        <is>
          <t>4 — Не обогащён</t>
        </is>
      </c>
      <c r="U5930" s="35" t="inlineStr">
        <is>
          <t>Нет ОКВЭД/ССЧР</t>
        </is>
      </c>
      <c r="V5930" s="35" t="inlineStr">
        <is>
          <t>Не определено</t>
        </is>
      </c>
      <c r="W5930" s="35" t="inlineStr"/>
      <c r="X5930" s="35" t="inlineStr"/>
    </row>
    <row r="5931" ht="27.75" customHeight="1" s="24">
      <c r="A5931" s="13" t="n">
        <v>5000081662</v>
      </c>
      <c r="B5931" s="13" t="inlineStr">
        <is>
          <t>МБОУ города Иркутска средняя общеобразовательная школа № 57</t>
        </is>
      </c>
      <c r="C5931" s="13" t="n">
        <v>3810017858</v>
      </c>
      <c r="D5931" s="13" t="inlineStr">
        <is>
          <t>3810017858</t>
        </is>
      </c>
      <c r="E5931" s="13" t="inlineStr">
        <is>
          <t>ЮЛ РФ</t>
        </is>
      </c>
      <c r="F5931" s="13" t="n"/>
      <c r="G5931" s="14" t="n"/>
      <c r="H5931" s="14" t="n"/>
      <c r="I5931" s="14" t="n"/>
      <c r="J5931" s="14" t="n"/>
      <c r="K5931" s="53" t="inlineStr"/>
      <c r="L5931" s="53" t="inlineStr">
        <is>
          <t>Не определено</t>
        </is>
      </c>
      <c r="M5931" s="53" t="inlineStr"/>
      <c r="N5931" s="54" t="inlineStr"/>
      <c r="O5931" s="55" t="inlineStr"/>
      <c r="P5931" s="16" t="inlineStr">
        <is>
          <t>Требует обогащения</t>
        </is>
      </c>
      <c r="Q5931" s="16">
        <f>HYPERLINK("https://pb.nalog.ru/search.html?query=3810017858","ФНС: проверить")</f>
        <v/>
      </c>
      <c r="R5931" s="16">
        <f>HYPERLINK("https://checko.ru/search?query=3801001629","Чекко: проверить")</f>
        <v/>
      </c>
      <c r="S5931" t="n">
        <v>1</v>
      </c>
      <c r="T5931" s="35" t="inlineStr">
        <is>
          <t>4 — Не обогащён</t>
        </is>
      </c>
      <c r="U5931" s="35" t="inlineStr">
        <is>
          <t>Нет ОКВЭД/ССЧР</t>
        </is>
      </c>
      <c r="V5931" s="35" t="inlineStr">
        <is>
          <t>Не определено</t>
        </is>
      </c>
      <c r="W5931" s="35" t="inlineStr"/>
      <c r="X5931" s="35" t="inlineStr"/>
    </row>
    <row r="5932" ht="15" customHeight="1" s="24">
      <c r="A5932" s="13" t="n">
        <v>5000048070</v>
      </c>
      <c r="B5932" s="13" t="inlineStr">
        <is>
          <t>МБОУ г. Иркутска СОШ  № 38</t>
        </is>
      </c>
      <c r="C5932" s="13" t="n">
        <v>3810023700</v>
      </c>
      <c r="D5932" s="13" t="inlineStr">
        <is>
          <t>3810023700</t>
        </is>
      </c>
      <c r="E5932" s="13" t="inlineStr">
        <is>
          <t>ЮЛ РФ</t>
        </is>
      </c>
      <c r="F5932" s="13" t="n"/>
      <c r="G5932" s="14" t="n"/>
      <c r="H5932" s="14" t="n"/>
      <c r="I5932" s="14" t="n"/>
      <c r="J5932" s="14" t="n"/>
      <c r="K5932" s="53" t="inlineStr"/>
      <c r="L5932" s="53" t="inlineStr">
        <is>
          <t>Не определено</t>
        </is>
      </c>
      <c r="M5932" s="53" t="inlineStr"/>
      <c r="N5932" s="54" t="inlineStr"/>
      <c r="O5932" s="55" t="inlineStr"/>
      <c r="P5932" s="16" t="inlineStr">
        <is>
          <t>Требует обогащения</t>
        </is>
      </c>
      <c r="Q5932" s="16">
        <f>HYPERLINK("https://pb.nalog.ru/search.html?query=3810023700","ФНС: проверить")</f>
        <v/>
      </c>
      <c r="R5932" s="16">
        <f>HYPERLINK("https://checko.ru/search?query=3801001629","Чекко: проверить")</f>
        <v/>
      </c>
      <c r="S5932" t="n">
        <v>1</v>
      </c>
      <c r="T5932" s="35" t="inlineStr">
        <is>
          <t>4 — Не обогащён</t>
        </is>
      </c>
      <c r="U5932" s="35" t="inlineStr">
        <is>
          <t>Нет ОКВЭД/ССЧР</t>
        </is>
      </c>
      <c r="V5932" s="35" t="inlineStr">
        <is>
          <t>Не определено</t>
        </is>
      </c>
      <c r="W5932" s="35" t="inlineStr"/>
      <c r="X5932" s="35" t="inlineStr"/>
    </row>
    <row r="5933" ht="27.75" customHeight="1" s="24">
      <c r="A5933" s="13" t="n">
        <v>5000077059</v>
      </c>
      <c r="B5933" s="13" t="inlineStr">
        <is>
          <t>Общеобразовательная школа-интернат Кадетская школа-интернат</t>
        </is>
      </c>
      <c r="C5933" s="13" t="n">
        <v>7535012061</v>
      </c>
      <c r="D5933" s="13" t="inlineStr">
        <is>
          <t>7535012061</t>
        </is>
      </c>
      <c r="E5933" s="13" t="inlineStr">
        <is>
          <t>ЮЛ РФ</t>
        </is>
      </c>
      <c r="F5933" s="13" t="n"/>
      <c r="G5933" s="14" t="n"/>
      <c r="H5933" s="14" t="n"/>
      <c r="I5933" s="14" t="n"/>
      <c r="J5933" s="14" t="n"/>
      <c r="K5933" s="53" t="inlineStr"/>
      <c r="L5933" s="53" t="inlineStr">
        <is>
          <t>Не определено</t>
        </is>
      </c>
      <c r="M5933" s="53" t="inlineStr"/>
      <c r="N5933" s="54" t="inlineStr"/>
      <c r="O5933" s="55" t="inlineStr"/>
      <c r="P5933" s="16" t="inlineStr">
        <is>
          <t>Требует обогащения</t>
        </is>
      </c>
      <c r="Q5933" s="16">
        <f>HYPERLINK("https://pb.nalog.ru/search.html?query=7535012061","ФНС: проверить")</f>
        <v/>
      </c>
      <c r="R5933" s="16">
        <f>HYPERLINK("https://checko.ru/search?query=3801001629","Чекко: проверить")</f>
        <v/>
      </c>
      <c r="S5933" t="n">
        <v>1</v>
      </c>
      <c r="T5933" s="35" t="inlineStr">
        <is>
          <t>4 — Не обогащён</t>
        </is>
      </c>
      <c r="U5933" s="35" t="inlineStr">
        <is>
          <t>Нет ОКВЭД/ССЧР</t>
        </is>
      </c>
      <c r="V5933" s="35" t="inlineStr">
        <is>
          <t>Не определено</t>
        </is>
      </c>
      <c r="W5933" s="35" t="inlineStr"/>
      <c r="X5933" s="35" t="inlineStr"/>
    </row>
    <row r="5934" ht="27.75" customHeight="1" s="24">
      <c r="A5934" s="13" t="n">
        <v>5000081576</v>
      </c>
      <c r="B5934" s="13" t="inlineStr">
        <is>
          <t>МБОУ ДОД Дом Детского Творчества №2  города Иркутска</t>
        </is>
      </c>
      <c r="C5934" s="13" t="n">
        <v>3809024106</v>
      </c>
      <c r="D5934" s="13" t="inlineStr">
        <is>
          <t>3809024106</t>
        </is>
      </c>
      <c r="E5934" s="13" t="inlineStr">
        <is>
          <t>ЮЛ РФ</t>
        </is>
      </c>
      <c r="F5934" s="13" t="n"/>
      <c r="G5934" s="14" t="n"/>
      <c r="H5934" s="14" t="n"/>
      <c r="I5934" s="14" t="n"/>
      <c r="J5934" s="14" t="n"/>
      <c r="K5934" s="53" t="inlineStr"/>
      <c r="L5934" s="53" t="inlineStr">
        <is>
          <t>Не определено</t>
        </is>
      </c>
      <c r="M5934" s="53" t="inlineStr"/>
      <c r="N5934" s="54" t="inlineStr"/>
      <c r="O5934" s="55" t="inlineStr"/>
      <c r="P5934" s="16" t="inlineStr">
        <is>
          <t>Требует обогащения</t>
        </is>
      </c>
      <c r="Q5934" s="16">
        <f>HYPERLINK("https://pb.nalog.ru/search.html?query=3809024106","ФНС: проверить")</f>
        <v/>
      </c>
      <c r="R5934" s="16">
        <f>HYPERLINK("https://checko.ru/search?query=3801001629","Чекко: проверить")</f>
        <v/>
      </c>
      <c r="S5934" t="n">
        <v>1</v>
      </c>
      <c r="T5934" s="35" t="inlineStr">
        <is>
          <t>4 — Не обогащён</t>
        </is>
      </c>
      <c r="U5934" s="35" t="inlineStr">
        <is>
          <t>Нет ОКВЭД/ССЧР</t>
        </is>
      </c>
      <c r="V5934" s="35" t="inlineStr">
        <is>
          <t>Не определено</t>
        </is>
      </c>
      <c r="W5934" s="35" t="inlineStr"/>
      <c r="X5934" s="35" t="inlineStr"/>
    </row>
    <row r="5935" ht="27.75" customHeight="1" s="24">
      <c r="A5935" s="13" t="n">
        <v>5000118208</v>
      </c>
      <c r="B5935" s="13" t="inlineStr">
        <is>
          <t>Региональная служба по тарифам и ценам Камчатского края</t>
        </is>
      </c>
      <c r="C5935" s="13" t="n">
        <v>4101121351</v>
      </c>
      <c r="D5935" s="13" t="inlineStr">
        <is>
          <t>4101121351</t>
        </is>
      </c>
      <c r="E5935" s="13" t="inlineStr">
        <is>
          <t>ЮЛ РФ</t>
        </is>
      </c>
      <c r="F5935" s="13" t="n"/>
      <c r="G5935" s="14" t="n"/>
      <c r="H5935" s="14" t="n"/>
      <c r="I5935" s="14" t="n"/>
      <c r="J5935" s="14" t="n"/>
      <c r="K5935" s="53" t="inlineStr"/>
      <c r="L5935" s="53" t="inlineStr">
        <is>
          <t>Не определено</t>
        </is>
      </c>
      <c r="M5935" s="53" t="inlineStr"/>
      <c r="N5935" s="54" t="inlineStr"/>
      <c r="O5935" s="55" t="inlineStr"/>
      <c r="P5935" s="16" t="inlineStr">
        <is>
          <t>Требует обогащения</t>
        </is>
      </c>
      <c r="Q5935" s="16">
        <f>HYPERLINK("https://pb.nalog.ru/search.html?query=4101121351","ФНС: проверить")</f>
        <v/>
      </c>
      <c r="R5935" s="16">
        <f>HYPERLINK("https://checko.ru/search?query=3801001629","Чекко: проверить")</f>
        <v/>
      </c>
      <c r="S5935" t="n">
        <v>1</v>
      </c>
      <c r="T5935" s="35" t="inlineStr">
        <is>
          <t>4 — Не обогащён</t>
        </is>
      </c>
      <c r="U5935" s="35" t="inlineStr">
        <is>
          <t>Нет ОКВЭД/ССЧР</t>
        </is>
      </c>
      <c r="V5935" s="35" t="inlineStr">
        <is>
          <t>Не определено</t>
        </is>
      </c>
      <c r="W5935" s="35" t="inlineStr"/>
      <c r="X5935" s="35" t="inlineStr"/>
    </row>
    <row r="5936" ht="27.75" customHeight="1" s="24">
      <c r="A5936" s="13" t="n">
        <v>5000106709</v>
      </c>
      <c r="B5936" s="13" t="inlineStr">
        <is>
          <t>Министерство по делам молодежи Камчатского края</t>
        </is>
      </c>
      <c r="C5936" s="13" t="n">
        <v>4100050210</v>
      </c>
      <c r="D5936" s="13" t="inlineStr">
        <is>
          <t>4100050210</t>
        </is>
      </c>
      <c r="E5936" s="13" t="inlineStr">
        <is>
          <t>ЮЛ РФ</t>
        </is>
      </c>
      <c r="F5936" s="13" t="n"/>
      <c r="G5936" s="14" t="n"/>
      <c r="H5936" s="14" t="n"/>
      <c r="I5936" s="14" t="n"/>
      <c r="J5936" s="14" t="n"/>
      <c r="K5936" s="53" t="inlineStr"/>
      <c r="L5936" s="53" t="inlineStr">
        <is>
          <t>Не определено</t>
        </is>
      </c>
      <c r="M5936" s="53" t="inlineStr"/>
      <c r="N5936" s="54" t="inlineStr"/>
      <c r="O5936" s="55" t="inlineStr"/>
      <c r="P5936" s="16" t="inlineStr">
        <is>
          <t>Требует обогащения</t>
        </is>
      </c>
      <c r="Q5936" s="16">
        <f>HYPERLINK("https://pb.nalog.ru/search.html?query=4100050210","ФНС: проверить")</f>
        <v/>
      </c>
      <c r="R5936" s="16">
        <f>HYPERLINK("https://checko.ru/search?query=3801001629","Чекко: проверить")</f>
        <v/>
      </c>
      <c r="S5936" t="n">
        <v>1</v>
      </c>
      <c r="T5936" s="35" t="inlineStr">
        <is>
          <t>4 — Не обогащён</t>
        </is>
      </c>
      <c r="U5936" s="35" t="inlineStr">
        <is>
          <t>Нет ОКВЭД/ССЧР</t>
        </is>
      </c>
      <c r="V5936" s="35" t="inlineStr">
        <is>
          <t>Не определено</t>
        </is>
      </c>
      <c r="W5936" s="35" t="inlineStr"/>
      <c r="X5936" s="35" t="inlineStr"/>
    </row>
    <row r="5937" ht="27.75" customHeight="1" s="24">
      <c r="A5937" s="13" t="n">
        <v>5000118207</v>
      </c>
      <c r="B5937" s="13" t="inlineStr">
        <is>
          <t>Государственная жилищная инспекция Камчатского края</t>
        </is>
      </c>
      <c r="C5937" s="13" t="n">
        <v>4101102831</v>
      </c>
      <c r="D5937" s="13" t="inlineStr">
        <is>
          <t>4101102831</t>
        </is>
      </c>
      <c r="E5937" s="13" t="inlineStr">
        <is>
          <t>ЮЛ РФ</t>
        </is>
      </c>
      <c r="F5937" s="13" t="n"/>
      <c r="G5937" s="14" t="n"/>
      <c r="H5937" s="14" t="n"/>
      <c r="I5937" s="14" t="n"/>
      <c r="J5937" s="14" t="n"/>
      <c r="K5937" s="53" t="inlineStr"/>
      <c r="L5937" s="53" t="inlineStr">
        <is>
          <t>Не определено</t>
        </is>
      </c>
      <c r="M5937" s="53" t="inlineStr"/>
      <c r="N5937" s="54" t="inlineStr"/>
      <c r="O5937" s="55" t="inlineStr"/>
      <c r="P5937" s="16" t="inlineStr">
        <is>
          <t>Требует обогащения</t>
        </is>
      </c>
      <c r="Q5937" s="16">
        <f>HYPERLINK("https://pb.nalog.ru/search.html?query=4101102831","ФНС: проверить")</f>
        <v/>
      </c>
      <c r="R5937" s="16">
        <f>HYPERLINK("https://checko.ru/search?query=3801001629","Чекко: проверить")</f>
        <v/>
      </c>
      <c r="S5937" t="n">
        <v>1</v>
      </c>
      <c r="T5937" s="35" t="inlineStr">
        <is>
          <t>4 — Не обогащён</t>
        </is>
      </c>
      <c r="U5937" s="35" t="inlineStr">
        <is>
          <t>Нет ОКВЭД/ССЧР</t>
        </is>
      </c>
      <c r="V5937" s="35" t="inlineStr">
        <is>
          <t>Не определено</t>
        </is>
      </c>
      <c r="W5937" s="35" t="inlineStr"/>
      <c r="X5937" s="35" t="inlineStr"/>
    </row>
    <row r="5938" ht="15" customHeight="1" s="24">
      <c r="A5938" s="13" t="n">
        <v>5000118217</v>
      </c>
      <c r="B5938" s="13" t="inlineStr">
        <is>
          <t>КГУ "Камчатский краевой художественный музей"</t>
        </is>
      </c>
      <c r="C5938" s="13" t="n">
        <v>4101036547</v>
      </c>
      <c r="D5938" s="13" t="inlineStr">
        <is>
          <t>4101036547</t>
        </is>
      </c>
      <c r="E5938" s="13" t="inlineStr">
        <is>
          <t>ЮЛ РФ</t>
        </is>
      </c>
      <c r="F5938" s="13" t="n"/>
      <c r="G5938" s="14" t="n"/>
      <c r="H5938" s="14" t="n"/>
      <c r="I5938" s="14" t="n"/>
      <c r="J5938" s="14" t="n"/>
      <c r="K5938" s="53" t="inlineStr"/>
      <c r="L5938" s="53" t="inlineStr">
        <is>
          <t>Не определено</t>
        </is>
      </c>
      <c r="M5938" s="53" t="inlineStr"/>
      <c r="N5938" s="54" t="inlineStr"/>
      <c r="O5938" s="55" t="inlineStr"/>
      <c r="P5938" s="16" t="inlineStr">
        <is>
          <t>Требует обогащения</t>
        </is>
      </c>
      <c r="Q5938" s="16">
        <f>HYPERLINK("https://pb.nalog.ru/search.html?query=4101036547","ФНС: проверить")</f>
        <v/>
      </c>
      <c r="R5938" s="16">
        <f>HYPERLINK("https://checko.ru/search?query=3801001629","Чекко: проверить")</f>
        <v/>
      </c>
      <c r="S5938" t="n">
        <v>1</v>
      </c>
      <c r="T5938" s="35" t="inlineStr">
        <is>
          <t>4 — Не обогащён</t>
        </is>
      </c>
      <c r="U5938" s="35" t="inlineStr">
        <is>
          <t>Нет ОКВЭД/ССЧР</t>
        </is>
      </c>
      <c r="V5938" s="35" t="inlineStr">
        <is>
          <t>Не определено</t>
        </is>
      </c>
      <c r="W5938" s="35" t="inlineStr"/>
      <c r="X5938" s="35" t="inlineStr"/>
    </row>
    <row r="5939" ht="15" customHeight="1" s="24">
      <c r="A5939" s="13" t="n">
        <v>5000090080</v>
      </c>
      <c r="B5939" s="13" t="inlineStr">
        <is>
          <t>МДОУ ДЕТСКИЙ САД № 1 Г. СРЕТЕНСКА</t>
        </is>
      </c>
      <c r="C5939" s="13" t="n">
        <v>7519002891</v>
      </c>
      <c r="D5939" s="13" t="inlineStr">
        <is>
          <t>7519002891</t>
        </is>
      </c>
      <c r="E5939" s="13" t="inlineStr">
        <is>
          <t>ЮЛ РФ</t>
        </is>
      </c>
      <c r="F5939" s="13" t="n"/>
      <c r="G5939" s="14" t="n"/>
      <c r="H5939" s="14" t="n"/>
      <c r="I5939" s="14" t="n"/>
      <c r="J5939" s="14" t="n"/>
      <c r="K5939" s="53" t="inlineStr"/>
      <c r="L5939" s="53" t="inlineStr">
        <is>
          <t>Не определено</t>
        </is>
      </c>
      <c r="M5939" s="53" t="inlineStr"/>
      <c r="N5939" s="54" t="inlineStr"/>
      <c r="O5939" s="55" t="inlineStr"/>
      <c r="P5939" s="16" t="inlineStr">
        <is>
          <t>Требует обогащения</t>
        </is>
      </c>
      <c r="Q5939" s="16">
        <f>HYPERLINK("https://pb.nalog.ru/search.html?query=7519002891","ФНС: проверить")</f>
        <v/>
      </c>
      <c r="R5939" s="16">
        <f>HYPERLINK("https://checko.ru/search?query=3801001629","Чекко: проверить")</f>
        <v/>
      </c>
      <c r="S5939" t="n">
        <v>1</v>
      </c>
      <c r="T5939" s="35" t="inlineStr">
        <is>
          <t>4 — Не обогащён</t>
        </is>
      </c>
      <c r="U5939" s="35" t="inlineStr">
        <is>
          <t>Нет ОКВЭД/ССЧР</t>
        </is>
      </c>
      <c r="V5939" s="35" t="inlineStr">
        <is>
          <t>Не определено</t>
        </is>
      </c>
      <c r="W5939" s="35" t="inlineStr"/>
      <c r="X5939" s="35" t="inlineStr"/>
    </row>
    <row r="5940" ht="27.75" customHeight="1" s="24">
      <c r="A5940" s="13" t="n">
        <v>5000077064</v>
      </c>
      <c r="B5940" s="13" t="inlineStr">
        <is>
          <t>ГОУ школа-интернат "Забайкальский краевой лицей - интернат"</t>
        </is>
      </c>
      <c r="C5940" s="13" t="n">
        <v>7536114002</v>
      </c>
      <c r="D5940" s="13" t="inlineStr">
        <is>
          <t>7536114002</t>
        </is>
      </c>
      <c r="E5940" s="13" t="inlineStr">
        <is>
          <t>ЮЛ РФ</t>
        </is>
      </c>
      <c r="F5940" s="13" t="n"/>
      <c r="G5940" s="14" t="n"/>
      <c r="H5940" s="14" t="n"/>
      <c r="I5940" s="14" t="n"/>
      <c r="J5940" s="14" t="n"/>
      <c r="K5940" s="53" t="inlineStr"/>
      <c r="L5940" s="53" t="inlineStr">
        <is>
          <t>Не определено</t>
        </is>
      </c>
      <c r="M5940" s="53" t="inlineStr"/>
      <c r="N5940" s="54" t="inlineStr"/>
      <c r="O5940" s="55" t="inlineStr"/>
      <c r="P5940" s="16" t="inlineStr">
        <is>
          <t>Требует обогащения</t>
        </is>
      </c>
      <c r="Q5940" s="16">
        <f>HYPERLINK("https://pb.nalog.ru/search.html?query=7536114002","ФНС: проверить")</f>
        <v/>
      </c>
      <c r="R5940" s="16">
        <f>HYPERLINK("https://checko.ru/search?query=3801001629","Чекко: проверить")</f>
        <v/>
      </c>
      <c r="S5940" t="n">
        <v>1</v>
      </c>
      <c r="T5940" s="35" t="inlineStr">
        <is>
          <t>4 — Не обогащён</t>
        </is>
      </c>
      <c r="U5940" s="35" t="inlineStr">
        <is>
          <t>Нет ОКВЭД/ССЧР</t>
        </is>
      </c>
      <c r="V5940" s="35" t="inlineStr">
        <is>
          <t>Не определено</t>
        </is>
      </c>
      <c r="W5940" s="35" t="inlineStr"/>
      <c r="X5940" s="35" t="inlineStr"/>
    </row>
    <row r="5941" ht="27.75" customHeight="1" s="24">
      <c r="A5941" s="13" t="n">
        <v>5000085875</v>
      </c>
      <c r="B5941" s="13" t="inlineStr">
        <is>
          <t>МБОУ города Иркутска средняя общеобразовательная школа № 55</t>
        </is>
      </c>
      <c r="C5941" s="13" t="n">
        <v>3812008506</v>
      </c>
      <c r="D5941" s="13" t="inlineStr">
        <is>
          <t>3812008506</t>
        </is>
      </c>
      <c r="E5941" s="13" t="inlineStr">
        <is>
          <t>ЮЛ РФ</t>
        </is>
      </c>
      <c r="F5941" s="13" t="n"/>
      <c r="G5941" s="14" t="n"/>
      <c r="H5941" s="14" t="n"/>
      <c r="I5941" s="14" t="n"/>
      <c r="J5941" s="14" t="n"/>
      <c r="K5941" s="53" t="inlineStr"/>
      <c r="L5941" s="53" t="inlineStr">
        <is>
          <t>Не определено</t>
        </is>
      </c>
      <c r="M5941" s="53" t="inlineStr"/>
      <c r="N5941" s="54" t="inlineStr"/>
      <c r="O5941" s="55" t="inlineStr"/>
      <c r="P5941" s="16" t="inlineStr">
        <is>
          <t>Требует обогащения</t>
        </is>
      </c>
      <c r="Q5941" s="16">
        <f>HYPERLINK("https://pb.nalog.ru/search.html?query=3812008506","ФНС: проверить")</f>
        <v/>
      </c>
      <c r="R5941" s="16">
        <f>HYPERLINK("https://checko.ru/search?query=3801001629","Чекко: проверить")</f>
        <v/>
      </c>
      <c r="S5941" t="n">
        <v>1</v>
      </c>
      <c r="T5941" s="35" t="inlineStr">
        <is>
          <t>4 — Не обогащён</t>
        </is>
      </c>
      <c r="U5941" s="35" t="inlineStr">
        <is>
          <t>Нет ОКВЭД/ССЧР</t>
        </is>
      </c>
      <c r="V5941" s="35" t="inlineStr">
        <is>
          <t>Не определено</t>
        </is>
      </c>
      <c r="W5941" s="35" t="inlineStr"/>
      <c r="X5941" s="35" t="inlineStr"/>
    </row>
    <row r="5942" ht="15" customHeight="1" s="24">
      <c r="A5942" s="13" t="n">
        <v>5000081562</v>
      </c>
      <c r="B5942" s="13" t="inlineStr">
        <is>
          <t>МАОУ ГОРОДА ИРКУТСКА ГИМНАЗИЯ № 2</t>
        </is>
      </c>
      <c r="C5942" s="13" t="n">
        <v>3812008136</v>
      </c>
      <c r="D5942" s="13" t="inlineStr">
        <is>
          <t>3812008136</t>
        </is>
      </c>
      <c r="E5942" s="13" t="inlineStr">
        <is>
          <t>ЮЛ РФ</t>
        </is>
      </c>
      <c r="F5942" s="13" t="n"/>
      <c r="G5942" s="14" t="n"/>
      <c r="H5942" s="14" t="n"/>
      <c r="I5942" s="14" t="n"/>
      <c r="J5942" s="14" t="n"/>
      <c r="K5942" s="53" t="inlineStr"/>
      <c r="L5942" s="53" t="inlineStr">
        <is>
          <t>Не определено</t>
        </is>
      </c>
      <c r="M5942" s="53" t="inlineStr"/>
      <c r="N5942" s="54" t="inlineStr"/>
      <c r="O5942" s="55" t="inlineStr"/>
      <c r="P5942" s="16" t="inlineStr">
        <is>
          <t>Требует обогащения</t>
        </is>
      </c>
      <c r="Q5942" s="16">
        <f>HYPERLINK("https://pb.nalog.ru/search.html?query=3812008136","ФНС: проверить")</f>
        <v/>
      </c>
      <c r="R5942" s="16">
        <f>HYPERLINK("https://checko.ru/search?query=3801001629","Чекко: проверить")</f>
        <v/>
      </c>
      <c r="S5942" t="n">
        <v>1</v>
      </c>
      <c r="T5942" s="35" t="inlineStr">
        <is>
          <t>4 — Не обогащён</t>
        </is>
      </c>
      <c r="U5942" s="35" t="inlineStr">
        <is>
          <t>Нет ОКВЭД/ССЧР</t>
        </is>
      </c>
      <c r="V5942" s="35" t="inlineStr">
        <is>
          <t>Не определено</t>
        </is>
      </c>
      <c r="W5942" s="35" t="inlineStr"/>
      <c r="X5942" s="35" t="inlineStr"/>
    </row>
    <row r="5943" ht="27.75" customHeight="1" s="24">
      <c r="A5943" s="13" t="n">
        <v>5000090085</v>
      </c>
      <c r="B5943" s="13" t="inlineStr">
        <is>
          <t>МОУ "МАТАКАНСКАЯ ОСНОВНАЯ ОБЩЕОБРАЗОВАТЕЛЬНАЯ ШКОЛА"</t>
        </is>
      </c>
      <c r="C5943" s="13" t="n">
        <v>7519002732</v>
      </c>
      <c r="D5943" s="13" t="inlineStr">
        <is>
          <t>7519002732</t>
        </is>
      </c>
      <c r="E5943" s="13" t="inlineStr">
        <is>
          <t>ЮЛ РФ</t>
        </is>
      </c>
      <c r="F5943" s="13" t="n"/>
      <c r="G5943" s="14" t="n"/>
      <c r="H5943" s="14" t="n"/>
      <c r="I5943" s="14" t="n"/>
      <c r="J5943" s="14" t="n"/>
      <c r="K5943" s="53" t="inlineStr"/>
      <c r="L5943" s="53" t="inlineStr">
        <is>
          <t>Не определено</t>
        </is>
      </c>
      <c r="M5943" s="53" t="inlineStr"/>
      <c r="N5943" s="54" t="inlineStr"/>
      <c r="O5943" s="55" t="inlineStr"/>
      <c r="P5943" s="16" t="inlineStr">
        <is>
          <t>Требует обогащения</t>
        </is>
      </c>
      <c r="Q5943" s="16">
        <f>HYPERLINK("https://pb.nalog.ru/search.html?query=7519002732","ФНС: проверить")</f>
        <v/>
      </c>
      <c r="R5943" s="16">
        <f>HYPERLINK("https://checko.ru/search?query=3801001629","Чекко: проверить")</f>
        <v/>
      </c>
      <c r="S5943" t="n">
        <v>1</v>
      </c>
      <c r="T5943" s="35" t="inlineStr">
        <is>
          <t>4 — Не обогащён</t>
        </is>
      </c>
      <c r="U5943" s="35" t="inlineStr">
        <is>
          <t>Нет ОКВЭД/ССЧР</t>
        </is>
      </c>
      <c r="V5943" s="35" t="inlineStr">
        <is>
          <t>Не определено</t>
        </is>
      </c>
      <c r="W5943" s="35" t="inlineStr"/>
      <c r="X5943" s="35" t="inlineStr"/>
    </row>
    <row r="5944" ht="27.75" customHeight="1" s="24">
      <c r="A5944" s="13" t="n">
        <v>5000090086</v>
      </c>
      <c r="B5944" s="13" t="inlineStr">
        <is>
          <t>МОУ "МОЛОДОВСКАЯ ОСНОВНАЯ ОБЩЕОБРАЗОВАТЕЛЬНАЯ ШКОЛА"</t>
        </is>
      </c>
      <c r="C5944" s="13" t="n">
        <v>7519002757</v>
      </c>
      <c r="D5944" s="13" t="inlineStr">
        <is>
          <t>7519002757</t>
        </is>
      </c>
      <c r="E5944" s="13" t="inlineStr">
        <is>
          <t>ЮЛ РФ</t>
        </is>
      </c>
      <c r="F5944" s="13" t="n"/>
      <c r="G5944" s="14" t="n"/>
      <c r="H5944" s="14" t="n"/>
      <c r="I5944" s="14" t="n"/>
      <c r="J5944" s="14" t="n"/>
      <c r="K5944" s="53" t="inlineStr"/>
      <c r="L5944" s="53" t="inlineStr">
        <is>
          <t>Не определено</t>
        </is>
      </c>
      <c r="M5944" s="53" t="inlineStr"/>
      <c r="N5944" s="54" t="inlineStr"/>
      <c r="O5944" s="55" t="inlineStr"/>
      <c r="P5944" s="16" t="inlineStr">
        <is>
          <t>Требует обогащения</t>
        </is>
      </c>
      <c r="Q5944" s="16">
        <f>HYPERLINK("https://pb.nalog.ru/search.html?query=7519002757","ФНС: проверить")</f>
        <v/>
      </c>
      <c r="R5944" s="16">
        <f>HYPERLINK("https://checko.ru/search?query=3801001629","Чекко: проверить")</f>
        <v/>
      </c>
      <c r="S5944" t="n">
        <v>1</v>
      </c>
      <c r="T5944" s="35" t="inlineStr">
        <is>
          <t>4 — Не обогащён</t>
        </is>
      </c>
      <c r="U5944" s="35" t="inlineStr">
        <is>
          <t>Нет ОКВЭД/ССЧР</t>
        </is>
      </c>
      <c r="V5944" s="35" t="inlineStr">
        <is>
          <t>Не определено</t>
        </is>
      </c>
      <c r="W5944" s="35" t="inlineStr"/>
      <c r="X5944" s="35" t="inlineStr"/>
    </row>
    <row r="5945" ht="27.75" customHeight="1" s="24">
      <c r="A5945" s="13" t="n">
        <v>5000090097</v>
      </c>
      <c r="B5945" s="13" t="inlineStr">
        <is>
          <t>МОУ "ШИЛКИНСКО-ЗАВОДСКАЯ СРЕДНЯЯ ОБЩЕОБРАЗОВАТЕЛЬНАЯ ШКОЛА"</t>
        </is>
      </c>
      <c r="C5945" s="13" t="n">
        <v>7519002852</v>
      </c>
      <c r="D5945" s="13" t="inlineStr">
        <is>
          <t>7519002852</t>
        </is>
      </c>
      <c r="E5945" s="13" t="inlineStr">
        <is>
          <t>ЮЛ РФ</t>
        </is>
      </c>
      <c r="F5945" s="13" t="n"/>
      <c r="G5945" s="14" t="n"/>
      <c r="H5945" s="14" t="n"/>
      <c r="I5945" s="14" t="n"/>
      <c r="J5945" s="14" t="n"/>
      <c r="K5945" s="53" t="inlineStr"/>
      <c r="L5945" s="53" t="inlineStr">
        <is>
          <t>Не определено</t>
        </is>
      </c>
      <c r="M5945" s="53" t="inlineStr"/>
      <c r="N5945" s="54" t="inlineStr"/>
      <c r="O5945" s="55" t="inlineStr"/>
      <c r="P5945" s="16" t="inlineStr">
        <is>
          <t>Требует обогащения</t>
        </is>
      </c>
      <c r="Q5945" s="16">
        <f>HYPERLINK("https://pb.nalog.ru/search.html?query=7519002852","ФНС: проверить")</f>
        <v/>
      </c>
      <c r="R5945" s="16">
        <f>HYPERLINK("https://checko.ru/search?query=3801001629","Чекко: проверить")</f>
        <v/>
      </c>
      <c r="S5945" t="n">
        <v>1</v>
      </c>
      <c r="T5945" s="35" t="inlineStr">
        <is>
          <t>4 — Не обогащён</t>
        </is>
      </c>
      <c r="U5945" s="35" t="inlineStr">
        <is>
          <t>Нет ОКВЭД/ССЧР</t>
        </is>
      </c>
      <c r="V5945" s="35" t="inlineStr">
        <is>
          <t>Не определено</t>
        </is>
      </c>
      <c r="W5945" s="35" t="inlineStr"/>
      <c r="X5945" s="35" t="inlineStr"/>
    </row>
    <row r="5946" ht="27.75" customHeight="1" s="24">
      <c r="A5946" s="13" t="n">
        <v>5000090094</v>
      </c>
      <c r="B5946" s="13" t="inlineStr">
        <is>
          <t>МОУ "СРЕТЕНСКАЯ СРЕДНЯЯ ОБЩЕОБРАЗОВАТЕЛЬНАЯ ШКОЛА № 1"</t>
        </is>
      </c>
      <c r="C5946" s="13" t="n">
        <v>7519002725</v>
      </c>
      <c r="D5946" s="13" t="inlineStr">
        <is>
          <t>7519002725</t>
        </is>
      </c>
      <c r="E5946" s="13" t="inlineStr">
        <is>
          <t>ЮЛ РФ</t>
        </is>
      </c>
      <c r="F5946" s="13" t="n"/>
      <c r="G5946" s="14" t="n"/>
      <c r="H5946" s="14" t="n"/>
      <c r="I5946" s="14" t="n"/>
      <c r="J5946" s="14" t="n"/>
      <c r="K5946" s="53" t="inlineStr"/>
      <c r="L5946" s="53" t="inlineStr">
        <is>
          <t>Не определено</t>
        </is>
      </c>
      <c r="M5946" s="53" t="inlineStr"/>
      <c r="N5946" s="54" t="inlineStr"/>
      <c r="O5946" s="55" t="inlineStr"/>
      <c r="P5946" s="16" t="inlineStr">
        <is>
          <t>Требует обогащения</t>
        </is>
      </c>
      <c r="Q5946" s="16">
        <f>HYPERLINK("https://pb.nalog.ru/search.html?query=7519002725","ФНС: проверить")</f>
        <v/>
      </c>
      <c r="R5946" s="16">
        <f>HYPERLINK("https://checko.ru/search?query=3801001629","Чекко: проверить")</f>
        <v/>
      </c>
      <c r="S5946" t="n">
        <v>1</v>
      </c>
      <c r="T5946" s="35" t="inlineStr">
        <is>
          <t>4 — Не обогащён</t>
        </is>
      </c>
      <c r="U5946" s="35" t="inlineStr">
        <is>
          <t>Нет ОКВЭД/ССЧР</t>
        </is>
      </c>
      <c r="V5946" s="35" t="inlineStr">
        <is>
          <t>Не определено</t>
        </is>
      </c>
      <c r="W5946" s="35" t="inlineStr"/>
      <c r="X5946" s="35" t="inlineStr"/>
    </row>
    <row r="5947" ht="15" customHeight="1" s="24">
      <c r="A5947" s="13" t="n">
        <v>5000081610</v>
      </c>
      <c r="B5947" s="13" t="inlineStr">
        <is>
          <t>МБОУ Г. ИРКУТСКА СОШ № 21 ИМ. Ю.А. ГАГАРИНА</t>
        </is>
      </c>
      <c r="C5947" s="13" t="n">
        <v>3811054330</v>
      </c>
      <c r="D5947" s="13" t="inlineStr">
        <is>
          <t>3811054330</t>
        </is>
      </c>
      <c r="E5947" s="13" t="inlineStr">
        <is>
          <t>ЮЛ РФ</t>
        </is>
      </c>
      <c r="F5947" s="13" t="n"/>
      <c r="G5947" s="14" t="n"/>
      <c r="H5947" s="14" t="n"/>
      <c r="I5947" s="14" t="n"/>
      <c r="J5947" s="14" t="n"/>
      <c r="K5947" s="53" t="inlineStr"/>
      <c r="L5947" s="53" t="inlineStr">
        <is>
          <t>Не определено</t>
        </is>
      </c>
      <c r="M5947" s="53" t="inlineStr"/>
      <c r="N5947" s="54" t="inlineStr"/>
      <c r="O5947" s="55" t="inlineStr"/>
      <c r="P5947" s="16" t="inlineStr">
        <is>
          <t>Требует обогащения</t>
        </is>
      </c>
      <c r="Q5947" s="16">
        <f>HYPERLINK("https://pb.nalog.ru/search.html?query=3811054330","ФНС: проверить")</f>
        <v/>
      </c>
      <c r="R5947" s="16">
        <f>HYPERLINK("https://checko.ru/search?query=3801001629","Чекко: проверить")</f>
        <v/>
      </c>
      <c r="S5947" t="n">
        <v>1</v>
      </c>
      <c r="T5947" s="35" t="inlineStr">
        <is>
          <t>4 — Не обогащён</t>
        </is>
      </c>
      <c r="U5947" s="35" t="inlineStr">
        <is>
          <t>Нет ОКВЭД/ССЧР</t>
        </is>
      </c>
      <c r="V5947" s="35" t="inlineStr">
        <is>
          <t>Не определено</t>
        </is>
      </c>
      <c r="W5947" s="35" t="inlineStr"/>
      <c r="X5947" s="35" t="inlineStr"/>
    </row>
    <row r="5948" ht="15" customHeight="1" s="24">
      <c r="A5948" s="13" t="n">
        <v>5000081656</v>
      </c>
      <c r="B5948" s="13" t="inlineStr">
        <is>
          <t>МБОУ г.Иркутска СОШ № 30</t>
        </is>
      </c>
      <c r="C5948" s="13" t="n">
        <v>3810016477</v>
      </c>
      <c r="D5948" s="13" t="inlineStr">
        <is>
          <t>3810016477</t>
        </is>
      </c>
      <c r="E5948" s="13" t="inlineStr">
        <is>
          <t>ЮЛ РФ</t>
        </is>
      </c>
      <c r="F5948" s="13" t="n"/>
      <c r="G5948" s="14" t="n"/>
      <c r="H5948" s="14" t="n"/>
      <c r="I5948" s="14" t="n"/>
      <c r="J5948" s="14" t="n"/>
      <c r="K5948" s="53" t="inlineStr"/>
      <c r="L5948" s="53" t="inlineStr">
        <is>
          <t>Не определено</t>
        </is>
      </c>
      <c r="M5948" s="53" t="inlineStr"/>
      <c r="N5948" s="54" t="inlineStr"/>
      <c r="O5948" s="55" t="inlineStr"/>
      <c r="P5948" s="16" t="inlineStr">
        <is>
          <t>Требует обогащения</t>
        </is>
      </c>
      <c r="Q5948" s="16">
        <f>HYPERLINK("https://pb.nalog.ru/search.html?query=3810016477","ФНС: проверить")</f>
        <v/>
      </c>
      <c r="R5948" s="16">
        <f>HYPERLINK("https://checko.ru/search?query=3801001629","Чекко: проверить")</f>
        <v/>
      </c>
      <c r="S5948" t="n">
        <v>1</v>
      </c>
      <c r="T5948" s="35" t="inlineStr">
        <is>
          <t>4 — Не обогащён</t>
        </is>
      </c>
      <c r="U5948" s="35" t="inlineStr">
        <is>
          <t>Нет ОКВЭД/ССЧР</t>
        </is>
      </c>
      <c r="V5948" s="35" t="inlineStr">
        <is>
          <t>Не определено</t>
        </is>
      </c>
      <c r="W5948" s="35" t="inlineStr"/>
      <c r="X5948" s="35" t="inlineStr"/>
    </row>
    <row r="5949" ht="27.75" customHeight="1" s="24">
      <c r="A5949" s="13" t="n">
        <v>5000103456</v>
      </c>
      <c r="B5949" s="13" t="inlineStr">
        <is>
          <t>Служба охраны объектов культурного наследия Камчатского края</t>
        </is>
      </c>
      <c r="C5949" s="13" t="n">
        <v>4101180766</v>
      </c>
      <c r="D5949" s="13" t="inlineStr">
        <is>
          <t>4101180766</t>
        </is>
      </c>
      <c r="E5949" s="13" t="inlineStr">
        <is>
          <t>ЮЛ РФ</t>
        </is>
      </c>
      <c r="F5949" s="13" t="n"/>
      <c r="G5949" s="14" t="n"/>
      <c r="H5949" s="14" t="n"/>
      <c r="I5949" s="14" t="n"/>
      <c r="J5949" s="14" t="n"/>
      <c r="K5949" s="53" t="inlineStr"/>
      <c r="L5949" s="53" t="inlineStr">
        <is>
          <t>Не определено</t>
        </is>
      </c>
      <c r="M5949" s="53" t="inlineStr"/>
      <c r="N5949" s="54" t="inlineStr"/>
      <c r="O5949" s="55" t="inlineStr"/>
      <c r="P5949" s="16" t="inlineStr">
        <is>
          <t>Требует обогащения</t>
        </is>
      </c>
      <c r="Q5949" s="16">
        <f>HYPERLINK("https://pb.nalog.ru/search.html?query=4101180766","ФНС: проверить")</f>
        <v/>
      </c>
      <c r="R5949" s="16">
        <f>HYPERLINK("https://checko.ru/search?query=3801001629","Чекко: проверить")</f>
        <v/>
      </c>
      <c r="S5949" t="n">
        <v>1</v>
      </c>
      <c r="T5949" s="35" t="inlineStr">
        <is>
          <t>4 — Не обогащён</t>
        </is>
      </c>
      <c r="U5949" s="35" t="inlineStr">
        <is>
          <t>Нет ОКВЭД/ССЧР</t>
        </is>
      </c>
      <c r="V5949" s="35" t="inlineStr">
        <is>
          <t>Не определено</t>
        </is>
      </c>
      <c r="W5949" s="35" t="inlineStr"/>
      <c r="X5949" s="35" t="inlineStr"/>
    </row>
    <row r="5950" ht="27.75" customHeight="1" s="24">
      <c r="A5950" s="13" t="n">
        <v>5000090098</v>
      </c>
      <c r="B5950" s="13" t="inlineStr">
        <is>
          <t>МОУ "КОКУЙСКАЯ СРЕДНЯЯ ОБЩЕОБРАЗОВАТЕЛЬНАЯ ШКОЛА № 1"</t>
        </is>
      </c>
      <c r="C5950" s="13" t="n">
        <v>7519002820</v>
      </c>
      <c r="D5950" s="13" t="inlineStr">
        <is>
          <t>7519002820</t>
        </is>
      </c>
      <c r="E5950" s="13" t="inlineStr">
        <is>
          <t>ЮЛ РФ</t>
        </is>
      </c>
      <c r="F5950" s="13" t="n"/>
      <c r="G5950" s="14" t="n"/>
      <c r="H5950" s="14" t="n"/>
      <c r="I5950" s="14" t="n"/>
      <c r="J5950" s="14" t="n"/>
      <c r="K5950" s="53" t="inlineStr"/>
      <c r="L5950" s="53" t="inlineStr">
        <is>
          <t>Не определено</t>
        </is>
      </c>
      <c r="M5950" s="53" t="inlineStr"/>
      <c r="N5950" s="54" t="inlineStr"/>
      <c r="O5950" s="55" t="inlineStr"/>
      <c r="P5950" s="16" t="inlineStr">
        <is>
          <t>Требует обогащения</t>
        </is>
      </c>
      <c r="Q5950" s="16">
        <f>HYPERLINK("https://pb.nalog.ru/search.html?query=7519002820","ФНС: проверить")</f>
        <v/>
      </c>
      <c r="R5950" s="16">
        <f>HYPERLINK("https://checko.ru/search?query=3801001629","Чекко: проверить")</f>
        <v/>
      </c>
      <c r="S5950" t="n">
        <v>1</v>
      </c>
      <c r="T5950" s="35" t="inlineStr">
        <is>
          <t>4 — Не обогащён</t>
        </is>
      </c>
      <c r="U5950" s="35" t="inlineStr">
        <is>
          <t>Нет ОКВЭД/ССЧР</t>
        </is>
      </c>
      <c r="V5950" s="35" t="inlineStr">
        <is>
          <t>Не определено</t>
        </is>
      </c>
      <c r="W5950" s="35" t="inlineStr"/>
      <c r="X5950" s="35" t="inlineStr"/>
    </row>
    <row r="5951" ht="27.75" customHeight="1" s="24">
      <c r="A5951" s="13" t="n">
        <v>5000090099</v>
      </c>
      <c r="B5951" s="13" t="inlineStr">
        <is>
          <t>МОУ "КОКУЙСКАЯ СРЕДНЯЯ ОБЩЕОБРАЗОВАТЕЛЬНАЯ ШКОЛА № 2"</t>
        </is>
      </c>
      <c r="C5951" s="13" t="n">
        <v>7519002690</v>
      </c>
      <c r="D5951" s="13" t="inlineStr">
        <is>
          <t>7519002690</t>
        </is>
      </c>
      <c r="E5951" s="13" t="inlineStr">
        <is>
          <t>ЮЛ РФ</t>
        </is>
      </c>
      <c r="F5951" s="13" t="n"/>
      <c r="G5951" s="14" t="n"/>
      <c r="H5951" s="14" t="n"/>
      <c r="I5951" s="14" t="n"/>
      <c r="J5951" s="14" t="n"/>
      <c r="K5951" s="53" t="inlineStr"/>
      <c r="L5951" s="53" t="inlineStr">
        <is>
          <t>Не определено</t>
        </is>
      </c>
      <c r="M5951" s="53" t="inlineStr"/>
      <c r="N5951" s="54" t="inlineStr"/>
      <c r="O5951" s="55" t="inlineStr"/>
      <c r="P5951" s="16" t="inlineStr">
        <is>
          <t>Требует обогащения</t>
        </is>
      </c>
      <c r="Q5951" s="16">
        <f>HYPERLINK("https://pb.nalog.ru/search.html?query=7519002690","ФНС: проверить")</f>
        <v/>
      </c>
      <c r="R5951" s="16">
        <f>HYPERLINK("https://checko.ru/search?query=3801001629","Чекко: проверить")</f>
        <v/>
      </c>
      <c r="S5951" t="n">
        <v>1</v>
      </c>
      <c r="T5951" s="35" t="inlineStr">
        <is>
          <t>4 — Не обогащён</t>
        </is>
      </c>
      <c r="U5951" s="35" t="inlineStr">
        <is>
          <t>Нет ОКВЭД/ССЧР</t>
        </is>
      </c>
      <c r="V5951" s="35" t="inlineStr">
        <is>
          <t>Не определено</t>
        </is>
      </c>
      <c r="W5951" s="35" t="inlineStr"/>
      <c r="X5951" s="35" t="inlineStr"/>
    </row>
    <row r="5952" ht="27.75" customHeight="1" s="24">
      <c r="A5952" s="13" t="n">
        <v>5000118216</v>
      </c>
      <c r="B5952" s="13" t="inlineStr">
        <is>
          <t>КГУ "Камчатская краевая научная библиотека им. С.П.Крашенинникова</t>
        </is>
      </c>
      <c r="C5952" s="13" t="n">
        <v>4101033271</v>
      </c>
      <c r="D5952" s="13" t="inlineStr">
        <is>
          <t>4101033271</t>
        </is>
      </c>
      <c r="E5952" s="13" t="inlineStr">
        <is>
          <t>ЮЛ РФ</t>
        </is>
      </c>
      <c r="F5952" s="13" t="n"/>
      <c r="G5952" s="14" t="n"/>
      <c r="H5952" s="14" t="n"/>
      <c r="I5952" s="14" t="n"/>
      <c r="J5952" s="14" t="n"/>
      <c r="K5952" s="53" t="inlineStr"/>
      <c r="L5952" s="53" t="inlineStr">
        <is>
          <t>Не определено</t>
        </is>
      </c>
      <c r="M5952" s="53" t="inlineStr"/>
      <c r="N5952" s="54" t="inlineStr"/>
      <c r="O5952" s="55" t="inlineStr"/>
      <c r="P5952" s="16" t="inlineStr">
        <is>
          <t>Требует обогащения</t>
        </is>
      </c>
      <c r="Q5952" s="16">
        <f>HYPERLINK("https://pb.nalog.ru/search.html?query=4101033271","ФНС: проверить")</f>
        <v/>
      </c>
      <c r="R5952" s="16">
        <f>HYPERLINK("https://checko.ru/search?query=3801001629","Чекко: проверить")</f>
        <v/>
      </c>
      <c r="S5952" t="n">
        <v>1</v>
      </c>
      <c r="T5952" s="35" t="inlineStr">
        <is>
          <t>4 — Не обогащён</t>
        </is>
      </c>
      <c r="U5952" s="35" t="inlineStr">
        <is>
          <t>Нет ОКВЭД/ССЧР</t>
        </is>
      </c>
      <c r="V5952" s="35" t="inlineStr">
        <is>
          <t>Не определено</t>
        </is>
      </c>
      <c r="W5952" s="35" t="inlineStr"/>
      <c r="X5952" s="35" t="inlineStr"/>
    </row>
    <row r="5953" ht="27.75" customHeight="1" s="24">
      <c r="A5953" s="13" t="n">
        <v>5000077070</v>
      </c>
      <c r="B5953" s="13" t="inlineStr">
        <is>
          <t>Петровск-Забайкальская специальная (коррекционная)общеобразовател</t>
        </is>
      </c>
      <c r="C5953" s="13" t="n">
        <v>7531001823</v>
      </c>
      <c r="D5953" s="13" t="inlineStr">
        <is>
          <t>7531001823</t>
        </is>
      </c>
      <c r="E5953" s="13" t="inlineStr">
        <is>
          <t>ЮЛ РФ</t>
        </is>
      </c>
      <c r="F5953" s="13" t="n"/>
      <c r="G5953" s="14" t="n"/>
      <c r="H5953" s="14" t="n"/>
      <c r="I5953" s="14" t="n"/>
      <c r="J5953" s="14" t="n"/>
      <c r="K5953" s="53" t="inlineStr"/>
      <c r="L5953" s="53" t="inlineStr">
        <is>
          <t>Не определено</t>
        </is>
      </c>
      <c r="M5953" s="53" t="inlineStr"/>
      <c r="N5953" s="54" t="inlineStr"/>
      <c r="O5953" s="55" t="inlineStr"/>
      <c r="P5953" s="16" t="inlineStr">
        <is>
          <t>Требует обогащения</t>
        </is>
      </c>
      <c r="Q5953" s="16">
        <f>HYPERLINK("https://pb.nalog.ru/search.html?query=7531001823","ФНС: проверить")</f>
        <v/>
      </c>
      <c r="R5953" s="16">
        <f>HYPERLINK("https://checko.ru/search?query=3801001629","Чекко: проверить")</f>
        <v/>
      </c>
      <c r="S5953" t="n">
        <v>1</v>
      </c>
      <c r="T5953" s="35" t="inlineStr">
        <is>
          <t>4 — Не обогащён</t>
        </is>
      </c>
      <c r="U5953" s="35" t="inlineStr">
        <is>
          <t>Нет ОКВЭД/ССЧР</t>
        </is>
      </c>
      <c r="V5953" s="35" t="inlineStr">
        <is>
          <t>Не определено</t>
        </is>
      </c>
      <c r="W5953" s="35" t="inlineStr"/>
      <c r="X5953" s="35" t="inlineStr"/>
    </row>
    <row r="5954" ht="15" customHeight="1" s="24">
      <c r="A5954" s="13" t="n">
        <v>5000081661</v>
      </c>
      <c r="B5954" s="13" t="inlineStr">
        <is>
          <t>МБОУ г.Иркутска СОШ № 53</t>
        </is>
      </c>
      <c r="C5954" s="13" t="n">
        <v>3810024037</v>
      </c>
      <c r="D5954" s="13" t="inlineStr">
        <is>
          <t>3810024037</t>
        </is>
      </c>
      <c r="E5954" s="13" t="inlineStr">
        <is>
          <t>ЮЛ РФ</t>
        </is>
      </c>
      <c r="F5954" s="13" t="n"/>
      <c r="G5954" s="14" t="n"/>
      <c r="H5954" s="14" t="n"/>
      <c r="I5954" s="14" t="n"/>
      <c r="J5954" s="14" t="n"/>
      <c r="K5954" s="53" t="inlineStr"/>
      <c r="L5954" s="53" t="inlineStr">
        <is>
          <t>Не определено</t>
        </is>
      </c>
      <c r="M5954" s="53" t="inlineStr"/>
      <c r="N5954" s="54" t="inlineStr"/>
      <c r="O5954" s="55" t="inlineStr"/>
      <c r="P5954" s="16" t="inlineStr">
        <is>
          <t>Требует обогащения</t>
        </is>
      </c>
      <c r="Q5954" s="16">
        <f>HYPERLINK("https://pb.nalog.ru/search.html?query=3810024037","ФНС: проверить")</f>
        <v/>
      </c>
      <c r="R5954" s="16">
        <f>HYPERLINK("https://checko.ru/search?query=3801001629","Чекко: проверить")</f>
        <v/>
      </c>
      <c r="S5954" t="n">
        <v>1</v>
      </c>
      <c r="T5954" s="35" t="inlineStr">
        <is>
          <t>4 — Не обогащён</t>
        </is>
      </c>
      <c r="U5954" s="35" t="inlineStr">
        <is>
          <t>Нет ОКВЭД/ССЧР</t>
        </is>
      </c>
      <c r="V5954" s="35" t="inlineStr">
        <is>
          <t>Не определено</t>
        </is>
      </c>
      <c r="W5954" s="35" t="inlineStr"/>
      <c r="X5954" s="35" t="inlineStr"/>
    </row>
    <row r="5955" ht="27.75" customHeight="1" s="24">
      <c r="A5955" s="13" t="n">
        <v>5000090102</v>
      </c>
      <c r="B5955" s="13" t="inlineStr">
        <is>
          <t>МОУ "ВЕРХНЕКУЛАРКИНСКАЯ СРЕДНЯЯ ОБЩЕОБРАЗОВАТЕЛЬНАЯ ШКОЛА"</t>
        </is>
      </c>
      <c r="C5955" s="13" t="n">
        <v>7519002700</v>
      </c>
      <c r="D5955" s="13" t="inlineStr">
        <is>
          <t>7519002700</t>
        </is>
      </c>
      <c r="E5955" s="13" t="inlineStr">
        <is>
          <t>ЮЛ РФ</t>
        </is>
      </c>
      <c r="F5955" s="13" t="n"/>
      <c r="G5955" s="14" t="n"/>
      <c r="H5955" s="14" t="n"/>
      <c r="I5955" s="14" t="n"/>
      <c r="J5955" s="14" t="n"/>
      <c r="K5955" s="53" t="inlineStr"/>
      <c r="L5955" s="53" t="inlineStr">
        <is>
          <t>Не определено</t>
        </is>
      </c>
      <c r="M5955" s="53" t="inlineStr"/>
      <c r="N5955" s="54" t="inlineStr"/>
      <c r="O5955" s="55" t="inlineStr"/>
      <c r="P5955" s="16" t="inlineStr">
        <is>
          <t>Требует обогащения</t>
        </is>
      </c>
      <c r="Q5955" s="16">
        <f>HYPERLINK("https://pb.nalog.ru/search.html?query=7519002700","ФНС: проверить")</f>
        <v/>
      </c>
      <c r="R5955" s="16">
        <f>HYPERLINK("https://checko.ru/search?query=3801001629","Чекко: проверить")</f>
        <v/>
      </c>
      <c r="S5955" t="n">
        <v>1</v>
      </c>
      <c r="T5955" s="35" t="inlineStr">
        <is>
          <t>4 — Не обогащён</t>
        </is>
      </c>
      <c r="U5955" s="35" t="inlineStr">
        <is>
          <t>Нет ОКВЭД/ССЧР</t>
        </is>
      </c>
      <c r="V5955" s="35" t="inlineStr">
        <is>
          <t>Не определено</t>
        </is>
      </c>
      <c r="W5955" s="35" t="inlineStr"/>
      <c r="X5955" s="35" t="inlineStr"/>
    </row>
    <row r="5956" ht="27.75" customHeight="1" s="24">
      <c r="A5956" s="13" t="n">
        <v>5000090103</v>
      </c>
      <c r="B5956" s="13" t="inlineStr">
        <is>
          <t>МОУ "ДУНАЕВСКАЯ СРЕДНЯЯ ОБЩЕОБРАЗОВАТЕЛЬНАЯ ШКОЛА № 57"</t>
        </is>
      </c>
      <c r="C5956" s="13" t="n">
        <v>7519002203</v>
      </c>
      <c r="D5956" s="13" t="inlineStr">
        <is>
          <t>7519002203</t>
        </is>
      </c>
      <c r="E5956" s="13" t="inlineStr">
        <is>
          <t>ЮЛ РФ</t>
        </is>
      </c>
      <c r="F5956" s="13" t="n"/>
      <c r="G5956" s="14" t="n"/>
      <c r="H5956" s="14" t="n"/>
      <c r="I5956" s="14" t="n"/>
      <c r="J5956" s="14" t="n"/>
      <c r="K5956" s="53" t="inlineStr"/>
      <c r="L5956" s="53" t="inlineStr">
        <is>
          <t>Не определено</t>
        </is>
      </c>
      <c r="M5956" s="53" t="inlineStr"/>
      <c r="N5956" s="54" t="inlineStr"/>
      <c r="O5956" s="55" t="inlineStr"/>
      <c r="P5956" s="16" t="inlineStr">
        <is>
          <t>Требует обогащения</t>
        </is>
      </c>
      <c r="Q5956" s="16">
        <f>HYPERLINK("https://pb.nalog.ru/search.html?query=7519002203","ФНС: проверить")</f>
        <v/>
      </c>
      <c r="R5956" s="16">
        <f>HYPERLINK("https://checko.ru/search?query=3801001629","Чекко: проверить")</f>
        <v/>
      </c>
      <c r="S5956" t="n">
        <v>1</v>
      </c>
      <c r="T5956" s="35" t="inlineStr">
        <is>
          <t>4 — Не обогащён</t>
        </is>
      </c>
      <c r="U5956" s="35" t="inlineStr">
        <is>
          <t>Нет ОКВЭД/ССЧР</t>
        </is>
      </c>
      <c r="V5956" s="35" t="inlineStr">
        <is>
          <t>Не определено</t>
        </is>
      </c>
      <c r="W5956" s="35" t="inlineStr"/>
      <c r="X5956" s="35" t="inlineStr"/>
    </row>
    <row r="5957" ht="15" customHeight="1" s="24">
      <c r="A5957" s="13" t="n">
        <v>5000081655</v>
      </c>
      <c r="B5957" s="13" t="inlineStr">
        <is>
          <t>МБОУ города Иркутска СОШ № 29</t>
        </is>
      </c>
      <c r="C5957" s="13" t="n">
        <v>3810024630</v>
      </c>
      <c r="D5957" s="13" t="inlineStr">
        <is>
          <t>3810024630</t>
        </is>
      </c>
      <c r="E5957" s="13" t="inlineStr">
        <is>
          <t>ЮЛ РФ</t>
        </is>
      </c>
      <c r="F5957" s="13" t="n"/>
      <c r="G5957" s="14" t="n"/>
      <c r="H5957" s="14" t="n"/>
      <c r="I5957" s="14" t="n"/>
      <c r="J5957" s="14" t="n"/>
      <c r="K5957" s="53" t="inlineStr"/>
      <c r="L5957" s="53" t="inlineStr">
        <is>
          <t>Не определено</t>
        </is>
      </c>
      <c r="M5957" s="53" t="inlineStr"/>
      <c r="N5957" s="54" t="inlineStr"/>
      <c r="O5957" s="55" t="inlineStr"/>
      <c r="P5957" s="16" t="inlineStr">
        <is>
          <t>Требует обогащения</t>
        </is>
      </c>
      <c r="Q5957" s="16">
        <f>HYPERLINK("https://pb.nalog.ru/search.html?query=3810024630","ФНС: проверить")</f>
        <v/>
      </c>
      <c r="R5957" s="16">
        <f>HYPERLINK("https://checko.ru/search?query=3801001629","Чекко: проверить")</f>
        <v/>
      </c>
      <c r="S5957" t="n">
        <v>1</v>
      </c>
      <c r="T5957" s="35" t="inlineStr">
        <is>
          <t>4 — Не обогащён</t>
        </is>
      </c>
      <c r="U5957" s="35" t="inlineStr">
        <is>
          <t>Нет ОКВЭД/ССЧР</t>
        </is>
      </c>
      <c r="V5957" s="35" t="inlineStr">
        <is>
          <t>Не определено</t>
        </is>
      </c>
      <c r="W5957" s="35" t="inlineStr"/>
      <c r="X5957" s="35" t="inlineStr"/>
    </row>
    <row r="5958" ht="15" customHeight="1" s="24">
      <c r="A5958" s="13" t="n">
        <v>5000081571</v>
      </c>
      <c r="B5958" s="13" t="inlineStr">
        <is>
          <t>МАОУ г. Иркутска СОШ №63</t>
        </is>
      </c>
      <c r="C5958" s="13" t="n">
        <v>3812007870</v>
      </c>
      <c r="D5958" s="13" t="inlineStr">
        <is>
          <t>3812007870</t>
        </is>
      </c>
      <c r="E5958" s="13" t="inlineStr">
        <is>
          <t>ЮЛ РФ</t>
        </is>
      </c>
      <c r="F5958" s="13" t="n"/>
      <c r="G5958" s="14" t="n"/>
      <c r="H5958" s="14" t="n"/>
      <c r="I5958" s="14" t="n"/>
      <c r="J5958" s="14" t="n"/>
      <c r="K5958" s="53" t="inlineStr"/>
      <c r="L5958" s="53" t="inlineStr">
        <is>
          <t>Не определено</t>
        </is>
      </c>
      <c r="M5958" s="53" t="inlineStr"/>
      <c r="N5958" s="54" t="inlineStr"/>
      <c r="O5958" s="55" t="inlineStr"/>
      <c r="P5958" s="16" t="inlineStr">
        <is>
          <t>Требует обогащения</t>
        </is>
      </c>
      <c r="Q5958" s="16">
        <f>HYPERLINK("https://pb.nalog.ru/search.html?query=3812007870","ФНС: проверить")</f>
        <v/>
      </c>
      <c r="R5958" s="16">
        <f>HYPERLINK("https://checko.ru/search?query=3801001629","Чекко: проверить")</f>
        <v/>
      </c>
      <c r="S5958" t="n">
        <v>1</v>
      </c>
      <c r="T5958" s="35" t="inlineStr">
        <is>
          <t>4 — Не обогащён</t>
        </is>
      </c>
      <c r="U5958" s="35" t="inlineStr">
        <is>
          <t>Нет ОКВЭД/ССЧР</t>
        </is>
      </c>
      <c r="V5958" s="35" t="inlineStr">
        <is>
          <t>Не определено</t>
        </is>
      </c>
      <c r="W5958" s="35" t="inlineStr"/>
      <c r="X5958" s="35" t="inlineStr"/>
    </row>
    <row r="5959" ht="15" customHeight="1" s="24">
      <c r="A5959" s="13" t="n">
        <v>5000072324</v>
      </c>
      <c r="B5959" s="13" t="inlineStr">
        <is>
          <t>Министерство образования Камчатского края</t>
        </is>
      </c>
      <c r="C5959" s="13" t="n">
        <v>4101121224</v>
      </c>
      <c r="D5959" s="13" t="inlineStr">
        <is>
          <t>4101121224</t>
        </is>
      </c>
      <c r="E5959" s="13" t="inlineStr">
        <is>
          <t>ЮЛ РФ</t>
        </is>
      </c>
      <c r="F5959" s="13" t="n"/>
      <c r="G5959" s="14" t="n"/>
      <c r="H5959" s="14" t="n"/>
      <c r="I5959" s="14" t="n"/>
      <c r="J5959" s="14" t="n"/>
      <c r="K5959" s="53" t="inlineStr"/>
      <c r="L5959" s="53" t="inlineStr">
        <is>
          <t>Не определено</t>
        </is>
      </c>
      <c r="M5959" s="53" t="inlineStr"/>
      <c r="N5959" s="54" t="inlineStr"/>
      <c r="O5959" s="55" t="inlineStr"/>
      <c r="P5959" s="16" t="inlineStr">
        <is>
          <t>Требует обогащения</t>
        </is>
      </c>
      <c r="Q5959" s="16">
        <f>HYPERLINK("https://pb.nalog.ru/search.html?query=4101121224","ФНС: проверить")</f>
        <v/>
      </c>
      <c r="R5959" s="16">
        <f>HYPERLINK("https://checko.ru/search?query=3801001629","Чекко: проверить")</f>
        <v/>
      </c>
      <c r="S5959" t="n">
        <v>1</v>
      </c>
      <c r="T5959" s="35" t="inlineStr">
        <is>
          <t>4 — Не обогащён</t>
        </is>
      </c>
      <c r="U5959" s="35" t="inlineStr">
        <is>
          <t>Нет ОКВЭД/ССЧР</t>
        </is>
      </c>
      <c r="V5959" s="35" t="inlineStr">
        <is>
          <t>Не определено</t>
        </is>
      </c>
      <c r="W5959" s="35" t="inlineStr"/>
      <c r="X5959" s="35" t="inlineStr"/>
    </row>
    <row r="5960" ht="27.75" customHeight="1" s="24">
      <c r="A5960" s="13" t="n">
        <v>5000072351</v>
      </c>
      <c r="B5960" s="13" t="inlineStr">
        <is>
          <t>МКУ городского округа Солнечногорск "Солнечногорск-Транссервис"</t>
        </is>
      </c>
      <c r="C5960" s="13" t="n">
        <v>5044116964</v>
      </c>
      <c r="D5960" s="13" t="inlineStr">
        <is>
          <t>5044116964</t>
        </is>
      </c>
      <c r="E5960" s="13" t="inlineStr">
        <is>
          <t>ЮЛ РФ</t>
        </is>
      </c>
      <c r="F5960" s="13" t="n"/>
      <c r="G5960" s="14" t="n"/>
      <c r="H5960" s="14" t="n"/>
      <c r="I5960" s="14" t="n"/>
      <c r="J5960" s="14" t="n"/>
      <c r="K5960" s="53" t="inlineStr"/>
      <c r="L5960" s="53" t="inlineStr">
        <is>
          <t>Не определено</t>
        </is>
      </c>
      <c r="M5960" s="53" t="inlineStr"/>
      <c r="N5960" s="54" t="inlineStr"/>
      <c r="O5960" s="55" t="inlineStr"/>
      <c r="P5960" s="16" t="inlineStr">
        <is>
          <t>Требует обогащения</t>
        </is>
      </c>
      <c r="Q5960" s="16">
        <f>HYPERLINK("https://pb.nalog.ru/search.html?query=5044116964","ФНС: проверить")</f>
        <v/>
      </c>
      <c r="R5960" s="16">
        <f>HYPERLINK("https://checko.ru/search?query=3801001629","Чекко: проверить")</f>
        <v/>
      </c>
      <c r="S5960" t="n">
        <v>1</v>
      </c>
      <c r="T5960" s="35" t="inlineStr">
        <is>
          <t>4 — Не обогащён</t>
        </is>
      </c>
      <c r="U5960" s="35" t="inlineStr">
        <is>
          <t>Нет ОКВЭД/ССЧР</t>
        </is>
      </c>
      <c r="V5960" s="35" t="inlineStr">
        <is>
          <t>Не определено</t>
        </is>
      </c>
      <c r="W5960" s="35" t="inlineStr"/>
      <c r="X5960" s="35" t="inlineStr"/>
    </row>
    <row r="5961" ht="27.75" customHeight="1" s="24">
      <c r="A5961" s="13" t="n">
        <v>5000046100</v>
      </c>
      <c r="B5961" s="13" t="inlineStr">
        <is>
          <t>МАДОУ "Центр развития ребенка - детский сад № 165 г.Иркутска"</t>
        </is>
      </c>
      <c r="C5961" s="13" t="n">
        <v>3812007990</v>
      </c>
      <c r="D5961" s="13" t="inlineStr">
        <is>
          <t>3812007990</t>
        </is>
      </c>
      <c r="E5961" s="13" t="inlineStr">
        <is>
          <t>ЮЛ РФ</t>
        </is>
      </c>
      <c r="F5961" s="13" t="n"/>
      <c r="G5961" s="14" t="n"/>
      <c r="H5961" s="14" t="n"/>
      <c r="I5961" s="14" t="n"/>
      <c r="J5961" s="14" t="n"/>
      <c r="K5961" s="53" t="inlineStr"/>
      <c r="L5961" s="53" t="inlineStr">
        <is>
          <t>Не определено</t>
        </is>
      </c>
      <c r="M5961" s="53" t="inlineStr"/>
      <c r="N5961" s="54" t="inlineStr"/>
      <c r="O5961" s="55" t="inlineStr"/>
      <c r="P5961" s="16" t="inlineStr">
        <is>
          <t>Требует обогащения</t>
        </is>
      </c>
      <c r="Q5961" s="16">
        <f>HYPERLINK("https://pb.nalog.ru/search.html?query=3812007990","ФНС: проверить")</f>
        <v/>
      </c>
      <c r="R5961" s="16">
        <f>HYPERLINK("https://checko.ru/search?query=3801001629","Чекко: проверить")</f>
        <v/>
      </c>
      <c r="S5961" t="n">
        <v>1</v>
      </c>
      <c r="T5961" s="35" t="inlineStr">
        <is>
          <t>4 — Не обогащён</t>
        </is>
      </c>
      <c r="U5961" s="35" t="inlineStr">
        <is>
          <t>Нет ОКВЭД/ССЧР</t>
        </is>
      </c>
      <c r="V5961" s="35" t="inlineStr">
        <is>
          <t>Не определено</t>
        </is>
      </c>
      <c r="W5961" s="35" t="inlineStr"/>
      <c r="X5961" s="35" t="inlineStr"/>
    </row>
    <row r="5962" ht="27.75" customHeight="1" s="24">
      <c r="A5962" s="13" t="n">
        <v>5000077055</v>
      </c>
      <c r="B5962" s="13" t="inlineStr">
        <is>
          <t>ГОУ "ЗАБАЙКАЛЬСКАЯ КРАЕВАЯ ГИМНАЗИЯ-ИНТЕРНАТ"</t>
        </is>
      </c>
      <c r="C5962" s="13" t="n">
        <v>7536032568</v>
      </c>
      <c r="D5962" s="13" t="inlineStr">
        <is>
          <t>7536032568</t>
        </is>
      </c>
      <c r="E5962" s="13" t="inlineStr">
        <is>
          <t>ЮЛ РФ</t>
        </is>
      </c>
      <c r="F5962" s="13" t="n"/>
      <c r="G5962" s="14" t="n"/>
      <c r="H5962" s="14" t="n"/>
      <c r="I5962" s="14" t="n"/>
      <c r="J5962" s="14" t="n"/>
      <c r="K5962" s="53" t="inlineStr"/>
      <c r="L5962" s="53" t="inlineStr">
        <is>
          <t>Не определено</t>
        </is>
      </c>
      <c r="M5962" s="53" t="inlineStr"/>
      <c r="N5962" s="54" t="inlineStr"/>
      <c r="O5962" s="55" t="inlineStr"/>
      <c r="P5962" s="16" t="inlineStr">
        <is>
          <t>Требует обогащения</t>
        </is>
      </c>
      <c r="Q5962" s="16">
        <f>HYPERLINK("https://pb.nalog.ru/search.html?query=7536032568","ФНС: проверить")</f>
        <v/>
      </c>
      <c r="R5962" s="16">
        <f>HYPERLINK("https://checko.ru/search?query=3801001629","Чекко: проверить")</f>
        <v/>
      </c>
      <c r="S5962" t="n">
        <v>1</v>
      </c>
      <c r="T5962" s="35" t="inlineStr">
        <is>
          <t>4 — Не обогащён</t>
        </is>
      </c>
      <c r="U5962" s="35" t="inlineStr">
        <is>
          <t>Нет ОКВЭД/ССЧР</t>
        </is>
      </c>
      <c r="V5962" s="35" t="inlineStr">
        <is>
          <t>Не определено</t>
        </is>
      </c>
      <c r="W5962" s="35" t="inlineStr"/>
      <c r="X5962" s="35" t="inlineStr"/>
    </row>
    <row r="5963" ht="27.75" customHeight="1" s="24">
      <c r="A5963" s="13" t="n">
        <v>5000077057</v>
      </c>
      <c r="B5963" s="13" t="inlineStr">
        <is>
          <t>ГУ ДО "ЗАБАЙКАЛЬСКИЙ ДЕТСКО-ЮНОШЕСКИЙ ЦЕНТР"</t>
        </is>
      </c>
      <c r="C5963" s="13" t="n">
        <v>7536098167</v>
      </c>
      <c r="D5963" s="13" t="inlineStr">
        <is>
          <t>7536098167</t>
        </is>
      </c>
      <c r="E5963" s="13" t="inlineStr">
        <is>
          <t>ЮЛ РФ</t>
        </is>
      </c>
      <c r="F5963" s="13" t="n"/>
      <c r="G5963" s="14" t="n"/>
      <c r="H5963" s="14" t="n"/>
      <c r="I5963" s="14" t="n"/>
      <c r="J5963" s="14" t="n"/>
      <c r="K5963" s="53" t="inlineStr"/>
      <c r="L5963" s="53" t="inlineStr">
        <is>
          <t>Не определено</t>
        </is>
      </c>
      <c r="M5963" s="53" t="inlineStr"/>
      <c r="N5963" s="54" t="inlineStr"/>
      <c r="O5963" s="55" t="inlineStr"/>
      <c r="P5963" s="16" t="inlineStr">
        <is>
          <t>Требует обогащения</t>
        </is>
      </c>
      <c r="Q5963" s="16">
        <f>HYPERLINK("https://pb.nalog.ru/search.html?query=7536098167","ФНС: проверить")</f>
        <v/>
      </c>
      <c r="R5963" s="16">
        <f>HYPERLINK("https://checko.ru/search?query=3801001629","Чекко: проверить")</f>
        <v/>
      </c>
      <c r="S5963" t="n">
        <v>1</v>
      </c>
      <c r="T5963" s="35" t="inlineStr">
        <is>
          <t>4 — Не обогащён</t>
        </is>
      </c>
      <c r="U5963" s="35" t="inlineStr">
        <is>
          <t>Нет ОКВЭД/ССЧР</t>
        </is>
      </c>
      <c r="V5963" s="35" t="inlineStr">
        <is>
          <t>Не определено</t>
        </is>
      </c>
      <c r="W5963" s="35" t="inlineStr"/>
      <c r="X5963" s="35" t="inlineStr"/>
    </row>
    <row r="5964" ht="41.25" customHeight="1" s="24">
      <c r="A5964" s="13" t="n">
        <v>5000116050</v>
      </c>
      <c r="B5964" s="13" t="inlineStr">
        <is>
          <t>Государственное учреждение Дополнительного Профессионального Образования "Институт Развития Образования Забайкальского Края"</t>
        </is>
      </c>
      <c r="C5964" s="13" t="n">
        <v>7536010571</v>
      </c>
      <c r="D5964" s="13" t="inlineStr">
        <is>
          <t>7536010571</t>
        </is>
      </c>
      <c r="E5964" s="13" t="inlineStr">
        <is>
          <t>ЮЛ РФ</t>
        </is>
      </c>
      <c r="F5964" s="13" t="n"/>
      <c r="G5964" s="14" t="n"/>
      <c r="H5964" s="14" t="n"/>
      <c r="I5964" s="14" t="n"/>
      <c r="J5964" s="14" t="n"/>
      <c r="K5964" s="53" t="inlineStr"/>
      <c r="L5964" s="53" t="inlineStr">
        <is>
          <t>Не определено</t>
        </is>
      </c>
      <c r="M5964" s="53" t="inlineStr"/>
      <c r="N5964" s="54" t="inlineStr"/>
      <c r="O5964" s="55" t="inlineStr"/>
      <c r="P5964" s="16" t="inlineStr">
        <is>
          <t>Требует обогащения</t>
        </is>
      </c>
      <c r="Q5964" s="16">
        <f>HYPERLINK("https://pb.nalog.ru/search.html?query=7536010571","ФНС: проверить")</f>
        <v/>
      </c>
      <c r="R5964" s="16">
        <f>HYPERLINK("https://checko.ru/search?query=3801001629","Чекко: проверить")</f>
        <v/>
      </c>
      <c r="S5964" t="n">
        <v>1</v>
      </c>
      <c r="T5964" s="35" t="inlineStr">
        <is>
          <t>4 — Не обогащён</t>
        </is>
      </c>
      <c r="U5964" s="35" t="inlineStr">
        <is>
          <t>Нет ОКВЭД/ССЧР</t>
        </is>
      </c>
      <c r="V5964" s="35" t="inlineStr">
        <is>
          <t>Не определено</t>
        </is>
      </c>
      <c r="W5964" s="35" t="inlineStr"/>
      <c r="X5964" s="35" t="inlineStr"/>
    </row>
    <row r="5965" ht="41.25" customHeight="1" s="24">
      <c r="A5965" s="13" t="n">
        <v>5000116420</v>
      </c>
      <c r="B5965" s="13" t="inlineStr">
        <is>
          <t>МУНИЦИПАЛЬНОЕ БЮДЖЕТНОЕ УЧРЕЖДЕНИЕ "ДИРЕКЦИЯ ПАРКОВ ОРЕХОВО-ЗУЕВСКОГО ГОРОДСКОГО ОКРУГА"</t>
        </is>
      </c>
      <c r="C5965" s="13" t="n">
        <v>5034069899</v>
      </c>
      <c r="D5965" s="13" t="inlineStr">
        <is>
          <t>5034069899</t>
        </is>
      </c>
      <c r="E5965" s="13" t="inlineStr">
        <is>
          <t>ЮЛ РФ</t>
        </is>
      </c>
      <c r="F5965" s="13" t="n"/>
      <c r="G5965" s="14" t="n"/>
      <c r="H5965" s="14" t="n"/>
      <c r="I5965" s="14" t="n"/>
      <c r="J5965" s="14" t="n"/>
      <c r="K5965" s="53" t="inlineStr"/>
      <c r="L5965" s="53" t="inlineStr">
        <is>
          <t>Не определено</t>
        </is>
      </c>
      <c r="M5965" s="53" t="inlineStr"/>
      <c r="N5965" s="54" t="inlineStr"/>
      <c r="O5965" s="55" t="inlineStr"/>
      <c r="P5965" s="16" t="inlineStr">
        <is>
          <t>Требует обогащения</t>
        </is>
      </c>
      <c r="Q5965" s="16">
        <f>HYPERLINK("https://pb.nalog.ru/search.html?query=5034069899","ФНС: проверить")</f>
        <v/>
      </c>
      <c r="R5965" s="16">
        <f>HYPERLINK("https://checko.ru/search?query=3801001629","Чекко: проверить")</f>
        <v/>
      </c>
      <c r="S5965" t="n">
        <v>1</v>
      </c>
      <c r="T5965" s="35" t="inlineStr">
        <is>
          <t>4 — Не обогащён</t>
        </is>
      </c>
      <c r="U5965" s="35" t="inlineStr">
        <is>
          <t>Нет ОКВЭД/ССЧР</t>
        </is>
      </c>
      <c r="V5965" s="35" t="inlineStr">
        <is>
          <t>Не определено</t>
        </is>
      </c>
      <c r="W5965" s="35" t="inlineStr"/>
      <c r="X5965" s="35" t="inlineStr"/>
    </row>
    <row r="5966" ht="54.75" customHeight="1" s="24">
      <c r="A5966" s="13" t="n">
        <v>5000116419</v>
      </c>
      <c r="B5966" s="13" t="inlineStr">
        <is>
          <t>Муниципальное казенное учреждение "Муниципальный Центр Управления Регионом" Орехово-Зуевского Городского Округа Московской Области</t>
        </is>
      </c>
      <c r="C5966" s="13" t="n">
        <v>5034071231</v>
      </c>
      <c r="D5966" s="13" t="inlineStr">
        <is>
          <t>5034071231</t>
        </is>
      </c>
      <c r="E5966" s="13" t="inlineStr">
        <is>
          <t>ЮЛ РФ</t>
        </is>
      </c>
      <c r="F5966" s="13" t="n"/>
      <c r="G5966" s="14" t="n"/>
      <c r="H5966" s="14" t="n"/>
      <c r="I5966" s="14" t="n"/>
      <c r="J5966" s="14" t="n"/>
      <c r="K5966" s="53" t="inlineStr"/>
      <c r="L5966" s="53" t="inlineStr">
        <is>
          <t>Не определено</t>
        </is>
      </c>
      <c r="M5966" s="53" t="inlineStr"/>
      <c r="N5966" s="54" t="inlineStr"/>
      <c r="O5966" s="55" t="inlineStr"/>
      <c r="P5966" s="16" t="inlineStr">
        <is>
          <t>Требует обогащения</t>
        </is>
      </c>
      <c r="Q5966" s="16">
        <f>HYPERLINK("https://pb.nalog.ru/search.html?query=5034071231","ФНС: проверить")</f>
        <v/>
      </c>
      <c r="R5966" s="16">
        <f>HYPERLINK("https://checko.ru/search?query=3801001629","Чекко: проверить")</f>
        <v/>
      </c>
      <c r="S5966" t="n">
        <v>1</v>
      </c>
      <c r="T5966" s="35" t="inlineStr">
        <is>
          <t>4 — Не обогащён</t>
        </is>
      </c>
      <c r="U5966" s="35" t="inlineStr">
        <is>
          <t>Нет ОКВЭД/ССЧР</t>
        </is>
      </c>
      <c r="V5966" s="35" t="inlineStr">
        <is>
          <t>Не определено</t>
        </is>
      </c>
      <c r="W5966" s="35" t="inlineStr"/>
      <c r="X5966" s="35" t="inlineStr"/>
    </row>
    <row r="5967" ht="41.25" customHeight="1" s="24">
      <c r="A5967" s="13" t="n">
        <v>5000100372</v>
      </c>
      <c r="B5967" s="13" t="inlineStr">
        <is>
          <t>Управление жилищно-коммунального хозяйства и экологии администрации городского округа Солнечногорск</t>
        </is>
      </c>
      <c r="C5967" s="13" t="n">
        <v>5044139898</v>
      </c>
      <c r="D5967" s="13" t="inlineStr">
        <is>
          <t>5044139898</t>
        </is>
      </c>
      <c r="E5967" s="13" t="inlineStr">
        <is>
          <t>ЮЛ РФ</t>
        </is>
      </c>
      <c r="F5967" s="13" t="n"/>
      <c r="G5967" s="14" t="n"/>
      <c r="H5967" s="14" t="n"/>
      <c r="I5967" s="14" t="n"/>
      <c r="J5967" s="14" t="n"/>
      <c r="K5967" s="53" t="inlineStr"/>
      <c r="L5967" s="53" t="inlineStr">
        <is>
          <t>Не определено</t>
        </is>
      </c>
      <c r="M5967" s="53" t="inlineStr"/>
      <c r="N5967" s="54" t="inlineStr"/>
      <c r="O5967" s="55" t="inlineStr"/>
      <c r="P5967" s="16" t="inlineStr">
        <is>
          <t>Требует обогащения</t>
        </is>
      </c>
      <c r="Q5967" s="16">
        <f>HYPERLINK("https://pb.nalog.ru/search.html?query=5044139898","ФНС: проверить")</f>
        <v/>
      </c>
      <c r="R5967" s="16">
        <f>HYPERLINK("https://checko.ru/search?query=3801001629","Чекко: проверить")</f>
        <v/>
      </c>
      <c r="S5967" t="n">
        <v>1</v>
      </c>
      <c r="T5967" s="35" t="inlineStr">
        <is>
          <t>4 — Не обогащён</t>
        </is>
      </c>
      <c r="U5967" s="35" t="inlineStr">
        <is>
          <t>Нет ОКВЭД/ССЧР</t>
        </is>
      </c>
      <c r="V5967" s="35" t="inlineStr">
        <is>
          <t>Не определено</t>
        </is>
      </c>
      <c r="W5967" s="35" t="inlineStr"/>
      <c r="X5967" s="35" t="inlineStr"/>
    </row>
    <row r="5968" ht="27.75" customHeight="1" s="24">
      <c r="A5968" s="13" t="n">
        <v>5000100373</v>
      </c>
      <c r="B5968" s="13" t="inlineStr">
        <is>
          <t>Управление благоустройства и содержания территории Администрации го Солнечногорск</t>
        </is>
      </c>
      <c r="C5968" s="13" t="n">
        <v>5044139880</v>
      </c>
      <c r="D5968" s="13" t="inlineStr">
        <is>
          <t>5044139880</t>
        </is>
      </c>
      <c r="E5968" s="13" t="inlineStr">
        <is>
          <t>ЮЛ РФ</t>
        </is>
      </c>
      <c r="F5968" s="13" t="n"/>
      <c r="G5968" s="14" t="n"/>
      <c r="H5968" s="14" t="n"/>
      <c r="I5968" s="14" t="n"/>
      <c r="J5968" s="14" t="n"/>
      <c r="K5968" s="53" t="inlineStr"/>
      <c r="L5968" s="53" t="inlineStr">
        <is>
          <t>Не определено</t>
        </is>
      </c>
      <c r="M5968" s="53" t="inlineStr"/>
      <c r="N5968" s="54" t="inlineStr"/>
      <c r="O5968" s="55" t="inlineStr"/>
      <c r="P5968" s="16" t="inlineStr">
        <is>
          <t>Требует обогащения</t>
        </is>
      </c>
      <c r="Q5968" s="16">
        <f>HYPERLINK("https://pb.nalog.ru/search.html?query=5044139880","ФНС: проверить")</f>
        <v/>
      </c>
      <c r="R5968" s="16">
        <f>HYPERLINK("https://checko.ru/search?query=3801001629","Чекко: проверить")</f>
        <v/>
      </c>
      <c r="S5968" t="n">
        <v>1</v>
      </c>
      <c r="T5968" s="35" t="inlineStr">
        <is>
          <t>4 — Не обогащён</t>
        </is>
      </c>
      <c r="U5968" s="35" t="inlineStr">
        <is>
          <t>Нет ОКВЭД/ССЧР</t>
        </is>
      </c>
      <c r="V5968" s="35" t="inlineStr">
        <is>
          <t>Не определено</t>
        </is>
      </c>
      <c r="W5968" s="35" t="inlineStr"/>
      <c r="X5968" s="35" t="inlineStr"/>
    </row>
    <row r="5969" ht="27.75" customHeight="1" s="24">
      <c r="A5969" s="13" t="n">
        <v>5000080618</v>
      </c>
      <c r="B5969" s="13" t="inlineStr">
        <is>
          <t>МУНИЦИПАЛЬНОЕ ОБЩЕОБРАЗОВАТЕЛЬНОЕ УЧРЕЖДЕНИЕ ЛИКИНО-ДУЛЁВСКАЯ ГИМНАЗИЯ</t>
        </is>
      </c>
      <c r="C5969" s="13" t="n">
        <v>5073009220</v>
      </c>
      <c r="D5969" s="13" t="inlineStr">
        <is>
          <t>5073009220</t>
        </is>
      </c>
      <c r="E5969" s="13" t="inlineStr">
        <is>
          <t>ЮЛ РФ</t>
        </is>
      </c>
      <c r="F5969" s="13" t="n"/>
      <c r="G5969" s="14" t="n"/>
      <c r="H5969" s="14" t="n"/>
      <c r="I5969" s="14" t="n"/>
      <c r="J5969" s="14" t="n"/>
      <c r="K5969" s="53" t="inlineStr"/>
      <c r="L5969" s="53" t="inlineStr">
        <is>
          <t>Не определено</t>
        </is>
      </c>
      <c r="M5969" s="53" t="inlineStr"/>
      <c r="N5969" s="54" t="inlineStr"/>
      <c r="O5969" s="55" t="inlineStr"/>
      <c r="P5969" s="16" t="inlineStr">
        <is>
          <t>Требует обогащения</t>
        </is>
      </c>
      <c r="Q5969" s="16">
        <f>HYPERLINK("https://pb.nalog.ru/search.html?query=5073009220","ФНС: проверить")</f>
        <v/>
      </c>
      <c r="R5969" s="16">
        <f>HYPERLINK("https://checko.ru/search?query=3801001629","Чекко: проверить")</f>
        <v/>
      </c>
      <c r="S5969" t="n">
        <v>1</v>
      </c>
      <c r="T5969" s="35" t="inlineStr">
        <is>
          <t>4 — Не обогащён</t>
        </is>
      </c>
      <c r="U5969" s="35" t="inlineStr">
        <is>
          <t>Нет ОКВЭД/ССЧР</t>
        </is>
      </c>
      <c r="V5969" s="35" t="inlineStr">
        <is>
          <t>Не определено</t>
        </is>
      </c>
      <c r="W5969" s="35" t="inlineStr"/>
      <c r="X5969" s="35" t="inlineStr"/>
    </row>
    <row r="5970" ht="41.25" customHeight="1" s="24">
      <c r="A5970" s="13" t="n">
        <v>5000080624</v>
      </c>
      <c r="B5970" s="13" t="inlineStr">
        <is>
          <t>МУНИЦИПАЛЬНОЕ УЧРЕЖДЕНИЕ КУЛЬТУРЫ "ЛИКИНО-ДУЛЁВСКИЙ КРАЕВЕДЧЕСКИЙ МУЗЕЙ" ОРЕХОВО-ЗУЕВСКОГО ГОРОДСКОГО ОКРУГА</t>
        </is>
      </c>
      <c r="C5970" s="13" t="n">
        <v>5073087972</v>
      </c>
      <c r="D5970" s="13" t="inlineStr">
        <is>
          <t>5073087972</t>
        </is>
      </c>
      <c r="E5970" s="13" t="inlineStr">
        <is>
          <t>ЮЛ РФ</t>
        </is>
      </c>
      <c r="F5970" s="13" t="n"/>
      <c r="G5970" s="14" t="n"/>
      <c r="H5970" s="14" t="n"/>
      <c r="I5970" s="14" t="n"/>
      <c r="J5970" s="14" t="n"/>
      <c r="K5970" s="53" t="inlineStr"/>
      <c r="L5970" s="53" t="inlineStr">
        <is>
          <t>Не определено</t>
        </is>
      </c>
      <c r="M5970" s="53" t="inlineStr"/>
      <c r="N5970" s="54" t="inlineStr"/>
      <c r="O5970" s="55" t="inlineStr"/>
      <c r="P5970" s="16" t="inlineStr">
        <is>
          <t>Требует обогащения</t>
        </is>
      </c>
      <c r="Q5970" s="16">
        <f>HYPERLINK("https://pb.nalog.ru/search.html?query=5073087972","ФНС: проверить")</f>
        <v/>
      </c>
      <c r="R5970" s="16">
        <f>HYPERLINK("https://checko.ru/search?query=3801001629","Чекко: проверить")</f>
        <v/>
      </c>
      <c r="S5970" t="n">
        <v>1</v>
      </c>
      <c r="T5970" s="35" t="inlineStr">
        <is>
          <t>4 — Не обогащён</t>
        </is>
      </c>
      <c r="U5970" s="35" t="inlineStr">
        <is>
          <t>Нет ОКВЭД/ССЧР</t>
        </is>
      </c>
      <c r="V5970" s="35" t="inlineStr">
        <is>
          <t>Не определено</t>
        </is>
      </c>
      <c r="W5970" s="35" t="inlineStr"/>
      <c r="X5970" s="35" t="inlineStr"/>
    </row>
    <row r="5971" ht="15" customHeight="1" s="24">
      <c r="A5971" s="13" t="n">
        <v>5000081554</v>
      </c>
      <c r="B5971" s="13" t="inlineStr">
        <is>
          <t>МБОУ г. Иркутска лицей №3</t>
        </is>
      </c>
      <c r="C5971" s="13" t="n">
        <v>3808048295</v>
      </c>
      <c r="D5971" s="13" t="inlineStr">
        <is>
          <t>3808048295</t>
        </is>
      </c>
      <c r="E5971" s="13" t="inlineStr">
        <is>
          <t>ЮЛ РФ</t>
        </is>
      </c>
      <c r="F5971" s="13" t="n"/>
      <c r="G5971" s="14" t="n"/>
      <c r="H5971" s="14" t="n"/>
      <c r="I5971" s="14" t="n"/>
      <c r="J5971" s="14" t="n"/>
      <c r="K5971" s="53" t="inlineStr"/>
      <c r="L5971" s="53" t="inlineStr">
        <is>
          <t>Не определено</t>
        </is>
      </c>
      <c r="M5971" s="53" t="inlineStr"/>
      <c r="N5971" s="54" t="inlineStr"/>
      <c r="O5971" s="55" t="inlineStr"/>
      <c r="P5971" s="16" t="inlineStr">
        <is>
          <t>Требует обогащения</t>
        </is>
      </c>
      <c r="Q5971" s="16">
        <f>HYPERLINK("https://pb.nalog.ru/search.html?query=3808048295","ФНС: проверить")</f>
        <v/>
      </c>
      <c r="R5971" s="16">
        <f>HYPERLINK("https://checko.ru/search?query=3801001629","Чекко: проверить")</f>
        <v/>
      </c>
      <c r="S5971" t="n">
        <v>1</v>
      </c>
      <c r="T5971" s="35" t="inlineStr">
        <is>
          <t>4 — Не обогащён</t>
        </is>
      </c>
      <c r="U5971" s="35" t="inlineStr">
        <is>
          <t>Нет ОКВЭД/ССЧР</t>
        </is>
      </c>
      <c r="V5971" s="35" t="inlineStr">
        <is>
          <t>Не определено</t>
        </is>
      </c>
      <c r="W5971" s="35" t="inlineStr"/>
      <c r="X5971" s="35" t="inlineStr"/>
    </row>
    <row r="5972" ht="15" customHeight="1" s="24">
      <c r="A5972" s="13" t="n">
        <v>5000081556</v>
      </c>
      <c r="B5972" s="13" t="inlineStr">
        <is>
          <t>МБОУ г. Иркутска СОШ № 3</t>
        </is>
      </c>
      <c r="C5972" s="13" t="n">
        <v>3809024642</v>
      </c>
      <c r="D5972" s="13" t="inlineStr">
        <is>
          <t>3809024642</t>
        </is>
      </c>
      <c r="E5972" s="13" t="inlineStr">
        <is>
          <t>ЮЛ РФ</t>
        </is>
      </c>
      <c r="F5972" s="13" t="n"/>
      <c r="G5972" s="14" t="n"/>
      <c r="H5972" s="14" t="n"/>
      <c r="I5972" s="14" t="n"/>
      <c r="J5972" s="14" t="n"/>
      <c r="K5972" s="53" t="inlineStr"/>
      <c r="L5972" s="53" t="inlineStr">
        <is>
          <t>Не определено</t>
        </is>
      </c>
      <c r="M5972" s="53" t="inlineStr"/>
      <c r="N5972" s="54" t="inlineStr"/>
      <c r="O5972" s="55" t="inlineStr"/>
      <c r="P5972" s="16" t="inlineStr">
        <is>
          <t>Требует обогащения</t>
        </is>
      </c>
      <c r="Q5972" s="16">
        <f>HYPERLINK("https://pb.nalog.ru/search.html?query=3809024642","ФНС: проверить")</f>
        <v/>
      </c>
      <c r="R5972" s="16">
        <f>HYPERLINK("https://checko.ru/search?query=3801001629","Чекко: проверить")</f>
        <v/>
      </c>
      <c r="S5972" t="n">
        <v>1</v>
      </c>
      <c r="T5972" s="35" t="inlineStr">
        <is>
          <t>4 — Не обогащён</t>
        </is>
      </c>
      <c r="U5972" s="35" t="inlineStr">
        <is>
          <t>Нет ОКВЭД/ССЧР</t>
        </is>
      </c>
      <c r="V5972" s="35" t="inlineStr">
        <is>
          <t>Не определено</t>
        </is>
      </c>
      <c r="W5972" s="35" t="inlineStr"/>
      <c r="X5972" s="35" t="inlineStr"/>
    </row>
    <row r="5973" ht="15" customHeight="1" s="24">
      <c r="A5973" s="13" t="n">
        <v>5000081578</v>
      </c>
      <c r="B5973" s="13" t="inlineStr">
        <is>
          <t>МБУДО Г. ИРКУТСКА ЦДТТ</t>
        </is>
      </c>
      <c r="C5973" s="13" t="n">
        <v>3812007911</v>
      </c>
      <c r="D5973" s="13" t="inlineStr">
        <is>
          <t>3812007911</t>
        </is>
      </c>
      <c r="E5973" s="13" t="inlineStr">
        <is>
          <t>ЮЛ РФ</t>
        </is>
      </c>
      <c r="F5973" s="13" t="n"/>
      <c r="G5973" s="14" t="n"/>
      <c r="H5973" s="14" t="n"/>
      <c r="I5973" s="14" t="n"/>
      <c r="J5973" s="14" t="n"/>
      <c r="K5973" s="53" t="inlineStr"/>
      <c r="L5973" s="53" t="inlineStr">
        <is>
          <t>Не определено</t>
        </is>
      </c>
      <c r="M5973" s="53" t="inlineStr"/>
      <c r="N5973" s="54" t="inlineStr"/>
      <c r="O5973" s="55" t="inlineStr"/>
      <c r="P5973" s="16" t="inlineStr">
        <is>
          <t>Требует обогащения</t>
        </is>
      </c>
      <c r="Q5973" s="16">
        <f>HYPERLINK("https://pb.nalog.ru/search.html?query=3812007911","ФНС: проверить")</f>
        <v/>
      </c>
      <c r="R5973" s="16">
        <f>HYPERLINK("https://checko.ru/search?query=3801001629","Чекко: проверить")</f>
        <v/>
      </c>
      <c r="S5973" t="n">
        <v>1</v>
      </c>
      <c r="T5973" s="35" t="inlineStr">
        <is>
          <t>4 — Не обогащён</t>
        </is>
      </c>
      <c r="U5973" s="35" t="inlineStr">
        <is>
          <t>Нет ОКВЭД/ССЧР</t>
        </is>
      </c>
      <c r="V5973" s="35" t="inlineStr">
        <is>
          <t>Не определено</t>
        </is>
      </c>
      <c r="W5973" s="35" t="inlineStr"/>
      <c r="X5973" s="35" t="inlineStr"/>
    </row>
    <row r="5974" ht="27.75" customHeight="1" s="24">
      <c r="A5974" s="13" t="n">
        <v>5000080629</v>
      </c>
      <c r="B5974" s="13" t="inlineStr">
        <is>
          <t>МБУ "СТАДИОН "СОКОЛ" ОРЕХОВО-ЗУЕВСКОГО ГОРОДСКОГО ОКРУГА</t>
        </is>
      </c>
      <c r="C5974" s="13" t="n">
        <v>5034030901</v>
      </c>
      <c r="D5974" s="13" t="inlineStr">
        <is>
          <t>5034030901</t>
        </is>
      </c>
      <c r="E5974" s="13" t="inlineStr">
        <is>
          <t>ЮЛ РФ</t>
        </is>
      </c>
      <c r="F5974" s="13" t="n"/>
      <c r="G5974" s="14" t="n"/>
      <c r="H5974" s="14" t="n"/>
      <c r="I5974" s="14" t="n"/>
      <c r="J5974" s="14" t="n"/>
      <c r="K5974" s="53" t="inlineStr"/>
      <c r="L5974" s="53" t="inlineStr">
        <is>
          <t>Не определено</t>
        </is>
      </c>
      <c r="M5974" s="53" t="inlineStr"/>
      <c r="N5974" s="54" t="inlineStr"/>
      <c r="O5974" s="55" t="inlineStr"/>
      <c r="P5974" s="16" t="inlineStr">
        <is>
          <t>Требует обогащения</t>
        </is>
      </c>
      <c r="Q5974" s="16">
        <f>HYPERLINK("https://pb.nalog.ru/search.html?query=5034030901","ФНС: проверить")</f>
        <v/>
      </c>
      <c r="R5974" s="16">
        <f>HYPERLINK("https://checko.ru/search?query=3801001629","Чекко: проверить")</f>
        <v/>
      </c>
      <c r="S5974" t="n">
        <v>1</v>
      </c>
      <c r="T5974" s="35" t="inlineStr">
        <is>
          <t>4 — Не обогащён</t>
        </is>
      </c>
      <c r="U5974" s="35" t="inlineStr">
        <is>
          <t>Нет ОКВЭД/ССЧР</t>
        </is>
      </c>
      <c r="V5974" s="35" t="inlineStr">
        <is>
          <t>Не определено</t>
        </is>
      </c>
      <c r="W5974" s="35" t="inlineStr"/>
      <c r="X5974" s="35" t="inlineStr"/>
    </row>
    <row r="5975" ht="54.75" customHeight="1" s="24">
      <c r="A5975" s="13" t="n">
        <v>5000080630</v>
      </c>
      <c r="B5975" s="13" t="inlineStr">
        <is>
          <t>МУНИЦИПАЛЬНОЕ УЧРЕЖДЕНИЕ КУЛЬТУРЫ "ЦЕНТР КУЛЬТУРНОГО РАЗВИТИЯ "ЮБИЛЕЙНЫЙ" ОРЕХОВО-ЗУЕВСКОГО ГОРОДСКОГО ОКРУГА МОСКОВСКОЙ ОБЛАСТИ</t>
        </is>
      </c>
      <c r="C5975" s="13" t="n">
        <v>5034030919</v>
      </c>
      <c r="D5975" s="13" t="inlineStr">
        <is>
          <t>5034030919</t>
        </is>
      </c>
      <c r="E5975" s="13" t="inlineStr">
        <is>
          <t>ЮЛ РФ</t>
        </is>
      </c>
      <c r="F5975" s="13" t="n"/>
      <c r="G5975" s="14" t="n"/>
      <c r="H5975" s="14" t="n"/>
      <c r="I5975" s="14" t="n"/>
      <c r="J5975" s="14" t="n"/>
      <c r="K5975" s="53" t="inlineStr"/>
      <c r="L5975" s="53" t="inlineStr">
        <is>
          <t>Не определено</t>
        </is>
      </c>
      <c r="M5975" s="53" t="inlineStr"/>
      <c r="N5975" s="54" t="inlineStr"/>
      <c r="O5975" s="55" t="inlineStr"/>
      <c r="P5975" s="16" t="inlineStr">
        <is>
          <t>Требует обогащения</t>
        </is>
      </c>
      <c r="Q5975" s="16">
        <f>HYPERLINK("https://pb.nalog.ru/search.html?query=5034030919","ФНС: проверить")</f>
        <v/>
      </c>
      <c r="R5975" s="16">
        <f>HYPERLINK("https://checko.ru/search?query=3801001629","Чекко: проверить")</f>
        <v/>
      </c>
      <c r="S5975" t="n">
        <v>1</v>
      </c>
      <c r="T5975" s="35" t="inlineStr">
        <is>
          <t>4 — Не обогащён</t>
        </is>
      </c>
      <c r="U5975" s="35" t="inlineStr">
        <is>
          <t>Нет ОКВЭД/ССЧР</t>
        </is>
      </c>
      <c r="V5975" s="35" t="inlineStr">
        <is>
          <t>Не определено</t>
        </is>
      </c>
      <c r="W5975" s="35" t="inlineStr"/>
      <c r="X5975" s="35" t="inlineStr"/>
    </row>
    <row r="5976" ht="41.25" customHeight="1" s="24">
      <c r="A5976" s="13" t="n">
        <v>5000080638</v>
      </c>
      <c r="B5976" s="13" t="inlineStr">
        <is>
          <t>МУНИЦИПАЛЬНОЕ УЧРЕЖДЕНИЕ КУЛЬТУРЫ КУЛЬТУРНО-ДОСУГОВЫЙ ЦЕНТР "ДУЛЁВСКИЙ" ОРЕХОВО-ЗУЕВСКОГО ГОРОДСКОГО ОКРУГА</t>
        </is>
      </c>
      <c r="C5976" s="13" t="n">
        <v>5034034342</v>
      </c>
      <c r="D5976" s="13" t="inlineStr">
        <is>
          <t>5034034342</t>
        </is>
      </c>
      <c r="E5976" s="13" t="inlineStr">
        <is>
          <t>ЮЛ РФ</t>
        </is>
      </c>
      <c r="F5976" s="13" t="n"/>
      <c r="G5976" s="14" t="n"/>
      <c r="H5976" s="14" t="n"/>
      <c r="I5976" s="14" t="n"/>
      <c r="J5976" s="14" t="n"/>
      <c r="K5976" s="53" t="inlineStr"/>
      <c r="L5976" s="53" t="inlineStr">
        <is>
          <t>Не определено</t>
        </is>
      </c>
      <c r="M5976" s="53" t="inlineStr"/>
      <c r="N5976" s="54" t="inlineStr"/>
      <c r="O5976" s="55" t="inlineStr"/>
      <c r="P5976" s="16" t="inlineStr">
        <is>
          <t>Требует обогащения</t>
        </is>
      </c>
      <c r="Q5976" s="16">
        <f>HYPERLINK("https://pb.nalog.ru/search.html?query=5034034342","ФНС: проверить")</f>
        <v/>
      </c>
      <c r="R5976" s="16">
        <f>HYPERLINK("https://checko.ru/search?query=3801001629","Чекко: проверить")</f>
        <v/>
      </c>
      <c r="S5976" t="n">
        <v>1</v>
      </c>
      <c r="T5976" s="35" t="inlineStr">
        <is>
          <t>4 — Не обогащён</t>
        </is>
      </c>
      <c r="U5976" s="35" t="inlineStr">
        <is>
          <t>Нет ОКВЭД/ССЧР</t>
        </is>
      </c>
      <c r="V5976" s="35" t="inlineStr">
        <is>
          <t>Не определено</t>
        </is>
      </c>
      <c r="W5976" s="35" t="inlineStr"/>
      <c r="X5976" s="35" t="inlineStr"/>
    </row>
    <row r="5977" ht="27.75" customHeight="1" s="24">
      <c r="A5977" s="13" t="n">
        <v>5000080648</v>
      </c>
      <c r="B5977" s="13" t="inlineStr">
        <is>
          <t>МКУ "ХОЗЯЙСТВЕННО-ЭКСПЛУАТАЦИОННАЯ КОНТОРА"</t>
        </is>
      </c>
      <c r="C5977" s="13" t="n">
        <v>5034020371</v>
      </c>
      <c r="D5977" s="13" t="inlineStr">
        <is>
          <t>5034020371</t>
        </is>
      </c>
      <c r="E5977" s="13" t="inlineStr">
        <is>
          <t>ЮЛ РФ</t>
        </is>
      </c>
      <c r="F5977" s="13" t="n"/>
      <c r="G5977" s="14" t="n"/>
      <c r="H5977" s="14" t="n"/>
      <c r="I5977" s="14" t="n"/>
      <c r="J5977" s="14" t="n"/>
      <c r="K5977" s="53" t="inlineStr"/>
      <c r="L5977" s="53" t="inlineStr">
        <is>
          <t>Не определено</t>
        </is>
      </c>
      <c r="M5977" s="53" t="inlineStr"/>
      <c r="N5977" s="54" t="inlineStr"/>
      <c r="O5977" s="55" t="inlineStr"/>
      <c r="P5977" s="16" t="inlineStr">
        <is>
          <t>Требует обогащения</t>
        </is>
      </c>
      <c r="Q5977" s="16">
        <f>HYPERLINK("https://pb.nalog.ru/search.html?query=5034020371","ФНС: проверить")</f>
        <v/>
      </c>
      <c r="R5977" s="16">
        <f>HYPERLINK("https://checko.ru/search?query=3801001629","Чекко: проверить")</f>
        <v/>
      </c>
      <c r="S5977" t="n">
        <v>1</v>
      </c>
      <c r="T5977" s="35" t="inlineStr">
        <is>
          <t>4 — Не обогащён</t>
        </is>
      </c>
      <c r="U5977" s="35" t="inlineStr">
        <is>
          <t>Нет ОКВЭД/ССЧР</t>
        </is>
      </c>
      <c r="V5977" s="35" t="inlineStr">
        <is>
          <t>Не определено</t>
        </is>
      </c>
      <c r="W5977" s="35" t="inlineStr"/>
      <c r="X5977" s="35" t="inlineStr"/>
    </row>
    <row r="5978" ht="41.25" customHeight="1" s="24">
      <c r="A5978" s="13" t="n">
        <v>5000080649</v>
      </c>
      <c r="B5978" s="13" t="inlineStr">
        <is>
          <t>МКУ "ЕДИНАЯ ДЕЖУРНАЯ ДИСПЕТЧЕРСКАЯ СЛУЖБА ОРЕХОВО-ЗУЕВСКОГО ГОРОДСКОГО ОКРУГА"</t>
        </is>
      </c>
      <c r="C5978" s="13" t="n">
        <v>5034050288</v>
      </c>
      <c r="D5978" s="13" t="inlineStr">
        <is>
          <t>5034050288</t>
        </is>
      </c>
      <c r="E5978" s="13" t="inlineStr">
        <is>
          <t>ЮЛ РФ</t>
        </is>
      </c>
      <c r="F5978" s="13" t="n"/>
      <c r="G5978" s="14" t="n"/>
      <c r="H5978" s="14" t="n"/>
      <c r="I5978" s="14" t="n"/>
      <c r="J5978" s="14" t="n"/>
      <c r="K5978" s="53" t="inlineStr"/>
      <c r="L5978" s="53" t="inlineStr">
        <is>
          <t>Не определено</t>
        </is>
      </c>
      <c r="M5978" s="53" t="inlineStr"/>
      <c r="N5978" s="54" t="inlineStr"/>
      <c r="O5978" s="55" t="inlineStr"/>
      <c r="P5978" s="16" t="inlineStr">
        <is>
          <t>Требует обогащения</t>
        </is>
      </c>
      <c r="Q5978" s="16">
        <f>HYPERLINK("https://pb.nalog.ru/search.html?query=5034050288","ФНС: проверить")</f>
        <v/>
      </c>
      <c r="R5978" s="16">
        <f>HYPERLINK("https://checko.ru/search?query=3801001629","Чекко: проверить")</f>
        <v/>
      </c>
      <c r="S5978" t="n">
        <v>1</v>
      </c>
      <c r="T5978" s="35" t="inlineStr">
        <is>
          <t>4 — Не обогащён</t>
        </is>
      </c>
      <c r="U5978" s="35" t="inlineStr">
        <is>
          <t>Нет ОКВЭД/ССЧР</t>
        </is>
      </c>
      <c r="V5978" s="35" t="inlineStr">
        <is>
          <t>Не определено</t>
        </is>
      </c>
      <c r="W5978" s="35" t="inlineStr"/>
      <c r="X5978" s="35" t="inlineStr"/>
    </row>
    <row r="5979" ht="27.75" customHeight="1" s="24">
      <c r="A5979" s="13" t="n">
        <v>5000080597</v>
      </c>
      <c r="B5979" s="13" t="inlineStr">
        <is>
          <t>МУНИЦИПАЛЬНОЕ ОБЩЕОБРАЗОВАТЕЛЬНОЕ УЧРЕЖДЕНИЕ КУРОВСКАЯ ГИМНАЗИЯ</t>
        </is>
      </c>
      <c r="C5979" s="13" t="n">
        <v>5073008226</v>
      </c>
      <c r="D5979" s="13" t="inlineStr">
        <is>
          <t>5073008226</t>
        </is>
      </c>
      <c r="E5979" s="13" t="inlineStr">
        <is>
          <t>ЮЛ РФ</t>
        </is>
      </c>
      <c r="F5979" s="13" t="n"/>
      <c r="G5979" s="14" t="n"/>
      <c r="H5979" s="14" t="n"/>
      <c r="I5979" s="14" t="n"/>
      <c r="J5979" s="14" t="n"/>
      <c r="K5979" s="53" t="inlineStr"/>
      <c r="L5979" s="53" t="inlineStr">
        <is>
          <t>Не определено</t>
        </is>
      </c>
      <c r="M5979" s="53" t="inlineStr"/>
      <c r="N5979" s="54" t="inlineStr"/>
      <c r="O5979" s="55" t="inlineStr"/>
      <c r="P5979" s="16" t="inlineStr">
        <is>
          <t>Требует обогащения</t>
        </is>
      </c>
      <c r="Q5979" s="16">
        <f>HYPERLINK("https://pb.nalog.ru/search.html?query=5073008226","ФНС: проверить")</f>
        <v/>
      </c>
      <c r="R5979" s="16">
        <f>HYPERLINK("https://checko.ru/search?query=3801001629","Чекко: проверить")</f>
        <v/>
      </c>
      <c r="S5979" t="n">
        <v>1</v>
      </c>
      <c r="T5979" s="35" t="inlineStr">
        <is>
          <t>4 — Не обогащён</t>
        </is>
      </c>
      <c r="U5979" s="35" t="inlineStr">
        <is>
          <t>Нет ОКВЭД/ССЧР</t>
        </is>
      </c>
      <c r="V5979" s="35" t="inlineStr">
        <is>
          <t>Не определено</t>
        </is>
      </c>
      <c r="W5979" s="35" t="inlineStr"/>
      <c r="X5979" s="35" t="inlineStr"/>
    </row>
    <row r="5980" ht="41.25" customHeight="1" s="24">
      <c r="A5980" s="13" t="n">
        <v>5000080599</v>
      </c>
      <c r="B5980" s="13" t="inlineStr">
        <is>
          <t>МУНИЦИПАЛЬНОЕ ОБЩЕОБРАЗОВАТЕЛЬНОЕ УЧРЕЖДЕНИЕ КУРОВСКАЯ СРЕДНЯЯ ОБЩЕОБРАЗОВАТЕЛЬНАЯ ШКОЛА № 1</t>
        </is>
      </c>
      <c r="C5980" s="13" t="n">
        <v>5073008321</v>
      </c>
      <c r="D5980" s="13" t="inlineStr">
        <is>
          <t>5073008321</t>
        </is>
      </c>
      <c r="E5980" s="13" t="inlineStr">
        <is>
          <t>ЮЛ РФ</t>
        </is>
      </c>
      <c r="F5980" s="13" t="n"/>
      <c r="G5980" s="14" t="n"/>
      <c r="H5980" s="14" t="n"/>
      <c r="I5980" s="14" t="n"/>
      <c r="J5980" s="14" t="n"/>
      <c r="K5980" s="53" t="inlineStr"/>
      <c r="L5980" s="53" t="inlineStr">
        <is>
          <t>Не определено</t>
        </is>
      </c>
      <c r="M5980" s="53" t="inlineStr"/>
      <c r="N5980" s="54" t="inlineStr"/>
      <c r="O5980" s="55" t="inlineStr"/>
      <c r="P5980" s="16" t="inlineStr">
        <is>
          <t>Требует обогащения</t>
        </is>
      </c>
      <c r="Q5980" s="16">
        <f>HYPERLINK("https://pb.nalog.ru/search.html?query=5073008321","ФНС: проверить")</f>
        <v/>
      </c>
      <c r="R5980" s="16">
        <f>HYPERLINK("https://checko.ru/search?query=3801001629","Чекко: проверить")</f>
        <v/>
      </c>
      <c r="S5980" t="n">
        <v>1</v>
      </c>
      <c r="T5980" s="35" t="inlineStr">
        <is>
          <t>4 — Не обогащён</t>
        </is>
      </c>
      <c r="U5980" s="35" t="inlineStr">
        <is>
          <t>Нет ОКВЭД/ССЧР</t>
        </is>
      </c>
      <c r="V5980" s="35" t="inlineStr">
        <is>
          <t>Не определено</t>
        </is>
      </c>
      <c r="W5980" s="35" t="inlineStr"/>
      <c r="X5980" s="35" t="inlineStr"/>
    </row>
    <row r="5981" ht="27.75" customHeight="1" s="24">
      <c r="A5981" s="13" t="n">
        <v>5000077063</v>
      </c>
      <c r="B5981" s="13" t="inlineStr">
        <is>
          <t>ГУ "КРАЕВОЙ ЦЕНТР ОЦЕНКИ КАЧЕСТВА ОБРАЗОВАНИЯ ЗАБАЙКАЛЬСКОГО КРАЯ"</t>
        </is>
      </c>
      <c r="C5981" s="13" t="n">
        <v>7534013626</v>
      </c>
      <c r="D5981" s="13" t="inlineStr">
        <is>
          <t>7534013626</t>
        </is>
      </c>
      <c r="E5981" s="13" t="inlineStr">
        <is>
          <t>ЮЛ РФ</t>
        </is>
      </c>
      <c r="F5981" s="13" t="n"/>
      <c r="G5981" s="14" t="n"/>
      <c r="H5981" s="14" t="n"/>
      <c r="I5981" s="14" t="n"/>
      <c r="J5981" s="14" t="n"/>
      <c r="K5981" s="53" t="inlineStr"/>
      <c r="L5981" s="53" t="inlineStr">
        <is>
          <t>Не определено</t>
        </is>
      </c>
      <c r="M5981" s="53" t="inlineStr"/>
      <c r="N5981" s="54" t="inlineStr"/>
      <c r="O5981" s="55" t="inlineStr"/>
      <c r="P5981" s="16" t="inlineStr">
        <is>
          <t>Требует обогащения</t>
        </is>
      </c>
      <c r="Q5981" s="16">
        <f>HYPERLINK("https://pb.nalog.ru/search.html?query=7534013626","ФНС: проверить")</f>
        <v/>
      </c>
      <c r="R5981" s="16">
        <f>HYPERLINK("https://checko.ru/search?query=3801001629","Чекко: проверить")</f>
        <v/>
      </c>
      <c r="S5981" t="n">
        <v>1</v>
      </c>
      <c r="T5981" s="35" t="inlineStr">
        <is>
          <t>4 — Не обогащён</t>
        </is>
      </c>
      <c r="U5981" s="35" t="inlineStr">
        <is>
          <t>Нет ОКВЭД/ССЧР</t>
        </is>
      </c>
      <c r="V5981" s="35" t="inlineStr">
        <is>
          <t>Не определено</t>
        </is>
      </c>
      <c r="W5981" s="35" t="inlineStr"/>
      <c r="X5981" s="35" t="inlineStr"/>
    </row>
    <row r="5982" ht="27.75" customHeight="1" s="24">
      <c r="A5982" s="13" t="n">
        <v>5000077068</v>
      </c>
      <c r="B5982" s="13" t="inlineStr">
        <is>
          <t>ГУ ДО "ЗАБАЙКАЛЬСКИЙ ДЕТСКО-ЮНОШЕСКИЙ ЦЕНТР"ОЛИМПИЕЦ"</t>
        </is>
      </c>
      <c r="C5982" s="13" t="n">
        <v>7536088497</v>
      </c>
      <c r="D5982" s="13" t="inlineStr">
        <is>
          <t>7536088497</t>
        </is>
      </c>
      <c r="E5982" s="13" t="inlineStr">
        <is>
          <t>ЮЛ РФ</t>
        </is>
      </c>
      <c r="F5982" s="13" t="n"/>
      <c r="G5982" s="14" t="n"/>
      <c r="H5982" s="14" t="n"/>
      <c r="I5982" s="14" t="n"/>
      <c r="J5982" s="14" t="n"/>
      <c r="K5982" s="53" t="inlineStr"/>
      <c r="L5982" s="53" t="inlineStr">
        <is>
          <t>Не определено</t>
        </is>
      </c>
      <c r="M5982" s="53" t="inlineStr"/>
      <c r="N5982" s="54" t="inlineStr"/>
      <c r="O5982" s="55" t="inlineStr"/>
      <c r="P5982" s="16" t="inlineStr">
        <is>
          <t>Требует обогащения</t>
        </is>
      </c>
      <c r="Q5982" s="16">
        <f>HYPERLINK("https://pb.nalog.ru/search.html?query=7536088497","ФНС: проверить")</f>
        <v/>
      </c>
      <c r="R5982" s="16">
        <f>HYPERLINK("https://checko.ru/search?query=3801001629","Чекко: проверить")</f>
        <v/>
      </c>
      <c r="S5982" t="n">
        <v>1</v>
      </c>
      <c r="T5982" s="35" t="inlineStr">
        <is>
          <t>4 — Не обогащён</t>
        </is>
      </c>
      <c r="U5982" s="35" t="inlineStr">
        <is>
          <t>Нет ОКВЭД/ССЧР</t>
        </is>
      </c>
      <c r="V5982" s="35" t="inlineStr">
        <is>
          <t>Не определено</t>
        </is>
      </c>
      <c r="W5982" s="35" t="inlineStr"/>
      <c r="X5982" s="35" t="inlineStr"/>
    </row>
    <row r="5983" ht="54.75" customHeight="1" s="24">
      <c r="A5983" s="13" t="n">
        <v>5000077069</v>
      </c>
      <c r="B5983" s="13" t="inlineStr">
        <is>
          <t>ГОСУДАРСТВЕННОЕ ОБЩЕОБРАЗОВАТЕЛЬНОЕ УЧРЕЖДЕНИЕ "ЗАБАЙКАЛЬСКИЙ ЦЕНТР СПЕЦИАЛЬНОГО ОБРАЗОВАНИЯ И РАЗВИТИЯ "ОТКРЫТЫЙ МИР"</t>
        </is>
      </c>
      <c r="C5983" s="13" t="n">
        <v>7536118487</v>
      </c>
      <c r="D5983" s="13" t="inlineStr">
        <is>
          <t>7536118487</t>
        </is>
      </c>
      <c r="E5983" s="13" t="inlineStr">
        <is>
          <t>ЮЛ РФ</t>
        </is>
      </c>
      <c r="F5983" s="13" t="n"/>
      <c r="G5983" s="14" t="n"/>
      <c r="H5983" s="14" t="n"/>
      <c r="I5983" s="14" t="n"/>
      <c r="J5983" s="14" t="n"/>
      <c r="K5983" s="53" t="inlineStr"/>
      <c r="L5983" s="53" t="inlineStr">
        <is>
          <t>Не определено</t>
        </is>
      </c>
      <c r="M5983" s="53" t="inlineStr"/>
      <c r="N5983" s="54" t="inlineStr"/>
      <c r="O5983" s="55" t="inlineStr"/>
      <c r="P5983" s="16" t="inlineStr">
        <is>
          <t>Требует обогащения</t>
        </is>
      </c>
      <c r="Q5983" s="16">
        <f>HYPERLINK("https://pb.nalog.ru/search.html?query=7536118487","ФНС: проверить")</f>
        <v/>
      </c>
      <c r="R5983" s="16">
        <f>HYPERLINK("https://checko.ru/search?query=3801001629","Чекко: проверить")</f>
        <v/>
      </c>
      <c r="S5983" t="n">
        <v>1</v>
      </c>
      <c r="T5983" s="35" t="inlineStr">
        <is>
          <t>4 — Не обогащён</t>
        </is>
      </c>
      <c r="U5983" s="35" t="inlineStr">
        <is>
          <t>Нет ОКВЭД/ССЧР</t>
        </is>
      </c>
      <c r="V5983" s="35" t="inlineStr">
        <is>
          <t>Не определено</t>
        </is>
      </c>
      <c r="W5983" s="35" t="inlineStr"/>
      <c r="X5983" s="35" t="inlineStr"/>
    </row>
    <row r="5984" ht="41.25" customHeight="1" s="24">
      <c r="A5984" s="13" t="n">
        <v>5000077071</v>
      </c>
      <c r="B5984" s="13" t="inlineStr">
        <is>
          <t>ГОСУДАРСТВЕННОЕ ОБЩЕОБРАЗОВАТЕЛЬНОЕ УЧРЕЖДЕНИЕ "ЗАБАЙКАЛЬСКАЯ КРАЕВАЯ САНАТОРНАЯ ШКОЛА-ИНТЕРНАТ"</t>
        </is>
      </c>
      <c r="C5984" s="13" t="n">
        <v>7534009330</v>
      </c>
      <c r="D5984" s="13" t="inlineStr">
        <is>
          <t>7534009330</t>
        </is>
      </c>
      <c r="E5984" s="13" t="inlineStr">
        <is>
          <t>ЮЛ РФ</t>
        </is>
      </c>
      <c r="F5984" s="13" t="n"/>
      <c r="G5984" s="14" t="n"/>
      <c r="H5984" s="14" t="n"/>
      <c r="I5984" s="14" t="n"/>
      <c r="J5984" s="14" t="n"/>
      <c r="K5984" s="53" t="inlineStr"/>
      <c r="L5984" s="53" t="inlineStr">
        <is>
          <t>Не определено</t>
        </is>
      </c>
      <c r="M5984" s="53" t="inlineStr"/>
      <c r="N5984" s="54" t="inlineStr"/>
      <c r="O5984" s="55" t="inlineStr"/>
      <c r="P5984" s="16" t="inlineStr">
        <is>
          <t>Требует обогащения</t>
        </is>
      </c>
      <c r="Q5984" s="16">
        <f>HYPERLINK("https://pb.nalog.ru/search.html?query=7534009330","ФНС: проверить")</f>
        <v/>
      </c>
      <c r="R5984" s="16">
        <f>HYPERLINK("https://checko.ru/search?query=3801001629","Чекко: проверить")</f>
        <v/>
      </c>
      <c r="S5984" t="n">
        <v>1</v>
      </c>
      <c r="T5984" s="35" t="inlineStr">
        <is>
          <t>4 — Не обогащён</t>
        </is>
      </c>
      <c r="U5984" s="35" t="inlineStr">
        <is>
          <t>Нет ОКВЭД/ССЧР</t>
        </is>
      </c>
      <c r="V5984" s="35" t="inlineStr">
        <is>
          <t>Не определено</t>
        </is>
      </c>
      <c r="W5984" s="35" t="inlineStr"/>
      <c r="X5984" s="35" t="inlineStr"/>
    </row>
    <row r="5985" ht="27.75" customHeight="1" s="24">
      <c r="A5985" s="13" t="n">
        <v>5000077077</v>
      </c>
      <c r="B5985" s="13" t="inlineStr">
        <is>
          <t>ГОУ "ЧЕРНОВСКАЯ СПЕЦИАЛЬНАЯ (КОРРЕКЦИОННАЯ) ШКОЛА-ИНТЕРНАТ"</t>
        </is>
      </c>
      <c r="C5985" s="13" t="n">
        <v>7537008769</v>
      </c>
      <c r="D5985" s="13" t="inlineStr">
        <is>
          <t>7537008769</t>
        </is>
      </c>
      <c r="E5985" s="13" t="inlineStr">
        <is>
          <t>ЮЛ РФ</t>
        </is>
      </c>
      <c r="F5985" s="13" t="n"/>
      <c r="G5985" s="14" t="n"/>
      <c r="H5985" s="14" t="n"/>
      <c r="I5985" s="14" t="n"/>
      <c r="J5985" s="14" t="n"/>
      <c r="K5985" s="53" t="inlineStr"/>
      <c r="L5985" s="53" t="inlineStr">
        <is>
          <t>Не определено</t>
        </is>
      </c>
      <c r="M5985" s="53" t="inlineStr"/>
      <c r="N5985" s="54" t="inlineStr"/>
      <c r="O5985" s="55" t="inlineStr"/>
      <c r="P5985" s="16" t="inlineStr">
        <is>
          <t>Требует обогащения</t>
        </is>
      </c>
      <c r="Q5985" s="16">
        <f>HYPERLINK("https://pb.nalog.ru/search.html?query=7537008769","ФНС: проверить")</f>
        <v/>
      </c>
      <c r="R5985" s="16">
        <f>HYPERLINK("https://checko.ru/search?query=3801001629","Чекко: проверить")</f>
        <v/>
      </c>
      <c r="S5985" t="n">
        <v>1</v>
      </c>
      <c r="T5985" s="35" t="inlineStr">
        <is>
          <t>4 — Не обогащён</t>
        </is>
      </c>
      <c r="U5985" s="35" t="inlineStr">
        <is>
          <t>Нет ОКВЭД/ССЧР</t>
        </is>
      </c>
      <c r="V5985" s="35" t="inlineStr">
        <is>
          <t>Не определено</t>
        </is>
      </c>
      <c r="W5985" s="35" t="inlineStr"/>
      <c r="X5985" s="35" t="inlineStr"/>
    </row>
    <row r="5986" ht="41.25" customHeight="1" s="24">
      <c r="A5986" s="13" t="n">
        <v>5000077078</v>
      </c>
      <c r="B5986" s="13" t="inlineStr">
        <is>
          <t>ГОУ "ЧИТИНСКАЯ СПЕЦИАЛЬНАЯ (КОРРЕКЦИОННАЯ) ОБЩЕОБРАЗОВАТЕЛЬНАЯ ШКОЛА"</t>
        </is>
      </c>
      <c r="C5986" s="13" t="n">
        <v>7535006124</v>
      </c>
      <c r="D5986" s="13" t="inlineStr">
        <is>
          <t>7535006124</t>
        </is>
      </c>
      <c r="E5986" s="13" t="inlineStr">
        <is>
          <t>ЮЛ РФ</t>
        </is>
      </c>
      <c r="F5986" s="13" t="n"/>
      <c r="G5986" s="14" t="n"/>
      <c r="H5986" s="14" t="n"/>
      <c r="I5986" s="14" t="n"/>
      <c r="J5986" s="14" t="n"/>
      <c r="K5986" s="53" t="inlineStr"/>
      <c r="L5986" s="53" t="inlineStr">
        <is>
          <t>Не определено</t>
        </is>
      </c>
      <c r="M5986" s="53" t="inlineStr"/>
      <c r="N5986" s="54" t="inlineStr"/>
      <c r="O5986" s="55" t="inlineStr"/>
      <c r="P5986" s="16" t="inlineStr">
        <is>
          <t>Требует обогащения</t>
        </is>
      </c>
      <c r="Q5986" s="16">
        <f>HYPERLINK("https://pb.nalog.ru/search.html?query=7535006124","ФНС: проверить")</f>
        <v/>
      </c>
      <c r="R5986" s="16">
        <f>HYPERLINK("https://checko.ru/search?query=3801001629","Чекко: проверить")</f>
        <v/>
      </c>
      <c r="S5986" t="n">
        <v>1</v>
      </c>
      <c r="T5986" s="35" t="inlineStr">
        <is>
          <t>4 — Не обогащён</t>
        </is>
      </c>
      <c r="U5986" s="35" t="inlineStr">
        <is>
          <t>Нет ОКВЭД/ССЧР</t>
        </is>
      </c>
      <c r="V5986" s="35" t="inlineStr">
        <is>
          <t>Не определено</t>
        </is>
      </c>
      <c r="W5986" s="35" t="inlineStr"/>
      <c r="X5986" s="35" t="inlineStr"/>
    </row>
    <row r="5987" ht="27.75" customHeight="1" s="24">
      <c r="A5987" s="13" t="n">
        <v>5000077079</v>
      </c>
      <c r="B5987" s="13" t="inlineStr">
        <is>
          <t>ГПОУ "ШИЛКИНСКИЙ МНОГОПРОФИЛЬНЫЙ ЛИЦЕЙ"</t>
        </is>
      </c>
      <c r="C5987" s="13" t="n">
        <v>7527002366</v>
      </c>
      <c r="D5987" s="13" t="inlineStr">
        <is>
          <t>7527002366</t>
        </is>
      </c>
      <c r="E5987" s="13" t="inlineStr">
        <is>
          <t>ЮЛ РФ</t>
        </is>
      </c>
      <c r="F5987" s="13" t="n"/>
      <c r="G5987" s="14" t="n"/>
      <c r="H5987" s="14" t="n"/>
      <c r="I5987" s="14" t="n"/>
      <c r="J5987" s="14" t="n"/>
      <c r="K5987" s="53" t="inlineStr"/>
      <c r="L5987" s="53" t="inlineStr">
        <is>
          <t>Не определено</t>
        </is>
      </c>
      <c r="M5987" s="53" t="inlineStr"/>
      <c r="N5987" s="54" t="inlineStr"/>
      <c r="O5987" s="55" t="inlineStr"/>
      <c r="P5987" s="16" t="inlineStr">
        <is>
          <t>Требует обогащения</t>
        </is>
      </c>
      <c r="Q5987" s="16">
        <f>HYPERLINK("https://pb.nalog.ru/search.html?query=7527002366","ФНС: проверить")</f>
        <v/>
      </c>
      <c r="R5987" s="16">
        <f>HYPERLINK("https://checko.ru/search?query=3801001629","Чекко: проверить")</f>
        <v/>
      </c>
      <c r="S5987" t="n">
        <v>1</v>
      </c>
      <c r="T5987" s="35" t="inlineStr">
        <is>
          <t>4 — Не обогащён</t>
        </is>
      </c>
      <c r="U5987" s="35" t="inlineStr">
        <is>
          <t>Нет ОКВЭД/ССЧР</t>
        </is>
      </c>
      <c r="V5987" s="35" t="inlineStr">
        <is>
          <t>Не определено</t>
        </is>
      </c>
      <c r="W5987" s="35" t="inlineStr"/>
      <c r="X5987" s="35" t="inlineStr"/>
    </row>
    <row r="5988" ht="27.75" customHeight="1" s="24">
      <c r="A5988" s="13" t="n">
        <v>5000077080</v>
      </c>
      <c r="B5988" s="13" t="inlineStr">
        <is>
          <t>ГУ ДО "ЗАБАЙКАЛЬСКИЙ ДЕТСКО-ЮНОШЕСКИЙ ЦЕНТР "ЭВРИКА"</t>
        </is>
      </c>
      <c r="C5988" s="13" t="n">
        <v>7535007752</v>
      </c>
      <c r="D5988" s="13" t="inlineStr">
        <is>
          <t>7535007752</t>
        </is>
      </c>
      <c r="E5988" s="13" t="inlineStr">
        <is>
          <t>ЮЛ РФ</t>
        </is>
      </c>
      <c r="F5988" s="13" t="n"/>
      <c r="G5988" s="14" t="n"/>
      <c r="H5988" s="14" t="n"/>
      <c r="I5988" s="14" t="n"/>
      <c r="J5988" s="14" t="n"/>
      <c r="K5988" s="53" t="inlineStr"/>
      <c r="L5988" s="53" t="inlineStr">
        <is>
          <t>Не определено</t>
        </is>
      </c>
      <c r="M5988" s="53" t="inlineStr"/>
      <c r="N5988" s="54" t="inlineStr"/>
      <c r="O5988" s="55" t="inlineStr"/>
      <c r="P5988" s="16" t="inlineStr">
        <is>
          <t>Требует обогащения</t>
        </is>
      </c>
      <c r="Q5988" s="16">
        <f>HYPERLINK("https://pb.nalog.ru/search.html?query=7535007752","ФНС: проверить")</f>
        <v/>
      </c>
      <c r="R5988" s="16">
        <f>HYPERLINK("https://checko.ru/search?query=3801001629","Чекко: проверить")</f>
        <v/>
      </c>
      <c r="S5988" t="n">
        <v>1</v>
      </c>
      <c r="T5988" s="35" t="inlineStr">
        <is>
          <t>4 — Не обогащён</t>
        </is>
      </c>
      <c r="U5988" s="35" t="inlineStr">
        <is>
          <t>Нет ОКВЭД/ССЧР</t>
        </is>
      </c>
      <c r="V5988" s="35" t="inlineStr">
        <is>
          <t>Не определено</t>
        </is>
      </c>
      <c r="W5988" s="35" t="inlineStr"/>
      <c r="X5988" s="35" t="inlineStr"/>
    </row>
    <row r="5989" ht="27.75" customHeight="1" s="24">
      <c r="A5989" s="13" t="n">
        <v>5000080643</v>
      </c>
      <c r="B5989" s="13" t="inlineStr">
        <is>
          <t>МУ "СПОРТИВНАЯ ШКОЛА "ЛЕГИОН" ОРЕХОВО-ЗУЕВСКОГО ГОРОДСКОГО ОКРУГА</t>
        </is>
      </c>
      <c r="C5989" s="13" t="n">
        <v>5034053176</v>
      </c>
      <c r="D5989" s="13" t="inlineStr">
        <is>
          <t>5034053176</t>
        </is>
      </c>
      <c r="E5989" s="13" t="inlineStr">
        <is>
          <t>ЮЛ РФ</t>
        </is>
      </c>
      <c r="F5989" s="13" t="n"/>
      <c r="G5989" s="14" t="n"/>
      <c r="H5989" s="14" t="n"/>
      <c r="I5989" s="14" t="n"/>
      <c r="J5989" s="14" t="n"/>
      <c r="K5989" s="53" t="inlineStr"/>
      <c r="L5989" s="53" t="inlineStr">
        <is>
          <t>Не определено</t>
        </is>
      </c>
      <c r="M5989" s="53" t="inlineStr"/>
      <c r="N5989" s="54" t="inlineStr"/>
      <c r="O5989" s="55" t="inlineStr"/>
      <c r="P5989" s="16" t="inlineStr">
        <is>
          <t>Требует обогащения</t>
        </is>
      </c>
      <c r="Q5989" s="16">
        <f>HYPERLINK("https://pb.nalog.ru/search.html?query=5034053176","ФНС: проверить")</f>
        <v/>
      </c>
      <c r="R5989" s="16">
        <f>HYPERLINK("https://checko.ru/search?query=3801001629","Чекко: проверить")</f>
        <v/>
      </c>
      <c r="S5989" t="n">
        <v>1</v>
      </c>
      <c r="T5989" s="35" t="inlineStr">
        <is>
          <t>4 — Не обогащён</t>
        </is>
      </c>
      <c r="U5989" s="35" t="inlineStr">
        <is>
          <t>Нет ОКВЭД/ССЧР</t>
        </is>
      </c>
      <c r="V5989" s="35" t="inlineStr">
        <is>
          <t>Не определено</t>
        </is>
      </c>
      <c r="W5989" s="35" t="inlineStr"/>
      <c r="X5989" s="35" t="inlineStr"/>
    </row>
    <row r="5990" ht="27.75" customHeight="1" s="24">
      <c r="A5990" s="13" t="n">
        <v>5000081567</v>
      </c>
      <c r="B5990" s="13" t="inlineStr">
        <is>
          <t>МБОУ города Иркутска средняя общеобразовательная школа № 28</t>
        </is>
      </c>
      <c r="C5990" s="13" t="n">
        <v>3812008538</v>
      </c>
      <c r="D5990" s="13" t="inlineStr">
        <is>
          <t>3812008538</t>
        </is>
      </c>
      <c r="E5990" s="13" t="inlineStr">
        <is>
          <t>ЮЛ РФ</t>
        </is>
      </c>
      <c r="F5990" s="13" t="n"/>
      <c r="G5990" s="14" t="n"/>
      <c r="H5990" s="14" t="n"/>
      <c r="I5990" s="14" t="n"/>
      <c r="J5990" s="14" t="n"/>
      <c r="K5990" s="53" t="inlineStr"/>
      <c r="L5990" s="53" t="inlineStr">
        <is>
          <t>Не определено</t>
        </is>
      </c>
      <c r="M5990" s="53" t="inlineStr"/>
      <c r="N5990" s="54" t="inlineStr"/>
      <c r="O5990" s="55" t="inlineStr"/>
      <c r="P5990" s="16" t="inlineStr">
        <is>
          <t>Требует обогащения</t>
        </is>
      </c>
      <c r="Q5990" s="16">
        <f>HYPERLINK("https://pb.nalog.ru/search.html?query=3812008538","ФНС: проверить")</f>
        <v/>
      </c>
      <c r="R5990" s="16">
        <f>HYPERLINK("https://checko.ru/search?query=3801001629","Чекко: проверить")</f>
        <v/>
      </c>
      <c r="S5990" t="n">
        <v>1</v>
      </c>
      <c r="T5990" s="35" t="inlineStr">
        <is>
          <t>4 — Не обогащён</t>
        </is>
      </c>
      <c r="U5990" s="35" t="inlineStr">
        <is>
          <t>Нет ОКВЭД/ССЧР</t>
        </is>
      </c>
      <c r="V5990" s="35" t="inlineStr">
        <is>
          <t>Не определено</t>
        </is>
      </c>
      <c r="W5990" s="35" t="inlineStr"/>
      <c r="X5990" s="35" t="inlineStr"/>
    </row>
    <row r="5991" ht="15" customHeight="1" s="24">
      <c r="A5991" s="13" t="n">
        <v>5000067255</v>
      </c>
      <c r="B5991" s="13" t="inlineStr">
        <is>
          <t>Государственная инспекция Забайкальского края</t>
        </is>
      </c>
      <c r="C5991" s="13" t="n">
        <v>7536162983</v>
      </c>
      <c r="D5991" s="13" t="inlineStr">
        <is>
          <t>7536162983</t>
        </is>
      </c>
      <c r="E5991" s="13" t="inlineStr">
        <is>
          <t>ЮЛ РФ</t>
        </is>
      </c>
      <c r="F5991" s="13" t="n"/>
      <c r="G5991" s="14" t="n"/>
      <c r="H5991" s="14" t="n"/>
      <c r="I5991" s="14" t="n"/>
      <c r="J5991" s="14" t="n"/>
      <c r="K5991" s="53" t="inlineStr"/>
      <c r="L5991" s="53" t="inlineStr">
        <is>
          <t>Не определено</t>
        </is>
      </c>
      <c r="M5991" s="53" t="inlineStr"/>
      <c r="N5991" s="54" t="inlineStr"/>
      <c r="O5991" s="55" t="inlineStr"/>
      <c r="P5991" s="16" t="inlineStr">
        <is>
          <t>Требует обогащения</t>
        </is>
      </c>
      <c r="Q5991" s="16">
        <f>HYPERLINK("https://pb.nalog.ru/search.html?query=7536162983","ФНС: проверить")</f>
        <v/>
      </c>
      <c r="R5991" s="16">
        <f>HYPERLINK("https://checko.ru/search?query=3801001629","Чекко: проверить")</f>
        <v/>
      </c>
      <c r="S5991" t="n">
        <v>1</v>
      </c>
      <c r="T5991" s="35" t="inlineStr">
        <is>
          <t>4 — Не обогащён</t>
        </is>
      </c>
      <c r="U5991" s="35" t="inlineStr">
        <is>
          <t>Нет ОКВЭД/ССЧР</t>
        </is>
      </c>
      <c r="V5991" s="35" t="inlineStr">
        <is>
          <t>Не определено</t>
        </is>
      </c>
      <c r="W5991" s="35" t="inlineStr"/>
      <c r="X5991" s="35" t="inlineStr"/>
    </row>
    <row r="5992" ht="15" customHeight="1" s="24">
      <c r="A5992" s="13" t="n">
        <v>5000067255</v>
      </c>
      <c r="B5992" s="13" t="inlineStr">
        <is>
          <t>Государственная инспекция Забайкальского края</t>
        </is>
      </c>
      <c r="C5992" s="13" t="n">
        <v>7536162983</v>
      </c>
      <c r="D5992" s="13" t="inlineStr">
        <is>
          <t>7536162983</t>
        </is>
      </c>
      <c r="E5992" s="13" t="inlineStr">
        <is>
          <t>ЮЛ РФ</t>
        </is>
      </c>
      <c r="F5992" s="13" t="n"/>
      <c r="G5992" s="14" t="n"/>
      <c r="H5992" s="14" t="n"/>
      <c r="I5992" s="14" t="n"/>
      <c r="J5992" s="14" t="n"/>
      <c r="K5992" s="53" t="inlineStr"/>
      <c r="L5992" s="53" t="inlineStr">
        <is>
          <t>Не определено</t>
        </is>
      </c>
      <c r="M5992" s="53" t="inlineStr"/>
      <c r="N5992" s="54" t="inlineStr"/>
      <c r="O5992" s="55" t="inlineStr"/>
      <c r="P5992" s="16" t="inlineStr">
        <is>
          <t>Требует обогащения</t>
        </is>
      </c>
      <c r="Q5992" s="16">
        <f>HYPERLINK("https://pb.nalog.ru/search.html?query=7536162983","ФНС: проверить")</f>
        <v/>
      </c>
      <c r="R5992" s="16">
        <f>HYPERLINK("https://checko.ru/search?query=3801001629","Чекко: проверить")</f>
        <v/>
      </c>
      <c r="S5992" t="n">
        <v>0</v>
      </c>
      <c r="T5992" s="35" t="inlineStr">
        <is>
          <t>4 — Не обогащён</t>
        </is>
      </c>
      <c r="U5992" s="35" t="inlineStr">
        <is>
          <t>Нет ОКВЭД/ССЧР</t>
        </is>
      </c>
      <c r="V5992" s="35" t="inlineStr">
        <is>
          <t>Не определено</t>
        </is>
      </c>
      <c r="W5992" s="35" t="inlineStr"/>
      <c r="X5992" s="35" t="inlineStr"/>
    </row>
    <row r="5993" ht="41.25" customHeight="1" s="24">
      <c r="A5993" s="13" t="n">
        <v>5000067256</v>
      </c>
      <c r="B5993" s="13" t="inlineStr">
        <is>
          <t>Уполномоченный по защите прав предпринимателей в Забайкальском крае и его рабочий аппарат</t>
        </is>
      </c>
      <c r="C5993" s="13" t="n">
        <v>7536147199</v>
      </c>
      <c r="D5993" s="13" t="inlineStr">
        <is>
          <t>7536147199</t>
        </is>
      </c>
      <c r="E5993" s="13" t="inlineStr">
        <is>
          <t>ЮЛ РФ</t>
        </is>
      </c>
      <c r="F5993" s="13" t="n"/>
      <c r="G5993" s="14" t="n"/>
      <c r="H5993" s="14" t="n"/>
      <c r="I5993" s="14" t="n"/>
      <c r="J5993" s="14" t="n"/>
      <c r="K5993" s="53" t="inlineStr"/>
      <c r="L5993" s="53" t="inlineStr">
        <is>
          <t>Не определено</t>
        </is>
      </c>
      <c r="M5993" s="53" t="inlineStr"/>
      <c r="N5993" s="54" t="inlineStr"/>
      <c r="O5993" s="55" t="inlineStr"/>
      <c r="P5993" s="16" t="inlineStr">
        <is>
          <t>Требует обогащения</t>
        </is>
      </c>
      <c r="Q5993" s="16">
        <f>HYPERLINK("https://pb.nalog.ru/search.html?query=7536147199","ФНС: проверить")</f>
        <v/>
      </c>
      <c r="R5993" s="16">
        <f>HYPERLINK("https://checko.ru/search?query=3801001629","Чекко: проверить")</f>
        <v/>
      </c>
      <c r="S5993" t="n">
        <v>1</v>
      </c>
      <c r="T5993" s="35" t="inlineStr">
        <is>
          <t>4 — Не обогащён</t>
        </is>
      </c>
      <c r="U5993" s="35" t="inlineStr">
        <is>
          <t>Нет ОКВЭД/ССЧР</t>
        </is>
      </c>
      <c r="V5993" s="35" t="inlineStr">
        <is>
          <t>Не определено</t>
        </is>
      </c>
      <c r="W5993" s="35" t="inlineStr"/>
      <c r="X5993" s="35" t="inlineStr"/>
    </row>
    <row r="5994" ht="27.75" customHeight="1" s="24">
      <c r="A5994" s="13" t="n">
        <v>5000067259</v>
      </c>
      <c r="B5994" s="13" t="inlineStr">
        <is>
          <t>Государственная служба по охране объектов культурного наследия Забайкальского края</t>
        </is>
      </c>
      <c r="C5994" s="13" t="n">
        <v>7536165416</v>
      </c>
      <c r="D5994" s="13" t="inlineStr">
        <is>
          <t>7536165416</t>
        </is>
      </c>
      <c r="E5994" s="13" t="inlineStr">
        <is>
          <t>ЮЛ РФ</t>
        </is>
      </c>
      <c r="F5994" s="13" t="n"/>
      <c r="G5994" s="14" t="n"/>
      <c r="H5994" s="14" t="n"/>
      <c r="I5994" s="14" t="n"/>
      <c r="J5994" s="14" t="n"/>
      <c r="K5994" s="53" t="inlineStr"/>
      <c r="L5994" s="53" t="inlineStr">
        <is>
          <t>Не определено</t>
        </is>
      </c>
      <c r="M5994" s="53" t="inlineStr"/>
      <c r="N5994" s="54" t="inlineStr"/>
      <c r="O5994" s="55" t="inlineStr"/>
      <c r="P5994" s="16" t="inlineStr">
        <is>
          <t>Требует обогащения</t>
        </is>
      </c>
      <c r="Q5994" s="16">
        <f>HYPERLINK("https://pb.nalog.ru/search.html?query=7536165416","ФНС: проверить")</f>
        <v/>
      </c>
      <c r="R5994" s="16">
        <f>HYPERLINK("https://checko.ru/search?query=3801001629","Чекко: проверить")</f>
        <v/>
      </c>
      <c r="S5994" t="n">
        <v>1</v>
      </c>
      <c r="T5994" s="35" t="inlineStr">
        <is>
          <t>4 — Не обогащён</t>
        </is>
      </c>
      <c r="U5994" s="35" t="inlineStr">
        <is>
          <t>Нет ОКВЭД/ССЧР</t>
        </is>
      </c>
      <c r="V5994" s="35" t="inlineStr">
        <is>
          <t>Не определено</t>
        </is>
      </c>
      <c r="W5994" s="35" t="inlineStr"/>
      <c r="X5994" s="35" t="inlineStr"/>
    </row>
    <row r="5995" ht="41.25" customHeight="1" s="24">
      <c r="A5995" s="13" t="n">
        <v>5000067262</v>
      </c>
      <c r="B5995" s="13" t="inlineStr">
        <is>
          <t>Министерство по социальному, экономическому, инфраструктурному, пространственному планированию и развитию Забайкальского края</t>
        </is>
      </c>
      <c r="C5995" s="13" t="n">
        <v>7536095247</v>
      </c>
      <c r="D5995" s="13" t="inlineStr">
        <is>
          <t>7536095247</t>
        </is>
      </c>
      <c r="E5995" s="13" t="inlineStr">
        <is>
          <t>ЮЛ РФ</t>
        </is>
      </c>
      <c r="F5995" s="13" t="n"/>
      <c r="G5995" s="14" t="n"/>
      <c r="H5995" s="14" t="n"/>
      <c r="I5995" s="14" t="n"/>
      <c r="J5995" s="14" t="n"/>
      <c r="K5995" s="53" t="inlineStr"/>
      <c r="L5995" s="53" t="inlineStr">
        <is>
          <t>Не определено</t>
        </is>
      </c>
      <c r="M5995" s="53" t="inlineStr"/>
      <c r="N5995" s="54" t="inlineStr"/>
      <c r="O5995" s="55" t="inlineStr"/>
      <c r="P5995" s="16" t="inlineStr">
        <is>
          <t>Требует обогащения</t>
        </is>
      </c>
      <c r="Q5995" s="16">
        <f>HYPERLINK("https://pb.nalog.ru/search.html?query=7536095247","ФНС: проверить")</f>
        <v/>
      </c>
      <c r="R5995" s="16">
        <f>HYPERLINK("https://checko.ru/search?query=3801001629","Чекко: проверить")</f>
        <v/>
      </c>
      <c r="S5995" t="n">
        <v>1</v>
      </c>
      <c r="T5995" s="35" t="inlineStr">
        <is>
          <t>4 — Не обогащён</t>
        </is>
      </c>
      <c r="U5995" s="35" t="inlineStr">
        <is>
          <t>Нет ОКВЭД/ССЧР</t>
        </is>
      </c>
      <c r="V5995" s="35" t="inlineStr">
        <is>
          <t>Не определено</t>
        </is>
      </c>
      <c r="W5995" s="35" t="inlineStr"/>
      <c r="X5995" s="35" t="inlineStr"/>
    </row>
    <row r="5996" ht="15" customHeight="1" s="24">
      <c r="A5996" s="13" t="n">
        <v>5000120543</v>
      </c>
      <c r="B5996" s="13" t="inlineStr">
        <is>
          <t>ГПОУ "ПМУ"</t>
        </is>
      </c>
      <c r="C5996" s="13" t="n">
        <v>7527002768</v>
      </c>
      <c r="D5996" s="13" t="inlineStr">
        <is>
          <t>7527002768</t>
        </is>
      </c>
      <c r="E5996" s="13" t="inlineStr">
        <is>
          <t>ЮЛ РФ</t>
        </is>
      </c>
      <c r="F5996" s="13" t="n"/>
      <c r="G5996" s="14" t="n"/>
      <c r="H5996" s="14" t="n"/>
      <c r="I5996" s="14" t="n"/>
      <c r="J5996" s="14" t="n"/>
      <c r="K5996" s="53" t="inlineStr"/>
      <c r="L5996" s="53" t="inlineStr">
        <is>
          <t>Не определено</t>
        </is>
      </c>
      <c r="M5996" s="53" t="inlineStr"/>
      <c r="N5996" s="54" t="inlineStr"/>
      <c r="O5996" s="55" t="inlineStr"/>
      <c r="P5996" s="16" t="inlineStr">
        <is>
          <t>Требует обогащения</t>
        </is>
      </c>
      <c r="Q5996" s="16">
        <f>HYPERLINK("https://pb.nalog.ru/search.html?query=7527002768","ФНС: проверить")</f>
        <v/>
      </c>
      <c r="R5996" s="16">
        <f>HYPERLINK("https://checko.ru/search?query=3801001629","Чекко: проверить")</f>
        <v/>
      </c>
      <c r="S5996" t="n">
        <v>1</v>
      </c>
      <c r="T5996" s="35" t="inlineStr">
        <is>
          <t>4 — Не обогащён</t>
        </is>
      </c>
      <c r="U5996" s="35" t="inlineStr">
        <is>
          <t>Нет ОКВЭД/ССЧР</t>
        </is>
      </c>
      <c r="V5996" s="35" t="inlineStr">
        <is>
          <t>Не определено</t>
        </is>
      </c>
      <c r="W5996" s="35" t="inlineStr"/>
      <c r="X5996" s="35" t="inlineStr"/>
    </row>
    <row r="5997" ht="27.75" customHeight="1" s="24">
      <c r="A5997" s="13" t="n">
        <v>5000083191</v>
      </c>
      <c r="B5997" s="13" t="inlineStr">
        <is>
          <t>АВТОНОМНОЕ УЧРЕЖДЕНИЕ ГОРОДСКОГО ОКРУГА СОЛНЕЧНОГОРСК "ИНФОРМАЦИОННЫЙ ЦЕНТР"</t>
        </is>
      </c>
      <c r="C5997" s="13" t="n">
        <v>5044096700</v>
      </c>
      <c r="D5997" s="13" t="inlineStr">
        <is>
          <t>5044096700</t>
        </is>
      </c>
      <c r="E5997" s="13" t="inlineStr">
        <is>
          <t>ЮЛ РФ</t>
        </is>
      </c>
      <c r="F5997" s="13" t="n"/>
      <c r="G5997" s="14" t="n"/>
      <c r="H5997" s="14" t="n"/>
      <c r="I5997" s="14" t="n"/>
      <c r="J5997" s="14" t="n"/>
      <c r="K5997" s="53" t="inlineStr"/>
      <c r="L5997" s="53" t="inlineStr">
        <is>
          <t>Не определено</t>
        </is>
      </c>
      <c r="M5997" s="53" t="inlineStr"/>
      <c r="N5997" s="54" t="inlineStr"/>
      <c r="O5997" s="55" t="inlineStr"/>
      <c r="P5997" s="16" t="inlineStr">
        <is>
          <t>Требует обогащения</t>
        </is>
      </c>
      <c r="Q5997" s="16">
        <f>HYPERLINK("https://pb.nalog.ru/search.html?query=5044096700","ФНС: проверить")</f>
        <v/>
      </c>
      <c r="R5997" s="16">
        <f>HYPERLINK("https://checko.ru/search?query=3801001629","Чекко: проверить")</f>
        <v/>
      </c>
      <c r="S5997" t="n">
        <v>1</v>
      </c>
      <c r="T5997" s="35" t="inlineStr">
        <is>
          <t>4 — Не обогащён</t>
        </is>
      </c>
      <c r="U5997" s="35" t="inlineStr">
        <is>
          <t>Нет ОКВЭД/ССЧР</t>
        </is>
      </c>
      <c r="V5997" s="35" t="inlineStr">
        <is>
          <t>Не определено</t>
        </is>
      </c>
      <c r="W5997" s="35" t="inlineStr"/>
      <c r="X5997" s="35" t="inlineStr"/>
    </row>
    <row r="5998" ht="15" customHeight="1" s="24">
      <c r="A5998" s="13" t="n">
        <v>5000071426</v>
      </c>
      <c r="B5998" s="13" t="inlineStr">
        <is>
          <t>МБДОУ г. Иркутска детский сад № 5</t>
        </is>
      </c>
      <c r="C5998" s="13" t="n">
        <v>3812532237</v>
      </c>
      <c r="D5998" s="13" t="inlineStr">
        <is>
          <t>3812532237</t>
        </is>
      </c>
      <c r="E5998" s="13" t="inlineStr">
        <is>
          <t>ЮЛ РФ</t>
        </is>
      </c>
      <c r="F5998" s="13" t="n"/>
      <c r="G5998" s="14" t="n"/>
      <c r="H5998" s="14" t="n"/>
      <c r="I5998" s="14" t="n"/>
      <c r="J5998" s="14" t="n"/>
      <c r="K5998" s="53" t="inlineStr"/>
      <c r="L5998" s="53" t="inlineStr">
        <is>
          <t>Не определено</t>
        </is>
      </c>
      <c r="M5998" s="53" t="inlineStr"/>
      <c r="N5998" s="54" t="inlineStr"/>
      <c r="O5998" s="55" t="inlineStr"/>
      <c r="P5998" s="16" t="inlineStr">
        <is>
          <t>Требует обогащения</t>
        </is>
      </c>
      <c r="Q5998" s="16">
        <f>HYPERLINK("https://pb.nalog.ru/search.html?query=3812532237","ФНС: проверить")</f>
        <v/>
      </c>
      <c r="R5998" s="16">
        <f>HYPERLINK("https://checko.ru/search?query=3801001629","Чекко: проверить")</f>
        <v/>
      </c>
      <c r="S5998" t="n">
        <v>1</v>
      </c>
      <c r="T5998" s="35" t="inlineStr">
        <is>
          <t>4 — Не обогащён</t>
        </is>
      </c>
      <c r="U5998" s="35" t="inlineStr">
        <is>
          <t>Нет ОКВЭД/ССЧР</t>
        </is>
      </c>
      <c r="V5998" s="35" t="inlineStr">
        <is>
          <t>Не определено</t>
        </is>
      </c>
      <c r="W5998" s="35" t="inlineStr"/>
      <c r="X5998" s="35" t="inlineStr"/>
    </row>
    <row r="5999" ht="15" customHeight="1" s="24">
      <c r="A5999" s="13" t="n">
        <v>5000071427</v>
      </c>
      <c r="B5999" s="13" t="inlineStr">
        <is>
          <t>МБОУ Г. Иркутска СОШ № 71</t>
        </is>
      </c>
      <c r="C5999" s="13" t="n">
        <v>3812009348</v>
      </c>
      <c r="D5999" s="13" t="inlineStr">
        <is>
          <t>3812009348</t>
        </is>
      </c>
      <c r="E5999" s="13" t="inlineStr">
        <is>
          <t>ЮЛ РФ</t>
        </is>
      </c>
      <c r="F5999" s="13" t="n"/>
      <c r="G5999" s="14" t="n"/>
      <c r="H5999" s="14" t="n"/>
      <c r="I5999" s="14" t="n"/>
      <c r="J5999" s="14" t="n"/>
      <c r="K5999" s="53" t="inlineStr"/>
      <c r="L5999" s="53" t="inlineStr">
        <is>
          <t>Не определено</t>
        </is>
      </c>
      <c r="M5999" s="53" t="inlineStr"/>
      <c r="N5999" s="54" t="inlineStr"/>
      <c r="O5999" s="55" t="inlineStr"/>
      <c r="P5999" s="16" t="inlineStr">
        <is>
          <t>Требует обогащения</t>
        </is>
      </c>
      <c r="Q5999" s="16">
        <f>HYPERLINK("https://pb.nalog.ru/search.html?query=3812009348","ФНС: проверить")</f>
        <v/>
      </c>
      <c r="R5999" s="16">
        <f>HYPERLINK("https://checko.ru/search?query=3801001629","Чекко: проверить")</f>
        <v/>
      </c>
      <c r="S5999" t="n">
        <v>1</v>
      </c>
      <c r="T5999" s="35" t="inlineStr">
        <is>
          <t>4 — Не обогащён</t>
        </is>
      </c>
      <c r="U5999" s="35" t="inlineStr">
        <is>
          <t>Нет ОКВЭД/ССЧР</t>
        </is>
      </c>
      <c r="V5999" s="35" t="inlineStr">
        <is>
          <t>Не определено</t>
        </is>
      </c>
      <c r="W5999" s="35" t="inlineStr"/>
      <c r="X5999" s="35" t="inlineStr"/>
    </row>
    <row r="6000" ht="27.75" customHeight="1" s="24">
      <c r="A6000" s="13" t="n">
        <v>5000071098</v>
      </c>
      <c r="B6000" s="13" t="inlineStr">
        <is>
          <t>Департамент по развитию муниципальных образований Забайкальского края</t>
        </is>
      </c>
      <c r="C6000" s="13" t="n">
        <v>7536182901</v>
      </c>
      <c r="D6000" s="13" t="inlineStr">
        <is>
          <t>7536182901</t>
        </is>
      </c>
      <c r="E6000" s="13" t="inlineStr">
        <is>
          <t>ЮЛ РФ</t>
        </is>
      </c>
      <c r="F6000" s="13" t="n"/>
      <c r="G6000" s="14" t="n"/>
      <c r="H6000" s="14" t="n"/>
      <c r="I6000" s="14" t="n"/>
      <c r="J6000" s="14" t="n"/>
      <c r="K6000" s="53" t="inlineStr"/>
      <c r="L6000" s="53" t="inlineStr">
        <is>
          <t>Не определено</t>
        </is>
      </c>
      <c r="M6000" s="53" t="inlineStr"/>
      <c r="N6000" s="54" t="inlineStr"/>
      <c r="O6000" s="55" t="inlineStr"/>
      <c r="P6000" s="16" t="inlineStr">
        <is>
          <t>Требует обогащения</t>
        </is>
      </c>
      <c r="Q6000" s="16">
        <f>HYPERLINK("https://pb.nalog.ru/search.html?query=7536182901","ФНС: проверить")</f>
        <v/>
      </c>
      <c r="R6000" s="16">
        <f>HYPERLINK("https://checko.ru/search?query=3801001629","Чекко: проверить")</f>
        <v/>
      </c>
      <c r="S6000" t="n">
        <v>1</v>
      </c>
      <c r="T6000" s="35" t="inlineStr">
        <is>
          <t>4 — Не обогащён</t>
        </is>
      </c>
      <c r="U6000" s="35" t="inlineStr">
        <is>
          <t>Нет ОКВЭД/ССЧР</t>
        </is>
      </c>
      <c r="V6000" s="35" t="inlineStr">
        <is>
          <t>Не определено</t>
        </is>
      </c>
      <c r="W6000" s="35" t="inlineStr"/>
      <c r="X6000" s="35" t="inlineStr"/>
    </row>
    <row r="6001" ht="15" customHeight="1" s="24">
      <c r="A6001" s="13" t="n">
        <v>5000081563</v>
      </c>
      <c r="B6001" s="13" t="inlineStr">
        <is>
          <t>МБОУ г. Иркутска Лицей № 1</t>
        </is>
      </c>
      <c r="C6001" s="13" t="n">
        <v>3812004406</v>
      </c>
      <c r="D6001" s="13" t="inlineStr">
        <is>
          <t>3812004406</t>
        </is>
      </c>
      <c r="E6001" s="13" t="inlineStr">
        <is>
          <t>ЮЛ РФ</t>
        </is>
      </c>
      <c r="F6001" s="13" t="n"/>
      <c r="G6001" s="14" t="n"/>
      <c r="H6001" s="14" t="n"/>
      <c r="I6001" s="14" t="n"/>
      <c r="J6001" s="14" t="n"/>
      <c r="K6001" s="53" t="inlineStr"/>
      <c r="L6001" s="53" t="inlineStr">
        <is>
          <t>Не определено</t>
        </is>
      </c>
      <c r="M6001" s="53" t="inlineStr"/>
      <c r="N6001" s="54" t="inlineStr"/>
      <c r="O6001" s="55" t="inlineStr"/>
      <c r="P6001" s="16" t="inlineStr">
        <is>
          <t>Требует обогащения</t>
        </is>
      </c>
      <c r="Q6001" s="16">
        <f>HYPERLINK("https://pb.nalog.ru/search.html?query=3812004406","ФНС: проверить")</f>
        <v/>
      </c>
      <c r="R6001" s="16">
        <f>HYPERLINK("https://checko.ru/search?query=3801001629","Чекко: проверить")</f>
        <v/>
      </c>
      <c r="S6001" t="n">
        <v>1</v>
      </c>
      <c r="T6001" s="35" t="inlineStr">
        <is>
          <t>4 — Не обогащён</t>
        </is>
      </c>
      <c r="U6001" s="35" t="inlineStr">
        <is>
          <t>Нет ОКВЭД/ССЧР</t>
        </is>
      </c>
      <c r="V6001" s="35" t="inlineStr">
        <is>
          <t>Не определено</t>
        </is>
      </c>
      <c r="W6001" s="35" t="inlineStr"/>
      <c r="X6001" s="35" t="inlineStr"/>
    </row>
    <row r="6002" ht="15" customHeight="1" s="24">
      <c r="A6002" s="13" t="n">
        <v>5000081570</v>
      </c>
      <c r="B6002" s="13" t="inlineStr">
        <is>
          <t>МБОУ СОШ № 6 г. Иркутска</t>
        </is>
      </c>
      <c r="C6002" s="13" t="n">
        <v>3812008545</v>
      </c>
      <c r="D6002" s="13" t="inlineStr">
        <is>
          <t>3812008545</t>
        </is>
      </c>
      <c r="E6002" s="13" t="inlineStr">
        <is>
          <t>ЮЛ РФ</t>
        </is>
      </c>
      <c r="F6002" s="13" t="n"/>
      <c r="G6002" s="14" t="n"/>
      <c r="H6002" s="14" t="n"/>
      <c r="I6002" s="14" t="n"/>
      <c r="J6002" s="14" t="n"/>
      <c r="K6002" s="53" t="inlineStr"/>
      <c r="L6002" s="53" t="inlineStr">
        <is>
          <t>Не определено</t>
        </is>
      </c>
      <c r="M6002" s="53" t="inlineStr"/>
      <c r="N6002" s="54" t="inlineStr"/>
      <c r="O6002" s="55" t="inlineStr"/>
      <c r="P6002" s="16" t="inlineStr">
        <is>
          <t>Требует обогащения</t>
        </is>
      </c>
      <c r="Q6002" s="16">
        <f>HYPERLINK("https://pb.nalog.ru/search.html?query=3812008545","ФНС: проверить")</f>
        <v/>
      </c>
      <c r="R6002" s="16">
        <f>HYPERLINK("https://checko.ru/search?query=3801001629","Чекко: проверить")</f>
        <v/>
      </c>
      <c r="S6002" t="n">
        <v>1</v>
      </c>
      <c r="T6002" s="35" t="inlineStr">
        <is>
          <t>4 — Не обогащён</t>
        </is>
      </c>
      <c r="U6002" s="35" t="inlineStr">
        <is>
          <t>Нет ОКВЭД/ССЧР</t>
        </is>
      </c>
      <c r="V6002" s="35" t="inlineStr">
        <is>
          <t>Не определено</t>
        </is>
      </c>
      <c r="W6002" s="35" t="inlineStr"/>
      <c r="X6002" s="35" t="inlineStr"/>
    </row>
    <row r="6003" ht="15" customHeight="1" s="24">
      <c r="A6003" s="13" t="n">
        <v>5000081574</v>
      </c>
      <c r="B6003" s="13" t="inlineStr">
        <is>
          <t>МОУ СОШ №77 г. Иркутска</t>
        </is>
      </c>
      <c r="C6003" s="13" t="n">
        <v>3812014309</v>
      </c>
      <c r="D6003" s="13" t="inlineStr">
        <is>
          <t>3812014309</t>
        </is>
      </c>
      <c r="E6003" s="13" t="inlineStr">
        <is>
          <t>ЮЛ РФ</t>
        </is>
      </c>
      <c r="F6003" s="13" t="n"/>
      <c r="G6003" s="14" t="n"/>
      <c r="H6003" s="14" t="n"/>
      <c r="I6003" s="14" t="n"/>
      <c r="J6003" s="14" t="n"/>
      <c r="K6003" s="53" t="inlineStr"/>
      <c r="L6003" s="53" t="inlineStr">
        <is>
          <t>Не определено</t>
        </is>
      </c>
      <c r="M6003" s="53" t="inlineStr"/>
      <c r="N6003" s="54" t="inlineStr"/>
      <c r="O6003" s="55" t="inlineStr"/>
      <c r="P6003" s="16" t="inlineStr">
        <is>
          <t>Требует обогащения</t>
        </is>
      </c>
      <c r="Q6003" s="16">
        <f>HYPERLINK("https://pb.nalog.ru/search.html?query=3812014309","ФНС: проверить")</f>
        <v/>
      </c>
      <c r="R6003" s="16">
        <f>HYPERLINK("https://checko.ru/search?query=3801001629","Чекко: проверить")</f>
        <v/>
      </c>
      <c r="S6003" t="n">
        <v>1</v>
      </c>
      <c r="T6003" s="35" t="inlineStr">
        <is>
          <t>4 — Не обогащён</t>
        </is>
      </c>
      <c r="U6003" s="35" t="inlineStr">
        <is>
          <t>Нет ОКВЭД/ССЧР</t>
        </is>
      </c>
      <c r="V6003" s="35" t="inlineStr">
        <is>
          <t>Не определено</t>
        </is>
      </c>
      <c r="W6003" s="35" t="inlineStr"/>
      <c r="X6003" s="35" t="inlineStr"/>
    </row>
    <row r="6004" ht="27.75" customHeight="1" s="24">
      <c r="A6004" s="13" t="n">
        <v>5000085873</v>
      </c>
      <c r="B6004" s="13" t="inlineStr">
        <is>
          <t>МБОУ ГОРОДА ИРКУТСКА СРЕДНЯЯ ОБЩЕОБРАЗОВАТЕЛЬНАЯ ШКОЛА № 24</t>
        </is>
      </c>
      <c r="C6004" s="13" t="n">
        <v>3812008619</v>
      </c>
      <c r="D6004" s="13" t="inlineStr">
        <is>
          <t>3812008619</t>
        </is>
      </c>
      <c r="E6004" s="13" t="inlineStr">
        <is>
          <t>ЮЛ РФ</t>
        </is>
      </c>
      <c r="F6004" s="13" t="n"/>
      <c r="G6004" s="14" t="n"/>
      <c r="H6004" s="14" t="n"/>
      <c r="I6004" s="14" t="n"/>
      <c r="J6004" s="14" t="n"/>
      <c r="K6004" s="53" t="inlineStr"/>
      <c r="L6004" s="53" t="inlineStr">
        <is>
          <t>Не определено</t>
        </is>
      </c>
      <c r="M6004" s="53" t="inlineStr"/>
      <c r="N6004" s="54" t="inlineStr"/>
      <c r="O6004" s="55" t="inlineStr"/>
      <c r="P6004" s="16" t="inlineStr">
        <is>
          <t>Требует обогащения</t>
        </is>
      </c>
      <c r="Q6004" s="16">
        <f>HYPERLINK("https://pb.nalog.ru/search.html?query=3812008619","ФНС: проверить")</f>
        <v/>
      </c>
      <c r="R6004" s="16">
        <f>HYPERLINK("https://checko.ru/search?query=3801001629","Чекко: проверить")</f>
        <v/>
      </c>
      <c r="S6004" t="n">
        <v>1</v>
      </c>
      <c r="T6004" s="35" t="inlineStr">
        <is>
          <t>4 — Не обогащён</t>
        </is>
      </c>
      <c r="U6004" s="35" t="inlineStr">
        <is>
          <t>Нет ОКВЭД/ССЧР</t>
        </is>
      </c>
      <c r="V6004" s="35" t="inlineStr">
        <is>
          <t>Не определено</t>
        </is>
      </c>
      <c r="W6004" s="35" t="inlineStr"/>
      <c r="X6004" s="35" t="inlineStr"/>
    </row>
    <row r="6005" ht="15" customHeight="1" s="24">
      <c r="A6005" s="13" t="n">
        <v>5000092218</v>
      </c>
      <c r="B6005" s="13" t="inlineStr">
        <is>
          <t>КГБУ "ТИЦ"</t>
        </is>
      </c>
      <c r="C6005" s="13" t="n">
        <v>4101155713</v>
      </c>
      <c r="D6005" s="13" t="inlineStr">
        <is>
          <t>4101155713</t>
        </is>
      </c>
      <c r="E6005" s="13" t="inlineStr">
        <is>
          <t>ЮЛ РФ</t>
        </is>
      </c>
      <c r="F6005" s="13" t="n"/>
      <c r="G6005" s="14" t="n"/>
      <c r="H6005" s="14" t="n"/>
      <c r="I6005" s="14" t="n"/>
      <c r="J6005" s="14" t="n"/>
      <c r="K6005" s="53" t="inlineStr"/>
      <c r="L6005" s="53" t="inlineStr">
        <is>
          <t>Не определено</t>
        </is>
      </c>
      <c r="M6005" s="53" t="inlineStr"/>
      <c r="N6005" s="54" t="inlineStr"/>
      <c r="O6005" s="55" t="inlineStr"/>
      <c r="P6005" s="16" t="inlineStr">
        <is>
          <t>Требует обогащения</t>
        </is>
      </c>
      <c r="Q6005" s="16">
        <f>HYPERLINK("https://pb.nalog.ru/search.html?query=4101155713","ФНС: проверить")</f>
        <v/>
      </c>
      <c r="R6005" s="16">
        <f>HYPERLINK("https://checko.ru/search?query=3801001629","Чекко: проверить")</f>
        <v/>
      </c>
      <c r="S6005" t="n">
        <v>1</v>
      </c>
      <c r="T6005" s="35" t="inlineStr">
        <is>
          <t>4 — Не обогащён</t>
        </is>
      </c>
      <c r="U6005" s="35" t="inlineStr">
        <is>
          <t>Нет ОКВЭД/ССЧР</t>
        </is>
      </c>
      <c r="V6005" s="35" t="inlineStr">
        <is>
          <t>Не определено</t>
        </is>
      </c>
      <c r="W6005" s="35" t="inlineStr"/>
      <c r="X6005" s="35" t="inlineStr"/>
    </row>
    <row r="6006" ht="15" customHeight="1" s="24">
      <c r="A6006" s="13" t="n">
        <v>5000081615</v>
      </c>
      <c r="B6006" s="13" t="inlineStr">
        <is>
          <t>МБОУ г. Иркутска СОШ № 39</t>
        </is>
      </c>
      <c r="C6006" s="13" t="n">
        <v>3811055060</v>
      </c>
      <c r="D6006" s="13" t="inlineStr">
        <is>
          <t>3811055060</t>
        </is>
      </c>
      <c r="E6006" s="13" t="inlineStr">
        <is>
          <t>ЮЛ РФ</t>
        </is>
      </c>
      <c r="F6006" s="13" t="n"/>
      <c r="G6006" s="14" t="n"/>
      <c r="H6006" s="14" t="n"/>
      <c r="I6006" s="14" t="n"/>
      <c r="J6006" s="14" t="n"/>
      <c r="K6006" s="53" t="inlineStr"/>
      <c r="L6006" s="53" t="inlineStr">
        <is>
          <t>Не определено</t>
        </is>
      </c>
      <c r="M6006" s="53" t="inlineStr"/>
      <c r="N6006" s="54" t="inlineStr"/>
      <c r="O6006" s="55" t="inlineStr"/>
      <c r="P6006" s="16" t="inlineStr">
        <is>
          <t>Требует обогащения</t>
        </is>
      </c>
      <c r="Q6006" s="16">
        <f>HYPERLINK("https://pb.nalog.ru/search.html?query=3811055060","ФНС: проверить")</f>
        <v/>
      </c>
      <c r="R6006" s="16">
        <f>HYPERLINK("https://checko.ru/search?query=3801001629","Чекко: проверить")</f>
        <v/>
      </c>
      <c r="S6006" t="n">
        <v>1</v>
      </c>
      <c r="T6006" s="35" t="inlineStr">
        <is>
          <t>4 — Не обогащён</t>
        </is>
      </c>
      <c r="U6006" s="35" t="inlineStr">
        <is>
          <t>Нет ОКВЭД/ССЧР</t>
        </is>
      </c>
      <c r="V6006" s="35" t="inlineStr">
        <is>
          <t>Не определено</t>
        </is>
      </c>
      <c r="W6006" s="35" t="inlineStr"/>
      <c r="X6006" s="35" t="inlineStr"/>
    </row>
    <row r="6007" ht="41.25" customHeight="1" s="24">
      <c r="A6007" s="13" t="n">
        <v>5000067437</v>
      </c>
      <c r="B6007" s="13" t="inlineStr">
        <is>
          <t>Муниципальное учреждение дополнительного образования "Детская школа искусств им. Я. Флиера"</t>
        </is>
      </c>
      <c r="C6007" s="13" t="n">
        <v>5034084784</v>
      </c>
      <c r="D6007" s="13" t="inlineStr">
        <is>
          <t>5034084784</t>
        </is>
      </c>
      <c r="E6007" s="13" t="inlineStr">
        <is>
          <t>ЮЛ РФ</t>
        </is>
      </c>
      <c r="F6007" s="13" t="n"/>
      <c r="G6007" s="14" t="n"/>
      <c r="H6007" s="14" t="n"/>
      <c r="I6007" s="14" t="n"/>
      <c r="J6007" s="14" t="n"/>
      <c r="K6007" s="53" t="inlineStr"/>
      <c r="L6007" s="53" t="inlineStr">
        <is>
          <t>Не определено</t>
        </is>
      </c>
      <c r="M6007" s="53" t="inlineStr"/>
      <c r="N6007" s="54" t="inlineStr"/>
      <c r="O6007" s="55" t="inlineStr"/>
      <c r="P6007" s="16" t="inlineStr">
        <is>
          <t>Требует обогащения</t>
        </is>
      </c>
      <c r="Q6007" s="16">
        <f>HYPERLINK("https://pb.nalog.ru/search.html?query=5034084784","ФНС: проверить")</f>
        <v/>
      </c>
      <c r="R6007" s="16">
        <f>HYPERLINK("https://checko.ru/search?query=3801001629","Чекко: проверить")</f>
        <v/>
      </c>
      <c r="S6007" t="n">
        <v>1</v>
      </c>
      <c r="T6007" s="35" t="inlineStr">
        <is>
          <t>4 — Не обогащён</t>
        </is>
      </c>
      <c r="U6007" s="35" t="inlineStr">
        <is>
          <t>Нет ОКВЭД/ССЧР</t>
        </is>
      </c>
      <c r="V6007" s="35" t="inlineStr">
        <is>
          <t>Не определено</t>
        </is>
      </c>
      <c r="W6007" s="35" t="inlineStr"/>
      <c r="X6007" s="35" t="inlineStr"/>
    </row>
    <row r="6008" ht="27.75" customHeight="1" s="24">
      <c r="A6008" s="13" t="n">
        <v>5000067445</v>
      </c>
      <c r="B6008" s="13" t="inlineStr">
        <is>
          <t>Муниципальное учреждение "Дворец спорта "Восток"</t>
        </is>
      </c>
      <c r="C6008" s="13" t="n">
        <v>5034027313</v>
      </c>
      <c r="D6008" s="13" t="inlineStr">
        <is>
          <t>5034027313</t>
        </is>
      </c>
      <c r="E6008" s="13" t="inlineStr">
        <is>
          <t>ЮЛ РФ</t>
        </is>
      </c>
      <c r="F6008" s="13" t="n"/>
      <c r="G6008" s="14" t="n"/>
      <c r="H6008" s="14" t="n"/>
      <c r="I6008" s="14" t="n"/>
      <c r="J6008" s="14" t="n"/>
      <c r="K6008" s="53" t="inlineStr"/>
      <c r="L6008" s="53" t="inlineStr">
        <is>
          <t>Не определено</t>
        </is>
      </c>
      <c r="M6008" s="53" t="inlineStr"/>
      <c r="N6008" s="54" t="inlineStr"/>
      <c r="O6008" s="55" t="inlineStr"/>
      <c r="P6008" s="16" t="inlineStr">
        <is>
          <t>Требует обогащения</t>
        </is>
      </c>
      <c r="Q6008" s="16">
        <f>HYPERLINK("https://pb.nalog.ru/search.html?query=5034027313","ФНС: проверить")</f>
        <v/>
      </c>
      <c r="R6008" s="16">
        <f>HYPERLINK("https://checko.ru/search?query=3801001629","Чекко: проверить")</f>
        <v/>
      </c>
      <c r="S6008" t="n">
        <v>1</v>
      </c>
      <c r="T6008" s="35" t="inlineStr">
        <is>
          <t>4 — Не обогащён</t>
        </is>
      </c>
      <c r="U6008" s="35" t="inlineStr">
        <is>
          <t>Нет ОКВЭД/ССЧР</t>
        </is>
      </c>
      <c r="V6008" s="35" t="inlineStr">
        <is>
          <t>Не определено</t>
        </is>
      </c>
      <c r="W6008" s="35" t="inlineStr"/>
      <c r="X6008" s="35" t="inlineStr"/>
    </row>
    <row r="6009" ht="27.75" customHeight="1" s="24">
      <c r="A6009" s="13" t="n">
        <v>5000067446</v>
      </c>
      <c r="B6009" s="13" t="inlineStr">
        <is>
          <t>Муниципальное учреждение "Спортивная школа "Спартак-Орехово"</t>
        </is>
      </c>
      <c r="C6009" s="13" t="n">
        <v>5034024231</v>
      </c>
      <c r="D6009" s="13" t="inlineStr">
        <is>
          <t>5034024231</t>
        </is>
      </c>
      <c r="E6009" s="13" t="inlineStr">
        <is>
          <t>ЮЛ РФ</t>
        </is>
      </c>
      <c r="F6009" s="13" t="n"/>
      <c r="G6009" s="14" t="n"/>
      <c r="H6009" s="14" t="n"/>
      <c r="I6009" s="14" t="n"/>
      <c r="J6009" s="14" t="n"/>
      <c r="K6009" s="53" t="inlineStr"/>
      <c r="L6009" s="53" t="inlineStr">
        <is>
          <t>Не определено</t>
        </is>
      </c>
      <c r="M6009" s="53" t="inlineStr"/>
      <c r="N6009" s="54" t="inlineStr"/>
      <c r="O6009" s="55" t="inlineStr"/>
      <c r="P6009" s="16" t="inlineStr">
        <is>
          <t>Требует обогащения</t>
        </is>
      </c>
      <c r="Q6009" s="16">
        <f>HYPERLINK("https://pb.nalog.ru/search.html?query=5034024231","ФНС: проверить")</f>
        <v/>
      </c>
      <c r="R6009" s="16">
        <f>HYPERLINK("https://checko.ru/search?query=3801001629","Чекко: проверить")</f>
        <v/>
      </c>
      <c r="S6009" t="n">
        <v>1</v>
      </c>
      <c r="T6009" s="35" t="inlineStr">
        <is>
          <t>4 — Не обогащён</t>
        </is>
      </c>
      <c r="U6009" s="35" t="inlineStr">
        <is>
          <t>Нет ОКВЭД/ССЧР</t>
        </is>
      </c>
      <c r="V6009" s="35" t="inlineStr">
        <is>
          <t>Не определено</t>
        </is>
      </c>
      <c r="W6009" s="35" t="inlineStr"/>
      <c r="X6009" s="35" t="inlineStr"/>
    </row>
    <row r="6010" ht="41.25" customHeight="1" s="24">
      <c r="A6010" s="13" t="n">
        <v>5000067449</v>
      </c>
      <c r="B6010" s="13" t="inlineStr">
        <is>
          <t>Муниципальное учреждение культуры "Орехово-Зуевский городской историко-краеведческий музей"</t>
        </is>
      </c>
      <c r="C6010" s="13" t="n">
        <v>5034017033</v>
      </c>
      <c r="D6010" s="13" t="inlineStr">
        <is>
          <t>5034017033</t>
        </is>
      </c>
      <c r="E6010" s="13" t="inlineStr">
        <is>
          <t>ЮЛ РФ</t>
        </is>
      </c>
      <c r="F6010" s="13" t="n"/>
      <c r="G6010" s="14" t="n"/>
      <c r="H6010" s="14" t="n"/>
      <c r="I6010" s="14" t="n"/>
      <c r="J6010" s="14" t="n"/>
      <c r="K6010" s="53" t="inlineStr"/>
      <c r="L6010" s="53" t="inlineStr">
        <is>
          <t>Не определено</t>
        </is>
      </c>
      <c r="M6010" s="53" t="inlineStr"/>
      <c r="N6010" s="54" t="inlineStr"/>
      <c r="O6010" s="55" t="inlineStr"/>
      <c r="P6010" s="16" t="inlineStr">
        <is>
          <t>Требует обогащения</t>
        </is>
      </c>
      <c r="Q6010" s="16">
        <f>HYPERLINK("https://pb.nalog.ru/search.html?query=5034017033","ФНС: проверить")</f>
        <v/>
      </c>
      <c r="R6010" s="16">
        <f>HYPERLINK("https://checko.ru/search?query=3801001629","Чекко: проверить")</f>
        <v/>
      </c>
      <c r="S6010" t="n">
        <v>1</v>
      </c>
      <c r="T6010" s="35" t="inlineStr">
        <is>
          <t>4 — Не обогащён</t>
        </is>
      </c>
      <c r="U6010" s="35" t="inlineStr">
        <is>
          <t>Нет ОКВЭД/ССЧР</t>
        </is>
      </c>
      <c r="V6010" s="35" t="inlineStr">
        <is>
          <t>Не определено</t>
        </is>
      </c>
      <c r="W6010" s="35" t="inlineStr"/>
      <c r="X6010" s="35" t="inlineStr"/>
    </row>
    <row r="6011" ht="27.75" customHeight="1" s="24">
      <c r="A6011" s="13" t="n">
        <v>5000067450</v>
      </c>
      <c r="B6011" s="13" t="inlineStr">
        <is>
          <t>Мунициральное учреждение культуры Культурно-досуговый центр "Зимний театр"</t>
        </is>
      </c>
      <c r="C6011" s="13" t="n">
        <v>5034009836</v>
      </c>
      <c r="D6011" s="13" t="inlineStr">
        <is>
          <t>5034009836</t>
        </is>
      </c>
      <c r="E6011" s="13" t="inlineStr">
        <is>
          <t>ЮЛ РФ</t>
        </is>
      </c>
      <c r="F6011" s="13" t="n"/>
      <c r="G6011" s="14" t="n"/>
      <c r="H6011" s="14" t="n"/>
      <c r="I6011" s="14" t="n"/>
      <c r="J6011" s="14" t="n"/>
      <c r="K6011" s="53" t="inlineStr"/>
      <c r="L6011" s="53" t="inlineStr">
        <is>
          <t>Не определено</t>
        </is>
      </c>
      <c r="M6011" s="53" t="inlineStr"/>
      <c r="N6011" s="54" t="inlineStr"/>
      <c r="O6011" s="55" t="inlineStr"/>
      <c r="P6011" s="16" t="inlineStr">
        <is>
          <t>Требует обогащения</t>
        </is>
      </c>
      <c r="Q6011" s="16">
        <f>HYPERLINK("https://pb.nalog.ru/search.html?query=5034009836","ФНС: проверить")</f>
        <v/>
      </c>
      <c r="R6011" s="16">
        <f>HYPERLINK("https://checko.ru/search?query=3801001629","Чекко: проверить")</f>
        <v/>
      </c>
      <c r="S6011" t="n">
        <v>1</v>
      </c>
      <c r="T6011" s="35" t="inlineStr">
        <is>
          <t>4 — Не обогащён</t>
        </is>
      </c>
      <c r="U6011" s="35" t="inlineStr">
        <is>
          <t>Нет ОКВЭД/ССЧР</t>
        </is>
      </c>
      <c r="V6011" s="35" t="inlineStr">
        <is>
          <t>Не определено</t>
        </is>
      </c>
      <c r="W6011" s="35" t="inlineStr"/>
      <c r="X6011" s="35" t="inlineStr"/>
    </row>
    <row r="6012" ht="27.75" customHeight="1" s="24">
      <c r="A6012" s="13" t="n">
        <v>5000067451</v>
      </c>
      <c r="B6012" s="13" t="inlineStr">
        <is>
          <t>Муниципальное учреждение культуры "Дом культуры на площади Пушкина"</t>
        </is>
      </c>
      <c r="C6012" s="13" t="n">
        <v>5034083340</v>
      </c>
      <c r="D6012" s="13" t="inlineStr">
        <is>
          <t>5034083340</t>
        </is>
      </c>
      <c r="E6012" s="13" t="inlineStr">
        <is>
          <t>ЮЛ РФ</t>
        </is>
      </c>
      <c r="F6012" s="13" t="n"/>
      <c r="G6012" s="14" t="n"/>
      <c r="H6012" s="14" t="n"/>
      <c r="I6012" s="14" t="n"/>
      <c r="J6012" s="14" t="n"/>
      <c r="K6012" s="53" t="inlineStr"/>
      <c r="L6012" s="53" t="inlineStr">
        <is>
          <t>Не определено</t>
        </is>
      </c>
      <c r="M6012" s="53" t="inlineStr"/>
      <c r="N6012" s="54" t="inlineStr"/>
      <c r="O6012" s="55" t="inlineStr"/>
      <c r="P6012" s="16" t="inlineStr">
        <is>
          <t>Требует обогащения</t>
        </is>
      </c>
      <c r="Q6012" s="16">
        <f>HYPERLINK("https://pb.nalog.ru/search.html?query=5034083340","ФНС: проверить")</f>
        <v/>
      </c>
      <c r="R6012" s="16">
        <f>HYPERLINK("https://checko.ru/search?query=3801001629","Чекко: проверить")</f>
        <v/>
      </c>
      <c r="S6012" t="n">
        <v>1</v>
      </c>
      <c r="T6012" s="35" t="inlineStr">
        <is>
          <t>4 — Не обогащён</t>
        </is>
      </c>
      <c r="U6012" s="35" t="inlineStr">
        <is>
          <t>Нет ОКВЭД/ССЧР</t>
        </is>
      </c>
      <c r="V6012" s="35" t="inlineStr">
        <is>
          <t>Не определено</t>
        </is>
      </c>
      <c r="W6012" s="35" t="inlineStr"/>
      <c r="X6012" s="35" t="inlineStr"/>
    </row>
    <row r="6013" ht="27.75" customHeight="1" s="24">
      <c r="A6013" s="13" t="n">
        <v>5000067452</v>
      </c>
      <c r="B6013" s="13" t="inlineStr">
        <is>
          <t>Муниципальное учреждение культуры Центр культуры и досуга "Мечта"</t>
        </is>
      </c>
      <c r="C6013" s="13" t="n">
        <v>5034083678</v>
      </c>
      <c r="D6013" s="13" t="inlineStr">
        <is>
          <t>5034083678</t>
        </is>
      </c>
      <c r="E6013" s="13" t="inlineStr">
        <is>
          <t>ЮЛ РФ</t>
        </is>
      </c>
      <c r="F6013" s="13" t="n"/>
      <c r="G6013" s="14" t="n"/>
      <c r="H6013" s="14" t="n"/>
      <c r="I6013" s="14" t="n"/>
      <c r="J6013" s="14" t="n"/>
      <c r="K6013" s="53" t="inlineStr"/>
      <c r="L6013" s="53" t="inlineStr">
        <is>
          <t>Не определено</t>
        </is>
      </c>
      <c r="M6013" s="53" t="inlineStr"/>
      <c r="N6013" s="54" t="inlineStr"/>
      <c r="O6013" s="55" t="inlineStr"/>
      <c r="P6013" s="16" t="inlineStr">
        <is>
          <t>Требует обогащения</t>
        </is>
      </c>
      <c r="Q6013" s="16">
        <f>HYPERLINK("https://pb.nalog.ru/search.html?query=5034083678","ФНС: проверить")</f>
        <v/>
      </c>
      <c r="R6013" s="16">
        <f>HYPERLINK("https://checko.ru/search?query=3801001629","Чекко: проверить")</f>
        <v/>
      </c>
      <c r="S6013" t="n">
        <v>1</v>
      </c>
      <c r="T6013" s="35" t="inlineStr">
        <is>
          <t>4 — Не обогащён</t>
        </is>
      </c>
      <c r="U6013" s="35" t="inlineStr">
        <is>
          <t>Нет ОКВЭД/ССЧР</t>
        </is>
      </c>
      <c r="V6013" s="35" t="inlineStr">
        <is>
          <t>Не определено</t>
        </is>
      </c>
      <c r="W6013" s="35" t="inlineStr"/>
      <c r="X6013" s="35" t="inlineStr"/>
    </row>
    <row r="6014" ht="54.75" customHeight="1" s="24">
      <c r="A6014" s="13" t="n">
        <v>5000067454</v>
      </c>
      <c r="B6014" s="13" t="inlineStr">
        <is>
          <t>Муниципальное  казенное учреждение "Управление по обеспечению деятельности органов местного самоуправления Орехово-Зуевского городского округа Московс</t>
        </is>
      </c>
      <c r="C6014" s="13" t="n">
        <v>5034058463</v>
      </c>
      <c r="D6014" s="13" t="inlineStr">
        <is>
          <t>5034058463</t>
        </is>
      </c>
      <c r="E6014" s="13" t="inlineStr">
        <is>
          <t>ЮЛ РФ</t>
        </is>
      </c>
      <c r="F6014" s="13" t="n"/>
      <c r="G6014" s="14" t="n"/>
      <c r="H6014" s="14" t="n"/>
      <c r="I6014" s="14" t="n"/>
      <c r="J6014" s="14" t="n"/>
      <c r="K6014" s="53" t="inlineStr"/>
      <c r="L6014" s="53" t="inlineStr">
        <is>
          <t>Не определено</t>
        </is>
      </c>
      <c r="M6014" s="53" t="inlineStr"/>
      <c r="N6014" s="54" t="inlineStr"/>
      <c r="O6014" s="55" t="inlineStr"/>
      <c r="P6014" s="16" t="inlineStr">
        <is>
          <t>Требует обогащения</t>
        </is>
      </c>
      <c r="Q6014" s="16">
        <f>HYPERLINK("https://pb.nalog.ru/search.html?query=5034058463","ФНС: проверить")</f>
        <v/>
      </c>
      <c r="R6014" s="16">
        <f>HYPERLINK("https://checko.ru/search?query=3801001629","Чекко: проверить")</f>
        <v/>
      </c>
      <c r="S6014" t="n">
        <v>1</v>
      </c>
      <c r="T6014" s="35" t="inlineStr">
        <is>
          <t>4 — Не обогащён</t>
        </is>
      </c>
      <c r="U6014" s="35" t="inlineStr">
        <is>
          <t>Нет ОКВЭД/ССЧР</t>
        </is>
      </c>
      <c r="V6014" s="35" t="inlineStr">
        <is>
          <t>Не определено</t>
        </is>
      </c>
      <c r="W6014" s="35" t="inlineStr"/>
      <c r="X6014" s="35" t="inlineStr"/>
    </row>
    <row r="6015" ht="27.75" customHeight="1" s="24">
      <c r="A6015" s="13" t="n">
        <v>5000067455</v>
      </c>
      <c r="B6015" s="13" t="inlineStr">
        <is>
          <t>Муниципальное  казенное учреждение "Мемориал"</t>
        </is>
      </c>
      <c r="C6015" s="13" t="n">
        <v>5034052013</v>
      </c>
      <c r="D6015" s="13" t="inlineStr">
        <is>
          <t>5034052013</t>
        </is>
      </c>
      <c r="E6015" s="13" t="inlineStr">
        <is>
          <t>ЮЛ РФ</t>
        </is>
      </c>
      <c r="F6015" s="13" t="n"/>
      <c r="G6015" s="14" t="n"/>
      <c r="H6015" s="14" t="n"/>
      <c r="I6015" s="14" t="n"/>
      <c r="J6015" s="14" t="n"/>
      <c r="K6015" s="53" t="inlineStr"/>
      <c r="L6015" s="53" t="inlineStr">
        <is>
          <t>Не определено</t>
        </is>
      </c>
      <c r="M6015" s="53" t="inlineStr"/>
      <c r="N6015" s="54" t="inlineStr"/>
      <c r="O6015" s="55" t="inlineStr"/>
      <c r="P6015" s="16" t="inlineStr">
        <is>
          <t>Требует обогащения</t>
        </is>
      </c>
      <c r="Q6015" s="16">
        <f>HYPERLINK("https://pb.nalog.ru/search.html?query=5034052013","ФНС: проверить")</f>
        <v/>
      </c>
      <c r="R6015" s="16">
        <f>HYPERLINK("https://checko.ru/search?query=3801001629","Чекко: проверить")</f>
        <v/>
      </c>
      <c r="S6015" t="n">
        <v>1</v>
      </c>
      <c r="T6015" s="35" t="inlineStr">
        <is>
          <t>4 — Не обогащён</t>
        </is>
      </c>
      <c r="U6015" s="35" t="inlineStr">
        <is>
          <t>Нет ОКВЭД/ССЧР</t>
        </is>
      </c>
      <c r="V6015" s="35" t="inlineStr">
        <is>
          <t>Не определено</t>
        </is>
      </c>
      <c r="W6015" s="35" t="inlineStr"/>
      <c r="X6015" s="35" t="inlineStr"/>
    </row>
    <row r="6016" ht="27.75" customHeight="1" s="24">
      <c r="A6016" s="13" t="n">
        <v>5000067456</v>
      </c>
      <c r="B6016" s="13" t="inlineStr">
        <is>
          <t>МКУ "Управление централизации закупок Орехово-Зуевского городского округа"</t>
        </is>
      </c>
      <c r="C6016" s="13" t="n">
        <v>5034050464</v>
      </c>
      <c r="D6016" s="13" t="inlineStr">
        <is>
          <t>5034050464</t>
        </is>
      </c>
      <c r="E6016" s="13" t="inlineStr">
        <is>
          <t>ЮЛ РФ</t>
        </is>
      </c>
      <c r="F6016" s="13" t="n"/>
      <c r="G6016" s="14" t="n"/>
      <c r="H6016" s="14" t="n"/>
      <c r="I6016" s="14" t="n"/>
      <c r="J6016" s="14" t="n"/>
      <c r="K6016" s="53" t="inlineStr"/>
      <c r="L6016" s="53" t="inlineStr">
        <is>
          <t>Не определено</t>
        </is>
      </c>
      <c r="M6016" s="53" t="inlineStr"/>
      <c r="N6016" s="54" t="inlineStr"/>
      <c r="O6016" s="55" t="inlineStr"/>
      <c r="P6016" s="16" t="inlineStr">
        <is>
          <t>Требует обогащения</t>
        </is>
      </c>
      <c r="Q6016" s="16">
        <f>HYPERLINK("https://pb.nalog.ru/search.html?query=5034050464","ФНС: проверить")</f>
        <v/>
      </c>
      <c r="R6016" s="16">
        <f>HYPERLINK("https://checko.ru/search?query=3801001629","Чекко: проверить")</f>
        <v/>
      </c>
      <c r="S6016" t="n">
        <v>1</v>
      </c>
      <c r="T6016" s="35" t="inlineStr">
        <is>
          <t>4 — Не обогащён</t>
        </is>
      </c>
      <c r="U6016" s="35" t="inlineStr">
        <is>
          <t>Нет ОКВЭД/ССЧР</t>
        </is>
      </c>
      <c r="V6016" s="35" t="inlineStr">
        <is>
          <t>Не определено</t>
        </is>
      </c>
      <c r="W6016" s="35" t="inlineStr"/>
      <c r="X6016" s="35" t="inlineStr"/>
    </row>
    <row r="6017" ht="27.75" customHeight="1" s="24">
      <c r="A6017" s="13" t="n">
        <v>5000067457</v>
      </c>
      <c r="B6017" s="13" t="inlineStr">
        <is>
          <t>Совет депутатов Орехово-Зуевского городского округа Московской области</t>
        </is>
      </c>
      <c r="C6017" s="13" t="n">
        <v>5034058128</v>
      </c>
      <c r="D6017" s="13" t="inlineStr">
        <is>
          <t>5034058128</t>
        </is>
      </c>
      <c r="E6017" s="13" t="inlineStr">
        <is>
          <t>ЮЛ РФ</t>
        </is>
      </c>
      <c r="F6017" s="13" t="n"/>
      <c r="G6017" s="14" t="n"/>
      <c r="H6017" s="14" t="n"/>
      <c r="I6017" s="14" t="n"/>
      <c r="J6017" s="14" t="n"/>
      <c r="K6017" s="53" t="inlineStr"/>
      <c r="L6017" s="53" t="inlineStr">
        <is>
          <t>Не определено</t>
        </is>
      </c>
      <c r="M6017" s="53" t="inlineStr"/>
      <c r="N6017" s="54" t="inlineStr"/>
      <c r="O6017" s="55" t="inlineStr"/>
      <c r="P6017" s="16" t="inlineStr">
        <is>
          <t>Требует обогащения</t>
        </is>
      </c>
      <c r="Q6017" s="16">
        <f>HYPERLINK("https://pb.nalog.ru/search.html?query=5034058128","ФНС: проверить")</f>
        <v/>
      </c>
      <c r="R6017" s="16">
        <f>HYPERLINK("https://checko.ru/search?query=3801001629","Чекко: проверить")</f>
        <v/>
      </c>
      <c r="S6017" t="n">
        <v>1</v>
      </c>
      <c r="T6017" s="35" t="inlineStr">
        <is>
          <t>4 — Не обогащён</t>
        </is>
      </c>
      <c r="U6017" s="35" t="inlineStr">
        <is>
          <t>Нет ОКВЭД/ССЧР</t>
        </is>
      </c>
      <c r="V6017" s="35" t="inlineStr">
        <is>
          <t>Не определено</t>
        </is>
      </c>
      <c r="W6017" s="35" t="inlineStr"/>
      <c r="X6017" s="35" t="inlineStr"/>
    </row>
    <row r="6018" ht="41.25" customHeight="1" s="24">
      <c r="A6018" s="13" t="n">
        <v>5000067458</v>
      </c>
      <c r="B6018" s="13" t="inlineStr">
        <is>
          <t>Муниципальное казенное учреждение Орехово-Зуевского городского округа Московской области "Управление капитального строительства"</t>
        </is>
      </c>
      <c r="C6018" s="13" t="n">
        <v>5034056875</v>
      </c>
      <c r="D6018" s="13" t="inlineStr">
        <is>
          <t>5034056875</t>
        </is>
      </c>
      <c r="E6018" s="13" t="inlineStr">
        <is>
          <t>ЮЛ РФ</t>
        </is>
      </c>
      <c r="F6018" s="13" t="n"/>
      <c r="G6018" s="14" t="n"/>
      <c r="H6018" s="14" t="n"/>
      <c r="I6018" s="14" t="n"/>
      <c r="J6018" s="14" t="n"/>
      <c r="K6018" s="53" t="inlineStr"/>
      <c r="L6018" s="53" t="inlineStr">
        <is>
          <t>Не определено</t>
        </is>
      </c>
      <c r="M6018" s="53" t="inlineStr"/>
      <c r="N6018" s="54" t="inlineStr"/>
      <c r="O6018" s="55" t="inlineStr"/>
      <c r="P6018" s="16" t="inlineStr">
        <is>
          <t>Требует обогащения</t>
        </is>
      </c>
      <c r="Q6018" s="16">
        <f>HYPERLINK("https://pb.nalog.ru/search.html?query=5034056875","ФНС: проверить")</f>
        <v/>
      </c>
      <c r="R6018" s="16">
        <f>HYPERLINK("https://checko.ru/search?query=3801001629","Чекко: проверить")</f>
        <v/>
      </c>
      <c r="S6018" t="n">
        <v>1</v>
      </c>
      <c r="T6018" s="35" t="inlineStr">
        <is>
          <t>4 — Не обогащён</t>
        </is>
      </c>
      <c r="U6018" s="35" t="inlineStr">
        <is>
          <t>Нет ОКВЭД/ССЧР</t>
        </is>
      </c>
      <c r="V6018" s="35" t="inlineStr">
        <is>
          <t>Не определено</t>
        </is>
      </c>
      <c r="W6018" s="35" t="inlineStr"/>
      <c r="X6018" s="35" t="inlineStr"/>
    </row>
    <row r="6019" ht="27.75" customHeight="1" s="24">
      <c r="A6019" s="13" t="n">
        <v>5000067459</v>
      </c>
      <c r="B6019" s="13" t="inlineStr">
        <is>
          <t>Контрольно-счетная палата  Орехово-Зуевского городского округа Московской области</t>
        </is>
      </c>
      <c r="C6019" s="13" t="n">
        <v>5034041340</v>
      </c>
      <c r="D6019" s="13" t="inlineStr">
        <is>
          <t>5034041340</t>
        </is>
      </c>
      <c r="E6019" s="13" t="inlineStr">
        <is>
          <t>ЮЛ РФ</t>
        </is>
      </c>
      <c r="F6019" s="13" t="n"/>
      <c r="G6019" s="14" t="n"/>
      <c r="H6019" s="14" t="n"/>
      <c r="I6019" s="14" t="n"/>
      <c r="J6019" s="14" t="n"/>
      <c r="K6019" s="53" t="inlineStr"/>
      <c r="L6019" s="53" t="inlineStr">
        <is>
          <t>Не определено</t>
        </is>
      </c>
      <c r="M6019" s="53" t="inlineStr"/>
      <c r="N6019" s="54" t="inlineStr"/>
      <c r="O6019" s="55" t="inlineStr"/>
      <c r="P6019" s="16" t="inlineStr">
        <is>
          <t>Требует обогащения</t>
        </is>
      </c>
      <c r="Q6019" s="16">
        <f>HYPERLINK("https://pb.nalog.ru/search.html?query=5034041340","ФНС: проверить")</f>
        <v/>
      </c>
      <c r="R6019" s="16">
        <f>HYPERLINK("https://checko.ru/search?query=3801001629","Чекко: проверить")</f>
        <v/>
      </c>
      <c r="S6019" t="n">
        <v>1</v>
      </c>
      <c r="T6019" s="35" t="inlineStr">
        <is>
          <t>4 — Не обогащён</t>
        </is>
      </c>
      <c r="U6019" s="35" t="inlineStr">
        <is>
          <t>Нет ОКВЭД/ССЧР</t>
        </is>
      </c>
      <c r="V6019" s="35" t="inlineStr">
        <is>
          <t>Не определено</t>
        </is>
      </c>
      <c r="W6019" s="35" t="inlineStr"/>
      <c r="X6019" s="35" t="inlineStr"/>
    </row>
    <row r="6020" ht="15" customHeight="1" s="24">
      <c r="A6020" s="13" t="n">
        <v>5000050877</v>
      </c>
      <c r="B6020" s="13" t="inlineStr">
        <is>
          <t>МБДОУ г. Иркутска детский сад № 20</t>
        </is>
      </c>
      <c r="C6020" s="13" t="n">
        <v>3808048030</v>
      </c>
      <c r="D6020" s="13" t="inlineStr">
        <is>
          <t>3808048030</t>
        </is>
      </c>
      <c r="E6020" s="13" t="inlineStr">
        <is>
          <t>ЮЛ РФ</t>
        </is>
      </c>
      <c r="F6020" s="13" t="n"/>
      <c r="G6020" s="14" t="n"/>
      <c r="H6020" s="14" t="n"/>
      <c r="I6020" s="14" t="n"/>
      <c r="J6020" s="14" t="n"/>
      <c r="K6020" s="53" t="inlineStr"/>
      <c r="L6020" s="53" t="inlineStr">
        <is>
          <t>Не определено</t>
        </is>
      </c>
      <c r="M6020" s="53" t="inlineStr"/>
      <c r="N6020" s="54" t="inlineStr"/>
      <c r="O6020" s="55" t="inlineStr"/>
      <c r="P6020" s="16" t="inlineStr">
        <is>
          <t>Требует обогащения</t>
        </is>
      </c>
      <c r="Q6020" s="16">
        <f>HYPERLINK("https://pb.nalog.ru/search.html?query=3808048030","ФНС: проверить")</f>
        <v/>
      </c>
      <c r="R6020" s="16">
        <f>HYPERLINK("https://checko.ru/search?query=3801001629","Чекко: проверить")</f>
        <v/>
      </c>
      <c r="S6020" t="n">
        <v>1</v>
      </c>
      <c r="T6020" s="35" t="inlineStr">
        <is>
          <t>4 — Не обогащён</t>
        </is>
      </c>
      <c r="U6020" s="35" t="inlineStr">
        <is>
          <t>Нет ОКВЭД/ССЧР</t>
        </is>
      </c>
      <c r="V6020" s="35" t="inlineStr">
        <is>
          <t>Не определено</t>
        </is>
      </c>
      <c r="W6020" s="35" t="inlineStr"/>
      <c r="X6020" s="35" t="inlineStr"/>
    </row>
    <row r="6021" ht="54.75" customHeight="1" s="24">
      <c r="A6021" s="13" t="n">
        <v>5000048107</v>
      </c>
      <c r="B6021" s="13" t="inlineStr">
        <is>
          <t>МУНИЦИПАЛЬНОЕ БЮДЖЕТНОЕ ОБЩЕОБРАЗОВАТЕЛЬНОЕ УЧРЕЖДЕНИЕ ГОРОДА ИРКУТСКА СРЕДНЯЯ ОБЩЕОБРАЗОВАТЕЛЬНАЯ ШКОЛА № 22</t>
        </is>
      </c>
      <c r="C6021" s="13" t="n">
        <v>3811056507</v>
      </c>
      <c r="D6021" s="13" t="inlineStr">
        <is>
          <t>3811056507</t>
        </is>
      </c>
      <c r="E6021" s="13" t="inlineStr">
        <is>
          <t>ЮЛ РФ</t>
        </is>
      </c>
      <c r="F6021" s="13" t="n"/>
      <c r="G6021" s="14" t="n"/>
      <c r="H6021" s="14" t="n"/>
      <c r="I6021" s="14" t="n"/>
      <c r="J6021" s="14" t="n"/>
      <c r="K6021" s="53" t="inlineStr"/>
      <c r="L6021" s="53" t="inlineStr">
        <is>
          <t>Не определено</t>
        </is>
      </c>
      <c r="M6021" s="53" t="inlineStr"/>
      <c r="N6021" s="54" t="inlineStr"/>
      <c r="O6021" s="55" t="inlineStr"/>
      <c r="P6021" s="16" t="inlineStr">
        <is>
          <t>Требует обогащения</t>
        </is>
      </c>
      <c r="Q6021" s="16">
        <f>HYPERLINK("https://pb.nalog.ru/search.html?query=3811056507","ФНС: проверить")</f>
        <v/>
      </c>
      <c r="R6021" s="16">
        <f>HYPERLINK("https://checko.ru/search?query=3801001629","Чекко: проверить")</f>
        <v/>
      </c>
      <c r="S6021" t="n">
        <v>1</v>
      </c>
      <c r="T6021" s="35" t="inlineStr">
        <is>
          <t>4 — Не обогащён</t>
        </is>
      </c>
      <c r="U6021" s="35" t="inlineStr">
        <is>
          <t>Нет ОКВЭД/ССЧР</t>
        </is>
      </c>
      <c r="V6021" s="35" t="inlineStr">
        <is>
          <t>Не определено</t>
        </is>
      </c>
      <c r="W6021" s="35" t="inlineStr"/>
      <c r="X6021" s="35" t="inlineStr"/>
    </row>
    <row r="6022" ht="41.25" customHeight="1" s="24">
      <c r="A6022" s="13" t="n">
        <v>5000067374</v>
      </c>
      <c r="B6022" s="13" t="inlineStr">
        <is>
          <t>Управление образования администрации Орехово-Зуевского городского округа Московской области</t>
        </is>
      </c>
      <c r="C6022" s="13" t="n">
        <v>5034083318</v>
      </c>
      <c r="D6022" s="13" t="inlineStr">
        <is>
          <t>5034083318</t>
        </is>
      </c>
      <c r="E6022" s="13" t="inlineStr">
        <is>
          <t>ЮЛ РФ</t>
        </is>
      </c>
      <c r="F6022" s="13" t="n"/>
      <c r="G6022" s="14" t="n"/>
      <c r="H6022" s="14" t="n"/>
      <c r="I6022" s="14" t="n"/>
      <c r="J6022" s="14" t="n"/>
      <c r="K6022" s="53" t="inlineStr"/>
      <c r="L6022" s="53" t="inlineStr">
        <is>
          <t>Не определено</t>
        </is>
      </c>
      <c r="M6022" s="53" t="inlineStr"/>
      <c r="N6022" s="54" t="inlineStr"/>
      <c r="O6022" s="55" t="inlineStr"/>
      <c r="P6022" s="16" t="inlineStr">
        <is>
          <t>Требует обогащения</t>
        </is>
      </c>
      <c r="Q6022" s="16">
        <f>HYPERLINK("https://pb.nalog.ru/search.html?query=5034083318","ФНС: проверить")</f>
        <v/>
      </c>
      <c r="R6022" s="16">
        <f>HYPERLINK("https://checko.ru/search?query=3801001629","Чекко: проверить")</f>
        <v/>
      </c>
      <c r="S6022" t="n">
        <v>1</v>
      </c>
      <c r="T6022" s="35" t="inlineStr">
        <is>
          <t>4 — Не обогащён</t>
        </is>
      </c>
      <c r="U6022" s="35" t="inlineStr">
        <is>
          <t>Нет ОКВЭД/ССЧР</t>
        </is>
      </c>
      <c r="V6022" s="35" t="inlineStr">
        <is>
          <t>Не определено</t>
        </is>
      </c>
      <c r="W6022" s="35" t="inlineStr"/>
      <c r="X6022" s="35" t="inlineStr"/>
    </row>
    <row r="6023" ht="41.25" customHeight="1" s="24">
      <c r="A6023" s="13" t="n">
        <v>5000067409</v>
      </c>
      <c r="B6023" s="13" t="inlineStr">
        <is>
          <t>Муниципальное общеобразовательное учреждение  средняя общеобразовательная школа № 1</t>
        </is>
      </c>
      <c r="C6023" s="13" t="n">
        <v>5034083702</v>
      </c>
      <c r="D6023" s="13" t="inlineStr">
        <is>
          <t>5034083702</t>
        </is>
      </c>
      <c r="E6023" s="13" t="inlineStr">
        <is>
          <t>ЮЛ РФ</t>
        </is>
      </c>
      <c r="F6023" s="13" t="n"/>
      <c r="G6023" s="14" t="n"/>
      <c r="H6023" s="14" t="n"/>
      <c r="I6023" s="14" t="n"/>
      <c r="J6023" s="14" t="n"/>
      <c r="K6023" s="53" t="inlineStr"/>
      <c r="L6023" s="53" t="inlineStr">
        <is>
          <t>Не определено</t>
        </is>
      </c>
      <c r="M6023" s="53" t="inlineStr"/>
      <c r="N6023" s="54" t="inlineStr"/>
      <c r="O6023" s="55" t="inlineStr"/>
      <c r="P6023" s="16" t="inlineStr">
        <is>
          <t>Требует обогащения</t>
        </is>
      </c>
      <c r="Q6023" s="16">
        <f>HYPERLINK("https://pb.nalog.ru/search.html?query=5034083702","ФНС: проверить")</f>
        <v/>
      </c>
      <c r="R6023" s="16">
        <f>HYPERLINK("https://checko.ru/search?query=3801001629","Чекко: проверить")</f>
        <v/>
      </c>
      <c r="S6023" t="n">
        <v>1</v>
      </c>
      <c r="T6023" s="35" t="inlineStr">
        <is>
          <t>4 — Не обогащён</t>
        </is>
      </c>
      <c r="U6023" s="35" t="inlineStr">
        <is>
          <t>Нет ОКВЭД/ССЧР</t>
        </is>
      </c>
      <c r="V6023" s="35" t="inlineStr">
        <is>
          <t>Не определено</t>
        </is>
      </c>
      <c r="W6023" s="35" t="inlineStr"/>
      <c r="X6023" s="35" t="inlineStr"/>
    </row>
    <row r="6024" ht="41.25" customHeight="1" s="24">
      <c r="A6024" s="13" t="n">
        <v>5000067410</v>
      </c>
      <c r="B6024" s="13" t="inlineStr">
        <is>
          <t>Муниципальное общеобразовательное учреждение  средняя общеобразовательная школа № 4</t>
        </is>
      </c>
      <c r="C6024" s="13" t="n">
        <v>5034083815</v>
      </c>
      <c r="D6024" s="13" t="inlineStr">
        <is>
          <t>5034083815</t>
        </is>
      </c>
      <c r="E6024" s="13" t="inlineStr">
        <is>
          <t>ЮЛ РФ</t>
        </is>
      </c>
      <c r="F6024" s="13" t="n"/>
      <c r="G6024" s="14" t="n"/>
      <c r="H6024" s="14" t="n"/>
      <c r="I6024" s="14" t="n"/>
      <c r="J6024" s="14" t="n"/>
      <c r="K6024" s="53" t="inlineStr"/>
      <c r="L6024" s="53" t="inlineStr">
        <is>
          <t>Не определено</t>
        </is>
      </c>
      <c r="M6024" s="53" t="inlineStr"/>
      <c r="N6024" s="54" t="inlineStr"/>
      <c r="O6024" s="55" t="inlineStr"/>
      <c r="P6024" s="16" t="inlineStr">
        <is>
          <t>Требует обогащения</t>
        </is>
      </c>
      <c r="Q6024" s="16">
        <f>HYPERLINK("https://pb.nalog.ru/search.html?query=5034083815","ФНС: проверить")</f>
        <v/>
      </c>
      <c r="R6024" s="16">
        <f>HYPERLINK("https://checko.ru/search?query=3801001629","Чекко: проверить")</f>
        <v/>
      </c>
      <c r="S6024" t="n">
        <v>1</v>
      </c>
      <c r="T6024" s="35" t="inlineStr">
        <is>
          <t>4 — Не обогащён</t>
        </is>
      </c>
      <c r="U6024" s="35" t="inlineStr">
        <is>
          <t>Нет ОКВЭД/ССЧР</t>
        </is>
      </c>
      <c r="V6024" s="35" t="inlineStr">
        <is>
          <t>Не определено</t>
        </is>
      </c>
      <c r="W6024" s="35" t="inlineStr"/>
      <c r="X6024" s="35" t="inlineStr"/>
    </row>
    <row r="6025" ht="54.75" customHeight="1" s="24">
      <c r="A6025" s="13" t="n">
        <v>5000067411</v>
      </c>
      <c r="B6025" s="13" t="inlineStr">
        <is>
          <t>Муниципальное общеобразовательное учреждение общеобразовательная школа № 5 для обучающихся с ограниченными возможностями здоровья</t>
        </is>
      </c>
      <c r="C6025" s="13" t="n">
        <v>5034084470</v>
      </c>
      <c r="D6025" s="13" t="inlineStr">
        <is>
          <t>5034084470</t>
        </is>
      </c>
      <c r="E6025" s="13" t="inlineStr">
        <is>
          <t>ЮЛ РФ</t>
        </is>
      </c>
      <c r="F6025" s="13" t="n"/>
      <c r="G6025" s="14" t="n"/>
      <c r="H6025" s="14" t="n"/>
      <c r="I6025" s="14" t="n"/>
      <c r="J6025" s="14" t="n"/>
      <c r="K6025" s="53" t="inlineStr"/>
      <c r="L6025" s="53" t="inlineStr">
        <is>
          <t>Не определено</t>
        </is>
      </c>
      <c r="M6025" s="53" t="inlineStr"/>
      <c r="N6025" s="54" t="inlineStr"/>
      <c r="O6025" s="55" t="inlineStr"/>
      <c r="P6025" s="16" t="inlineStr">
        <is>
          <t>Требует обогащения</t>
        </is>
      </c>
      <c r="Q6025" s="16">
        <f>HYPERLINK("https://pb.nalog.ru/search.html?query=5034084470","ФНС: проверить")</f>
        <v/>
      </c>
      <c r="R6025" s="16">
        <f>HYPERLINK("https://checko.ru/search?query=3801001629","Чекко: проверить")</f>
        <v/>
      </c>
      <c r="S6025" t="n">
        <v>1</v>
      </c>
      <c r="T6025" s="35" t="inlineStr">
        <is>
          <t>4 — Не обогащён</t>
        </is>
      </c>
      <c r="U6025" s="35" t="inlineStr">
        <is>
          <t>Нет ОКВЭД/ССЧР</t>
        </is>
      </c>
      <c r="V6025" s="35" t="inlineStr">
        <is>
          <t>Не определено</t>
        </is>
      </c>
      <c r="W6025" s="35" t="inlineStr"/>
      <c r="X6025" s="35" t="inlineStr"/>
    </row>
    <row r="6026" ht="41.25" customHeight="1" s="24">
      <c r="A6026" s="13" t="n">
        <v>5000067412</v>
      </c>
      <c r="B6026" s="13" t="inlineStr">
        <is>
          <t>Муниципальное общеобразовательное учреждение  средняя общеобразовательная школа № 6</t>
        </is>
      </c>
      <c r="C6026" s="13" t="n">
        <v>5034084061</v>
      </c>
      <c r="D6026" s="13" t="inlineStr">
        <is>
          <t>5034084061</t>
        </is>
      </c>
      <c r="E6026" s="13" t="inlineStr">
        <is>
          <t>ЮЛ РФ</t>
        </is>
      </c>
      <c r="F6026" s="13" t="n"/>
      <c r="G6026" s="14" t="n"/>
      <c r="H6026" s="14" t="n"/>
      <c r="I6026" s="14" t="n"/>
      <c r="J6026" s="14" t="n"/>
      <c r="K6026" s="53" t="inlineStr"/>
      <c r="L6026" s="53" t="inlineStr">
        <is>
          <t>Не определено</t>
        </is>
      </c>
      <c r="M6026" s="53" t="inlineStr"/>
      <c r="N6026" s="54" t="inlineStr"/>
      <c r="O6026" s="55" t="inlineStr"/>
      <c r="P6026" s="16" t="inlineStr">
        <is>
          <t>Требует обогащения</t>
        </is>
      </c>
      <c r="Q6026" s="16">
        <f>HYPERLINK("https://pb.nalog.ru/search.html?query=5034084061","ФНС: проверить")</f>
        <v/>
      </c>
      <c r="R6026" s="16">
        <f>HYPERLINK("https://checko.ru/search?query=3801001629","Чекко: проверить")</f>
        <v/>
      </c>
      <c r="S6026" t="n">
        <v>1</v>
      </c>
      <c r="T6026" s="35" t="inlineStr">
        <is>
          <t>4 — Не обогащён</t>
        </is>
      </c>
      <c r="U6026" s="35" t="inlineStr">
        <is>
          <t>Нет ОКВЭД/ССЧР</t>
        </is>
      </c>
      <c r="V6026" s="35" t="inlineStr">
        <is>
          <t>Не определено</t>
        </is>
      </c>
      <c r="W6026" s="35" t="inlineStr"/>
      <c r="X6026" s="35" t="inlineStr"/>
    </row>
    <row r="6027" ht="15" customHeight="1" s="24">
      <c r="A6027" s="13" t="n">
        <v>5000067415</v>
      </c>
      <c r="B6027" s="13" t="inlineStr">
        <is>
          <t>МОУ лицей Орехово-Зуево</t>
        </is>
      </c>
      <c r="C6027" s="13" t="n">
        <v>5034083910</v>
      </c>
      <c r="D6027" s="13" t="inlineStr">
        <is>
          <t>5034083910</t>
        </is>
      </c>
      <c r="E6027" s="13" t="inlineStr">
        <is>
          <t>ЮЛ РФ</t>
        </is>
      </c>
      <c r="F6027" s="13" t="n"/>
      <c r="G6027" s="14" t="n"/>
      <c r="H6027" s="14" t="n"/>
      <c r="I6027" s="14" t="n"/>
      <c r="J6027" s="14" t="n"/>
      <c r="K6027" s="53" t="inlineStr"/>
      <c r="L6027" s="53" t="inlineStr">
        <is>
          <t>Не определено</t>
        </is>
      </c>
      <c r="M6027" s="53" t="inlineStr"/>
      <c r="N6027" s="54" t="inlineStr"/>
      <c r="O6027" s="55" t="inlineStr"/>
      <c r="P6027" s="16" t="inlineStr">
        <is>
          <t>Требует обогащения</t>
        </is>
      </c>
      <c r="Q6027" s="16">
        <f>HYPERLINK("https://pb.nalog.ru/search.html?query=5034083910","ФНС: проверить")</f>
        <v/>
      </c>
      <c r="R6027" s="16">
        <f>HYPERLINK("https://checko.ru/search?query=3801001629","Чекко: проверить")</f>
        <v/>
      </c>
      <c r="S6027" t="n">
        <v>1</v>
      </c>
      <c r="T6027" s="35" t="inlineStr">
        <is>
          <t>4 — Не обогащён</t>
        </is>
      </c>
      <c r="U6027" s="35" t="inlineStr">
        <is>
          <t>Нет ОКВЭД/ССЧР</t>
        </is>
      </c>
      <c r="V6027" s="35" t="inlineStr">
        <is>
          <t>Не определено</t>
        </is>
      </c>
      <c r="W6027" s="35" t="inlineStr"/>
      <c r="X6027" s="35" t="inlineStr"/>
    </row>
    <row r="6028" ht="15" customHeight="1" s="24">
      <c r="A6028" s="13" t="n">
        <v>5000067416</v>
      </c>
      <c r="B6028" s="13" t="inlineStr">
        <is>
          <t>МОУ Демиховский лицей</t>
        </is>
      </c>
      <c r="C6028" s="13" t="n">
        <v>5073087108</v>
      </c>
      <c r="D6028" s="13" t="inlineStr">
        <is>
          <t>5073087108</t>
        </is>
      </c>
      <c r="E6028" s="13" t="inlineStr">
        <is>
          <t>ЮЛ РФ</t>
        </is>
      </c>
      <c r="F6028" s="13" t="n"/>
      <c r="G6028" s="14" t="n"/>
      <c r="H6028" s="14" t="n"/>
      <c r="I6028" s="14" t="n"/>
      <c r="J6028" s="14" t="n"/>
      <c r="K6028" s="53" t="inlineStr"/>
      <c r="L6028" s="53" t="inlineStr">
        <is>
          <t>Не определено</t>
        </is>
      </c>
      <c r="M6028" s="53" t="inlineStr"/>
      <c r="N6028" s="54" t="inlineStr"/>
      <c r="O6028" s="55" t="inlineStr"/>
      <c r="P6028" s="16" t="inlineStr">
        <is>
          <t>Требует обогащения</t>
        </is>
      </c>
      <c r="Q6028" s="16">
        <f>HYPERLINK("https://pb.nalog.ru/search.html?query=5073087108","ФНС: проверить")</f>
        <v/>
      </c>
      <c r="R6028" s="16">
        <f>HYPERLINK("https://checko.ru/search?query=3801001629","Чекко: проверить")</f>
        <v/>
      </c>
      <c r="S6028" t="n">
        <v>1</v>
      </c>
      <c r="T6028" s="35" t="inlineStr">
        <is>
          <t>4 — Не обогащён</t>
        </is>
      </c>
      <c r="U6028" s="35" t="inlineStr">
        <is>
          <t>Нет ОКВЭД/ССЧР</t>
        </is>
      </c>
      <c r="V6028" s="35" t="inlineStr">
        <is>
          <t>Не определено</t>
        </is>
      </c>
      <c r="W6028" s="35" t="inlineStr"/>
      <c r="X6028" s="35" t="inlineStr"/>
    </row>
    <row r="6029" ht="41.25" customHeight="1" s="24">
      <c r="A6029" s="13" t="n">
        <v>5000067417</v>
      </c>
      <c r="B6029" s="13" t="inlineStr">
        <is>
          <t>Муниципальное общеобразовательное учреждение  средняя общеобразовательная школа № 10</t>
        </is>
      </c>
      <c r="C6029" s="13" t="n">
        <v>5034083950</v>
      </c>
      <c r="D6029" s="13" t="inlineStr">
        <is>
          <t>5034083950</t>
        </is>
      </c>
      <c r="E6029" s="13" t="inlineStr">
        <is>
          <t>ЮЛ РФ</t>
        </is>
      </c>
      <c r="F6029" s="13" t="n"/>
      <c r="G6029" s="14" t="n"/>
      <c r="H6029" s="14" t="n"/>
      <c r="I6029" s="14" t="n"/>
      <c r="J6029" s="14" t="n"/>
      <c r="K6029" s="53" t="inlineStr"/>
      <c r="L6029" s="53" t="inlineStr">
        <is>
          <t>Не определено</t>
        </is>
      </c>
      <c r="M6029" s="53" t="inlineStr"/>
      <c r="N6029" s="54" t="inlineStr"/>
      <c r="O6029" s="55" t="inlineStr"/>
      <c r="P6029" s="16" t="inlineStr">
        <is>
          <t>Требует обогащения</t>
        </is>
      </c>
      <c r="Q6029" s="16">
        <f>HYPERLINK("https://pb.nalog.ru/search.html?query=5034083950","ФНС: проверить")</f>
        <v/>
      </c>
      <c r="R6029" s="16">
        <f>HYPERLINK("https://checko.ru/search?query=3801001629","Чекко: проверить")</f>
        <v/>
      </c>
      <c r="S6029" t="n">
        <v>1</v>
      </c>
      <c r="T6029" s="35" t="inlineStr">
        <is>
          <t>4 — Не обогащён</t>
        </is>
      </c>
      <c r="U6029" s="35" t="inlineStr">
        <is>
          <t>Нет ОКВЭД/ССЧР</t>
        </is>
      </c>
      <c r="V6029" s="35" t="inlineStr">
        <is>
          <t>Не определено</t>
        </is>
      </c>
      <c r="W6029" s="35" t="inlineStr"/>
      <c r="X6029" s="35" t="inlineStr"/>
    </row>
    <row r="6030" ht="54.75" customHeight="1" s="24">
      <c r="A6030" s="13" t="n">
        <v>5000067419</v>
      </c>
      <c r="B6030" s="13" t="inlineStr">
        <is>
          <t>Муниципальное общеобразовательное учреждение  средняя общеобразовательная школа № 12 с углубленным изучением отдельных предметов</t>
        </is>
      </c>
      <c r="C6030" s="13" t="n">
        <v>5034083999</v>
      </c>
      <c r="D6030" s="13" t="inlineStr">
        <is>
          <t>5034083999</t>
        </is>
      </c>
      <c r="E6030" s="13" t="inlineStr">
        <is>
          <t>ЮЛ РФ</t>
        </is>
      </c>
      <c r="F6030" s="13" t="n"/>
      <c r="G6030" s="14" t="n"/>
      <c r="H6030" s="14" t="n"/>
      <c r="I6030" s="14" t="n"/>
      <c r="J6030" s="14" t="n"/>
      <c r="K6030" s="53" t="inlineStr"/>
      <c r="L6030" s="53" t="inlineStr">
        <is>
          <t>Не определено</t>
        </is>
      </c>
      <c r="M6030" s="53" t="inlineStr"/>
      <c r="N6030" s="54" t="inlineStr"/>
      <c r="O6030" s="55" t="inlineStr"/>
      <c r="P6030" s="16" t="inlineStr">
        <is>
          <t>Требует обогащения</t>
        </is>
      </c>
      <c r="Q6030" s="16">
        <f>HYPERLINK("https://pb.nalog.ru/search.html?query=5034083999","ФНС: проверить")</f>
        <v/>
      </c>
      <c r="R6030" s="16">
        <f>HYPERLINK("https://checko.ru/search?query=3801001629","Чекко: проверить")</f>
        <v/>
      </c>
      <c r="S6030" t="n">
        <v>1</v>
      </c>
      <c r="T6030" s="35" t="inlineStr">
        <is>
          <t>4 — Не обогащён</t>
        </is>
      </c>
      <c r="U6030" s="35" t="inlineStr">
        <is>
          <t>Нет ОКВЭД/ССЧР</t>
        </is>
      </c>
      <c r="V6030" s="35" t="inlineStr">
        <is>
          <t>Не определено</t>
        </is>
      </c>
      <c r="W6030" s="35" t="inlineStr"/>
      <c r="X6030" s="35" t="inlineStr"/>
    </row>
    <row r="6031" ht="27.75" customHeight="1" s="24">
      <c r="A6031" s="13" t="n">
        <v>5000067420</v>
      </c>
      <c r="B6031" s="13" t="inlineStr">
        <is>
          <t>Муниципальное общеобразовательное учреждение гимназия № 14</t>
        </is>
      </c>
      <c r="C6031" s="13" t="n">
        <v>5034083935</v>
      </c>
      <c r="D6031" s="13" t="inlineStr">
        <is>
          <t>5034083935</t>
        </is>
      </c>
      <c r="E6031" s="13" t="inlineStr">
        <is>
          <t>ЮЛ РФ</t>
        </is>
      </c>
      <c r="F6031" s="13" t="n"/>
      <c r="G6031" s="14" t="n"/>
      <c r="H6031" s="14" t="n"/>
      <c r="I6031" s="14" t="n"/>
      <c r="J6031" s="14" t="n"/>
      <c r="K6031" s="53" t="inlineStr"/>
      <c r="L6031" s="53" t="inlineStr">
        <is>
          <t>Не определено</t>
        </is>
      </c>
      <c r="M6031" s="53" t="inlineStr"/>
      <c r="N6031" s="54" t="inlineStr"/>
      <c r="O6031" s="55" t="inlineStr"/>
      <c r="P6031" s="16" t="inlineStr">
        <is>
          <t>Требует обогащения</t>
        </is>
      </c>
      <c r="Q6031" s="16">
        <f>HYPERLINK("https://pb.nalog.ru/search.html?query=5034083935","ФНС: проверить")</f>
        <v/>
      </c>
      <c r="R6031" s="16">
        <f>HYPERLINK("https://checko.ru/search?query=3801001629","Чекко: проверить")</f>
        <v/>
      </c>
      <c r="S6031" t="n">
        <v>1</v>
      </c>
      <c r="T6031" s="35" t="inlineStr">
        <is>
          <t>4 — Не обогащён</t>
        </is>
      </c>
      <c r="U6031" s="35" t="inlineStr">
        <is>
          <t>Нет ОКВЭД/ССЧР</t>
        </is>
      </c>
      <c r="V6031" s="35" t="inlineStr">
        <is>
          <t>Не определено</t>
        </is>
      </c>
      <c r="W6031" s="35" t="inlineStr"/>
      <c r="X6031" s="35" t="inlineStr"/>
    </row>
    <row r="6032" ht="27.75" customHeight="1" s="24">
      <c r="A6032" s="13" t="n">
        <v>5000067421</v>
      </c>
      <c r="B6032" s="13" t="inlineStr">
        <is>
          <t>Муниципальное общеобразовательное учреждение гимназия № 15</t>
        </is>
      </c>
      <c r="C6032" s="13" t="n">
        <v>5034083830</v>
      </c>
      <c r="D6032" s="13" t="inlineStr">
        <is>
          <t>5034083830</t>
        </is>
      </c>
      <c r="E6032" s="13" t="inlineStr">
        <is>
          <t>ЮЛ РФ</t>
        </is>
      </c>
      <c r="F6032" s="13" t="n"/>
      <c r="G6032" s="14" t="n"/>
      <c r="H6032" s="14" t="n"/>
      <c r="I6032" s="14" t="n"/>
      <c r="J6032" s="14" t="n"/>
      <c r="K6032" s="53" t="inlineStr"/>
      <c r="L6032" s="53" t="inlineStr">
        <is>
          <t>Не определено</t>
        </is>
      </c>
      <c r="M6032" s="53" t="inlineStr"/>
      <c r="N6032" s="54" t="inlineStr"/>
      <c r="O6032" s="55" t="inlineStr"/>
      <c r="P6032" s="16" t="inlineStr">
        <is>
          <t>Требует обогащения</t>
        </is>
      </c>
      <c r="Q6032" s="16">
        <f>HYPERLINK("https://pb.nalog.ru/search.html?query=5034083830","ФНС: проверить")</f>
        <v/>
      </c>
      <c r="R6032" s="16">
        <f>HYPERLINK("https://checko.ru/search?query=3801001629","Чекко: проверить")</f>
        <v/>
      </c>
      <c r="S6032" t="n">
        <v>1</v>
      </c>
      <c r="T6032" s="35" t="inlineStr">
        <is>
          <t>4 — Не обогащён</t>
        </is>
      </c>
      <c r="U6032" s="35" t="inlineStr">
        <is>
          <t>Нет ОКВЭД/ССЧР</t>
        </is>
      </c>
      <c r="V6032" s="35" t="inlineStr">
        <is>
          <t>Не определено</t>
        </is>
      </c>
      <c r="W6032" s="35" t="inlineStr"/>
      <c r="X6032" s="35" t="inlineStr"/>
    </row>
    <row r="6033" ht="41.25" customHeight="1" s="24">
      <c r="A6033" s="13" t="n">
        <v>5000067422</v>
      </c>
      <c r="B6033" s="13" t="inlineStr">
        <is>
          <t>Муниципальное общеобразовательное учреждение  средняя общеобразовательная школа № 16</t>
        </is>
      </c>
      <c r="C6033" s="13" t="n">
        <v>5034083967</v>
      </c>
      <c r="D6033" s="13" t="inlineStr">
        <is>
          <t>5034083967</t>
        </is>
      </c>
      <c r="E6033" s="13" t="inlineStr">
        <is>
          <t>ЮЛ РФ</t>
        </is>
      </c>
      <c r="F6033" s="13" t="n"/>
      <c r="G6033" s="14" t="n"/>
      <c r="H6033" s="14" t="n"/>
      <c r="I6033" s="14" t="n"/>
      <c r="J6033" s="14" t="n"/>
      <c r="K6033" s="53" t="inlineStr"/>
      <c r="L6033" s="53" t="inlineStr">
        <is>
          <t>Не определено</t>
        </is>
      </c>
      <c r="M6033" s="53" t="inlineStr"/>
      <c r="N6033" s="54" t="inlineStr"/>
      <c r="O6033" s="55" t="inlineStr"/>
      <c r="P6033" s="16" t="inlineStr">
        <is>
          <t>Требует обогащения</t>
        </is>
      </c>
      <c r="Q6033" s="16">
        <f>HYPERLINK("https://pb.nalog.ru/search.html?query=5034083967","ФНС: проверить")</f>
        <v/>
      </c>
      <c r="R6033" s="16">
        <f>HYPERLINK("https://checko.ru/search?query=3801001629","Чекко: проверить")</f>
        <v/>
      </c>
      <c r="S6033" t="n">
        <v>1</v>
      </c>
      <c r="T6033" s="35" t="inlineStr">
        <is>
          <t>4 — Не обогащён</t>
        </is>
      </c>
      <c r="U6033" s="35" t="inlineStr">
        <is>
          <t>Нет ОКВЭД/ССЧР</t>
        </is>
      </c>
      <c r="V6033" s="35" t="inlineStr">
        <is>
          <t>Не определено</t>
        </is>
      </c>
      <c r="W6033" s="35" t="inlineStr"/>
      <c r="X6033" s="35" t="inlineStr"/>
    </row>
    <row r="6034" ht="41.25" customHeight="1" s="24">
      <c r="A6034" s="13" t="n">
        <v>5000067423</v>
      </c>
      <c r="B6034" s="13" t="inlineStr">
        <is>
          <t>Муниципальное общеобразовательное учреждение  средняя общеобразовательная школа № 17</t>
        </is>
      </c>
      <c r="C6034" s="13" t="n">
        <v>5034084745</v>
      </c>
      <c r="D6034" s="13" t="inlineStr">
        <is>
          <t>5034084745</t>
        </is>
      </c>
      <c r="E6034" s="13" t="inlineStr">
        <is>
          <t>ЮЛ РФ</t>
        </is>
      </c>
      <c r="F6034" s="13" t="n"/>
      <c r="G6034" s="14" t="n"/>
      <c r="H6034" s="14" t="n"/>
      <c r="I6034" s="14" t="n"/>
      <c r="J6034" s="14" t="n"/>
      <c r="K6034" s="53" t="inlineStr"/>
      <c r="L6034" s="53" t="inlineStr">
        <is>
          <t>Не определено</t>
        </is>
      </c>
      <c r="M6034" s="53" t="inlineStr"/>
      <c r="N6034" s="54" t="inlineStr"/>
      <c r="O6034" s="55" t="inlineStr"/>
      <c r="P6034" s="16" t="inlineStr">
        <is>
          <t>Требует обогащения</t>
        </is>
      </c>
      <c r="Q6034" s="16">
        <f>HYPERLINK("https://pb.nalog.ru/search.html?query=5034084745","ФНС: проверить")</f>
        <v/>
      </c>
      <c r="R6034" s="16">
        <f>HYPERLINK("https://checko.ru/search?query=3801001629","Чекко: проверить")</f>
        <v/>
      </c>
      <c r="S6034" t="n">
        <v>1</v>
      </c>
      <c r="T6034" s="35" t="inlineStr">
        <is>
          <t>4 — Не обогащён</t>
        </is>
      </c>
      <c r="U6034" s="35" t="inlineStr">
        <is>
          <t>Нет ОКВЭД/ССЧР</t>
        </is>
      </c>
      <c r="V6034" s="35" t="inlineStr">
        <is>
          <t>Не определено</t>
        </is>
      </c>
      <c r="W6034" s="35" t="inlineStr"/>
      <c r="X6034" s="35" t="inlineStr"/>
    </row>
    <row r="6035" ht="41.25" customHeight="1" s="24">
      <c r="A6035" s="13" t="n">
        <v>5000067426</v>
      </c>
      <c r="B6035" s="13" t="inlineStr">
        <is>
          <t>Муниципальное общеобразовательное учреждение  средняя общеобразовательная школа № 20 имени Н.З. Бирюкова</t>
        </is>
      </c>
      <c r="C6035" s="13" t="n">
        <v>5034083861</v>
      </c>
      <c r="D6035" s="13" t="inlineStr">
        <is>
          <t>5034083861</t>
        </is>
      </c>
      <c r="E6035" s="13" t="inlineStr">
        <is>
          <t>ЮЛ РФ</t>
        </is>
      </c>
      <c r="F6035" s="13" t="n"/>
      <c r="G6035" s="14" t="n"/>
      <c r="H6035" s="14" t="n"/>
      <c r="I6035" s="14" t="n"/>
      <c r="J6035" s="14" t="n"/>
      <c r="K6035" s="53" t="inlineStr"/>
      <c r="L6035" s="53" t="inlineStr">
        <is>
          <t>Не определено</t>
        </is>
      </c>
      <c r="M6035" s="53" t="inlineStr"/>
      <c r="N6035" s="54" t="inlineStr"/>
      <c r="O6035" s="55" t="inlineStr"/>
      <c r="P6035" s="16" t="inlineStr">
        <is>
          <t>Требует обогащения</t>
        </is>
      </c>
      <c r="Q6035" s="16">
        <f>HYPERLINK("https://pb.nalog.ru/search.html?query=5034083861","ФНС: проверить")</f>
        <v/>
      </c>
      <c r="R6035" s="16">
        <f>HYPERLINK("https://checko.ru/search?query=3801001629","Чекко: проверить")</f>
        <v/>
      </c>
      <c r="S6035" t="n">
        <v>1</v>
      </c>
      <c r="T6035" s="35" t="inlineStr">
        <is>
          <t>4 — Не обогащён</t>
        </is>
      </c>
      <c r="U6035" s="35" t="inlineStr">
        <is>
          <t>Нет ОКВЭД/ССЧР</t>
        </is>
      </c>
      <c r="V6035" s="35" t="inlineStr">
        <is>
          <t>Не определено</t>
        </is>
      </c>
      <c r="W6035" s="35" t="inlineStr"/>
      <c r="X6035" s="35" t="inlineStr"/>
    </row>
    <row r="6036" ht="27.75" customHeight="1" s="24">
      <c r="A6036" s="13" t="n">
        <v>5000067431</v>
      </c>
      <c r="B6036" s="13" t="inlineStr">
        <is>
          <t>Муниципальное учреждение дополнительного образования  центр детского творчества «Родник»</t>
        </is>
      </c>
      <c r="C6036" s="13" t="n">
        <v>5034083212</v>
      </c>
      <c r="D6036" s="13" t="inlineStr">
        <is>
          <t>5034083212</t>
        </is>
      </c>
      <c r="E6036" s="13" t="inlineStr">
        <is>
          <t>ЮЛ РФ</t>
        </is>
      </c>
      <c r="F6036" s="13" t="n"/>
      <c r="G6036" s="14" t="n"/>
      <c r="H6036" s="14" t="n"/>
      <c r="I6036" s="14" t="n"/>
      <c r="J6036" s="14" t="n"/>
      <c r="K6036" s="53" t="inlineStr"/>
      <c r="L6036" s="53" t="inlineStr">
        <is>
          <t>Не определено</t>
        </is>
      </c>
      <c r="M6036" s="53" t="inlineStr"/>
      <c r="N6036" s="54" t="inlineStr"/>
      <c r="O6036" s="55" t="inlineStr"/>
      <c r="P6036" s="16" t="inlineStr">
        <is>
          <t>Требует обогащения</t>
        </is>
      </c>
      <c r="Q6036" s="16">
        <f>HYPERLINK("https://pb.nalog.ru/search.html?query=5034083212","ФНС: проверить")</f>
        <v/>
      </c>
      <c r="R6036" s="16">
        <f>HYPERLINK("https://checko.ru/search?query=3801001629","Чекко: проверить")</f>
        <v/>
      </c>
      <c r="S6036" t="n">
        <v>1</v>
      </c>
      <c r="T6036" s="35" t="inlineStr">
        <is>
          <t>4 — Не обогащён</t>
        </is>
      </c>
      <c r="U6036" s="35" t="inlineStr">
        <is>
          <t>Нет ОКВЭД/ССЧР</t>
        </is>
      </c>
      <c r="V6036" s="35" t="inlineStr">
        <is>
          <t>Не определено</t>
        </is>
      </c>
      <c r="W6036" s="35" t="inlineStr"/>
      <c r="X6036" s="35" t="inlineStr"/>
    </row>
    <row r="6037" ht="27.75" customHeight="1" s="24">
      <c r="A6037" s="13" t="n">
        <v>5000067433</v>
      </c>
      <c r="B6037" s="13" t="inlineStr">
        <is>
          <t>МУДПО «Методический центр повышения квалификации педагогических работников»</t>
        </is>
      </c>
      <c r="C6037" s="13" t="n">
        <v>5034003626</v>
      </c>
      <c r="D6037" s="13" t="inlineStr">
        <is>
          <t>5034003626</t>
        </is>
      </c>
      <c r="E6037" s="13" t="inlineStr">
        <is>
          <t>ЮЛ РФ</t>
        </is>
      </c>
      <c r="F6037" s="13" t="n"/>
      <c r="G6037" s="14" t="n"/>
      <c r="H6037" s="14" t="n"/>
      <c r="I6037" s="14" t="n"/>
      <c r="J6037" s="14" t="n"/>
      <c r="K6037" s="53" t="inlineStr"/>
      <c r="L6037" s="53" t="inlineStr">
        <is>
          <t>Не определено</t>
        </is>
      </c>
      <c r="M6037" s="53" t="inlineStr"/>
      <c r="N6037" s="54" t="inlineStr"/>
      <c r="O6037" s="55" t="inlineStr"/>
      <c r="P6037" s="16" t="inlineStr">
        <is>
          <t>Требует обогащения</t>
        </is>
      </c>
      <c r="Q6037" s="16">
        <f>HYPERLINK("https://pb.nalog.ru/search.html?query=5034003626","ФНС: проверить")</f>
        <v/>
      </c>
      <c r="R6037" s="16">
        <f>HYPERLINK("https://checko.ru/search?query=3801001629","Чекко: проверить")</f>
        <v/>
      </c>
      <c r="S6037" t="n">
        <v>1</v>
      </c>
      <c r="T6037" s="35" t="inlineStr">
        <is>
          <t>4 — Не обогащён</t>
        </is>
      </c>
      <c r="U6037" s="35" t="inlineStr">
        <is>
          <t>Нет ОКВЭД/ССЧР</t>
        </is>
      </c>
      <c r="V6037" s="35" t="inlineStr">
        <is>
          <t>Не определено</t>
        </is>
      </c>
      <c r="W6037" s="35" t="inlineStr"/>
      <c r="X6037" s="35" t="inlineStr"/>
    </row>
    <row r="6038" ht="41.25" customHeight="1" s="24">
      <c r="A6038" s="13" t="n">
        <v>5000067435</v>
      </c>
      <c r="B6038" s="13" t="inlineStr">
        <is>
          <t>Муниципальное учреждение дополнительного образования "Демиховская детская школа искусств"</t>
        </is>
      </c>
      <c r="C6038" s="13" t="n">
        <v>5073005225</v>
      </c>
      <c r="D6038" s="13" t="inlineStr">
        <is>
          <t>5073005225</t>
        </is>
      </c>
      <c r="E6038" s="13" t="inlineStr">
        <is>
          <t>ЮЛ РФ</t>
        </is>
      </c>
      <c r="F6038" s="13" t="n"/>
      <c r="G6038" s="14" t="n"/>
      <c r="H6038" s="14" t="n"/>
      <c r="I6038" s="14" t="n"/>
      <c r="J6038" s="14" t="n"/>
      <c r="K6038" s="53" t="inlineStr"/>
      <c r="L6038" s="53" t="inlineStr">
        <is>
          <t>Не определено</t>
        </is>
      </c>
      <c r="M6038" s="53" t="inlineStr"/>
      <c r="N6038" s="54" t="inlineStr"/>
      <c r="O6038" s="55" t="inlineStr"/>
      <c r="P6038" s="16" t="inlineStr">
        <is>
          <t>Требует обогащения</t>
        </is>
      </c>
      <c r="Q6038" s="16">
        <f>HYPERLINK("https://pb.nalog.ru/search.html?query=5073005225","ФНС: проверить")</f>
        <v/>
      </c>
      <c r="R6038" s="16">
        <f>HYPERLINK("https://checko.ru/search?query=3801001629","Чекко: проверить")</f>
        <v/>
      </c>
      <c r="S6038" t="n">
        <v>1</v>
      </c>
      <c r="T6038" s="35" t="inlineStr">
        <is>
          <t>4 — Не обогащён</t>
        </is>
      </c>
      <c r="U6038" s="35" t="inlineStr">
        <is>
          <t>Нет ОКВЭД/ССЧР</t>
        </is>
      </c>
      <c r="V6038" s="35" t="inlineStr">
        <is>
          <t>Не определено</t>
        </is>
      </c>
      <c r="W6038" s="35" t="inlineStr"/>
      <c r="X6038" s="35" t="inlineStr"/>
    </row>
    <row r="6039" ht="41.25" customHeight="1" s="24">
      <c r="A6039" s="13" t="n">
        <v>5000067436</v>
      </c>
      <c r="B6039" s="13" t="inlineStr">
        <is>
          <t>Муниципальное учреждение культуры "Орехово-Зуевская городская централизованная библиотечная система"</t>
        </is>
      </c>
      <c r="C6039" s="13" t="n">
        <v>5034088041</v>
      </c>
      <c r="D6039" s="13" t="inlineStr">
        <is>
          <t>5034088041</t>
        </is>
      </c>
      <c r="E6039" s="13" t="inlineStr">
        <is>
          <t>ЮЛ РФ</t>
        </is>
      </c>
      <c r="F6039" s="13" t="n"/>
      <c r="G6039" s="14" t="n"/>
      <c r="H6039" s="14" t="n"/>
      <c r="I6039" s="14" t="n"/>
      <c r="J6039" s="14" t="n"/>
      <c r="K6039" s="53" t="inlineStr"/>
      <c r="L6039" s="53" t="inlineStr">
        <is>
          <t>Не определено</t>
        </is>
      </c>
      <c r="M6039" s="53" t="inlineStr"/>
      <c r="N6039" s="54" t="inlineStr"/>
      <c r="O6039" s="55" t="inlineStr"/>
      <c r="P6039" s="16" t="inlineStr">
        <is>
          <t>Требует обогащения</t>
        </is>
      </c>
      <c r="Q6039" s="16">
        <f>HYPERLINK("https://pb.nalog.ru/search.html?query=5034088041","ФНС: проверить")</f>
        <v/>
      </c>
      <c r="R6039" s="16">
        <f>HYPERLINK("https://checko.ru/search?query=3801001629","Чекко: проверить")</f>
        <v/>
      </c>
      <c r="S6039" t="n">
        <v>1</v>
      </c>
      <c r="T6039" s="35" t="inlineStr">
        <is>
          <t>4 — Не обогащён</t>
        </is>
      </c>
      <c r="U6039" s="35" t="inlineStr">
        <is>
          <t>Нет ОКВЭД/ССЧР</t>
        </is>
      </c>
      <c r="V6039" s="35" t="inlineStr">
        <is>
          <t>Не определено</t>
        </is>
      </c>
      <c r="W6039" s="35" t="inlineStr"/>
      <c r="X6039" s="35" t="inlineStr"/>
    </row>
    <row r="6040" ht="27.75" customHeight="1" s="24">
      <c r="A6040" s="13" t="n">
        <v>5000116606</v>
      </c>
      <c r="B6040" s="13" t="inlineStr">
        <is>
          <t>СОВЕТ ДЕПУТАТОВ ГОРОДСКОГО ОКРУГА СОЛНЕЧНОГОРСК</t>
        </is>
      </c>
      <c r="C6040" s="13" t="n">
        <v>5044115400</v>
      </c>
      <c r="D6040" s="13" t="inlineStr">
        <is>
          <t>5044115400</t>
        </is>
      </c>
      <c r="E6040" s="13" t="inlineStr">
        <is>
          <t>ЮЛ РФ</t>
        </is>
      </c>
      <c r="F6040" s="13" t="n"/>
      <c r="G6040" s="14" t="n"/>
      <c r="H6040" s="14" t="n"/>
      <c r="I6040" s="14" t="n"/>
      <c r="J6040" s="14" t="n"/>
      <c r="K6040" s="53" t="inlineStr"/>
      <c r="L6040" s="53" t="inlineStr">
        <is>
          <t>Не определено</t>
        </is>
      </c>
      <c r="M6040" s="53" t="inlineStr"/>
      <c r="N6040" s="54" t="inlineStr"/>
      <c r="O6040" s="55" t="inlineStr"/>
      <c r="P6040" s="16" t="inlineStr">
        <is>
          <t>Требует обогащения</t>
        </is>
      </c>
      <c r="Q6040" s="16">
        <f>HYPERLINK("https://pb.nalog.ru/search.html?query=5044115400","ФНС: проверить")</f>
        <v/>
      </c>
      <c r="R6040" s="16">
        <f>HYPERLINK("https://checko.ru/search?query=3801001629","Чекко: проверить")</f>
        <v/>
      </c>
      <c r="S6040" t="n">
        <v>1</v>
      </c>
      <c r="T6040" s="35" t="inlineStr">
        <is>
          <t>4 — Не обогащён</t>
        </is>
      </c>
      <c r="U6040" s="35" t="inlineStr">
        <is>
          <t>Нет ОКВЭД/ССЧР</t>
        </is>
      </c>
      <c r="V6040" s="35" t="inlineStr">
        <is>
          <t>Не определено</t>
        </is>
      </c>
      <c r="W6040" s="35" t="inlineStr"/>
      <c r="X6040" s="35" t="inlineStr"/>
    </row>
    <row r="6041" ht="15" customHeight="1" s="24">
      <c r="A6041" s="13" t="n">
        <v>5000081607</v>
      </c>
      <c r="B6041" s="13" t="inlineStr">
        <is>
          <t>МБОУ ГИМНАЗИЯ № 25 Г. ИРКУТСКА</t>
        </is>
      </c>
      <c r="C6041" s="13" t="n">
        <v>3811052750</v>
      </c>
      <c r="D6041" s="13" t="inlineStr">
        <is>
          <t>3811052750</t>
        </is>
      </c>
      <c r="E6041" s="13" t="inlineStr">
        <is>
          <t>ЮЛ РФ</t>
        </is>
      </c>
      <c r="F6041" s="13" t="n"/>
      <c r="G6041" s="14" t="n"/>
      <c r="H6041" s="14" t="n"/>
      <c r="I6041" s="14" t="n"/>
      <c r="J6041" s="14" t="n"/>
      <c r="K6041" s="53" t="inlineStr"/>
      <c r="L6041" s="53" t="inlineStr">
        <is>
          <t>Не определено</t>
        </is>
      </c>
      <c r="M6041" s="53" t="inlineStr"/>
      <c r="N6041" s="54" t="inlineStr"/>
      <c r="O6041" s="55" t="inlineStr"/>
      <c r="P6041" s="16" t="inlineStr">
        <is>
          <t>Требует обогащения</t>
        </is>
      </c>
      <c r="Q6041" s="16">
        <f>HYPERLINK("https://pb.nalog.ru/search.html?query=3811052750","ФНС: проверить")</f>
        <v/>
      </c>
      <c r="R6041" s="16">
        <f>HYPERLINK("https://checko.ru/search?query=3801001629","Чекко: проверить")</f>
        <v/>
      </c>
      <c r="S6041" t="n">
        <v>1</v>
      </c>
      <c r="T6041" s="35" t="inlineStr">
        <is>
          <t>4 — Не обогащён</t>
        </is>
      </c>
      <c r="U6041" s="35" t="inlineStr">
        <is>
          <t>Нет ОКВЭД/ССЧР</t>
        </is>
      </c>
      <c r="V6041" s="35" t="inlineStr">
        <is>
          <t>Не определено</t>
        </is>
      </c>
      <c r="W6041" s="35" t="inlineStr"/>
      <c r="X6041" s="35" t="inlineStr"/>
    </row>
    <row r="6042" ht="15" customHeight="1" s="24">
      <c r="A6042" s="13" t="n">
        <v>5000020950</v>
      </c>
      <c r="B6042" s="13" t="inlineStr">
        <is>
          <t>МБОУ ЛИЦЕЙ № 1 ИМ. А. БЛОКА</t>
        </is>
      </c>
      <c r="C6042" s="13" t="n">
        <v>5044019336</v>
      </c>
      <c r="D6042" s="13" t="inlineStr">
        <is>
          <t>5044019336</t>
        </is>
      </c>
      <c r="E6042" s="13" t="inlineStr">
        <is>
          <t>ЮЛ РФ</t>
        </is>
      </c>
      <c r="F6042" s="13" t="n"/>
      <c r="G6042" s="14" t="n"/>
      <c r="H6042" s="14" t="n"/>
      <c r="I6042" s="14" t="n"/>
      <c r="J6042" s="14" t="n"/>
      <c r="K6042" s="53" t="inlineStr"/>
      <c r="L6042" s="53" t="inlineStr">
        <is>
          <t>Не определено</t>
        </is>
      </c>
      <c r="M6042" s="53" t="inlineStr"/>
      <c r="N6042" s="54" t="inlineStr"/>
      <c r="O6042" s="55" t="inlineStr"/>
      <c r="P6042" s="16" t="inlineStr">
        <is>
          <t>Требует обогащения</t>
        </is>
      </c>
      <c r="Q6042" s="16">
        <f>HYPERLINK("https://pb.nalog.ru/search.html?query=5044019336","ФНС: проверить")</f>
        <v/>
      </c>
      <c r="R6042" s="16">
        <f>HYPERLINK("https://checko.ru/search?query=3801001629","Чекко: проверить")</f>
        <v/>
      </c>
      <c r="S6042" t="n">
        <v>1</v>
      </c>
      <c r="T6042" s="35" t="inlineStr">
        <is>
          <t>4 — Не обогащён</t>
        </is>
      </c>
      <c r="U6042" s="35" t="inlineStr">
        <is>
          <t>Нет ОКВЭД/ССЧР</t>
        </is>
      </c>
      <c r="V6042" s="35" t="inlineStr">
        <is>
          <t>Не определено</t>
        </is>
      </c>
      <c r="W6042" s="35" t="inlineStr"/>
      <c r="X6042" s="35" t="inlineStr"/>
    </row>
    <row r="6043" ht="15" customHeight="1" s="24">
      <c r="A6043" s="13" t="n">
        <v>5000120544</v>
      </c>
      <c r="B6043" s="13" t="inlineStr">
        <is>
          <t>ГОУ НПО "ПУ №3"</t>
        </is>
      </c>
      <c r="C6043" s="13" t="n">
        <v>7523002319</v>
      </c>
      <c r="D6043" s="13" t="inlineStr">
        <is>
          <t>7523002319</t>
        </is>
      </c>
      <c r="E6043" s="13" t="inlineStr">
        <is>
          <t>ЮЛ РФ</t>
        </is>
      </c>
      <c r="F6043" s="13" t="n"/>
      <c r="G6043" s="14" t="n"/>
      <c r="H6043" s="14" t="n"/>
      <c r="I6043" s="14" t="n"/>
      <c r="J6043" s="14" t="n"/>
      <c r="K6043" s="53" t="inlineStr"/>
      <c r="L6043" s="53" t="inlineStr">
        <is>
          <t>Не определено</t>
        </is>
      </c>
      <c r="M6043" s="53" t="inlineStr"/>
      <c r="N6043" s="54" t="inlineStr"/>
      <c r="O6043" s="55" t="inlineStr"/>
      <c r="P6043" s="16" t="inlineStr">
        <is>
          <t>Требует обогащения</t>
        </is>
      </c>
      <c r="Q6043" s="16">
        <f>HYPERLINK("https://pb.nalog.ru/search.html?query=7523002319","ФНС: проверить")</f>
        <v/>
      </c>
      <c r="R6043" s="16">
        <f>HYPERLINK("https://checko.ru/search?query=3801001629","Чекко: проверить")</f>
        <v/>
      </c>
      <c r="S6043" t="n">
        <v>1</v>
      </c>
      <c r="T6043" s="35" t="inlineStr">
        <is>
          <t>4 — Не обогащён</t>
        </is>
      </c>
      <c r="U6043" s="35" t="inlineStr">
        <is>
          <t>Нет ОКВЭД/ССЧР</t>
        </is>
      </c>
      <c r="V6043" s="35" t="inlineStr">
        <is>
          <t>Не определено</t>
        </is>
      </c>
      <c r="W6043" s="35" t="inlineStr"/>
      <c r="X6043" s="35" t="inlineStr"/>
    </row>
    <row r="6044" ht="27.75" customHeight="1" s="24">
      <c r="A6044" s="13" t="n">
        <v>5000086101</v>
      </c>
      <c r="B6044" s="13" t="inlineStr">
        <is>
          <t>МБУ ДО ГОРОДА ИРКУТСКА ЦЕНТР ДЕТСКОГО ТВОРЧЕСТВА</t>
        </is>
      </c>
      <c r="C6044" s="13" t="n">
        <v>3811015765</v>
      </c>
      <c r="D6044" s="13" t="inlineStr">
        <is>
          <t>3811015765</t>
        </is>
      </c>
      <c r="E6044" s="13" t="inlineStr">
        <is>
          <t>ЮЛ РФ</t>
        </is>
      </c>
      <c r="F6044" s="13" t="n"/>
      <c r="G6044" s="14" t="n"/>
      <c r="H6044" s="14" t="n"/>
      <c r="I6044" s="14" t="n"/>
      <c r="J6044" s="14" t="n"/>
      <c r="K6044" s="53" t="inlineStr"/>
      <c r="L6044" s="53" t="inlineStr">
        <is>
          <t>Не определено</t>
        </is>
      </c>
      <c r="M6044" s="53" t="inlineStr"/>
      <c r="N6044" s="54" t="inlineStr"/>
      <c r="O6044" s="55" t="inlineStr"/>
      <c r="P6044" s="16" t="inlineStr">
        <is>
          <t>Требует обогащения</t>
        </is>
      </c>
      <c r="Q6044" s="16">
        <f>HYPERLINK("https://pb.nalog.ru/search.html?query=3811015765","ФНС: проверить")</f>
        <v/>
      </c>
      <c r="R6044" s="16">
        <f>HYPERLINK("https://checko.ru/search?query=3801001629","Чекко: проверить")</f>
        <v/>
      </c>
      <c r="S6044" t="n">
        <v>1</v>
      </c>
      <c r="T6044" s="35" t="inlineStr">
        <is>
          <t>4 — Не обогащён</t>
        </is>
      </c>
      <c r="U6044" s="35" t="inlineStr">
        <is>
          <t>Нет ОКВЭД/ССЧР</t>
        </is>
      </c>
      <c r="V6044" s="35" t="inlineStr">
        <is>
          <t>Не определено</t>
        </is>
      </c>
      <c r="W6044" s="35" t="inlineStr"/>
      <c r="X6044" s="35" t="inlineStr"/>
    </row>
    <row r="6045" ht="27.75" customHeight="1" s="24">
      <c r="A6045" s="13" t="n">
        <v>5000081612</v>
      </c>
      <c r="B6045" s="13" t="inlineStr">
        <is>
          <t>МБОУ города Иркутска средняя общеобразовательная школа №26</t>
        </is>
      </c>
      <c r="C6045" s="13" t="n">
        <v>3811056391</v>
      </c>
      <c r="D6045" s="13" t="inlineStr">
        <is>
          <t>3811056391</t>
        </is>
      </c>
      <c r="E6045" s="13" t="inlineStr">
        <is>
          <t>ЮЛ РФ</t>
        </is>
      </c>
      <c r="F6045" s="13" t="n"/>
      <c r="G6045" s="14" t="n"/>
      <c r="H6045" s="14" t="n"/>
      <c r="I6045" s="14" t="n"/>
      <c r="J6045" s="14" t="n"/>
      <c r="K6045" s="53" t="inlineStr"/>
      <c r="L6045" s="53" t="inlineStr">
        <is>
          <t>Не определено</t>
        </is>
      </c>
      <c r="M6045" s="53" t="inlineStr"/>
      <c r="N6045" s="54" t="inlineStr"/>
      <c r="O6045" s="55" t="inlineStr"/>
      <c r="P6045" s="16" t="inlineStr">
        <is>
          <t>Требует обогащения</t>
        </is>
      </c>
      <c r="Q6045" s="16">
        <f>HYPERLINK("https://pb.nalog.ru/search.html?query=3811056391","ФНС: проверить")</f>
        <v/>
      </c>
      <c r="R6045" s="16">
        <f>HYPERLINK("https://checko.ru/search?query=3801001629","Чекко: проверить")</f>
        <v/>
      </c>
      <c r="S6045" t="n">
        <v>1</v>
      </c>
      <c r="T6045" s="35" t="inlineStr">
        <is>
          <t>4 — Не обогащён</t>
        </is>
      </c>
      <c r="U6045" s="35" t="inlineStr">
        <is>
          <t>Нет ОКВЭД/ССЧР</t>
        </is>
      </c>
      <c r="V6045" s="35" t="inlineStr">
        <is>
          <t>Не определено</t>
        </is>
      </c>
      <c r="W6045" s="35" t="inlineStr"/>
      <c r="X6045" s="35" t="inlineStr"/>
    </row>
    <row r="6046" ht="27.75" customHeight="1" s="24">
      <c r="A6046" s="13" t="n">
        <v>5000116417</v>
      </c>
      <c r="B6046" s="13" t="inlineStr">
        <is>
          <t>КУИ АДМИНИСТРАЦИИ ОРЕХОВО-ЗУЕВСКОГО ГОРОДСКОГО ОКРУГА МОСКОВСКОЙ ОБЛАСТИ</t>
        </is>
      </c>
      <c r="C6046" s="13" t="n">
        <v>5034082515</v>
      </c>
      <c r="D6046" s="13" t="inlineStr">
        <is>
          <t>5034082515</t>
        </is>
      </c>
      <c r="E6046" s="13" t="inlineStr">
        <is>
          <t>ЮЛ РФ</t>
        </is>
      </c>
      <c r="F6046" s="13" t="n"/>
      <c r="G6046" s="14" t="n"/>
      <c r="H6046" s="14" t="n"/>
      <c r="I6046" s="14" t="n"/>
      <c r="J6046" s="14" t="n"/>
      <c r="K6046" s="53" t="inlineStr"/>
      <c r="L6046" s="53" t="inlineStr">
        <is>
          <t>Не определено</t>
        </is>
      </c>
      <c r="M6046" s="53" t="inlineStr"/>
      <c r="N6046" s="54" t="inlineStr"/>
      <c r="O6046" s="55" t="inlineStr"/>
      <c r="P6046" s="16" t="inlineStr">
        <is>
          <t>Требует обогащения</t>
        </is>
      </c>
      <c r="Q6046" s="16">
        <f>HYPERLINK("https://pb.nalog.ru/search.html?query=5034082515","ФНС: проверить")</f>
        <v/>
      </c>
      <c r="R6046" s="16">
        <f>HYPERLINK("https://checko.ru/search?query=3801001629","Чекко: проверить")</f>
        <v/>
      </c>
      <c r="S6046" t="n">
        <v>1</v>
      </c>
      <c r="T6046" s="35" t="inlineStr">
        <is>
          <t>4 — Не обогащён</t>
        </is>
      </c>
      <c r="U6046" s="35" t="inlineStr">
        <is>
          <t>Нет ОКВЭД/ССЧР</t>
        </is>
      </c>
      <c r="V6046" s="35" t="inlineStr">
        <is>
          <t>Не определено</t>
        </is>
      </c>
      <c r="W6046" s="35" t="inlineStr"/>
      <c r="X6046" s="35" t="inlineStr"/>
    </row>
    <row r="6047" ht="15" customHeight="1" s="24">
      <c r="A6047" s="13" t="n">
        <v>5000020951</v>
      </c>
      <c r="B6047" s="13" t="inlineStr">
        <is>
          <t>МБОУ ЛИЦЕЙ № 7</t>
        </is>
      </c>
      <c r="C6047" s="13" t="n">
        <v>5044019311</v>
      </c>
      <c r="D6047" s="13" t="inlineStr">
        <is>
          <t>5044019311</t>
        </is>
      </c>
      <c r="E6047" s="13" t="inlineStr">
        <is>
          <t>ЮЛ РФ</t>
        </is>
      </c>
      <c r="F6047" s="13" t="n"/>
      <c r="G6047" s="14" t="n"/>
      <c r="H6047" s="14" t="n"/>
      <c r="I6047" s="14" t="n"/>
      <c r="J6047" s="14" t="n"/>
      <c r="K6047" s="53" t="inlineStr"/>
      <c r="L6047" s="53" t="inlineStr">
        <is>
          <t>Не определено</t>
        </is>
      </c>
      <c r="M6047" s="53" t="inlineStr"/>
      <c r="N6047" s="54" t="inlineStr"/>
      <c r="O6047" s="55" t="inlineStr"/>
      <c r="P6047" s="16" t="inlineStr">
        <is>
          <t>Требует обогащения</t>
        </is>
      </c>
      <c r="Q6047" s="16">
        <f>HYPERLINK("https://pb.nalog.ru/search.html?query=5044019311","ФНС: проверить")</f>
        <v/>
      </c>
      <c r="R6047" s="16">
        <f>HYPERLINK("https://checko.ru/search?query=3801001629","Чекко: проверить")</f>
        <v/>
      </c>
      <c r="S6047" t="n">
        <v>1</v>
      </c>
      <c r="T6047" s="35" t="inlineStr">
        <is>
          <t>4 — Не обогащён</t>
        </is>
      </c>
      <c r="U6047" s="35" t="inlineStr">
        <is>
          <t>Нет ОКВЭД/ССЧР</t>
        </is>
      </c>
      <c r="V6047" s="35" t="inlineStr">
        <is>
          <t>Не определено</t>
        </is>
      </c>
      <c r="W6047" s="35" t="inlineStr"/>
      <c r="X6047" s="35" t="inlineStr"/>
    </row>
    <row r="6048" ht="15" customHeight="1" s="24">
      <c r="A6048" s="13" t="n">
        <v>5000020952</v>
      </c>
      <c r="B6048" s="13" t="inlineStr">
        <is>
          <t>МБОУ ЛИЦЕЙ № 8</t>
        </is>
      </c>
      <c r="C6048" s="13" t="n">
        <v>5044019350</v>
      </c>
      <c r="D6048" s="13" t="inlineStr">
        <is>
          <t>5044019350</t>
        </is>
      </c>
      <c r="E6048" s="13" t="inlineStr">
        <is>
          <t>ЮЛ РФ</t>
        </is>
      </c>
      <c r="F6048" s="13" t="n"/>
      <c r="G6048" s="14" t="n"/>
      <c r="H6048" s="14" t="n"/>
      <c r="I6048" s="14" t="n"/>
      <c r="J6048" s="14" t="n"/>
      <c r="K6048" s="53" t="inlineStr"/>
      <c r="L6048" s="53" t="inlineStr">
        <is>
          <t>Не определено</t>
        </is>
      </c>
      <c r="M6048" s="53" t="inlineStr"/>
      <c r="N6048" s="54" t="inlineStr"/>
      <c r="O6048" s="55" t="inlineStr"/>
      <c r="P6048" s="16" t="inlineStr">
        <is>
          <t>Требует обогащения</t>
        </is>
      </c>
      <c r="Q6048" s="16">
        <f>HYPERLINK("https://pb.nalog.ru/search.html?query=5044019350","ФНС: проверить")</f>
        <v/>
      </c>
      <c r="R6048" s="16">
        <f>HYPERLINK("https://checko.ru/search?query=3801001629","Чекко: проверить")</f>
        <v/>
      </c>
      <c r="S6048" t="n">
        <v>1</v>
      </c>
      <c r="T6048" s="35" t="inlineStr">
        <is>
          <t>4 — Не обогащён</t>
        </is>
      </c>
      <c r="U6048" s="35" t="inlineStr">
        <is>
          <t>Нет ОКВЭД/ССЧР</t>
        </is>
      </c>
      <c r="V6048" s="35" t="inlineStr">
        <is>
          <t>Не определено</t>
        </is>
      </c>
      <c r="W6048" s="35" t="inlineStr"/>
      <c r="X6048" s="35" t="inlineStr"/>
    </row>
    <row r="6049" ht="54.75" customHeight="1" s="24">
      <c r="A6049" s="13" t="n">
        <v>5000020947</v>
      </c>
      <c r="B6049" s="13" t="inlineStr">
        <is>
          <t>МБОУ «БЕРСЕНЕВСКАЯ ОБЩЕОБРАЗОВАТЕЛЬНАЯ ШКОЛА-ИНТЕРНАТ ДЛЯ ДЕТЕЙ С ОГРАНИЧЕННЫМИ ВОЗМОЖНОСТЯМИ ЗДОРОВЬЯ»</t>
        </is>
      </c>
      <c r="C6049" s="13" t="n">
        <v>5044019512</v>
      </c>
      <c r="D6049" s="13" t="inlineStr">
        <is>
          <t>5044019512</t>
        </is>
      </c>
      <c r="E6049" s="13" t="inlineStr">
        <is>
          <t>ЮЛ РФ</t>
        </is>
      </c>
      <c r="F6049" s="13" t="n"/>
      <c r="G6049" s="14" t="n"/>
      <c r="H6049" s="14" t="n"/>
      <c r="I6049" s="14" t="n"/>
      <c r="J6049" s="14" t="n"/>
      <c r="K6049" s="53" t="inlineStr"/>
      <c r="L6049" s="53" t="inlineStr">
        <is>
          <t>Не определено</t>
        </is>
      </c>
      <c r="M6049" s="53" t="inlineStr"/>
      <c r="N6049" s="54" t="inlineStr"/>
      <c r="O6049" s="55" t="inlineStr"/>
      <c r="P6049" s="16" t="inlineStr">
        <is>
          <t>Требует обогащения</t>
        </is>
      </c>
      <c r="Q6049" s="16">
        <f>HYPERLINK("https://pb.nalog.ru/search.html?query=5044019512","ФНС: проверить")</f>
        <v/>
      </c>
      <c r="R6049" s="16">
        <f>HYPERLINK("https://checko.ru/search?query=3801001629","Чекко: проверить")</f>
        <v/>
      </c>
      <c r="S6049" t="n">
        <v>1</v>
      </c>
      <c r="T6049" s="35" t="inlineStr">
        <is>
          <t>4 — Не обогащён</t>
        </is>
      </c>
      <c r="U6049" s="35" t="inlineStr">
        <is>
          <t>Нет ОКВЭД/ССЧР</t>
        </is>
      </c>
      <c r="V6049" s="35" t="inlineStr">
        <is>
          <t>Не определено</t>
        </is>
      </c>
      <c r="W6049" s="35" t="inlineStr"/>
      <c r="X6049" s="35" t="inlineStr"/>
    </row>
    <row r="6050" ht="15" customHeight="1" s="24">
      <c r="A6050" s="13" t="n">
        <v>5000020948</v>
      </c>
      <c r="B6050" s="13" t="inlineStr">
        <is>
          <t>МБОУ ГИМНАЗИЯ № 6</t>
        </is>
      </c>
      <c r="C6050" s="13" t="n">
        <v>5044019382</v>
      </c>
      <c r="D6050" s="13" t="inlineStr">
        <is>
          <t>5044019382</t>
        </is>
      </c>
      <c r="E6050" s="13" t="inlineStr">
        <is>
          <t>ЮЛ РФ</t>
        </is>
      </c>
      <c r="F6050" s="13" t="n"/>
      <c r="G6050" s="14" t="n"/>
      <c r="H6050" s="14" t="n"/>
      <c r="I6050" s="14" t="n"/>
      <c r="J6050" s="14" t="n"/>
      <c r="K6050" s="53" t="inlineStr"/>
      <c r="L6050" s="53" t="inlineStr">
        <is>
          <t>Не определено</t>
        </is>
      </c>
      <c r="M6050" s="53" t="inlineStr"/>
      <c r="N6050" s="54" t="inlineStr"/>
      <c r="O6050" s="55" t="inlineStr"/>
      <c r="P6050" s="16" t="inlineStr">
        <is>
          <t>Требует обогащения</t>
        </is>
      </c>
      <c r="Q6050" s="16">
        <f>HYPERLINK("https://pb.nalog.ru/search.html?query=5044019382","ФНС: проверить")</f>
        <v/>
      </c>
      <c r="R6050" s="16">
        <f>HYPERLINK("https://checko.ru/search?query=3801001629","Чекко: проверить")</f>
        <v/>
      </c>
      <c r="S6050" t="n">
        <v>1</v>
      </c>
      <c r="T6050" s="35" t="inlineStr">
        <is>
          <t>4 — Не обогащён</t>
        </is>
      </c>
      <c r="U6050" s="35" t="inlineStr">
        <is>
          <t>Нет ОКВЭД/ССЧР</t>
        </is>
      </c>
      <c r="V6050" s="35" t="inlineStr">
        <is>
          <t>Не определено</t>
        </is>
      </c>
      <c r="W6050" s="35" t="inlineStr"/>
      <c r="X6050" s="35" t="inlineStr"/>
    </row>
    <row r="6051" ht="54.75" customHeight="1" s="24">
      <c r="A6051" s="13" t="n">
        <v>5000020940</v>
      </c>
      <c r="B6051" s="13" t="inlineStr">
        <is>
          <t>МБОУ ДЛЯ ДЕТЕЙ, НУЖДАЮЩИХСЯ В ПСИХОЛОГО-ПЕДАГОГИЧЕСКОЙ И МЕДИКО-СОЦИАЛЬНОЙ ПОМОЩИ «ЦЕНТР ПСИХОЛОГО-МЕДИКО-СОЦИАЛЬНОГО СОПРОВОЖДЕНИЯ»</t>
        </is>
      </c>
      <c r="C6051" s="13" t="n">
        <v>5044025330</v>
      </c>
      <c r="D6051" s="13" t="inlineStr">
        <is>
          <t>5044025330</t>
        </is>
      </c>
      <c r="E6051" s="13" t="inlineStr">
        <is>
          <t>ЮЛ РФ</t>
        </is>
      </c>
      <c r="F6051" s="13" t="n"/>
      <c r="G6051" s="14" t="n"/>
      <c r="H6051" s="14" t="n"/>
      <c r="I6051" s="14" t="n"/>
      <c r="J6051" s="14" t="n"/>
      <c r="K6051" s="53" t="inlineStr"/>
      <c r="L6051" s="53" t="inlineStr">
        <is>
          <t>Не определено</t>
        </is>
      </c>
      <c r="M6051" s="53" t="inlineStr"/>
      <c r="N6051" s="54" t="inlineStr"/>
      <c r="O6051" s="55" t="inlineStr"/>
      <c r="P6051" s="16" t="inlineStr">
        <is>
          <t>Требует обогащения</t>
        </is>
      </c>
      <c r="Q6051" s="16">
        <f>HYPERLINK("https://pb.nalog.ru/search.html?query=5044025330","ФНС: проверить")</f>
        <v/>
      </c>
      <c r="R6051" s="16">
        <f>HYPERLINK("https://checko.ru/search?query=3801001629","Чекко: проверить")</f>
        <v/>
      </c>
      <c r="S6051" t="n">
        <v>1</v>
      </c>
      <c r="T6051" s="35" t="inlineStr">
        <is>
          <t>4 — Не обогащён</t>
        </is>
      </c>
      <c r="U6051" s="35" t="inlineStr">
        <is>
          <t>Нет ОКВЭД/ССЧР</t>
        </is>
      </c>
      <c r="V6051" s="35" t="inlineStr">
        <is>
          <t>Не определено</t>
        </is>
      </c>
      <c r="W6051" s="35" t="inlineStr"/>
      <c r="X6051" s="35" t="inlineStr"/>
    </row>
    <row r="6052" ht="27.75" customHeight="1" s="24">
      <c r="A6052" s="13" t="n">
        <v>5000020983</v>
      </c>
      <c r="B6052" s="13" t="inlineStr">
        <is>
          <t>Администрация Солнечногорского муниципального района Московской области</t>
        </is>
      </c>
      <c r="C6052" s="13" t="n">
        <v>5044013302</v>
      </c>
      <c r="D6052" s="13" t="inlineStr">
        <is>
          <t>5044013302</t>
        </is>
      </c>
      <c r="E6052" s="13" t="inlineStr">
        <is>
          <t>ЮЛ РФ</t>
        </is>
      </c>
      <c r="F6052" s="13" t="n"/>
      <c r="G6052" s="14" t="n"/>
      <c r="H6052" s="14" t="n"/>
      <c r="I6052" s="14" t="n"/>
      <c r="J6052" s="14" t="n"/>
      <c r="K6052" s="53" t="inlineStr"/>
      <c r="L6052" s="53" t="inlineStr">
        <is>
          <t>Не определено</t>
        </is>
      </c>
      <c r="M6052" s="53" t="inlineStr"/>
      <c r="N6052" s="54" t="inlineStr"/>
      <c r="O6052" s="55" t="inlineStr"/>
      <c r="P6052" s="16" t="inlineStr">
        <is>
          <t>Требует обогащения</t>
        </is>
      </c>
      <c r="Q6052" s="16">
        <f>HYPERLINK("https://pb.nalog.ru/search.html?query=5044013302","ФНС: проверить")</f>
        <v/>
      </c>
      <c r="R6052" s="16">
        <f>HYPERLINK("https://checko.ru/search?query=3801001629","Чекко: проверить")</f>
        <v/>
      </c>
      <c r="S6052" t="n">
        <v>1</v>
      </c>
      <c r="T6052" s="35" t="inlineStr">
        <is>
          <t>4 — Не обогащён</t>
        </is>
      </c>
      <c r="U6052" s="35" t="inlineStr">
        <is>
          <t>Нет ОКВЭД/ССЧР</t>
        </is>
      </c>
      <c r="V6052" s="35" t="inlineStr">
        <is>
          <t>Не определено</t>
        </is>
      </c>
      <c r="W6052" s="35" t="inlineStr"/>
      <c r="X6052" s="35" t="inlineStr"/>
    </row>
    <row r="6053" ht="27.75" customHeight="1" s="24">
      <c r="A6053" s="13" t="n">
        <v>5000020941</v>
      </c>
      <c r="B6053" s="13" t="inlineStr">
        <is>
          <t>МАНУ ДО «ДОМ ДЕТСКОГО ТВОРЧЕСТВА «ЮНОСТЬ»</t>
        </is>
      </c>
      <c r="C6053" s="13" t="n">
        <v>5044019294</v>
      </c>
      <c r="D6053" s="13" t="inlineStr">
        <is>
          <t>5044019294</t>
        </is>
      </c>
      <c r="E6053" s="13" t="inlineStr">
        <is>
          <t>ЮЛ РФ</t>
        </is>
      </c>
      <c r="F6053" s="13" t="n"/>
      <c r="G6053" s="14" t="n"/>
      <c r="H6053" s="14" t="n"/>
      <c r="I6053" s="14" t="n"/>
      <c r="J6053" s="14" t="n"/>
      <c r="K6053" s="53" t="inlineStr"/>
      <c r="L6053" s="53" t="inlineStr">
        <is>
          <t>Не определено</t>
        </is>
      </c>
      <c r="M6053" s="53" t="inlineStr"/>
      <c r="N6053" s="54" t="inlineStr"/>
      <c r="O6053" s="55" t="inlineStr"/>
      <c r="P6053" s="16" t="inlineStr">
        <is>
          <t>Требует обогащения</t>
        </is>
      </c>
      <c r="Q6053" s="16">
        <f>HYPERLINK("https://pb.nalog.ru/search.html?query=5044019294","ФНС: проверить")</f>
        <v/>
      </c>
      <c r="R6053" s="16">
        <f>HYPERLINK("https://checko.ru/search?query=3801001629","Чекко: проверить")</f>
        <v/>
      </c>
      <c r="S6053" t="n">
        <v>1</v>
      </c>
      <c r="T6053" s="35" t="inlineStr">
        <is>
          <t>4 — Не обогащён</t>
        </is>
      </c>
      <c r="U6053" s="35" t="inlineStr">
        <is>
          <t>Нет ОКВЭД/ССЧР</t>
        </is>
      </c>
      <c r="V6053" s="35" t="inlineStr">
        <is>
          <t>Не определено</t>
        </is>
      </c>
      <c r="W6053" s="35" t="inlineStr"/>
      <c r="X6053" s="35" t="inlineStr"/>
    </row>
    <row r="6054" ht="15" customHeight="1" s="24">
      <c r="A6054" s="13" t="n">
        <v>5000020944</v>
      </c>
      <c r="B6054" s="13" t="inlineStr">
        <is>
          <t>МБУ ДО «ДОМ ДЕТСКОГО ТВОРЧЕСТВА «РИТМ»</t>
        </is>
      </c>
      <c r="C6054" s="13" t="n">
        <v>5044000840</v>
      </c>
      <c r="D6054" s="13" t="inlineStr">
        <is>
          <t>5044000840</t>
        </is>
      </c>
      <c r="E6054" s="13" t="inlineStr">
        <is>
          <t>ЮЛ РФ</t>
        </is>
      </c>
      <c r="F6054" s="13" t="n"/>
      <c r="G6054" s="14" t="n"/>
      <c r="H6054" s="14" t="n"/>
      <c r="I6054" s="14" t="n"/>
      <c r="J6054" s="14" t="n"/>
      <c r="K6054" s="53" t="inlineStr"/>
      <c r="L6054" s="53" t="inlineStr">
        <is>
          <t>Не определено</t>
        </is>
      </c>
      <c r="M6054" s="53" t="inlineStr"/>
      <c r="N6054" s="54" t="inlineStr"/>
      <c r="O6054" s="55" t="inlineStr"/>
      <c r="P6054" s="16" t="inlineStr">
        <is>
          <t>Требует обогащения</t>
        </is>
      </c>
      <c r="Q6054" s="16">
        <f>HYPERLINK("https://pb.nalog.ru/search.html?query=5044000840","ФНС: проверить")</f>
        <v/>
      </c>
      <c r="R6054" s="16">
        <f>HYPERLINK("https://checko.ru/search?query=3801001629","Чекко: проверить")</f>
        <v/>
      </c>
      <c r="S6054" t="n">
        <v>1</v>
      </c>
      <c r="T6054" s="35" t="inlineStr">
        <is>
          <t>4 — Не обогащён</t>
        </is>
      </c>
      <c r="U6054" s="35" t="inlineStr">
        <is>
          <t>Нет ОКВЭД/ССЧР</t>
        </is>
      </c>
      <c r="V6054" s="35" t="inlineStr">
        <is>
          <t>Не определено</t>
        </is>
      </c>
      <c r="W6054" s="35" t="inlineStr"/>
      <c r="X6054" s="35" t="inlineStr"/>
    </row>
    <row r="6055" ht="27.75" customHeight="1" s="24">
      <c r="A6055" s="13" t="n">
        <v>5000020945</v>
      </c>
      <c r="B6055" s="13" t="inlineStr">
        <is>
          <t>МБУ ДО «ДОМ ДЕТСКОГО ТВОРЧЕСТВА «БУРЕВЕСТНИК»</t>
        </is>
      </c>
      <c r="C6055" s="13" t="n">
        <v>5044019287</v>
      </c>
      <c r="D6055" s="13" t="inlineStr">
        <is>
          <t>5044019287</t>
        </is>
      </c>
      <c r="E6055" s="13" t="inlineStr">
        <is>
          <t>ЮЛ РФ</t>
        </is>
      </c>
      <c r="F6055" s="13" t="n"/>
      <c r="G6055" s="14" t="n"/>
      <c r="H6055" s="14" t="n"/>
      <c r="I6055" s="14" t="n"/>
      <c r="J6055" s="14" t="n"/>
      <c r="K6055" s="53" t="inlineStr"/>
      <c r="L6055" s="53" t="inlineStr">
        <is>
          <t>Не определено</t>
        </is>
      </c>
      <c r="M6055" s="53" t="inlineStr"/>
      <c r="N6055" s="54" t="inlineStr"/>
      <c r="O6055" s="55" t="inlineStr"/>
      <c r="P6055" s="16" t="inlineStr">
        <is>
          <t>Требует обогащения</t>
        </is>
      </c>
      <c r="Q6055" s="16">
        <f>HYPERLINK("https://pb.nalog.ru/search.html?query=5044019287","ФНС: проверить")</f>
        <v/>
      </c>
      <c r="R6055" s="16">
        <f>HYPERLINK("https://checko.ru/search?query=3801001629","Чекко: проверить")</f>
        <v/>
      </c>
      <c r="S6055" t="n">
        <v>1</v>
      </c>
      <c r="T6055" s="35" t="inlineStr">
        <is>
          <t>4 — Не обогащён</t>
        </is>
      </c>
      <c r="U6055" s="35" t="inlineStr">
        <is>
          <t>Нет ОКВЭД/ССЧР</t>
        </is>
      </c>
      <c r="V6055" s="35" t="inlineStr">
        <is>
          <t>Не определено</t>
        </is>
      </c>
      <c r="W6055" s="35" t="inlineStr"/>
      <c r="X6055" s="35" t="inlineStr"/>
    </row>
    <row r="6056" ht="27.75" customHeight="1" s="24">
      <c r="A6056" s="13" t="n">
        <v>5000020946</v>
      </c>
      <c r="B6056" s="13" t="inlineStr">
        <is>
          <t>МБОУ АНДРЕЕВСКАЯ СРЕДНЯЯ ОБЩЕОБРАЗОВАТЕЛЬНАЯ ШКОЛА</t>
        </is>
      </c>
      <c r="C6056" s="13" t="n">
        <v>5044019400</v>
      </c>
      <c r="D6056" s="13" t="inlineStr">
        <is>
          <t>5044019400</t>
        </is>
      </c>
      <c r="E6056" s="13" t="inlineStr">
        <is>
          <t>ЮЛ РФ</t>
        </is>
      </c>
      <c r="F6056" s="13" t="n"/>
      <c r="G6056" s="14" t="n"/>
      <c r="H6056" s="14" t="n"/>
      <c r="I6056" s="14" t="n"/>
      <c r="J6056" s="14" t="n"/>
      <c r="K6056" s="53" t="inlineStr"/>
      <c r="L6056" s="53" t="inlineStr">
        <is>
          <t>Не определено</t>
        </is>
      </c>
      <c r="M6056" s="53" t="inlineStr"/>
      <c r="N6056" s="54" t="inlineStr"/>
      <c r="O6056" s="55" t="inlineStr"/>
      <c r="P6056" s="16" t="inlineStr">
        <is>
          <t>Требует обогащения</t>
        </is>
      </c>
      <c r="Q6056" s="16">
        <f>HYPERLINK("https://pb.nalog.ru/search.html?query=5044019400","ФНС: проверить")</f>
        <v/>
      </c>
      <c r="R6056" s="16">
        <f>HYPERLINK("https://checko.ru/search?query=3801001629","Чекко: проверить")</f>
        <v/>
      </c>
      <c r="S6056" t="n">
        <v>1</v>
      </c>
      <c r="T6056" s="35" t="inlineStr">
        <is>
          <t>4 — Не обогащён</t>
        </is>
      </c>
      <c r="U6056" s="35" t="inlineStr">
        <is>
          <t>Нет ОКВЭД/ССЧР</t>
        </is>
      </c>
      <c r="V6056" s="35" t="inlineStr">
        <is>
          <t>Не определено</t>
        </is>
      </c>
      <c r="W6056" s="35" t="inlineStr"/>
      <c r="X6056" s="35" t="inlineStr"/>
    </row>
    <row r="6057" ht="27.75" customHeight="1" s="24">
      <c r="A6057" s="13" t="n">
        <v>5000020982</v>
      </c>
      <c r="B6057" s="13" t="inlineStr">
        <is>
          <t>Муниципальное учреждение "Молодежный центр "Подсолнух"</t>
        </is>
      </c>
      <c r="C6057" s="13" t="n">
        <v>5044043071</v>
      </c>
      <c r="D6057" s="13" t="inlineStr">
        <is>
          <t>5044043071</t>
        </is>
      </c>
      <c r="E6057" s="13" t="inlineStr">
        <is>
          <t>ЮЛ РФ</t>
        </is>
      </c>
      <c r="F6057" s="13" t="n"/>
      <c r="G6057" s="14" t="n"/>
      <c r="H6057" s="14" t="n"/>
      <c r="I6057" s="14" t="n"/>
      <c r="J6057" s="14" t="n"/>
      <c r="K6057" s="53" t="inlineStr"/>
      <c r="L6057" s="53" t="inlineStr">
        <is>
          <t>Не определено</t>
        </is>
      </c>
      <c r="M6057" s="53" t="inlineStr"/>
      <c r="N6057" s="54" t="inlineStr"/>
      <c r="O6057" s="55" t="inlineStr"/>
      <c r="P6057" s="16" t="inlineStr">
        <is>
          <t>Требует обогащения</t>
        </is>
      </c>
      <c r="Q6057" s="16">
        <f>HYPERLINK("https://pb.nalog.ru/search.html?query=5044043071","ФНС: проверить")</f>
        <v/>
      </c>
      <c r="R6057" s="16">
        <f>HYPERLINK("https://checko.ru/search?query=3801001629","Чекко: проверить")</f>
        <v/>
      </c>
      <c r="S6057" t="n">
        <v>1</v>
      </c>
      <c r="T6057" s="35" t="inlineStr">
        <is>
          <t>4 — Не обогащён</t>
        </is>
      </c>
      <c r="U6057" s="35" t="inlineStr">
        <is>
          <t>Нет ОКВЭД/ССЧР</t>
        </is>
      </c>
      <c r="V6057" s="35" t="inlineStr">
        <is>
          <t>Не определено</t>
        </is>
      </c>
      <c r="W6057" s="35" t="inlineStr"/>
      <c r="X6057" s="35" t="inlineStr"/>
    </row>
    <row r="6058" ht="15" customHeight="1" s="24">
      <c r="A6058" s="13" t="n">
        <v>5000020976</v>
      </c>
      <c r="B6058" s="13" t="inlineStr">
        <is>
          <t>МУК ДК "Выстрел"</t>
        </is>
      </c>
      <c r="C6058" s="13" t="n">
        <v>5044084335</v>
      </c>
      <c r="D6058" s="13" t="inlineStr">
        <is>
          <t>5044084335</t>
        </is>
      </c>
      <c r="E6058" s="13" t="inlineStr">
        <is>
          <t>ЮЛ РФ</t>
        </is>
      </c>
      <c r="F6058" s="13" t="n"/>
      <c r="G6058" s="14" t="n"/>
      <c r="H6058" s="14" t="n"/>
      <c r="I6058" s="14" t="n"/>
      <c r="J6058" s="14" t="n"/>
      <c r="K6058" s="53" t="inlineStr"/>
      <c r="L6058" s="53" t="inlineStr">
        <is>
          <t>Не определено</t>
        </is>
      </c>
      <c r="M6058" s="53" t="inlineStr"/>
      <c r="N6058" s="54" t="inlineStr"/>
      <c r="O6058" s="55" t="inlineStr"/>
      <c r="P6058" s="16" t="inlineStr">
        <is>
          <t>Требует обогащения</t>
        </is>
      </c>
      <c r="Q6058" s="16">
        <f>HYPERLINK("https://pb.nalog.ru/search.html?query=5044084335","ФНС: проверить")</f>
        <v/>
      </c>
      <c r="R6058" s="16">
        <f>HYPERLINK("https://checko.ru/search?query=3801001629","Чекко: проверить")</f>
        <v/>
      </c>
      <c r="S6058" t="n">
        <v>1</v>
      </c>
      <c r="T6058" s="35" t="inlineStr">
        <is>
          <t>4 — Не обогащён</t>
        </is>
      </c>
      <c r="U6058" s="35" t="inlineStr">
        <is>
          <t>Нет ОКВЭД/ССЧР</t>
        </is>
      </c>
      <c r="V6058" s="35" t="inlineStr">
        <is>
          <t>Не определено</t>
        </is>
      </c>
      <c r="W6058" s="35" t="inlineStr"/>
      <c r="X6058" s="35" t="inlineStr"/>
    </row>
    <row r="6059" ht="15" customHeight="1" s="24">
      <c r="A6059" s="13" t="n">
        <v>5000085872</v>
      </c>
      <c r="B6059" s="13" t="inlineStr">
        <is>
          <t>МБОУ города Иркутска лицей ИГУ</t>
        </is>
      </c>
      <c r="C6059" s="13" t="n">
        <v>3812083302</v>
      </c>
      <c r="D6059" s="13" t="inlineStr">
        <is>
          <t>3812083302</t>
        </is>
      </c>
      <c r="E6059" s="13" t="inlineStr">
        <is>
          <t>ЮЛ РФ</t>
        </is>
      </c>
      <c r="F6059" s="13" t="n"/>
      <c r="G6059" s="14" t="n"/>
      <c r="H6059" s="14" t="n"/>
      <c r="I6059" s="14" t="n"/>
      <c r="J6059" s="14" t="n"/>
      <c r="K6059" s="53" t="inlineStr"/>
      <c r="L6059" s="53" t="inlineStr">
        <is>
          <t>Не определено</t>
        </is>
      </c>
      <c r="M6059" s="53" t="inlineStr"/>
      <c r="N6059" s="54" t="inlineStr"/>
      <c r="O6059" s="55" t="inlineStr"/>
      <c r="P6059" s="16" t="inlineStr">
        <is>
          <t>Требует обогащения</t>
        </is>
      </c>
      <c r="Q6059" s="16">
        <f>HYPERLINK("https://pb.nalog.ru/search.html?query=3812083302","ФНС: проверить")</f>
        <v/>
      </c>
      <c r="R6059" s="16">
        <f>HYPERLINK("https://checko.ru/search?query=3801001629","Чекко: проверить")</f>
        <v/>
      </c>
      <c r="S6059" t="n">
        <v>1</v>
      </c>
      <c r="T6059" s="35" t="inlineStr">
        <is>
          <t>4 — Не обогащён</t>
        </is>
      </c>
      <c r="U6059" s="35" t="inlineStr">
        <is>
          <t>Нет ОКВЭД/ССЧР</t>
        </is>
      </c>
      <c r="V6059" s="35" t="inlineStr">
        <is>
          <t>Не определено</t>
        </is>
      </c>
      <c r="W6059" s="35" t="inlineStr"/>
      <c r="X6059" s="35" t="inlineStr"/>
    </row>
    <row r="6060" ht="15" customHeight="1" s="24">
      <c r="A6060" s="13" t="n">
        <v>5000048101</v>
      </c>
      <c r="B6060" s="13" t="inlineStr">
        <is>
          <t>МБДОУ ГОРОДА ИРКУТСКА ДЕТСКИЙ САД № 158</t>
        </is>
      </c>
      <c r="C6060" s="13" t="n">
        <v>3811054789</v>
      </c>
      <c r="D6060" s="13" t="inlineStr">
        <is>
          <t>3811054789</t>
        </is>
      </c>
      <c r="E6060" s="13" t="inlineStr">
        <is>
          <t>ЮЛ РФ</t>
        </is>
      </c>
      <c r="F6060" s="13" t="n"/>
      <c r="G6060" s="14" t="n"/>
      <c r="H6060" s="14" t="n"/>
      <c r="I6060" s="14" t="n"/>
      <c r="J6060" s="14" t="n"/>
      <c r="K6060" s="53" t="inlineStr"/>
      <c r="L6060" s="53" t="inlineStr">
        <is>
          <t>Не определено</t>
        </is>
      </c>
      <c r="M6060" s="53" t="inlineStr"/>
      <c r="N6060" s="54" t="inlineStr"/>
      <c r="O6060" s="55" t="inlineStr"/>
      <c r="P6060" s="16" t="inlineStr">
        <is>
          <t>Требует обогащения</t>
        </is>
      </c>
      <c r="Q6060" s="16">
        <f>HYPERLINK("https://pb.nalog.ru/search.html?query=3811054789","ФНС: проверить")</f>
        <v/>
      </c>
      <c r="R6060" s="16">
        <f>HYPERLINK("https://checko.ru/search?query=3801001629","Чекко: проверить")</f>
        <v/>
      </c>
      <c r="S6060" t="n">
        <v>1</v>
      </c>
      <c r="T6060" s="35" t="inlineStr">
        <is>
          <t>4 — Не обогащён</t>
        </is>
      </c>
      <c r="U6060" s="35" t="inlineStr">
        <is>
          <t>Нет ОКВЭД/ССЧР</t>
        </is>
      </c>
      <c r="V6060" s="35" t="inlineStr">
        <is>
          <t>Не определено</t>
        </is>
      </c>
      <c r="W6060" s="35" t="inlineStr"/>
      <c r="X6060" s="35" t="inlineStr"/>
    </row>
    <row r="6061" ht="27.75" customHeight="1" s="24">
      <c r="A6061" s="13" t="n">
        <v>5000085878</v>
      </c>
      <c r="B6061" s="13" t="inlineStr">
        <is>
          <t>МАОУ ДО Г. Иркутска СШ "Дворец Спорта "Юность"</t>
        </is>
      </c>
      <c r="C6061" s="13" t="n">
        <v>3808048129</v>
      </c>
      <c r="D6061" s="13" t="inlineStr">
        <is>
          <t>3808048129</t>
        </is>
      </c>
      <c r="E6061" s="13" t="inlineStr">
        <is>
          <t>ЮЛ РФ</t>
        </is>
      </c>
      <c r="F6061" s="13" t="n"/>
      <c r="G6061" s="14" t="n"/>
      <c r="H6061" s="14" t="n"/>
      <c r="I6061" s="14" t="n"/>
      <c r="J6061" s="14" t="n"/>
      <c r="K6061" s="53" t="inlineStr"/>
      <c r="L6061" s="53" t="inlineStr">
        <is>
          <t>Не определено</t>
        </is>
      </c>
      <c r="M6061" s="53" t="inlineStr"/>
      <c r="N6061" s="54" t="inlineStr"/>
      <c r="O6061" s="55" t="inlineStr"/>
      <c r="P6061" s="16" t="inlineStr">
        <is>
          <t>Требует обогащения</t>
        </is>
      </c>
      <c r="Q6061" s="16">
        <f>HYPERLINK("https://pb.nalog.ru/search.html?query=3808048129","ФНС: проверить")</f>
        <v/>
      </c>
      <c r="R6061" s="16">
        <f>HYPERLINK("https://checko.ru/search?query=3801001629","Чекко: проверить")</f>
        <v/>
      </c>
      <c r="S6061" t="n">
        <v>1</v>
      </c>
      <c r="T6061" s="35" t="inlineStr">
        <is>
          <t>4 — Не обогащён</t>
        </is>
      </c>
      <c r="U6061" s="35" t="inlineStr">
        <is>
          <t>Нет ОКВЭД/ССЧР</t>
        </is>
      </c>
      <c r="V6061" s="35" t="inlineStr">
        <is>
          <t>Не определено</t>
        </is>
      </c>
      <c r="W6061" s="35" t="inlineStr"/>
      <c r="X6061" s="35" t="inlineStr"/>
    </row>
    <row r="6062" ht="15" customHeight="1" s="24">
      <c r="A6062" s="13" t="n">
        <v>5000081553</v>
      </c>
      <c r="B6062" s="13" t="inlineStr">
        <is>
          <t>МАДОУ Г.ИРКУТСКА ДЕТСКИЙ САД №51</t>
        </is>
      </c>
      <c r="C6062" s="13" t="n">
        <v>3808049980</v>
      </c>
      <c r="D6062" s="13" t="inlineStr">
        <is>
          <t>3808049980</t>
        </is>
      </c>
      <c r="E6062" s="13" t="inlineStr">
        <is>
          <t>ЮЛ РФ</t>
        </is>
      </c>
      <c r="F6062" s="13" t="n"/>
      <c r="G6062" s="14" t="n"/>
      <c r="H6062" s="14" t="n"/>
      <c r="I6062" s="14" t="n"/>
      <c r="J6062" s="14" t="n"/>
      <c r="K6062" s="53" t="inlineStr"/>
      <c r="L6062" s="53" t="inlineStr">
        <is>
          <t>Не определено</t>
        </is>
      </c>
      <c r="M6062" s="53" t="inlineStr"/>
      <c r="N6062" s="54" t="inlineStr"/>
      <c r="O6062" s="55" t="inlineStr"/>
      <c r="P6062" s="16" t="inlineStr">
        <is>
          <t>Требует обогащения</t>
        </is>
      </c>
      <c r="Q6062" s="16">
        <f>HYPERLINK("https://pb.nalog.ru/search.html?query=3808049980","ФНС: проверить")</f>
        <v/>
      </c>
      <c r="R6062" s="16">
        <f>HYPERLINK("https://checko.ru/search?query=3801001629","Чекко: проверить")</f>
        <v/>
      </c>
      <c r="S6062" t="n">
        <v>1</v>
      </c>
      <c r="T6062" s="35" t="inlineStr">
        <is>
          <t>4 — Не обогащён</t>
        </is>
      </c>
      <c r="U6062" s="35" t="inlineStr">
        <is>
          <t>Нет ОКВЭД/ССЧР</t>
        </is>
      </c>
      <c r="V6062" s="35" t="inlineStr">
        <is>
          <t>Не определено</t>
        </is>
      </c>
      <c r="W6062" s="35" t="inlineStr"/>
      <c r="X6062" s="35" t="inlineStr"/>
    </row>
    <row r="6063" ht="41.25" customHeight="1" s="24">
      <c r="A6063" s="13" t="n">
        <v>5000088346</v>
      </c>
      <c r="B6063" s="13" t="inlineStr">
        <is>
          <t>Краевое государственное казенное учреждение "Государственное юридическое бюро Камчатского края"</t>
        </is>
      </c>
      <c r="C6063" s="13" t="n">
        <v>4101155752</v>
      </c>
      <c r="D6063" s="13" t="inlineStr">
        <is>
          <t>4101155752</t>
        </is>
      </c>
      <c r="E6063" s="13" t="inlineStr">
        <is>
          <t>ЮЛ РФ</t>
        </is>
      </c>
      <c r="F6063" s="13" t="n"/>
      <c r="G6063" s="14" t="n"/>
      <c r="H6063" s="14" t="n"/>
      <c r="I6063" s="14" t="n"/>
      <c r="J6063" s="14" t="n"/>
      <c r="K6063" s="53" t="inlineStr"/>
      <c r="L6063" s="53" t="inlineStr">
        <is>
          <t>Не определено</t>
        </is>
      </c>
      <c r="M6063" s="53" t="inlineStr"/>
      <c r="N6063" s="54" t="inlineStr"/>
      <c r="O6063" s="55" t="inlineStr"/>
      <c r="P6063" s="16" t="inlineStr">
        <is>
          <t>Требует обогащения</t>
        </is>
      </c>
      <c r="Q6063" s="16">
        <f>HYPERLINK("https://pb.nalog.ru/search.html?query=4101155752","ФНС: проверить")</f>
        <v/>
      </c>
      <c r="R6063" s="16">
        <f>HYPERLINK("https://checko.ru/search?query=3801001629","Чекко: проверить")</f>
        <v/>
      </c>
      <c r="S6063" t="n">
        <v>1</v>
      </c>
      <c r="T6063" s="35" t="inlineStr">
        <is>
          <t>4 — Не обогащён</t>
        </is>
      </c>
      <c r="U6063" s="35" t="inlineStr">
        <is>
          <t>Нет ОКВЭД/ССЧР</t>
        </is>
      </c>
      <c r="V6063" s="35" t="inlineStr">
        <is>
          <t>Не определено</t>
        </is>
      </c>
      <c r="W6063" s="35" t="inlineStr"/>
      <c r="X6063" s="35" t="inlineStr"/>
    </row>
    <row r="6064" ht="15" customHeight="1" s="24">
      <c r="A6064" s="13" t="n">
        <v>5000085877</v>
      </c>
      <c r="B6064" s="13" t="inlineStr">
        <is>
          <t>МБОУ г. Иркутска лицей № 2</t>
        </is>
      </c>
      <c r="C6064" s="13" t="n">
        <v>3809023198</v>
      </c>
      <c r="D6064" s="13" t="inlineStr">
        <is>
          <t>3809023198</t>
        </is>
      </c>
      <c r="E6064" s="13" t="inlineStr">
        <is>
          <t>ЮЛ РФ</t>
        </is>
      </c>
      <c r="F6064" s="13" t="n"/>
      <c r="G6064" s="14" t="n"/>
      <c r="H6064" s="14" t="n"/>
      <c r="I6064" s="14" t="n"/>
      <c r="J6064" s="14" t="n"/>
      <c r="K6064" s="53" t="inlineStr"/>
      <c r="L6064" s="53" t="inlineStr">
        <is>
          <t>Не определено</t>
        </is>
      </c>
      <c r="M6064" s="53" t="inlineStr"/>
      <c r="N6064" s="54" t="inlineStr"/>
      <c r="O6064" s="55" t="inlineStr"/>
      <c r="P6064" s="16" t="inlineStr">
        <is>
          <t>Требует обогащения</t>
        </is>
      </c>
      <c r="Q6064" s="16">
        <f>HYPERLINK("https://pb.nalog.ru/search.html?query=3809023198","ФНС: проверить")</f>
        <v/>
      </c>
      <c r="R6064" s="16">
        <f>HYPERLINK("https://checko.ru/search?query=3801001629","Чекко: проверить")</f>
        <v/>
      </c>
      <c r="S6064" t="n">
        <v>1</v>
      </c>
      <c r="T6064" s="35" t="inlineStr">
        <is>
          <t>4 — Не обогащён</t>
        </is>
      </c>
      <c r="U6064" s="35" t="inlineStr">
        <is>
          <t>Нет ОКВЭД/ССЧР</t>
        </is>
      </c>
      <c r="V6064" s="35" t="inlineStr">
        <is>
          <t>Не определено</t>
        </is>
      </c>
      <c r="W6064" s="35" t="inlineStr"/>
      <c r="X6064" s="35" t="inlineStr"/>
    </row>
    <row r="6065" ht="15" customHeight="1" s="24">
      <c r="A6065" s="13" t="n">
        <v>5000080640</v>
      </c>
      <c r="B6065" s="13" t="inlineStr">
        <is>
          <t>МБУК "Ильинский социальный культурный центр"</t>
        </is>
      </c>
      <c r="C6065" s="13" t="n">
        <v>5034043562</v>
      </c>
      <c r="D6065" s="13" t="inlineStr">
        <is>
          <t>5034043562</t>
        </is>
      </c>
      <c r="E6065" s="13" t="inlineStr">
        <is>
          <t>ЮЛ РФ</t>
        </is>
      </c>
      <c r="F6065" s="13" t="n"/>
      <c r="G6065" s="14" t="n"/>
      <c r="H6065" s="14" t="n"/>
      <c r="I6065" s="14" t="n"/>
      <c r="J6065" s="14" t="n"/>
      <c r="K6065" s="53" t="inlineStr"/>
      <c r="L6065" s="53" t="inlineStr">
        <is>
          <t>Не определено</t>
        </is>
      </c>
      <c r="M6065" s="53" t="inlineStr"/>
      <c r="N6065" s="54" t="inlineStr"/>
      <c r="O6065" s="55" t="inlineStr"/>
      <c r="P6065" s="16" t="inlineStr">
        <is>
          <t>Требует обогащения</t>
        </is>
      </c>
      <c r="Q6065" s="16">
        <f>HYPERLINK("https://pb.nalog.ru/search.html?query=5034043562","ФНС: проверить")</f>
        <v/>
      </c>
      <c r="R6065" s="16">
        <f>HYPERLINK("https://checko.ru/search?query=3801001629","Чекко: проверить")</f>
        <v/>
      </c>
      <c r="S6065" t="n">
        <v>1</v>
      </c>
      <c r="T6065" s="35" t="inlineStr">
        <is>
          <t>4 — Не обогащён</t>
        </is>
      </c>
      <c r="U6065" s="35" t="inlineStr">
        <is>
          <t>Нет ОКВЭД/ССЧР</t>
        </is>
      </c>
      <c r="V6065" s="35" t="inlineStr">
        <is>
          <t>Не определено</t>
        </is>
      </c>
      <c r="W6065" s="35" t="inlineStr"/>
      <c r="X6065" s="35" t="inlineStr"/>
    </row>
    <row r="6066" ht="15" customHeight="1" s="24">
      <c r="A6066" s="13" t="n">
        <v>5000116608</v>
      </c>
      <c r="B6066" s="13" t="inlineStr">
        <is>
          <t>МАОУ Радумльский лицей-интернат</t>
        </is>
      </c>
      <c r="C6066" s="13" t="n">
        <v>5044019230</v>
      </c>
      <c r="D6066" s="13" t="inlineStr">
        <is>
          <t>5044019230</t>
        </is>
      </c>
      <c r="E6066" s="13" t="inlineStr">
        <is>
          <t>ЮЛ РФ</t>
        </is>
      </c>
      <c r="F6066" s="13" t="n"/>
      <c r="G6066" s="14" t="n"/>
      <c r="H6066" s="14" t="n"/>
      <c r="I6066" s="14" t="n"/>
      <c r="J6066" s="14" t="n"/>
      <c r="K6066" s="53" t="inlineStr"/>
      <c r="L6066" s="53" t="inlineStr">
        <is>
          <t>Не определено</t>
        </is>
      </c>
      <c r="M6066" s="53" t="inlineStr"/>
      <c r="N6066" s="54" t="inlineStr"/>
      <c r="O6066" s="55" t="inlineStr"/>
      <c r="P6066" s="16" t="inlineStr">
        <is>
          <t>Требует обогащения</t>
        </is>
      </c>
      <c r="Q6066" s="16">
        <f>HYPERLINK("https://pb.nalog.ru/search.html?query=5044019230","ФНС: проверить")</f>
        <v/>
      </c>
      <c r="R6066" s="16">
        <f>HYPERLINK("https://checko.ru/search?query=3801001629","Чекко: проверить")</f>
        <v/>
      </c>
      <c r="S6066" t="n">
        <v>1</v>
      </c>
      <c r="T6066" s="35" t="inlineStr">
        <is>
          <t>4 — Не обогащён</t>
        </is>
      </c>
      <c r="U6066" s="35" t="inlineStr">
        <is>
          <t>Нет ОКВЭД/ССЧР</t>
        </is>
      </c>
      <c r="V6066" s="35" t="inlineStr">
        <is>
          <t>Не определено</t>
        </is>
      </c>
      <c r="W6066" s="35" t="inlineStr"/>
      <c r="X6066" s="35" t="inlineStr"/>
    </row>
    <row r="6067" ht="27.75" customHeight="1" s="24">
      <c r="A6067" s="13" t="n">
        <v>5000116607</v>
      </c>
      <c r="B6067" s="13" t="inlineStr">
        <is>
          <t>МБУ СОЛНЕЧНОГОРСКОГО МУНИЦИПАЛЬНОГО РАЙОНА "СПОРТИВНАЯ ШКОЛА № 1"</t>
        </is>
      </c>
      <c r="C6067" s="13" t="n">
        <v>5044037744</v>
      </c>
      <c r="D6067" s="13" t="inlineStr">
        <is>
          <t>5044037744</t>
        </is>
      </c>
      <c r="E6067" s="13" t="inlineStr">
        <is>
          <t>ЮЛ РФ</t>
        </is>
      </c>
      <c r="F6067" s="13" t="n"/>
      <c r="G6067" s="14" t="n"/>
      <c r="H6067" s="14" t="n"/>
      <c r="I6067" s="14" t="n"/>
      <c r="J6067" s="14" t="n"/>
      <c r="K6067" s="53" t="inlineStr"/>
      <c r="L6067" s="53" t="inlineStr">
        <is>
          <t>Не определено</t>
        </is>
      </c>
      <c r="M6067" s="53" t="inlineStr"/>
      <c r="N6067" s="54" t="inlineStr"/>
      <c r="O6067" s="55" t="inlineStr"/>
      <c r="P6067" s="16" t="inlineStr">
        <is>
          <t>Требует обогащения</t>
        </is>
      </c>
      <c r="Q6067" s="16">
        <f>HYPERLINK("https://pb.nalog.ru/search.html?query=5044037744","ФНС: проверить")</f>
        <v/>
      </c>
      <c r="R6067" s="16">
        <f>HYPERLINK("https://checko.ru/search?query=3801001629","Чекко: проверить")</f>
        <v/>
      </c>
      <c r="S6067" t="n">
        <v>1</v>
      </c>
      <c r="T6067" s="35" t="inlineStr">
        <is>
          <t>4 — Не обогащён</t>
        </is>
      </c>
      <c r="U6067" s="35" t="inlineStr">
        <is>
          <t>Нет ОКВЭД/ССЧР</t>
        </is>
      </c>
      <c r="V6067" s="35" t="inlineStr">
        <is>
          <t>Не определено</t>
        </is>
      </c>
      <c r="W6067" s="35" t="inlineStr"/>
      <c r="X6067" s="35" t="inlineStr"/>
    </row>
    <row r="6068" ht="27.75" customHeight="1" s="24">
      <c r="A6068" s="13" t="n">
        <v>5000020953</v>
      </c>
      <c r="B6068" s="13" t="inlineStr">
        <is>
          <t>МБОУ ЛОЖКОВСКАЯ СРЕДНЯЯ ОБЩЕОБРАЗОВАТЕЛЬНАЯ ШКОЛА</t>
        </is>
      </c>
      <c r="C6068" s="13" t="n">
        <v>5044019463</v>
      </c>
      <c r="D6068" s="13" t="inlineStr">
        <is>
          <t>5044019463</t>
        </is>
      </c>
      <c r="E6068" s="13" t="inlineStr">
        <is>
          <t>ЮЛ РФ</t>
        </is>
      </c>
      <c r="F6068" s="13" t="n"/>
      <c r="G6068" s="14" t="n"/>
      <c r="H6068" s="14" t="n"/>
      <c r="I6068" s="14" t="n"/>
      <c r="J6068" s="14" t="n"/>
      <c r="K6068" s="53" t="inlineStr"/>
      <c r="L6068" s="53" t="inlineStr">
        <is>
          <t>Не определено</t>
        </is>
      </c>
      <c r="M6068" s="53" t="inlineStr"/>
      <c r="N6068" s="54" t="inlineStr"/>
      <c r="O6068" s="55" t="inlineStr"/>
      <c r="P6068" s="16" t="inlineStr">
        <is>
          <t>Требует обогащения</t>
        </is>
      </c>
      <c r="Q6068" s="16">
        <f>HYPERLINK("https://pb.nalog.ru/search.html?query=5044019463","ФНС: проверить")</f>
        <v/>
      </c>
      <c r="R6068" s="16">
        <f>HYPERLINK("https://checko.ru/search?query=3801001629","Чекко: проверить")</f>
        <v/>
      </c>
      <c r="S6068" t="n">
        <v>1</v>
      </c>
      <c r="T6068" s="35" t="inlineStr">
        <is>
          <t>4 — Не обогащён</t>
        </is>
      </c>
      <c r="U6068" s="35" t="inlineStr">
        <is>
          <t>Нет ОКВЭД/ССЧР</t>
        </is>
      </c>
      <c r="V6068" s="35" t="inlineStr">
        <is>
          <t>Не определено</t>
        </is>
      </c>
      <c r="W6068" s="35" t="inlineStr"/>
      <c r="X6068" s="35" t="inlineStr"/>
    </row>
    <row r="6069" ht="15" customHeight="1" s="24">
      <c r="A6069" s="13" t="n">
        <v>5000067440</v>
      </c>
      <c r="B6069" s="13" t="inlineStr">
        <is>
          <t>ФК "Знамя труда"</t>
        </is>
      </c>
      <c r="C6069" s="13" t="n">
        <v>5034082554</v>
      </c>
      <c r="D6069" s="13" t="inlineStr">
        <is>
          <t>5034082554</t>
        </is>
      </c>
      <c r="E6069" s="13" t="inlineStr">
        <is>
          <t>ЮЛ РФ</t>
        </is>
      </c>
      <c r="F6069" s="13" t="n"/>
      <c r="G6069" s="14" t="n"/>
      <c r="H6069" s="14" t="n"/>
      <c r="I6069" s="14" t="n"/>
      <c r="J6069" s="14" t="n"/>
      <c r="K6069" s="53" t="inlineStr"/>
      <c r="L6069" s="53" t="inlineStr">
        <is>
          <t>Не определено</t>
        </is>
      </c>
      <c r="M6069" s="53" t="inlineStr"/>
      <c r="N6069" s="54" t="inlineStr"/>
      <c r="O6069" s="55" t="inlineStr"/>
      <c r="P6069" s="16" t="inlineStr">
        <is>
          <t>Требует обогащения</t>
        </is>
      </c>
      <c r="Q6069" s="16">
        <f>HYPERLINK("https://pb.nalog.ru/search.html?query=5034082554","ФНС: проверить")</f>
        <v/>
      </c>
      <c r="R6069" s="16">
        <f>HYPERLINK("https://checko.ru/search?query=3801001629","Чекко: проверить")</f>
        <v/>
      </c>
      <c r="S6069" t="n">
        <v>1</v>
      </c>
      <c r="T6069" s="35" t="inlineStr">
        <is>
          <t>4 — Не обогащён</t>
        </is>
      </c>
      <c r="U6069" s="35" t="inlineStr">
        <is>
          <t>Нет ОКВЭД/ССЧР</t>
        </is>
      </c>
      <c r="V6069" s="35" t="inlineStr">
        <is>
          <t>Не определено</t>
        </is>
      </c>
      <c r="W6069" s="35" t="inlineStr"/>
      <c r="X6069" s="35" t="inlineStr"/>
    </row>
    <row r="6070" ht="27.75" customHeight="1" s="24">
      <c r="A6070" s="13" t="n">
        <v>5000020984</v>
      </c>
      <c r="B6070" s="13" t="inlineStr">
        <is>
          <t>МКУ "Единая дежурно-диспетчерская служба Солнечногорского муниципального района"</t>
        </is>
      </c>
      <c r="C6070" s="13" t="n">
        <v>5044096806</v>
      </c>
      <c r="D6070" s="13" t="inlineStr">
        <is>
          <t>5044096806</t>
        </is>
      </c>
      <c r="E6070" s="13" t="inlineStr">
        <is>
          <t>ЮЛ РФ</t>
        </is>
      </c>
      <c r="F6070" s="13" t="n"/>
      <c r="G6070" s="14" t="n"/>
      <c r="H6070" s="14" t="n"/>
      <c r="I6070" s="14" t="n"/>
      <c r="J6070" s="14" t="n"/>
      <c r="K6070" s="53" t="inlineStr"/>
      <c r="L6070" s="53" t="inlineStr">
        <is>
          <t>Не определено</t>
        </is>
      </c>
      <c r="M6070" s="53" t="inlineStr"/>
      <c r="N6070" s="54" t="inlineStr"/>
      <c r="O6070" s="55" t="inlineStr"/>
      <c r="P6070" s="16" t="inlineStr">
        <is>
          <t>Требует обогащения</t>
        </is>
      </c>
      <c r="Q6070" s="16">
        <f>HYPERLINK("https://pb.nalog.ru/search.html?query=5044096806","ФНС: проверить")</f>
        <v/>
      </c>
      <c r="R6070" s="16">
        <f>HYPERLINK("https://checko.ru/search?query=3801001629","Чекко: проверить")</f>
        <v/>
      </c>
      <c r="S6070" t="n">
        <v>1</v>
      </c>
      <c r="T6070" s="35" t="inlineStr">
        <is>
          <t>4 — Не обогащён</t>
        </is>
      </c>
      <c r="U6070" s="35" t="inlineStr">
        <is>
          <t>Нет ОКВЭД/ССЧР</t>
        </is>
      </c>
      <c r="V6070" s="35" t="inlineStr">
        <is>
          <t>Не определено</t>
        </is>
      </c>
      <c r="W6070" s="35" t="inlineStr"/>
      <c r="X6070" s="35" t="inlineStr"/>
    </row>
    <row r="6071" ht="27.75" customHeight="1" s="24">
      <c r="A6071" s="13" t="n">
        <v>5000020955</v>
      </c>
      <c r="B6071" s="13" t="inlineStr">
        <is>
          <t>МБОУ МЕНДЕЛЕЕВСКАЯ СРЕДНЯЯ ОБЩЕОБРАЗОВАТЕЛЬНАЯ ШКОЛА</t>
        </is>
      </c>
      <c r="C6071" s="13" t="n">
        <v>5044019431</v>
      </c>
      <c r="D6071" s="13" t="inlineStr">
        <is>
          <t>5044019431</t>
        </is>
      </c>
      <c r="E6071" s="13" t="inlineStr">
        <is>
          <t>ЮЛ РФ</t>
        </is>
      </c>
      <c r="F6071" s="13" t="n"/>
      <c r="G6071" s="14" t="n"/>
      <c r="H6071" s="14" t="n"/>
      <c r="I6071" s="14" t="n"/>
      <c r="J6071" s="14" t="n"/>
      <c r="K6071" s="53" t="inlineStr"/>
      <c r="L6071" s="53" t="inlineStr">
        <is>
          <t>Не определено</t>
        </is>
      </c>
      <c r="M6071" s="53" t="inlineStr"/>
      <c r="N6071" s="54" t="inlineStr"/>
      <c r="O6071" s="55" t="inlineStr"/>
      <c r="P6071" s="16" t="inlineStr">
        <is>
          <t>Требует обогащения</t>
        </is>
      </c>
      <c r="Q6071" s="16">
        <f>HYPERLINK("https://pb.nalog.ru/search.html?query=5044019431","ФНС: проверить")</f>
        <v/>
      </c>
      <c r="R6071" s="16">
        <f>HYPERLINK("https://checko.ru/search?query=3801001629","Чекко: проверить")</f>
        <v/>
      </c>
      <c r="S6071" t="n">
        <v>1</v>
      </c>
      <c r="T6071" s="35" t="inlineStr">
        <is>
          <t>4 — Не обогащён</t>
        </is>
      </c>
      <c r="U6071" s="35" t="inlineStr">
        <is>
          <t>Нет ОКВЭД/ССЧР</t>
        </is>
      </c>
      <c r="V6071" s="35" t="inlineStr">
        <is>
          <t>Не определено</t>
        </is>
      </c>
      <c r="W6071" s="35" t="inlineStr"/>
      <c r="X6071" s="35" t="inlineStr"/>
    </row>
    <row r="6072" ht="27.75" customHeight="1" s="24">
      <c r="A6072" s="13" t="n">
        <v>5000020956</v>
      </c>
      <c r="B6072" s="13" t="inlineStr">
        <is>
          <t>МБОУ ОБУХОВСКАЯ СРЕДНЯЯ ОБЩЕОБРАЗОВАТЕЛЬНАЯ ШКОЛА</t>
        </is>
      </c>
      <c r="C6072" s="13" t="n">
        <v>5044019495</v>
      </c>
      <c r="D6072" s="13" t="inlineStr">
        <is>
          <t>5044019495</t>
        </is>
      </c>
      <c r="E6072" s="13" t="inlineStr">
        <is>
          <t>ЮЛ РФ</t>
        </is>
      </c>
      <c r="F6072" s="13" t="n"/>
      <c r="G6072" s="14" t="n"/>
      <c r="H6072" s="14" t="n"/>
      <c r="I6072" s="14" t="n"/>
      <c r="J6072" s="14" t="n"/>
      <c r="K6072" s="53" t="inlineStr"/>
      <c r="L6072" s="53" t="inlineStr">
        <is>
          <t>Не определено</t>
        </is>
      </c>
      <c r="M6072" s="53" t="inlineStr"/>
      <c r="N6072" s="54" t="inlineStr"/>
      <c r="O6072" s="55" t="inlineStr"/>
      <c r="P6072" s="16" t="inlineStr">
        <is>
          <t>Требует обогащения</t>
        </is>
      </c>
      <c r="Q6072" s="16">
        <f>HYPERLINK("https://pb.nalog.ru/search.html?query=5044019495","ФНС: проверить")</f>
        <v/>
      </c>
      <c r="R6072" s="16">
        <f>HYPERLINK("https://checko.ru/search?query=3801001629","Чекко: проверить")</f>
        <v/>
      </c>
      <c r="S6072" t="n">
        <v>1</v>
      </c>
      <c r="T6072" s="35" t="inlineStr">
        <is>
          <t>4 — Не обогащён</t>
        </is>
      </c>
      <c r="U6072" s="35" t="inlineStr">
        <is>
          <t>Нет ОКВЭД/ССЧР</t>
        </is>
      </c>
      <c r="V6072" s="35" t="inlineStr">
        <is>
          <t>Не определено</t>
        </is>
      </c>
      <c r="W6072" s="35" t="inlineStr"/>
      <c r="X6072" s="35" t="inlineStr"/>
    </row>
    <row r="6073" ht="27.75" customHeight="1" s="24">
      <c r="A6073" s="13" t="n">
        <v>5000020957</v>
      </c>
      <c r="B6073" s="13" t="inlineStr">
        <is>
          <t>МБОУ ПОВАРОВСКАЯ СРЕДНЯЯ ОБЩЕОБРАЗОВАТЕЛЬНАЯ ШКОЛА</t>
        </is>
      </c>
      <c r="C6073" s="13" t="n">
        <v>5044019368</v>
      </c>
      <c r="D6073" s="13" t="inlineStr">
        <is>
          <t>5044019368</t>
        </is>
      </c>
      <c r="E6073" s="13" t="inlineStr">
        <is>
          <t>ЮЛ РФ</t>
        </is>
      </c>
      <c r="F6073" s="13" t="n"/>
      <c r="G6073" s="14" t="n"/>
      <c r="H6073" s="14" t="n"/>
      <c r="I6073" s="14" t="n"/>
      <c r="J6073" s="14" t="n"/>
      <c r="K6073" s="53" t="inlineStr"/>
      <c r="L6073" s="53" t="inlineStr">
        <is>
          <t>Не определено</t>
        </is>
      </c>
      <c r="M6073" s="53" t="inlineStr"/>
      <c r="N6073" s="54" t="inlineStr"/>
      <c r="O6073" s="55" t="inlineStr"/>
      <c r="P6073" s="16" t="inlineStr">
        <is>
          <t>Требует обогащения</t>
        </is>
      </c>
      <c r="Q6073" s="16">
        <f>HYPERLINK("https://pb.nalog.ru/search.html?query=5044019368","ФНС: проверить")</f>
        <v/>
      </c>
      <c r="R6073" s="16">
        <f>HYPERLINK("https://checko.ru/search?query=3801001629","Чекко: проверить")</f>
        <v/>
      </c>
      <c r="S6073" t="n">
        <v>1</v>
      </c>
      <c r="T6073" s="35" t="inlineStr">
        <is>
          <t>4 — Не обогащён</t>
        </is>
      </c>
      <c r="U6073" s="35" t="inlineStr">
        <is>
          <t>Нет ОКВЭД/ССЧР</t>
        </is>
      </c>
      <c r="V6073" s="35" t="inlineStr">
        <is>
          <t>Не определено</t>
        </is>
      </c>
      <c r="W6073" s="35" t="inlineStr"/>
      <c r="X6073" s="35" t="inlineStr"/>
    </row>
    <row r="6074" ht="27.75" customHeight="1" s="24">
      <c r="A6074" s="13" t="n">
        <v>5000020959</v>
      </c>
      <c r="B6074" s="13" t="inlineStr">
        <is>
          <t>МБОУ СРЕДНЯЯ ОБЩЕОБРАЗОВАТЕЛЬНАЯ ШКОЛА «ЛЕСНЫЕ ОЗЕРА»</t>
        </is>
      </c>
      <c r="C6074" s="13" t="n">
        <v>5044019449</v>
      </c>
      <c r="D6074" s="13" t="inlineStr">
        <is>
          <t>5044019449</t>
        </is>
      </c>
      <c r="E6074" s="13" t="inlineStr">
        <is>
          <t>ЮЛ РФ</t>
        </is>
      </c>
      <c r="F6074" s="13" t="n"/>
      <c r="G6074" s="14" t="n"/>
      <c r="H6074" s="14" t="n"/>
      <c r="I6074" s="14" t="n"/>
      <c r="J6074" s="14" t="n"/>
      <c r="K6074" s="53" t="inlineStr"/>
      <c r="L6074" s="53" t="inlineStr">
        <is>
          <t>Не определено</t>
        </is>
      </c>
      <c r="M6074" s="53" t="inlineStr"/>
      <c r="N6074" s="54" t="inlineStr"/>
      <c r="O6074" s="55" t="inlineStr"/>
      <c r="P6074" s="16" t="inlineStr">
        <is>
          <t>Требует обогащения</t>
        </is>
      </c>
      <c r="Q6074" s="16">
        <f>HYPERLINK("https://pb.nalog.ru/search.html?query=5044019449","ФНС: проверить")</f>
        <v/>
      </c>
      <c r="R6074" s="16">
        <f>HYPERLINK("https://checko.ru/search?query=3801001629","Чекко: проверить")</f>
        <v/>
      </c>
      <c r="S6074" t="n">
        <v>1</v>
      </c>
      <c r="T6074" s="35" t="inlineStr">
        <is>
          <t>4 — Не обогащён</t>
        </is>
      </c>
      <c r="U6074" s="35" t="inlineStr">
        <is>
          <t>Нет ОКВЭД/ССЧР</t>
        </is>
      </c>
      <c r="V6074" s="35" t="inlineStr">
        <is>
          <t>Не определено</t>
        </is>
      </c>
      <c r="W6074" s="35" t="inlineStr"/>
      <c r="X6074" s="35" t="inlineStr"/>
    </row>
    <row r="6075" ht="27.75" customHeight="1" s="24">
      <c r="A6075" s="13" t="n">
        <v>5000020961</v>
      </c>
      <c r="B6075" s="13" t="inlineStr">
        <is>
          <t>МБОУ СРЕДНЯЯ ОБЩЕОБРАЗОВАТЕЛЬНАЯ ШКОЛА № 2 Г. СОЛНЕЧНОГОРСКА</t>
        </is>
      </c>
      <c r="C6075" s="13" t="n">
        <v>5044019329</v>
      </c>
      <c r="D6075" s="13" t="inlineStr">
        <is>
          <t>5044019329</t>
        </is>
      </c>
      <c r="E6075" s="13" t="inlineStr">
        <is>
          <t>ЮЛ РФ</t>
        </is>
      </c>
      <c r="F6075" s="13" t="n"/>
      <c r="G6075" s="14" t="n"/>
      <c r="H6075" s="14" t="n"/>
      <c r="I6075" s="14" t="n"/>
      <c r="J6075" s="14" t="n"/>
      <c r="K6075" s="53" t="inlineStr"/>
      <c r="L6075" s="53" t="inlineStr">
        <is>
          <t>Не определено</t>
        </is>
      </c>
      <c r="M6075" s="53" t="inlineStr"/>
      <c r="N6075" s="54" t="inlineStr"/>
      <c r="O6075" s="55" t="inlineStr"/>
      <c r="P6075" s="16" t="inlineStr">
        <is>
          <t>Требует обогащения</t>
        </is>
      </c>
      <c r="Q6075" s="16">
        <f>HYPERLINK("https://pb.nalog.ru/search.html?query=5044019329","ФНС: проверить")</f>
        <v/>
      </c>
      <c r="R6075" s="16">
        <f>HYPERLINK("https://checko.ru/search?query=3801001629","Чекко: проверить")</f>
        <v/>
      </c>
      <c r="S6075" t="n">
        <v>1</v>
      </c>
      <c r="T6075" s="35" t="inlineStr">
        <is>
          <t>4 — Не обогащён</t>
        </is>
      </c>
      <c r="U6075" s="35" t="inlineStr">
        <is>
          <t>Нет ОКВЭД/ССЧР</t>
        </is>
      </c>
      <c r="V6075" s="35" t="inlineStr">
        <is>
          <t>Не определено</t>
        </is>
      </c>
      <c r="W6075" s="35" t="inlineStr"/>
      <c r="X6075" s="35" t="inlineStr"/>
    </row>
    <row r="6076" ht="27.75" customHeight="1" s="24">
      <c r="A6076" s="13" t="n">
        <v>5000020962</v>
      </c>
      <c r="B6076" s="13" t="inlineStr">
        <is>
          <t>МБОУ СРЕДНЯЯ ОБЩЕОБРАЗОВАТЕЛЬНАЯ ШКОЛА № 4</t>
        </is>
      </c>
      <c r="C6076" s="13" t="n">
        <v>5044019343</v>
      </c>
      <c r="D6076" s="13" t="inlineStr">
        <is>
          <t>5044019343</t>
        </is>
      </c>
      <c r="E6076" s="13" t="inlineStr">
        <is>
          <t>ЮЛ РФ</t>
        </is>
      </c>
      <c r="F6076" s="13" t="n"/>
      <c r="G6076" s="14" t="n"/>
      <c r="H6076" s="14" t="n"/>
      <c r="I6076" s="14" t="n"/>
      <c r="J6076" s="14" t="n"/>
      <c r="K6076" s="53" t="inlineStr"/>
      <c r="L6076" s="53" t="inlineStr">
        <is>
          <t>Не определено</t>
        </is>
      </c>
      <c r="M6076" s="53" t="inlineStr"/>
      <c r="N6076" s="54" t="inlineStr"/>
      <c r="O6076" s="55" t="inlineStr"/>
      <c r="P6076" s="16" t="inlineStr">
        <is>
          <t>Требует обогащения</t>
        </is>
      </c>
      <c r="Q6076" s="16">
        <f>HYPERLINK("https://pb.nalog.ru/search.html?query=5044019343","ФНС: проверить")</f>
        <v/>
      </c>
      <c r="R6076" s="16">
        <f>HYPERLINK("https://checko.ru/search?query=3801001629","Чекко: проверить")</f>
        <v/>
      </c>
      <c r="S6076" t="n">
        <v>1</v>
      </c>
      <c r="T6076" s="35" t="inlineStr">
        <is>
          <t>4 — Не обогащён</t>
        </is>
      </c>
      <c r="U6076" s="35" t="inlineStr">
        <is>
          <t>Нет ОКВЭД/ССЧР</t>
        </is>
      </c>
      <c r="V6076" s="35" t="inlineStr">
        <is>
          <t>Не определено</t>
        </is>
      </c>
      <c r="W6076" s="35" t="inlineStr"/>
      <c r="X6076" s="35" t="inlineStr"/>
    </row>
    <row r="6077" ht="27.75" customHeight="1" s="24">
      <c r="A6077" s="13" t="n">
        <v>5000118218</v>
      </c>
      <c r="B6077" s="13" t="inlineStr">
        <is>
          <t>МИНИСТЕРСТВО ТРУДА И РАЗВИТИЯ КАДРОВОГО ПОТЕНЦИАЛА КАМЧАТСКОГО КРАЯ</t>
        </is>
      </c>
      <c r="C6077" s="13" t="n">
        <v>4101113953</v>
      </c>
      <c r="D6077" s="13" t="inlineStr">
        <is>
          <t>4101113953</t>
        </is>
      </c>
      <c r="E6077" s="13" t="inlineStr">
        <is>
          <t>ЮЛ РФ</t>
        </is>
      </c>
      <c r="F6077" s="13" t="n"/>
      <c r="G6077" s="14" t="n"/>
      <c r="H6077" s="14" t="n"/>
      <c r="I6077" s="14" t="n"/>
      <c r="J6077" s="14" t="n"/>
      <c r="K6077" s="53" t="inlineStr"/>
      <c r="L6077" s="53" t="inlineStr">
        <is>
          <t>Не определено</t>
        </is>
      </c>
      <c r="M6077" s="53" t="inlineStr"/>
      <c r="N6077" s="54" t="inlineStr"/>
      <c r="O6077" s="55" t="inlineStr"/>
      <c r="P6077" s="16" t="inlineStr">
        <is>
          <t>Требует обогащения</t>
        </is>
      </c>
      <c r="Q6077" s="16">
        <f>HYPERLINK("https://pb.nalog.ru/search.html?query=4101113953","ФНС: проверить")</f>
        <v/>
      </c>
      <c r="R6077" s="16">
        <f>HYPERLINK("https://checko.ru/search?query=3801001629","Чекко: проверить")</f>
        <v/>
      </c>
      <c r="S6077" t="n">
        <v>1</v>
      </c>
      <c r="T6077" s="35" t="inlineStr">
        <is>
          <t>4 — Не обогащён</t>
        </is>
      </c>
      <c r="U6077" s="35" t="inlineStr">
        <is>
          <t>Нет ОКВЭД/ССЧР</t>
        </is>
      </c>
      <c r="V6077" s="35" t="inlineStr">
        <is>
          <t>Не определено</t>
        </is>
      </c>
      <c r="W6077" s="35" t="inlineStr"/>
      <c r="X6077" s="35" t="inlineStr"/>
    </row>
    <row r="6078" ht="27.75" customHeight="1" s="24">
      <c r="A6078" s="13" t="n">
        <v>5000118212</v>
      </c>
      <c r="B6078" s="13" t="inlineStr">
        <is>
          <t>Министерство имущественных и земельных отношений Камчатского края</t>
        </is>
      </c>
      <c r="C6078" s="13" t="n">
        <v>4101121312</v>
      </c>
      <c r="D6078" s="13" t="inlineStr">
        <is>
          <t>4101121312</t>
        </is>
      </c>
      <c r="E6078" s="13" t="inlineStr">
        <is>
          <t>ЮЛ РФ</t>
        </is>
      </c>
      <c r="F6078" s="13" t="n"/>
      <c r="G6078" s="14" t="n"/>
      <c r="H6078" s="14" t="n"/>
      <c r="I6078" s="14" t="n"/>
      <c r="J6078" s="14" t="n"/>
      <c r="K6078" s="53" t="inlineStr"/>
      <c r="L6078" s="53" t="inlineStr">
        <is>
          <t>Не определено</t>
        </is>
      </c>
      <c r="M6078" s="53" t="inlineStr"/>
      <c r="N6078" s="54" t="inlineStr"/>
      <c r="O6078" s="55" t="inlineStr"/>
      <c r="P6078" s="16" t="inlineStr">
        <is>
          <t>Требует обогащения</t>
        </is>
      </c>
      <c r="Q6078" s="16">
        <f>HYPERLINK("https://pb.nalog.ru/search.html?query=4101121312","ФНС: проверить")</f>
        <v/>
      </c>
      <c r="R6078" s="16">
        <f>HYPERLINK("https://checko.ru/search?query=3801001629","Чекко: проверить")</f>
        <v/>
      </c>
      <c r="S6078" t="n">
        <v>1</v>
      </c>
      <c r="T6078" s="35" t="inlineStr">
        <is>
          <t>4 — Не обогащён</t>
        </is>
      </c>
      <c r="U6078" s="35" t="inlineStr">
        <is>
          <t>Нет ОКВЭД/ССЧР</t>
        </is>
      </c>
      <c r="V6078" s="35" t="inlineStr">
        <is>
          <t>Не определено</t>
        </is>
      </c>
      <c r="W6078" s="35" t="inlineStr"/>
      <c r="X6078" s="35" t="inlineStr"/>
    </row>
    <row r="6079" ht="15" customHeight="1" s="24">
      <c r="A6079" s="13" t="n">
        <v>5000081555</v>
      </c>
      <c r="B6079" s="13" t="inlineStr">
        <is>
          <t>МБОУ Г ИРКУТСКА ГИМНАЗИЯ №1</t>
        </is>
      </c>
      <c r="C6079" s="13" t="n">
        <v>3809024610</v>
      </c>
      <c r="D6079" s="13" t="inlineStr">
        <is>
          <t>3809024610</t>
        </is>
      </c>
      <c r="E6079" s="13" t="inlineStr">
        <is>
          <t>ЮЛ РФ</t>
        </is>
      </c>
      <c r="F6079" s="13" t="n"/>
      <c r="G6079" s="14" t="n"/>
      <c r="H6079" s="14" t="n"/>
      <c r="I6079" s="14" t="n"/>
      <c r="J6079" s="14" t="n"/>
      <c r="K6079" s="53" t="inlineStr"/>
      <c r="L6079" s="53" t="inlineStr">
        <is>
          <t>Не определено</t>
        </is>
      </c>
      <c r="M6079" s="53" t="inlineStr"/>
      <c r="N6079" s="54" t="inlineStr"/>
      <c r="O6079" s="55" t="inlineStr"/>
      <c r="P6079" s="16" t="inlineStr">
        <is>
          <t>Требует обогащения</t>
        </is>
      </c>
      <c r="Q6079" s="16">
        <f>HYPERLINK("https://pb.nalog.ru/search.html?query=3809024610","ФНС: проверить")</f>
        <v/>
      </c>
      <c r="R6079" s="16">
        <f>HYPERLINK("https://checko.ru/search?query=3801001629","Чекко: проверить")</f>
        <v/>
      </c>
      <c r="S6079" t="n">
        <v>1</v>
      </c>
      <c r="T6079" s="35" t="inlineStr">
        <is>
          <t>4 — Не обогащён</t>
        </is>
      </c>
      <c r="U6079" s="35" t="inlineStr">
        <is>
          <t>Нет ОКВЭД/ССЧР</t>
        </is>
      </c>
      <c r="V6079" s="35" t="inlineStr">
        <is>
          <t>Не определено</t>
        </is>
      </c>
      <c r="W6079" s="35" t="inlineStr"/>
      <c r="X6079" s="35" t="inlineStr"/>
    </row>
    <row r="6080" ht="41.25" customHeight="1" s="24">
      <c r="A6080" s="13" t="n">
        <v>5000077053</v>
      </c>
      <c r="B6080" s="13" t="inlineStr">
        <is>
          <t>Государственное специальное учебно-воспитательное учреждение закрытого типа "Сретенская школа"</t>
        </is>
      </c>
      <c r="C6080" s="13" t="n">
        <v>7519002860</v>
      </c>
      <c r="D6080" s="13" t="inlineStr">
        <is>
          <t>7519002860</t>
        </is>
      </c>
      <c r="E6080" s="13" t="inlineStr">
        <is>
          <t>ЮЛ РФ</t>
        </is>
      </c>
      <c r="F6080" s="13" t="n"/>
      <c r="G6080" s="14" t="n"/>
      <c r="H6080" s="14" t="n"/>
      <c r="I6080" s="14" t="n"/>
      <c r="J6080" s="14" t="n"/>
      <c r="K6080" s="53" t="inlineStr"/>
      <c r="L6080" s="53" t="inlineStr">
        <is>
          <t>Не определено</t>
        </is>
      </c>
      <c r="M6080" s="53" t="inlineStr"/>
      <c r="N6080" s="54" t="inlineStr"/>
      <c r="O6080" s="55" t="inlineStr"/>
      <c r="P6080" s="16" t="inlineStr">
        <is>
          <t>Требует обогащения</t>
        </is>
      </c>
      <c r="Q6080" s="16">
        <f>HYPERLINK("https://pb.nalog.ru/search.html?query=7519002860","ФНС: проверить")</f>
        <v/>
      </c>
      <c r="R6080" s="16">
        <f>HYPERLINK("https://checko.ru/search?query=3801001629","Чекко: проверить")</f>
        <v/>
      </c>
      <c r="S6080" t="n">
        <v>1</v>
      </c>
      <c r="T6080" s="35" t="inlineStr">
        <is>
          <t>4 — Не обогащён</t>
        </is>
      </c>
      <c r="U6080" s="35" t="inlineStr">
        <is>
          <t>Нет ОКВЭД/ССЧР</t>
        </is>
      </c>
      <c r="V6080" s="35" t="inlineStr">
        <is>
          <t>Не определено</t>
        </is>
      </c>
      <c r="W6080" s="35" t="inlineStr"/>
      <c r="X6080" s="35" t="inlineStr"/>
    </row>
    <row r="6081" ht="15" customHeight="1" s="24">
      <c r="A6081" s="13" t="n">
        <v>5000080650</v>
      </c>
      <c r="B6081" s="13" t="inlineStr">
        <is>
          <t>Служба земельно-имущественного комплекса</t>
        </is>
      </c>
      <c r="C6081" s="13" t="n">
        <v>5034050591</v>
      </c>
      <c r="D6081" s="13" t="inlineStr">
        <is>
          <t>5034050591</t>
        </is>
      </c>
      <c r="E6081" s="13" t="inlineStr">
        <is>
          <t>ЮЛ РФ</t>
        </is>
      </c>
      <c r="F6081" s="13" t="n"/>
      <c r="G6081" s="14" t="n"/>
      <c r="H6081" s="14" t="n"/>
      <c r="I6081" s="14" t="n"/>
      <c r="J6081" s="14" t="n"/>
      <c r="K6081" s="53" t="inlineStr"/>
      <c r="L6081" s="53" t="inlineStr">
        <is>
          <t>Не определено</t>
        </is>
      </c>
      <c r="M6081" s="53" t="inlineStr"/>
      <c r="N6081" s="54" t="inlineStr"/>
      <c r="O6081" s="55" t="inlineStr"/>
      <c r="P6081" s="16" t="inlineStr">
        <is>
          <t>Требует обогащения</t>
        </is>
      </c>
      <c r="Q6081" s="16">
        <f>HYPERLINK("https://pb.nalog.ru/search.html?query=5034050591","ФНС: проверить")</f>
        <v/>
      </c>
      <c r="R6081" s="16">
        <f>HYPERLINK("https://checko.ru/search?query=3801001629","Чекко: проверить")</f>
        <v/>
      </c>
      <c r="S6081" t="n">
        <v>1</v>
      </c>
      <c r="T6081" s="35" t="inlineStr">
        <is>
          <t>4 — Не обогащён</t>
        </is>
      </c>
      <c r="U6081" s="35" t="inlineStr">
        <is>
          <t>Нет ОКВЭД/ССЧР</t>
        </is>
      </c>
      <c r="V6081" s="35" t="inlineStr">
        <is>
          <t>Не определено</t>
        </is>
      </c>
      <c r="W6081" s="35" t="inlineStr"/>
      <c r="X6081" s="35" t="inlineStr"/>
    </row>
    <row r="6082" ht="27.75" customHeight="1" s="24">
      <c r="A6082" s="13" t="n">
        <v>5000020980</v>
      </c>
      <c r="B6082" s="13" t="inlineStr">
        <is>
          <t>МБУ СОЛНЕЧНОГОРСКОГО МУНИЦИПАЛЬНОГО РАЙОНА "СПОРТИВНАЯ ШКОЛА № 2"</t>
        </is>
      </c>
      <c r="C6082" s="13" t="n">
        <v>5044019505</v>
      </c>
      <c r="D6082" s="13" t="inlineStr">
        <is>
          <t>5044019505</t>
        </is>
      </c>
      <c r="E6082" s="13" t="inlineStr">
        <is>
          <t>ЮЛ РФ</t>
        </is>
      </c>
      <c r="F6082" s="13" t="n"/>
      <c r="G6082" s="14" t="n"/>
      <c r="H6082" s="14" t="n"/>
      <c r="I6082" s="14" t="n"/>
      <c r="J6082" s="14" t="n"/>
      <c r="K6082" s="53" t="inlineStr"/>
      <c r="L6082" s="53" t="inlineStr">
        <is>
          <t>Не определено</t>
        </is>
      </c>
      <c r="M6082" s="53" t="inlineStr"/>
      <c r="N6082" s="54" t="inlineStr"/>
      <c r="O6082" s="55" t="inlineStr"/>
      <c r="P6082" s="16" t="inlineStr">
        <is>
          <t>Требует обогащения</t>
        </is>
      </c>
      <c r="Q6082" s="16">
        <f>HYPERLINK("https://pb.nalog.ru/search.html?query=5044019505","ФНС: проверить")</f>
        <v/>
      </c>
      <c r="R6082" s="16">
        <f>HYPERLINK("https://checko.ru/search?query=3801001629","Чекко: проверить")</f>
        <v/>
      </c>
      <c r="S6082" t="n">
        <v>1</v>
      </c>
      <c r="T6082" s="35" t="inlineStr">
        <is>
          <t>4 — Не обогащён</t>
        </is>
      </c>
      <c r="U6082" s="35" t="inlineStr">
        <is>
          <t>Нет ОКВЭД/ССЧР</t>
        </is>
      </c>
      <c r="V6082" s="35" t="inlineStr">
        <is>
          <t>Не определено</t>
        </is>
      </c>
      <c r="W6082" s="35" t="inlineStr"/>
      <c r="X6082" s="35" t="inlineStr"/>
    </row>
    <row r="6083" ht="27.75" customHeight="1" s="24">
      <c r="A6083" s="13" t="n">
        <v>5000020981</v>
      </c>
      <c r="B6083" s="13" t="inlineStr">
        <is>
          <t>Муниципальное учреждение "Молодежный центр "Возрождение"</t>
        </is>
      </c>
      <c r="C6083" s="13" t="n">
        <v>5044042889</v>
      </c>
      <c r="D6083" s="13" t="inlineStr">
        <is>
          <t>5044042889</t>
        </is>
      </c>
      <c r="E6083" s="13" t="inlineStr">
        <is>
          <t>ЮЛ РФ</t>
        </is>
      </c>
      <c r="F6083" s="13" t="n"/>
      <c r="G6083" s="14" t="n"/>
      <c r="H6083" s="14" t="n"/>
      <c r="I6083" s="14" t="n"/>
      <c r="J6083" s="14" t="n"/>
      <c r="K6083" s="53" t="inlineStr"/>
      <c r="L6083" s="53" t="inlineStr">
        <is>
          <t>Не определено</t>
        </is>
      </c>
      <c r="M6083" s="53" t="inlineStr"/>
      <c r="N6083" s="54" t="inlineStr"/>
      <c r="O6083" s="55" t="inlineStr"/>
      <c r="P6083" s="16" t="inlineStr">
        <is>
          <t>Требует обогащения</t>
        </is>
      </c>
      <c r="Q6083" s="16">
        <f>HYPERLINK("https://pb.nalog.ru/search.html?query=5044042889","ФНС: проверить")</f>
        <v/>
      </c>
      <c r="R6083" s="16">
        <f>HYPERLINK("https://checko.ru/search?query=3801001629","Чекко: проверить")</f>
        <v/>
      </c>
      <c r="S6083" t="n">
        <v>1</v>
      </c>
      <c r="T6083" s="35" t="inlineStr">
        <is>
          <t>4 — Не обогащён</t>
        </is>
      </c>
      <c r="U6083" s="35" t="inlineStr">
        <is>
          <t>Нет ОКВЭД/ССЧР</t>
        </is>
      </c>
      <c r="V6083" s="35" t="inlineStr">
        <is>
          <t>Не определено</t>
        </is>
      </c>
      <c r="W6083" s="35" t="inlineStr"/>
      <c r="X6083" s="35" t="inlineStr"/>
    </row>
    <row r="6084" ht="15" customHeight="1" s="24">
      <c r="A6084" s="13" t="n">
        <v>5000020977</v>
      </c>
      <c r="B6084" s="13" t="inlineStr">
        <is>
          <t>МБУК "Солнечногорская МРБ"</t>
        </is>
      </c>
      <c r="C6084" s="13" t="n">
        <v>5044052622</v>
      </c>
      <c r="D6084" s="13" t="inlineStr">
        <is>
          <t>5044052622</t>
        </is>
      </c>
      <c r="E6084" s="13" t="inlineStr">
        <is>
          <t>ЮЛ РФ</t>
        </is>
      </c>
      <c r="F6084" s="13" t="n"/>
      <c r="G6084" s="14" t="n"/>
      <c r="H6084" s="14" t="n"/>
      <c r="I6084" s="14" t="n"/>
      <c r="J6084" s="14" t="n"/>
      <c r="K6084" s="53" t="inlineStr"/>
      <c r="L6084" s="53" t="inlineStr">
        <is>
          <t>Не определено</t>
        </is>
      </c>
      <c r="M6084" s="53" t="inlineStr"/>
      <c r="N6084" s="54" t="inlineStr"/>
      <c r="O6084" s="55" t="inlineStr"/>
      <c r="P6084" s="16" t="inlineStr">
        <is>
          <t>Требует обогащения</t>
        </is>
      </c>
      <c r="Q6084" s="16">
        <f>HYPERLINK("https://pb.nalog.ru/search.html?query=5044052622","ФНС: проверить")</f>
        <v/>
      </c>
      <c r="R6084" s="16">
        <f>HYPERLINK("https://checko.ru/search?query=3801001629","Чекко: проверить")</f>
        <v/>
      </c>
      <c r="S6084" t="n">
        <v>1</v>
      </c>
      <c r="T6084" s="35" t="inlineStr">
        <is>
          <t>4 — Не обогащён</t>
        </is>
      </c>
      <c r="U6084" s="35" t="inlineStr">
        <is>
          <t>Нет ОКВЭД/ССЧР</t>
        </is>
      </c>
      <c r="V6084" s="35" t="inlineStr">
        <is>
          <t>Не определено</t>
        </is>
      </c>
      <c r="W6084" s="35" t="inlineStr"/>
      <c r="X6084" s="35" t="inlineStr"/>
    </row>
    <row r="6085" ht="27.75" customHeight="1" s="24">
      <c r="A6085" s="13" t="n">
        <v>5000020987</v>
      </c>
      <c r="B6085" s="13" t="inlineStr">
        <is>
          <t>МКУ Солнечногорского муниципального района Московской области "Ритуал"</t>
        </is>
      </c>
      <c r="C6085" s="13" t="n">
        <v>5044099324</v>
      </c>
      <c r="D6085" s="13" t="inlineStr">
        <is>
          <t>5044099324</t>
        </is>
      </c>
      <c r="E6085" s="13" t="inlineStr">
        <is>
          <t>ЮЛ РФ</t>
        </is>
      </c>
      <c r="F6085" s="13" t="n"/>
      <c r="G6085" s="14" t="n"/>
      <c r="H6085" s="14" t="n"/>
      <c r="I6085" s="14" t="n"/>
      <c r="J6085" s="14" t="n"/>
      <c r="K6085" s="53" t="inlineStr"/>
      <c r="L6085" s="53" t="inlineStr">
        <is>
          <t>Не определено</t>
        </is>
      </c>
      <c r="M6085" s="53" t="inlineStr"/>
      <c r="N6085" s="54" t="inlineStr"/>
      <c r="O6085" s="55" t="inlineStr"/>
      <c r="P6085" s="16" t="inlineStr">
        <is>
          <t>Требует обогащения</t>
        </is>
      </c>
      <c r="Q6085" s="16">
        <f>HYPERLINK("https://pb.nalog.ru/search.html?query=5044099324","ФНС: проверить")</f>
        <v/>
      </c>
      <c r="R6085" s="16">
        <f>HYPERLINK("https://checko.ru/search?query=3801001629","Чекко: проверить")</f>
        <v/>
      </c>
      <c r="S6085" t="n">
        <v>1</v>
      </c>
      <c r="T6085" s="35" t="inlineStr">
        <is>
          <t>4 — Не обогащён</t>
        </is>
      </c>
      <c r="U6085" s="35" t="inlineStr">
        <is>
          <t>Нет ОКВЭД/ССЧР</t>
        </is>
      </c>
      <c r="V6085" s="35" t="inlineStr">
        <is>
          <t>Не определено</t>
        </is>
      </c>
      <c r="W6085" s="35" t="inlineStr"/>
      <c r="X6085" s="35" t="inlineStr"/>
    </row>
    <row r="6086" ht="54.75" customHeight="1" s="24">
      <c r="A6086" s="13" t="n">
        <v>5000020988</v>
      </c>
      <c r="B6086" s="13" t="inlineStr">
        <is>
          <t>МКУ Солнечногорского муниципального района Московской области "Земельно-имущественный комплекс Солнечногорского муниципального района"</t>
        </is>
      </c>
      <c r="C6086" s="13" t="n">
        <v>5044093523</v>
      </c>
      <c r="D6086" s="13" t="inlineStr">
        <is>
          <t>5044093523</t>
        </is>
      </c>
      <c r="E6086" s="13" t="inlineStr">
        <is>
          <t>ЮЛ РФ</t>
        </is>
      </c>
      <c r="F6086" s="13" t="n"/>
      <c r="G6086" s="14" t="n"/>
      <c r="H6086" s="14" t="n"/>
      <c r="I6086" s="14" t="n"/>
      <c r="J6086" s="14" t="n"/>
      <c r="K6086" s="53" t="inlineStr"/>
      <c r="L6086" s="53" t="inlineStr">
        <is>
          <t>Не определено</t>
        </is>
      </c>
      <c r="M6086" s="53" t="inlineStr"/>
      <c r="N6086" s="54" t="inlineStr"/>
      <c r="O6086" s="55" t="inlineStr"/>
      <c r="P6086" s="16" t="inlineStr">
        <is>
          <t>Требует обогащения</t>
        </is>
      </c>
      <c r="Q6086" s="16">
        <f>HYPERLINK("https://pb.nalog.ru/search.html?query=5044093523","ФНС: проверить")</f>
        <v/>
      </c>
      <c r="R6086" s="16">
        <f>HYPERLINK("https://checko.ru/search?query=3801001629","Чекко: проверить")</f>
        <v/>
      </c>
      <c r="S6086" t="n">
        <v>1</v>
      </c>
      <c r="T6086" s="35" t="inlineStr">
        <is>
          <t>4 — Не обогащён</t>
        </is>
      </c>
      <c r="U6086" s="35" t="inlineStr">
        <is>
          <t>Нет ОКВЭД/ССЧР</t>
        </is>
      </c>
      <c r="V6086" s="35" t="inlineStr">
        <is>
          <t>Не определено</t>
        </is>
      </c>
      <c r="W6086" s="35" t="inlineStr"/>
      <c r="X6086" s="35" t="inlineStr"/>
    </row>
    <row r="6087" ht="27.75" customHeight="1" s="24">
      <c r="A6087" s="13" t="n">
        <v>5000020985</v>
      </c>
      <c r="B6087" s="13" t="inlineStr">
        <is>
          <t>МКУ Солнечногорского муниципального района Московской области "Закупки"</t>
        </is>
      </c>
      <c r="C6087" s="13" t="n">
        <v>5044096926</v>
      </c>
      <c r="D6087" s="13" t="inlineStr">
        <is>
          <t>5044096926</t>
        </is>
      </c>
      <c r="E6087" s="13" t="inlineStr">
        <is>
          <t>ЮЛ РФ</t>
        </is>
      </c>
      <c r="F6087" s="13" t="n"/>
      <c r="G6087" s="14" t="n"/>
      <c r="H6087" s="14" t="n"/>
      <c r="I6087" s="14" t="n"/>
      <c r="J6087" s="14" t="n"/>
      <c r="K6087" s="53" t="inlineStr"/>
      <c r="L6087" s="53" t="inlineStr">
        <is>
          <t>Не определено</t>
        </is>
      </c>
      <c r="M6087" s="53" t="inlineStr"/>
      <c r="N6087" s="54" t="inlineStr"/>
      <c r="O6087" s="55" t="inlineStr"/>
      <c r="P6087" s="16" t="inlineStr">
        <is>
          <t>Требует обогащения</t>
        </is>
      </c>
      <c r="Q6087" s="16">
        <f>HYPERLINK("https://pb.nalog.ru/search.html?query=5044096926","ФНС: проверить")</f>
        <v/>
      </c>
      <c r="R6087" s="16">
        <f>HYPERLINK("https://checko.ru/search?query=3801001629","Чекко: проверить")</f>
        <v/>
      </c>
      <c r="S6087" t="n">
        <v>1</v>
      </c>
      <c r="T6087" s="35" t="inlineStr">
        <is>
          <t>4 — Не обогащён</t>
        </is>
      </c>
      <c r="U6087" s="35" t="inlineStr">
        <is>
          <t>Нет ОКВЭД/ССЧР</t>
        </is>
      </c>
      <c r="V6087" s="35" t="inlineStr">
        <is>
          <t>Не определено</t>
        </is>
      </c>
      <c r="W6087" s="35" t="inlineStr"/>
      <c r="X6087" s="35" t="inlineStr"/>
    </row>
    <row r="6088" ht="41.25" customHeight="1" s="24">
      <c r="A6088" s="13" t="n">
        <v>5000020963</v>
      </c>
      <c r="B6088" s="13" t="inlineStr">
        <is>
          <t>МБОУ СРЕДНЯЯ ОБЩЕОБРАЗОВАТЕЛЬНАЯ ШКОЛА № 5 С УГЛУБЛЁННЫМ ИЗУЧЕНИЕМ ОТДЕЛЬНЫХ ПРЕДМЕТОВ</t>
        </is>
      </c>
      <c r="C6088" s="13" t="n">
        <v>5044019375</v>
      </c>
      <c r="D6088" s="13" t="inlineStr">
        <is>
          <t>5044019375</t>
        </is>
      </c>
      <c r="E6088" s="13" t="inlineStr">
        <is>
          <t>ЮЛ РФ</t>
        </is>
      </c>
      <c r="F6088" s="13" t="n"/>
      <c r="G6088" s="14" t="n"/>
      <c r="H6088" s="14" t="n"/>
      <c r="I6088" s="14" t="n"/>
      <c r="J6088" s="14" t="n"/>
      <c r="K6088" s="53" t="inlineStr"/>
      <c r="L6088" s="53" t="inlineStr">
        <is>
          <t>Не определено</t>
        </is>
      </c>
      <c r="M6088" s="53" t="inlineStr"/>
      <c r="N6088" s="54" t="inlineStr"/>
      <c r="O6088" s="55" t="inlineStr"/>
      <c r="P6088" s="16" t="inlineStr">
        <is>
          <t>Требует обогащения</t>
        </is>
      </c>
      <c r="Q6088" s="16">
        <f>HYPERLINK("https://pb.nalog.ru/search.html?query=5044019375","ФНС: проверить")</f>
        <v/>
      </c>
      <c r="R6088" s="16">
        <f>HYPERLINK("https://checko.ru/search?query=3801001629","Чекко: проверить")</f>
        <v/>
      </c>
      <c r="S6088" t="n">
        <v>1</v>
      </c>
      <c r="T6088" s="35" t="inlineStr">
        <is>
          <t>4 — Не обогащён</t>
        </is>
      </c>
      <c r="U6088" s="35" t="inlineStr">
        <is>
          <t>Нет ОКВЭД/ССЧР</t>
        </is>
      </c>
      <c r="V6088" s="35" t="inlineStr">
        <is>
          <t>Не определено</t>
        </is>
      </c>
      <c r="W6088" s="35" t="inlineStr"/>
      <c r="X6088" s="35" t="inlineStr"/>
    </row>
    <row r="6089" ht="54.75" customHeight="1" s="24">
      <c r="A6089" s="13" t="n">
        <v>5000020965</v>
      </c>
      <c r="B6089" s="13" t="inlineStr">
        <is>
          <t>МБОУ ТИМОНОВСКАЯ СРЕДНЯЯ ОБЩЕОБРАЗОВАТЕЛЬНАЯ ШКОЛА С УГЛУБЛЁННЫМ ИЗУЧЕНИЕМ ОТДЕЛЬНЫХ ПРЕДМЕТОВ</t>
        </is>
      </c>
      <c r="C6089" s="13" t="n">
        <v>5044019456</v>
      </c>
      <c r="D6089" s="13" t="inlineStr">
        <is>
          <t>5044019456</t>
        </is>
      </c>
      <c r="E6089" s="13" t="inlineStr">
        <is>
          <t>ЮЛ РФ</t>
        </is>
      </c>
      <c r="F6089" s="13" t="n"/>
      <c r="G6089" s="14" t="n"/>
      <c r="H6089" s="14" t="n"/>
      <c r="I6089" s="14" t="n"/>
      <c r="J6089" s="14" t="n"/>
      <c r="K6089" s="53" t="inlineStr"/>
      <c r="L6089" s="53" t="inlineStr">
        <is>
          <t>Не определено</t>
        </is>
      </c>
      <c r="M6089" s="53" t="inlineStr"/>
      <c r="N6089" s="54" t="inlineStr"/>
      <c r="O6089" s="55" t="inlineStr"/>
      <c r="P6089" s="16" t="inlineStr">
        <is>
          <t>Требует обогащения</t>
        </is>
      </c>
      <c r="Q6089" s="16">
        <f>HYPERLINK("https://pb.nalog.ru/search.html?query=5044019456","ФНС: проверить")</f>
        <v/>
      </c>
      <c r="R6089" s="16">
        <f>HYPERLINK("https://checko.ru/search?query=3801001629","Чекко: проверить")</f>
        <v/>
      </c>
      <c r="S6089" t="n">
        <v>1</v>
      </c>
      <c r="T6089" s="35" t="inlineStr">
        <is>
          <t>4 — Не обогащён</t>
        </is>
      </c>
      <c r="U6089" s="35" t="inlineStr">
        <is>
          <t>Нет ОКВЭД/ССЧР</t>
        </is>
      </c>
      <c r="V6089" s="35" t="inlineStr">
        <is>
          <t>Не определено</t>
        </is>
      </c>
      <c r="W6089" s="35" t="inlineStr"/>
      <c r="X6089" s="35" t="inlineStr"/>
    </row>
    <row r="6090" ht="27.75" customHeight="1" s="24">
      <c r="A6090" s="13" t="n">
        <v>5000020968</v>
      </c>
      <c r="B6090" s="13" t="inlineStr">
        <is>
          <t>Управление образования администрации Солнечногорского муниципального района</t>
        </is>
      </c>
      <c r="C6090" s="13" t="n">
        <v>5044015155</v>
      </c>
      <c r="D6090" s="13" t="inlineStr">
        <is>
          <t>5044015155</t>
        </is>
      </c>
      <c r="E6090" s="13" t="inlineStr">
        <is>
          <t>ЮЛ РФ</t>
        </is>
      </c>
      <c r="F6090" s="13" t="n"/>
      <c r="G6090" s="14" t="n"/>
      <c r="H6090" s="14" t="n"/>
      <c r="I6090" s="14" t="n"/>
      <c r="J6090" s="14" t="n"/>
      <c r="K6090" s="53" t="inlineStr"/>
      <c r="L6090" s="53" t="inlineStr">
        <is>
          <t>Не определено</t>
        </is>
      </c>
      <c r="M6090" s="53" t="inlineStr"/>
      <c r="N6090" s="54" t="inlineStr"/>
      <c r="O6090" s="55" t="inlineStr"/>
      <c r="P6090" s="16" t="inlineStr">
        <is>
          <t>Требует обогащения</t>
        </is>
      </c>
      <c r="Q6090" s="16">
        <f>HYPERLINK("https://pb.nalog.ru/search.html?query=5044015155","ФНС: проверить")</f>
        <v/>
      </c>
      <c r="R6090" s="16">
        <f>HYPERLINK("https://checko.ru/search?query=3801001629","Чекко: проверить")</f>
        <v/>
      </c>
      <c r="S6090" t="n">
        <v>1</v>
      </c>
      <c r="T6090" s="35" t="inlineStr">
        <is>
          <t>4 — Не обогащён</t>
        </is>
      </c>
      <c r="U6090" s="35" t="inlineStr">
        <is>
          <t>Нет ОКВЭД/ССЧР</t>
        </is>
      </c>
      <c r="V6090" s="35" t="inlineStr">
        <is>
          <t>Не определено</t>
        </is>
      </c>
      <c r="W6090" s="35" t="inlineStr"/>
      <c r="X6090" s="35" t="inlineStr"/>
    </row>
    <row r="6091" ht="15" customHeight="1" s="24">
      <c r="A6091" s="13" t="n">
        <v>5000020969</v>
      </c>
      <c r="B6091" s="13" t="inlineStr">
        <is>
          <t>МКУДПО "Учебно-методический Центр"</t>
        </is>
      </c>
      <c r="C6091" s="13" t="n">
        <v>5044022410</v>
      </c>
      <c r="D6091" s="13" t="inlineStr">
        <is>
          <t>5044022410</t>
        </is>
      </c>
      <c r="E6091" s="13" t="inlineStr">
        <is>
          <t>ЮЛ РФ</t>
        </is>
      </c>
      <c r="F6091" s="13" t="n"/>
      <c r="G6091" s="14" t="n"/>
      <c r="H6091" s="14" t="n"/>
      <c r="I6091" s="14" t="n"/>
      <c r="J6091" s="14" t="n"/>
      <c r="K6091" s="53" t="inlineStr"/>
      <c r="L6091" s="53" t="inlineStr">
        <is>
          <t>Не определено</t>
        </is>
      </c>
      <c r="M6091" s="53" t="inlineStr"/>
      <c r="N6091" s="54" t="inlineStr"/>
      <c r="O6091" s="55" t="inlineStr"/>
      <c r="P6091" s="16" t="inlineStr">
        <is>
          <t>Требует обогащения</t>
        </is>
      </c>
      <c r="Q6091" s="16">
        <f>HYPERLINK("https://pb.nalog.ru/search.html?query=5044022410","ФНС: проверить")</f>
        <v/>
      </c>
      <c r="R6091" s="16">
        <f>HYPERLINK("https://checko.ru/search?query=3801001629","Чекко: проверить")</f>
        <v/>
      </c>
      <c r="S6091" t="n">
        <v>1</v>
      </c>
      <c r="T6091" s="35" t="inlineStr">
        <is>
          <t>4 — Не обогащён</t>
        </is>
      </c>
      <c r="U6091" s="35" t="inlineStr">
        <is>
          <t>Нет ОКВЭД/ССЧР</t>
        </is>
      </c>
      <c r="V6091" s="35" t="inlineStr">
        <is>
          <t>Не определено</t>
        </is>
      </c>
      <c r="W6091" s="35" t="inlineStr"/>
      <c r="X6091" s="35" t="inlineStr"/>
    </row>
    <row r="6092" ht="41.25" customHeight="1" s="24">
      <c r="A6092" s="13" t="n">
        <v>5000020971</v>
      </c>
      <c r="B6092" s="13" t="inlineStr">
        <is>
          <t>МУ Комитет по культуре администрации Солнечногорского муниципального района Московской области</t>
        </is>
      </c>
      <c r="C6092" s="13" t="n">
        <v>5044071287</v>
      </c>
      <c r="D6092" s="13" t="inlineStr">
        <is>
          <t>5044071287</t>
        </is>
      </c>
      <c r="E6092" s="13" t="inlineStr">
        <is>
          <t>ЮЛ РФ</t>
        </is>
      </c>
      <c r="F6092" s="13" t="n"/>
      <c r="G6092" s="14" t="n"/>
      <c r="H6092" s="14" t="n"/>
      <c r="I6092" s="14" t="n"/>
      <c r="J6092" s="14" t="n"/>
      <c r="K6092" s="53" t="inlineStr"/>
      <c r="L6092" s="53" t="inlineStr">
        <is>
          <t>Не определено</t>
        </is>
      </c>
      <c r="M6092" s="53" t="inlineStr"/>
      <c r="N6092" s="54" t="inlineStr"/>
      <c r="O6092" s="55" t="inlineStr"/>
      <c r="P6092" s="16" t="inlineStr">
        <is>
          <t>Требует обогащения</t>
        </is>
      </c>
      <c r="Q6092" s="16">
        <f>HYPERLINK("https://pb.nalog.ru/search.html?query=5044071287","ФНС: проверить")</f>
        <v/>
      </c>
      <c r="R6092" s="16">
        <f>HYPERLINK("https://checko.ru/search?query=3801001629","Чекко: проверить")</f>
        <v/>
      </c>
      <c r="S6092" t="n">
        <v>1</v>
      </c>
      <c r="T6092" s="35" t="inlineStr">
        <is>
          <t>4 — Не обогащён</t>
        </is>
      </c>
      <c r="U6092" s="35" t="inlineStr">
        <is>
          <t>Нет ОКВЭД/ССЧР</t>
        </is>
      </c>
      <c r="V6092" s="35" t="inlineStr">
        <is>
          <t>Не определено</t>
        </is>
      </c>
      <c r="W6092" s="35" t="inlineStr"/>
      <c r="X6092" s="35" t="inlineStr"/>
    </row>
    <row r="6093" ht="15" customHeight="1" s="24">
      <c r="A6093" s="13" t="n">
        <v>5000020972</v>
      </c>
      <c r="B6093" s="13" t="inlineStr">
        <is>
          <t>МБОУ ДО Менделеевская ДШИ</t>
        </is>
      </c>
      <c r="C6093" s="13" t="n">
        <v>5044034920</v>
      </c>
      <c r="D6093" s="13" t="inlineStr">
        <is>
          <t>5044034920</t>
        </is>
      </c>
      <c r="E6093" s="13" t="inlineStr">
        <is>
          <t>ЮЛ РФ</t>
        </is>
      </c>
      <c r="F6093" s="13" t="n"/>
      <c r="G6093" s="14" t="n"/>
      <c r="H6093" s="14" t="n"/>
      <c r="I6093" s="14" t="n"/>
      <c r="J6093" s="14" t="n"/>
      <c r="K6093" s="53" t="inlineStr"/>
      <c r="L6093" s="53" t="inlineStr">
        <is>
          <t>Не определено</t>
        </is>
      </c>
      <c r="M6093" s="53" t="inlineStr"/>
      <c r="N6093" s="54" t="inlineStr"/>
      <c r="O6093" s="55" t="inlineStr"/>
      <c r="P6093" s="16" t="inlineStr">
        <is>
          <t>Требует обогащения</t>
        </is>
      </c>
      <c r="Q6093" s="16">
        <f>HYPERLINK("https://pb.nalog.ru/search.html?query=5044034920","ФНС: проверить")</f>
        <v/>
      </c>
      <c r="R6093" s="16">
        <f>HYPERLINK("https://checko.ru/search?query=3801001629","Чекко: проверить")</f>
        <v/>
      </c>
      <c r="S6093" t="n">
        <v>1</v>
      </c>
      <c r="T6093" s="35" t="inlineStr">
        <is>
          <t>4 — Не обогащён</t>
        </is>
      </c>
      <c r="U6093" s="35" t="inlineStr">
        <is>
          <t>Нет ОКВЭД/ССЧР</t>
        </is>
      </c>
      <c r="V6093" s="35" t="inlineStr">
        <is>
          <t>Не определено</t>
        </is>
      </c>
      <c r="W6093" s="35" t="inlineStr"/>
      <c r="X6093" s="35" t="inlineStr"/>
    </row>
    <row r="6094" ht="15" customHeight="1" s="24">
      <c r="A6094" s="13" t="n">
        <v>5000020973</v>
      </c>
      <c r="B6094" s="13" t="inlineStr">
        <is>
          <t>МУ ДО "СДШИ"</t>
        </is>
      </c>
      <c r="C6094" s="13" t="n">
        <v>5044034863</v>
      </c>
      <c r="D6094" s="13" t="inlineStr">
        <is>
          <t>5044034863</t>
        </is>
      </c>
      <c r="E6094" s="13" t="inlineStr">
        <is>
          <t>ЮЛ РФ</t>
        </is>
      </c>
      <c r="F6094" s="13" t="n"/>
      <c r="G6094" s="14" t="n"/>
      <c r="H6094" s="14" t="n"/>
      <c r="I6094" s="14" t="n"/>
      <c r="J6094" s="14" t="n"/>
      <c r="K6094" s="53" t="inlineStr"/>
      <c r="L6094" s="53" t="inlineStr">
        <is>
          <t>Не определено</t>
        </is>
      </c>
      <c r="M6094" s="53" t="inlineStr"/>
      <c r="N6094" s="54" t="inlineStr"/>
      <c r="O6094" s="55" t="inlineStr"/>
      <c r="P6094" s="16" t="inlineStr">
        <is>
          <t>Требует обогащения</t>
        </is>
      </c>
      <c r="Q6094" s="16">
        <f>HYPERLINK("https://pb.nalog.ru/search.html?query=5044034863","ФНС: проверить")</f>
        <v/>
      </c>
      <c r="R6094" s="16">
        <f>HYPERLINK("https://checko.ru/search?query=3801001629","Чекко: проверить")</f>
        <v/>
      </c>
      <c r="S6094" t="n">
        <v>1</v>
      </c>
      <c r="T6094" s="35" t="inlineStr">
        <is>
          <t>4 — Не обогащён</t>
        </is>
      </c>
      <c r="U6094" s="35" t="inlineStr">
        <is>
          <t>Нет ОКВЭД/ССЧР</t>
        </is>
      </c>
      <c r="V6094" s="35" t="inlineStr">
        <is>
          <t>Не определено</t>
        </is>
      </c>
      <c r="W6094" s="35" t="inlineStr"/>
      <c r="X6094" s="35" t="inlineStr"/>
    </row>
    <row r="6095" ht="15" customHeight="1" s="24">
      <c r="A6095" s="13" t="n">
        <v>5000020974</v>
      </c>
      <c r="B6095" s="13" t="inlineStr">
        <is>
          <t>МУ ДО Сенежская ДШИ</t>
        </is>
      </c>
      <c r="C6095" s="13" t="n">
        <v>5044040458</v>
      </c>
      <c r="D6095" s="13" t="inlineStr">
        <is>
          <t>5044040458</t>
        </is>
      </c>
      <c r="E6095" s="13" t="inlineStr">
        <is>
          <t>ЮЛ РФ</t>
        </is>
      </c>
      <c r="F6095" s="13" t="n"/>
      <c r="G6095" s="14" t="n"/>
      <c r="H6095" s="14" t="n"/>
      <c r="I6095" s="14" t="n"/>
      <c r="J6095" s="14" t="n"/>
      <c r="K6095" s="53" t="inlineStr"/>
      <c r="L6095" s="53" t="inlineStr">
        <is>
          <t>Не определено</t>
        </is>
      </c>
      <c r="M6095" s="53" t="inlineStr"/>
      <c r="N6095" s="54" t="inlineStr"/>
      <c r="O6095" s="55" t="inlineStr"/>
      <c r="P6095" s="16" t="inlineStr">
        <is>
          <t>Требует обогащения</t>
        </is>
      </c>
      <c r="Q6095" s="16">
        <f>HYPERLINK("https://pb.nalog.ru/search.html?query=5044040458","ФНС: проверить")</f>
        <v/>
      </c>
      <c r="R6095" s="16">
        <f>HYPERLINK("https://checko.ru/search?query=3801001629","Чекко: проверить")</f>
        <v/>
      </c>
      <c r="S6095" t="n">
        <v>1</v>
      </c>
      <c r="T6095" s="35" t="inlineStr">
        <is>
          <t>4 — Не обогащён</t>
        </is>
      </c>
      <c r="U6095" s="35" t="inlineStr">
        <is>
          <t>Нет ОКВЭД/ССЧР</t>
        </is>
      </c>
      <c r="V6095" s="35" t="inlineStr">
        <is>
          <t>Не определено</t>
        </is>
      </c>
      <c r="W6095" s="35" t="inlineStr"/>
      <c r="X6095" s="35" t="inlineStr"/>
    </row>
    <row r="6096" ht="15" customHeight="1" s="24">
      <c r="A6096" s="13" t="n">
        <v>5000020975</v>
      </c>
      <c r="B6096" s="13" t="inlineStr">
        <is>
          <t>МУДО Тимоновская ДШИ</t>
        </is>
      </c>
      <c r="C6096" s="13" t="n">
        <v>5044034782</v>
      </c>
      <c r="D6096" s="13" t="inlineStr">
        <is>
          <t>5044034782</t>
        </is>
      </c>
      <c r="E6096" s="13" t="inlineStr">
        <is>
          <t>ЮЛ РФ</t>
        </is>
      </c>
      <c r="F6096" s="13" t="n"/>
      <c r="G6096" s="14" t="n"/>
      <c r="H6096" s="14" t="n"/>
      <c r="I6096" s="14" t="n"/>
      <c r="J6096" s="14" t="n"/>
      <c r="K6096" s="53" t="inlineStr"/>
      <c r="L6096" s="53" t="inlineStr">
        <is>
          <t>Не определено</t>
        </is>
      </c>
      <c r="M6096" s="53" t="inlineStr"/>
      <c r="N6096" s="54" t="inlineStr"/>
      <c r="O6096" s="55" t="inlineStr"/>
      <c r="P6096" s="16" t="inlineStr">
        <is>
          <t>Требует обогащения</t>
        </is>
      </c>
      <c r="Q6096" s="16">
        <f>HYPERLINK("https://pb.nalog.ru/search.html?query=5044034782","ФНС: проверить")</f>
        <v/>
      </c>
      <c r="R6096" s="16">
        <f>HYPERLINK("https://checko.ru/search?query=3801001629","Чекко: проверить")</f>
        <v/>
      </c>
      <c r="S6096" t="n">
        <v>1</v>
      </c>
      <c r="T6096" s="35" t="inlineStr">
        <is>
          <t>4 — Не обогащён</t>
        </is>
      </c>
      <c r="U6096" s="35" t="inlineStr">
        <is>
          <t>Нет ОКВЭД/ССЧР</t>
        </is>
      </c>
      <c r="V6096" s="35" t="inlineStr">
        <is>
          <t>Не определено</t>
        </is>
      </c>
      <c r="W6096" s="35" t="inlineStr"/>
      <c r="X6096" s="35" t="inlineStr"/>
    </row>
    <row r="6097" ht="27.75" customHeight="1" s="24">
      <c r="A6097" s="13" t="n">
        <v>5000090100</v>
      </c>
      <c r="B6097" s="13" t="inlineStr">
        <is>
          <t>МОУ "УСТЬ-КАРСКАЯ СРЕДНЯЯ ОБЩЕОБРАЗОВАТЕЛЬНАЯ ШКОЛА"</t>
        </is>
      </c>
      <c r="C6097" s="13" t="n">
        <v>7519002796</v>
      </c>
      <c r="D6097" s="13" t="inlineStr">
        <is>
          <t>7519002796</t>
        </is>
      </c>
      <c r="E6097" s="13" t="inlineStr">
        <is>
          <t>ЮЛ РФ</t>
        </is>
      </c>
      <c r="F6097" s="13" t="n"/>
      <c r="G6097" s="14" t="n"/>
      <c r="H6097" s="14" t="n"/>
      <c r="I6097" s="14" t="n"/>
      <c r="J6097" s="14" t="n"/>
      <c r="K6097" s="53" t="inlineStr"/>
      <c r="L6097" s="53" t="inlineStr">
        <is>
          <t>Не определено</t>
        </is>
      </c>
      <c r="M6097" s="53" t="inlineStr"/>
      <c r="N6097" s="54" t="inlineStr"/>
      <c r="O6097" s="55" t="inlineStr"/>
      <c r="P6097" s="16" t="inlineStr">
        <is>
          <t>Требует обогащения</t>
        </is>
      </c>
      <c r="Q6097" s="16">
        <f>HYPERLINK("https://pb.nalog.ru/search.html?query=7519002796","ФНС: проверить")</f>
        <v/>
      </c>
      <c r="R6097" s="16">
        <f>HYPERLINK("https://checko.ru/search?query=3801001629","Чекко: проверить")</f>
        <v/>
      </c>
      <c r="S6097" t="n">
        <v>1</v>
      </c>
      <c r="T6097" s="35" t="inlineStr">
        <is>
          <t>4 — Не обогащён</t>
        </is>
      </c>
      <c r="U6097" s="35" t="inlineStr">
        <is>
          <t>Нет ОКВЭД/ССЧР</t>
        </is>
      </c>
      <c r="V6097" s="35" t="inlineStr">
        <is>
          <t>Не определено</t>
        </is>
      </c>
      <c r="W6097" s="35" t="inlineStr"/>
      <c r="X6097" s="35" t="inlineStr"/>
    </row>
    <row r="6098" ht="27.75" customHeight="1" s="24">
      <c r="A6098" s="13" t="n">
        <v>5000048069</v>
      </c>
      <c r="B6098" s="13" t="inlineStr">
        <is>
          <t>МБОУ города Иркутска средняя общеобразовательная школа № 36</t>
        </is>
      </c>
      <c r="C6098" s="13" t="n">
        <v>3810024333</v>
      </c>
      <c r="D6098" s="13" t="inlineStr">
        <is>
          <t>3810024333</t>
        </is>
      </c>
      <c r="E6098" s="13" t="inlineStr">
        <is>
          <t>ЮЛ РФ</t>
        </is>
      </c>
      <c r="F6098" s="13" t="n"/>
      <c r="G6098" s="14" t="n"/>
      <c r="H6098" s="14" t="n"/>
      <c r="I6098" s="14" t="n"/>
      <c r="J6098" s="14" t="n"/>
      <c r="K6098" s="53" t="inlineStr"/>
      <c r="L6098" s="53" t="inlineStr">
        <is>
          <t>Не определено</t>
        </is>
      </c>
      <c r="M6098" s="53" t="inlineStr"/>
      <c r="N6098" s="54" t="inlineStr"/>
      <c r="O6098" s="55" t="inlineStr"/>
      <c r="P6098" s="16" t="inlineStr">
        <is>
          <t>Требует обогащения</t>
        </is>
      </c>
      <c r="Q6098" s="16">
        <f>HYPERLINK("https://pb.nalog.ru/search.html?query=3810024333","ФНС: проверить")</f>
        <v/>
      </c>
      <c r="R6098" s="16">
        <f>HYPERLINK("https://checko.ru/search?query=3801001629","Чекко: проверить")</f>
        <v/>
      </c>
      <c r="S6098" t="n">
        <v>1</v>
      </c>
      <c r="T6098" s="35" t="inlineStr">
        <is>
          <t>4 — Не обогащён</t>
        </is>
      </c>
      <c r="U6098" s="35" t="inlineStr">
        <is>
          <t>Нет ОКВЭД/ССЧР</t>
        </is>
      </c>
      <c r="V6098" s="35" t="inlineStr">
        <is>
          <t>Не определено</t>
        </is>
      </c>
      <c r="W6098" s="35" t="inlineStr"/>
      <c r="X6098" s="35" t="inlineStr"/>
    </row>
    <row r="6099" ht="27.75" customHeight="1" s="24">
      <c r="A6099" s="13" t="n">
        <v>5000048071</v>
      </c>
      <c r="B6099" s="13" t="inlineStr">
        <is>
          <t>МБОУ города Иркутска средняя общеобразовательная школа №43</t>
        </is>
      </c>
      <c r="C6099" s="13" t="n">
        <v>3810024816</v>
      </c>
      <c r="D6099" s="13" t="inlineStr">
        <is>
          <t>3810024816</t>
        </is>
      </c>
      <c r="E6099" s="13" t="inlineStr">
        <is>
          <t>ЮЛ РФ</t>
        </is>
      </c>
      <c r="F6099" s="13" t="n"/>
      <c r="G6099" s="14" t="n"/>
      <c r="H6099" s="14" t="n"/>
      <c r="I6099" s="14" t="n"/>
      <c r="J6099" s="14" t="n"/>
      <c r="K6099" s="53" t="inlineStr"/>
      <c r="L6099" s="53" t="inlineStr">
        <is>
          <t>Не определено</t>
        </is>
      </c>
      <c r="M6099" s="53" t="inlineStr"/>
      <c r="N6099" s="54" t="inlineStr"/>
      <c r="O6099" s="55" t="inlineStr"/>
      <c r="P6099" s="16" t="inlineStr">
        <is>
          <t>Требует обогащения</t>
        </is>
      </c>
      <c r="Q6099" s="16">
        <f>HYPERLINK("https://pb.nalog.ru/search.html?query=3810024816","ФНС: проверить")</f>
        <v/>
      </c>
      <c r="R6099" s="16">
        <f>HYPERLINK("https://checko.ru/search?query=3801001629","Чекко: проверить")</f>
        <v/>
      </c>
      <c r="S6099" t="n">
        <v>1</v>
      </c>
      <c r="T6099" s="35" t="inlineStr">
        <is>
          <t>4 — Не обогащён</t>
        </is>
      </c>
      <c r="U6099" s="35" t="inlineStr">
        <is>
          <t>Нет ОКВЭД/ССЧР</t>
        </is>
      </c>
      <c r="V6099" s="35" t="inlineStr">
        <is>
          <t>Не определено</t>
        </is>
      </c>
      <c r="W6099" s="35" t="inlineStr"/>
      <c r="X6099" s="35" t="inlineStr"/>
    </row>
    <row r="6100" ht="27.75" customHeight="1" s="24">
      <c r="A6100" s="13" t="n">
        <v>5000048072</v>
      </c>
      <c r="B6100" s="13" t="inlineStr">
        <is>
          <t>МБОУ ГОРОДА ИРКУТСКА СРЕДНЯЯ ОБЩЕОБРАЗОВАТЕЛЬНАЯ ШКОЛА № 45</t>
        </is>
      </c>
      <c r="C6100" s="13" t="n">
        <v>3810024090</v>
      </c>
      <c r="D6100" s="13" t="inlineStr">
        <is>
          <t>3810024090</t>
        </is>
      </c>
      <c r="E6100" s="13" t="inlineStr">
        <is>
          <t>ЮЛ РФ</t>
        </is>
      </c>
      <c r="F6100" s="13" t="n"/>
      <c r="G6100" s="14" t="n"/>
      <c r="H6100" s="14" t="n"/>
      <c r="I6100" s="14" t="n"/>
      <c r="J6100" s="14" t="n"/>
      <c r="K6100" s="53" t="inlineStr"/>
      <c r="L6100" s="53" t="inlineStr">
        <is>
          <t>Не определено</t>
        </is>
      </c>
      <c r="M6100" s="53" t="inlineStr"/>
      <c r="N6100" s="54" t="inlineStr"/>
      <c r="O6100" s="55" t="inlineStr"/>
      <c r="P6100" s="16" t="inlineStr">
        <is>
          <t>Требует обогащения</t>
        </is>
      </c>
      <c r="Q6100" s="16">
        <f>HYPERLINK("https://pb.nalog.ru/search.html?query=3810024090","ФНС: проверить")</f>
        <v/>
      </c>
      <c r="R6100" s="16">
        <f>HYPERLINK("https://checko.ru/search?query=3801001629","Чекко: проверить")</f>
        <v/>
      </c>
      <c r="S6100" t="n">
        <v>1</v>
      </c>
      <c r="T6100" s="35" t="inlineStr">
        <is>
          <t>4 — Не обогащён</t>
        </is>
      </c>
      <c r="U6100" s="35" t="inlineStr">
        <is>
          <t>Нет ОКВЭД/ССЧР</t>
        </is>
      </c>
      <c r="V6100" s="35" t="inlineStr">
        <is>
          <t>Не определено</t>
        </is>
      </c>
      <c r="W6100" s="35" t="inlineStr"/>
      <c r="X6100" s="35" t="inlineStr"/>
    </row>
    <row r="6101" ht="27.75" customHeight="1" s="24">
      <c r="A6101" s="13" t="n">
        <v>5000048076</v>
      </c>
      <c r="B6101" s="13" t="inlineStr">
        <is>
          <t>МБОУ города Иркутска вечерняя (сменная) общеобразовательная школа № 1</t>
        </is>
      </c>
      <c r="C6101" s="13" t="n">
        <v>3810024358</v>
      </c>
      <c r="D6101" s="13" t="inlineStr">
        <is>
          <t>3810024358</t>
        </is>
      </c>
      <c r="E6101" s="13" t="inlineStr">
        <is>
          <t>ЮЛ РФ</t>
        </is>
      </c>
      <c r="F6101" s="13" t="n"/>
      <c r="G6101" s="14" t="n"/>
      <c r="H6101" s="14" t="n"/>
      <c r="I6101" s="14" t="n"/>
      <c r="J6101" s="14" t="n"/>
      <c r="K6101" s="53" t="inlineStr"/>
      <c r="L6101" s="53" t="inlineStr">
        <is>
          <t>Не определено</t>
        </is>
      </c>
      <c r="M6101" s="53" t="inlineStr"/>
      <c r="N6101" s="54" t="inlineStr"/>
      <c r="O6101" s="55" t="inlineStr"/>
      <c r="P6101" s="16" t="inlineStr">
        <is>
          <t>Требует обогащения</t>
        </is>
      </c>
      <c r="Q6101" s="16">
        <f>HYPERLINK("https://pb.nalog.ru/search.html?query=3810024358","ФНС: проверить")</f>
        <v/>
      </c>
      <c r="R6101" s="16">
        <f>HYPERLINK("https://checko.ru/search?query=3801001629","Чекко: проверить")</f>
        <v/>
      </c>
      <c r="S6101" t="n">
        <v>1</v>
      </c>
      <c r="T6101" s="35" t="inlineStr">
        <is>
          <t>4 — Не обогащён</t>
        </is>
      </c>
      <c r="U6101" s="35" t="inlineStr">
        <is>
          <t>Нет ОКВЭД/ССЧР</t>
        </is>
      </c>
      <c r="V6101" s="35" t="inlineStr">
        <is>
          <t>Не определено</t>
        </is>
      </c>
      <c r="W6101" s="35" t="inlineStr"/>
      <c r="X6101" s="35" t="inlineStr"/>
    </row>
    <row r="6102" ht="27.75" customHeight="1" s="24">
      <c r="A6102" s="13" t="n">
        <v>5000090092</v>
      </c>
      <c r="B6102" s="13" t="inlineStr">
        <is>
          <t>МОУ "ВЕРХНЕКУЭНГИНСКАЯ ОСНОВНАЯ ОБЩЕОБРАЗОВАТЕЛЬНАЯ ШКОЛА"</t>
        </is>
      </c>
      <c r="C6102" s="13" t="n">
        <v>7519004401</v>
      </c>
      <c r="D6102" s="13" t="inlineStr">
        <is>
          <t>7519004401</t>
        </is>
      </c>
      <c r="E6102" s="13" t="inlineStr">
        <is>
          <t>ЮЛ РФ</t>
        </is>
      </c>
      <c r="F6102" s="13" t="n"/>
      <c r="G6102" s="14" t="n"/>
      <c r="H6102" s="14" t="n"/>
      <c r="I6102" s="14" t="n"/>
      <c r="J6102" s="14" t="n"/>
      <c r="K6102" s="53" t="inlineStr"/>
      <c r="L6102" s="53" t="inlineStr">
        <is>
          <t>Не определено</t>
        </is>
      </c>
      <c r="M6102" s="53" t="inlineStr"/>
      <c r="N6102" s="54" t="inlineStr"/>
      <c r="O6102" s="55" t="inlineStr"/>
      <c r="P6102" s="16" t="inlineStr">
        <is>
          <t>Требует обогащения</t>
        </is>
      </c>
      <c r="Q6102" s="16">
        <f>HYPERLINK("https://pb.nalog.ru/search.html?query=7519004401","ФНС: проверить")</f>
        <v/>
      </c>
      <c r="R6102" s="16">
        <f>HYPERLINK("https://checko.ru/search?query=3801001629","Чекко: проверить")</f>
        <v/>
      </c>
      <c r="S6102" t="n">
        <v>1</v>
      </c>
      <c r="T6102" s="35" t="inlineStr">
        <is>
          <t>4 — Не обогащён</t>
        </is>
      </c>
      <c r="U6102" s="35" t="inlineStr">
        <is>
          <t>Нет ОКВЭД/ССЧР</t>
        </is>
      </c>
      <c r="V6102" s="35" t="inlineStr">
        <is>
          <t>Не определено</t>
        </is>
      </c>
      <c r="W6102" s="35" t="inlineStr"/>
      <c r="X6102" s="35" t="inlineStr"/>
    </row>
    <row r="6103" ht="41.25" customHeight="1" s="24">
      <c r="A6103" s="13" t="n">
        <v>5000050859</v>
      </c>
      <c r="B6103" s="13" t="inlineStr">
        <is>
          <t>Комитет по управлению имуществом администрации городского поселения Солнечногорск</t>
        </is>
      </c>
      <c r="C6103" s="13" t="n">
        <v>5044010862</v>
      </c>
      <c r="D6103" s="13" t="inlineStr">
        <is>
          <t>5044010862</t>
        </is>
      </c>
      <c r="E6103" s="13" t="inlineStr">
        <is>
          <t>ЮЛ РФ</t>
        </is>
      </c>
      <c r="F6103" s="13" t="n"/>
      <c r="G6103" s="14" t="n"/>
      <c r="H6103" s="14" t="n"/>
      <c r="I6103" s="14" t="n"/>
      <c r="J6103" s="14" t="n"/>
      <c r="K6103" s="53" t="inlineStr"/>
      <c r="L6103" s="53" t="inlineStr">
        <is>
          <t>Не определено</t>
        </is>
      </c>
      <c r="M6103" s="53" t="inlineStr"/>
      <c r="N6103" s="54" t="inlineStr"/>
      <c r="O6103" s="55" t="inlineStr"/>
      <c r="P6103" s="16" t="inlineStr">
        <is>
          <t>Требует обогащения</t>
        </is>
      </c>
      <c r="Q6103" s="16">
        <f>HYPERLINK("https://pb.nalog.ru/search.html?query=5044010862","ФНС: проверить")</f>
        <v/>
      </c>
      <c r="R6103" s="16">
        <f>HYPERLINK("https://checko.ru/search?query=3801001629","Чекко: проверить")</f>
        <v/>
      </c>
      <c r="S6103" t="n">
        <v>1</v>
      </c>
      <c r="T6103" s="35" t="inlineStr">
        <is>
          <t>4 — Не обогащён</t>
        </is>
      </c>
      <c r="U6103" s="35" t="inlineStr">
        <is>
          <t>Нет ОКВЭД/ССЧР</t>
        </is>
      </c>
      <c r="V6103" s="35" t="inlineStr">
        <is>
          <t>Не определено</t>
        </is>
      </c>
      <c r="W6103" s="35" t="inlineStr"/>
      <c r="X6103" s="35" t="inlineStr"/>
    </row>
    <row r="6104" ht="15" customHeight="1" s="24">
      <c r="A6104" s="13" t="n">
        <v>5000050906</v>
      </c>
      <c r="B6104" s="13" t="inlineStr">
        <is>
          <t>МБОУ г. Иркутска СОШ №50</t>
        </is>
      </c>
      <c r="C6104" s="13" t="n">
        <v>3809024272</v>
      </c>
      <c r="D6104" s="13" t="inlineStr">
        <is>
          <t>3809024272</t>
        </is>
      </c>
      <c r="E6104" s="13" t="inlineStr">
        <is>
          <t>ЮЛ РФ</t>
        </is>
      </c>
      <c r="F6104" s="13" t="n"/>
      <c r="G6104" s="14" t="n"/>
      <c r="H6104" s="14" t="n"/>
      <c r="I6104" s="14" t="n"/>
      <c r="J6104" s="14" t="n"/>
      <c r="K6104" s="53" t="inlineStr"/>
      <c r="L6104" s="53" t="inlineStr">
        <is>
          <t>Не определено</t>
        </is>
      </c>
      <c r="M6104" s="53" t="inlineStr"/>
      <c r="N6104" s="54" t="inlineStr"/>
      <c r="O6104" s="55" t="inlineStr"/>
      <c r="P6104" s="16" t="inlineStr">
        <is>
          <t>Требует обогащения</t>
        </is>
      </c>
      <c r="Q6104" s="16">
        <f>HYPERLINK("https://pb.nalog.ru/search.html?query=3809024272","ФНС: проверить")</f>
        <v/>
      </c>
      <c r="R6104" s="16">
        <f>HYPERLINK("https://checko.ru/search?query=3801001629","Чекко: проверить")</f>
        <v/>
      </c>
      <c r="S6104" t="n">
        <v>1</v>
      </c>
      <c r="T6104" s="35" t="inlineStr">
        <is>
          <t>4 — Не обогащён</t>
        </is>
      </c>
      <c r="U6104" s="35" t="inlineStr">
        <is>
          <t>Нет ОКВЭД/ССЧР</t>
        </is>
      </c>
      <c r="V6104" s="35" t="inlineStr">
        <is>
          <t>Не определено</t>
        </is>
      </c>
      <c r="W6104" s="35" t="inlineStr"/>
      <c r="X6104" s="35" t="inlineStr"/>
    </row>
    <row r="6105" ht="27.75" customHeight="1" s="24">
      <c r="A6105" s="13" t="n">
        <v>5000048073</v>
      </c>
      <c r="B6105" s="13" t="inlineStr">
        <is>
          <t>МБОУ города Иркутска средняя общеобразовательная школа № 67</t>
        </is>
      </c>
      <c r="C6105" s="13" t="n">
        <v>3810024319</v>
      </c>
      <c r="D6105" s="13" t="inlineStr">
        <is>
          <t>3810024319</t>
        </is>
      </c>
      <c r="E6105" s="13" t="inlineStr">
        <is>
          <t>ЮЛ РФ</t>
        </is>
      </c>
      <c r="F6105" s="13" t="n"/>
      <c r="G6105" s="14" t="n"/>
      <c r="H6105" s="14" t="n"/>
      <c r="I6105" s="14" t="n"/>
      <c r="J6105" s="14" t="n"/>
      <c r="K6105" s="53" t="inlineStr"/>
      <c r="L6105" s="53" t="inlineStr">
        <is>
          <t>Не определено</t>
        </is>
      </c>
      <c r="M6105" s="53" t="inlineStr"/>
      <c r="N6105" s="54" t="inlineStr"/>
      <c r="O6105" s="55" t="inlineStr"/>
      <c r="P6105" s="16" t="inlineStr">
        <is>
          <t>Требует обогащения</t>
        </is>
      </c>
      <c r="Q6105" s="16">
        <f>HYPERLINK("https://pb.nalog.ru/search.html?query=3810024319","ФНС: проверить")</f>
        <v/>
      </c>
      <c r="R6105" s="16">
        <f>HYPERLINK("https://checko.ru/search?query=3801001629","Чекко: проверить")</f>
        <v/>
      </c>
      <c r="S6105" t="n">
        <v>1</v>
      </c>
      <c r="T6105" s="35" t="inlineStr">
        <is>
          <t>4 — Не обогащён</t>
        </is>
      </c>
      <c r="U6105" s="35" t="inlineStr">
        <is>
          <t>Нет ОКВЭД/ССЧР</t>
        </is>
      </c>
      <c r="V6105" s="35" t="inlineStr">
        <is>
          <t>Не определено</t>
        </is>
      </c>
      <c r="W6105" s="35" t="inlineStr"/>
      <c r="X6105" s="35" t="inlineStr"/>
    </row>
    <row r="6106" ht="27.75" customHeight="1" s="24">
      <c r="A6106" s="13" t="n">
        <v>5000048074</v>
      </c>
      <c r="B6106" s="13" t="inlineStr">
        <is>
          <t>МБОУ города Иркутска основная общеобразовательная школа № 68</t>
        </is>
      </c>
      <c r="C6106" s="13" t="n">
        <v>3810024291</v>
      </c>
      <c r="D6106" s="13" t="inlineStr">
        <is>
          <t>3810024291</t>
        </is>
      </c>
      <c r="E6106" s="13" t="inlineStr">
        <is>
          <t>ЮЛ РФ</t>
        </is>
      </c>
      <c r="F6106" s="13" t="n"/>
      <c r="G6106" s="14" t="n"/>
      <c r="H6106" s="14" t="n"/>
      <c r="I6106" s="14" t="n"/>
      <c r="J6106" s="14" t="n"/>
      <c r="K6106" s="53" t="inlineStr"/>
      <c r="L6106" s="53" t="inlineStr">
        <is>
          <t>Не определено</t>
        </is>
      </c>
      <c r="M6106" s="53" t="inlineStr"/>
      <c r="N6106" s="54" t="inlineStr"/>
      <c r="O6106" s="55" t="inlineStr"/>
      <c r="P6106" s="16" t="inlineStr">
        <is>
          <t>Требует обогащения</t>
        </is>
      </c>
      <c r="Q6106" s="16">
        <f>HYPERLINK("https://pb.nalog.ru/search.html?query=3810024291","ФНС: проверить")</f>
        <v/>
      </c>
      <c r="R6106" s="16">
        <f>HYPERLINK("https://checko.ru/search?query=3801001629","Чекко: проверить")</f>
        <v/>
      </c>
      <c r="S6106" t="n">
        <v>1</v>
      </c>
      <c r="T6106" s="35" t="inlineStr">
        <is>
          <t>4 — Не обогащён</t>
        </is>
      </c>
      <c r="U6106" s="35" t="inlineStr">
        <is>
          <t>Нет ОКВЭД/ССЧР</t>
        </is>
      </c>
      <c r="V6106" s="35" t="inlineStr">
        <is>
          <t>Не определено</t>
        </is>
      </c>
      <c r="W6106" s="35" t="inlineStr"/>
      <c r="X6106" s="35" t="inlineStr"/>
    </row>
    <row r="6107" ht="27.75" customHeight="1" s="24">
      <c r="A6107" s="13" t="n">
        <v>5000048067</v>
      </c>
      <c r="B6107" s="13" t="inlineStr">
        <is>
          <t>МБОУ ГОРОДА ИРКУТСКА СРЕДНЯЯ ОБЩЕОБРАЗОВАТЕЛЬНАЯ ШКОЛА № 7</t>
        </is>
      </c>
      <c r="C6107" s="13" t="n">
        <v>3810023548</v>
      </c>
      <c r="D6107" s="13" t="inlineStr">
        <is>
          <t>3810023548</t>
        </is>
      </c>
      <c r="E6107" s="13" t="inlineStr">
        <is>
          <t>ЮЛ РФ</t>
        </is>
      </c>
      <c r="F6107" s="13" t="n"/>
      <c r="G6107" s="14" t="n"/>
      <c r="H6107" s="14" t="n"/>
      <c r="I6107" s="14" t="n"/>
      <c r="J6107" s="14" t="n"/>
      <c r="K6107" s="53" t="inlineStr"/>
      <c r="L6107" s="53" t="inlineStr">
        <is>
          <t>Не определено</t>
        </is>
      </c>
      <c r="M6107" s="53" t="inlineStr"/>
      <c r="N6107" s="54" t="inlineStr"/>
      <c r="O6107" s="55" t="inlineStr"/>
      <c r="P6107" s="16" t="inlineStr">
        <is>
          <t>Требует обогащения</t>
        </is>
      </c>
      <c r="Q6107" s="16">
        <f>HYPERLINK("https://pb.nalog.ru/search.html?query=3810023548","ФНС: проверить")</f>
        <v/>
      </c>
      <c r="R6107" s="16">
        <f>HYPERLINK("https://checko.ru/search?query=3801001629","Чекко: проверить")</f>
        <v/>
      </c>
      <c r="S6107" t="n">
        <v>1</v>
      </c>
      <c r="T6107" s="35" t="inlineStr">
        <is>
          <t>4 — Не обогащён</t>
        </is>
      </c>
      <c r="U6107" s="35" t="inlineStr">
        <is>
          <t>Нет ОКВЭД/ССЧР</t>
        </is>
      </c>
      <c r="V6107" s="35" t="inlineStr">
        <is>
          <t>Не определено</t>
        </is>
      </c>
      <c r="W6107" s="35" t="inlineStr"/>
      <c r="X6107" s="35" t="inlineStr"/>
    </row>
    <row r="6108" ht="15" customHeight="1" s="24">
      <c r="A6108" s="13" t="n">
        <v>5000081558</v>
      </c>
      <c r="B6108" s="13" t="inlineStr">
        <is>
          <t>МБОУ г. Иркутска СОШ № 66</t>
        </is>
      </c>
      <c r="C6108" s="13" t="n">
        <v>3809024530</v>
      </c>
      <c r="D6108" s="13" t="inlineStr">
        <is>
          <t>3809024530</t>
        </is>
      </c>
      <c r="E6108" s="13" t="inlineStr">
        <is>
          <t>ЮЛ РФ</t>
        </is>
      </c>
      <c r="F6108" s="13" t="n"/>
      <c r="G6108" s="14" t="n"/>
      <c r="H6108" s="14" t="n"/>
      <c r="I6108" s="14" t="n"/>
      <c r="J6108" s="14" t="n"/>
      <c r="K6108" s="53" t="inlineStr"/>
      <c r="L6108" s="53" t="inlineStr">
        <is>
          <t>Не определено</t>
        </is>
      </c>
      <c r="M6108" s="53" t="inlineStr"/>
      <c r="N6108" s="54" t="inlineStr"/>
      <c r="O6108" s="55" t="inlineStr"/>
      <c r="P6108" s="16" t="inlineStr">
        <is>
          <t>Требует обогащения</t>
        </is>
      </c>
      <c r="Q6108" s="16">
        <f>HYPERLINK("https://pb.nalog.ru/search.html?query=3809024530","ФНС: проверить")</f>
        <v/>
      </c>
      <c r="R6108" s="16">
        <f>HYPERLINK("https://checko.ru/search?query=3801001629","Чекко: проверить")</f>
        <v/>
      </c>
      <c r="S6108" t="n">
        <v>1</v>
      </c>
      <c r="T6108" s="35" t="inlineStr">
        <is>
          <t>4 — Не обогащён</t>
        </is>
      </c>
      <c r="U6108" s="35" t="inlineStr">
        <is>
          <t>Нет ОКВЭД/ССЧР</t>
        </is>
      </c>
      <c r="V6108" s="35" t="inlineStr">
        <is>
          <t>Не определено</t>
        </is>
      </c>
      <c r="W6108" s="35" t="inlineStr"/>
      <c r="X6108" s="35" t="inlineStr"/>
    </row>
    <row r="6109" ht="15" customHeight="1" s="24">
      <c r="A6109" s="13" t="n">
        <v>5000029283</v>
      </c>
      <c r="B6109" s="13" t="inlineStr">
        <is>
          <t>МКУ "Административное управление"</t>
        </is>
      </c>
      <c r="C6109" s="13" t="n">
        <v>5044115375</v>
      </c>
      <c r="D6109" s="13" t="inlineStr">
        <is>
          <t>5044115375</t>
        </is>
      </c>
      <c r="E6109" s="13" t="inlineStr">
        <is>
          <t>ЮЛ РФ</t>
        </is>
      </c>
      <c r="F6109" s="13" t="n"/>
      <c r="G6109" s="14" t="n"/>
      <c r="H6109" s="14" t="n"/>
      <c r="I6109" s="14" t="n"/>
      <c r="J6109" s="14" t="n"/>
      <c r="K6109" s="53" t="inlineStr"/>
      <c r="L6109" s="53" t="inlineStr">
        <is>
          <t>Не определено</t>
        </is>
      </c>
      <c r="M6109" s="53" t="inlineStr"/>
      <c r="N6109" s="54" t="inlineStr"/>
      <c r="O6109" s="55" t="inlineStr"/>
      <c r="P6109" s="16" t="inlineStr">
        <is>
          <t>Требует обогащения</t>
        </is>
      </c>
      <c r="Q6109" s="16">
        <f>HYPERLINK("https://pb.nalog.ru/search.html?query=5044115375","ФНС: проверить")</f>
        <v/>
      </c>
      <c r="R6109" s="16">
        <f>HYPERLINK("https://checko.ru/search?query=3801001629","Чекко: проверить")</f>
        <v/>
      </c>
      <c r="S6109" t="n">
        <v>1</v>
      </c>
      <c r="T6109" s="35" t="inlineStr">
        <is>
          <t>4 — Не обогащён</t>
        </is>
      </c>
      <c r="U6109" s="35" t="inlineStr">
        <is>
          <t>Нет ОКВЭД/ССЧР</t>
        </is>
      </c>
      <c r="V6109" s="35" t="inlineStr">
        <is>
          <t>Не определено</t>
        </is>
      </c>
      <c r="W6109" s="35" t="inlineStr"/>
      <c r="X6109" s="35" t="inlineStr"/>
    </row>
    <row r="6110" ht="15" customHeight="1" s="24">
      <c r="A6110" s="13" t="n">
        <v>5000029282</v>
      </c>
      <c r="B6110" s="13" t="inlineStr">
        <is>
          <t>МКУ "Мой бизнес"</t>
        </is>
      </c>
      <c r="C6110" s="13" t="n">
        <v>5044115368</v>
      </c>
      <c r="D6110" s="13" t="inlineStr">
        <is>
          <t>5044115368</t>
        </is>
      </c>
      <c r="E6110" s="13" t="inlineStr">
        <is>
          <t>ЮЛ РФ</t>
        </is>
      </c>
      <c r="F6110" s="13" t="n"/>
      <c r="G6110" s="14" t="n"/>
      <c r="H6110" s="14" t="n"/>
      <c r="I6110" s="14" t="n"/>
      <c r="J6110" s="14" t="n"/>
      <c r="K6110" s="53" t="inlineStr"/>
      <c r="L6110" s="53" t="inlineStr">
        <is>
          <t>Не определено</t>
        </is>
      </c>
      <c r="M6110" s="53" t="inlineStr"/>
      <c r="N6110" s="54" t="inlineStr"/>
      <c r="O6110" s="55" t="inlineStr"/>
      <c r="P6110" s="16" t="inlineStr">
        <is>
          <t>Требует обогащения</t>
        </is>
      </c>
      <c r="Q6110" s="16">
        <f>HYPERLINK("https://pb.nalog.ru/search.html?query=5044115368","ФНС: проверить")</f>
        <v/>
      </c>
      <c r="R6110" s="16">
        <f>HYPERLINK("https://checko.ru/search?query=3801001629","Чекко: проверить")</f>
        <v/>
      </c>
      <c r="S6110" t="n">
        <v>1</v>
      </c>
      <c r="T6110" s="35" t="inlineStr">
        <is>
          <t>4 — Не обогащён</t>
        </is>
      </c>
      <c r="U6110" s="35" t="inlineStr">
        <is>
          <t>Нет ОКВЭД/ССЧР</t>
        </is>
      </c>
      <c r="V6110" s="35" t="inlineStr">
        <is>
          <t>Не определено</t>
        </is>
      </c>
      <c r="W6110" s="35" t="inlineStr"/>
      <c r="X6110" s="35" t="inlineStr"/>
    </row>
    <row r="6111" ht="54.75" customHeight="1" s="24">
      <c r="A6111" s="13" t="n">
        <v>5000116613</v>
      </c>
      <c r="B6111" s="13" t="inlineStr">
        <is>
          <t>Муниципальное бюджетное учреждение "многофункциональный центр предоставления государственных и муниципальных услуг солнечногорского муниципального рай</t>
        </is>
      </c>
      <c r="C6111" s="13" t="n">
        <v>5044090530</v>
      </c>
      <c r="D6111" s="13" t="inlineStr">
        <is>
          <t>5044090530</t>
        </is>
      </c>
      <c r="E6111" s="13" t="inlineStr">
        <is>
          <t>ЮЛ РФ</t>
        </is>
      </c>
      <c r="F6111" s="13" t="n"/>
      <c r="G6111" s="14" t="n"/>
      <c r="H6111" s="14" t="n"/>
      <c r="I6111" s="14" t="n"/>
      <c r="J6111" s="14" t="n"/>
      <c r="K6111" s="53" t="inlineStr"/>
      <c r="L6111" s="53" t="inlineStr">
        <is>
          <t>Не определено</t>
        </is>
      </c>
      <c r="M6111" s="53" t="inlineStr"/>
      <c r="N6111" s="54" t="inlineStr"/>
      <c r="O6111" s="55" t="inlineStr"/>
      <c r="P6111" s="16" t="inlineStr">
        <is>
          <t>Требует обогащения</t>
        </is>
      </c>
      <c r="Q6111" s="16">
        <f>HYPERLINK("https://pb.nalog.ru/search.html?query=5044090530","ФНС: проверить")</f>
        <v/>
      </c>
      <c r="R6111" s="16">
        <f>HYPERLINK("https://checko.ru/search?query=3801001629","Чекко: проверить")</f>
        <v/>
      </c>
      <c r="S6111" t="n">
        <v>1</v>
      </c>
      <c r="T6111" s="35" t="inlineStr">
        <is>
          <t>4 — Не обогащён</t>
        </is>
      </c>
      <c r="U6111" s="35" t="inlineStr">
        <is>
          <t>Нет ОКВЭД/ССЧР</t>
        </is>
      </c>
      <c r="V6111" s="35" t="inlineStr">
        <is>
          <t>Не определено</t>
        </is>
      </c>
      <c r="W6111" s="35" t="inlineStr"/>
      <c r="X6111" s="35" t="inlineStr"/>
    </row>
    <row r="6112" ht="15" customHeight="1" s="24">
      <c r="A6112" s="13" t="n">
        <v>5000050876</v>
      </c>
      <c r="B6112" s="13" t="inlineStr">
        <is>
          <t>МБДОУ Г. ИРКУТСКА ДЕТСКИЙ САД №12</t>
        </is>
      </c>
      <c r="C6112" s="13" t="n">
        <v>3809023840</v>
      </c>
      <c r="D6112" s="13" t="inlineStr">
        <is>
          <t>3809023840</t>
        </is>
      </c>
      <c r="E6112" s="13" t="inlineStr">
        <is>
          <t>ЮЛ РФ</t>
        </is>
      </c>
      <c r="F6112" s="13" t="n"/>
      <c r="G6112" s="14" t="n"/>
      <c r="H6112" s="14" t="n"/>
      <c r="I6112" s="14" t="n"/>
      <c r="J6112" s="14" t="n"/>
      <c r="K6112" s="53" t="inlineStr"/>
      <c r="L6112" s="53" t="inlineStr">
        <is>
          <t>Не определено</t>
        </is>
      </c>
      <c r="M6112" s="53" t="inlineStr"/>
      <c r="N6112" s="54" t="inlineStr"/>
      <c r="O6112" s="55" t="inlineStr"/>
      <c r="P6112" s="16" t="inlineStr">
        <is>
          <t>Требует обогащения</t>
        </is>
      </c>
      <c r="Q6112" s="16">
        <f>HYPERLINK("https://pb.nalog.ru/search.html?query=3809023840","ФНС: проверить")</f>
        <v/>
      </c>
      <c r="R6112" s="16">
        <f>HYPERLINK("https://checko.ru/search?query=3801001629","Чекко: проверить")</f>
        <v/>
      </c>
      <c r="S6112" t="n">
        <v>1</v>
      </c>
      <c r="T6112" s="35" t="inlineStr">
        <is>
          <t>4 — Не обогащён</t>
        </is>
      </c>
      <c r="U6112" s="35" t="inlineStr">
        <is>
          <t>Нет ОКВЭД/ССЧР</t>
        </is>
      </c>
      <c r="V6112" s="35" t="inlineStr">
        <is>
          <t>Не определено</t>
        </is>
      </c>
      <c r="W6112" s="35" t="inlineStr"/>
      <c r="X6112" s="35" t="inlineStr"/>
    </row>
    <row r="6113" ht="15" customHeight="1" s="24">
      <c r="A6113" s="13" t="n">
        <v>5000050878</v>
      </c>
      <c r="B6113" s="13" t="inlineStr">
        <is>
          <t>МБДОУ г. Иркутска детский сад № 24</t>
        </is>
      </c>
      <c r="C6113" s="13" t="n">
        <v>3808047823</v>
      </c>
      <c r="D6113" s="13" t="inlineStr">
        <is>
          <t>3808047823</t>
        </is>
      </c>
      <c r="E6113" s="13" t="inlineStr">
        <is>
          <t>ЮЛ РФ</t>
        </is>
      </c>
      <c r="F6113" s="13" t="n"/>
      <c r="G6113" s="14" t="n"/>
      <c r="H6113" s="14" t="n"/>
      <c r="I6113" s="14" t="n"/>
      <c r="J6113" s="14" t="n"/>
      <c r="K6113" s="53" t="inlineStr"/>
      <c r="L6113" s="53" t="inlineStr">
        <is>
          <t>Не определено</t>
        </is>
      </c>
      <c r="M6113" s="53" t="inlineStr"/>
      <c r="N6113" s="54" t="inlineStr"/>
      <c r="O6113" s="55" t="inlineStr"/>
      <c r="P6113" s="16" t="inlineStr">
        <is>
          <t>Требует обогащения</t>
        </is>
      </c>
      <c r="Q6113" s="16">
        <f>HYPERLINK("https://pb.nalog.ru/search.html?query=3808047823","ФНС: проверить")</f>
        <v/>
      </c>
      <c r="R6113" s="16">
        <f>HYPERLINK("https://checko.ru/search?query=3801001629","Чекко: проверить")</f>
        <v/>
      </c>
      <c r="S6113" t="n">
        <v>1</v>
      </c>
      <c r="T6113" s="35" t="inlineStr">
        <is>
          <t>4 — Не обогащён</t>
        </is>
      </c>
      <c r="U6113" s="35" t="inlineStr">
        <is>
          <t>Нет ОКВЭД/ССЧР</t>
        </is>
      </c>
      <c r="V6113" s="35" t="inlineStr">
        <is>
          <t>Не определено</t>
        </is>
      </c>
      <c r="W6113" s="35" t="inlineStr"/>
      <c r="X6113" s="35" t="inlineStr"/>
    </row>
    <row r="6114" ht="15" customHeight="1" s="24">
      <c r="A6114" s="13" t="n">
        <v>5000050879</v>
      </c>
      <c r="B6114" s="13" t="inlineStr">
        <is>
          <t>МБДОУ г. Иркутска детский сад № 25</t>
        </is>
      </c>
      <c r="C6114" s="13" t="n">
        <v>3809024000</v>
      </c>
      <c r="D6114" s="13" t="inlineStr">
        <is>
          <t>3809024000</t>
        </is>
      </c>
      <c r="E6114" s="13" t="inlineStr">
        <is>
          <t>ЮЛ РФ</t>
        </is>
      </c>
      <c r="F6114" s="13" t="n"/>
      <c r="G6114" s="14" t="n"/>
      <c r="H6114" s="14" t="n"/>
      <c r="I6114" s="14" t="n"/>
      <c r="J6114" s="14" t="n"/>
      <c r="K6114" s="53" t="inlineStr"/>
      <c r="L6114" s="53" t="inlineStr">
        <is>
          <t>Не определено</t>
        </is>
      </c>
      <c r="M6114" s="53" t="inlineStr"/>
      <c r="N6114" s="54" t="inlineStr"/>
      <c r="O6114" s="55" t="inlineStr"/>
      <c r="P6114" s="16" t="inlineStr">
        <is>
          <t>Требует обогащения</t>
        </is>
      </c>
      <c r="Q6114" s="16">
        <f>HYPERLINK("https://pb.nalog.ru/search.html?query=3809024000","ФНС: проверить")</f>
        <v/>
      </c>
      <c r="R6114" s="16">
        <f>HYPERLINK("https://checko.ru/search?query=3801001629","Чекко: проверить")</f>
        <v/>
      </c>
      <c r="S6114" t="n">
        <v>1</v>
      </c>
      <c r="T6114" s="35" t="inlineStr">
        <is>
          <t>4 — Не обогащён</t>
        </is>
      </c>
      <c r="U6114" s="35" t="inlineStr">
        <is>
          <t>Нет ОКВЭД/ССЧР</t>
        </is>
      </c>
      <c r="V6114" s="35" t="inlineStr">
        <is>
          <t>Не определено</t>
        </is>
      </c>
      <c r="W6114" s="35" t="inlineStr"/>
      <c r="X6114" s="35" t="inlineStr"/>
    </row>
    <row r="6115" ht="15" customHeight="1" s="24">
      <c r="A6115" s="13" t="n">
        <v>5000050880</v>
      </c>
      <c r="B6115" s="13" t="inlineStr">
        <is>
          <t>МБДОУ г. Иркутска детский сад № 31</t>
        </is>
      </c>
      <c r="C6115" s="13" t="n">
        <v>3808051354</v>
      </c>
      <c r="D6115" s="13" t="inlineStr">
        <is>
          <t>3808051354</t>
        </is>
      </c>
      <c r="E6115" s="13" t="inlineStr">
        <is>
          <t>ЮЛ РФ</t>
        </is>
      </c>
      <c r="F6115" s="13" t="n"/>
      <c r="G6115" s="14" t="n"/>
      <c r="H6115" s="14" t="n"/>
      <c r="I6115" s="14" t="n"/>
      <c r="J6115" s="14" t="n"/>
      <c r="K6115" s="53" t="inlineStr"/>
      <c r="L6115" s="53" t="inlineStr">
        <is>
          <t>Не определено</t>
        </is>
      </c>
      <c r="M6115" s="53" t="inlineStr"/>
      <c r="N6115" s="54" t="inlineStr"/>
      <c r="O6115" s="55" t="inlineStr"/>
      <c r="P6115" s="16" t="inlineStr">
        <is>
          <t>Требует обогащения</t>
        </is>
      </c>
      <c r="Q6115" s="16">
        <f>HYPERLINK("https://pb.nalog.ru/search.html?query=3808051354","ФНС: проверить")</f>
        <v/>
      </c>
      <c r="R6115" s="16">
        <f>HYPERLINK("https://checko.ru/search?query=3801001629","Чекко: проверить")</f>
        <v/>
      </c>
      <c r="S6115" t="n">
        <v>1</v>
      </c>
      <c r="T6115" s="35" t="inlineStr">
        <is>
          <t>4 — Не обогащён</t>
        </is>
      </c>
      <c r="U6115" s="35" t="inlineStr">
        <is>
          <t>Нет ОКВЭД/ССЧР</t>
        </is>
      </c>
      <c r="V6115" s="35" t="inlineStr">
        <is>
          <t>Не определено</t>
        </is>
      </c>
      <c r="W6115" s="35" t="inlineStr"/>
      <c r="X6115" s="35" t="inlineStr"/>
    </row>
    <row r="6116" ht="15" customHeight="1" s="24">
      <c r="A6116" s="13" t="n">
        <v>5000050881</v>
      </c>
      <c r="B6116" s="13" t="inlineStr">
        <is>
          <t>МБДОУ Г. ИРКУТСКА ДЕТСКИЙ САД №35</t>
        </is>
      </c>
      <c r="C6116" s="13" t="n">
        <v>3808047936</v>
      </c>
      <c r="D6116" s="13" t="inlineStr">
        <is>
          <t>3808047936</t>
        </is>
      </c>
      <c r="E6116" s="13" t="inlineStr">
        <is>
          <t>ЮЛ РФ</t>
        </is>
      </c>
      <c r="F6116" s="13" t="n"/>
      <c r="G6116" s="14" t="n"/>
      <c r="H6116" s="14" t="n"/>
      <c r="I6116" s="14" t="n"/>
      <c r="J6116" s="14" t="n"/>
      <c r="K6116" s="53" t="inlineStr"/>
      <c r="L6116" s="53" t="inlineStr">
        <is>
          <t>Не определено</t>
        </is>
      </c>
      <c r="M6116" s="53" t="inlineStr"/>
      <c r="N6116" s="54" t="inlineStr"/>
      <c r="O6116" s="55" t="inlineStr"/>
      <c r="P6116" s="16" t="inlineStr">
        <is>
          <t>Требует обогащения</t>
        </is>
      </c>
      <c r="Q6116" s="16">
        <f>HYPERLINK("https://pb.nalog.ru/search.html?query=3808047936","ФНС: проверить")</f>
        <v/>
      </c>
      <c r="R6116" s="16">
        <f>HYPERLINK("https://checko.ru/search?query=3801001629","Чекко: проверить")</f>
        <v/>
      </c>
      <c r="S6116" t="n">
        <v>1</v>
      </c>
      <c r="T6116" s="35" t="inlineStr">
        <is>
          <t>4 — Не обогащён</t>
        </is>
      </c>
      <c r="U6116" s="35" t="inlineStr">
        <is>
          <t>Нет ОКВЭД/ССЧР</t>
        </is>
      </c>
      <c r="V6116" s="35" t="inlineStr">
        <is>
          <t>Не определено</t>
        </is>
      </c>
      <c r="W6116" s="35" t="inlineStr"/>
      <c r="X6116" s="35" t="inlineStr"/>
    </row>
    <row r="6117" ht="15" customHeight="1" s="24">
      <c r="A6117" s="13" t="n">
        <v>5000050882</v>
      </c>
      <c r="B6117" s="13" t="inlineStr">
        <is>
          <t>МБДОУ Г. ИРКУТСКА ДЕТСКИЙ САД № 41</t>
        </is>
      </c>
      <c r="C6117" s="13" t="n">
        <v>3808049549</v>
      </c>
      <c r="D6117" s="13" t="inlineStr">
        <is>
          <t>3808049549</t>
        </is>
      </c>
      <c r="E6117" s="13" t="inlineStr">
        <is>
          <t>ЮЛ РФ</t>
        </is>
      </c>
      <c r="F6117" s="13" t="n"/>
      <c r="G6117" s="14" t="n"/>
      <c r="H6117" s="14" t="n"/>
      <c r="I6117" s="14" t="n"/>
      <c r="J6117" s="14" t="n"/>
      <c r="K6117" s="53" t="inlineStr"/>
      <c r="L6117" s="53" t="inlineStr">
        <is>
          <t>Не определено</t>
        </is>
      </c>
      <c r="M6117" s="53" t="inlineStr"/>
      <c r="N6117" s="54" t="inlineStr"/>
      <c r="O6117" s="55" t="inlineStr"/>
      <c r="P6117" s="16" t="inlineStr">
        <is>
          <t>Требует обогащения</t>
        </is>
      </c>
      <c r="Q6117" s="16">
        <f>HYPERLINK("https://pb.nalog.ru/search.html?query=3808049549","ФНС: проверить")</f>
        <v/>
      </c>
      <c r="R6117" s="16">
        <f>HYPERLINK("https://checko.ru/search?query=3801001629","Чекко: проверить")</f>
        <v/>
      </c>
      <c r="S6117" t="n">
        <v>1</v>
      </c>
      <c r="T6117" s="35" t="inlineStr">
        <is>
          <t>4 — Не обогащён</t>
        </is>
      </c>
      <c r="U6117" s="35" t="inlineStr">
        <is>
          <t>Нет ОКВЭД/ССЧР</t>
        </is>
      </c>
      <c r="V6117" s="35" t="inlineStr">
        <is>
          <t>Не определено</t>
        </is>
      </c>
      <c r="W6117" s="35" t="inlineStr"/>
      <c r="X6117" s="35" t="inlineStr"/>
    </row>
    <row r="6118" ht="15" customHeight="1" s="24">
      <c r="A6118" s="13" t="n">
        <v>5000050883</v>
      </c>
      <c r="B6118" s="13" t="inlineStr">
        <is>
          <t>МБДОУ Г. ИРКУТСКА ДЕТСКИЙ САД № 44</t>
        </is>
      </c>
      <c r="C6118" s="13" t="n">
        <v>3809024346</v>
      </c>
      <c r="D6118" s="13" t="inlineStr">
        <is>
          <t>3809024346</t>
        </is>
      </c>
      <c r="E6118" s="13" t="inlineStr">
        <is>
          <t>ЮЛ РФ</t>
        </is>
      </c>
      <c r="F6118" s="13" t="n"/>
      <c r="G6118" s="14" t="n"/>
      <c r="H6118" s="14" t="n"/>
      <c r="I6118" s="14" t="n"/>
      <c r="J6118" s="14" t="n"/>
      <c r="K6118" s="53" t="inlineStr"/>
      <c r="L6118" s="53" t="inlineStr">
        <is>
          <t>Не определено</t>
        </is>
      </c>
      <c r="M6118" s="53" t="inlineStr"/>
      <c r="N6118" s="54" t="inlineStr"/>
      <c r="O6118" s="55" t="inlineStr"/>
      <c r="P6118" s="16" t="inlineStr">
        <is>
          <t>Требует обогащения</t>
        </is>
      </c>
      <c r="Q6118" s="16">
        <f>HYPERLINK("https://pb.nalog.ru/search.html?query=3809024346","ФНС: проверить")</f>
        <v/>
      </c>
      <c r="R6118" s="16">
        <f>HYPERLINK("https://checko.ru/search?query=3801001629","Чекко: проверить")</f>
        <v/>
      </c>
      <c r="S6118" t="n">
        <v>1</v>
      </c>
      <c r="T6118" s="35" t="inlineStr">
        <is>
          <t>4 — Не обогащён</t>
        </is>
      </c>
      <c r="U6118" s="35" t="inlineStr">
        <is>
          <t>Нет ОКВЭД/ССЧР</t>
        </is>
      </c>
      <c r="V6118" s="35" t="inlineStr">
        <is>
          <t>Не определено</t>
        </is>
      </c>
      <c r="W6118" s="35" t="inlineStr"/>
      <c r="X6118" s="35" t="inlineStr"/>
    </row>
    <row r="6119" ht="15" customHeight="1" s="24">
      <c r="A6119" s="13" t="n">
        <v>5000050884</v>
      </c>
      <c r="B6119" s="13" t="inlineStr">
        <is>
          <t>МБДОУ г. Иркутска детский сад № 68</t>
        </is>
      </c>
      <c r="C6119" s="13" t="n">
        <v>3809023790</v>
      </c>
      <c r="D6119" s="13" t="inlineStr">
        <is>
          <t>3809023790</t>
        </is>
      </c>
      <c r="E6119" s="13" t="inlineStr">
        <is>
          <t>ЮЛ РФ</t>
        </is>
      </c>
      <c r="F6119" s="13" t="n"/>
      <c r="G6119" s="14" t="n"/>
      <c r="H6119" s="14" t="n"/>
      <c r="I6119" s="14" t="n"/>
      <c r="J6119" s="14" t="n"/>
      <c r="K6119" s="53" t="inlineStr"/>
      <c r="L6119" s="53" t="inlineStr">
        <is>
          <t>Не определено</t>
        </is>
      </c>
      <c r="M6119" s="53" t="inlineStr"/>
      <c r="N6119" s="54" t="inlineStr"/>
      <c r="O6119" s="55" t="inlineStr"/>
      <c r="P6119" s="16" t="inlineStr">
        <is>
          <t>Требует обогащения</t>
        </is>
      </c>
      <c r="Q6119" s="16">
        <f>HYPERLINK("https://pb.nalog.ru/search.html?query=3809023790","ФНС: проверить")</f>
        <v/>
      </c>
      <c r="R6119" s="16">
        <f>HYPERLINK("https://checko.ru/search?query=3801001629","Чекко: проверить")</f>
        <v/>
      </c>
      <c r="S6119" t="n">
        <v>1</v>
      </c>
      <c r="T6119" s="35" t="inlineStr">
        <is>
          <t>4 — Не обогащён</t>
        </is>
      </c>
      <c r="U6119" s="35" t="inlineStr">
        <is>
          <t>Нет ОКВЭД/ССЧР</t>
        </is>
      </c>
      <c r="V6119" s="35" t="inlineStr">
        <is>
          <t>Не определено</t>
        </is>
      </c>
      <c r="W6119" s="35" t="inlineStr"/>
      <c r="X6119" s="35" t="inlineStr"/>
    </row>
    <row r="6120" ht="15" customHeight="1" s="24">
      <c r="A6120" s="13" t="n">
        <v>5000050885</v>
      </c>
      <c r="B6120" s="13" t="inlineStr">
        <is>
          <t>МБДОУ Г. ИРКУТСКА ДЕТСКИЙ САД № 80</t>
        </is>
      </c>
      <c r="C6120" s="13" t="n">
        <v>3809023889</v>
      </c>
      <c r="D6120" s="13" t="inlineStr">
        <is>
          <t>3809023889</t>
        </is>
      </c>
      <c r="E6120" s="13" t="inlineStr">
        <is>
          <t>ЮЛ РФ</t>
        </is>
      </c>
      <c r="F6120" s="13" t="n"/>
      <c r="G6120" s="14" t="n"/>
      <c r="H6120" s="14" t="n"/>
      <c r="I6120" s="14" t="n"/>
      <c r="J6120" s="14" t="n"/>
      <c r="K6120" s="53" t="inlineStr"/>
      <c r="L6120" s="53" t="inlineStr">
        <is>
          <t>Не определено</t>
        </is>
      </c>
      <c r="M6120" s="53" t="inlineStr"/>
      <c r="N6120" s="54" t="inlineStr"/>
      <c r="O6120" s="55" t="inlineStr"/>
      <c r="P6120" s="16" t="inlineStr">
        <is>
          <t>Требует обогащения</t>
        </is>
      </c>
      <c r="Q6120" s="16">
        <f>HYPERLINK("https://pb.nalog.ru/search.html?query=3809023889","ФНС: проверить")</f>
        <v/>
      </c>
      <c r="R6120" s="16">
        <f>HYPERLINK("https://checko.ru/search?query=3801001629","Чекко: проверить")</f>
        <v/>
      </c>
      <c r="S6120" t="n">
        <v>1</v>
      </c>
      <c r="T6120" s="35" t="inlineStr">
        <is>
          <t>4 — Не обогащён</t>
        </is>
      </c>
      <c r="U6120" s="35" t="inlineStr">
        <is>
          <t>Нет ОКВЭД/ССЧР</t>
        </is>
      </c>
      <c r="V6120" s="35" t="inlineStr">
        <is>
          <t>Не определено</t>
        </is>
      </c>
      <c r="W6120" s="35" t="inlineStr"/>
      <c r="X6120" s="35" t="inlineStr"/>
    </row>
    <row r="6121" ht="15" customHeight="1" s="24">
      <c r="A6121" s="13" t="n">
        <v>5000050886</v>
      </c>
      <c r="B6121" s="13" t="inlineStr">
        <is>
          <t>МБДОУ Г. ИРКУТСКА ДЕТСКИЙ САД № 82</t>
        </is>
      </c>
      <c r="C6121" s="13" t="n">
        <v>3808048143</v>
      </c>
      <c r="D6121" s="13" t="inlineStr">
        <is>
          <t>3808048143</t>
        </is>
      </c>
      <c r="E6121" s="13" t="inlineStr">
        <is>
          <t>ЮЛ РФ</t>
        </is>
      </c>
      <c r="F6121" s="13" t="n"/>
      <c r="G6121" s="14" t="n"/>
      <c r="H6121" s="14" t="n"/>
      <c r="I6121" s="14" t="n"/>
      <c r="J6121" s="14" t="n"/>
      <c r="K6121" s="53" t="inlineStr"/>
      <c r="L6121" s="53" t="inlineStr">
        <is>
          <t>Не определено</t>
        </is>
      </c>
      <c r="M6121" s="53" t="inlineStr"/>
      <c r="N6121" s="54" t="inlineStr"/>
      <c r="O6121" s="55" t="inlineStr"/>
      <c r="P6121" s="16" t="inlineStr">
        <is>
          <t>Требует обогащения</t>
        </is>
      </c>
      <c r="Q6121" s="16">
        <f>HYPERLINK("https://pb.nalog.ru/search.html?query=3808048143","ФНС: проверить")</f>
        <v/>
      </c>
      <c r="R6121" s="16">
        <f>HYPERLINK("https://checko.ru/search?query=3801001629","Чекко: проверить")</f>
        <v/>
      </c>
      <c r="S6121" t="n">
        <v>1</v>
      </c>
      <c r="T6121" s="35" t="inlineStr">
        <is>
          <t>4 — Не обогащён</t>
        </is>
      </c>
      <c r="U6121" s="35" t="inlineStr">
        <is>
          <t>Нет ОКВЭД/ССЧР</t>
        </is>
      </c>
      <c r="V6121" s="35" t="inlineStr">
        <is>
          <t>Не определено</t>
        </is>
      </c>
      <c r="W6121" s="35" t="inlineStr"/>
      <c r="X6121" s="35" t="inlineStr"/>
    </row>
    <row r="6122" ht="15" customHeight="1" s="24">
      <c r="A6122" s="13" t="n">
        <v>5000050887</v>
      </c>
      <c r="B6122" s="13" t="inlineStr">
        <is>
          <t>МБДОУ Г. ИРКУТСКА ДЕТСКИЙ САД № 94</t>
        </is>
      </c>
      <c r="C6122" s="13" t="n">
        <v>3808047894</v>
      </c>
      <c r="D6122" s="13" t="inlineStr">
        <is>
          <t>3808047894</t>
        </is>
      </c>
      <c r="E6122" s="13" t="inlineStr">
        <is>
          <t>ЮЛ РФ</t>
        </is>
      </c>
      <c r="F6122" s="13" t="n"/>
      <c r="G6122" s="14" t="n"/>
      <c r="H6122" s="14" t="n"/>
      <c r="I6122" s="14" t="n"/>
      <c r="J6122" s="14" t="n"/>
      <c r="K6122" s="53" t="inlineStr"/>
      <c r="L6122" s="53" t="inlineStr">
        <is>
          <t>Не определено</t>
        </is>
      </c>
      <c r="M6122" s="53" t="inlineStr"/>
      <c r="N6122" s="54" t="inlineStr"/>
      <c r="O6122" s="55" t="inlineStr"/>
      <c r="P6122" s="16" t="inlineStr">
        <is>
          <t>Требует обогащения</t>
        </is>
      </c>
      <c r="Q6122" s="16">
        <f>HYPERLINK("https://pb.nalog.ru/search.html?query=3808047894","ФНС: проверить")</f>
        <v/>
      </c>
      <c r="R6122" s="16">
        <f>HYPERLINK("https://checko.ru/search?query=3801001629","Чекко: проверить")</f>
        <v/>
      </c>
      <c r="S6122" t="n">
        <v>1</v>
      </c>
      <c r="T6122" s="35" t="inlineStr">
        <is>
          <t>4 — Не обогащён</t>
        </is>
      </c>
      <c r="U6122" s="35" t="inlineStr">
        <is>
          <t>Нет ОКВЭД/ССЧР</t>
        </is>
      </c>
      <c r="V6122" s="35" t="inlineStr">
        <is>
          <t>Не определено</t>
        </is>
      </c>
      <c r="W6122" s="35" t="inlineStr"/>
      <c r="X6122" s="35" t="inlineStr"/>
    </row>
    <row r="6123" ht="15" customHeight="1" s="24">
      <c r="A6123" s="13" t="n">
        <v>5000050888</v>
      </c>
      <c r="B6123" s="13" t="inlineStr">
        <is>
          <t>МБДОУ г. Иркутска детский сад № 100 "Берегиня"</t>
        </is>
      </c>
      <c r="C6123" s="13" t="n">
        <v>3809023504</v>
      </c>
      <c r="D6123" s="13" t="inlineStr">
        <is>
          <t>3809023504</t>
        </is>
      </c>
      <c r="E6123" s="13" t="inlineStr">
        <is>
          <t>ЮЛ РФ</t>
        </is>
      </c>
      <c r="F6123" s="13" t="n"/>
      <c r="G6123" s="14" t="n"/>
      <c r="H6123" s="14" t="n"/>
      <c r="I6123" s="14" t="n"/>
      <c r="J6123" s="14" t="n"/>
      <c r="K6123" s="53" t="inlineStr"/>
      <c r="L6123" s="53" t="inlineStr">
        <is>
          <t>Не определено</t>
        </is>
      </c>
      <c r="M6123" s="53" t="inlineStr"/>
      <c r="N6123" s="54" t="inlineStr"/>
      <c r="O6123" s="55" t="inlineStr"/>
      <c r="P6123" s="16" t="inlineStr">
        <is>
          <t>Требует обогащения</t>
        </is>
      </c>
      <c r="Q6123" s="16">
        <f>HYPERLINK("https://pb.nalog.ru/search.html?query=3809023504","ФНС: проверить")</f>
        <v/>
      </c>
      <c r="R6123" s="16">
        <f>HYPERLINK("https://checko.ru/search?query=3801001629","Чекко: проверить")</f>
        <v/>
      </c>
      <c r="S6123" t="n">
        <v>1</v>
      </c>
      <c r="T6123" s="35" t="inlineStr">
        <is>
          <t>4 — Не обогащён</t>
        </is>
      </c>
      <c r="U6123" s="35" t="inlineStr">
        <is>
          <t>Нет ОКВЭД/ССЧР</t>
        </is>
      </c>
      <c r="V6123" s="35" t="inlineStr">
        <is>
          <t>Не определено</t>
        </is>
      </c>
      <c r="W6123" s="35" t="inlineStr"/>
      <c r="X6123" s="35" t="inlineStr"/>
    </row>
    <row r="6124" ht="15" customHeight="1" s="24">
      <c r="A6124" s="13" t="n">
        <v>5000050889</v>
      </c>
      <c r="B6124" s="13" t="inlineStr">
        <is>
          <t>МБДОУ Г. ИРКУТСКА ДЕТСКИЙ САД № 101</t>
        </is>
      </c>
      <c r="C6124" s="13" t="n">
        <v>3808050135</v>
      </c>
      <c r="D6124" s="13" t="inlineStr">
        <is>
          <t>3808050135</t>
        </is>
      </c>
      <c r="E6124" s="13" t="inlineStr">
        <is>
          <t>ЮЛ РФ</t>
        </is>
      </c>
      <c r="F6124" s="13" t="n"/>
      <c r="G6124" s="14" t="n"/>
      <c r="H6124" s="14" t="n"/>
      <c r="I6124" s="14" t="n"/>
      <c r="J6124" s="14" t="n"/>
      <c r="K6124" s="53" t="inlineStr"/>
      <c r="L6124" s="53" t="inlineStr">
        <is>
          <t>Не определено</t>
        </is>
      </c>
      <c r="M6124" s="53" t="inlineStr"/>
      <c r="N6124" s="54" t="inlineStr"/>
      <c r="O6124" s="55" t="inlineStr"/>
      <c r="P6124" s="16" t="inlineStr">
        <is>
          <t>Требует обогащения</t>
        </is>
      </c>
      <c r="Q6124" s="16">
        <f>HYPERLINK("https://pb.nalog.ru/search.html?query=3808050135","ФНС: проверить")</f>
        <v/>
      </c>
      <c r="R6124" s="16">
        <f>HYPERLINK("https://checko.ru/search?query=3801001629","Чекко: проверить")</f>
        <v/>
      </c>
      <c r="S6124" t="n">
        <v>1</v>
      </c>
      <c r="T6124" s="35" t="inlineStr">
        <is>
          <t>4 — Не обогащён</t>
        </is>
      </c>
      <c r="U6124" s="35" t="inlineStr">
        <is>
          <t>Нет ОКВЭД/ССЧР</t>
        </is>
      </c>
      <c r="V6124" s="35" t="inlineStr">
        <is>
          <t>Не определено</t>
        </is>
      </c>
      <c r="W6124" s="35" t="inlineStr"/>
      <c r="X6124" s="35" t="inlineStr"/>
    </row>
    <row r="6125" ht="15" customHeight="1" s="24">
      <c r="A6125" s="13" t="n">
        <v>5000050890</v>
      </c>
      <c r="B6125" s="13" t="inlineStr">
        <is>
          <t>МБДОУ г.Иркутска детский сад №102</t>
        </is>
      </c>
      <c r="C6125" s="13" t="n">
        <v>3808052510</v>
      </c>
      <c r="D6125" s="13" t="inlineStr">
        <is>
          <t>3808052510</t>
        </is>
      </c>
      <c r="E6125" s="13" t="inlineStr">
        <is>
          <t>ЮЛ РФ</t>
        </is>
      </c>
      <c r="F6125" s="13" t="n"/>
      <c r="G6125" s="14" t="n"/>
      <c r="H6125" s="14" t="n"/>
      <c r="I6125" s="14" t="n"/>
      <c r="J6125" s="14" t="n"/>
      <c r="K6125" s="53" t="inlineStr"/>
      <c r="L6125" s="53" t="inlineStr">
        <is>
          <t>Не определено</t>
        </is>
      </c>
      <c r="M6125" s="53" t="inlineStr"/>
      <c r="N6125" s="54" t="inlineStr"/>
      <c r="O6125" s="55" t="inlineStr"/>
      <c r="P6125" s="16" t="inlineStr">
        <is>
          <t>Требует обогащения</t>
        </is>
      </c>
      <c r="Q6125" s="16">
        <f>HYPERLINK("https://pb.nalog.ru/search.html?query=3808052510","ФНС: проверить")</f>
        <v/>
      </c>
      <c r="R6125" s="16">
        <f>HYPERLINK("https://checko.ru/search?query=3801001629","Чекко: проверить")</f>
        <v/>
      </c>
      <c r="S6125" t="n">
        <v>1</v>
      </c>
      <c r="T6125" s="35" t="inlineStr">
        <is>
          <t>4 — Не обогащён</t>
        </is>
      </c>
      <c r="U6125" s="35" t="inlineStr">
        <is>
          <t>Нет ОКВЭД/ССЧР</t>
        </is>
      </c>
      <c r="V6125" s="35" t="inlineStr">
        <is>
          <t>Не определено</t>
        </is>
      </c>
      <c r="W6125" s="35" t="inlineStr"/>
      <c r="X6125" s="35" t="inlineStr"/>
    </row>
    <row r="6126" ht="15" customHeight="1" s="24">
      <c r="A6126" s="13" t="n">
        <v>5000050891</v>
      </c>
      <c r="B6126" s="13" t="inlineStr">
        <is>
          <t>МБДОУ ДЕТСКИЙ САД №108</t>
        </is>
      </c>
      <c r="C6126" s="13" t="n">
        <v>3808051347</v>
      </c>
      <c r="D6126" s="13" t="inlineStr">
        <is>
          <t>3808051347</t>
        </is>
      </c>
      <c r="E6126" s="13" t="inlineStr">
        <is>
          <t>ЮЛ РФ</t>
        </is>
      </c>
      <c r="F6126" s="13" t="n"/>
      <c r="G6126" s="14" t="n"/>
      <c r="H6126" s="14" t="n"/>
      <c r="I6126" s="14" t="n"/>
      <c r="J6126" s="14" t="n"/>
      <c r="K6126" s="53" t="inlineStr"/>
      <c r="L6126" s="53" t="inlineStr">
        <is>
          <t>Не определено</t>
        </is>
      </c>
      <c r="M6126" s="53" t="inlineStr"/>
      <c r="N6126" s="54" t="inlineStr"/>
      <c r="O6126" s="55" t="inlineStr"/>
      <c r="P6126" s="16" t="inlineStr">
        <is>
          <t>Требует обогащения</t>
        </is>
      </c>
      <c r="Q6126" s="16">
        <f>HYPERLINK("https://pb.nalog.ru/search.html?query=3808051347","ФНС: проверить")</f>
        <v/>
      </c>
      <c r="R6126" s="16">
        <f>HYPERLINK("https://checko.ru/search?query=3801001629","Чекко: проверить")</f>
        <v/>
      </c>
      <c r="S6126" t="n">
        <v>1</v>
      </c>
      <c r="T6126" s="35" t="inlineStr">
        <is>
          <t>4 — Не обогащён</t>
        </is>
      </c>
      <c r="U6126" s="35" t="inlineStr">
        <is>
          <t>Нет ОКВЭД/ССЧР</t>
        </is>
      </c>
      <c r="V6126" s="35" t="inlineStr">
        <is>
          <t>Не определено</t>
        </is>
      </c>
      <c r="W6126" s="35" t="inlineStr"/>
      <c r="X6126" s="35" t="inlineStr"/>
    </row>
    <row r="6127" ht="15" customHeight="1" s="24">
      <c r="A6127" s="13" t="n">
        <v>5000050893</v>
      </c>
      <c r="B6127" s="13" t="inlineStr">
        <is>
          <t>МБДОУ детский сад №118 г.Иркутска</t>
        </is>
      </c>
      <c r="C6127" s="13" t="n">
        <v>3809023945</v>
      </c>
      <c r="D6127" s="13" t="inlineStr">
        <is>
          <t>3809023945</t>
        </is>
      </c>
      <c r="E6127" s="13" t="inlineStr">
        <is>
          <t>ЮЛ РФ</t>
        </is>
      </c>
      <c r="F6127" s="13" t="n"/>
      <c r="G6127" s="14" t="n"/>
      <c r="H6127" s="14" t="n"/>
      <c r="I6127" s="14" t="n"/>
      <c r="J6127" s="14" t="n"/>
      <c r="K6127" s="53" t="inlineStr"/>
      <c r="L6127" s="53" t="inlineStr">
        <is>
          <t>Не определено</t>
        </is>
      </c>
      <c r="M6127" s="53" t="inlineStr"/>
      <c r="N6127" s="54" t="inlineStr"/>
      <c r="O6127" s="55" t="inlineStr"/>
      <c r="P6127" s="16" t="inlineStr">
        <is>
          <t>Требует обогащения</t>
        </is>
      </c>
      <c r="Q6127" s="16">
        <f>HYPERLINK("https://pb.nalog.ru/search.html?query=3809023945","ФНС: проверить")</f>
        <v/>
      </c>
      <c r="R6127" s="16">
        <f>HYPERLINK("https://checko.ru/search?query=3801001629","Чекко: проверить")</f>
        <v/>
      </c>
      <c r="S6127" t="n">
        <v>1</v>
      </c>
      <c r="T6127" s="35" t="inlineStr">
        <is>
          <t>4 — Не обогащён</t>
        </is>
      </c>
      <c r="U6127" s="35" t="inlineStr">
        <is>
          <t>Нет ОКВЭД/ССЧР</t>
        </is>
      </c>
      <c r="V6127" s="35" t="inlineStr">
        <is>
          <t>Не определено</t>
        </is>
      </c>
      <c r="W6127" s="35" t="inlineStr"/>
      <c r="X6127" s="35" t="inlineStr"/>
    </row>
    <row r="6128" ht="27.75" customHeight="1" s="24">
      <c r="A6128" s="13" t="n">
        <v>5000050894</v>
      </c>
      <c r="B6128" s="13" t="inlineStr">
        <is>
          <t>МБДОУ Г. ИРКУТСКА ДЕТСКИЙ САД № 127 "БЕРЁЗКА"</t>
        </is>
      </c>
      <c r="C6128" s="13" t="n">
        <v>3809023712</v>
      </c>
      <c r="D6128" s="13" t="inlineStr">
        <is>
          <t>3809023712</t>
        </is>
      </c>
      <c r="E6128" s="13" t="inlineStr">
        <is>
          <t>ЮЛ РФ</t>
        </is>
      </c>
      <c r="F6128" s="13" t="n"/>
      <c r="G6128" s="14" t="n"/>
      <c r="H6128" s="14" t="n"/>
      <c r="I6128" s="14" t="n"/>
      <c r="J6128" s="14" t="n"/>
      <c r="K6128" s="53" t="inlineStr"/>
      <c r="L6128" s="53" t="inlineStr">
        <is>
          <t>Не определено</t>
        </is>
      </c>
      <c r="M6128" s="53" t="inlineStr"/>
      <c r="N6128" s="54" t="inlineStr"/>
      <c r="O6128" s="55" t="inlineStr"/>
      <c r="P6128" s="16" t="inlineStr">
        <is>
          <t>Требует обогащения</t>
        </is>
      </c>
      <c r="Q6128" s="16">
        <f>HYPERLINK("https://pb.nalog.ru/search.html?query=3809023712","ФНС: проверить")</f>
        <v/>
      </c>
      <c r="R6128" s="16">
        <f>HYPERLINK("https://checko.ru/search?query=3801001629","Чекко: проверить")</f>
        <v/>
      </c>
      <c r="S6128" t="n">
        <v>1</v>
      </c>
      <c r="T6128" s="35" t="inlineStr">
        <is>
          <t>4 — Не обогащён</t>
        </is>
      </c>
      <c r="U6128" s="35" t="inlineStr">
        <is>
          <t>Нет ОКВЭД/ССЧР</t>
        </is>
      </c>
      <c r="V6128" s="35" t="inlineStr">
        <is>
          <t>Не определено</t>
        </is>
      </c>
      <c r="W6128" s="35" t="inlineStr"/>
      <c r="X6128" s="35" t="inlineStr"/>
    </row>
    <row r="6129" ht="15" customHeight="1" s="24">
      <c r="A6129" s="13" t="n">
        <v>5000050895</v>
      </c>
      <c r="B6129" s="13" t="inlineStr">
        <is>
          <t>МБДОУ ГОРОДА ИРКУТСКА ДЕТСКИЙ САД № 147</t>
        </is>
      </c>
      <c r="C6129" s="13" t="n">
        <v>3808048023</v>
      </c>
      <c r="D6129" s="13" t="inlineStr">
        <is>
          <t>3808048023</t>
        </is>
      </c>
      <c r="E6129" s="13" t="inlineStr">
        <is>
          <t>ЮЛ РФ</t>
        </is>
      </c>
      <c r="F6129" s="13" t="n"/>
      <c r="G6129" s="14" t="n"/>
      <c r="H6129" s="14" t="n"/>
      <c r="I6129" s="14" t="n"/>
      <c r="J6129" s="14" t="n"/>
      <c r="K6129" s="53" t="inlineStr"/>
      <c r="L6129" s="53" t="inlineStr">
        <is>
          <t>Не определено</t>
        </is>
      </c>
      <c r="M6129" s="53" t="inlineStr"/>
      <c r="N6129" s="54" t="inlineStr"/>
      <c r="O6129" s="55" t="inlineStr"/>
      <c r="P6129" s="16" t="inlineStr">
        <is>
          <t>Требует обогащения</t>
        </is>
      </c>
      <c r="Q6129" s="16">
        <f>HYPERLINK("https://pb.nalog.ru/search.html?query=3808048023","ФНС: проверить")</f>
        <v/>
      </c>
      <c r="R6129" s="16">
        <f>HYPERLINK("https://checko.ru/search?query=3801001629","Чекко: проверить")</f>
        <v/>
      </c>
      <c r="S6129" t="n">
        <v>1</v>
      </c>
      <c r="T6129" s="35" t="inlineStr">
        <is>
          <t>4 — Не обогащён</t>
        </is>
      </c>
      <c r="U6129" s="35" t="inlineStr">
        <is>
          <t>Нет ОКВЭД/ССЧР</t>
        </is>
      </c>
      <c r="V6129" s="35" t="inlineStr">
        <is>
          <t>Не определено</t>
        </is>
      </c>
      <c r="W6129" s="35" t="inlineStr"/>
      <c r="X6129" s="35" t="inlineStr"/>
    </row>
    <row r="6130" ht="15" customHeight="1" s="24">
      <c r="A6130" s="13" t="n">
        <v>5000050896</v>
      </c>
      <c r="B6130" s="13" t="inlineStr">
        <is>
          <t>МБДОУ Г.ИРКУТСКА ДЕТСКИЙ САД № 151</t>
        </is>
      </c>
      <c r="C6130" s="13" t="n">
        <v>3808048055</v>
      </c>
      <c r="D6130" s="13" t="inlineStr">
        <is>
          <t>3808048055</t>
        </is>
      </c>
      <c r="E6130" s="13" t="inlineStr">
        <is>
          <t>ЮЛ РФ</t>
        </is>
      </c>
      <c r="F6130" s="13" t="n"/>
      <c r="G6130" s="14" t="n"/>
      <c r="H6130" s="14" t="n"/>
      <c r="I6130" s="14" t="n"/>
      <c r="J6130" s="14" t="n"/>
      <c r="K6130" s="53" t="inlineStr"/>
      <c r="L6130" s="53" t="inlineStr">
        <is>
          <t>Не определено</t>
        </is>
      </c>
      <c r="M6130" s="53" t="inlineStr"/>
      <c r="N6130" s="54" t="inlineStr"/>
      <c r="O6130" s="55" t="inlineStr"/>
      <c r="P6130" s="16" t="inlineStr">
        <is>
          <t>Требует обогащения</t>
        </is>
      </c>
      <c r="Q6130" s="16">
        <f>HYPERLINK("https://pb.nalog.ru/search.html?query=3808048055","ФНС: проверить")</f>
        <v/>
      </c>
      <c r="R6130" s="16">
        <f>HYPERLINK("https://checko.ru/search?query=3801001629","Чекко: проверить")</f>
        <v/>
      </c>
      <c r="S6130" t="n">
        <v>1</v>
      </c>
      <c r="T6130" s="35" t="inlineStr">
        <is>
          <t>4 — Не обогащён</t>
        </is>
      </c>
      <c r="U6130" s="35" t="inlineStr">
        <is>
          <t>Нет ОКВЭД/ССЧР</t>
        </is>
      </c>
      <c r="V6130" s="35" t="inlineStr">
        <is>
          <t>Не определено</t>
        </is>
      </c>
      <c r="W6130" s="35" t="inlineStr"/>
      <c r="X6130" s="35" t="inlineStr"/>
    </row>
    <row r="6131" ht="15" customHeight="1" s="24">
      <c r="A6131" s="13" t="n">
        <v>5000050897</v>
      </c>
      <c r="B6131" s="13" t="inlineStr">
        <is>
          <t>МБДОУ Г. ИРКУТСКА ДЕТСКИЙ САД № 156</t>
        </is>
      </c>
      <c r="C6131" s="13" t="n">
        <v>3809024314</v>
      </c>
      <c r="D6131" s="13" t="inlineStr">
        <is>
          <t>3809024314</t>
        </is>
      </c>
      <c r="E6131" s="13" t="inlineStr">
        <is>
          <t>ЮЛ РФ</t>
        </is>
      </c>
      <c r="F6131" s="13" t="n"/>
      <c r="G6131" s="14" t="n"/>
      <c r="H6131" s="14" t="n"/>
      <c r="I6131" s="14" t="n"/>
      <c r="J6131" s="14" t="n"/>
      <c r="K6131" s="53" t="inlineStr"/>
      <c r="L6131" s="53" t="inlineStr">
        <is>
          <t>Не определено</t>
        </is>
      </c>
      <c r="M6131" s="53" t="inlineStr"/>
      <c r="N6131" s="54" t="inlineStr"/>
      <c r="O6131" s="55" t="inlineStr"/>
      <c r="P6131" s="16" t="inlineStr">
        <is>
          <t>Требует обогащения</t>
        </is>
      </c>
      <c r="Q6131" s="16">
        <f>HYPERLINK("https://pb.nalog.ru/search.html?query=3809024314","ФНС: проверить")</f>
        <v/>
      </c>
      <c r="R6131" s="16">
        <f>HYPERLINK("https://checko.ru/search?query=3801001629","Чекко: проверить")</f>
        <v/>
      </c>
      <c r="S6131" t="n">
        <v>1</v>
      </c>
      <c r="T6131" s="35" t="inlineStr">
        <is>
          <t>4 — Не обогащён</t>
        </is>
      </c>
      <c r="U6131" s="35" t="inlineStr">
        <is>
          <t>Нет ОКВЭД/ССЧР</t>
        </is>
      </c>
      <c r="V6131" s="35" t="inlineStr">
        <is>
          <t>Не определено</t>
        </is>
      </c>
      <c r="W6131" s="35" t="inlineStr"/>
      <c r="X6131" s="35" t="inlineStr"/>
    </row>
    <row r="6132" ht="15" customHeight="1" s="24">
      <c r="A6132" s="13" t="n">
        <v>5000050898</v>
      </c>
      <c r="B6132" s="13" t="inlineStr">
        <is>
          <t>МБДОУ г. Иркутска детский сад "Сказка"</t>
        </is>
      </c>
      <c r="C6132" s="13" t="n">
        <v>3808055550</v>
      </c>
      <c r="D6132" s="13" t="inlineStr">
        <is>
          <t>3808055550</t>
        </is>
      </c>
      <c r="E6132" s="13" t="inlineStr">
        <is>
          <t>ЮЛ РФ</t>
        </is>
      </c>
      <c r="F6132" s="13" t="n"/>
      <c r="G6132" s="14" t="n"/>
      <c r="H6132" s="14" t="n"/>
      <c r="I6132" s="14" t="n"/>
      <c r="J6132" s="14" t="n"/>
      <c r="K6132" s="53" t="inlineStr"/>
      <c r="L6132" s="53" t="inlineStr">
        <is>
          <t>Не определено</t>
        </is>
      </c>
      <c r="M6132" s="53" t="inlineStr"/>
      <c r="N6132" s="54" t="inlineStr"/>
      <c r="O6132" s="55" t="inlineStr"/>
      <c r="P6132" s="16" t="inlineStr">
        <is>
          <t>Требует обогащения</t>
        </is>
      </c>
      <c r="Q6132" s="16">
        <f>HYPERLINK("https://pb.nalog.ru/search.html?query=3808055550","ФНС: проверить")</f>
        <v/>
      </c>
      <c r="R6132" s="16">
        <f>HYPERLINK("https://checko.ru/search?query=3801001629","Чекко: проверить")</f>
        <v/>
      </c>
      <c r="S6132" t="n">
        <v>1</v>
      </c>
      <c r="T6132" s="35" t="inlineStr">
        <is>
          <t>4 — Не обогащён</t>
        </is>
      </c>
      <c r="U6132" s="35" t="inlineStr">
        <is>
          <t>Нет ОКВЭД/ССЧР</t>
        </is>
      </c>
      <c r="V6132" s="35" t="inlineStr">
        <is>
          <t>Не определено</t>
        </is>
      </c>
      <c r="W6132" s="35" t="inlineStr"/>
      <c r="X6132" s="35" t="inlineStr"/>
    </row>
    <row r="6133" ht="27.75" customHeight="1" s="24">
      <c r="A6133" s="13" t="n">
        <v>5000050899</v>
      </c>
      <c r="B6133" s="13" t="inlineStr">
        <is>
          <t>МБДОУ ГОРОДА ИРКУТСКА ДЕТСКИЙ САД № 172 "РАДУГА"</t>
        </is>
      </c>
      <c r="C6133" s="13" t="n">
        <v>3849007428</v>
      </c>
      <c r="D6133" s="13" t="inlineStr">
        <is>
          <t>3849007428</t>
        </is>
      </c>
      <c r="E6133" s="13" t="inlineStr">
        <is>
          <t>ЮЛ РФ</t>
        </is>
      </c>
      <c r="F6133" s="13" t="n"/>
      <c r="G6133" s="14" t="n"/>
      <c r="H6133" s="14" t="n"/>
      <c r="I6133" s="14" t="n"/>
      <c r="J6133" s="14" t="n"/>
      <c r="K6133" s="53" t="inlineStr"/>
      <c r="L6133" s="53" t="inlineStr">
        <is>
          <t>Не определено</t>
        </is>
      </c>
      <c r="M6133" s="53" t="inlineStr"/>
      <c r="N6133" s="54" t="inlineStr"/>
      <c r="O6133" s="55" t="inlineStr"/>
      <c r="P6133" s="16" t="inlineStr">
        <is>
          <t>Требует обогащения</t>
        </is>
      </c>
      <c r="Q6133" s="16">
        <f>HYPERLINK("https://pb.nalog.ru/search.html?query=3849007428","ФНС: проверить")</f>
        <v/>
      </c>
      <c r="R6133" s="16">
        <f>HYPERLINK("https://checko.ru/search?query=3801001629","Чекко: проверить")</f>
        <v/>
      </c>
      <c r="S6133" t="n">
        <v>1</v>
      </c>
      <c r="T6133" s="35" t="inlineStr">
        <is>
          <t>4 — Не обогащён</t>
        </is>
      </c>
      <c r="U6133" s="35" t="inlineStr">
        <is>
          <t>Нет ОКВЭД/ССЧР</t>
        </is>
      </c>
      <c r="V6133" s="35" t="inlineStr">
        <is>
          <t>Не определено</t>
        </is>
      </c>
      <c r="W6133" s="35" t="inlineStr"/>
      <c r="X6133" s="35" t="inlineStr"/>
    </row>
    <row r="6134" ht="15" customHeight="1" s="24">
      <c r="A6134" s="13" t="n">
        <v>5000050900</v>
      </c>
      <c r="B6134" s="13" t="inlineStr">
        <is>
          <t>МБОУ г. Иркутска СОШ № 1</t>
        </is>
      </c>
      <c r="C6134" s="13" t="n">
        <v>3808049323</v>
      </c>
      <c r="D6134" s="13" t="inlineStr">
        <is>
          <t>3808049323</t>
        </is>
      </c>
      <c r="E6134" s="13" t="inlineStr">
        <is>
          <t>ЮЛ РФ</t>
        </is>
      </c>
      <c r="F6134" s="13" t="n"/>
      <c r="G6134" s="14" t="n"/>
      <c r="H6134" s="14" t="n"/>
      <c r="I6134" s="14" t="n"/>
      <c r="J6134" s="14" t="n"/>
      <c r="K6134" s="53" t="inlineStr"/>
      <c r="L6134" s="53" t="inlineStr">
        <is>
          <t>Не определено</t>
        </is>
      </c>
      <c r="M6134" s="53" t="inlineStr"/>
      <c r="N6134" s="54" t="inlineStr"/>
      <c r="O6134" s="55" t="inlineStr"/>
      <c r="P6134" s="16" t="inlineStr">
        <is>
          <t>Требует обогащения</t>
        </is>
      </c>
      <c r="Q6134" s="16">
        <f>HYPERLINK("https://pb.nalog.ru/search.html?query=3808049323","ФНС: проверить")</f>
        <v/>
      </c>
      <c r="R6134" s="16">
        <f>HYPERLINK("https://checko.ru/search?query=3801001629","Чекко: проверить")</f>
        <v/>
      </c>
      <c r="S6134" t="n">
        <v>1</v>
      </c>
      <c r="T6134" s="35" t="inlineStr">
        <is>
          <t>4 — Не обогащён</t>
        </is>
      </c>
      <c r="U6134" s="35" t="inlineStr">
        <is>
          <t>Нет ОКВЭД/ССЧР</t>
        </is>
      </c>
      <c r="V6134" s="35" t="inlineStr">
        <is>
          <t>Не определено</t>
        </is>
      </c>
      <c r="W6134" s="35" t="inlineStr"/>
      <c r="X6134" s="35" t="inlineStr"/>
    </row>
    <row r="6135" ht="15" customHeight="1" s="24">
      <c r="A6135" s="13" t="n">
        <v>5000050901</v>
      </c>
      <c r="B6135" s="13" t="inlineStr">
        <is>
          <t>МБОУ Г.ИРКУТСКА ООШ №8</t>
        </is>
      </c>
      <c r="C6135" s="13" t="n">
        <v>3809024836</v>
      </c>
      <c r="D6135" s="13" t="inlineStr">
        <is>
          <t>3809024836</t>
        </is>
      </c>
      <c r="E6135" s="13" t="inlineStr">
        <is>
          <t>ЮЛ РФ</t>
        </is>
      </c>
      <c r="F6135" s="13" t="n"/>
      <c r="G6135" s="14" t="n"/>
      <c r="H6135" s="14" t="n"/>
      <c r="I6135" s="14" t="n"/>
      <c r="J6135" s="14" t="n"/>
      <c r="K6135" s="53" t="inlineStr"/>
      <c r="L6135" s="53" t="inlineStr">
        <is>
          <t>Не определено</t>
        </is>
      </c>
      <c r="M6135" s="53" t="inlineStr"/>
      <c r="N6135" s="54" t="inlineStr"/>
      <c r="O6135" s="55" t="inlineStr"/>
      <c r="P6135" s="16" t="inlineStr">
        <is>
          <t>Требует обогащения</t>
        </is>
      </c>
      <c r="Q6135" s="16">
        <f>HYPERLINK("https://pb.nalog.ru/search.html?query=3809024836","ФНС: проверить")</f>
        <v/>
      </c>
      <c r="R6135" s="16">
        <f>HYPERLINK("https://checko.ru/search?query=3801001629","Чекко: проверить")</f>
        <v/>
      </c>
      <c r="S6135" t="n">
        <v>1</v>
      </c>
      <c r="T6135" s="35" t="inlineStr">
        <is>
          <t>4 — Не обогащён</t>
        </is>
      </c>
      <c r="U6135" s="35" t="inlineStr">
        <is>
          <t>Нет ОКВЭД/ССЧР</t>
        </is>
      </c>
      <c r="V6135" s="35" t="inlineStr">
        <is>
          <t>Не определено</t>
        </is>
      </c>
      <c r="W6135" s="35" t="inlineStr"/>
      <c r="X6135" s="35" t="inlineStr"/>
    </row>
    <row r="6136" ht="15" customHeight="1" s="24">
      <c r="A6136" s="13" t="n">
        <v>5000050902</v>
      </c>
      <c r="B6136" s="13" t="inlineStr">
        <is>
          <t>МБОУ г. Иркутска СОШ № 10 им. П.А.Пономарева</t>
        </is>
      </c>
      <c r="C6136" s="13" t="n">
        <v>3809023920</v>
      </c>
      <c r="D6136" s="13" t="inlineStr">
        <is>
          <t>3809023920</t>
        </is>
      </c>
      <c r="E6136" s="13" t="inlineStr">
        <is>
          <t>ЮЛ РФ</t>
        </is>
      </c>
      <c r="F6136" s="13" t="n"/>
      <c r="G6136" s="14" t="n"/>
      <c r="H6136" s="14" t="n"/>
      <c r="I6136" s="14" t="n"/>
      <c r="J6136" s="14" t="n"/>
      <c r="K6136" s="53" t="inlineStr"/>
      <c r="L6136" s="53" t="inlineStr">
        <is>
          <t>Не определено</t>
        </is>
      </c>
      <c r="M6136" s="53" t="inlineStr"/>
      <c r="N6136" s="54" t="inlineStr"/>
      <c r="O6136" s="55" t="inlineStr"/>
      <c r="P6136" s="16" t="inlineStr">
        <is>
          <t>Требует обогащения</t>
        </is>
      </c>
      <c r="Q6136" s="16">
        <f>HYPERLINK("https://pb.nalog.ru/search.html?query=3809023920","ФНС: проверить")</f>
        <v/>
      </c>
      <c r="R6136" s="16">
        <f>HYPERLINK("https://checko.ru/search?query=3801001629","Чекко: проверить")</f>
        <v/>
      </c>
      <c r="S6136" t="n">
        <v>1</v>
      </c>
      <c r="T6136" s="35" t="inlineStr">
        <is>
          <t>4 — Не обогащён</t>
        </is>
      </c>
      <c r="U6136" s="35" t="inlineStr">
        <is>
          <t>Нет ОКВЭД/ССЧР</t>
        </is>
      </c>
      <c r="V6136" s="35" t="inlineStr">
        <is>
          <t>Не определено</t>
        </is>
      </c>
      <c r="W6136" s="35" t="inlineStr"/>
      <c r="X6136" s="35" t="inlineStr"/>
    </row>
    <row r="6137" ht="27.75" customHeight="1" s="24">
      <c r="A6137" s="13" t="n">
        <v>5000050903</v>
      </c>
      <c r="B6137" s="13" t="inlineStr">
        <is>
          <t>МБОУ Г. ИРКУТСКА СОШ № 11 С УИОП ИМ. И.А. ДРИЦА</t>
        </is>
      </c>
      <c r="C6137" s="13" t="n">
        <v>3808049972</v>
      </c>
      <c r="D6137" s="13" t="inlineStr">
        <is>
          <t>3808049972</t>
        </is>
      </c>
      <c r="E6137" s="13" t="inlineStr">
        <is>
          <t>ЮЛ РФ</t>
        </is>
      </c>
      <c r="F6137" s="13" t="n"/>
      <c r="G6137" s="14" t="n"/>
      <c r="H6137" s="14" t="n"/>
      <c r="I6137" s="14" t="n"/>
      <c r="J6137" s="14" t="n"/>
      <c r="K6137" s="53" t="inlineStr"/>
      <c r="L6137" s="53" t="inlineStr">
        <is>
          <t>Не определено</t>
        </is>
      </c>
      <c r="M6137" s="53" t="inlineStr"/>
      <c r="N6137" s="54" t="inlineStr"/>
      <c r="O6137" s="55" t="inlineStr"/>
      <c r="P6137" s="16" t="inlineStr">
        <is>
          <t>Требует обогащения</t>
        </is>
      </c>
      <c r="Q6137" s="16">
        <f>HYPERLINK("https://pb.nalog.ru/search.html?query=3808049972","ФНС: проверить")</f>
        <v/>
      </c>
      <c r="R6137" s="16">
        <f>HYPERLINK("https://checko.ru/search?query=3801001629","Чекко: проверить")</f>
        <v/>
      </c>
      <c r="S6137" t="n">
        <v>1</v>
      </c>
      <c r="T6137" s="35" t="inlineStr">
        <is>
          <t>4 — Не обогащён</t>
        </is>
      </c>
      <c r="U6137" s="35" t="inlineStr">
        <is>
          <t>Нет ОКВЭД/ССЧР</t>
        </is>
      </c>
      <c r="V6137" s="35" t="inlineStr">
        <is>
          <t>Не определено</t>
        </is>
      </c>
      <c r="W6137" s="35" t="inlineStr"/>
      <c r="X6137" s="35" t="inlineStr"/>
    </row>
    <row r="6138" ht="15" customHeight="1" s="24">
      <c r="A6138" s="13" t="n">
        <v>5000050904</v>
      </c>
      <c r="B6138" s="13" t="inlineStr">
        <is>
          <t>МБОУ г. Иркутска СОШ № 15</t>
        </is>
      </c>
      <c r="C6138" s="13" t="n">
        <v>3808052044</v>
      </c>
      <c r="D6138" s="13" t="inlineStr">
        <is>
          <t>3808052044</t>
        </is>
      </c>
      <c r="E6138" s="13" t="inlineStr">
        <is>
          <t>ЮЛ РФ</t>
        </is>
      </c>
      <c r="F6138" s="13" t="n"/>
      <c r="G6138" s="14" t="n"/>
      <c r="H6138" s="14" t="n"/>
      <c r="I6138" s="14" t="n"/>
      <c r="J6138" s="14" t="n"/>
      <c r="K6138" s="53" t="inlineStr"/>
      <c r="L6138" s="53" t="inlineStr">
        <is>
          <t>Не определено</t>
        </is>
      </c>
      <c r="M6138" s="53" t="inlineStr"/>
      <c r="N6138" s="54" t="inlineStr"/>
      <c r="O6138" s="55" t="inlineStr"/>
      <c r="P6138" s="16" t="inlineStr">
        <is>
          <t>Требует обогащения</t>
        </is>
      </c>
      <c r="Q6138" s="16">
        <f>HYPERLINK("https://pb.nalog.ru/search.html?query=3808052044","ФНС: проверить")</f>
        <v/>
      </c>
      <c r="R6138" s="16">
        <f>HYPERLINK("https://checko.ru/search?query=3801001629","Чекко: проверить")</f>
        <v/>
      </c>
      <c r="S6138" t="n">
        <v>1</v>
      </c>
      <c r="T6138" s="35" t="inlineStr">
        <is>
          <t>4 — Не обогащён</t>
        </is>
      </c>
      <c r="U6138" s="35" t="inlineStr">
        <is>
          <t>Нет ОКВЭД/ССЧР</t>
        </is>
      </c>
      <c r="V6138" s="35" t="inlineStr">
        <is>
          <t>Не определено</t>
        </is>
      </c>
      <c r="W6138" s="35" t="inlineStr"/>
      <c r="X6138" s="35" t="inlineStr"/>
    </row>
    <row r="6139" ht="15" customHeight="1" s="24">
      <c r="A6139" s="13" t="n">
        <v>5000050905</v>
      </c>
      <c r="B6139" s="13" t="inlineStr">
        <is>
          <t>МБОУ г. Иркутска СОШ № 31</t>
        </is>
      </c>
      <c r="C6139" s="13" t="n">
        <v>3809023776</v>
      </c>
      <c r="D6139" s="13" t="inlineStr">
        <is>
          <t>3809023776</t>
        </is>
      </c>
      <c r="E6139" s="13" t="inlineStr">
        <is>
          <t>ЮЛ РФ</t>
        </is>
      </c>
      <c r="F6139" s="13" t="n"/>
      <c r="G6139" s="14" t="n"/>
      <c r="H6139" s="14" t="n"/>
      <c r="I6139" s="14" t="n"/>
      <c r="J6139" s="14" t="n"/>
      <c r="K6139" s="53" t="inlineStr"/>
      <c r="L6139" s="53" t="inlineStr">
        <is>
          <t>Не определено</t>
        </is>
      </c>
      <c r="M6139" s="53" t="inlineStr"/>
      <c r="N6139" s="54" t="inlineStr"/>
      <c r="O6139" s="55" t="inlineStr"/>
      <c r="P6139" s="16" t="inlineStr">
        <is>
          <t>Требует обогащения</t>
        </is>
      </c>
      <c r="Q6139" s="16">
        <f>HYPERLINK("https://pb.nalog.ru/search.html?query=3809023776","ФНС: проверить")</f>
        <v/>
      </c>
      <c r="R6139" s="16">
        <f>HYPERLINK("https://checko.ru/search?query=3801001629","Чекко: проверить")</f>
        <v/>
      </c>
      <c r="S6139" t="n">
        <v>1</v>
      </c>
      <c r="T6139" s="35" t="inlineStr">
        <is>
          <t>4 — Не обогащён</t>
        </is>
      </c>
      <c r="U6139" s="35" t="inlineStr">
        <is>
          <t>Нет ОКВЭД/ССЧР</t>
        </is>
      </c>
      <c r="V6139" s="35" t="inlineStr">
        <is>
          <t>Не определено</t>
        </is>
      </c>
      <c r="W6139" s="35" t="inlineStr"/>
      <c r="X6139" s="35" t="inlineStr"/>
    </row>
    <row r="6140" ht="15" customHeight="1" s="24">
      <c r="A6140" s="13" t="n">
        <v>5000050907</v>
      </c>
      <c r="B6140" s="13" t="inlineStr">
        <is>
          <t>МБОУ Г. ИРКУТСКА СОШ № 72</t>
        </is>
      </c>
      <c r="C6140" s="13" t="n">
        <v>3808047767</v>
      </c>
      <c r="D6140" s="13" t="inlineStr">
        <is>
          <t>3808047767</t>
        </is>
      </c>
      <c r="E6140" s="13" t="inlineStr">
        <is>
          <t>ЮЛ РФ</t>
        </is>
      </c>
      <c r="F6140" s="13" t="n"/>
      <c r="G6140" s="14" t="n"/>
      <c r="H6140" s="14" t="n"/>
      <c r="I6140" s="14" t="n"/>
      <c r="J6140" s="14" t="n"/>
      <c r="K6140" s="53" t="inlineStr"/>
      <c r="L6140" s="53" t="inlineStr">
        <is>
          <t>Не определено</t>
        </is>
      </c>
      <c r="M6140" s="53" t="inlineStr"/>
      <c r="N6140" s="54" t="inlineStr"/>
      <c r="O6140" s="55" t="inlineStr"/>
      <c r="P6140" s="16" t="inlineStr">
        <is>
          <t>Требует обогащения</t>
        </is>
      </c>
      <c r="Q6140" s="16">
        <f>HYPERLINK("https://pb.nalog.ru/search.html?query=3808047767","ФНС: проверить")</f>
        <v/>
      </c>
      <c r="R6140" s="16">
        <f>HYPERLINK("https://checko.ru/search?query=3801001629","Чекко: проверить")</f>
        <v/>
      </c>
      <c r="S6140" t="n">
        <v>1</v>
      </c>
      <c r="T6140" s="35" t="inlineStr">
        <is>
          <t>4 — Не обогащён</t>
        </is>
      </c>
      <c r="U6140" s="35" t="inlineStr">
        <is>
          <t>Нет ОКВЭД/ССЧР</t>
        </is>
      </c>
      <c r="V6140" s="35" t="inlineStr">
        <is>
          <t>Не определено</t>
        </is>
      </c>
      <c r="W6140" s="35" t="inlineStr"/>
      <c r="X6140" s="35" t="inlineStr"/>
    </row>
    <row r="6141" ht="15" customHeight="1" s="24">
      <c r="A6141" s="13" t="n">
        <v>5000050908</v>
      </c>
      <c r="B6141" s="13" t="inlineStr">
        <is>
          <t>МБОУ г. Иркутска СОШ № 73</t>
        </is>
      </c>
      <c r="C6141" s="13" t="n">
        <v>3809024191</v>
      </c>
      <c r="D6141" s="13" t="inlineStr">
        <is>
          <t>3809024191</t>
        </is>
      </c>
      <c r="E6141" s="13" t="inlineStr">
        <is>
          <t>ЮЛ РФ</t>
        </is>
      </c>
      <c r="F6141" s="13" t="n"/>
      <c r="G6141" s="14" t="n"/>
      <c r="H6141" s="14" t="n"/>
      <c r="I6141" s="14" t="n"/>
      <c r="J6141" s="14" t="n"/>
      <c r="K6141" s="53" t="inlineStr"/>
      <c r="L6141" s="53" t="inlineStr">
        <is>
          <t>Не определено</t>
        </is>
      </c>
      <c r="M6141" s="53" t="inlineStr"/>
      <c r="N6141" s="54" t="inlineStr"/>
      <c r="O6141" s="55" t="inlineStr"/>
      <c r="P6141" s="16" t="inlineStr">
        <is>
          <t>Требует обогащения</t>
        </is>
      </c>
      <c r="Q6141" s="16">
        <f>HYPERLINK("https://pb.nalog.ru/search.html?query=3809024191","ФНС: проверить")</f>
        <v/>
      </c>
      <c r="R6141" s="16">
        <f>HYPERLINK("https://checko.ru/search?query=3801001629","Чекко: проверить")</f>
        <v/>
      </c>
      <c r="S6141" t="n">
        <v>1</v>
      </c>
      <c r="T6141" s="35" t="inlineStr">
        <is>
          <t>4 — Не обогащён</t>
        </is>
      </c>
      <c r="U6141" s="35" t="inlineStr">
        <is>
          <t>Нет ОКВЭД/ССЧР</t>
        </is>
      </c>
      <c r="V6141" s="35" t="inlineStr">
        <is>
          <t>Не определено</t>
        </is>
      </c>
      <c r="W6141" s="35" t="inlineStr"/>
      <c r="X6141" s="35" t="inlineStr"/>
    </row>
    <row r="6142" ht="15" customHeight="1" s="24">
      <c r="A6142" s="13" t="n">
        <v>5000050909</v>
      </c>
      <c r="B6142" s="13" t="inlineStr">
        <is>
          <t>МБОУ ДО Г. ИРКУТСКА "СШ № 3"</t>
        </is>
      </c>
      <c r="C6142" s="13" t="n">
        <v>3809024089</v>
      </c>
      <c r="D6142" s="13" t="inlineStr">
        <is>
          <t>3809024089</t>
        </is>
      </c>
      <c r="E6142" s="13" t="inlineStr">
        <is>
          <t>ЮЛ РФ</t>
        </is>
      </c>
      <c r="F6142" s="13" t="n"/>
      <c r="G6142" s="14" t="n"/>
      <c r="H6142" s="14" t="n"/>
      <c r="I6142" s="14" t="n"/>
      <c r="J6142" s="14" t="n"/>
      <c r="K6142" s="53" t="inlineStr"/>
      <c r="L6142" s="53" t="inlineStr">
        <is>
          <t>Не определено</t>
        </is>
      </c>
      <c r="M6142" s="53" t="inlineStr"/>
      <c r="N6142" s="54" t="inlineStr"/>
      <c r="O6142" s="55" t="inlineStr"/>
      <c r="P6142" s="16" t="inlineStr">
        <is>
          <t>Требует обогащения</t>
        </is>
      </c>
      <c r="Q6142" s="16">
        <f>HYPERLINK("https://pb.nalog.ru/search.html?query=3809024089","ФНС: проверить")</f>
        <v/>
      </c>
      <c r="R6142" s="16">
        <f>HYPERLINK("https://checko.ru/search?query=3801001629","Чекко: проверить")</f>
        <v/>
      </c>
      <c r="S6142" t="n">
        <v>1</v>
      </c>
      <c r="T6142" s="35" t="inlineStr">
        <is>
          <t>4 — Не обогащён</t>
        </is>
      </c>
      <c r="U6142" s="35" t="inlineStr">
        <is>
          <t>Нет ОКВЭД/ССЧР</t>
        </is>
      </c>
      <c r="V6142" s="35" t="inlineStr">
        <is>
          <t>Не определено</t>
        </is>
      </c>
      <c r="W6142" s="35" t="inlineStr"/>
      <c r="X6142" s="35" t="inlineStr"/>
    </row>
    <row r="6143" ht="15" customHeight="1" s="24">
      <c r="A6143" s="13" t="n">
        <v>5000050910</v>
      </c>
      <c r="B6143" s="13" t="inlineStr">
        <is>
          <t>МБУДО Г.ИРКУТСКА ЦДТ "ВОСХОД"</t>
        </is>
      </c>
      <c r="C6143" s="13" t="n">
        <v>3808072876</v>
      </c>
      <c r="D6143" s="13" t="inlineStr">
        <is>
          <t>3808072876</t>
        </is>
      </c>
      <c r="E6143" s="13" t="inlineStr">
        <is>
          <t>ЮЛ РФ</t>
        </is>
      </c>
      <c r="F6143" s="13" t="n"/>
      <c r="G6143" s="14" t="n"/>
      <c r="H6143" s="14" t="n"/>
      <c r="I6143" s="14" t="n"/>
      <c r="J6143" s="14" t="n"/>
      <c r="K6143" s="53" t="inlineStr"/>
      <c r="L6143" s="53" t="inlineStr">
        <is>
          <t>Не определено</t>
        </is>
      </c>
      <c r="M6143" s="53" t="inlineStr"/>
      <c r="N6143" s="54" t="inlineStr"/>
      <c r="O6143" s="55" t="inlineStr"/>
      <c r="P6143" s="16" t="inlineStr">
        <is>
          <t>Требует обогащения</t>
        </is>
      </c>
      <c r="Q6143" s="16">
        <f>HYPERLINK("https://pb.nalog.ru/search.html?query=3808072876","ФНС: проверить")</f>
        <v/>
      </c>
      <c r="R6143" s="16">
        <f>HYPERLINK("https://checko.ru/search?query=3801001629","Чекко: проверить")</f>
        <v/>
      </c>
      <c r="S6143" t="n">
        <v>1</v>
      </c>
      <c r="T6143" s="35" t="inlineStr">
        <is>
          <t>4 — Не обогащён</t>
        </is>
      </c>
      <c r="U6143" s="35" t="inlineStr">
        <is>
          <t>Нет ОКВЭД/ССЧР</t>
        </is>
      </c>
      <c r="V6143" s="35" t="inlineStr">
        <is>
          <t>Не определено</t>
        </is>
      </c>
      <c r="W6143" s="35" t="inlineStr"/>
      <c r="X6143" s="35" t="inlineStr"/>
    </row>
    <row r="6144" ht="15" customHeight="1" s="24">
      <c r="A6144" s="13" t="n">
        <v>5000050911</v>
      </c>
      <c r="B6144" s="13" t="inlineStr">
        <is>
          <t>МБУДО Г.ИРКУТСКА ДДТ№1</t>
        </is>
      </c>
      <c r="C6144" s="13" t="n">
        <v>3808049411</v>
      </c>
      <c r="D6144" s="13" t="inlineStr">
        <is>
          <t>3808049411</t>
        </is>
      </c>
      <c r="E6144" s="13" t="inlineStr">
        <is>
          <t>ЮЛ РФ</t>
        </is>
      </c>
      <c r="F6144" s="13" t="n"/>
      <c r="G6144" s="14" t="n"/>
      <c r="H6144" s="14" t="n"/>
      <c r="I6144" s="14" t="n"/>
      <c r="J6144" s="14" t="n"/>
      <c r="K6144" s="53" t="inlineStr"/>
      <c r="L6144" s="53" t="inlineStr">
        <is>
          <t>Не определено</t>
        </is>
      </c>
      <c r="M6144" s="53" t="inlineStr"/>
      <c r="N6144" s="54" t="inlineStr"/>
      <c r="O6144" s="55" t="inlineStr"/>
      <c r="P6144" s="16" t="inlineStr">
        <is>
          <t>Требует обогащения</t>
        </is>
      </c>
      <c r="Q6144" s="16">
        <f>HYPERLINK("https://pb.nalog.ru/search.html?query=3808049411","ФНС: проверить")</f>
        <v/>
      </c>
      <c r="R6144" s="16">
        <f>HYPERLINK("https://checko.ru/search?query=3801001629","Чекко: проверить")</f>
        <v/>
      </c>
      <c r="S6144" t="n">
        <v>1</v>
      </c>
      <c r="T6144" s="35" t="inlineStr">
        <is>
          <t>4 — Не обогащён</t>
        </is>
      </c>
      <c r="U6144" s="35" t="inlineStr">
        <is>
          <t>Нет ОКВЭД/ССЧР</t>
        </is>
      </c>
      <c r="V6144" s="35" t="inlineStr">
        <is>
          <t>Не определено</t>
        </is>
      </c>
      <c r="W6144" s="35" t="inlineStr"/>
      <c r="X6144" s="35" t="inlineStr"/>
    </row>
    <row r="6145" ht="15" customHeight="1" s="24">
      <c r="A6145" s="13" t="n">
        <v>5000050912</v>
      </c>
      <c r="B6145" s="13" t="inlineStr">
        <is>
          <t>МКУ "ИМЦРО"</t>
        </is>
      </c>
      <c r="C6145" s="13" t="n">
        <v>3808062758</v>
      </c>
      <c r="D6145" s="13" t="inlineStr">
        <is>
          <t>3808062758</t>
        </is>
      </c>
      <c r="E6145" s="13" t="inlineStr">
        <is>
          <t>ЮЛ РФ</t>
        </is>
      </c>
      <c r="F6145" s="13" t="n"/>
      <c r="G6145" s="14" t="n"/>
      <c r="H6145" s="14" t="n"/>
      <c r="I6145" s="14" t="n"/>
      <c r="J6145" s="14" t="n"/>
      <c r="K6145" s="53" t="inlineStr"/>
      <c r="L6145" s="53" t="inlineStr">
        <is>
          <t>Не определено</t>
        </is>
      </c>
      <c r="M6145" s="53" t="inlineStr"/>
      <c r="N6145" s="54" t="inlineStr"/>
      <c r="O6145" s="55" t="inlineStr"/>
      <c r="P6145" s="16" t="inlineStr">
        <is>
          <t>Требует обогащения</t>
        </is>
      </c>
      <c r="Q6145" s="16">
        <f>HYPERLINK("https://pb.nalog.ru/search.html?query=3808062758","ФНС: проверить")</f>
        <v/>
      </c>
      <c r="R6145" s="16">
        <f>HYPERLINK("https://checko.ru/search?query=3801001629","Чекко: проверить")</f>
        <v/>
      </c>
      <c r="S6145" t="n">
        <v>1</v>
      </c>
      <c r="T6145" s="35" t="inlineStr">
        <is>
          <t>4 — Не обогащён</t>
        </is>
      </c>
      <c r="U6145" s="35" t="inlineStr">
        <is>
          <t>Нет ОКВЭД/ССЧР</t>
        </is>
      </c>
      <c r="V6145" s="35" t="inlineStr">
        <is>
          <t>Не определено</t>
        </is>
      </c>
      <c r="W6145" s="35" t="inlineStr"/>
      <c r="X6145" s="35" t="inlineStr"/>
    </row>
    <row r="6146" ht="15" customHeight="1" s="24">
      <c r="A6146" s="13" t="n">
        <v>5000050913</v>
      </c>
      <c r="B6146" s="13" t="inlineStr">
        <is>
          <t>МБОУ г. Иркутска СОШ №17</t>
        </is>
      </c>
      <c r="C6146" s="13" t="n">
        <v>3808051361</v>
      </c>
      <c r="D6146" s="13" t="inlineStr">
        <is>
          <t>3808051361</t>
        </is>
      </c>
      <c r="E6146" s="13" t="inlineStr">
        <is>
          <t>ЮЛ РФ</t>
        </is>
      </c>
      <c r="F6146" s="13" t="n"/>
      <c r="G6146" s="14" t="n"/>
      <c r="H6146" s="14" t="n"/>
      <c r="I6146" s="14" t="n"/>
      <c r="J6146" s="14" t="n"/>
      <c r="K6146" s="53" t="inlineStr"/>
      <c r="L6146" s="53" t="inlineStr">
        <is>
          <t>Не определено</t>
        </is>
      </c>
      <c r="M6146" s="53" t="inlineStr"/>
      <c r="N6146" s="54" t="inlineStr"/>
      <c r="O6146" s="55" t="inlineStr"/>
      <c r="P6146" s="16" t="inlineStr">
        <is>
          <t>Требует обогащения</t>
        </is>
      </c>
      <c r="Q6146" s="16">
        <f>HYPERLINK("https://pb.nalog.ru/search.html?query=3808051361","ФНС: проверить")</f>
        <v/>
      </c>
      <c r="R6146" s="16">
        <f>HYPERLINK("https://checko.ru/search?query=3801001629","Чекко: проверить")</f>
        <v/>
      </c>
      <c r="S6146" t="n">
        <v>1</v>
      </c>
      <c r="T6146" s="35" t="inlineStr">
        <is>
          <t>4 — Не обогащён</t>
        </is>
      </c>
      <c r="U6146" s="35" t="inlineStr">
        <is>
          <t>Нет ОКВЭД/ССЧР</t>
        </is>
      </c>
      <c r="V6146" s="35" t="inlineStr">
        <is>
          <t>Не определено</t>
        </is>
      </c>
      <c r="W6146" s="35" t="inlineStr"/>
      <c r="X6146" s="35" t="inlineStr"/>
    </row>
    <row r="6147" ht="15" customHeight="1" s="24">
      <c r="A6147" s="13" t="n">
        <v>5000050914</v>
      </c>
      <c r="B6147" s="13" t="inlineStr">
        <is>
          <t>МБОУ г. Иркутска СОШ № 65</t>
        </is>
      </c>
      <c r="C6147" s="13" t="n">
        <v>3808048111</v>
      </c>
      <c r="D6147" s="13" t="inlineStr">
        <is>
          <t>3808048111</t>
        </is>
      </c>
      <c r="E6147" s="13" t="inlineStr">
        <is>
          <t>ЮЛ РФ</t>
        </is>
      </c>
      <c r="F6147" s="13" t="n"/>
      <c r="G6147" s="14" t="n"/>
      <c r="H6147" s="14" t="n"/>
      <c r="I6147" s="14" t="n"/>
      <c r="J6147" s="14" t="n"/>
      <c r="K6147" s="53" t="inlineStr"/>
      <c r="L6147" s="53" t="inlineStr">
        <is>
          <t>Не определено</t>
        </is>
      </c>
      <c r="M6147" s="53" t="inlineStr"/>
      <c r="N6147" s="54" t="inlineStr"/>
      <c r="O6147" s="55" t="inlineStr"/>
      <c r="P6147" s="16" t="inlineStr">
        <is>
          <t>Требует обогащения</t>
        </is>
      </c>
      <c r="Q6147" s="16">
        <f>HYPERLINK("https://pb.nalog.ru/search.html?query=3808048111","ФНС: проверить")</f>
        <v/>
      </c>
      <c r="R6147" s="16">
        <f>HYPERLINK("https://checko.ru/search?query=3801001629","Чекко: проверить")</f>
        <v/>
      </c>
      <c r="S6147" t="n">
        <v>1</v>
      </c>
      <c r="T6147" s="35" t="inlineStr">
        <is>
          <t>4 — Не обогащён</t>
        </is>
      </c>
      <c r="U6147" s="35" t="inlineStr">
        <is>
          <t>Нет ОКВЭД/ССЧР</t>
        </is>
      </c>
      <c r="V6147" s="35" t="inlineStr">
        <is>
          <t>Не определено</t>
        </is>
      </c>
      <c r="W6147" s="35" t="inlineStr"/>
      <c r="X6147" s="35" t="inlineStr"/>
    </row>
    <row r="6148" ht="15" customHeight="1" s="24">
      <c r="A6148" s="13" t="n">
        <v>5000050915</v>
      </c>
      <c r="B6148" s="13" t="inlineStr">
        <is>
          <t>МБДОУ Г. ИРКУТСКА ДЕТСКИЙ САД № 7</t>
        </is>
      </c>
      <c r="C6148" s="13" t="n">
        <v>3849075019</v>
      </c>
      <c r="D6148" s="13" t="inlineStr">
        <is>
          <t>3849075019</t>
        </is>
      </c>
      <c r="E6148" s="13" t="inlineStr">
        <is>
          <t>ЮЛ РФ</t>
        </is>
      </c>
      <c r="F6148" s="13" t="n"/>
      <c r="G6148" s="14" t="n"/>
      <c r="H6148" s="14" t="n"/>
      <c r="I6148" s="14" t="n"/>
      <c r="J6148" s="14" t="n"/>
      <c r="K6148" s="53" t="inlineStr"/>
      <c r="L6148" s="53" t="inlineStr">
        <is>
          <t>Не определено</t>
        </is>
      </c>
      <c r="M6148" s="53" t="inlineStr"/>
      <c r="N6148" s="54" t="inlineStr"/>
      <c r="O6148" s="55" t="inlineStr"/>
      <c r="P6148" s="16" t="inlineStr">
        <is>
          <t>Требует обогащения</t>
        </is>
      </c>
      <c r="Q6148" s="16">
        <f>HYPERLINK("https://pb.nalog.ru/search.html?query=3849075019","ФНС: проверить")</f>
        <v/>
      </c>
      <c r="R6148" s="16">
        <f>HYPERLINK("https://checko.ru/search?query=3801001629","Чекко: проверить")</f>
        <v/>
      </c>
      <c r="S6148" t="n">
        <v>1</v>
      </c>
      <c r="T6148" s="35" t="inlineStr">
        <is>
          <t>4 — Не обогащён</t>
        </is>
      </c>
      <c r="U6148" s="35" t="inlineStr">
        <is>
          <t>Нет ОКВЭД/ССЧР</t>
        </is>
      </c>
      <c r="V6148" s="35" t="inlineStr">
        <is>
          <t>Не определено</t>
        </is>
      </c>
      <c r="W6148" s="35" t="inlineStr"/>
      <c r="X6148" s="35" t="inlineStr"/>
    </row>
    <row r="6149" ht="27.75" customHeight="1" s="24">
      <c r="A6149" s="13" t="n">
        <v>5000017846</v>
      </c>
      <c r="B6149" s="13" t="inlineStr">
        <is>
          <t>АГИНСКИЙ ПЕДАГОГИЧЕСКИЙ КОЛЛЕДЖ ИМ. БАЗАРА РИНЧИНО" ЗАБАЙКАЛЬСКОГО КРАЯ</t>
        </is>
      </c>
      <c r="C6149" s="13" t="n">
        <v>8000027085</v>
      </c>
      <c r="D6149" s="13" t="inlineStr">
        <is>
          <t>8000027085</t>
        </is>
      </c>
      <c r="E6149" s="13" t="inlineStr">
        <is>
          <t>ЮЛ РФ</t>
        </is>
      </c>
      <c r="F6149" s="13" t="n"/>
      <c r="G6149" s="14" t="n"/>
      <c r="H6149" s="14" t="n"/>
      <c r="I6149" s="14" t="n"/>
      <c r="J6149" s="14" t="n"/>
      <c r="K6149" s="53" t="inlineStr"/>
      <c r="L6149" s="53" t="inlineStr">
        <is>
          <t>Не определено</t>
        </is>
      </c>
      <c r="M6149" s="53" t="inlineStr"/>
      <c r="N6149" s="54" t="inlineStr"/>
      <c r="O6149" s="55" t="inlineStr"/>
      <c r="P6149" s="16" t="inlineStr">
        <is>
          <t>Требует обогащения</t>
        </is>
      </c>
      <c r="Q6149" s="16">
        <f>HYPERLINK("https://pb.nalog.ru/search.html?query=8000027085","ФНС: проверить")</f>
        <v/>
      </c>
      <c r="R6149" s="16">
        <f>HYPERLINK("https://checko.ru/search?query=3801001629","Чекко: проверить")</f>
        <v/>
      </c>
      <c r="S6149" t="n">
        <v>1</v>
      </c>
      <c r="T6149" s="35" t="inlineStr">
        <is>
          <t>4 — Не обогащён</t>
        </is>
      </c>
      <c r="U6149" s="35" t="inlineStr">
        <is>
          <t>Нет ОКВЭД/ССЧР</t>
        </is>
      </c>
      <c r="V6149" s="35" t="inlineStr">
        <is>
          <t>Не определено</t>
        </is>
      </c>
      <c r="W6149" s="35" t="inlineStr"/>
      <c r="X6149" s="35" t="inlineStr"/>
    </row>
    <row r="6150" ht="27.75" customHeight="1" s="24">
      <c r="A6150" s="13" t="n">
        <v>5000118202</v>
      </c>
      <c r="B6150" s="13" t="inlineStr">
        <is>
          <t>Министерство социального развития и труда Камчатского края</t>
        </is>
      </c>
      <c r="C6150" s="13" t="n">
        <v>4101121190</v>
      </c>
      <c r="D6150" s="13" t="inlineStr">
        <is>
          <t>4101121190</t>
        </is>
      </c>
      <c r="E6150" s="13" t="inlineStr">
        <is>
          <t>ЮЛ РФ</t>
        </is>
      </c>
      <c r="F6150" s="13" t="n"/>
      <c r="G6150" s="14" t="n"/>
      <c r="H6150" s="14" t="n"/>
      <c r="I6150" s="14" t="n"/>
      <c r="J6150" s="14" t="n"/>
      <c r="K6150" s="53" t="inlineStr"/>
      <c r="L6150" s="53" t="inlineStr">
        <is>
          <t>Не определено</t>
        </is>
      </c>
      <c r="M6150" s="53" t="inlineStr"/>
      <c r="N6150" s="54" t="inlineStr"/>
      <c r="O6150" s="55" t="inlineStr"/>
      <c r="P6150" s="16" t="inlineStr">
        <is>
          <t>Требует обогащения</t>
        </is>
      </c>
      <c r="Q6150" s="16">
        <f>HYPERLINK("https://pb.nalog.ru/search.html?query=4101121190","ФНС: проверить")</f>
        <v/>
      </c>
      <c r="R6150" s="16">
        <f>HYPERLINK("https://checko.ru/search?query=3801001629","Чекко: проверить")</f>
        <v/>
      </c>
      <c r="S6150" t="n">
        <v>1</v>
      </c>
      <c r="T6150" s="35" t="inlineStr">
        <is>
          <t>4 — Не обогащён</t>
        </is>
      </c>
      <c r="U6150" s="35" t="inlineStr">
        <is>
          <t>Нет ОКВЭД/ССЧР</t>
        </is>
      </c>
      <c r="V6150" s="35" t="inlineStr">
        <is>
          <t>Не определено</t>
        </is>
      </c>
      <c r="W6150" s="35" t="inlineStr"/>
      <c r="X6150" s="35" t="inlineStr"/>
    </row>
    <row r="6151" ht="41.25" customHeight="1" s="24">
      <c r="A6151" s="13" t="n">
        <v>5000106031</v>
      </c>
      <c r="B6151" s="13" t="inlineStr">
        <is>
          <t>Муниципальное бюджетное учреждение «Дирекция единого заказчика городского округа Солнечногорск»</t>
        </is>
      </c>
      <c r="C6151" s="13" t="n">
        <v>5044090804</v>
      </c>
      <c r="D6151" s="13" t="inlineStr">
        <is>
          <t>5044090804</t>
        </is>
      </c>
      <c r="E6151" s="13" t="inlineStr">
        <is>
          <t>ЮЛ РФ</t>
        </is>
      </c>
      <c r="F6151" s="13" t="n"/>
      <c r="G6151" s="14" t="n"/>
      <c r="H6151" s="14" t="n"/>
      <c r="I6151" s="14" t="n"/>
      <c r="J6151" s="14" t="n"/>
      <c r="K6151" s="53" t="inlineStr"/>
      <c r="L6151" s="53" t="inlineStr">
        <is>
          <t>Не определено</t>
        </is>
      </c>
      <c r="M6151" s="53" t="inlineStr"/>
      <c r="N6151" s="54" t="inlineStr"/>
      <c r="O6151" s="55" t="inlineStr"/>
      <c r="P6151" s="16" t="inlineStr">
        <is>
          <t>Требует обогащения</t>
        </is>
      </c>
      <c r="Q6151" s="16">
        <f>HYPERLINK("https://pb.nalog.ru/search.html?query=5044090804","ФНС: проверить")</f>
        <v/>
      </c>
      <c r="R6151" s="16">
        <f>HYPERLINK("https://checko.ru/search?query=3801001629","Чекко: проверить")</f>
        <v/>
      </c>
      <c r="S6151" t="n">
        <v>1</v>
      </c>
      <c r="T6151" s="35" t="inlineStr">
        <is>
          <t>4 — Не обогащён</t>
        </is>
      </c>
      <c r="U6151" s="35" t="inlineStr">
        <is>
          <t>Нет ОКВЭД/ССЧР</t>
        </is>
      </c>
      <c r="V6151" s="35" t="inlineStr">
        <is>
          <t>Не определено</t>
        </is>
      </c>
      <c r="W6151" s="35" t="inlineStr"/>
      <c r="X6151" s="35" t="inlineStr"/>
    </row>
    <row r="6152" ht="15" customHeight="1" s="24">
      <c r="A6152" s="13" t="n">
        <v>5000048032</v>
      </c>
      <c r="B6152" s="13" t="inlineStr">
        <is>
          <t>МБДОУ г. Иркутска детский сад № 1</t>
        </is>
      </c>
      <c r="C6152" s="13" t="n">
        <v>3810081571</v>
      </c>
      <c r="D6152" s="13" t="inlineStr">
        <is>
          <t>3810081571</t>
        </is>
      </c>
      <c r="E6152" s="13" t="inlineStr">
        <is>
          <t>ЮЛ РФ</t>
        </is>
      </c>
      <c r="F6152" s="13" t="n"/>
      <c r="G6152" s="14" t="n"/>
      <c r="H6152" s="14" t="n"/>
      <c r="I6152" s="14" t="n"/>
      <c r="J6152" s="14" t="n"/>
      <c r="K6152" s="53" t="inlineStr"/>
      <c r="L6152" s="53" t="inlineStr">
        <is>
          <t>Не определено</t>
        </is>
      </c>
      <c r="M6152" s="53" t="inlineStr"/>
      <c r="N6152" s="54" t="inlineStr"/>
      <c r="O6152" s="55" t="inlineStr"/>
      <c r="P6152" s="16" t="inlineStr">
        <is>
          <t>Требует обогащения</t>
        </is>
      </c>
      <c r="Q6152" s="16">
        <f>HYPERLINK("https://pb.nalog.ru/search.html?query=3810081571","ФНС: проверить")</f>
        <v/>
      </c>
      <c r="R6152" s="16">
        <f>HYPERLINK("https://checko.ru/search?query=3801001629","Чекко: проверить")</f>
        <v/>
      </c>
      <c r="S6152" t="n">
        <v>1</v>
      </c>
      <c r="T6152" s="35" t="inlineStr">
        <is>
          <t>4 — Не обогащён</t>
        </is>
      </c>
      <c r="U6152" s="35" t="inlineStr">
        <is>
          <t>Нет ОКВЭД/ССЧР</t>
        </is>
      </c>
      <c r="V6152" s="35" t="inlineStr">
        <is>
          <t>Не определено</t>
        </is>
      </c>
      <c r="W6152" s="35" t="inlineStr"/>
      <c r="X6152" s="35" t="inlineStr"/>
    </row>
    <row r="6153" ht="15" customHeight="1" s="24">
      <c r="A6153" s="13" t="n">
        <v>5000048034</v>
      </c>
      <c r="B6153" s="13" t="inlineStr">
        <is>
          <t>МБДОУ г. Иркутска детский сад № 3</t>
        </is>
      </c>
      <c r="C6153" s="13" t="n">
        <v>3810034892</v>
      </c>
      <c r="D6153" s="13" t="inlineStr">
        <is>
          <t>3810034892</t>
        </is>
      </c>
      <c r="E6153" s="13" t="inlineStr">
        <is>
          <t>ЮЛ РФ</t>
        </is>
      </c>
      <c r="F6153" s="13" t="n"/>
      <c r="G6153" s="14" t="n"/>
      <c r="H6153" s="14" t="n"/>
      <c r="I6153" s="14" t="n"/>
      <c r="J6153" s="14" t="n"/>
      <c r="K6153" s="53" t="inlineStr"/>
      <c r="L6153" s="53" t="inlineStr">
        <is>
          <t>Не определено</t>
        </is>
      </c>
      <c r="M6153" s="53" t="inlineStr"/>
      <c r="N6153" s="54" t="inlineStr"/>
      <c r="O6153" s="55" t="inlineStr"/>
      <c r="P6153" s="16" t="inlineStr">
        <is>
          <t>Требует обогащения</t>
        </is>
      </c>
      <c r="Q6153" s="16">
        <f>HYPERLINK("https://pb.nalog.ru/search.html?query=3810034892","ФНС: проверить")</f>
        <v/>
      </c>
      <c r="R6153" s="16">
        <f>HYPERLINK("https://checko.ru/search?query=3801001629","Чекко: проверить")</f>
        <v/>
      </c>
      <c r="S6153" t="n">
        <v>1</v>
      </c>
      <c r="T6153" s="35" t="inlineStr">
        <is>
          <t>4 — Не обогащён</t>
        </is>
      </c>
      <c r="U6153" s="35" t="inlineStr">
        <is>
          <t>Нет ОКВЭД/ССЧР</t>
        </is>
      </c>
      <c r="V6153" s="35" t="inlineStr">
        <is>
          <t>Не определено</t>
        </is>
      </c>
      <c r="W6153" s="35" t="inlineStr"/>
      <c r="X6153" s="35" t="inlineStr"/>
    </row>
    <row r="6154" ht="15" customHeight="1" s="24">
      <c r="A6154" s="13" t="n">
        <v>5000048035</v>
      </c>
      <c r="B6154" s="13" t="inlineStr">
        <is>
          <t>МБДОУ г. Иркутска детский сад № 10</t>
        </is>
      </c>
      <c r="C6154" s="13" t="n">
        <v>3810034927</v>
      </c>
      <c r="D6154" s="13" t="inlineStr">
        <is>
          <t>3810034927</t>
        </is>
      </c>
      <c r="E6154" s="13" t="inlineStr">
        <is>
          <t>ЮЛ РФ</t>
        </is>
      </c>
      <c r="F6154" s="13" t="n"/>
      <c r="G6154" s="14" t="n"/>
      <c r="H6154" s="14" t="n"/>
      <c r="I6154" s="14" t="n"/>
      <c r="J6154" s="14" t="n"/>
      <c r="K6154" s="53" t="inlineStr"/>
      <c r="L6154" s="53" t="inlineStr">
        <is>
          <t>Не определено</t>
        </is>
      </c>
      <c r="M6154" s="53" t="inlineStr"/>
      <c r="N6154" s="54" t="inlineStr"/>
      <c r="O6154" s="55" t="inlineStr"/>
      <c r="P6154" s="16" t="inlineStr">
        <is>
          <t>Требует обогащения</t>
        </is>
      </c>
      <c r="Q6154" s="16">
        <f>HYPERLINK("https://pb.nalog.ru/search.html?query=3810034927","ФНС: проверить")</f>
        <v/>
      </c>
      <c r="R6154" s="16">
        <f>HYPERLINK("https://checko.ru/search?query=3801001629","Чекко: проверить")</f>
        <v/>
      </c>
      <c r="S6154" t="n">
        <v>1</v>
      </c>
      <c r="T6154" s="35" t="inlineStr">
        <is>
          <t>4 — Не обогащён</t>
        </is>
      </c>
      <c r="U6154" s="35" t="inlineStr">
        <is>
          <t>Нет ОКВЭД/ССЧР</t>
        </is>
      </c>
      <c r="V6154" s="35" t="inlineStr">
        <is>
          <t>Не определено</t>
        </is>
      </c>
      <c r="W6154" s="35" t="inlineStr"/>
      <c r="X6154" s="35" t="inlineStr"/>
    </row>
    <row r="6155" ht="15" customHeight="1" s="24">
      <c r="A6155" s="13" t="n">
        <v>5000048037</v>
      </c>
      <c r="B6155" s="13" t="inlineStr">
        <is>
          <t>МБДОУ г. Иркутска детский сад №15</t>
        </is>
      </c>
      <c r="C6155" s="13" t="n">
        <v>3810025930</v>
      </c>
      <c r="D6155" s="13" t="inlineStr">
        <is>
          <t>3810025930</t>
        </is>
      </c>
      <c r="E6155" s="13" t="inlineStr">
        <is>
          <t>ЮЛ РФ</t>
        </is>
      </c>
      <c r="F6155" s="13" t="n"/>
      <c r="G6155" s="14" t="n"/>
      <c r="H6155" s="14" t="n"/>
      <c r="I6155" s="14" t="n"/>
      <c r="J6155" s="14" t="n"/>
      <c r="K6155" s="53" t="inlineStr"/>
      <c r="L6155" s="53" t="inlineStr">
        <is>
          <t>Не определено</t>
        </is>
      </c>
      <c r="M6155" s="53" t="inlineStr"/>
      <c r="N6155" s="54" t="inlineStr"/>
      <c r="O6155" s="55" t="inlineStr"/>
      <c r="P6155" s="16" t="inlineStr">
        <is>
          <t>Требует обогащения</t>
        </is>
      </c>
      <c r="Q6155" s="16">
        <f>HYPERLINK("https://pb.nalog.ru/search.html?query=3810025930","ФНС: проверить")</f>
        <v/>
      </c>
      <c r="R6155" s="16">
        <f>HYPERLINK("https://checko.ru/search?query=3801001629","Чекко: проверить")</f>
        <v/>
      </c>
      <c r="S6155" t="n">
        <v>1</v>
      </c>
      <c r="T6155" s="35" t="inlineStr">
        <is>
          <t>4 — Не обогащён</t>
        </is>
      </c>
      <c r="U6155" s="35" t="inlineStr">
        <is>
          <t>Нет ОКВЭД/ССЧР</t>
        </is>
      </c>
      <c r="V6155" s="35" t="inlineStr">
        <is>
          <t>Не определено</t>
        </is>
      </c>
      <c r="W6155" s="35" t="inlineStr"/>
      <c r="X6155" s="35" t="inlineStr"/>
    </row>
    <row r="6156" ht="15" customHeight="1" s="24">
      <c r="A6156" s="13" t="n">
        <v>5000048038</v>
      </c>
      <c r="B6156" s="13" t="inlineStr">
        <is>
          <t>МБДОУ г. Иркутска детский сад №33</t>
        </is>
      </c>
      <c r="C6156" s="13" t="n">
        <v>3810034878</v>
      </c>
      <c r="D6156" s="13" t="inlineStr">
        <is>
          <t>3810034878</t>
        </is>
      </c>
      <c r="E6156" s="13" t="inlineStr">
        <is>
          <t>ЮЛ РФ</t>
        </is>
      </c>
      <c r="F6156" s="13" t="n"/>
      <c r="G6156" s="14" t="n"/>
      <c r="H6156" s="14" t="n"/>
      <c r="I6156" s="14" t="n"/>
      <c r="J6156" s="14" t="n"/>
      <c r="K6156" s="53" t="inlineStr"/>
      <c r="L6156" s="53" t="inlineStr">
        <is>
          <t>Не определено</t>
        </is>
      </c>
      <c r="M6156" s="53" t="inlineStr"/>
      <c r="N6156" s="54" t="inlineStr"/>
      <c r="O6156" s="55" t="inlineStr"/>
      <c r="P6156" s="16" t="inlineStr">
        <is>
          <t>Требует обогащения</t>
        </is>
      </c>
      <c r="Q6156" s="16">
        <f>HYPERLINK("https://pb.nalog.ru/search.html?query=3810034878","ФНС: проверить")</f>
        <v/>
      </c>
      <c r="R6156" s="16">
        <f>HYPERLINK("https://checko.ru/search?query=3801001629","Чекко: проверить")</f>
        <v/>
      </c>
      <c r="S6156" t="n">
        <v>1</v>
      </c>
      <c r="T6156" s="35" t="inlineStr">
        <is>
          <t>4 — Не обогащён</t>
        </is>
      </c>
      <c r="U6156" s="35" t="inlineStr">
        <is>
          <t>Нет ОКВЭД/ССЧР</t>
        </is>
      </c>
      <c r="V6156" s="35" t="inlineStr">
        <is>
          <t>Не определено</t>
        </is>
      </c>
      <c r="W6156" s="35" t="inlineStr"/>
      <c r="X6156" s="35" t="inlineStr"/>
    </row>
    <row r="6157" ht="15" customHeight="1" s="24">
      <c r="A6157" s="13" t="n">
        <v>5000048039</v>
      </c>
      <c r="B6157" s="13" t="inlineStr">
        <is>
          <t>МБДОУ г. Иркутска детский сад №34</t>
        </is>
      </c>
      <c r="C6157" s="13" t="n">
        <v>3810034959</v>
      </c>
      <c r="D6157" s="13" t="inlineStr">
        <is>
          <t>3810034959</t>
        </is>
      </c>
      <c r="E6157" s="13" t="inlineStr">
        <is>
          <t>ЮЛ РФ</t>
        </is>
      </c>
      <c r="F6157" s="13" t="n"/>
      <c r="G6157" s="14" t="n"/>
      <c r="H6157" s="14" t="n"/>
      <c r="I6157" s="14" t="n"/>
      <c r="J6157" s="14" t="n"/>
      <c r="K6157" s="53" t="inlineStr"/>
      <c r="L6157" s="53" t="inlineStr">
        <is>
          <t>Не определено</t>
        </is>
      </c>
      <c r="M6157" s="53" t="inlineStr"/>
      <c r="N6157" s="54" t="inlineStr"/>
      <c r="O6157" s="55" t="inlineStr"/>
      <c r="P6157" s="16" t="inlineStr">
        <is>
          <t>Требует обогащения</t>
        </is>
      </c>
      <c r="Q6157" s="16">
        <f>HYPERLINK("https://pb.nalog.ru/search.html?query=3810034959","ФНС: проверить")</f>
        <v/>
      </c>
      <c r="R6157" s="16">
        <f>HYPERLINK("https://checko.ru/search?query=3801001629","Чекко: проверить")</f>
        <v/>
      </c>
      <c r="S6157" t="n">
        <v>1</v>
      </c>
      <c r="T6157" s="35" t="inlineStr">
        <is>
          <t>4 — Не обогащён</t>
        </is>
      </c>
      <c r="U6157" s="35" t="inlineStr">
        <is>
          <t>Нет ОКВЭД/ССЧР</t>
        </is>
      </c>
      <c r="V6157" s="35" t="inlineStr">
        <is>
          <t>Не определено</t>
        </is>
      </c>
      <c r="W6157" s="35" t="inlineStr"/>
      <c r="X6157" s="35" t="inlineStr"/>
    </row>
    <row r="6158" ht="15" customHeight="1" s="24">
      <c r="A6158" s="13" t="n">
        <v>5000048040</v>
      </c>
      <c r="B6158" s="13" t="inlineStr">
        <is>
          <t>МБДОУ г. Иркутска детский сад №36</t>
        </is>
      </c>
      <c r="C6158" s="13" t="n">
        <v>3810024460</v>
      </c>
      <c r="D6158" s="13" t="inlineStr">
        <is>
          <t>3810024460</t>
        </is>
      </c>
      <c r="E6158" s="13" t="inlineStr">
        <is>
          <t>ЮЛ РФ</t>
        </is>
      </c>
      <c r="F6158" s="13" t="n"/>
      <c r="G6158" s="14" t="n"/>
      <c r="H6158" s="14" t="n"/>
      <c r="I6158" s="14" t="n"/>
      <c r="J6158" s="14" t="n"/>
      <c r="K6158" s="53" t="inlineStr"/>
      <c r="L6158" s="53" t="inlineStr">
        <is>
          <t>Не определено</t>
        </is>
      </c>
      <c r="M6158" s="53" t="inlineStr"/>
      <c r="N6158" s="54" t="inlineStr"/>
      <c r="O6158" s="55" t="inlineStr"/>
      <c r="P6158" s="16" t="inlineStr">
        <is>
          <t>Требует обогащения</t>
        </is>
      </c>
      <c r="Q6158" s="16">
        <f>HYPERLINK("https://pb.nalog.ru/search.html?query=3810024460","ФНС: проверить")</f>
        <v/>
      </c>
      <c r="R6158" s="16">
        <f>HYPERLINK("https://checko.ru/search?query=3801001629","Чекко: проверить")</f>
        <v/>
      </c>
      <c r="S6158" t="n">
        <v>1</v>
      </c>
      <c r="T6158" s="35" t="inlineStr">
        <is>
          <t>4 — Не обогащён</t>
        </is>
      </c>
      <c r="U6158" s="35" t="inlineStr">
        <is>
          <t>Нет ОКВЭД/ССЧР</t>
        </is>
      </c>
      <c r="V6158" s="35" t="inlineStr">
        <is>
          <t>Не определено</t>
        </is>
      </c>
      <c r="W6158" s="35" t="inlineStr"/>
      <c r="X6158" s="35" t="inlineStr"/>
    </row>
    <row r="6159" ht="15" customHeight="1" s="24">
      <c r="A6159" s="13" t="n">
        <v>5000048041</v>
      </c>
      <c r="B6159" s="13" t="inlineStr">
        <is>
          <t>МБДОУ г. Иркутска детский сад № 50</t>
        </is>
      </c>
      <c r="C6159" s="13" t="n">
        <v>3810024534</v>
      </c>
      <c r="D6159" s="13" t="inlineStr">
        <is>
          <t>3810024534</t>
        </is>
      </c>
      <c r="E6159" s="13" t="inlineStr">
        <is>
          <t>ЮЛ РФ</t>
        </is>
      </c>
      <c r="F6159" s="13" t="n"/>
      <c r="G6159" s="14" t="n"/>
      <c r="H6159" s="14" t="n"/>
      <c r="I6159" s="14" t="n"/>
      <c r="J6159" s="14" t="n"/>
      <c r="K6159" s="53" t="inlineStr"/>
      <c r="L6159" s="53" t="inlineStr">
        <is>
          <t>Не определено</t>
        </is>
      </c>
      <c r="M6159" s="53" t="inlineStr"/>
      <c r="N6159" s="54" t="inlineStr"/>
      <c r="O6159" s="55" t="inlineStr"/>
      <c r="P6159" s="16" t="inlineStr">
        <is>
          <t>Требует обогащения</t>
        </is>
      </c>
      <c r="Q6159" s="16">
        <f>HYPERLINK("https://pb.nalog.ru/search.html?query=3810024534","ФНС: проверить")</f>
        <v/>
      </c>
      <c r="R6159" s="16">
        <f>HYPERLINK("https://checko.ru/search?query=3801001629","Чекко: проверить")</f>
        <v/>
      </c>
      <c r="S6159" t="n">
        <v>1</v>
      </c>
      <c r="T6159" s="35" t="inlineStr">
        <is>
          <t>4 — Не обогащён</t>
        </is>
      </c>
      <c r="U6159" s="35" t="inlineStr">
        <is>
          <t>Нет ОКВЭД/ССЧР</t>
        </is>
      </c>
      <c r="V6159" s="35" t="inlineStr">
        <is>
          <t>Не определено</t>
        </is>
      </c>
      <c r="W6159" s="35" t="inlineStr"/>
      <c r="X6159" s="35" t="inlineStr"/>
    </row>
    <row r="6160" ht="15" customHeight="1" s="24">
      <c r="A6160" s="13" t="n">
        <v>5000048042</v>
      </c>
      <c r="B6160" s="13" t="inlineStr">
        <is>
          <t>МБДОУ г. Иркутска детский сад № 51 «Рябинка»</t>
        </is>
      </c>
      <c r="C6160" s="13" t="n">
        <v>3810024478</v>
      </c>
      <c r="D6160" s="13" t="inlineStr">
        <is>
          <t>3810024478</t>
        </is>
      </c>
      <c r="E6160" s="13" t="inlineStr">
        <is>
          <t>ЮЛ РФ</t>
        </is>
      </c>
      <c r="F6160" s="13" t="n"/>
      <c r="G6160" s="14" t="n"/>
      <c r="H6160" s="14" t="n"/>
      <c r="I6160" s="14" t="n"/>
      <c r="J6160" s="14" t="n"/>
      <c r="K6160" s="53" t="inlineStr"/>
      <c r="L6160" s="53" t="inlineStr">
        <is>
          <t>Не определено</t>
        </is>
      </c>
      <c r="M6160" s="53" t="inlineStr"/>
      <c r="N6160" s="54" t="inlineStr"/>
      <c r="O6160" s="55" t="inlineStr"/>
      <c r="P6160" s="16" t="inlineStr">
        <is>
          <t>Требует обогащения</t>
        </is>
      </c>
      <c r="Q6160" s="16">
        <f>HYPERLINK("https://pb.nalog.ru/search.html?query=3810024478","ФНС: проверить")</f>
        <v/>
      </c>
      <c r="R6160" s="16">
        <f>HYPERLINK("https://checko.ru/search?query=3801001629","Чекко: проверить")</f>
        <v/>
      </c>
      <c r="S6160" t="n">
        <v>1</v>
      </c>
      <c r="T6160" s="35" t="inlineStr">
        <is>
          <t>4 — Не обогащён</t>
        </is>
      </c>
      <c r="U6160" s="35" t="inlineStr">
        <is>
          <t>Нет ОКВЭД/ССЧР</t>
        </is>
      </c>
      <c r="V6160" s="35" t="inlineStr">
        <is>
          <t>Не определено</t>
        </is>
      </c>
      <c r="W6160" s="35" t="inlineStr"/>
      <c r="X6160" s="35" t="inlineStr"/>
    </row>
    <row r="6161" ht="15" customHeight="1" s="24">
      <c r="A6161" s="13" t="n">
        <v>5000048043</v>
      </c>
      <c r="B6161" s="13" t="inlineStr">
        <is>
          <t>МБДОУ г. Иркутска детский сад №61</t>
        </is>
      </c>
      <c r="C6161" s="13" t="n">
        <v>3810023940</v>
      </c>
      <c r="D6161" s="13" t="inlineStr">
        <is>
          <t>3810023940</t>
        </is>
      </c>
      <c r="E6161" s="13" t="inlineStr">
        <is>
          <t>ЮЛ РФ</t>
        </is>
      </c>
      <c r="F6161" s="13" t="n"/>
      <c r="G6161" s="14" t="n"/>
      <c r="H6161" s="14" t="n"/>
      <c r="I6161" s="14" t="n"/>
      <c r="J6161" s="14" t="n"/>
      <c r="K6161" s="53" t="inlineStr"/>
      <c r="L6161" s="53" t="inlineStr">
        <is>
          <t>Не определено</t>
        </is>
      </c>
      <c r="M6161" s="53" t="inlineStr"/>
      <c r="N6161" s="54" t="inlineStr"/>
      <c r="O6161" s="55" t="inlineStr"/>
      <c r="P6161" s="16" t="inlineStr">
        <is>
          <t>Требует обогащения</t>
        </is>
      </c>
      <c r="Q6161" s="16">
        <f>HYPERLINK("https://pb.nalog.ru/search.html?query=3810023940","ФНС: проверить")</f>
        <v/>
      </c>
      <c r="R6161" s="16">
        <f>HYPERLINK("https://checko.ru/search?query=3801001629","Чекко: проверить")</f>
        <v/>
      </c>
      <c r="S6161" t="n">
        <v>1</v>
      </c>
      <c r="T6161" s="35" t="inlineStr">
        <is>
          <t>4 — Не обогащён</t>
        </is>
      </c>
      <c r="U6161" s="35" t="inlineStr">
        <is>
          <t>Нет ОКВЭД/ССЧР</t>
        </is>
      </c>
      <c r="V6161" s="35" t="inlineStr">
        <is>
          <t>Не определено</t>
        </is>
      </c>
      <c r="W6161" s="35" t="inlineStr"/>
      <c r="X6161" s="35" t="inlineStr"/>
    </row>
    <row r="6162" ht="15" customHeight="1" s="24">
      <c r="A6162" s="13" t="n">
        <v>5000048044</v>
      </c>
      <c r="B6162" s="13" t="inlineStr">
        <is>
          <t>МБДОУ г. Иркутска детский сад №67</t>
        </is>
      </c>
      <c r="C6162" s="13" t="n">
        <v>3810024284</v>
      </c>
      <c r="D6162" s="13" t="inlineStr">
        <is>
          <t>3810024284</t>
        </is>
      </c>
      <c r="E6162" s="13" t="inlineStr">
        <is>
          <t>ЮЛ РФ</t>
        </is>
      </c>
      <c r="F6162" s="13" t="n"/>
      <c r="G6162" s="14" t="n"/>
      <c r="H6162" s="14" t="n"/>
      <c r="I6162" s="14" t="n"/>
      <c r="J6162" s="14" t="n"/>
      <c r="K6162" s="53" t="inlineStr"/>
      <c r="L6162" s="53" t="inlineStr">
        <is>
          <t>Не определено</t>
        </is>
      </c>
      <c r="M6162" s="53" t="inlineStr"/>
      <c r="N6162" s="54" t="inlineStr"/>
      <c r="O6162" s="55" t="inlineStr"/>
      <c r="P6162" s="16" t="inlineStr">
        <is>
          <t>Требует обогащения</t>
        </is>
      </c>
      <c r="Q6162" s="16">
        <f>HYPERLINK("https://pb.nalog.ru/search.html?query=3810024284","ФНС: проверить")</f>
        <v/>
      </c>
      <c r="R6162" s="16">
        <f>HYPERLINK("https://checko.ru/search?query=3801001629","Чекко: проверить")</f>
        <v/>
      </c>
      <c r="S6162" t="n">
        <v>1</v>
      </c>
      <c r="T6162" s="35" t="inlineStr">
        <is>
          <t>4 — Не обогащён</t>
        </is>
      </c>
      <c r="U6162" s="35" t="inlineStr">
        <is>
          <t>Нет ОКВЭД/ССЧР</t>
        </is>
      </c>
      <c r="V6162" s="35" t="inlineStr">
        <is>
          <t>Не определено</t>
        </is>
      </c>
      <c r="W6162" s="35" t="inlineStr"/>
      <c r="X6162" s="35" t="inlineStr"/>
    </row>
    <row r="6163" ht="15" customHeight="1" s="24">
      <c r="A6163" s="13" t="n">
        <v>5000048045</v>
      </c>
      <c r="B6163" s="13" t="inlineStr">
        <is>
          <t>МБДОУ г. Иркутска детский сад № 75</t>
        </is>
      </c>
      <c r="C6163" s="13" t="n">
        <v>3810023996</v>
      </c>
      <c r="D6163" s="13" t="inlineStr">
        <is>
          <t>3810023996</t>
        </is>
      </c>
      <c r="E6163" s="13" t="inlineStr">
        <is>
          <t>ЮЛ РФ</t>
        </is>
      </c>
      <c r="F6163" s="13" t="n"/>
      <c r="G6163" s="14" t="n"/>
      <c r="H6163" s="14" t="n"/>
      <c r="I6163" s="14" t="n"/>
      <c r="J6163" s="14" t="n"/>
      <c r="K6163" s="53" t="inlineStr"/>
      <c r="L6163" s="53" t="inlineStr">
        <is>
          <t>Не определено</t>
        </is>
      </c>
      <c r="M6163" s="53" t="inlineStr"/>
      <c r="N6163" s="54" t="inlineStr"/>
      <c r="O6163" s="55" t="inlineStr"/>
      <c r="P6163" s="16" t="inlineStr">
        <is>
          <t>Требует обогащения</t>
        </is>
      </c>
      <c r="Q6163" s="16">
        <f>HYPERLINK("https://pb.nalog.ru/search.html?query=3810023996","ФНС: проверить")</f>
        <v/>
      </c>
      <c r="R6163" s="16">
        <f>HYPERLINK("https://checko.ru/search?query=3801001629","Чекко: проверить")</f>
        <v/>
      </c>
      <c r="S6163" t="n">
        <v>1</v>
      </c>
      <c r="T6163" s="35" t="inlineStr">
        <is>
          <t>4 — Не обогащён</t>
        </is>
      </c>
      <c r="U6163" s="35" t="inlineStr">
        <is>
          <t>Нет ОКВЭД/ССЧР</t>
        </is>
      </c>
      <c r="V6163" s="35" t="inlineStr">
        <is>
          <t>Не определено</t>
        </is>
      </c>
      <c r="W6163" s="35" t="inlineStr"/>
      <c r="X6163" s="35" t="inlineStr"/>
    </row>
    <row r="6164" ht="15" customHeight="1" s="24">
      <c r="A6164" s="13" t="n">
        <v>5000048046</v>
      </c>
      <c r="B6164" s="13" t="inlineStr">
        <is>
          <t>МБДОУ г. Иркутска детский сад № 79</t>
        </is>
      </c>
      <c r="C6164" s="13" t="n">
        <v>3810024069</v>
      </c>
      <c r="D6164" s="13" t="inlineStr">
        <is>
          <t>3810024069</t>
        </is>
      </c>
      <c r="E6164" s="13" t="inlineStr">
        <is>
          <t>ЮЛ РФ</t>
        </is>
      </c>
      <c r="F6164" s="13" t="n"/>
      <c r="G6164" s="14" t="n"/>
      <c r="H6164" s="14" t="n"/>
      <c r="I6164" s="14" t="n"/>
      <c r="J6164" s="14" t="n"/>
      <c r="K6164" s="53" t="inlineStr"/>
      <c r="L6164" s="53" t="inlineStr">
        <is>
          <t>Не определено</t>
        </is>
      </c>
      <c r="M6164" s="53" t="inlineStr"/>
      <c r="N6164" s="54" t="inlineStr"/>
      <c r="O6164" s="55" t="inlineStr"/>
      <c r="P6164" s="16" t="inlineStr">
        <is>
          <t>Требует обогащения</t>
        </is>
      </c>
      <c r="Q6164" s="16">
        <f>HYPERLINK("https://pb.nalog.ru/search.html?query=3810024069","ФНС: проверить")</f>
        <v/>
      </c>
      <c r="R6164" s="16">
        <f>HYPERLINK("https://checko.ru/search?query=3801001629","Чекко: проверить")</f>
        <v/>
      </c>
      <c r="S6164" t="n">
        <v>1</v>
      </c>
      <c r="T6164" s="35" t="inlineStr">
        <is>
          <t>4 — Не обогащён</t>
        </is>
      </c>
      <c r="U6164" s="35" t="inlineStr">
        <is>
          <t>Нет ОКВЭД/ССЧР</t>
        </is>
      </c>
      <c r="V6164" s="35" t="inlineStr">
        <is>
          <t>Не определено</t>
        </is>
      </c>
      <c r="W6164" s="35" t="inlineStr"/>
      <c r="X6164" s="35" t="inlineStr"/>
    </row>
    <row r="6165" ht="15" customHeight="1" s="24">
      <c r="A6165" s="13" t="n">
        <v>5000048047</v>
      </c>
      <c r="B6165" s="13" t="inlineStr">
        <is>
          <t>МБДОУ г. Иркутска детский сад № 90</t>
        </is>
      </c>
      <c r="C6165" s="13" t="n">
        <v>3810034934</v>
      </c>
      <c r="D6165" s="13" t="inlineStr">
        <is>
          <t>3810034934</t>
        </is>
      </c>
      <c r="E6165" s="13" t="inlineStr">
        <is>
          <t>ЮЛ РФ</t>
        </is>
      </c>
      <c r="F6165" s="13" t="n"/>
      <c r="G6165" s="14" t="n"/>
      <c r="H6165" s="14" t="n"/>
      <c r="I6165" s="14" t="n"/>
      <c r="J6165" s="14" t="n"/>
      <c r="K6165" s="53" t="inlineStr"/>
      <c r="L6165" s="53" t="inlineStr">
        <is>
          <t>Не определено</t>
        </is>
      </c>
      <c r="M6165" s="53" t="inlineStr"/>
      <c r="N6165" s="54" t="inlineStr"/>
      <c r="O6165" s="55" t="inlineStr"/>
      <c r="P6165" s="16" t="inlineStr">
        <is>
          <t>Требует обогащения</t>
        </is>
      </c>
      <c r="Q6165" s="16">
        <f>HYPERLINK("https://pb.nalog.ru/search.html?query=3810034934","ФНС: проверить")</f>
        <v/>
      </c>
      <c r="R6165" s="16">
        <f>HYPERLINK("https://checko.ru/search?query=3801001629","Чекко: проверить")</f>
        <v/>
      </c>
      <c r="S6165" t="n">
        <v>1</v>
      </c>
      <c r="T6165" s="35" t="inlineStr">
        <is>
          <t>4 — Не обогащён</t>
        </is>
      </c>
      <c r="U6165" s="35" t="inlineStr">
        <is>
          <t>Нет ОКВЭД/ССЧР</t>
        </is>
      </c>
      <c r="V6165" s="35" t="inlineStr">
        <is>
          <t>Не определено</t>
        </is>
      </c>
      <c r="W6165" s="35" t="inlineStr"/>
      <c r="X6165" s="35" t="inlineStr"/>
    </row>
    <row r="6166" ht="15" customHeight="1" s="24">
      <c r="A6166" s="13" t="n">
        <v>5000048048</v>
      </c>
      <c r="B6166" s="13" t="inlineStr">
        <is>
          <t>МБДОУ г. Иркутска детский сад №92</t>
        </is>
      </c>
      <c r="C6166" s="13" t="n">
        <v>3810024492</v>
      </c>
      <c r="D6166" s="13" t="inlineStr">
        <is>
          <t>3810024492</t>
        </is>
      </c>
      <c r="E6166" s="13" t="inlineStr">
        <is>
          <t>ЮЛ РФ</t>
        </is>
      </c>
      <c r="F6166" s="13" t="n"/>
      <c r="G6166" s="14" t="n"/>
      <c r="H6166" s="14" t="n"/>
      <c r="I6166" s="14" t="n"/>
      <c r="J6166" s="14" t="n"/>
      <c r="K6166" s="53" t="inlineStr"/>
      <c r="L6166" s="53" t="inlineStr">
        <is>
          <t>Не определено</t>
        </is>
      </c>
      <c r="M6166" s="53" t="inlineStr"/>
      <c r="N6166" s="54" t="inlineStr"/>
      <c r="O6166" s="55" t="inlineStr"/>
      <c r="P6166" s="16" t="inlineStr">
        <is>
          <t>Требует обогащения</t>
        </is>
      </c>
      <c r="Q6166" s="16">
        <f>HYPERLINK("https://pb.nalog.ru/search.html?query=3810024492","ФНС: проверить")</f>
        <v/>
      </c>
      <c r="R6166" s="16">
        <f>HYPERLINK("https://checko.ru/search?query=3801001629","Чекко: проверить")</f>
        <v/>
      </c>
      <c r="S6166" t="n">
        <v>1</v>
      </c>
      <c r="T6166" s="35" t="inlineStr">
        <is>
          <t>4 — Не обогащён</t>
        </is>
      </c>
      <c r="U6166" s="35" t="inlineStr">
        <is>
          <t>Нет ОКВЭД/ССЧР</t>
        </is>
      </c>
      <c r="V6166" s="35" t="inlineStr">
        <is>
          <t>Не определено</t>
        </is>
      </c>
      <c r="W6166" s="35" t="inlineStr"/>
      <c r="X6166" s="35" t="inlineStr"/>
    </row>
    <row r="6167" ht="15" customHeight="1" s="24">
      <c r="A6167" s="13" t="n">
        <v>5000048049</v>
      </c>
      <c r="B6167" s="13" t="inlineStr">
        <is>
          <t>МБДОУ г. Иркутска детский сад №95</t>
        </is>
      </c>
      <c r="C6167" s="13" t="n">
        <v>3810024654</v>
      </c>
      <c r="D6167" s="13" t="inlineStr">
        <is>
          <t>3810024654</t>
        </is>
      </c>
      <c r="E6167" s="13" t="inlineStr">
        <is>
          <t>ЮЛ РФ</t>
        </is>
      </c>
      <c r="F6167" s="13" t="n"/>
      <c r="G6167" s="14" t="n"/>
      <c r="H6167" s="14" t="n"/>
      <c r="I6167" s="14" t="n"/>
      <c r="J6167" s="14" t="n"/>
      <c r="K6167" s="53" t="inlineStr"/>
      <c r="L6167" s="53" t="inlineStr">
        <is>
          <t>Не определено</t>
        </is>
      </c>
      <c r="M6167" s="53" t="inlineStr"/>
      <c r="N6167" s="54" t="inlineStr"/>
      <c r="O6167" s="55" t="inlineStr"/>
      <c r="P6167" s="16" t="inlineStr">
        <is>
          <t>Требует обогащения</t>
        </is>
      </c>
      <c r="Q6167" s="16">
        <f>HYPERLINK("https://pb.nalog.ru/search.html?query=3810024654","ФНС: проверить")</f>
        <v/>
      </c>
      <c r="R6167" s="16">
        <f>HYPERLINK("https://checko.ru/search?query=3801001629","Чекко: проверить")</f>
        <v/>
      </c>
      <c r="S6167" t="n">
        <v>1</v>
      </c>
      <c r="T6167" s="35" t="inlineStr">
        <is>
          <t>4 — Не обогащён</t>
        </is>
      </c>
      <c r="U6167" s="35" t="inlineStr">
        <is>
          <t>Нет ОКВЭД/ССЧР</t>
        </is>
      </c>
      <c r="V6167" s="35" t="inlineStr">
        <is>
          <t>Не определено</t>
        </is>
      </c>
      <c r="W6167" s="35" t="inlineStr"/>
      <c r="X6167" s="35" t="inlineStr"/>
    </row>
    <row r="6168" ht="15" customHeight="1" s="24">
      <c r="A6168" s="13" t="n">
        <v>5000048050</v>
      </c>
      <c r="B6168" s="13" t="inlineStr">
        <is>
          <t>МБДОУ г. Иркутска детский сад №113</t>
        </is>
      </c>
      <c r="C6168" s="13" t="n">
        <v>3810034980</v>
      </c>
      <c r="D6168" s="13" t="inlineStr">
        <is>
          <t>3810034980</t>
        </is>
      </c>
      <c r="E6168" s="13" t="inlineStr">
        <is>
          <t>ЮЛ РФ</t>
        </is>
      </c>
      <c r="F6168" s="13" t="n"/>
      <c r="G6168" s="14" t="n"/>
      <c r="H6168" s="14" t="n"/>
      <c r="I6168" s="14" t="n"/>
      <c r="J6168" s="14" t="n"/>
      <c r="K6168" s="53" t="inlineStr"/>
      <c r="L6168" s="53" t="inlineStr">
        <is>
          <t>Не определено</t>
        </is>
      </c>
      <c r="M6168" s="53" t="inlineStr"/>
      <c r="N6168" s="54" t="inlineStr"/>
      <c r="O6168" s="55" t="inlineStr"/>
      <c r="P6168" s="16" t="inlineStr">
        <is>
          <t>Требует обогащения</t>
        </is>
      </c>
      <c r="Q6168" s="16">
        <f>HYPERLINK("https://pb.nalog.ru/search.html?query=3810034980","ФНС: проверить")</f>
        <v/>
      </c>
      <c r="R6168" s="16">
        <f>HYPERLINK("https://checko.ru/search?query=3801001629","Чекко: проверить")</f>
        <v/>
      </c>
      <c r="S6168" t="n">
        <v>1</v>
      </c>
      <c r="T6168" s="35" t="inlineStr">
        <is>
          <t>4 — Не обогащён</t>
        </is>
      </c>
      <c r="U6168" s="35" t="inlineStr">
        <is>
          <t>Нет ОКВЭД/ССЧР</t>
        </is>
      </c>
      <c r="V6168" s="35" t="inlineStr">
        <is>
          <t>Не определено</t>
        </is>
      </c>
      <c r="W6168" s="35" t="inlineStr"/>
      <c r="X6168" s="35" t="inlineStr"/>
    </row>
    <row r="6169" ht="15" customHeight="1" s="24">
      <c r="A6169" s="13" t="n">
        <v>5000048051</v>
      </c>
      <c r="B6169" s="13" t="inlineStr">
        <is>
          <t>МБДОУ г. Иркутска детский сад № 122</t>
        </is>
      </c>
      <c r="C6169" s="13" t="n">
        <v>3810034941</v>
      </c>
      <c r="D6169" s="13" t="inlineStr">
        <is>
          <t>3810034941</t>
        </is>
      </c>
      <c r="E6169" s="13" t="inlineStr">
        <is>
          <t>ЮЛ РФ</t>
        </is>
      </c>
      <c r="F6169" s="13" t="n"/>
      <c r="G6169" s="14" t="n"/>
      <c r="H6169" s="14" t="n"/>
      <c r="I6169" s="14" t="n"/>
      <c r="J6169" s="14" t="n"/>
      <c r="K6169" s="53" t="inlineStr"/>
      <c r="L6169" s="53" t="inlineStr">
        <is>
          <t>Не определено</t>
        </is>
      </c>
      <c r="M6169" s="53" t="inlineStr"/>
      <c r="N6169" s="54" t="inlineStr"/>
      <c r="O6169" s="55" t="inlineStr"/>
      <c r="P6169" s="16" t="inlineStr">
        <is>
          <t>Требует обогащения</t>
        </is>
      </c>
      <c r="Q6169" s="16">
        <f>HYPERLINK("https://pb.nalog.ru/search.html?query=3810034941","ФНС: проверить")</f>
        <v/>
      </c>
      <c r="R6169" s="16">
        <f>HYPERLINK("https://checko.ru/search?query=3801001629","Чекко: проверить")</f>
        <v/>
      </c>
      <c r="S6169" t="n">
        <v>1</v>
      </c>
      <c r="T6169" s="35" t="inlineStr">
        <is>
          <t>4 — Не обогащён</t>
        </is>
      </c>
      <c r="U6169" s="35" t="inlineStr">
        <is>
          <t>Нет ОКВЭД/ССЧР</t>
        </is>
      </c>
      <c r="V6169" s="35" t="inlineStr">
        <is>
          <t>Не определено</t>
        </is>
      </c>
      <c r="W6169" s="35" t="inlineStr"/>
      <c r="X6169" s="35" t="inlineStr"/>
    </row>
    <row r="6170" ht="15" customHeight="1" s="24">
      <c r="A6170" s="13" t="n">
        <v>5000048052</v>
      </c>
      <c r="B6170" s="13" t="inlineStr">
        <is>
          <t>МБДОУ г. Иркутска детский сад № 125</t>
        </is>
      </c>
      <c r="C6170" s="13" t="n">
        <v>3810024012</v>
      </c>
      <c r="D6170" s="13" t="inlineStr">
        <is>
          <t>3810024012</t>
        </is>
      </c>
      <c r="E6170" s="13" t="inlineStr">
        <is>
          <t>ЮЛ РФ</t>
        </is>
      </c>
      <c r="F6170" s="13" t="n"/>
      <c r="G6170" s="14" t="n"/>
      <c r="H6170" s="14" t="n"/>
      <c r="I6170" s="14" t="n"/>
      <c r="J6170" s="14" t="n"/>
      <c r="K6170" s="53" t="inlineStr"/>
      <c r="L6170" s="53" t="inlineStr">
        <is>
          <t>Не определено</t>
        </is>
      </c>
      <c r="M6170" s="53" t="inlineStr"/>
      <c r="N6170" s="54" t="inlineStr"/>
      <c r="O6170" s="55" t="inlineStr"/>
      <c r="P6170" s="16" t="inlineStr">
        <is>
          <t>Требует обогащения</t>
        </is>
      </c>
      <c r="Q6170" s="16">
        <f>HYPERLINK("https://pb.nalog.ru/search.html?query=3810024012","ФНС: проверить")</f>
        <v/>
      </c>
      <c r="R6170" s="16">
        <f>HYPERLINK("https://checko.ru/search?query=3801001629","Чекко: проверить")</f>
        <v/>
      </c>
      <c r="S6170" t="n">
        <v>1</v>
      </c>
      <c r="T6170" s="35" t="inlineStr">
        <is>
          <t>4 — Не обогащён</t>
        </is>
      </c>
      <c r="U6170" s="35" t="inlineStr">
        <is>
          <t>Нет ОКВЭД/ССЧР</t>
        </is>
      </c>
      <c r="V6170" s="35" t="inlineStr">
        <is>
          <t>Не определено</t>
        </is>
      </c>
      <c r="W6170" s="35" t="inlineStr"/>
      <c r="X6170" s="35" t="inlineStr"/>
    </row>
    <row r="6171" ht="15" customHeight="1" s="24">
      <c r="A6171" s="13" t="n">
        <v>5000048053</v>
      </c>
      <c r="B6171" s="13" t="inlineStr">
        <is>
          <t>МБДОУ г. Иркутска детский сад № 143</t>
        </is>
      </c>
      <c r="C6171" s="13" t="n">
        <v>3810034860</v>
      </c>
      <c r="D6171" s="13" t="inlineStr">
        <is>
          <t>3810034860</t>
        </is>
      </c>
      <c r="E6171" s="13" t="inlineStr">
        <is>
          <t>ЮЛ РФ</t>
        </is>
      </c>
      <c r="F6171" s="13" t="n"/>
      <c r="G6171" s="14" t="n"/>
      <c r="H6171" s="14" t="n"/>
      <c r="I6171" s="14" t="n"/>
      <c r="J6171" s="14" t="n"/>
      <c r="K6171" s="53" t="inlineStr"/>
      <c r="L6171" s="53" t="inlineStr">
        <is>
          <t>Не определено</t>
        </is>
      </c>
      <c r="M6171" s="53" t="inlineStr"/>
      <c r="N6171" s="54" t="inlineStr"/>
      <c r="O6171" s="55" t="inlineStr"/>
      <c r="P6171" s="16" t="inlineStr">
        <is>
          <t>Требует обогащения</t>
        </is>
      </c>
      <c r="Q6171" s="16">
        <f>HYPERLINK("https://pb.nalog.ru/search.html?query=3810034860","ФНС: проверить")</f>
        <v/>
      </c>
      <c r="R6171" s="16">
        <f>HYPERLINK("https://checko.ru/search?query=3801001629","Чекко: проверить")</f>
        <v/>
      </c>
      <c r="S6171" t="n">
        <v>1</v>
      </c>
      <c r="T6171" s="35" t="inlineStr">
        <is>
          <t>4 — Не обогащён</t>
        </is>
      </c>
      <c r="U6171" s="35" t="inlineStr">
        <is>
          <t>Нет ОКВЭД/ССЧР</t>
        </is>
      </c>
      <c r="V6171" s="35" t="inlineStr">
        <is>
          <t>Не определено</t>
        </is>
      </c>
      <c r="W6171" s="35" t="inlineStr"/>
      <c r="X6171" s="35" t="inlineStr"/>
    </row>
    <row r="6172" ht="15" customHeight="1" s="24">
      <c r="A6172" s="13" t="n">
        <v>5000048054</v>
      </c>
      <c r="B6172" s="13" t="inlineStr">
        <is>
          <t>МБДОУ г. Иркутска детский сад № 144</t>
        </is>
      </c>
      <c r="C6172" s="13" t="n">
        <v>3810024100</v>
      </c>
      <c r="D6172" s="13" t="inlineStr">
        <is>
          <t>3810024100</t>
        </is>
      </c>
      <c r="E6172" s="13" t="inlineStr">
        <is>
          <t>ЮЛ РФ</t>
        </is>
      </c>
      <c r="F6172" s="13" t="n"/>
      <c r="G6172" s="14" t="n"/>
      <c r="H6172" s="14" t="n"/>
      <c r="I6172" s="14" t="n"/>
      <c r="J6172" s="14" t="n"/>
      <c r="K6172" s="53" t="inlineStr"/>
      <c r="L6172" s="53" t="inlineStr">
        <is>
          <t>Не определено</t>
        </is>
      </c>
      <c r="M6172" s="53" t="inlineStr"/>
      <c r="N6172" s="54" t="inlineStr"/>
      <c r="O6172" s="55" t="inlineStr"/>
      <c r="P6172" s="16" t="inlineStr">
        <is>
          <t>Требует обогащения</t>
        </is>
      </c>
      <c r="Q6172" s="16">
        <f>HYPERLINK("https://pb.nalog.ru/search.html?query=3810024100","ФНС: проверить")</f>
        <v/>
      </c>
      <c r="R6172" s="16">
        <f>HYPERLINK("https://checko.ru/search?query=3801001629","Чекко: проверить")</f>
        <v/>
      </c>
      <c r="S6172" t="n">
        <v>1</v>
      </c>
      <c r="T6172" s="35" t="inlineStr">
        <is>
          <t>4 — Не обогащён</t>
        </is>
      </c>
      <c r="U6172" s="35" t="inlineStr">
        <is>
          <t>Нет ОКВЭД/ССЧР</t>
        </is>
      </c>
      <c r="V6172" s="35" t="inlineStr">
        <is>
          <t>Не определено</t>
        </is>
      </c>
      <c r="W6172" s="35" t="inlineStr"/>
      <c r="X6172" s="35" t="inlineStr"/>
    </row>
    <row r="6173" ht="15" customHeight="1" s="24">
      <c r="A6173" s="13" t="n">
        <v>5000048055</v>
      </c>
      <c r="B6173" s="13" t="inlineStr">
        <is>
          <t>МБДОУ города Иркутска детский сад № 145</t>
        </is>
      </c>
      <c r="C6173" s="13" t="n">
        <v>3810034910</v>
      </c>
      <c r="D6173" s="13" t="inlineStr">
        <is>
          <t>3810034910</t>
        </is>
      </c>
      <c r="E6173" s="13" t="inlineStr">
        <is>
          <t>ЮЛ РФ</t>
        </is>
      </c>
      <c r="F6173" s="13" t="n"/>
      <c r="G6173" s="14" t="n"/>
      <c r="H6173" s="14" t="n"/>
      <c r="I6173" s="14" t="n"/>
      <c r="J6173" s="14" t="n"/>
      <c r="K6173" s="53" t="inlineStr"/>
      <c r="L6173" s="53" t="inlineStr">
        <is>
          <t>Не определено</t>
        </is>
      </c>
      <c r="M6173" s="53" t="inlineStr"/>
      <c r="N6173" s="54" t="inlineStr"/>
      <c r="O6173" s="55" t="inlineStr"/>
      <c r="P6173" s="16" t="inlineStr">
        <is>
          <t>Требует обогащения</t>
        </is>
      </c>
      <c r="Q6173" s="16">
        <f>HYPERLINK("https://pb.nalog.ru/search.html?query=3810034910","ФНС: проверить")</f>
        <v/>
      </c>
      <c r="R6173" s="16">
        <f>HYPERLINK("https://checko.ru/search?query=3801001629","Чекко: проверить")</f>
        <v/>
      </c>
      <c r="S6173" t="n">
        <v>1</v>
      </c>
      <c r="T6173" s="35" t="inlineStr">
        <is>
          <t>4 — Не обогащён</t>
        </is>
      </c>
      <c r="U6173" s="35" t="inlineStr">
        <is>
          <t>Нет ОКВЭД/ССЧР</t>
        </is>
      </c>
      <c r="V6173" s="35" t="inlineStr">
        <is>
          <t>Не определено</t>
        </is>
      </c>
      <c r="W6173" s="35" t="inlineStr"/>
      <c r="X6173" s="35" t="inlineStr"/>
    </row>
    <row r="6174" ht="15" customHeight="1" s="24">
      <c r="A6174" s="13" t="n">
        <v>5000048057</v>
      </c>
      <c r="B6174" s="13" t="inlineStr">
        <is>
          <t>МБДОУ г. Иркутска детский сад № 150</t>
        </is>
      </c>
      <c r="C6174" s="13" t="n">
        <v>3810024661</v>
      </c>
      <c r="D6174" s="13" t="inlineStr">
        <is>
          <t>3810024661</t>
        </is>
      </c>
      <c r="E6174" s="13" t="inlineStr">
        <is>
          <t>ЮЛ РФ</t>
        </is>
      </c>
      <c r="F6174" s="13" t="n"/>
      <c r="G6174" s="14" t="n"/>
      <c r="H6174" s="14" t="n"/>
      <c r="I6174" s="14" t="n"/>
      <c r="J6174" s="14" t="n"/>
      <c r="K6174" s="53" t="inlineStr"/>
      <c r="L6174" s="53" t="inlineStr">
        <is>
          <t>Не определено</t>
        </is>
      </c>
      <c r="M6174" s="53" t="inlineStr"/>
      <c r="N6174" s="54" t="inlineStr"/>
      <c r="O6174" s="55" t="inlineStr"/>
      <c r="P6174" s="16" t="inlineStr">
        <is>
          <t>Требует обогащения</t>
        </is>
      </c>
      <c r="Q6174" s="16">
        <f>HYPERLINK("https://pb.nalog.ru/search.html?query=3810024661","ФНС: проверить")</f>
        <v/>
      </c>
      <c r="R6174" s="16">
        <f>HYPERLINK("https://checko.ru/search?query=3801001629","Чекко: проверить")</f>
        <v/>
      </c>
      <c r="S6174" t="n">
        <v>1</v>
      </c>
      <c r="T6174" s="35" t="inlineStr">
        <is>
          <t>4 — Не обогащён</t>
        </is>
      </c>
      <c r="U6174" s="35" t="inlineStr">
        <is>
          <t>Нет ОКВЭД/ССЧР</t>
        </is>
      </c>
      <c r="V6174" s="35" t="inlineStr">
        <is>
          <t>Не определено</t>
        </is>
      </c>
      <c r="W6174" s="35" t="inlineStr"/>
      <c r="X6174" s="35" t="inlineStr"/>
    </row>
    <row r="6175" ht="15" customHeight="1" s="24">
      <c r="A6175" s="13" t="n">
        <v>5000048080</v>
      </c>
      <c r="B6175" s="13" t="inlineStr">
        <is>
          <t>МБДОУ ГОРОДА ИРКУТСКА ДЕТСКИЙ САД № 4</t>
        </is>
      </c>
      <c r="C6175" s="13" t="n">
        <v>3811173923</v>
      </c>
      <c r="D6175" s="13" t="inlineStr">
        <is>
          <t>3811173923</t>
        </is>
      </c>
      <c r="E6175" s="13" t="inlineStr">
        <is>
          <t>ЮЛ РФ</t>
        </is>
      </c>
      <c r="F6175" s="13" t="n"/>
      <c r="G6175" s="14" t="n"/>
      <c r="H6175" s="14" t="n"/>
      <c r="I6175" s="14" t="n"/>
      <c r="J6175" s="14" t="n"/>
      <c r="K6175" s="53" t="inlineStr"/>
      <c r="L6175" s="53" t="inlineStr">
        <is>
          <t>Не определено</t>
        </is>
      </c>
      <c r="M6175" s="53" t="inlineStr"/>
      <c r="N6175" s="54" t="inlineStr"/>
      <c r="O6175" s="55" t="inlineStr"/>
      <c r="P6175" s="16" t="inlineStr">
        <is>
          <t>Требует обогащения</t>
        </is>
      </c>
      <c r="Q6175" s="16">
        <f>HYPERLINK("https://pb.nalog.ru/search.html?query=3811173923","ФНС: проверить")</f>
        <v/>
      </c>
      <c r="R6175" s="16">
        <f>HYPERLINK("https://checko.ru/search?query=3801001629","Чекко: проверить")</f>
        <v/>
      </c>
      <c r="S6175" t="n">
        <v>1</v>
      </c>
      <c r="T6175" s="35" t="inlineStr">
        <is>
          <t>4 — Не обогащён</t>
        </is>
      </c>
      <c r="U6175" s="35" t="inlineStr">
        <is>
          <t>Нет ОКВЭД/ССЧР</t>
        </is>
      </c>
      <c r="V6175" s="35" t="inlineStr">
        <is>
          <t>Не определено</t>
        </is>
      </c>
      <c r="W6175" s="35" t="inlineStr"/>
      <c r="X6175" s="35" t="inlineStr"/>
    </row>
    <row r="6176" ht="15" customHeight="1" s="24">
      <c r="A6176" s="13" t="n">
        <v>5000048081</v>
      </c>
      <c r="B6176" s="13" t="inlineStr">
        <is>
          <t>МБДОУ ГОРОДА ИРКУТСКА ДЕТСКИЙ САД № 8</t>
        </is>
      </c>
      <c r="C6176" s="13" t="n">
        <v>3811054556</v>
      </c>
      <c r="D6176" s="13" t="inlineStr">
        <is>
          <t>3811054556</t>
        </is>
      </c>
      <c r="E6176" s="13" t="inlineStr">
        <is>
          <t>ЮЛ РФ</t>
        </is>
      </c>
      <c r="F6176" s="13" t="n"/>
      <c r="G6176" s="14" t="n"/>
      <c r="H6176" s="14" t="n"/>
      <c r="I6176" s="14" t="n"/>
      <c r="J6176" s="14" t="n"/>
      <c r="K6176" s="53" t="inlineStr"/>
      <c r="L6176" s="53" t="inlineStr">
        <is>
          <t>Не определено</t>
        </is>
      </c>
      <c r="M6176" s="53" t="inlineStr"/>
      <c r="N6176" s="54" t="inlineStr"/>
      <c r="O6176" s="55" t="inlineStr"/>
      <c r="P6176" s="16" t="inlineStr">
        <is>
          <t>Требует обогащения</t>
        </is>
      </c>
      <c r="Q6176" s="16">
        <f>HYPERLINK("https://pb.nalog.ru/search.html?query=3811054556","ФНС: проверить")</f>
        <v/>
      </c>
      <c r="R6176" s="16">
        <f>HYPERLINK("https://checko.ru/search?query=3801001629","Чекко: проверить")</f>
        <v/>
      </c>
      <c r="S6176" t="n">
        <v>1</v>
      </c>
      <c r="T6176" s="35" t="inlineStr">
        <is>
          <t>4 — Не обогащён</t>
        </is>
      </c>
      <c r="U6176" s="35" t="inlineStr">
        <is>
          <t>Нет ОКВЭД/ССЧР</t>
        </is>
      </c>
      <c r="V6176" s="35" t="inlineStr">
        <is>
          <t>Не определено</t>
        </is>
      </c>
      <c r="W6176" s="35" t="inlineStr"/>
      <c r="X6176" s="35" t="inlineStr"/>
    </row>
    <row r="6177" ht="15" customHeight="1" s="24">
      <c r="A6177" s="13" t="n">
        <v>5000048082</v>
      </c>
      <c r="B6177" s="13" t="inlineStr">
        <is>
          <t>МБДОУ ГОРОДА ИРКУТСКА ДЕТСКИЙ САД № 18</t>
        </is>
      </c>
      <c r="C6177" s="13" t="n">
        <v>3811055711</v>
      </c>
      <c r="D6177" s="13" t="inlineStr">
        <is>
          <t>3811055711</t>
        </is>
      </c>
      <c r="E6177" s="13" t="inlineStr">
        <is>
          <t>ЮЛ РФ</t>
        </is>
      </c>
      <c r="F6177" s="13" t="n"/>
      <c r="G6177" s="14" t="n"/>
      <c r="H6177" s="14" t="n"/>
      <c r="I6177" s="14" t="n"/>
      <c r="J6177" s="14" t="n"/>
      <c r="K6177" s="53" t="inlineStr"/>
      <c r="L6177" s="53" t="inlineStr">
        <is>
          <t>Не определено</t>
        </is>
      </c>
      <c r="M6177" s="53" t="inlineStr"/>
      <c r="N6177" s="54" t="inlineStr"/>
      <c r="O6177" s="55" t="inlineStr"/>
      <c r="P6177" s="16" t="inlineStr">
        <is>
          <t>Требует обогащения</t>
        </is>
      </c>
      <c r="Q6177" s="16">
        <f>HYPERLINK("https://pb.nalog.ru/search.html?query=3811055711","ФНС: проверить")</f>
        <v/>
      </c>
      <c r="R6177" s="16">
        <f>HYPERLINK("https://checko.ru/search?query=3801001629","Чекко: проверить")</f>
        <v/>
      </c>
      <c r="S6177" t="n">
        <v>1</v>
      </c>
      <c r="T6177" s="35" t="inlineStr">
        <is>
          <t>4 — Не обогащён</t>
        </is>
      </c>
      <c r="U6177" s="35" t="inlineStr">
        <is>
          <t>Нет ОКВЭД/ССЧР</t>
        </is>
      </c>
      <c r="V6177" s="35" t="inlineStr">
        <is>
          <t>Не определено</t>
        </is>
      </c>
      <c r="W6177" s="35" t="inlineStr"/>
      <c r="X6177" s="35" t="inlineStr"/>
    </row>
    <row r="6178" ht="68.25" customHeight="1" s="24">
      <c r="A6178" s="13" t="n">
        <v>5000048109</v>
      </c>
      <c r="B6178" s="13" t="inlineStr">
        <is>
          <t>МУНИЦИПАЛЬНОЕ БЮДЖЕТНОЕ ОБРАЗОВАТЕЛЬНОЕ УЧРЕЖДЕНИЕ ДОПОЛНИТЕЛЬНОГО ОБРАЗОВАНИЯ ГОРОДА ИРКУТСКА "ДЕТСКО-ЮНОШЕСКАЯ СПОРТИВНАЯ ШКОЛА № 6"</t>
        </is>
      </c>
      <c r="C6178" s="13" t="n">
        <v>3811061151</v>
      </c>
      <c r="D6178" s="13" t="inlineStr">
        <is>
          <t>3811061151</t>
        </is>
      </c>
      <c r="E6178" s="13" t="inlineStr">
        <is>
          <t>ЮЛ РФ</t>
        </is>
      </c>
      <c r="F6178" s="13" t="n"/>
      <c r="G6178" s="14" t="n"/>
      <c r="H6178" s="14" t="n"/>
      <c r="I6178" s="14" t="n"/>
      <c r="J6178" s="14" t="n"/>
      <c r="K6178" s="53" t="inlineStr"/>
      <c r="L6178" s="53" t="inlineStr">
        <is>
          <t>Не определено</t>
        </is>
      </c>
      <c r="M6178" s="53" t="inlineStr"/>
      <c r="N6178" s="54" t="inlineStr"/>
      <c r="O6178" s="55" t="inlineStr"/>
      <c r="P6178" s="16" t="inlineStr">
        <is>
          <t>Требует обогащения</t>
        </is>
      </c>
      <c r="Q6178" s="16">
        <f>HYPERLINK("https://pb.nalog.ru/search.html?query=3811061151","ФНС: проверить")</f>
        <v/>
      </c>
      <c r="R6178" s="16">
        <f>HYPERLINK("https://checko.ru/search?query=3801001629","Чекко: проверить")</f>
        <v/>
      </c>
      <c r="S6178" t="n">
        <v>1</v>
      </c>
      <c r="T6178" s="35" t="inlineStr">
        <is>
          <t>4 — Не обогащён</t>
        </is>
      </c>
      <c r="U6178" s="35" t="inlineStr">
        <is>
          <t>Нет ОКВЭД/ССЧР</t>
        </is>
      </c>
      <c r="V6178" s="35" t="inlineStr">
        <is>
          <t>Не определено</t>
        </is>
      </c>
      <c r="W6178" s="35" t="inlineStr"/>
      <c r="X6178" s="35" t="inlineStr"/>
    </row>
    <row r="6179" ht="15" customHeight="1" s="24">
      <c r="A6179" s="13" t="n">
        <v>5000046089</v>
      </c>
      <c r="B6179" s="13" t="inlineStr">
        <is>
          <t>МБДОУ города Иркутска детский сад № 132</t>
        </is>
      </c>
      <c r="C6179" s="13" t="n">
        <v>3812008256</v>
      </c>
      <c r="D6179" s="13" t="inlineStr">
        <is>
          <t>3812008256</t>
        </is>
      </c>
      <c r="E6179" s="13" t="inlineStr">
        <is>
          <t>ЮЛ РФ</t>
        </is>
      </c>
      <c r="F6179" s="13" t="n"/>
      <c r="G6179" s="14" t="n"/>
      <c r="H6179" s="14" t="n"/>
      <c r="I6179" s="14" t="n"/>
      <c r="J6179" s="14" t="n"/>
      <c r="K6179" s="53" t="inlineStr"/>
      <c r="L6179" s="53" t="inlineStr">
        <is>
          <t>Не определено</t>
        </is>
      </c>
      <c r="M6179" s="53" t="inlineStr"/>
      <c r="N6179" s="54" t="inlineStr"/>
      <c r="O6179" s="55" t="inlineStr"/>
      <c r="P6179" s="16" t="inlineStr">
        <is>
          <t>Требует обогащения</t>
        </is>
      </c>
      <c r="Q6179" s="16">
        <f>HYPERLINK("https://pb.nalog.ru/search.html?query=3812008256","ФНС: проверить")</f>
        <v/>
      </c>
      <c r="R6179" s="16">
        <f>HYPERLINK("https://checko.ru/search?query=3801001629","Чекко: проверить")</f>
        <v/>
      </c>
      <c r="S6179" t="n">
        <v>1</v>
      </c>
      <c r="T6179" s="35" t="inlineStr">
        <is>
          <t>4 — Не обогащён</t>
        </is>
      </c>
      <c r="U6179" s="35" t="inlineStr">
        <is>
          <t>Нет ОКВЭД/ССЧР</t>
        </is>
      </c>
      <c r="V6179" s="35" t="inlineStr">
        <is>
          <t>Не определено</t>
        </is>
      </c>
      <c r="W6179" s="35" t="inlineStr"/>
      <c r="X6179" s="35" t="inlineStr"/>
    </row>
    <row r="6180" ht="15" customHeight="1" s="24">
      <c r="A6180" s="13" t="n">
        <v>5000046090</v>
      </c>
      <c r="B6180" s="13" t="inlineStr">
        <is>
          <t>МБДОУ города Иркутска детский сад № 139</t>
        </is>
      </c>
      <c r="C6180" s="13" t="n">
        <v>3812008312</v>
      </c>
      <c r="D6180" s="13" t="inlineStr">
        <is>
          <t>3812008312</t>
        </is>
      </c>
      <c r="E6180" s="13" t="inlineStr">
        <is>
          <t>ЮЛ РФ</t>
        </is>
      </c>
      <c r="F6180" s="13" t="n"/>
      <c r="G6180" s="14" t="n"/>
      <c r="H6180" s="14" t="n"/>
      <c r="I6180" s="14" t="n"/>
      <c r="J6180" s="14" t="n"/>
      <c r="K6180" s="53" t="inlineStr"/>
      <c r="L6180" s="53" t="inlineStr">
        <is>
          <t>Не определено</t>
        </is>
      </c>
      <c r="M6180" s="53" t="inlineStr"/>
      <c r="N6180" s="54" t="inlineStr"/>
      <c r="O6180" s="55" t="inlineStr"/>
      <c r="P6180" s="16" t="inlineStr">
        <is>
          <t>Требует обогащения</t>
        </is>
      </c>
      <c r="Q6180" s="16">
        <f>HYPERLINK("https://pb.nalog.ru/search.html?query=3812008312","ФНС: проверить")</f>
        <v/>
      </c>
      <c r="R6180" s="16">
        <f>HYPERLINK("https://checko.ru/search?query=3801001629","Чекко: проверить")</f>
        <v/>
      </c>
      <c r="S6180" t="n">
        <v>1</v>
      </c>
      <c r="T6180" s="35" t="inlineStr">
        <is>
          <t>4 — Не обогащён</t>
        </is>
      </c>
      <c r="U6180" s="35" t="inlineStr">
        <is>
          <t>Нет ОКВЭД/ССЧР</t>
        </is>
      </c>
      <c r="V6180" s="35" t="inlineStr">
        <is>
          <t>Не определено</t>
        </is>
      </c>
      <c r="W6180" s="35" t="inlineStr"/>
      <c r="X6180" s="35" t="inlineStr"/>
    </row>
    <row r="6181" ht="15" customHeight="1" s="24">
      <c r="A6181" s="13" t="n">
        <v>5000046091</v>
      </c>
      <c r="B6181" s="13" t="inlineStr">
        <is>
          <t>МБДОУ города Иркутска детский сад № 142</t>
        </is>
      </c>
      <c r="C6181" s="13" t="n">
        <v>3812008111</v>
      </c>
      <c r="D6181" s="13" t="inlineStr">
        <is>
          <t>3812008111</t>
        </is>
      </c>
      <c r="E6181" s="13" t="inlineStr">
        <is>
          <t>ЮЛ РФ</t>
        </is>
      </c>
      <c r="F6181" s="13" t="n"/>
      <c r="G6181" s="14" t="n"/>
      <c r="H6181" s="14" t="n"/>
      <c r="I6181" s="14" t="n"/>
      <c r="J6181" s="14" t="n"/>
      <c r="K6181" s="53" t="inlineStr"/>
      <c r="L6181" s="53" t="inlineStr">
        <is>
          <t>Не определено</t>
        </is>
      </c>
      <c r="M6181" s="53" t="inlineStr"/>
      <c r="N6181" s="54" t="inlineStr"/>
      <c r="O6181" s="55" t="inlineStr"/>
      <c r="P6181" s="16" t="inlineStr">
        <is>
          <t>Требует обогащения</t>
        </is>
      </c>
      <c r="Q6181" s="16">
        <f>HYPERLINK("https://pb.nalog.ru/search.html?query=3812008111","ФНС: проверить")</f>
        <v/>
      </c>
      <c r="R6181" s="16">
        <f>HYPERLINK("https://checko.ru/search?query=3801001629","Чекко: проверить")</f>
        <v/>
      </c>
      <c r="S6181" t="n">
        <v>1</v>
      </c>
      <c r="T6181" s="35" t="inlineStr">
        <is>
          <t>4 — Не обогащён</t>
        </is>
      </c>
      <c r="U6181" s="35" t="inlineStr">
        <is>
          <t>Нет ОКВЭД/ССЧР</t>
        </is>
      </c>
      <c r="V6181" s="35" t="inlineStr">
        <is>
          <t>Не определено</t>
        </is>
      </c>
      <c r="W6181" s="35" t="inlineStr"/>
      <c r="X6181" s="35" t="inlineStr"/>
    </row>
    <row r="6182" ht="15" customHeight="1" s="24">
      <c r="A6182" s="13" t="n">
        <v>5000046092</v>
      </c>
      <c r="B6182" s="13" t="inlineStr">
        <is>
          <t>МБДОУ города Иркутска детский сад № 146</t>
        </is>
      </c>
      <c r="C6182" s="13" t="n">
        <v>3812009370</v>
      </c>
      <c r="D6182" s="13" t="inlineStr">
        <is>
          <t>3812009370</t>
        </is>
      </c>
      <c r="E6182" s="13" t="inlineStr">
        <is>
          <t>ЮЛ РФ</t>
        </is>
      </c>
      <c r="F6182" s="13" t="n"/>
      <c r="G6182" s="14" t="n"/>
      <c r="H6182" s="14" t="n"/>
      <c r="I6182" s="14" t="n"/>
      <c r="J6182" s="14" t="n"/>
      <c r="K6182" s="53" t="inlineStr"/>
      <c r="L6182" s="53" t="inlineStr">
        <is>
          <t>Не определено</t>
        </is>
      </c>
      <c r="M6182" s="53" t="inlineStr"/>
      <c r="N6182" s="54" t="inlineStr"/>
      <c r="O6182" s="55" t="inlineStr"/>
      <c r="P6182" s="16" t="inlineStr">
        <is>
          <t>Требует обогащения</t>
        </is>
      </c>
      <c r="Q6182" s="16">
        <f>HYPERLINK("https://pb.nalog.ru/search.html?query=3812009370","ФНС: проверить")</f>
        <v/>
      </c>
      <c r="R6182" s="16">
        <f>HYPERLINK("https://checko.ru/search?query=3801001629","Чекко: проверить")</f>
        <v/>
      </c>
      <c r="S6182" t="n">
        <v>1</v>
      </c>
      <c r="T6182" s="35" t="inlineStr">
        <is>
          <t>4 — Не обогащён</t>
        </is>
      </c>
      <c r="U6182" s="35" t="inlineStr">
        <is>
          <t>Нет ОКВЭД/ССЧР</t>
        </is>
      </c>
      <c r="V6182" s="35" t="inlineStr">
        <is>
          <t>Не определено</t>
        </is>
      </c>
      <c r="W6182" s="35" t="inlineStr"/>
      <c r="X6182" s="35" t="inlineStr"/>
    </row>
    <row r="6183" ht="15" customHeight="1" s="24">
      <c r="A6183" s="13" t="n">
        <v>5000046093</v>
      </c>
      <c r="B6183" s="13" t="inlineStr">
        <is>
          <t>МБДОУ города Иркутска детский сад №152</t>
        </is>
      </c>
      <c r="C6183" s="13" t="n">
        <v>3812008626</v>
      </c>
      <c r="D6183" s="13" t="inlineStr">
        <is>
          <t>3812008626</t>
        </is>
      </c>
      <c r="E6183" s="13" t="inlineStr">
        <is>
          <t>ЮЛ РФ</t>
        </is>
      </c>
      <c r="F6183" s="13" t="n"/>
      <c r="G6183" s="14" t="n"/>
      <c r="H6183" s="14" t="n"/>
      <c r="I6183" s="14" t="n"/>
      <c r="J6183" s="14" t="n"/>
      <c r="K6183" s="53" t="inlineStr"/>
      <c r="L6183" s="53" t="inlineStr">
        <is>
          <t>Не определено</t>
        </is>
      </c>
      <c r="M6183" s="53" t="inlineStr"/>
      <c r="N6183" s="54" t="inlineStr"/>
      <c r="O6183" s="55" t="inlineStr"/>
      <c r="P6183" s="16" t="inlineStr">
        <is>
          <t>Требует обогащения</t>
        </is>
      </c>
      <c r="Q6183" s="16">
        <f>HYPERLINK("https://pb.nalog.ru/search.html?query=3812008626","ФНС: проверить")</f>
        <v/>
      </c>
      <c r="R6183" s="16">
        <f>HYPERLINK("https://checko.ru/search?query=3801001629","Чекко: проверить")</f>
        <v/>
      </c>
      <c r="S6183" t="n">
        <v>1</v>
      </c>
      <c r="T6183" s="35" t="inlineStr">
        <is>
          <t>4 — Не обогащён</t>
        </is>
      </c>
      <c r="U6183" s="35" t="inlineStr">
        <is>
          <t>Нет ОКВЭД/ССЧР</t>
        </is>
      </c>
      <c r="V6183" s="35" t="inlineStr">
        <is>
          <t>Не определено</t>
        </is>
      </c>
      <c r="W6183" s="35" t="inlineStr"/>
      <c r="X6183" s="35" t="inlineStr"/>
    </row>
    <row r="6184" ht="15" customHeight="1" s="24">
      <c r="A6184" s="13" t="n">
        <v>5000046094</v>
      </c>
      <c r="B6184" s="13" t="inlineStr">
        <is>
          <t>МБДОУ города Иркутска детский сад № 153</t>
        </is>
      </c>
      <c r="C6184" s="13" t="n">
        <v>3812009411</v>
      </c>
      <c r="D6184" s="13" t="inlineStr">
        <is>
          <t>3812009411</t>
        </is>
      </c>
      <c r="E6184" s="13" t="inlineStr">
        <is>
          <t>ЮЛ РФ</t>
        </is>
      </c>
      <c r="F6184" s="13" t="n"/>
      <c r="G6184" s="14" t="n"/>
      <c r="H6184" s="14" t="n"/>
      <c r="I6184" s="14" t="n"/>
      <c r="J6184" s="14" t="n"/>
      <c r="K6184" s="53" t="inlineStr"/>
      <c r="L6184" s="53" t="inlineStr">
        <is>
          <t>Не определено</t>
        </is>
      </c>
      <c r="M6184" s="53" t="inlineStr"/>
      <c r="N6184" s="54" t="inlineStr"/>
      <c r="O6184" s="55" t="inlineStr"/>
      <c r="P6184" s="16" t="inlineStr">
        <is>
          <t>Требует обогащения</t>
        </is>
      </c>
      <c r="Q6184" s="16">
        <f>HYPERLINK("https://pb.nalog.ru/search.html?query=3812009411","ФНС: проверить")</f>
        <v/>
      </c>
      <c r="R6184" s="16">
        <f>HYPERLINK("https://checko.ru/search?query=3801001629","Чекко: проверить")</f>
        <v/>
      </c>
      <c r="S6184" t="n">
        <v>1</v>
      </c>
      <c r="T6184" s="35" t="inlineStr">
        <is>
          <t>4 — Не обогащён</t>
        </is>
      </c>
      <c r="U6184" s="35" t="inlineStr">
        <is>
          <t>Нет ОКВЭД/ССЧР</t>
        </is>
      </c>
      <c r="V6184" s="35" t="inlineStr">
        <is>
          <t>Не определено</t>
        </is>
      </c>
      <c r="W6184" s="35" t="inlineStr"/>
      <c r="X6184" s="35" t="inlineStr"/>
    </row>
    <row r="6185" ht="15" customHeight="1" s="24">
      <c r="A6185" s="13" t="n">
        <v>5000046095</v>
      </c>
      <c r="B6185" s="13" t="inlineStr">
        <is>
          <t>МБДОУ города Иркутска детский сад №155</t>
        </is>
      </c>
      <c r="C6185" s="13" t="n">
        <v>3812008440</v>
      </c>
      <c r="D6185" s="13" t="inlineStr">
        <is>
          <t>3812008440</t>
        </is>
      </c>
      <c r="E6185" s="13" t="inlineStr">
        <is>
          <t>ЮЛ РФ</t>
        </is>
      </c>
      <c r="F6185" s="13" t="n"/>
      <c r="G6185" s="14" t="n"/>
      <c r="H6185" s="14" t="n"/>
      <c r="I6185" s="14" t="n"/>
      <c r="J6185" s="14" t="n"/>
      <c r="K6185" s="53" t="inlineStr"/>
      <c r="L6185" s="53" t="inlineStr">
        <is>
          <t>Не определено</t>
        </is>
      </c>
      <c r="M6185" s="53" t="inlineStr"/>
      <c r="N6185" s="54" t="inlineStr"/>
      <c r="O6185" s="55" t="inlineStr"/>
      <c r="P6185" s="16" t="inlineStr">
        <is>
          <t>Требует обогащения</t>
        </is>
      </c>
      <c r="Q6185" s="16">
        <f>HYPERLINK("https://pb.nalog.ru/search.html?query=3812008440","ФНС: проверить")</f>
        <v/>
      </c>
      <c r="R6185" s="16">
        <f>HYPERLINK("https://checko.ru/search?query=3801001629","Чекко: проверить")</f>
        <v/>
      </c>
      <c r="S6185" t="n">
        <v>1</v>
      </c>
      <c r="T6185" s="35" t="inlineStr">
        <is>
          <t>4 — Не обогащён</t>
        </is>
      </c>
      <c r="U6185" s="35" t="inlineStr">
        <is>
          <t>Нет ОКВЭД/ССЧР</t>
        </is>
      </c>
      <c r="V6185" s="35" t="inlineStr">
        <is>
          <t>Не определено</t>
        </is>
      </c>
      <c r="W6185" s="35" t="inlineStr"/>
      <c r="X6185" s="35" t="inlineStr"/>
    </row>
    <row r="6186" ht="15" customHeight="1" s="24">
      <c r="A6186" s="13" t="n">
        <v>5000046096</v>
      </c>
      <c r="B6186" s="13" t="inlineStr">
        <is>
          <t>МБДОУ города Иркутска детский сад №157</t>
        </is>
      </c>
      <c r="C6186" s="13" t="n">
        <v>3812008182</v>
      </c>
      <c r="D6186" s="13" t="inlineStr">
        <is>
          <t>3812008182</t>
        </is>
      </c>
      <c r="E6186" s="13" t="inlineStr">
        <is>
          <t>ЮЛ РФ</t>
        </is>
      </c>
      <c r="F6186" s="13" t="n"/>
      <c r="G6186" s="14" t="n"/>
      <c r="H6186" s="14" t="n"/>
      <c r="I6186" s="14" t="n"/>
      <c r="J6186" s="14" t="n"/>
      <c r="K6186" s="53" t="inlineStr"/>
      <c r="L6186" s="53" t="inlineStr">
        <is>
          <t>Не определено</t>
        </is>
      </c>
      <c r="M6186" s="53" t="inlineStr"/>
      <c r="N6186" s="54" t="inlineStr"/>
      <c r="O6186" s="55" t="inlineStr"/>
      <c r="P6186" s="16" t="inlineStr">
        <is>
          <t>Требует обогащения</t>
        </is>
      </c>
      <c r="Q6186" s="16">
        <f>HYPERLINK("https://pb.nalog.ru/search.html?query=3812008182","ФНС: проверить")</f>
        <v/>
      </c>
      <c r="R6186" s="16">
        <f>HYPERLINK("https://checko.ru/search?query=3801001629","Чекко: проверить")</f>
        <v/>
      </c>
      <c r="S6186" t="n">
        <v>1</v>
      </c>
      <c r="T6186" s="35" t="inlineStr">
        <is>
          <t>4 — Не обогащён</t>
        </is>
      </c>
      <c r="U6186" s="35" t="inlineStr">
        <is>
          <t>Нет ОКВЭД/ССЧР</t>
        </is>
      </c>
      <c r="V6186" s="35" t="inlineStr">
        <is>
          <t>Не определено</t>
        </is>
      </c>
      <c r="W6186" s="35" t="inlineStr"/>
      <c r="X6186" s="35" t="inlineStr"/>
    </row>
    <row r="6187" ht="15" customHeight="1" s="24">
      <c r="A6187" s="13" t="n">
        <v>5000046097</v>
      </c>
      <c r="B6187" s="13" t="inlineStr">
        <is>
          <t>МБДОУ города Иркутска детский сад №162</t>
        </is>
      </c>
      <c r="C6187" s="13" t="n">
        <v>3812008249</v>
      </c>
      <c r="D6187" s="13" t="inlineStr">
        <is>
          <t>3812008249</t>
        </is>
      </c>
      <c r="E6187" s="13" t="inlineStr">
        <is>
          <t>ЮЛ РФ</t>
        </is>
      </c>
      <c r="F6187" s="13" t="n"/>
      <c r="G6187" s="14" t="n"/>
      <c r="H6187" s="14" t="n"/>
      <c r="I6187" s="14" t="n"/>
      <c r="J6187" s="14" t="n"/>
      <c r="K6187" s="53" t="inlineStr"/>
      <c r="L6187" s="53" t="inlineStr">
        <is>
          <t>Не определено</t>
        </is>
      </c>
      <c r="M6187" s="53" t="inlineStr"/>
      <c r="N6187" s="54" t="inlineStr"/>
      <c r="O6187" s="55" t="inlineStr"/>
      <c r="P6187" s="16" t="inlineStr">
        <is>
          <t>Требует обогащения</t>
        </is>
      </c>
      <c r="Q6187" s="16">
        <f>HYPERLINK("https://pb.nalog.ru/search.html?query=3812008249","ФНС: проверить")</f>
        <v/>
      </c>
      <c r="R6187" s="16">
        <f>HYPERLINK("https://checko.ru/search?query=3801001629","Чекко: проверить")</f>
        <v/>
      </c>
      <c r="S6187" t="n">
        <v>1</v>
      </c>
      <c r="T6187" s="35" t="inlineStr">
        <is>
          <t>4 — Не обогащён</t>
        </is>
      </c>
      <c r="U6187" s="35" t="inlineStr">
        <is>
          <t>Нет ОКВЭД/ССЧР</t>
        </is>
      </c>
      <c r="V6187" s="35" t="inlineStr">
        <is>
          <t>Не определено</t>
        </is>
      </c>
      <c r="W6187" s="35" t="inlineStr"/>
      <c r="X6187" s="35" t="inlineStr"/>
    </row>
    <row r="6188" ht="15" customHeight="1" s="24">
      <c r="A6188" s="13" t="n">
        <v>5000046098</v>
      </c>
      <c r="B6188" s="13" t="inlineStr">
        <is>
          <t>МБДОУ города Иркутска детский сад №163</t>
        </is>
      </c>
      <c r="C6188" s="13" t="n">
        <v>3812008552</v>
      </c>
      <c r="D6188" s="13" t="inlineStr">
        <is>
          <t>3812008552</t>
        </is>
      </c>
      <c r="E6188" s="13" t="inlineStr">
        <is>
          <t>ЮЛ РФ</t>
        </is>
      </c>
      <c r="F6188" s="13" t="n"/>
      <c r="G6188" s="14" t="n"/>
      <c r="H6188" s="14" t="n"/>
      <c r="I6188" s="14" t="n"/>
      <c r="J6188" s="14" t="n"/>
      <c r="K6188" s="53" t="inlineStr"/>
      <c r="L6188" s="53" t="inlineStr">
        <is>
          <t>Не определено</t>
        </is>
      </c>
      <c r="M6188" s="53" t="inlineStr"/>
      <c r="N6188" s="54" t="inlineStr"/>
      <c r="O6188" s="55" t="inlineStr"/>
      <c r="P6188" s="16" t="inlineStr">
        <is>
          <t>Требует обогащения</t>
        </is>
      </c>
      <c r="Q6188" s="16">
        <f>HYPERLINK("https://pb.nalog.ru/search.html?query=3812008552","ФНС: проверить")</f>
        <v/>
      </c>
      <c r="R6188" s="16">
        <f>HYPERLINK("https://checko.ru/search?query=3801001629","Чекко: проверить")</f>
        <v/>
      </c>
      <c r="S6188" t="n">
        <v>1</v>
      </c>
      <c r="T6188" s="35" t="inlineStr">
        <is>
          <t>4 — Не обогащён</t>
        </is>
      </c>
      <c r="U6188" s="35" t="inlineStr">
        <is>
          <t>Нет ОКВЭД/ССЧР</t>
        </is>
      </c>
      <c r="V6188" s="35" t="inlineStr">
        <is>
          <t>Не определено</t>
        </is>
      </c>
      <c r="W6188" s="35" t="inlineStr"/>
      <c r="X6188" s="35" t="inlineStr"/>
    </row>
    <row r="6189" ht="15" customHeight="1" s="24">
      <c r="A6189" s="13" t="n">
        <v>5000046099</v>
      </c>
      <c r="B6189" s="13" t="inlineStr">
        <is>
          <t>МБДОУ города Иркутска детский сад №164</t>
        </is>
      </c>
      <c r="C6189" s="13" t="n">
        <v>3812008520</v>
      </c>
      <c r="D6189" s="13" t="inlineStr">
        <is>
          <t>3812008520</t>
        </is>
      </c>
      <c r="E6189" s="13" t="inlineStr">
        <is>
          <t>ЮЛ РФ</t>
        </is>
      </c>
      <c r="F6189" s="13" t="n"/>
      <c r="G6189" s="14" t="n"/>
      <c r="H6189" s="14" t="n"/>
      <c r="I6189" s="14" t="n"/>
      <c r="J6189" s="14" t="n"/>
      <c r="K6189" s="53" t="inlineStr"/>
      <c r="L6189" s="53" t="inlineStr">
        <is>
          <t>Не определено</t>
        </is>
      </c>
      <c r="M6189" s="53" t="inlineStr"/>
      <c r="N6189" s="54" t="inlineStr"/>
      <c r="O6189" s="55" t="inlineStr"/>
      <c r="P6189" s="16" t="inlineStr">
        <is>
          <t>Требует обогащения</t>
        </is>
      </c>
      <c r="Q6189" s="16">
        <f>HYPERLINK("https://pb.nalog.ru/search.html?query=3812008520","ФНС: проверить")</f>
        <v/>
      </c>
      <c r="R6189" s="16">
        <f>HYPERLINK("https://checko.ru/search?query=3801001629","Чекко: проверить")</f>
        <v/>
      </c>
      <c r="S6189" t="n">
        <v>1</v>
      </c>
      <c r="T6189" s="35" t="inlineStr">
        <is>
          <t>4 — Не обогащён</t>
        </is>
      </c>
      <c r="U6189" s="35" t="inlineStr">
        <is>
          <t>Нет ОКВЭД/ССЧР</t>
        </is>
      </c>
      <c r="V6189" s="35" t="inlineStr">
        <is>
          <t>Не определено</t>
        </is>
      </c>
      <c r="W6189" s="35" t="inlineStr"/>
      <c r="X6189" s="35" t="inlineStr"/>
    </row>
    <row r="6190" ht="15" customHeight="1" s="24">
      <c r="A6190" s="13" t="n">
        <v>5000046101</v>
      </c>
      <c r="B6190" s="13" t="inlineStr">
        <is>
          <t>МБДОУ города Иркутска детский сад №166</t>
        </is>
      </c>
      <c r="C6190" s="13" t="n">
        <v>3812008760</v>
      </c>
      <c r="D6190" s="13" t="inlineStr">
        <is>
          <t>3812008760</t>
        </is>
      </c>
      <c r="E6190" s="13" t="inlineStr">
        <is>
          <t>ЮЛ РФ</t>
        </is>
      </c>
      <c r="F6190" s="13" t="n"/>
      <c r="G6190" s="14" t="n"/>
      <c r="H6190" s="14" t="n"/>
      <c r="I6190" s="14" t="n"/>
      <c r="J6190" s="14" t="n"/>
      <c r="K6190" s="53" t="inlineStr"/>
      <c r="L6190" s="53" t="inlineStr">
        <is>
          <t>Не определено</t>
        </is>
      </c>
      <c r="M6190" s="53" t="inlineStr"/>
      <c r="N6190" s="54" t="inlineStr"/>
      <c r="O6190" s="55" t="inlineStr"/>
      <c r="P6190" s="16" t="inlineStr">
        <is>
          <t>Требует обогащения</t>
        </is>
      </c>
      <c r="Q6190" s="16">
        <f>HYPERLINK("https://pb.nalog.ru/search.html?query=3812008760","ФНС: проверить")</f>
        <v/>
      </c>
      <c r="R6190" s="16">
        <f>HYPERLINK("https://checko.ru/search?query=3801001629","Чекко: проверить")</f>
        <v/>
      </c>
      <c r="S6190" t="n">
        <v>1</v>
      </c>
      <c r="T6190" s="35" t="inlineStr">
        <is>
          <t>4 — Не обогащён</t>
        </is>
      </c>
      <c r="U6190" s="35" t="inlineStr">
        <is>
          <t>Нет ОКВЭД/ССЧР</t>
        </is>
      </c>
      <c r="V6190" s="35" t="inlineStr">
        <is>
          <t>Не определено</t>
        </is>
      </c>
      <c r="W6190" s="35" t="inlineStr"/>
      <c r="X6190" s="35" t="inlineStr"/>
    </row>
    <row r="6191" ht="15" customHeight="1" s="24">
      <c r="A6191" s="13" t="n">
        <v>5000046102</v>
      </c>
      <c r="B6191" s="13" t="inlineStr">
        <is>
          <t>МБДОУ города Иркутска детский сад №167</t>
        </is>
      </c>
      <c r="C6191" s="13" t="n">
        <v>3812008190</v>
      </c>
      <c r="D6191" s="13" t="inlineStr">
        <is>
          <t>3812008190</t>
        </is>
      </c>
      <c r="E6191" s="13" t="inlineStr">
        <is>
          <t>ЮЛ РФ</t>
        </is>
      </c>
      <c r="F6191" s="13" t="n"/>
      <c r="G6191" s="14" t="n"/>
      <c r="H6191" s="14" t="n"/>
      <c r="I6191" s="14" t="n"/>
      <c r="J6191" s="14" t="n"/>
      <c r="K6191" s="53" t="inlineStr"/>
      <c r="L6191" s="53" t="inlineStr">
        <is>
          <t>Не определено</t>
        </is>
      </c>
      <c r="M6191" s="53" t="inlineStr"/>
      <c r="N6191" s="54" t="inlineStr"/>
      <c r="O6191" s="55" t="inlineStr"/>
      <c r="P6191" s="16" t="inlineStr">
        <is>
          <t>Требует обогащения</t>
        </is>
      </c>
      <c r="Q6191" s="16">
        <f>HYPERLINK("https://pb.nalog.ru/search.html?query=3812008190","ФНС: проверить")</f>
        <v/>
      </c>
      <c r="R6191" s="16">
        <f>HYPERLINK("https://checko.ru/search?query=3801001629","Чекко: проверить")</f>
        <v/>
      </c>
      <c r="S6191" t="n">
        <v>1</v>
      </c>
      <c r="T6191" s="35" t="inlineStr">
        <is>
          <t>4 — Не обогащён</t>
        </is>
      </c>
      <c r="U6191" s="35" t="inlineStr">
        <is>
          <t>Нет ОКВЭД/ССЧР</t>
        </is>
      </c>
      <c r="V6191" s="35" t="inlineStr">
        <is>
          <t>Не определено</t>
        </is>
      </c>
      <c r="W6191" s="35" t="inlineStr"/>
      <c r="X6191" s="35" t="inlineStr"/>
    </row>
    <row r="6192" ht="15" customHeight="1" s="24">
      <c r="A6192" s="13" t="n">
        <v>5000046103</v>
      </c>
      <c r="B6192" s="13" t="inlineStr">
        <is>
          <t>МБДОУ города Иркутска детский сад №169</t>
        </is>
      </c>
      <c r="C6192" s="13" t="n">
        <v>3812008418</v>
      </c>
      <c r="D6192" s="13" t="inlineStr">
        <is>
          <t>3812008418</t>
        </is>
      </c>
      <c r="E6192" s="13" t="inlineStr">
        <is>
          <t>ЮЛ РФ</t>
        </is>
      </c>
      <c r="F6192" s="13" t="n"/>
      <c r="G6192" s="14" t="n"/>
      <c r="H6192" s="14" t="n"/>
      <c r="I6192" s="14" t="n"/>
      <c r="J6192" s="14" t="n"/>
      <c r="K6192" s="53" t="inlineStr"/>
      <c r="L6192" s="53" t="inlineStr">
        <is>
          <t>Не определено</t>
        </is>
      </c>
      <c r="M6192" s="53" t="inlineStr"/>
      <c r="N6192" s="54" t="inlineStr"/>
      <c r="O6192" s="55" t="inlineStr"/>
      <c r="P6192" s="16" t="inlineStr">
        <is>
          <t>Требует обогащения</t>
        </is>
      </c>
      <c r="Q6192" s="16">
        <f>HYPERLINK("https://pb.nalog.ru/search.html?query=3812008418","ФНС: проверить")</f>
        <v/>
      </c>
      <c r="R6192" s="16">
        <f>HYPERLINK("https://checko.ru/search?query=3801001629","Чекко: проверить")</f>
        <v/>
      </c>
      <c r="S6192" t="n">
        <v>1</v>
      </c>
      <c r="T6192" s="35" t="inlineStr">
        <is>
          <t>4 — Не обогащён</t>
        </is>
      </c>
      <c r="U6192" s="35" t="inlineStr">
        <is>
          <t>Нет ОКВЭД/ССЧР</t>
        </is>
      </c>
      <c r="V6192" s="35" t="inlineStr">
        <is>
          <t>Не определено</t>
        </is>
      </c>
      <c r="W6192" s="35" t="inlineStr"/>
      <c r="X6192" s="35" t="inlineStr"/>
    </row>
    <row r="6193" ht="15" customHeight="1" s="24">
      <c r="A6193" s="13" t="n">
        <v>5000046104</v>
      </c>
      <c r="B6193" s="13" t="inlineStr">
        <is>
          <t>МБДОУ города Иркутска детский сад №171</t>
        </is>
      </c>
      <c r="C6193" s="13" t="n">
        <v>3812008200</v>
      </c>
      <c r="D6193" s="13" t="inlineStr">
        <is>
          <t>3812008200</t>
        </is>
      </c>
      <c r="E6193" s="13" t="inlineStr">
        <is>
          <t>ЮЛ РФ</t>
        </is>
      </c>
      <c r="F6193" s="13" t="n"/>
      <c r="G6193" s="14" t="n"/>
      <c r="H6193" s="14" t="n"/>
      <c r="I6193" s="14" t="n"/>
      <c r="J6193" s="14" t="n"/>
      <c r="K6193" s="53" t="inlineStr"/>
      <c r="L6193" s="53" t="inlineStr">
        <is>
          <t>Не определено</t>
        </is>
      </c>
      <c r="M6193" s="53" t="inlineStr"/>
      <c r="N6193" s="54" t="inlineStr"/>
      <c r="O6193" s="55" t="inlineStr"/>
      <c r="P6193" s="16" t="inlineStr">
        <is>
          <t>Требует обогащения</t>
        </is>
      </c>
      <c r="Q6193" s="16">
        <f>HYPERLINK("https://pb.nalog.ru/search.html?query=3812008200","ФНС: проверить")</f>
        <v/>
      </c>
      <c r="R6193" s="16">
        <f>HYPERLINK("https://checko.ru/search?query=3801001629","Чекко: проверить")</f>
        <v/>
      </c>
      <c r="S6193" t="n">
        <v>1</v>
      </c>
      <c r="T6193" s="35" t="inlineStr">
        <is>
          <t>4 — Не обогащён</t>
        </is>
      </c>
      <c r="U6193" s="35" t="inlineStr">
        <is>
          <t>Нет ОКВЭД/ССЧР</t>
        </is>
      </c>
      <c r="V6193" s="35" t="inlineStr">
        <is>
          <t>Не определено</t>
        </is>
      </c>
      <c r="W6193" s="35" t="inlineStr"/>
      <c r="X6193" s="35" t="inlineStr"/>
    </row>
    <row r="6194" ht="15" customHeight="1" s="24">
      <c r="A6194" s="13" t="n">
        <v>5000046105</v>
      </c>
      <c r="B6194" s="13" t="inlineStr">
        <is>
          <t>МБДОУ города Иркутска детский сад №173</t>
        </is>
      </c>
      <c r="C6194" s="13" t="n">
        <v>3812148743</v>
      </c>
      <c r="D6194" s="13" t="inlineStr">
        <is>
          <t>3812148743</t>
        </is>
      </c>
      <c r="E6194" s="13" t="inlineStr">
        <is>
          <t>ЮЛ РФ</t>
        </is>
      </c>
      <c r="F6194" s="13" t="n"/>
      <c r="G6194" s="14" t="n"/>
      <c r="H6194" s="14" t="n"/>
      <c r="I6194" s="14" t="n"/>
      <c r="J6194" s="14" t="n"/>
      <c r="K6194" s="53" t="inlineStr"/>
      <c r="L6194" s="53" t="inlineStr">
        <is>
          <t>Не определено</t>
        </is>
      </c>
      <c r="M6194" s="53" t="inlineStr"/>
      <c r="N6194" s="54" t="inlineStr"/>
      <c r="O6194" s="55" t="inlineStr"/>
      <c r="P6194" s="16" t="inlineStr">
        <is>
          <t>Требует обогащения</t>
        </is>
      </c>
      <c r="Q6194" s="16">
        <f>HYPERLINK("https://pb.nalog.ru/search.html?query=3812148743","ФНС: проверить")</f>
        <v/>
      </c>
      <c r="R6194" s="16">
        <f>HYPERLINK("https://checko.ru/search?query=3801001629","Чекко: проверить")</f>
        <v/>
      </c>
      <c r="S6194" t="n">
        <v>1</v>
      </c>
      <c r="T6194" s="35" t="inlineStr">
        <is>
          <t>4 — Не обогащён</t>
        </is>
      </c>
      <c r="U6194" s="35" t="inlineStr">
        <is>
          <t>Нет ОКВЭД/ССЧР</t>
        </is>
      </c>
      <c r="V6194" s="35" t="inlineStr">
        <is>
          <t>Не определено</t>
        </is>
      </c>
      <c r="W6194" s="35" t="inlineStr"/>
      <c r="X6194" s="35" t="inlineStr"/>
    </row>
    <row r="6195" ht="15" customHeight="1" s="24">
      <c r="A6195" s="13" t="n">
        <v>5000046106</v>
      </c>
      <c r="B6195" s="13" t="inlineStr">
        <is>
          <t>МБДОУ города Иркутска детский сад №174</t>
        </is>
      </c>
      <c r="C6195" s="13" t="n">
        <v>3812142195</v>
      </c>
      <c r="D6195" s="13" t="inlineStr">
        <is>
          <t>3812142195</t>
        </is>
      </c>
      <c r="E6195" s="13" t="inlineStr">
        <is>
          <t>ЮЛ РФ</t>
        </is>
      </c>
      <c r="F6195" s="13" t="n"/>
      <c r="G6195" s="14" t="n"/>
      <c r="H6195" s="14" t="n"/>
      <c r="I6195" s="14" t="n"/>
      <c r="J6195" s="14" t="n"/>
      <c r="K6195" s="53" t="inlineStr"/>
      <c r="L6195" s="53" t="inlineStr">
        <is>
          <t>Не определено</t>
        </is>
      </c>
      <c r="M6195" s="53" t="inlineStr"/>
      <c r="N6195" s="54" t="inlineStr"/>
      <c r="O6195" s="55" t="inlineStr"/>
      <c r="P6195" s="16" t="inlineStr">
        <is>
          <t>Требует обогащения</t>
        </is>
      </c>
      <c r="Q6195" s="16">
        <f>HYPERLINK("https://pb.nalog.ru/search.html?query=3812142195","ФНС: проверить")</f>
        <v/>
      </c>
      <c r="R6195" s="16">
        <f>HYPERLINK("https://checko.ru/search?query=3801001629","Чекко: проверить")</f>
        <v/>
      </c>
      <c r="S6195" t="n">
        <v>1</v>
      </c>
      <c r="T6195" s="35" t="inlineStr">
        <is>
          <t>4 — Не обогащён</t>
        </is>
      </c>
      <c r="U6195" s="35" t="inlineStr">
        <is>
          <t>Нет ОКВЭД/ССЧР</t>
        </is>
      </c>
      <c r="V6195" s="35" t="inlineStr">
        <is>
          <t>Не определено</t>
        </is>
      </c>
      <c r="W6195" s="35" t="inlineStr"/>
      <c r="X6195" s="35" t="inlineStr"/>
    </row>
    <row r="6196" ht="15" customHeight="1" s="24">
      <c r="A6196" s="13" t="n">
        <v>5000046107</v>
      </c>
      <c r="B6196" s="13" t="inlineStr">
        <is>
          <t>МБДОУ города Иркутска детский сад №176</t>
        </is>
      </c>
      <c r="C6196" s="13" t="n">
        <v>3812148736</v>
      </c>
      <c r="D6196" s="13" t="inlineStr">
        <is>
          <t>3812148736</t>
        </is>
      </c>
      <c r="E6196" s="13" t="inlineStr">
        <is>
          <t>ЮЛ РФ</t>
        </is>
      </c>
      <c r="F6196" s="13" t="n"/>
      <c r="G6196" s="14" t="n"/>
      <c r="H6196" s="14" t="n"/>
      <c r="I6196" s="14" t="n"/>
      <c r="J6196" s="14" t="n"/>
      <c r="K6196" s="53" t="inlineStr"/>
      <c r="L6196" s="53" t="inlineStr">
        <is>
          <t>Не определено</t>
        </is>
      </c>
      <c r="M6196" s="53" t="inlineStr"/>
      <c r="N6196" s="54" t="inlineStr"/>
      <c r="O6196" s="55" t="inlineStr"/>
      <c r="P6196" s="16" t="inlineStr">
        <is>
          <t>Требует обогащения</t>
        </is>
      </c>
      <c r="Q6196" s="16">
        <f>HYPERLINK("https://pb.nalog.ru/search.html?query=3812148736","ФНС: проверить")</f>
        <v/>
      </c>
      <c r="R6196" s="16">
        <f>HYPERLINK("https://checko.ru/search?query=3801001629","Чекко: проверить")</f>
        <v/>
      </c>
      <c r="S6196" t="n">
        <v>1</v>
      </c>
      <c r="T6196" s="35" t="inlineStr">
        <is>
          <t>4 — Не обогащён</t>
        </is>
      </c>
      <c r="U6196" s="35" t="inlineStr">
        <is>
          <t>Нет ОКВЭД/ССЧР</t>
        </is>
      </c>
      <c r="V6196" s="35" t="inlineStr">
        <is>
          <t>Не определено</t>
        </is>
      </c>
      <c r="W6196" s="35" t="inlineStr"/>
      <c r="X6196" s="35" t="inlineStr"/>
    </row>
    <row r="6197" ht="15" customHeight="1" s="24">
      <c r="A6197" s="13" t="n">
        <v>5000046108</v>
      </c>
      <c r="B6197" s="13" t="inlineStr">
        <is>
          <t>МБДОУ города Иркутска детский сад №179</t>
        </is>
      </c>
      <c r="C6197" s="13" t="n">
        <v>3812151739</v>
      </c>
      <c r="D6197" s="13" t="inlineStr">
        <is>
          <t>3812151739</t>
        </is>
      </c>
      <c r="E6197" s="13" t="inlineStr">
        <is>
          <t>ЮЛ РФ</t>
        </is>
      </c>
      <c r="F6197" s="13" t="n"/>
      <c r="G6197" s="14" t="n"/>
      <c r="H6197" s="14" t="n"/>
      <c r="I6197" s="14" t="n"/>
      <c r="J6197" s="14" t="n"/>
      <c r="K6197" s="53" t="inlineStr"/>
      <c r="L6197" s="53" t="inlineStr">
        <is>
          <t>Не определено</t>
        </is>
      </c>
      <c r="M6197" s="53" t="inlineStr"/>
      <c r="N6197" s="54" t="inlineStr"/>
      <c r="O6197" s="55" t="inlineStr"/>
      <c r="P6197" s="16" t="inlineStr">
        <is>
          <t>Требует обогащения</t>
        </is>
      </c>
      <c r="Q6197" s="16">
        <f>HYPERLINK("https://pb.nalog.ru/search.html?query=3812151739","ФНС: проверить")</f>
        <v/>
      </c>
      <c r="R6197" s="16">
        <f>HYPERLINK("https://checko.ru/search?query=3801001629","Чекко: проверить")</f>
        <v/>
      </c>
      <c r="S6197" t="n">
        <v>1</v>
      </c>
      <c r="T6197" s="35" t="inlineStr">
        <is>
          <t>4 — Не обогащён</t>
        </is>
      </c>
      <c r="U6197" s="35" t="inlineStr">
        <is>
          <t>Нет ОКВЭД/ССЧР</t>
        </is>
      </c>
      <c r="V6197" s="35" t="inlineStr">
        <is>
          <t>Не определено</t>
        </is>
      </c>
      <c r="W6197" s="35" t="inlineStr"/>
      <c r="X6197" s="35" t="inlineStr"/>
    </row>
    <row r="6198" ht="15" customHeight="1" s="24">
      <c r="A6198" s="13" t="n">
        <v>5000046109</v>
      </c>
      <c r="B6198" s="13" t="inlineStr">
        <is>
          <t>МБДОУ города Иркутска детский сад №182</t>
        </is>
      </c>
      <c r="C6198" s="13" t="n">
        <v>3812016088</v>
      </c>
      <c r="D6198" s="13" t="inlineStr">
        <is>
          <t>3812016088</t>
        </is>
      </c>
      <c r="E6198" s="13" t="inlineStr">
        <is>
          <t>ЮЛ РФ</t>
        </is>
      </c>
      <c r="F6198" s="13" t="n"/>
      <c r="G6198" s="14" t="n"/>
      <c r="H6198" s="14" t="n"/>
      <c r="I6198" s="14" t="n"/>
      <c r="J6198" s="14" t="n"/>
      <c r="K6198" s="53" t="inlineStr"/>
      <c r="L6198" s="53" t="inlineStr">
        <is>
          <t>Не определено</t>
        </is>
      </c>
      <c r="M6198" s="53" t="inlineStr"/>
      <c r="N6198" s="54" t="inlineStr"/>
      <c r="O6198" s="55" t="inlineStr"/>
      <c r="P6198" s="16" t="inlineStr">
        <is>
          <t>Требует обогащения</t>
        </is>
      </c>
      <c r="Q6198" s="16">
        <f>HYPERLINK("https://pb.nalog.ru/search.html?query=3812016088","ФНС: проверить")</f>
        <v/>
      </c>
      <c r="R6198" s="16">
        <f>HYPERLINK("https://checko.ru/search?query=3801001629","Чекко: проверить")</f>
        <v/>
      </c>
      <c r="S6198" t="n">
        <v>1</v>
      </c>
      <c r="T6198" s="35" t="inlineStr">
        <is>
          <t>4 — Не обогащён</t>
        </is>
      </c>
      <c r="U6198" s="35" t="inlineStr">
        <is>
          <t>Нет ОКВЭД/ССЧР</t>
        </is>
      </c>
      <c r="V6198" s="35" t="inlineStr">
        <is>
          <t>Не определено</t>
        </is>
      </c>
      <c r="W6198" s="35" t="inlineStr"/>
      <c r="X6198" s="35" t="inlineStr"/>
    </row>
    <row r="6199" ht="15" customHeight="1" s="24">
      <c r="A6199" s="13" t="n">
        <v>5000046110</v>
      </c>
      <c r="B6199" s="13" t="inlineStr">
        <is>
          <t>МБДОУ города Иркутска детский сад №183</t>
        </is>
      </c>
      <c r="C6199" s="13" t="n">
        <v>3812016070</v>
      </c>
      <c r="D6199" s="13" t="inlineStr">
        <is>
          <t>3812016070</t>
        </is>
      </c>
      <c r="E6199" s="13" t="inlineStr">
        <is>
          <t>ЮЛ РФ</t>
        </is>
      </c>
      <c r="F6199" s="13" t="n"/>
      <c r="G6199" s="14" t="n"/>
      <c r="H6199" s="14" t="n"/>
      <c r="I6199" s="14" t="n"/>
      <c r="J6199" s="14" t="n"/>
      <c r="K6199" s="53" t="inlineStr"/>
      <c r="L6199" s="53" t="inlineStr">
        <is>
          <t>Не определено</t>
        </is>
      </c>
      <c r="M6199" s="53" t="inlineStr"/>
      <c r="N6199" s="54" t="inlineStr"/>
      <c r="O6199" s="55" t="inlineStr"/>
      <c r="P6199" s="16" t="inlineStr">
        <is>
          <t>Требует обогащения</t>
        </is>
      </c>
      <c r="Q6199" s="16">
        <f>HYPERLINK("https://pb.nalog.ru/search.html?query=3812016070","ФНС: проверить")</f>
        <v/>
      </c>
      <c r="R6199" s="16">
        <f>HYPERLINK("https://checko.ru/search?query=3801001629","Чекко: проверить")</f>
        <v/>
      </c>
      <c r="S6199" t="n">
        <v>1</v>
      </c>
      <c r="T6199" s="35" t="inlineStr">
        <is>
          <t>4 — Не обогащён</t>
        </is>
      </c>
      <c r="U6199" s="35" t="inlineStr">
        <is>
          <t>Нет ОКВЭД/ССЧР</t>
        </is>
      </c>
      <c r="V6199" s="35" t="inlineStr">
        <is>
          <t>Не определено</t>
        </is>
      </c>
      <c r="W6199" s="35" t="inlineStr"/>
      <c r="X6199" s="35" t="inlineStr"/>
    </row>
    <row r="6200" ht="15" customHeight="1" s="24">
      <c r="A6200" s="13" t="n">
        <v>5000046111</v>
      </c>
      <c r="B6200" s="13" t="inlineStr">
        <is>
          <t>МБДОУ города Иркутска детский сад №184</t>
        </is>
      </c>
      <c r="C6200" s="13" t="n">
        <v>3812054936</v>
      </c>
      <c r="D6200" s="13" t="inlineStr">
        <is>
          <t>3812054936</t>
        </is>
      </c>
      <c r="E6200" s="13" t="inlineStr">
        <is>
          <t>ЮЛ РФ</t>
        </is>
      </c>
      <c r="F6200" s="13" t="n"/>
      <c r="G6200" s="14" t="n"/>
      <c r="H6200" s="14" t="n"/>
      <c r="I6200" s="14" t="n"/>
      <c r="J6200" s="14" t="n"/>
      <c r="K6200" s="53" t="inlineStr"/>
      <c r="L6200" s="53" t="inlineStr">
        <is>
          <t>Не определено</t>
        </is>
      </c>
      <c r="M6200" s="53" t="inlineStr"/>
      <c r="N6200" s="54" t="inlineStr"/>
      <c r="O6200" s="55" t="inlineStr"/>
      <c r="P6200" s="16" t="inlineStr">
        <is>
          <t>Требует обогащения</t>
        </is>
      </c>
      <c r="Q6200" s="16">
        <f>HYPERLINK("https://pb.nalog.ru/search.html?query=3812054936","ФНС: проверить")</f>
        <v/>
      </c>
      <c r="R6200" s="16">
        <f>HYPERLINK("https://checko.ru/search?query=3801001629","Чекко: проверить")</f>
        <v/>
      </c>
      <c r="S6200" t="n">
        <v>1</v>
      </c>
      <c r="T6200" s="35" t="inlineStr">
        <is>
          <t>4 — Не обогащён</t>
        </is>
      </c>
      <c r="U6200" s="35" t="inlineStr">
        <is>
          <t>Нет ОКВЭД/ССЧР</t>
        </is>
      </c>
      <c r="V6200" s="35" t="inlineStr">
        <is>
          <t>Не определено</t>
        </is>
      </c>
      <c r="W6200" s="35" t="inlineStr"/>
      <c r="X6200" s="35" t="inlineStr"/>
    </row>
    <row r="6201" ht="27.75" customHeight="1" s="24">
      <c r="A6201" s="13" t="n">
        <v>5000046112</v>
      </c>
      <c r="B6201" s="13" t="inlineStr">
        <is>
          <t>МБУДО города Иркутска "Детско-юношеский центр "Илья Муромец"</t>
        </is>
      </c>
      <c r="C6201" s="13" t="n">
        <v>3812064740</v>
      </c>
      <c r="D6201" s="13" t="inlineStr">
        <is>
          <t>3812064740</t>
        </is>
      </c>
      <c r="E6201" s="13" t="inlineStr">
        <is>
          <t>ЮЛ РФ</t>
        </is>
      </c>
      <c r="F6201" s="13" t="n"/>
      <c r="G6201" s="14" t="n"/>
      <c r="H6201" s="14" t="n"/>
      <c r="I6201" s="14" t="n"/>
      <c r="J6201" s="14" t="n"/>
      <c r="K6201" s="53" t="inlineStr"/>
      <c r="L6201" s="53" t="inlineStr">
        <is>
          <t>Не определено</t>
        </is>
      </c>
      <c r="M6201" s="53" t="inlineStr"/>
      <c r="N6201" s="54" t="inlineStr"/>
      <c r="O6201" s="55" t="inlineStr"/>
      <c r="P6201" s="16" t="inlineStr">
        <is>
          <t>Требует обогащения</t>
        </is>
      </c>
      <c r="Q6201" s="16">
        <f>HYPERLINK("https://pb.nalog.ru/search.html?query=3812064740","ФНС: проверить")</f>
        <v/>
      </c>
      <c r="R6201" s="16">
        <f>HYPERLINK("https://checko.ru/search?query=3801001629","Чекко: проверить")</f>
        <v/>
      </c>
      <c r="S6201" t="n">
        <v>1</v>
      </c>
      <c r="T6201" s="35" t="inlineStr">
        <is>
          <t>4 — Не обогащён</t>
        </is>
      </c>
      <c r="U6201" s="35" t="inlineStr">
        <is>
          <t>Нет ОКВЭД/ССЧР</t>
        </is>
      </c>
      <c r="V6201" s="35" t="inlineStr">
        <is>
          <t>Не определено</t>
        </is>
      </c>
      <c r="W6201" s="35" t="inlineStr"/>
      <c r="X6201" s="35" t="inlineStr"/>
    </row>
    <row r="6202" ht="15" customHeight="1" s="24">
      <c r="A6202" s="13" t="n">
        <v>5000046064</v>
      </c>
      <c r="B6202" s="13" t="inlineStr">
        <is>
          <t>МБДОУ города Иркутска детский сад № 36</t>
        </is>
      </c>
      <c r="C6202" s="13" t="n">
        <v>3812008295</v>
      </c>
      <c r="D6202" s="13" t="inlineStr">
        <is>
          <t>3812008295</t>
        </is>
      </c>
      <c r="E6202" s="13" t="inlineStr">
        <is>
          <t>ЮЛ РФ</t>
        </is>
      </c>
      <c r="F6202" s="13" t="n"/>
      <c r="G6202" s="14" t="n"/>
      <c r="H6202" s="14" t="n"/>
      <c r="I6202" s="14" t="n"/>
      <c r="J6202" s="14" t="n"/>
      <c r="K6202" s="53" t="inlineStr"/>
      <c r="L6202" s="53" t="inlineStr">
        <is>
          <t>Не определено</t>
        </is>
      </c>
      <c r="M6202" s="53" t="inlineStr"/>
      <c r="N6202" s="54" t="inlineStr"/>
      <c r="O6202" s="55" t="inlineStr"/>
      <c r="P6202" s="16" t="inlineStr">
        <is>
          <t>Требует обогащения</t>
        </is>
      </c>
      <c r="Q6202" s="16">
        <f>HYPERLINK("https://pb.nalog.ru/search.html?query=3812008295","ФНС: проверить")</f>
        <v/>
      </c>
      <c r="R6202" s="16">
        <f>HYPERLINK("https://checko.ru/search?query=3801001629","Чекко: проверить")</f>
        <v/>
      </c>
      <c r="S6202" t="n">
        <v>1</v>
      </c>
      <c r="T6202" s="35" t="inlineStr">
        <is>
          <t>4 — Не обогащён</t>
        </is>
      </c>
      <c r="U6202" s="35" t="inlineStr">
        <is>
          <t>Нет ОКВЭД/ССЧР</t>
        </is>
      </c>
      <c r="V6202" s="35" t="inlineStr">
        <is>
          <t>Не определено</t>
        </is>
      </c>
      <c r="W6202" s="35" t="inlineStr"/>
      <c r="X6202" s="35" t="inlineStr"/>
    </row>
    <row r="6203" ht="15" customHeight="1" s="24">
      <c r="A6203" s="13" t="n">
        <v>5000046065</v>
      </c>
      <c r="B6203" s="13" t="inlineStr">
        <is>
          <t>МДОУ города Иркутска детский сад № 37</t>
        </is>
      </c>
      <c r="C6203" s="13" t="n">
        <v>3812008369</v>
      </c>
      <c r="D6203" s="13" t="inlineStr">
        <is>
          <t>3812008369</t>
        </is>
      </c>
      <c r="E6203" s="13" t="inlineStr">
        <is>
          <t>ЮЛ РФ</t>
        </is>
      </c>
      <c r="F6203" s="13" t="n"/>
      <c r="G6203" s="14" t="n"/>
      <c r="H6203" s="14" t="n"/>
      <c r="I6203" s="14" t="n"/>
      <c r="J6203" s="14" t="n"/>
      <c r="K6203" s="53" t="inlineStr"/>
      <c r="L6203" s="53" t="inlineStr">
        <is>
          <t>Не определено</t>
        </is>
      </c>
      <c r="M6203" s="53" t="inlineStr"/>
      <c r="N6203" s="54" t="inlineStr"/>
      <c r="O6203" s="55" t="inlineStr"/>
      <c r="P6203" s="16" t="inlineStr">
        <is>
          <t>Требует обогащения</t>
        </is>
      </c>
      <c r="Q6203" s="16">
        <f>HYPERLINK("https://pb.nalog.ru/search.html?query=3812008369","ФНС: проверить")</f>
        <v/>
      </c>
      <c r="R6203" s="16">
        <f>HYPERLINK("https://checko.ru/search?query=3801001629","Чекко: проверить")</f>
        <v/>
      </c>
      <c r="S6203" t="n">
        <v>1</v>
      </c>
      <c r="T6203" s="35" t="inlineStr">
        <is>
          <t>4 — Не обогащён</t>
        </is>
      </c>
      <c r="U6203" s="35" t="inlineStr">
        <is>
          <t>Нет ОКВЭД/ССЧР</t>
        </is>
      </c>
      <c r="V6203" s="35" t="inlineStr">
        <is>
          <t>Не определено</t>
        </is>
      </c>
      <c r="W6203" s="35" t="inlineStr"/>
      <c r="X6203" s="35" t="inlineStr"/>
    </row>
    <row r="6204" ht="15" customHeight="1" s="24">
      <c r="A6204" s="13" t="n">
        <v>5000046066</v>
      </c>
      <c r="B6204" s="13" t="inlineStr">
        <is>
          <t>МДОУ города Иркутска детский сад № 53</t>
        </is>
      </c>
      <c r="C6204" s="13" t="n">
        <v>3812008457</v>
      </c>
      <c r="D6204" s="13" t="inlineStr">
        <is>
          <t>3812008457</t>
        </is>
      </c>
      <c r="E6204" s="13" t="inlineStr">
        <is>
          <t>ЮЛ РФ</t>
        </is>
      </c>
      <c r="F6204" s="13" t="n"/>
      <c r="G6204" s="14" t="n"/>
      <c r="H6204" s="14" t="n"/>
      <c r="I6204" s="14" t="n"/>
      <c r="J6204" s="14" t="n"/>
      <c r="K6204" s="53" t="inlineStr"/>
      <c r="L6204" s="53" t="inlineStr">
        <is>
          <t>Не определено</t>
        </is>
      </c>
      <c r="M6204" s="53" t="inlineStr"/>
      <c r="N6204" s="54" t="inlineStr"/>
      <c r="O6204" s="55" t="inlineStr"/>
      <c r="P6204" s="16" t="inlineStr">
        <is>
          <t>Требует обогащения</t>
        </is>
      </c>
      <c r="Q6204" s="16">
        <f>HYPERLINK("https://pb.nalog.ru/search.html?query=3812008457","ФНС: проверить")</f>
        <v/>
      </c>
      <c r="R6204" s="16">
        <f>HYPERLINK("https://checko.ru/search?query=3801001629","Чекко: проверить")</f>
        <v/>
      </c>
      <c r="S6204" t="n">
        <v>1</v>
      </c>
      <c r="T6204" s="35" t="inlineStr">
        <is>
          <t>4 — Не обогащён</t>
        </is>
      </c>
      <c r="U6204" s="35" t="inlineStr">
        <is>
          <t>Нет ОКВЭД/ССЧР</t>
        </is>
      </c>
      <c r="V6204" s="35" t="inlineStr">
        <is>
          <t>Не определено</t>
        </is>
      </c>
      <c r="W6204" s="35" t="inlineStr"/>
      <c r="X6204" s="35" t="inlineStr"/>
    </row>
    <row r="6205" ht="15" customHeight="1" s="24">
      <c r="A6205" s="13" t="n">
        <v>5000046067</v>
      </c>
      <c r="B6205" s="13" t="inlineStr">
        <is>
          <t>МДОУ города Иркутска детский сад № 58</t>
        </is>
      </c>
      <c r="C6205" s="13" t="n">
        <v>3812008048</v>
      </c>
      <c r="D6205" s="13" t="inlineStr">
        <is>
          <t>3812008048</t>
        </is>
      </c>
      <c r="E6205" s="13" t="inlineStr">
        <is>
          <t>ЮЛ РФ</t>
        </is>
      </c>
      <c r="F6205" s="13" t="n"/>
      <c r="G6205" s="14" t="n"/>
      <c r="H6205" s="14" t="n"/>
      <c r="I6205" s="14" t="n"/>
      <c r="J6205" s="14" t="n"/>
      <c r="K6205" s="53" t="inlineStr"/>
      <c r="L6205" s="53" t="inlineStr">
        <is>
          <t>Не определено</t>
        </is>
      </c>
      <c r="M6205" s="53" t="inlineStr"/>
      <c r="N6205" s="54" t="inlineStr"/>
      <c r="O6205" s="55" t="inlineStr"/>
      <c r="P6205" s="16" t="inlineStr">
        <is>
          <t>Требует обогащения</t>
        </is>
      </c>
      <c r="Q6205" s="16">
        <f>HYPERLINK("https://pb.nalog.ru/search.html?query=3812008048","ФНС: проверить")</f>
        <v/>
      </c>
      <c r="R6205" s="16">
        <f>HYPERLINK("https://checko.ru/search?query=3801001629","Чекко: проверить")</f>
        <v/>
      </c>
      <c r="S6205" t="n">
        <v>1</v>
      </c>
      <c r="T6205" s="35" t="inlineStr">
        <is>
          <t>4 — Не обогащён</t>
        </is>
      </c>
      <c r="U6205" s="35" t="inlineStr">
        <is>
          <t>Нет ОКВЭД/ССЧР</t>
        </is>
      </c>
      <c r="V6205" s="35" t="inlineStr">
        <is>
          <t>Не определено</t>
        </is>
      </c>
      <c r="W6205" s="35" t="inlineStr"/>
      <c r="X6205" s="35" t="inlineStr"/>
    </row>
    <row r="6206" ht="15" customHeight="1" s="24">
      <c r="A6206" s="13" t="n">
        <v>5000046068</v>
      </c>
      <c r="B6206" s="13" t="inlineStr">
        <is>
          <t>МДОУ города Иркутска детский сад № 62</t>
        </is>
      </c>
      <c r="C6206" s="13" t="n">
        <v>3812008175</v>
      </c>
      <c r="D6206" s="13" t="inlineStr">
        <is>
          <t>3812008175</t>
        </is>
      </c>
      <c r="E6206" s="13" t="inlineStr">
        <is>
          <t>ЮЛ РФ</t>
        </is>
      </c>
      <c r="F6206" s="13" t="n"/>
      <c r="G6206" s="14" t="n"/>
      <c r="H6206" s="14" t="n"/>
      <c r="I6206" s="14" t="n"/>
      <c r="J6206" s="14" t="n"/>
      <c r="K6206" s="53" t="inlineStr"/>
      <c r="L6206" s="53" t="inlineStr">
        <is>
          <t>Не определено</t>
        </is>
      </c>
      <c r="M6206" s="53" t="inlineStr"/>
      <c r="N6206" s="54" t="inlineStr"/>
      <c r="O6206" s="55" t="inlineStr"/>
      <c r="P6206" s="16" t="inlineStr">
        <is>
          <t>Требует обогащения</t>
        </is>
      </c>
      <c r="Q6206" s="16">
        <f>HYPERLINK("https://pb.nalog.ru/search.html?query=3812008175","ФНС: проверить")</f>
        <v/>
      </c>
      <c r="R6206" s="16">
        <f>HYPERLINK("https://checko.ru/search?query=3801001629","Чекко: проверить")</f>
        <v/>
      </c>
      <c r="S6206" t="n">
        <v>1</v>
      </c>
      <c r="T6206" s="35" t="inlineStr">
        <is>
          <t>4 — Не обогащён</t>
        </is>
      </c>
      <c r="U6206" s="35" t="inlineStr">
        <is>
          <t>Нет ОКВЭД/ССЧР</t>
        </is>
      </c>
      <c r="V6206" s="35" t="inlineStr">
        <is>
          <t>Не определено</t>
        </is>
      </c>
      <c r="W6206" s="35" t="inlineStr"/>
      <c r="X6206" s="35" t="inlineStr"/>
    </row>
    <row r="6207" ht="15" customHeight="1" s="24">
      <c r="A6207" s="13" t="n">
        <v>5000046069</v>
      </c>
      <c r="B6207" s="13" t="inlineStr">
        <is>
          <t>МДОУ города Иркутска детский сад № 70</t>
        </is>
      </c>
      <c r="C6207" s="13" t="n">
        <v>3812009281</v>
      </c>
      <c r="D6207" s="13" t="inlineStr">
        <is>
          <t>3812009281</t>
        </is>
      </c>
      <c r="E6207" s="13" t="inlineStr">
        <is>
          <t>ЮЛ РФ</t>
        </is>
      </c>
      <c r="F6207" s="13" t="n"/>
      <c r="G6207" s="14" t="n"/>
      <c r="H6207" s="14" t="n"/>
      <c r="I6207" s="14" t="n"/>
      <c r="J6207" s="14" t="n"/>
      <c r="K6207" s="53" t="inlineStr"/>
      <c r="L6207" s="53" t="inlineStr">
        <is>
          <t>Не определено</t>
        </is>
      </c>
      <c r="M6207" s="53" t="inlineStr"/>
      <c r="N6207" s="54" t="inlineStr"/>
      <c r="O6207" s="55" t="inlineStr"/>
      <c r="P6207" s="16" t="inlineStr">
        <is>
          <t>Требует обогащения</t>
        </is>
      </c>
      <c r="Q6207" s="16">
        <f>HYPERLINK("https://pb.nalog.ru/search.html?query=3812009281","ФНС: проверить")</f>
        <v/>
      </c>
      <c r="R6207" s="16">
        <f>HYPERLINK("https://checko.ru/search?query=3801001629","Чекко: проверить")</f>
        <v/>
      </c>
      <c r="S6207" t="n">
        <v>1</v>
      </c>
      <c r="T6207" s="35" t="inlineStr">
        <is>
          <t>4 — Не обогащён</t>
        </is>
      </c>
      <c r="U6207" s="35" t="inlineStr">
        <is>
          <t>Нет ОКВЭД/ССЧР</t>
        </is>
      </c>
      <c r="V6207" s="35" t="inlineStr">
        <is>
          <t>Не определено</t>
        </is>
      </c>
      <c r="W6207" s="35" t="inlineStr"/>
      <c r="X6207" s="35" t="inlineStr"/>
    </row>
    <row r="6208" ht="15" customHeight="1" s="24">
      <c r="A6208" s="13" t="n">
        <v>5000046071</v>
      </c>
      <c r="B6208" s="13" t="inlineStr">
        <is>
          <t>МБДОУ города Иркутска детский сад № 74</t>
        </is>
      </c>
      <c r="C6208" s="13" t="n">
        <v>3812008577</v>
      </c>
      <c r="D6208" s="13" t="inlineStr">
        <is>
          <t>3812008577</t>
        </is>
      </c>
      <c r="E6208" s="13" t="inlineStr">
        <is>
          <t>ЮЛ РФ</t>
        </is>
      </c>
      <c r="F6208" s="13" t="n"/>
      <c r="G6208" s="14" t="n"/>
      <c r="H6208" s="14" t="n"/>
      <c r="I6208" s="14" t="n"/>
      <c r="J6208" s="14" t="n"/>
      <c r="K6208" s="53" t="inlineStr"/>
      <c r="L6208" s="53" t="inlineStr">
        <is>
          <t>Не определено</t>
        </is>
      </c>
      <c r="M6208" s="53" t="inlineStr"/>
      <c r="N6208" s="54" t="inlineStr"/>
      <c r="O6208" s="55" t="inlineStr"/>
      <c r="P6208" s="16" t="inlineStr">
        <is>
          <t>Требует обогащения</t>
        </is>
      </c>
      <c r="Q6208" s="16">
        <f>HYPERLINK("https://pb.nalog.ru/search.html?query=3812008577","ФНС: проверить")</f>
        <v/>
      </c>
      <c r="R6208" s="16">
        <f>HYPERLINK("https://checko.ru/search?query=3801001629","Чекко: проверить")</f>
        <v/>
      </c>
      <c r="S6208" t="n">
        <v>1</v>
      </c>
      <c r="T6208" s="35" t="inlineStr">
        <is>
          <t>4 — Не обогащён</t>
        </is>
      </c>
      <c r="U6208" s="35" t="inlineStr">
        <is>
          <t>Нет ОКВЭД/ССЧР</t>
        </is>
      </c>
      <c r="V6208" s="35" t="inlineStr">
        <is>
          <t>Не определено</t>
        </is>
      </c>
      <c r="W6208" s="35" t="inlineStr"/>
      <c r="X6208" s="35" t="inlineStr"/>
    </row>
    <row r="6209" ht="15" customHeight="1" s="24">
      <c r="A6209" s="13" t="n">
        <v>5000046072</v>
      </c>
      <c r="B6209" s="13" t="inlineStr">
        <is>
          <t>МБДОУ города Иркутска детский сад № 76</t>
        </is>
      </c>
      <c r="C6209" s="13" t="n">
        <v>3812072445</v>
      </c>
      <c r="D6209" s="13" t="inlineStr">
        <is>
          <t>3812072445</t>
        </is>
      </c>
      <c r="E6209" s="13" t="inlineStr">
        <is>
          <t>ЮЛ РФ</t>
        </is>
      </c>
      <c r="F6209" s="13" t="n"/>
      <c r="G6209" s="14" t="n"/>
      <c r="H6209" s="14" t="n"/>
      <c r="I6209" s="14" t="n"/>
      <c r="J6209" s="14" t="n"/>
      <c r="K6209" s="53" t="inlineStr"/>
      <c r="L6209" s="53" t="inlineStr">
        <is>
          <t>Не определено</t>
        </is>
      </c>
      <c r="M6209" s="53" t="inlineStr"/>
      <c r="N6209" s="54" t="inlineStr"/>
      <c r="O6209" s="55" t="inlineStr"/>
      <c r="P6209" s="16" t="inlineStr">
        <is>
          <t>Требует обогащения</t>
        </is>
      </c>
      <c r="Q6209" s="16">
        <f>HYPERLINK("https://pb.nalog.ru/search.html?query=3812072445","ФНС: проверить")</f>
        <v/>
      </c>
      <c r="R6209" s="16">
        <f>HYPERLINK("https://checko.ru/search?query=3801001629","Чекко: проверить")</f>
        <v/>
      </c>
      <c r="S6209" t="n">
        <v>1</v>
      </c>
      <c r="T6209" s="35" t="inlineStr">
        <is>
          <t>4 — Не обогащён</t>
        </is>
      </c>
      <c r="U6209" s="35" t="inlineStr">
        <is>
          <t>Нет ОКВЭД/ССЧР</t>
        </is>
      </c>
      <c r="V6209" s="35" t="inlineStr">
        <is>
          <t>Не определено</t>
        </is>
      </c>
      <c r="W6209" s="35" t="inlineStr"/>
      <c r="X6209" s="35" t="inlineStr"/>
    </row>
    <row r="6210" ht="15" customHeight="1" s="24">
      <c r="A6210" s="13" t="n">
        <v>5000046073</v>
      </c>
      <c r="B6210" s="13" t="inlineStr">
        <is>
          <t>МДОУ города Иркутска детский сад № 77</t>
        </is>
      </c>
      <c r="C6210" s="13" t="n">
        <v>3812007968</v>
      </c>
      <c r="D6210" s="13" t="inlineStr">
        <is>
          <t>3812007968</t>
        </is>
      </c>
      <c r="E6210" s="13" t="inlineStr">
        <is>
          <t>ЮЛ РФ</t>
        </is>
      </c>
      <c r="F6210" s="13" t="n"/>
      <c r="G6210" s="14" t="n"/>
      <c r="H6210" s="14" t="n"/>
      <c r="I6210" s="14" t="n"/>
      <c r="J6210" s="14" t="n"/>
      <c r="K6210" s="53" t="inlineStr"/>
      <c r="L6210" s="53" t="inlineStr">
        <is>
          <t>Не определено</t>
        </is>
      </c>
      <c r="M6210" s="53" t="inlineStr"/>
      <c r="N6210" s="54" t="inlineStr"/>
      <c r="O6210" s="55" t="inlineStr"/>
      <c r="P6210" s="16" t="inlineStr">
        <is>
          <t>Требует обогащения</t>
        </is>
      </c>
      <c r="Q6210" s="16">
        <f>HYPERLINK("https://pb.nalog.ru/search.html?query=3812007968","ФНС: проверить")</f>
        <v/>
      </c>
      <c r="R6210" s="16">
        <f>HYPERLINK("https://checko.ru/search?query=3801001629","Чекко: проверить")</f>
        <v/>
      </c>
      <c r="S6210" t="n">
        <v>1</v>
      </c>
      <c r="T6210" s="35" t="inlineStr">
        <is>
          <t>4 — Не обогащён</t>
        </is>
      </c>
      <c r="U6210" s="35" t="inlineStr">
        <is>
          <t>Нет ОКВЭД/ССЧР</t>
        </is>
      </c>
      <c r="V6210" s="35" t="inlineStr">
        <is>
          <t>Не определено</t>
        </is>
      </c>
      <c r="W6210" s="35" t="inlineStr"/>
      <c r="X6210" s="35" t="inlineStr"/>
    </row>
    <row r="6211" ht="15" customHeight="1" s="24">
      <c r="A6211" s="13" t="n">
        <v>5000046074</v>
      </c>
      <c r="B6211" s="13" t="inlineStr">
        <is>
          <t>МДОУ города Иркутска детский сад № 81</t>
        </is>
      </c>
      <c r="C6211" s="13" t="n">
        <v>3812065913</v>
      </c>
      <c r="D6211" s="13" t="inlineStr">
        <is>
          <t>3812065913</t>
        </is>
      </c>
      <c r="E6211" s="13" t="inlineStr">
        <is>
          <t>ЮЛ РФ</t>
        </is>
      </c>
      <c r="F6211" s="13" t="n"/>
      <c r="G6211" s="14" t="n"/>
      <c r="H6211" s="14" t="n"/>
      <c r="I6211" s="14" t="n"/>
      <c r="J6211" s="14" t="n"/>
      <c r="K6211" s="53" t="inlineStr"/>
      <c r="L6211" s="53" t="inlineStr">
        <is>
          <t>Не определено</t>
        </is>
      </c>
      <c r="M6211" s="53" t="inlineStr"/>
      <c r="N6211" s="54" t="inlineStr"/>
      <c r="O6211" s="55" t="inlineStr"/>
      <c r="P6211" s="16" t="inlineStr">
        <is>
          <t>Требует обогащения</t>
        </is>
      </c>
      <c r="Q6211" s="16">
        <f>HYPERLINK("https://pb.nalog.ru/search.html?query=3812065913","ФНС: проверить")</f>
        <v/>
      </c>
      <c r="R6211" s="16">
        <f>HYPERLINK("https://checko.ru/search?query=3801001629","Чекко: проверить")</f>
        <v/>
      </c>
      <c r="S6211" t="n">
        <v>1</v>
      </c>
      <c r="T6211" s="35" t="inlineStr">
        <is>
          <t>4 — Не обогащён</t>
        </is>
      </c>
      <c r="U6211" s="35" t="inlineStr">
        <is>
          <t>Нет ОКВЭД/ССЧР</t>
        </is>
      </c>
      <c r="V6211" s="35" t="inlineStr">
        <is>
          <t>Не определено</t>
        </is>
      </c>
      <c r="W6211" s="35" t="inlineStr"/>
      <c r="X6211" s="35" t="inlineStr"/>
    </row>
    <row r="6212" ht="15" customHeight="1" s="24">
      <c r="A6212" s="13" t="n">
        <v>5000046075</v>
      </c>
      <c r="B6212" s="13" t="inlineStr">
        <is>
          <t>МБДОУ города Иркутска детский сад № 83</t>
        </is>
      </c>
      <c r="C6212" s="13" t="n">
        <v>3812008305</v>
      </c>
      <c r="D6212" s="13" t="inlineStr">
        <is>
          <t>3812008305</t>
        </is>
      </c>
      <c r="E6212" s="13" t="inlineStr">
        <is>
          <t>ЮЛ РФ</t>
        </is>
      </c>
      <c r="F6212" s="13" t="n"/>
      <c r="G6212" s="14" t="n"/>
      <c r="H6212" s="14" t="n"/>
      <c r="I6212" s="14" t="n"/>
      <c r="J6212" s="14" t="n"/>
      <c r="K6212" s="53" t="inlineStr"/>
      <c r="L6212" s="53" t="inlineStr">
        <is>
          <t>Не определено</t>
        </is>
      </c>
      <c r="M6212" s="53" t="inlineStr"/>
      <c r="N6212" s="54" t="inlineStr"/>
      <c r="O6212" s="55" t="inlineStr"/>
      <c r="P6212" s="16" t="inlineStr">
        <is>
          <t>Требует обогащения</t>
        </is>
      </c>
      <c r="Q6212" s="16">
        <f>HYPERLINK("https://pb.nalog.ru/search.html?query=3812008305","ФНС: проверить")</f>
        <v/>
      </c>
      <c r="R6212" s="16">
        <f>HYPERLINK("https://checko.ru/search?query=3801001629","Чекко: проверить")</f>
        <v/>
      </c>
      <c r="S6212" t="n">
        <v>1</v>
      </c>
      <c r="T6212" s="35" t="inlineStr">
        <is>
          <t>4 — Не обогащён</t>
        </is>
      </c>
      <c r="U6212" s="35" t="inlineStr">
        <is>
          <t>Нет ОКВЭД/ССЧР</t>
        </is>
      </c>
      <c r="V6212" s="35" t="inlineStr">
        <is>
          <t>Не определено</t>
        </is>
      </c>
      <c r="W6212" s="35" t="inlineStr"/>
      <c r="X6212" s="35" t="inlineStr"/>
    </row>
    <row r="6213" ht="15" customHeight="1" s="24">
      <c r="A6213" s="13" t="n">
        <v>5000046076</v>
      </c>
      <c r="B6213" s="13" t="inlineStr">
        <is>
          <t>МБДОУ города Иркутска детский сад № 89</t>
        </is>
      </c>
      <c r="C6213" s="13" t="n">
        <v>3812008288</v>
      </c>
      <c r="D6213" s="13" t="inlineStr">
        <is>
          <t>3812008288</t>
        </is>
      </c>
      <c r="E6213" s="13" t="inlineStr">
        <is>
          <t>ЮЛ РФ</t>
        </is>
      </c>
      <c r="F6213" s="13" t="n"/>
      <c r="G6213" s="14" t="n"/>
      <c r="H6213" s="14" t="n"/>
      <c r="I6213" s="14" t="n"/>
      <c r="J6213" s="14" t="n"/>
      <c r="K6213" s="53" t="inlineStr"/>
      <c r="L6213" s="53" t="inlineStr">
        <is>
          <t>Не определено</t>
        </is>
      </c>
      <c r="M6213" s="53" t="inlineStr"/>
      <c r="N6213" s="54" t="inlineStr"/>
      <c r="O6213" s="55" t="inlineStr"/>
      <c r="P6213" s="16" t="inlineStr">
        <is>
          <t>Требует обогащения</t>
        </is>
      </c>
      <c r="Q6213" s="16">
        <f>HYPERLINK("https://pb.nalog.ru/search.html?query=3812008288","ФНС: проверить")</f>
        <v/>
      </c>
      <c r="R6213" s="16">
        <f>HYPERLINK("https://checko.ru/search?query=3801001629","Чекко: проверить")</f>
        <v/>
      </c>
      <c r="S6213" t="n">
        <v>1</v>
      </c>
      <c r="T6213" s="35" t="inlineStr">
        <is>
          <t>4 — Не обогащён</t>
        </is>
      </c>
      <c r="U6213" s="35" t="inlineStr">
        <is>
          <t>Нет ОКВЭД/ССЧР</t>
        </is>
      </c>
      <c r="V6213" s="35" t="inlineStr">
        <is>
          <t>Не определено</t>
        </is>
      </c>
      <c r="W6213" s="35" t="inlineStr"/>
      <c r="X6213" s="35" t="inlineStr"/>
    </row>
    <row r="6214" ht="15" customHeight="1" s="24">
      <c r="A6214" s="13" t="n">
        <v>5000046077</v>
      </c>
      <c r="B6214" s="13" t="inlineStr">
        <is>
          <t>МБДОУ города Иркутска детский сад № 96</t>
        </is>
      </c>
      <c r="C6214" s="13" t="n">
        <v>3812008337</v>
      </c>
      <c r="D6214" s="13" t="inlineStr">
        <is>
          <t>3812008337</t>
        </is>
      </c>
      <c r="E6214" s="13" t="inlineStr">
        <is>
          <t>ЮЛ РФ</t>
        </is>
      </c>
      <c r="F6214" s="13" t="n"/>
      <c r="G6214" s="14" t="n"/>
      <c r="H6214" s="14" t="n"/>
      <c r="I6214" s="14" t="n"/>
      <c r="J6214" s="14" t="n"/>
      <c r="K6214" s="53" t="inlineStr"/>
      <c r="L6214" s="53" t="inlineStr">
        <is>
          <t>Не определено</t>
        </is>
      </c>
      <c r="M6214" s="53" t="inlineStr"/>
      <c r="N6214" s="54" t="inlineStr"/>
      <c r="O6214" s="55" t="inlineStr"/>
      <c r="P6214" s="16" t="inlineStr">
        <is>
          <t>Требует обогащения</t>
        </is>
      </c>
      <c r="Q6214" s="16">
        <f>HYPERLINK("https://pb.nalog.ru/search.html?query=3812008337","ФНС: проверить")</f>
        <v/>
      </c>
      <c r="R6214" s="16">
        <f>HYPERLINK("https://checko.ru/search?query=3801001629","Чекко: проверить")</f>
        <v/>
      </c>
      <c r="S6214" t="n">
        <v>1</v>
      </c>
      <c r="T6214" s="35" t="inlineStr">
        <is>
          <t>4 — Не обогащён</t>
        </is>
      </c>
      <c r="U6214" s="35" t="inlineStr">
        <is>
          <t>Нет ОКВЭД/ССЧР</t>
        </is>
      </c>
      <c r="V6214" s="35" t="inlineStr">
        <is>
          <t>Не определено</t>
        </is>
      </c>
      <c r="W6214" s="35" t="inlineStr"/>
      <c r="X6214" s="35" t="inlineStr"/>
    </row>
    <row r="6215" ht="15" customHeight="1" s="24">
      <c r="A6215" s="13" t="n">
        <v>5000046078</v>
      </c>
      <c r="B6215" s="13" t="inlineStr">
        <is>
          <t>МБДОУ города Иркутска детский сад № 97</t>
        </is>
      </c>
      <c r="C6215" s="13" t="n">
        <v>3812007975</v>
      </c>
      <c r="D6215" s="13" t="inlineStr">
        <is>
          <t>3812007975</t>
        </is>
      </c>
      <c r="E6215" s="13" t="inlineStr">
        <is>
          <t>ЮЛ РФ</t>
        </is>
      </c>
      <c r="F6215" s="13" t="n"/>
      <c r="G6215" s="14" t="n"/>
      <c r="H6215" s="14" t="n"/>
      <c r="I6215" s="14" t="n"/>
      <c r="J6215" s="14" t="n"/>
      <c r="K6215" s="53" t="inlineStr"/>
      <c r="L6215" s="53" t="inlineStr">
        <is>
          <t>Не определено</t>
        </is>
      </c>
      <c r="M6215" s="53" t="inlineStr"/>
      <c r="N6215" s="54" t="inlineStr"/>
      <c r="O6215" s="55" t="inlineStr"/>
      <c r="P6215" s="16" t="inlineStr">
        <is>
          <t>Требует обогащения</t>
        </is>
      </c>
      <c r="Q6215" s="16">
        <f>HYPERLINK("https://pb.nalog.ru/search.html?query=3812007975","ФНС: проверить")</f>
        <v/>
      </c>
      <c r="R6215" s="16">
        <f>HYPERLINK("https://checko.ru/search?query=3801001629","Чекко: проверить")</f>
        <v/>
      </c>
      <c r="S6215" t="n">
        <v>1</v>
      </c>
      <c r="T6215" s="35" t="inlineStr">
        <is>
          <t>4 — Не обогащён</t>
        </is>
      </c>
      <c r="U6215" s="35" t="inlineStr">
        <is>
          <t>Нет ОКВЭД/ССЧР</t>
        </is>
      </c>
      <c r="V6215" s="35" t="inlineStr">
        <is>
          <t>Не определено</t>
        </is>
      </c>
      <c r="W6215" s="35" t="inlineStr"/>
      <c r="X6215" s="35" t="inlineStr"/>
    </row>
    <row r="6216" ht="15" customHeight="1" s="24">
      <c r="A6216" s="13" t="n">
        <v>5000046079</v>
      </c>
      <c r="B6216" s="13" t="inlineStr">
        <is>
          <t>МБДОУ города Иркутска детский сад № 105</t>
        </is>
      </c>
      <c r="C6216" s="13" t="n">
        <v>3812008432</v>
      </c>
      <c r="D6216" s="13" t="inlineStr">
        <is>
          <t>3812008432</t>
        </is>
      </c>
      <c r="E6216" s="13" t="inlineStr">
        <is>
          <t>ЮЛ РФ</t>
        </is>
      </c>
      <c r="F6216" s="13" t="n"/>
      <c r="G6216" s="14" t="n"/>
      <c r="H6216" s="14" t="n"/>
      <c r="I6216" s="14" t="n"/>
      <c r="J6216" s="14" t="n"/>
      <c r="K6216" s="53" t="inlineStr"/>
      <c r="L6216" s="53" t="inlineStr">
        <is>
          <t>Не определено</t>
        </is>
      </c>
      <c r="M6216" s="53" t="inlineStr"/>
      <c r="N6216" s="54" t="inlineStr"/>
      <c r="O6216" s="55" t="inlineStr"/>
      <c r="P6216" s="16" t="inlineStr">
        <is>
          <t>Требует обогащения</t>
        </is>
      </c>
      <c r="Q6216" s="16">
        <f>HYPERLINK("https://pb.nalog.ru/search.html?query=3812008432","ФНС: проверить")</f>
        <v/>
      </c>
      <c r="R6216" s="16">
        <f>HYPERLINK("https://checko.ru/search?query=3801001629","Чекко: проверить")</f>
        <v/>
      </c>
      <c r="S6216" t="n">
        <v>1</v>
      </c>
      <c r="T6216" s="35" t="inlineStr">
        <is>
          <t>4 — Не обогащён</t>
        </is>
      </c>
      <c r="U6216" s="35" t="inlineStr">
        <is>
          <t>Нет ОКВЭД/ССЧР</t>
        </is>
      </c>
      <c r="V6216" s="35" t="inlineStr">
        <is>
          <t>Не определено</t>
        </is>
      </c>
      <c r="W6216" s="35" t="inlineStr"/>
      <c r="X6216" s="35" t="inlineStr"/>
    </row>
    <row r="6217" ht="15" customHeight="1" s="24">
      <c r="A6217" s="13" t="n">
        <v>5000046081</v>
      </c>
      <c r="B6217" s="13" t="inlineStr">
        <is>
          <t>МБДОУ города Иркутска детский сад №110</t>
        </is>
      </c>
      <c r="C6217" s="13" t="n">
        <v>3812106912</v>
      </c>
      <c r="D6217" s="13" t="inlineStr">
        <is>
          <t>3812106912</t>
        </is>
      </c>
      <c r="E6217" s="13" t="inlineStr">
        <is>
          <t>ЮЛ РФ</t>
        </is>
      </c>
      <c r="F6217" s="13" t="n"/>
      <c r="G6217" s="14" t="n"/>
      <c r="H6217" s="14" t="n"/>
      <c r="I6217" s="14" t="n"/>
      <c r="J6217" s="14" t="n"/>
      <c r="K6217" s="53" t="inlineStr"/>
      <c r="L6217" s="53" t="inlineStr">
        <is>
          <t>Не определено</t>
        </is>
      </c>
      <c r="M6217" s="53" t="inlineStr"/>
      <c r="N6217" s="54" t="inlineStr"/>
      <c r="O6217" s="55" t="inlineStr"/>
      <c r="P6217" s="16" t="inlineStr">
        <is>
          <t>Требует обогащения</t>
        </is>
      </c>
      <c r="Q6217" s="16">
        <f>HYPERLINK("https://pb.nalog.ru/search.html?query=3812106912","ФНС: проверить")</f>
        <v/>
      </c>
      <c r="R6217" s="16">
        <f>HYPERLINK("https://checko.ru/search?query=3801001629","Чекко: проверить")</f>
        <v/>
      </c>
      <c r="S6217" t="n">
        <v>1</v>
      </c>
      <c r="T6217" s="35" t="inlineStr">
        <is>
          <t>4 — Не обогащён</t>
        </is>
      </c>
      <c r="U6217" s="35" t="inlineStr">
        <is>
          <t>Нет ОКВЭД/ССЧР</t>
        </is>
      </c>
      <c r="V6217" s="35" t="inlineStr">
        <is>
          <t>Не определено</t>
        </is>
      </c>
      <c r="W6217" s="35" t="inlineStr"/>
      <c r="X6217" s="35" t="inlineStr"/>
    </row>
    <row r="6218" ht="15" customHeight="1" s="24">
      <c r="A6218" s="13" t="n">
        <v>5000046082</v>
      </c>
      <c r="B6218" s="13" t="inlineStr">
        <is>
          <t>МБДОУ города Иркутска детский сад №114</t>
        </is>
      </c>
      <c r="C6218" s="13" t="n">
        <v>3812008376</v>
      </c>
      <c r="D6218" s="13" t="inlineStr">
        <is>
          <t>3812008376</t>
        </is>
      </c>
      <c r="E6218" s="13" t="inlineStr">
        <is>
          <t>ЮЛ РФ</t>
        </is>
      </c>
      <c r="F6218" s="13" t="n"/>
      <c r="G6218" s="14" t="n"/>
      <c r="H6218" s="14" t="n"/>
      <c r="I6218" s="14" t="n"/>
      <c r="J6218" s="14" t="n"/>
      <c r="K6218" s="53" t="inlineStr"/>
      <c r="L6218" s="53" t="inlineStr">
        <is>
          <t>Не определено</t>
        </is>
      </c>
      <c r="M6218" s="53" t="inlineStr"/>
      <c r="N6218" s="54" t="inlineStr"/>
      <c r="O6218" s="55" t="inlineStr"/>
      <c r="P6218" s="16" t="inlineStr">
        <is>
          <t>Требует обогащения</t>
        </is>
      </c>
      <c r="Q6218" s="16">
        <f>HYPERLINK("https://pb.nalog.ru/search.html?query=3812008376","ФНС: проверить")</f>
        <v/>
      </c>
      <c r="R6218" s="16">
        <f>HYPERLINK("https://checko.ru/search?query=3801001629","Чекко: проверить")</f>
        <v/>
      </c>
      <c r="S6218" t="n">
        <v>1</v>
      </c>
      <c r="T6218" s="35" t="inlineStr">
        <is>
          <t>4 — Не обогащён</t>
        </is>
      </c>
      <c r="U6218" s="35" t="inlineStr">
        <is>
          <t>Нет ОКВЭД/ССЧР</t>
        </is>
      </c>
      <c r="V6218" s="35" t="inlineStr">
        <is>
          <t>Не определено</t>
        </is>
      </c>
      <c r="W6218" s="35" t="inlineStr"/>
      <c r="X6218" s="35" t="inlineStr"/>
    </row>
    <row r="6219" ht="15" customHeight="1" s="24">
      <c r="A6219" s="13" t="n">
        <v>5000046083</v>
      </c>
      <c r="B6219" s="13" t="inlineStr">
        <is>
          <t>МБДОУ города Иркутска детский сад № 115</t>
        </is>
      </c>
      <c r="C6219" s="13" t="n">
        <v>3812008471</v>
      </c>
      <c r="D6219" s="13" t="inlineStr">
        <is>
          <t>3812008471</t>
        </is>
      </c>
      <c r="E6219" s="13" t="inlineStr">
        <is>
          <t>ЮЛ РФ</t>
        </is>
      </c>
      <c r="F6219" s="13" t="n"/>
      <c r="G6219" s="14" t="n"/>
      <c r="H6219" s="14" t="n"/>
      <c r="I6219" s="14" t="n"/>
      <c r="J6219" s="14" t="n"/>
      <c r="K6219" s="53" t="inlineStr"/>
      <c r="L6219" s="53" t="inlineStr">
        <is>
          <t>Не определено</t>
        </is>
      </c>
      <c r="M6219" s="53" t="inlineStr"/>
      <c r="N6219" s="54" t="inlineStr"/>
      <c r="O6219" s="55" t="inlineStr"/>
      <c r="P6219" s="16" t="inlineStr">
        <is>
          <t>Требует обогащения</t>
        </is>
      </c>
      <c r="Q6219" s="16">
        <f>HYPERLINK("https://pb.nalog.ru/search.html?query=3812008471","ФНС: проверить")</f>
        <v/>
      </c>
      <c r="R6219" s="16">
        <f>HYPERLINK("https://checko.ru/search?query=3801001629","Чекко: проверить")</f>
        <v/>
      </c>
      <c r="S6219" t="n">
        <v>1</v>
      </c>
      <c r="T6219" s="35" t="inlineStr">
        <is>
          <t>4 — Не обогащён</t>
        </is>
      </c>
      <c r="U6219" s="35" t="inlineStr">
        <is>
          <t>Нет ОКВЭД/ССЧР</t>
        </is>
      </c>
      <c r="V6219" s="35" t="inlineStr">
        <is>
          <t>Не определено</t>
        </is>
      </c>
      <c r="W6219" s="35" t="inlineStr"/>
      <c r="X6219" s="35" t="inlineStr"/>
    </row>
    <row r="6220" ht="15" customHeight="1" s="24">
      <c r="A6220" s="13" t="n">
        <v>5000046084</v>
      </c>
      <c r="B6220" s="13" t="inlineStr">
        <is>
          <t>МБДОУ города Иркутска детский сад № 119</t>
        </is>
      </c>
      <c r="C6220" s="13" t="n">
        <v>3812008859</v>
      </c>
      <c r="D6220" s="13" t="inlineStr">
        <is>
          <t>3812008859</t>
        </is>
      </c>
      <c r="E6220" s="13" t="inlineStr">
        <is>
          <t>ЮЛ РФ</t>
        </is>
      </c>
      <c r="F6220" s="13" t="n"/>
      <c r="G6220" s="14" t="n"/>
      <c r="H6220" s="14" t="n"/>
      <c r="I6220" s="14" t="n"/>
      <c r="J6220" s="14" t="n"/>
      <c r="K6220" s="53" t="inlineStr"/>
      <c r="L6220" s="53" t="inlineStr">
        <is>
          <t>Не определено</t>
        </is>
      </c>
      <c r="M6220" s="53" t="inlineStr"/>
      <c r="N6220" s="54" t="inlineStr"/>
      <c r="O6220" s="55" t="inlineStr"/>
      <c r="P6220" s="16" t="inlineStr">
        <is>
          <t>Требует обогащения</t>
        </is>
      </c>
      <c r="Q6220" s="16">
        <f>HYPERLINK("https://pb.nalog.ru/search.html?query=3812008859","ФНС: проверить")</f>
        <v/>
      </c>
      <c r="R6220" s="16">
        <f>HYPERLINK("https://checko.ru/search?query=3801001629","Чекко: проверить")</f>
        <v/>
      </c>
      <c r="S6220" t="n">
        <v>1</v>
      </c>
      <c r="T6220" s="35" t="inlineStr">
        <is>
          <t>4 — Не обогащён</t>
        </is>
      </c>
      <c r="U6220" s="35" t="inlineStr">
        <is>
          <t>Нет ОКВЭД/ССЧР</t>
        </is>
      </c>
      <c r="V6220" s="35" t="inlineStr">
        <is>
          <t>Не определено</t>
        </is>
      </c>
      <c r="W6220" s="35" t="inlineStr"/>
      <c r="X6220" s="35" t="inlineStr"/>
    </row>
    <row r="6221" ht="15" customHeight="1" s="24">
      <c r="A6221" s="13" t="n">
        <v>5000046085</v>
      </c>
      <c r="B6221" s="13" t="inlineStr">
        <is>
          <t>МБДОУ города Иркутска детский сад № 123</t>
        </is>
      </c>
      <c r="C6221" s="13" t="n">
        <v>3812008217</v>
      </c>
      <c r="D6221" s="13" t="inlineStr">
        <is>
          <t>3812008217</t>
        </is>
      </c>
      <c r="E6221" s="13" t="inlineStr">
        <is>
          <t>ЮЛ РФ</t>
        </is>
      </c>
      <c r="F6221" s="13" t="n"/>
      <c r="G6221" s="14" t="n"/>
      <c r="H6221" s="14" t="n"/>
      <c r="I6221" s="14" t="n"/>
      <c r="J6221" s="14" t="n"/>
      <c r="K6221" s="53" t="inlineStr"/>
      <c r="L6221" s="53" t="inlineStr">
        <is>
          <t>Не определено</t>
        </is>
      </c>
      <c r="M6221" s="53" t="inlineStr"/>
      <c r="N6221" s="54" t="inlineStr"/>
      <c r="O6221" s="55" t="inlineStr"/>
      <c r="P6221" s="16" t="inlineStr">
        <is>
          <t>Требует обогащения</t>
        </is>
      </c>
      <c r="Q6221" s="16">
        <f>HYPERLINK("https://pb.nalog.ru/search.html?query=3812008217","ФНС: проверить")</f>
        <v/>
      </c>
      <c r="R6221" s="16">
        <f>HYPERLINK("https://checko.ru/search?query=3801001629","Чекко: проверить")</f>
        <v/>
      </c>
      <c r="S6221" t="n">
        <v>1</v>
      </c>
      <c r="T6221" s="35" t="inlineStr">
        <is>
          <t>4 — Не обогащён</t>
        </is>
      </c>
      <c r="U6221" s="35" t="inlineStr">
        <is>
          <t>Нет ОКВЭД/ССЧР</t>
        </is>
      </c>
      <c r="V6221" s="35" t="inlineStr">
        <is>
          <t>Не определено</t>
        </is>
      </c>
      <c r="W6221" s="35" t="inlineStr"/>
      <c r="X6221" s="35" t="inlineStr"/>
    </row>
    <row r="6222" ht="15" customHeight="1" s="24">
      <c r="A6222" s="13" t="n">
        <v>5000046086</v>
      </c>
      <c r="B6222" s="13" t="inlineStr">
        <is>
          <t>МБДОУ города Иркутска детский сад № 124</t>
        </is>
      </c>
      <c r="C6222" s="13" t="n">
        <v>3812107916</v>
      </c>
      <c r="D6222" s="13" t="inlineStr">
        <is>
          <t>3812107916</t>
        </is>
      </c>
      <c r="E6222" s="13" t="inlineStr">
        <is>
          <t>ЮЛ РФ</t>
        </is>
      </c>
      <c r="F6222" s="13" t="n"/>
      <c r="G6222" s="14" t="n"/>
      <c r="H6222" s="14" t="n"/>
      <c r="I6222" s="14" t="n"/>
      <c r="J6222" s="14" t="n"/>
      <c r="K6222" s="53" t="inlineStr"/>
      <c r="L6222" s="53" t="inlineStr">
        <is>
          <t>Не определено</t>
        </is>
      </c>
      <c r="M6222" s="53" t="inlineStr"/>
      <c r="N6222" s="54" t="inlineStr"/>
      <c r="O6222" s="55" t="inlineStr"/>
      <c r="P6222" s="16" t="inlineStr">
        <is>
          <t>Требует обогащения</t>
        </is>
      </c>
      <c r="Q6222" s="16">
        <f>HYPERLINK("https://pb.nalog.ru/search.html?query=3812107916","ФНС: проверить")</f>
        <v/>
      </c>
      <c r="R6222" s="16">
        <f>HYPERLINK("https://checko.ru/search?query=3801001629","Чекко: проверить")</f>
        <v/>
      </c>
      <c r="S6222" t="n">
        <v>1</v>
      </c>
      <c r="T6222" s="35" t="inlineStr">
        <is>
          <t>4 — Не обогащён</t>
        </is>
      </c>
      <c r="U6222" s="35" t="inlineStr">
        <is>
          <t>Нет ОКВЭД/ССЧР</t>
        </is>
      </c>
      <c r="V6222" s="35" t="inlineStr">
        <is>
          <t>Не определено</t>
        </is>
      </c>
      <c r="W6222" s="35" t="inlineStr"/>
      <c r="X6222" s="35" t="inlineStr"/>
    </row>
    <row r="6223" ht="15" customHeight="1" s="24">
      <c r="A6223" s="13" t="n">
        <v>5000046087</v>
      </c>
      <c r="B6223" s="13" t="inlineStr">
        <is>
          <t>МБДОУ города Иркутска детский сад № 126</t>
        </is>
      </c>
      <c r="C6223" s="13" t="n">
        <v>3812008129</v>
      </c>
      <c r="D6223" s="13" t="inlineStr">
        <is>
          <t>3812008129</t>
        </is>
      </c>
      <c r="E6223" s="13" t="inlineStr">
        <is>
          <t>ЮЛ РФ</t>
        </is>
      </c>
      <c r="F6223" s="13" t="n"/>
      <c r="G6223" s="14" t="n"/>
      <c r="H6223" s="14" t="n"/>
      <c r="I6223" s="14" t="n"/>
      <c r="J6223" s="14" t="n"/>
      <c r="K6223" s="53" t="inlineStr"/>
      <c r="L6223" s="53" t="inlineStr">
        <is>
          <t>Не определено</t>
        </is>
      </c>
      <c r="M6223" s="53" t="inlineStr"/>
      <c r="N6223" s="54" t="inlineStr"/>
      <c r="O6223" s="55" t="inlineStr"/>
      <c r="P6223" s="16" t="inlineStr">
        <is>
          <t>Требует обогащения</t>
        </is>
      </c>
      <c r="Q6223" s="16">
        <f>HYPERLINK("https://pb.nalog.ru/search.html?query=3812008129","ФНС: проверить")</f>
        <v/>
      </c>
      <c r="R6223" s="16">
        <f>HYPERLINK("https://checko.ru/search?query=3801001629","Чекко: проверить")</f>
        <v/>
      </c>
      <c r="S6223" t="n">
        <v>1</v>
      </c>
      <c r="T6223" s="35" t="inlineStr">
        <is>
          <t>4 — Не обогащён</t>
        </is>
      </c>
      <c r="U6223" s="35" t="inlineStr">
        <is>
          <t>Нет ОКВЭД/ССЧР</t>
        </is>
      </c>
      <c r="V6223" s="35" t="inlineStr">
        <is>
          <t>Не определено</t>
        </is>
      </c>
      <c r="W6223" s="35" t="inlineStr"/>
      <c r="X6223" s="35" t="inlineStr"/>
    </row>
    <row r="6224" ht="15" customHeight="1" s="24">
      <c r="A6224" s="13" t="n">
        <v>5000046088</v>
      </c>
      <c r="B6224" s="13" t="inlineStr">
        <is>
          <t>МБДОУ города Иркутска детский сад № 131</t>
        </is>
      </c>
      <c r="C6224" s="13" t="n">
        <v>3812009387</v>
      </c>
      <c r="D6224" s="13" t="inlineStr">
        <is>
          <t>3812009387</t>
        </is>
      </c>
      <c r="E6224" s="13" t="inlineStr">
        <is>
          <t>ЮЛ РФ</t>
        </is>
      </c>
      <c r="F6224" s="13" t="n"/>
      <c r="G6224" s="14" t="n"/>
      <c r="H6224" s="14" t="n"/>
      <c r="I6224" s="14" t="n"/>
      <c r="J6224" s="14" t="n"/>
      <c r="K6224" s="53" t="inlineStr"/>
      <c r="L6224" s="53" t="inlineStr">
        <is>
          <t>Не определено</t>
        </is>
      </c>
      <c r="M6224" s="53" t="inlineStr"/>
      <c r="N6224" s="54" t="inlineStr"/>
      <c r="O6224" s="55" t="inlineStr"/>
      <c r="P6224" s="16" t="inlineStr">
        <is>
          <t>Требует обогащения</t>
        </is>
      </c>
      <c r="Q6224" s="16">
        <f>HYPERLINK("https://pb.nalog.ru/search.html?query=3812009387","ФНС: проверить")</f>
        <v/>
      </c>
      <c r="R6224" s="16">
        <f>HYPERLINK("https://checko.ru/search?query=3801001629","Чекко: проверить")</f>
        <v/>
      </c>
      <c r="S6224" t="n">
        <v>1</v>
      </c>
      <c r="T6224" s="35" t="inlineStr">
        <is>
          <t>4 — Не обогащён</t>
        </is>
      </c>
      <c r="U6224" s="35" t="inlineStr">
        <is>
          <t>Нет ОКВЭД/ССЧР</t>
        </is>
      </c>
      <c r="V6224" s="35" t="inlineStr">
        <is>
          <t>Не определено</t>
        </is>
      </c>
      <c r="W6224" s="35" t="inlineStr"/>
      <c r="X6224" s="35" t="inlineStr"/>
    </row>
    <row r="6225" ht="15" customHeight="1" s="24">
      <c r="A6225" s="13" t="n">
        <v>5000048058</v>
      </c>
      <c r="B6225" s="13" t="inlineStr">
        <is>
          <t>МБДОУ города Иркутска детский сад № 161</t>
        </is>
      </c>
      <c r="C6225" s="13" t="n">
        <v>3810034998</v>
      </c>
      <c r="D6225" s="13" t="inlineStr">
        <is>
          <t>3810034998</t>
        </is>
      </c>
      <c r="E6225" s="13" t="inlineStr">
        <is>
          <t>ЮЛ РФ</t>
        </is>
      </c>
      <c r="F6225" s="13" t="n"/>
      <c r="G6225" s="14" t="n"/>
      <c r="H6225" s="14" t="n"/>
      <c r="I6225" s="14" t="n"/>
      <c r="J6225" s="14" t="n"/>
      <c r="K6225" s="53" t="inlineStr"/>
      <c r="L6225" s="53" t="inlineStr">
        <is>
          <t>Не определено</t>
        </is>
      </c>
      <c r="M6225" s="53" t="inlineStr"/>
      <c r="N6225" s="54" t="inlineStr"/>
      <c r="O6225" s="55" t="inlineStr"/>
      <c r="P6225" s="16" t="inlineStr">
        <is>
          <t>Требует обогащения</t>
        </is>
      </c>
      <c r="Q6225" s="16">
        <f>HYPERLINK("https://pb.nalog.ru/search.html?query=3810034998","ФНС: проверить")</f>
        <v/>
      </c>
      <c r="R6225" s="16">
        <f>HYPERLINK("https://checko.ru/search?query=3801001629","Чекко: проверить")</f>
        <v/>
      </c>
      <c r="S6225" t="n">
        <v>1</v>
      </c>
      <c r="T6225" s="35" t="inlineStr">
        <is>
          <t>4 — Не обогащён</t>
        </is>
      </c>
      <c r="U6225" s="35" t="inlineStr">
        <is>
          <t>Нет ОКВЭД/ССЧР</t>
        </is>
      </c>
      <c r="V6225" s="35" t="inlineStr">
        <is>
          <t>Не определено</t>
        </is>
      </c>
      <c r="W6225" s="35" t="inlineStr"/>
      <c r="X6225" s="35" t="inlineStr"/>
    </row>
    <row r="6226" ht="15" customHeight="1" s="24">
      <c r="A6226" s="13" t="n">
        <v>5000048059</v>
      </c>
      <c r="B6226" s="13" t="inlineStr">
        <is>
          <t>МБДОУ г. Иркутска детский сад № 168</t>
        </is>
      </c>
      <c r="C6226" s="13" t="n">
        <v>3810024171</v>
      </c>
      <c r="D6226" s="13" t="inlineStr">
        <is>
          <t>3810024171</t>
        </is>
      </c>
      <c r="E6226" s="13" t="inlineStr">
        <is>
          <t>ЮЛ РФ</t>
        </is>
      </c>
      <c r="F6226" s="13" t="n"/>
      <c r="G6226" s="14" t="n"/>
      <c r="H6226" s="14" t="n"/>
      <c r="I6226" s="14" t="n"/>
      <c r="J6226" s="14" t="n"/>
      <c r="K6226" s="53" t="inlineStr"/>
      <c r="L6226" s="53" t="inlineStr">
        <is>
          <t>Не определено</t>
        </is>
      </c>
      <c r="M6226" s="53" t="inlineStr"/>
      <c r="N6226" s="54" t="inlineStr"/>
      <c r="O6226" s="55" t="inlineStr"/>
      <c r="P6226" s="16" t="inlineStr">
        <is>
          <t>Требует обогащения</t>
        </is>
      </c>
      <c r="Q6226" s="16">
        <f>HYPERLINK("https://pb.nalog.ru/search.html?query=3810024171","ФНС: проверить")</f>
        <v/>
      </c>
      <c r="R6226" s="16">
        <f>HYPERLINK("https://checko.ru/search?query=3801001629","Чекко: проверить")</f>
        <v/>
      </c>
      <c r="S6226" t="n">
        <v>1</v>
      </c>
      <c r="T6226" s="35" t="inlineStr">
        <is>
          <t>4 — Не обогащён</t>
        </is>
      </c>
      <c r="U6226" s="35" t="inlineStr">
        <is>
          <t>Нет ОКВЭД/ССЧР</t>
        </is>
      </c>
      <c r="V6226" s="35" t="inlineStr">
        <is>
          <t>Не определено</t>
        </is>
      </c>
      <c r="W6226" s="35" t="inlineStr"/>
      <c r="X6226" s="35" t="inlineStr"/>
    </row>
    <row r="6227" ht="15" customHeight="1" s="24">
      <c r="A6227" s="13" t="n">
        <v>5000048060</v>
      </c>
      <c r="B6227" s="13" t="inlineStr">
        <is>
          <t>МБДОУ г. Иркутска детский сад № 175</t>
        </is>
      </c>
      <c r="C6227" s="13" t="n">
        <v>3810326616</v>
      </c>
      <c r="D6227" s="13" t="inlineStr">
        <is>
          <t>3810326616</t>
        </is>
      </c>
      <c r="E6227" s="13" t="inlineStr">
        <is>
          <t>ЮЛ РФ</t>
        </is>
      </c>
      <c r="F6227" s="13" t="n"/>
      <c r="G6227" s="14" t="n"/>
      <c r="H6227" s="14" t="n"/>
      <c r="I6227" s="14" t="n"/>
      <c r="J6227" s="14" t="n"/>
      <c r="K6227" s="53" t="inlineStr"/>
      <c r="L6227" s="53" t="inlineStr">
        <is>
          <t>Не определено</t>
        </is>
      </c>
      <c r="M6227" s="53" t="inlineStr"/>
      <c r="N6227" s="54" t="inlineStr"/>
      <c r="O6227" s="55" t="inlineStr"/>
      <c r="P6227" s="16" t="inlineStr">
        <is>
          <t>Требует обогащения</t>
        </is>
      </c>
      <c r="Q6227" s="16">
        <f>HYPERLINK("https://pb.nalog.ru/search.html?query=3810326616","ФНС: проверить")</f>
        <v/>
      </c>
      <c r="R6227" s="16">
        <f>HYPERLINK("https://checko.ru/search?query=3801001629","Чекко: проверить")</f>
        <v/>
      </c>
      <c r="S6227" t="n">
        <v>1</v>
      </c>
      <c r="T6227" s="35" t="inlineStr">
        <is>
          <t>4 — Не обогащён</t>
        </is>
      </c>
      <c r="U6227" s="35" t="inlineStr">
        <is>
          <t>Нет ОКВЭД/ССЧР</t>
        </is>
      </c>
      <c r="V6227" s="35" t="inlineStr">
        <is>
          <t>Не определено</t>
        </is>
      </c>
      <c r="W6227" s="35" t="inlineStr"/>
      <c r="X6227" s="35" t="inlineStr"/>
    </row>
    <row r="6228" ht="15" customHeight="1" s="24">
      <c r="A6228" s="13" t="n">
        <v>5000048061</v>
      </c>
      <c r="B6228" s="13" t="inlineStr">
        <is>
          <t>МБДОУ г. Иркутска детский сад №177</t>
        </is>
      </c>
      <c r="C6228" s="13" t="n">
        <v>3810321985</v>
      </c>
      <c r="D6228" s="13" t="inlineStr">
        <is>
          <t>3810321985</t>
        </is>
      </c>
      <c r="E6228" s="13" t="inlineStr">
        <is>
          <t>ЮЛ РФ</t>
        </is>
      </c>
      <c r="F6228" s="13" t="n"/>
      <c r="G6228" s="14" t="n"/>
      <c r="H6228" s="14" t="n"/>
      <c r="I6228" s="14" t="n"/>
      <c r="J6228" s="14" t="n"/>
      <c r="K6228" s="53" t="inlineStr"/>
      <c r="L6228" s="53" t="inlineStr">
        <is>
          <t>Не определено</t>
        </is>
      </c>
      <c r="M6228" s="53" t="inlineStr"/>
      <c r="N6228" s="54" t="inlineStr"/>
      <c r="O6228" s="55" t="inlineStr"/>
      <c r="P6228" s="16" t="inlineStr">
        <is>
          <t>Требует обогащения</t>
        </is>
      </c>
      <c r="Q6228" s="16">
        <f>HYPERLINK("https://pb.nalog.ru/search.html?query=3810321985","ФНС: проверить")</f>
        <v/>
      </c>
      <c r="R6228" s="16">
        <f>HYPERLINK("https://checko.ru/search?query=3801001629","Чекко: проверить")</f>
        <v/>
      </c>
      <c r="S6228" t="n">
        <v>1</v>
      </c>
      <c r="T6228" s="35" t="inlineStr">
        <is>
          <t>4 — Не обогащён</t>
        </is>
      </c>
      <c r="U6228" s="35" t="inlineStr">
        <is>
          <t>Нет ОКВЭД/ССЧР</t>
        </is>
      </c>
      <c r="V6228" s="35" t="inlineStr">
        <is>
          <t>Не определено</t>
        </is>
      </c>
      <c r="W6228" s="35" t="inlineStr"/>
      <c r="X6228" s="35" t="inlineStr"/>
    </row>
    <row r="6229" ht="15" customHeight="1" s="24">
      <c r="A6229" s="13" t="n">
        <v>5000048062</v>
      </c>
      <c r="B6229" s="13" t="inlineStr">
        <is>
          <t>МБДОУ города Иркутска детский сад № 180</t>
        </is>
      </c>
      <c r="C6229" s="13" t="n">
        <v>3810021438</v>
      </c>
      <c r="D6229" s="13" t="inlineStr">
        <is>
          <t>3810021438</t>
        </is>
      </c>
      <c r="E6229" s="13" t="inlineStr">
        <is>
          <t>ЮЛ РФ</t>
        </is>
      </c>
      <c r="F6229" s="13" t="n"/>
      <c r="G6229" s="14" t="n"/>
      <c r="H6229" s="14" t="n"/>
      <c r="I6229" s="14" t="n"/>
      <c r="J6229" s="14" t="n"/>
      <c r="K6229" s="53" t="inlineStr"/>
      <c r="L6229" s="53" t="inlineStr">
        <is>
          <t>Не определено</t>
        </is>
      </c>
      <c r="M6229" s="53" t="inlineStr"/>
      <c r="N6229" s="54" t="inlineStr"/>
      <c r="O6229" s="55" t="inlineStr"/>
      <c r="P6229" s="16" t="inlineStr">
        <is>
          <t>Требует обогащения</t>
        </is>
      </c>
      <c r="Q6229" s="16">
        <f>HYPERLINK("https://pb.nalog.ru/search.html?query=3810021438","ФНС: проверить")</f>
        <v/>
      </c>
      <c r="R6229" s="16">
        <f>HYPERLINK("https://checko.ru/search?query=3801001629","Чекко: проверить")</f>
        <v/>
      </c>
      <c r="S6229" t="n">
        <v>1</v>
      </c>
      <c r="T6229" s="35" t="inlineStr">
        <is>
          <t>4 — Не обогащён</t>
        </is>
      </c>
      <c r="U6229" s="35" t="inlineStr">
        <is>
          <t>Нет ОКВЭД/ССЧР</t>
        </is>
      </c>
      <c r="V6229" s="35" t="inlineStr">
        <is>
          <t>Не определено</t>
        </is>
      </c>
      <c r="W6229" s="35" t="inlineStr"/>
      <c r="X6229" s="35" t="inlineStr"/>
    </row>
    <row r="6230" ht="15" customHeight="1" s="24">
      <c r="A6230" s="13" t="n">
        <v>5000048063</v>
      </c>
      <c r="B6230" s="13" t="inlineStr">
        <is>
          <t>МБДОУ г. Иркутска детский сад №181</t>
        </is>
      </c>
      <c r="C6230" s="13" t="n">
        <v>3810021702</v>
      </c>
      <c r="D6230" s="13" t="inlineStr">
        <is>
          <t>3810021702</t>
        </is>
      </c>
      <c r="E6230" s="13" t="inlineStr">
        <is>
          <t>ЮЛ РФ</t>
        </is>
      </c>
      <c r="F6230" s="13" t="n"/>
      <c r="G6230" s="14" t="n"/>
      <c r="H6230" s="14" t="n"/>
      <c r="I6230" s="14" t="n"/>
      <c r="J6230" s="14" t="n"/>
      <c r="K6230" s="53" t="inlineStr"/>
      <c r="L6230" s="53" t="inlineStr">
        <is>
          <t>Не определено</t>
        </is>
      </c>
      <c r="M6230" s="53" t="inlineStr"/>
      <c r="N6230" s="54" t="inlineStr"/>
      <c r="O6230" s="55" t="inlineStr"/>
      <c r="P6230" s="16" t="inlineStr">
        <is>
          <t>Требует обогащения</t>
        </is>
      </c>
      <c r="Q6230" s="16">
        <f>HYPERLINK("https://pb.nalog.ru/search.html?query=3810021702","ФНС: проверить")</f>
        <v/>
      </c>
      <c r="R6230" s="16">
        <f>HYPERLINK("https://checko.ru/search?query=3801001629","Чекко: проверить")</f>
        <v/>
      </c>
      <c r="S6230" t="n">
        <v>1</v>
      </c>
      <c r="T6230" s="35" t="inlineStr">
        <is>
          <t>4 — Не обогащён</t>
        </is>
      </c>
      <c r="U6230" s="35" t="inlineStr">
        <is>
          <t>Нет ОКВЭД/ССЧР</t>
        </is>
      </c>
      <c r="V6230" s="35" t="inlineStr">
        <is>
          <t>Не определено</t>
        </is>
      </c>
      <c r="W6230" s="35" t="inlineStr"/>
      <c r="X6230" s="35" t="inlineStr"/>
    </row>
    <row r="6231" ht="15" customHeight="1" s="24">
      <c r="A6231" s="13" t="n">
        <v>5000048064</v>
      </c>
      <c r="B6231" s="13" t="inlineStr">
        <is>
          <t>МБДОУ г. Иркутска детский сад №185</t>
        </is>
      </c>
      <c r="C6231" s="13" t="n">
        <v>3810067785</v>
      </c>
      <c r="D6231" s="13" t="inlineStr">
        <is>
          <t>3810067785</t>
        </is>
      </c>
      <c r="E6231" s="13" t="inlineStr">
        <is>
          <t>ЮЛ РФ</t>
        </is>
      </c>
      <c r="F6231" s="13" t="n"/>
      <c r="G6231" s="14" t="n"/>
      <c r="H6231" s="14" t="n"/>
      <c r="I6231" s="14" t="n"/>
      <c r="J6231" s="14" t="n"/>
      <c r="K6231" s="53" t="inlineStr"/>
      <c r="L6231" s="53" t="inlineStr">
        <is>
          <t>Не определено</t>
        </is>
      </c>
      <c r="M6231" s="53" t="inlineStr"/>
      <c r="N6231" s="54" t="inlineStr"/>
      <c r="O6231" s="55" t="inlineStr"/>
      <c r="P6231" s="16" t="inlineStr">
        <is>
          <t>Требует обогащения</t>
        </is>
      </c>
      <c r="Q6231" s="16">
        <f>HYPERLINK("https://pb.nalog.ru/search.html?query=3810067785","ФНС: проверить")</f>
        <v/>
      </c>
      <c r="R6231" s="16">
        <f>HYPERLINK("https://checko.ru/search?query=3801001629","Чекко: проверить")</f>
        <v/>
      </c>
      <c r="S6231" t="n">
        <v>1</v>
      </c>
      <c r="T6231" s="35" t="inlineStr">
        <is>
          <t>4 — Не обогащён</t>
        </is>
      </c>
      <c r="U6231" s="35" t="inlineStr">
        <is>
          <t>Нет ОКВЭД/ССЧР</t>
        </is>
      </c>
      <c r="V6231" s="35" t="inlineStr">
        <is>
          <t>Не определено</t>
        </is>
      </c>
      <c r="W6231" s="35" t="inlineStr"/>
      <c r="X6231" s="35" t="inlineStr"/>
    </row>
    <row r="6232" ht="15" customHeight="1" s="24">
      <c r="A6232" s="13" t="n">
        <v>5000048065</v>
      </c>
      <c r="B6232" s="13" t="inlineStr">
        <is>
          <t>МБДОУ г. Иркутска детский сад №187</t>
        </is>
      </c>
      <c r="C6232" s="13" t="n">
        <v>3810067633</v>
      </c>
      <c r="D6232" s="13" t="inlineStr">
        <is>
          <t>3810067633</t>
        </is>
      </c>
      <c r="E6232" s="13" t="inlineStr">
        <is>
          <t>ЮЛ РФ</t>
        </is>
      </c>
      <c r="F6232" s="13" t="n"/>
      <c r="G6232" s="14" t="n"/>
      <c r="H6232" s="14" t="n"/>
      <c r="I6232" s="14" t="n"/>
      <c r="J6232" s="14" t="n"/>
      <c r="K6232" s="53" t="inlineStr"/>
      <c r="L6232" s="53" t="inlineStr">
        <is>
          <t>Не определено</t>
        </is>
      </c>
      <c r="M6232" s="53" t="inlineStr"/>
      <c r="N6232" s="54" t="inlineStr"/>
      <c r="O6232" s="55" t="inlineStr"/>
      <c r="P6232" s="16" t="inlineStr">
        <is>
          <t>Требует обогащения</t>
        </is>
      </c>
      <c r="Q6232" s="16">
        <f>HYPERLINK("https://pb.nalog.ru/search.html?query=3810067633","ФНС: проверить")</f>
        <v/>
      </c>
      <c r="R6232" s="16">
        <f>HYPERLINK("https://checko.ru/search?query=3801001629","Чекко: проверить")</f>
        <v/>
      </c>
      <c r="S6232" t="n">
        <v>1</v>
      </c>
      <c r="T6232" s="35" t="inlineStr">
        <is>
          <t>4 — Не обогащён</t>
        </is>
      </c>
      <c r="U6232" s="35" t="inlineStr">
        <is>
          <t>Нет ОКВЭД/ССЧР</t>
        </is>
      </c>
      <c r="V6232" s="35" t="inlineStr">
        <is>
          <t>Не определено</t>
        </is>
      </c>
      <c r="W6232" s="35" t="inlineStr"/>
      <c r="X6232" s="35" t="inlineStr"/>
    </row>
    <row r="6233" ht="15" customHeight="1" s="24">
      <c r="A6233" s="13" t="n">
        <v>5000048066</v>
      </c>
      <c r="B6233" s="13" t="inlineStr">
        <is>
          <t>МБДОУ г. Иркутска детский сад №188</t>
        </is>
      </c>
      <c r="C6233" s="13" t="n">
        <v>3810070428</v>
      </c>
      <c r="D6233" s="13" t="inlineStr">
        <is>
          <t>3810070428</t>
        </is>
      </c>
      <c r="E6233" s="13" t="inlineStr">
        <is>
          <t>ЮЛ РФ</t>
        </is>
      </c>
      <c r="F6233" s="13" t="n"/>
      <c r="G6233" s="14" t="n"/>
      <c r="H6233" s="14" t="n"/>
      <c r="I6233" s="14" t="n"/>
      <c r="J6233" s="14" t="n"/>
      <c r="K6233" s="53" t="inlineStr"/>
      <c r="L6233" s="53" t="inlineStr">
        <is>
          <t>Не определено</t>
        </is>
      </c>
      <c r="M6233" s="53" t="inlineStr"/>
      <c r="N6233" s="54" t="inlineStr"/>
      <c r="O6233" s="55" t="inlineStr"/>
      <c r="P6233" s="16" t="inlineStr">
        <is>
          <t>Требует обогащения</t>
        </is>
      </c>
      <c r="Q6233" s="16">
        <f>HYPERLINK("https://pb.nalog.ru/search.html?query=3810070428","ФНС: проверить")</f>
        <v/>
      </c>
      <c r="R6233" s="16">
        <f>HYPERLINK("https://checko.ru/search?query=3801001629","Чекко: проверить")</f>
        <v/>
      </c>
      <c r="S6233" t="n">
        <v>1</v>
      </c>
      <c r="T6233" s="35" t="inlineStr">
        <is>
          <t>4 — Не обогащён</t>
        </is>
      </c>
      <c r="U6233" s="35" t="inlineStr">
        <is>
          <t>Нет ОКВЭД/ССЧР</t>
        </is>
      </c>
      <c r="V6233" s="35" t="inlineStr">
        <is>
          <t>Не определено</t>
        </is>
      </c>
      <c r="W6233" s="35" t="inlineStr"/>
      <c r="X6233" s="35" t="inlineStr"/>
    </row>
    <row r="6234" ht="15" customHeight="1" s="24">
      <c r="A6234" s="13" t="n">
        <v>5000048077</v>
      </c>
      <c r="B6234" s="13" t="inlineStr">
        <is>
          <t>МБУДО города Иркутска ДДТ № 5</t>
        </is>
      </c>
      <c r="C6234" s="13" t="n">
        <v>3810024573</v>
      </c>
      <c r="D6234" s="13" t="inlineStr">
        <is>
          <t>3810024573</t>
        </is>
      </c>
      <c r="E6234" s="13" t="inlineStr">
        <is>
          <t>ЮЛ РФ</t>
        </is>
      </c>
      <c r="F6234" s="13" t="n"/>
      <c r="G6234" s="14" t="n"/>
      <c r="H6234" s="14" t="n"/>
      <c r="I6234" s="14" t="n"/>
      <c r="J6234" s="14" t="n"/>
      <c r="K6234" s="53" t="inlineStr"/>
      <c r="L6234" s="53" t="inlineStr">
        <is>
          <t>Не определено</t>
        </is>
      </c>
      <c r="M6234" s="53" t="inlineStr"/>
      <c r="N6234" s="54" t="inlineStr"/>
      <c r="O6234" s="55" t="inlineStr"/>
      <c r="P6234" s="16" t="inlineStr">
        <is>
          <t>Требует обогащения</t>
        </is>
      </c>
      <c r="Q6234" s="16">
        <f>HYPERLINK("https://pb.nalog.ru/search.html?query=3810024573","ФНС: проверить")</f>
        <v/>
      </c>
      <c r="R6234" s="16">
        <f>HYPERLINK("https://checko.ru/search?query=3801001629","Чекко: проверить")</f>
        <v/>
      </c>
      <c r="S6234" t="n">
        <v>1</v>
      </c>
      <c r="T6234" s="35" t="inlineStr">
        <is>
          <t>4 — Не обогащён</t>
        </is>
      </c>
      <c r="U6234" s="35" t="inlineStr">
        <is>
          <t>Нет ОКВЭД/ССЧР</t>
        </is>
      </c>
      <c r="V6234" s="35" t="inlineStr">
        <is>
          <t>Не определено</t>
        </is>
      </c>
      <c r="W6234" s="35" t="inlineStr"/>
      <c r="X6234" s="35" t="inlineStr"/>
    </row>
    <row r="6235" ht="15" customHeight="1" s="24">
      <c r="A6235" s="13" t="n">
        <v>5000048078</v>
      </c>
      <c r="B6235" s="13" t="inlineStr">
        <is>
          <t>МБОУ ДО г. Иркутска ДЮСШ № 4</t>
        </is>
      </c>
      <c r="C6235" s="13" t="n">
        <v>3810024372</v>
      </c>
      <c r="D6235" s="13" t="inlineStr">
        <is>
          <t>3810024372</t>
        </is>
      </c>
      <c r="E6235" s="13" t="inlineStr">
        <is>
          <t>ЮЛ РФ</t>
        </is>
      </c>
      <c r="F6235" s="13" t="n"/>
      <c r="G6235" s="14" t="n"/>
      <c r="H6235" s="14" t="n"/>
      <c r="I6235" s="14" t="n"/>
      <c r="J6235" s="14" t="n"/>
      <c r="K6235" s="53" t="inlineStr"/>
      <c r="L6235" s="53" t="inlineStr">
        <is>
          <t>Не определено</t>
        </is>
      </c>
      <c r="M6235" s="53" t="inlineStr"/>
      <c r="N6235" s="54" t="inlineStr"/>
      <c r="O6235" s="55" t="inlineStr"/>
      <c r="P6235" s="16" t="inlineStr">
        <is>
          <t>Требует обогащения</t>
        </is>
      </c>
      <c r="Q6235" s="16">
        <f>HYPERLINK("https://pb.nalog.ru/search.html?query=3810024372","ФНС: проверить")</f>
        <v/>
      </c>
      <c r="R6235" s="16">
        <f>HYPERLINK("https://checko.ru/search?query=3801001629","Чекко: проверить")</f>
        <v/>
      </c>
      <c r="S6235" t="n">
        <v>1</v>
      </c>
      <c r="T6235" s="35" t="inlineStr">
        <is>
          <t>4 — Не обогащён</t>
        </is>
      </c>
      <c r="U6235" s="35" t="inlineStr">
        <is>
          <t>Нет ОКВЭД/ССЧР</t>
        </is>
      </c>
      <c r="V6235" s="35" t="inlineStr">
        <is>
          <t>Не определено</t>
        </is>
      </c>
      <c r="W6235" s="35" t="inlineStr"/>
      <c r="X6235" s="35" t="inlineStr"/>
    </row>
    <row r="6236" ht="27.75" customHeight="1" s="24">
      <c r="A6236" s="13" t="n">
        <v>5000048083</v>
      </c>
      <c r="B6236" s="13" t="inlineStr">
        <is>
          <t>МБДОУ ГОРОДА ИРКУТСКА ДЕТСКИЙ САД № 20 "РОСИНКА",</t>
        </is>
      </c>
      <c r="C6236" s="13" t="n">
        <v>3811056289</v>
      </c>
      <c r="D6236" s="13" t="inlineStr">
        <is>
          <t>3811056289</t>
        </is>
      </c>
      <c r="E6236" s="13" t="inlineStr">
        <is>
          <t>ЮЛ РФ</t>
        </is>
      </c>
      <c r="F6236" s="13" t="n"/>
      <c r="G6236" s="14" t="n"/>
      <c r="H6236" s="14" t="n"/>
      <c r="I6236" s="14" t="n"/>
      <c r="J6236" s="14" t="n"/>
      <c r="K6236" s="53" t="inlineStr"/>
      <c r="L6236" s="53" t="inlineStr">
        <is>
          <t>Не определено</t>
        </is>
      </c>
      <c r="M6236" s="53" t="inlineStr"/>
      <c r="N6236" s="54" t="inlineStr"/>
      <c r="O6236" s="55" t="inlineStr"/>
      <c r="P6236" s="16" t="inlineStr">
        <is>
          <t>Требует обогащения</t>
        </is>
      </c>
      <c r="Q6236" s="16">
        <f>HYPERLINK("https://pb.nalog.ru/search.html?query=3811056289","ФНС: проверить")</f>
        <v/>
      </c>
      <c r="R6236" s="16">
        <f>HYPERLINK("https://checko.ru/search?query=3801001629","Чекко: проверить")</f>
        <v/>
      </c>
      <c r="S6236" t="n">
        <v>1</v>
      </c>
      <c r="T6236" s="35" t="inlineStr">
        <is>
          <t>4 — Не обогащён</t>
        </is>
      </c>
      <c r="U6236" s="35" t="inlineStr">
        <is>
          <t>Нет ОКВЭД/ССЧР</t>
        </is>
      </c>
      <c r="V6236" s="35" t="inlineStr">
        <is>
          <t>Не определено</t>
        </is>
      </c>
      <c r="W6236" s="35" t="inlineStr"/>
      <c r="X6236" s="35" t="inlineStr"/>
    </row>
    <row r="6237" ht="15" customHeight="1" s="24">
      <c r="A6237" s="13" t="n">
        <v>5000048084</v>
      </c>
      <c r="B6237" s="13" t="inlineStr">
        <is>
          <t>МБДОУ ГОРОДА ИРКУТСКА ДЕТСКИЙ САД № 28</t>
        </is>
      </c>
      <c r="C6237" s="13" t="n">
        <v>3811054740</v>
      </c>
      <c r="D6237" s="13" t="inlineStr">
        <is>
          <t>3811054740</t>
        </is>
      </c>
      <c r="E6237" s="13" t="inlineStr">
        <is>
          <t>ЮЛ РФ</t>
        </is>
      </c>
      <c r="F6237" s="13" t="n"/>
      <c r="G6237" s="14" t="n"/>
      <c r="H6237" s="14" t="n"/>
      <c r="I6237" s="14" t="n"/>
      <c r="J6237" s="14" t="n"/>
      <c r="K6237" s="53" t="inlineStr"/>
      <c r="L6237" s="53" t="inlineStr">
        <is>
          <t>Не определено</t>
        </is>
      </c>
      <c r="M6237" s="53" t="inlineStr"/>
      <c r="N6237" s="54" t="inlineStr"/>
      <c r="O6237" s="55" t="inlineStr"/>
      <c r="P6237" s="16" t="inlineStr">
        <is>
          <t>Требует обогащения</t>
        </is>
      </c>
      <c r="Q6237" s="16">
        <f>HYPERLINK("https://pb.nalog.ru/search.html?query=3811054740","ФНС: проверить")</f>
        <v/>
      </c>
      <c r="R6237" s="16">
        <f>HYPERLINK("https://checko.ru/search?query=3801001629","Чекко: проверить")</f>
        <v/>
      </c>
      <c r="S6237" t="n">
        <v>1</v>
      </c>
      <c r="T6237" s="35" t="inlineStr">
        <is>
          <t>4 — Не обогащён</t>
        </is>
      </c>
      <c r="U6237" s="35" t="inlineStr">
        <is>
          <t>Нет ОКВЭД/ССЧР</t>
        </is>
      </c>
      <c r="V6237" s="35" t="inlineStr">
        <is>
          <t>Не определено</t>
        </is>
      </c>
      <c r="W6237" s="35" t="inlineStr"/>
      <c r="X6237" s="35" t="inlineStr"/>
    </row>
    <row r="6238" ht="15" customHeight="1" s="24">
      <c r="A6238" s="13" t="n">
        <v>5000048085</v>
      </c>
      <c r="B6238" s="13" t="inlineStr">
        <is>
          <t>МБДОУ ГОРОДА ИРКУТСКА ДЕТСКИЙ САД № 40</t>
        </is>
      </c>
      <c r="C6238" s="13" t="n">
        <v>3811059018</v>
      </c>
      <c r="D6238" s="13" t="inlineStr">
        <is>
          <t>3811059018</t>
        </is>
      </c>
      <c r="E6238" s="13" t="inlineStr">
        <is>
          <t>ЮЛ РФ</t>
        </is>
      </c>
      <c r="F6238" s="13" t="n"/>
      <c r="G6238" s="14" t="n"/>
      <c r="H6238" s="14" t="n"/>
      <c r="I6238" s="14" t="n"/>
      <c r="J6238" s="14" t="n"/>
      <c r="K6238" s="53" t="inlineStr"/>
      <c r="L6238" s="53" t="inlineStr">
        <is>
          <t>Не определено</t>
        </is>
      </c>
      <c r="M6238" s="53" t="inlineStr"/>
      <c r="N6238" s="54" t="inlineStr"/>
      <c r="O6238" s="55" t="inlineStr"/>
      <c r="P6238" s="16" t="inlineStr">
        <is>
          <t>Требует обогащения</t>
        </is>
      </c>
      <c r="Q6238" s="16">
        <f>HYPERLINK("https://pb.nalog.ru/search.html?query=3811059018","ФНС: проверить")</f>
        <v/>
      </c>
      <c r="R6238" s="16">
        <f>HYPERLINK("https://checko.ru/search?query=3801001629","Чекко: проверить")</f>
        <v/>
      </c>
      <c r="S6238" t="n">
        <v>1</v>
      </c>
      <c r="T6238" s="35" t="inlineStr">
        <is>
          <t>4 — Не обогащён</t>
        </is>
      </c>
      <c r="U6238" s="35" t="inlineStr">
        <is>
          <t>Нет ОКВЭД/ССЧР</t>
        </is>
      </c>
      <c r="V6238" s="35" t="inlineStr">
        <is>
          <t>Не определено</t>
        </is>
      </c>
      <c r="W6238" s="35" t="inlineStr"/>
      <c r="X6238" s="35" t="inlineStr"/>
    </row>
    <row r="6239" ht="15" customHeight="1" s="24">
      <c r="A6239" s="13" t="n">
        <v>5000048086</v>
      </c>
      <c r="B6239" s="13" t="inlineStr">
        <is>
          <t>МБДОУ ГОРОДА ИРКУТСКА ДЕТСКИЙ САД № 43</t>
        </is>
      </c>
      <c r="C6239" s="13" t="n">
        <v>3811054838</v>
      </c>
      <c r="D6239" s="13" t="inlineStr">
        <is>
          <t>3811054838</t>
        </is>
      </c>
      <c r="E6239" s="13" t="inlineStr">
        <is>
          <t>ЮЛ РФ</t>
        </is>
      </c>
      <c r="F6239" s="13" t="n"/>
      <c r="G6239" s="14" t="n"/>
      <c r="H6239" s="14" t="n"/>
      <c r="I6239" s="14" t="n"/>
      <c r="J6239" s="14" t="n"/>
      <c r="K6239" s="53" t="inlineStr"/>
      <c r="L6239" s="53" t="inlineStr">
        <is>
          <t>Не определено</t>
        </is>
      </c>
      <c r="M6239" s="53" t="inlineStr"/>
      <c r="N6239" s="54" t="inlineStr"/>
      <c r="O6239" s="55" t="inlineStr"/>
      <c r="P6239" s="16" t="inlineStr">
        <is>
          <t>Требует обогащения</t>
        </is>
      </c>
      <c r="Q6239" s="16">
        <f>HYPERLINK("https://pb.nalog.ru/search.html?query=3811054838","ФНС: проверить")</f>
        <v/>
      </c>
      <c r="R6239" s="16">
        <f>HYPERLINK("https://checko.ru/search?query=3801001629","Чекко: проверить")</f>
        <v/>
      </c>
      <c r="S6239" t="n">
        <v>1</v>
      </c>
      <c r="T6239" s="35" t="inlineStr">
        <is>
          <t>4 — Не обогащён</t>
        </is>
      </c>
      <c r="U6239" s="35" t="inlineStr">
        <is>
          <t>Нет ОКВЭД/ССЧР</t>
        </is>
      </c>
      <c r="V6239" s="35" t="inlineStr">
        <is>
          <t>Не определено</t>
        </is>
      </c>
      <c r="W6239" s="35" t="inlineStr"/>
      <c r="X6239" s="35" t="inlineStr"/>
    </row>
    <row r="6240" ht="15" customHeight="1" s="24">
      <c r="A6240" s="13" t="n">
        <v>5000048088</v>
      </c>
      <c r="B6240" s="13" t="inlineStr">
        <is>
          <t>МБДОУ ГОРОДА ИРКУТСКА ДЕТСКИЙ САД № 55</t>
        </is>
      </c>
      <c r="C6240" s="13" t="n">
        <v>3811054563</v>
      </c>
      <c r="D6240" s="13" t="inlineStr">
        <is>
          <t>3811054563</t>
        </is>
      </c>
      <c r="E6240" s="13" t="inlineStr">
        <is>
          <t>ЮЛ РФ</t>
        </is>
      </c>
      <c r="F6240" s="13" t="n"/>
      <c r="G6240" s="14" t="n"/>
      <c r="H6240" s="14" t="n"/>
      <c r="I6240" s="14" t="n"/>
      <c r="J6240" s="14" t="n"/>
      <c r="K6240" s="53" t="inlineStr"/>
      <c r="L6240" s="53" t="inlineStr">
        <is>
          <t>Не определено</t>
        </is>
      </c>
      <c r="M6240" s="53" t="inlineStr"/>
      <c r="N6240" s="54" t="inlineStr"/>
      <c r="O6240" s="55" t="inlineStr"/>
      <c r="P6240" s="16" t="inlineStr">
        <is>
          <t>Требует обогащения</t>
        </is>
      </c>
      <c r="Q6240" s="16">
        <f>HYPERLINK("https://pb.nalog.ru/search.html?query=3811054563","ФНС: проверить")</f>
        <v/>
      </c>
      <c r="R6240" s="16">
        <f>HYPERLINK("https://checko.ru/search?query=3801001629","Чекко: проверить")</f>
        <v/>
      </c>
      <c r="S6240" t="n">
        <v>1</v>
      </c>
      <c r="T6240" s="35" t="inlineStr">
        <is>
          <t>4 — Не обогащён</t>
        </is>
      </c>
      <c r="U6240" s="35" t="inlineStr">
        <is>
          <t>Нет ОКВЭД/ССЧР</t>
        </is>
      </c>
      <c r="V6240" s="35" t="inlineStr">
        <is>
          <t>Не определено</t>
        </is>
      </c>
      <c r="W6240" s="35" t="inlineStr"/>
      <c r="X6240" s="35" t="inlineStr"/>
    </row>
    <row r="6241" ht="15" customHeight="1" s="24">
      <c r="A6241" s="13" t="n">
        <v>5000048090</v>
      </c>
      <c r="B6241" s="13" t="inlineStr">
        <is>
          <t>МБДОУ ГОРОДА ИРКУТСКА ДЕТСКИЙ САД № 72</t>
        </is>
      </c>
      <c r="C6241" s="13" t="n">
        <v>3811059025</v>
      </c>
      <c r="D6241" s="13" t="inlineStr">
        <is>
          <t>3811059025</t>
        </is>
      </c>
      <c r="E6241" s="13" t="inlineStr">
        <is>
          <t>ЮЛ РФ</t>
        </is>
      </c>
      <c r="F6241" s="13" t="n"/>
      <c r="G6241" s="14" t="n"/>
      <c r="H6241" s="14" t="n"/>
      <c r="I6241" s="14" t="n"/>
      <c r="J6241" s="14" t="n"/>
      <c r="K6241" s="53" t="inlineStr"/>
      <c r="L6241" s="53" t="inlineStr">
        <is>
          <t>Не определено</t>
        </is>
      </c>
      <c r="M6241" s="53" t="inlineStr"/>
      <c r="N6241" s="54" t="inlineStr"/>
      <c r="O6241" s="55" t="inlineStr"/>
      <c r="P6241" s="16" t="inlineStr">
        <is>
          <t>Требует обогащения</t>
        </is>
      </c>
      <c r="Q6241" s="16">
        <f>HYPERLINK("https://pb.nalog.ru/search.html?query=3811059025","ФНС: проверить")</f>
        <v/>
      </c>
      <c r="R6241" s="16">
        <f>HYPERLINK("https://checko.ru/search?query=3801001629","Чекко: проверить")</f>
        <v/>
      </c>
      <c r="S6241" t="n">
        <v>1</v>
      </c>
      <c r="T6241" s="35" t="inlineStr">
        <is>
          <t>4 — Не обогащён</t>
        </is>
      </c>
      <c r="U6241" s="35" t="inlineStr">
        <is>
          <t>Нет ОКВЭД/ССЧР</t>
        </is>
      </c>
      <c r="V6241" s="35" t="inlineStr">
        <is>
          <t>Не определено</t>
        </is>
      </c>
      <c r="W6241" s="35" t="inlineStr"/>
      <c r="X6241" s="35" t="inlineStr"/>
    </row>
    <row r="6242" ht="15" customHeight="1" s="24">
      <c r="A6242" s="13" t="n">
        <v>5000048091</v>
      </c>
      <c r="B6242" s="13" t="inlineStr">
        <is>
          <t>МБДОУ ГОРОДА ИРКУТСКА ДЕТСКИЙ САД № 78</t>
        </is>
      </c>
      <c r="C6242" s="13" t="n">
        <v>3811055239</v>
      </c>
      <c r="D6242" s="13" t="inlineStr">
        <is>
          <t>3811055239</t>
        </is>
      </c>
      <c r="E6242" s="13" t="inlineStr">
        <is>
          <t>ЮЛ РФ</t>
        </is>
      </c>
      <c r="F6242" s="13" t="n"/>
      <c r="G6242" s="14" t="n"/>
      <c r="H6242" s="14" t="n"/>
      <c r="I6242" s="14" t="n"/>
      <c r="J6242" s="14" t="n"/>
      <c r="K6242" s="53" t="inlineStr"/>
      <c r="L6242" s="53" t="inlineStr">
        <is>
          <t>Не определено</t>
        </is>
      </c>
      <c r="M6242" s="53" t="inlineStr"/>
      <c r="N6242" s="54" t="inlineStr"/>
      <c r="O6242" s="55" t="inlineStr"/>
      <c r="P6242" s="16" t="inlineStr">
        <is>
          <t>Требует обогащения</t>
        </is>
      </c>
      <c r="Q6242" s="16">
        <f>HYPERLINK("https://pb.nalog.ru/search.html?query=3811055239","ФНС: проверить")</f>
        <v/>
      </c>
      <c r="R6242" s="16">
        <f>HYPERLINK("https://checko.ru/search?query=3801001629","Чекко: проверить")</f>
        <v/>
      </c>
      <c r="S6242" t="n">
        <v>1</v>
      </c>
      <c r="T6242" s="35" t="inlineStr">
        <is>
          <t>4 — Не обогащён</t>
        </is>
      </c>
      <c r="U6242" s="35" t="inlineStr">
        <is>
          <t>Нет ОКВЭД/ССЧР</t>
        </is>
      </c>
      <c r="V6242" s="35" t="inlineStr">
        <is>
          <t>Не определено</t>
        </is>
      </c>
      <c r="W6242" s="35" t="inlineStr"/>
      <c r="X6242" s="35" t="inlineStr"/>
    </row>
    <row r="6243" ht="15" customHeight="1" s="24">
      <c r="A6243" s="13" t="n">
        <v>5000048092</v>
      </c>
      <c r="B6243" s="13" t="inlineStr">
        <is>
          <t>МБДОУ ГОРОДА ИРКУТСКА ДЕТСКИЙ САД № 84</t>
        </is>
      </c>
      <c r="C6243" s="13" t="n">
        <v>3811060510</v>
      </c>
      <c r="D6243" s="13" t="inlineStr">
        <is>
          <t>3811060510</t>
        </is>
      </c>
      <c r="E6243" s="13" t="inlineStr">
        <is>
          <t>ЮЛ РФ</t>
        </is>
      </c>
      <c r="F6243" s="13" t="n"/>
      <c r="G6243" s="14" t="n"/>
      <c r="H6243" s="14" t="n"/>
      <c r="I6243" s="14" t="n"/>
      <c r="J6243" s="14" t="n"/>
      <c r="K6243" s="53" t="inlineStr"/>
      <c r="L6243" s="53" t="inlineStr">
        <is>
          <t>Не определено</t>
        </is>
      </c>
      <c r="M6243" s="53" t="inlineStr"/>
      <c r="N6243" s="54" t="inlineStr"/>
      <c r="O6243" s="55" t="inlineStr"/>
      <c r="P6243" s="16" t="inlineStr">
        <is>
          <t>Требует обогащения</t>
        </is>
      </c>
      <c r="Q6243" s="16">
        <f>HYPERLINK("https://pb.nalog.ru/search.html?query=3811060510","ФНС: проверить")</f>
        <v/>
      </c>
      <c r="R6243" s="16">
        <f>HYPERLINK("https://checko.ru/search?query=3801001629","Чекко: проверить")</f>
        <v/>
      </c>
      <c r="S6243" t="n">
        <v>1</v>
      </c>
      <c r="T6243" s="35" t="inlineStr">
        <is>
          <t>4 — Не обогащён</t>
        </is>
      </c>
      <c r="U6243" s="35" t="inlineStr">
        <is>
          <t>Нет ОКВЭД/ССЧР</t>
        </is>
      </c>
      <c r="V6243" s="35" t="inlineStr">
        <is>
          <t>Не определено</t>
        </is>
      </c>
      <c r="W6243" s="35" t="inlineStr"/>
      <c r="X6243" s="35" t="inlineStr"/>
    </row>
    <row r="6244" ht="15" customHeight="1" s="24">
      <c r="A6244" s="13" t="n">
        <v>5000048093</v>
      </c>
      <c r="B6244" s="13" t="inlineStr">
        <is>
          <t>МБДОУ ГОРОДА ИРКУТСКА ДЕТСКИЙ САД № 103</t>
        </is>
      </c>
      <c r="C6244" s="13" t="n">
        <v>3811084720</v>
      </c>
      <c r="D6244" s="13" t="inlineStr">
        <is>
          <t>3811084720</t>
        </is>
      </c>
      <c r="E6244" s="13" t="inlineStr">
        <is>
          <t>ЮЛ РФ</t>
        </is>
      </c>
      <c r="F6244" s="13" t="n"/>
      <c r="G6244" s="14" t="n"/>
      <c r="H6244" s="14" t="n"/>
      <c r="I6244" s="14" t="n"/>
      <c r="J6244" s="14" t="n"/>
      <c r="K6244" s="53" t="inlineStr"/>
      <c r="L6244" s="53" t="inlineStr">
        <is>
          <t>Не определено</t>
        </is>
      </c>
      <c r="M6244" s="53" t="inlineStr"/>
      <c r="N6244" s="54" t="inlineStr"/>
      <c r="O6244" s="55" t="inlineStr"/>
      <c r="P6244" s="16" t="inlineStr">
        <is>
          <t>Требует обогащения</t>
        </is>
      </c>
      <c r="Q6244" s="16">
        <f>HYPERLINK("https://pb.nalog.ru/search.html?query=3811084720","ФНС: проверить")</f>
        <v/>
      </c>
      <c r="R6244" s="16">
        <f>HYPERLINK("https://checko.ru/search?query=3801001629","Чекко: проверить")</f>
        <v/>
      </c>
      <c r="S6244" t="n">
        <v>1</v>
      </c>
      <c r="T6244" s="35" t="inlineStr">
        <is>
          <t>4 — Не обогащён</t>
        </is>
      </c>
      <c r="U6244" s="35" t="inlineStr">
        <is>
          <t>Нет ОКВЭД/ССЧР</t>
        </is>
      </c>
      <c r="V6244" s="35" t="inlineStr">
        <is>
          <t>Не определено</t>
        </is>
      </c>
      <c r="W6244" s="35" t="inlineStr"/>
      <c r="X6244" s="35" t="inlineStr"/>
    </row>
    <row r="6245" ht="15" customHeight="1" s="24">
      <c r="A6245" s="13" t="n">
        <v>5000048094</v>
      </c>
      <c r="B6245" s="13" t="inlineStr">
        <is>
          <t>МБДОУ ГОРОДА ИРКУТСКА ДЕТСКИЙ САД № 116</t>
        </is>
      </c>
      <c r="C6245" s="13" t="n">
        <v>3811054193</v>
      </c>
      <c r="D6245" s="13" t="inlineStr">
        <is>
          <t>3811054193</t>
        </is>
      </c>
      <c r="E6245" s="13" t="inlineStr">
        <is>
          <t>ЮЛ РФ</t>
        </is>
      </c>
      <c r="F6245" s="13" t="n"/>
      <c r="G6245" s="14" t="n"/>
      <c r="H6245" s="14" t="n"/>
      <c r="I6245" s="14" t="n"/>
      <c r="J6245" s="14" t="n"/>
      <c r="K6245" s="53" t="inlineStr"/>
      <c r="L6245" s="53" t="inlineStr">
        <is>
          <t>Не определено</t>
        </is>
      </c>
      <c r="M6245" s="53" t="inlineStr"/>
      <c r="N6245" s="54" t="inlineStr"/>
      <c r="O6245" s="55" t="inlineStr"/>
      <c r="P6245" s="16" t="inlineStr">
        <is>
          <t>Требует обогащения</t>
        </is>
      </c>
      <c r="Q6245" s="16">
        <f>HYPERLINK("https://pb.nalog.ru/search.html?query=3811054193","ФНС: проверить")</f>
        <v/>
      </c>
      <c r="R6245" s="16">
        <f>HYPERLINK("https://checko.ru/search?query=3801001629","Чекко: проверить")</f>
        <v/>
      </c>
      <c r="S6245" t="n">
        <v>1</v>
      </c>
      <c r="T6245" s="35" t="inlineStr">
        <is>
          <t>4 — Не обогащён</t>
        </is>
      </c>
      <c r="U6245" s="35" t="inlineStr">
        <is>
          <t>Нет ОКВЭД/ССЧР</t>
        </is>
      </c>
      <c r="V6245" s="35" t="inlineStr">
        <is>
          <t>Не определено</t>
        </is>
      </c>
      <c r="W6245" s="35" t="inlineStr"/>
      <c r="X6245" s="35" t="inlineStr"/>
    </row>
    <row r="6246" ht="15" customHeight="1" s="24">
      <c r="A6246" s="13" t="n">
        <v>5000048095</v>
      </c>
      <c r="B6246" s="13" t="inlineStr">
        <is>
          <t>МБДОУ ГОРОДА ИРКУТСКА ДЕТСКИЙ САД № 128</t>
        </is>
      </c>
      <c r="C6246" s="13" t="n">
        <v>3811054362</v>
      </c>
      <c r="D6246" s="13" t="inlineStr">
        <is>
          <t>3811054362</t>
        </is>
      </c>
      <c r="E6246" s="13" t="inlineStr">
        <is>
          <t>ЮЛ РФ</t>
        </is>
      </c>
      <c r="F6246" s="13" t="n"/>
      <c r="G6246" s="14" t="n"/>
      <c r="H6246" s="14" t="n"/>
      <c r="I6246" s="14" t="n"/>
      <c r="J6246" s="14" t="n"/>
      <c r="K6246" s="53" t="inlineStr"/>
      <c r="L6246" s="53" t="inlineStr">
        <is>
          <t>Не определено</t>
        </is>
      </c>
      <c r="M6246" s="53" t="inlineStr"/>
      <c r="N6246" s="54" t="inlineStr"/>
      <c r="O6246" s="55" t="inlineStr"/>
      <c r="P6246" s="16" t="inlineStr">
        <is>
          <t>Требует обогащения</t>
        </is>
      </c>
      <c r="Q6246" s="16">
        <f>HYPERLINK("https://pb.nalog.ru/search.html?query=3811054362","ФНС: проверить")</f>
        <v/>
      </c>
      <c r="R6246" s="16">
        <f>HYPERLINK("https://checko.ru/search?query=3801001629","Чекко: проверить")</f>
        <v/>
      </c>
      <c r="S6246" t="n">
        <v>1</v>
      </c>
      <c r="T6246" s="35" t="inlineStr">
        <is>
          <t>4 — Не обогащён</t>
        </is>
      </c>
      <c r="U6246" s="35" t="inlineStr">
        <is>
          <t>Нет ОКВЭД/ССЧР</t>
        </is>
      </c>
      <c r="V6246" s="35" t="inlineStr">
        <is>
          <t>Не определено</t>
        </is>
      </c>
      <c r="W6246" s="35" t="inlineStr"/>
      <c r="X6246" s="35" t="inlineStr"/>
    </row>
    <row r="6247" ht="15" customHeight="1" s="24">
      <c r="A6247" s="13" t="n">
        <v>5000048096</v>
      </c>
      <c r="B6247" s="13" t="inlineStr">
        <is>
          <t>МБДОУ ГОРОДА ИРКУТСКА ДЕТСКИЙ САД № 129</t>
        </is>
      </c>
      <c r="C6247" s="13" t="n">
        <v>3811054676</v>
      </c>
      <c r="D6247" s="13" t="inlineStr">
        <is>
          <t>3811054676</t>
        </is>
      </c>
      <c r="E6247" s="13" t="inlineStr">
        <is>
          <t>ЮЛ РФ</t>
        </is>
      </c>
      <c r="F6247" s="13" t="n"/>
      <c r="G6247" s="14" t="n"/>
      <c r="H6247" s="14" t="n"/>
      <c r="I6247" s="14" t="n"/>
      <c r="J6247" s="14" t="n"/>
      <c r="K6247" s="53" t="inlineStr"/>
      <c r="L6247" s="53" t="inlineStr">
        <is>
          <t>Не определено</t>
        </is>
      </c>
      <c r="M6247" s="53" t="inlineStr"/>
      <c r="N6247" s="54" t="inlineStr"/>
      <c r="O6247" s="55" t="inlineStr"/>
      <c r="P6247" s="16" t="inlineStr">
        <is>
          <t>Требует обогащения</t>
        </is>
      </c>
      <c r="Q6247" s="16">
        <f>HYPERLINK("https://pb.nalog.ru/search.html?query=3811054676","ФНС: проверить")</f>
        <v/>
      </c>
      <c r="R6247" s="16">
        <f>HYPERLINK("https://checko.ru/search?query=3801001629","Чекко: проверить")</f>
        <v/>
      </c>
      <c r="S6247" t="n">
        <v>1</v>
      </c>
      <c r="T6247" s="35" t="inlineStr">
        <is>
          <t>4 — Не обогащён</t>
        </is>
      </c>
      <c r="U6247" s="35" t="inlineStr">
        <is>
          <t>Нет ОКВЭД/ССЧР</t>
        </is>
      </c>
      <c r="V6247" s="35" t="inlineStr">
        <is>
          <t>Не определено</t>
        </is>
      </c>
      <c r="W6247" s="35" t="inlineStr"/>
      <c r="X6247" s="35" t="inlineStr"/>
    </row>
    <row r="6248" ht="15" customHeight="1" s="24">
      <c r="A6248" s="13" t="n">
        <v>5000048097</v>
      </c>
      <c r="B6248" s="13" t="inlineStr">
        <is>
          <t>МБДОУ ГОРОДА ИРКУТСКА ДЕТСКИЙ САД № 133</t>
        </is>
      </c>
      <c r="C6248" s="13" t="n">
        <v>3811054370</v>
      </c>
      <c r="D6248" s="13" t="inlineStr">
        <is>
          <t>3811054370</t>
        </is>
      </c>
      <c r="E6248" s="13" t="inlineStr">
        <is>
          <t>ЮЛ РФ</t>
        </is>
      </c>
      <c r="F6248" s="13" t="n"/>
      <c r="G6248" s="14" t="n"/>
      <c r="H6248" s="14" t="n"/>
      <c r="I6248" s="14" t="n"/>
      <c r="J6248" s="14" t="n"/>
      <c r="K6248" s="53" t="inlineStr"/>
      <c r="L6248" s="53" t="inlineStr">
        <is>
          <t>Не определено</t>
        </is>
      </c>
      <c r="M6248" s="53" t="inlineStr"/>
      <c r="N6248" s="54" t="inlineStr"/>
      <c r="O6248" s="55" t="inlineStr"/>
      <c r="P6248" s="16" t="inlineStr">
        <is>
          <t>Требует обогащения</t>
        </is>
      </c>
      <c r="Q6248" s="16">
        <f>HYPERLINK("https://pb.nalog.ru/search.html?query=3811054370","ФНС: проверить")</f>
        <v/>
      </c>
      <c r="R6248" s="16">
        <f>HYPERLINK("https://checko.ru/search?query=3801001629","Чекко: проверить")</f>
        <v/>
      </c>
      <c r="S6248" t="n">
        <v>1</v>
      </c>
      <c r="T6248" s="35" t="inlineStr">
        <is>
          <t>4 — Не обогащён</t>
        </is>
      </c>
      <c r="U6248" s="35" t="inlineStr">
        <is>
          <t>Нет ОКВЭД/ССЧР</t>
        </is>
      </c>
      <c r="V6248" s="35" t="inlineStr">
        <is>
          <t>Не определено</t>
        </is>
      </c>
      <c r="W6248" s="35" t="inlineStr"/>
      <c r="X6248" s="35" t="inlineStr"/>
    </row>
    <row r="6249" ht="15" customHeight="1" s="24">
      <c r="A6249" s="13" t="n">
        <v>5000048098</v>
      </c>
      <c r="B6249" s="13" t="inlineStr">
        <is>
          <t>МБДОУ ГОРОДА ИРКУТСКА ДЕТСКИЙ САД № 136</t>
        </is>
      </c>
      <c r="C6249" s="13" t="n">
        <v>3811060983</v>
      </c>
      <c r="D6249" s="13" t="inlineStr">
        <is>
          <t>3811060983</t>
        </is>
      </c>
      <c r="E6249" s="13" t="inlineStr">
        <is>
          <t>ЮЛ РФ</t>
        </is>
      </c>
      <c r="F6249" s="13" t="n"/>
      <c r="G6249" s="14" t="n"/>
      <c r="H6249" s="14" t="n"/>
      <c r="I6249" s="14" t="n"/>
      <c r="J6249" s="14" t="n"/>
      <c r="K6249" s="53" t="inlineStr"/>
      <c r="L6249" s="53" t="inlineStr">
        <is>
          <t>Не определено</t>
        </is>
      </c>
      <c r="M6249" s="53" t="inlineStr"/>
      <c r="N6249" s="54" t="inlineStr"/>
      <c r="O6249" s="55" t="inlineStr"/>
      <c r="P6249" s="16" t="inlineStr">
        <is>
          <t>Требует обогащения</t>
        </is>
      </c>
      <c r="Q6249" s="16">
        <f>HYPERLINK("https://pb.nalog.ru/search.html?query=3811060983","ФНС: проверить")</f>
        <v/>
      </c>
      <c r="R6249" s="16">
        <f>HYPERLINK("https://checko.ru/search?query=3801001629","Чекко: проверить")</f>
        <v/>
      </c>
      <c r="S6249" t="n">
        <v>1</v>
      </c>
      <c r="T6249" s="35" t="inlineStr">
        <is>
          <t>4 — Не обогащён</t>
        </is>
      </c>
      <c r="U6249" s="35" t="inlineStr">
        <is>
          <t>Нет ОКВЭД/ССЧР</t>
        </is>
      </c>
      <c r="V6249" s="35" t="inlineStr">
        <is>
          <t>Не определено</t>
        </is>
      </c>
      <c r="W6249" s="35" t="inlineStr"/>
      <c r="X6249" s="35" t="inlineStr"/>
    </row>
    <row r="6250" ht="15" customHeight="1" s="24">
      <c r="A6250" s="13" t="n">
        <v>5000048099</v>
      </c>
      <c r="B6250" s="13" t="inlineStr">
        <is>
          <t>МБДОУ ГОРОДА ИРКУТСКА ДЕТСКИЙ САД № 138</t>
        </is>
      </c>
      <c r="C6250" s="13" t="n">
        <v>3811054637</v>
      </c>
      <c r="D6250" s="13" t="inlineStr">
        <is>
          <t>3811054637</t>
        </is>
      </c>
      <c r="E6250" s="13" t="inlineStr">
        <is>
          <t>ЮЛ РФ</t>
        </is>
      </c>
      <c r="F6250" s="13" t="n"/>
      <c r="G6250" s="14" t="n"/>
      <c r="H6250" s="14" t="n"/>
      <c r="I6250" s="14" t="n"/>
      <c r="J6250" s="14" t="n"/>
      <c r="K6250" s="53" t="inlineStr"/>
      <c r="L6250" s="53" t="inlineStr">
        <is>
          <t>Не определено</t>
        </is>
      </c>
      <c r="M6250" s="53" t="inlineStr"/>
      <c r="N6250" s="54" t="inlineStr"/>
      <c r="O6250" s="55" t="inlineStr"/>
      <c r="P6250" s="16" t="inlineStr">
        <is>
          <t>Требует обогащения</t>
        </is>
      </c>
      <c r="Q6250" s="16">
        <f>HYPERLINK("https://pb.nalog.ru/search.html?query=3811054637","ФНС: проверить")</f>
        <v/>
      </c>
      <c r="R6250" s="16">
        <f>HYPERLINK("https://checko.ru/search?query=3801001629","Чекко: проверить")</f>
        <v/>
      </c>
      <c r="S6250" t="n">
        <v>1</v>
      </c>
      <c r="T6250" s="35" t="inlineStr">
        <is>
          <t>4 — Не обогащён</t>
        </is>
      </c>
      <c r="U6250" s="35" t="inlineStr">
        <is>
          <t>Нет ОКВЭД/ССЧР</t>
        </is>
      </c>
      <c r="V6250" s="35" t="inlineStr">
        <is>
          <t>Не определено</t>
        </is>
      </c>
      <c r="W6250" s="35" t="inlineStr"/>
      <c r="X6250" s="35" t="inlineStr"/>
    </row>
    <row r="6251" ht="15" customHeight="1" s="24">
      <c r="A6251" s="13" t="n">
        <v>5000048100</v>
      </c>
      <c r="B6251" s="13" t="inlineStr">
        <is>
          <t>МБДОУ ГОРОДА ИРКУТСКА ДЕТСКИЙ САД № 141</t>
        </is>
      </c>
      <c r="C6251" s="13" t="n">
        <v>3811054718</v>
      </c>
      <c r="D6251" s="13" t="inlineStr">
        <is>
          <t>3811054718</t>
        </is>
      </c>
      <c r="E6251" s="13" t="inlineStr">
        <is>
          <t>ЮЛ РФ</t>
        </is>
      </c>
      <c r="F6251" s="13" t="n"/>
      <c r="G6251" s="14" t="n"/>
      <c r="H6251" s="14" t="n"/>
      <c r="I6251" s="14" t="n"/>
      <c r="J6251" s="14" t="n"/>
      <c r="K6251" s="53" t="inlineStr"/>
      <c r="L6251" s="53" t="inlineStr">
        <is>
          <t>Не определено</t>
        </is>
      </c>
      <c r="M6251" s="53" t="inlineStr"/>
      <c r="N6251" s="54" t="inlineStr"/>
      <c r="O6251" s="55" t="inlineStr"/>
      <c r="P6251" s="16" t="inlineStr">
        <is>
          <t>Требует обогащения</t>
        </is>
      </c>
      <c r="Q6251" s="16">
        <f>HYPERLINK("https://pb.nalog.ru/search.html?query=3811054718","ФНС: проверить")</f>
        <v/>
      </c>
      <c r="R6251" s="16">
        <f>HYPERLINK("https://checko.ru/search?query=3801001629","Чекко: проверить")</f>
        <v/>
      </c>
      <c r="S6251" t="n">
        <v>1</v>
      </c>
      <c r="T6251" s="35" t="inlineStr">
        <is>
          <t>4 — Не обогащён</t>
        </is>
      </c>
      <c r="U6251" s="35" t="inlineStr">
        <is>
          <t>Нет ОКВЭД/ССЧР</t>
        </is>
      </c>
      <c r="V6251" s="35" t="inlineStr">
        <is>
          <t>Не определено</t>
        </is>
      </c>
      <c r="W6251" s="35" t="inlineStr"/>
      <c r="X6251" s="35" t="inlineStr"/>
    </row>
    <row r="6252" ht="15" customHeight="1" s="24">
      <c r="A6252" s="13" t="n">
        <v>5000048102</v>
      </c>
      <c r="B6252" s="13" t="inlineStr">
        <is>
          <t>МБДОУ ГОРОДА ИРКУТСКА ДЕТСКИЙ САД № 159</t>
        </is>
      </c>
      <c r="C6252" s="13" t="n">
        <v>3811055920</v>
      </c>
      <c r="D6252" s="13" t="inlineStr">
        <is>
          <t>3811055920</t>
        </is>
      </c>
      <c r="E6252" s="13" t="inlineStr">
        <is>
          <t>ЮЛ РФ</t>
        </is>
      </c>
      <c r="F6252" s="13" t="n"/>
      <c r="G6252" s="14" t="n"/>
      <c r="H6252" s="14" t="n"/>
      <c r="I6252" s="14" t="n"/>
      <c r="J6252" s="14" t="n"/>
      <c r="K6252" s="53" t="inlineStr"/>
      <c r="L6252" s="53" t="inlineStr">
        <is>
          <t>Не определено</t>
        </is>
      </c>
      <c r="M6252" s="53" t="inlineStr"/>
      <c r="N6252" s="54" t="inlineStr"/>
      <c r="O6252" s="55" t="inlineStr"/>
      <c r="P6252" s="16" t="inlineStr">
        <is>
          <t>Требует обогащения</t>
        </is>
      </c>
      <c r="Q6252" s="16">
        <f>HYPERLINK("https://pb.nalog.ru/search.html?query=3811055920","ФНС: проверить")</f>
        <v/>
      </c>
      <c r="R6252" s="16">
        <f>HYPERLINK("https://checko.ru/search?query=3801001629","Чекко: проверить")</f>
        <v/>
      </c>
      <c r="S6252" t="n">
        <v>1</v>
      </c>
      <c r="T6252" s="35" t="inlineStr">
        <is>
          <t>4 — Не обогащён</t>
        </is>
      </c>
      <c r="U6252" s="35" t="inlineStr">
        <is>
          <t>Нет ОКВЭД/ССЧР</t>
        </is>
      </c>
      <c r="V6252" s="35" t="inlineStr">
        <is>
          <t>Не определено</t>
        </is>
      </c>
      <c r="W6252" s="35" t="inlineStr"/>
      <c r="X6252" s="35" t="inlineStr"/>
    </row>
    <row r="6253" ht="15" customHeight="1" s="24">
      <c r="A6253" s="13" t="n">
        <v>5000048103</v>
      </c>
      <c r="B6253" s="13" t="inlineStr">
        <is>
          <t>МБДОУ ГОРОДА ИРКУТСКА ДЕТСКИЙ САД № 178</t>
        </is>
      </c>
      <c r="C6253" s="13" t="n">
        <v>3811169420</v>
      </c>
      <c r="D6253" s="13" t="inlineStr">
        <is>
          <t>3811169420</t>
        </is>
      </c>
      <c r="E6253" s="13" t="inlineStr">
        <is>
          <t>ЮЛ РФ</t>
        </is>
      </c>
      <c r="F6253" s="13" t="n"/>
      <c r="G6253" s="14" t="n"/>
      <c r="H6253" s="14" t="n"/>
      <c r="I6253" s="14" t="n"/>
      <c r="J6253" s="14" t="n"/>
      <c r="K6253" s="53" t="inlineStr"/>
      <c r="L6253" s="53" t="inlineStr">
        <is>
          <t>Не определено</t>
        </is>
      </c>
      <c r="M6253" s="53" t="inlineStr"/>
      <c r="N6253" s="54" t="inlineStr"/>
      <c r="O6253" s="55" t="inlineStr"/>
      <c r="P6253" s="16" t="inlineStr">
        <is>
          <t>Требует обогащения</t>
        </is>
      </c>
      <c r="Q6253" s="16">
        <f>HYPERLINK("https://pb.nalog.ru/search.html?query=3811169420","ФНС: проверить")</f>
        <v/>
      </c>
      <c r="R6253" s="16">
        <f>HYPERLINK("https://checko.ru/search?query=3801001629","Чекко: проверить")</f>
        <v/>
      </c>
      <c r="S6253" t="n">
        <v>1</v>
      </c>
      <c r="T6253" s="35" t="inlineStr">
        <is>
          <t>4 — Не обогащён</t>
        </is>
      </c>
      <c r="U6253" s="35" t="inlineStr">
        <is>
          <t>Нет ОКВЭД/ССЧР</t>
        </is>
      </c>
      <c r="V6253" s="35" t="inlineStr">
        <is>
          <t>Не определено</t>
        </is>
      </c>
      <c r="W6253" s="35" t="inlineStr"/>
      <c r="X6253" s="35" t="inlineStr"/>
    </row>
    <row r="6254" ht="15" customHeight="1" s="24">
      <c r="A6254" s="13" t="n">
        <v>5000048104</v>
      </c>
      <c r="B6254" s="13" t="inlineStr">
        <is>
          <t>МБДОУ ГОРОДА ИРКУТСКА ДЕТСКИЙ САД № 186</t>
        </is>
      </c>
      <c r="C6254" s="13" t="n">
        <v>3811442816</v>
      </c>
      <c r="D6254" s="13" t="inlineStr">
        <is>
          <t>3811442816</t>
        </is>
      </c>
      <c r="E6254" s="13" t="inlineStr">
        <is>
          <t>ЮЛ РФ</t>
        </is>
      </c>
      <c r="F6254" s="13" t="n"/>
      <c r="G6254" s="14" t="n"/>
      <c r="H6254" s="14" t="n"/>
      <c r="I6254" s="14" t="n"/>
      <c r="J6254" s="14" t="n"/>
      <c r="K6254" s="53" t="inlineStr"/>
      <c r="L6254" s="53" t="inlineStr">
        <is>
          <t>Не определено</t>
        </is>
      </c>
      <c r="M6254" s="53" t="inlineStr"/>
      <c r="N6254" s="54" t="inlineStr"/>
      <c r="O6254" s="55" t="inlineStr"/>
      <c r="P6254" s="16" t="inlineStr">
        <is>
          <t>Требует обогащения</t>
        </is>
      </c>
      <c r="Q6254" s="16">
        <f>HYPERLINK("https://pb.nalog.ru/search.html?query=3811442816","ФНС: проверить")</f>
        <v/>
      </c>
      <c r="R6254" s="16">
        <f>HYPERLINK("https://checko.ru/search?query=3801001629","Чекко: проверить")</f>
        <v/>
      </c>
      <c r="S6254" t="n">
        <v>1</v>
      </c>
      <c r="T6254" s="35" t="inlineStr">
        <is>
          <t>4 — Не обогащён</t>
        </is>
      </c>
      <c r="U6254" s="35" t="inlineStr">
        <is>
          <t>Нет ОКВЭД/ССЧР</t>
        </is>
      </c>
      <c r="V6254" s="35" t="inlineStr">
        <is>
          <t>Не определено</t>
        </is>
      </c>
      <c r="W6254" s="35" t="inlineStr"/>
      <c r="X6254" s="35" t="inlineStr"/>
    </row>
    <row r="6255" ht="68.25" customHeight="1" s="24">
      <c r="A6255" s="13" t="n">
        <v>5000048108</v>
      </c>
      <c r="B6255" s="13" t="inlineStr">
        <is>
          <t>МУНИЦИПАЛЬНОЕ БЮДЖЕТНОЕ ОБЩЕОБРАЗОВАТЕЛЬНОЕ УЧРЕЖДЕНИЕ ГОРОДА ИРКУТСКА СРЕДНЯЯ ОБЩЕОБРАЗОВАТЕЛЬНАЯ ШКОЛА № 76 ИМЕНИ ГВАРДЕЙСКОЙ ИРКУТСКО-ПИНСКОЙ ДИВИЗ</t>
        </is>
      </c>
      <c r="C6255" s="13" t="n">
        <v>3811056063</v>
      </c>
      <c r="D6255" s="13" t="inlineStr">
        <is>
          <t>3811056063</t>
        </is>
      </c>
      <c r="E6255" s="13" t="inlineStr">
        <is>
          <t>ЮЛ РФ</t>
        </is>
      </c>
      <c r="F6255" s="13" t="n"/>
      <c r="G6255" s="14" t="n"/>
      <c r="H6255" s="14" t="n"/>
      <c r="I6255" s="14" t="n"/>
      <c r="J6255" s="14" t="n"/>
      <c r="K6255" s="53" t="inlineStr"/>
      <c r="L6255" s="53" t="inlineStr">
        <is>
          <t>Не определено</t>
        </is>
      </c>
      <c r="M6255" s="53" t="inlineStr"/>
      <c r="N6255" s="54" t="inlineStr"/>
      <c r="O6255" s="55" t="inlineStr"/>
      <c r="P6255" s="16" t="inlineStr">
        <is>
          <t>Требует обогащения</t>
        </is>
      </c>
      <c r="Q6255" s="16">
        <f>HYPERLINK("https://pb.nalog.ru/search.html?query=3811056063","ФНС: проверить")</f>
        <v/>
      </c>
      <c r="R6255" s="16">
        <f>HYPERLINK("https://checko.ru/search?query=3801001629","Чекко: проверить")</f>
        <v/>
      </c>
      <c r="S6255" t="n">
        <v>1</v>
      </c>
      <c r="T6255" s="35" t="inlineStr">
        <is>
          <t>4 — Не обогащён</t>
        </is>
      </c>
      <c r="U6255" s="35" t="inlineStr">
        <is>
          <t>Нет ОКВЭД/ССЧР</t>
        </is>
      </c>
      <c r="V6255" s="35" t="inlineStr">
        <is>
          <t>Не определено</t>
        </is>
      </c>
      <c r="W6255" s="35" t="inlineStr"/>
      <c r="X6255" s="35" t="inlineStr"/>
    </row>
    <row r="6256" ht="15" customHeight="1" s="24">
      <c r="A6256" s="13" t="n">
        <v>5000119273</v>
      </c>
      <c r="B6256" s="13" t="inlineStr">
        <is>
          <t>ТУОСО МАУ</t>
        </is>
      </c>
      <c r="C6256" s="13" t="n">
        <v>5044064875</v>
      </c>
      <c r="D6256" s="13" t="inlineStr">
        <is>
          <t>5044064875</t>
        </is>
      </c>
      <c r="E6256" s="13" t="inlineStr">
        <is>
          <t>ЮЛ РФ</t>
        </is>
      </c>
      <c r="F6256" s="13" t="n"/>
      <c r="G6256" s="14" t="n"/>
      <c r="H6256" s="14" t="n"/>
      <c r="I6256" s="14" t="n"/>
      <c r="J6256" s="14" t="n"/>
      <c r="K6256" s="53" t="inlineStr"/>
      <c r="L6256" s="53" t="inlineStr">
        <is>
          <t>Не определено</t>
        </is>
      </c>
      <c r="M6256" s="53" t="inlineStr"/>
      <c r="N6256" s="54" t="inlineStr"/>
      <c r="O6256" s="55" t="inlineStr"/>
      <c r="P6256" s="16" t="inlineStr">
        <is>
          <t>Требует обогащения</t>
        </is>
      </c>
      <c r="Q6256" s="16">
        <f>HYPERLINK("https://pb.nalog.ru/search.html?query=5044064875","ФНС: проверить")</f>
        <v/>
      </c>
      <c r="R6256" s="16">
        <f>HYPERLINK("https://checko.ru/search?query=3801001629","Чекко: проверить")</f>
        <v/>
      </c>
      <c r="S6256" t="n">
        <v>1</v>
      </c>
      <c r="T6256" s="35" t="inlineStr">
        <is>
          <t>4 — Не обогащён</t>
        </is>
      </c>
      <c r="U6256" s="35" t="inlineStr">
        <is>
          <t>Нет ОКВЭД/ССЧР</t>
        </is>
      </c>
      <c r="V6256" s="35" t="inlineStr">
        <is>
          <t>Не определено</t>
        </is>
      </c>
      <c r="W6256" s="35" t="inlineStr"/>
      <c r="X6256" s="35" t="inlineStr"/>
    </row>
    <row r="6257" ht="41.25" customHeight="1" s="24">
      <c r="A6257" s="13" t="n">
        <v>5000121578</v>
      </c>
      <c r="B6257" s="13" t="inlineStr">
        <is>
          <t>Территориальное Управление "Бутаковская Администрация" Администрации Качугского Муниципального Округа</t>
        </is>
      </c>
      <c r="C6257" s="13" t="n">
        <v>3808294597</v>
      </c>
      <c r="D6257" s="13" t="inlineStr">
        <is>
          <t>3808294597</t>
        </is>
      </c>
      <c r="E6257" s="13" t="inlineStr">
        <is>
          <t>ЮЛ РФ</t>
        </is>
      </c>
      <c r="F6257" s="13" t="n"/>
      <c r="G6257" s="14" t="n"/>
      <c r="H6257" s="14" t="n"/>
      <c r="I6257" s="14" t="n"/>
      <c r="J6257" s="14" t="n"/>
      <c r="K6257" s="53" t="inlineStr"/>
      <c r="L6257" s="53" t="inlineStr">
        <is>
          <t>Не определено</t>
        </is>
      </c>
      <c r="M6257" s="53" t="inlineStr"/>
      <c r="N6257" s="54" t="inlineStr"/>
      <c r="O6257" s="55" t="inlineStr"/>
      <c r="P6257" s="16" t="inlineStr">
        <is>
          <t>Требует обогащения</t>
        </is>
      </c>
      <c r="Q6257" s="16">
        <f>HYPERLINK("https://pb.nalog.ru/search.html?query=3808294597","ФНС: проверить")</f>
        <v/>
      </c>
      <c r="R6257" s="16">
        <f>HYPERLINK("https://checko.ru/search?query=3801001629","Чекко: проверить")</f>
        <v/>
      </c>
      <c r="S6257" t="n">
        <v>1</v>
      </c>
      <c r="T6257" s="35" t="inlineStr">
        <is>
          <t>4 — Не обогащён</t>
        </is>
      </c>
      <c r="U6257" s="35" t="inlineStr">
        <is>
          <t>Нет ОКВЭД/ССЧР</t>
        </is>
      </c>
      <c r="V6257" s="35" t="inlineStr">
        <is>
          <t>Не определено</t>
        </is>
      </c>
      <c r="W6257" s="35" t="inlineStr"/>
      <c r="X6257" s="35" t="inlineStr"/>
    </row>
    <row r="6258" ht="41.25" customHeight="1" s="24">
      <c r="A6258" s="13" t="n">
        <v>5000121587</v>
      </c>
      <c r="B6258" s="13" t="inlineStr">
        <is>
          <t>Территориальное Управление "Харбатовская Администрация" Администрации Качугского Муниципального Округа</t>
        </is>
      </c>
      <c r="C6258" s="13" t="n">
        <v>3808294491</v>
      </c>
      <c r="D6258" s="13" t="inlineStr">
        <is>
          <t>3808294491</t>
        </is>
      </c>
      <c r="E6258" s="13" t="inlineStr">
        <is>
          <t>ЮЛ РФ</t>
        </is>
      </c>
      <c r="F6258" s="13" t="n"/>
      <c r="G6258" s="14" t="n"/>
      <c r="H6258" s="14" t="n"/>
      <c r="I6258" s="14" t="n"/>
      <c r="J6258" s="14" t="n"/>
      <c r="K6258" s="53" t="inlineStr"/>
      <c r="L6258" s="53" t="inlineStr">
        <is>
          <t>Не определено</t>
        </is>
      </c>
      <c r="M6258" s="53" t="inlineStr"/>
      <c r="N6258" s="54" t="inlineStr"/>
      <c r="O6258" s="55" t="inlineStr"/>
      <c r="P6258" s="16" t="inlineStr">
        <is>
          <t>Требует обогащения</t>
        </is>
      </c>
      <c r="Q6258" s="16">
        <f>HYPERLINK("https://pb.nalog.ru/search.html?query=3808294491","ФНС: проверить")</f>
        <v/>
      </c>
      <c r="R6258" s="16">
        <f>HYPERLINK("https://checko.ru/search?query=3801001629","Чекко: проверить")</f>
        <v/>
      </c>
      <c r="S6258" t="n">
        <v>1</v>
      </c>
      <c r="T6258" s="35" t="inlineStr">
        <is>
          <t>4 — Не обогащён</t>
        </is>
      </c>
      <c r="U6258" s="35" t="inlineStr">
        <is>
          <t>Нет ОКВЭД/ССЧР</t>
        </is>
      </c>
      <c r="V6258" s="35" t="inlineStr">
        <is>
          <t>Не определено</t>
        </is>
      </c>
      <c r="W6258" s="35" t="inlineStr"/>
      <c r="X6258" s="35" t="inlineStr"/>
    </row>
    <row r="6259" ht="15" customHeight="1" s="24">
      <c r="A6259" s="13" t="n">
        <v>5000121571</v>
      </c>
      <c r="B6259" s="13" t="inlineStr">
        <is>
          <t>Дума муниципального района "Качугский район"</t>
        </is>
      </c>
      <c r="C6259" s="13" t="n">
        <v>3830003691</v>
      </c>
      <c r="D6259" s="13" t="inlineStr">
        <is>
          <t>3830003691</t>
        </is>
      </c>
      <c r="E6259" s="13" t="inlineStr">
        <is>
          <t>ЮЛ РФ</t>
        </is>
      </c>
      <c r="F6259" s="13" t="n"/>
      <c r="G6259" s="14" t="n"/>
      <c r="H6259" s="14" t="n"/>
      <c r="I6259" s="14" t="n"/>
      <c r="J6259" s="14" t="n"/>
      <c r="K6259" s="53" t="inlineStr"/>
      <c r="L6259" s="53" t="inlineStr">
        <is>
          <t>Не определено</t>
        </is>
      </c>
      <c r="M6259" s="53" t="inlineStr"/>
      <c r="N6259" s="54" t="inlineStr"/>
      <c r="O6259" s="55" t="inlineStr"/>
      <c r="P6259" s="16" t="inlineStr">
        <is>
          <t>Требует обогащения</t>
        </is>
      </c>
      <c r="Q6259" s="16">
        <f>HYPERLINK("https://pb.nalog.ru/search.html?query=3830003691","ФНС: проверить")</f>
        <v/>
      </c>
      <c r="R6259" s="16">
        <f>HYPERLINK("https://checko.ru/search?query=3801001629","Чекко: проверить")</f>
        <v/>
      </c>
      <c r="S6259" t="n">
        <v>1</v>
      </c>
      <c r="T6259" s="35" t="inlineStr">
        <is>
          <t>4 — Не обогащён</t>
        </is>
      </c>
      <c r="U6259" s="35" t="inlineStr">
        <is>
          <t>Нет ОКВЭД/ССЧР</t>
        </is>
      </c>
      <c r="V6259" s="35" t="inlineStr">
        <is>
          <t>Не определено</t>
        </is>
      </c>
      <c r="W6259" s="35" t="inlineStr"/>
      <c r="X6259" s="35" t="inlineStr"/>
    </row>
    <row r="6260" ht="27.75" customHeight="1" s="24">
      <c r="A6260" s="13" t="n">
        <v>5000121572</v>
      </c>
      <c r="B6260" s="13" t="inlineStr">
        <is>
          <t>Контрольно-счетная палата муниципального образования "Качугский район"</t>
        </is>
      </c>
      <c r="C6260" s="13" t="n">
        <v>3830905770</v>
      </c>
      <c r="D6260" s="13" t="inlineStr">
        <is>
          <t>3830905770</t>
        </is>
      </c>
      <c r="E6260" s="13" t="inlineStr">
        <is>
          <t>ЮЛ РФ</t>
        </is>
      </c>
      <c r="F6260" s="13" t="n"/>
      <c r="G6260" s="14" t="n"/>
      <c r="H6260" s="14" t="n"/>
      <c r="I6260" s="14" t="n"/>
      <c r="J6260" s="14" t="n"/>
      <c r="K6260" s="53" t="inlineStr"/>
      <c r="L6260" s="53" t="inlineStr">
        <is>
          <t>Не определено</t>
        </is>
      </c>
      <c r="M6260" s="53" t="inlineStr"/>
      <c r="N6260" s="54" t="inlineStr"/>
      <c r="O6260" s="55" t="inlineStr"/>
      <c r="P6260" s="16" t="inlineStr">
        <is>
          <t>Требует обогащения</t>
        </is>
      </c>
      <c r="Q6260" s="16">
        <f>HYPERLINK("https://pb.nalog.ru/search.html?query=3830905770","ФНС: проверить")</f>
        <v/>
      </c>
      <c r="R6260" s="16">
        <f>HYPERLINK("https://checko.ru/search?query=3801001629","Чекко: проверить")</f>
        <v/>
      </c>
      <c r="S6260" t="n">
        <v>1</v>
      </c>
      <c r="T6260" s="35" t="inlineStr">
        <is>
          <t>4 — Не обогащён</t>
        </is>
      </c>
      <c r="U6260" s="35" t="inlineStr">
        <is>
          <t>Нет ОКВЭД/ССЧР</t>
        </is>
      </c>
      <c r="V6260" s="35" t="inlineStr">
        <is>
          <t>Не определено</t>
        </is>
      </c>
      <c r="W6260" s="35" t="inlineStr"/>
      <c r="X6260" s="35" t="inlineStr"/>
    </row>
    <row r="6261" ht="27.75" customHeight="1" s="24">
      <c r="A6261" s="13" t="n">
        <v>5000121573</v>
      </c>
      <c r="B6261" s="13" t="inlineStr">
        <is>
          <t>МКУ "Единая дежурно-диспетчерская служба МО "Качугский район"</t>
        </is>
      </c>
      <c r="C6261" s="13" t="n">
        <v>3827056580</v>
      </c>
      <c r="D6261" s="13" t="inlineStr">
        <is>
          <t>3827056580</t>
        </is>
      </c>
      <c r="E6261" s="13" t="inlineStr">
        <is>
          <t>ЮЛ РФ</t>
        </is>
      </c>
      <c r="F6261" s="13" t="n"/>
      <c r="G6261" s="14" t="n"/>
      <c r="H6261" s="14" t="n"/>
      <c r="I6261" s="14" t="n"/>
      <c r="J6261" s="14" t="n"/>
      <c r="K6261" s="53" t="inlineStr"/>
      <c r="L6261" s="53" t="inlineStr">
        <is>
          <t>Не определено</t>
        </is>
      </c>
      <c r="M6261" s="53" t="inlineStr"/>
      <c r="N6261" s="54" t="inlineStr"/>
      <c r="O6261" s="55" t="inlineStr"/>
      <c r="P6261" s="16" t="inlineStr">
        <is>
          <t>Требует обогащения</t>
        </is>
      </c>
      <c r="Q6261" s="16">
        <f>HYPERLINK("https://pb.nalog.ru/search.html?query=3827056580","ФНС: проверить")</f>
        <v/>
      </c>
      <c r="R6261" s="16">
        <f>HYPERLINK("https://checko.ru/search?query=3801001629","Чекко: проверить")</f>
        <v/>
      </c>
      <c r="S6261" t="n">
        <v>1</v>
      </c>
      <c r="T6261" s="35" t="inlineStr">
        <is>
          <t>4 — Не обогащён</t>
        </is>
      </c>
      <c r="U6261" s="35" t="inlineStr">
        <is>
          <t>Нет ОКВЭД/ССЧР</t>
        </is>
      </c>
      <c r="V6261" s="35" t="inlineStr">
        <is>
          <t>Не определено</t>
        </is>
      </c>
      <c r="W6261" s="35" t="inlineStr"/>
      <c r="X6261" s="35" t="inlineStr"/>
    </row>
    <row r="6262" ht="41.25" customHeight="1" s="24">
      <c r="A6262" s="13" t="n">
        <v>5000121580</v>
      </c>
      <c r="B6262" s="13" t="inlineStr">
        <is>
          <t>Территориальное Управление "Вершино-Тутурская" Администрация Администрации Качугского Муниципального Округа</t>
        </is>
      </c>
      <c r="C6262" s="13" t="n">
        <v>3808294484</v>
      </c>
      <c r="D6262" s="13" t="inlineStr">
        <is>
          <t>3808294484</t>
        </is>
      </c>
      <c r="E6262" s="13" t="inlineStr">
        <is>
          <t>ЮЛ РФ</t>
        </is>
      </c>
      <c r="F6262" s="13" t="n"/>
      <c r="G6262" s="14" t="n"/>
      <c r="H6262" s="14" t="n"/>
      <c r="I6262" s="14" t="n"/>
      <c r="J6262" s="14" t="n"/>
      <c r="K6262" s="53" t="inlineStr"/>
      <c r="L6262" s="53" t="inlineStr">
        <is>
          <t>Не определено</t>
        </is>
      </c>
      <c r="M6262" s="53" t="inlineStr"/>
      <c r="N6262" s="54" t="inlineStr"/>
      <c r="O6262" s="55" t="inlineStr"/>
      <c r="P6262" s="16" t="inlineStr">
        <is>
          <t>Требует обогащения</t>
        </is>
      </c>
      <c r="Q6262" s="16">
        <f>HYPERLINK("https://pb.nalog.ru/search.html?query=3808294484","ФНС: проверить")</f>
        <v/>
      </c>
      <c r="R6262" s="16">
        <f>HYPERLINK("https://checko.ru/search?query=3801001629","Чекко: проверить")</f>
        <v/>
      </c>
      <c r="S6262" t="n">
        <v>1</v>
      </c>
      <c r="T6262" s="35" t="inlineStr">
        <is>
          <t>4 — Не обогащён</t>
        </is>
      </c>
      <c r="U6262" s="35" t="inlineStr">
        <is>
          <t>Нет ОКВЭД/ССЧР</t>
        </is>
      </c>
      <c r="V6262" s="35" t="inlineStr">
        <is>
          <t>Не определено</t>
        </is>
      </c>
      <c r="W6262" s="35" t="inlineStr"/>
      <c r="X6262" s="35" t="inlineStr"/>
    </row>
    <row r="6263" ht="41.25" customHeight="1" s="24">
      <c r="A6263" s="13" t="n">
        <v>5000024736</v>
      </c>
      <c r="B6263" s="13" t="inlineStr">
        <is>
          <t>Муниципальное бюджетное дошкольное образовательное учреждение детский сад "Сказка" ЗАЛАРИ РП</t>
        </is>
      </c>
      <c r="C6263" s="13" t="n">
        <v>3825003713</v>
      </c>
      <c r="D6263" s="13" t="inlineStr">
        <is>
          <t>3825003713</t>
        </is>
      </c>
      <c r="E6263" s="13" t="inlineStr">
        <is>
          <t>ЮЛ РФ</t>
        </is>
      </c>
      <c r="F6263" s="13" t="n"/>
      <c r="G6263" s="14" t="n"/>
      <c r="H6263" s="14" t="n"/>
      <c r="I6263" s="14" t="n"/>
      <c r="J6263" s="14" t="n"/>
      <c r="K6263" s="53" t="inlineStr"/>
      <c r="L6263" s="53" t="inlineStr">
        <is>
          <t>Не определено</t>
        </is>
      </c>
      <c r="M6263" s="53" t="inlineStr"/>
      <c r="N6263" s="54" t="inlineStr"/>
      <c r="O6263" s="55" t="inlineStr"/>
      <c r="P6263" s="16" t="inlineStr">
        <is>
          <t>Требует обогащения</t>
        </is>
      </c>
      <c r="Q6263" s="16">
        <f>HYPERLINK("https://pb.nalog.ru/search.html?query=3825003713","ФНС: проверить")</f>
        <v/>
      </c>
      <c r="R6263" s="16">
        <f>HYPERLINK("https://checko.ru/search?query=3801001629","Чекко: проверить")</f>
        <v/>
      </c>
      <c r="S6263" t="n">
        <v>1</v>
      </c>
      <c r="T6263" s="35" t="inlineStr">
        <is>
          <t>4 — Не обогащён</t>
        </is>
      </c>
      <c r="U6263" s="35" t="inlineStr">
        <is>
          <t>Нет ОКВЭД/ССЧР</t>
        </is>
      </c>
      <c r="V6263" s="35" t="inlineStr">
        <is>
          <t>Не определено</t>
        </is>
      </c>
      <c r="W6263" s="35" t="inlineStr"/>
      <c r="X6263" s="35" t="inlineStr"/>
    </row>
    <row r="6264" ht="41.25" customHeight="1" s="24">
      <c r="A6264" s="13" t="n">
        <v>5000024745</v>
      </c>
      <c r="B6264" s="13" t="inlineStr">
        <is>
          <t>Муниципальное бюджетное дошкольное образовательное учреждение Троицкий детский сад "Родничок"</t>
        </is>
      </c>
      <c r="C6264" s="13" t="n">
        <v>3825004160</v>
      </c>
      <c r="D6264" s="13" t="inlineStr">
        <is>
          <t>3825004160</t>
        </is>
      </c>
      <c r="E6264" s="13" t="inlineStr">
        <is>
          <t>ЮЛ РФ</t>
        </is>
      </c>
      <c r="F6264" s="13" t="n"/>
      <c r="G6264" s="14" t="n"/>
      <c r="H6264" s="14" t="n"/>
      <c r="I6264" s="14" t="n"/>
      <c r="J6264" s="14" t="n"/>
      <c r="K6264" s="53" t="inlineStr"/>
      <c r="L6264" s="53" t="inlineStr">
        <is>
          <t>Не определено</t>
        </is>
      </c>
      <c r="M6264" s="53" t="inlineStr"/>
      <c r="N6264" s="54" t="inlineStr"/>
      <c r="O6264" s="55" t="inlineStr"/>
      <c r="P6264" s="16" t="inlineStr">
        <is>
          <t>Требует обогащения</t>
        </is>
      </c>
      <c r="Q6264" s="16">
        <f>HYPERLINK("https://pb.nalog.ru/search.html?query=3825004160","ФНС: проверить")</f>
        <v/>
      </c>
      <c r="R6264" s="16">
        <f>HYPERLINK("https://checko.ru/search?query=3801001629","Чекко: проверить")</f>
        <v/>
      </c>
      <c r="S6264" t="n">
        <v>1</v>
      </c>
      <c r="T6264" s="35" t="inlineStr">
        <is>
          <t>4 — Не обогащён</t>
        </is>
      </c>
      <c r="U6264" s="35" t="inlineStr">
        <is>
          <t>Нет ОКВЭД/ССЧР</t>
        </is>
      </c>
      <c r="V6264" s="35" t="inlineStr">
        <is>
          <t>Не определено</t>
        </is>
      </c>
      <c r="W6264" s="35" t="inlineStr"/>
      <c r="X6264" s="35" t="inlineStr"/>
    </row>
    <row r="6265" ht="41.25" customHeight="1" s="24">
      <c r="A6265" s="13" t="n">
        <v>5000024746</v>
      </c>
      <c r="B6265" s="13" t="inlineStr">
        <is>
          <t>Муниципальное бюджетное дошкольное образовательное учреждение детский сад "Солнышко" село Холмо</t>
        </is>
      </c>
      <c r="C6265" s="13" t="n">
        <v>3825003150</v>
      </c>
      <c r="D6265" s="13" t="inlineStr">
        <is>
          <t>3825003150</t>
        </is>
      </c>
      <c r="E6265" s="13" t="inlineStr">
        <is>
          <t>ЮЛ РФ</t>
        </is>
      </c>
      <c r="F6265" s="13" t="n"/>
      <c r="G6265" s="14" t="n"/>
      <c r="H6265" s="14" t="n"/>
      <c r="I6265" s="14" t="n"/>
      <c r="J6265" s="14" t="n"/>
      <c r="K6265" s="53" t="inlineStr"/>
      <c r="L6265" s="53" t="inlineStr">
        <is>
          <t>Не определено</t>
        </is>
      </c>
      <c r="M6265" s="53" t="inlineStr"/>
      <c r="N6265" s="54" t="inlineStr"/>
      <c r="O6265" s="55" t="inlineStr"/>
      <c r="P6265" s="16" t="inlineStr">
        <is>
          <t>Требует обогащения</t>
        </is>
      </c>
      <c r="Q6265" s="16">
        <f>HYPERLINK("https://pb.nalog.ru/search.html?query=3825003150","ФНС: проверить")</f>
        <v/>
      </c>
      <c r="R6265" s="16">
        <f>HYPERLINK("https://checko.ru/search?query=3801001629","Чекко: проверить")</f>
        <v/>
      </c>
      <c r="S6265" t="n">
        <v>1</v>
      </c>
      <c r="T6265" s="35" t="inlineStr">
        <is>
          <t>4 — Не обогащён</t>
        </is>
      </c>
      <c r="U6265" s="35" t="inlineStr">
        <is>
          <t>Нет ОКВЭД/ССЧР</t>
        </is>
      </c>
      <c r="V6265" s="35" t="inlineStr">
        <is>
          <t>Не определено</t>
        </is>
      </c>
      <c r="W6265" s="35" t="inlineStr"/>
      <c r="X6265" s="35" t="inlineStr"/>
    </row>
    <row r="6266" ht="41.25" customHeight="1" s="24">
      <c r="A6266" s="13" t="n">
        <v>5000024747</v>
      </c>
      <c r="B6266" s="13" t="inlineStr">
        <is>
          <t>Муниципальное бюджетное дошкольное образовательное учреждение детский сад с.Ханжиново</t>
        </is>
      </c>
      <c r="C6266" s="13" t="n">
        <v>3825003181</v>
      </c>
      <c r="D6266" s="13" t="inlineStr">
        <is>
          <t>3825003181</t>
        </is>
      </c>
      <c r="E6266" s="13" t="inlineStr">
        <is>
          <t>ЮЛ РФ</t>
        </is>
      </c>
      <c r="F6266" s="13" t="n"/>
      <c r="G6266" s="14" t="n"/>
      <c r="H6266" s="14" t="n"/>
      <c r="I6266" s="14" t="n"/>
      <c r="J6266" s="14" t="n"/>
      <c r="K6266" s="53" t="inlineStr"/>
      <c r="L6266" s="53" t="inlineStr">
        <is>
          <t>Не определено</t>
        </is>
      </c>
      <c r="M6266" s="53" t="inlineStr"/>
      <c r="N6266" s="54" t="inlineStr"/>
      <c r="O6266" s="55" t="inlineStr"/>
      <c r="P6266" s="16" t="inlineStr">
        <is>
          <t>Требует обогащения</t>
        </is>
      </c>
      <c r="Q6266" s="16">
        <f>HYPERLINK("https://pb.nalog.ru/search.html?query=3825003181","ФНС: проверить")</f>
        <v/>
      </c>
      <c r="R6266" s="16">
        <f>HYPERLINK("https://checko.ru/search?query=3801001629","Чекко: проверить")</f>
        <v/>
      </c>
      <c r="S6266" t="n">
        <v>1</v>
      </c>
      <c r="T6266" s="35" t="inlineStr">
        <is>
          <t>4 — Не обогащён</t>
        </is>
      </c>
      <c r="U6266" s="35" t="inlineStr">
        <is>
          <t>Нет ОКВЭД/ССЧР</t>
        </is>
      </c>
      <c r="V6266" s="35" t="inlineStr">
        <is>
          <t>Не определено</t>
        </is>
      </c>
      <c r="W6266" s="35" t="inlineStr"/>
      <c r="X6266" s="35" t="inlineStr"/>
    </row>
    <row r="6267" ht="41.25" customHeight="1" s="24">
      <c r="A6267" s="13" t="n">
        <v>5000024748</v>
      </c>
      <c r="B6267" s="13" t="inlineStr">
        <is>
          <t>Муниципальное бюджетное дошкольное образовательное учреждение детский сад "Золушка"</t>
        </is>
      </c>
      <c r="C6267" s="13" t="n">
        <v>3825003760</v>
      </c>
      <c r="D6267" s="13" t="inlineStr">
        <is>
          <t>3825003760</t>
        </is>
      </c>
      <c r="E6267" s="13" t="inlineStr">
        <is>
          <t>ЮЛ РФ</t>
        </is>
      </c>
      <c r="F6267" s="13" t="n"/>
      <c r="G6267" s="14" t="n"/>
      <c r="H6267" s="14" t="n"/>
      <c r="I6267" s="14" t="n"/>
      <c r="J6267" s="14" t="n"/>
      <c r="K6267" s="53" t="inlineStr"/>
      <c r="L6267" s="53" t="inlineStr">
        <is>
          <t>Не определено</t>
        </is>
      </c>
      <c r="M6267" s="53" t="inlineStr"/>
      <c r="N6267" s="54" t="inlineStr"/>
      <c r="O6267" s="55" t="inlineStr"/>
      <c r="P6267" s="16" t="inlineStr">
        <is>
          <t>Требует обогащения</t>
        </is>
      </c>
      <c r="Q6267" s="16">
        <f>HYPERLINK("https://pb.nalog.ru/search.html?query=3825003760","ФНС: проверить")</f>
        <v/>
      </c>
      <c r="R6267" s="16">
        <f>HYPERLINK("https://checko.ru/search?query=3801001629","Чекко: проверить")</f>
        <v/>
      </c>
      <c r="S6267" t="n">
        <v>1</v>
      </c>
      <c r="T6267" s="35" t="inlineStr">
        <is>
          <t>4 — Не обогащён</t>
        </is>
      </c>
      <c r="U6267" s="35" t="inlineStr">
        <is>
          <t>Нет ОКВЭД/ССЧР</t>
        </is>
      </c>
      <c r="V6267" s="35" t="inlineStr">
        <is>
          <t>Не определено</t>
        </is>
      </c>
      <c r="W6267" s="35" t="inlineStr"/>
      <c r="X6267" s="35" t="inlineStr"/>
    </row>
    <row r="6268" ht="41.25" customHeight="1" s="24">
      <c r="A6268" s="13" t="n">
        <v>5000024727</v>
      </c>
      <c r="B6268" s="13" t="inlineStr">
        <is>
          <t>Муниципальное бюджетное общеобразовательное учреждение Хор- Тагнинская средняя общеоразовательная школа</t>
        </is>
      </c>
      <c r="C6268" s="13" t="n">
        <v>3825003270</v>
      </c>
      <c r="D6268" s="13" t="inlineStr">
        <is>
          <t>3825003270</t>
        </is>
      </c>
      <c r="E6268" s="13" t="inlineStr">
        <is>
          <t>ЮЛ РФ</t>
        </is>
      </c>
      <c r="F6268" s="13" t="n"/>
      <c r="G6268" s="14" t="n"/>
      <c r="H6268" s="14" t="n"/>
      <c r="I6268" s="14" t="n"/>
      <c r="J6268" s="14" t="n"/>
      <c r="K6268" s="53" t="inlineStr"/>
      <c r="L6268" s="53" t="inlineStr">
        <is>
          <t>Не определено</t>
        </is>
      </c>
      <c r="M6268" s="53" t="inlineStr"/>
      <c r="N6268" s="54" t="inlineStr"/>
      <c r="O6268" s="55" t="inlineStr"/>
      <c r="P6268" s="16" t="inlineStr">
        <is>
          <t>Требует обогащения</t>
        </is>
      </c>
      <c r="Q6268" s="16">
        <f>HYPERLINK("https://pb.nalog.ru/search.html?query=3825003270","ФНС: проверить")</f>
        <v/>
      </c>
      <c r="R6268" s="16">
        <f>HYPERLINK("https://checko.ru/search?query=3801001629","Чекко: проверить")</f>
        <v/>
      </c>
      <c r="S6268" t="n">
        <v>1</v>
      </c>
      <c r="T6268" s="35" t="inlineStr">
        <is>
          <t>4 — Не обогащён</t>
        </is>
      </c>
      <c r="U6268" s="35" t="inlineStr">
        <is>
          <t>Нет ОКВЭД/ССЧР</t>
        </is>
      </c>
      <c r="V6268" s="35" t="inlineStr">
        <is>
          <t>Не определено</t>
        </is>
      </c>
      <c r="W6268" s="35" t="inlineStr"/>
      <c r="X6268" s="35" t="inlineStr"/>
    </row>
    <row r="6269" ht="41.25" customHeight="1" s="24">
      <c r="A6269" s="13" t="n">
        <v>5000024719</v>
      </c>
      <c r="B6269" s="13" t="inlineStr">
        <is>
          <t>Муниципальное бюджетное  общеобразовательное учреждение Веренская средняя общеобразовательная школа</t>
        </is>
      </c>
      <c r="C6269" s="13" t="n">
        <v>3825003079</v>
      </c>
      <c r="D6269" s="13" t="inlineStr">
        <is>
          <t>3825003079</t>
        </is>
      </c>
      <c r="E6269" s="13" t="inlineStr">
        <is>
          <t>ЮЛ РФ</t>
        </is>
      </c>
      <c r="F6269" s="13" t="n"/>
      <c r="G6269" s="14" t="n"/>
      <c r="H6269" s="14" t="n"/>
      <c r="I6269" s="14" t="n"/>
      <c r="J6269" s="14" t="n"/>
      <c r="K6269" s="53" t="inlineStr"/>
      <c r="L6269" s="53" t="inlineStr">
        <is>
          <t>Не определено</t>
        </is>
      </c>
      <c r="M6269" s="53" t="inlineStr"/>
      <c r="N6269" s="54" t="inlineStr"/>
      <c r="O6269" s="55" t="inlineStr"/>
      <c r="P6269" s="16" t="inlineStr">
        <is>
          <t>Требует обогащения</t>
        </is>
      </c>
      <c r="Q6269" s="16">
        <f>HYPERLINK("https://pb.nalog.ru/search.html?query=3825003079","ФНС: проверить")</f>
        <v/>
      </c>
      <c r="R6269" s="16">
        <f>HYPERLINK("https://checko.ru/search?query=3801001629","Чекко: проверить")</f>
        <v/>
      </c>
      <c r="S6269" t="n">
        <v>1</v>
      </c>
      <c r="T6269" s="35" t="inlineStr">
        <is>
          <t>4 — Не обогащён</t>
        </is>
      </c>
      <c r="U6269" s="35" t="inlineStr">
        <is>
          <t>Нет ОКВЭД/ССЧР</t>
        </is>
      </c>
      <c r="V6269" s="35" t="inlineStr">
        <is>
          <t>Не определено</t>
        </is>
      </c>
      <c r="W6269" s="35" t="inlineStr"/>
      <c r="X6269" s="35" t="inlineStr"/>
    </row>
    <row r="6270" ht="15" customHeight="1" s="24">
      <c r="A6270" s="13" t="n">
        <v>5000024720</v>
      </c>
      <c r="B6270" s="13" t="inlineStr">
        <is>
          <t>МБОУ Солерудниковская гимназия</t>
        </is>
      </c>
      <c r="C6270" s="13" t="n">
        <v>3825001378</v>
      </c>
      <c r="D6270" s="13" t="inlineStr">
        <is>
          <t>3825001378</t>
        </is>
      </c>
      <c r="E6270" s="13" t="inlineStr">
        <is>
          <t>ЮЛ РФ</t>
        </is>
      </c>
      <c r="F6270" s="13" t="n"/>
      <c r="G6270" s="14" t="n"/>
      <c r="H6270" s="14" t="n"/>
      <c r="I6270" s="14" t="n"/>
      <c r="J6270" s="14" t="n"/>
      <c r="K6270" s="53" t="inlineStr"/>
      <c r="L6270" s="53" t="inlineStr">
        <is>
          <t>Не определено</t>
        </is>
      </c>
      <c r="M6270" s="53" t="inlineStr"/>
      <c r="N6270" s="54" t="inlineStr"/>
      <c r="O6270" s="55" t="inlineStr"/>
      <c r="P6270" s="16" t="inlineStr">
        <is>
          <t>Требует обогащения</t>
        </is>
      </c>
      <c r="Q6270" s="16">
        <f>HYPERLINK("https://pb.nalog.ru/search.html?query=3825001378","ФНС: проверить")</f>
        <v/>
      </c>
      <c r="R6270" s="16">
        <f>HYPERLINK("https://checko.ru/search?query=3801001629","Чекко: проверить")</f>
        <v/>
      </c>
      <c r="S6270" t="n">
        <v>1</v>
      </c>
      <c r="T6270" s="35" t="inlineStr">
        <is>
          <t>4 — Не обогащён</t>
        </is>
      </c>
      <c r="U6270" s="35" t="inlineStr">
        <is>
          <t>Нет ОКВЭД/ССЧР</t>
        </is>
      </c>
      <c r="V6270" s="35" t="inlineStr">
        <is>
          <t>Не определено</t>
        </is>
      </c>
      <c r="W6270" s="35" t="inlineStr"/>
      <c r="X6270" s="35" t="inlineStr"/>
    </row>
    <row r="6271" ht="41.25" customHeight="1" s="24">
      <c r="A6271" s="13" t="n">
        <v>5000024721</v>
      </c>
      <c r="B6271" s="13" t="inlineStr">
        <is>
          <t>Муниципальное бюджетное общеобразовательное учреждение Владимирская средняя общеобразовательная школа</t>
        </is>
      </c>
      <c r="C6271" s="13" t="n">
        <v>3825003752</v>
      </c>
      <c r="D6271" s="13" t="inlineStr">
        <is>
          <t>3825003752</t>
        </is>
      </c>
      <c r="E6271" s="13" t="inlineStr">
        <is>
          <t>ЮЛ РФ</t>
        </is>
      </c>
      <c r="F6271" s="13" t="n"/>
      <c r="G6271" s="14" t="n"/>
      <c r="H6271" s="14" t="n"/>
      <c r="I6271" s="14" t="n"/>
      <c r="J6271" s="14" t="n"/>
      <c r="K6271" s="53" t="inlineStr"/>
      <c r="L6271" s="53" t="inlineStr">
        <is>
          <t>Не определено</t>
        </is>
      </c>
      <c r="M6271" s="53" t="inlineStr"/>
      <c r="N6271" s="54" t="inlineStr"/>
      <c r="O6271" s="55" t="inlineStr"/>
      <c r="P6271" s="16" t="inlineStr">
        <is>
          <t>Требует обогащения</t>
        </is>
      </c>
      <c r="Q6271" s="16">
        <f>HYPERLINK("https://pb.nalog.ru/search.html?query=3825003752","ФНС: проверить")</f>
        <v/>
      </c>
      <c r="R6271" s="16">
        <f>HYPERLINK("https://checko.ru/search?query=3801001629","Чекко: проверить")</f>
        <v/>
      </c>
      <c r="S6271" t="n">
        <v>1</v>
      </c>
      <c r="T6271" s="35" t="inlineStr">
        <is>
          <t>4 — Не обогащён</t>
        </is>
      </c>
      <c r="U6271" s="35" t="inlineStr">
        <is>
          <t>Нет ОКВЭД/ССЧР</t>
        </is>
      </c>
      <c r="V6271" s="35" t="inlineStr">
        <is>
          <t>Не определено</t>
        </is>
      </c>
      <c r="W6271" s="35" t="inlineStr"/>
      <c r="X6271" s="35" t="inlineStr"/>
    </row>
    <row r="6272" ht="41.25" customHeight="1" s="24">
      <c r="A6272" s="13" t="n">
        <v>5000024722</v>
      </c>
      <c r="B6272" s="13" t="inlineStr">
        <is>
          <t>Муниципальное  бюджетное образовательное учреждение Мойганская средняя общеобразовательная школа</t>
        </is>
      </c>
      <c r="C6272" s="13" t="n">
        <v>3825003030</v>
      </c>
      <c r="D6272" s="13" t="inlineStr">
        <is>
          <t>3825003030</t>
        </is>
      </c>
      <c r="E6272" s="13" t="inlineStr">
        <is>
          <t>ЮЛ РФ</t>
        </is>
      </c>
      <c r="F6272" s="13" t="n"/>
      <c r="G6272" s="14" t="n"/>
      <c r="H6272" s="14" t="n"/>
      <c r="I6272" s="14" t="n"/>
      <c r="J6272" s="14" t="n"/>
      <c r="K6272" s="53" t="inlineStr"/>
      <c r="L6272" s="53" t="inlineStr">
        <is>
          <t>Не определено</t>
        </is>
      </c>
      <c r="M6272" s="53" t="inlineStr"/>
      <c r="N6272" s="54" t="inlineStr"/>
      <c r="O6272" s="55" t="inlineStr"/>
      <c r="P6272" s="16" t="inlineStr">
        <is>
          <t>Требует обогащения</t>
        </is>
      </c>
      <c r="Q6272" s="16">
        <f>HYPERLINK("https://pb.nalog.ru/search.html?query=3825003030","ФНС: проверить")</f>
        <v/>
      </c>
      <c r="R6272" s="16">
        <f>HYPERLINK("https://checko.ru/search?query=3801001629","Чекко: проверить")</f>
        <v/>
      </c>
      <c r="S6272" t="n">
        <v>1</v>
      </c>
      <c r="T6272" s="35" t="inlineStr">
        <is>
          <t>4 — Не обогащён</t>
        </is>
      </c>
      <c r="U6272" s="35" t="inlineStr">
        <is>
          <t>Нет ОКВЭД/ССЧР</t>
        </is>
      </c>
      <c r="V6272" s="35" t="inlineStr">
        <is>
          <t>Не определено</t>
        </is>
      </c>
      <c r="W6272" s="35" t="inlineStr"/>
      <c r="X6272" s="35" t="inlineStr"/>
    </row>
    <row r="6273" ht="41.25" customHeight="1" s="24">
      <c r="A6273" s="13" t="n">
        <v>5000024735</v>
      </c>
      <c r="B6273" s="13" t="inlineStr">
        <is>
          <t>Муниципальное бюджетное дошкольное образовательное учреждение детский сад № 2 п.Залари</t>
        </is>
      </c>
      <c r="C6273" s="13" t="n">
        <v>3825003696</v>
      </c>
      <c r="D6273" s="13" t="inlineStr">
        <is>
          <t>3825003696</t>
        </is>
      </c>
      <c r="E6273" s="13" t="inlineStr">
        <is>
          <t>ЮЛ РФ</t>
        </is>
      </c>
      <c r="F6273" s="13" t="n"/>
      <c r="G6273" s="14" t="n"/>
      <c r="H6273" s="14" t="n"/>
      <c r="I6273" s="14" t="n"/>
      <c r="J6273" s="14" t="n"/>
      <c r="K6273" s="53" t="inlineStr"/>
      <c r="L6273" s="53" t="inlineStr">
        <is>
          <t>Не определено</t>
        </is>
      </c>
      <c r="M6273" s="53" t="inlineStr"/>
      <c r="N6273" s="54" t="inlineStr"/>
      <c r="O6273" s="55" t="inlineStr"/>
      <c r="P6273" s="16" t="inlineStr">
        <is>
          <t>Требует обогащения</t>
        </is>
      </c>
      <c r="Q6273" s="16">
        <f>HYPERLINK("https://pb.nalog.ru/search.html?query=3825003696","ФНС: проверить")</f>
        <v/>
      </c>
      <c r="R6273" s="16">
        <f>HYPERLINK("https://checko.ru/search?query=3801001629","Чекко: проверить")</f>
        <v/>
      </c>
      <c r="S6273" t="n">
        <v>1</v>
      </c>
      <c r="T6273" s="35" t="inlineStr">
        <is>
          <t>4 — Не обогащён</t>
        </is>
      </c>
      <c r="U6273" s="35" t="inlineStr">
        <is>
          <t>Нет ОКВЭД/ССЧР</t>
        </is>
      </c>
      <c r="V6273" s="35" t="inlineStr">
        <is>
          <t>Не определено</t>
        </is>
      </c>
      <c r="W6273" s="35" t="inlineStr"/>
      <c r="X6273" s="35" t="inlineStr"/>
    </row>
    <row r="6274" ht="41.25" customHeight="1" s="24">
      <c r="A6274" s="13" t="n">
        <v>5000024723</v>
      </c>
      <c r="B6274" s="13" t="inlineStr">
        <is>
          <t>Муниципальное бюджетное образовательное учреждение Семёновскоя средняя общеобразовательная школа</t>
        </is>
      </c>
      <c r="C6274" s="13" t="n">
        <v>3825003008</v>
      </c>
      <c r="D6274" s="13" t="inlineStr">
        <is>
          <t>3825003008</t>
        </is>
      </c>
      <c r="E6274" s="13" t="inlineStr">
        <is>
          <t>ЮЛ РФ</t>
        </is>
      </c>
      <c r="F6274" s="13" t="n"/>
      <c r="G6274" s="14" t="n"/>
      <c r="H6274" s="14" t="n"/>
      <c r="I6274" s="14" t="n"/>
      <c r="J6274" s="14" t="n"/>
      <c r="K6274" s="53" t="inlineStr"/>
      <c r="L6274" s="53" t="inlineStr">
        <is>
          <t>Не определено</t>
        </is>
      </c>
      <c r="M6274" s="53" t="inlineStr"/>
      <c r="N6274" s="54" t="inlineStr"/>
      <c r="O6274" s="55" t="inlineStr"/>
      <c r="P6274" s="16" t="inlineStr">
        <is>
          <t>Требует обогащения</t>
        </is>
      </c>
      <c r="Q6274" s="16">
        <f>HYPERLINK("https://pb.nalog.ru/search.html?query=3825003008","ФНС: проверить")</f>
        <v/>
      </c>
      <c r="R6274" s="16">
        <f>HYPERLINK("https://checko.ru/search?query=3801001629","Чекко: проверить")</f>
        <v/>
      </c>
      <c r="S6274" t="n">
        <v>1</v>
      </c>
      <c r="T6274" s="35" t="inlineStr">
        <is>
          <t>4 — Не обогащён</t>
        </is>
      </c>
      <c r="U6274" s="35" t="inlineStr">
        <is>
          <t>Нет ОКВЭД/ССЧР</t>
        </is>
      </c>
      <c r="V6274" s="35" t="inlineStr">
        <is>
          <t>Не определено</t>
        </is>
      </c>
      <c r="W6274" s="35" t="inlineStr"/>
      <c r="X6274" s="35" t="inlineStr"/>
    </row>
    <row r="6275" ht="41.25" customHeight="1" s="24">
      <c r="A6275" s="13" t="n">
        <v>5000024724</v>
      </c>
      <c r="B6275" s="13" t="inlineStr">
        <is>
          <t>Муниципальное бюджетное общеобразовательное учреждение Холмогойская средняя общеобразовательная школа</t>
        </is>
      </c>
      <c r="C6275" s="13" t="n">
        <v>3825003551</v>
      </c>
      <c r="D6275" s="13" t="inlineStr">
        <is>
          <t>3825003551</t>
        </is>
      </c>
      <c r="E6275" s="13" t="inlineStr">
        <is>
          <t>ЮЛ РФ</t>
        </is>
      </c>
      <c r="F6275" s="13" t="n"/>
      <c r="G6275" s="14" t="n"/>
      <c r="H6275" s="14" t="n"/>
      <c r="I6275" s="14" t="n"/>
      <c r="J6275" s="14" t="n"/>
      <c r="K6275" s="53" t="inlineStr"/>
      <c r="L6275" s="53" t="inlineStr">
        <is>
          <t>Не определено</t>
        </is>
      </c>
      <c r="M6275" s="53" t="inlineStr"/>
      <c r="N6275" s="54" t="inlineStr"/>
      <c r="O6275" s="55" t="inlineStr"/>
      <c r="P6275" s="16" t="inlineStr">
        <is>
          <t>Требует обогащения</t>
        </is>
      </c>
      <c r="Q6275" s="16">
        <f>HYPERLINK("https://pb.nalog.ru/search.html?query=3825003551","ФНС: проверить")</f>
        <v/>
      </c>
      <c r="R6275" s="16">
        <f>HYPERLINK("https://checko.ru/search?query=3801001629","Чекко: проверить")</f>
        <v/>
      </c>
      <c r="S6275" t="n">
        <v>1</v>
      </c>
      <c r="T6275" s="35" t="inlineStr">
        <is>
          <t>4 — Не обогащён</t>
        </is>
      </c>
      <c r="U6275" s="35" t="inlineStr">
        <is>
          <t>Нет ОКВЭД/ССЧР</t>
        </is>
      </c>
      <c r="V6275" s="35" t="inlineStr">
        <is>
          <t>Не определено</t>
        </is>
      </c>
      <c r="W6275" s="35" t="inlineStr"/>
      <c r="X6275" s="35" t="inlineStr"/>
    </row>
    <row r="6276" ht="41.25" customHeight="1" s="24">
      <c r="A6276" s="13" t="n">
        <v>5000024725</v>
      </c>
      <c r="B6276" s="13" t="inlineStr">
        <is>
          <t>Муниципальное бюджетное общеобразовательное учреждение Бажирская основная общеобразовательная школа</t>
        </is>
      </c>
      <c r="C6276" s="13" t="n">
        <v>3825002974</v>
      </c>
      <c r="D6276" s="13" t="inlineStr">
        <is>
          <t>3825002974</t>
        </is>
      </c>
      <c r="E6276" s="13" t="inlineStr">
        <is>
          <t>ЮЛ РФ</t>
        </is>
      </c>
      <c r="F6276" s="13" t="n"/>
      <c r="G6276" s="14" t="n"/>
      <c r="H6276" s="14" t="n"/>
      <c r="I6276" s="14" t="n"/>
      <c r="J6276" s="14" t="n"/>
      <c r="K6276" s="53" t="inlineStr"/>
      <c r="L6276" s="53" t="inlineStr">
        <is>
          <t>Не определено</t>
        </is>
      </c>
      <c r="M6276" s="53" t="inlineStr"/>
      <c r="N6276" s="54" t="inlineStr"/>
      <c r="O6276" s="55" t="inlineStr"/>
      <c r="P6276" s="16" t="inlineStr">
        <is>
          <t>Требует обогащения</t>
        </is>
      </c>
      <c r="Q6276" s="16">
        <f>HYPERLINK("https://pb.nalog.ru/search.html?query=3825002974","ФНС: проверить")</f>
        <v/>
      </c>
      <c r="R6276" s="16">
        <f>HYPERLINK("https://checko.ru/search?query=3801001629","Чекко: проверить")</f>
        <v/>
      </c>
      <c r="S6276" t="n">
        <v>1</v>
      </c>
      <c r="T6276" s="35" t="inlineStr">
        <is>
          <t>4 — Не обогащён</t>
        </is>
      </c>
      <c r="U6276" s="35" t="inlineStr">
        <is>
          <t>Нет ОКВЭД/ССЧР</t>
        </is>
      </c>
      <c r="V6276" s="35" t="inlineStr">
        <is>
          <t>Не определено</t>
        </is>
      </c>
      <c r="W6276" s="35" t="inlineStr"/>
      <c r="X6276" s="35" t="inlineStr"/>
    </row>
    <row r="6277" ht="27.75" customHeight="1" s="24">
      <c r="A6277" s="13" t="n">
        <v>5000024726</v>
      </c>
      <c r="B6277" s="13" t="inlineStr">
        <is>
          <t>МБОУ Заларинская средняя школа общеобразовательная школа  №1</t>
        </is>
      </c>
      <c r="C6277" s="13" t="n">
        <v>3825003110</v>
      </c>
      <c r="D6277" s="13" t="inlineStr">
        <is>
          <t>3825003110</t>
        </is>
      </c>
      <c r="E6277" s="13" t="inlineStr">
        <is>
          <t>ЮЛ РФ</t>
        </is>
      </c>
      <c r="F6277" s="13" t="n"/>
      <c r="G6277" s="14" t="n"/>
      <c r="H6277" s="14" t="n"/>
      <c r="I6277" s="14" t="n"/>
      <c r="J6277" s="14" t="n"/>
      <c r="K6277" s="53" t="inlineStr"/>
      <c r="L6277" s="53" t="inlineStr">
        <is>
          <t>Не определено</t>
        </is>
      </c>
      <c r="M6277" s="53" t="inlineStr"/>
      <c r="N6277" s="54" t="inlineStr"/>
      <c r="O6277" s="55" t="inlineStr"/>
      <c r="P6277" s="16" t="inlineStr">
        <is>
          <t>Требует обогащения</t>
        </is>
      </c>
      <c r="Q6277" s="16">
        <f>HYPERLINK("https://pb.nalog.ru/search.html?query=3825003110","ФНС: проверить")</f>
        <v/>
      </c>
      <c r="R6277" s="16">
        <f>HYPERLINK("https://checko.ru/search?query=3801001629","Чекко: проверить")</f>
        <v/>
      </c>
      <c r="S6277" t="n">
        <v>1</v>
      </c>
      <c r="T6277" s="35" t="inlineStr">
        <is>
          <t>4 — Не обогащён</t>
        </is>
      </c>
      <c r="U6277" s="35" t="inlineStr">
        <is>
          <t>Нет ОКВЭД/ССЧР</t>
        </is>
      </c>
      <c r="V6277" s="35" t="inlineStr">
        <is>
          <t>Не определено</t>
        </is>
      </c>
      <c r="W6277" s="35" t="inlineStr"/>
      <c r="X6277" s="35" t="inlineStr"/>
    </row>
    <row r="6278" ht="41.25" customHeight="1" s="24">
      <c r="A6278" s="13" t="n">
        <v>5000024744</v>
      </c>
      <c r="B6278" s="13" t="inlineStr">
        <is>
          <t>Муниципальное бюджетное дошкольное образовательное учреждение Владимирский детский сад "Тополек"</t>
        </is>
      </c>
      <c r="C6278" s="13" t="n">
        <v>3825003625</v>
      </c>
      <c r="D6278" s="13" t="inlineStr">
        <is>
          <t>3825003625</t>
        </is>
      </c>
      <c r="E6278" s="13" t="inlineStr">
        <is>
          <t>ЮЛ РФ</t>
        </is>
      </c>
      <c r="F6278" s="13" t="n"/>
      <c r="G6278" s="14" t="n"/>
      <c r="H6278" s="14" t="n"/>
      <c r="I6278" s="14" t="n"/>
      <c r="J6278" s="14" t="n"/>
      <c r="K6278" s="53" t="inlineStr"/>
      <c r="L6278" s="53" t="inlineStr">
        <is>
          <t>Не определено</t>
        </is>
      </c>
      <c r="M6278" s="53" t="inlineStr"/>
      <c r="N6278" s="54" t="inlineStr"/>
      <c r="O6278" s="55" t="inlineStr"/>
      <c r="P6278" s="16" t="inlineStr">
        <is>
          <t>Требует обогащения</t>
        </is>
      </c>
      <c r="Q6278" s="16">
        <f>HYPERLINK("https://pb.nalog.ru/search.html?query=3825003625","ФНС: проверить")</f>
        <v/>
      </c>
      <c r="R6278" s="16">
        <f>HYPERLINK("https://checko.ru/search?query=3801001629","Чекко: проверить")</f>
        <v/>
      </c>
      <c r="S6278" t="n">
        <v>1</v>
      </c>
      <c r="T6278" s="35" t="inlineStr">
        <is>
          <t>4 — Не обогащён</t>
        </is>
      </c>
      <c r="U6278" s="35" t="inlineStr">
        <is>
          <t>Нет ОКВЭД/ССЧР</t>
        </is>
      </c>
      <c r="V6278" s="35" t="inlineStr">
        <is>
          <t>Не определено</t>
        </is>
      </c>
      <c r="W6278" s="35" t="inlineStr"/>
      <c r="X6278" s="35" t="inlineStr"/>
    </row>
    <row r="6279" ht="41.25" customHeight="1" s="24">
      <c r="A6279" s="13" t="n">
        <v>5000024749</v>
      </c>
      <c r="B6279" s="13" t="inlineStr">
        <is>
          <t>Муниципальное бюджетное дошкольное образовательное учреждение детский сад "Ручеек"</t>
        </is>
      </c>
      <c r="C6279" s="13" t="n">
        <v>3825003495</v>
      </c>
      <c r="D6279" s="13" t="inlineStr">
        <is>
          <t>3825003495</t>
        </is>
      </c>
      <c r="E6279" s="13" t="inlineStr">
        <is>
          <t>ЮЛ РФ</t>
        </is>
      </c>
      <c r="F6279" s="13" t="n"/>
      <c r="G6279" s="14" t="n"/>
      <c r="H6279" s="14" t="n"/>
      <c r="I6279" s="14" t="n"/>
      <c r="J6279" s="14" t="n"/>
      <c r="K6279" s="53" t="inlineStr"/>
      <c r="L6279" s="53" t="inlineStr">
        <is>
          <t>Не определено</t>
        </is>
      </c>
      <c r="M6279" s="53" t="inlineStr"/>
      <c r="N6279" s="54" t="inlineStr"/>
      <c r="O6279" s="55" t="inlineStr"/>
      <c r="P6279" s="16" t="inlineStr">
        <is>
          <t>Требует обогащения</t>
        </is>
      </c>
      <c r="Q6279" s="16">
        <f>HYPERLINK("https://pb.nalog.ru/search.html?query=3825003495","ФНС: проверить")</f>
        <v/>
      </c>
      <c r="R6279" s="16">
        <f>HYPERLINK("https://checko.ru/search?query=3801001629","Чекко: проверить")</f>
        <v/>
      </c>
      <c r="S6279" t="n">
        <v>1</v>
      </c>
      <c r="T6279" s="35" t="inlineStr">
        <is>
          <t>4 — Не обогащён</t>
        </is>
      </c>
      <c r="U6279" s="35" t="inlineStr">
        <is>
          <t>Нет ОКВЭД/ССЧР</t>
        </is>
      </c>
      <c r="V6279" s="35" t="inlineStr">
        <is>
          <t>Не определено</t>
        </is>
      </c>
      <c r="W6279" s="35" t="inlineStr"/>
      <c r="X6279" s="35" t="inlineStr"/>
    </row>
    <row r="6280" ht="15" customHeight="1" s="24">
      <c r="A6280" s="13" t="n">
        <v>5000024750</v>
      </c>
      <c r="B6280" s="13" t="inlineStr">
        <is>
          <t>МБДОУ детский сад "Радуга"</t>
        </is>
      </c>
      <c r="C6280" s="13" t="n">
        <v>3814019158</v>
      </c>
      <c r="D6280" s="13" t="inlineStr">
        <is>
          <t>3814019158</t>
        </is>
      </c>
      <c r="E6280" s="13" t="inlineStr">
        <is>
          <t>ЮЛ РФ</t>
        </is>
      </c>
      <c r="F6280" s="13" t="n"/>
      <c r="G6280" s="14" t="n"/>
      <c r="H6280" s="14" t="n"/>
      <c r="I6280" s="14" t="n"/>
      <c r="J6280" s="14" t="n"/>
      <c r="K6280" s="53" t="inlineStr"/>
      <c r="L6280" s="53" t="inlineStr">
        <is>
          <t>Не определено</t>
        </is>
      </c>
      <c r="M6280" s="53" t="inlineStr"/>
      <c r="N6280" s="54" t="inlineStr"/>
      <c r="O6280" s="55" t="inlineStr"/>
      <c r="P6280" s="16" t="inlineStr">
        <is>
          <t>Требует обогащения</t>
        </is>
      </c>
      <c r="Q6280" s="16">
        <f>HYPERLINK("https://pb.nalog.ru/search.html?query=3814019158","ФНС: проверить")</f>
        <v/>
      </c>
      <c r="R6280" s="16">
        <f>HYPERLINK("https://checko.ru/search?query=3801001629","Чекко: проверить")</f>
        <v/>
      </c>
      <c r="S6280" t="n">
        <v>1</v>
      </c>
      <c r="T6280" s="35" t="inlineStr">
        <is>
          <t>4 — Не обогащён</t>
        </is>
      </c>
      <c r="U6280" s="35" t="inlineStr">
        <is>
          <t>Нет ОКВЭД/ССЧР</t>
        </is>
      </c>
      <c r="V6280" s="35" t="inlineStr">
        <is>
          <t>Не определено</t>
        </is>
      </c>
      <c r="W6280" s="35" t="inlineStr"/>
      <c r="X6280" s="35" t="inlineStr"/>
    </row>
    <row r="6281" ht="41.25" customHeight="1" s="24">
      <c r="A6281" s="13" t="n">
        <v>5000024751</v>
      </c>
      <c r="B6281" s="13" t="inlineStr">
        <is>
          <t>МБУО "Районный учебно-методический кабинет" муниципального образования "Заларинский район"</t>
        </is>
      </c>
      <c r="C6281" s="13" t="n">
        <v>3814018877</v>
      </c>
      <c r="D6281" s="13" t="inlineStr">
        <is>
          <t>3814018877</t>
        </is>
      </c>
      <c r="E6281" s="13" t="inlineStr">
        <is>
          <t>ЮЛ РФ</t>
        </is>
      </c>
      <c r="F6281" s="13" t="n"/>
      <c r="G6281" s="14" t="n"/>
      <c r="H6281" s="14" t="n"/>
      <c r="I6281" s="14" t="n"/>
      <c r="J6281" s="14" t="n"/>
      <c r="K6281" s="53" t="inlineStr"/>
      <c r="L6281" s="53" t="inlineStr">
        <is>
          <t>Не определено</t>
        </is>
      </c>
      <c r="M6281" s="53" t="inlineStr"/>
      <c r="N6281" s="54" t="inlineStr"/>
      <c r="O6281" s="55" t="inlineStr"/>
      <c r="P6281" s="16" t="inlineStr">
        <is>
          <t>Требует обогащения</t>
        </is>
      </c>
      <c r="Q6281" s="16">
        <f>HYPERLINK("https://pb.nalog.ru/search.html?query=3814018877","ФНС: проверить")</f>
        <v/>
      </c>
      <c r="R6281" s="16">
        <f>HYPERLINK("https://checko.ru/search?query=3801001629","Чекко: проверить")</f>
        <v/>
      </c>
      <c r="S6281" t="n">
        <v>1</v>
      </c>
      <c r="T6281" s="35" t="inlineStr">
        <is>
          <t>4 — Не обогащён</t>
        </is>
      </c>
      <c r="U6281" s="35" t="inlineStr">
        <is>
          <t>Нет ОКВЭД/ССЧР</t>
        </is>
      </c>
      <c r="V6281" s="35" t="inlineStr">
        <is>
          <t>Не определено</t>
        </is>
      </c>
      <c r="W6281" s="35" t="inlineStr"/>
      <c r="X6281" s="35" t="inlineStr"/>
    </row>
    <row r="6282" ht="41.25" customHeight="1" s="24">
      <c r="A6282" s="13" t="n">
        <v>5000024752</v>
      </c>
      <c r="B6282" s="13" t="inlineStr">
        <is>
          <t>Муниципальное бюджетное учреждение дополнительного образования "Детско-юношеская спортивная школа"</t>
        </is>
      </c>
      <c r="C6282" s="13" t="n">
        <v>3825003512</v>
      </c>
      <c r="D6282" s="13" t="inlineStr">
        <is>
          <t>3825003512</t>
        </is>
      </c>
      <c r="E6282" s="13" t="inlineStr">
        <is>
          <t>ЮЛ РФ</t>
        </is>
      </c>
      <c r="F6282" s="13" t="n"/>
      <c r="G6282" s="14" t="n"/>
      <c r="H6282" s="14" t="n"/>
      <c r="I6282" s="14" t="n"/>
      <c r="J6282" s="14" t="n"/>
      <c r="K6282" s="53" t="inlineStr"/>
      <c r="L6282" s="53" t="inlineStr">
        <is>
          <t>Не определено</t>
        </is>
      </c>
      <c r="M6282" s="53" t="inlineStr"/>
      <c r="N6282" s="54" t="inlineStr"/>
      <c r="O6282" s="55" t="inlineStr"/>
      <c r="P6282" s="16" t="inlineStr">
        <is>
          <t>Требует обогащения</t>
        </is>
      </c>
      <c r="Q6282" s="16">
        <f>HYPERLINK("https://pb.nalog.ru/search.html?query=3825003512","ФНС: проверить")</f>
        <v/>
      </c>
      <c r="R6282" s="16">
        <f>HYPERLINK("https://checko.ru/search?query=3801001629","Чекко: проверить")</f>
        <v/>
      </c>
      <c r="S6282" t="n">
        <v>1</v>
      </c>
      <c r="T6282" s="35" t="inlineStr">
        <is>
          <t>4 — Не обогащён</t>
        </is>
      </c>
      <c r="U6282" s="35" t="inlineStr">
        <is>
          <t>Нет ОКВЭД/ССЧР</t>
        </is>
      </c>
      <c r="V6282" s="35" t="inlineStr">
        <is>
          <t>Не определено</t>
        </is>
      </c>
      <c r="W6282" s="35" t="inlineStr"/>
      <c r="X6282" s="35" t="inlineStr"/>
    </row>
    <row r="6283" ht="27.75" customHeight="1" s="24">
      <c r="A6283" s="13" t="n">
        <v>5000024753</v>
      </c>
      <c r="B6283" s="13" t="inlineStr">
        <is>
          <t>МБУ ДО "Заларинский дом детско-юношеского творчества"</t>
        </is>
      </c>
      <c r="C6283" s="13" t="n">
        <v>3825003600</v>
      </c>
      <c r="D6283" s="13" t="inlineStr">
        <is>
          <t>3825003600</t>
        </is>
      </c>
      <c r="E6283" s="13" t="inlineStr">
        <is>
          <t>ЮЛ РФ</t>
        </is>
      </c>
      <c r="F6283" s="13" t="n"/>
      <c r="G6283" s="14" t="n"/>
      <c r="H6283" s="14" t="n"/>
      <c r="I6283" s="14" t="n"/>
      <c r="J6283" s="14" t="n"/>
      <c r="K6283" s="53" t="inlineStr"/>
      <c r="L6283" s="53" t="inlineStr">
        <is>
          <t>Не определено</t>
        </is>
      </c>
      <c r="M6283" s="53" t="inlineStr"/>
      <c r="N6283" s="54" t="inlineStr"/>
      <c r="O6283" s="55" t="inlineStr"/>
      <c r="P6283" s="16" t="inlineStr">
        <is>
          <t>Требует обогащения</t>
        </is>
      </c>
      <c r="Q6283" s="16">
        <f>HYPERLINK("https://pb.nalog.ru/search.html?query=3825003600","ФНС: проверить")</f>
        <v/>
      </c>
      <c r="R6283" s="16">
        <f>HYPERLINK("https://checko.ru/search?query=3801001629","Чекко: проверить")</f>
        <v/>
      </c>
      <c r="S6283" t="n">
        <v>1</v>
      </c>
      <c r="T6283" s="35" t="inlineStr">
        <is>
          <t>4 — Не обогащён</t>
        </is>
      </c>
      <c r="U6283" s="35" t="inlineStr">
        <is>
          <t>Нет ОКВЭД/ССЧР</t>
        </is>
      </c>
      <c r="V6283" s="35" t="inlineStr">
        <is>
          <t>Не определено</t>
        </is>
      </c>
      <c r="W6283" s="35" t="inlineStr"/>
      <c r="X6283" s="35" t="inlineStr"/>
    </row>
    <row r="6284" ht="54.75" customHeight="1" s="24">
      <c r="A6284" s="13" t="n">
        <v>5000024711</v>
      </c>
      <c r="B6284" s="13" t="inlineStr">
        <is>
          <t>Муниципальное бюджетное общеобразовательное учреждение Второтыретская основная общеобразовательная школа</t>
        </is>
      </c>
      <c r="C6284" s="13" t="n">
        <v>3825003015</v>
      </c>
      <c r="D6284" s="13" t="inlineStr">
        <is>
          <t>3825003015</t>
        </is>
      </c>
      <c r="E6284" s="13" t="inlineStr">
        <is>
          <t>ЮЛ РФ</t>
        </is>
      </c>
      <c r="F6284" s="13" t="n"/>
      <c r="G6284" s="14" t="n"/>
      <c r="H6284" s="14" t="n"/>
      <c r="I6284" s="14" t="n"/>
      <c r="J6284" s="14" t="n"/>
      <c r="K6284" s="53" t="inlineStr"/>
      <c r="L6284" s="53" t="inlineStr">
        <is>
          <t>Не определено</t>
        </is>
      </c>
      <c r="M6284" s="53" t="inlineStr"/>
      <c r="N6284" s="54" t="inlineStr"/>
      <c r="O6284" s="55" t="inlineStr"/>
      <c r="P6284" s="16" t="inlineStr">
        <is>
          <t>Требует обогащения</t>
        </is>
      </c>
      <c r="Q6284" s="16">
        <f>HYPERLINK("https://pb.nalog.ru/search.html?query=3825003015","ФНС: проверить")</f>
        <v/>
      </c>
      <c r="R6284" s="16">
        <f>HYPERLINK("https://checko.ru/search?query=3801001629","Чекко: проверить")</f>
        <v/>
      </c>
      <c r="S6284" t="n">
        <v>1</v>
      </c>
      <c r="T6284" s="35" t="inlineStr">
        <is>
          <t>4 — Не обогащён</t>
        </is>
      </c>
      <c r="U6284" s="35" t="inlineStr">
        <is>
          <t>Нет ОКВЭД/ССЧР</t>
        </is>
      </c>
      <c r="V6284" s="35" t="inlineStr">
        <is>
          <t>Не определено</t>
        </is>
      </c>
      <c r="W6284" s="35" t="inlineStr"/>
      <c r="X6284" s="35" t="inlineStr"/>
    </row>
    <row r="6285" ht="54.75" customHeight="1" s="24">
      <c r="A6285" s="13" t="n">
        <v>5000024712</v>
      </c>
      <c r="B6285" s="13" t="inlineStr">
        <is>
          <t>Муниципальное бюджнтное общеобразовательное учреждение Новочеремховская основная общеобразовательная школа</t>
        </is>
      </c>
      <c r="C6285" s="13" t="n">
        <v>3825003223</v>
      </c>
      <c r="D6285" s="13" t="inlineStr">
        <is>
          <t>3825003223</t>
        </is>
      </c>
      <c r="E6285" s="13" t="inlineStr">
        <is>
          <t>ЮЛ РФ</t>
        </is>
      </c>
      <c r="F6285" s="13" t="n"/>
      <c r="G6285" s="14" t="n"/>
      <c r="H6285" s="14" t="n"/>
      <c r="I6285" s="14" t="n"/>
      <c r="J6285" s="14" t="n"/>
      <c r="K6285" s="53" t="inlineStr"/>
      <c r="L6285" s="53" t="inlineStr">
        <is>
          <t>Не определено</t>
        </is>
      </c>
      <c r="M6285" s="53" t="inlineStr"/>
      <c r="N6285" s="54" t="inlineStr"/>
      <c r="O6285" s="55" t="inlineStr"/>
      <c r="P6285" s="16" t="inlineStr">
        <is>
          <t>Требует обогащения</t>
        </is>
      </c>
      <c r="Q6285" s="16">
        <f>HYPERLINK("https://pb.nalog.ru/search.html?query=3825003223","ФНС: проверить")</f>
        <v/>
      </c>
      <c r="R6285" s="16">
        <f>HYPERLINK("https://checko.ru/search?query=3801001629","Чекко: проверить")</f>
        <v/>
      </c>
      <c r="S6285" t="n">
        <v>1</v>
      </c>
      <c r="T6285" s="35" t="inlineStr">
        <is>
          <t>4 — Не обогащён</t>
        </is>
      </c>
      <c r="U6285" s="35" t="inlineStr">
        <is>
          <t>Нет ОКВЭД/ССЧР</t>
        </is>
      </c>
      <c r="V6285" s="35" t="inlineStr">
        <is>
          <t>Не определено</t>
        </is>
      </c>
      <c r="W6285" s="35" t="inlineStr"/>
      <c r="X6285" s="35" t="inlineStr"/>
    </row>
    <row r="6286" ht="27.75" customHeight="1" s="24">
      <c r="A6286" s="13" t="n">
        <v>5000024713</v>
      </c>
      <c r="B6286" s="13" t="inlineStr">
        <is>
          <t>МБОУ Большезаимская оснавная общеобразовательная школа</t>
        </is>
      </c>
      <c r="C6286" s="13" t="n">
        <v>3825003174</v>
      </c>
      <c r="D6286" s="13" t="inlineStr">
        <is>
          <t>3825003174</t>
        </is>
      </c>
      <c r="E6286" s="13" t="inlineStr">
        <is>
          <t>ЮЛ РФ</t>
        </is>
      </c>
      <c r="F6286" s="13" t="n"/>
      <c r="G6286" s="14" t="n"/>
      <c r="H6286" s="14" t="n"/>
      <c r="I6286" s="14" t="n"/>
      <c r="J6286" s="14" t="n"/>
      <c r="K6286" s="53" t="inlineStr"/>
      <c r="L6286" s="53" t="inlineStr">
        <is>
          <t>Не определено</t>
        </is>
      </c>
      <c r="M6286" s="53" t="inlineStr"/>
      <c r="N6286" s="54" t="inlineStr"/>
      <c r="O6286" s="55" t="inlineStr"/>
      <c r="P6286" s="16" t="inlineStr">
        <is>
          <t>Требует обогащения</t>
        </is>
      </c>
      <c r="Q6286" s="16">
        <f>HYPERLINK("https://pb.nalog.ru/search.html?query=3825003174","ФНС: проверить")</f>
        <v/>
      </c>
      <c r="R6286" s="16">
        <f>HYPERLINK("https://checko.ru/search?query=3801001629","Чекко: проверить")</f>
        <v/>
      </c>
      <c r="S6286" t="n">
        <v>1</v>
      </c>
      <c r="T6286" s="35" t="inlineStr">
        <is>
          <t>4 — Не обогащён</t>
        </is>
      </c>
      <c r="U6286" s="35" t="inlineStr">
        <is>
          <t>Нет ОКВЭД/ССЧР</t>
        </is>
      </c>
      <c r="V6286" s="35" t="inlineStr">
        <is>
          <t>Не определено</t>
        </is>
      </c>
      <c r="W6286" s="35" t="inlineStr"/>
      <c r="X6286" s="35" t="inlineStr"/>
    </row>
    <row r="6287" ht="41.25" customHeight="1" s="24">
      <c r="A6287" s="13" t="n">
        <v>5000024739</v>
      </c>
      <c r="B6287" s="13" t="inlineStr">
        <is>
          <t>Муниципальное бюджетное дошкольное образовательное учреждение детский сад "Аленушка"</t>
        </is>
      </c>
      <c r="C6287" s="13" t="n">
        <v>3825003640</v>
      </c>
      <c r="D6287" s="13" t="inlineStr">
        <is>
          <t>3825003640</t>
        </is>
      </c>
      <c r="E6287" s="13" t="inlineStr">
        <is>
          <t>ЮЛ РФ</t>
        </is>
      </c>
      <c r="F6287" s="13" t="n"/>
      <c r="G6287" s="14" t="n"/>
      <c r="H6287" s="14" t="n"/>
      <c r="I6287" s="14" t="n"/>
      <c r="J6287" s="14" t="n"/>
      <c r="K6287" s="53" t="inlineStr"/>
      <c r="L6287" s="53" t="inlineStr">
        <is>
          <t>Не определено</t>
        </is>
      </c>
      <c r="M6287" s="53" t="inlineStr"/>
      <c r="N6287" s="54" t="inlineStr"/>
      <c r="O6287" s="55" t="inlineStr"/>
      <c r="P6287" s="16" t="inlineStr">
        <is>
          <t>Требует обогащения</t>
        </is>
      </c>
      <c r="Q6287" s="16">
        <f>HYPERLINK("https://pb.nalog.ru/search.html?query=3825003640","ФНС: проверить")</f>
        <v/>
      </c>
      <c r="R6287" s="16">
        <f>HYPERLINK("https://checko.ru/search?query=3801001629","Чекко: проверить")</f>
        <v/>
      </c>
      <c r="S6287" t="n">
        <v>1</v>
      </c>
      <c r="T6287" s="35" t="inlineStr">
        <is>
          <t>4 — Не обогащён</t>
        </is>
      </c>
      <c r="U6287" s="35" t="inlineStr">
        <is>
          <t>Нет ОКВЭД/ССЧР</t>
        </is>
      </c>
      <c r="V6287" s="35" t="inlineStr">
        <is>
          <t>Не определено</t>
        </is>
      </c>
      <c r="W6287" s="35" t="inlineStr"/>
      <c r="X6287" s="35" t="inlineStr"/>
    </row>
    <row r="6288" ht="41.25" customHeight="1" s="24">
      <c r="A6288" s="13" t="n">
        <v>5000024740</v>
      </c>
      <c r="B6288" s="13" t="inlineStr">
        <is>
          <t>Муниципальное бюджетное дошкольное образовательное учреждение детский сад "Светлячок"</t>
        </is>
      </c>
      <c r="C6288" s="13" t="n">
        <v>3825003424</v>
      </c>
      <c r="D6288" s="13" t="inlineStr">
        <is>
          <t>3825003424</t>
        </is>
      </c>
      <c r="E6288" s="13" t="inlineStr">
        <is>
          <t>ЮЛ РФ</t>
        </is>
      </c>
      <c r="F6288" s="13" t="n"/>
      <c r="G6288" s="14" t="n"/>
      <c r="H6288" s="14" t="n"/>
      <c r="I6288" s="14" t="n"/>
      <c r="J6288" s="14" t="n"/>
      <c r="K6288" s="53" t="inlineStr"/>
      <c r="L6288" s="53" t="inlineStr">
        <is>
          <t>Не определено</t>
        </is>
      </c>
      <c r="M6288" s="53" t="inlineStr"/>
      <c r="N6288" s="54" t="inlineStr"/>
      <c r="O6288" s="55" t="inlineStr"/>
      <c r="P6288" s="16" t="inlineStr">
        <is>
          <t>Требует обогащения</t>
        </is>
      </c>
      <c r="Q6288" s="16">
        <f>HYPERLINK("https://pb.nalog.ru/search.html?query=3825003424","ФНС: проверить")</f>
        <v/>
      </c>
      <c r="R6288" s="16">
        <f>HYPERLINK("https://checko.ru/search?query=3801001629","Чекко: проверить")</f>
        <v/>
      </c>
      <c r="S6288" t="n">
        <v>1</v>
      </c>
      <c r="T6288" s="35" t="inlineStr">
        <is>
          <t>4 — Не обогащён</t>
        </is>
      </c>
      <c r="U6288" s="35" t="inlineStr">
        <is>
          <t>Нет ОКВЭД/ССЧР</t>
        </is>
      </c>
      <c r="V6288" s="35" t="inlineStr">
        <is>
          <t>Не определено</t>
        </is>
      </c>
      <c r="W6288" s="35" t="inlineStr"/>
      <c r="X6288" s="35" t="inlineStr"/>
    </row>
    <row r="6289" ht="41.25" customHeight="1" s="24">
      <c r="A6289" s="13" t="n">
        <v>5000024741</v>
      </c>
      <c r="B6289" s="13" t="inlineStr">
        <is>
          <t>Муниципальное бюджетное дошкольное образовательное учреждение детский сад "Солнышко" с.Моисеевка</t>
        </is>
      </c>
      <c r="C6289" s="13" t="n">
        <v>3825003304</v>
      </c>
      <c r="D6289" s="13" t="inlineStr">
        <is>
          <t>3825003304</t>
        </is>
      </c>
      <c r="E6289" s="13" t="inlineStr">
        <is>
          <t>ЮЛ РФ</t>
        </is>
      </c>
      <c r="F6289" s="13" t="n"/>
      <c r="G6289" s="14" t="n"/>
      <c r="H6289" s="14" t="n"/>
      <c r="I6289" s="14" t="n"/>
      <c r="J6289" s="14" t="n"/>
      <c r="K6289" s="53" t="inlineStr"/>
      <c r="L6289" s="53" t="inlineStr">
        <is>
          <t>Не определено</t>
        </is>
      </c>
      <c r="M6289" s="53" t="inlineStr"/>
      <c r="N6289" s="54" t="inlineStr"/>
      <c r="O6289" s="55" t="inlineStr"/>
      <c r="P6289" s="16" t="inlineStr">
        <is>
          <t>Требует обогащения</t>
        </is>
      </c>
      <c r="Q6289" s="16">
        <f>HYPERLINK("https://pb.nalog.ru/search.html?query=3825003304","ФНС: проверить")</f>
        <v/>
      </c>
      <c r="R6289" s="16">
        <f>HYPERLINK("https://checko.ru/search?query=3801001629","Чекко: проверить")</f>
        <v/>
      </c>
      <c r="S6289" t="n">
        <v>1</v>
      </c>
      <c r="T6289" s="35" t="inlineStr">
        <is>
          <t>4 — Не обогащён</t>
        </is>
      </c>
      <c r="U6289" s="35" t="inlineStr">
        <is>
          <t>Нет ОКВЭД/ССЧР</t>
        </is>
      </c>
      <c r="V6289" s="35" t="inlineStr">
        <is>
          <t>Не определено</t>
        </is>
      </c>
      <c r="W6289" s="35" t="inlineStr"/>
      <c r="X6289" s="35" t="inlineStr"/>
    </row>
    <row r="6290" ht="41.25" customHeight="1" s="24">
      <c r="A6290" s="13" t="n">
        <v>5000024742</v>
      </c>
      <c r="B6290" s="13" t="inlineStr">
        <is>
          <t>Муниципальное бюджетное дошкольное образовательное учреждение Мойганский детский сад</t>
        </is>
      </c>
      <c r="C6290" s="13" t="n">
        <v>3825003456</v>
      </c>
      <c r="D6290" s="13" t="inlineStr">
        <is>
          <t>3825003456</t>
        </is>
      </c>
      <c r="E6290" s="13" t="inlineStr">
        <is>
          <t>ЮЛ РФ</t>
        </is>
      </c>
      <c r="F6290" s="13" t="n"/>
      <c r="G6290" s="14" t="n"/>
      <c r="H6290" s="14" t="n"/>
      <c r="I6290" s="14" t="n"/>
      <c r="J6290" s="14" t="n"/>
      <c r="K6290" s="53" t="inlineStr"/>
      <c r="L6290" s="53" t="inlineStr">
        <is>
          <t>Не определено</t>
        </is>
      </c>
      <c r="M6290" s="53" t="inlineStr"/>
      <c r="N6290" s="54" t="inlineStr"/>
      <c r="O6290" s="55" t="inlineStr"/>
      <c r="P6290" s="16" t="inlineStr">
        <is>
          <t>Требует обогащения</t>
        </is>
      </c>
      <c r="Q6290" s="16">
        <f>HYPERLINK("https://pb.nalog.ru/search.html?query=3825003456","ФНС: проверить")</f>
        <v/>
      </c>
      <c r="R6290" s="16">
        <f>HYPERLINK("https://checko.ru/search?query=3801001629","Чекко: проверить")</f>
        <v/>
      </c>
      <c r="S6290" t="n">
        <v>1</v>
      </c>
      <c r="T6290" s="35" t="inlineStr">
        <is>
          <t>4 — Не обогащён</t>
        </is>
      </c>
      <c r="U6290" s="35" t="inlineStr">
        <is>
          <t>Нет ОКВЭД/ССЧР</t>
        </is>
      </c>
      <c r="V6290" s="35" t="inlineStr">
        <is>
          <t>Не определено</t>
        </is>
      </c>
      <c r="W6290" s="35" t="inlineStr"/>
      <c r="X6290" s="35" t="inlineStr"/>
    </row>
    <row r="6291" ht="41.25" customHeight="1" s="24">
      <c r="A6291" s="13" t="n">
        <v>5000024743</v>
      </c>
      <c r="B6291" s="13" t="inlineStr">
        <is>
          <t>Муниципальное бюджетное дошкольное образовательное учреждение детский сад "Елочка с.Хор-Тагна"</t>
        </is>
      </c>
      <c r="C6291" s="13" t="n">
        <v>3825003400</v>
      </c>
      <c r="D6291" s="13" t="inlineStr">
        <is>
          <t>3825003400</t>
        </is>
      </c>
      <c r="E6291" s="13" t="inlineStr">
        <is>
          <t>ЮЛ РФ</t>
        </is>
      </c>
      <c r="F6291" s="13" t="n"/>
      <c r="G6291" s="14" t="n"/>
      <c r="H6291" s="14" t="n"/>
      <c r="I6291" s="14" t="n"/>
      <c r="J6291" s="14" t="n"/>
      <c r="K6291" s="53" t="inlineStr"/>
      <c r="L6291" s="53" t="inlineStr">
        <is>
          <t>Не определено</t>
        </is>
      </c>
      <c r="M6291" s="53" t="inlineStr"/>
      <c r="N6291" s="54" t="inlineStr"/>
      <c r="O6291" s="55" t="inlineStr"/>
      <c r="P6291" s="16" t="inlineStr">
        <is>
          <t>Требует обогащения</t>
        </is>
      </c>
      <c r="Q6291" s="16">
        <f>HYPERLINK("https://pb.nalog.ru/search.html?query=3825003400","ФНС: проверить")</f>
        <v/>
      </c>
      <c r="R6291" s="16">
        <f>HYPERLINK("https://checko.ru/search?query=3801001629","Чекко: проверить")</f>
        <v/>
      </c>
      <c r="S6291" t="n">
        <v>1</v>
      </c>
      <c r="T6291" s="35" t="inlineStr">
        <is>
          <t>4 — Не обогащён</t>
        </is>
      </c>
      <c r="U6291" s="35" t="inlineStr">
        <is>
          <t>Нет ОКВЭД/ССЧР</t>
        </is>
      </c>
      <c r="V6291" s="35" t="inlineStr">
        <is>
          <t>Не определено</t>
        </is>
      </c>
      <c r="W6291" s="35" t="inlineStr"/>
      <c r="X6291" s="35" t="inlineStr"/>
    </row>
    <row r="6292" ht="41.25" customHeight="1" s="24">
      <c r="A6292" s="13" t="n">
        <v>5000024728</v>
      </c>
      <c r="B6292" s="13" t="inlineStr">
        <is>
          <t>Муниципальное бюджетное общеобразовательное учреждение средняя общеобразовательная школа с Моисеевка</t>
        </is>
      </c>
      <c r="C6292" s="13" t="n">
        <v>3825003086</v>
      </c>
      <c r="D6292" s="13" t="inlineStr">
        <is>
          <t>3825003086</t>
        </is>
      </c>
      <c r="E6292" s="13" t="inlineStr">
        <is>
          <t>ЮЛ РФ</t>
        </is>
      </c>
      <c r="F6292" s="13" t="n"/>
      <c r="G6292" s="14" t="n"/>
      <c r="H6292" s="14" t="n"/>
      <c r="I6292" s="14" t="n"/>
      <c r="J6292" s="14" t="n"/>
      <c r="K6292" s="53" t="inlineStr"/>
      <c r="L6292" s="53" t="inlineStr">
        <is>
          <t>Не определено</t>
        </is>
      </c>
      <c r="M6292" s="53" t="inlineStr"/>
      <c r="N6292" s="54" t="inlineStr"/>
      <c r="O6292" s="55" t="inlineStr"/>
      <c r="P6292" s="16" t="inlineStr">
        <is>
          <t>Требует обогащения</t>
        </is>
      </c>
      <c r="Q6292" s="16">
        <f>HYPERLINK("https://pb.nalog.ru/search.html?query=3825003086","ФНС: проверить")</f>
        <v/>
      </c>
      <c r="R6292" s="16">
        <f>HYPERLINK("https://checko.ru/search?query=3801001629","Чекко: проверить")</f>
        <v/>
      </c>
      <c r="S6292" t="n">
        <v>1</v>
      </c>
      <c r="T6292" s="35" t="inlineStr">
        <is>
          <t>4 — Не обогащён</t>
        </is>
      </c>
      <c r="U6292" s="35" t="inlineStr">
        <is>
          <t>Нет ОКВЭД/ССЧР</t>
        </is>
      </c>
      <c r="V6292" s="35" t="inlineStr">
        <is>
          <t>Не определено</t>
        </is>
      </c>
      <c r="W6292" s="35" t="inlineStr"/>
      <c r="X6292" s="35" t="inlineStr"/>
    </row>
    <row r="6293" ht="41.25" customHeight="1" s="24">
      <c r="A6293" s="13" t="n">
        <v>5000024729</v>
      </c>
      <c r="B6293" s="13" t="inlineStr">
        <is>
          <t>Муниципальное бюджетное  общеобразовалельное учреждение Сортовская основная общеобразовательная школа</t>
        </is>
      </c>
      <c r="C6293" s="13" t="n">
        <v>3825003576</v>
      </c>
      <c r="D6293" s="13" t="inlineStr">
        <is>
          <t>3825003576</t>
        </is>
      </c>
      <c r="E6293" s="13" t="inlineStr">
        <is>
          <t>ЮЛ РФ</t>
        </is>
      </c>
      <c r="F6293" s="13" t="n"/>
      <c r="G6293" s="14" t="n"/>
      <c r="H6293" s="14" t="n"/>
      <c r="I6293" s="14" t="n"/>
      <c r="J6293" s="14" t="n"/>
      <c r="K6293" s="53" t="inlineStr"/>
      <c r="L6293" s="53" t="inlineStr">
        <is>
          <t>Не определено</t>
        </is>
      </c>
      <c r="M6293" s="53" t="inlineStr"/>
      <c r="N6293" s="54" t="inlineStr"/>
      <c r="O6293" s="55" t="inlineStr"/>
      <c r="P6293" s="16" t="inlineStr">
        <is>
          <t>Требует обогащения</t>
        </is>
      </c>
      <c r="Q6293" s="16">
        <f>HYPERLINK("https://pb.nalog.ru/search.html?query=3825003576","ФНС: проверить")</f>
        <v/>
      </c>
      <c r="R6293" s="16">
        <f>HYPERLINK("https://checko.ru/search?query=3801001629","Чекко: проверить")</f>
        <v/>
      </c>
      <c r="S6293" t="n">
        <v>1</v>
      </c>
      <c r="T6293" s="35" t="inlineStr">
        <is>
          <t>4 — Не обогащён</t>
        </is>
      </c>
      <c r="U6293" s="35" t="inlineStr">
        <is>
          <t>Нет ОКВЭД/ССЧР</t>
        </is>
      </c>
      <c r="V6293" s="35" t="inlineStr">
        <is>
          <t>Не определено</t>
        </is>
      </c>
      <c r="W6293" s="35" t="inlineStr"/>
      <c r="X6293" s="35" t="inlineStr"/>
    </row>
    <row r="6294" ht="27.75" customHeight="1" s="24">
      <c r="A6294" s="13" t="n">
        <v>5000024730</v>
      </c>
      <c r="B6294" s="13" t="inlineStr">
        <is>
          <t>МБОУ Бабагайская средняя  общеобразовательная школа</t>
        </is>
      </c>
      <c r="C6294" s="13" t="n">
        <v>3825003520</v>
      </c>
      <c r="D6294" s="13" t="inlineStr">
        <is>
          <t>3825003520</t>
        </is>
      </c>
      <c r="E6294" s="13" t="inlineStr">
        <is>
          <t>ЮЛ РФ</t>
        </is>
      </c>
      <c r="F6294" s="13" t="n"/>
      <c r="G6294" s="14" t="n"/>
      <c r="H6294" s="14" t="n"/>
      <c r="I6294" s="14" t="n"/>
      <c r="J6294" s="14" t="n"/>
      <c r="K6294" s="53" t="inlineStr"/>
      <c r="L6294" s="53" t="inlineStr">
        <is>
          <t>Не определено</t>
        </is>
      </c>
      <c r="M6294" s="53" t="inlineStr"/>
      <c r="N6294" s="54" t="inlineStr"/>
      <c r="O6294" s="55" t="inlineStr"/>
      <c r="P6294" s="16" t="inlineStr">
        <is>
          <t>Требует обогащения</t>
        </is>
      </c>
      <c r="Q6294" s="16">
        <f>HYPERLINK("https://pb.nalog.ru/search.html?query=3825003520","ФНС: проверить")</f>
        <v/>
      </c>
      <c r="R6294" s="16">
        <f>HYPERLINK("https://checko.ru/search?query=3801001629","Чекко: проверить")</f>
        <v/>
      </c>
      <c r="S6294" t="n">
        <v>1</v>
      </c>
      <c r="T6294" s="35" t="inlineStr">
        <is>
          <t>4 — Не обогащён</t>
        </is>
      </c>
      <c r="U6294" s="35" t="inlineStr">
        <is>
          <t>Нет ОКВЭД/ССЧР</t>
        </is>
      </c>
      <c r="V6294" s="35" t="inlineStr">
        <is>
          <t>Не определено</t>
        </is>
      </c>
      <c r="W6294" s="35" t="inlineStr"/>
      <c r="X6294" s="35" t="inlineStr"/>
    </row>
    <row r="6295" ht="27.75" customHeight="1" s="24">
      <c r="A6295" s="13" t="n">
        <v>5000024731</v>
      </c>
      <c r="B6295" s="13" t="inlineStr">
        <is>
          <t>МБОУ Троицкая средняя общеобразовательная школа</t>
        </is>
      </c>
      <c r="C6295" s="13" t="n">
        <v>3825000800</v>
      </c>
      <c r="D6295" s="13" t="inlineStr">
        <is>
          <t>3825000800</t>
        </is>
      </c>
      <c r="E6295" s="13" t="inlineStr">
        <is>
          <t>ЮЛ РФ</t>
        </is>
      </c>
      <c r="F6295" s="13" t="n"/>
      <c r="G6295" s="14" t="n"/>
      <c r="H6295" s="14" t="n"/>
      <c r="I6295" s="14" t="n"/>
      <c r="J6295" s="14" t="n"/>
      <c r="K6295" s="53" t="inlineStr"/>
      <c r="L6295" s="53" t="inlineStr">
        <is>
          <t>Не определено</t>
        </is>
      </c>
      <c r="M6295" s="53" t="inlineStr"/>
      <c r="N6295" s="54" t="inlineStr"/>
      <c r="O6295" s="55" t="inlineStr"/>
      <c r="P6295" s="16" t="inlineStr">
        <is>
          <t>Требует обогащения</t>
        </is>
      </c>
      <c r="Q6295" s="16">
        <f>HYPERLINK("https://pb.nalog.ru/search.html?query=3825000800","ФНС: проверить")</f>
        <v/>
      </c>
      <c r="R6295" s="16">
        <f>HYPERLINK("https://checko.ru/search?query=3801001629","Чекко: проверить")</f>
        <v/>
      </c>
      <c r="S6295" t="n">
        <v>1</v>
      </c>
      <c r="T6295" s="35" t="inlineStr">
        <is>
          <t>4 — Не обогащён</t>
        </is>
      </c>
      <c r="U6295" s="35" t="inlineStr">
        <is>
          <t>Нет ОКВЭД/ССЧР</t>
        </is>
      </c>
      <c r="V6295" s="35" t="inlineStr">
        <is>
          <t>Не определено</t>
        </is>
      </c>
      <c r="W6295" s="35" t="inlineStr"/>
      <c r="X6295" s="35" t="inlineStr"/>
    </row>
    <row r="6296" ht="41.25" customHeight="1" s="24">
      <c r="A6296" s="13" t="n">
        <v>5000024732</v>
      </c>
      <c r="B6296" s="13" t="inlineStr">
        <is>
          <t>Муниципальное бюджетное общеобразовательное учреждение Ханжиновская средняя общеобразовательная школа</t>
        </is>
      </c>
      <c r="C6296" s="13" t="n">
        <v>3825003657</v>
      </c>
      <c r="D6296" s="13" t="inlineStr">
        <is>
          <t>3825003657</t>
        </is>
      </c>
      <c r="E6296" s="13" t="inlineStr">
        <is>
          <t>ЮЛ РФ</t>
        </is>
      </c>
      <c r="F6296" s="13" t="n"/>
      <c r="G6296" s="14" t="n"/>
      <c r="H6296" s="14" t="n"/>
      <c r="I6296" s="14" t="n"/>
      <c r="J6296" s="14" t="n"/>
      <c r="K6296" s="53" t="inlineStr"/>
      <c r="L6296" s="53" t="inlineStr">
        <is>
          <t>Не определено</t>
        </is>
      </c>
      <c r="M6296" s="53" t="inlineStr"/>
      <c r="N6296" s="54" t="inlineStr"/>
      <c r="O6296" s="55" t="inlineStr"/>
      <c r="P6296" s="16" t="inlineStr">
        <is>
          <t>Требует обогащения</t>
        </is>
      </c>
      <c r="Q6296" s="16">
        <f>HYPERLINK("https://pb.nalog.ru/search.html?query=3825003657","ФНС: проверить")</f>
        <v/>
      </c>
      <c r="R6296" s="16">
        <f>HYPERLINK("https://checko.ru/search?query=3801001629","Чекко: проверить")</f>
        <v/>
      </c>
      <c r="S6296" t="n">
        <v>1</v>
      </c>
      <c r="T6296" s="35" t="inlineStr">
        <is>
          <t>4 — Не обогащён</t>
        </is>
      </c>
      <c r="U6296" s="35" t="inlineStr">
        <is>
          <t>Нет ОКВЭД/ССЧР</t>
        </is>
      </c>
      <c r="V6296" s="35" t="inlineStr">
        <is>
          <t>Не определено</t>
        </is>
      </c>
      <c r="W6296" s="35" t="inlineStr"/>
      <c r="X6296" s="35" t="inlineStr"/>
    </row>
    <row r="6297" ht="41.25" customHeight="1" s="24">
      <c r="A6297" s="13" t="n">
        <v>5000024733</v>
      </c>
      <c r="B6297" s="13" t="inlineStr">
        <is>
          <t>Муниципальное бюджетное дошкольное образовательное учреждение детский сад "Теремок"</t>
        </is>
      </c>
      <c r="C6297" s="13" t="n">
        <v>3825003706</v>
      </c>
      <c r="D6297" s="13" t="inlineStr">
        <is>
          <t>3825003706</t>
        </is>
      </c>
      <c r="E6297" s="13" t="inlineStr">
        <is>
          <t>ЮЛ РФ</t>
        </is>
      </c>
      <c r="F6297" s="13" t="n"/>
      <c r="G6297" s="14" t="n"/>
      <c r="H6297" s="14" t="n"/>
      <c r="I6297" s="14" t="n"/>
      <c r="J6297" s="14" t="n"/>
      <c r="K6297" s="53" t="inlineStr"/>
      <c r="L6297" s="53" t="inlineStr">
        <is>
          <t>Не определено</t>
        </is>
      </c>
      <c r="M6297" s="53" t="inlineStr"/>
      <c r="N6297" s="54" t="inlineStr"/>
      <c r="O6297" s="55" t="inlineStr"/>
      <c r="P6297" s="16" t="inlineStr">
        <is>
          <t>Требует обогащения</t>
        </is>
      </c>
      <c r="Q6297" s="16">
        <f>HYPERLINK("https://pb.nalog.ru/search.html?query=3825003706","ФНС: проверить")</f>
        <v/>
      </c>
      <c r="R6297" s="16">
        <f>HYPERLINK("https://checko.ru/search?query=3801001629","Чекко: проверить")</f>
        <v/>
      </c>
      <c r="S6297" t="n">
        <v>1</v>
      </c>
      <c r="T6297" s="35" t="inlineStr">
        <is>
          <t>4 — Не обогащён</t>
        </is>
      </c>
      <c r="U6297" s="35" t="inlineStr">
        <is>
          <t>Нет ОКВЭД/ССЧР</t>
        </is>
      </c>
      <c r="V6297" s="35" t="inlineStr">
        <is>
          <t>Не определено</t>
        </is>
      </c>
      <c r="W6297" s="35" t="inlineStr"/>
      <c r="X6297" s="35" t="inlineStr"/>
    </row>
    <row r="6298" ht="41.25" customHeight="1" s="24">
      <c r="A6298" s="13" t="n">
        <v>5000024734</v>
      </c>
      <c r="B6298" s="13" t="inlineStr">
        <is>
          <t>Муниципальное бюджетное дошкольное образовательное учреждение детский сад "Малыш"</t>
        </is>
      </c>
      <c r="C6298" s="13" t="n">
        <v>3825003689</v>
      </c>
      <c r="D6298" s="13" t="inlineStr">
        <is>
          <t>3825003689</t>
        </is>
      </c>
      <c r="E6298" s="13" t="inlineStr">
        <is>
          <t>ЮЛ РФ</t>
        </is>
      </c>
      <c r="F6298" s="13" t="n"/>
      <c r="G6298" s="14" t="n"/>
      <c r="H6298" s="14" t="n"/>
      <c r="I6298" s="14" t="n"/>
      <c r="J6298" s="14" t="n"/>
      <c r="K6298" s="53" t="inlineStr"/>
      <c r="L6298" s="53" t="inlineStr">
        <is>
          <t>Не определено</t>
        </is>
      </c>
      <c r="M6298" s="53" t="inlineStr"/>
      <c r="N6298" s="54" t="inlineStr"/>
      <c r="O6298" s="55" t="inlineStr"/>
      <c r="P6298" s="16" t="inlineStr">
        <is>
          <t>Требует обогащения</t>
        </is>
      </c>
      <c r="Q6298" s="16">
        <f>HYPERLINK("https://pb.nalog.ru/search.html?query=3825003689","ФНС: проверить")</f>
        <v/>
      </c>
      <c r="R6298" s="16">
        <f>HYPERLINK("https://checko.ru/search?query=3801001629","Чекко: проверить")</f>
        <v/>
      </c>
      <c r="S6298" t="n">
        <v>1</v>
      </c>
      <c r="T6298" s="35" t="inlineStr">
        <is>
          <t>4 — Не обогащён</t>
        </is>
      </c>
      <c r="U6298" s="35" t="inlineStr">
        <is>
          <t>Нет ОКВЭД/ССЧР</t>
        </is>
      </c>
      <c r="V6298" s="35" t="inlineStr">
        <is>
          <t>Не определено</t>
        </is>
      </c>
      <c r="W6298" s="35" t="inlineStr"/>
      <c r="X6298" s="35" t="inlineStr"/>
    </row>
    <row r="6299" ht="15" customHeight="1" s="24">
      <c r="A6299" s="13" t="n">
        <v>5000024737</v>
      </c>
      <c r="B6299" s="13" t="inlineStr">
        <is>
          <t>МБДОУ детский сад "Улыбка"</t>
        </is>
      </c>
      <c r="C6299" s="13" t="n">
        <v>3814015682</v>
      </c>
      <c r="D6299" s="13" t="inlineStr">
        <is>
          <t>3814015682</t>
        </is>
      </c>
      <c r="E6299" s="13" t="inlineStr">
        <is>
          <t>ЮЛ РФ</t>
        </is>
      </c>
      <c r="F6299" s="13" t="n"/>
      <c r="G6299" s="14" t="n"/>
      <c r="H6299" s="14" t="n"/>
      <c r="I6299" s="14" t="n"/>
      <c r="J6299" s="14" t="n"/>
      <c r="K6299" s="53" t="inlineStr"/>
      <c r="L6299" s="53" t="inlineStr">
        <is>
          <t>Не определено</t>
        </is>
      </c>
      <c r="M6299" s="53" t="inlineStr"/>
      <c r="N6299" s="54" t="inlineStr"/>
      <c r="O6299" s="55" t="inlineStr"/>
      <c r="P6299" s="16" t="inlineStr">
        <is>
          <t>Требует обогащения</t>
        </is>
      </c>
      <c r="Q6299" s="16">
        <f>HYPERLINK("https://pb.nalog.ru/search.html?query=3814015682","ФНС: проверить")</f>
        <v/>
      </c>
      <c r="R6299" s="16">
        <f>HYPERLINK("https://checko.ru/search?query=3801001629","Чекко: проверить")</f>
        <v/>
      </c>
      <c r="S6299" t="n">
        <v>1</v>
      </c>
      <c r="T6299" s="35" t="inlineStr">
        <is>
          <t>4 — Не обогащён</t>
        </is>
      </c>
      <c r="U6299" s="35" t="inlineStr">
        <is>
          <t>Нет ОКВЭД/ССЧР</t>
        </is>
      </c>
      <c r="V6299" s="35" t="inlineStr">
        <is>
          <t>Не определено</t>
        </is>
      </c>
      <c r="W6299" s="35" t="inlineStr"/>
      <c r="X6299" s="35" t="inlineStr"/>
    </row>
    <row r="6300" ht="41.25" customHeight="1" s="24">
      <c r="A6300" s="13" t="n">
        <v>5000024738</v>
      </c>
      <c r="B6300" s="13" t="inlineStr">
        <is>
          <t>Муниципальное бюджетное дошкольное образовательное учреждение детский сад комбинированного вида "Полянка"</t>
        </is>
      </c>
      <c r="C6300" s="13" t="n">
        <v>3825002999</v>
      </c>
      <c r="D6300" s="13" t="inlineStr">
        <is>
          <t>3825002999</t>
        </is>
      </c>
      <c r="E6300" s="13" t="inlineStr">
        <is>
          <t>ЮЛ РФ</t>
        </is>
      </c>
      <c r="F6300" s="13" t="n"/>
      <c r="G6300" s="14" t="n"/>
      <c r="H6300" s="14" t="n"/>
      <c r="I6300" s="14" t="n"/>
      <c r="J6300" s="14" t="n"/>
      <c r="K6300" s="53" t="inlineStr"/>
      <c r="L6300" s="53" t="inlineStr">
        <is>
          <t>Не определено</t>
        </is>
      </c>
      <c r="M6300" s="53" t="inlineStr"/>
      <c r="N6300" s="54" t="inlineStr"/>
      <c r="O6300" s="55" t="inlineStr"/>
      <c r="P6300" s="16" t="inlineStr">
        <is>
          <t>Требует обогащения</t>
        </is>
      </c>
      <c r="Q6300" s="16">
        <f>HYPERLINK("https://pb.nalog.ru/search.html?query=3825002999","ФНС: проверить")</f>
        <v/>
      </c>
      <c r="R6300" s="16">
        <f>HYPERLINK("https://checko.ru/search?query=3801001629","Чекко: проверить")</f>
        <v/>
      </c>
      <c r="S6300" t="n">
        <v>1</v>
      </c>
      <c r="T6300" s="35" t="inlineStr">
        <is>
          <t>4 — Не обогащён</t>
        </is>
      </c>
      <c r="U6300" s="35" t="inlineStr">
        <is>
          <t>Нет ОКВЭД/ССЧР</t>
        </is>
      </c>
      <c r="V6300" s="35" t="inlineStr">
        <is>
          <t>Не определено</t>
        </is>
      </c>
      <c r="W6300" s="35" t="inlineStr"/>
      <c r="X6300" s="35" t="inlineStr"/>
    </row>
    <row r="6301" ht="27.75" customHeight="1" s="24">
      <c r="A6301" s="13" t="n">
        <v>5000024714</v>
      </c>
      <c r="B6301" s="13" t="inlineStr">
        <is>
          <t>МБОУ "Тагнинская основная  общеобразовательная школа"</t>
        </is>
      </c>
      <c r="C6301" s="13" t="n">
        <v>3825003618</v>
      </c>
      <c r="D6301" s="13" t="inlineStr">
        <is>
          <t>3825003618</t>
        </is>
      </c>
      <c r="E6301" s="13" t="inlineStr">
        <is>
          <t>ЮЛ РФ</t>
        </is>
      </c>
      <c r="F6301" s="13" t="n"/>
      <c r="G6301" s="14" t="n"/>
      <c r="H6301" s="14" t="n"/>
      <c r="I6301" s="14" t="n"/>
      <c r="J6301" s="14" t="n"/>
      <c r="K6301" s="53" t="inlineStr"/>
      <c r="L6301" s="53" t="inlineStr">
        <is>
          <t>Не определено</t>
        </is>
      </c>
      <c r="M6301" s="53" t="inlineStr"/>
      <c r="N6301" s="54" t="inlineStr"/>
      <c r="O6301" s="55" t="inlineStr"/>
      <c r="P6301" s="16" t="inlineStr">
        <is>
          <t>Требует обогащения</t>
        </is>
      </c>
      <c r="Q6301" s="16">
        <f>HYPERLINK("https://pb.nalog.ru/search.html?query=3825003618","ФНС: проверить")</f>
        <v/>
      </c>
      <c r="R6301" s="16">
        <f>HYPERLINK("https://checko.ru/search?query=3801001629","Чекко: проверить")</f>
        <v/>
      </c>
      <c r="S6301" t="n">
        <v>1</v>
      </c>
      <c r="T6301" s="35" t="inlineStr">
        <is>
          <t>4 — Не обогащён</t>
        </is>
      </c>
      <c r="U6301" s="35" t="inlineStr">
        <is>
          <t>Нет ОКВЭД/ССЧР</t>
        </is>
      </c>
      <c r="V6301" s="35" t="inlineStr">
        <is>
          <t>Не определено</t>
        </is>
      </c>
      <c r="W6301" s="35" t="inlineStr"/>
      <c r="X6301" s="35" t="inlineStr"/>
    </row>
    <row r="6302" ht="41.25" customHeight="1" s="24">
      <c r="A6302" s="13" t="n">
        <v>5000024715</v>
      </c>
      <c r="B6302" s="13" t="inlineStr">
        <is>
          <t>Муниципальное бюджетное общеобразовательное учреждение Заларинская основная ощеобразовательная школа</t>
        </is>
      </c>
      <c r="C6302" s="13" t="n">
        <v>3825003022</v>
      </c>
      <c r="D6302" s="13" t="inlineStr">
        <is>
          <t>3825003022</t>
        </is>
      </c>
      <c r="E6302" s="13" t="inlineStr">
        <is>
          <t>ЮЛ РФ</t>
        </is>
      </c>
      <c r="F6302" s="13" t="n"/>
      <c r="G6302" s="14" t="n"/>
      <c r="H6302" s="14" t="n"/>
      <c r="I6302" s="14" t="n"/>
      <c r="J6302" s="14" t="n"/>
      <c r="K6302" s="53" t="inlineStr"/>
      <c r="L6302" s="53" t="inlineStr">
        <is>
          <t>Не определено</t>
        </is>
      </c>
      <c r="M6302" s="53" t="inlineStr"/>
      <c r="N6302" s="54" t="inlineStr"/>
      <c r="O6302" s="55" t="inlineStr"/>
      <c r="P6302" s="16" t="inlineStr">
        <is>
          <t>Требует обогащения</t>
        </is>
      </c>
      <c r="Q6302" s="16">
        <f>HYPERLINK("https://pb.nalog.ru/search.html?query=3825003022","ФНС: проверить")</f>
        <v/>
      </c>
      <c r="R6302" s="16">
        <f>HYPERLINK("https://checko.ru/search?query=3801001629","Чекко: проверить")</f>
        <v/>
      </c>
      <c r="S6302" t="n">
        <v>1</v>
      </c>
      <c r="T6302" s="35" t="inlineStr">
        <is>
          <t>4 — Не обогащён</t>
        </is>
      </c>
      <c r="U6302" s="35" t="inlineStr">
        <is>
          <t>Нет ОКВЭД/ССЧР</t>
        </is>
      </c>
      <c r="V6302" s="35" t="inlineStr">
        <is>
          <t>Не определено</t>
        </is>
      </c>
      <c r="W6302" s="35" t="inlineStr"/>
      <c r="X6302" s="35" t="inlineStr"/>
    </row>
    <row r="6303" ht="41.25" customHeight="1" s="24">
      <c r="A6303" s="13" t="n">
        <v>5000024716</v>
      </c>
      <c r="B6303" s="13" t="inlineStr">
        <is>
          <t>Муниципальное бюджетное общеобразовательное учреждение Тыретская средняя общеобразовательная школа</t>
        </is>
      </c>
      <c r="C6303" s="13" t="n">
        <v>3825002981</v>
      </c>
      <c r="D6303" s="13" t="inlineStr">
        <is>
          <t>3825002981</t>
        </is>
      </c>
      <c r="E6303" s="13" t="inlineStr">
        <is>
          <t>ЮЛ РФ</t>
        </is>
      </c>
      <c r="F6303" s="13" t="n"/>
      <c r="G6303" s="14" t="n"/>
      <c r="H6303" s="14" t="n"/>
      <c r="I6303" s="14" t="n"/>
      <c r="J6303" s="14" t="n"/>
      <c r="K6303" s="53" t="inlineStr"/>
      <c r="L6303" s="53" t="inlineStr">
        <is>
          <t>Не определено</t>
        </is>
      </c>
      <c r="M6303" s="53" t="inlineStr"/>
      <c r="N6303" s="54" t="inlineStr"/>
      <c r="O6303" s="55" t="inlineStr"/>
      <c r="P6303" s="16" t="inlineStr">
        <is>
          <t>Требует обогащения</t>
        </is>
      </c>
      <c r="Q6303" s="16">
        <f>HYPERLINK("https://pb.nalog.ru/search.html?query=3825002981","ФНС: проверить")</f>
        <v/>
      </c>
      <c r="R6303" s="16">
        <f>HYPERLINK("https://checko.ru/search?query=3801001629","Чекко: проверить")</f>
        <v/>
      </c>
      <c r="S6303" t="n">
        <v>1</v>
      </c>
      <c r="T6303" s="35" t="inlineStr">
        <is>
          <t>4 — Не обогащён</t>
        </is>
      </c>
      <c r="U6303" s="35" t="inlineStr">
        <is>
          <t>Нет ОКВЭД/ССЧР</t>
        </is>
      </c>
      <c r="V6303" s="35" t="inlineStr">
        <is>
          <t>Не определено</t>
        </is>
      </c>
      <c r="W6303" s="35" t="inlineStr"/>
      <c r="X6303" s="35" t="inlineStr"/>
    </row>
    <row r="6304" ht="41.25" customHeight="1" s="24">
      <c r="A6304" s="13" t="n">
        <v>5000024717</v>
      </c>
      <c r="B6304" s="13" t="inlineStr">
        <is>
          <t>Муниципальное  бюджетное общеобразовательное учреждение Черемшанская средняя общеобразоватеная школа</t>
        </is>
      </c>
      <c r="C6304" s="13" t="n">
        <v>3825003054</v>
      </c>
      <c r="D6304" s="13" t="inlineStr">
        <is>
          <t>3825003054</t>
        </is>
      </c>
      <c r="E6304" s="13" t="inlineStr">
        <is>
          <t>ЮЛ РФ</t>
        </is>
      </c>
      <c r="F6304" s="13" t="n"/>
      <c r="G6304" s="14" t="n"/>
      <c r="H6304" s="14" t="n"/>
      <c r="I6304" s="14" t="n"/>
      <c r="J6304" s="14" t="n"/>
      <c r="K6304" s="53" t="inlineStr"/>
      <c r="L6304" s="53" t="inlineStr">
        <is>
          <t>Не определено</t>
        </is>
      </c>
      <c r="M6304" s="53" t="inlineStr"/>
      <c r="N6304" s="54" t="inlineStr"/>
      <c r="O6304" s="55" t="inlineStr"/>
      <c r="P6304" s="16" t="inlineStr">
        <is>
          <t>Требует обогащения</t>
        </is>
      </c>
      <c r="Q6304" s="16">
        <f>HYPERLINK("https://pb.nalog.ru/search.html?query=3825003054","ФНС: проверить")</f>
        <v/>
      </c>
      <c r="R6304" s="16">
        <f>HYPERLINK("https://checko.ru/search?query=3801001629","Чекко: проверить")</f>
        <v/>
      </c>
      <c r="S6304" t="n">
        <v>1</v>
      </c>
      <c r="T6304" s="35" t="inlineStr">
        <is>
          <t>4 — Не обогащён</t>
        </is>
      </c>
      <c r="U6304" s="35" t="inlineStr">
        <is>
          <t>Нет ОКВЭД/ССЧР</t>
        </is>
      </c>
      <c r="V6304" s="35" t="inlineStr">
        <is>
          <t>Не определено</t>
        </is>
      </c>
      <c r="W6304" s="35" t="inlineStr"/>
      <c r="X6304" s="35" t="inlineStr"/>
    </row>
    <row r="6305" ht="27.75" customHeight="1" s="24">
      <c r="A6305" s="13" t="n">
        <v>5000024718</v>
      </c>
      <c r="B6305" s="13" t="inlineStr">
        <is>
          <t>МБОУ Заларинская средняя общеобразовательная школа № 2</t>
        </is>
      </c>
      <c r="C6305" s="13" t="n">
        <v>3825003248</v>
      </c>
      <c r="D6305" s="13" t="inlineStr">
        <is>
          <t>3825003248</t>
        </is>
      </c>
      <c r="E6305" s="13" t="inlineStr">
        <is>
          <t>ЮЛ РФ</t>
        </is>
      </c>
      <c r="F6305" s="13" t="n"/>
      <c r="G6305" s="14" t="n"/>
      <c r="H6305" s="14" t="n"/>
      <c r="I6305" s="14" t="n"/>
      <c r="J6305" s="14" t="n"/>
      <c r="K6305" s="53" t="inlineStr"/>
      <c r="L6305" s="53" t="inlineStr">
        <is>
          <t>Не определено</t>
        </is>
      </c>
      <c r="M6305" s="53" t="inlineStr"/>
      <c r="N6305" s="54" t="inlineStr"/>
      <c r="O6305" s="55" t="inlineStr"/>
      <c r="P6305" s="16" t="inlineStr">
        <is>
          <t>Требует обогащения</t>
        </is>
      </c>
      <c r="Q6305" s="16">
        <f>HYPERLINK("https://pb.nalog.ru/search.html?query=3825003248","ФНС: проверить")</f>
        <v/>
      </c>
      <c r="R6305" s="16">
        <f>HYPERLINK("https://checko.ru/search?query=3801001629","Чекко: проверить")</f>
        <v/>
      </c>
      <c r="S6305" t="n">
        <v>1</v>
      </c>
      <c r="T6305" s="35" t="inlineStr">
        <is>
          <t>4 — Не обогащён</t>
        </is>
      </c>
      <c r="U6305" s="35" t="inlineStr">
        <is>
          <t>Нет ОКВЭД/ССЧР</t>
        </is>
      </c>
      <c r="V6305" s="35" t="inlineStr">
        <is>
          <t>Не определено</t>
        </is>
      </c>
      <c r="W6305" s="35" t="inlineStr"/>
      <c r="X6305" s="35" t="inlineStr"/>
    </row>
    <row r="6306" ht="15" customHeight="1" s="24">
      <c r="A6306" s="13" t="n">
        <v>5000058229</v>
      </c>
      <c r="B6306" s="13" t="inlineStr">
        <is>
          <t>МБДОУ детский сад "Семицветик"</t>
        </is>
      </c>
      <c r="C6306" s="13" t="n">
        <v>3814039130</v>
      </c>
      <c r="D6306" s="13" t="inlineStr">
        <is>
          <t>3814039130</t>
        </is>
      </c>
      <c r="E6306" s="13" t="inlineStr">
        <is>
          <t>ЮЛ РФ</t>
        </is>
      </c>
      <c r="F6306" s="13" t="n"/>
      <c r="G6306" s="14" t="n"/>
      <c r="H6306" s="14" t="n"/>
      <c r="I6306" s="14" t="n"/>
      <c r="J6306" s="14" t="n"/>
      <c r="K6306" s="53" t="inlineStr"/>
      <c r="L6306" s="53" t="inlineStr">
        <is>
          <t>Не определено</t>
        </is>
      </c>
      <c r="M6306" s="53" t="inlineStr"/>
      <c r="N6306" s="54" t="inlineStr"/>
      <c r="O6306" s="55" t="inlineStr"/>
      <c r="P6306" s="16" t="inlineStr">
        <is>
          <t>Требует обогащения</t>
        </is>
      </c>
      <c r="Q6306" s="16">
        <f>HYPERLINK("https://pb.nalog.ru/search.html?query=3814039130","ФНС: проверить")</f>
        <v/>
      </c>
      <c r="R6306" s="16">
        <f>HYPERLINK("https://checko.ru/search?query=3801001629","Чекко: проверить")</f>
        <v/>
      </c>
      <c r="S6306" t="n">
        <v>1</v>
      </c>
      <c r="T6306" s="35" t="inlineStr">
        <is>
          <t>4 — Не обогащён</t>
        </is>
      </c>
      <c r="U6306" s="35" t="inlineStr">
        <is>
          <t>Нет ОКВЭД/ССЧР</t>
        </is>
      </c>
      <c r="V6306" s="35" t="inlineStr">
        <is>
          <t>Не определено</t>
        </is>
      </c>
      <c r="W6306" s="35" t="inlineStr"/>
      <c r="X6306" s="35" t="inlineStr"/>
    </row>
    <row r="6307" ht="27.75" customHeight="1" s="24">
      <c r="A6307" s="13" t="n">
        <v>5000077444</v>
      </c>
      <c r="B6307" s="13" t="inlineStr">
        <is>
          <t>КГБУЗ "Станция скорой медицинской помощи, г.Рубцовск"</t>
        </is>
      </c>
      <c r="C6307" s="13" t="n">
        <v>2209013118</v>
      </c>
      <c r="D6307" s="13" t="inlineStr">
        <is>
          <t>2209013118</t>
        </is>
      </c>
      <c r="E6307" s="13" t="inlineStr">
        <is>
          <t>ЮЛ РФ</t>
        </is>
      </c>
      <c r="F6307" s="13" t="n"/>
      <c r="G6307" s="14" t="n"/>
      <c r="H6307" s="14" t="n"/>
      <c r="I6307" s="14" t="n"/>
      <c r="J6307" s="14" t="n"/>
      <c r="K6307" s="53" t="inlineStr"/>
      <c r="L6307" s="53" t="inlineStr">
        <is>
          <t>Не определено</t>
        </is>
      </c>
      <c r="M6307" s="53" t="inlineStr"/>
      <c r="N6307" s="54" t="inlineStr"/>
      <c r="O6307" s="55" t="inlineStr"/>
      <c r="P6307" s="16" t="inlineStr">
        <is>
          <t>Требует обогащения</t>
        </is>
      </c>
      <c r="Q6307" s="16">
        <f>HYPERLINK("https://pb.nalog.ru/search.html?query=2209013118","ФНС: проверить")</f>
        <v/>
      </c>
      <c r="R6307" s="16">
        <f>HYPERLINK("https://checko.ru/search?query=3801001629","Чекко: проверить")</f>
        <v/>
      </c>
      <c r="S6307" t="n">
        <v>1</v>
      </c>
      <c r="T6307" s="35" t="inlineStr">
        <is>
          <t>4 — Не обогащён</t>
        </is>
      </c>
      <c r="U6307" s="35" t="inlineStr">
        <is>
          <t>Нет ОКВЭД/ССЧР</t>
        </is>
      </c>
      <c r="V6307" s="35" t="inlineStr">
        <is>
          <t>Не определено</t>
        </is>
      </c>
      <c r="W6307" s="35" t="inlineStr"/>
      <c r="X6307" s="35" t="inlineStr"/>
    </row>
    <row r="6308" ht="27.75" customHeight="1" s="24">
      <c r="A6308" s="13" t="n">
        <v>5000077470</v>
      </c>
      <c r="B6308" s="13" t="inlineStr">
        <is>
          <t>КГБУЗ "Алтайский краевой наркологический диспансер"</t>
        </is>
      </c>
      <c r="C6308" s="13" t="n">
        <v>2225036708</v>
      </c>
      <c r="D6308" s="13" t="inlineStr">
        <is>
          <t>2225036708</t>
        </is>
      </c>
      <c r="E6308" s="13" t="inlineStr">
        <is>
          <t>ЮЛ РФ</t>
        </is>
      </c>
      <c r="F6308" s="13" t="n"/>
      <c r="G6308" s="14" t="n"/>
      <c r="H6308" s="14" t="n"/>
      <c r="I6308" s="14" t="n"/>
      <c r="J6308" s="14" t="n"/>
      <c r="K6308" s="53" t="inlineStr"/>
      <c r="L6308" s="53" t="inlineStr">
        <is>
          <t>Не определено</t>
        </is>
      </c>
      <c r="M6308" s="53" t="inlineStr"/>
      <c r="N6308" s="54" t="inlineStr"/>
      <c r="O6308" s="55" t="inlineStr"/>
      <c r="P6308" s="16" t="inlineStr">
        <is>
          <t>Требует обогащения</t>
        </is>
      </c>
      <c r="Q6308" s="16">
        <f>HYPERLINK("https://pb.nalog.ru/search.html?query=2225036708","ФНС: проверить")</f>
        <v/>
      </c>
      <c r="R6308" s="16">
        <f>HYPERLINK("https://checko.ru/search?query=3801001629","Чекко: проверить")</f>
        <v/>
      </c>
      <c r="S6308" t="n">
        <v>1</v>
      </c>
      <c r="T6308" s="35" t="inlineStr">
        <is>
          <t>4 — Не обогащён</t>
        </is>
      </c>
      <c r="U6308" s="35" t="inlineStr">
        <is>
          <t>Нет ОКВЭД/ССЧР</t>
        </is>
      </c>
      <c r="V6308" s="35" t="inlineStr">
        <is>
          <t>Не определено</t>
        </is>
      </c>
      <c r="W6308" s="35" t="inlineStr"/>
      <c r="X6308" s="35" t="inlineStr"/>
    </row>
    <row r="6309" ht="15" customHeight="1" s="24">
      <c r="A6309" s="13" t="n">
        <v>5000077372</v>
      </c>
      <c r="B6309" s="13" t="inlineStr">
        <is>
          <t>КГБУЗ "Бийская центральная районная больница"</t>
        </is>
      </c>
      <c r="C6309" s="13" t="n">
        <v>2234004205</v>
      </c>
      <c r="D6309" s="13" t="inlineStr">
        <is>
          <t>2234004205</t>
        </is>
      </c>
      <c r="E6309" s="13" t="inlineStr">
        <is>
          <t>ЮЛ РФ</t>
        </is>
      </c>
      <c r="F6309" s="13" t="n"/>
      <c r="G6309" s="14" t="n"/>
      <c r="H6309" s="14" t="n"/>
      <c r="I6309" s="14" t="n"/>
      <c r="J6309" s="14" t="n"/>
      <c r="K6309" s="53" t="inlineStr"/>
      <c r="L6309" s="53" t="inlineStr">
        <is>
          <t>Не определено</t>
        </is>
      </c>
      <c r="M6309" s="53" t="inlineStr"/>
      <c r="N6309" s="54" t="inlineStr"/>
      <c r="O6309" s="55" t="inlineStr"/>
      <c r="P6309" s="16" t="inlineStr">
        <is>
          <t>Требует обогащения</t>
        </is>
      </c>
      <c r="Q6309" s="16">
        <f>HYPERLINK("https://pb.nalog.ru/search.html?query=2234004205","ФНС: проверить")</f>
        <v/>
      </c>
      <c r="R6309" s="16">
        <f>HYPERLINK("https://checko.ru/search?query=3801001629","Чекко: проверить")</f>
        <v/>
      </c>
      <c r="S6309" t="n">
        <v>1</v>
      </c>
      <c r="T6309" s="35" t="inlineStr">
        <is>
          <t>4 — Не обогащён</t>
        </is>
      </c>
      <c r="U6309" s="35" t="inlineStr">
        <is>
          <t>Нет ОКВЭД/ССЧР</t>
        </is>
      </c>
      <c r="V6309" s="35" t="inlineStr">
        <is>
          <t>Не определено</t>
        </is>
      </c>
      <c r="W6309" s="35" t="inlineStr"/>
      <c r="X6309" s="35" t="inlineStr"/>
    </row>
    <row r="6310" ht="15" customHeight="1" s="24">
      <c r="A6310" s="13" t="n">
        <v>5000077377</v>
      </c>
      <c r="B6310" s="13" t="inlineStr">
        <is>
          <t>КГБУЗ "Городская больница № 12, г. Барнаул"</t>
        </is>
      </c>
      <c r="C6310" s="13" t="n">
        <v>2223021738</v>
      </c>
      <c r="D6310" s="13" t="inlineStr">
        <is>
          <t>2223021738</t>
        </is>
      </c>
      <c r="E6310" s="13" t="inlineStr">
        <is>
          <t>ЮЛ РФ</t>
        </is>
      </c>
      <c r="F6310" s="13" t="n"/>
      <c r="G6310" s="14" t="n"/>
      <c r="H6310" s="14" t="n"/>
      <c r="I6310" s="14" t="n"/>
      <c r="J6310" s="14" t="n"/>
      <c r="K6310" s="53" t="inlineStr"/>
      <c r="L6310" s="53" t="inlineStr">
        <is>
          <t>Не определено</t>
        </is>
      </c>
      <c r="M6310" s="53" t="inlineStr"/>
      <c r="N6310" s="54" t="inlineStr"/>
      <c r="O6310" s="55" t="inlineStr"/>
      <c r="P6310" s="16" t="inlineStr">
        <is>
          <t>Требует обогащения</t>
        </is>
      </c>
      <c r="Q6310" s="16">
        <f>HYPERLINK("https://pb.nalog.ru/search.html?query=2223021738","ФНС: проверить")</f>
        <v/>
      </c>
      <c r="R6310" s="16">
        <f>HYPERLINK("https://checko.ru/search?query=3801001629","Чекко: проверить")</f>
        <v/>
      </c>
      <c r="S6310" t="n">
        <v>1</v>
      </c>
      <c r="T6310" s="35" t="inlineStr">
        <is>
          <t>4 — Не обогащён</t>
        </is>
      </c>
      <c r="U6310" s="35" t="inlineStr">
        <is>
          <t>Нет ОКВЭД/ССЧР</t>
        </is>
      </c>
      <c r="V6310" s="35" t="inlineStr">
        <is>
          <t>Не определено</t>
        </is>
      </c>
      <c r="W6310" s="35" t="inlineStr"/>
      <c r="X6310" s="35" t="inlineStr"/>
    </row>
    <row r="6311" ht="15" customHeight="1" s="24">
      <c r="A6311" s="13" t="n">
        <v>5000077410</v>
      </c>
      <c r="B6311" s="13" t="inlineStr">
        <is>
          <t>КГБУЗ "Краевая клиническая больница"</t>
        </is>
      </c>
      <c r="C6311" s="13" t="n">
        <v>2225021067</v>
      </c>
      <c r="D6311" s="13" t="inlineStr">
        <is>
          <t>2225021067</t>
        </is>
      </c>
      <c r="E6311" s="13" t="inlineStr">
        <is>
          <t>ЮЛ РФ</t>
        </is>
      </c>
      <c r="F6311" s="13" t="n"/>
      <c r="G6311" s="14" t="n"/>
      <c r="H6311" s="14" t="n"/>
      <c r="I6311" s="14" t="n"/>
      <c r="J6311" s="14" t="n"/>
      <c r="K6311" s="53" t="inlineStr"/>
      <c r="L6311" s="53" t="inlineStr">
        <is>
          <t>Не определено</t>
        </is>
      </c>
      <c r="M6311" s="53" t="inlineStr"/>
      <c r="N6311" s="54" t="inlineStr"/>
      <c r="O6311" s="55" t="inlineStr"/>
      <c r="P6311" s="16" t="inlineStr">
        <is>
          <t>Требует обогащения</t>
        </is>
      </c>
      <c r="Q6311" s="16">
        <f>HYPERLINK("https://pb.nalog.ru/search.html?query=2225021067","ФНС: проверить")</f>
        <v/>
      </c>
      <c r="R6311" s="16">
        <f>HYPERLINK("https://checko.ru/search?query=3801001629","Чекко: проверить")</f>
        <v/>
      </c>
      <c r="S6311" t="n">
        <v>1</v>
      </c>
      <c r="T6311" s="35" t="inlineStr">
        <is>
          <t>4 — Не обогащён</t>
        </is>
      </c>
      <c r="U6311" s="35" t="inlineStr">
        <is>
          <t>Нет ОКВЭД/ССЧР</t>
        </is>
      </c>
      <c r="V6311" s="35" t="inlineStr">
        <is>
          <t>Не определено</t>
        </is>
      </c>
      <c r="W6311" s="35" t="inlineStr"/>
      <c r="X6311" s="35" t="inlineStr"/>
    </row>
    <row r="6312" ht="27.75" customHeight="1" s="24">
      <c r="A6312" s="13" t="n">
        <v>5000077426</v>
      </c>
      <c r="B6312" s="13" t="inlineStr">
        <is>
          <t>КГБУЗ "Первомайская центральная районная больница имени А.Ф. Воробьёва"</t>
        </is>
      </c>
      <c r="C6312" s="13" t="n">
        <v>2263002040</v>
      </c>
      <c r="D6312" s="13" t="inlineStr">
        <is>
          <t>2263002040</t>
        </is>
      </c>
      <c r="E6312" s="13" t="inlineStr">
        <is>
          <t>ЮЛ РФ</t>
        </is>
      </c>
      <c r="F6312" s="13" t="n"/>
      <c r="G6312" s="14" t="n"/>
      <c r="H6312" s="14" t="n"/>
      <c r="I6312" s="14" t="n"/>
      <c r="J6312" s="14" t="n"/>
      <c r="K6312" s="53" t="inlineStr"/>
      <c r="L6312" s="53" t="inlineStr">
        <is>
          <t>Не определено</t>
        </is>
      </c>
      <c r="M6312" s="53" t="inlineStr"/>
      <c r="N6312" s="54" t="inlineStr"/>
      <c r="O6312" s="55" t="inlineStr"/>
      <c r="P6312" s="16" t="inlineStr">
        <is>
          <t>Требует обогащения</t>
        </is>
      </c>
      <c r="Q6312" s="16">
        <f>HYPERLINK("https://pb.nalog.ru/search.html?query=2263002040","ФНС: проверить")</f>
        <v/>
      </c>
      <c r="R6312" s="16">
        <f>HYPERLINK("https://checko.ru/search?query=3801001629","Чекко: проверить")</f>
        <v/>
      </c>
      <c r="S6312" t="n">
        <v>1</v>
      </c>
      <c r="T6312" s="35" t="inlineStr">
        <is>
          <t>4 — Не обогащён</t>
        </is>
      </c>
      <c r="U6312" s="35" t="inlineStr">
        <is>
          <t>Нет ОКВЭД/ССЧР</t>
        </is>
      </c>
      <c r="V6312" s="35" t="inlineStr">
        <is>
          <t>Не определено</t>
        </is>
      </c>
      <c r="W6312" s="35" t="inlineStr"/>
      <c r="X6312" s="35" t="inlineStr"/>
    </row>
    <row r="6313" ht="27.75" customHeight="1" s="24">
      <c r="A6313" s="13" t="n">
        <v>5000077451</v>
      </c>
      <c r="B6313" s="13" t="inlineStr">
        <is>
          <t>КГБУЗ "Тальменская центральная районная больница"</t>
        </is>
      </c>
      <c r="C6313" s="13" t="n">
        <v>2277004810</v>
      </c>
      <c r="D6313" s="13" t="inlineStr">
        <is>
          <t>2277004810</t>
        </is>
      </c>
      <c r="E6313" s="13" t="inlineStr">
        <is>
          <t>ЮЛ РФ</t>
        </is>
      </c>
      <c r="F6313" s="13" t="n"/>
      <c r="G6313" s="14" t="n"/>
      <c r="H6313" s="14" t="n"/>
      <c r="I6313" s="14" t="n"/>
      <c r="J6313" s="14" t="n"/>
      <c r="K6313" s="53" t="inlineStr"/>
      <c r="L6313" s="53" t="inlineStr">
        <is>
          <t>Не определено</t>
        </is>
      </c>
      <c r="M6313" s="53" t="inlineStr"/>
      <c r="N6313" s="54" t="inlineStr"/>
      <c r="O6313" s="55" t="inlineStr"/>
      <c r="P6313" s="16" t="inlineStr">
        <is>
          <t>Требует обогащения</t>
        </is>
      </c>
      <c r="Q6313" s="16">
        <f>HYPERLINK("https://pb.nalog.ru/search.html?query=2277004810","ФНС: проверить")</f>
        <v/>
      </c>
      <c r="R6313" s="16">
        <f>HYPERLINK("https://checko.ru/search?query=3801001629","Чекко: проверить")</f>
        <v/>
      </c>
      <c r="S6313" t="n">
        <v>1</v>
      </c>
      <c r="T6313" s="35" t="inlineStr">
        <is>
          <t>4 — Не обогащён</t>
        </is>
      </c>
      <c r="U6313" s="35" t="inlineStr">
        <is>
          <t>Нет ОКВЭД/ССЧР</t>
        </is>
      </c>
      <c r="V6313" s="35" t="inlineStr">
        <is>
          <t>Не определено</t>
        </is>
      </c>
      <c r="W6313" s="35" t="inlineStr"/>
      <c r="X6313" s="35" t="inlineStr"/>
    </row>
    <row r="6314" ht="15" customHeight="1" s="24">
      <c r="A6314" s="13" t="n">
        <v>5000077411</v>
      </c>
      <c r="B6314" s="13" t="inlineStr">
        <is>
          <t>КГБУЗ "Краевая стоматологическая поликлиника</t>
        </is>
      </c>
      <c r="C6314" s="13" t="n">
        <v>2221013379</v>
      </c>
      <c r="D6314" s="13" t="inlineStr">
        <is>
          <t>2221013379</t>
        </is>
      </c>
      <c r="E6314" s="13" t="inlineStr">
        <is>
          <t>ЮЛ РФ</t>
        </is>
      </c>
      <c r="F6314" s="13" t="n"/>
      <c r="G6314" s="14" t="n"/>
      <c r="H6314" s="14" t="n"/>
      <c r="I6314" s="14" t="n"/>
      <c r="J6314" s="14" t="n"/>
      <c r="K6314" s="53" t="inlineStr"/>
      <c r="L6314" s="53" t="inlineStr">
        <is>
          <t>Не определено</t>
        </is>
      </c>
      <c r="M6314" s="53" t="inlineStr"/>
      <c r="N6314" s="54" t="inlineStr"/>
      <c r="O6314" s="55" t="inlineStr"/>
      <c r="P6314" s="16" t="inlineStr">
        <is>
          <t>Требует обогащения</t>
        </is>
      </c>
      <c r="Q6314" s="16">
        <f>HYPERLINK("https://pb.nalog.ru/search.html?query=2221013379","ФНС: проверить")</f>
        <v/>
      </c>
      <c r="R6314" s="16">
        <f>HYPERLINK("https://checko.ru/search?query=3801001629","Чекко: проверить")</f>
        <v/>
      </c>
      <c r="S6314" t="n">
        <v>1</v>
      </c>
      <c r="T6314" s="35" t="inlineStr">
        <is>
          <t>4 — Не обогащён</t>
        </is>
      </c>
      <c r="U6314" s="35" t="inlineStr">
        <is>
          <t>Нет ОКВЭД/ССЧР</t>
        </is>
      </c>
      <c r="V6314" s="35" t="inlineStr">
        <is>
          <t>Не определено</t>
        </is>
      </c>
      <c r="W6314" s="35" t="inlineStr"/>
      <c r="X6314" s="35" t="inlineStr"/>
    </row>
    <row r="6315" ht="27.75" customHeight="1" s="24">
      <c r="A6315" s="13" t="n">
        <v>5000064364</v>
      </c>
      <c r="B6315" s="13" t="inlineStr">
        <is>
          <t>КГБУЗ  "Тогульская центральная районная больница"</t>
        </is>
      </c>
      <c r="C6315" s="13" t="n">
        <v>2278000737</v>
      </c>
      <c r="D6315" s="13" t="inlineStr">
        <is>
          <t>2278000737</t>
        </is>
      </c>
      <c r="E6315" s="13" t="inlineStr">
        <is>
          <t>ЮЛ РФ</t>
        </is>
      </c>
      <c r="F6315" s="13" t="n"/>
      <c r="G6315" s="14" t="n"/>
      <c r="H6315" s="14" t="n"/>
      <c r="I6315" s="14" t="n"/>
      <c r="J6315" s="14" t="n"/>
      <c r="K6315" s="53" t="inlineStr"/>
      <c r="L6315" s="53" t="inlineStr">
        <is>
          <t>Не определено</t>
        </is>
      </c>
      <c r="M6315" s="53" t="inlineStr"/>
      <c r="N6315" s="54" t="inlineStr"/>
      <c r="O6315" s="55" t="inlineStr"/>
      <c r="P6315" s="16" t="inlineStr">
        <is>
          <t>Требует обогащения</t>
        </is>
      </c>
      <c r="Q6315" s="16">
        <f>HYPERLINK("https://pb.nalog.ru/search.html?query=2278000737","ФНС: проверить")</f>
        <v/>
      </c>
      <c r="R6315" s="16">
        <f>HYPERLINK("https://checko.ru/search?query=3801001629","Чекко: проверить")</f>
        <v/>
      </c>
      <c r="S6315" t="n">
        <v>1</v>
      </c>
      <c r="T6315" s="35" t="inlineStr">
        <is>
          <t>4 — Не обогащён</t>
        </is>
      </c>
      <c r="U6315" s="35" t="inlineStr">
        <is>
          <t>Нет ОКВЭД/ССЧР</t>
        </is>
      </c>
      <c r="V6315" s="35" t="inlineStr">
        <is>
          <t>Не определено</t>
        </is>
      </c>
      <c r="W6315" s="35" t="inlineStr"/>
      <c r="X6315" s="35" t="inlineStr"/>
    </row>
    <row r="6316" ht="15" customHeight="1" s="24">
      <c r="A6316" s="13" t="n">
        <v>5000077378</v>
      </c>
      <c r="B6316" s="13" t="inlineStr">
        <is>
          <t>МБУЗ "Горбольница № 3" Барнаул</t>
        </is>
      </c>
      <c r="C6316" s="13" t="n">
        <v>2224018248</v>
      </c>
      <c r="D6316" s="13" t="inlineStr">
        <is>
          <t>2224018248</t>
        </is>
      </c>
      <c r="E6316" s="13" t="inlineStr">
        <is>
          <t>ЮЛ РФ</t>
        </is>
      </c>
      <c r="F6316" s="13" t="n"/>
      <c r="G6316" s="14" t="n"/>
      <c r="H6316" s="14" t="n"/>
      <c r="I6316" s="14" t="n"/>
      <c r="J6316" s="14" t="n"/>
      <c r="K6316" s="53" t="inlineStr"/>
      <c r="L6316" s="53" t="inlineStr">
        <is>
          <t>Не определено</t>
        </is>
      </c>
      <c r="M6316" s="53" t="inlineStr"/>
      <c r="N6316" s="54" t="inlineStr"/>
      <c r="O6316" s="55" t="inlineStr"/>
      <c r="P6316" s="16" t="inlineStr">
        <is>
          <t>Требует обогащения</t>
        </is>
      </c>
      <c r="Q6316" s="16">
        <f>HYPERLINK("https://pb.nalog.ru/search.html?query=2224018248","ФНС: проверить")</f>
        <v/>
      </c>
      <c r="R6316" s="16">
        <f>HYPERLINK("https://checko.ru/search?query=3801001629","Чекко: проверить")</f>
        <v/>
      </c>
      <c r="S6316" t="n">
        <v>1</v>
      </c>
      <c r="T6316" s="35" t="inlineStr">
        <is>
          <t>4 — Не обогащён</t>
        </is>
      </c>
      <c r="U6316" s="35" t="inlineStr">
        <is>
          <t>Нет ОКВЭД/ССЧР</t>
        </is>
      </c>
      <c r="V6316" s="35" t="inlineStr">
        <is>
          <t>Не определено</t>
        </is>
      </c>
      <c r="W6316" s="35" t="inlineStr"/>
      <c r="X6316" s="35" t="inlineStr"/>
    </row>
    <row r="6317" ht="15" customHeight="1" s="24">
      <c r="A6317" s="13" t="n">
        <v>5000076980</v>
      </c>
      <c r="B6317" s="13" t="inlineStr">
        <is>
          <t>КГБУЗ "ГБ имени Л.Я.Литвиненко, г.Новоалтайск"</t>
        </is>
      </c>
      <c r="C6317" s="13" t="n">
        <v>2208003036</v>
      </c>
      <c r="D6317" s="13" t="inlineStr">
        <is>
          <t>2208003036</t>
        </is>
      </c>
      <c r="E6317" s="13" t="inlineStr">
        <is>
          <t>ЮЛ РФ</t>
        </is>
      </c>
      <c r="F6317" s="13" t="n"/>
      <c r="G6317" s="14" t="n"/>
      <c r="H6317" s="14" t="n"/>
      <c r="I6317" s="14" t="n"/>
      <c r="J6317" s="14" t="n"/>
      <c r="K6317" s="53" t="inlineStr"/>
      <c r="L6317" s="53" t="inlineStr">
        <is>
          <t>Не определено</t>
        </is>
      </c>
      <c r="M6317" s="53" t="inlineStr"/>
      <c r="N6317" s="54" t="inlineStr"/>
      <c r="O6317" s="55" t="inlineStr"/>
      <c r="P6317" s="16" t="inlineStr">
        <is>
          <t>Требует обогащения</t>
        </is>
      </c>
      <c r="Q6317" s="16">
        <f>HYPERLINK("https://pb.nalog.ru/search.html?query=2208003036","ФНС: проверить")</f>
        <v/>
      </c>
      <c r="R6317" s="16">
        <f>HYPERLINK("https://checko.ru/search?query=3801001629","Чекко: проверить")</f>
        <v/>
      </c>
      <c r="S6317" t="n">
        <v>1</v>
      </c>
      <c r="T6317" s="35" t="inlineStr">
        <is>
          <t>4 — Не обогащён</t>
        </is>
      </c>
      <c r="U6317" s="35" t="inlineStr">
        <is>
          <t>Нет ОКВЭД/ССЧР</t>
        </is>
      </c>
      <c r="V6317" s="35" t="inlineStr">
        <is>
          <t>Не определено</t>
        </is>
      </c>
      <c r="W6317" s="35" t="inlineStr"/>
      <c r="X6317" s="35" t="inlineStr"/>
    </row>
    <row r="6318" ht="15" customHeight="1" s="24">
      <c r="A6318" s="13" t="n">
        <v>5000077433</v>
      </c>
      <c r="B6318" s="13" t="inlineStr">
        <is>
          <t>Ребрихинская ЦРБ</t>
        </is>
      </c>
      <c r="C6318" s="13" t="n">
        <v>2266001648</v>
      </c>
      <c r="D6318" s="13" t="inlineStr">
        <is>
          <t>2266001648</t>
        </is>
      </c>
      <c r="E6318" s="13" t="inlineStr">
        <is>
          <t>ЮЛ РФ</t>
        </is>
      </c>
      <c r="F6318" s="13" t="n"/>
      <c r="G6318" s="14" t="n"/>
      <c r="H6318" s="14" t="n"/>
      <c r="I6318" s="14" t="n"/>
      <c r="J6318" s="14" t="n"/>
      <c r="K6318" s="53" t="inlineStr"/>
      <c r="L6318" s="53" t="inlineStr">
        <is>
          <t>Не определено</t>
        </is>
      </c>
      <c r="M6318" s="53" t="inlineStr"/>
      <c r="N6318" s="54" t="inlineStr"/>
      <c r="O6318" s="55" t="inlineStr"/>
      <c r="P6318" s="16" t="inlineStr">
        <is>
          <t>Требует обогащения</t>
        </is>
      </c>
      <c r="Q6318" s="16">
        <f>HYPERLINK("https://pb.nalog.ru/search.html?query=2266001648","ФНС: проверить")</f>
        <v/>
      </c>
      <c r="R6318" s="16">
        <f>HYPERLINK("https://checko.ru/search?query=3801001629","Чекко: проверить")</f>
        <v/>
      </c>
      <c r="S6318" t="n">
        <v>1</v>
      </c>
      <c r="T6318" s="35" t="inlineStr">
        <is>
          <t>4 — Не обогащён</t>
        </is>
      </c>
      <c r="U6318" s="35" t="inlineStr">
        <is>
          <t>Нет ОКВЭД/ССЧР</t>
        </is>
      </c>
      <c r="V6318" s="35" t="inlineStr">
        <is>
          <t>Не определено</t>
        </is>
      </c>
      <c r="W6318" s="35" t="inlineStr"/>
      <c r="X6318" s="35" t="inlineStr"/>
    </row>
    <row r="6319" ht="27.75" customHeight="1" s="24">
      <c r="A6319" s="13" t="n">
        <v>5000077367</v>
      </c>
      <c r="B6319" s="13" t="inlineStr">
        <is>
          <t>КГБУ здравоохранения  «Алтайский краевой противотуберкулезный диспансер»</t>
        </is>
      </c>
      <c r="C6319" s="13" t="n">
        <v>2224156992</v>
      </c>
      <c r="D6319" s="13" t="inlineStr">
        <is>
          <t>2224156992</t>
        </is>
      </c>
      <c r="E6319" s="13" t="inlineStr">
        <is>
          <t>ЮЛ РФ</t>
        </is>
      </c>
      <c r="F6319" s="13" t="n"/>
      <c r="G6319" s="14" t="n"/>
      <c r="H6319" s="14" t="n"/>
      <c r="I6319" s="14" t="n"/>
      <c r="J6319" s="14" t="n"/>
      <c r="K6319" s="53" t="inlineStr"/>
      <c r="L6319" s="53" t="inlineStr">
        <is>
          <t>Не определено</t>
        </is>
      </c>
      <c r="M6319" s="53" t="inlineStr"/>
      <c r="N6319" s="54" t="inlineStr"/>
      <c r="O6319" s="55" t="inlineStr"/>
      <c r="P6319" s="16" t="inlineStr">
        <is>
          <t>Требует обогащения</t>
        </is>
      </c>
      <c r="Q6319" s="16">
        <f>HYPERLINK("https://pb.nalog.ru/search.html?query=2224156992","ФНС: проверить")</f>
        <v/>
      </c>
      <c r="R6319" s="16">
        <f>HYPERLINK("https://checko.ru/search?query=3801001629","Чекко: проверить")</f>
        <v/>
      </c>
      <c r="S6319" t="n">
        <v>1</v>
      </c>
      <c r="T6319" s="35" t="inlineStr">
        <is>
          <t>4 — Не обогащён</t>
        </is>
      </c>
      <c r="U6319" s="35" t="inlineStr">
        <is>
          <t>Нет ОКВЭД/ССЧР</t>
        </is>
      </c>
      <c r="V6319" s="35" t="inlineStr">
        <is>
          <t>Не определено</t>
        </is>
      </c>
      <c r="W6319" s="35" t="inlineStr"/>
      <c r="X6319" s="35" t="inlineStr"/>
    </row>
    <row r="6320" ht="15" customHeight="1" s="24">
      <c r="A6320" s="13" t="n">
        <v>5000104212</v>
      </c>
      <c r="B6320" s="13" t="inlineStr">
        <is>
          <t>КГБУЗ «Городская Поликлиника № 10, г.Барнаул»</t>
        </is>
      </c>
      <c r="C6320" s="13" t="n">
        <v>2221005667</v>
      </c>
      <c r="D6320" s="13" t="inlineStr">
        <is>
          <t>2221005667</t>
        </is>
      </c>
      <c r="E6320" s="13" t="inlineStr">
        <is>
          <t>ЮЛ РФ</t>
        </is>
      </c>
      <c r="F6320" s="13" t="n"/>
      <c r="G6320" s="14" t="n"/>
      <c r="H6320" s="14" t="n"/>
      <c r="I6320" s="14" t="n"/>
      <c r="J6320" s="14" t="n"/>
      <c r="K6320" s="53" t="inlineStr"/>
      <c r="L6320" s="53" t="inlineStr">
        <is>
          <t>Не определено</t>
        </is>
      </c>
      <c r="M6320" s="53" t="inlineStr"/>
      <c r="N6320" s="54" t="inlineStr"/>
      <c r="O6320" s="55" t="inlineStr"/>
      <c r="P6320" s="16" t="inlineStr">
        <is>
          <t>Требует обогащения</t>
        </is>
      </c>
      <c r="Q6320" s="16">
        <f>HYPERLINK("https://pb.nalog.ru/search.html?query=2221005667","ФНС: проверить")</f>
        <v/>
      </c>
      <c r="R6320" s="16">
        <f>HYPERLINK("https://checko.ru/search?query=3801001629","Чекко: проверить")</f>
        <v/>
      </c>
      <c r="S6320" t="n">
        <v>1</v>
      </c>
      <c r="T6320" s="35" t="inlineStr">
        <is>
          <t>4 — Не обогащён</t>
        </is>
      </c>
      <c r="U6320" s="35" t="inlineStr">
        <is>
          <t>Нет ОКВЭД/ССЧР</t>
        </is>
      </c>
      <c r="V6320" s="35" t="inlineStr">
        <is>
          <t>Не определено</t>
        </is>
      </c>
      <c r="W6320" s="35" t="inlineStr"/>
      <c r="X6320" s="35" t="inlineStr"/>
    </row>
    <row r="6321" ht="15" customHeight="1" s="24">
      <c r="A6321" s="13" t="n">
        <v>5000077403</v>
      </c>
      <c r="B6321" s="13" t="inlineStr">
        <is>
          <t>КГБУЗ "Зональная ЦРБ"</t>
        </is>
      </c>
      <c r="C6321" s="13" t="n">
        <v>2245001277</v>
      </c>
      <c r="D6321" s="13" t="inlineStr">
        <is>
          <t>2245001277</t>
        </is>
      </c>
      <c r="E6321" s="13" t="inlineStr">
        <is>
          <t>ЮЛ РФ</t>
        </is>
      </c>
      <c r="F6321" s="13" t="n"/>
      <c r="G6321" s="14" t="n"/>
      <c r="H6321" s="14" t="n"/>
      <c r="I6321" s="14" t="n"/>
      <c r="J6321" s="14" t="n"/>
      <c r="K6321" s="53" t="inlineStr"/>
      <c r="L6321" s="53" t="inlineStr">
        <is>
          <t>Не определено</t>
        </is>
      </c>
      <c r="M6321" s="53" t="inlineStr"/>
      <c r="N6321" s="54" t="inlineStr"/>
      <c r="O6321" s="55" t="inlineStr"/>
      <c r="P6321" s="16" t="inlineStr">
        <is>
          <t>Требует обогащения</t>
        </is>
      </c>
      <c r="Q6321" s="16">
        <f>HYPERLINK("https://pb.nalog.ru/search.html?query=2245001277","ФНС: проверить")</f>
        <v/>
      </c>
      <c r="R6321" s="16">
        <f>HYPERLINK("https://checko.ru/search?query=3801001629","Чекко: проверить")</f>
        <v/>
      </c>
      <c r="S6321" t="n">
        <v>1</v>
      </c>
      <c r="T6321" s="35" t="inlineStr">
        <is>
          <t>4 — Не обогащён</t>
        </is>
      </c>
      <c r="U6321" s="35" t="inlineStr">
        <is>
          <t>Нет ОКВЭД/ССЧР</t>
        </is>
      </c>
      <c r="V6321" s="35" t="inlineStr">
        <is>
          <t>Не определено</t>
        </is>
      </c>
      <c r="W6321" s="35" t="inlineStr"/>
      <c r="X6321" s="35" t="inlineStr"/>
    </row>
    <row r="6322" ht="15" customHeight="1" s="24">
      <c r="A6322" s="13" t="n">
        <v>5000077436</v>
      </c>
      <c r="B6322" s="13" t="inlineStr">
        <is>
          <t>КГБУЗ "Романовская ЦРБ"</t>
        </is>
      </c>
      <c r="C6322" s="13" t="n">
        <v>2268000985</v>
      </c>
      <c r="D6322" s="13" t="inlineStr">
        <is>
          <t>2268000985</t>
        </is>
      </c>
      <c r="E6322" s="13" t="inlineStr">
        <is>
          <t>ЮЛ РФ</t>
        </is>
      </c>
      <c r="F6322" s="13" t="n"/>
      <c r="G6322" s="14" t="n"/>
      <c r="H6322" s="14" t="n"/>
      <c r="I6322" s="14" t="n"/>
      <c r="J6322" s="14" t="n"/>
      <c r="K6322" s="53" t="inlineStr"/>
      <c r="L6322" s="53" t="inlineStr">
        <is>
          <t>Не определено</t>
        </is>
      </c>
      <c r="M6322" s="53" t="inlineStr"/>
      <c r="N6322" s="54" t="inlineStr"/>
      <c r="O6322" s="55" t="inlineStr"/>
      <c r="P6322" s="16" t="inlineStr">
        <is>
          <t>Требует обогащения</t>
        </is>
      </c>
      <c r="Q6322" s="16">
        <f>HYPERLINK("https://pb.nalog.ru/search.html?query=2268000985","ФНС: проверить")</f>
        <v/>
      </c>
      <c r="R6322" s="16">
        <f>HYPERLINK("https://checko.ru/search?query=3801001629","Чекко: проверить")</f>
        <v/>
      </c>
      <c r="S6322" t="n">
        <v>1</v>
      </c>
      <c r="T6322" s="35" t="inlineStr">
        <is>
          <t>4 — Не обогащён</t>
        </is>
      </c>
      <c r="U6322" s="35" t="inlineStr">
        <is>
          <t>Нет ОКВЭД/ССЧР</t>
        </is>
      </c>
      <c r="V6322" s="35" t="inlineStr">
        <is>
          <t>Не определено</t>
        </is>
      </c>
      <c r="W6322" s="35" t="inlineStr"/>
      <c r="X6322" s="35" t="inlineStr"/>
    </row>
    <row r="6323" ht="15" customHeight="1" s="24">
      <c r="A6323" s="13" t="n">
        <v>5000077466</v>
      </c>
      <c r="B6323" s="13" t="inlineStr">
        <is>
          <t>Родинская ЦРБ</t>
        </is>
      </c>
      <c r="C6323" s="13" t="n">
        <v>2267001873</v>
      </c>
      <c r="D6323" s="13" t="inlineStr">
        <is>
          <t>2267001873</t>
        </is>
      </c>
      <c r="E6323" s="13" t="inlineStr">
        <is>
          <t>ЮЛ РФ</t>
        </is>
      </c>
      <c r="F6323" s="13" t="n"/>
      <c r="G6323" s="14" t="n"/>
      <c r="H6323" s="14" t="n"/>
      <c r="I6323" s="14" t="n"/>
      <c r="J6323" s="14" t="n"/>
      <c r="K6323" s="53" t="inlineStr"/>
      <c r="L6323" s="53" t="inlineStr">
        <is>
          <t>Не определено</t>
        </is>
      </c>
      <c r="M6323" s="53" t="inlineStr"/>
      <c r="N6323" s="54" t="inlineStr"/>
      <c r="O6323" s="55" t="inlineStr"/>
      <c r="P6323" s="16" t="inlineStr">
        <is>
          <t>Требует обогащения</t>
        </is>
      </c>
      <c r="Q6323" s="16">
        <f>HYPERLINK("https://pb.nalog.ru/search.html?query=2267001873","ФНС: проверить")</f>
        <v/>
      </c>
      <c r="R6323" s="16">
        <f>HYPERLINK("https://checko.ru/search?query=3801001629","Чекко: проверить")</f>
        <v/>
      </c>
      <c r="S6323" t="n">
        <v>1</v>
      </c>
      <c r="T6323" s="35" t="inlineStr">
        <is>
          <t>4 — Не обогащён</t>
        </is>
      </c>
      <c r="U6323" s="35" t="inlineStr">
        <is>
          <t>Нет ОКВЭД/ССЧР</t>
        </is>
      </c>
      <c r="V6323" s="35" t="inlineStr">
        <is>
          <t>Не определено</t>
        </is>
      </c>
      <c r="W6323" s="35" t="inlineStr"/>
      <c r="X6323" s="35" t="inlineStr"/>
    </row>
    <row r="6324" ht="15" customHeight="1" s="24">
      <c r="A6324" s="13" t="n">
        <v>5000077452</v>
      </c>
      <c r="B6324" s="13" t="inlineStr">
        <is>
          <t>КГБУЗ "Топчихинская ЦРБ"</t>
        </is>
      </c>
      <c r="C6324" s="13" t="n">
        <v>2279002448</v>
      </c>
      <c r="D6324" s="13" t="inlineStr">
        <is>
          <t>2279002448</t>
        </is>
      </c>
      <c r="E6324" s="13" t="inlineStr">
        <is>
          <t>ЮЛ РФ</t>
        </is>
      </c>
      <c r="F6324" s="13" t="n"/>
      <c r="G6324" s="14" t="n"/>
      <c r="H6324" s="14" t="n"/>
      <c r="I6324" s="14" t="n"/>
      <c r="J6324" s="14" t="n"/>
      <c r="K6324" s="53" t="inlineStr"/>
      <c r="L6324" s="53" t="inlineStr">
        <is>
          <t>Не определено</t>
        </is>
      </c>
      <c r="M6324" s="53" t="inlineStr"/>
      <c r="N6324" s="54" t="inlineStr"/>
      <c r="O6324" s="55" t="inlineStr"/>
      <c r="P6324" s="16" t="inlineStr">
        <is>
          <t>Требует обогащения</t>
        </is>
      </c>
      <c r="Q6324" s="16">
        <f>HYPERLINK("https://pb.nalog.ru/search.html?query=2279002448","ФНС: проверить")</f>
        <v/>
      </c>
      <c r="R6324" s="16">
        <f>HYPERLINK("https://checko.ru/search?query=3801001629","Чекко: проверить")</f>
        <v/>
      </c>
      <c r="S6324" t="n">
        <v>1</v>
      </c>
      <c r="T6324" s="35" t="inlineStr">
        <is>
          <t>4 — Не обогащён</t>
        </is>
      </c>
      <c r="U6324" s="35" t="inlineStr">
        <is>
          <t>Нет ОКВЭД/ССЧР</t>
        </is>
      </c>
      <c r="V6324" s="35" t="inlineStr">
        <is>
          <t>Не определено</t>
        </is>
      </c>
      <c r="W6324" s="35" t="inlineStr"/>
      <c r="X6324" s="35" t="inlineStr"/>
    </row>
    <row r="6325" ht="27.75" customHeight="1" s="24">
      <c r="A6325" s="13" t="n">
        <v>5000077442</v>
      </c>
      <c r="B6325" s="13" t="inlineStr">
        <is>
          <t>МУЗ "Станция скорой медицинской деятельности" г.Барнаула</t>
        </is>
      </c>
      <c r="C6325" s="13" t="n">
        <v>2225021010</v>
      </c>
      <c r="D6325" s="13" t="inlineStr">
        <is>
          <t>2225021010</t>
        </is>
      </c>
      <c r="E6325" s="13" t="inlineStr">
        <is>
          <t>ЮЛ РФ</t>
        </is>
      </c>
      <c r="F6325" s="13" t="n"/>
      <c r="G6325" s="14" t="n"/>
      <c r="H6325" s="14" t="n"/>
      <c r="I6325" s="14" t="n"/>
      <c r="J6325" s="14" t="n"/>
      <c r="K6325" s="53" t="inlineStr"/>
      <c r="L6325" s="53" t="inlineStr">
        <is>
          <t>Не определено</t>
        </is>
      </c>
      <c r="M6325" s="53" t="inlineStr"/>
      <c r="N6325" s="54" t="inlineStr"/>
      <c r="O6325" s="55" t="inlineStr"/>
      <c r="P6325" s="16" t="inlineStr">
        <is>
          <t>Требует обогащения</t>
        </is>
      </c>
      <c r="Q6325" s="16">
        <f>HYPERLINK("https://pb.nalog.ru/search.html?query=2225021010","ФНС: проверить")</f>
        <v/>
      </c>
      <c r="R6325" s="16">
        <f>HYPERLINK("https://checko.ru/search?query=3801001629","Чекко: проверить")</f>
        <v/>
      </c>
      <c r="S6325" t="n">
        <v>1</v>
      </c>
      <c r="T6325" s="35" t="inlineStr">
        <is>
          <t>4 — Не обогащён</t>
        </is>
      </c>
      <c r="U6325" s="35" t="inlineStr">
        <is>
          <t>Нет ОКВЭД/ССЧР</t>
        </is>
      </c>
      <c r="V6325" s="35" t="inlineStr">
        <is>
          <t>Не определено</t>
        </is>
      </c>
      <c r="W6325" s="35" t="inlineStr"/>
      <c r="X6325" s="35" t="inlineStr"/>
    </row>
    <row r="6326" ht="27.75" customHeight="1" s="24">
      <c r="A6326" s="13" t="n">
        <v>5000064356</v>
      </c>
      <c r="B6326" s="13" t="inlineStr">
        <is>
          <t>КГБПОУ "Барнаульский базовый медицинский колледж"</t>
        </is>
      </c>
      <c r="C6326" s="13" t="n">
        <v>2224010217</v>
      </c>
      <c r="D6326" s="13" t="inlineStr">
        <is>
          <t>2224010217</t>
        </is>
      </c>
      <c r="E6326" s="13" t="inlineStr">
        <is>
          <t>ЮЛ РФ</t>
        </is>
      </c>
      <c r="F6326" s="13" t="n"/>
      <c r="G6326" s="14" t="n"/>
      <c r="H6326" s="14" t="n"/>
      <c r="I6326" s="14" t="n"/>
      <c r="J6326" s="14" t="n"/>
      <c r="K6326" s="53" t="inlineStr"/>
      <c r="L6326" s="53" t="inlineStr">
        <is>
          <t>Не определено</t>
        </is>
      </c>
      <c r="M6326" s="53" t="inlineStr"/>
      <c r="N6326" s="54" t="inlineStr"/>
      <c r="O6326" s="55" t="inlineStr"/>
      <c r="P6326" s="16" t="inlineStr">
        <is>
          <t>Требует обогащения</t>
        </is>
      </c>
      <c r="Q6326" s="16">
        <f>HYPERLINK("https://pb.nalog.ru/search.html?query=2224010217","ФНС: проверить")</f>
        <v/>
      </c>
      <c r="R6326" s="16">
        <f>HYPERLINK("https://checko.ru/search?query=3801001629","Чекко: проверить")</f>
        <v/>
      </c>
      <c r="S6326" t="n">
        <v>1</v>
      </c>
      <c r="T6326" s="35" t="inlineStr">
        <is>
          <t>4 — Не обогащён</t>
        </is>
      </c>
      <c r="U6326" s="35" t="inlineStr">
        <is>
          <t>Нет ОКВЭД/ССЧР</t>
        </is>
      </c>
      <c r="V6326" s="35" t="inlineStr">
        <is>
          <t>Не определено</t>
        </is>
      </c>
      <c r="W6326" s="35" t="inlineStr"/>
      <c r="X6326" s="35" t="inlineStr"/>
    </row>
    <row r="6327" ht="15" customHeight="1" s="24">
      <c r="A6327" s="13" t="n">
        <v>5000077421</v>
      </c>
      <c r="B6327" s="13" t="inlineStr">
        <is>
          <t>КГБУЗ "Онкологический диспансер, г.Бийск"</t>
        </is>
      </c>
      <c r="C6327" s="13" t="n">
        <v>2226025868</v>
      </c>
      <c r="D6327" s="13" t="inlineStr">
        <is>
          <t>2226025868</t>
        </is>
      </c>
      <c r="E6327" s="13" t="inlineStr">
        <is>
          <t>ЮЛ РФ</t>
        </is>
      </c>
      <c r="F6327" s="13" t="n"/>
      <c r="G6327" s="14" t="n"/>
      <c r="H6327" s="14" t="n"/>
      <c r="I6327" s="14" t="n"/>
      <c r="J6327" s="14" t="n"/>
      <c r="K6327" s="53" t="inlineStr"/>
      <c r="L6327" s="53" t="inlineStr">
        <is>
          <t>Не определено</t>
        </is>
      </c>
      <c r="M6327" s="53" t="inlineStr"/>
      <c r="N6327" s="54" t="inlineStr"/>
      <c r="O6327" s="55" t="inlineStr"/>
      <c r="P6327" s="16" t="inlineStr">
        <is>
          <t>Требует обогащения</t>
        </is>
      </c>
      <c r="Q6327" s="16">
        <f>HYPERLINK("https://pb.nalog.ru/search.html?query=2226025868","ФНС: проверить")</f>
        <v/>
      </c>
      <c r="R6327" s="16">
        <f>HYPERLINK("https://checko.ru/search?query=3801001629","Чекко: проверить")</f>
        <v/>
      </c>
      <c r="S6327" t="n">
        <v>1</v>
      </c>
      <c r="T6327" s="35" t="inlineStr">
        <is>
          <t>4 — Не обогащён</t>
        </is>
      </c>
      <c r="U6327" s="35" t="inlineStr">
        <is>
          <t>Нет ОКВЭД/ССЧР</t>
        </is>
      </c>
      <c r="V6327" s="35" t="inlineStr">
        <is>
          <t>Не определено</t>
        </is>
      </c>
      <c r="W6327" s="35" t="inlineStr"/>
      <c r="X6327" s="35" t="inlineStr"/>
    </row>
    <row r="6328" ht="41.25" customHeight="1" s="24">
      <c r="A6328" s="13" t="n">
        <v>5000077359</v>
      </c>
      <c r="B6328" s="13" t="inlineStr">
        <is>
          <t>КГБУЗ Алтайская краевая клиническая психиатрическая больница имени Эрдмана Юрия Карловича</t>
        </is>
      </c>
      <c r="C6328" s="13" t="n">
        <v>2222029558</v>
      </c>
      <c r="D6328" s="13" t="inlineStr">
        <is>
          <t>2222029558</t>
        </is>
      </c>
      <c r="E6328" s="13" t="inlineStr">
        <is>
          <t>ЮЛ РФ</t>
        </is>
      </c>
      <c r="F6328" s="13" t="n"/>
      <c r="G6328" s="14" t="n"/>
      <c r="H6328" s="14" t="n"/>
      <c r="I6328" s="14" t="n"/>
      <c r="J6328" s="14" t="n"/>
      <c r="K6328" s="53" t="inlineStr"/>
      <c r="L6328" s="53" t="inlineStr">
        <is>
          <t>Не определено</t>
        </is>
      </c>
      <c r="M6328" s="53" t="inlineStr"/>
      <c r="N6328" s="54" t="inlineStr"/>
      <c r="O6328" s="55" t="inlineStr"/>
      <c r="P6328" s="16" t="inlineStr">
        <is>
          <t>Требует обогащения</t>
        </is>
      </c>
      <c r="Q6328" s="16">
        <f>HYPERLINK("https://pb.nalog.ru/search.html?query=2222029558","ФНС: проверить")</f>
        <v/>
      </c>
      <c r="R6328" s="16">
        <f>HYPERLINK("https://checko.ru/search?query=3801001629","Чекко: проверить")</f>
        <v/>
      </c>
      <c r="S6328" t="n">
        <v>1</v>
      </c>
      <c r="T6328" s="35" t="inlineStr">
        <is>
          <t>4 — Не обогащён</t>
        </is>
      </c>
      <c r="U6328" s="35" t="inlineStr">
        <is>
          <t>Нет ОКВЭД/ССЧР</t>
        </is>
      </c>
      <c r="V6328" s="35" t="inlineStr">
        <is>
          <t>Не определено</t>
        </is>
      </c>
      <c r="W6328" s="35" t="inlineStr"/>
      <c r="X6328" s="35" t="inlineStr"/>
    </row>
    <row r="6329" ht="15" customHeight="1" s="24">
      <c r="A6329" s="13" t="n">
        <v>5000077458</v>
      </c>
      <c r="B6329" s="13" t="inlineStr">
        <is>
          <t>КГБУЗ "Усть-Пристанская ЦРБ"</t>
        </is>
      </c>
      <c r="C6329" s="13" t="n">
        <v>2285003070</v>
      </c>
      <c r="D6329" s="13" t="inlineStr">
        <is>
          <t>2285003070</t>
        </is>
      </c>
      <c r="E6329" s="13" t="inlineStr">
        <is>
          <t>ЮЛ РФ</t>
        </is>
      </c>
      <c r="F6329" s="13" t="n"/>
      <c r="G6329" s="14" t="n"/>
      <c r="H6329" s="14" t="n"/>
      <c r="I6329" s="14" t="n"/>
      <c r="J6329" s="14" t="n"/>
      <c r="K6329" s="53" t="inlineStr"/>
      <c r="L6329" s="53" t="inlineStr">
        <is>
          <t>Не определено</t>
        </is>
      </c>
      <c r="M6329" s="53" t="inlineStr"/>
      <c r="N6329" s="54" t="inlineStr"/>
      <c r="O6329" s="55" t="inlineStr"/>
      <c r="P6329" s="16" t="inlineStr">
        <is>
          <t>Требует обогащения</t>
        </is>
      </c>
      <c r="Q6329" s="16">
        <f>HYPERLINK("https://pb.nalog.ru/search.html?query=2285003070","ФНС: проверить")</f>
        <v/>
      </c>
      <c r="R6329" s="16">
        <f>HYPERLINK("https://checko.ru/search?query=3801001629","Чекко: проверить")</f>
        <v/>
      </c>
      <c r="S6329" t="n">
        <v>1</v>
      </c>
      <c r="T6329" s="35" t="inlineStr">
        <is>
          <t>4 — Не обогащён</t>
        </is>
      </c>
      <c r="U6329" s="35" t="inlineStr">
        <is>
          <t>Нет ОКВЭД/ССЧР</t>
        </is>
      </c>
      <c r="V6329" s="35" t="inlineStr">
        <is>
          <t>Не определено</t>
        </is>
      </c>
      <c r="W6329" s="35" t="inlineStr"/>
      <c r="X6329" s="35" t="inlineStr"/>
    </row>
    <row r="6330" ht="27.75" customHeight="1" s="24">
      <c r="A6330" s="13" t="n">
        <v>5000077360</v>
      </c>
      <c r="B6330" s="13" t="inlineStr">
        <is>
          <t>КГБУЗ "Алтайская краевая офтальмологическая больница"</t>
        </is>
      </c>
      <c r="C6330" s="13" t="n">
        <v>2224007951</v>
      </c>
      <c r="D6330" s="13" t="inlineStr">
        <is>
          <t>2224007951</t>
        </is>
      </c>
      <c r="E6330" s="13" t="inlineStr">
        <is>
          <t>ЮЛ РФ</t>
        </is>
      </c>
      <c r="F6330" s="13" t="n"/>
      <c r="G6330" s="14" t="n"/>
      <c r="H6330" s="14" t="n"/>
      <c r="I6330" s="14" t="n"/>
      <c r="J6330" s="14" t="n"/>
      <c r="K6330" s="53" t="inlineStr"/>
      <c r="L6330" s="53" t="inlineStr">
        <is>
          <t>Не определено</t>
        </is>
      </c>
      <c r="M6330" s="53" t="inlineStr"/>
      <c r="N6330" s="54" t="inlineStr"/>
      <c r="O6330" s="55" t="inlineStr"/>
      <c r="P6330" s="16" t="inlineStr">
        <is>
          <t>Требует обогащения</t>
        </is>
      </c>
      <c r="Q6330" s="16">
        <f>HYPERLINK("https://pb.nalog.ru/search.html?query=2224007951","ФНС: проверить")</f>
        <v/>
      </c>
      <c r="R6330" s="16">
        <f>HYPERLINK("https://checko.ru/search?query=3801001629","Чекко: проверить")</f>
        <v/>
      </c>
      <c r="S6330" t="n">
        <v>1</v>
      </c>
      <c r="T6330" s="35" t="inlineStr">
        <is>
          <t>4 — Не обогащён</t>
        </is>
      </c>
      <c r="U6330" s="35" t="inlineStr">
        <is>
          <t>Нет ОКВЭД/ССЧР</t>
        </is>
      </c>
      <c r="V6330" s="35" t="inlineStr">
        <is>
          <t>Не определено</t>
        </is>
      </c>
      <c r="W6330" s="35" t="inlineStr"/>
      <c r="X6330" s="35" t="inlineStr"/>
    </row>
    <row r="6331" ht="15" customHeight="1" s="24">
      <c r="A6331" s="13" t="n">
        <v>5000077439</v>
      </c>
      <c r="B6331" s="13" t="inlineStr">
        <is>
          <t>Славгородская ЦРБ</t>
        </is>
      </c>
      <c r="C6331" s="13" t="n">
        <v>2210001653</v>
      </c>
      <c r="D6331" s="13" t="inlineStr">
        <is>
          <t>2210001653</t>
        </is>
      </c>
      <c r="E6331" s="13" t="inlineStr">
        <is>
          <t>ЮЛ РФ</t>
        </is>
      </c>
      <c r="F6331" s="13" t="n"/>
      <c r="G6331" s="14" t="n"/>
      <c r="H6331" s="14" t="n"/>
      <c r="I6331" s="14" t="n"/>
      <c r="J6331" s="14" t="n"/>
      <c r="K6331" s="53" t="inlineStr"/>
      <c r="L6331" s="53" t="inlineStr">
        <is>
          <t>Не определено</t>
        </is>
      </c>
      <c r="M6331" s="53" t="inlineStr"/>
      <c r="N6331" s="54" t="inlineStr"/>
      <c r="O6331" s="55" t="inlineStr"/>
      <c r="P6331" s="16" t="inlineStr">
        <is>
          <t>Требует обогащения</t>
        </is>
      </c>
      <c r="Q6331" s="16">
        <f>HYPERLINK("https://pb.nalog.ru/search.html?query=2210001653","ФНС: проверить")</f>
        <v/>
      </c>
      <c r="R6331" s="16">
        <f>HYPERLINK("https://checko.ru/search?query=3801001629","Чекко: проверить")</f>
        <v/>
      </c>
      <c r="S6331" t="n">
        <v>1</v>
      </c>
      <c r="T6331" s="35" t="inlineStr">
        <is>
          <t>4 — Не обогащён</t>
        </is>
      </c>
      <c r="U6331" s="35" t="inlineStr">
        <is>
          <t>Нет ОКВЭД/ССЧР</t>
        </is>
      </c>
      <c r="V6331" s="35" t="inlineStr">
        <is>
          <t>Не определено</t>
        </is>
      </c>
      <c r="W6331" s="35" t="inlineStr"/>
      <c r="X6331" s="35" t="inlineStr"/>
    </row>
    <row r="6332" ht="41.25" customHeight="1" s="24">
      <c r="A6332" s="13" t="n">
        <v>5000077404</v>
      </c>
      <c r="B6332" s="13" t="inlineStr">
        <is>
          <t>Краевое государственное бюджетное учреждение здравоохранения «Каменская центральная районная больница"</t>
        </is>
      </c>
      <c r="C6332" s="13" t="n">
        <v>2207003837</v>
      </c>
      <c r="D6332" s="13" t="inlineStr">
        <is>
          <t>2207003837</t>
        </is>
      </c>
      <c r="E6332" s="13" t="inlineStr">
        <is>
          <t>ЮЛ РФ</t>
        </is>
      </c>
      <c r="F6332" s="13" t="n"/>
      <c r="G6332" s="14" t="n"/>
      <c r="H6332" s="14" t="n"/>
      <c r="I6332" s="14" t="n"/>
      <c r="J6332" s="14" t="n"/>
      <c r="K6332" s="53" t="inlineStr"/>
      <c r="L6332" s="53" t="inlineStr">
        <is>
          <t>Не определено</t>
        </is>
      </c>
      <c r="M6332" s="53" t="inlineStr"/>
      <c r="N6332" s="54" t="inlineStr"/>
      <c r="O6332" s="55" t="inlineStr"/>
      <c r="P6332" s="16" t="inlineStr">
        <is>
          <t>Требует обогащения</t>
        </is>
      </c>
      <c r="Q6332" s="16">
        <f>HYPERLINK("https://pb.nalog.ru/search.html?query=2207003837","ФНС: проверить")</f>
        <v/>
      </c>
      <c r="R6332" s="16">
        <f>HYPERLINK("https://checko.ru/search?query=3801001629","Чекко: проверить")</f>
        <v/>
      </c>
      <c r="S6332" t="n">
        <v>1</v>
      </c>
      <c r="T6332" s="35" t="inlineStr">
        <is>
          <t>4 — Не обогащён</t>
        </is>
      </c>
      <c r="U6332" s="35" t="inlineStr">
        <is>
          <t>Нет ОКВЭД/ССЧР</t>
        </is>
      </c>
      <c r="V6332" s="35" t="inlineStr">
        <is>
          <t>Не определено</t>
        </is>
      </c>
      <c r="W6332" s="35" t="inlineStr"/>
      <c r="X6332" s="35" t="inlineStr"/>
    </row>
    <row r="6333" ht="41.25" customHeight="1" s="24">
      <c r="A6333" s="13" t="n">
        <v>5000077459</v>
      </c>
      <c r="B6333" s="13" t="inlineStr">
        <is>
          <t>Краевое государственное бюджетное учреждение здравоохранения «Хабарская центральная районная больница»</t>
        </is>
      </c>
      <c r="C6333" s="13" t="n">
        <v>2286001212</v>
      </c>
      <c r="D6333" s="13" t="inlineStr">
        <is>
          <t>2286001212</t>
        </is>
      </c>
      <c r="E6333" s="13" t="inlineStr">
        <is>
          <t>ЮЛ РФ</t>
        </is>
      </c>
      <c r="F6333" s="13" t="n"/>
      <c r="G6333" s="14" t="n"/>
      <c r="H6333" s="14" t="n"/>
      <c r="I6333" s="14" t="n"/>
      <c r="J6333" s="14" t="n"/>
      <c r="K6333" s="53" t="inlineStr"/>
      <c r="L6333" s="53" t="inlineStr">
        <is>
          <t>Не определено</t>
        </is>
      </c>
      <c r="M6333" s="53" t="inlineStr"/>
      <c r="N6333" s="54" t="inlineStr"/>
      <c r="O6333" s="55" t="inlineStr"/>
      <c r="P6333" s="16" t="inlineStr">
        <is>
          <t>Требует обогащения</t>
        </is>
      </c>
      <c r="Q6333" s="16">
        <f>HYPERLINK("https://pb.nalog.ru/search.html?query=2286001212","ФНС: проверить")</f>
        <v/>
      </c>
      <c r="R6333" s="16">
        <f>HYPERLINK("https://checko.ru/search?query=3801001629","Чекко: проверить")</f>
        <v/>
      </c>
      <c r="S6333" t="n">
        <v>1</v>
      </c>
      <c r="T6333" s="35" t="inlineStr">
        <is>
          <t>4 — Не обогащён</t>
        </is>
      </c>
      <c r="U6333" s="35" t="inlineStr">
        <is>
          <t>Нет ОКВЭД/ССЧР</t>
        </is>
      </c>
      <c r="V6333" s="35" t="inlineStr">
        <is>
          <t>Не определено</t>
        </is>
      </c>
      <c r="W6333" s="35" t="inlineStr"/>
      <c r="X6333" s="35" t="inlineStr"/>
    </row>
    <row r="6334" ht="15" customHeight="1" s="24">
      <c r="A6334" s="13" t="n">
        <v>5000076975</v>
      </c>
      <c r="B6334" s="13" t="inlineStr">
        <is>
          <t>Волчихинская ЦРБ</t>
        </is>
      </c>
      <c r="C6334" s="13" t="n">
        <v>2238000480</v>
      </c>
      <c r="D6334" s="13" t="inlineStr">
        <is>
          <t>2238000480</t>
        </is>
      </c>
      <c r="E6334" s="13" t="inlineStr">
        <is>
          <t>ЮЛ РФ</t>
        </is>
      </c>
      <c r="F6334" s="13" t="n"/>
      <c r="G6334" s="14" t="n"/>
      <c r="H6334" s="14" t="n"/>
      <c r="I6334" s="14" t="n"/>
      <c r="J6334" s="14" t="n"/>
      <c r="K6334" s="53" t="inlineStr"/>
      <c r="L6334" s="53" t="inlineStr">
        <is>
          <t>Не определено</t>
        </is>
      </c>
      <c r="M6334" s="53" t="inlineStr"/>
      <c r="N6334" s="54" t="inlineStr"/>
      <c r="O6334" s="55" t="inlineStr"/>
      <c r="P6334" s="16" t="inlineStr">
        <is>
          <t>Требует обогащения</t>
        </is>
      </c>
      <c r="Q6334" s="16">
        <f>HYPERLINK("https://pb.nalog.ru/search.html?query=2238000480","ФНС: проверить")</f>
        <v/>
      </c>
      <c r="R6334" s="16">
        <f>HYPERLINK("https://checko.ru/search?query=3801001629","Чекко: проверить")</f>
        <v/>
      </c>
      <c r="S6334" t="n">
        <v>1</v>
      </c>
      <c r="T6334" s="35" t="inlineStr">
        <is>
          <t>4 — Не обогащён</t>
        </is>
      </c>
      <c r="U6334" s="35" t="inlineStr">
        <is>
          <t>Нет ОКВЭД/ССЧР</t>
        </is>
      </c>
      <c r="V6334" s="35" t="inlineStr">
        <is>
          <t>Не определено</t>
        </is>
      </c>
      <c r="W6334" s="35" t="inlineStr"/>
      <c r="X6334" s="35" t="inlineStr"/>
    </row>
    <row r="6335" ht="27.75" customHeight="1" s="24">
      <c r="A6335" s="13" t="n">
        <v>5000077424</v>
      </c>
      <c r="B6335" s="13" t="inlineStr">
        <is>
          <t>КГБУЗ "Панкрушихинская центральная районная больница"</t>
        </is>
      </c>
      <c r="C6335" s="13" t="n">
        <v>2262001630</v>
      </c>
      <c r="D6335" s="13" t="inlineStr">
        <is>
          <t>2262001630</t>
        </is>
      </c>
      <c r="E6335" s="13" t="inlineStr">
        <is>
          <t>ЮЛ РФ</t>
        </is>
      </c>
      <c r="F6335" s="13" t="n"/>
      <c r="G6335" s="14" t="n"/>
      <c r="H6335" s="14" t="n"/>
      <c r="I6335" s="14" t="n"/>
      <c r="J6335" s="14" t="n"/>
      <c r="K6335" s="53" t="inlineStr"/>
      <c r="L6335" s="53" t="inlineStr">
        <is>
          <t>Не определено</t>
        </is>
      </c>
      <c r="M6335" s="53" t="inlineStr"/>
      <c r="N6335" s="54" t="inlineStr"/>
      <c r="O6335" s="55" t="inlineStr"/>
      <c r="P6335" s="16" t="inlineStr">
        <is>
          <t>Требует обогащения</t>
        </is>
      </c>
      <c r="Q6335" s="16">
        <f>HYPERLINK("https://pb.nalog.ru/search.html?query=2262001630","ФНС: проверить")</f>
        <v/>
      </c>
      <c r="R6335" s="16">
        <f>HYPERLINK("https://checko.ru/search?query=3801001629","Чекко: проверить")</f>
        <v/>
      </c>
      <c r="S6335" t="n">
        <v>1</v>
      </c>
      <c r="T6335" s="35" t="inlineStr">
        <is>
          <t>4 — Не обогащён</t>
        </is>
      </c>
      <c r="U6335" s="35" t="inlineStr">
        <is>
          <t>Нет ОКВЭД/ССЧР</t>
        </is>
      </c>
      <c r="V6335" s="35" t="inlineStr">
        <is>
          <t>Не определено</t>
        </is>
      </c>
      <c r="W6335" s="35" t="inlineStr"/>
      <c r="X6335" s="35" t="inlineStr"/>
    </row>
    <row r="6336" ht="15" customHeight="1" s="24">
      <c r="A6336" s="13" t="n">
        <v>5000077450</v>
      </c>
      <c r="B6336" s="13" t="inlineStr">
        <is>
          <t>КГБУЗ "Табунская ЦРБ"</t>
        </is>
      </c>
      <c r="C6336" s="13" t="n">
        <v>2276000210</v>
      </c>
      <c r="D6336" s="13" t="inlineStr">
        <is>
          <t>2276000210</t>
        </is>
      </c>
      <c r="E6336" s="13" t="inlineStr">
        <is>
          <t>ЮЛ РФ</t>
        </is>
      </c>
      <c r="F6336" s="13" t="n"/>
      <c r="G6336" s="14" t="n"/>
      <c r="H6336" s="14" t="n"/>
      <c r="I6336" s="14" t="n"/>
      <c r="J6336" s="14" t="n"/>
      <c r="K6336" s="53" t="inlineStr"/>
      <c r="L6336" s="53" t="inlineStr">
        <is>
          <t>Не определено</t>
        </is>
      </c>
      <c r="M6336" s="53" t="inlineStr"/>
      <c r="N6336" s="54" t="inlineStr"/>
      <c r="O6336" s="55" t="inlineStr"/>
      <c r="P6336" s="16" t="inlineStr">
        <is>
          <t>Требует обогащения</t>
        </is>
      </c>
      <c r="Q6336" s="16">
        <f>HYPERLINK("https://pb.nalog.ru/search.html?query=2276000210","ФНС: проверить")</f>
        <v/>
      </c>
      <c r="R6336" s="16">
        <f>HYPERLINK("https://checko.ru/search?query=3801001629","Чекко: проверить")</f>
        <v/>
      </c>
      <c r="S6336" t="n">
        <v>1</v>
      </c>
      <c r="T6336" s="35" t="inlineStr">
        <is>
          <t>4 — Не обогащён</t>
        </is>
      </c>
      <c r="U6336" s="35" t="inlineStr">
        <is>
          <t>Нет ОКВЭД/ССЧР</t>
        </is>
      </c>
      <c r="V6336" s="35" t="inlineStr">
        <is>
          <t>Не определено</t>
        </is>
      </c>
      <c r="W6336" s="35" t="inlineStr"/>
      <c r="X6336" s="35" t="inlineStr"/>
    </row>
    <row r="6337" ht="15" customHeight="1" s="24">
      <c r="A6337" s="13" t="n">
        <v>5000077463</v>
      </c>
      <c r="B6337" s="13" t="inlineStr">
        <is>
          <t>КГБУЗ "ЦРБ г. Змеиногорска"</t>
        </is>
      </c>
      <c r="C6337" s="13" t="n">
        <v>2206000858</v>
      </c>
      <c r="D6337" s="13" t="inlineStr">
        <is>
          <t>2206000858</t>
        </is>
      </c>
      <c r="E6337" s="13" t="inlineStr">
        <is>
          <t>ЮЛ РФ</t>
        </is>
      </c>
      <c r="F6337" s="13" t="n"/>
      <c r="G6337" s="14" t="n"/>
      <c r="H6337" s="14" t="n"/>
      <c r="I6337" s="14" t="n"/>
      <c r="J6337" s="14" t="n"/>
      <c r="K6337" s="53" t="inlineStr"/>
      <c r="L6337" s="53" t="inlineStr">
        <is>
          <t>Не определено</t>
        </is>
      </c>
      <c r="M6337" s="53" t="inlineStr"/>
      <c r="N6337" s="54" t="inlineStr"/>
      <c r="O6337" s="55" t="inlineStr"/>
      <c r="P6337" s="16" t="inlineStr">
        <is>
          <t>Требует обогащения</t>
        </is>
      </c>
      <c r="Q6337" s="16">
        <f>HYPERLINK("https://pb.nalog.ru/search.html?query=2206000858","ФНС: проверить")</f>
        <v/>
      </c>
      <c r="R6337" s="16">
        <f>HYPERLINK("https://checko.ru/search?query=3801001629","Чекко: проверить")</f>
        <v/>
      </c>
      <c r="S6337" t="n">
        <v>1</v>
      </c>
      <c r="T6337" s="35" t="inlineStr">
        <is>
          <t>4 — Не обогащён</t>
        </is>
      </c>
      <c r="U6337" s="35" t="inlineStr">
        <is>
          <t>Нет ОКВЭД/ССЧР</t>
        </is>
      </c>
      <c r="V6337" s="35" t="inlineStr">
        <is>
          <t>Не определено</t>
        </is>
      </c>
      <c r="W6337" s="35" t="inlineStr"/>
      <c r="X6337" s="35" t="inlineStr"/>
    </row>
    <row r="6338" ht="15" customHeight="1" s="24">
      <c r="A6338" s="13" t="n">
        <v>5000076991</v>
      </c>
      <c r="B6338" s="13" t="inlineStr">
        <is>
          <t>КГБУЗ "Михайловская ЦРБ"</t>
        </is>
      </c>
      <c r="C6338" s="13" t="n">
        <v>2258001122</v>
      </c>
      <c r="D6338" s="13" t="inlineStr">
        <is>
          <t>2258001122</t>
        </is>
      </c>
      <c r="E6338" s="13" t="inlineStr">
        <is>
          <t>ЮЛ РФ</t>
        </is>
      </c>
      <c r="F6338" s="13" t="n"/>
      <c r="G6338" s="14" t="n"/>
      <c r="H6338" s="14" t="n"/>
      <c r="I6338" s="14" t="n"/>
      <c r="J6338" s="14" t="n"/>
      <c r="K6338" s="53" t="inlineStr"/>
      <c r="L6338" s="53" t="inlineStr">
        <is>
          <t>Не определено</t>
        </is>
      </c>
      <c r="M6338" s="53" t="inlineStr"/>
      <c r="N6338" s="54" t="inlineStr"/>
      <c r="O6338" s="55" t="inlineStr"/>
      <c r="P6338" s="16" t="inlineStr">
        <is>
          <t>Требует обогащения</t>
        </is>
      </c>
      <c r="Q6338" s="16">
        <f>HYPERLINK("https://pb.nalog.ru/search.html?query=2258001122","ФНС: проверить")</f>
        <v/>
      </c>
      <c r="R6338" s="16">
        <f>HYPERLINK("https://checko.ru/search?query=3801001629","Чекко: проверить")</f>
        <v/>
      </c>
      <c r="S6338" t="n">
        <v>1</v>
      </c>
      <c r="T6338" s="35" t="inlineStr">
        <is>
          <t>4 — Не обогащён</t>
        </is>
      </c>
      <c r="U6338" s="35" t="inlineStr">
        <is>
          <t>Нет ОКВЭД/ССЧР</t>
        </is>
      </c>
      <c r="V6338" s="35" t="inlineStr">
        <is>
          <t>Не определено</t>
        </is>
      </c>
      <c r="W6338" s="35" t="inlineStr"/>
      <c r="X6338" s="35" t="inlineStr"/>
    </row>
    <row r="6339" ht="15" customHeight="1" s="24">
      <c r="A6339" s="13" t="n">
        <v>5000077401</v>
      </c>
      <c r="B6339" s="13" t="inlineStr">
        <is>
          <t>КГБУЗ «Егорьевская ЦРБ»</t>
        </is>
      </c>
      <c r="C6339" s="13" t="n">
        <v>2239000162</v>
      </c>
      <c r="D6339" s="13" t="inlineStr">
        <is>
          <t>2239000162</t>
        </is>
      </c>
      <c r="E6339" s="13" t="inlineStr">
        <is>
          <t>ЮЛ РФ</t>
        </is>
      </c>
      <c r="F6339" s="13" t="n"/>
      <c r="G6339" s="14" t="n"/>
      <c r="H6339" s="14" t="n"/>
      <c r="I6339" s="14" t="n"/>
      <c r="J6339" s="14" t="n"/>
      <c r="K6339" s="53" t="inlineStr"/>
      <c r="L6339" s="53" t="inlineStr">
        <is>
          <t>Не определено</t>
        </is>
      </c>
      <c r="M6339" s="53" t="inlineStr"/>
      <c r="N6339" s="54" t="inlineStr"/>
      <c r="O6339" s="55" t="inlineStr"/>
      <c r="P6339" s="16" t="inlineStr">
        <is>
          <t>Требует обогащения</t>
        </is>
      </c>
      <c r="Q6339" s="16">
        <f>HYPERLINK("https://pb.nalog.ru/search.html?query=2239000162","ФНС: проверить")</f>
        <v/>
      </c>
      <c r="R6339" s="16">
        <f>HYPERLINK("https://checko.ru/search?query=3801001629","Чекко: проверить")</f>
        <v/>
      </c>
      <c r="S6339" t="n">
        <v>1</v>
      </c>
      <c r="T6339" s="35" t="inlineStr">
        <is>
          <t>4 — Не обогащён</t>
        </is>
      </c>
      <c r="U6339" s="35" t="inlineStr">
        <is>
          <t>Нет ОКВЭД/ССЧР</t>
        </is>
      </c>
      <c r="V6339" s="35" t="inlineStr">
        <is>
          <t>Не определено</t>
        </is>
      </c>
      <c r="W6339" s="35" t="inlineStr"/>
      <c r="X6339" s="35" t="inlineStr"/>
    </row>
    <row r="6340" ht="15" customHeight="1" s="24">
      <c r="A6340" s="13" t="n">
        <v>5000077460</v>
      </c>
      <c r="B6340" s="13" t="inlineStr">
        <is>
          <t>КГБУЗ "ЦБ Локтевского района"</t>
        </is>
      </c>
      <c r="C6340" s="13" t="n">
        <v>2256002498</v>
      </c>
      <c r="D6340" s="13" t="inlineStr">
        <is>
          <t>2256002498</t>
        </is>
      </c>
      <c r="E6340" s="13" t="inlineStr">
        <is>
          <t>ЮЛ РФ</t>
        </is>
      </c>
      <c r="F6340" s="13" t="n"/>
      <c r="G6340" s="14" t="n"/>
      <c r="H6340" s="14" t="n"/>
      <c r="I6340" s="14" t="n"/>
      <c r="J6340" s="14" t="n"/>
      <c r="K6340" s="53" t="inlineStr"/>
      <c r="L6340" s="53" t="inlineStr">
        <is>
          <t>Не определено</t>
        </is>
      </c>
      <c r="M6340" s="53" t="inlineStr"/>
      <c r="N6340" s="54" t="inlineStr"/>
      <c r="O6340" s="55" t="inlineStr"/>
      <c r="P6340" s="16" t="inlineStr">
        <is>
          <t>Требует обогащения</t>
        </is>
      </c>
      <c r="Q6340" s="16">
        <f>HYPERLINK("https://pb.nalog.ru/search.html?query=2256002498","ФНС: проверить")</f>
        <v/>
      </c>
      <c r="R6340" s="16">
        <f>HYPERLINK("https://checko.ru/search?query=3801001629","Чекко: проверить")</f>
        <v/>
      </c>
      <c r="S6340" t="n">
        <v>1</v>
      </c>
      <c r="T6340" s="35" t="inlineStr">
        <is>
          <t>4 — Не обогащён</t>
        </is>
      </c>
      <c r="U6340" s="35" t="inlineStr">
        <is>
          <t>Нет ОКВЭД/ССЧР</t>
        </is>
      </c>
      <c r="V6340" s="35" t="inlineStr">
        <is>
          <t>Не определено</t>
        </is>
      </c>
      <c r="W6340" s="35" t="inlineStr"/>
      <c r="X6340" s="35" t="inlineStr"/>
    </row>
    <row r="6341" ht="15" customHeight="1" s="24">
      <c r="A6341" s="13" t="n">
        <v>5000076998</v>
      </c>
      <c r="B6341" s="13" t="inlineStr">
        <is>
          <t>МУЗ "Стоматологическая поликлиника №2"</t>
        </is>
      </c>
      <c r="C6341" s="13" t="n">
        <v>2223011507</v>
      </c>
      <c r="D6341" s="13" t="inlineStr">
        <is>
          <t>2223011507</t>
        </is>
      </c>
      <c r="E6341" s="13" t="inlineStr">
        <is>
          <t>ЮЛ РФ</t>
        </is>
      </c>
      <c r="F6341" s="13" t="n"/>
      <c r="G6341" s="14" t="n"/>
      <c r="H6341" s="14" t="n"/>
      <c r="I6341" s="14" t="n"/>
      <c r="J6341" s="14" t="n"/>
      <c r="K6341" s="53" t="inlineStr"/>
      <c r="L6341" s="53" t="inlineStr">
        <is>
          <t>Не определено</t>
        </is>
      </c>
      <c r="M6341" s="53" t="inlineStr"/>
      <c r="N6341" s="54" t="inlineStr"/>
      <c r="O6341" s="55" t="inlineStr"/>
      <c r="P6341" s="16" t="inlineStr">
        <is>
          <t>Требует обогащения</t>
        </is>
      </c>
      <c r="Q6341" s="16">
        <f>HYPERLINK("https://pb.nalog.ru/search.html?query=2223011507","ФНС: проверить")</f>
        <v/>
      </c>
      <c r="R6341" s="16">
        <f>HYPERLINK("https://checko.ru/search?query=3801001629","Чекко: проверить")</f>
        <v/>
      </c>
      <c r="S6341" t="n">
        <v>1</v>
      </c>
      <c r="T6341" s="35" t="inlineStr">
        <is>
          <t>4 — Не обогащён</t>
        </is>
      </c>
      <c r="U6341" s="35" t="inlineStr">
        <is>
          <t>Нет ОКВЭД/ССЧР</t>
        </is>
      </c>
      <c r="V6341" s="35" t="inlineStr">
        <is>
          <t>Не определено</t>
        </is>
      </c>
      <c r="W6341" s="35" t="inlineStr"/>
      <c r="X6341" s="35" t="inlineStr"/>
    </row>
    <row r="6342" ht="27.75" customHeight="1" s="24">
      <c r="A6342" s="13" t="n">
        <v>5000076988</v>
      </c>
      <c r="B6342" s="13" t="inlineStr">
        <is>
          <t>КГБУЗ "Краевой психоневрологический детский санаторий"</t>
        </is>
      </c>
      <c r="C6342" s="13" t="n">
        <v>2224011972</v>
      </c>
      <c r="D6342" s="13" t="inlineStr">
        <is>
          <t>2224011972</t>
        </is>
      </c>
      <c r="E6342" s="13" t="inlineStr">
        <is>
          <t>ЮЛ РФ</t>
        </is>
      </c>
      <c r="F6342" s="13" t="n"/>
      <c r="G6342" s="14" t="n"/>
      <c r="H6342" s="14" t="n"/>
      <c r="I6342" s="14" t="n"/>
      <c r="J6342" s="14" t="n"/>
      <c r="K6342" s="53" t="inlineStr"/>
      <c r="L6342" s="53" t="inlineStr">
        <is>
          <t>Не определено</t>
        </is>
      </c>
      <c r="M6342" s="53" t="inlineStr"/>
      <c r="N6342" s="54" t="inlineStr"/>
      <c r="O6342" s="55" t="inlineStr"/>
      <c r="P6342" s="16" t="inlineStr">
        <is>
          <t>Требует обогащения</t>
        </is>
      </c>
      <c r="Q6342" s="16">
        <f>HYPERLINK("https://pb.nalog.ru/search.html?query=2224011972","ФНС: проверить")</f>
        <v/>
      </c>
      <c r="R6342" s="16">
        <f>HYPERLINK("https://checko.ru/search?query=3801001629","Чекко: проверить")</f>
        <v/>
      </c>
      <c r="S6342" t="n">
        <v>1</v>
      </c>
      <c r="T6342" s="35" t="inlineStr">
        <is>
          <t>4 — Не обогащён</t>
        </is>
      </c>
      <c r="U6342" s="35" t="inlineStr">
        <is>
          <t>Нет ОКВЭД/ССЧР</t>
        </is>
      </c>
      <c r="V6342" s="35" t="inlineStr">
        <is>
          <t>Не определено</t>
        </is>
      </c>
      <c r="W6342" s="35" t="inlineStr"/>
      <c r="X6342" s="35" t="inlineStr"/>
    </row>
    <row r="6343" ht="15" customHeight="1" s="24">
      <c r="A6343" s="13" t="n">
        <v>5000064357</v>
      </c>
      <c r="B6343" s="13" t="inlineStr">
        <is>
          <t>ГУЗ "Детский санаторий Белокуриха"</t>
        </is>
      </c>
      <c r="C6343" s="13" t="n">
        <v>2203004068</v>
      </c>
      <c r="D6343" s="13" t="inlineStr">
        <is>
          <t>2203004068</t>
        </is>
      </c>
      <c r="E6343" s="13" t="inlineStr">
        <is>
          <t>ЮЛ РФ</t>
        </is>
      </c>
      <c r="F6343" s="13" t="n"/>
      <c r="G6343" s="14" t="n"/>
      <c r="H6343" s="14" t="n"/>
      <c r="I6343" s="14" t="n"/>
      <c r="J6343" s="14" t="n"/>
      <c r="K6343" s="53" t="inlineStr"/>
      <c r="L6343" s="53" t="inlineStr">
        <is>
          <t>Не определено</t>
        </is>
      </c>
      <c r="M6343" s="53" t="inlineStr"/>
      <c r="N6343" s="54" t="inlineStr"/>
      <c r="O6343" s="55" t="inlineStr"/>
      <c r="P6343" s="16" t="inlineStr">
        <is>
          <t>Требует обогащения</t>
        </is>
      </c>
      <c r="Q6343" s="16">
        <f>HYPERLINK("https://pb.nalog.ru/search.html?query=2203004068","ФНС: проверить")</f>
        <v/>
      </c>
      <c r="R6343" s="16">
        <f>HYPERLINK("https://checko.ru/search?query=3801001629","Чекко: проверить")</f>
        <v/>
      </c>
      <c r="S6343" t="n">
        <v>1</v>
      </c>
      <c r="T6343" s="35" t="inlineStr">
        <is>
          <t>4 — Не обогащён</t>
        </is>
      </c>
      <c r="U6343" s="35" t="inlineStr">
        <is>
          <t>Нет ОКВЭД/ССЧР</t>
        </is>
      </c>
      <c r="V6343" s="35" t="inlineStr">
        <is>
          <t>Не определено</t>
        </is>
      </c>
      <c r="W6343" s="35" t="inlineStr"/>
      <c r="X6343" s="35" t="inlineStr"/>
    </row>
    <row r="6344" ht="15" customHeight="1" s="24">
      <c r="A6344" s="13" t="n">
        <v>5000077456</v>
      </c>
      <c r="B6344" s="13" t="inlineStr">
        <is>
          <t>КГБУЗ "Угловская ЦРБ"</t>
        </is>
      </c>
      <c r="C6344" s="13" t="n">
        <v>2283001380</v>
      </c>
      <c r="D6344" s="13" t="inlineStr">
        <is>
          <t>2283001380</t>
        </is>
      </c>
      <c r="E6344" s="13" t="inlineStr">
        <is>
          <t>ЮЛ РФ</t>
        </is>
      </c>
      <c r="F6344" s="13" t="n"/>
      <c r="G6344" s="14" t="n"/>
      <c r="H6344" s="14" t="n"/>
      <c r="I6344" s="14" t="n"/>
      <c r="J6344" s="14" t="n"/>
      <c r="K6344" s="53" t="inlineStr"/>
      <c r="L6344" s="53" t="inlineStr">
        <is>
          <t>Не определено</t>
        </is>
      </c>
      <c r="M6344" s="53" t="inlineStr"/>
      <c r="N6344" s="54" t="inlineStr"/>
      <c r="O6344" s="55" t="inlineStr"/>
      <c r="P6344" s="16" t="inlineStr">
        <is>
          <t>Требует обогащения</t>
        </is>
      </c>
      <c r="Q6344" s="16">
        <f>HYPERLINK("https://pb.nalog.ru/search.html?query=2283001380","ФНС: проверить")</f>
        <v/>
      </c>
      <c r="R6344" s="16">
        <f>HYPERLINK("https://checko.ru/search?query=3801001629","Чекко: проверить")</f>
        <v/>
      </c>
      <c r="S6344" t="n">
        <v>1</v>
      </c>
      <c r="T6344" s="35" t="inlineStr">
        <is>
          <t>4 — Не обогащён</t>
        </is>
      </c>
      <c r="U6344" s="35" t="inlineStr">
        <is>
          <t>Нет ОКВЭД/ССЧР</t>
        </is>
      </c>
      <c r="V6344" s="35" t="inlineStr">
        <is>
          <t>Не определено</t>
        </is>
      </c>
      <c r="W6344" s="35" t="inlineStr"/>
      <c r="X6344" s="35" t="inlineStr"/>
    </row>
    <row r="6345" ht="15" customHeight="1" s="24">
      <c r="A6345" s="13" t="n">
        <v>5000077375</v>
      </c>
      <c r="B6345" s="13" t="inlineStr">
        <is>
          <t>Быстроистокская ЦРБ</t>
        </is>
      </c>
      <c r="C6345" s="13" t="n">
        <v>2237001393</v>
      </c>
      <c r="D6345" s="13" t="inlineStr">
        <is>
          <t>2237001393</t>
        </is>
      </c>
      <c r="E6345" s="13" t="inlineStr">
        <is>
          <t>ЮЛ РФ</t>
        </is>
      </c>
      <c r="F6345" s="13" t="n"/>
      <c r="G6345" s="14" t="n"/>
      <c r="H6345" s="14" t="n"/>
      <c r="I6345" s="14" t="n"/>
      <c r="J6345" s="14" t="n"/>
      <c r="K6345" s="53" t="inlineStr"/>
      <c r="L6345" s="53" t="inlineStr">
        <is>
          <t>Не определено</t>
        </is>
      </c>
      <c r="M6345" s="53" t="inlineStr"/>
      <c r="N6345" s="54" t="inlineStr"/>
      <c r="O6345" s="55" t="inlineStr"/>
      <c r="P6345" s="16" t="inlineStr">
        <is>
          <t>Требует обогащения</t>
        </is>
      </c>
      <c r="Q6345" s="16">
        <f>HYPERLINK("https://pb.nalog.ru/search.html?query=2237001393","ФНС: проверить")</f>
        <v/>
      </c>
      <c r="R6345" s="16">
        <f>HYPERLINK("https://checko.ru/search?query=3801001629","Чекко: проверить")</f>
        <v/>
      </c>
      <c r="S6345" t="n">
        <v>1</v>
      </c>
      <c r="T6345" s="35" t="inlineStr">
        <is>
          <t>4 — Не обогащён</t>
        </is>
      </c>
      <c r="U6345" s="35" t="inlineStr">
        <is>
          <t>Нет ОКВЭД/ССЧР</t>
        </is>
      </c>
      <c r="V6345" s="35" t="inlineStr">
        <is>
          <t>Не определено</t>
        </is>
      </c>
      <c r="W6345" s="35" t="inlineStr"/>
      <c r="X6345" s="35" t="inlineStr"/>
    </row>
    <row r="6346" ht="15" customHeight="1" s="24">
      <c r="A6346" s="13" t="n">
        <v>5000077383</v>
      </c>
      <c r="B6346" s="13" t="inlineStr">
        <is>
          <t>КГБУЗ "Городская детская больница, г. Бийск"</t>
        </is>
      </c>
      <c r="C6346" s="13" t="n">
        <v>2226007940</v>
      </c>
      <c r="D6346" s="13" t="inlineStr">
        <is>
          <t>2226007940</t>
        </is>
      </c>
      <c r="E6346" s="13" t="inlineStr">
        <is>
          <t>ЮЛ РФ</t>
        </is>
      </c>
      <c r="F6346" s="13" t="n"/>
      <c r="G6346" s="14" t="n"/>
      <c r="H6346" s="14" t="n"/>
      <c r="I6346" s="14" t="n"/>
      <c r="J6346" s="14" t="n"/>
      <c r="K6346" s="53" t="inlineStr"/>
      <c r="L6346" s="53" t="inlineStr">
        <is>
          <t>Не определено</t>
        </is>
      </c>
      <c r="M6346" s="53" t="inlineStr"/>
      <c r="N6346" s="54" t="inlineStr"/>
      <c r="O6346" s="55" t="inlineStr"/>
      <c r="P6346" s="16" t="inlineStr">
        <is>
          <t>Требует обогащения</t>
        </is>
      </c>
      <c r="Q6346" s="16">
        <f>HYPERLINK("https://pb.nalog.ru/search.html?query=2226007940","ФНС: проверить")</f>
        <v/>
      </c>
      <c r="R6346" s="16">
        <f>HYPERLINK("https://checko.ru/search?query=3801001629","Чекко: проверить")</f>
        <v/>
      </c>
      <c r="S6346" t="n">
        <v>1</v>
      </c>
      <c r="T6346" s="35" t="inlineStr">
        <is>
          <t>4 — Не обогащён</t>
        </is>
      </c>
      <c r="U6346" s="35" t="inlineStr">
        <is>
          <t>Нет ОКВЭД/ССЧР</t>
        </is>
      </c>
      <c r="V6346" s="35" t="inlineStr">
        <is>
          <t>Не определено</t>
        </is>
      </c>
      <c r="W6346" s="35" t="inlineStr"/>
      <c r="X6346" s="35" t="inlineStr"/>
    </row>
    <row r="6347" ht="15" customHeight="1" s="24">
      <c r="A6347" s="13" t="n">
        <v>5000076977</v>
      </c>
      <c r="B6347" s="13" t="inlineStr">
        <is>
          <t>КГБУЗ «Городская больница №2, г. Рубцовск»</t>
        </is>
      </c>
      <c r="C6347" s="13" t="n">
        <v>2209011865</v>
      </c>
      <c r="D6347" s="13" t="inlineStr">
        <is>
          <t>2209011865</t>
        </is>
      </c>
      <c r="E6347" s="13" t="inlineStr">
        <is>
          <t>ЮЛ РФ</t>
        </is>
      </c>
      <c r="F6347" s="13" t="n"/>
      <c r="G6347" s="14" t="n"/>
      <c r="H6347" s="14" t="n"/>
      <c r="I6347" s="14" t="n"/>
      <c r="J6347" s="14" t="n"/>
      <c r="K6347" s="53" t="inlineStr"/>
      <c r="L6347" s="53" t="inlineStr">
        <is>
          <t>Не определено</t>
        </is>
      </c>
      <c r="M6347" s="53" t="inlineStr"/>
      <c r="N6347" s="54" t="inlineStr"/>
      <c r="O6347" s="55" t="inlineStr"/>
      <c r="P6347" s="16" t="inlineStr">
        <is>
          <t>Требует обогащения</t>
        </is>
      </c>
      <c r="Q6347" s="16">
        <f>HYPERLINK("https://pb.nalog.ru/search.html?query=2209011865","ФНС: проверить")</f>
        <v/>
      </c>
      <c r="R6347" s="16">
        <f>HYPERLINK("https://checko.ru/search?query=3801001629","Чекко: проверить")</f>
        <v/>
      </c>
      <c r="S6347" t="n">
        <v>1</v>
      </c>
      <c r="T6347" s="35" t="inlineStr">
        <is>
          <t>4 — Не обогащён</t>
        </is>
      </c>
      <c r="U6347" s="35" t="inlineStr">
        <is>
          <t>Нет ОКВЭД/ССЧР</t>
        </is>
      </c>
      <c r="V6347" s="35" t="inlineStr">
        <is>
          <t>Не определено</t>
        </is>
      </c>
      <c r="W6347" s="35" t="inlineStr"/>
      <c r="X6347" s="35" t="inlineStr"/>
    </row>
    <row r="6348" ht="15" customHeight="1" s="24">
      <c r="A6348" s="13" t="n">
        <v>5000077465</v>
      </c>
      <c r="B6348" s="13" t="inlineStr">
        <is>
          <t>МБУЗ "ЦРБ Немецкого района Алтайского края"</t>
        </is>
      </c>
      <c r="C6348" s="13" t="n">
        <v>2259000428</v>
      </c>
      <c r="D6348" s="13" t="inlineStr">
        <is>
          <t>2259000428</t>
        </is>
      </c>
      <c r="E6348" s="13" t="inlineStr">
        <is>
          <t>ЮЛ РФ</t>
        </is>
      </c>
      <c r="F6348" s="13" t="n"/>
      <c r="G6348" s="14" t="n"/>
      <c r="H6348" s="14" t="n"/>
      <c r="I6348" s="14" t="n"/>
      <c r="J6348" s="14" t="n"/>
      <c r="K6348" s="53" t="inlineStr"/>
      <c r="L6348" s="53" t="inlineStr">
        <is>
          <t>Не определено</t>
        </is>
      </c>
      <c r="M6348" s="53" t="inlineStr"/>
      <c r="N6348" s="54" t="inlineStr"/>
      <c r="O6348" s="55" t="inlineStr"/>
      <c r="P6348" s="16" t="inlineStr">
        <is>
          <t>Требует обогащения</t>
        </is>
      </c>
      <c r="Q6348" s="16">
        <f>HYPERLINK("https://pb.nalog.ru/search.html?query=2259000428","ФНС: проверить")</f>
        <v/>
      </c>
      <c r="R6348" s="16">
        <f>HYPERLINK("https://checko.ru/search?query=3801001629","Чекко: проверить")</f>
        <v/>
      </c>
      <c r="S6348" t="n">
        <v>1</v>
      </c>
      <c r="T6348" s="35" t="inlineStr">
        <is>
          <t>4 — Не обогащён</t>
        </is>
      </c>
      <c r="U6348" s="35" t="inlineStr">
        <is>
          <t>Нет ОКВЭД/ССЧР</t>
        </is>
      </c>
      <c r="V6348" s="35" t="inlineStr">
        <is>
          <t>Не определено</t>
        </is>
      </c>
      <c r="W6348" s="35" t="inlineStr"/>
      <c r="X6348" s="35" t="inlineStr"/>
    </row>
    <row r="6349" ht="27.75" customHeight="1" s="24">
      <c r="A6349" s="13" t="n">
        <v>5000077371</v>
      </c>
      <c r="B6349" s="13" t="inlineStr">
        <is>
          <t>КГУЗ Алтайское краевое бюро судебно-медициинской экспертизы</t>
        </is>
      </c>
      <c r="C6349" s="13" t="n">
        <v>2225013436</v>
      </c>
      <c r="D6349" s="13" t="inlineStr">
        <is>
          <t>2225013436</t>
        </is>
      </c>
      <c r="E6349" s="13" t="inlineStr">
        <is>
          <t>ЮЛ РФ</t>
        </is>
      </c>
      <c r="F6349" s="13" t="n"/>
      <c r="G6349" s="14" t="n"/>
      <c r="H6349" s="14" t="n"/>
      <c r="I6349" s="14" t="n"/>
      <c r="J6349" s="14" t="n"/>
      <c r="K6349" s="53" t="inlineStr"/>
      <c r="L6349" s="53" t="inlineStr">
        <is>
          <t>Не определено</t>
        </is>
      </c>
      <c r="M6349" s="53" t="inlineStr"/>
      <c r="N6349" s="54" t="inlineStr"/>
      <c r="O6349" s="55" t="inlineStr"/>
      <c r="P6349" s="16" t="inlineStr">
        <is>
          <t>Требует обогащения</t>
        </is>
      </c>
      <c r="Q6349" s="16">
        <f>HYPERLINK("https://pb.nalog.ru/search.html?query=2225013436","ФНС: проверить")</f>
        <v/>
      </c>
      <c r="R6349" s="16">
        <f>HYPERLINK("https://checko.ru/search?query=3801001629","Чекко: проверить")</f>
        <v/>
      </c>
      <c r="S6349" t="n">
        <v>1</v>
      </c>
      <c r="T6349" s="35" t="inlineStr">
        <is>
          <t>4 — Не обогащён</t>
        </is>
      </c>
      <c r="U6349" s="35" t="inlineStr">
        <is>
          <t>Нет ОКВЭД/ССЧР</t>
        </is>
      </c>
      <c r="V6349" s="35" t="inlineStr">
        <is>
          <t>Не определено</t>
        </is>
      </c>
      <c r="W6349" s="35" t="inlineStr"/>
      <c r="X6349" s="35" t="inlineStr"/>
    </row>
    <row r="6350" ht="27.75" customHeight="1" s="24">
      <c r="A6350" s="13" t="n">
        <v>5000077395</v>
      </c>
      <c r="B6350" s="13" t="inlineStr">
        <is>
          <t>КГБУЗ "Детская стоматологическая поликлиника №2, г.Барнаул"</t>
        </is>
      </c>
      <c r="C6350" s="13" t="n">
        <v>2223012765</v>
      </c>
      <c r="D6350" s="13" t="inlineStr">
        <is>
          <t>2223012765</t>
        </is>
      </c>
      <c r="E6350" s="13" t="inlineStr">
        <is>
          <t>ЮЛ РФ</t>
        </is>
      </c>
      <c r="F6350" s="13" t="n"/>
      <c r="G6350" s="14" t="n"/>
      <c r="H6350" s="14" t="n"/>
      <c r="I6350" s="14" t="n"/>
      <c r="J6350" s="14" t="n"/>
      <c r="K6350" s="53" t="inlineStr"/>
      <c r="L6350" s="53" t="inlineStr">
        <is>
          <t>Не определено</t>
        </is>
      </c>
      <c r="M6350" s="53" t="inlineStr"/>
      <c r="N6350" s="54" t="inlineStr"/>
      <c r="O6350" s="55" t="inlineStr"/>
      <c r="P6350" s="16" t="inlineStr">
        <is>
          <t>Требует обогащения</t>
        </is>
      </c>
      <c r="Q6350" s="16">
        <f>HYPERLINK("https://pb.nalog.ru/search.html?query=2223012765","ФНС: проверить")</f>
        <v/>
      </c>
      <c r="R6350" s="16">
        <f>HYPERLINK("https://checko.ru/search?query=3801001629","Чекко: проверить")</f>
        <v/>
      </c>
      <c r="S6350" t="n">
        <v>1</v>
      </c>
      <c r="T6350" s="35" t="inlineStr">
        <is>
          <t>4 — Не обогащён</t>
        </is>
      </c>
      <c r="U6350" s="35" t="inlineStr">
        <is>
          <t>Нет ОКВЭД/ССЧР</t>
        </is>
      </c>
      <c r="V6350" s="35" t="inlineStr">
        <is>
          <t>Не определено</t>
        </is>
      </c>
      <c r="W6350" s="35" t="inlineStr"/>
      <c r="X6350" s="35" t="inlineStr"/>
    </row>
    <row r="6351" ht="15" customHeight="1" s="24">
      <c r="A6351" s="13" t="n">
        <v>5000077469</v>
      </c>
      <c r="B6351" s="13" t="inlineStr">
        <is>
          <t>КГБУЗ "Шипуновская ЦРБ"</t>
        </is>
      </c>
      <c r="C6351" s="13" t="n">
        <v>2289002101</v>
      </c>
      <c r="D6351" s="13" t="inlineStr">
        <is>
          <t>2289002101</t>
        </is>
      </c>
      <c r="E6351" s="13" t="inlineStr">
        <is>
          <t>ЮЛ РФ</t>
        </is>
      </c>
      <c r="F6351" s="13" t="n"/>
      <c r="G6351" s="14" t="n"/>
      <c r="H6351" s="14" t="n"/>
      <c r="I6351" s="14" t="n"/>
      <c r="J6351" s="14" t="n"/>
      <c r="K6351" s="53" t="inlineStr"/>
      <c r="L6351" s="53" t="inlineStr">
        <is>
          <t>Не определено</t>
        </is>
      </c>
      <c r="M6351" s="53" t="inlineStr"/>
      <c r="N6351" s="54" t="inlineStr"/>
      <c r="O6351" s="55" t="inlineStr"/>
      <c r="P6351" s="16" t="inlineStr">
        <is>
          <t>Требует обогащения</t>
        </is>
      </c>
      <c r="Q6351" s="16">
        <f>HYPERLINK("https://pb.nalog.ru/search.html?query=2289002101","ФНС: проверить")</f>
        <v/>
      </c>
      <c r="R6351" s="16">
        <f>HYPERLINK("https://checko.ru/search?query=3801001629","Чекко: проверить")</f>
        <v/>
      </c>
      <c r="S6351" t="n">
        <v>1</v>
      </c>
      <c r="T6351" s="35" t="inlineStr">
        <is>
          <t>4 — Не обогащён</t>
        </is>
      </c>
      <c r="U6351" s="35" t="inlineStr">
        <is>
          <t>Нет ОКВЭД/ССЧР</t>
        </is>
      </c>
      <c r="V6351" s="35" t="inlineStr">
        <is>
          <t>Не определено</t>
        </is>
      </c>
      <c r="W6351" s="35" t="inlineStr"/>
      <c r="X6351" s="35" t="inlineStr"/>
    </row>
    <row r="6352" ht="15" customHeight="1" s="24">
      <c r="A6352" s="13" t="n">
        <v>5000077364</v>
      </c>
      <c r="B6352" s="13" t="inlineStr">
        <is>
          <t>КГБУЗ "АККПЦ"</t>
        </is>
      </c>
      <c r="C6352" s="13" t="n">
        <v>2225171626</v>
      </c>
      <c r="D6352" s="13" t="inlineStr">
        <is>
          <t>2225171626</t>
        </is>
      </c>
      <c r="E6352" s="13" t="inlineStr">
        <is>
          <t>ЮЛ РФ</t>
        </is>
      </c>
      <c r="F6352" s="13" t="n"/>
      <c r="G6352" s="14" t="n"/>
      <c r="H6352" s="14" t="n"/>
      <c r="I6352" s="14" t="n"/>
      <c r="J6352" s="14" t="n"/>
      <c r="K6352" s="53" t="inlineStr"/>
      <c r="L6352" s="53" t="inlineStr">
        <is>
          <t>Не определено</t>
        </is>
      </c>
      <c r="M6352" s="53" t="inlineStr"/>
      <c r="N6352" s="54" t="inlineStr"/>
      <c r="O6352" s="55" t="inlineStr"/>
      <c r="P6352" s="16" t="inlineStr">
        <is>
          <t>Требует обогащения</t>
        </is>
      </c>
      <c r="Q6352" s="16">
        <f>HYPERLINK("https://pb.nalog.ru/search.html?query=2225171626","ФНС: проверить")</f>
        <v/>
      </c>
      <c r="R6352" s="16">
        <f>HYPERLINK("https://checko.ru/search?query=3801001629","Чекко: проверить")</f>
        <v/>
      </c>
      <c r="S6352" t="n">
        <v>1</v>
      </c>
      <c r="T6352" s="35" t="inlineStr">
        <is>
          <t>4 — Не обогащён</t>
        </is>
      </c>
      <c r="U6352" s="35" t="inlineStr">
        <is>
          <t>Нет ОКВЭД/ССЧР</t>
        </is>
      </c>
      <c r="V6352" s="35" t="inlineStr">
        <is>
          <t>Не определено</t>
        </is>
      </c>
      <c r="W6352" s="35" t="inlineStr"/>
      <c r="X6352" s="35" t="inlineStr"/>
    </row>
    <row r="6353" ht="27.75" customHeight="1" s="24">
      <c r="A6353" s="13" t="n">
        <v>5000077408</v>
      </c>
      <c r="B6353" s="13" t="inlineStr">
        <is>
          <t>КГБУЗ "Краевая детская стоматологическая поликлиника"</t>
        </is>
      </c>
      <c r="C6353" s="13" t="n">
        <v>2221013033</v>
      </c>
      <c r="D6353" s="13" t="inlineStr">
        <is>
          <t>2221013033</t>
        </is>
      </c>
      <c r="E6353" s="13" t="inlineStr">
        <is>
          <t>ЮЛ РФ</t>
        </is>
      </c>
      <c r="F6353" s="13" t="n"/>
      <c r="G6353" s="14" t="n"/>
      <c r="H6353" s="14" t="n"/>
      <c r="I6353" s="14" t="n"/>
      <c r="J6353" s="14" t="n"/>
      <c r="K6353" s="53" t="inlineStr"/>
      <c r="L6353" s="53" t="inlineStr">
        <is>
          <t>Не определено</t>
        </is>
      </c>
      <c r="M6353" s="53" t="inlineStr"/>
      <c r="N6353" s="54" t="inlineStr"/>
      <c r="O6353" s="55" t="inlineStr"/>
      <c r="P6353" s="16" t="inlineStr">
        <is>
          <t>Требует обогащения</t>
        </is>
      </c>
      <c r="Q6353" s="16">
        <f>HYPERLINK("https://pb.nalog.ru/search.html?query=2221013033","ФНС: проверить")</f>
        <v/>
      </c>
      <c r="R6353" s="16">
        <f>HYPERLINK("https://checko.ru/search?query=3801001629","Чекко: проверить")</f>
        <v/>
      </c>
      <c r="S6353" t="n">
        <v>1</v>
      </c>
      <c r="T6353" s="35" t="inlineStr">
        <is>
          <t>4 — Не обогащён</t>
        </is>
      </c>
      <c r="U6353" s="35" t="inlineStr">
        <is>
          <t>Нет ОКВЭД/ССЧР</t>
        </is>
      </c>
      <c r="V6353" s="35" t="inlineStr">
        <is>
          <t>Не определено</t>
        </is>
      </c>
      <c r="W6353" s="35" t="inlineStr"/>
      <c r="X6353" s="35" t="inlineStr"/>
    </row>
    <row r="6354" ht="15" customHeight="1" s="24">
      <c r="A6354" s="13" t="n">
        <v>5000077366</v>
      </c>
      <c r="B6354" s="13" t="inlineStr">
        <is>
          <t>КГБУЗ "АКОД"</t>
        </is>
      </c>
      <c r="C6354" s="13" t="n">
        <v>2225022328</v>
      </c>
      <c r="D6354" s="13" t="inlineStr">
        <is>
          <t>2225022328</t>
        </is>
      </c>
      <c r="E6354" s="13" t="inlineStr">
        <is>
          <t>ЮЛ РФ</t>
        </is>
      </c>
      <c r="F6354" s="13" t="n"/>
      <c r="G6354" s="14" t="n"/>
      <c r="H6354" s="14" t="n"/>
      <c r="I6354" s="14" t="n"/>
      <c r="J6354" s="14" t="n"/>
      <c r="K6354" s="53" t="inlineStr"/>
      <c r="L6354" s="53" t="inlineStr">
        <is>
          <t>Не определено</t>
        </is>
      </c>
      <c r="M6354" s="53" t="inlineStr"/>
      <c r="N6354" s="54" t="inlineStr"/>
      <c r="O6354" s="55" t="inlineStr"/>
      <c r="P6354" s="16" t="inlineStr">
        <is>
          <t>Требует обогащения</t>
        </is>
      </c>
      <c r="Q6354" s="16">
        <f>HYPERLINK("https://pb.nalog.ru/search.html?query=2225022328","ФНС: проверить")</f>
        <v/>
      </c>
      <c r="R6354" s="16">
        <f>HYPERLINK("https://checko.ru/search?query=3801001629","Чекко: проверить")</f>
        <v/>
      </c>
      <c r="S6354" t="n">
        <v>1</v>
      </c>
      <c r="T6354" s="35" t="inlineStr">
        <is>
          <t>4 — Не обогащён</t>
        </is>
      </c>
      <c r="U6354" s="35" t="inlineStr">
        <is>
          <t>Нет ОКВЭД/ССЧР</t>
        </is>
      </c>
      <c r="V6354" s="35" t="inlineStr">
        <is>
          <t>Не определено</t>
        </is>
      </c>
      <c r="W6354" s="35" t="inlineStr"/>
      <c r="X6354" s="35" t="inlineStr"/>
    </row>
    <row r="6355" ht="15" customHeight="1" s="24">
      <c r="A6355" s="13" t="n">
        <v>5000077467</v>
      </c>
      <c r="B6355" s="13" t="inlineStr">
        <is>
          <t>КГБУЗ "Чарышская ЦРБ"</t>
        </is>
      </c>
      <c r="C6355" s="13" t="n">
        <v>2288001183</v>
      </c>
      <c r="D6355" s="13" t="inlineStr">
        <is>
          <t>2288001183</t>
        </is>
      </c>
      <c r="E6355" s="13" t="inlineStr">
        <is>
          <t>ЮЛ РФ</t>
        </is>
      </c>
      <c r="F6355" s="13" t="n"/>
      <c r="G6355" s="14" t="n"/>
      <c r="H6355" s="14" t="n"/>
      <c r="I6355" s="14" t="n"/>
      <c r="J6355" s="14" t="n"/>
      <c r="K6355" s="53" t="inlineStr"/>
      <c r="L6355" s="53" t="inlineStr">
        <is>
          <t>Не определено</t>
        </is>
      </c>
      <c r="M6355" s="53" t="inlineStr"/>
      <c r="N6355" s="54" t="inlineStr"/>
      <c r="O6355" s="55" t="inlineStr"/>
      <c r="P6355" s="16" t="inlineStr">
        <is>
          <t>Требует обогащения</t>
        </is>
      </c>
      <c r="Q6355" s="16">
        <f>HYPERLINK("https://pb.nalog.ru/search.html?query=2288001183","ФНС: проверить")</f>
        <v/>
      </c>
      <c r="R6355" s="16">
        <f>HYPERLINK("https://checko.ru/search?query=3801001629","Чекко: проверить")</f>
        <v/>
      </c>
      <c r="S6355" t="n">
        <v>1</v>
      </c>
      <c r="T6355" s="35" t="inlineStr">
        <is>
          <t>4 — Не обогащён</t>
        </is>
      </c>
      <c r="U6355" s="35" t="inlineStr">
        <is>
          <t>Нет ОКВЭД/ССЧР</t>
        </is>
      </c>
      <c r="V6355" s="35" t="inlineStr">
        <is>
          <t>Не определено</t>
        </is>
      </c>
      <c r="W6355" s="35" t="inlineStr"/>
      <c r="X6355" s="35" t="inlineStr"/>
    </row>
    <row r="6356" ht="15" customHeight="1" s="24">
      <c r="A6356" s="13" t="n">
        <v>5000076981</v>
      </c>
      <c r="B6356" s="13" t="inlineStr">
        <is>
          <t>КГБУЗ "Городская  поликлиника  №14, г. Барнаул"</t>
        </is>
      </c>
      <c r="C6356" s="13" t="n">
        <v>2222006649</v>
      </c>
      <c r="D6356" s="13" t="inlineStr">
        <is>
          <t>2222006649</t>
        </is>
      </c>
      <c r="E6356" s="13" t="inlineStr">
        <is>
          <t>ЮЛ РФ</t>
        </is>
      </c>
      <c r="F6356" s="13" t="n"/>
      <c r="G6356" s="14" t="n"/>
      <c r="H6356" s="14" t="n"/>
      <c r="I6356" s="14" t="n"/>
      <c r="J6356" s="14" t="n"/>
      <c r="K6356" s="53" t="inlineStr"/>
      <c r="L6356" s="53" t="inlineStr">
        <is>
          <t>Не определено</t>
        </is>
      </c>
      <c r="M6356" s="53" t="inlineStr"/>
      <c r="N6356" s="54" t="inlineStr"/>
      <c r="O6356" s="55" t="inlineStr"/>
      <c r="P6356" s="16" t="inlineStr">
        <is>
          <t>Требует обогащения</t>
        </is>
      </c>
      <c r="Q6356" s="16">
        <f>HYPERLINK("https://pb.nalog.ru/search.html?query=2222006649","ФНС: проверить")</f>
        <v/>
      </c>
      <c r="R6356" s="16">
        <f>HYPERLINK("https://checko.ru/search?query=3801001629","Чекко: проверить")</f>
        <v/>
      </c>
      <c r="S6356" t="n">
        <v>1</v>
      </c>
      <c r="T6356" s="35" t="inlineStr">
        <is>
          <t>4 — Не обогащён</t>
        </is>
      </c>
      <c r="U6356" s="35" t="inlineStr">
        <is>
          <t>Нет ОКВЭД/ССЧР</t>
        </is>
      </c>
      <c r="V6356" s="35" t="inlineStr">
        <is>
          <t>Не определено</t>
        </is>
      </c>
      <c r="W6356" s="35" t="inlineStr"/>
      <c r="X6356" s="35" t="inlineStr"/>
    </row>
    <row r="6357" ht="41.25" customHeight="1" s="24">
      <c r="A6357" s="13" t="n">
        <v>5000077438</v>
      </c>
      <c r="B6357" s="13" t="inlineStr">
        <is>
          <t>КГБУЗ "САНАТОРНЫЙ ОЗДОРОВИТЕЛЬНЫЙ ЛАГЕРЬ КРУГЛОГОДИЧНОГО ДЕЙСТВИЯ "ЧАЙКА", КГБУЗ "СОЛКД "ЧАЙКА"</t>
        </is>
      </c>
      <c r="C6357" s="13" t="n">
        <v>2226025480</v>
      </c>
      <c r="D6357" s="13" t="inlineStr">
        <is>
          <t>2226025480</t>
        </is>
      </c>
      <c r="E6357" s="13" t="inlineStr">
        <is>
          <t>ЮЛ РФ</t>
        </is>
      </c>
      <c r="F6357" s="13" t="n"/>
      <c r="G6357" s="14" t="n"/>
      <c r="H6357" s="14" t="n"/>
      <c r="I6357" s="14" t="n"/>
      <c r="J6357" s="14" t="n"/>
      <c r="K6357" s="53" t="inlineStr"/>
      <c r="L6357" s="53" t="inlineStr">
        <is>
          <t>Не определено</t>
        </is>
      </c>
      <c r="M6357" s="53" t="inlineStr"/>
      <c r="N6357" s="54" t="inlineStr"/>
      <c r="O6357" s="55" t="inlineStr"/>
      <c r="P6357" s="16" t="inlineStr">
        <is>
          <t>Требует обогащения</t>
        </is>
      </c>
      <c r="Q6357" s="16">
        <f>HYPERLINK("https://pb.nalog.ru/search.html?query=2226025480","ФНС: проверить")</f>
        <v/>
      </c>
      <c r="R6357" s="16">
        <f>HYPERLINK("https://checko.ru/search?query=3801001629","Чекко: проверить")</f>
        <v/>
      </c>
      <c r="S6357" t="n">
        <v>1</v>
      </c>
      <c r="T6357" s="35" t="inlineStr">
        <is>
          <t>4 — Не обогащён</t>
        </is>
      </c>
      <c r="U6357" s="35" t="inlineStr">
        <is>
          <t>Нет ОКВЭД/ССЧР</t>
        </is>
      </c>
      <c r="V6357" s="35" t="inlineStr">
        <is>
          <t>Не определено</t>
        </is>
      </c>
      <c r="W6357" s="35" t="inlineStr"/>
      <c r="X6357" s="35" t="inlineStr"/>
    </row>
    <row r="6358" ht="15" customHeight="1" s="24">
      <c r="A6358" s="13" t="n">
        <v>5000077398</v>
      </c>
      <c r="B6358" s="13" t="inlineStr">
        <is>
          <t>КГБУЗ "Детский санаторий "Медуница""</t>
        </is>
      </c>
      <c r="C6358" s="13" t="n">
        <v>2209011135</v>
      </c>
      <c r="D6358" s="13" t="inlineStr">
        <is>
          <t>2209011135</t>
        </is>
      </c>
      <c r="E6358" s="13" t="inlineStr">
        <is>
          <t>ЮЛ РФ</t>
        </is>
      </c>
      <c r="F6358" s="13" t="n"/>
      <c r="G6358" s="14" t="n"/>
      <c r="H6358" s="14" t="n"/>
      <c r="I6358" s="14" t="n"/>
      <c r="J6358" s="14" t="n"/>
      <c r="K6358" s="53" t="inlineStr"/>
      <c r="L6358" s="53" t="inlineStr">
        <is>
          <t>Не определено</t>
        </is>
      </c>
      <c r="M6358" s="53" t="inlineStr"/>
      <c r="N6358" s="54" t="inlineStr"/>
      <c r="O6358" s="55" t="inlineStr"/>
      <c r="P6358" s="16" t="inlineStr">
        <is>
          <t>Требует обогащения</t>
        </is>
      </c>
      <c r="Q6358" s="16">
        <f>HYPERLINK("https://pb.nalog.ru/search.html?query=2209011135","ФНС: проверить")</f>
        <v/>
      </c>
      <c r="R6358" s="16">
        <f>HYPERLINK("https://checko.ru/search?query=3801001629","Чекко: проверить")</f>
        <v/>
      </c>
      <c r="S6358" t="n">
        <v>1</v>
      </c>
      <c r="T6358" s="35" t="inlineStr">
        <is>
          <t>4 — Не обогащён</t>
        </is>
      </c>
      <c r="U6358" s="35" t="inlineStr">
        <is>
          <t>Нет ОКВЭД/ССЧР</t>
        </is>
      </c>
      <c r="V6358" s="35" t="inlineStr">
        <is>
          <t>Не определено</t>
        </is>
      </c>
      <c r="W6358" s="35" t="inlineStr"/>
      <c r="X6358" s="35" t="inlineStr"/>
    </row>
    <row r="6359" ht="15" customHeight="1" s="24">
      <c r="A6359" s="13" t="n">
        <v>5000076978</v>
      </c>
      <c r="B6359" s="13" t="inlineStr">
        <is>
          <t>КГБУЗ "Городская больница №3, г. Рубцовск"</t>
        </is>
      </c>
      <c r="C6359" s="13" t="n">
        <v>2209015193</v>
      </c>
      <c r="D6359" s="13" t="inlineStr">
        <is>
          <t>2209015193</t>
        </is>
      </c>
      <c r="E6359" s="13" t="inlineStr">
        <is>
          <t>ЮЛ РФ</t>
        </is>
      </c>
      <c r="F6359" s="13" t="n"/>
      <c r="G6359" s="14" t="n"/>
      <c r="H6359" s="14" t="n"/>
      <c r="I6359" s="14" t="n"/>
      <c r="J6359" s="14" t="n"/>
      <c r="K6359" s="53" t="inlineStr"/>
      <c r="L6359" s="53" t="inlineStr">
        <is>
          <t>Не определено</t>
        </is>
      </c>
      <c r="M6359" s="53" t="inlineStr"/>
      <c r="N6359" s="54" t="inlineStr"/>
      <c r="O6359" s="55" t="inlineStr"/>
      <c r="P6359" s="16" t="inlineStr">
        <is>
          <t>Требует обогащения</t>
        </is>
      </c>
      <c r="Q6359" s="16">
        <f>HYPERLINK("https://pb.nalog.ru/search.html?query=2209015193","ФНС: проверить")</f>
        <v/>
      </c>
      <c r="R6359" s="16">
        <f>HYPERLINK("https://checko.ru/search?query=3801001629","Чекко: проверить")</f>
        <v/>
      </c>
      <c r="S6359" t="n">
        <v>1</v>
      </c>
      <c r="T6359" s="35" t="inlineStr">
        <is>
          <t>4 — Не обогащён</t>
        </is>
      </c>
      <c r="U6359" s="35" t="inlineStr">
        <is>
          <t>Нет ОКВЭД/ССЧР</t>
        </is>
      </c>
      <c r="V6359" s="35" t="inlineStr">
        <is>
          <t>Не определено</t>
        </is>
      </c>
      <c r="W6359" s="35" t="inlineStr"/>
      <c r="X6359" s="35" t="inlineStr"/>
    </row>
    <row r="6360" ht="27.75" customHeight="1" s="24">
      <c r="A6360" s="13" t="n">
        <v>5000077449</v>
      </c>
      <c r="B6360" s="13" t="inlineStr">
        <is>
          <t>КГБУЗ "Стоматологическая поликлиника, г. Рубцовск"</t>
        </is>
      </c>
      <c r="C6360" s="13" t="n">
        <v>2209011826</v>
      </c>
      <c r="D6360" s="13" t="inlineStr">
        <is>
          <t>2209011826</t>
        </is>
      </c>
      <c r="E6360" s="13" t="inlineStr">
        <is>
          <t>ЮЛ РФ</t>
        </is>
      </c>
      <c r="F6360" s="13" t="n"/>
      <c r="G6360" s="14" t="n"/>
      <c r="H6360" s="14" t="n"/>
      <c r="I6360" s="14" t="n"/>
      <c r="J6360" s="14" t="n"/>
      <c r="K6360" s="53" t="inlineStr"/>
      <c r="L6360" s="53" t="inlineStr">
        <is>
          <t>Не определено</t>
        </is>
      </c>
      <c r="M6360" s="53" t="inlineStr"/>
      <c r="N6360" s="54" t="inlineStr"/>
      <c r="O6360" s="55" t="inlineStr"/>
      <c r="P6360" s="16" t="inlineStr">
        <is>
          <t>Требует обогащения</t>
        </is>
      </c>
      <c r="Q6360" s="16">
        <f>HYPERLINK("https://pb.nalog.ru/search.html?query=2209011826","ФНС: проверить")</f>
        <v/>
      </c>
      <c r="R6360" s="16">
        <f>HYPERLINK("https://checko.ru/search?query=3801001629","Чекко: проверить")</f>
        <v/>
      </c>
      <c r="S6360" t="n">
        <v>1</v>
      </c>
      <c r="T6360" s="35" t="inlineStr">
        <is>
          <t>4 — Не обогащён</t>
        </is>
      </c>
      <c r="U6360" s="35" t="inlineStr">
        <is>
          <t>Нет ОКВЭД/ССЧР</t>
        </is>
      </c>
      <c r="V6360" s="35" t="inlineStr">
        <is>
          <t>Не определено</t>
        </is>
      </c>
      <c r="W6360" s="35" t="inlineStr"/>
      <c r="X6360" s="35" t="inlineStr"/>
    </row>
    <row r="6361" ht="27.75" customHeight="1" s="24">
      <c r="A6361" s="13" t="n">
        <v>5000077363</v>
      </c>
      <c r="B6361" s="13" t="inlineStr">
        <is>
          <t>КГБУЗ «Алтайский краевой кардиологический диспансер»</t>
        </is>
      </c>
      <c r="C6361" s="13" t="n">
        <v>2223013254</v>
      </c>
      <c r="D6361" s="13" t="inlineStr">
        <is>
          <t>2223013254</t>
        </is>
      </c>
      <c r="E6361" s="13" t="inlineStr">
        <is>
          <t>ЮЛ РФ</t>
        </is>
      </c>
      <c r="F6361" s="13" t="n"/>
      <c r="G6361" s="14" t="n"/>
      <c r="H6361" s="14" t="n"/>
      <c r="I6361" s="14" t="n"/>
      <c r="J6361" s="14" t="n"/>
      <c r="K6361" s="53" t="inlineStr"/>
      <c r="L6361" s="53" t="inlineStr">
        <is>
          <t>Не определено</t>
        </is>
      </c>
      <c r="M6361" s="53" t="inlineStr"/>
      <c r="N6361" s="54" t="inlineStr"/>
      <c r="O6361" s="55" t="inlineStr"/>
      <c r="P6361" s="16" t="inlineStr">
        <is>
          <t>Требует обогащения</t>
        </is>
      </c>
      <c r="Q6361" s="16">
        <f>HYPERLINK("https://pb.nalog.ru/search.html?query=2223013254","ФНС: проверить")</f>
        <v/>
      </c>
      <c r="R6361" s="16">
        <f>HYPERLINK("https://checko.ru/search?query=3801001629","Чекко: проверить")</f>
        <v/>
      </c>
      <c r="S6361" t="n">
        <v>1</v>
      </c>
      <c r="T6361" s="35" t="inlineStr">
        <is>
          <t>4 — Не обогащён</t>
        </is>
      </c>
      <c r="U6361" s="35" t="inlineStr">
        <is>
          <t>Нет ОКВЭД/ССЧР</t>
        </is>
      </c>
      <c r="V6361" s="35" t="inlineStr">
        <is>
          <t>Не определено</t>
        </is>
      </c>
      <c r="W6361" s="35" t="inlineStr"/>
      <c r="X6361" s="35" t="inlineStr"/>
    </row>
    <row r="6362" ht="15" customHeight="1" s="24">
      <c r="A6362" s="13" t="n">
        <v>5000076989</v>
      </c>
      <c r="B6362" s="13" t="inlineStr">
        <is>
          <t>КГБУ "Кытмановская ЦРБ"</t>
        </is>
      </c>
      <c r="C6362" s="13" t="n">
        <v>2255001364</v>
      </c>
      <c r="D6362" s="13" t="inlineStr">
        <is>
          <t>2255001364</t>
        </is>
      </c>
      <c r="E6362" s="13" t="inlineStr">
        <is>
          <t>ЮЛ РФ</t>
        </is>
      </c>
      <c r="F6362" s="13" t="n"/>
      <c r="G6362" s="14" t="n"/>
      <c r="H6362" s="14" t="n"/>
      <c r="I6362" s="14" t="n"/>
      <c r="J6362" s="14" t="n"/>
      <c r="K6362" s="53" t="inlineStr"/>
      <c r="L6362" s="53" t="inlineStr">
        <is>
          <t>Не определено</t>
        </is>
      </c>
      <c r="M6362" s="53" t="inlineStr"/>
      <c r="N6362" s="54" t="inlineStr"/>
      <c r="O6362" s="55" t="inlineStr"/>
      <c r="P6362" s="16" t="inlineStr">
        <is>
          <t>Требует обогащения</t>
        </is>
      </c>
      <c r="Q6362" s="16">
        <f>HYPERLINK("https://pb.nalog.ru/search.html?query=2255001364","ФНС: проверить")</f>
        <v/>
      </c>
      <c r="R6362" s="16">
        <f>HYPERLINK("https://checko.ru/search?query=3801001629","Чекко: проверить")</f>
        <v/>
      </c>
      <c r="S6362" t="n">
        <v>1</v>
      </c>
      <c r="T6362" s="35" t="inlineStr">
        <is>
          <t>4 — Не обогащён</t>
        </is>
      </c>
      <c r="U6362" s="35" t="inlineStr">
        <is>
          <t>Нет ОКВЭД/ССЧР</t>
        </is>
      </c>
      <c r="V6362" s="35" t="inlineStr">
        <is>
          <t>Не определено</t>
        </is>
      </c>
      <c r="W6362" s="35" t="inlineStr"/>
      <c r="X6362" s="35" t="inlineStr"/>
    </row>
    <row r="6363" ht="15" customHeight="1" s="24">
      <c r="A6363" s="13" t="n">
        <v>5000077417</v>
      </c>
      <c r="B6363" s="13" t="inlineStr">
        <is>
          <t>КГБУЗ "Кулундинская ЦРБ"</t>
        </is>
      </c>
      <c r="C6363" s="13" t="n">
        <v>2253000975</v>
      </c>
      <c r="D6363" s="13" t="inlineStr">
        <is>
          <t>2253000975</t>
        </is>
      </c>
      <c r="E6363" s="13" t="inlineStr">
        <is>
          <t>ЮЛ РФ</t>
        </is>
      </c>
      <c r="F6363" s="13" t="n"/>
      <c r="G6363" s="14" t="n"/>
      <c r="H6363" s="14" t="n"/>
      <c r="I6363" s="14" t="n"/>
      <c r="J6363" s="14" t="n"/>
      <c r="K6363" s="53" t="inlineStr"/>
      <c r="L6363" s="53" t="inlineStr">
        <is>
          <t>Не определено</t>
        </is>
      </c>
      <c r="M6363" s="53" t="inlineStr"/>
      <c r="N6363" s="54" t="inlineStr"/>
      <c r="O6363" s="55" t="inlineStr"/>
      <c r="P6363" s="16" t="inlineStr">
        <is>
          <t>Требует обогащения</t>
        </is>
      </c>
      <c r="Q6363" s="16">
        <f>HYPERLINK("https://pb.nalog.ru/search.html?query=2253000975","ФНС: проверить")</f>
        <v/>
      </c>
      <c r="R6363" s="16">
        <f>HYPERLINK("https://checko.ru/search?query=3801001629","Чекко: проверить")</f>
        <v/>
      </c>
      <c r="S6363" t="n">
        <v>1</v>
      </c>
      <c r="T6363" s="35" t="inlineStr">
        <is>
          <t>4 — Не обогащён</t>
        </is>
      </c>
      <c r="U6363" s="35" t="inlineStr">
        <is>
          <t>Нет ОКВЭД/ССЧР</t>
        </is>
      </c>
      <c r="V6363" s="35" t="inlineStr">
        <is>
          <t>Не определено</t>
        </is>
      </c>
      <c r="W6363" s="35" t="inlineStr"/>
      <c r="X6363" s="35" t="inlineStr"/>
    </row>
    <row r="6364" ht="15" customHeight="1" s="24">
      <c r="A6364" s="13" t="n">
        <v>5000077373</v>
      </c>
      <c r="B6364" s="13" t="inlineStr">
        <is>
          <t>КГБУЗ "Благовещенская ЦРБ"</t>
        </is>
      </c>
      <c r="C6364" s="13" t="n">
        <v>2235003250</v>
      </c>
      <c r="D6364" s="13" t="inlineStr">
        <is>
          <t>2235003250</t>
        </is>
      </c>
      <c r="E6364" s="13" t="inlineStr">
        <is>
          <t>ЮЛ РФ</t>
        </is>
      </c>
      <c r="F6364" s="13" t="n"/>
      <c r="G6364" s="14" t="n"/>
      <c r="H6364" s="14" t="n"/>
      <c r="I6364" s="14" t="n"/>
      <c r="J6364" s="14" t="n"/>
      <c r="K6364" s="53" t="inlineStr"/>
      <c r="L6364" s="53" t="inlineStr">
        <is>
          <t>Не определено</t>
        </is>
      </c>
      <c r="M6364" s="53" t="inlineStr"/>
      <c r="N6364" s="54" t="inlineStr"/>
      <c r="O6364" s="55" t="inlineStr"/>
      <c r="P6364" s="16" t="inlineStr">
        <is>
          <t>Требует обогащения</t>
        </is>
      </c>
      <c r="Q6364" s="16">
        <f>HYPERLINK("https://pb.nalog.ru/search.html?query=2235003250","ФНС: проверить")</f>
        <v/>
      </c>
      <c r="R6364" s="16">
        <f>HYPERLINK("https://checko.ru/search?query=3801001629","Чекко: проверить")</f>
        <v/>
      </c>
      <c r="S6364" t="n">
        <v>1</v>
      </c>
      <c r="T6364" s="35" t="inlineStr">
        <is>
          <t>4 — Не обогащён</t>
        </is>
      </c>
      <c r="U6364" s="35" t="inlineStr">
        <is>
          <t>Нет ОКВЭД/ССЧР</t>
        </is>
      </c>
      <c r="V6364" s="35" t="inlineStr">
        <is>
          <t>Не определено</t>
        </is>
      </c>
      <c r="W6364" s="35" t="inlineStr"/>
      <c r="X6364" s="35" t="inlineStr"/>
    </row>
    <row r="6365" ht="15" customHeight="1" s="24">
      <c r="A6365" s="13" t="n">
        <v>5000077455</v>
      </c>
      <c r="B6365" s="13" t="inlineStr">
        <is>
          <t>КГБУЗ "Тюменцевская ЦРБ"</t>
        </is>
      </c>
      <c r="C6365" s="13" t="n">
        <v>2282002423</v>
      </c>
      <c r="D6365" s="13" t="inlineStr">
        <is>
          <t>2282002423</t>
        </is>
      </c>
      <c r="E6365" s="13" t="inlineStr">
        <is>
          <t>ЮЛ РФ</t>
        </is>
      </c>
      <c r="F6365" s="13" t="n"/>
      <c r="G6365" s="14" t="n"/>
      <c r="H6365" s="14" t="n"/>
      <c r="I6365" s="14" t="n"/>
      <c r="J6365" s="14" t="n"/>
      <c r="K6365" s="53" t="inlineStr"/>
      <c r="L6365" s="53" t="inlineStr">
        <is>
          <t>Не определено</t>
        </is>
      </c>
      <c r="M6365" s="53" t="inlineStr"/>
      <c r="N6365" s="54" t="inlineStr"/>
      <c r="O6365" s="55" t="inlineStr"/>
      <c r="P6365" s="16" t="inlineStr">
        <is>
          <t>Требует обогащения</t>
        </is>
      </c>
      <c r="Q6365" s="16">
        <f>HYPERLINK("https://pb.nalog.ru/search.html?query=2282002423","ФНС: проверить")</f>
        <v/>
      </c>
      <c r="R6365" s="16">
        <f>HYPERLINK("https://checko.ru/search?query=3801001629","Чекко: проверить")</f>
        <v/>
      </c>
      <c r="S6365" t="n">
        <v>1</v>
      </c>
      <c r="T6365" s="35" t="inlineStr">
        <is>
          <t>4 — Не обогащён</t>
        </is>
      </c>
      <c r="U6365" s="35" t="inlineStr">
        <is>
          <t>Нет ОКВЭД/ССЧР</t>
        </is>
      </c>
      <c r="V6365" s="35" t="inlineStr">
        <is>
          <t>Не определено</t>
        </is>
      </c>
      <c r="W6365" s="35" t="inlineStr"/>
      <c r="X6365" s="35" t="inlineStr"/>
    </row>
    <row r="6366" ht="15" customHeight="1" s="24">
      <c r="A6366" s="13" t="n">
        <v>5000077374</v>
      </c>
      <c r="B6366" s="13" t="inlineStr">
        <is>
          <t>КГБУЗ "Бурлинская ЦРБ"</t>
        </is>
      </c>
      <c r="C6366" s="13" t="n">
        <v>2236000598</v>
      </c>
      <c r="D6366" s="13" t="inlineStr">
        <is>
          <t>2236000598</t>
        </is>
      </c>
      <c r="E6366" s="13" t="inlineStr">
        <is>
          <t>ЮЛ РФ</t>
        </is>
      </c>
      <c r="F6366" s="13" t="n"/>
      <c r="G6366" s="14" t="n"/>
      <c r="H6366" s="14" t="n"/>
      <c r="I6366" s="14" t="n"/>
      <c r="J6366" s="14" t="n"/>
      <c r="K6366" s="53" t="inlineStr"/>
      <c r="L6366" s="53" t="inlineStr">
        <is>
          <t>Не определено</t>
        </is>
      </c>
      <c r="M6366" s="53" t="inlineStr"/>
      <c r="N6366" s="54" t="inlineStr"/>
      <c r="O6366" s="55" t="inlineStr"/>
      <c r="P6366" s="16" t="inlineStr">
        <is>
          <t>Требует обогащения</t>
        </is>
      </c>
      <c r="Q6366" s="16">
        <f>HYPERLINK("https://pb.nalog.ru/search.html?query=2236000598","ФНС: проверить")</f>
        <v/>
      </c>
      <c r="R6366" s="16">
        <f>HYPERLINK("https://checko.ru/search?query=3801001629","Чекко: проверить")</f>
        <v/>
      </c>
      <c r="S6366" t="n">
        <v>1</v>
      </c>
      <c r="T6366" s="35" t="inlineStr">
        <is>
          <t>4 — Не обогащён</t>
        </is>
      </c>
      <c r="U6366" s="35" t="inlineStr">
        <is>
          <t>Нет ОКВЭД/ССЧР</t>
        </is>
      </c>
      <c r="V6366" s="35" t="inlineStr">
        <is>
          <t>Не определено</t>
        </is>
      </c>
      <c r="W6366" s="35" t="inlineStr"/>
      <c r="X6366" s="35" t="inlineStr"/>
    </row>
    <row r="6367" ht="41.25" customHeight="1" s="24">
      <c r="A6367" s="13" t="n">
        <v>5000077412</v>
      </c>
      <c r="B6367" s="13" t="inlineStr">
        <is>
          <t>КРАЕВОЕ ГОСУДАРСТВЕННОЕ БЮДЖЕТНОЕ УЧРЕЖДЕНИЕ ЗДРАВООХРАНЕНИЯ "КРАЕВОЙ КОЖНО-ВЕНЕРОЛОГИЧЕСКИЙ ДИСПАНСЕР"</t>
        </is>
      </c>
      <c r="C6367" s="13" t="n">
        <v>2225022582</v>
      </c>
      <c r="D6367" s="13" t="inlineStr">
        <is>
          <t>2225022582</t>
        </is>
      </c>
      <c r="E6367" s="13" t="inlineStr">
        <is>
          <t>ЮЛ РФ</t>
        </is>
      </c>
      <c r="F6367" s="13" t="n"/>
      <c r="G6367" s="14" t="n"/>
      <c r="H6367" s="14" t="n"/>
      <c r="I6367" s="14" t="n"/>
      <c r="J6367" s="14" t="n"/>
      <c r="K6367" s="53" t="inlineStr"/>
      <c r="L6367" s="53" t="inlineStr">
        <is>
          <t>Не определено</t>
        </is>
      </c>
      <c r="M6367" s="53" t="inlineStr"/>
      <c r="N6367" s="54" t="inlineStr"/>
      <c r="O6367" s="55" t="inlineStr"/>
      <c r="P6367" s="16" t="inlineStr">
        <is>
          <t>Требует обогащения</t>
        </is>
      </c>
      <c r="Q6367" s="16">
        <f>HYPERLINK("https://pb.nalog.ru/search.html?query=2225022582","ФНС: проверить")</f>
        <v/>
      </c>
      <c r="R6367" s="16">
        <f>HYPERLINK("https://checko.ru/search?query=3801001629","Чекко: проверить")</f>
        <v/>
      </c>
      <c r="S6367" t="n">
        <v>1</v>
      </c>
      <c r="T6367" s="35" t="inlineStr">
        <is>
          <t>4 — Не обогащён</t>
        </is>
      </c>
      <c r="U6367" s="35" t="inlineStr">
        <is>
          <t>Нет ОКВЭД/ССЧР</t>
        </is>
      </c>
      <c r="V6367" s="35" t="inlineStr">
        <is>
          <t>Не определено</t>
        </is>
      </c>
      <c r="W6367" s="35" t="inlineStr"/>
      <c r="X6367" s="35" t="inlineStr"/>
    </row>
    <row r="6368" ht="27.75" customHeight="1" s="24">
      <c r="A6368" s="13" t="n">
        <v>5000077399</v>
      </c>
      <c r="B6368" s="13" t="inlineStr">
        <is>
          <t>КГБУЗ "ДИАГНОСТИЧЕСКИЙ ЦЕНТР АЛТАЙСКОГО КРАЯ"</t>
        </is>
      </c>
      <c r="C6368" s="13" t="n">
        <v>2224077476</v>
      </c>
      <c r="D6368" s="13" t="inlineStr">
        <is>
          <t>2224077476</t>
        </is>
      </c>
      <c r="E6368" s="13" t="inlineStr">
        <is>
          <t>ЮЛ РФ</t>
        </is>
      </c>
      <c r="F6368" s="13" t="n"/>
      <c r="G6368" s="14" t="n"/>
      <c r="H6368" s="14" t="n"/>
      <c r="I6368" s="14" t="n"/>
      <c r="J6368" s="14" t="n"/>
      <c r="K6368" s="53" t="inlineStr"/>
      <c r="L6368" s="53" t="inlineStr">
        <is>
          <t>Не определено</t>
        </is>
      </c>
      <c r="M6368" s="53" t="inlineStr"/>
      <c r="N6368" s="54" t="inlineStr"/>
      <c r="O6368" s="55" t="inlineStr"/>
      <c r="P6368" s="16" t="inlineStr">
        <is>
          <t>Требует обогащения</t>
        </is>
      </c>
      <c r="Q6368" s="16">
        <f>HYPERLINK("https://pb.nalog.ru/search.html?query=2224077476","ФНС: проверить")</f>
        <v/>
      </c>
      <c r="R6368" s="16">
        <f>HYPERLINK("https://checko.ru/search?query=3801001629","Чекко: проверить")</f>
        <v/>
      </c>
      <c r="S6368" t="n">
        <v>1</v>
      </c>
      <c r="T6368" s="35" t="inlineStr">
        <is>
          <t>4 — Не обогащён</t>
        </is>
      </c>
      <c r="U6368" s="35" t="inlineStr">
        <is>
          <t>Нет ОКВЭД/ССЧР</t>
        </is>
      </c>
      <c r="V6368" s="35" t="inlineStr">
        <is>
          <t>Не определено</t>
        </is>
      </c>
      <c r="W6368" s="35" t="inlineStr"/>
      <c r="X6368" s="35" t="inlineStr"/>
    </row>
    <row r="6369" ht="27.75" customHeight="1" s="24">
      <c r="A6369" s="13" t="n">
        <v>5000077001</v>
      </c>
      <c r="B6369" s="13" t="inlineStr">
        <is>
          <t>КГБУЗ "Центральная районная больница Солтонского района"</t>
        </is>
      </c>
      <c r="C6369" s="13" t="n">
        <v>2274001930</v>
      </c>
      <c r="D6369" s="13" t="inlineStr">
        <is>
          <t>2274001930</t>
        </is>
      </c>
      <c r="E6369" s="13" t="inlineStr">
        <is>
          <t>ЮЛ РФ</t>
        </is>
      </c>
      <c r="F6369" s="13" t="n"/>
      <c r="G6369" s="14" t="n"/>
      <c r="H6369" s="14" t="n"/>
      <c r="I6369" s="14" t="n"/>
      <c r="J6369" s="14" t="n"/>
      <c r="K6369" s="53" t="inlineStr"/>
      <c r="L6369" s="53" t="inlineStr">
        <is>
          <t>Не определено</t>
        </is>
      </c>
      <c r="M6369" s="53" t="inlineStr"/>
      <c r="N6369" s="54" t="inlineStr"/>
      <c r="O6369" s="55" t="inlineStr"/>
      <c r="P6369" s="16" t="inlineStr">
        <is>
          <t>Требует обогащения</t>
        </is>
      </c>
      <c r="Q6369" s="16">
        <f>HYPERLINK("https://pb.nalog.ru/search.html?query=2274001930","ФНС: проверить")</f>
        <v/>
      </c>
      <c r="R6369" s="16">
        <f>HYPERLINK("https://checko.ru/search?query=3801001629","Чекко: проверить")</f>
        <v/>
      </c>
      <c r="S6369" t="n">
        <v>1</v>
      </c>
      <c r="T6369" s="35" t="inlineStr">
        <is>
          <t>4 — Не обогащён</t>
        </is>
      </c>
      <c r="U6369" s="35" t="inlineStr">
        <is>
          <t>Нет ОКВЭД/ССЧР</t>
        </is>
      </c>
      <c r="V6369" s="35" t="inlineStr">
        <is>
          <t>Не определено</t>
        </is>
      </c>
      <c r="W6369" s="35" t="inlineStr"/>
      <c r="X6369" s="35" t="inlineStr"/>
    </row>
    <row r="6370" ht="15" customHeight="1" s="24">
      <c r="A6370" s="13" t="n">
        <v>5000077422</v>
      </c>
      <c r="B6370" s="13" t="inlineStr">
        <is>
          <t>Павловская ЦРБ</t>
        </is>
      </c>
      <c r="C6370" s="13" t="n">
        <v>2261001161</v>
      </c>
      <c r="D6370" s="13" t="inlineStr">
        <is>
          <t>2261001161</t>
        </is>
      </c>
      <c r="E6370" s="13" t="inlineStr">
        <is>
          <t>ЮЛ РФ</t>
        </is>
      </c>
      <c r="F6370" s="13" t="n"/>
      <c r="G6370" s="14" t="n"/>
      <c r="H6370" s="14" t="n"/>
      <c r="I6370" s="14" t="n"/>
      <c r="J6370" s="14" t="n"/>
      <c r="K6370" s="53" t="inlineStr"/>
      <c r="L6370" s="53" t="inlineStr">
        <is>
          <t>Не определено</t>
        </is>
      </c>
      <c r="M6370" s="53" t="inlineStr"/>
      <c r="N6370" s="54" t="inlineStr"/>
      <c r="O6370" s="55" t="inlineStr"/>
      <c r="P6370" s="16" t="inlineStr">
        <is>
          <t>Требует обогащения</t>
        </is>
      </c>
      <c r="Q6370" s="16">
        <f>HYPERLINK("https://pb.nalog.ru/search.html?query=2261001161","ФНС: проверить")</f>
        <v/>
      </c>
      <c r="R6370" s="16">
        <f>HYPERLINK("https://checko.ru/search?query=3801001629","Чекко: проверить")</f>
        <v/>
      </c>
      <c r="S6370" t="n">
        <v>1</v>
      </c>
      <c r="T6370" s="35" t="inlineStr">
        <is>
          <t>4 — Не обогащён</t>
        </is>
      </c>
      <c r="U6370" s="35" t="inlineStr">
        <is>
          <t>Нет ОКВЭД/ССЧР</t>
        </is>
      </c>
      <c r="V6370" s="35" t="inlineStr">
        <is>
          <t>Не определено</t>
        </is>
      </c>
      <c r="W6370" s="35" t="inlineStr"/>
      <c r="X6370" s="35" t="inlineStr"/>
    </row>
    <row r="6371" ht="27.75" customHeight="1" s="24">
      <c r="A6371" s="13" t="n">
        <v>5000077368</v>
      </c>
      <c r="B6371" s="13" t="inlineStr">
        <is>
          <t>КГБУЗ "Алтайский краевой психоневрологический диспансер для детей"</t>
        </is>
      </c>
      <c r="C6371" s="13" t="n">
        <v>2225053679</v>
      </c>
      <c r="D6371" s="13" t="inlineStr">
        <is>
          <t>2225053679</t>
        </is>
      </c>
      <c r="E6371" s="13" t="inlineStr">
        <is>
          <t>ЮЛ РФ</t>
        </is>
      </c>
      <c r="F6371" s="13" t="n"/>
      <c r="G6371" s="14" t="n"/>
      <c r="H6371" s="14" t="n"/>
      <c r="I6371" s="14" t="n"/>
      <c r="J6371" s="14" t="n"/>
      <c r="K6371" s="53" t="inlineStr"/>
      <c r="L6371" s="53" t="inlineStr">
        <is>
          <t>Не определено</t>
        </is>
      </c>
      <c r="M6371" s="53" t="inlineStr"/>
      <c r="N6371" s="54" t="inlineStr"/>
      <c r="O6371" s="55" t="inlineStr"/>
      <c r="P6371" s="16" t="inlineStr">
        <is>
          <t>Требует обогащения</t>
        </is>
      </c>
      <c r="Q6371" s="16">
        <f>HYPERLINK("https://pb.nalog.ru/search.html?query=2225053679","ФНС: проверить")</f>
        <v/>
      </c>
      <c r="R6371" s="16">
        <f>HYPERLINK("https://checko.ru/search?query=3801001629","Чекко: проверить")</f>
        <v/>
      </c>
      <c r="S6371" t="n">
        <v>1</v>
      </c>
      <c r="T6371" s="35" t="inlineStr">
        <is>
          <t>4 — Не обогащён</t>
        </is>
      </c>
      <c r="U6371" s="35" t="inlineStr">
        <is>
          <t>Нет ОКВЭД/ССЧР</t>
        </is>
      </c>
      <c r="V6371" s="35" t="inlineStr">
        <is>
          <t>Не определено</t>
        </is>
      </c>
      <c r="W6371" s="35" t="inlineStr"/>
      <c r="X6371" s="35" t="inlineStr"/>
    </row>
    <row r="6372" ht="15" customHeight="1" s="24">
      <c r="A6372" s="13" t="n">
        <v>5000077381</v>
      </c>
      <c r="B6372" s="13" t="inlineStr">
        <is>
          <t>КГБУЗ "Городская больница №5 г.Барнаул"</t>
        </is>
      </c>
      <c r="C6372" s="13" t="n">
        <v>2225029066</v>
      </c>
      <c r="D6372" s="13" t="inlineStr">
        <is>
          <t>2225029066</t>
        </is>
      </c>
      <c r="E6372" s="13" t="inlineStr">
        <is>
          <t>ЮЛ РФ</t>
        </is>
      </c>
      <c r="F6372" s="13" t="n"/>
      <c r="G6372" s="14" t="n"/>
      <c r="H6372" s="14" t="n"/>
      <c r="I6372" s="14" t="n"/>
      <c r="J6372" s="14" t="n"/>
      <c r="K6372" s="53" t="inlineStr"/>
      <c r="L6372" s="53" t="inlineStr">
        <is>
          <t>Не определено</t>
        </is>
      </c>
      <c r="M6372" s="53" t="inlineStr"/>
      <c r="N6372" s="54" t="inlineStr"/>
      <c r="O6372" s="55" t="inlineStr"/>
      <c r="P6372" s="16" t="inlineStr">
        <is>
          <t>Требует обогащения</t>
        </is>
      </c>
      <c r="Q6372" s="16">
        <f>HYPERLINK("https://pb.nalog.ru/search.html?query=2225029066","ФНС: проверить")</f>
        <v/>
      </c>
      <c r="R6372" s="16">
        <f>HYPERLINK("https://checko.ru/search?query=3801001629","Чекко: проверить")</f>
        <v/>
      </c>
      <c r="S6372" t="n">
        <v>1</v>
      </c>
      <c r="T6372" s="35" t="inlineStr">
        <is>
          <t>4 — Не обогащён</t>
        </is>
      </c>
      <c r="U6372" s="35" t="inlineStr">
        <is>
          <t>Нет ОКВЭД/ССЧР</t>
        </is>
      </c>
      <c r="V6372" s="35" t="inlineStr">
        <is>
          <t>Не определено</t>
        </is>
      </c>
      <c r="W6372" s="35" t="inlineStr"/>
      <c r="X6372" s="35" t="inlineStr"/>
    </row>
    <row r="6373" ht="15" customHeight="1" s="24">
      <c r="A6373" s="13" t="n">
        <v>5000064360</v>
      </c>
      <c r="B6373" s="13" t="inlineStr">
        <is>
          <t>КГБУЗ "Баевская ЦРБ"</t>
        </is>
      </c>
      <c r="C6373" s="13" t="n">
        <v>2233000945</v>
      </c>
      <c r="D6373" s="13" t="inlineStr">
        <is>
          <t>2233000945</t>
        </is>
      </c>
      <c r="E6373" s="13" t="inlineStr">
        <is>
          <t>ЮЛ РФ</t>
        </is>
      </c>
      <c r="F6373" s="13" t="n"/>
      <c r="G6373" s="14" t="n"/>
      <c r="H6373" s="14" t="n"/>
      <c r="I6373" s="14" t="n"/>
      <c r="J6373" s="14" t="n"/>
      <c r="K6373" s="53" t="inlineStr"/>
      <c r="L6373" s="53" t="inlineStr">
        <is>
          <t>Не определено</t>
        </is>
      </c>
      <c r="M6373" s="53" t="inlineStr"/>
      <c r="N6373" s="54" t="inlineStr"/>
      <c r="O6373" s="55" t="inlineStr"/>
      <c r="P6373" s="16" t="inlineStr">
        <is>
          <t>Требует обогащения</t>
        </is>
      </c>
      <c r="Q6373" s="16">
        <f>HYPERLINK("https://pb.nalog.ru/search.html?query=2233000945","ФНС: проверить")</f>
        <v/>
      </c>
      <c r="R6373" s="16">
        <f>HYPERLINK("https://checko.ru/search?query=3801001629","Чекко: проверить")</f>
        <v/>
      </c>
      <c r="S6373" t="n">
        <v>1</v>
      </c>
      <c r="T6373" s="35" t="inlineStr">
        <is>
          <t>4 — Не обогащён</t>
        </is>
      </c>
      <c r="U6373" s="35" t="inlineStr">
        <is>
          <t>Нет ОКВЭД/ССЧР</t>
        </is>
      </c>
      <c r="V6373" s="35" t="inlineStr">
        <is>
          <t>Не определено</t>
        </is>
      </c>
      <c r="W6373" s="35" t="inlineStr"/>
      <c r="X6373" s="35" t="inlineStr"/>
    </row>
    <row r="6374" ht="15" customHeight="1" s="24">
      <c r="A6374" s="13" t="n">
        <v>5000077441</v>
      </c>
      <c r="B6374" s="13" t="inlineStr">
        <is>
          <t>МУЗ Советская центральная больница</t>
        </is>
      </c>
      <c r="C6374" s="13" t="n">
        <v>2272001565</v>
      </c>
      <c r="D6374" s="13" t="inlineStr">
        <is>
          <t>2272001565</t>
        </is>
      </c>
      <c r="E6374" s="13" t="inlineStr">
        <is>
          <t>ЮЛ РФ</t>
        </is>
      </c>
      <c r="F6374" s="13" t="n"/>
      <c r="G6374" s="14" t="n"/>
      <c r="H6374" s="14" t="n"/>
      <c r="I6374" s="14" t="n"/>
      <c r="J6374" s="14" t="n"/>
      <c r="K6374" s="53" t="inlineStr"/>
      <c r="L6374" s="53" t="inlineStr">
        <is>
          <t>Не определено</t>
        </is>
      </c>
      <c r="M6374" s="53" t="inlineStr"/>
      <c r="N6374" s="54" t="inlineStr"/>
      <c r="O6374" s="55" t="inlineStr"/>
      <c r="P6374" s="16" t="inlineStr">
        <is>
          <t>Требует обогащения</t>
        </is>
      </c>
      <c r="Q6374" s="16">
        <f>HYPERLINK("https://pb.nalog.ru/search.html?query=2272001565","ФНС: проверить")</f>
        <v/>
      </c>
      <c r="R6374" s="16">
        <f>HYPERLINK("https://checko.ru/search?query=3801001629","Чекко: проверить")</f>
        <v/>
      </c>
      <c r="S6374" t="n">
        <v>1</v>
      </c>
      <c r="T6374" s="35" t="inlineStr">
        <is>
          <t>4 — Не обогащён</t>
        </is>
      </c>
      <c r="U6374" s="35" t="inlineStr">
        <is>
          <t>Нет ОКВЭД/ССЧР</t>
        </is>
      </c>
      <c r="V6374" s="35" t="inlineStr">
        <is>
          <t>Не определено</t>
        </is>
      </c>
      <c r="W6374" s="35" t="inlineStr"/>
      <c r="X6374" s="35" t="inlineStr"/>
    </row>
    <row r="6375" ht="27.75" customHeight="1" s="24">
      <c r="A6375" s="13" t="n">
        <v>5000077464</v>
      </c>
      <c r="B6375" s="13" t="inlineStr">
        <is>
          <t>КГБУЗ "Центральная районная больница Ельцовского района"</t>
        </is>
      </c>
      <c r="C6375" s="13" t="n">
        <v>2240001146</v>
      </c>
      <c r="D6375" s="13" t="inlineStr">
        <is>
          <t>2240001146</t>
        </is>
      </c>
      <c r="E6375" s="13" t="inlineStr">
        <is>
          <t>ЮЛ РФ</t>
        </is>
      </c>
      <c r="F6375" s="13" t="n"/>
      <c r="G6375" s="14" t="n"/>
      <c r="H6375" s="14" t="n"/>
      <c r="I6375" s="14" t="n"/>
      <c r="J6375" s="14" t="n"/>
      <c r="K6375" s="53" t="inlineStr"/>
      <c r="L6375" s="53" t="inlineStr">
        <is>
          <t>Не определено</t>
        </is>
      </c>
      <c r="M6375" s="53" t="inlineStr"/>
      <c r="N6375" s="54" t="inlineStr"/>
      <c r="O6375" s="55" t="inlineStr"/>
      <c r="P6375" s="16" t="inlineStr">
        <is>
          <t>Требует обогащения</t>
        </is>
      </c>
      <c r="Q6375" s="16">
        <f>HYPERLINK("https://pb.nalog.ru/search.html?query=2240001146","ФНС: проверить")</f>
        <v/>
      </c>
      <c r="R6375" s="16">
        <f>HYPERLINK("https://checko.ru/search?query=3801001629","Чекко: проверить")</f>
        <v/>
      </c>
      <c r="S6375" t="n">
        <v>1</v>
      </c>
      <c r="T6375" s="35" t="inlineStr">
        <is>
          <t>4 — Не обогащён</t>
        </is>
      </c>
      <c r="U6375" s="35" t="inlineStr">
        <is>
          <t>Нет ОКВЭД/ССЧР</t>
        </is>
      </c>
      <c r="V6375" s="35" t="inlineStr">
        <is>
          <t>Не определено</t>
        </is>
      </c>
      <c r="W6375" s="35" t="inlineStr"/>
      <c r="X6375" s="35" t="inlineStr"/>
    </row>
    <row r="6376" ht="15" customHeight="1" s="24">
      <c r="A6376" s="13" t="n">
        <v>5000123727</v>
      </c>
      <c r="B6376" s="13" t="inlineStr">
        <is>
          <t>КГКУ ГАКК</t>
        </is>
      </c>
      <c r="C6376" s="13" t="n">
        <v>4101116175</v>
      </c>
      <c r="D6376" s="13" t="inlineStr">
        <is>
          <t>4101116175</t>
        </is>
      </c>
      <c r="E6376" s="13" t="inlineStr">
        <is>
          <t>ЮЛ РФ</t>
        </is>
      </c>
      <c r="F6376" s="13" t="n"/>
      <c r="G6376" s="14" t="n"/>
      <c r="H6376" s="14" t="n"/>
      <c r="I6376" s="14" t="n"/>
      <c r="J6376" s="14" t="n"/>
      <c r="K6376" s="53" t="inlineStr"/>
      <c r="L6376" s="53" t="inlineStr">
        <is>
          <t>Не определено</t>
        </is>
      </c>
      <c r="M6376" s="53" t="inlineStr"/>
      <c r="N6376" s="54" t="inlineStr"/>
      <c r="O6376" s="55" t="inlineStr"/>
      <c r="P6376" s="16" t="inlineStr">
        <is>
          <t>Требует обогащения</t>
        </is>
      </c>
      <c r="Q6376" s="16">
        <f>HYPERLINK("https://pb.nalog.ru/search.html?query=4101116175","ФНС: проверить")</f>
        <v/>
      </c>
      <c r="R6376" s="16">
        <f>HYPERLINK("https://checko.ru/search?query=3801001629","Чекко: проверить")</f>
        <v/>
      </c>
      <c r="S6376" t="n">
        <v>1</v>
      </c>
      <c r="T6376" s="35" t="inlineStr">
        <is>
          <t>4 — Не обогащён</t>
        </is>
      </c>
      <c r="U6376" s="35" t="inlineStr">
        <is>
          <t>Нет ОКВЭД/ССЧР</t>
        </is>
      </c>
      <c r="V6376" s="35" t="inlineStr">
        <is>
          <t>Не определено</t>
        </is>
      </c>
      <c r="W6376" s="35" t="inlineStr"/>
      <c r="X6376" s="35" t="inlineStr"/>
    </row>
    <row r="6377" ht="15" customHeight="1" s="24">
      <c r="A6377" s="13" t="n">
        <v>5000077427</v>
      </c>
      <c r="B6377" s="13" t="inlineStr">
        <is>
          <t>КГБУЗ "Петропавловская ЦРБ"</t>
        </is>
      </c>
      <c r="C6377" s="13" t="n">
        <v>2264000769</v>
      </c>
      <c r="D6377" s="13" t="inlineStr">
        <is>
          <t>2264000769</t>
        </is>
      </c>
      <c r="E6377" s="13" t="inlineStr">
        <is>
          <t>ЮЛ РФ</t>
        </is>
      </c>
      <c r="F6377" s="13" t="n"/>
      <c r="G6377" s="14" t="n"/>
      <c r="H6377" s="14" t="n"/>
      <c r="I6377" s="14" t="n"/>
      <c r="J6377" s="14" t="n"/>
      <c r="K6377" s="53" t="inlineStr"/>
      <c r="L6377" s="53" t="inlineStr">
        <is>
          <t>Не определено</t>
        </is>
      </c>
      <c r="M6377" s="53" t="inlineStr"/>
      <c r="N6377" s="54" t="inlineStr"/>
      <c r="O6377" s="55" t="inlineStr"/>
      <c r="P6377" s="16" t="inlineStr">
        <is>
          <t>Требует обогащения</t>
        </is>
      </c>
      <c r="Q6377" s="16">
        <f>HYPERLINK("https://pb.nalog.ru/search.html?query=2264000769","ФНС: проверить")</f>
        <v/>
      </c>
      <c r="R6377" s="16">
        <f>HYPERLINK("https://checko.ru/search?query=3801001629","Чекко: проверить")</f>
        <v/>
      </c>
      <c r="S6377" t="n">
        <v>1</v>
      </c>
      <c r="T6377" s="35" t="inlineStr">
        <is>
          <t>4 — Не обогащён</t>
        </is>
      </c>
      <c r="U6377" s="35" t="inlineStr">
        <is>
          <t>Нет ОКВЭД/ССЧР</t>
        </is>
      </c>
      <c r="V6377" s="35" t="inlineStr">
        <is>
          <t>Не определено</t>
        </is>
      </c>
      <c r="W6377" s="35" t="inlineStr"/>
      <c r="X6377" s="35" t="inlineStr"/>
    </row>
    <row r="6378" ht="15" customHeight="1" s="24">
      <c r="A6378" s="13" t="n">
        <v>5000077437</v>
      </c>
      <c r="B6378" s="13" t="inlineStr">
        <is>
          <t>КГБУЗ «Рубцовская ЦРБ»</t>
        </is>
      </c>
      <c r="C6378" s="13" t="n">
        <v>2269002713</v>
      </c>
      <c r="D6378" s="13" t="inlineStr">
        <is>
          <t>2269002713</t>
        </is>
      </c>
      <c r="E6378" s="13" t="inlineStr">
        <is>
          <t>ЮЛ РФ</t>
        </is>
      </c>
      <c r="F6378" s="13" t="n"/>
      <c r="G6378" s="14" t="n"/>
      <c r="H6378" s="14" t="n"/>
      <c r="I6378" s="14" t="n"/>
      <c r="J6378" s="14" t="n"/>
      <c r="K6378" s="53" t="inlineStr"/>
      <c r="L6378" s="53" t="inlineStr">
        <is>
          <t>Не определено</t>
        </is>
      </c>
      <c r="M6378" s="53" t="inlineStr"/>
      <c r="N6378" s="54" t="inlineStr"/>
      <c r="O6378" s="55" t="inlineStr"/>
      <c r="P6378" s="16" t="inlineStr">
        <is>
          <t>Требует обогащения</t>
        </is>
      </c>
      <c r="Q6378" s="16">
        <f>HYPERLINK("https://pb.nalog.ru/search.html?query=2269002713","ФНС: проверить")</f>
        <v/>
      </c>
      <c r="R6378" s="16">
        <f>HYPERLINK("https://checko.ru/search?query=3801001629","Чекко: проверить")</f>
        <v/>
      </c>
      <c r="S6378" t="n">
        <v>1</v>
      </c>
      <c r="T6378" s="35" t="inlineStr">
        <is>
          <t>4 — Не обогащён</t>
        </is>
      </c>
      <c r="U6378" s="35" t="inlineStr">
        <is>
          <t>Нет ОКВЭД/ССЧР</t>
        </is>
      </c>
      <c r="V6378" s="35" t="inlineStr">
        <is>
          <t>Не определено</t>
        </is>
      </c>
      <c r="W6378" s="35" t="inlineStr"/>
      <c r="X6378" s="35" t="inlineStr"/>
    </row>
    <row r="6379" ht="41.25" customHeight="1" s="24">
      <c r="A6379" s="13" t="n">
        <v>5000077394</v>
      </c>
      <c r="B6379" s="13" t="inlineStr">
        <is>
          <t>КГБУЗ "ДЕТСКАЯ СТОМАТОЛОГИЧЕСКАЯ ПОЛИКЛИНИКА №1, Г. БАРНАУЛ" ИЛИ КГБУЗ "ДСП №1, Г. БАРНАУЛ"</t>
        </is>
      </c>
      <c r="C6379" s="13" t="n">
        <v>2221009069</v>
      </c>
      <c r="D6379" s="13" t="inlineStr">
        <is>
          <t>2221009069</t>
        </is>
      </c>
      <c r="E6379" s="13" t="inlineStr">
        <is>
          <t>ЮЛ РФ</t>
        </is>
      </c>
      <c r="F6379" s="13" t="n"/>
      <c r="G6379" s="14" t="n"/>
      <c r="H6379" s="14" t="n"/>
      <c r="I6379" s="14" t="n"/>
      <c r="J6379" s="14" t="n"/>
      <c r="K6379" s="53" t="inlineStr"/>
      <c r="L6379" s="53" t="inlineStr">
        <is>
          <t>Не определено</t>
        </is>
      </c>
      <c r="M6379" s="53" t="inlineStr"/>
      <c r="N6379" s="54" t="inlineStr"/>
      <c r="O6379" s="55" t="inlineStr"/>
      <c r="P6379" s="16" t="inlineStr">
        <is>
          <t>Требует обогащения</t>
        </is>
      </c>
      <c r="Q6379" s="16">
        <f>HYPERLINK("https://pb.nalog.ru/search.html?query=2221009069","ФНС: проверить")</f>
        <v/>
      </c>
      <c r="R6379" s="16">
        <f>HYPERLINK("https://checko.ru/search?query=3801001629","Чекко: проверить")</f>
        <v/>
      </c>
      <c r="S6379" t="n">
        <v>1</v>
      </c>
      <c r="T6379" s="35" t="inlineStr">
        <is>
          <t>4 — Не обогащён</t>
        </is>
      </c>
      <c r="U6379" s="35" t="inlineStr">
        <is>
          <t>Нет ОКВЭД/ССЧР</t>
        </is>
      </c>
      <c r="V6379" s="35" t="inlineStr">
        <is>
          <t>Не определено</t>
        </is>
      </c>
      <c r="W6379" s="35" t="inlineStr"/>
      <c r="X6379" s="35" t="inlineStr"/>
    </row>
    <row r="6380" ht="15" customHeight="1" s="24">
      <c r="A6380" s="13" t="n">
        <v>5000076985</v>
      </c>
      <c r="B6380" s="13" t="inlineStr">
        <is>
          <t>КГБУЗ "Калманская ЦРБ"</t>
        </is>
      </c>
      <c r="C6380" s="13" t="n">
        <v>2246000195</v>
      </c>
      <c r="D6380" s="13" t="inlineStr">
        <is>
          <t>2246000195</t>
        </is>
      </c>
      <c r="E6380" s="13" t="inlineStr">
        <is>
          <t>ЮЛ РФ</t>
        </is>
      </c>
      <c r="F6380" s="13" t="n"/>
      <c r="G6380" s="14" t="n"/>
      <c r="H6380" s="14" t="n"/>
      <c r="I6380" s="14" t="n"/>
      <c r="J6380" s="14" t="n"/>
      <c r="K6380" s="53" t="inlineStr"/>
      <c r="L6380" s="53" t="inlineStr">
        <is>
          <t>Не определено</t>
        </is>
      </c>
      <c r="M6380" s="53" t="inlineStr"/>
      <c r="N6380" s="54" t="inlineStr"/>
      <c r="O6380" s="55" t="inlineStr"/>
      <c r="P6380" s="16" t="inlineStr">
        <is>
          <t>Требует обогащения</t>
        </is>
      </c>
      <c r="Q6380" s="16">
        <f>HYPERLINK("https://pb.nalog.ru/search.html?query=2246000195","ФНС: проверить")</f>
        <v/>
      </c>
      <c r="R6380" s="16">
        <f>HYPERLINK("https://checko.ru/search?query=3801001629","Чекко: проверить")</f>
        <v/>
      </c>
      <c r="S6380" t="n">
        <v>1</v>
      </c>
      <c r="T6380" s="35" t="inlineStr">
        <is>
          <t>4 — Не обогащён</t>
        </is>
      </c>
      <c r="U6380" s="35" t="inlineStr">
        <is>
          <t>Нет ОКВЭД/ССЧР</t>
        </is>
      </c>
      <c r="V6380" s="35" t="inlineStr">
        <is>
          <t>Не определено</t>
        </is>
      </c>
      <c r="W6380" s="35" t="inlineStr"/>
      <c r="X6380" s="35" t="inlineStr"/>
    </row>
    <row r="6381" ht="15" customHeight="1" s="24">
      <c r="A6381" s="13" t="n">
        <v>5000077445</v>
      </c>
      <c r="B6381" s="13" t="inlineStr">
        <is>
          <t>КГБУЗ "Староалейская ЦРБ"</t>
        </is>
      </c>
      <c r="C6381" s="13" t="n">
        <v>2280000741</v>
      </c>
      <c r="D6381" s="13" t="inlineStr">
        <is>
          <t>2280000741</t>
        </is>
      </c>
      <c r="E6381" s="13" t="inlineStr">
        <is>
          <t>ЮЛ РФ</t>
        </is>
      </c>
      <c r="F6381" s="13" t="n"/>
      <c r="G6381" s="14" t="n"/>
      <c r="H6381" s="14" t="n"/>
      <c r="I6381" s="14" t="n"/>
      <c r="J6381" s="14" t="n"/>
      <c r="K6381" s="53" t="inlineStr"/>
      <c r="L6381" s="53" t="inlineStr">
        <is>
          <t>Не определено</t>
        </is>
      </c>
      <c r="M6381" s="53" t="inlineStr"/>
      <c r="N6381" s="54" t="inlineStr"/>
      <c r="O6381" s="55" t="inlineStr"/>
      <c r="P6381" s="16" t="inlineStr">
        <is>
          <t>Требует обогащения</t>
        </is>
      </c>
      <c r="Q6381" s="16">
        <f>HYPERLINK("https://pb.nalog.ru/search.html?query=2280000741","ФНС: проверить")</f>
        <v/>
      </c>
      <c r="R6381" s="16">
        <f>HYPERLINK("https://checko.ru/search?query=3801001629","Чекко: проверить")</f>
        <v/>
      </c>
      <c r="S6381" t="n">
        <v>1</v>
      </c>
      <c r="T6381" s="35" t="inlineStr">
        <is>
          <t>4 — Не обогащён</t>
        </is>
      </c>
      <c r="U6381" s="35" t="inlineStr">
        <is>
          <t>Нет ОКВЭД/ССЧР</t>
        </is>
      </c>
      <c r="V6381" s="35" t="inlineStr">
        <is>
          <t>Не определено</t>
        </is>
      </c>
      <c r="W6381" s="35" t="inlineStr"/>
      <c r="X6381" s="35" t="inlineStr"/>
    </row>
    <row r="6382" ht="41.25" customHeight="1" s="24">
      <c r="A6382" s="13" t="n">
        <v>5000076983</v>
      </c>
      <c r="B6382" s="13" t="inlineStr">
        <is>
          <t>КРАЕВОЕ ГОСУДАРСТВЕННОЕ БЮДЖЕТНОЕ УЧРЕЖДЕНИЕ ЗДРАВООХРАНЕНИЯ "ДЕТСКАЯ ГОРОДСКАЯ БОЛЬНИЦА № 5, Г. БАРНАУЛ"</t>
        </is>
      </c>
      <c r="C6382" s="13" t="n">
        <v>2224018329</v>
      </c>
      <c r="D6382" s="13" t="inlineStr">
        <is>
          <t>2224018329</t>
        </is>
      </c>
      <c r="E6382" s="13" t="inlineStr">
        <is>
          <t>ЮЛ РФ</t>
        </is>
      </c>
      <c r="F6382" s="13" t="n"/>
      <c r="G6382" s="14" t="n"/>
      <c r="H6382" s="14" t="n"/>
      <c r="I6382" s="14" t="n"/>
      <c r="J6382" s="14" t="n"/>
      <c r="K6382" s="53" t="inlineStr"/>
      <c r="L6382" s="53" t="inlineStr">
        <is>
          <t>Не определено</t>
        </is>
      </c>
      <c r="M6382" s="53" t="inlineStr"/>
      <c r="N6382" s="54" t="inlineStr"/>
      <c r="O6382" s="55" t="inlineStr"/>
      <c r="P6382" s="16" t="inlineStr">
        <is>
          <t>Требует обогащения</t>
        </is>
      </c>
      <c r="Q6382" s="16">
        <f>HYPERLINK("https://pb.nalog.ru/search.html?query=2224018329","ФНС: проверить")</f>
        <v/>
      </c>
      <c r="R6382" s="16">
        <f>HYPERLINK("https://checko.ru/search?query=3801001629","Чекко: проверить")</f>
        <v/>
      </c>
      <c r="S6382" t="n">
        <v>1</v>
      </c>
      <c r="T6382" s="35" t="inlineStr">
        <is>
          <t>4 — Не обогащён</t>
        </is>
      </c>
      <c r="U6382" s="35" t="inlineStr">
        <is>
          <t>Нет ОКВЭД/ССЧР</t>
        </is>
      </c>
      <c r="V6382" s="35" t="inlineStr">
        <is>
          <t>Не определено</t>
        </is>
      </c>
      <c r="W6382" s="35" t="inlineStr"/>
      <c r="X6382" s="35" t="inlineStr"/>
    </row>
    <row r="6383" ht="15" customHeight="1" s="24">
      <c r="A6383" s="13" t="n">
        <v>5000077420</v>
      </c>
      <c r="B6383" s="13" t="inlineStr">
        <is>
          <t>КГБУЗ "Новичихинская ЦРБ"</t>
        </is>
      </c>
      <c r="C6383" s="13" t="n">
        <v>2260001761</v>
      </c>
      <c r="D6383" s="13" t="inlineStr">
        <is>
          <t>2260001761</t>
        </is>
      </c>
      <c r="E6383" s="13" t="inlineStr">
        <is>
          <t>ЮЛ РФ</t>
        </is>
      </c>
      <c r="F6383" s="13" t="n"/>
      <c r="G6383" s="14" t="n"/>
      <c r="H6383" s="14" t="n"/>
      <c r="I6383" s="14" t="n"/>
      <c r="J6383" s="14" t="n"/>
      <c r="K6383" s="53" t="inlineStr"/>
      <c r="L6383" s="53" t="inlineStr">
        <is>
          <t>Не определено</t>
        </is>
      </c>
      <c r="M6383" s="53" t="inlineStr"/>
      <c r="N6383" s="54" t="inlineStr"/>
      <c r="O6383" s="55" t="inlineStr"/>
      <c r="P6383" s="16" t="inlineStr">
        <is>
          <t>Требует обогащения</t>
        </is>
      </c>
      <c r="Q6383" s="16">
        <f>HYPERLINK("https://pb.nalog.ru/search.html?query=2260001761","ФНС: проверить")</f>
        <v/>
      </c>
      <c r="R6383" s="16">
        <f>HYPERLINK("https://checko.ru/search?query=3801001629","Чекко: проверить")</f>
        <v/>
      </c>
      <c r="S6383" t="n">
        <v>1</v>
      </c>
      <c r="T6383" s="35" t="inlineStr">
        <is>
          <t>4 — Не обогащён</t>
        </is>
      </c>
      <c r="U6383" s="35" t="inlineStr">
        <is>
          <t>Нет ОКВЭД/ССЧР</t>
        </is>
      </c>
      <c r="V6383" s="35" t="inlineStr">
        <is>
          <t>Не определено</t>
        </is>
      </c>
      <c r="W6383" s="35" t="inlineStr"/>
      <c r="X6383" s="35" t="inlineStr"/>
    </row>
    <row r="6384" ht="15" customHeight="1" s="24">
      <c r="A6384" s="13" t="n">
        <v>5000077435</v>
      </c>
      <c r="B6384" s="13" t="inlineStr">
        <is>
          <t>КГБУЗ “Родильный дом № 2, г. Барнаул”</t>
        </is>
      </c>
      <c r="C6384" s="13" t="n">
        <v>2224004380</v>
      </c>
      <c r="D6384" s="13" t="inlineStr">
        <is>
          <t>2224004380</t>
        </is>
      </c>
      <c r="E6384" s="13" t="inlineStr">
        <is>
          <t>ЮЛ РФ</t>
        </is>
      </c>
      <c r="F6384" s="13" t="n"/>
      <c r="G6384" s="14" t="n"/>
      <c r="H6384" s="14" t="n"/>
      <c r="I6384" s="14" t="n"/>
      <c r="J6384" s="14" t="n"/>
      <c r="K6384" s="53" t="inlineStr"/>
      <c r="L6384" s="53" t="inlineStr">
        <is>
          <t>Не определено</t>
        </is>
      </c>
      <c r="M6384" s="53" t="inlineStr"/>
      <c r="N6384" s="54" t="inlineStr"/>
      <c r="O6384" s="55" t="inlineStr"/>
      <c r="P6384" s="16" t="inlineStr">
        <is>
          <t>Требует обогащения</t>
        </is>
      </c>
      <c r="Q6384" s="16">
        <f>HYPERLINK("https://pb.nalog.ru/search.html?query=2224004380","ФНС: проверить")</f>
        <v/>
      </c>
      <c r="R6384" s="16">
        <f>HYPERLINK("https://checko.ru/search?query=3801001629","Чекко: проверить")</f>
        <v/>
      </c>
      <c r="S6384" t="n">
        <v>1</v>
      </c>
      <c r="T6384" s="35" t="inlineStr">
        <is>
          <t>4 — Не обогащён</t>
        </is>
      </c>
      <c r="U6384" s="35" t="inlineStr">
        <is>
          <t>Нет ОКВЭД/ССЧР</t>
        </is>
      </c>
      <c r="V6384" s="35" t="inlineStr">
        <is>
          <t>Не определено</t>
        </is>
      </c>
      <c r="W6384" s="35" t="inlineStr"/>
      <c r="X6384" s="35" t="inlineStr"/>
    </row>
    <row r="6385" ht="27.75" customHeight="1" s="24">
      <c r="A6385" s="13" t="n">
        <v>5000077413</v>
      </c>
      <c r="B6385" s="13" t="inlineStr">
        <is>
          <t>КГБУЗ "КРАЕВОЙ ЦЕНТР МЕДИЦИНСКОЙ ПРОФИЛАКТИКИ"</t>
        </is>
      </c>
      <c r="C6385" s="13" t="n">
        <v>2204025039</v>
      </c>
      <c r="D6385" s="13" t="inlineStr">
        <is>
          <t>2204025039</t>
        </is>
      </c>
      <c r="E6385" s="13" t="inlineStr">
        <is>
          <t>ЮЛ РФ</t>
        </is>
      </c>
      <c r="F6385" s="13" t="n"/>
      <c r="G6385" s="14" t="n"/>
      <c r="H6385" s="14" t="n"/>
      <c r="I6385" s="14" t="n"/>
      <c r="J6385" s="14" t="n"/>
      <c r="K6385" s="53" t="inlineStr"/>
      <c r="L6385" s="53" t="inlineStr">
        <is>
          <t>Не определено</t>
        </is>
      </c>
      <c r="M6385" s="53" t="inlineStr"/>
      <c r="N6385" s="54" t="inlineStr"/>
      <c r="O6385" s="55" t="inlineStr"/>
      <c r="P6385" s="16" t="inlineStr">
        <is>
          <t>Требует обогащения</t>
        </is>
      </c>
      <c r="Q6385" s="16">
        <f>HYPERLINK("https://pb.nalog.ru/search.html?query=2204025039","ФНС: проверить")</f>
        <v/>
      </c>
      <c r="R6385" s="16">
        <f>HYPERLINK("https://checko.ru/search?query=3801001629","Чекко: проверить")</f>
        <v/>
      </c>
      <c r="S6385" t="n">
        <v>1</v>
      </c>
      <c r="T6385" s="35" t="inlineStr">
        <is>
          <t>4 — Не обогащён</t>
        </is>
      </c>
      <c r="U6385" s="35" t="inlineStr">
        <is>
          <t>Нет ОКВЭД/ССЧР</t>
        </is>
      </c>
      <c r="V6385" s="35" t="inlineStr">
        <is>
          <t>Не определено</t>
        </is>
      </c>
      <c r="W6385" s="35" t="inlineStr"/>
      <c r="X6385" s="35" t="inlineStr"/>
    </row>
    <row r="6386" ht="15" customHeight="1" s="24">
      <c r="A6386" s="13" t="n">
        <v>5000076999</v>
      </c>
      <c r="B6386" s="13" t="inlineStr">
        <is>
          <t>КГБУЗ "Целинная ЦРБ"</t>
        </is>
      </c>
      <c r="C6386" s="13" t="n">
        <v>2287002265</v>
      </c>
      <c r="D6386" s="13" t="inlineStr">
        <is>
          <t>2287002265</t>
        </is>
      </c>
      <c r="E6386" s="13" t="inlineStr">
        <is>
          <t>ЮЛ РФ</t>
        </is>
      </c>
      <c r="F6386" s="13" t="n"/>
      <c r="G6386" s="14" t="n"/>
      <c r="H6386" s="14" t="n"/>
      <c r="I6386" s="14" t="n"/>
      <c r="J6386" s="14" t="n"/>
      <c r="K6386" s="53" t="inlineStr"/>
      <c r="L6386" s="53" t="inlineStr">
        <is>
          <t>Не определено</t>
        </is>
      </c>
      <c r="M6386" s="53" t="inlineStr"/>
      <c r="N6386" s="54" t="inlineStr"/>
      <c r="O6386" s="55" t="inlineStr"/>
      <c r="P6386" s="16" t="inlineStr">
        <is>
          <t>Требует обогащения</t>
        </is>
      </c>
      <c r="Q6386" s="16">
        <f>HYPERLINK("https://pb.nalog.ru/search.html?query=2287002265","ФНС: проверить")</f>
        <v/>
      </c>
      <c r="R6386" s="16">
        <f>HYPERLINK("https://checko.ru/search?query=3801001629","Чекко: проверить")</f>
        <v/>
      </c>
      <c r="S6386" t="n">
        <v>1</v>
      </c>
      <c r="T6386" s="35" t="inlineStr">
        <is>
          <t>4 — Не обогащён</t>
        </is>
      </c>
      <c r="U6386" s="35" t="inlineStr">
        <is>
          <t>Нет ОКВЭД/ССЧР</t>
        </is>
      </c>
      <c r="V6386" s="35" t="inlineStr">
        <is>
          <t>Не определено</t>
        </is>
      </c>
      <c r="W6386" s="35" t="inlineStr"/>
      <c r="X6386" s="35" t="inlineStr"/>
    </row>
    <row r="6387" ht="15" customHeight="1" s="24">
      <c r="A6387" s="13" t="n">
        <v>5000064358</v>
      </c>
      <c r="B6387" s="13" t="inlineStr">
        <is>
          <t>КГБУЗ "Городская поликлиника №7, г. Барнаул"</t>
        </is>
      </c>
      <c r="C6387" s="13" t="n">
        <v>2221018088</v>
      </c>
      <c r="D6387" s="13" t="inlineStr">
        <is>
          <t>2221018088</t>
        </is>
      </c>
      <c r="E6387" s="13" t="inlineStr">
        <is>
          <t>ЮЛ РФ</t>
        </is>
      </c>
      <c r="F6387" s="13" t="n"/>
      <c r="G6387" s="14" t="n"/>
      <c r="H6387" s="14" t="n"/>
      <c r="I6387" s="14" t="n"/>
      <c r="J6387" s="14" t="n"/>
      <c r="K6387" s="53" t="inlineStr"/>
      <c r="L6387" s="53" t="inlineStr">
        <is>
          <t>Не определено</t>
        </is>
      </c>
      <c r="M6387" s="53" t="inlineStr"/>
      <c r="N6387" s="54" t="inlineStr"/>
      <c r="O6387" s="55" t="inlineStr"/>
      <c r="P6387" s="16" t="inlineStr">
        <is>
          <t>Требует обогащения</t>
        </is>
      </c>
      <c r="Q6387" s="16">
        <f>HYPERLINK("https://pb.nalog.ru/search.html?query=2221018088","ФНС: проверить")</f>
        <v/>
      </c>
      <c r="R6387" s="16">
        <f>HYPERLINK("https://checko.ru/search?query=3801001629","Чекко: проверить")</f>
        <v/>
      </c>
      <c r="S6387" t="n">
        <v>1</v>
      </c>
      <c r="T6387" s="35" t="inlineStr">
        <is>
          <t>4 — Не обогащён</t>
        </is>
      </c>
      <c r="U6387" s="35" t="inlineStr">
        <is>
          <t>Нет ОКВЭД/ССЧР</t>
        </is>
      </c>
      <c r="V6387" s="35" t="inlineStr">
        <is>
          <t>Не определено</t>
        </is>
      </c>
      <c r="W6387" s="35" t="inlineStr"/>
      <c r="X6387" s="35" t="inlineStr"/>
    </row>
    <row r="6388" ht="15" customHeight="1" s="24">
      <c r="A6388" s="13" t="n">
        <v>5000077388</v>
      </c>
      <c r="B6388" s="13" t="inlineStr">
        <is>
          <t>КГБУЗ "Детская городская больница, г.Рубцовск"</t>
        </is>
      </c>
      <c r="C6388" s="13" t="n">
        <v>2209019590</v>
      </c>
      <c r="D6388" s="13" t="inlineStr">
        <is>
          <t>2209019590</t>
        </is>
      </c>
      <c r="E6388" s="13" t="inlineStr">
        <is>
          <t>ЮЛ РФ</t>
        </is>
      </c>
      <c r="F6388" s="13" t="n"/>
      <c r="G6388" s="14" t="n"/>
      <c r="H6388" s="14" t="n"/>
      <c r="I6388" s="14" t="n"/>
      <c r="J6388" s="14" t="n"/>
      <c r="K6388" s="53" t="inlineStr"/>
      <c r="L6388" s="53" t="inlineStr">
        <is>
          <t>Не определено</t>
        </is>
      </c>
      <c r="M6388" s="53" t="inlineStr"/>
      <c r="N6388" s="54" t="inlineStr"/>
      <c r="O6388" s="55" t="inlineStr"/>
      <c r="P6388" s="16" t="inlineStr">
        <is>
          <t>Требует обогащения</t>
        </is>
      </c>
      <c r="Q6388" s="16">
        <f>HYPERLINK("https://pb.nalog.ru/search.html?query=2209019590","ФНС: проверить")</f>
        <v/>
      </c>
      <c r="R6388" s="16">
        <f>HYPERLINK("https://checko.ru/search?query=3801001629","Чекко: проверить")</f>
        <v/>
      </c>
      <c r="S6388" t="n">
        <v>1</v>
      </c>
      <c r="T6388" s="35" t="inlineStr">
        <is>
          <t>4 — Не обогащён</t>
        </is>
      </c>
      <c r="U6388" s="35" t="inlineStr">
        <is>
          <t>Нет ОКВЭД/ССЧР</t>
        </is>
      </c>
      <c r="V6388" s="35" t="inlineStr">
        <is>
          <t>Не определено</t>
        </is>
      </c>
      <c r="W6388" s="35" t="inlineStr"/>
      <c r="X6388" s="35" t="inlineStr"/>
    </row>
    <row r="6389" ht="27.75" customHeight="1" s="24">
      <c r="A6389" s="13" t="n">
        <v>5000077362</v>
      </c>
      <c r="B6389" s="13" t="inlineStr">
        <is>
          <t>КГБУЗ "Алтайский врачебно-физкультурный диспансер"</t>
        </is>
      </c>
      <c r="C6389" s="13" t="n">
        <v>2225017825</v>
      </c>
      <c r="D6389" s="13" t="inlineStr">
        <is>
          <t>2225017825</t>
        </is>
      </c>
      <c r="E6389" s="13" t="inlineStr">
        <is>
          <t>ЮЛ РФ</t>
        </is>
      </c>
      <c r="F6389" s="13" t="n"/>
      <c r="G6389" s="14" t="n"/>
      <c r="H6389" s="14" t="n"/>
      <c r="I6389" s="14" t="n"/>
      <c r="J6389" s="14" t="n"/>
      <c r="K6389" s="53" t="inlineStr"/>
      <c r="L6389" s="53" t="inlineStr">
        <is>
          <t>Не определено</t>
        </is>
      </c>
      <c r="M6389" s="53" t="inlineStr"/>
      <c r="N6389" s="54" t="inlineStr"/>
      <c r="O6389" s="55" t="inlineStr"/>
      <c r="P6389" s="16" t="inlineStr">
        <is>
          <t>Требует обогащения</t>
        </is>
      </c>
      <c r="Q6389" s="16">
        <f>HYPERLINK("https://pb.nalog.ru/search.html?query=2225017825","ФНС: проверить")</f>
        <v/>
      </c>
      <c r="R6389" s="16">
        <f>HYPERLINK("https://checko.ru/search?query=3801001629","Чекко: проверить")</f>
        <v/>
      </c>
      <c r="S6389" t="n">
        <v>1</v>
      </c>
      <c r="T6389" s="35" t="inlineStr">
        <is>
          <t>4 — Не обогащён</t>
        </is>
      </c>
      <c r="U6389" s="35" t="inlineStr">
        <is>
          <t>Нет ОКВЭД/ССЧР</t>
        </is>
      </c>
      <c r="V6389" s="35" t="inlineStr">
        <is>
          <t>Не определено</t>
        </is>
      </c>
      <c r="W6389" s="35" t="inlineStr"/>
      <c r="X6389" s="35" t="inlineStr"/>
    </row>
    <row r="6390" ht="41.25" customHeight="1" s="24">
      <c r="A6390" s="13" t="n">
        <v>5000077409</v>
      </c>
      <c r="B6390" s="13" t="inlineStr">
        <is>
          <t>Краевое государственное бюджетное учреждение здравоохранения «Краевая клиническая больница скорой медицинской помощи»</t>
        </is>
      </c>
      <c r="C6390" s="13" t="n">
        <v>2224013144</v>
      </c>
      <c r="D6390" s="13" t="inlineStr">
        <is>
          <t>2224013144</t>
        </is>
      </c>
      <c r="E6390" s="13" t="inlineStr">
        <is>
          <t>ЮЛ РФ</t>
        </is>
      </c>
      <c r="F6390" s="13" t="n"/>
      <c r="G6390" s="14" t="n"/>
      <c r="H6390" s="14" t="n"/>
      <c r="I6390" s="14" t="n"/>
      <c r="J6390" s="14" t="n"/>
      <c r="K6390" s="53" t="inlineStr"/>
      <c r="L6390" s="53" t="inlineStr">
        <is>
          <t>Не определено</t>
        </is>
      </c>
      <c r="M6390" s="53" t="inlineStr"/>
      <c r="N6390" s="54" t="inlineStr"/>
      <c r="O6390" s="55" t="inlineStr"/>
      <c r="P6390" s="16" t="inlineStr">
        <is>
          <t>Требует обогащения</t>
        </is>
      </c>
      <c r="Q6390" s="16">
        <f>HYPERLINK("https://pb.nalog.ru/search.html?query=2224013144","ФНС: проверить")</f>
        <v/>
      </c>
      <c r="R6390" s="16">
        <f>HYPERLINK("https://checko.ru/search?query=3801001629","Чекко: проверить")</f>
        <v/>
      </c>
      <c r="S6390" t="n">
        <v>1</v>
      </c>
      <c r="T6390" s="35" t="inlineStr">
        <is>
          <t>4 — Не обогащён</t>
        </is>
      </c>
      <c r="U6390" s="35" t="inlineStr">
        <is>
          <t>Нет ОКВЭД/ССЧР</t>
        </is>
      </c>
      <c r="V6390" s="35" t="inlineStr">
        <is>
          <t>Не определено</t>
        </is>
      </c>
      <c r="W6390" s="35" t="inlineStr"/>
      <c r="X6390" s="35" t="inlineStr"/>
    </row>
    <row r="6391" ht="15" customHeight="1" s="24">
      <c r="A6391" s="13" t="n">
        <v>5000077440</v>
      </c>
      <c r="B6391" s="13" t="inlineStr">
        <is>
          <t>КГБУЗ "Смоленская ЦРБ"</t>
        </is>
      </c>
      <c r="C6391" s="13" t="n">
        <v>2271003070</v>
      </c>
      <c r="D6391" s="13" t="inlineStr">
        <is>
          <t>2271003070</t>
        </is>
      </c>
      <c r="E6391" s="13" t="inlineStr">
        <is>
          <t>ЮЛ РФ</t>
        </is>
      </c>
      <c r="F6391" s="13" t="n"/>
      <c r="G6391" s="14" t="n"/>
      <c r="H6391" s="14" t="n"/>
      <c r="I6391" s="14" t="n"/>
      <c r="J6391" s="14" t="n"/>
      <c r="K6391" s="53" t="inlineStr"/>
      <c r="L6391" s="53" t="inlineStr">
        <is>
          <t>Не определено</t>
        </is>
      </c>
      <c r="M6391" s="53" t="inlineStr"/>
      <c r="N6391" s="54" t="inlineStr"/>
      <c r="O6391" s="55" t="inlineStr"/>
      <c r="P6391" s="16" t="inlineStr">
        <is>
          <t>Требует обогащения</t>
        </is>
      </c>
      <c r="Q6391" s="16">
        <f>HYPERLINK("https://pb.nalog.ru/search.html?query=2271003070","ФНС: проверить")</f>
        <v/>
      </c>
      <c r="R6391" s="16">
        <f>HYPERLINK("https://checko.ru/search?query=3801001629","Чекко: проверить")</f>
        <v/>
      </c>
      <c r="S6391" t="n">
        <v>1</v>
      </c>
      <c r="T6391" s="35" t="inlineStr">
        <is>
          <t>4 — Не обогащён</t>
        </is>
      </c>
      <c r="U6391" s="35" t="inlineStr">
        <is>
          <t>Нет ОКВЭД/ССЧР</t>
        </is>
      </c>
      <c r="V6391" s="35" t="inlineStr">
        <is>
          <t>Не определено</t>
        </is>
      </c>
      <c r="W6391" s="35" t="inlineStr"/>
      <c r="X6391" s="35" t="inlineStr"/>
    </row>
    <row r="6392" ht="15" customHeight="1" s="24">
      <c r="A6392" s="13" t="n">
        <v>5000077000</v>
      </c>
      <c r="B6392" s="13" t="inlineStr">
        <is>
          <t>КГБУЗ "ЦРБ с. Завьялово"</t>
        </is>
      </c>
      <c r="C6392" s="13" t="n">
        <v>2241000138</v>
      </c>
      <c r="D6392" s="13" t="inlineStr">
        <is>
          <t>2241000138</t>
        </is>
      </c>
      <c r="E6392" s="13" t="inlineStr">
        <is>
          <t>ЮЛ РФ</t>
        </is>
      </c>
      <c r="F6392" s="13" t="n"/>
      <c r="G6392" s="14" t="n"/>
      <c r="H6392" s="14" t="n"/>
      <c r="I6392" s="14" t="n"/>
      <c r="J6392" s="14" t="n"/>
      <c r="K6392" s="53" t="inlineStr"/>
      <c r="L6392" s="53" t="inlineStr">
        <is>
          <t>Не определено</t>
        </is>
      </c>
      <c r="M6392" s="53" t="inlineStr"/>
      <c r="N6392" s="54" t="inlineStr"/>
      <c r="O6392" s="55" t="inlineStr"/>
      <c r="P6392" s="16" t="inlineStr">
        <is>
          <t>Требует обогащения</t>
        </is>
      </c>
      <c r="Q6392" s="16">
        <f>HYPERLINK("https://pb.nalog.ru/search.html?query=2241000138","ФНС: проверить")</f>
        <v/>
      </c>
      <c r="R6392" s="16">
        <f>HYPERLINK("https://checko.ru/search?query=3801001629","Чекко: проверить")</f>
        <v/>
      </c>
      <c r="S6392" t="n">
        <v>1</v>
      </c>
      <c r="T6392" s="35" t="inlineStr">
        <is>
          <t>4 — Не обогащён</t>
        </is>
      </c>
      <c r="U6392" s="35" t="inlineStr">
        <is>
          <t>Нет ОКВЭД/ССЧР</t>
        </is>
      </c>
      <c r="V6392" s="35" t="inlineStr">
        <is>
          <t>Не определено</t>
        </is>
      </c>
      <c r="W6392" s="35" t="inlineStr"/>
      <c r="X6392" s="35" t="inlineStr"/>
    </row>
    <row r="6393" ht="15" customHeight="1" s="24">
      <c r="A6393" s="13" t="n">
        <v>5000077384</v>
      </c>
      <c r="B6393" s="13" t="inlineStr">
        <is>
          <t>КГБУЗ "Городская поликлиника №1"</t>
        </is>
      </c>
      <c r="C6393" s="13" t="n">
        <v>2225002667</v>
      </c>
      <c r="D6393" s="13" t="inlineStr">
        <is>
          <t>2225002667</t>
        </is>
      </c>
      <c r="E6393" s="13" t="inlineStr">
        <is>
          <t>ЮЛ РФ</t>
        </is>
      </c>
      <c r="F6393" s="13" t="n"/>
      <c r="G6393" s="14" t="n"/>
      <c r="H6393" s="14" t="n"/>
      <c r="I6393" s="14" t="n"/>
      <c r="J6393" s="14" t="n"/>
      <c r="K6393" s="53" t="inlineStr"/>
      <c r="L6393" s="53" t="inlineStr">
        <is>
          <t>Не определено</t>
        </is>
      </c>
      <c r="M6393" s="53" t="inlineStr"/>
      <c r="N6393" s="54" t="inlineStr"/>
      <c r="O6393" s="55" t="inlineStr"/>
      <c r="P6393" s="16" t="inlineStr">
        <is>
          <t>Требует обогащения</t>
        </is>
      </c>
      <c r="Q6393" s="16">
        <f>HYPERLINK("https://pb.nalog.ru/search.html?query=2225002667","ФНС: проверить")</f>
        <v/>
      </c>
      <c r="R6393" s="16">
        <f>HYPERLINK("https://checko.ru/search?query=3801001629","Чекко: проверить")</f>
        <v/>
      </c>
      <c r="S6393" t="n">
        <v>1</v>
      </c>
      <c r="T6393" s="35" t="inlineStr">
        <is>
          <t>4 — Не обогащён</t>
        </is>
      </c>
      <c r="U6393" s="35" t="inlineStr">
        <is>
          <t>Нет ОКВЭД/ССЧР</t>
        </is>
      </c>
      <c r="V6393" s="35" t="inlineStr">
        <is>
          <t>Не определено</t>
        </is>
      </c>
      <c r="W6393" s="35" t="inlineStr"/>
      <c r="X6393" s="35" t="inlineStr"/>
    </row>
    <row r="6394" ht="15" customHeight="1" s="24">
      <c r="A6394" s="13" t="n">
        <v>5000076982</v>
      </c>
      <c r="B6394" s="13" t="inlineStr">
        <is>
          <t>КГБУЗ "Городская поликлиника №3, г.Барнаул"</t>
        </is>
      </c>
      <c r="C6394" s="13" t="n">
        <v>2221014559</v>
      </c>
      <c r="D6394" s="13" t="inlineStr">
        <is>
          <t>2221014559</t>
        </is>
      </c>
      <c r="E6394" s="13" t="inlineStr">
        <is>
          <t>ЮЛ РФ</t>
        </is>
      </c>
      <c r="F6394" s="13" t="n"/>
      <c r="G6394" s="14" t="n"/>
      <c r="H6394" s="14" t="n"/>
      <c r="I6394" s="14" t="n"/>
      <c r="J6394" s="14" t="n"/>
      <c r="K6394" s="53" t="inlineStr"/>
      <c r="L6394" s="53" t="inlineStr">
        <is>
          <t>Не определено</t>
        </is>
      </c>
      <c r="M6394" s="53" t="inlineStr"/>
      <c r="N6394" s="54" t="inlineStr"/>
      <c r="O6394" s="55" t="inlineStr"/>
      <c r="P6394" s="16" t="inlineStr">
        <is>
          <t>Требует обогащения</t>
        </is>
      </c>
      <c r="Q6394" s="16">
        <f>HYPERLINK("https://pb.nalog.ru/search.html?query=2221014559","ФНС: проверить")</f>
        <v/>
      </c>
      <c r="R6394" s="16">
        <f>HYPERLINK("https://checko.ru/search?query=3801001629","Чекко: проверить")</f>
        <v/>
      </c>
      <c r="S6394" t="n">
        <v>1</v>
      </c>
      <c r="T6394" s="35" t="inlineStr">
        <is>
          <t>4 — Не обогащён</t>
        </is>
      </c>
      <c r="U6394" s="35" t="inlineStr">
        <is>
          <t>Нет ОКВЭД/ССЧР</t>
        </is>
      </c>
      <c r="V6394" s="35" t="inlineStr">
        <is>
          <t>Не определено</t>
        </is>
      </c>
      <c r="W6394" s="35" t="inlineStr"/>
      <c r="X6394" s="35" t="inlineStr"/>
    </row>
    <row r="6395" ht="15" customHeight="1" s="24">
      <c r="A6395" s="13" t="n">
        <v>5000077419</v>
      </c>
      <c r="B6395" s="13" t="inlineStr">
        <is>
          <t>КГБУЗ "Мамонтовская ЦРБ"</t>
        </is>
      </c>
      <c r="C6395" s="13" t="n">
        <v>2257002170</v>
      </c>
      <c r="D6395" s="13" t="inlineStr">
        <is>
          <t>2257002170</t>
        </is>
      </c>
      <c r="E6395" s="13" t="inlineStr">
        <is>
          <t>ЮЛ РФ</t>
        </is>
      </c>
      <c r="F6395" s="13" t="n"/>
      <c r="G6395" s="14" t="n"/>
      <c r="H6395" s="14" t="n"/>
      <c r="I6395" s="14" t="n"/>
      <c r="J6395" s="14" t="n"/>
      <c r="K6395" s="53" t="inlineStr"/>
      <c r="L6395" s="53" t="inlineStr">
        <is>
          <t>Не определено</t>
        </is>
      </c>
      <c r="M6395" s="53" t="inlineStr"/>
      <c r="N6395" s="54" t="inlineStr"/>
      <c r="O6395" s="55" t="inlineStr"/>
      <c r="P6395" s="16" t="inlineStr">
        <is>
          <t>Требует обогащения</t>
        </is>
      </c>
      <c r="Q6395" s="16">
        <f>HYPERLINK("https://pb.nalog.ru/search.html?query=2257002170","ФНС: проверить")</f>
        <v/>
      </c>
      <c r="R6395" s="16">
        <f>HYPERLINK("https://checko.ru/search?query=3801001629","Чекко: проверить")</f>
        <v/>
      </c>
      <c r="S6395" t="n">
        <v>1</v>
      </c>
      <c r="T6395" s="35" t="inlineStr">
        <is>
          <t>4 — Не обогащён</t>
        </is>
      </c>
      <c r="U6395" s="35" t="inlineStr">
        <is>
          <t>Нет ОКВЭД/ССЧР</t>
        </is>
      </c>
      <c r="V6395" s="35" t="inlineStr">
        <is>
          <t>Не определено</t>
        </is>
      </c>
      <c r="W6395" s="35" t="inlineStr"/>
      <c r="X6395" s="35" t="inlineStr"/>
    </row>
    <row r="6396" ht="15" customHeight="1" s="24">
      <c r="A6396" s="13" t="n">
        <v>5000077405</v>
      </c>
      <c r="B6396" s="13" t="inlineStr">
        <is>
          <t>КГБУЗ КЛЮЧЕВСКАЯ ЦРБ ИМ. АНТОНОВИЧА И.И.</t>
        </is>
      </c>
      <c r="C6396" s="13" t="n">
        <v>2248004043</v>
      </c>
      <c r="D6396" s="13" t="inlineStr">
        <is>
          <t>2248004043</t>
        </is>
      </c>
      <c r="E6396" s="13" t="inlineStr">
        <is>
          <t>ЮЛ РФ</t>
        </is>
      </c>
      <c r="F6396" s="13" t="n"/>
      <c r="G6396" s="14" t="n"/>
      <c r="H6396" s="14" t="n"/>
      <c r="I6396" s="14" t="n"/>
      <c r="J6396" s="14" t="n"/>
      <c r="K6396" s="53" t="inlineStr"/>
      <c r="L6396" s="53" t="inlineStr">
        <is>
          <t>Не определено</t>
        </is>
      </c>
      <c r="M6396" s="53" t="inlineStr"/>
      <c r="N6396" s="54" t="inlineStr"/>
      <c r="O6396" s="55" t="inlineStr"/>
      <c r="P6396" s="16" t="inlineStr">
        <is>
          <t>Требует обогащения</t>
        </is>
      </c>
      <c r="Q6396" s="16">
        <f>HYPERLINK("https://pb.nalog.ru/search.html?query=2248004043","ФНС: проверить")</f>
        <v/>
      </c>
      <c r="R6396" s="16">
        <f>HYPERLINK("https://checko.ru/search?query=3801001629","Чекко: проверить")</f>
        <v/>
      </c>
      <c r="S6396" t="n">
        <v>1</v>
      </c>
      <c r="T6396" s="35" t="inlineStr">
        <is>
          <t>4 — Не обогащён</t>
        </is>
      </c>
      <c r="U6396" s="35" t="inlineStr">
        <is>
          <t>Нет ОКВЭД/ССЧР</t>
        </is>
      </c>
      <c r="V6396" s="35" t="inlineStr">
        <is>
          <t>Не определено</t>
        </is>
      </c>
      <c r="W6396" s="35" t="inlineStr"/>
      <c r="X6396" s="35" t="inlineStr"/>
    </row>
    <row r="6397" ht="41.25" customHeight="1" s="24">
      <c r="A6397" s="13" t="n">
        <v>5000077392</v>
      </c>
      <c r="B6397" s="13" t="inlineStr">
        <is>
          <t>Краевое государственное бюджетное учреждение здравоохранения "Детская городская поликлиника № 7, г. Барнаул"</t>
        </is>
      </c>
      <c r="C6397" s="13" t="n">
        <v>2223011144</v>
      </c>
      <c r="D6397" s="13" t="inlineStr">
        <is>
          <t>2223011144</t>
        </is>
      </c>
      <c r="E6397" s="13" t="inlineStr">
        <is>
          <t>ЮЛ РФ</t>
        </is>
      </c>
      <c r="F6397" s="13" t="n"/>
      <c r="G6397" s="14" t="n"/>
      <c r="H6397" s="14" t="n"/>
      <c r="I6397" s="14" t="n"/>
      <c r="J6397" s="14" t="n"/>
      <c r="K6397" s="53" t="inlineStr"/>
      <c r="L6397" s="53" t="inlineStr">
        <is>
          <t>Не определено</t>
        </is>
      </c>
      <c r="M6397" s="53" t="inlineStr"/>
      <c r="N6397" s="54" t="inlineStr"/>
      <c r="O6397" s="55" t="inlineStr"/>
      <c r="P6397" s="16" t="inlineStr">
        <is>
          <t>Требует обогащения</t>
        </is>
      </c>
      <c r="Q6397" s="16">
        <f>HYPERLINK("https://pb.nalog.ru/search.html?query=2223011144","ФНС: проверить")</f>
        <v/>
      </c>
      <c r="R6397" s="16">
        <f>HYPERLINK("https://checko.ru/search?query=3801001629","Чекко: проверить")</f>
        <v/>
      </c>
      <c r="S6397" t="n">
        <v>1</v>
      </c>
      <c r="T6397" s="35" t="inlineStr">
        <is>
          <t>4 — Не обогащён</t>
        </is>
      </c>
      <c r="U6397" s="35" t="inlineStr">
        <is>
          <t>Нет ОКВЭД/ССЧР</t>
        </is>
      </c>
      <c r="V6397" s="35" t="inlineStr">
        <is>
          <t>Не определено</t>
        </is>
      </c>
      <c r="W6397" s="35" t="inlineStr"/>
      <c r="X6397" s="35" t="inlineStr"/>
    </row>
    <row r="6398" ht="27.75" customHeight="1" s="24">
      <c r="A6398" s="13" t="n">
        <v>5000077446</v>
      </c>
      <c r="B6398" s="13" t="inlineStr">
        <is>
          <t>КГБУЗ “Стоматологическая поликлиника №1 , г. Барнаул”</t>
        </is>
      </c>
      <c r="C6398" s="13" t="n">
        <v>2224008433</v>
      </c>
      <c r="D6398" s="13" t="inlineStr">
        <is>
          <t>2224008433</t>
        </is>
      </c>
      <c r="E6398" s="13" t="inlineStr">
        <is>
          <t>ЮЛ РФ</t>
        </is>
      </c>
      <c r="F6398" s="13" t="n"/>
      <c r="G6398" s="14" t="n"/>
      <c r="H6398" s="14" t="n"/>
      <c r="I6398" s="14" t="n"/>
      <c r="J6398" s="14" t="n"/>
      <c r="K6398" s="53" t="inlineStr"/>
      <c r="L6398" s="53" t="inlineStr">
        <is>
          <t>Не определено</t>
        </is>
      </c>
      <c r="M6398" s="53" t="inlineStr"/>
      <c r="N6398" s="54" t="inlineStr"/>
      <c r="O6398" s="55" t="inlineStr"/>
      <c r="P6398" s="16" t="inlineStr">
        <is>
          <t>Требует обогащения</t>
        </is>
      </c>
      <c r="Q6398" s="16">
        <f>HYPERLINK("https://pb.nalog.ru/search.html?query=2224008433","ФНС: проверить")</f>
        <v/>
      </c>
      <c r="R6398" s="16">
        <f>HYPERLINK("https://checko.ru/search?query=3801001629","Чекко: проверить")</f>
        <v/>
      </c>
      <c r="S6398" t="n">
        <v>1</v>
      </c>
      <c r="T6398" s="35" t="inlineStr">
        <is>
          <t>4 — Не обогащён</t>
        </is>
      </c>
      <c r="U6398" s="35" t="inlineStr">
        <is>
          <t>Нет ОКВЭД/ССЧР</t>
        </is>
      </c>
      <c r="V6398" s="35" t="inlineStr">
        <is>
          <t>Не определено</t>
        </is>
      </c>
      <c r="W6398" s="35" t="inlineStr"/>
      <c r="X6398" s="35" t="inlineStr"/>
    </row>
    <row r="6399" ht="27.75" customHeight="1" s="24">
      <c r="A6399" s="13" t="n">
        <v>5000077365</v>
      </c>
      <c r="B6399" s="13" t="inlineStr">
        <is>
          <t>КГБУЗ "АЛТАЙСКИЙ КРАЕВОЙ КЛИНИЧЕСКИЙ ЦЕНТР ОХРАНЫ МАТЕРИНСТВА И ДЕТСТВА"</t>
        </is>
      </c>
      <c r="C6399" s="13" t="n">
        <v>2223023559</v>
      </c>
      <c r="D6399" s="13" t="inlineStr">
        <is>
          <t>2223023559</t>
        </is>
      </c>
      <c r="E6399" s="13" t="inlineStr">
        <is>
          <t>ЮЛ РФ</t>
        </is>
      </c>
      <c r="F6399" s="13" t="n"/>
      <c r="G6399" s="14" t="n"/>
      <c r="H6399" s="14" t="n"/>
      <c r="I6399" s="14" t="n"/>
      <c r="J6399" s="14" t="n"/>
      <c r="K6399" s="53" t="inlineStr"/>
      <c r="L6399" s="53" t="inlineStr">
        <is>
          <t>Не определено</t>
        </is>
      </c>
      <c r="M6399" s="53" t="inlineStr"/>
      <c r="N6399" s="54" t="inlineStr"/>
      <c r="O6399" s="55" t="inlineStr"/>
      <c r="P6399" s="16" t="inlineStr">
        <is>
          <t>Требует обогащения</t>
        </is>
      </c>
      <c r="Q6399" s="16">
        <f>HYPERLINK("https://pb.nalog.ru/search.html?query=2223023559","ФНС: проверить")</f>
        <v/>
      </c>
      <c r="R6399" s="16">
        <f>HYPERLINK("https://checko.ru/search?query=3801001629","Чекко: проверить")</f>
        <v/>
      </c>
      <c r="S6399" t="n">
        <v>1</v>
      </c>
      <c r="T6399" s="35" t="inlineStr">
        <is>
          <t>4 — Не обогащён</t>
        </is>
      </c>
      <c r="U6399" s="35" t="inlineStr">
        <is>
          <t>Нет ОКВЭД/ССЧР</t>
        </is>
      </c>
      <c r="V6399" s="35" t="inlineStr">
        <is>
          <t>Не определено</t>
        </is>
      </c>
      <c r="W6399" s="35" t="inlineStr"/>
      <c r="X6399" s="35" t="inlineStr"/>
    </row>
    <row r="6400" ht="15" customHeight="1" s="24">
      <c r="A6400" s="13" t="n">
        <v>5000077462</v>
      </c>
      <c r="B6400" s="13" t="inlineStr">
        <is>
          <t>КГБУЗ "Центральная городская больница, г. Бийск"</t>
        </is>
      </c>
      <c r="C6400" s="13" t="n">
        <v>2226018660</v>
      </c>
      <c r="D6400" s="13" t="inlineStr">
        <is>
          <t>2226018660</t>
        </is>
      </c>
      <c r="E6400" s="13" t="inlineStr">
        <is>
          <t>ЮЛ РФ</t>
        </is>
      </c>
      <c r="F6400" s="13" t="n"/>
      <c r="G6400" s="14" t="n"/>
      <c r="H6400" s="14" t="n"/>
      <c r="I6400" s="14" t="n"/>
      <c r="J6400" s="14" t="n"/>
      <c r="K6400" s="53" t="inlineStr"/>
      <c r="L6400" s="53" t="inlineStr">
        <is>
          <t>Не определено</t>
        </is>
      </c>
      <c r="M6400" s="53" t="inlineStr"/>
      <c r="N6400" s="54" t="inlineStr"/>
      <c r="O6400" s="55" t="inlineStr"/>
      <c r="P6400" s="16" t="inlineStr">
        <is>
          <t>Требует обогащения</t>
        </is>
      </c>
      <c r="Q6400" s="16">
        <f>HYPERLINK("https://pb.nalog.ru/search.html?query=2226018660","ФНС: проверить")</f>
        <v/>
      </c>
      <c r="R6400" s="16">
        <f>HYPERLINK("https://checko.ru/search?query=3801001629","Чекко: проверить")</f>
        <v/>
      </c>
      <c r="S6400" t="n">
        <v>1</v>
      </c>
      <c r="T6400" s="35" t="inlineStr">
        <is>
          <t>4 — Не обогащён</t>
        </is>
      </c>
      <c r="U6400" s="35" t="inlineStr">
        <is>
          <t>Нет ОКВЭД/ССЧР</t>
        </is>
      </c>
      <c r="V6400" s="35" t="inlineStr">
        <is>
          <t>Не определено</t>
        </is>
      </c>
      <c r="W6400" s="35" t="inlineStr"/>
      <c r="X6400" s="35" t="inlineStr"/>
    </row>
    <row r="6401" ht="15" customHeight="1" s="24">
      <c r="A6401" s="13" t="n">
        <v>5000077448</v>
      </c>
      <c r="B6401" s="13" t="inlineStr">
        <is>
          <t>МУЗ "Бийская стоматологическая поликлиника"</t>
        </is>
      </c>
      <c r="C6401" s="13" t="n">
        <v>2204000933</v>
      </c>
      <c r="D6401" s="13" t="inlineStr">
        <is>
          <t>2204000933</t>
        </is>
      </c>
      <c r="E6401" s="13" t="inlineStr">
        <is>
          <t>ЮЛ РФ</t>
        </is>
      </c>
      <c r="F6401" s="13" t="n"/>
      <c r="G6401" s="14" t="n"/>
      <c r="H6401" s="14" t="n"/>
      <c r="I6401" s="14" t="n"/>
      <c r="J6401" s="14" t="n"/>
      <c r="K6401" s="53" t="inlineStr"/>
      <c r="L6401" s="53" t="inlineStr">
        <is>
          <t>Не определено</t>
        </is>
      </c>
      <c r="M6401" s="53" t="inlineStr"/>
      <c r="N6401" s="54" t="inlineStr"/>
      <c r="O6401" s="55" t="inlineStr"/>
      <c r="P6401" s="16" t="inlineStr">
        <is>
          <t>Требует обогащения</t>
        </is>
      </c>
      <c r="Q6401" s="16">
        <f>HYPERLINK("https://pb.nalog.ru/search.html?query=2204000933","ФНС: проверить")</f>
        <v/>
      </c>
      <c r="R6401" s="16">
        <f>HYPERLINK("https://checko.ru/search?query=3801001629","Чекко: проверить")</f>
        <v/>
      </c>
      <c r="S6401" t="n">
        <v>1</v>
      </c>
      <c r="T6401" s="35" t="inlineStr">
        <is>
          <t>4 — Не обогащён</t>
        </is>
      </c>
      <c r="U6401" s="35" t="inlineStr">
        <is>
          <t>Нет ОКВЭД/ССЧР</t>
        </is>
      </c>
      <c r="V6401" s="35" t="inlineStr">
        <is>
          <t>Не определено</t>
        </is>
      </c>
      <c r="W6401" s="35" t="inlineStr"/>
      <c r="X6401" s="35" t="inlineStr"/>
    </row>
    <row r="6402" ht="27.75" customHeight="1" s="24">
      <c r="A6402" s="13" t="n">
        <v>5000086512</v>
      </c>
      <c r="B6402" s="13" t="inlineStr">
        <is>
          <t>МБУЗ "Белокурихинская центральная городская больница"</t>
        </is>
      </c>
      <c r="C6402" s="13" t="n">
        <v>2203004565</v>
      </c>
      <c r="D6402" s="13" t="inlineStr">
        <is>
          <t>2203004565</t>
        </is>
      </c>
      <c r="E6402" s="13" t="inlineStr">
        <is>
          <t>ЮЛ РФ</t>
        </is>
      </c>
      <c r="F6402" s="13" t="n"/>
      <c r="G6402" s="14" t="n"/>
      <c r="H6402" s="14" t="n"/>
      <c r="I6402" s="14" t="n"/>
      <c r="J6402" s="14" t="n"/>
      <c r="K6402" s="53" t="inlineStr"/>
      <c r="L6402" s="53" t="inlineStr">
        <is>
          <t>Не определено</t>
        </is>
      </c>
      <c r="M6402" s="53" t="inlineStr"/>
      <c r="N6402" s="54" t="inlineStr"/>
      <c r="O6402" s="55" t="inlineStr"/>
      <c r="P6402" s="16" t="inlineStr">
        <is>
          <t>Требует обогащения</t>
        </is>
      </c>
      <c r="Q6402" s="16">
        <f>HYPERLINK("https://pb.nalog.ru/search.html?query=2203004565","ФНС: проверить")</f>
        <v/>
      </c>
      <c r="R6402" s="16">
        <f>HYPERLINK("https://checko.ru/search?query=3801001629","Чекко: проверить")</f>
        <v/>
      </c>
      <c r="S6402" t="n">
        <v>1</v>
      </c>
      <c r="T6402" s="35" t="inlineStr">
        <is>
          <t>4 — Не обогащён</t>
        </is>
      </c>
      <c r="U6402" s="35" t="inlineStr">
        <is>
          <t>Нет ОКВЭД/ССЧР</t>
        </is>
      </c>
      <c r="V6402" s="35" t="inlineStr">
        <is>
          <t>Не определено</t>
        </is>
      </c>
      <c r="W6402" s="35" t="inlineStr"/>
      <c r="X6402" s="35" t="inlineStr"/>
    </row>
    <row r="6403" ht="15" customHeight="1" s="24">
      <c r="A6403" s="13" t="n">
        <v>5000077428</v>
      </c>
      <c r="B6403" s="13" t="inlineStr">
        <is>
          <t>МБУЗ "Поспелихинская ЦРБ"</t>
        </is>
      </c>
      <c r="C6403" s="13" t="n">
        <v>2265001927</v>
      </c>
      <c r="D6403" s="13" t="inlineStr">
        <is>
          <t>2265001927</t>
        </is>
      </c>
      <c r="E6403" s="13" t="inlineStr">
        <is>
          <t>ЮЛ РФ</t>
        </is>
      </c>
      <c r="F6403" s="13" t="n"/>
      <c r="G6403" s="14" t="n"/>
      <c r="H6403" s="14" t="n"/>
      <c r="I6403" s="14" t="n"/>
      <c r="J6403" s="14" t="n"/>
      <c r="K6403" s="53" t="inlineStr"/>
      <c r="L6403" s="53" t="inlineStr">
        <is>
          <t>Не определено</t>
        </is>
      </c>
      <c r="M6403" s="53" t="inlineStr"/>
      <c r="N6403" s="54" t="inlineStr"/>
      <c r="O6403" s="55" t="inlineStr"/>
      <c r="P6403" s="16" t="inlineStr">
        <is>
          <t>Требует обогащения</t>
        </is>
      </c>
      <c r="Q6403" s="16">
        <f>HYPERLINK("https://pb.nalog.ru/search.html?query=2265001927","ФНС: проверить")</f>
        <v/>
      </c>
      <c r="R6403" s="16">
        <f>HYPERLINK("https://checko.ru/search?query=3801001629","Чекко: проверить")</f>
        <v/>
      </c>
      <c r="S6403" t="n">
        <v>1</v>
      </c>
      <c r="T6403" s="35" t="inlineStr">
        <is>
          <t>4 — Не обогащён</t>
        </is>
      </c>
      <c r="U6403" s="35" t="inlineStr">
        <is>
          <t>Нет ОКВЭД/ССЧР</t>
        </is>
      </c>
      <c r="V6403" s="35" t="inlineStr">
        <is>
          <t>Не определено</t>
        </is>
      </c>
      <c r="W6403" s="35" t="inlineStr"/>
      <c r="X6403" s="35" t="inlineStr"/>
    </row>
    <row r="6404" ht="15" customHeight="1" s="24">
      <c r="A6404" s="13" t="n">
        <v>5000064361</v>
      </c>
      <c r="B6404" s="13" t="inlineStr">
        <is>
          <t>КГБУЗ "ГОРОДСКАЯ БОЛЬНИЦА № 2, Г. БИЙСК"</t>
        </is>
      </c>
      <c r="C6404" s="13" t="n">
        <v>2227021070</v>
      </c>
      <c r="D6404" s="13" t="inlineStr">
        <is>
          <t>2227021070</t>
        </is>
      </c>
      <c r="E6404" s="13" t="inlineStr">
        <is>
          <t>ЮЛ РФ</t>
        </is>
      </c>
      <c r="F6404" s="13" t="n"/>
      <c r="G6404" s="14" t="n"/>
      <c r="H6404" s="14" t="n"/>
      <c r="I6404" s="14" t="n"/>
      <c r="J6404" s="14" t="n"/>
      <c r="K6404" s="53" t="inlineStr"/>
      <c r="L6404" s="53" t="inlineStr">
        <is>
          <t>Не определено</t>
        </is>
      </c>
      <c r="M6404" s="53" t="inlineStr"/>
      <c r="N6404" s="54" t="inlineStr"/>
      <c r="O6404" s="55" t="inlineStr"/>
      <c r="P6404" s="16" t="inlineStr">
        <is>
          <t>Требует обогащения</t>
        </is>
      </c>
      <c r="Q6404" s="16">
        <f>HYPERLINK("https://pb.nalog.ru/search.html?query=2227021070","ФНС: проверить")</f>
        <v/>
      </c>
      <c r="R6404" s="16">
        <f>HYPERLINK("https://checko.ru/search?query=3801001629","Чекко: проверить")</f>
        <v/>
      </c>
      <c r="S6404" t="n">
        <v>1</v>
      </c>
      <c r="T6404" s="35" t="inlineStr">
        <is>
          <t>4 — Не обогащён</t>
        </is>
      </c>
      <c r="U6404" s="35" t="inlineStr">
        <is>
          <t>Нет ОКВЭД/ССЧР</t>
        </is>
      </c>
      <c r="V6404" s="35" t="inlineStr">
        <is>
          <t>Не определено</t>
        </is>
      </c>
      <c r="W6404" s="35" t="inlineStr"/>
      <c r="X6404" s="35" t="inlineStr"/>
    </row>
    <row r="6405" ht="15" customHeight="1" s="24">
      <c r="A6405" s="13" t="n">
        <v>5000076997</v>
      </c>
      <c r="B6405" s="13" t="inlineStr">
        <is>
          <t>КГБУЗ "Солонешенская ЦРБ"</t>
        </is>
      </c>
      <c r="C6405" s="13" t="n">
        <v>2273001110</v>
      </c>
      <c r="D6405" s="13" t="inlineStr">
        <is>
          <t>2273001110</t>
        </is>
      </c>
      <c r="E6405" s="13" t="inlineStr">
        <is>
          <t>ЮЛ РФ</t>
        </is>
      </c>
      <c r="F6405" s="13" t="n"/>
      <c r="G6405" s="14" t="n"/>
      <c r="H6405" s="14" t="n"/>
      <c r="I6405" s="14" t="n"/>
      <c r="J6405" s="14" t="n"/>
      <c r="K6405" s="53" t="inlineStr"/>
      <c r="L6405" s="53" t="inlineStr">
        <is>
          <t>Не определено</t>
        </is>
      </c>
      <c r="M6405" s="53" t="inlineStr"/>
      <c r="N6405" s="54" t="inlineStr"/>
      <c r="O6405" s="55" t="inlineStr"/>
      <c r="P6405" s="16" t="inlineStr">
        <is>
          <t>Требует обогащения</t>
        </is>
      </c>
      <c r="Q6405" s="16">
        <f>HYPERLINK("https://pb.nalog.ru/search.html?query=2273001110","ФНС: проверить")</f>
        <v/>
      </c>
      <c r="R6405" s="16">
        <f>HYPERLINK("https://checko.ru/search?query=3801001629","Чекко: проверить")</f>
        <v/>
      </c>
      <c r="S6405" t="n">
        <v>1</v>
      </c>
      <c r="T6405" s="35" t="inlineStr">
        <is>
          <t>4 — Не обогащён</t>
        </is>
      </c>
      <c r="U6405" s="35" t="inlineStr">
        <is>
          <t>Нет ОКВЭД/ССЧР</t>
        </is>
      </c>
      <c r="V6405" s="35" t="inlineStr">
        <is>
          <t>Не определено</t>
        </is>
      </c>
      <c r="W6405" s="35" t="inlineStr"/>
      <c r="X6405" s="35" t="inlineStr"/>
    </row>
    <row r="6406" ht="15" customHeight="1" s="24">
      <c r="A6406" s="13" t="n">
        <v>5000076973</v>
      </c>
      <c r="B6406" s="13" t="inlineStr">
        <is>
          <t>КГБУЗ "АЛТАЙСКАЯ ЦРБ"</t>
        </is>
      </c>
      <c r="C6406" s="13" t="n">
        <v>2232002210</v>
      </c>
      <c r="D6406" s="13" t="inlineStr">
        <is>
          <t>2232002210</t>
        </is>
      </c>
      <c r="E6406" s="13" t="inlineStr">
        <is>
          <t>ЮЛ РФ</t>
        </is>
      </c>
      <c r="F6406" s="13" t="n"/>
      <c r="G6406" s="14" t="n"/>
      <c r="H6406" s="14" t="n"/>
      <c r="I6406" s="14" t="n"/>
      <c r="J6406" s="14" t="n"/>
      <c r="K6406" s="53" t="inlineStr"/>
      <c r="L6406" s="53" t="inlineStr">
        <is>
          <t>Не определено</t>
        </is>
      </c>
      <c r="M6406" s="53" t="inlineStr"/>
      <c r="N6406" s="54" t="inlineStr"/>
      <c r="O6406" s="55" t="inlineStr"/>
      <c r="P6406" s="16" t="inlineStr">
        <is>
          <t>Требует обогащения</t>
        </is>
      </c>
      <c r="Q6406" s="16">
        <f>HYPERLINK("https://pb.nalog.ru/search.html?query=2232002210","ФНС: проверить")</f>
        <v/>
      </c>
      <c r="R6406" s="16">
        <f>HYPERLINK("https://checko.ru/search?query=3801001629","Чекко: проверить")</f>
        <v/>
      </c>
      <c r="S6406" t="n">
        <v>1</v>
      </c>
      <c r="T6406" s="35" t="inlineStr">
        <is>
          <t>4 — Не обогащён</t>
        </is>
      </c>
      <c r="U6406" s="35" t="inlineStr">
        <is>
          <t>Нет ОКВЭД/ССЧР</t>
        </is>
      </c>
      <c r="V6406" s="35" t="inlineStr">
        <is>
          <t>Не определено</t>
        </is>
      </c>
      <c r="W6406" s="35" t="inlineStr"/>
      <c r="X6406" s="35" t="inlineStr"/>
    </row>
    <row r="6407" ht="15" customHeight="1" s="24">
      <c r="A6407" s="13" t="n">
        <v>5000077380</v>
      </c>
      <c r="B6407" s="13" t="inlineStr">
        <is>
          <t>КГБУЗ "Городская больница №4, г.Барнаул"</t>
        </is>
      </c>
      <c r="C6407" s="13" t="n">
        <v>2222014784</v>
      </c>
      <c r="D6407" s="13" t="inlineStr">
        <is>
          <t>2222014784</t>
        </is>
      </c>
      <c r="E6407" s="13" t="inlineStr">
        <is>
          <t>ЮЛ РФ</t>
        </is>
      </c>
      <c r="F6407" s="13" t="n"/>
      <c r="G6407" s="14" t="n"/>
      <c r="H6407" s="14" t="n"/>
      <c r="I6407" s="14" t="n"/>
      <c r="J6407" s="14" t="n"/>
      <c r="K6407" s="53" t="inlineStr"/>
      <c r="L6407" s="53" t="inlineStr">
        <is>
          <t>Не определено</t>
        </is>
      </c>
      <c r="M6407" s="53" t="inlineStr"/>
      <c r="N6407" s="54" t="inlineStr"/>
      <c r="O6407" s="55" t="inlineStr"/>
      <c r="P6407" s="16" t="inlineStr">
        <is>
          <t>Требует обогащения</t>
        </is>
      </c>
      <c r="Q6407" s="16">
        <f>HYPERLINK("https://pb.nalog.ru/search.html?query=2222014784","ФНС: проверить")</f>
        <v/>
      </c>
      <c r="R6407" s="16">
        <f>HYPERLINK("https://checko.ru/search?query=3801001629","Чекко: проверить")</f>
        <v/>
      </c>
      <c r="S6407" t="n">
        <v>1</v>
      </c>
      <c r="T6407" s="35" t="inlineStr">
        <is>
          <t>4 — Не обогащён</t>
        </is>
      </c>
      <c r="U6407" s="35" t="inlineStr">
        <is>
          <t>Нет ОКВЭД/ССЧР</t>
        </is>
      </c>
      <c r="V6407" s="35" t="inlineStr">
        <is>
          <t>Не определено</t>
        </is>
      </c>
      <c r="W6407" s="35" t="inlineStr"/>
      <c r="X6407" s="35" t="inlineStr"/>
    </row>
    <row r="6408" ht="27.75" customHeight="1" s="24">
      <c r="A6408" s="13" t="n">
        <v>5000077393</v>
      </c>
      <c r="B6408" s="13" t="inlineStr">
        <is>
          <t>КГБУЗ "Детская городская поликлиника №9, г. Барнаул"</t>
        </is>
      </c>
      <c r="C6408" s="13" t="n">
        <v>2222006631</v>
      </c>
      <c r="D6408" s="13" t="inlineStr">
        <is>
          <t>2222006631</t>
        </is>
      </c>
      <c r="E6408" s="13" t="inlineStr">
        <is>
          <t>ЮЛ РФ</t>
        </is>
      </c>
      <c r="F6408" s="13" t="n"/>
      <c r="G6408" s="14" t="n"/>
      <c r="H6408" s="14" t="n"/>
      <c r="I6408" s="14" t="n"/>
      <c r="J6408" s="14" t="n"/>
      <c r="K6408" s="53" t="inlineStr"/>
      <c r="L6408" s="53" t="inlineStr">
        <is>
          <t>Не определено</t>
        </is>
      </c>
      <c r="M6408" s="53" t="inlineStr"/>
      <c r="N6408" s="54" t="inlineStr"/>
      <c r="O6408" s="55" t="inlineStr"/>
      <c r="P6408" s="16" t="inlineStr">
        <is>
          <t>Требует обогащения</t>
        </is>
      </c>
      <c r="Q6408" s="16">
        <f>HYPERLINK("https://pb.nalog.ru/search.html?query=2222006631","ФНС: проверить")</f>
        <v/>
      </c>
      <c r="R6408" s="16">
        <f>HYPERLINK("https://checko.ru/search?query=3801001629","Чекко: проверить")</f>
        <v/>
      </c>
      <c r="S6408" t="n">
        <v>1</v>
      </c>
      <c r="T6408" s="35" t="inlineStr">
        <is>
          <t>4 — Не обогащён</t>
        </is>
      </c>
      <c r="U6408" s="35" t="inlineStr">
        <is>
          <t>Нет ОКВЭД/ССЧР</t>
        </is>
      </c>
      <c r="V6408" s="35" t="inlineStr">
        <is>
          <t>Не определено</t>
        </is>
      </c>
      <c r="W6408" s="35" t="inlineStr"/>
      <c r="X6408" s="35" t="inlineStr"/>
    </row>
    <row r="6409" ht="15" customHeight="1" s="24">
      <c r="A6409" s="13" t="n">
        <v>5000077385</v>
      </c>
      <c r="B6409" s="13" t="inlineStr">
        <is>
          <t>КГБУЗ "Городская поликлиника №12, г. Барнаул"</t>
        </is>
      </c>
      <c r="C6409" s="13" t="n">
        <v>2222003373</v>
      </c>
      <c r="D6409" s="13" t="inlineStr">
        <is>
          <t>2222003373</t>
        </is>
      </c>
      <c r="E6409" s="13" t="inlineStr">
        <is>
          <t>ЮЛ РФ</t>
        </is>
      </c>
      <c r="F6409" s="13" t="n"/>
      <c r="G6409" s="14" t="n"/>
      <c r="H6409" s="14" t="n"/>
      <c r="I6409" s="14" t="n"/>
      <c r="J6409" s="14" t="n"/>
      <c r="K6409" s="53" t="inlineStr"/>
      <c r="L6409" s="53" t="inlineStr">
        <is>
          <t>Не определено</t>
        </is>
      </c>
      <c r="M6409" s="53" t="inlineStr"/>
      <c r="N6409" s="54" t="inlineStr"/>
      <c r="O6409" s="55" t="inlineStr"/>
      <c r="P6409" s="16" t="inlineStr">
        <is>
          <t>Требует обогащения</t>
        </is>
      </c>
      <c r="Q6409" s="16">
        <f>HYPERLINK("https://pb.nalog.ru/search.html?query=2222003373","ФНС: проверить")</f>
        <v/>
      </c>
      <c r="R6409" s="16">
        <f>HYPERLINK("https://checko.ru/search?query=3801001629","Чекко: проверить")</f>
        <v/>
      </c>
      <c r="S6409" t="n">
        <v>1</v>
      </c>
      <c r="T6409" s="35" t="inlineStr">
        <is>
          <t>4 — Не обогащён</t>
        </is>
      </c>
      <c r="U6409" s="35" t="inlineStr">
        <is>
          <t>Нет ОКВЭД/ССЧР</t>
        </is>
      </c>
      <c r="V6409" s="35" t="inlineStr">
        <is>
          <t>Не определено</t>
        </is>
      </c>
      <c r="W6409" s="35" t="inlineStr"/>
      <c r="X6409" s="35" t="inlineStr"/>
    </row>
    <row r="6410" ht="15" customHeight="1" s="24">
      <c r="A6410" s="13" t="n">
        <v>5000077376</v>
      </c>
      <c r="B6410" s="13" t="inlineStr">
        <is>
          <t>КГБУЗ «Городская больница №10 г.Барнаул»</t>
        </is>
      </c>
      <c r="C6410" s="13" t="n">
        <v>2225004230</v>
      </c>
      <c r="D6410" s="13" t="inlineStr">
        <is>
          <t>2225004230</t>
        </is>
      </c>
      <c r="E6410" s="13" t="inlineStr">
        <is>
          <t>ЮЛ РФ</t>
        </is>
      </c>
      <c r="F6410" s="13" t="n"/>
      <c r="G6410" s="14" t="n"/>
      <c r="H6410" s="14" t="n"/>
      <c r="I6410" s="14" t="n"/>
      <c r="J6410" s="14" t="n"/>
      <c r="K6410" s="53" t="inlineStr"/>
      <c r="L6410" s="53" t="inlineStr">
        <is>
          <t>Не определено</t>
        </is>
      </c>
      <c r="M6410" s="53" t="inlineStr"/>
      <c r="N6410" s="54" t="inlineStr"/>
      <c r="O6410" s="55" t="inlineStr"/>
      <c r="P6410" s="16" t="inlineStr">
        <is>
          <t>Требует обогащения</t>
        </is>
      </c>
      <c r="Q6410" s="16">
        <f>HYPERLINK("https://pb.nalog.ru/search.html?query=2225004230","ФНС: проверить")</f>
        <v/>
      </c>
      <c r="R6410" s="16">
        <f>HYPERLINK("https://checko.ru/search?query=3801001629","Чекко: проверить")</f>
        <v/>
      </c>
      <c r="S6410" t="n">
        <v>1</v>
      </c>
      <c r="T6410" s="35" t="inlineStr">
        <is>
          <t>4 — Не обогащён</t>
        </is>
      </c>
      <c r="U6410" s="35" t="inlineStr">
        <is>
          <t>Нет ОКВЭД/ССЧР</t>
        </is>
      </c>
      <c r="V6410" s="35" t="inlineStr">
        <is>
          <t>Не определено</t>
        </is>
      </c>
      <c r="W6410" s="35" t="inlineStr"/>
      <c r="X6410" s="35" t="inlineStr"/>
    </row>
    <row r="6411" ht="15" customHeight="1" s="24">
      <c r="A6411" s="13" t="n">
        <v>5000077443</v>
      </c>
      <c r="B6411" s="13" t="inlineStr">
        <is>
          <t>КГБУЗ "Станция скорой помощи, г. Бийск"</t>
        </is>
      </c>
      <c r="C6411" s="13" t="n">
        <v>2226021172</v>
      </c>
      <c r="D6411" s="13" t="inlineStr">
        <is>
          <t>2226021172</t>
        </is>
      </c>
      <c r="E6411" s="13" t="inlineStr">
        <is>
          <t>ЮЛ РФ</t>
        </is>
      </c>
      <c r="F6411" s="13" t="n"/>
      <c r="G6411" s="14" t="n"/>
      <c r="H6411" s="14" t="n"/>
      <c r="I6411" s="14" t="n"/>
      <c r="J6411" s="14" t="n"/>
      <c r="K6411" s="53" t="inlineStr"/>
      <c r="L6411" s="53" t="inlineStr">
        <is>
          <t>Не определено</t>
        </is>
      </c>
      <c r="M6411" s="53" t="inlineStr"/>
      <c r="N6411" s="54" t="inlineStr"/>
      <c r="O6411" s="55" t="inlineStr"/>
      <c r="P6411" s="16" t="inlineStr">
        <is>
          <t>Требует обогащения</t>
        </is>
      </c>
      <c r="Q6411" s="16">
        <f>HYPERLINK("https://pb.nalog.ru/search.html?query=2226021172","ФНС: проверить")</f>
        <v/>
      </c>
      <c r="R6411" s="16">
        <f>HYPERLINK("https://checko.ru/search?query=3801001629","Чекко: проверить")</f>
        <v/>
      </c>
      <c r="S6411" t="n">
        <v>1</v>
      </c>
      <c r="T6411" s="35" t="inlineStr">
        <is>
          <t>4 — Не обогащён</t>
        </is>
      </c>
      <c r="U6411" s="35" t="inlineStr">
        <is>
          <t>Нет ОКВЭД/ССЧР</t>
        </is>
      </c>
      <c r="V6411" s="35" t="inlineStr">
        <is>
          <t>Не определено</t>
        </is>
      </c>
      <c r="W6411" s="35" t="inlineStr"/>
      <c r="X6411" s="35" t="inlineStr"/>
    </row>
    <row r="6412" ht="27.75" customHeight="1" s="24">
      <c r="A6412" s="13" t="n">
        <v>5000077447</v>
      </c>
      <c r="B6412" s="13" t="inlineStr">
        <is>
          <t>КГБУЗ "Стоматологическая поликлиника № 3 г.Барнаул"</t>
        </is>
      </c>
      <c r="C6412" s="13" t="n">
        <v>2222006663</v>
      </c>
      <c r="D6412" s="13" t="inlineStr">
        <is>
          <t>2222006663</t>
        </is>
      </c>
      <c r="E6412" s="13" t="inlineStr">
        <is>
          <t>ЮЛ РФ</t>
        </is>
      </c>
      <c r="F6412" s="13" t="n"/>
      <c r="G6412" s="14" t="n"/>
      <c r="H6412" s="14" t="n"/>
      <c r="I6412" s="14" t="n"/>
      <c r="J6412" s="14" t="n"/>
      <c r="K6412" s="53" t="inlineStr"/>
      <c r="L6412" s="53" t="inlineStr">
        <is>
          <t>Не определено</t>
        </is>
      </c>
      <c r="M6412" s="53" t="inlineStr"/>
      <c r="N6412" s="54" t="inlineStr"/>
      <c r="O6412" s="55" t="inlineStr"/>
      <c r="P6412" s="16" t="inlineStr">
        <is>
          <t>Требует обогащения</t>
        </is>
      </c>
      <c r="Q6412" s="16">
        <f>HYPERLINK("https://pb.nalog.ru/search.html?query=2222006663","ФНС: проверить")</f>
        <v/>
      </c>
      <c r="R6412" s="16">
        <f>HYPERLINK("https://checko.ru/search?query=3801001629","Чекко: проверить")</f>
        <v/>
      </c>
      <c r="S6412" t="n">
        <v>1</v>
      </c>
      <c r="T6412" s="35" t="inlineStr">
        <is>
          <t>4 — Не обогащён</t>
        </is>
      </c>
      <c r="U6412" s="35" t="inlineStr">
        <is>
          <t>Нет ОКВЭД/ССЧР</t>
        </is>
      </c>
      <c r="V6412" s="35" t="inlineStr">
        <is>
          <t>Не определено</t>
        </is>
      </c>
      <c r="W6412" s="35" t="inlineStr"/>
      <c r="X6412" s="35" t="inlineStr"/>
    </row>
    <row r="6413" ht="27.75" customHeight="1" s="24">
      <c r="A6413" s="13" t="n">
        <v>5000077389</v>
      </c>
      <c r="B6413" s="13" t="inlineStr">
        <is>
          <t>КГБУЗ «Детская городская клиническая больница №7, г.Барнаул»</t>
        </is>
      </c>
      <c r="C6413" s="13" t="n">
        <v>2221004871</v>
      </c>
      <c r="D6413" s="13" t="inlineStr">
        <is>
          <t>2221004871</t>
        </is>
      </c>
      <c r="E6413" s="13" t="inlineStr">
        <is>
          <t>ЮЛ РФ</t>
        </is>
      </c>
      <c r="F6413" s="13" t="n"/>
      <c r="G6413" s="14" t="n"/>
      <c r="H6413" s="14" t="n"/>
      <c r="I6413" s="14" t="n"/>
      <c r="J6413" s="14" t="n"/>
      <c r="K6413" s="53" t="inlineStr"/>
      <c r="L6413" s="53" t="inlineStr">
        <is>
          <t>Не определено</t>
        </is>
      </c>
      <c r="M6413" s="53" t="inlineStr"/>
      <c r="N6413" s="54" t="inlineStr"/>
      <c r="O6413" s="55" t="inlineStr"/>
      <c r="P6413" s="16" t="inlineStr">
        <is>
          <t>Требует обогащения</t>
        </is>
      </c>
      <c r="Q6413" s="16">
        <f>HYPERLINK("https://pb.nalog.ru/search.html?query=2221004871","ФНС: проверить")</f>
        <v/>
      </c>
      <c r="R6413" s="16">
        <f>HYPERLINK("https://checko.ru/search?query=3801001629","Чекко: проверить")</f>
        <v/>
      </c>
      <c r="S6413" t="n">
        <v>1</v>
      </c>
      <c r="T6413" s="35" t="inlineStr">
        <is>
          <t>4 — Не обогащён</t>
        </is>
      </c>
      <c r="U6413" s="35" t="inlineStr">
        <is>
          <t>Нет ОКВЭД/ССЧР</t>
        </is>
      </c>
      <c r="V6413" s="35" t="inlineStr">
        <is>
          <t>Не определено</t>
        </is>
      </c>
      <c r="W6413" s="35" t="inlineStr"/>
      <c r="X6413" s="35" t="inlineStr"/>
    </row>
    <row r="6414" ht="27.75" customHeight="1" s="24">
      <c r="A6414" s="13" t="n">
        <v>5000064365</v>
      </c>
      <c r="B6414" s="13" t="inlineStr">
        <is>
          <t>КГБУЗ "Центральная городская бльница, г. Заринск"</t>
        </is>
      </c>
      <c r="C6414" s="13" t="n">
        <v>2205003373</v>
      </c>
      <c r="D6414" s="13" t="inlineStr">
        <is>
          <t>2205003373</t>
        </is>
      </c>
      <c r="E6414" s="13" t="inlineStr">
        <is>
          <t>ЮЛ РФ</t>
        </is>
      </c>
      <c r="F6414" s="13" t="n"/>
      <c r="G6414" s="14" t="n"/>
      <c r="H6414" s="14" t="n"/>
      <c r="I6414" s="14" t="n"/>
      <c r="J6414" s="14" t="n"/>
      <c r="K6414" s="53" t="inlineStr"/>
      <c r="L6414" s="53" t="inlineStr">
        <is>
          <t>Не определено</t>
        </is>
      </c>
      <c r="M6414" s="53" t="inlineStr"/>
      <c r="N6414" s="54" t="inlineStr"/>
      <c r="O6414" s="55" t="inlineStr"/>
      <c r="P6414" s="16" t="inlineStr">
        <is>
          <t>Требует обогащения</t>
        </is>
      </c>
      <c r="Q6414" s="16">
        <f>HYPERLINK("https://pb.nalog.ru/search.html?query=2205003373","ФНС: проверить")</f>
        <v/>
      </c>
      <c r="R6414" s="16">
        <f>HYPERLINK("https://checko.ru/search?query=3801001629","Чекко: проверить")</f>
        <v/>
      </c>
      <c r="S6414" t="n">
        <v>1</v>
      </c>
      <c r="T6414" s="35" t="inlineStr">
        <is>
          <t>4 — Не обогащён</t>
        </is>
      </c>
      <c r="U6414" s="35" t="inlineStr">
        <is>
          <t>Нет ОКВЭД/ССЧР</t>
        </is>
      </c>
      <c r="V6414" s="35" t="inlineStr">
        <is>
          <t>Не определено</t>
        </is>
      </c>
      <c r="W6414" s="35" t="inlineStr"/>
      <c r="X6414" s="35" t="inlineStr"/>
    </row>
    <row r="6415" ht="15" customHeight="1" s="24">
      <c r="A6415" s="13" t="n">
        <v>5000076994</v>
      </c>
      <c r="B6415" s="13" t="inlineStr">
        <is>
          <t>КГБУЗ "Онкологический диспансер г.Рубцовска"</t>
        </is>
      </c>
      <c r="C6415" s="13" t="n">
        <v>2209014658</v>
      </c>
      <c r="D6415" s="13" t="inlineStr">
        <is>
          <t>2209014658</t>
        </is>
      </c>
      <c r="E6415" s="13" t="inlineStr">
        <is>
          <t>ЮЛ РФ</t>
        </is>
      </c>
      <c r="F6415" s="13" t="n"/>
      <c r="G6415" s="14" t="n"/>
      <c r="H6415" s="14" t="n"/>
      <c r="I6415" s="14" t="n"/>
      <c r="J6415" s="14" t="n"/>
      <c r="K6415" s="53" t="inlineStr"/>
      <c r="L6415" s="53" t="inlineStr">
        <is>
          <t>Не определено</t>
        </is>
      </c>
      <c r="M6415" s="53" t="inlineStr"/>
      <c r="N6415" s="54" t="inlineStr"/>
      <c r="O6415" s="55" t="inlineStr"/>
      <c r="P6415" s="16" t="inlineStr">
        <is>
          <t>Требует обогащения</t>
        </is>
      </c>
      <c r="Q6415" s="16">
        <f>HYPERLINK("https://pb.nalog.ru/search.html?query=2209014658","ФНС: проверить")</f>
        <v/>
      </c>
      <c r="R6415" s="16">
        <f>HYPERLINK("https://checko.ru/search?query=3801001629","Чекко: проверить")</f>
        <v/>
      </c>
      <c r="S6415" t="n">
        <v>1</v>
      </c>
      <c r="T6415" s="35" t="inlineStr">
        <is>
          <t>4 — Не обогащён</t>
        </is>
      </c>
      <c r="U6415" s="35" t="inlineStr">
        <is>
          <t>Нет ОКВЭД/ССЧР</t>
        </is>
      </c>
      <c r="V6415" s="35" t="inlineStr">
        <is>
          <t>Не определено</t>
        </is>
      </c>
      <c r="W6415" s="35" t="inlineStr"/>
      <c r="X6415" s="35" t="inlineStr"/>
    </row>
    <row r="6416" ht="54.75" customHeight="1" s="24">
      <c r="A6416" s="13" t="n">
        <v>5000077370</v>
      </c>
      <c r="B6416" s="13" t="inlineStr">
        <is>
          <t>Краевое государственное бюджетное учреждение здравоохранения «Алтайский краевой центр по профилактике и борьбе со СПИДом и инфекционными заболеваниями</t>
        </is>
      </c>
      <c r="C6416" s="13" t="n">
        <v>2224017893</v>
      </c>
      <c r="D6416" s="13" t="inlineStr">
        <is>
          <t>2224017893</t>
        </is>
      </c>
      <c r="E6416" s="13" t="inlineStr">
        <is>
          <t>ЮЛ РФ</t>
        </is>
      </c>
      <c r="F6416" s="13" t="n"/>
      <c r="G6416" s="14" t="n"/>
      <c r="H6416" s="14" t="n"/>
      <c r="I6416" s="14" t="n"/>
      <c r="J6416" s="14" t="n"/>
      <c r="K6416" s="53" t="inlineStr"/>
      <c r="L6416" s="53" t="inlineStr">
        <is>
          <t>Не определено</t>
        </is>
      </c>
      <c r="M6416" s="53" t="inlineStr"/>
      <c r="N6416" s="54" t="inlineStr"/>
      <c r="O6416" s="55" t="inlineStr"/>
      <c r="P6416" s="16" t="inlineStr">
        <is>
          <t>Требует обогащения</t>
        </is>
      </c>
      <c r="Q6416" s="16">
        <f>HYPERLINK("https://pb.nalog.ru/search.html?query=2224017893","ФНС: проверить")</f>
        <v/>
      </c>
      <c r="R6416" s="16">
        <f>HYPERLINK("https://checko.ru/search?query=3801001629","Чекко: проверить")</f>
        <v/>
      </c>
      <c r="S6416" t="n">
        <v>1</v>
      </c>
      <c r="T6416" s="35" t="inlineStr">
        <is>
          <t>4 — Не обогащён</t>
        </is>
      </c>
      <c r="U6416" s="35" t="inlineStr">
        <is>
          <t>Нет ОКВЭД/ССЧР</t>
        </is>
      </c>
      <c r="V6416" s="35" t="inlineStr">
        <is>
          <t>Не определено</t>
        </is>
      </c>
      <c r="W6416" s="35" t="inlineStr"/>
      <c r="X6416" s="35" t="inlineStr"/>
    </row>
    <row r="6417" ht="27.75" customHeight="1" s="24">
      <c r="A6417" s="13" t="n">
        <v>5000077358</v>
      </c>
      <c r="B6417" s="13" t="inlineStr">
        <is>
          <t>КГБУЗ "Алейская центральная  районная больница"</t>
        </is>
      </c>
      <c r="C6417" s="13" t="n">
        <v>2201002996</v>
      </c>
      <c r="D6417" s="13" t="inlineStr">
        <is>
          <t>2201002996</t>
        </is>
      </c>
      <c r="E6417" s="13" t="inlineStr">
        <is>
          <t>ЮЛ РФ</t>
        </is>
      </c>
      <c r="F6417" s="13" t="n"/>
      <c r="G6417" s="14" t="n"/>
      <c r="H6417" s="14" t="n"/>
      <c r="I6417" s="14" t="n"/>
      <c r="J6417" s="14" t="n"/>
      <c r="K6417" s="53" t="inlineStr"/>
      <c r="L6417" s="53" t="inlineStr">
        <is>
          <t>Не определено</t>
        </is>
      </c>
      <c r="M6417" s="53" t="inlineStr"/>
      <c r="N6417" s="54" t="inlineStr"/>
      <c r="O6417" s="55" t="inlineStr"/>
      <c r="P6417" s="16" t="inlineStr">
        <is>
          <t>Требует обогащения</t>
        </is>
      </c>
      <c r="Q6417" s="16">
        <f>HYPERLINK("https://pb.nalog.ru/search.html?query=2201002996","ФНС: проверить")</f>
        <v/>
      </c>
      <c r="R6417" s="16">
        <f>HYPERLINK("https://checko.ru/search?query=3801001629","Чекко: проверить")</f>
        <v/>
      </c>
      <c r="S6417" t="n">
        <v>1</v>
      </c>
      <c r="T6417" s="35" t="inlineStr">
        <is>
          <t>4 — Не обогащён</t>
        </is>
      </c>
      <c r="U6417" s="35" t="inlineStr">
        <is>
          <t>Нет ОКВЭД/ССЧР</t>
        </is>
      </c>
      <c r="V6417" s="35" t="inlineStr">
        <is>
          <t>Не определено</t>
        </is>
      </c>
      <c r="W6417" s="35" t="inlineStr"/>
      <c r="X6417" s="35" t="inlineStr"/>
    </row>
    <row r="6418" ht="15" customHeight="1" s="24">
      <c r="A6418" s="13" t="n">
        <v>5000077407</v>
      </c>
      <c r="B6418" s="13" t="inlineStr">
        <is>
          <t>МУЗ " Косихинская ЦРБ"</t>
        </is>
      </c>
      <c r="C6418" s="13" t="n">
        <v>2249007209</v>
      </c>
      <c r="D6418" s="13" t="inlineStr">
        <is>
          <t>2249007209</t>
        </is>
      </c>
      <c r="E6418" s="13" t="inlineStr">
        <is>
          <t>ЮЛ РФ</t>
        </is>
      </c>
      <c r="F6418" s="13" t="n"/>
      <c r="G6418" s="14" t="n"/>
      <c r="H6418" s="14" t="n"/>
      <c r="I6418" s="14" t="n"/>
      <c r="J6418" s="14" t="n"/>
      <c r="K6418" s="53" t="inlineStr"/>
      <c r="L6418" s="53" t="inlineStr">
        <is>
          <t>Не определено</t>
        </is>
      </c>
      <c r="M6418" s="53" t="inlineStr"/>
      <c r="N6418" s="54" t="inlineStr"/>
      <c r="O6418" s="55" t="inlineStr"/>
      <c r="P6418" s="16" t="inlineStr">
        <is>
          <t>Требует обогащения</t>
        </is>
      </c>
      <c r="Q6418" s="16">
        <f>HYPERLINK("https://pb.nalog.ru/search.html?query=2249007209","ФНС: проверить")</f>
        <v/>
      </c>
      <c r="R6418" s="16">
        <f>HYPERLINK("https://checko.ru/search?query=3801001629","Чекко: проверить")</f>
        <v/>
      </c>
      <c r="S6418" t="n">
        <v>1</v>
      </c>
      <c r="T6418" s="35" t="inlineStr">
        <is>
          <t>4 — Не обогащён</t>
        </is>
      </c>
      <c r="U6418" s="35" t="inlineStr">
        <is>
          <t>Нет ОКВЭД/ССЧР</t>
        </is>
      </c>
      <c r="V6418" s="35" t="inlineStr">
        <is>
          <t>Не определено</t>
        </is>
      </c>
      <c r="W6418" s="35" t="inlineStr"/>
      <c r="X6418" s="35" t="inlineStr"/>
    </row>
    <row r="6419" ht="15" customHeight="1" s="24">
      <c r="A6419" s="13" t="n">
        <v>5000077402</v>
      </c>
      <c r="B6419" s="13" t="inlineStr">
        <is>
          <t>КГБУЗ "Залесовская ЦРБ"</t>
        </is>
      </c>
      <c r="C6419" s="13" t="n">
        <v>2242001127</v>
      </c>
      <c r="D6419" s="13" t="inlineStr">
        <is>
          <t>2242001127</t>
        </is>
      </c>
      <c r="E6419" s="13" t="inlineStr">
        <is>
          <t>ЮЛ РФ</t>
        </is>
      </c>
      <c r="F6419" s="13" t="n"/>
      <c r="G6419" s="14" t="n"/>
      <c r="H6419" s="14" t="n"/>
      <c r="I6419" s="14" t="n"/>
      <c r="J6419" s="14" t="n"/>
      <c r="K6419" s="53" t="inlineStr"/>
      <c r="L6419" s="53" t="inlineStr">
        <is>
          <t>Не определено</t>
        </is>
      </c>
      <c r="M6419" s="53" t="inlineStr"/>
      <c r="N6419" s="54" t="inlineStr"/>
      <c r="O6419" s="55" t="inlineStr"/>
      <c r="P6419" s="16" t="inlineStr">
        <is>
          <t>Требует обогащения</t>
        </is>
      </c>
      <c r="Q6419" s="16">
        <f>HYPERLINK("https://pb.nalog.ru/search.html?query=2242001127","ФНС: проверить")</f>
        <v/>
      </c>
      <c r="R6419" s="16">
        <f>HYPERLINK("https://checko.ru/search?query=3801001629","Чекко: проверить")</f>
        <v/>
      </c>
      <c r="S6419" t="n">
        <v>1</v>
      </c>
      <c r="T6419" s="35" t="inlineStr">
        <is>
          <t>4 — Не обогащён</t>
        </is>
      </c>
      <c r="U6419" s="35" t="inlineStr">
        <is>
          <t>Нет ОКВЭД/ССЧР</t>
        </is>
      </c>
      <c r="V6419" s="35" t="inlineStr">
        <is>
          <t>Не определено</t>
        </is>
      </c>
      <c r="W6419" s="35" t="inlineStr"/>
      <c r="X6419" s="35" t="inlineStr"/>
    </row>
    <row r="6420" ht="15" customHeight="1" s="24">
      <c r="A6420" s="13" t="n">
        <v>5000077414</v>
      </c>
      <c r="B6420" s="13" t="inlineStr">
        <is>
          <t>КГБУЗ "Красногорская ЦРБ"</t>
        </is>
      </c>
      <c r="C6420" s="13" t="n">
        <v>2250002043</v>
      </c>
      <c r="D6420" s="13" t="inlineStr">
        <is>
          <t>2250002043</t>
        </is>
      </c>
      <c r="E6420" s="13" t="inlineStr">
        <is>
          <t>ЮЛ РФ</t>
        </is>
      </c>
      <c r="F6420" s="13" t="n"/>
      <c r="G6420" s="14" t="n"/>
      <c r="H6420" s="14" t="n"/>
      <c r="I6420" s="14" t="n"/>
      <c r="J6420" s="14" t="n"/>
      <c r="K6420" s="53" t="inlineStr"/>
      <c r="L6420" s="53" t="inlineStr">
        <is>
          <t>Не определено</t>
        </is>
      </c>
      <c r="M6420" s="53" t="inlineStr"/>
      <c r="N6420" s="54" t="inlineStr"/>
      <c r="O6420" s="55" t="inlineStr"/>
      <c r="P6420" s="16" t="inlineStr">
        <is>
          <t>Требует обогащения</t>
        </is>
      </c>
      <c r="Q6420" s="16">
        <f>HYPERLINK("https://pb.nalog.ru/search.html?query=2250002043","ФНС: проверить")</f>
        <v/>
      </c>
      <c r="R6420" s="16">
        <f>HYPERLINK("https://checko.ru/search?query=3801001629","Чекко: проверить")</f>
        <v/>
      </c>
      <c r="S6420" t="n">
        <v>1</v>
      </c>
      <c r="T6420" s="35" t="inlineStr">
        <is>
          <t>4 — Не обогащён</t>
        </is>
      </c>
      <c r="U6420" s="35" t="inlineStr">
        <is>
          <t>Нет ОКВЭД/ССЧР</t>
        </is>
      </c>
      <c r="V6420" s="35" t="inlineStr">
        <is>
          <t>Не определено</t>
        </is>
      </c>
      <c r="W6420" s="35" t="inlineStr"/>
      <c r="X6420" s="35" t="inlineStr"/>
    </row>
    <row r="6421" ht="15" customHeight="1" s="24">
      <c r="A6421" s="13" t="n">
        <v>5000076976</v>
      </c>
      <c r="B6421" s="13" t="inlineStr">
        <is>
          <t>КГБУЗ "Городская больница №1, г. Рубцовск"</t>
        </is>
      </c>
      <c r="C6421" s="13" t="n">
        <v>2209011833</v>
      </c>
      <c r="D6421" s="13" t="inlineStr">
        <is>
          <t>2209011833</t>
        </is>
      </c>
      <c r="E6421" s="13" t="inlineStr">
        <is>
          <t>ЮЛ РФ</t>
        </is>
      </c>
      <c r="F6421" s="13" t="n"/>
      <c r="G6421" s="14" t="n"/>
      <c r="H6421" s="14" t="n"/>
      <c r="I6421" s="14" t="n"/>
      <c r="J6421" s="14" t="n"/>
      <c r="K6421" s="53" t="inlineStr"/>
      <c r="L6421" s="53" t="inlineStr">
        <is>
          <t>Не определено</t>
        </is>
      </c>
      <c r="M6421" s="53" t="inlineStr"/>
      <c r="N6421" s="54" t="inlineStr"/>
      <c r="O6421" s="55" t="inlineStr"/>
      <c r="P6421" s="16" t="inlineStr">
        <is>
          <t>Требует обогащения</t>
        </is>
      </c>
      <c r="Q6421" s="16">
        <f>HYPERLINK("https://pb.nalog.ru/search.html?query=2209011833","ФНС: проверить")</f>
        <v/>
      </c>
      <c r="R6421" s="16">
        <f>HYPERLINK("https://checko.ru/search?query=3801001629","Чекко: проверить")</f>
        <v/>
      </c>
      <c r="S6421" t="n">
        <v>1</v>
      </c>
      <c r="T6421" s="35" t="inlineStr">
        <is>
          <t>4 — Не обогащён</t>
        </is>
      </c>
      <c r="U6421" s="35" t="inlineStr">
        <is>
          <t>Нет ОКВЭД/ССЧР</t>
        </is>
      </c>
      <c r="V6421" s="35" t="inlineStr">
        <is>
          <t>Не определено</t>
        </is>
      </c>
      <c r="W6421" s="35" t="inlineStr"/>
      <c r="X6421" s="35" t="inlineStr"/>
    </row>
    <row r="6422" ht="27.75" customHeight="1" s="24">
      <c r="A6422" s="13" t="n">
        <v>5000077369</v>
      </c>
      <c r="B6422" s="13" t="inlineStr">
        <is>
          <t>ГУЗ "Алтайская краевая станция переливания крови"</t>
        </is>
      </c>
      <c r="C6422" s="13" t="n">
        <v>2224017886</v>
      </c>
      <c r="D6422" s="13" t="inlineStr">
        <is>
          <t>2224017886</t>
        </is>
      </c>
      <c r="E6422" s="13" t="inlineStr">
        <is>
          <t>ЮЛ РФ</t>
        </is>
      </c>
      <c r="F6422" s="13" t="n"/>
      <c r="G6422" s="14" t="n"/>
      <c r="H6422" s="14" t="n"/>
      <c r="I6422" s="14" t="n"/>
      <c r="J6422" s="14" t="n"/>
      <c r="K6422" s="53" t="inlineStr"/>
      <c r="L6422" s="53" t="inlineStr">
        <is>
          <t>Не определено</t>
        </is>
      </c>
      <c r="M6422" s="53" t="inlineStr"/>
      <c r="N6422" s="54" t="inlineStr"/>
      <c r="O6422" s="55" t="inlineStr"/>
      <c r="P6422" s="16" t="inlineStr">
        <is>
          <t>Требует обогащения</t>
        </is>
      </c>
      <c r="Q6422" s="16">
        <f>HYPERLINK("https://pb.nalog.ru/search.html?query=2224017886","ФНС: проверить")</f>
        <v/>
      </c>
      <c r="R6422" s="16">
        <f>HYPERLINK("https://checko.ru/search?query=3801001629","Чекко: проверить")</f>
        <v/>
      </c>
      <c r="S6422" t="n">
        <v>1</v>
      </c>
      <c r="T6422" s="35" t="inlineStr">
        <is>
          <t>4 — Не обогащён</t>
        </is>
      </c>
      <c r="U6422" s="35" t="inlineStr">
        <is>
          <t>Нет ОКВЭД/ССЧР</t>
        </is>
      </c>
      <c r="V6422" s="35" t="inlineStr">
        <is>
          <t>Не определено</t>
        </is>
      </c>
      <c r="W6422" s="35" t="inlineStr"/>
      <c r="X6422" s="35" t="inlineStr"/>
    </row>
    <row r="6423" ht="15" customHeight="1" s="24">
      <c r="A6423" s="13" t="n">
        <v>5000077386</v>
      </c>
      <c r="B6423" s="13" t="inlineStr">
        <is>
          <t>КГБУЗ "Городская поликлиника № 9, г. Барнаул"</t>
        </is>
      </c>
      <c r="C6423" s="13" t="n">
        <v>2222006494</v>
      </c>
      <c r="D6423" s="13" t="inlineStr">
        <is>
          <t>2222006494</t>
        </is>
      </c>
      <c r="E6423" s="13" t="inlineStr">
        <is>
          <t>ЮЛ РФ</t>
        </is>
      </c>
      <c r="F6423" s="13" t="n"/>
      <c r="G6423" s="14" t="n"/>
      <c r="H6423" s="14" t="n"/>
      <c r="I6423" s="14" t="n"/>
      <c r="J6423" s="14" t="n"/>
      <c r="K6423" s="53" t="inlineStr"/>
      <c r="L6423" s="53" t="inlineStr">
        <is>
          <t>Не определено</t>
        </is>
      </c>
      <c r="M6423" s="53" t="inlineStr"/>
      <c r="N6423" s="54" t="inlineStr"/>
      <c r="O6423" s="55" t="inlineStr"/>
      <c r="P6423" s="16" t="inlineStr">
        <is>
          <t>Требует обогащения</t>
        </is>
      </c>
      <c r="Q6423" s="16">
        <f>HYPERLINK("https://pb.nalog.ru/search.html?query=2222006494","ФНС: проверить")</f>
        <v/>
      </c>
      <c r="R6423" s="16">
        <f>HYPERLINK("https://checko.ru/search?query=3801001629","Чекко: проверить")</f>
        <v/>
      </c>
      <c r="S6423" t="n">
        <v>1</v>
      </c>
      <c r="T6423" s="35" t="inlineStr">
        <is>
          <t>4 — Не обогащён</t>
        </is>
      </c>
      <c r="U6423" s="35" t="inlineStr">
        <is>
          <t>Нет ОКВЭД/ССЧР</t>
        </is>
      </c>
      <c r="V6423" s="35" t="inlineStr">
        <is>
          <t>Не определено</t>
        </is>
      </c>
      <c r="W6423" s="35" t="inlineStr"/>
      <c r="X6423" s="35" t="inlineStr"/>
    </row>
    <row r="6424" ht="15" customHeight="1" s="24">
      <c r="A6424" s="13" t="n">
        <v>5000077453</v>
      </c>
      <c r="B6424" s="13" t="inlineStr">
        <is>
          <t>Троицкая ЦРБ</t>
        </is>
      </c>
      <c r="C6424" s="13" t="n">
        <v>2281002195</v>
      </c>
      <c r="D6424" s="13" t="inlineStr">
        <is>
          <t>2281002195</t>
        </is>
      </c>
      <c r="E6424" s="13" t="inlineStr">
        <is>
          <t>ЮЛ РФ</t>
        </is>
      </c>
      <c r="F6424" s="13" t="n"/>
      <c r="G6424" s="14" t="n"/>
      <c r="H6424" s="14" t="n"/>
      <c r="I6424" s="14" t="n"/>
      <c r="J6424" s="14" t="n"/>
      <c r="K6424" s="53" t="inlineStr"/>
      <c r="L6424" s="53" t="inlineStr">
        <is>
          <t>Не определено</t>
        </is>
      </c>
      <c r="M6424" s="53" t="inlineStr"/>
      <c r="N6424" s="54" t="inlineStr"/>
      <c r="O6424" s="55" t="inlineStr"/>
      <c r="P6424" s="16" t="inlineStr">
        <is>
          <t>Требует обогащения</t>
        </is>
      </c>
      <c r="Q6424" s="16">
        <f>HYPERLINK("https://pb.nalog.ru/search.html?query=2281002195","ФНС: проверить")</f>
        <v/>
      </c>
      <c r="R6424" s="16">
        <f>HYPERLINK("https://checko.ru/search?query=3801001629","Чекко: проверить")</f>
        <v/>
      </c>
      <c r="S6424" t="n">
        <v>1</v>
      </c>
      <c r="T6424" s="35" t="inlineStr">
        <is>
          <t>4 — Не обогащён</t>
        </is>
      </c>
      <c r="U6424" s="35" t="inlineStr">
        <is>
          <t>Нет ОКВЭД/ССЧР</t>
        </is>
      </c>
      <c r="V6424" s="35" t="inlineStr">
        <is>
          <t>Не определено</t>
        </is>
      </c>
      <c r="W6424" s="35" t="inlineStr"/>
      <c r="X6424" s="35" t="inlineStr"/>
    </row>
    <row r="6425" ht="15" customHeight="1" s="24">
      <c r="A6425" s="13" t="n">
        <v>5000077418</v>
      </c>
      <c r="B6425" s="13" t="inlineStr">
        <is>
          <t>КГБУЗ "Курьинская ЦРБ"</t>
        </is>
      </c>
      <c r="C6425" s="13" t="n">
        <v>2254000833</v>
      </c>
      <c r="D6425" s="13" t="inlineStr">
        <is>
          <t>2254000833</t>
        </is>
      </c>
      <c r="E6425" s="13" t="inlineStr">
        <is>
          <t>ЮЛ РФ</t>
        </is>
      </c>
      <c r="F6425" s="13" t="n"/>
      <c r="G6425" s="14" t="n"/>
      <c r="H6425" s="14" t="n"/>
      <c r="I6425" s="14" t="n"/>
      <c r="J6425" s="14" t="n"/>
      <c r="K6425" s="53" t="inlineStr"/>
      <c r="L6425" s="53" t="inlineStr">
        <is>
          <t>Не определено</t>
        </is>
      </c>
      <c r="M6425" s="53" t="inlineStr"/>
      <c r="N6425" s="54" t="inlineStr"/>
      <c r="O6425" s="55" t="inlineStr"/>
      <c r="P6425" s="16" t="inlineStr">
        <is>
          <t>Требует обогащения</t>
        </is>
      </c>
      <c r="Q6425" s="16">
        <f>HYPERLINK("https://pb.nalog.ru/search.html?query=2254000833","ФНС: проверить")</f>
        <v/>
      </c>
      <c r="R6425" s="16">
        <f>HYPERLINK("https://checko.ru/search?query=3801001629","Чекко: проверить")</f>
        <v/>
      </c>
      <c r="S6425" t="n">
        <v>1</v>
      </c>
      <c r="T6425" s="35" t="inlineStr">
        <is>
          <t>4 — Не обогащён</t>
        </is>
      </c>
      <c r="U6425" s="35" t="inlineStr">
        <is>
          <t>Нет ОКВЭД/ССЧР</t>
        </is>
      </c>
      <c r="V6425" s="35" t="inlineStr">
        <is>
          <t>Не определено</t>
        </is>
      </c>
      <c r="W6425" s="35" t="inlineStr"/>
      <c r="X6425" s="35" t="inlineStr"/>
    </row>
    <row r="6426" ht="15" customHeight="1" s="24">
      <c r="A6426" s="13" t="n">
        <v>5000077457</v>
      </c>
      <c r="B6426" s="13" t="inlineStr">
        <is>
          <t>МУЗ "Усть-Калманская ЦРБ"</t>
        </is>
      </c>
      <c r="C6426" s="13" t="n">
        <v>2284003020</v>
      </c>
      <c r="D6426" s="13" t="inlineStr">
        <is>
          <t>2284003020</t>
        </is>
      </c>
      <c r="E6426" s="13" t="inlineStr">
        <is>
          <t>ЮЛ РФ</t>
        </is>
      </c>
      <c r="F6426" s="13" t="n"/>
      <c r="G6426" s="14" t="n"/>
      <c r="H6426" s="14" t="n"/>
      <c r="I6426" s="14" t="n"/>
      <c r="J6426" s="14" t="n"/>
      <c r="K6426" s="53" t="inlineStr"/>
      <c r="L6426" s="53" t="inlineStr">
        <is>
          <t>Не определено</t>
        </is>
      </c>
      <c r="M6426" s="53" t="inlineStr"/>
      <c r="N6426" s="54" t="inlineStr"/>
      <c r="O6426" s="55" t="inlineStr"/>
      <c r="P6426" s="16" t="inlineStr">
        <is>
          <t>Требует обогащения</t>
        </is>
      </c>
      <c r="Q6426" s="16">
        <f>HYPERLINK("https://pb.nalog.ru/search.html?query=2284003020","ФНС: проверить")</f>
        <v/>
      </c>
      <c r="R6426" s="16">
        <f>HYPERLINK("https://checko.ru/search?query=3801001629","Чекко: проверить")</f>
        <v/>
      </c>
      <c r="S6426" t="n">
        <v>1</v>
      </c>
      <c r="T6426" s="35" t="inlineStr">
        <is>
          <t>4 — Не обогащён</t>
        </is>
      </c>
      <c r="U6426" s="35" t="inlineStr">
        <is>
          <t>Нет ОКВЭД/ССЧР</t>
        </is>
      </c>
      <c r="V6426" s="35" t="inlineStr">
        <is>
          <t>Не определено</t>
        </is>
      </c>
      <c r="W6426" s="35" t="inlineStr"/>
      <c r="X6426" s="35" t="inlineStr"/>
    </row>
    <row r="6427" ht="15" customHeight="1" s="24">
      <c r="A6427" s="13" t="n">
        <v>5000077416</v>
      </c>
      <c r="B6427" s="13" t="inlineStr">
        <is>
          <t>КГБУЗ "Крутихинская ЦРБ"</t>
        </is>
      </c>
      <c r="C6427" s="13" t="n">
        <v>2252001535</v>
      </c>
      <c r="D6427" s="13" t="inlineStr">
        <is>
          <t>2252001535</t>
        </is>
      </c>
      <c r="E6427" s="13" t="inlineStr">
        <is>
          <t>ЮЛ РФ</t>
        </is>
      </c>
      <c r="F6427" s="13" t="n"/>
      <c r="G6427" s="14" t="n"/>
      <c r="H6427" s="14" t="n"/>
      <c r="I6427" s="14" t="n"/>
      <c r="J6427" s="14" t="n"/>
      <c r="K6427" s="53" t="inlineStr"/>
      <c r="L6427" s="53" t="inlineStr">
        <is>
          <t>Не определено</t>
        </is>
      </c>
      <c r="M6427" s="53" t="inlineStr"/>
      <c r="N6427" s="54" t="inlineStr"/>
      <c r="O6427" s="55" t="inlineStr"/>
      <c r="P6427" s="16" t="inlineStr">
        <is>
          <t>Требует обогащения</t>
        </is>
      </c>
      <c r="Q6427" s="16">
        <f>HYPERLINK("https://pb.nalog.ru/search.html?query=2252001535","ФНС: проверить")</f>
        <v/>
      </c>
      <c r="R6427" s="16">
        <f>HYPERLINK("https://checko.ru/search?query=3801001629","Чекко: проверить")</f>
        <v/>
      </c>
      <c r="S6427" t="n">
        <v>1</v>
      </c>
      <c r="T6427" s="35" t="inlineStr">
        <is>
          <t>4 — Не обогащён</t>
        </is>
      </c>
      <c r="U6427" s="35" t="inlineStr">
        <is>
          <t>Нет ОКВЭД/ССЧР</t>
        </is>
      </c>
      <c r="V6427" s="35" t="inlineStr">
        <is>
          <t>Не определено</t>
        </is>
      </c>
      <c r="W6427" s="35" t="inlineStr"/>
      <c r="X6427" s="35" t="inlineStr"/>
    </row>
    <row r="6428" ht="15" customHeight="1" s="24">
      <c r="A6428" s="13" t="n">
        <v>5000077415</v>
      </c>
      <c r="B6428" s="13" t="inlineStr">
        <is>
          <t>КГБУЗ "Краснощековская ЦРБ"</t>
        </is>
      </c>
      <c r="C6428" s="13" t="n">
        <v>2251000793</v>
      </c>
      <c r="D6428" s="13" t="inlineStr">
        <is>
          <t>2251000793</t>
        </is>
      </c>
      <c r="E6428" s="13" t="inlineStr">
        <is>
          <t>ЮЛ РФ</t>
        </is>
      </c>
      <c r="F6428" s="13" t="n"/>
      <c r="G6428" s="14" t="n"/>
      <c r="H6428" s="14" t="n"/>
      <c r="I6428" s="14" t="n"/>
      <c r="J6428" s="14" t="n"/>
      <c r="K6428" s="53" t="inlineStr"/>
      <c r="L6428" s="53" t="inlineStr">
        <is>
          <t>Не определено</t>
        </is>
      </c>
      <c r="M6428" s="53" t="inlineStr"/>
      <c r="N6428" s="54" t="inlineStr"/>
      <c r="O6428" s="55" t="inlineStr"/>
      <c r="P6428" s="16" t="inlineStr">
        <is>
          <t>Требует обогащения</t>
        </is>
      </c>
      <c r="Q6428" s="16">
        <f>HYPERLINK("https://pb.nalog.ru/search.html?query=2251000793","ФНС: проверить")</f>
        <v/>
      </c>
      <c r="R6428" s="16">
        <f>HYPERLINK("https://checko.ru/search?query=3801001629","Чекко: проверить")</f>
        <v/>
      </c>
      <c r="S6428" t="n">
        <v>1</v>
      </c>
      <c r="T6428" s="35" t="inlineStr">
        <is>
          <t>4 — Не обогащён</t>
        </is>
      </c>
      <c r="U6428" s="35" t="inlineStr">
        <is>
          <t>Нет ОКВЭД/ССЧР</t>
        </is>
      </c>
      <c r="V6428" s="35" t="inlineStr">
        <is>
          <t>Не определено</t>
        </is>
      </c>
      <c r="W6428" s="35" t="inlineStr"/>
      <c r="X6428" s="35" t="inlineStr"/>
    </row>
    <row r="6429" ht="27.75" customHeight="1" s="24">
      <c r="A6429" s="13" t="n">
        <v>5000077391</v>
      </c>
      <c r="B6429" s="13" t="inlineStr">
        <is>
          <t>КГБУЗ "Детская городская поликлиника №3, г.Барнаул"</t>
        </is>
      </c>
      <c r="C6429" s="13" t="n">
        <v>2225011189</v>
      </c>
      <c r="D6429" s="13" t="inlineStr">
        <is>
          <t>2225011189</t>
        </is>
      </c>
      <c r="E6429" s="13" t="inlineStr">
        <is>
          <t>ЮЛ РФ</t>
        </is>
      </c>
      <c r="F6429" s="13" t="n"/>
      <c r="G6429" s="14" t="n"/>
      <c r="H6429" s="14" t="n"/>
      <c r="I6429" s="14" t="n"/>
      <c r="J6429" s="14" t="n"/>
      <c r="K6429" s="53" t="inlineStr"/>
      <c r="L6429" s="53" t="inlineStr">
        <is>
          <t>Не определено</t>
        </is>
      </c>
      <c r="M6429" s="53" t="inlineStr"/>
      <c r="N6429" s="54" t="inlineStr"/>
      <c r="O6429" s="55" t="inlineStr"/>
      <c r="P6429" s="16" t="inlineStr">
        <is>
          <t>Требует обогащения</t>
        </is>
      </c>
      <c r="Q6429" s="16">
        <f>HYPERLINK("https://pb.nalog.ru/search.html?query=2225011189","ФНС: проверить")</f>
        <v/>
      </c>
      <c r="R6429" s="16">
        <f>HYPERLINK("https://checko.ru/search?query=3801001629","Чекко: проверить")</f>
        <v/>
      </c>
      <c r="S6429" t="n">
        <v>1</v>
      </c>
      <c r="T6429" s="35" t="inlineStr">
        <is>
          <t>4 — Не обогащён</t>
        </is>
      </c>
      <c r="U6429" s="35" t="inlineStr">
        <is>
          <t>Нет ОКВЭД/ССЧР</t>
        </is>
      </c>
      <c r="V6429" s="35" t="inlineStr">
        <is>
          <t>Не определено</t>
        </is>
      </c>
      <c r="W6429" s="35" t="inlineStr"/>
      <c r="X6429" s="35" t="inlineStr"/>
    </row>
    <row r="6430" ht="15" customHeight="1" s="24">
      <c r="A6430" s="13" t="n">
        <v>5000077382</v>
      </c>
      <c r="B6430" s="13" t="inlineStr">
        <is>
          <t>КГБУЗ "Городская больница №8"</t>
        </is>
      </c>
      <c r="C6430" s="13" t="n">
        <v>2224022205</v>
      </c>
      <c r="D6430" s="13" t="inlineStr">
        <is>
          <t>2224022205</t>
        </is>
      </c>
      <c r="E6430" s="13" t="inlineStr">
        <is>
          <t>ЮЛ РФ</t>
        </is>
      </c>
      <c r="F6430" s="13" t="n"/>
      <c r="G6430" s="14" t="n"/>
      <c r="H6430" s="14" t="n"/>
      <c r="I6430" s="14" t="n"/>
      <c r="J6430" s="14" t="n"/>
      <c r="K6430" s="53" t="inlineStr"/>
      <c r="L6430" s="53" t="inlineStr">
        <is>
          <t>Не определено</t>
        </is>
      </c>
      <c r="M6430" s="53" t="inlineStr"/>
      <c r="N6430" s="54" t="inlineStr"/>
      <c r="O6430" s="55" t="inlineStr"/>
      <c r="P6430" s="16" t="inlineStr">
        <is>
          <t>Требует обогащения</t>
        </is>
      </c>
      <c r="Q6430" s="16">
        <f>HYPERLINK("https://pb.nalog.ru/search.html?query=2224022205","ФНС: проверить")</f>
        <v/>
      </c>
      <c r="R6430" s="16">
        <f>HYPERLINK("https://checko.ru/search?query=3801001629","Чекко: проверить")</f>
        <v/>
      </c>
      <c r="S6430" t="n">
        <v>1</v>
      </c>
      <c r="T6430" s="35" t="inlineStr">
        <is>
          <t>4 — Не обогащён</t>
        </is>
      </c>
      <c r="U6430" s="35" t="inlineStr">
        <is>
          <t>Нет ОКВЭД/ССЧР</t>
        </is>
      </c>
      <c r="V6430" s="35" t="inlineStr">
        <is>
          <t>Не определено</t>
        </is>
      </c>
      <c r="W6430" s="35" t="inlineStr"/>
      <c r="X6430" s="35" t="inlineStr"/>
    </row>
    <row r="6431" ht="15" customHeight="1" s="24">
      <c r="A6431" s="13" t="n">
        <v>5000077387</v>
      </c>
      <c r="B6431" s="13" t="inlineStr">
        <is>
          <t>МУЗ "Городская детская больница №1"</t>
        </is>
      </c>
      <c r="C6431" s="13" t="n">
        <v>2221016612</v>
      </c>
      <c r="D6431" s="13" t="inlineStr">
        <is>
          <t>2221016612</t>
        </is>
      </c>
      <c r="E6431" s="13" t="inlineStr">
        <is>
          <t>ЮЛ РФ</t>
        </is>
      </c>
      <c r="F6431" s="13" t="n"/>
      <c r="G6431" s="14" t="n"/>
      <c r="H6431" s="14" t="n"/>
      <c r="I6431" s="14" t="n"/>
      <c r="J6431" s="14" t="n"/>
      <c r="K6431" s="53" t="inlineStr"/>
      <c r="L6431" s="53" t="inlineStr">
        <is>
          <t>Не определено</t>
        </is>
      </c>
      <c r="M6431" s="53" t="inlineStr"/>
      <c r="N6431" s="54" t="inlineStr"/>
      <c r="O6431" s="55" t="inlineStr"/>
      <c r="P6431" s="16" t="inlineStr">
        <is>
          <t>Требует обогащения</t>
        </is>
      </c>
      <c r="Q6431" s="16">
        <f>HYPERLINK("https://pb.nalog.ru/search.html?query=2221016612","ФНС: проверить")</f>
        <v/>
      </c>
      <c r="R6431" s="16">
        <f>HYPERLINK("https://checko.ru/search?query=3801001629","Чекко: проверить")</f>
        <v/>
      </c>
      <c r="S6431" t="n">
        <v>1</v>
      </c>
      <c r="T6431" s="35" t="inlineStr">
        <is>
          <t>4 — Не обогащён</t>
        </is>
      </c>
      <c r="U6431" s="35" t="inlineStr">
        <is>
          <t>Нет ОКВЭД/ССЧР</t>
        </is>
      </c>
      <c r="V6431" s="35" t="inlineStr">
        <is>
          <t>Не определено</t>
        </is>
      </c>
      <c r="W6431" s="35" t="inlineStr"/>
      <c r="X6431" s="35" t="inlineStr"/>
    </row>
    <row r="6432" ht="27.75" customHeight="1" s="24">
      <c r="A6432" s="13" t="n">
        <v>5000076974</v>
      </c>
      <c r="B6432" s="13" t="inlineStr">
        <is>
          <t>КГБУЗ "Алтайский краевой госпиталь для ветеранов войн"</t>
        </is>
      </c>
      <c r="C6432" s="13" t="n">
        <v>2225007136</v>
      </c>
      <c r="D6432" s="13" t="inlineStr">
        <is>
          <t>2225007136</t>
        </is>
      </c>
      <c r="E6432" s="13" t="inlineStr">
        <is>
          <t>ЮЛ РФ</t>
        </is>
      </c>
      <c r="F6432" s="13" t="n"/>
      <c r="G6432" s="14" t="n"/>
      <c r="H6432" s="14" t="n"/>
      <c r="I6432" s="14" t="n"/>
      <c r="J6432" s="14" t="n"/>
      <c r="K6432" s="53" t="inlineStr"/>
      <c r="L6432" s="53" t="inlineStr">
        <is>
          <t>Не определено</t>
        </is>
      </c>
      <c r="M6432" s="53" t="inlineStr"/>
      <c r="N6432" s="54" t="inlineStr"/>
      <c r="O6432" s="55" t="inlineStr"/>
      <c r="P6432" s="16" t="inlineStr">
        <is>
          <t>Требует обогащения</t>
        </is>
      </c>
      <c r="Q6432" s="16">
        <f>HYPERLINK("https://pb.nalog.ru/search.html?query=2225007136","ФНС: проверить")</f>
        <v/>
      </c>
      <c r="R6432" s="16">
        <f>HYPERLINK("https://checko.ru/search?query=3801001629","Чекко: проверить")</f>
        <v/>
      </c>
      <c r="S6432" t="n">
        <v>1</v>
      </c>
      <c r="T6432" s="35" t="inlineStr">
        <is>
          <t>4 — Не обогащён</t>
        </is>
      </c>
      <c r="U6432" s="35" t="inlineStr">
        <is>
          <t>Нет ОКВЭД/ССЧР</t>
        </is>
      </c>
      <c r="V6432" s="35" t="inlineStr">
        <is>
          <t>Не определено</t>
        </is>
      </c>
      <c r="W6432" s="35" t="inlineStr"/>
      <c r="X6432" s="35" t="inlineStr"/>
    </row>
    <row r="6433" ht="15" customHeight="1" s="24">
      <c r="A6433" s="13" t="n">
        <v>5000077468</v>
      </c>
      <c r="B6433" s="13" t="inlineStr">
        <is>
          <t>МБУЗ Шелаболихинская ЦРБ</t>
        </is>
      </c>
      <c r="C6433" s="13" t="n">
        <v>2290000807</v>
      </c>
      <c r="D6433" s="13" t="inlineStr">
        <is>
          <t>2290000807</t>
        </is>
      </c>
      <c r="E6433" s="13" t="inlineStr">
        <is>
          <t>ЮЛ РФ</t>
        </is>
      </c>
      <c r="F6433" s="13" t="n"/>
      <c r="G6433" s="14" t="n"/>
      <c r="H6433" s="14" t="n"/>
      <c r="I6433" s="14" t="n"/>
      <c r="J6433" s="14" t="n"/>
      <c r="K6433" s="53" t="inlineStr"/>
      <c r="L6433" s="53" t="inlineStr">
        <is>
          <t>Не определено</t>
        </is>
      </c>
      <c r="M6433" s="53" t="inlineStr"/>
      <c r="N6433" s="54" t="inlineStr"/>
      <c r="O6433" s="55" t="inlineStr"/>
      <c r="P6433" s="16" t="inlineStr">
        <is>
          <t>Требует обогащения</t>
        </is>
      </c>
      <c r="Q6433" s="16">
        <f>HYPERLINK("https://pb.nalog.ru/search.html?query=2290000807","ФНС: проверить")</f>
        <v/>
      </c>
      <c r="R6433" s="16">
        <f>HYPERLINK("https://checko.ru/search?query=3801001629","Чекко: проверить")</f>
        <v/>
      </c>
      <c r="S6433" t="n">
        <v>1</v>
      </c>
      <c r="T6433" s="35" t="inlineStr">
        <is>
          <t>4 — Не обогащён</t>
        </is>
      </c>
      <c r="U6433" s="35" t="inlineStr">
        <is>
          <t>Нет ОКВЭД/ССЧР</t>
        </is>
      </c>
      <c r="V6433" s="35" t="inlineStr">
        <is>
          <t>Не определено</t>
        </is>
      </c>
      <c r="W6433" s="35" t="inlineStr"/>
      <c r="X6433" s="35" t="inlineStr"/>
    </row>
    <row r="6434" ht="15" customHeight="1" s="24">
      <c r="A6434" s="13" t="n">
        <v>5000077423</v>
      </c>
      <c r="B6434" s="13" t="inlineStr">
        <is>
          <t>КГБУЗ "Павловский детский санаторий "Зарница"</t>
        </is>
      </c>
      <c r="C6434" s="13" t="n">
        <v>2261003722</v>
      </c>
      <c r="D6434" s="13" t="inlineStr">
        <is>
          <t>2261003722</t>
        </is>
      </c>
      <c r="E6434" s="13" t="inlineStr">
        <is>
          <t>ЮЛ РФ</t>
        </is>
      </c>
      <c r="F6434" s="13" t="n"/>
      <c r="G6434" s="14" t="n"/>
      <c r="H6434" s="14" t="n"/>
      <c r="I6434" s="14" t="n"/>
      <c r="J6434" s="14" t="n"/>
      <c r="K6434" s="53" t="inlineStr"/>
      <c r="L6434" s="53" t="inlineStr">
        <is>
          <t>Не определено</t>
        </is>
      </c>
      <c r="M6434" s="53" t="inlineStr"/>
      <c r="N6434" s="54" t="inlineStr"/>
      <c r="O6434" s="55" t="inlineStr"/>
      <c r="P6434" s="16" t="inlineStr">
        <is>
          <t>Требует обогащения</t>
        </is>
      </c>
      <c r="Q6434" s="16">
        <f>HYPERLINK("https://pb.nalog.ru/search.html?query=2261003722","ФНС: проверить")</f>
        <v/>
      </c>
      <c r="R6434" s="16">
        <f>HYPERLINK("https://checko.ru/search?query=3801001629","Чекко: проверить")</f>
        <v/>
      </c>
      <c r="S6434" t="n">
        <v>1</v>
      </c>
      <c r="T6434" s="35" t="inlineStr">
        <is>
          <t>4 — Не обогащён</t>
        </is>
      </c>
      <c r="U6434" s="35" t="inlineStr">
        <is>
          <t>Нет ОКВЭД/ССЧР</t>
        </is>
      </c>
      <c r="V6434" s="35" t="inlineStr">
        <is>
          <t>Не определено</t>
        </is>
      </c>
      <c r="W6434" s="35" t="inlineStr"/>
      <c r="X6434" s="35" t="inlineStr"/>
    </row>
    <row r="6435" ht="27.75" customHeight="1" s="24">
      <c r="A6435" s="13" t="n">
        <v>5000064354</v>
      </c>
      <c r="B6435" s="13" t="inlineStr">
        <is>
          <t>КГБУЗ «Алтайский краевой медицинский информационно-аналитический центр"</t>
        </is>
      </c>
      <c r="C6435" s="13" t="n">
        <v>2225100449</v>
      </c>
      <c r="D6435" s="13" t="inlineStr">
        <is>
          <t>2225100449</t>
        </is>
      </c>
      <c r="E6435" s="13" t="inlineStr">
        <is>
          <t>ЮЛ РФ</t>
        </is>
      </c>
      <c r="F6435" s="13" t="n"/>
      <c r="G6435" s="14" t="n"/>
      <c r="H6435" s="14" t="n"/>
      <c r="I6435" s="14" t="n"/>
      <c r="J6435" s="14" t="n"/>
      <c r="K6435" s="53" t="inlineStr"/>
      <c r="L6435" s="53" t="inlineStr">
        <is>
          <t>Не определено</t>
        </is>
      </c>
      <c r="M6435" s="53" t="inlineStr"/>
      <c r="N6435" s="54" t="inlineStr"/>
      <c r="O6435" s="55" t="inlineStr"/>
      <c r="P6435" s="16" t="inlineStr">
        <is>
          <t>Требует обогащения</t>
        </is>
      </c>
      <c r="Q6435" s="16">
        <f>HYPERLINK("https://pb.nalog.ru/search.html?query=2225100449","ФНС: проверить")</f>
        <v/>
      </c>
      <c r="R6435" s="16">
        <f>HYPERLINK("https://checko.ru/search?query=3801001629","Чекко: проверить")</f>
        <v/>
      </c>
      <c r="S6435" t="n">
        <v>0</v>
      </c>
      <c r="T6435" s="35" t="inlineStr">
        <is>
          <t>4 — Не обогащён</t>
        </is>
      </c>
      <c r="U6435" s="35" t="inlineStr">
        <is>
          <t>Нет ОКВЭД/ССЧР</t>
        </is>
      </c>
      <c r="V6435" s="35" t="inlineStr">
        <is>
          <t>Не определено</t>
        </is>
      </c>
      <c r="W6435" s="35" t="inlineStr"/>
      <c r="X6435" s="35" t="inlineStr"/>
    </row>
    <row r="6436" ht="15" customHeight="1" s="24">
      <c r="A6436" s="13" t="n">
        <v>800308326</v>
      </c>
      <c r="B6436" s="13" t="inlineStr">
        <is>
          <t>ВТЕ ЮГО-ВОСТОК</t>
        </is>
      </c>
      <c r="C6436" s="13" t="n">
        <v>7732523241</v>
      </c>
      <c r="D6436" s="13" t="inlineStr">
        <is>
          <t>7732523241</t>
        </is>
      </c>
      <c r="E6436" s="13" t="inlineStr">
        <is>
          <t>ЮЛ РФ</t>
        </is>
      </c>
      <c r="F6436" s="13" t="n"/>
      <c r="G6436" s="52" t="n">
        <v>100</v>
      </c>
      <c r="H6436" s="52" t="n">
        <v>2025</v>
      </c>
      <c r="I6436" s="52" t="inlineStr">
        <is>
          <t>20.59.4</t>
        </is>
      </c>
      <c r="J6436" s="52" t="inlineStr">
        <is>
          <t>20.59.4; 20.13; 41.20; 45.20; 52.10; 52.29; 61.10; 68.31; 71.20.1; 74.20; 74.30; 77.39; 80.10; 82.92; 84.25; 85.42; 91.01; 95.11</t>
        </is>
      </c>
      <c r="K6436" s="53" t="inlineStr">
        <is>
          <t>Да</t>
        </is>
      </c>
      <c r="L6436" s="53" t="inlineStr">
        <is>
          <t>Да</t>
        </is>
      </c>
      <c r="M6436" s="53" t="inlineStr">
        <is>
          <t>До 100</t>
        </is>
      </c>
      <c r="N6436" s="54" t="n">
        <v>33600</v>
      </c>
      <c r="O6436" s="55" t="inlineStr">
        <is>
          <t>51–100</t>
        </is>
      </c>
      <c r="P6436" s="16" t="inlineStr">
        <is>
          <t>ССЧР + ОКВЭД обогащены</t>
        </is>
      </c>
      <c r="Q6436" s="16" t="inlineStr">
        <is>
          <t>ФНС открытые данные ССЧР (ДатаСост 31.12.2025; набор 7707329152-sshr2019)</t>
        </is>
      </c>
      <c r="R6436" s="16" t="inlineStr">
        <is>
          <t>ЕГРЮЛ / egrul.nalog.ru (выписка)</t>
        </is>
      </c>
      <c r="S6436" t="n">
        <v>1</v>
      </c>
      <c r="T6436" s="35" t="inlineStr">
        <is>
          <t>1 — Горячий</t>
        </is>
      </c>
      <c r="U6436" s="35" t="inlineStr">
        <is>
          <t>ОКВЭД + 22+</t>
        </is>
      </c>
      <c r="V6436" s="35" t="inlineStr">
        <is>
          <t>Да</t>
        </is>
      </c>
      <c r="W6436" s="35" t="inlineStr">
        <is>
          <t>Да</t>
        </is>
      </c>
      <c r="X6436" s="35" t="inlineStr">
        <is>
          <t>Да</t>
        </is>
      </c>
    </row>
    <row r="6437" ht="27.75" customHeight="1" s="24">
      <c r="A6437" s="13" t="n">
        <v>9346879</v>
      </c>
      <c r="B6437" s="13" t="inlineStr">
        <is>
          <t>Акционерное общество "Братская Электросетевая Компания"</t>
        </is>
      </c>
      <c r="C6437" s="13" t="n">
        <v>3804009506</v>
      </c>
      <c r="D6437" s="13" t="inlineStr">
        <is>
          <t>3804009506</t>
        </is>
      </c>
      <c r="E6437" s="13" t="inlineStr">
        <is>
          <t>ЮЛ РФ</t>
        </is>
      </c>
      <c r="F6437" s="13" t="n"/>
      <c r="G6437" s="52" t="n">
        <v>928</v>
      </c>
      <c r="H6437" s="52" t="n">
        <v>2025</v>
      </c>
      <c r="I6437" s="52" t="inlineStr">
        <is>
          <t>35.12.1</t>
        </is>
      </c>
      <c r="J6437" s="52" t="inlineStr">
        <is>
          <t>35.12.1; 33.14; 35.12.2; 41.20.9; 02.10; 02.20; 02.40; 16.10.9; 16.23; 33.20; 35.12; 35.13; 36.00; 37.00; 46.69.5; 70.22; 71.11.1; 73.20.1</t>
        </is>
      </c>
      <c r="K6437" s="53" t="inlineStr">
        <is>
          <t>Да</t>
        </is>
      </c>
      <c r="L6437" s="53" t="inlineStr">
        <is>
          <t>Да</t>
        </is>
      </c>
      <c r="M6437" s="53" t="inlineStr">
        <is>
          <t>До 2000</t>
        </is>
      </c>
      <c r="N6437" s="54" t="n">
        <v>528000</v>
      </c>
      <c r="O6437" s="55" t="inlineStr">
        <is>
          <t>500+</t>
        </is>
      </c>
      <c r="P6437" s="16" t="inlineStr">
        <is>
          <t>ССЧР + ОКВЭД обогащены</t>
        </is>
      </c>
      <c r="Q6437" s="16" t="inlineStr">
        <is>
          <t>ФНС открытые данные ССЧР (ДатаСост 31.12.2025; набор 7707329152-sshr2019)</t>
        </is>
      </c>
      <c r="R6437" s="16" t="inlineStr">
        <is>
          <t>ЕГРЮЛ / egrul.nalog.ru (выписка)</t>
        </is>
      </c>
      <c r="S6437" t="n">
        <v>1</v>
      </c>
      <c r="T6437" s="35" t="inlineStr">
        <is>
          <t>1 — Горячий</t>
        </is>
      </c>
      <c r="U6437" s="35" t="inlineStr">
        <is>
          <t>ОКВЭД + 22+</t>
        </is>
      </c>
      <c r="V6437" s="35" t="inlineStr">
        <is>
          <t>Да</t>
        </is>
      </c>
      <c r="W6437" s="35" t="inlineStr">
        <is>
          <t>Да</t>
        </is>
      </c>
      <c r="X6437" s="35" t="inlineStr">
        <is>
          <t>Да</t>
        </is>
      </c>
    </row>
    <row r="6438" ht="27.75" customHeight="1" s="24">
      <c r="A6438" s="13" t="n">
        <v>5000087100</v>
      </c>
      <c r="B6438" s="13" t="inlineStr">
        <is>
          <t>МДОУ ИРМО "УРИКОВСКИЙ ДЕТСКИЙ САД КОМБИНИРОВАННОГО ВИДА"</t>
        </is>
      </c>
      <c r="C6438" s="13" t="n">
        <v>3827012142</v>
      </c>
      <c r="D6438" s="13" t="inlineStr">
        <is>
          <t>3827012142</t>
        </is>
      </c>
      <c r="E6438" s="13" t="inlineStr">
        <is>
          <t>ЮЛ РФ</t>
        </is>
      </c>
      <c r="F6438" s="13" t="n"/>
      <c r="G6438" s="14" t="n"/>
      <c r="H6438" s="14" t="n"/>
      <c r="I6438" s="14" t="n"/>
      <c r="J6438" s="14" t="n"/>
      <c r="K6438" s="53" t="inlineStr"/>
      <c r="L6438" s="53" t="inlineStr">
        <is>
          <t>Не определено</t>
        </is>
      </c>
      <c r="M6438" s="53" t="inlineStr"/>
      <c r="N6438" s="54" t="inlineStr"/>
      <c r="O6438" s="55" t="inlineStr"/>
      <c r="P6438" s="16" t="inlineStr">
        <is>
          <t>Требует обогащения</t>
        </is>
      </c>
      <c r="Q6438" s="16">
        <f>HYPERLINK("https://pb.nalog.ru/search.html?query=3827012142","ФНС: проверить")</f>
        <v/>
      </c>
      <c r="R6438" s="16">
        <f>HYPERLINK("https://checko.ru/search?query=3801001629","Чекко: проверить")</f>
        <v/>
      </c>
      <c r="S6438" t="n">
        <v>1</v>
      </c>
      <c r="T6438" s="35" t="inlineStr">
        <is>
          <t>4 — Не обогащён</t>
        </is>
      </c>
      <c r="U6438" s="35" t="inlineStr">
        <is>
          <t>Нет ОКВЭД/ССЧР</t>
        </is>
      </c>
      <c r="V6438" s="35" t="inlineStr">
        <is>
          <t>Не определено</t>
        </is>
      </c>
      <c r="W6438" s="35" t="inlineStr"/>
      <c r="X6438" s="35" t="inlineStr"/>
    </row>
    <row r="6439" ht="27.75" customHeight="1" s="24">
      <c r="A6439" s="13" t="n">
        <v>5000087101</v>
      </c>
      <c r="B6439" s="13" t="inlineStr">
        <is>
          <t>МДОУ ИРМО "ПИВОВАРОВСКИЙ ДЕТСКИЙ САД ОБЩЕРАЗВИВАЮЩЕГО ВИДА"</t>
        </is>
      </c>
      <c r="C6439" s="13" t="n">
        <v>3827012255</v>
      </c>
      <c r="D6439" s="13" t="inlineStr">
        <is>
          <t>3827012255</t>
        </is>
      </c>
      <c r="E6439" s="13" t="inlineStr">
        <is>
          <t>ЮЛ РФ</t>
        </is>
      </c>
      <c r="F6439" s="13" t="n"/>
      <c r="G6439" s="14" t="n"/>
      <c r="H6439" s="14" t="n"/>
      <c r="I6439" s="14" t="n"/>
      <c r="J6439" s="14" t="n"/>
      <c r="K6439" s="53" t="inlineStr"/>
      <c r="L6439" s="53" t="inlineStr">
        <is>
          <t>Не определено</t>
        </is>
      </c>
      <c r="M6439" s="53" t="inlineStr"/>
      <c r="N6439" s="54" t="inlineStr"/>
      <c r="O6439" s="55" t="inlineStr"/>
      <c r="P6439" s="16" t="inlineStr">
        <is>
          <t>Требует обогащения</t>
        </is>
      </c>
      <c r="Q6439" s="16">
        <f>HYPERLINK("https://pb.nalog.ru/search.html?query=3827012255","ФНС: проверить")</f>
        <v/>
      </c>
      <c r="R6439" s="16">
        <f>HYPERLINK("https://checko.ru/search?query=3801001629","Чекко: проверить")</f>
        <v/>
      </c>
      <c r="S6439" t="n">
        <v>1</v>
      </c>
      <c r="T6439" s="35" t="inlineStr">
        <is>
          <t>4 — Не обогащён</t>
        </is>
      </c>
      <c r="U6439" s="35" t="inlineStr">
        <is>
          <t>Нет ОКВЭД/ССЧР</t>
        </is>
      </c>
      <c r="V6439" s="35" t="inlineStr">
        <is>
          <t>Не определено</t>
        </is>
      </c>
      <c r="W6439" s="35" t="inlineStr"/>
      <c r="X6439" s="35" t="inlineStr"/>
    </row>
    <row r="6440" ht="54.75" customHeight="1" s="24">
      <c r="A6440" s="13" t="n">
        <v>5000112482</v>
      </c>
      <c r="B6440" s="13" t="inlineStr">
        <is>
          <t>МУНИЦИПАЛЬНОЕ КАЗЕННОЕ УЧРЕЖДЕНИЕ ДОПОЛНИТЕЛЬНОГО ОБРАЗОВАНИЯ "СПОРТИВНАЯ ШКОЛА "ОЛИМПИЯ" ГОРОДА ИРКУТСКА</t>
        </is>
      </c>
      <c r="C6440" s="13" t="n">
        <v>3812165178</v>
      </c>
      <c r="D6440" s="13" t="inlineStr">
        <is>
          <t>3812165178</t>
        </is>
      </c>
      <c r="E6440" s="13" t="inlineStr">
        <is>
          <t>ЮЛ РФ</t>
        </is>
      </c>
      <c r="F6440" s="13" t="n"/>
      <c r="G6440" s="14" t="n"/>
      <c r="H6440" s="14" t="n"/>
      <c r="I6440" s="14" t="n"/>
      <c r="J6440" s="14" t="n"/>
      <c r="K6440" s="53" t="inlineStr"/>
      <c r="L6440" s="53" t="inlineStr">
        <is>
          <t>Не определено</t>
        </is>
      </c>
      <c r="M6440" s="53" t="inlineStr"/>
      <c r="N6440" s="54" t="inlineStr"/>
      <c r="O6440" s="55" t="inlineStr"/>
      <c r="P6440" s="16" t="inlineStr">
        <is>
          <t>Требует обогащения</t>
        </is>
      </c>
      <c r="Q6440" s="16">
        <f>HYPERLINK("https://pb.nalog.ru/search.html?query=3812165178","ФНС: проверить")</f>
        <v/>
      </c>
      <c r="R6440" s="16">
        <f>HYPERLINK("https://checko.ru/search?query=3801001629","Чекко: проверить")</f>
        <v/>
      </c>
      <c r="S6440" t="n">
        <v>1</v>
      </c>
      <c r="T6440" s="35" t="inlineStr">
        <is>
          <t>4 — Не обогащён</t>
        </is>
      </c>
      <c r="U6440" s="35" t="inlineStr">
        <is>
          <t>Нет ОКВЭД/ССЧР</t>
        </is>
      </c>
      <c r="V6440" s="35" t="inlineStr">
        <is>
          <t>Не определено</t>
        </is>
      </c>
      <c r="W6440" s="35" t="inlineStr"/>
      <c r="X6440" s="35" t="inlineStr"/>
    </row>
    <row r="6441" ht="15" customHeight="1" s="24">
      <c r="A6441" s="13" t="n">
        <v>5000116154</v>
      </c>
      <c r="B6441" s="13" t="inlineStr">
        <is>
          <t>МОУ ИРМО "ОЕКСКАЯ СОШ"</t>
        </is>
      </c>
      <c r="C6441" s="13" t="n">
        <v>3827011886</v>
      </c>
      <c r="D6441" s="13" t="inlineStr">
        <is>
          <t>3827011886</t>
        </is>
      </c>
      <c r="E6441" s="13" t="inlineStr">
        <is>
          <t>ЮЛ РФ</t>
        </is>
      </c>
      <c r="F6441" s="13" t="n"/>
      <c r="G6441" s="14" t="n"/>
      <c r="H6441" s="14" t="n"/>
      <c r="I6441" s="14" t="n"/>
      <c r="J6441" s="14" t="n"/>
      <c r="K6441" s="53" t="inlineStr"/>
      <c r="L6441" s="53" t="inlineStr">
        <is>
          <t>Не определено</t>
        </is>
      </c>
      <c r="M6441" s="53" t="inlineStr"/>
      <c r="N6441" s="54" t="inlineStr"/>
      <c r="O6441" s="55" t="inlineStr"/>
      <c r="P6441" s="16" t="inlineStr">
        <is>
          <t>Требует обогащения</t>
        </is>
      </c>
      <c r="Q6441" s="16">
        <f>HYPERLINK("https://pb.nalog.ru/search.html?query=3827011886","ФНС: проверить")</f>
        <v/>
      </c>
      <c r="R6441" s="16">
        <f>HYPERLINK("https://checko.ru/search?query=3801001629","Чекко: проверить")</f>
        <v/>
      </c>
      <c r="S6441" t="n">
        <v>1</v>
      </c>
      <c r="T6441" s="35" t="inlineStr">
        <is>
          <t>4 — Не обогащён</t>
        </is>
      </c>
      <c r="U6441" s="35" t="inlineStr">
        <is>
          <t>Нет ОКВЭД/ССЧР</t>
        </is>
      </c>
      <c r="V6441" s="35" t="inlineStr">
        <is>
          <t>Не определено</t>
        </is>
      </c>
      <c r="W6441" s="35" t="inlineStr"/>
      <c r="X6441" s="35" t="inlineStr"/>
    </row>
    <row r="6442" ht="15" customHeight="1" s="24">
      <c r="A6442" s="13" t="n">
        <v>5000116155</v>
      </c>
      <c r="B6442" s="13" t="inlineStr">
        <is>
          <t>МОУ ИРМО "СМОЛЕНСКАЯ СОШ"</t>
        </is>
      </c>
      <c r="C6442" s="13" t="n">
        <v>3827011974</v>
      </c>
      <c r="D6442" s="13" t="inlineStr">
        <is>
          <t>3827011974</t>
        </is>
      </c>
      <c r="E6442" s="13" t="inlineStr">
        <is>
          <t>ЮЛ РФ</t>
        </is>
      </c>
      <c r="F6442" s="13" t="n"/>
      <c r="G6442" s="14" t="n"/>
      <c r="H6442" s="14" t="n"/>
      <c r="I6442" s="14" t="n"/>
      <c r="J6442" s="14" t="n"/>
      <c r="K6442" s="53" t="inlineStr"/>
      <c r="L6442" s="53" t="inlineStr">
        <is>
          <t>Не определено</t>
        </is>
      </c>
      <c r="M6442" s="53" t="inlineStr"/>
      <c r="N6442" s="54" t="inlineStr"/>
      <c r="O6442" s="55" t="inlineStr"/>
      <c r="P6442" s="16" t="inlineStr">
        <is>
          <t>Требует обогащения</t>
        </is>
      </c>
      <c r="Q6442" s="16">
        <f>HYPERLINK("https://pb.nalog.ru/search.html?query=3827011974","ФНС: проверить")</f>
        <v/>
      </c>
      <c r="R6442" s="16">
        <f>HYPERLINK("https://checko.ru/search?query=3801001629","Чекко: проверить")</f>
        <v/>
      </c>
      <c r="S6442" t="n">
        <v>1</v>
      </c>
      <c r="T6442" s="35" t="inlineStr">
        <is>
          <t>4 — Не обогащён</t>
        </is>
      </c>
      <c r="U6442" s="35" t="inlineStr">
        <is>
          <t>Нет ОКВЭД/ССЧР</t>
        </is>
      </c>
      <c r="V6442" s="35" t="inlineStr">
        <is>
          <t>Не определено</t>
        </is>
      </c>
      <c r="W6442" s="35" t="inlineStr"/>
      <c r="X6442" s="35" t="inlineStr"/>
    </row>
    <row r="6443" ht="15" customHeight="1" s="24">
      <c r="A6443" s="13" t="n">
        <v>5000106348</v>
      </c>
      <c r="B6443" s="13" t="inlineStr">
        <is>
          <t>МКУ "ГОРОД"</t>
        </is>
      </c>
      <c r="C6443" s="13" t="n">
        <v>3811156526</v>
      </c>
      <c r="D6443" s="13" t="inlineStr">
        <is>
          <t>3811156526</t>
        </is>
      </c>
      <c r="E6443" s="13" t="inlineStr">
        <is>
          <t>ЮЛ РФ</t>
        </is>
      </c>
      <c r="F6443" s="13" t="n"/>
      <c r="G6443" s="14" t="n"/>
      <c r="H6443" s="14" t="n"/>
      <c r="I6443" s="14" t="n"/>
      <c r="J6443" s="14" t="n"/>
      <c r="K6443" s="53" t="inlineStr"/>
      <c r="L6443" s="53" t="inlineStr">
        <is>
          <t>Не определено</t>
        </is>
      </c>
      <c r="M6443" s="53" t="inlineStr"/>
      <c r="N6443" s="54" t="inlineStr"/>
      <c r="O6443" s="55" t="inlineStr"/>
      <c r="P6443" s="16" t="inlineStr">
        <is>
          <t>Требует обогащения</t>
        </is>
      </c>
      <c r="Q6443" s="16">
        <f>HYPERLINK("https://pb.nalog.ru/search.html?query=3811156526","ФНС: проверить")</f>
        <v/>
      </c>
      <c r="R6443" s="16">
        <f>HYPERLINK("https://checko.ru/search?query=3801001629","Чекко: проверить")</f>
        <v/>
      </c>
      <c r="S6443" t="n">
        <v>1</v>
      </c>
      <c r="T6443" s="35" t="inlineStr">
        <is>
          <t>4 — Не обогащён</t>
        </is>
      </c>
      <c r="U6443" s="35" t="inlineStr">
        <is>
          <t>Нет ОКВЭД/ССЧР</t>
        </is>
      </c>
      <c r="V6443" s="35" t="inlineStr">
        <is>
          <t>Не определено</t>
        </is>
      </c>
      <c r="W6443" s="35" t="inlineStr"/>
      <c r="X6443" s="35" t="inlineStr"/>
    </row>
    <row r="6444" ht="15" customHeight="1" s="24">
      <c r="A6444" s="13" t="n">
        <v>802306479</v>
      </c>
      <c r="B6444" s="13" t="inlineStr">
        <is>
          <t>ООО "АрФаЭл"</t>
        </is>
      </c>
      <c r="C6444" s="13" t="n">
        <v>3818020644</v>
      </c>
      <c r="D6444" s="13" t="inlineStr">
        <is>
          <t>3818020644</t>
        </is>
      </c>
      <c r="E6444" s="13" t="inlineStr">
        <is>
          <t>ЮЛ РФ</t>
        </is>
      </c>
      <c r="F6444" s="13" t="n"/>
      <c r="G6444" s="52" t="n">
        <v>17</v>
      </c>
      <c r="H6444" s="52" t="n">
        <v>2025</v>
      </c>
      <c r="I6444" s="14" t="n"/>
      <c r="J6444" s="14" t="n"/>
      <c r="K6444" s="53" t="inlineStr">
        <is>
          <t>Нет</t>
        </is>
      </c>
      <c r="L6444" s="53" t="inlineStr">
        <is>
          <t>Не определено</t>
        </is>
      </c>
      <c r="M6444" s="53" t="inlineStr">
        <is>
          <t>До 25</t>
        </is>
      </c>
      <c r="N6444" s="54" t="n">
        <v>8400</v>
      </c>
      <c r="O6444" s="55" t="inlineStr">
        <is>
          <t>16–30</t>
        </is>
      </c>
      <c r="P6444" s="16" t="inlineStr">
        <is>
          <t>ССЧР обогащена; ОКВЭД не найден/не загружен</t>
        </is>
      </c>
      <c r="Q6444" s="16" t="inlineStr">
        <is>
          <t>ФНС открытые данные ССЧР (ДатаСост 31.12.2025; набор 7707329152-sshr2019)</t>
        </is>
      </c>
      <c r="R6444" s="16">
        <f>HYPERLINK("https://checko.ru/search?query=3801001629","Чекко: проверить")</f>
        <v/>
      </c>
      <c r="S6444" t="n">
        <v>1</v>
      </c>
      <c r="T6444" s="35" t="inlineStr">
        <is>
          <t>4 — Не обогащён</t>
        </is>
      </c>
      <c r="U6444" s="35" t="inlineStr">
        <is>
          <t>Нет ОКВЭД/ССЧР</t>
        </is>
      </c>
      <c r="V6444" s="35" t="inlineStr">
        <is>
          <t>Не определено</t>
        </is>
      </c>
      <c r="W6444" s="35" t="inlineStr">
        <is>
          <t>Нет</t>
        </is>
      </c>
      <c r="X6444" s="35" t="inlineStr"/>
    </row>
    <row r="6445" ht="15" customHeight="1" s="24">
      <c r="A6445" s="13" t="n">
        <v>8102199237</v>
      </c>
      <c r="B6445" s="13" t="inlineStr">
        <is>
          <t>ООО "Внедренческий центр Мадьярова"</t>
        </is>
      </c>
      <c r="C6445" s="13" t="n">
        <v>3812047618</v>
      </c>
      <c r="D6445" s="13" t="inlineStr">
        <is>
          <t>3812047618</t>
        </is>
      </c>
      <c r="E6445" s="13" t="inlineStr">
        <is>
          <t>ЮЛ РФ</t>
        </is>
      </c>
      <c r="F6445" s="13" t="n"/>
      <c r="G6445" s="52" t="n">
        <v>35</v>
      </c>
      <c r="H6445" s="52" t="n">
        <v>2025</v>
      </c>
      <c r="I6445" s="52" t="inlineStr">
        <is>
          <t>62.02</t>
        </is>
      </c>
      <c r="J6445" s="52" t="inlineStr">
        <is>
          <t>62.02; 46.18; 46.90; 62.01; 62.09; 63.11.1; 72.11; 72.19; 73.11; 73.12; 85.41; 85.42.9</t>
        </is>
      </c>
      <c r="K6445" s="53" t="inlineStr">
        <is>
          <t>Да</t>
        </is>
      </c>
      <c r="L6445" s="53" t="inlineStr">
        <is>
          <t>Да</t>
        </is>
      </c>
      <c r="M6445" s="53" t="inlineStr">
        <is>
          <t>До 50</t>
        </is>
      </c>
      <c r="N6445" s="54" t="n">
        <v>16800</v>
      </c>
      <c r="O6445" s="55" t="inlineStr">
        <is>
          <t>31–50</t>
        </is>
      </c>
      <c r="P6445" s="16" t="inlineStr">
        <is>
          <t>ССЧР + ОКВЭД обогащены</t>
        </is>
      </c>
      <c r="Q6445" s="16" t="inlineStr">
        <is>
          <t>ФНС открытые данные ССЧР (ДатаСост 31.12.2025; набор 7707329152-sshr2019)</t>
        </is>
      </c>
      <c r="R6445" s="16" t="inlineStr">
        <is>
          <t>ЕГРЮЛ / egrul.nalog.ru (выписка)</t>
        </is>
      </c>
      <c r="S6445" t="n">
        <v>1</v>
      </c>
      <c r="T6445" s="35" t="inlineStr">
        <is>
          <t>1 — Горячий</t>
        </is>
      </c>
      <c r="U6445" s="35" t="inlineStr">
        <is>
          <t>ОКВЭД + 22+</t>
        </is>
      </c>
      <c r="V6445" s="35" t="inlineStr">
        <is>
          <t>Да</t>
        </is>
      </c>
      <c r="W6445" s="35" t="inlineStr">
        <is>
          <t>Да</t>
        </is>
      </c>
      <c r="X6445" s="35" t="inlineStr">
        <is>
          <t>Да</t>
        </is>
      </c>
    </row>
    <row r="6446" ht="15" customHeight="1" s="24">
      <c r="A6446" s="13" t="n">
        <v>8102201036</v>
      </c>
      <c r="B6446" s="13" t="inlineStr">
        <is>
          <t>Форус.ЦРВ</t>
        </is>
      </c>
      <c r="C6446" s="13" t="n">
        <v>3812047618</v>
      </c>
      <c r="D6446" s="13" t="inlineStr">
        <is>
          <t>3812047618</t>
        </is>
      </c>
      <c r="E6446" s="13" t="inlineStr">
        <is>
          <t>ЮЛ РФ</t>
        </is>
      </c>
      <c r="F6446" s="13" t="n"/>
      <c r="G6446" s="52" t="n">
        <v>35</v>
      </c>
      <c r="H6446" s="52" t="n">
        <v>2025</v>
      </c>
      <c r="I6446" s="52" t="inlineStr">
        <is>
          <t>62.02</t>
        </is>
      </c>
      <c r="J6446" s="52" t="inlineStr">
        <is>
          <t>62.02; 46.18; 46.90; 62.01; 62.09; 63.11.1; 72.11; 72.19; 73.11; 73.12; 85.41; 85.42.9</t>
        </is>
      </c>
      <c r="K6446" s="53" t="inlineStr">
        <is>
          <t>Да</t>
        </is>
      </c>
      <c r="L6446" s="53" t="inlineStr">
        <is>
          <t>Да</t>
        </is>
      </c>
      <c r="M6446" s="53" t="inlineStr">
        <is>
          <t>До 50</t>
        </is>
      </c>
      <c r="N6446" s="54" t="n">
        <v>16800</v>
      </c>
      <c r="O6446" s="55" t="inlineStr">
        <is>
          <t>31–50</t>
        </is>
      </c>
      <c r="P6446" s="16" t="inlineStr">
        <is>
          <t>ССЧР + ОКВЭД обогащены</t>
        </is>
      </c>
      <c r="Q6446" s="16" t="inlineStr">
        <is>
          <t>ФНС открытые данные ССЧР (ДатаСост 31.12.2025; набор 7707329152-sshr2019)</t>
        </is>
      </c>
      <c r="R6446" s="16" t="inlineStr">
        <is>
          <t>ЕГРЮЛ / egrul.nalog.ru (выписка)</t>
        </is>
      </c>
      <c r="S6446" t="n">
        <v>0</v>
      </c>
      <c r="T6446" s="35" t="inlineStr">
        <is>
          <t>1 — Горячий</t>
        </is>
      </c>
      <c r="U6446" s="35" t="inlineStr">
        <is>
          <t>ОКВЭД + 22+</t>
        </is>
      </c>
      <c r="V6446" s="35" t="inlineStr">
        <is>
          <t>Да</t>
        </is>
      </c>
      <c r="W6446" s="35" t="inlineStr">
        <is>
          <t>Да</t>
        </is>
      </c>
      <c r="X6446" s="35" t="inlineStr">
        <is>
          <t>Да</t>
        </is>
      </c>
    </row>
    <row r="6447" ht="41.25" customHeight="1" s="24">
      <c r="A6447" s="13" t="n">
        <v>5000123014</v>
      </c>
      <c r="B6447" s="13" t="inlineStr">
        <is>
          <t>Администрация закрытого Административно-Территориального Образования Городской округ Молодёжный Московской Области</t>
        </is>
      </c>
      <c r="C6447" s="13" t="n">
        <v>5030007884</v>
      </c>
      <c r="D6447" s="13" t="inlineStr">
        <is>
          <t>5030007884</t>
        </is>
      </c>
      <c r="E6447" s="13" t="inlineStr">
        <is>
          <t>ЮЛ РФ</t>
        </is>
      </c>
      <c r="F6447" s="13" t="n"/>
      <c r="G6447" s="14" t="n"/>
      <c r="H6447" s="14" t="n"/>
      <c r="I6447" s="14" t="n"/>
      <c r="J6447" s="14" t="n"/>
      <c r="K6447" s="53" t="inlineStr"/>
      <c r="L6447" s="53" t="inlineStr">
        <is>
          <t>Не определено</t>
        </is>
      </c>
      <c r="M6447" s="53" t="inlineStr"/>
      <c r="N6447" s="54" t="inlineStr"/>
      <c r="O6447" s="55" t="inlineStr"/>
      <c r="P6447" s="16" t="inlineStr">
        <is>
          <t>Требует обогащения</t>
        </is>
      </c>
      <c r="Q6447" s="16">
        <f>HYPERLINK("https://pb.nalog.ru/search.html?query=5030007884","ФНС: проверить")</f>
        <v/>
      </c>
      <c r="R6447" s="16">
        <f>HYPERLINK("https://checko.ru/search?query=3801001629","Чекко: проверить")</f>
        <v/>
      </c>
      <c r="S6447" t="n">
        <v>1</v>
      </c>
      <c r="T6447" s="35" t="inlineStr">
        <is>
          <t>4 — Не обогащён</t>
        </is>
      </c>
      <c r="U6447" s="35" t="inlineStr">
        <is>
          <t>Нет ОКВЭД/ССЧР</t>
        </is>
      </c>
      <c r="V6447" s="35" t="inlineStr">
        <is>
          <t>Не определено</t>
        </is>
      </c>
      <c r="W6447" s="35" t="inlineStr"/>
      <c r="X6447" s="35" t="inlineStr"/>
    </row>
    <row r="6448" ht="15" customHeight="1" s="24">
      <c r="A6448" s="13" t="n">
        <v>5000121099</v>
      </c>
      <c r="B6448" s="13" t="inlineStr">
        <is>
          <t>МАУК "Дом культуры "Лунево"</t>
        </is>
      </c>
      <c r="C6448" s="13" t="n">
        <v>5044060609</v>
      </c>
      <c r="D6448" s="13" t="inlineStr">
        <is>
          <t>5044060609</t>
        </is>
      </c>
      <c r="E6448" s="13" t="inlineStr">
        <is>
          <t>ЮЛ РФ</t>
        </is>
      </c>
      <c r="F6448" s="13" t="n"/>
      <c r="G6448" s="14" t="n"/>
      <c r="H6448" s="14" t="n"/>
      <c r="I6448" s="14" t="n"/>
      <c r="J6448" s="14" t="n"/>
      <c r="K6448" s="53" t="inlineStr"/>
      <c r="L6448" s="53" t="inlineStr">
        <is>
          <t>Не определено</t>
        </is>
      </c>
      <c r="M6448" s="53" t="inlineStr"/>
      <c r="N6448" s="54" t="inlineStr"/>
      <c r="O6448" s="55" t="inlineStr"/>
      <c r="P6448" s="16" t="inlineStr">
        <is>
          <t>Требует обогащения</t>
        </is>
      </c>
      <c r="Q6448" s="16">
        <f>HYPERLINK("https://pb.nalog.ru/search.html?query=5044060609","ФНС: проверить")</f>
        <v/>
      </c>
      <c r="R6448" s="16">
        <f>HYPERLINK("https://checko.ru/search?query=3801001629","Чекко: проверить")</f>
        <v/>
      </c>
      <c r="S6448" t="n">
        <v>1</v>
      </c>
      <c r="T6448" s="35" t="inlineStr">
        <is>
          <t>4 — Не обогащён</t>
        </is>
      </c>
      <c r="U6448" s="35" t="inlineStr">
        <is>
          <t>Нет ОКВЭД/ССЧР</t>
        </is>
      </c>
      <c r="V6448" s="35" t="inlineStr">
        <is>
          <t>Не определено</t>
        </is>
      </c>
      <c r="W6448" s="35" t="inlineStr"/>
      <c r="X6448" s="35" t="inlineStr"/>
    </row>
    <row r="6449" ht="15" customHeight="1" s="24">
      <c r="A6449" s="13" t="n">
        <v>5000121520</v>
      </c>
      <c r="B6449" s="13" t="inlineStr">
        <is>
          <t>МОУ "Осташевская СОШ"</t>
        </is>
      </c>
      <c r="C6449" s="13" t="n">
        <v>5004010986</v>
      </c>
      <c r="D6449" s="13" t="inlineStr">
        <is>
          <t>5004010986</t>
        </is>
      </c>
      <c r="E6449" s="13" t="inlineStr">
        <is>
          <t>ЮЛ РФ</t>
        </is>
      </c>
      <c r="F6449" s="13" t="n"/>
      <c r="G6449" s="14" t="n"/>
      <c r="H6449" s="14" t="n"/>
      <c r="I6449" s="14" t="n"/>
      <c r="J6449" s="14" t="n"/>
      <c r="K6449" s="53" t="inlineStr"/>
      <c r="L6449" s="53" t="inlineStr">
        <is>
          <t>Не определено</t>
        </is>
      </c>
      <c r="M6449" s="53" t="inlineStr"/>
      <c r="N6449" s="54" t="inlineStr"/>
      <c r="O6449" s="55" t="inlineStr"/>
      <c r="P6449" s="16" t="inlineStr">
        <is>
          <t>Требует обогащения</t>
        </is>
      </c>
      <c r="Q6449" s="16">
        <f>HYPERLINK("https://pb.nalog.ru/search.html?query=5004010986","ФНС: проверить")</f>
        <v/>
      </c>
      <c r="R6449" s="16">
        <f>HYPERLINK("https://checko.ru/search?query=3801001629","Чекко: проверить")</f>
        <v/>
      </c>
      <c r="S6449" t="n">
        <v>1</v>
      </c>
      <c r="T6449" s="35" t="inlineStr">
        <is>
          <t>4 — Не обогащён</t>
        </is>
      </c>
      <c r="U6449" s="35" t="inlineStr">
        <is>
          <t>Нет ОКВЭД/ССЧР</t>
        </is>
      </c>
      <c r="V6449" s="35" t="inlineStr">
        <is>
          <t>Не определено</t>
        </is>
      </c>
      <c r="W6449" s="35" t="inlineStr"/>
      <c r="X6449" s="35" t="inlineStr"/>
    </row>
    <row r="6450" ht="15" customHeight="1" s="24">
      <c r="A6450" s="13" t="n">
        <v>5000121521</v>
      </c>
      <c r="B6450" s="13" t="inlineStr">
        <is>
          <t>МОУ "Спасская СОШ"</t>
        </is>
      </c>
      <c r="C6450" s="13" t="n">
        <v>5004010908</v>
      </c>
      <c r="D6450" s="13" t="inlineStr">
        <is>
          <t>5004010908</t>
        </is>
      </c>
      <c r="E6450" s="13" t="inlineStr">
        <is>
          <t>ЮЛ РФ</t>
        </is>
      </c>
      <c r="F6450" s="13" t="n"/>
      <c r="G6450" s="14" t="n"/>
      <c r="H6450" s="14" t="n"/>
      <c r="I6450" s="14" t="n"/>
      <c r="J6450" s="14" t="n"/>
      <c r="K6450" s="53" t="inlineStr"/>
      <c r="L6450" s="53" t="inlineStr">
        <is>
          <t>Не определено</t>
        </is>
      </c>
      <c r="M6450" s="53" t="inlineStr"/>
      <c r="N6450" s="54" t="inlineStr"/>
      <c r="O6450" s="55" t="inlineStr"/>
      <c r="P6450" s="16" t="inlineStr">
        <is>
          <t>Требует обогащения</t>
        </is>
      </c>
      <c r="Q6450" s="16">
        <f>HYPERLINK("https://pb.nalog.ru/search.html?query=5004010908","ФНС: проверить")</f>
        <v/>
      </c>
      <c r="R6450" s="16">
        <f>HYPERLINK("https://checko.ru/search?query=3801001629","Чекко: проверить")</f>
        <v/>
      </c>
      <c r="S6450" t="n">
        <v>1</v>
      </c>
      <c r="T6450" s="35" t="inlineStr">
        <is>
          <t>4 — Не обогащён</t>
        </is>
      </c>
      <c r="U6450" s="35" t="inlineStr">
        <is>
          <t>Нет ОКВЭД/ССЧР</t>
        </is>
      </c>
      <c r="V6450" s="35" t="inlineStr">
        <is>
          <t>Не определено</t>
        </is>
      </c>
      <c r="W6450" s="35" t="inlineStr"/>
      <c r="X6450" s="35" t="inlineStr"/>
    </row>
    <row r="6451" ht="15" customHeight="1" s="24">
      <c r="A6451" s="13" t="n">
        <v>5000121175</v>
      </c>
      <c r="B6451" s="13" t="inlineStr">
        <is>
          <t>МОУ ЦППМСП</t>
        </is>
      </c>
      <c r="C6451" s="13" t="n">
        <v>5027339248</v>
      </c>
      <c r="D6451" s="13" t="inlineStr">
        <is>
          <t>5027339248</t>
        </is>
      </c>
      <c r="E6451" s="13" t="inlineStr">
        <is>
          <t>ЮЛ РФ</t>
        </is>
      </c>
      <c r="F6451" s="13" t="n"/>
      <c r="G6451" s="14" t="n"/>
      <c r="H6451" s="14" t="n"/>
      <c r="I6451" s="14" t="n"/>
      <c r="J6451" s="14" t="n"/>
      <c r="K6451" s="53" t="inlineStr"/>
      <c r="L6451" s="53" t="inlineStr">
        <is>
          <t>Не определено</t>
        </is>
      </c>
      <c r="M6451" s="53" t="inlineStr"/>
      <c r="N6451" s="54" t="inlineStr"/>
      <c r="O6451" s="55" t="inlineStr"/>
      <c r="P6451" s="16" t="inlineStr">
        <is>
          <t>Требует обогащения</t>
        </is>
      </c>
      <c r="Q6451" s="16">
        <f>HYPERLINK("https://pb.nalog.ru/search.html?query=5027339248","ФНС: проверить")</f>
        <v/>
      </c>
      <c r="R6451" s="16">
        <f>HYPERLINK("https://checko.ru/search?query=3801001629","Чекко: проверить")</f>
        <v/>
      </c>
      <c r="S6451" t="n">
        <v>1</v>
      </c>
      <c r="T6451" s="35" t="inlineStr">
        <is>
          <t>4 — Не обогащён</t>
        </is>
      </c>
      <c r="U6451" s="35" t="inlineStr">
        <is>
          <t>Нет ОКВЭД/ССЧР</t>
        </is>
      </c>
      <c r="V6451" s="35" t="inlineStr">
        <is>
          <t>Не определено</t>
        </is>
      </c>
      <c r="W6451" s="35" t="inlineStr"/>
      <c r="X6451" s="35" t="inlineStr"/>
    </row>
    <row r="6452" ht="15" customHeight="1" s="24">
      <c r="A6452" s="13" t="n">
        <v>5000121177</v>
      </c>
      <c r="B6452" s="13" t="inlineStr">
        <is>
          <t>МУ "ТУ "ДЗЕРЖИНСКИЙ"</t>
        </is>
      </c>
      <c r="C6452" s="13" t="n">
        <v>5027337554</v>
      </c>
      <c r="D6452" s="13" t="inlineStr">
        <is>
          <t>5027337554</t>
        </is>
      </c>
      <c r="E6452" s="13" t="inlineStr">
        <is>
          <t>ЮЛ РФ</t>
        </is>
      </c>
      <c r="F6452" s="13" t="n"/>
      <c r="G6452" s="14" t="n"/>
      <c r="H6452" s="14" t="n"/>
      <c r="I6452" s="14" t="n"/>
      <c r="J6452" s="14" t="n"/>
      <c r="K6452" s="53" t="inlineStr"/>
      <c r="L6452" s="53" t="inlineStr">
        <is>
          <t>Не определено</t>
        </is>
      </c>
      <c r="M6452" s="53" t="inlineStr"/>
      <c r="N6452" s="54" t="inlineStr"/>
      <c r="O6452" s="55" t="inlineStr"/>
      <c r="P6452" s="16" t="inlineStr">
        <is>
          <t>Требует обогащения</t>
        </is>
      </c>
      <c r="Q6452" s="16">
        <f>HYPERLINK("https://pb.nalog.ru/search.html?query=5027337554","ФНС: проверить")</f>
        <v/>
      </c>
      <c r="R6452" s="16">
        <f>HYPERLINK("https://checko.ru/search?query=3801001629","Чекко: проверить")</f>
        <v/>
      </c>
      <c r="S6452" t="n">
        <v>1</v>
      </c>
      <c r="T6452" s="35" t="inlineStr">
        <is>
          <t>4 — Не обогащён</t>
        </is>
      </c>
      <c r="U6452" s="35" t="inlineStr">
        <is>
          <t>Нет ОКВЭД/ССЧР</t>
        </is>
      </c>
      <c r="V6452" s="35" t="inlineStr">
        <is>
          <t>Не определено</t>
        </is>
      </c>
      <c r="W6452" s="35" t="inlineStr"/>
      <c r="X6452" s="35" t="inlineStr"/>
    </row>
    <row r="6453" ht="15" customHeight="1" s="24">
      <c r="A6453" s="13" t="n">
        <v>5000121515</v>
      </c>
      <c r="B6453" s="13" t="inlineStr">
        <is>
          <t>МОУ "ГИМНАЗИЯ №1 Г. ВОЛОКОЛАМСКА"</t>
        </is>
      </c>
      <c r="C6453" s="13" t="n">
        <v>5004010859</v>
      </c>
      <c r="D6453" s="13" t="inlineStr">
        <is>
          <t>5004010859</t>
        </is>
      </c>
      <c r="E6453" s="13" t="inlineStr">
        <is>
          <t>ЮЛ РФ</t>
        </is>
      </c>
      <c r="F6453" s="13" t="n"/>
      <c r="G6453" s="14" t="n"/>
      <c r="H6453" s="14" t="n"/>
      <c r="I6453" s="14" t="n"/>
      <c r="J6453" s="14" t="n"/>
      <c r="K6453" s="53" t="inlineStr"/>
      <c r="L6453" s="53" t="inlineStr">
        <is>
          <t>Не определено</t>
        </is>
      </c>
      <c r="M6453" s="53" t="inlineStr"/>
      <c r="N6453" s="54" t="inlineStr"/>
      <c r="O6453" s="55" t="inlineStr"/>
      <c r="P6453" s="16" t="inlineStr">
        <is>
          <t>Требует обогащения</t>
        </is>
      </c>
      <c r="Q6453" s="16">
        <f>HYPERLINK("https://pb.nalog.ru/search.html?query=5004010859","ФНС: проверить")</f>
        <v/>
      </c>
      <c r="R6453" s="16">
        <f>HYPERLINK("https://checko.ru/search?query=3801001629","Чекко: проверить")</f>
        <v/>
      </c>
      <c r="S6453" t="n">
        <v>1</v>
      </c>
      <c r="T6453" s="35" t="inlineStr">
        <is>
          <t>4 — Не обогащён</t>
        </is>
      </c>
      <c r="U6453" s="35" t="inlineStr">
        <is>
          <t>Нет ОКВЭД/ССЧР</t>
        </is>
      </c>
      <c r="V6453" s="35" t="inlineStr">
        <is>
          <t>Не определено</t>
        </is>
      </c>
      <c r="W6453" s="35" t="inlineStr"/>
      <c r="X6453" s="35" t="inlineStr"/>
    </row>
    <row r="6454" ht="15" customHeight="1" s="24">
      <c r="A6454" s="13" t="n">
        <v>5000121516</v>
      </c>
      <c r="B6454" s="13" t="inlineStr">
        <is>
          <t>МОУ "ВСОШ № 2"</t>
        </is>
      </c>
      <c r="C6454" s="13" t="n">
        <v>5004011563</v>
      </c>
      <c r="D6454" s="13" t="inlineStr">
        <is>
          <t>5004011563</t>
        </is>
      </c>
      <c r="E6454" s="13" t="inlineStr">
        <is>
          <t>ЮЛ РФ</t>
        </is>
      </c>
      <c r="F6454" s="13" t="n"/>
      <c r="G6454" s="14" t="n"/>
      <c r="H6454" s="14" t="n"/>
      <c r="I6454" s="14" t="n"/>
      <c r="J6454" s="14" t="n"/>
      <c r="K6454" s="53" t="inlineStr"/>
      <c r="L6454" s="53" t="inlineStr">
        <is>
          <t>Не определено</t>
        </is>
      </c>
      <c r="M6454" s="53" t="inlineStr"/>
      <c r="N6454" s="54" t="inlineStr"/>
      <c r="O6454" s="55" t="inlineStr"/>
      <c r="P6454" s="16" t="inlineStr">
        <is>
          <t>Требует обогащения</t>
        </is>
      </c>
      <c r="Q6454" s="16">
        <f>HYPERLINK("https://pb.nalog.ru/search.html?query=5004011563","ФНС: проверить")</f>
        <v/>
      </c>
      <c r="R6454" s="16">
        <f>HYPERLINK("https://checko.ru/search?query=3801001629","Чекко: проверить")</f>
        <v/>
      </c>
      <c r="S6454" t="n">
        <v>1</v>
      </c>
      <c r="T6454" s="35" t="inlineStr">
        <is>
          <t>4 — Не обогащён</t>
        </is>
      </c>
      <c r="U6454" s="35" t="inlineStr">
        <is>
          <t>Нет ОКВЭД/ССЧР</t>
        </is>
      </c>
      <c r="V6454" s="35" t="inlineStr">
        <is>
          <t>Не определено</t>
        </is>
      </c>
      <c r="W6454" s="35" t="inlineStr"/>
      <c r="X6454" s="35" t="inlineStr"/>
    </row>
    <row r="6455" ht="15" customHeight="1" s="24">
      <c r="A6455" s="13" t="n">
        <v>5000121517</v>
      </c>
      <c r="B6455" s="13" t="inlineStr">
        <is>
          <t>МОУ "ВСОШ №3"</t>
        </is>
      </c>
      <c r="C6455" s="13" t="n">
        <v>5004010841</v>
      </c>
      <c r="D6455" s="13" t="inlineStr">
        <is>
          <t>5004010841</t>
        </is>
      </c>
      <c r="E6455" s="13" t="inlineStr">
        <is>
          <t>ЮЛ РФ</t>
        </is>
      </c>
      <c r="F6455" s="13" t="n"/>
      <c r="G6455" s="14" t="n"/>
      <c r="H6455" s="14" t="n"/>
      <c r="I6455" s="14" t="n"/>
      <c r="J6455" s="14" t="n"/>
      <c r="K6455" s="53" t="inlineStr"/>
      <c r="L6455" s="53" t="inlineStr">
        <is>
          <t>Не определено</t>
        </is>
      </c>
      <c r="M6455" s="53" t="inlineStr"/>
      <c r="N6455" s="54" t="inlineStr"/>
      <c r="O6455" s="55" t="inlineStr"/>
      <c r="P6455" s="16" t="inlineStr">
        <is>
          <t>Требует обогащения</t>
        </is>
      </c>
      <c r="Q6455" s="16">
        <f>HYPERLINK("https://pb.nalog.ru/search.html?query=5004010841","ФНС: проверить")</f>
        <v/>
      </c>
      <c r="R6455" s="16">
        <f>HYPERLINK("https://checko.ru/search?query=3801001629","Чекко: проверить")</f>
        <v/>
      </c>
      <c r="S6455" t="n">
        <v>1</v>
      </c>
      <c r="T6455" s="35" t="inlineStr">
        <is>
          <t>4 — Не обогащён</t>
        </is>
      </c>
      <c r="U6455" s="35" t="inlineStr">
        <is>
          <t>Нет ОКВЭД/ССЧР</t>
        </is>
      </c>
      <c r="V6455" s="35" t="inlineStr">
        <is>
          <t>Не определено</t>
        </is>
      </c>
      <c r="W6455" s="35" t="inlineStr"/>
      <c r="X6455" s="35" t="inlineStr"/>
    </row>
    <row r="6456" ht="15" customHeight="1" s="24">
      <c r="A6456" s="13" t="n">
        <v>5000121518</v>
      </c>
      <c r="B6456" s="13" t="inlineStr">
        <is>
          <t>МОУ "Привокзальная СОШ"</t>
        </is>
      </c>
      <c r="C6456" s="13" t="n">
        <v>5004010915</v>
      </c>
      <c r="D6456" s="13" t="inlineStr">
        <is>
          <t>5004010915</t>
        </is>
      </c>
      <c r="E6456" s="13" t="inlineStr">
        <is>
          <t>ЮЛ РФ</t>
        </is>
      </c>
      <c r="F6456" s="13" t="n"/>
      <c r="G6456" s="14" t="n"/>
      <c r="H6456" s="14" t="n"/>
      <c r="I6456" s="14" t="n"/>
      <c r="J6456" s="14" t="n"/>
      <c r="K6456" s="53" t="inlineStr"/>
      <c r="L6456" s="53" t="inlineStr">
        <is>
          <t>Не определено</t>
        </is>
      </c>
      <c r="M6456" s="53" t="inlineStr"/>
      <c r="N6456" s="54" t="inlineStr"/>
      <c r="O6456" s="55" t="inlineStr"/>
      <c r="P6456" s="16" t="inlineStr">
        <is>
          <t>Требует обогащения</t>
        </is>
      </c>
      <c r="Q6456" s="16">
        <f>HYPERLINK("https://pb.nalog.ru/search.html?query=5004010915","ФНС: проверить")</f>
        <v/>
      </c>
      <c r="R6456" s="16">
        <f>HYPERLINK("https://checko.ru/search?query=3801001629","Чекко: проверить")</f>
        <v/>
      </c>
      <c r="S6456" t="n">
        <v>1</v>
      </c>
      <c r="T6456" s="35" t="inlineStr">
        <is>
          <t>4 — Не обогащён</t>
        </is>
      </c>
      <c r="U6456" s="35" t="inlineStr">
        <is>
          <t>Нет ОКВЭД/ССЧР</t>
        </is>
      </c>
      <c r="V6456" s="35" t="inlineStr">
        <is>
          <t>Не определено</t>
        </is>
      </c>
      <c r="W6456" s="35" t="inlineStr"/>
      <c r="X6456" s="35" t="inlineStr"/>
    </row>
    <row r="6457" ht="15" customHeight="1" s="24">
      <c r="A6457" s="13" t="n">
        <v>5000121519</v>
      </c>
      <c r="B6457" s="13" t="inlineStr">
        <is>
          <t>МОУ "Детгородковская СОШ"</t>
        </is>
      </c>
      <c r="C6457" s="13" t="n">
        <v>5004001653</v>
      </c>
      <c r="D6457" s="13" t="inlineStr">
        <is>
          <t>5004001653</t>
        </is>
      </c>
      <c r="E6457" s="13" t="inlineStr">
        <is>
          <t>ЮЛ РФ</t>
        </is>
      </c>
      <c r="F6457" s="13" t="n"/>
      <c r="G6457" s="14" t="n"/>
      <c r="H6457" s="14" t="n"/>
      <c r="I6457" s="14" t="n"/>
      <c r="J6457" s="14" t="n"/>
      <c r="K6457" s="53" t="inlineStr"/>
      <c r="L6457" s="53" t="inlineStr">
        <is>
          <t>Не определено</t>
        </is>
      </c>
      <c r="M6457" s="53" t="inlineStr"/>
      <c r="N6457" s="54" t="inlineStr"/>
      <c r="O6457" s="55" t="inlineStr"/>
      <c r="P6457" s="16" t="inlineStr">
        <is>
          <t>Требует обогащения</t>
        </is>
      </c>
      <c r="Q6457" s="16">
        <f>HYPERLINK("https://pb.nalog.ru/search.html?query=5004001653","ФНС: проверить")</f>
        <v/>
      </c>
      <c r="R6457" s="16">
        <f>HYPERLINK("https://checko.ru/search?query=3801001629","Чекко: проверить")</f>
        <v/>
      </c>
      <c r="S6457" t="n">
        <v>1</v>
      </c>
      <c r="T6457" s="35" t="inlineStr">
        <is>
          <t>4 — Не обогащён</t>
        </is>
      </c>
      <c r="U6457" s="35" t="inlineStr">
        <is>
          <t>Нет ОКВЭД/ССЧР</t>
        </is>
      </c>
      <c r="V6457" s="35" t="inlineStr">
        <is>
          <t>Не определено</t>
        </is>
      </c>
      <c r="W6457" s="35" t="inlineStr"/>
      <c r="X6457" s="35" t="inlineStr"/>
    </row>
    <row r="6458" ht="15" customHeight="1" s="24">
      <c r="A6458" s="13" t="n">
        <v>5000121522</v>
      </c>
      <c r="B6458" s="13" t="inlineStr">
        <is>
          <t>МОУ "Сычевская СОШ"</t>
        </is>
      </c>
      <c r="C6458" s="13" t="n">
        <v>5004011620</v>
      </c>
      <c r="D6458" s="13" t="inlineStr">
        <is>
          <t>5004011620</t>
        </is>
      </c>
      <c r="E6458" s="13" t="inlineStr">
        <is>
          <t>ЮЛ РФ</t>
        </is>
      </c>
      <c r="F6458" s="13" t="n"/>
      <c r="G6458" s="14" t="n"/>
      <c r="H6458" s="14" t="n"/>
      <c r="I6458" s="14" t="n"/>
      <c r="J6458" s="14" t="n"/>
      <c r="K6458" s="53" t="inlineStr"/>
      <c r="L6458" s="53" t="inlineStr">
        <is>
          <t>Не определено</t>
        </is>
      </c>
      <c r="M6458" s="53" t="inlineStr"/>
      <c r="N6458" s="54" t="inlineStr"/>
      <c r="O6458" s="55" t="inlineStr"/>
      <c r="P6458" s="16" t="inlineStr">
        <is>
          <t>Требует обогащения</t>
        </is>
      </c>
      <c r="Q6458" s="16">
        <f>HYPERLINK("https://pb.nalog.ru/search.html?query=5004011620","ФНС: проверить")</f>
        <v/>
      </c>
      <c r="R6458" s="16">
        <f>HYPERLINK("https://checko.ru/search?query=3801001629","Чекко: проверить")</f>
        <v/>
      </c>
      <c r="S6458" t="n">
        <v>1</v>
      </c>
      <c r="T6458" s="35" t="inlineStr">
        <is>
          <t>4 — Не обогащён</t>
        </is>
      </c>
      <c r="U6458" s="35" t="inlineStr">
        <is>
          <t>Нет ОКВЭД/ССЧР</t>
        </is>
      </c>
      <c r="V6458" s="35" t="inlineStr">
        <is>
          <t>Не определено</t>
        </is>
      </c>
      <c r="W6458" s="35" t="inlineStr"/>
      <c r="X6458" s="35" t="inlineStr"/>
    </row>
    <row r="6459" ht="15" customHeight="1" s="24">
      <c r="A6459" s="13" t="n">
        <v>5000121523</v>
      </c>
      <c r="B6459" s="13" t="inlineStr">
        <is>
          <t>МОУ "Ярополецкая СОШ"</t>
        </is>
      </c>
      <c r="C6459" s="13" t="n">
        <v>5004010873</v>
      </c>
      <c r="D6459" s="13" t="inlineStr">
        <is>
          <t>5004010873</t>
        </is>
      </c>
      <c r="E6459" s="13" t="inlineStr">
        <is>
          <t>ЮЛ РФ</t>
        </is>
      </c>
      <c r="F6459" s="13" t="n"/>
      <c r="G6459" s="14" t="n"/>
      <c r="H6459" s="14" t="n"/>
      <c r="I6459" s="14" t="n"/>
      <c r="J6459" s="14" t="n"/>
      <c r="K6459" s="53" t="inlineStr"/>
      <c r="L6459" s="53" t="inlineStr">
        <is>
          <t>Не определено</t>
        </is>
      </c>
      <c r="M6459" s="53" t="inlineStr"/>
      <c r="N6459" s="54" t="inlineStr"/>
      <c r="O6459" s="55" t="inlineStr"/>
      <c r="P6459" s="16" t="inlineStr">
        <is>
          <t>Требует обогащения</t>
        </is>
      </c>
      <c r="Q6459" s="16">
        <f>HYPERLINK("https://pb.nalog.ru/search.html?query=5004010873","ФНС: проверить")</f>
        <v/>
      </c>
      <c r="R6459" s="16">
        <f>HYPERLINK("https://checko.ru/search?query=3801001629","Чекко: проверить")</f>
        <v/>
      </c>
      <c r="S6459" t="n">
        <v>1</v>
      </c>
      <c r="T6459" s="35" t="inlineStr">
        <is>
          <t>4 — Не обогащён</t>
        </is>
      </c>
      <c r="U6459" s="35" t="inlineStr">
        <is>
          <t>Нет ОКВЭД/ССЧР</t>
        </is>
      </c>
      <c r="V6459" s="35" t="inlineStr">
        <is>
          <t>Не определено</t>
        </is>
      </c>
      <c r="W6459" s="35" t="inlineStr"/>
      <c r="X6459" s="35" t="inlineStr"/>
    </row>
    <row r="6460" ht="15" customHeight="1" s="24">
      <c r="A6460" s="13" t="n">
        <v>5000121524</v>
      </c>
      <c r="B6460" s="13" t="inlineStr">
        <is>
          <t>МОУ ДО "ДДТ"</t>
        </is>
      </c>
      <c r="C6460" s="13" t="n">
        <v>5004011267</v>
      </c>
      <c r="D6460" s="13" t="inlineStr">
        <is>
          <t>5004011267</t>
        </is>
      </c>
      <c r="E6460" s="13" t="inlineStr">
        <is>
          <t>ЮЛ РФ</t>
        </is>
      </c>
      <c r="F6460" s="13" t="n"/>
      <c r="G6460" s="14" t="n"/>
      <c r="H6460" s="14" t="n"/>
      <c r="I6460" s="14" t="n"/>
      <c r="J6460" s="14" t="n"/>
      <c r="K6460" s="53" t="inlineStr"/>
      <c r="L6460" s="53" t="inlineStr">
        <is>
          <t>Не определено</t>
        </is>
      </c>
      <c r="M6460" s="53" t="inlineStr"/>
      <c r="N6460" s="54" t="inlineStr"/>
      <c r="O6460" s="55" t="inlineStr"/>
      <c r="P6460" s="16" t="inlineStr">
        <is>
          <t>Требует обогащения</t>
        </is>
      </c>
      <c r="Q6460" s="16">
        <f>HYPERLINK("https://pb.nalog.ru/search.html?query=5004011267","ФНС: проверить")</f>
        <v/>
      </c>
      <c r="R6460" s="16">
        <f>HYPERLINK("https://checko.ru/search?query=3801001629","Чекко: проверить")</f>
        <v/>
      </c>
      <c r="S6460" t="n">
        <v>1</v>
      </c>
      <c r="T6460" s="35" t="inlineStr">
        <is>
          <t>4 — Не обогащён</t>
        </is>
      </c>
      <c r="U6460" s="35" t="inlineStr">
        <is>
          <t>Нет ОКВЭД/ССЧР</t>
        </is>
      </c>
      <c r="V6460" s="35" t="inlineStr">
        <is>
          <t>Не определено</t>
        </is>
      </c>
      <c r="W6460" s="35" t="inlineStr"/>
      <c r="X6460" s="35" t="inlineStr"/>
    </row>
    <row r="6461" ht="15" customHeight="1" s="24">
      <c r="A6461" s="13" t="n">
        <v>5000121525</v>
      </c>
      <c r="B6461" s="13" t="inlineStr">
        <is>
          <t>МОУ "Волоколамская школа-интернат"</t>
        </is>
      </c>
      <c r="C6461" s="13" t="n">
        <v>5004010721</v>
      </c>
      <c r="D6461" s="13" t="inlineStr">
        <is>
          <t>5004010721</t>
        </is>
      </c>
      <c r="E6461" s="13" t="inlineStr">
        <is>
          <t>ЮЛ РФ</t>
        </is>
      </c>
      <c r="F6461" s="13" t="n"/>
      <c r="G6461" s="14" t="n"/>
      <c r="H6461" s="14" t="n"/>
      <c r="I6461" s="14" t="n"/>
      <c r="J6461" s="14" t="n"/>
      <c r="K6461" s="53" t="inlineStr"/>
      <c r="L6461" s="53" t="inlineStr">
        <is>
          <t>Не определено</t>
        </is>
      </c>
      <c r="M6461" s="53" t="inlineStr"/>
      <c r="N6461" s="54" t="inlineStr"/>
      <c r="O6461" s="55" t="inlineStr"/>
      <c r="P6461" s="16" t="inlineStr">
        <is>
          <t>Требует обогащения</t>
        </is>
      </c>
      <c r="Q6461" s="16">
        <f>HYPERLINK("https://pb.nalog.ru/search.html?query=5004010721","ФНС: проверить")</f>
        <v/>
      </c>
      <c r="R6461" s="16">
        <f>HYPERLINK("https://checko.ru/search?query=3801001629","Чекко: проверить")</f>
        <v/>
      </c>
      <c r="S6461" t="n">
        <v>1</v>
      </c>
      <c r="T6461" s="35" t="inlineStr">
        <is>
          <t>4 — Не обогащён</t>
        </is>
      </c>
      <c r="U6461" s="35" t="inlineStr">
        <is>
          <t>Нет ОКВЭД/ССЧР</t>
        </is>
      </c>
      <c r="V6461" s="35" t="inlineStr">
        <is>
          <t>Не определено</t>
        </is>
      </c>
      <c r="W6461" s="35" t="inlineStr"/>
      <c r="X6461" s="35" t="inlineStr"/>
    </row>
    <row r="6462" ht="15" customHeight="1" s="24">
      <c r="A6462" s="13" t="n">
        <v>5000121526</v>
      </c>
      <c r="B6462" s="13" t="inlineStr">
        <is>
          <t>МОУ ДПО "ВУМЦ"</t>
        </is>
      </c>
      <c r="C6462" s="13" t="n">
        <v>5004020825</v>
      </c>
      <c r="D6462" s="13" t="inlineStr">
        <is>
          <t>5004020825</t>
        </is>
      </c>
      <c r="E6462" s="13" t="inlineStr">
        <is>
          <t>ЮЛ РФ</t>
        </is>
      </c>
      <c r="F6462" s="13" t="n"/>
      <c r="G6462" s="14" t="n"/>
      <c r="H6462" s="14" t="n"/>
      <c r="I6462" s="14" t="n"/>
      <c r="J6462" s="14" t="n"/>
      <c r="K6462" s="53" t="inlineStr"/>
      <c r="L6462" s="53" t="inlineStr">
        <is>
          <t>Не определено</t>
        </is>
      </c>
      <c r="M6462" s="53" t="inlineStr"/>
      <c r="N6462" s="54" t="inlineStr"/>
      <c r="O6462" s="55" t="inlineStr"/>
      <c r="P6462" s="16" t="inlineStr">
        <is>
          <t>Требует обогащения</t>
        </is>
      </c>
      <c r="Q6462" s="16">
        <f>HYPERLINK("https://pb.nalog.ru/search.html?query=5004020825","ФНС: проверить")</f>
        <v/>
      </c>
      <c r="R6462" s="16">
        <f>HYPERLINK("https://checko.ru/search?query=3801001629","Чекко: проверить")</f>
        <v/>
      </c>
      <c r="S6462" t="n">
        <v>1</v>
      </c>
      <c r="T6462" s="35" t="inlineStr">
        <is>
          <t>4 — Не обогащён</t>
        </is>
      </c>
      <c r="U6462" s="35" t="inlineStr">
        <is>
          <t>Нет ОКВЭД/ССЧР</t>
        </is>
      </c>
      <c r="V6462" s="35" t="inlineStr">
        <is>
          <t>Не определено</t>
        </is>
      </c>
      <c r="W6462" s="35" t="inlineStr"/>
      <c r="X6462" s="35" t="inlineStr"/>
    </row>
    <row r="6463" ht="15" customHeight="1" s="24">
      <c r="A6463" s="13" t="n">
        <v>5000121527</v>
      </c>
      <c r="B6463" s="13" t="inlineStr">
        <is>
          <t>УСО</t>
        </is>
      </c>
      <c r="C6463" s="13" t="n">
        <v>5004010626</v>
      </c>
      <c r="D6463" s="13" t="inlineStr">
        <is>
          <t>5004010626</t>
        </is>
      </c>
      <c r="E6463" s="13" t="inlineStr">
        <is>
          <t>ЮЛ РФ</t>
        </is>
      </c>
      <c r="F6463" s="13" t="n"/>
      <c r="G6463" s="14" t="n"/>
      <c r="H6463" s="14" t="n"/>
      <c r="I6463" s="14" t="n"/>
      <c r="J6463" s="14" t="n"/>
      <c r="K6463" s="53" t="inlineStr"/>
      <c r="L6463" s="53" t="inlineStr">
        <is>
          <t>Не определено</t>
        </is>
      </c>
      <c r="M6463" s="53" t="inlineStr"/>
      <c r="N6463" s="54" t="inlineStr"/>
      <c r="O6463" s="55" t="inlineStr"/>
      <c r="P6463" s="16" t="inlineStr">
        <is>
          <t>Требует обогащения</t>
        </is>
      </c>
      <c r="Q6463" s="16">
        <f>HYPERLINK("https://pb.nalog.ru/search.html?query=5004010626","ФНС: проверить")</f>
        <v/>
      </c>
      <c r="R6463" s="16">
        <f>HYPERLINK("https://checko.ru/search?query=3801001629","Чекко: проверить")</f>
        <v/>
      </c>
      <c r="S6463" t="n">
        <v>1</v>
      </c>
      <c r="T6463" s="35" t="inlineStr">
        <is>
          <t>4 — Не обогащён</t>
        </is>
      </c>
      <c r="U6463" s="35" t="inlineStr">
        <is>
          <t>Нет ОКВЭД/ССЧР</t>
        </is>
      </c>
      <c r="V6463" s="35" t="inlineStr">
        <is>
          <t>Не определено</t>
        </is>
      </c>
      <c r="W6463" s="35" t="inlineStr"/>
      <c r="X6463" s="35" t="inlineStr"/>
    </row>
    <row r="6464" ht="15" customHeight="1" s="24">
      <c r="A6464" s="13" t="n">
        <v>5000121609</v>
      </c>
      <c r="B6464" s="13" t="inlineStr">
        <is>
          <t>МАУ "ПКО "БРОННИЦКИЙ ЛУГ"</t>
        </is>
      </c>
      <c r="C6464" s="13" t="n">
        <v>5040184201</v>
      </c>
      <c r="D6464" s="13" t="inlineStr">
        <is>
          <t>5040184201</t>
        </is>
      </c>
      <c r="E6464" s="13" t="inlineStr">
        <is>
          <t>ЮЛ РФ</t>
        </is>
      </c>
      <c r="F6464" s="13" t="n"/>
      <c r="G6464" s="14" t="n"/>
      <c r="H6464" s="14" t="n"/>
      <c r="I6464" s="14" t="n"/>
      <c r="J6464" s="14" t="n"/>
      <c r="K6464" s="53" t="inlineStr"/>
      <c r="L6464" s="53" t="inlineStr">
        <is>
          <t>Не определено</t>
        </is>
      </c>
      <c r="M6464" s="53" t="inlineStr"/>
      <c r="N6464" s="54" t="inlineStr"/>
      <c r="O6464" s="55" t="inlineStr"/>
      <c r="P6464" s="16" t="inlineStr">
        <is>
          <t>Требует обогащения</t>
        </is>
      </c>
      <c r="Q6464" s="16">
        <f>HYPERLINK("https://pb.nalog.ru/search.html?query=5040184201","ФНС: проверить")</f>
        <v/>
      </c>
      <c r="R6464" s="16">
        <f>HYPERLINK("https://checko.ru/search?query=3801001629","Чекко: проверить")</f>
        <v/>
      </c>
      <c r="S6464" t="n">
        <v>1</v>
      </c>
      <c r="T6464" s="35" t="inlineStr">
        <is>
          <t>4 — Не обогащён</t>
        </is>
      </c>
      <c r="U6464" s="35" t="inlineStr">
        <is>
          <t>Нет ОКВЭД/ССЧР</t>
        </is>
      </c>
      <c r="V6464" s="35" t="inlineStr">
        <is>
          <t>Не определено</t>
        </is>
      </c>
      <c r="W6464" s="35" t="inlineStr"/>
      <c r="X6464" s="35" t="inlineStr"/>
    </row>
    <row r="6465" ht="27.75" customHeight="1" s="24">
      <c r="A6465" s="13" t="n">
        <v>5000121612</v>
      </c>
      <c r="B6465" s="13" t="inlineStr">
        <is>
          <t>Администрация Городского Округа Бронницы Московской Области</t>
        </is>
      </c>
      <c r="C6465" s="13" t="n">
        <v>5002001190</v>
      </c>
      <c r="D6465" s="13" t="inlineStr">
        <is>
          <t>5002001190</t>
        </is>
      </c>
      <c r="E6465" s="13" t="inlineStr">
        <is>
          <t>ЮЛ РФ</t>
        </is>
      </c>
      <c r="F6465" s="13" t="n"/>
      <c r="G6465" s="14" t="n"/>
      <c r="H6465" s="14" t="n"/>
      <c r="I6465" s="14" t="n"/>
      <c r="J6465" s="14" t="n"/>
      <c r="K6465" s="53" t="inlineStr"/>
      <c r="L6465" s="53" t="inlineStr">
        <is>
          <t>Не определено</t>
        </is>
      </c>
      <c r="M6465" s="53" t="inlineStr"/>
      <c r="N6465" s="54" t="inlineStr"/>
      <c r="O6465" s="55" t="inlineStr"/>
      <c r="P6465" s="16" t="inlineStr">
        <is>
          <t>Требует обогащения</t>
        </is>
      </c>
      <c r="Q6465" s="16">
        <f>HYPERLINK("https://pb.nalog.ru/search.html?query=5002001190","ФНС: проверить")</f>
        <v/>
      </c>
      <c r="R6465" s="16">
        <f>HYPERLINK("https://checko.ru/search?query=3801001629","Чекко: проверить")</f>
        <v/>
      </c>
      <c r="S6465" t="n">
        <v>1</v>
      </c>
      <c r="T6465" s="35" t="inlineStr">
        <is>
          <t>4 — Не обогащён</t>
        </is>
      </c>
      <c r="U6465" s="35" t="inlineStr">
        <is>
          <t>Нет ОКВЭД/ССЧР</t>
        </is>
      </c>
      <c r="V6465" s="35" t="inlineStr">
        <is>
          <t>Не определено</t>
        </is>
      </c>
      <c r="W6465" s="35" t="inlineStr"/>
      <c r="X6465" s="35" t="inlineStr"/>
    </row>
    <row r="6466" ht="15" customHeight="1" s="24">
      <c r="A6466" s="13" t="n">
        <v>5000121614</v>
      </c>
      <c r="B6466" s="13" t="inlineStr">
        <is>
          <t>МАУ ДО ДДТ Г. О. БРОННИЦЫ</t>
        </is>
      </c>
      <c r="C6466" s="13" t="n">
        <v>5002003616</v>
      </c>
      <c r="D6466" s="13" t="inlineStr">
        <is>
          <t>5002003616</t>
        </is>
      </c>
      <c r="E6466" s="13" t="inlineStr">
        <is>
          <t>ЮЛ РФ</t>
        </is>
      </c>
      <c r="F6466" s="13" t="n"/>
      <c r="G6466" s="14" t="n"/>
      <c r="H6466" s="14" t="n"/>
      <c r="I6466" s="14" t="n"/>
      <c r="J6466" s="14" t="n"/>
      <c r="K6466" s="53" t="inlineStr"/>
      <c r="L6466" s="53" t="inlineStr">
        <is>
          <t>Не определено</t>
        </is>
      </c>
      <c r="M6466" s="53" t="inlineStr"/>
      <c r="N6466" s="54" t="inlineStr"/>
      <c r="O6466" s="55" t="inlineStr"/>
      <c r="P6466" s="16" t="inlineStr">
        <is>
          <t>Требует обогащения</t>
        </is>
      </c>
      <c r="Q6466" s="16">
        <f>HYPERLINK("https://pb.nalog.ru/search.html?query=5002003616","ФНС: проверить")</f>
        <v/>
      </c>
      <c r="R6466" s="16">
        <f>HYPERLINK("https://checko.ru/search?query=3801001629","Чекко: проверить")</f>
        <v/>
      </c>
      <c r="S6466" t="n">
        <v>1</v>
      </c>
      <c r="T6466" s="35" t="inlineStr">
        <is>
          <t>4 — Не обогащён</t>
        </is>
      </c>
      <c r="U6466" s="35" t="inlineStr">
        <is>
          <t>Нет ОКВЭД/ССЧР</t>
        </is>
      </c>
      <c r="V6466" s="35" t="inlineStr">
        <is>
          <t>Не определено</t>
        </is>
      </c>
      <c r="W6466" s="35" t="inlineStr"/>
      <c r="X6466" s="35" t="inlineStr"/>
    </row>
    <row r="6467" ht="15" customHeight="1" s="24">
      <c r="A6467" s="13" t="n">
        <v>5000121615</v>
      </c>
      <c r="B6467" s="13" t="inlineStr">
        <is>
          <t>МАОУ ЛИЦЕЙ Г.О. БРОННИЦЫ</t>
        </is>
      </c>
      <c r="C6467" s="13" t="n">
        <v>5002003542</v>
      </c>
      <c r="D6467" s="13" t="inlineStr">
        <is>
          <t>5002003542</t>
        </is>
      </c>
      <c r="E6467" s="13" t="inlineStr">
        <is>
          <t>ЮЛ РФ</t>
        </is>
      </c>
      <c r="F6467" s="13" t="n"/>
      <c r="G6467" s="14" t="n"/>
      <c r="H6467" s="14" t="n"/>
      <c r="I6467" s="14" t="n"/>
      <c r="J6467" s="14" t="n"/>
      <c r="K6467" s="53" t="inlineStr"/>
      <c r="L6467" s="53" t="inlineStr">
        <is>
          <t>Не определено</t>
        </is>
      </c>
      <c r="M6467" s="53" t="inlineStr"/>
      <c r="N6467" s="54" t="inlineStr"/>
      <c r="O6467" s="55" t="inlineStr"/>
      <c r="P6467" s="16" t="inlineStr">
        <is>
          <t>Требует обогащения</t>
        </is>
      </c>
      <c r="Q6467" s="16">
        <f>HYPERLINK("https://pb.nalog.ru/search.html?query=5002003542","ФНС: проверить")</f>
        <v/>
      </c>
      <c r="R6467" s="16">
        <f>HYPERLINK("https://checko.ru/search?query=3801001629","Чекко: проверить")</f>
        <v/>
      </c>
      <c r="S6467" t="n">
        <v>1</v>
      </c>
      <c r="T6467" s="35" t="inlineStr">
        <is>
          <t>4 — Не обогащён</t>
        </is>
      </c>
      <c r="U6467" s="35" t="inlineStr">
        <is>
          <t>Нет ОКВЭД/ССЧР</t>
        </is>
      </c>
      <c r="V6467" s="35" t="inlineStr">
        <is>
          <t>Не определено</t>
        </is>
      </c>
      <c r="W6467" s="35" t="inlineStr"/>
      <c r="X6467" s="35" t="inlineStr"/>
    </row>
    <row r="6468" ht="27.75" customHeight="1" s="24">
      <c r="A6468" s="13" t="n">
        <v>5000121616</v>
      </c>
      <c r="B6468" s="13" t="inlineStr">
        <is>
          <t>МАОУ СОШ № 2 ИМЕНИ Н.А. ТИМОФЕЕВА Г.О. БРОННИЦЫ</t>
        </is>
      </c>
      <c r="C6468" s="13" t="n">
        <v>5002003550</v>
      </c>
      <c r="D6468" s="13" t="inlineStr">
        <is>
          <t>5002003550</t>
        </is>
      </c>
      <c r="E6468" s="13" t="inlineStr">
        <is>
          <t>ЮЛ РФ</t>
        </is>
      </c>
      <c r="F6468" s="13" t="n"/>
      <c r="G6468" s="14" t="n"/>
      <c r="H6468" s="14" t="n"/>
      <c r="I6468" s="14" t="n"/>
      <c r="J6468" s="14" t="n"/>
      <c r="K6468" s="53" t="inlineStr"/>
      <c r="L6468" s="53" t="inlineStr">
        <is>
          <t>Не определено</t>
        </is>
      </c>
      <c r="M6468" s="53" t="inlineStr"/>
      <c r="N6468" s="54" t="inlineStr"/>
      <c r="O6468" s="55" t="inlineStr"/>
      <c r="P6468" s="16" t="inlineStr">
        <is>
          <t>Требует обогащения</t>
        </is>
      </c>
      <c r="Q6468" s="16">
        <f>HYPERLINK("https://pb.nalog.ru/search.html?query=5002003550","ФНС: проверить")</f>
        <v/>
      </c>
      <c r="R6468" s="16">
        <f>HYPERLINK("https://checko.ru/search?query=3801001629","Чекко: проверить")</f>
        <v/>
      </c>
      <c r="S6468" t="n">
        <v>1</v>
      </c>
      <c r="T6468" s="35" t="inlineStr">
        <is>
          <t>4 — Не обогащён</t>
        </is>
      </c>
      <c r="U6468" s="35" t="inlineStr">
        <is>
          <t>Нет ОКВЭД/ССЧР</t>
        </is>
      </c>
      <c r="V6468" s="35" t="inlineStr">
        <is>
          <t>Не определено</t>
        </is>
      </c>
      <c r="W6468" s="35" t="inlineStr"/>
      <c r="X6468" s="35" t="inlineStr"/>
    </row>
    <row r="6469" ht="27.75" customHeight="1" s="24">
      <c r="A6469" s="13" t="n">
        <v>5000121617</v>
      </c>
      <c r="B6469" s="13" t="inlineStr">
        <is>
          <t>МАОУ ГИМНАЗИЯ ИМЕНИ А.А.ПУШКИНА Г.О. БРОННИЦЫ</t>
        </is>
      </c>
      <c r="C6469" s="13" t="n">
        <v>5002003535</v>
      </c>
      <c r="D6469" s="13" t="inlineStr">
        <is>
          <t>5002003535</t>
        </is>
      </c>
      <c r="E6469" s="13" t="inlineStr">
        <is>
          <t>ЮЛ РФ</t>
        </is>
      </c>
      <c r="F6469" s="13" t="n"/>
      <c r="G6469" s="14" t="n"/>
      <c r="H6469" s="14" t="n"/>
      <c r="I6469" s="14" t="n"/>
      <c r="J6469" s="14" t="n"/>
      <c r="K6469" s="53" t="inlineStr"/>
      <c r="L6469" s="53" t="inlineStr">
        <is>
          <t>Не определено</t>
        </is>
      </c>
      <c r="M6469" s="53" t="inlineStr"/>
      <c r="N6469" s="54" t="inlineStr"/>
      <c r="O6469" s="55" t="inlineStr"/>
      <c r="P6469" s="16" t="inlineStr">
        <is>
          <t>Требует обогащения</t>
        </is>
      </c>
      <c r="Q6469" s="16">
        <f>HYPERLINK("https://pb.nalog.ru/search.html?query=5002003535","ФНС: проверить")</f>
        <v/>
      </c>
      <c r="R6469" s="16">
        <f>HYPERLINK("https://checko.ru/search?query=3801001629","Чекко: проверить")</f>
        <v/>
      </c>
      <c r="S6469" t="n">
        <v>1</v>
      </c>
      <c r="T6469" s="35" t="inlineStr">
        <is>
          <t>4 — Не обогащён</t>
        </is>
      </c>
      <c r="U6469" s="35" t="inlineStr">
        <is>
          <t>Нет ОКВЭД/ССЧР</t>
        </is>
      </c>
      <c r="V6469" s="35" t="inlineStr">
        <is>
          <t>Не определено</t>
        </is>
      </c>
      <c r="W6469" s="35" t="inlineStr"/>
      <c r="X6469" s="35" t="inlineStr"/>
    </row>
    <row r="6470" ht="15" customHeight="1" s="24">
      <c r="A6470" s="13" t="n">
        <v>5000121611</v>
      </c>
      <c r="B6470" s="13" t="inlineStr">
        <is>
          <t>МУ ФКиС "Спортивный клуб Бронницы"</t>
        </is>
      </c>
      <c r="C6470" s="13" t="n">
        <v>5002002436</v>
      </c>
      <c r="D6470" s="13" t="inlineStr">
        <is>
          <t>5002002436</t>
        </is>
      </c>
      <c r="E6470" s="13" t="inlineStr">
        <is>
          <t>ЮЛ РФ</t>
        </is>
      </c>
      <c r="F6470" s="13" t="n"/>
      <c r="G6470" s="14" t="n"/>
      <c r="H6470" s="14" t="n"/>
      <c r="I6470" s="14" t="n"/>
      <c r="J6470" s="14" t="n"/>
      <c r="K6470" s="53" t="inlineStr"/>
      <c r="L6470" s="53" t="inlineStr">
        <is>
          <t>Не определено</t>
        </is>
      </c>
      <c r="M6470" s="53" t="inlineStr"/>
      <c r="N6470" s="54" t="inlineStr"/>
      <c r="O6470" s="55" t="inlineStr"/>
      <c r="P6470" s="16" t="inlineStr">
        <is>
          <t>Требует обогащения</t>
        </is>
      </c>
      <c r="Q6470" s="16">
        <f>HYPERLINK("https://pb.nalog.ru/search.html?query=5002002436","ФНС: проверить")</f>
        <v/>
      </c>
      <c r="R6470" s="16">
        <f>HYPERLINK("https://checko.ru/search?query=3801001629","Чекко: проверить")</f>
        <v/>
      </c>
      <c r="S6470" t="n">
        <v>1</v>
      </c>
      <c r="T6470" s="35" t="inlineStr">
        <is>
          <t>4 — Не обогащён</t>
        </is>
      </c>
      <c r="U6470" s="35" t="inlineStr">
        <is>
          <t>Нет ОКВЭД/ССЧР</t>
        </is>
      </c>
      <c r="V6470" s="35" t="inlineStr">
        <is>
          <t>Не определено</t>
        </is>
      </c>
      <c r="W6470" s="35" t="inlineStr"/>
      <c r="X6470" s="35" t="inlineStr"/>
    </row>
    <row r="6471" ht="27.75" customHeight="1" s="24">
      <c r="A6471" s="13" t="n">
        <v>5000021493</v>
      </c>
      <c r="B6471" s="13" t="inlineStr">
        <is>
          <t>МАУ "Спортивная школа по конному спорту "Пони-спорт "Планерная"</t>
        </is>
      </c>
      <c r="C6471" s="13" t="n">
        <v>5047067987</v>
      </c>
      <c r="D6471" s="13" t="inlineStr">
        <is>
          <t>5047067987</t>
        </is>
      </c>
      <c r="E6471" s="13" t="inlineStr">
        <is>
          <t>ЮЛ РФ</t>
        </is>
      </c>
      <c r="F6471" s="13" t="n"/>
      <c r="G6471" s="14" t="n"/>
      <c r="H6471" s="14" t="n"/>
      <c r="I6471" s="14" t="n"/>
      <c r="J6471" s="14" t="n"/>
      <c r="K6471" s="53" t="inlineStr"/>
      <c r="L6471" s="53" t="inlineStr">
        <is>
          <t>Не определено</t>
        </is>
      </c>
      <c r="M6471" s="53" t="inlineStr"/>
      <c r="N6471" s="54" t="inlineStr"/>
      <c r="O6471" s="55" t="inlineStr"/>
      <c r="P6471" s="16" t="inlineStr">
        <is>
          <t>Требует обогащения</t>
        </is>
      </c>
      <c r="Q6471" s="16">
        <f>HYPERLINK("https://pb.nalog.ru/search.html?query=5047067987","ФНС: проверить")</f>
        <v/>
      </c>
      <c r="R6471" s="16">
        <f>HYPERLINK("https://checko.ru/search?query=3801001629","Чекко: проверить")</f>
        <v/>
      </c>
      <c r="S6471" t="n">
        <v>1</v>
      </c>
      <c r="T6471" s="35" t="inlineStr">
        <is>
          <t>4 — Не обогащён</t>
        </is>
      </c>
      <c r="U6471" s="35" t="inlineStr">
        <is>
          <t>Нет ОКВЭД/ССЧР</t>
        </is>
      </c>
      <c r="V6471" s="35" t="inlineStr">
        <is>
          <t>Не определено</t>
        </is>
      </c>
      <c r="W6471" s="35" t="inlineStr"/>
      <c r="X6471" s="35" t="inlineStr"/>
    </row>
    <row r="6472" ht="15" customHeight="1" s="24">
      <c r="A6472" s="13" t="n">
        <v>5000121176</v>
      </c>
      <c r="B6472" s="13" t="inlineStr">
        <is>
          <t>МАУ ЦЕНТР "СОЛНЕЧНЫЙ КРУГ"</t>
        </is>
      </c>
      <c r="C6472" s="13" t="n">
        <v>5056004246</v>
      </c>
      <c r="D6472" s="13" t="inlineStr">
        <is>
          <t>5056004246</t>
        </is>
      </c>
      <c r="E6472" s="13" t="inlineStr">
        <is>
          <t>ЮЛ РФ</t>
        </is>
      </c>
      <c r="F6472" s="13" t="n"/>
      <c r="G6472" s="14" t="n"/>
      <c r="H6472" s="14" t="n"/>
      <c r="I6472" s="14" t="n"/>
      <c r="J6472" s="14" t="n"/>
      <c r="K6472" s="53" t="inlineStr"/>
      <c r="L6472" s="53" t="inlineStr">
        <is>
          <t>Не определено</t>
        </is>
      </c>
      <c r="M6472" s="53" t="inlineStr"/>
      <c r="N6472" s="54" t="inlineStr"/>
      <c r="O6472" s="55" t="inlineStr"/>
      <c r="P6472" s="16" t="inlineStr">
        <is>
          <t>Требует обогащения</t>
        </is>
      </c>
      <c r="Q6472" s="16">
        <f>HYPERLINK("https://pb.nalog.ru/search.html?query=5056004246","ФНС: проверить")</f>
        <v/>
      </c>
      <c r="R6472" s="16">
        <f>HYPERLINK("https://checko.ru/search?query=3801001629","Чекко: проверить")</f>
        <v/>
      </c>
      <c r="S6472" t="n">
        <v>1</v>
      </c>
      <c r="T6472" s="35" t="inlineStr">
        <is>
          <t>4 — Не обогащён</t>
        </is>
      </c>
      <c r="U6472" s="35" t="inlineStr">
        <is>
          <t>Нет ОКВЭД/ССЧР</t>
        </is>
      </c>
      <c r="V6472" s="35" t="inlineStr">
        <is>
          <t>Не определено</t>
        </is>
      </c>
      <c r="W6472" s="35" t="inlineStr"/>
      <c r="X6472" s="35" t="inlineStr"/>
    </row>
    <row r="6473" ht="15" customHeight="1" s="24">
      <c r="A6473" s="13" t="n">
        <v>5000122483</v>
      </c>
      <c r="B6473" s="13" t="inlineStr">
        <is>
          <t>МОУ СОШ "ПЕРСПЕКТИВА"</t>
        </is>
      </c>
      <c r="C6473" s="13" t="n">
        <v>5028017050</v>
      </c>
      <c r="D6473" s="13" t="inlineStr">
        <is>
          <t>5028017050</t>
        </is>
      </c>
      <c r="E6473" s="13" t="inlineStr">
        <is>
          <t>ЮЛ РФ</t>
        </is>
      </c>
      <c r="F6473" s="13" t="n"/>
      <c r="G6473" s="14" t="n"/>
      <c r="H6473" s="14" t="n"/>
      <c r="I6473" s="14" t="n"/>
      <c r="J6473" s="14" t="n"/>
      <c r="K6473" s="53" t="inlineStr"/>
      <c r="L6473" s="53" t="inlineStr">
        <is>
          <t>Не определено</t>
        </is>
      </c>
      <c r="M6473" s="53" t="inlineStr"/>
      <c r="N6473" s="54" t="inlineStr"/>
      <c r="O6473" s="55" t="inlineStr"/>
      <c r="P6473" s="16" t="inlineStr">
        <is>
          <t>Требует обогащения</t>
        </is>
      </c>
      <c r="Q6473" s="16">
        <f>HYPERLINK("https://pb.nalog.ru/search.html?query=5028017050","ФНС: проверить")</f>
        <v/>
      </c>
      <c r="R6473" s="16">
        <f>HYPERLINK("https://checko.ru/search?query=3801001629","Чекко: проверить")</f>
        <v/>
      </c>
      <c r="S6473" t="n">
        <v>1</v>
      </c>
      <c r="T6473" s="35" t="inlineStr">
        <is>
          <t>4 — Не обогащён</t>
        </is>
      </c>
      <c r="U6473" s="35" t="inlineStr">
        <is>
          <t>Нет ОКВЭД/ССЧР</t>
        </is>
      </c>
      <c r="V6473" s="35" t="inlineStr">
        <is>
          <t>Не определено</t>
        </is>
      </c>
      <c r="W6473" s="35" t="inlineStr"/>
      <c r="X6473" s="35" t="inlineStr"/>
    </row>
    <row r="6474" ht="27.75" customHeight="1" s="24">
      <c r="A6474" s="13" t="n">
        <v>5000122507</v>
      </c>
      <c r="B6474" s="13" t="inlineStr">
        <is>
          <t>Администрация Можайского Муниципального Округа Московской Области</t>
        </is>
      </c>
      <c r="C6474" s="13" t="n">
        <v>5028003963</v>
      </c>
      <c r="D6474" s="13" t="inlineStr">
        <is>
          <t>5028003963</t>
        </is>
      </c>
      <c r="E6474" s="13" t="inlineStr">
        <is>
          <t>ЮЛ РФ</t>
        </is>
      </c>
      <c r="F6474" s="13" t="n"/>
      <c r="G6474" s="14" t="n"/>
      <c r="H6474" s="14" t="n"/>
      <c r="I6474" s="14" t="n"/>
      <c r="J6474" s="14" t="n"/>
      <c r="K6474" s="53" t="inlineStr"/>
      <c r="L6474" s="53" t="inlineStr">
        <is>
          <t>Не определено</t>
        </is>
      </c>
      <c r="M6474" s="53" t="inlineStr"/>
      <c r="N6474" s="54" t="inlineStr"/>
      <c r="O6474" s="55" t="inlineStr"/>
      <c r="P6474" s="16" t="inlineStr">
        <is>
          <t>Требует обогащения</t>
        </is>
      </c>
      <c r="Q6474" s="16">
        <f>HYPERLINK("https://pb.nalog.ru/search.html?query=5028003963","ФНС: проверить")</f>
        <v/>
      </c>
      <c r="R6474" s="16">
        <f>HYPERLINK("https://checko.ru/search?query=3801001629","Чекко: проверить")</f>
        <v/>
      </c>
      <c r="S6474" t="n">
        <v>1</v>
      </c>
      <c r="T6474" s="35" t="inlineStr">
        <is>
          <t>4 — Не обогащён</t>
        </is>
      </c>
      <c r="U6474" s="35" t="inlineStr">
        <is>
          <t>Нет ОКВЭД/ССЧР</t>
        </is>
      </c>
      <c r="V6474" s="35" t="inlineStr">
        <is>
          <t>Не определено</t>
        </is>
      </c>
      <c r="W6474" s="35" t="inlineStr"/>
      <c r="X6474" s="35" t="inlineStr"/>
    </row>
    <row r="6475" ht="15" customHeight="1" s="24">
      <c r="A6475" s="13" t="n">
        <v>5000122509</v>
      </c>
      <c r="B6475" s="13" t="inlineStr">
        <is>
          <t>МОУ - СОШ №3 Г. МОЖАЙСКА</t>
        </is>
      </c>
      <c r="C6475" s="13" t="n">
        <v>5028017074</v>
      </c>
      <c r="D6475" s="13" t="inlineStr">
        <is>
          <t>5028017074</t>
        </is>
      </c>
      <c r="E6475" s="13" t="inlineStr">
        <is>
          <t>ЮЛ РФ</t>
        </is>
      </c>
      <c r="F6475" s="13" t="n"/>
      <c r="G6475" s="14" t="n"/>
      <c r="H6475" s="14" t="n"/>
      <c r="I6475" s="14" t="n"/>
      <c r="J6475" s="14" t="n"/>
      <c r="K6475" s="53" t="inlineStr"/>
      <c r="L6475" s="53" t="inlineStr">
        <is>
          <t>Не определено</t>
        </is>
      </c>
      <c r="M6475" s="53" t="inlineStr"/>
      <c r="N6475" s="54" t="inlineStr"/>
      <c r="O6475" s="55" t="inlineStr"/>
      <c r="P6475" s="16" t="inlineStr">
        <is>
          <t>Требует обогащения</t>
        </is>
      </c>
      <c r="Q6475" s="16">
        <f>HYPERLINK("https://pb.nalog.ru/search.html?query=5028017074","ФНС: проверить")</f>
        <v/>
      </c>
      <c r="R6475" s="16">
        <f>HYPERLINK("https://checko.ru/search?query=3801001629","Чекко: проверить")</f>
        <v/>
      </c>
      <c r="S6475" t="n">
        <v>1</v>
      </c>
      <c r="T6475" s="35" t="inlineStr">
        <is>
          <t>4 — Не обогащён</t>
        </is>
      </c>
      <c r="U6475" s="35" t="inlineStr">
        <is>
          <t>Нет ОКВЭД/ССЧР</t>
        </is>
      </c>
      <c r="V6475" s="35" t="inlineStr">
        <is>
          <t>Не определено</t>
        </is>
      </c>
      <c r="W6475" s="35" t="inlineStr"/>
      <c r="X6475" s="35" t="inlineStr"/>
    </row>
    <row r="6476" ht="15" customHeight="1" s="24">
      <c r="A6476" s="13" t="n">
        <v>5000123015</v>
      </c>
      <c r="B6476" s="13" t="inlineStr">
        <is>
          <t>МКУ "ФОК "МОЛОДЁЖНЫЙ"</t>
        </is>
      </c>
      <c r="C6476" s="13" t="n">
        <v>5030098056</v>
      </c>
      <c r="D6476" s="13" t="inlineStr">
        <is>
          <t>5030098056</t>
        </is>
      </c>
      <c r="E6476" s="13" t="inlineStr">
        <is>
          <t>ЮЛ РФ</t>
        </is>
      </c>
      <c r="F6476" s="13" t="n"/>
      <c r="G6476" s="14" t="n"/>
      <c r="H6476" s="14" t="n"/>
      <c r="I6476" s="14" t="n"/>
      <c r="J6476" s="14" t="n"/>
      <c r="K6476" s="53" t="inlineStr"/>
      <c r="L6476" s="53" t="inlineStr">
        <is>
          <t>Не определено</t>
        </is>
      </c>
      <c r="M6476" s="53" t="inlineStr"/>
      <c r="N6476" s="54" t="inlineStr"/>
      <c r="O6476" s="55" t="inlineStr"/>
      <c r="P6476" s="16" t="inlineStr">
        <is>
          <t>Требует обогащения</t>
        </is>
      </c>
      <c r="Q6476" s="16">
        <f>HYPERLINK("https://pb.nalog.ru/search.html?query=5030098056","ФНС: проверить")</f>
        <v/>
      </c>
      <c r="R6476" s="16">
        <f>HYPERLINK("https://checko.ru/search?query=3801001629","Чекко: проверить")</f>
        <v/>
      </c>
      <c r="S6476" t="n">
        <v>1</v>
      </c>
      <c r="T6476" s="35" t="inlineStr">
        <is>
          <t>4 — Не обогащён</t>
        </is>
      </c>
      <c r="U6476" s="35" t="inlineStr">
        <is>
          <t>Нет ОКВЭД/ССЧР</t>
        </is>
      </c>
      <c r="V6476" s="35" t="inlineStr">
        <is>
          <t>Не определено</t>
        </is>
      </c>
      <c r="W6476" s="35" t="inlineStr"/>
      <c r="X6476" s="35" t="inlineStr"/>
    </row>
    <row r="6477" ht="15" customHeight="1" s="24">
      <c r="A6477" s="13" t="n">
        <v>5000123017</v>
      </c>
      <c r="B6477" s="13" t="inlineStr">
        <is>
          <t>МКУ "ЕДДС Г.О. Молодёжный"</t>
        </is>
      </c>
      <c r="C6477" s="13" t="n">
        <v>5030087576</v>
      </c>
      <c r="D6477" s="13" t="inlineStr">
        <is>
          <t>5030087576</t>
        </is>
      </c>
      <c r="E6477" s="13" t="inlineStr">
        <is>
          <t>ЮЛ РФ</t>
        </is>
      </c>
      <c r="F6477" s="13" t="n"/>
      <c r="G6477" s="14" t="n"/>
      <c r="H6477" s="14" t="n"/>
      <c r="I6477" s="14" t="n"/>
      <c r="J6477" s="14" t="n"/>
      <c r="K6477" s="53" t="inlineStr"/>
      <c r="L6477" s="53" t="inlineStr">
        <is>
          <t>Не определено</t>
        </is>
      </c>
      <c r="M6477" s="53" t="inlineStr"/>
      <c r="N6477" s="54" t="inlineStr"/>
      <c r="O6477" s="55" t="inlineStr"/>
      <c r="P6477" s="16" t="inlineStr">
        <is>
          <t>Требует обогащения</t>
        </is>
      </c>
      <c r="Q6477" s="16">
        <f>HYPERLINK("https://pb.nalog.ru/search.html?query=5030087576","ФНС: проверить")</f>
        <v/>
      </c>
      <c r="R6477" s="16">
        <f>HYPERLINK("https://checko.ru/search?query=3801001629","Чекко: проверить")</f>
        <v/>
      </c>
      <c r="S6477" t="n">
        <v>1</v>
      </c>
      <c r="T6477" s="35" t="inlineStr">
        <is>
          <t>4 — Не обогащён</t>
        </is>
      </c>
      <c r="U6477" s="35" t="inlineStr">
        <is>
          <t>Нет ОКВЭД/ССЧР</t>
        </is>
      </c>
      <c r="V6477" s="35" t="inlineStr">
        <is>
          <t>Не определено</t>
        </is>
      </c>
      <c r="W6477" s="35" t="inlineStr"/>
      <c r="X6477" s="35" t="inlineStr"/>
    </row>
    <row r="6478" ht="15" customHeight="1" s="24">
      <c r="A6478" s="13" t="n">
        <v>5000122492</v>
      </c>
      <c r="B6478" s="13" t="inlineStr">
        <is>
          <t>МКУ ММР МО "Центр торгов"</t>
        </is>
      </c>
      <c r="C6478" s="13" t="n">
        <v>5028032516</v>
      </c>
      <c r="D6478" s="13" t="inlineStr">
        <is>
          <t>5028032516</t>
        </is>
      </c>
      <c r="E6478" s="13" t="inlineStr">
        <is>
          <t>ЮЛ РФ</t>
        </is>
      </c>
      <c r="F6478" s="13" t="n"/>
      <c r="G6478" s="14" t="n"/>
      <c r="H6478" s="14" t="n"/>
      <c r="I6478" s="14" t="n"/>
      <c r="J6478" s="14" t="n"/>
      <c r="K6478" s="53" t="inlineStr"/>
      <c r="L6478" s="53" t="inlineStr">
        <is>
          <t>Не определено</t>
        </is>
      </c>
      <c r="M6478" s="53" t="inlineStr"/>
      <c r="N6478" s="54" t="inlineStr"/>
      <c r="O6478" s="55" t="inlineStr"/>
      <c r="P6478" s="16" t="inlineStr">
        <is>
          <t>Требует обогащения</t>
        </is>
      </c>
      <c r="Q6478" s="16">
        <f>HYPERLINK("https://pb.nalog.ru/search.html?query=5028032516","ФНС: проверить")</f>
        <v/>
      </c>
      <c r="R6478" s="16">
        <f>HYPERLINK("https://checko.ru/search?query=3801001629","Чекко: проверить")</f>
        <v/>
      </c>
      <c r="S6478" t="n">
        <v>1</v>
      </c>
      <c r="T6478" s="35" t="inlineStr">
        <is>
          <t>4 — Не обогащён</t>
        </is>
      </c>
      <c r="U6478" s="35" t="inlineStr">
        <is>
          <t>Нет ОКВЭД/ССЧР</t>
        </is>
      </c>
      <c r="V6478" s="35" t="inlineStr">
        <is>
          <t>Не определено</t>
        </is>
      </c>
      <c r="W6478" s="35" t="inlineStr"/>
      <c r="X6478" s="35" t="inlineStr"/>
    </row>
    <row r="6479" ht="27.75" customHeight="1" s="24">
      <c r="A6479" s="13" t="n">
        <v>5000122494</v>
      </c>
      <c r="B6479" s="13" t="inlineStr">
        <is>
          <t>Совет депутатов Можайского муниципального района</t>
        </is>
      </c>
      <c r="C6479" s="13" t="n">
        <v>5028106045</v>
      </c>
      <c r="D6479" s="13" t="inlineStr">
        <is>
          <t>5028106045</t>
        </is>
      </c>
      <c r="E6479" s="13" t="inlineStr">
        <is>
          <t>ЮЛ РФ</t>
        </is>
      </c>
      <c r="F6479" s="13" t="n"/>
      <c r="G6479" s="14" t="n"/>
      <c r="H6479" s="14" t="n"/>
      <c r="I6479" s="14" t="n"/>
      <c r="J6479" s="14" t="n"/>
      <c r="K6479" s="53" t="inlineStr"/>
      <c r="L6479" s="53" t="inlineStr">
        <is>
          <t>Не определено</t>
        </is>
      </c>
      <c r="M6479" s="53" t="inlineStr"/>
      <c r="N6479" s="54" t="inlineStr"/>
      <c r="O6479" s="55" t="inlineStr"/>
      <c r="P6479" s="16" t="inlineStr">
        <is>
          <t>Требует обогащения</t>
        </is>
      </c>
      <c r="Q6479" s="16">
        <f>HYPERLINK("https://pb.nalog.ru/search.html?query=5028106045","ФНС: проверить")</f>
        <v/>
      </c>
      <c r="R6479" s="16">
        <f>HYPERLINK("https://checko.ru/search?query=3801001629","Чекко: проверить")</f>
        <v/>
      </c>
      <c r="S6479" t="n">
        <v>1</v>
      </c>
      <c r="T6479" s="35" t="inlineStr">
        <is>
          <t>4 — Не обогащён</t>
        </is>
      </c>
      <c r="U6479" s="35" t="inlineStr">
        <is>
          <t>Нет ОКВЭД/ССЧР</t>
        </is>
      </c>
      <c r="V6479" s="35" t="inlineStr">
        <is>
          <t>Не определено</t>
        </is>
      </c>
      <c r="W6479" s="35" t="inlineStr"/>
      <c r="X6479" s="35" t="inlineStr"/>
    </row>
    <row r="6480" ht="15" customHeight="1" s="24">
      <c r="A6480" s="13" t="n">
        <v>5000122480</v>
      </c>
      <c r="B6480" s="13" t="inlineStr">
        <is>
          <t>МОУ Гимназия №4 города Можайска</t>
        </is>
      </c>
      <c r="C6480" s="13" t="n">
        <v>5028017003</v>
      </c>
      <c r="D6480" s="13" t="inlineStr">
        <is>
          <t>5028017003</t>
        </is>
      </c>
      <c r="E6480" s="13" t="inlineStr">
        <is>
          <t>ЮЛ РФ</t>
        </is>
      </c>
      <c r="F6480" s="13" t="n"/>
      <c r="G6480" s="14" t="n"/>
      <c r="H6480" s="14" t="n"/>
      <c r="I6480" s="14" t="n"/>
      <c r="J6480" s="14" t="n"/>
      <c r="K6480" s="53" t="inlineStr"/>
      <c r="L6480" s="53" t="inlineStr">
        <is>
          <t>Не определено</t>
        </is>
      </c>
      <c r="M6480" s="53" t="inlineStr"/>
      <c r="N6480" s="54" t="inlineStr"/>
      <c r="O6480" s="55" t="inlineStr"/>
      <c r="P6480" s="16" t="inlineStr">
        <is>
          <t>Требует обогащения</t>
        </is>
      </c>
      <c r="Q6480" s="16">
        <f>HYPERLINK("https://pb.nalog.ru/search.html?query=5028017003","ФНС: проверить")</f>
        <v/>
      </c>
      <c r="R6480" s="16">
        <f>HYPERLINK("https://checko.ru/search?query=3801001629","Чекко: проверить")</f>
        <v/>
      </c>
      <c r="S6480" t="n">
        <v>1</v>
      </c>
      <c r="T6480" s="35" t="inlineStr">
        <is>
          <t>4 — Не обогащён</t>
        </is>
      </c>
      <c r="U6480" s="35" t="inlineStr">
        <is>
          <t>Нет ОКВЭД/ССЧР</t>
        </is>
      </c>
      <c r="V6480" s="35" t="inlineStr">
        <is>
          <t>Не определено</t>
        </is>
      </c>
      <c r="W6480" s="35" t="inlineStr"/>
      <c r="X6480" s="35" t="inlineStr"/>
    </row>
    <row r="6481" ht="15" customHeight="1" s="24">
      <c r="A6481" s="13" t="n">
        <v>5000122489</v>
      </c>
      <c r="B6481" s="13" t="inlineStr">
        <is>
          <t>МКУ ММР МО "Содействие"</t>
        </is>
      </c>
      <c r="C6481" s="13" t="n">
        <v>5028032273</v>
      </c>
      <c r="D6481" s="13" t="inlineStr">
        <is>
          <t>5028032273</t>
        </is>
      </c>
      <c r="E6481" s="13" t="inlineStr">
        <is>
          <t>ЮЛ РФ</t>
        </is>
      </c>
      <c r="F6481" s="13" t="n"/>
      <c r="G6481" s="14" t="n"/>
      <c r="H6481" s="14" t="n"/>
      <c r="I6481" s="14" t="n"/>
      <c r="J6481" s="14" t="n"/>
      <c r="K6481" s="53" t="inlineStr"/>
      <c r="L6481" s="53" t="inlineStr">
        <is>
          <t>Не определено</t>
        </is>
      </c>
      <c r="M6481" s="53" t="inlineStr"/>
      <c r="N6481" s="54" t="inlineStr"/>
      <c r="O6481" s="55" t="inlineStr"/>
      <c r="P6481" s="16" t="inlineStr">
        <is>
          <t>Требует обогащения</t>
        </is>
      </c>
      <c r="Q6481" s="16">
        <f>HYPERLINK("https://pb.nalog.ru/search.html?query=5028032273","ФНС: проверить")</f>
        <v/>
      </c>
      <c r="R6481" s="16">
        <f>HYPERLINK("https://checko.ru/search?query=3801001629","Чекко: проверить")</f>
        <v/>
      </c>
      <c r="S6481" t="n">
        <v>1</v>
      </c>
      <c r="T6481" s="35" t="inlineStr">
        <is>
          <t>4 — Не обогащён</t>
        </is>
      </c>
      <c r="U6481" s="35" t="inlineStr">
        <is>
          <t>Нет ОКВЭД/ССЧР</t>
        </is>
      </c>
      <c r="V6481" s="35" t="inlineStr">
        <is>
          <t>Не определено</t>
        </is>
      </c>
      <c r="W6481" s="35" t="inlineStr"/>
      <c r="X6481" s="35" t="inlineStr"/>
    </row>
    <row r="6482" ht="27.75" customHeight="1" s="24">
      <c r="A6482" s="13" t="n">
        <v>5000122481</v>
      </c>
      <c r="B6482" s="13" t="inlineStr">
        <is>
          <t>МОУ Ворошиловская средняя общеобразовательная школа</t>
        </is>
      </c>
      <c r="C6482" s="13" t="n">
        <v>5028016970</v>
      </c>
      <c r="D6482" s="13" t="inlineStr">
        <is>
          <t>5028016970</t>
        </is>
      </c>
      <c r="E6482" s="13" t="inlineStr">
        <is>
          <t>ЮЛ РФ</t>
        </is>
      </c>
      <c r="F6482" s="13" t="n"/>
      <c r="G6482" s="14" t="n"/>
      <c r="H6482" s="14" t="n"/>
      <c r="I6482" s="14" t="n"/>
      <c r="J6482" s="14" t="n"/>
      <c r="K6482" s="53" t="inlineStr"/>
      <c r="L6482" s="53" t="inlineStr">
        <is>
          <t>Не определено</t>
        </is>
      </c>
      <c r="M6482" s="53" t="inlineStr"/>
      <c r="N6482" s="54" t="inlineStr"/>
      <c r="O6482" s="55" t="inlineStr"/>
      <c r="P6482" s="16" t="inlineStr">
        <is>
          <t>Требует обогащения</t>
        </is>
      </c>
      <c r="Q6482" s="16">
        <f>HYPERLINK("https://pb.nalog.ru/search.html?query=5028016970","ФНС: проверить")</f>
        <v/>
      </c>
      <c r="R6482" s="16">
        <f>HYPERLINK("https://checko.ru/search?query=3801001629","Чекко: проверить")</f>
        <v/>
      </c>
      <c r="S6482" t="n">
        <v>1</v>
      </c>
      <c r="T6482" s="35" t="inlineStr">
        <is>
          <t>4 — Не обогащён</t>
        </is>
      </c>
      <c r="U6482" s="35" t="inlineStr">
        <is>
          <t>Нет ОКВЭД/ССЧР</t>
        </is>
      </c>
      <c r="V6482" s="35" t="inlineStr">
        <is>
          <t>Не определено</t>
        </is>
      </c>
      <c r="W6482" s="35" t="inlineStr"/>
      <c r="X6482" s="35" t="inlineStr"/>
    </row>
    <row r="6483" ht="27.75" customHeight="1" s="24">
      <c r="A6483" s="13" t="n">
        <v>5000122506</v>
      </c>
      <c r="B6483" s="13" t="inlineStr">
        <is>
          <t>Комитет по управлению имуществом Можайского района</t>
        </is>
      </c>
      <c r="C6483" s="13" t="n">
        <v>5028003850</v>
      </c>
      <c r="D6483" s="13" t="inlineStr">
        <is>
          <t>5028003850</t>
        </is>
      </c>
      <c r="E6483" s="13" t="inlineStr">
        <is>
          <t>ЮЛ РФ</t>
        </is>
      </c>
      <c r="F6483" s="13" t="n"/>
      <c r="G6483" s="14" t="n"/>
      <c r="H6483" s="14" t="n"/>
      <c r="I6483" s="14" t="n"/>
      <c r="J6483" s="14" t="n"/>
      <c r="K6483" s="53" t="inlineStr"/>
      <c r="L6483" s="53" t="inlineStr">
        <is>
          <t>Не определено</t>
        </is>
      </c>
      <c r="M6483" s="53" t="inlineStr"/>
      <c r="N6483" s="54" t="inlineStr"/>
      <c r="O6483" s="55" t="inlineStr"/>
      <c r="P6483" s="16" t="inlineStr">
        <is>
          <t>Требует обогащения</t>
        </is>
      </c>
      <c r="Q6483" s="16">
        <f>HYPERLINK("https://pb.nalog.ru/search.html?query=5028003850","ФНС: проверить")</f>
        <v/>
      </c>
      <c r="R6483" s="16">
        <f>HYPERLINK("https://checko.ru/search?query=3801001629","Чекко: проверить")</f>
        <v/>
      </c>
      <c r="S6483" t="n">
        <v>1</v>
      </c>
      <c r="T6483" s="35" t="inlineStr">
        <is>
          <t>4 — Не обогащён</t>
        </is>
      </c>
      <c r="U6483" s="35" t="inlineStr">
        <is>
          <t>Нет ОКВЭД/ССЧР</t>
        </is>
      </c>
      <c r="V6483" s="35" t="inlineStr">
        <is>
          <t>Не определено</t>
        </is>
      </c>
      <c r="W6483" s="35" t="inlineStr"/>
      <c r="X6483" s="35" t="inlineStr"/>
    </row>
    <row r="6484" ht="27.75" customHeight="1" s="24">
      <c r="A6484" s="13" t="n">
        <v>5000122478</v>
      </c>
      <c r="B6484" s="13" t="inlineStr">
        <is>
          <t>МОУ Средняя общеобразовательная школа №1 г.Можайска</t>
        </is>
      </c>
      <c r="C6484" s="13" t="n">
        <v>5028017010</v>
      </c>
      <c r="D6484" s="13" t="inlineStr">
        <is>
          <t>5028017010</t>
        </is>
      </c>
      <c r="E6484" s="13" t="inlineStr">
        <is>
          <t>ЮЛ РФ</t>
        </is>
      </c>
      <c r="F6484" s="13" t="n"/>
      <c r="G6484" s="14" t="n"/>
      <c r="H6484" s="14" t="n"/>
      <c r="I6484" s="14" t="n"/>
      <c r="J6484" s="14" t="n"/>
      <c r="K6484" s="53" t="inlineStr"/>
      <c r="L6484" s="53" t="inlineStr">
        <is>
          <t>Не определено</t>
        </is>
      </c>
      <c r="M6484" s="53" t="inlineStr"/>
      <c r="N6484" s="54" t="inlineStr"/>
      <c r="O6484" s="55" t="inlineStr"/>
      <c r="P6484" s="16" t="inlineStr">
        <is>
          <t>Требует обогащения</t>
        </is>
      </c>
      <c r="Q6484" s="16">
        <f>HYPERLINK("https://pb.nalog.ru/search.html?query=5028017010","ФНС: проверить")</f>
        <v/>
      </c>
      <c r="R6484" s="16">
        <f>HYPERLINK("https://checko.ru/search?query=3801001629","Чекко: проверить")</f>
        <v/>
      </c>
      <c r="S6484" t="n">
        <v>1</v>
      </c>
      <c r="T6484" s="35" t="inlineStr">
        <is>
          <t>4 — Не обогащён</t>
        </is>
      </c>
      <c r="U6484" s="35" t="inlineStr">
        <is>
          <t>Нет ОКВЭД/ССЧР</t>
        </is>
      </c>
      <c r="V6484" s="35" t="inlineStr">
        <is>
          <t>Не определено</t>
        </is>
      </c>
      <c r="W6484" s="35" t="inlineStr"/>
      <c r="X6484" s="35" t="inlineStr"/>
    </row>
    <row r="6485" ht="15" customHeight="1" s="24">
      <c r="A6485" s="13" t="n">
        <v>5000123016</v>
      </c>
      <c r="B6485" s="13" t="inlineStr">
        <is>
          <t>МКУ ДК "МОЛОДЁЖНЫЙ"</t>
        </is>
      </c>
      <c r="C6485" s="13" t="n">
        <v>5030085402</v>
      </c>
      <c r="D6485" s="13" t="inlineStr">
        <is>
          <t>5030085402</t>
        </is>
      </c>
      <c r="E6485" s="13" t="inlineStr">
        <is>
          <t>ЮЛ РФ</t>
        </is>
      </c>
      <c r="F6485" s="13" t="n"/>
      <c r="G6485" s="14" t="n"/>
      <c r="H6485" s="14" t="n"/>
      <c r="I6485" s="14" t="n"/>
      <c r="J6485" s="14" t="n"/>
      <c r="K6485" s="53" t="inlineStr"/>
      <c r="L6485" s="53" t="inlineStr">
        <is>
          <t>Не определено</t>
        </is>
      </c>
      <c r="M6485" s="53" t="inlineStr"/>
      <c r="N6485" s="54" t="inlineStr"/>
      <c r="O6485" s="55" t="inlineStr"/>
      <c r="P6485" s="16" t="inlineStr">
        <is>
          <t>Требует обогащения</t>
        </is>
      </c>
      <c r="Q6485" s="16">
        <f>HYPERLINK("https://pb.nalog.ru/search.html?query=5030085402","ФНС: проверить")</f>
        <v/>
      </c>
      <c r="R6485" s="16">
        <f>HYPERLINK("https://checko.ru/search?query=3801001629","Чекко: проверить")</f>
        <v/>
      </c>
      <c r="S6485" t="n">
        <v>1</v>
      </c>
      <c r="T6485" s="35" t="inlineStr">
        <is>
          <t>4 — Не обогащён</t>
        </is>
      </c>
      <c r="U6485" s="35" t="inlineStr">
        <is>
          <t>Нет ОКВЭД/ССЧР</t>
        </is>
      </c>
      <c r="V6485" s="35" t="inlineStr">
        <is>
          <t>Не определено</t>
        </is>
      </c>
      <c r="W6485" s="35" t="inlineStr"/>
      <c r="X6485" s="35" t="inlineStr"/>
    </row>
    <row r="6486" ht="15" customHeight="1" s="24">
      <c r="A6486" s="13" t="n">
        <v>5000123018</v>
      </c>
      <c r="B6486" s="13" t="inlineStr">
        <is>
          <t>МОУ сош го Молодёжный</t>
        </is>
      </c>
      <c r="C6486" s="13" t="n">
        <v>5030035360</v>
      </c>
      <c r="D6486" s="13" t="inlineStr">
        <is>
          <t>5030035360</t>
        </is>
      </c>
      <c r="E6486" s="13" t="inlineStr">
        <is>
          <t>ЮЛ РФ</t>
        </is>
      </c>
      <c r="F6486" s="13" t="n"/>
      <c r="G6486" s="14" t="n"/>
      <c r="H6486" s="14" t="n"/>
      <c r="I6486" s="14" t="n"/>
      <c r="J6486" s="14" t="n"/>
      <c r="K6486" s="53" t="inlineStr"/>
      <c r="L6486" s="53" t="inlineStr">
        <is>
          <t>Не определено</t>
        </is>
      </c>
      <c r="M6486" s="53" t="inlineStr"/>
      <c r="N6486" s="54" t="inlineStr"/>
      <c r="O6486" s="55" t="inlineStr"/>
      <c r="P6486" s="16" t="inlineStr">
        <is>
          <t>Требует обогащения</t>
        </is>
      </c>
      <c r="Q6486" s="16">
        <f>HYPERLINK("https://pb.nalog.ru/search.html?query=5030035360","ФНС: проверить")</f>
        <v/>
      </c>
      <c r="R6486" s="16">
        <f>HYPERLINK("https://checko.ru/search?query=3801001629","Чекко: проверить")</f>
        <v/>
      </c>
      <c r="S6486" t="n">
        <v>1</v>
      </c>
      <c r="T6486" s="35" t="inlineStr">
        <is>
          <t>4 — Не обогащён</t>
        </is>
      </c>
      <c r="U6486" s="35" t="inlineStr">
        <is>
          <t>Нет ОКВЭД/ССЧР</t>
        </is>
      </c>
      <c r="V6486" s="35" t="inlineStr">
        <is>
          <t>Не определено</t>
        </is>
      </c>
      <c r="W6486" s="35" t="inlineStr"/>
      <c r="X6486" s="35" t="inlineStr"/>
    </row>
    <row r="6487" ht="27.75" customHeight="1" s="24">
      <c r="A6487" s="13" t="n">
        <v>5000123019</v>
      </c>
      <c r="B6487" s="13" t="inlineStr">
        <is>
          <t>МКУ "МФЦ В ГОРОДСКОМ ОКРУГЕ МОЛОДЁЖНЫЙ МО"</t>
        </is>
      </c>
      <c r="C6487" s="13" t="n">
        <v>5030083194</v>
      </c>
      <c r="D6487" s="13" t="inlineStr">
        <is>
          <t>5030083194</t>
        </is>
      </c>
      <c r="E6487" s="13" t="inlineStr">
        <is>
          <t>ЮЛ РФ</t>
        </is>
      </c>
      <c r="F6487" s="13" t="n"/>
      <c r="G6487" s="14" t="n"/>
      <c r="H6487" s="14" t="n"/>
      <c r="I6487" s="14" t="n"/>
      <c r="J6487" s="14" t="n"/>
      <c r="K6487" s="53" t="inlineStr"/>
      <c r="L6487" s="53" t="inlineStr">
        <is>
          <t>Не определено</t>
        </is>
      </c>
      <c r="M6487" s="53" t="inlineStr"/>
      <c r="N6487" s="54" t="inlineStr"/>
      <c r="O6487" s="55" t="inlineStr"/>
      <c r="P6487" s="16" t="inlineStr">
        <is>
          <t>Требует обогащения</t>
        </is>
      </c>
      <c r="Q6487" s="16">
        <f>HYPERLINK("https://pb.nalog.ru/search.html?query=5030083194","ФНС: проверить")</f>
        <v/>
      </c>
      <c r="R6487" s="16">
        <f>HYPERLINK("https://checko.ru/search?query=3801001629","Чекко: проверить")</f>
        <v/>
      </c>
      <c r="S6487" t="n">
        <v>1</v>
      </c>
      <c r="T6487" s="35" t="inlineStr">
        <is>
          <t>4 — Не обогащён</t>
        </is>
      </c>
      <c r="U6487" s="35" t="inlineStr">
        <is>
          <t>Нет ОКВЭД/ССЧР</t>
        </is>
      </c>
      <c r="V6487" s="35" t="inlineStr">
        <is>
          <t>Не определено</t>
        </is>
      </c>
      <c r="W6487" s="35" t="inlineStr"/>
      <c r="X6487" s="35" t="inlineStr"/>
    </row>
    <row r="6488" ht="15" customHeight="1" s="24">
      <c r="A6488" s="13" t="n">
        <v>5000123020</v>
      </c>
      <c r="B6488" s="13" t="inlineStr">
        <is>
          <t>МКУ ОДО "ДШИ "МУЗА" Г.О. МОЛОДЁЖНЫЙ</t>
        </is>
      </c>
      <c r="C6488" s="13" t="n">
        <v>5030042208</v>
      </c>
      <c r="D6488" s="13" t="inlineStr">
        <is>
          <t>5030042208</t>
        </is>
      </c>
      <c r="E6488" s="13" t="inlineStr">
        <is>
          <t>ЮЛ РФ</t>
        </is>
      </c>
      <c r="F6488" s="13" t="n"/>
      <c r="G6488" s="14" t="n"/>
      <c r="H6488" s="14" t="n"/>
      <c r="I6488" s="14" t="n"/>
      <c r="J6488" s="14" t="n"/>
      <c r="K6488" s="53" t="inlineStr"/>
      <c r="L6488" s="53" t="inlineStr">
        <is>
          <t>Не определено</t>
        </is>
      </c>
      <c r="M6488" s="53" t="inlineStr"/>
      <c r="N6488" s="54" t="inlineStr"/>
      <c r="O6488" s="55" t="inlineStr"/>
      <c r="P6488" s="16" t="inlineStr">
        <is>
          <t>Требует обогащения</t>
        </is>
      </c>
      <c r="Q6488" s="16">
        <f>HYPERLINK("https://pb.nalog.ru/search.html?query=5030042208","ФНС: проверить")</f>
        <v/>
      </c>
      <c r="R6488" s="16">
        <f>HYPERLINK("https://checko.ru/search?query=3801001629","Чекко: проверить")</f>
        <v/>
      </c>
      <c r="S6488" t="n">
        <v>1</v>
      </c>
      <c r="T6488" s="35" t="inlineStr">
        <is>
          <t>4 — Не обогащён</t>
        </is>
      </c>
      <c r="U6488" s="35" t="inlineStr">
        <is>
          <t>Нет ОКВЭД/ССЧР</t>
        </is>
      </c>
      <c r="V6488" s="35" t="inlineStr">
        <is>
          <t>Не определено</t>
        </is>
      </c>
      <c r="W6488" s="35" t="inlineStr"/>
      <c r="X6488" s="35" t="inlineStr"/>
    </row>
    <row r="6489" ht="27.75" customHeight="1" s="24">
      <c r="A6489" s="13" t="n">
        <v>5000123021</v>
      </c>
      <c r="B6489" s="13" t="inlineStr">
        <is>
          <t>СОВЕТ ДЕПУТАТОВ ЗАТО ГОРОДСКОЙ ОКРУГ МОЛОДЁЖНЫЙ МОСКОВСКОЙ ОБЛАСТИ</t>
        </is>
      </c>
      <c r="C6489" s="13" t="n">
        <v>5030055172</v>
      </c>
      <c r="D6489" s="13" t="inlineStr">
        <is>
          <t>5030055172</t>
        </is>
      </c>
      <c r="E6489" s="13" t="inlineStr">
        <is>
          <t>ЮЛ РФ</t>
        </is>
      </c>
      <c r="F6489" s="13" t="n"/>
      <c r="G6489" s="14" t="n"/>
      <c r="H6489" s="14" t="n"/>
      <c r="I6489" s="14" t="n"/>
      <c r="J6489" s="14" t="n"/>
      <c r="K6489" s="53" t="inlineStr"/>
      <c r="L6489" s="53" t="inlineStr">
        <is>
          <t>Не определено</t>
        </is>
      </c>
      <c r="M6489" s="53" t="inlineStr"/>
      <c r="N6489" s="54" t="inlineStr"/>
      <c r="O6489" s="55" t="inlineStr"/>
      <c r="P6489" s="16" t="inlineStr">
        <is>
          <t>Требует обогащения</t>
        </is>
      </c>
      <c r="Q6489" s="16">
        <f>HYPERLINK("https://pb.nalog.ru/search.html?query=5030055172","ФНС: проверить")</f>
        <v/>
      </c>
      <c r="R6489" s="16">
        <f>HYPERLINK("https://checko.ru/search?query=3801001629","Чекко: проверить")</f>
        <v/>
      </c>
      <c r="S6489" t="n">
        <v>1</v>
      </c>
      <c r="T6489" s="35" t="inlineStr">
        <is>
          <t>4 — Не обогащён</t>
        </is>
      </c>
      <c r="U6489" s="35" t="inlineStr">
        <is>
          <t>Нет ОКВЭД/ССЧР</t>
        </is>
      </c>
      <c r="V6489" s="35" t="inlineStr">
        <is>
          <t>Не определено</t>
        </is>
      </c>
      <c r="W6489" s="35" t="inlineStr"/>
      <c r="X6489" s="35" t="inlineStr"/>
    </row>
    <row r="6490" ht="15" customHeight="1" s="24">
      <c r="A6490" s="13" t="n">
        <v>5000122479</v>
      </c>
      <c r="B6490" s="13" t="inlineStr">
        <is>
          <t>МОУ СОШ № 2 Г. МОЖАЙСКА</t>
        </is>
      </c>
      <c r="C6490" s="13" t="n">
        <v>5028017170</v>
      </c>
      <c r="D6490" s="13" t="inlineStr">
        <is>
          <t>5028017170</t>
        </is>
      </c>
      <c r="E6490" s="13" t="inlineStr">
        <is>
          <t>ЮЛ РФ</t>
        </is>
      </c>
      <c r="F6490" s="13" t="n"/>
      <c r="G6490" s="14" t="n"/>
      <c r="H6490" s="14" t="n"/>
      <c r="I6490" s="14" t="n"/>
      <c r="J6490" s="14" t="n"/>
      <c r="K6490" s="53" t="inlineStr"/>
      <c r="L6490" s="53" t="inlineStr">
        <is>
          <t>Не определено</t>
        </is>
      </c>
      <c r="M6490" s="53" t="inlineStr"/>
      <c r="N6490" s="54" t="inlineStr"/>
      <c r="O6490" s="55" t="inlineStr"/>
      <c r="P6490" s="16" t="inlineStr">
        <is>
          <t>Требует обогащения</t>
        </is>
      </c>
      <c r="Q6490" s="16">
        <f>HYPERLINK("https://pb.nalog.ru/search.html?query=5028017170","ФНС: проверить")</f>
        <v/>
      </c>
      <c r="R6490" s="16">
        <f>HYPERLINK("https://checko.ru/search?query=3801001629","Чекко: проверить")</f>
        <v/>
      </c>
      <c r="S6490" t="n">
        <v>1</v>
      </c>
      <c r="T6490" s="35" t="inlineStr">
        <is>
          <t>4 — Не обогащён</t>
        </is>
      </c>
      <c r="U6490" s="35" t="inlineStr">
        <is>
          <t>Нет ОКВЭД/ССЧР</t>
        </is>
      </c>
      <c r="V6490" s="35" t="inlineStr">
        <is>
          <t>Не определено</t>
        </is>
      </c>
      <c r="W6490" s="35" t="inlineStr"/>
      <c r="X6490" s="35" t="inlineStr"/>
    </row>
    <row r="6491" ht="15" customHeight="1" s="24">
      <c r="A6491" s="13" t="n">
        <v>5000122482</v>
      </c>
      <c r="B6491" s="13" t="inlineStr">
        <is>
          <t>МОУ СОШ "СОЗВЕЗДИЕ ВЕНТА"</t>
        </is>
      </c>
      <c r="C6491" s="13" t="n">
        <v>5028016899</v>
      </c>
      <c r="D6491" s="13" t="inlineStr">
        <is>
          <t>5028016899</t>
        </is>
      </c>
      <c r="E6491" s="13" t="inlineStr">
        <is>
          <t>ЮЛ РФ</t>
        </is>
      </c>
      <c r="F6491" s="13" t="n"/>
      <c r="G6491" s="14" t="n"/>
      <c r="H6491" s="14" t="n"/>
      <c r="I6491" s="14" t="n"/>
      <c r="J6491" s="14" t="n"/>
      <c r="K6491" s="53" t="inlineStr"/>
      <c r="L6491" s="53" t="inlineStr">
        <is>
          <t>Не определено</t>
        </is>
      </c>
      <c r="M6491" s="53" t="inlineStr"/>
      <c r="N6491" s="54" t="inlineStr"/>
      <c r="O6491" s="55" t="inlineStr"/>
      <c r="P6491" s="16" t="inlineStr">
        <is>
          <t>Требует обогащения</t>
        </is>
      </c>
      <c r="Q6491" s="16">
        <f>HYPERLINK("https://pb.nalog.ru/search.html?query=5028016899","ФНС: проверить")</f>
        <v/>
      </c>
      <c r="R6491" s="16">
        <f>HYPERLINK("https://checko.ru/search?query=3801001629","Чекко: проверить")</f>
        <v/>
      </c>
      <c r="S6491" t="n">
        <v>1</v>
      </c>
      <c r="T6491" s="35" t="inlineStr">
        <is>
          <t>4 — Не обогащён</t>
        </is>
      </c>
      <c r="U6491" s="35" t="inlineStr">
        <is>
          <t>Нет ОКВЭД/ССЧР</t>
        </is>
      </c>
      <c r="V6491" s="35" t="inlineStr">
        <is>
          <t>Не определено</t>
        </is>
      </c>
      <c r="W6491" s="35" t="inlineStr"/>
      <c r="X6491" s="35" t="inlineStr"/>
    </row>
    <row r="6492" ht="15" customHeight="1" s="24">
      <c r="A6492" s="13" t="n">
        <v>5000122484</v>
      </c>
      <c r="B6492" s="13" t="inlineStr">
        <is>
          <t>МБОУ СОШ "Гармония" г.Можайска</t>
        </is>
      </c>
      <c r="C6492" s="13" t="n">
        <v>5028028936</v>
      </c>
      <c r="D6492" s="13" t="inlineStr">
        <is>
          <t>5028028936</t>
        </is>
      </c>
      <c r="E6492" s="13" t="inlineStr">
        <is>
          <t>ЮЛ РФ</t>
        </is>
      </c>
      <c r="F6492" s="13" t="n"/>
      <c r="G6492" s="14" t="n"/>
      <c r="H6492" s="14" t="n"/>
      <c r="I6492" s="14" t="n"/>
      <c r="J6492" s="14" t="n"/>
      <c r="K6492" s="53" t="inlineStr"/>
      <c r="L6492" s="53" t="inlineStr">
        <is>
          <t>Не определено</t>
        </is>
      </c>
      <c r="M6492" s="53" t="inlineStr"/>
      <c r="N6492" s="54" t="inlineStr"/>
      <c r="O6492" s="55" t="inlineStr"/>
      <c r="P6492" s="16" t="inlineStr">
        <is>
          <t>Требует обогащения</t>
        </is>
      </c>
      <c r="Q6492" s="16">
        <f>HYPERLINK("https://pb.nalog.ru/search.html?query=5028028936","ФНС: проверить")</f>
        <v/>
      </c>
      <c r="R6492" s="16">
        <f>HYPERLINK("https://checko.ru/search?query=3801001629","Чекко: проверить")</f>
        <v/>
      </c>
      <c r="S6492" t="n">
        <v>1</v>
      </c>
      <c r="T6492" s="35" t="inlineStr">
        <is>
          <t>4 — Не обогащён</t>
        </is>
      </c>
      <c r="U6492" s="35" t="inlineStr">
        <is>
          <t>Нет ОКВЭД/ССЧР</t>
        </is>
      </c>
      <c r="V6492" s="35" t="inlineStr">
        <is>
          <t>Не определено</t>
        </is>
      </c>
      <c r="W6492" s="35" t="inlineStr"/>
      <c r="X6492" s="35" t="inlineStr"/>
    </row>
    <row r="6493" ht="15" customHeight="1" s="24">
      <c r="A6493" s="13" t="n">
        <v>5000122485</v>
      </c>
      <c r="B6493" s="13" t="inlineStr">
        <is>
          <t>МАУ ДО ДДТ Г. МОЖАЙСКА</t>
        </is>
      </c>
      <c r="C6493" s="13" t="n">
        <v>5028016240</v>
      </c>
      <c r="D6493" s="13" t="inlineStr">
        <is>
          <t>5028016240</t>
        </is>
      </c>
      <c r="E6493" s="13" t="inlineStr">
        <is>
          <t>ЮЛ РФ</t>
        </is>
      </c>
      <c r="F6493" s="13" t="n"/>
      <c r="G6493" s="14" t="n"/>
      <c r="H6493" s="14" t="n"/>
      <c r="I6493" s="14" t="n"/>
      <c r="J6493" s="14" t="n"/>
      <c r="K6493" s="53" t="inlineStr"/>
      <c r="L6493" s="53" t="inlineStr">
        <is>
          <t>Не определено</t>
        </is>
      </c>
      <c r="M6493" s="53" t="inlineStr"/>
      <c r="N6493" s="54" t="inlineStr"/>
      <c r="O6493" s="55" t="inlineStr"/>
      <c r="P6493" s="16" t="inlineStr">
        <is>
          <t>Требует обогащения</t>
        </is>
      </c>
      <c r="Q6493" s="16">
        <f>HYPERLINK("https://pb.nalog.ru/search.html?query=5028016240","ФНС: проверить")</f>
        <v/>
      </c>
      <c r="R6493" s="16">
        <f>HYPERLINK("https://checko.ru/search?query=3801001629","Чекко: проверить")</f>
        <v/>
      </c>
      <c r="S6493" t="n">
        <v>1</v>
      </c>
      <c r="T6493" s="35" t="inlineStr">
        <is>
          <t>4 — Не обогащён</t>
        </is>
      </c>
      <c r="U6493" s="35" t="inlineStr">
        <is>
          <t>Нет ОКВЭД/ССЧР</t>
        </is>
      </c>
      <c r="V6493" s="35" t="inlineStr">
        <is>
          <t>Не определено</t>
        </is>
      </c>
      <c r="W6493" s="35" t="inlineStr"/>
      <c r="X6493" s="35" t="inlineStr"/>
    </row>
    <row r="6494" ht="15" customHeight="1" s="24">
      <c r="A6494" s="13" t="n">
        <v>5000122491</v>
      </c>
      <c r="B6494" s="13" t="inlineStr">
        <is>
          <t>МКУ ММО МО "УКС"</t>
        </is>
      </c>
      <c r="C6494" s="13" t="n">
        <v>5028036214</v>
      </c>
      <c r="D6494" s="13" t="inlineStr">
        <is>
          <t>5028036214</t>
        </is>
      </c>
      <c r="E6494" s="13" t="inlineStr">
        <is>
          <t>ЮЛ РФ</t>
        </is>
      </c>
      <c r="F6494" s="13" t="n"/>
      <c r="G6494" s="14" t="n"/>
      <c r="H6494" s="14" t="n"/>
      <c r="I6494" s="14" t="n"/>
      <c r="J6494" s="14" t="n"/>
      <c r="K6494" s="53" t="inlineStr"/>
      <c r="L6494" s="53" t="inlineStr">
        <is>
          <t>Не определено</t>
        </is>
      </c>
      <c r="M6494" s="53" t="inlineStr"/>
      <c r="N6494" s="54" t="inlineStr"/>
      <c r="O6494" s="55" t="inlineStr"/>
      <c r="P6494" s="16" t="inlineStr">
        <is>
          <t>Требует обогащения</t>
        </is>
      </c>
      <c r="Q6494" s="16">
        <f>HYPERLINK("https://pb.nalog.ru/search.html?query=5028036214","ФНС: проверить")</f>
        <v/>
      </c>
      <c r="R6494" s="16">
        <f>HYPERLINK("https://checko.ru/search?query=3801001629","Чекко: проверить")</f>
        <v/>
      </c>
      <c r="S6494" t="n">
        <v>1</v>
      </c>
      <c r="T6494" s="35" t="inlineStr">
        <is>
          <t>4 — Не обогащён</t>
        </is>
      </c>
      <c r="U6494" s="35" t="inlineStr">
        <is>
          <t>Нет ОКВЭД/ССЧР</t>
        </is>
      </c>
      <c r="V6494" s="35" t="inlineStr">
        <is>
          <t>Не определено</t>
        </is>
      </c>
      <c r="W6494" s="35" t="inlineStr"/>
      <c r="X6494" s="35" t="inlineStr"/>
    </row>
    <row r="6495" ht="15" customHeight="1" s="24">
      <c r="A6495" s="13" t="n">
        <v>5000122486</v>
      </c>
      <c r="B6495" s="13" t="inlineStr">
        <is>
          <t>МКУ ММО МО "ЕДДС"</t>
        </is>
      </c>
      <c r="C6495" s="13" t="n">
        <v>5028032795</v>
      </c>
      <c r="D6495" s="13" t="inlineStr">
        <is>
          <t>5028032795</t>
        </is>
      </c>
      <c r="E6495" s="13" t="inlineStr">
        <is>
          <t>ЮЛ РФ</t>
        </is>
      </c>
      <c r="F6495" s="13" t="n"/>
      <c r="G6495" s="14" t="n"/>
      <c r="H6495" s="14" t="n"/>
      <c r="I6495" s="14" t="n"/>
      <c r="J6495" s="14" t="n"/>
      <c r="K6495" s="53" t="inlineStr"/>
      <c r="L6495" s="53" t="inlineStr">
        <is>
          <t>Не определено</t>
        </is>
      </c>
      <c r="M6495" s="53" t="inlineStr"/>
      <c r="N6495" s="54" t="inlineStr"/>
      <c r="O6495" s="55" t="inlineStr"/>
      <c r="P6495" s="16" t="inlineStr">
        <is>
          <t>Требует обогащения</t>
        </is>
      </c>
      <c r="Q6495" s="16">
        <f>HYPERLINK("https://pb.nalog.ru/search.html?query=5028032795","ФНС: проверить")</f>
        <v/>
      </c>
      <c r="R6495" s="16">
        <f>HYPERLINK("https://checko.ru/search?query=3801001629","Чекко: проверить")</f>
        <v/>
      </c>
      <c r="S6495" t="n">
        <v>1</v>
      </c>
      <c r="T6495" s="35" t="inlineStr">
        <is>
          <t>4 — Не обогащён</t>
        </is>
      </c>
      <c r="U6495" s="35" t="inlineStr">
        <is>
          <t>Нет ОКВЭД/ССЧР</t>
        </is>
      </c>
      <c r="V6495" s="35" t="inlineStr">
        <is>
          <t>Не определено</t>
        </is>
      </c>
      <c r="W6495" s="35" t="inlineStr"/>
      <c r="X6495" s="35" t="inlineStr"/>
    </row>
    <row r="6496" ht="15" customHeight="1" s="24">
      <c r="A6496" s="13" t="n">
        <v>5000122487</v>
      </c>
      <c r="B6496" s="13" t="inlineStr">
        <is>
          <t>МКУ ММО МО "ЕДТЦ"</t>
        </is>
      </c>
      <c r="C6496" s="13" t="n">
        <v>5028033076</v>
      </c>
      <c r="D6496" s="13" t="inlineStr">
        <is>
          <t>5028033076</t>
        </is>
      </c>
      <c r="E6496" s="13" t="inlineStr">
        <is>
          <t>ЮЛ РФ</t>
        </is>
      </c>
      <c r="F6496" s="13" t="n"/>
      <c r="G6496" s="14" t="n"/>
      <c r="H6496" s="14" t="n"/>
      <c r="I6496" s="14" t="n"/>
      <c r="J6496" s="14" t="n"/>
      <c r="K6496" s="53" t="inlineStr"/>
      <c r="L6496" s="53" t="inlineStr">
        <is>
          <t>Не определено</t>
        </is>
      </c>
      <c r="M6496" s="53" t="inlineStr"/>
      <c r="N6496" s="54" t="inlineStr"/>
      <c r="O6496" s="55" t="inlineStr"/>
      <c r="P6496" s="16" t="inlineStr">
        <is>
          <t>Требует обогащения</t>
        </is>
      </c>
      <c r="Q6496" s="16">
        <f>HYPERLINK("https://pb.nalog.ru/search.html?query=5028033076","ФНС: проверить")</f>
        <v/>
      </c>
      <c r="R6496" s="16">
        <f>HYPERLINK("https://checko.ru/search?query=3801001629","Чекко: проверить")</f>
        <v/>
      </c>
      <c r="S6496" t="n">
        <v>1</v>
      </c>
      <c r="T6496" s="35" t="inlineStr">
        <is>
          <t>4 — Не обогащён</t>
        </is>
      </c>
      <c r="U6496" s="35" t="inlineStr">
        <is>
          <t>Нет ОКВЭД/ССЧР</t>
        </is>
      </c>
      <c r="V6496" s="35" t="inlineStr">
        <is>
          <t>Не определено</t>
        </is>
      </c>
      <c r="W6496" s="35" t="inlineStr"/>
      <c r="X6496" s="35" t="inlineStr"/>
    </row>
    <row r="6497" ht="15" customHeight="1" s="24">
      <c r="A6497" s="13" t="n">
        <v>5000122488</v>
      </c>
      <c r="B6497" s="13" t="inlineStr">
        <is>
          <t>МКУ ММО МО "МОЖАЙСК-СЕРВИС"</t>
        </is>
      </c>
      <c r="C6497" s="13" t="n">
        <v>5028035757</v>
      </c>
      <c r="D6497" s="13" t="inlineStr">
        <is>
          <t>5028035757</t>
        </is>
      </c>
      <c r="E6497" s="13" t="inlineStr">
        <is>
          <t>ЮЛ РФ</t>
        </is>
      </c>
      <c r="F6497" s="13" t="n"/>
      <c r="G6497" s="14" t="n"/>
      <c r="H6497" s="14" t="n"/>
      <c r="I6497" s="14" t="n"/>
      <c r="J6497" s="14" t="n"/>
      <c r="K6497" s="53" t="inlineStr"/>
      <c r="L6497" s="53" t="inlineStr">
        <is>
          <t>Не определено</t>
        </is>
      </c>
      <c r="M6497" s="53" t="inlineStr"/>
      <c r="N6497" s="54" t="inlineStr"/>
      <c r="O6497" s="55" t="inlineStr"/>
      <c r="P6497" s="16" t="inlineStr">
        <is>
          <t>Требует обогащения</t>
        </is>
      </c>
      <c r="Q6497" s="16">
        <f>HYPERLINK("https://pb.nalog.ru/search.html?query=5028035757","ФНС: проверить")</f>
        <v/>
      </c>
      <c r="R6497" s="16">
        <f>HYPERLINK("https://checko.ru/search?query=3801001629","Чекко: проверить")</f>
        <v/>
      </c>
      <c r="S6497" t="n">
        <v>1</v>
      </c>
      <c r="T6497" s="35" t="inlineStr">
        <is>
          <t>4 — Не обогащён</t>
        </is>
      </c>
      <c r="U6497" s="35" t="inlineStr">
        <is>
          <t>Нет ОКВЭД/ССЧР</t>
        </is>
      </c>
      <c r="V6497" s="35" t="inlineStr">
        <is>
          <t>Не определено</t>
        </is>
      </c>
      <c r="W6497" s="35" t="inlineStr"/>
      <c r="X6497" s="35" t="inlineStr"/>
    </row>
    <row r="6498" ht="15" customHeight="1" s="24">
      <c r="A6498" s="13" t="n">
        <v>5000122490</v>
      </c>
      <c r="B6498" s="13" t="inlineStr">
        <is>
          <t>МКУ ММО МО "УАХД"</t>
        </is>
      </c>
      <c r="C6498" s="13" t="n">
        <v>5028033069</v>
      </c>
      <c r="D6498" s="13" t="inlineStr">
        <is>
          <t>5028033069</t>
        </is>
      </c>
      <c r="E6498" s="13" t="inlineStr">
        <is>
          <t>ЮЛ РФ</t>
        </is>
      </c>
      <c r="F6498" s="13" t="n"/>
      <c r="G6498" s="14" t="n"/>
      <c r="H6498" s="14" t="n"/>
      <c r="I6498" s="14" t="n"/>
      <c r="J6498" s="14" t="n"/>
      <c r="K6498" s="53" t="inlineStr"/>
      <c r="L6498" s="53" t="inlineStr">
        <is>
          <t>Не определено</t>
        </is>
      </c>
      <c r="M6498" s="53" t="inlineStr"/>
      <c r="N6498" s="54" t="inlineStr"/>
      <c r="O6498" s="55" t="inlineStr"/>
      <c r="P6498" s="16" t="inlineStr">
        <is>
          <t>Требует обогащения</t>
        </is>
      </c>
      <c r="Q6498" s="16">
        <f>HYPERLINK("https://pb.nalog.ru/search.html?query=5028033069","ФНС: проверить")</f>
        <v/>
      </c>
      <c r="R6498" s="16">
        <f>HYPERLINK("https://checko.ru/search?query=3801001629","Чекко: проверить")</f>
        <v/>
      </c>
      <c r="S6498" t="n">
        <v>1</v>
      </c>
      <c r="T6498" s="35" t="inlineStr">
        <is>
          <t>4 — Не обогащён</t>
        </is>
      </c>
      <c r="U6498" s="35" t="inlineStr">
        <is>
          <t>Нет ОКВЭД/ССЧР</t>
        </is>
      </c>
      <c r="V6498" s="35" t="inlineStr">
        <is>
          <t>Не определено</t>
        </is>
      </c>
      <c r="W6498" s="35" t="inlineStr"/>
      <c r="X6498" s="35" t="inlineStr"/>
    </row>
    <row r="6499" ht="15" customHeight="1" s="24">
      <c r="A6499" s="13" t="n">
        <v>5000122493</v>
      </c>
      <c r="B6499" s="13" t="inlineStr">
        <is>
          <t>КСП МОЖАЙСКОГО МУНИЦИПАЛЬНОГО ОКРУГА</t>
        </is>
      </c>
      <c r="C6499" s="13" t="n">
        <v>5028107257</v>
      </c>
      <c r="D6499" s="13" t="inlineStr">
        <is>
          <t>5028107257</t>
        </is>
      </c>
      <c r="E6499" s="13" t="inlineStr">
        <is>
          <t>ЮЛ РФ</t>
        </is>
      </c>
      <c r="F6499" s="13" t="n"/>
      <c r="G6499" s="14" t="n"/>
      <c r="H6499" s="14" t="n"/>
      <c r="I6499" s="14" t="n"/>
      <c r="J6499" s="14" t="n"/>
      <c r="K6499" s="53" t="inlineStr"/>
      <c r="L6499" s="53" t="inlineStr">
        <is>
          <t>Не определено</t>
        </is>
      </c>
      <c r="M6499" s="53" t="inlineStr"/>
      <c r="N6499" s="54" t="inlineStr"/>
      <c r="O6499" s="55" t="inlineStr"/>
      <c r="P6499" s="16" t="inlineStr">
        <is>
          <t>Требует обогащения</t>
        </is>
      </c>
      <c r="Q6499" s="16">
        <f>HYPERLINK("https://pb.nalog.ru/search.html?query=5028107257","ФНС: проверить")</f>
        <v/>
      </c>
      <c r="R6499" s="16">
        <f>HYPERLINK("https://checko.ru/search?query=3801001629","Чекко: проверить")</f>
        <v/>
      </c>
      <c r="S6499" t="n">
        <v>1</v>
      </c>
      <c r="T6499" s="35" t="inlineStr">
        <is>
          <t>4 — Не обогащён</t>
        </is>
      </c>
      <c r="U6499" s="35" t="inlineStr">
        <is>
          <t>Нет ОКВЭД/ССЧР</t>
        </is>
      </c>
      <c r="V6499" s="35" t="inlineStr">
        <is>
          <t>Не определено</t>
        </is>
      </c>
      <c r="W6499" s="35" t="inlineStr"/>
      <c r="X6499" s="35" t="inlineStr"/>
    </row>
    <row r="6500" ht="15" customHeight="1" s="24">
      <c r="A6500" s="13" t="n">
        <v>5000122495</v>
      </c>
      <c r="B6500" s="13" t="inlineStr">
        <is>
          <t>УОИОСС АММО МО</t>
        </is>
      </c>
      <c r="C6500" s="13" t="n">
        <v>5028033012</v>
      </c>
      <c r="D6500" s="13" t="inlineStr">
        <is>
          <t>5028033012</t>
        </is>
      </c>
      <c r="E6500" s="13" t="inlineStr">
        <is>
          <t>ЮЛ РФ</t>
        </is>
      </c>
      <c r="F6500" s="13" t="n"/>
      <c r="G6500" s="14" t="n"/>
      <c r="H6500" s="14" t="n"/>
      <c r="I6500" s="14" t="n"/>
      <c r="J6500" s="14" t="n"/>
      <c r="K6500" s="53" t="inlineStr"/>
      <c r="L6500" s="53" t="inlineStr">
        <is>
          <t>Не определено</t>
        </is>
      </c>
      <c r="M6500" s="53" t="inlineStr"/>
      <c r="N6500" s="54" t="inlineStr"/>
      <c r="O6500" s="55" t="inlineStr"/>
      <c r="P6500" s="16" t="inlineStr">
        <is>
          <t>Требует обогащения</t>
        </is>
      </c>
      <c r="Q6500" s="16">
        <f>HYPERLINK("https://pb.nalog.ru/search.html?query=5028033012","ФНС: проверить")</f>
        <v/>
      </c>
      <c r="R6500" s="16">
        <f>HYPERLINK("https://checko.ru/search?query=3801001629","Чекко: проверить")</f>
        <v/>
      </c>
      <c r="S6500" t="n">
        <v>1</v>
      </c>
      <c r="T6500" s="35" t="inlineStr">
        <is>
          <t>4 — Не обогащён</t>
        </is>
      </c>
      <c r="U6500" s="35" t="inlineStr">
        <is>
          <t>Нет ОКВЭД/ССЧР</t>
        </is>
      </c>
      <c r="V6500" s="35" t="inlineStr">
        <is>
          <t>Не определено</t>
        </is>
      </c>
      <c r="W6500" s="35" t="inlineStr"/>
      <c r="X6500" s="35" t="inlineStr"/>
    </row>
    <row r="6501" ht="41.25" customHeight="1" s="24">
      <c r="A6501" s="13" t="n">
        <v>5000123441</v>
      </c>
      <c r="B6501" s="13" t="inlineStr">
        <is>
          <t>Муниципальное Общеобразовательное учреждение "Средняя Общеобразовательная Школа Красный Поселок"</t>
        </is>
      </c>
      <c r="C6501" s="13" t="n">
        <v>5017143895</v>
      </c>
      <c r="D6501" s="13" t="inlineStr">
        <is>
          <t>5017143895</t>
        </is>
      </c>
      <c r="E6501" s="13" t="inlineStr">
        <is>
          <t>ЮЛ РФ</t>
        </is>
      </c>
      <c r="F6501" s="13" t="n"/>
      <c r="G6501" s="14" t="n"/>
      <c r="H6501" s="14" t="n"/>
      <c r="I6501" s="14" t="n"/>
      <c r="J6501" s="14" t="n"/>
      <c r="K6501" s="53" t="inlineStr"/>
      <c r="L6501" s="53" t="inlineStr">
        <is>
          <t>Не определено</t>
        </is>
      </c>
      <c r="M6501" s="53" t="inlineStr"/>
      <c r="N6501" s="54" t="inlineStr"/>
      <c r="O6501" s="55" t="inlineStr"/>
      <c r="P6501" s="16" t="inlineStr">
        <is>
          <t>Требует обогащения</t>
        </is>
      </c>
      <c r="Q6501" s="16">
        <f>HYPERLINK("https://pb.nalog.ru/search.html?query=5017143895","ФНС: проверить")</f>
        <v/>
      </c>
      <c r="R6501" s="16">
        <f>HYPERLINK("https://checko.ru/search?query=3801001629","Чекко: проверить")</f>
        <v/>
      </c>
      <c r="S6501" t="n">
        <v>1</v>
      </c>
      <c r="T6501" s="35" t="inlineStr">
        <is>
          <t>4 — Не обогащён</t>
        </is>
      </c>
      <c r="U6501" s="35" t="inlineStr">
        <is>
          <t>Нет ОКВЭД/ССЧР</t>
        </is>
      </c>
      <c r="V6501" s="35" t="inlineStr">
        <is>
          <t>Не определено</t>
        </is>
      </c>
      <c r="W6501" s="35" t="inlineStr"/>
      <c r="X6501" s="35" t="inlineStr"/>
    </row>
    <row r="6502" ht="41.25" customHeight="1" s="24">
      <c r="A6502" s="13" t="n">
        <v>5000123787</v>
      </c>
      <c r="B6502" s="13" t="inlineStr">
        <is>
          <t>Управление Молодежной Политики и Развития Добровольчества Администрации Городского Округа Люберцы Московской Области</t>
        </is>
      </c>
      <c r="C6502" s="13" t="n">
        <v>5027346421</v>
      </c>
      <c r="D6502" s="13" t="inlineStr">
        <is>
          <t>5027346421</t>
        </is>
      </c>
      <c r="E6502" s="13" t="inlineStr">
        <is>
          <t>ЮЛ РФ</t>
        </is>
      </c>
      <c r="F6502" s="13" t="n"/>
      <c r="G6502" s="14" t="n"/>
      <c r="H6502" s="14" t="n"/>
      <c r="I6502" s="14" t="n"/>
      <c r="J6502" s="14" t="n"/>
      <c r="K6502" s="53" t="inlineStr"/>
      <c r="L6502" s="53" t="inlineStr">
        <is>
          <t>Не определено</t>
        </is>
      </c>
      <c r="M6502" s="53" t="inlineStr"/>
      <c r="N6502" s="54" t="inlineStr"/>
      <c r="O6502" s="55" t="inlineStr"/>
      <c r="P6502" s="16" t="inlineStr">
        <is>
          <t>Требует обогащения</t>
        </is>
      </c>
      <c r="Q6502" s="16">
        <f>HYPERLINK("https://pb.nalog.ru/search.html?query=5027346421","ФНС: проверить")</f>
        <v/>
      </c>
      <c r="R6502" s="16">
        <f>HYPERLINK("https://checko.ru/search?query=3801001629","Чекко: проверить")</f>
        <v/>
      </c>
      <c r="S6502" t="n">
        <v>1</v>
      </c>
      <c r="T6502" s="35" t="inlineStr">
        <is>
          <t>4 — Не обогащён</t>
        </is>
      </c>
      <c r="U6502" s="35" t="inlineStr">
        <is>
          <t>Нет ОКВЭД/ССЧР</t>
        </is>
      </c>
      <c r="V6502" s="35" t="inlineStr">
        <is>
          <t>Не определено</t>
        </is>
      </c>
      <c r="W6502" s="35" t="inlineStr"/>
      <c r="X6502" s="35" t="inlineStr"/>
    </row>
    <row r="6503" ht="27.75" customHeight="1" s="24">
      <c r="A6503" s="13" t="n">
        <v>5000122816</v>
      </c>
      <c r="B6503" s="13" t="inlineStr">
        <is>
          <t>МБУ "ЭЛЕКТРОСТАЛЬСКАЯ КОММУНАЛЬНАЯ КОМПАНИЯ"</t>
        </is>
      </c>
      <c r="C6503" s="13" t="n">
        <v>5053057916</v>
      </c>
      <c r="D6503" s="13" t="inlineStr">
        <is>
          <t>5053057916</t>
        </is>
      </c>
      <c r="E6503" s="13" t="inlineStr">
        <is>
          <t>ЮЛ РФ</t>
        </is>
      </c>
      <c r="F6503" s="13" t="n"/>
      <c r="G6503" s="14" t="n"/>
      <c r="H6503" s="14" t="n"/>
      <c r="I6503" s="14" t="n"/>
      <c r="J6503" s="14" t="n"/>
      <c r="K6503" s="53" t="inlineStr"/>
      <c r="L6503" s="53" t="inlineStr">
        <is>
          <t>Не определено</t>
        </is>
      </c>
      <c r="M6503" s="53" t="inlineStr"/>
      <c r="N6503" s="54" t="inlineStr"/>
      <c r="O6503" s="55" t="inlineStr"/>
      <c r="P6503" s="16" t="inlineStr">
        <is>
          <t>Требует обогащения</t>
        </is>
      </c>
      <c r="Q6503" s="16">
        <f>HYPERLINK("https://pb.nalog.ru/search.html?query=5053057916","ФНС: проверить")</f>
        <v/>
      </c>
      <c r="R6503" s="16">
        <f>HYPERLINK("https://checko.ru/search?query=3801001629","Чекко: проверить")</f>
        <v/>
      </c>
      <c r="S6503" t="n">
        <v>1</v>
      </c>
      <c r="T6503" s="35" t="inlineStr">
        <is>
          <t>4 — Не обогащён</t>
        </is>
      </c>
      <c r="U6503" s="35" t="inlineStr">
        <is>
          <t>Нет ОКВЭД/ССЧР</t>
        </is>
      </c>
      <c r="V6503" s="35" t="inlineStr">
        <is>
          <t>Не определено</t>
        </is>
      </c>
      <c r="W6503" s="35" t="inlineStr"/>
      <c r="X6503" s="35" t="inlineStr"/>
    </row>
    <row r="6504" ht="27.75" customHeight="1" s="24">
      <c r="A6504" s="13" t="n">
        <v>5000122818</v>
      </c>
      <c r="B6504" s="13" t="inlineStr">
        <is>
          <t>СОВЕТ ДЕПУТАТОВ ГОРОДСКОГО ОКРУГА ЭЛЕКТРОСТАЛЬ</t>
        </is>
      </c>
      <c r="C6504" s="13" t="n">
        <v>5053047548</v>
      </c>
      <c r="D6504" s="13" t="inlineStr">
        <is>
          <t>5053047548</t>
        </is>
      </c>
      <c r="E6504" s="13" t="inlineStr">
        <is>
          <t>ЮЛ РФ</t>
        </is>
      </c>
      <c r="F6504" s="13" t="n"/>
      <c r="G6504" s="14" t="n"/>
      <c r="H6504" s="14" t="n"/>
      <c r="I6504" s="14" t="n"/>
      <c r="J6504" s="14" t="n"/>
      <c r="K6504" s="53" t="inlineStr"/>
      <c r="L6504" s="53" t="inlineStr">
        <is>
          <t>Не определено</t>
        </is>
      </c>
      <c r="M6504" s="53" t="inlineStr"/>
      <c r="N6504" s="54" t="inlineStr"/>
      <c r="O6504" s="55" t="inlineStr"/>
      <c r="P6504" s="16" t="inlineStr">
        <is>
          <t>Требует обогащения</t>
        </is>
      </c>
      <c r="Q6504" s="16">
        <f>HYPERLINK("https://pb.nalog.ru/search.html?query=5053047548","ФНС: проверить")</f>
        <v/>
      </c>
      <c r="R6504" s="16">
        <f>HYPERLINK("https://checko.ru/search?query=3801001629","Чекко: проверить")</f>
        <v/>
      </c>
      <c r="S6504" t="n">
        <v>1</v>
      </c>
      <c r="T6504" s="35" t="inlineStr">
        <is>
          <t>4 — Не обогащён</t>
        </is>
      </c>
      <c r="U6504" s="35" t="inlineStr">
        <is>
          <t>Нет ОКВЭД/ССЧР</t>
        </is>
      </c>
      <c r="V6504" s="35" t="inlineStr">
        <is>
          <t>Не определено</t>
        </is>
      </c>
      <c r="W6504" s="35" t="inlineStr"/>
      <c r="X6504" s="35" t="inlineStr"/>
    </row>
    <row r="6505" ht="15" customHeight="1" s="24">
      <c r="A6505" s="13" t="n">
        <v>5000122817</v>
      </c>
      <c r="B6505" s="13" t="inlineStr">
        <is>
          <t>МУ "АСС Г.О. ЭЛЕКТРОСТАЛЬ"</t>
        </is>
      </c>
      <c r="C6505" s="13" t="n">
        <v>5053047594</v>
      </c>
      <c r="D6505" s="13" t="inlineStr">
        <is>
          <t>5053047594</t>
        </is>
      </c>
      <c r="E6505" s="13" t="inlineStr">
        <is>
          <t>ЮЛ РФ</t>
        </is>
      </c>
      <c r="F6505" s="13" t="n"/>
      <c r="G6505" s="14" t="n"/>
      <c r="H6505" s="14" t="n"/>
      <c r="I6505" s="14" t="n"/>
      <c r="J6505" s="14" t="n"/>
      <c r="K6505" s="53" t="inlineStr"/>
      <c r="L6505" s="53" t="inlineStr">
        <is>
          <t>Не определено</t>
        </is>
      </c>
      <c r="M6505" s="53" t="inlineStr"/>
      <c r="N6505" s="54" t="inlineStr"/>
      <c r="O6505" s="55" t="inlineStr"/>
      <c r="P6505" s="16" t="inlineStr">
        <is>
          <t>Требует обогащения</t>
        </is>
      </c>
      <c r="Q6505" s="16">
        <f>HYPERLINK("https://pb.nalog.ru/search.html?query=5053047594","ФНС: проверить")</f>
        <v/>
      </c>
      <c r="R6505" s="16">
        <f>HYPERLINK("https://checko.ru/search?query=3801001629","Чекко: проверить")</f>
        <v/>
      </c>
      <c r="S6505" t="n">
        <v>1</v>
      </c>
      <c r="T6505" s="35" t="inlineStr">
        <is>
          <t>4 — Не обогащён</t>
        </is>
      </c>
      <c r="U6505" s="35" t="inlineStr">
        <is>
          <t>Нет ОКВЭД/ССЧР</t>
        </is>
      </c>
      <c r="V6505" s="35" t="inlineStr">
        <is>
          <t>Не определено</t>
        </is>
      </c>
      <c r="W6505" s="35" t="inlineStr"/>
      <c r="X6505" s="35" t="inlineStr"/>
    </row>
    <row r="6506" ht="27.75" customHeight="1" s="24">
      <c r="A6506" s="13" t="inlineStr">
        <is>
          <t>Sahali4</t>
        </is>
      </c>
      <c r="B6506" s="13" t="inlineStr">
        <is>
          <t>Министерство государственного управления Сахалинской области</t>
        </is>
      </c>
      <c r="C6506" s="13" t="n">
        <v>6501307562</v>
      </c>
      <c r="D6506" s="13" t="inlineStr">
        <is>
          <t>6501307562</t>
        </is>
      </c>
      <c r="E6506" s="13" t="inlineStr">
        <is>
          <t>ЮЛ РФ</t>
        </is>
      </c>
      <c r="F6506" s="13" t="n"/>
      <c r="G6506" s="14" t="n"/>
      <c r="H6506" s="14" t="n"/>
      <c r="I6506" s="14" t="n"/>
      <c r="J6506" s="14" t="n"/>
      <c r="K6506" s="53" t="inlineStr"/>
      <c r="L6506" s="53" t="inlineStr">
        <is>
          <t>Не определено</t>
        </is>
      </c>
      <c r="M6506" s="53" t="inlineStr"/>
      <c r="N6506" s="54" t="inlineStr"/>
      <c r="O6506" s="55" t="inlineStr"/>
      <c r="P6506" s="16" t="inlineStr">
        <is>
          <t>Требует обогащения</t>
        </is>
      </c>
      <c r="Q6506" s="16">
        <f>HYPERLINK("https://pb.nalog.ru/search.html?query=6501307562","ФНС: проверить")</f>
        <v/>
      </c>
      <c r="R6506" s="16">
        <f>HYPERLINK("https://checko.ru/search?query=3801001629","Чекко: проверить")</f>
        <v/>
      </c>
      <c r="S6506" t="n">
        <v>0</v>
      </c>
      <c r="T6506" s="35" t="inlineStr">
        <is>
          <t>4 — Не обогащён</t>
        </is>
      </c>
      <c r="U6506" s="35" t="inlineStr">
        <is>
          <t>Нет ОКВЭД/ССЧР</t>
        </is>
      </c>
      <c r="V6506" s="35" t="inlineStr">
        <is>
          <t>Не определено</t>
        </is>
      </c>
      <c r="W6506" s="35" t="inlineStr"/>
      <c r="X6506" s="35" t="inlineStr"/>
    </row>
    <row r="6507" ht="15" customHeight="1" s="24">
      <c r="A6507" s="13" t="inlineStr">
        <is>
          <t>FR44997</t>
        </is>
      </c>
      <c r="B6507" s="13" t="inlineStr">
        <is>
          <t>ООО "СКИП"</t>
        </is>
      </c>
      <c r="C6507" s="13" t="inlineStr">
        <is>
          <t>326544052 не исп накладные</t>
        </is>
      </c>
      <c r="D6507" s="13" t="n"/>
      <c r="E6507" s="13" t="inlineStr">
        <is>
          <t>Не определён</t>
        </is>
      </c>
      <c r="F6507" s="13" t="inlineStr">
        <is>
          <t>326544052 не исп накладные</t>
        </is>
      </c>
      <c r="G6507" s="14" t="n"/>
      <c r="H6507" s="14" t="n"/>
      <c r="I6507" s="14" t="n"/>
      <c r="J6507" s="14" t="n"/>
      <c r="K6507" s="13">
        <f>IF(G6507="","",IF(G6507&gt;=22,"Да","Нет"))</f>
        <v/>
      </c>
      <c r="L6507" s="13">
        <f>IF(OR(I6507="",J6507=""),"Не определено",IF(OR(COUNTIF(I6507,"45*")&gt;0,COUNTIF(J6507,"*45*")&gt;0,COUNTIF(I6507,"46*")&gt;0,COUNTIF(J6507,"*46*")&gt;0,COUNTIF(I6507,"47*")&gt;0,COUNTIF(J6507,"*47*")&gt;0,COUNTIF(I6507,"10*")&gt;0,COUNTIF(J6507,"*10*")&gt;0,COUNTIF(I6507,"11*")&gt;0,COUNTIF(J6507,"*11*")&gt;0,COUNTIF(I6507,"12*")&gt;0,COUNTIF(J6507,"*12*")&gt;0,COUNTIF(I6507,"13*")&gt;0,COUNTIF(J6507,"*13*")&gt;0,COUNTIF(I6507,"14*")&gt;0,COUNTIF(J6507,"*14*")&gt;0,COUNTIF(I6507,"15*")&gt;0,COUNTIF(J6507,"*15*")&gt;0,COUNTIF(I6507,"16*")&gt;0,COUNTIF(J6507,"*16*")&gt;0,COUNTIF(I6507,"17*")&gt;0,COUNTIF(J6507,"*17*")&gt;0,COUNTIF(I6507,"18*")&gt;0,COUNTIF(J6507,"*18*")&gt;0,COUNTIF(I6507,"19*")&gt;0,COUNTIF(J6507,"*19*")&gt;0,COUNTIF(I6507,"20*")&gt;0,COUNTIF(J6507,"*20*")&gt;0,COUNTIF(I6507,"21*")&gt;0,COUNTIF(J6507,"*21*")&gt;0,COUNTIF(I6507,"22*")&gt;0,COUNTIF(J6507,"*22*")&gt;0,COUNTIF(I6507,"23*")&gt;0,COUNTIF(J6507,"*23*")&gt;0,COUNTIF(I6507,"24*")&gt;0,COUNTIF(J6507,"*24*")&gt;0,COUNTIF(I6507,"25*")&gt;0,COUNTIF(J6507,"*25*")&gt;0,COUNTIF(I6507,"26*")&gt;0,COUNTIF(J6507,"*26*")&gt;0,COUNTIF(I6507,"27*")&gt;0,COUNTIF(J6507,"*27*")&gt;0,COUNTIF(I6507,"28*")&gt;0,COUNTIF(J6507,"*28*")&gt;0,COUNTIF(I6507,"29*")&gt;0,COUNTIF(J6507,"*29*")&gt;0,COUNTIF(I6507,"30*")&gt;0,COUNTIF(J6507,"*30*")&gt;0,COUNTIF(I6507,"31*")&gt;0,COUNTIF(J6507,"*31*")&gt;0,COUNTIF(I6507,"32*")&gt;0,COUNTIF(J6507,"*32*")&gt;0,COUNTIF(I6507,"33*")&gt;0,COUNTIF(J6507,"*33*")&gt;0,COUNTIF(I6507,"41*")&gt;0,COUNTIF(J6507,"*41*")&gt;0,COUNTIF(I6507,"42*")&gt;0,COUNTIF(J6507,"*42*")&gt;0,COUNTIF(I6507,"43*")&gt;0,COUNTIF(J6507,"*43*")&gt;0,COUNTIF(I6507,"49*")&gt;0,COUNTIF(J6507,"*49*")&gt;0,COUNTIF(I6507,"52*")&gt;0,COUNTIF(J6507,"*52*")&gt;0,COUNTIF(I6507,"55*")&gt;0,COUNTIF(J6507,"*55*")&gt;0,COUNTIF(I6507,"56*")&gt;0,COUNTIF(J6507,"*56*")&gt;0,COUNTIF(I6507,"68*")&gt;0,COUNTIF(J6507,"*68*")&gt;0,COUNTIF(I6507,"78*")&gt;0,COUNTIF(J6507,"*78*")&gt;0,COUNTIF(I6507,"81*")&gt;0,COUNTIF(J6507,"*81*")&gt;0,COUNTIF(I6507,"82*")&gt;0,COUNTIF(J6507,"*82*")&gt;0,COUNTIF(I6507,"64*")&gt;0,COUNTIF(J6507,"*64*")&gt;0,COUNTIF(I6507,"65*")&gt;0,COUNTIF(J6507,"*65*")&gt;0,COUNTIF(I6507,"66*")&gt;0,COUNTIF(J6507,"*66*")&gt;0,COUNTIF(I6507,"61*")&gt;0,COUNTIF(J6507,"*61*")&gt;0,COUNTIF(I6507,"62*")&gt;0,COUNTIF(J6507,"*62*")&gt;0,COUNTIF(I6507,"63*")&gt;0,COUNTIF(J6507,"*63*")&gt;0,COUNTIF(I6507,"85*")&gt;0,COUNTIF(J6507,"*85*")&gt;0,COUNTIF(I6507,"86*")&gt;0,COUNTIF(J6507,"*86*")&gt;0),"Да","Нет"))</f>
        <v/>
      </c>
      <c r="M6507" s="13">
        <f>IF(OR(G6507="",L6507&lt;&gt;"Да"),"",IF(G6507&lt;=100,"До 100",IF(G6507&lt;=200,"До 200",IF(G6507&lt;=500,"До 500","Отдельное КП"))))</f>
        <v/>
      </c>
      <c r="N6507" s="15">
        <f>IF(OR(G6507="",L6507&lt;&gt;"Да"),"",IF(G6507&lt;=100,33600,IF(G6507&lt;=200,62400,IF(G6507&lt;=500,144000,""))))</f>
        <v/>
      </c>
      <c r="O6507" s="16">
        <f>IF(G6507="","",IF(G6507&lt;=15,"1–15",IF(G6507&lt;=30,"16–30",IF(G6507&lt;=50,"31–50",IF(G6507&lt;=100,"51–100",IF(G6507&lt;=150,"101–150",IF(G6507&lt;=200,"151–200",IF(G6507&lt;=500,"201–500","500+"))))))))</f>
        <v/>
      </c>
      <c r="P6507" s="16" t="inlineStr">
        <is>
          <t>Нет совпадения в предоставленной выгрузке ССЧР</t>
        </is>
      </c>
      <c r="Q6507" s="16" t="n"/>
      <c r="R6507" s="16">
        <f>HYPERLINK("https://checko.ru/search?query=3801001629","Чекко: проверить")</f>
        <v/>
      </c>
      <c r="S6507" t="n">
        <v>0</v>
      </c>
    </row>
    <row r="6508" ht="15" customHeight="1" s="24">
      <c r="A6508" s="13" t="inlineStr">
        <is>
          <t>FR44997</t>
        </is>
      </c>
      <c r="B6508" s="13" t="inlineStr">
        <is>
          <t>ООО "СКИП"</t>
        </is>
      </c>
      <c r="C6508" s="13" t="inlineStr">
        <is>
          <t>326544052 не исп накладные</t>
        </is>
      </c>
      <c r="D6508" s="13" t="n"/>
      <c r="E6508" s="13" t="inlineStr">
        <is>
          <t>Не определён</t>
        </is>
      </c>
      <c r="F6508" s="13" t="inlineStr">
        <is>
          <t>326544052 не исп накладные</t>
        </is>
      </c>
      <c r="G6508" s="14" t="n"/>
      <c r="H6508" s="14" t="n"/>
      <c r="I6508" s="14" t="n"/>
      <c r="J6508" s="14" t="n"/>
      <c r="K6508" s="13">
        <f>IF(G6508="","",IF(G6508&gt;=22,"Да","Нет"))</f>
        <v/>
      </c>
      <c r="L6508" s="13">
        <f>IF(OR(I6508="",J6508=""),"Не определено",IF(OR(COUNTIF(I6508,"45*")&gt;0,COUNTIF(J6508,"*45*")&gt;0,COUNTIF(I6508,"46*")&gt;0,COUNTIF(J6508,"*46*")&gt;0,COUNTIF(I6508,"47*")&gt;0,COUNTIF(J6508,"*47*")&gt;0,COUNTIF(I6508,"10*")&gt;0,COUNTIF(J6508,"*10*")&gt;0,COUNTIF(I6508,"11*")&gt;0,COUNTIF(J6508,"*11*")&gt;0,COUNTIF(I6508,"12*")&gt;0,COUNTIF(J6508,"*12*")&gt;0,COUNTIF(I6508,"13*")&gt;0,COUNTIF(J6508,"*13*")&gt;0,COUNTIF(I6508,"14*")&gt;0,COUNTIF(J6508,"*14*")&gt;0,COUNTIF(I6508,"15*")&gt;0,COUNTIF(J6508,"*15*")&gt;0,COUNTIF(I6508,"16*")&gt;0,COUNTIF(J6508,"*16*")&gt;0,COUNTIF(I6508,"17*")&gt;0,COUNTIF(J6508,"*17*")&gt;0,COUNTIF(I6508,"18*")&gt;0,COUNTIF(J6508,"*18*")&gt;0,COUNTIF(I6508,"19*")&gt;0,COUNTIF(J6508,"*19*")&gt;0,COUNTIF(I6508,"20*")&gt;0,COUNTIF(J6508,"*20*")&gt;0,COUNTIF(I6508,"21*")&gt;0,COUNTIF(J6508,"*21*")&gt;0,COUNTIF(I6508,"22*")&gt;0,COUNTIF(J6508,"*22*")&gt;0,COUNTIF(I6508,"23*")&gt;0,COUNTIF(J6508,"*23*")&gt;0,COUNTIF(I6508,"24*")&gt;0,COUNTIF(J6508,"*24*")&gt;0,COUNTIF(I6508,"25*")&gt;0,COUNTIF(J6508,"*25*")&gt;0,COUNTIF(I6508,"26*")&gt;0,COUNTIF(J6508,"*26*")&gt;0,COUNTIF(I6508,"27*")&gt;0,COUNTIF(J6508,"*27*")&gt;0,COUNTIF(I6508,"28*")&gt;0,COUNTIF(J6508,"*28*")&gt;0,COUNTIF(I6508,"29*")&gt;0,COUNTIF(J6508,"*29*")&gt;0,COUNTIF(I6508,"30*")&gt;0,COUNTIF(J6508,"*30*")&gt;0,COUNTIF(I6508,"31*")&gt;0,COUNTIF(J6508,"*31*")&gt;0,COUNTIF(I6508,"32*")&gt;0,COUNTIF(J6508,"*32*")&gt;0,COUNTIF(I6508,"33*")&gt;0,COUNTIF(J6508,"*33*")&gt;0,COUNTIF(I6508,"41*")&gt;0,COUNTIF(J6508,"*41*")&gt;0,COUNTIF(I6508,"42*")&gt;0,COUNTIF(J6508,"*42*")&gt;0,COUNTIF(I6508,"43*")&gt;0,COUNTIF(J6508,"*43*")&gt;0,COUNTIF(I6508,"49*")&gt;0,COUNTIF(J6508,"*49*")&gt;0,COUNTIF(I6508,"52*")&gt;0,COUNTIF(J6508,"*52*")&gt;0,COUNTIF(I6508,"55*")&gt;0,COUNTIF(J6508,"*55*")&gt;0,COUNTIF(I6508,"56*")&gt;0,COUNTIF(J6508,"*56*")&gt;0,COUNTIF(I6508,"68*")&gt;0,COUNTIF(J6508,"*68*")&gt;0,COUNTIF(I6508,"78*")&gt;0,COUNTIF(J6508,"*78*")&gt;0,COUNTIF(I6508,"81*")&gt;0,COUNTIF(J6508,"*81*")&gt;0,COUNTIF(I6508,"82*")&gt;0,COUNTIF(J6508,"*82*")&gt;0,COUNTIF(I6508,"64*")&gt;0,COUNTIF(J6508,"*64*")&gt;0,COUNTIF(I6508,"65*")&gt;0,COUNTIF(J6508,"*65*")&gt;0,COUNTIF(I6508,"66*")&gt;0,COUNTIF(J6508,"*66*")&gt;0,COUNTIF(I6508,"61*")&gt;0,COUNTIF(J6508,"*61*")&gt;0,COUNTIF(I6508,"62*")&gt;0,COUNTIF(J6508,"*62*")&gt;0,COUNTIF(I6508,"63*")&gt;0,COUNTIF(J6508,"*63*")&gt;0,COUNTIF(I6508,"85*")&gt;0,COUNTIF(J6508,"*85*")&gt;0,COUNTIF(I6508,"86*")&gt;0,COUNTIF(J6508,"*86*")&gt;0),"Да","Нет"))</f>
        <v/>
      </c>
      <c r="M6508" s="13">
        <f>IF(OR(G6508="",L6508&lt;&gt;"Да"),"",IF(G6508&lt;=100,"До 100",IF(G6508&lt;=200,"До 200",IF(G6508&lt;=500,"До 500","Отдельное КП"))))</f>
        <v/>
      </c>
      <c r="N6508" s="15">
        <f>IF(OR(G6508="",L6508&lt;&gt;"Да"),"",IF(G6508&lt;=100,33600,IF(G6508&lt;=200,62400,IF(G6508&lt;=500,144000,""))))</f>
        <v/>
      </c>
      <c r="O6508" s="16">
        <f>IF(G6508="","",IF(G6508&lt;=15,"1–15",IF(G6508&lt;=30,"16–30",IF(G6508&lt;=50,"31–50",IF(G6508&lt;=100,"51–100",IF(G6508&lt;=150,"101–150",IF(G6508&lt;=200,"151–200",IF(G6508&lt;=500,"201–500","500+"))))))))</f>
        <v/>
      </c>
      <c r="P6508" s="16" t="inlineStr">
        <is>
          <t>Нет совпадения в предоставленной выгрузке ССЧР</t>
        </is>
      </c>
      <c r="Q6508" s="16" t="n"/>
      <c r="R6508" s="16">
        <f>HYPERLINK("https://checko.ru/search?query=3801001629","Чекко: проверить")</f>
        <v/>
      </c>
      <c r="S6508" t="n">
        <v>0</v>
      </c>
    </row>
    <row r="6509" ht="27.75" customHeight="1" s="24">
      <c r="A6509" s="13" t="inlineStr">
        <is>
          <t>FR164310</t>
        </is>
      </c>
      <c r="B6509" s="13" t="inlineStr">
        <is>
          <t>ИП Конова Лидия Алексеевна</t>
        </is>
      </c>
      <c r="C6509" s="13" t="inlineStr">
        <is>
          <t>381106689977, компания ликвид, уже звонили</t>
        </is>
      </c>
      <c r="D6509" s="13" t="inlineStr">
        <is>
          <t>381106689977</t>
        </is>
      </c>
      <c r="E6509" s="13" t="inlineStr">
        <is>
          <t>ИП РФ / физлицо</t>
        </is>
      </c>
      <c r="F6509" s="13" t="inlineStr">
        <is>
          <t>компания ликвид, уже звонили</t>
        </is>
      </c>
      <c r="G6509" s="14" t="n"/>
      <c r="H6509" s="14" t="n"/>
      <c r="I6509" s="14" t="n"/>
      <c r="J6509" s="14" t="n"/>
      <c r="K6509" s="53" t="inlineStr"/>
      <c r="L6509" s="53" t="inlineStr">
        <is>
          <t>Не определено</t>
        </is>
      </c>
      <c r="M6509" s="53" t="inlineStr"/>
      <c r="N6509" s="54" t="inlineStr"/>
      <c r="O6509" s="55" t="inlineStr"/>
      <c r="P6509" s="16" t="inlineStr">
        <is>
          <t>Требует обогащения</t>
        </is>
      </c>
      <c r="Q6509" s="16">
        <f>HYPERLINK("https://pb.nalog.ru/search.html?query=381106689977","ФНС: проверить")</f>
        <v/>
      </c>
      <c r="R6509" s="16">
        <f>HYPERLINK("https://checko.ru/search?query=3801001629","Чекко: проверить")</f>
        <v/>
      </c>
      <c r="S6509" t="n">
        <v>1</v>
      </c>
      <c r="T6509" s="35" t="inlineStr">
        <is>
          <t>4 — Не обогащён</t>
        </is>
      </c>
      <c r="U6509" s="35" t="inlineStr">
        <is>
          <t>Нет ОКВЭД/ССЧР</t>
        </is>
      </c>
      <c r="V6509" s="35" t="inlineStr">
        <is>
          <t>Не определено</t>
        </is>
      </c>
      <c r="W6509" s="35" t="inlineStr"/>
      <c r="X6509" s="35" t="inlineStr"/>
    </row>
    <row r="6510" ht="27.75" customHeight="1" s="24">
      <c r="A6510" s="13" t="inlineStr">
        <is>
          <t>FR164310</t>
        </is>
      </c>
      <c r="B6510" s="13" t="inlineStr">
        <is>
          <t>ИП Конова Лидия Алексеевна</t>
        </is>
      </c>
      <c r="C6510" s="13" t="inlineStr">
        <is>
          <t>381106689977 компания ликвид, уже звонили</t>
        </is>
      </c>
      <c r="D6510" s="13" t="inlineStr">
        <is>
          <t>381106689977</t>
        </is>
      </c>
      <c r="E6510" s="13" t="inlineStr">
        <is>
          <t>ИП РФ / физлицо</t>
        </is>
      </c>
      <c r="F6510" s="13" t="inlineStr">
        <is>
          <t>компания ликвид, уже звонили</t>
        </is>
      </c>
      <c r="G6510" s="14" t="n"/>
      <c r="H6510" s="14" t="n"/>
      <c r="I6510" s="14" t="n"/>
      <c r="J6510" s="14" t="n"/>
      <c r="K6510" s="53" t="inlineStr"/>
      <c r="L6510" s="53" t="inlineStr">
        <is>
          <t>Не определено</t>
        </is>
      </c>
      <c r="M6510" s="53" t="inlineStr"/>
      <c r="N6510" s="54" t="inlineStr"/>
      <c r="O6510" s="55" t="inlineStr"/>
      <c r="P6510" s="16" t="inlineStr">
        <is>
          <t>Требует обогащения</t>
        </is>
      </c>
      <c r="Q6510" s="16">
        <f>HYPERLINK("https://pb.nalog.ru/search.html?query=381106689977","ФНС: проверить")</f>
        <v/>
      </c>
      <c r="R6510" s="16">
        <f>HYPERLINK("https://checko.ru/search?query=3801001629","Чекко: проверить")</f>
        <v/>
      </c>
      <c r="S6510" t="n">
        <v>0</v>
      </c>
      <c r="T6510" s="35" t="inlineStr">
        <is>
          <t>4 — Не обогащён</t>
        </is>
      </c>
      <c r="U6510" s="35" t="inlineStr">
        <is>
          <t>Нет ОКВЭД/ССЧР</t>
        </is>
      </c>
      <c r="V6510" s="35" t="inlineStr">
        <is>
          <t>Не определено</t>
        </is>
      </c>
      <c r="W6510" s="35" t="inlineStr"/>
      <c r="X6510" s="35" t="inlineStr"/>
    </row>
    <row r="6511" ht="15" customHeight="1" s="24">
      <c r="A6511" s="13" t="inlineStr">
        <is>
          <t>FR1187091</t>
        </is>
      </c>
      <c r="B6511" s="13" t="inlineStr">
        <is>
          <t>ИП Заболотский Илья Викторович</t>
        </is>
      </c>
      <c r="C6511" s="13" t="inlineStr">
        <is>
          <t>381101454040 ип закрыто</t>
        </is>
      </c>
      <c r="D6511" s="13" t="inlineStr">
        <is>
          <t>381101454040</t>
        </is>
      </c>
      <c r="E6511" s="13" t="inlineStr">
        <is>
          <t>ИП РФ / физлицо</t>
        </is>
      </c>
      <c r="F6511" s="13" t="inlineStr">
        <is>
          <t>ип закрыто</t>
        </is>
      </c>
      <c r="G6511" s="14" t="n"/>
      <c r="H6511" s="14" t="n"/>
      <c r="I6511" s="14" t="n"/>
      <c r="J6511" s="14" t="n"/>
      <c r="K6511" s="53" t="inlineStr"/>
      <c r="L6511" s="53" t="inlineStr">
        <is>
          <t>Не определено</t>
        </is>
      </c>
      <c r="M6511" s="53" t="inlineStr"/>
      <c r="N6511" s="54" t="inlineStr"/>
      <c r="O6511" s="55" t="inlineStr"/>
      <c r="P6511" s="16" t="inlineStr">
        <is>
          <t>Требует обогащения</t>
        </is>
      </c>
      <c r="Q6511" s="16">
        <f>HYPERLINK("https://pb.nalog.ru/search.html?query=381101454040","ФНС: проверить")</f>
        <v/>
      </c>
      <c r="R6511" s="16">
        <f>HYPERLINK("https://checko.ru/search?query=3801001629","Чекко: проверить")</f>
        <v/>
      </c>
      <c r="S6511" t="n">
        <v>1</v>
      </c>
      <c r="T6511" s="35" t="inlineStr">
        <is>
          <t>4 — Не обогащён</t>
        </is>
      </c>
      <c r="U6511" s="35" t="inlineStr">
        <is>
          <t>Нет ОКВЭД/ССЧР</t>
        </is>
      </c>
      <c r="V6511" s="35" t="inlineStr">
        <is>
          <t>Не определено</t>
        </is>
      </c>
      <c r="W6511" s="35" t="inlineStr"/>
      <c r="X6511" s="35" t="inlineStr"/>
    </row>
    <row r="6512" ht="15" customHeight="1" s="24">
      <c r="A6512" s="13" t="inlineStr">
        <is>
          <t>FR659200</t>
        </is>
      </c>
      <c r="B6512" s="13" t="inlineStr">
        <is>
          <t>ИП Аширов Андрей Викторович</t>
        </is>
      </c>
      <c r="C6512" s="13" t="inlineStr">
        <is>
          <t>381205256205 оквед уборка</t>
        </is>
      </c>
      <c r="D6512" s="13" t="inlineStr">
        <is>
          <t>381205256205</t>
        </is>
      </c>
      <c r="E6512" s="13" t="inlineStr">
        <is>
          <t>ИП РФ / физлицо</t>
        </is>
      </c>
      <c r="F6512" s="13" t="inlineStr">
        <is>
          <t>оквед уборка</t>
        </is>
      </c>
      <c r="G6512" s="14" t="n"/>
      <c r="H6512" s="14" t="n"/>
      <c r="I6512" s="14" t="n"/>
      <c r="J6512" s="14" t="n"/>
      <c r="K6512" s="53" t="inlineStr"/>
      <c r="L6512" s="53" t="inlineStr">
        <is>
          <t>Не определено</t>
        </is>
      </c>
      <c r="M6512" s="53" t="inlineStr"/>
      <c r="N6512" s="54" t="inlineStr"/>
      <c r="O6512" s="55" t="inlineStr"/>
      <c r="P6512" s="16" t="inlineStr">
        <is>
          <t>Требует обогащения</t>
        </is>
      </c>
      <c r="Q6512" s="16">
        <f>HYPERLINK("https://pb.nalog.ru/search.html?query=381205256205","ФНС: проверить")</f>
        <v/>
      </c>
      <c r="R6512" s="16">
        <f>HYPERLINK("https://checko.ru/search?query=3801001629","Чекко: проверить")</f>
        <v/>
      </c>
      <c r="S6512" t="n">
        <v>1</v>
      </c>
      <c r="T6512" s="35" t="inlineStr">
        <is>
          <t>4 — Не обогащён</t>
        </is>
      </c>
      <c r="U6512" s="35" t="inlineStr">
        <is>
          <t>Нет ОКВЭД/ССЧР</t>
        </is>
      </c>
      <c r="V6512" s="35" t="inlineStr">
        <is>
          <t>Не определено</t>
        </is>
      </c>
      <c r="W6512" s="35" t="inlineStr"/>
      <c r="X6512" s="35" t="inlineStr"/>
    </row>
    <row r="6513" ht="15" customHeight="1" s="24">
      <c r="A6513" s="13" t="inlineStr">
        <is>
          <t>FR659200</t>
        </is>
      </c>
      <c r="B6513" s="13" t="inlineStr">
        <is>
          <t>ИП Аширов Андрей Викторович</t>
        </is>
      </c>
      <c r="C6513" s="13" t="inlineStr">
        <is>
          <t>381205256205 оквед уборка</t>
        </is>
      </c>
      <c r="D6513" s="13" t="inlineStr">
        <is>
          <t>381205256205</t>
        </is>
      </c>
      <c r="E6513" s="13" t="inlineStr">
        <is>
          <t>ИП РФ / физлицо</t>
        </is>
      </c>
      <c r="F6513" s="13" t="inlineStr">
        <is>
          <t>оквед уборка</t>
        </is>
      </c>
      <c r="G6513" s="14" t="n"/>
      <c r="H6513" s="14" t="n"/>
      <c r="I6513" s="14" t="n"/>
      <c r="J6513" s="14" t="n"/>
      <c r="K6513" s="53" t="inlineStr"/>
      <c r="L6513" s="53" t="inlineStr">
        <is>
          <t>Не определено</t>
        </is>
      </c>
      <c r="M6513" s="53" t="inlineStr"/>
      <c r="N6513" s="54" t="inlineStr"/>
      <c r="O6513" s="55" t="inlineStr"/>
      <c r="P6513" s="16" t="inlineStr">
        <is>
          <t>Требует обогащения</t>
        </is>
      </c>
      <c r="Q6513" s="16">
        <f>HYPERLINK("https://pb.nalog.ru/search.html?query=381205256205","ФНС: проверить")</f>
        <v/>
      </c>
      <c r="R6513" s="16">
        <f>HYPERLINK("https://checko.ru/search?query=3801001629","Чекко: проверить")</f>
        <v/>
      </c>
      <c r="S6513" t="n">
        <v>0</v>
      </c>
      <c r="T6513" s="35" t="inlineStr">
        <is>
          <t>4 — Не обогащён</t>
        </is>
      </c>
      <c r="U6513" s="35" t="inlineStr">
        <is>
          <t>Нет ОКВЭД/ССЧР</t>
        </is>
      </c>
      <c r="V6513" s="35" t="inlineStr">
        <is>
          <t>Не определено</t>
        </is>
      </c>
      <c r="W6513" s="35" t="inlineStr"/>
      <c r="X6513" s="35" t="inlineStr"/>
    </row>
    <row r="6514" ht="15" customHeight="1" s="24">
      <c r="A6514" s="13" t="inlineStr">
        <is>
          <t>FR659070</t>
        </is>
      </c>
      <c r="B6514" s="13" t="inlineStr">
        <is>
          <t>АВТОГАРАЖНЫЙ КООПЕРАТИВ № 223</t>
        </is>
      </c>
      <c r="C6514" s="13" t="inlineStr">
        <is>
          <t>3812054125, гаражный кооп</t>
        </is>
      </c>
      <c r="D6514" s="13" t="inlineStr">
        <is>
          <t>3812054125</t>
        </is>
      </c>
      <c r="E6514" s="13" t="inlineStr">
        <is>
          <t>ЮЛ РФ</t>
        </is>
      </c>
      <c r="F6514" s="13" t="inlineStr">
        <is>
          <t>гаражный кооп</t>
        </is>
      </c>
      <c r="G6514" s="14" t="n"/>
      <c r="H6514" s="14" t="n"/>
      <c r="I6514" s="14" t="n"/>
      <c r="J6514" s="14" t="n"/>
      <c r="K6514" s="53" t="inlineStr"/>
      <c r="L6514" s="53" t="inlineStr">
        <is>
          <t>Не определено</t>
        </is>
      </c>
      <c r="M6514" s="53" t="inlineStr"/>
      <c r="N6514" s="54" t="inlineStr"/>
      <c r="O6514" s="55" t="inlineStr"/>
      <c r="P6514" s="16" t="inlineStr">
        <is>
          <t>Требует обогащения</t>
        </is>
      </c>
      <c r="Q6514" s="16">
        <f>HYPERLINK("https://pb.nalog.ru/search.html?query=3812054125","ФНС: проверить")</f>
        <v/>
      </c>
      <c r="R6514" s="16">
        <f>HYPERLINK("https://checko.ru/search?query=3801001629","Чекко: проверить")</f>
        <v/>
      </c>
      <c r="S6514" t="n">
        <v>1</v>
      </c>
      <c r="T6514" s="35" t="inlineStr">
        <is>
          <t>4 — Не обогащён</t>
        </is>
      </c>
      <c r="U6514" s="35" t="inlineStr">
        <is>
          <t>Нет ОКВЭД/ССЧР</t>
        </is>
      </c>
      <c r="V6514" s="35" t="inlineStr">
        <is>
          <t>Не определено</t>
        </is>
      </c>
      <c r="W6514" s="35" t="inlineStr"/>
      <c r="X6514" s="35" t="inlineStr"/>
    </row>
    <row r="6515" ht="41.25" customHeight="1" s="24">
      <c r="A6515" s="13" t="inlineStr">
        <is>
          <t>FR990960</t>
        </is>
      </c>
      <c r="B6515" s="13" t="inlineStr">
        <is>
          <t>Общество с ограниченной ответственностью "ИНЖЕНЕРНО-СТРОИТЕЛЬНАЯ КОМПАНИЯ ЛАНТАН"</t>
        </is>
      </c>
      <c r="C6515" s="13" t="inlineStr">
        <is>
          <t>3811457315, ндз1, негатив</t>
        </is>
      </c>
      <c r="D6515" s="13" t="inlineStr">
        <is>
          <t>3811457315</t>
        </is>
      </c>
      <c r="E6515" s="13" t="inlineStr">
        <is>
          <t>ЮЛ РФ</t>
        </is>
      </c>
      <c r="F6515" s="13" t="inlineStr">
        <is>
          <t>ндз1, негатив</t>
        </is>
      </c>
      <c r="G6515" s="52" t="n">
        <v>4</v>
      </c>
      <c r="H6515" s="52" t="n">
        <v>2025</v>
      </c>
      <c r="I6515" s="14" t="n"/>
      <c r="J6515" s="14" t="n"/>
      <c r="K6515" s="53" t="inlineStr">
        <is>
          <t>Нет</t>
        </is>
      </c>
      <c r="L6515" s="53" t="inlineStr">
        <is>
          <t>Не определено</t>
        </is>
      </c>
      <c r="M6515" s="53" t="inlineStr">
        <is>
          <t>До 10</t>
        </is>
      </c>
      <c r="N6515" s="54" t="n">
        <v>3360</v>
      </c>
      <c r="O6515" s="55" t="inlineStr">
        <is>
          <t>1–15</t>
        </is>
      </c>
      <c r="P6515" s="16" t="inlineStr">
        <is>
          <t>ССЧР обогащена; ОКВЭД не найден/не загружен</t>
        </is>
      </c>
      <c r="Q6515" s="16" t="inlineStr">
        <is>
          <t>ФНС открытые данные ССЧР (ДатаСост 31.12.2025; набор 7707329152-sshr2019)</t>
        </is>
      </c>
      <c r="R6515" s="16">
        <f>HYPERLINK("https://checko.ru/search?query=3801001629","Чекко: проверить")</f>
        <v/>
      </c>
      <c r="S6515" t="n">
        <v>1</v>
      </c>
      <c r="T6515" s="35" t="inlineStr">
        <is>
          <t>4 — Не обогащён</t>
        </is>
      </c>
      <c r="U6515" s="35" t="inlineStr">
        <is>
          <t>Нет ОКВЭД/ССЧР</t>
        </is>
      </c>
      <c r="V6515" s="35" t="inlineStr">
        <is>
          <t>Не определено</t>
        </is>
      </c>
      <c r="W6515" s="35" t="inlineStr">
        <is>
          <t>Нет</t>
        </is>
      </c>
      <c r="X6515" s="35" t="inlineStr"/>
    </row>
    <row r="6516" ht="15" customHeight="1" s="24">
      <c r="A6516" s="13" t="inlineStr">
        <is>
          <t>FR256329</t>
        </is>
      </c>
      <c r="B6516" s="13" t="inlineStr">
        <is>
          <t>ИП Кутузов Владимир Владимирович</t>
        </is>
      </c>
      <c r="C6516" s="13" t="inlineStr">
        <is>
          <t>251100750895, ндз, письмо, им не нужно</t>
        </is>
      </c>
      <c r="D6516" s="13" t="inlineStr">
        <is>
          <t>251100750895</t>
        </is>
      </c>
      <c r="E6516" s="13" t="inlineStr">
        <is>
          <t>ИП РФ / физлицо</t>
        </is>
      </c>
      <c r="F6516" s="13" t="inlineStr">
        <is>
          <t>ндз, письмо, им не нужно</t>
        </is>
      </c>
      <c r="G6516" s="14" t="n"/>
      <c r="H6516" s="14" t="n"/>
      <c r="I6516" s="14" t="n"/>
      <c r="J6516" s="14" t="n"/>
      <c r="K6516" s="53" t="inlineStr"/>
      <c r="L6516" s="53" t="inlineStr">
        <is>
          <t>Не определено</t>
        </is>
      </c>
      <c r="M6516" s="53" t="inlineStr"/>
      <c r="N6516" s="54" t="inlineStr"/>
      <c r="O6516" s="55" t="inlineStr"/>
      <c r="P6516" s="16" t="inlineStr">
        <is>
          <t>Требует обогащения</t>
        </is>
      </c>
      <c r="Q6516" s="16">
        <f>HYPERLINK("https://pb.nalog.ru/search.html?query=251100750895","ФНС: проверить")</f>
        <v/>
      </c>
      <c r="R6516" s="16">
        <f>HYPERLINK("https://checko.ru/search?query=3801001629","Чекко: проверить")</f>
        <v/>
      </c>
      <c r="S6516" t="n">
        <v>1</v>
      </c>
      <c r="T6516" s="35" t="inlineStr">
        <is>
          <t>4 — Не обогащён</t>
        </is>
      </c>
      <c r="U6516" s="35" t="inlineStr">
        <is>
          <t>Нет ОКВЭД/ССЧР</t>
        </is>
      </c>
      <c r="V6516" s="35" t="inlineStr">
        <is>
          <t>Не определено</t>
        </is>
      </c>
      <c r="W6516" s="35" t="inlineStr"/>
      <c r="X6516" s="35" t="inlineStr"/>
    </row>
    <row r="6517" ht="15" customHeight="1" s="24">
      <c r="A6517" s="13" t="inlineStr">
        <is>
          <t>FR150369</t>
        </is>
      </c>
      <c r="B6517" s="13" t="inlineStr">
        <is>
          <t>ГАПОУ ИО "БАТТ"</t>
        </is>
      </c>
      <c r="C6517" s="13" t="inlineStr">
        <is>
          <t>3822000640, оквед обучение</t>
        </is>
      </c>
      <c r="D6517" s="13" t="inlineStr">
        <is>
          <t>3822000640</t>
        </is>
      </c>
      <c r="E6517" s="13" t="inlineStr">
        <is>
          <t>ЮЛ РФ</t>
        </is>
      </c>
      <c r="F6517" s="13" t="inlineStr">
        <is>
          <t>оквед обучение</t>
        </is>
      </c>
      <c r="G6517" s="14" t="n"/>
      <c r="H6517" s="14" t="n"/>
      <c r="I6517" s="14" t="n"/>
      <c r="J6517" s="14" t="n"/>
      <c r="K6517" s="53" t="inlineStr"/>
      <c r="L6517" s="53" t="inlineStr">
        <is>
          <t>Не определено</t>
        </is>
      </c>
      <c r="M6517" s="53" t="inlineStr"/>
      <c r="N6517" s="54" t="inlineStr"/>
      <c r="O6517" s="55" t="inlineStr"/>
      <c r="P6517" s="16" t="inlineStr">
        <is>
          <t>Требует обогащения</t>
        </is>
      </c>
      <c r="Q6517" s="16">
        <f>HYPERLINK("https://pb.nalog.ru/search.html?query=3822000640","ФНС: проверить")</f>
        <v/>
      </c>
      <c r="R6517" s="16">
        <f>HYPERLINK("https://checko.ru/search?query=3801001629","Чекко: проверить")</f>
        <v/>
      </c>
      <c r="S6517" t="n">
        <v>0</v>
      </c>
      <c r="T6517" s="35" t="inlineStr">
        <is>
          <t>4 — Не обогащён</t>
        </is>
      </c>
      <c r="U6517" s="35" t="inlineStr">
        <is>
          <t>Нет ОКВЭД/ССЧР</t>
        </is>
      </c>
      <c r="V6517" s="35" t="inlineStr">
        <is>
          <t>Не определено</t>
        </is>
      </c>
      <c r="W6517" s="35" t="inlineStr"/>
      <c r="X6517" s="35" t="inlineStr"/>
    </row>
    <row r="6518" ht="27.75" customHeight="1" s="24">
      <c r="A6518" s="13" t="inlineStr">
        <is>
          <t>FR656809</t>
        </is>
      </c>
      <c r="B6518" s="13" t="inlineStr">
        <is>
          <t>Общество с ограниченной ответственностью "ГИДРОЛАЙК"</t>
        </is>
      </c>
      <c r="C6518" s="13" t="inlineStr">
        <is>
          <t>7720934279, не нужно им</t>
        </is>
      </c>
      <c r="D6518" s="13" t="inlineStr">
        <is>
          <t>7720934279</t>
        </is>
      </c>
      <c r="E6518" s="13" t="inlineStr">
        <is>
          <t>ЮЛ РФ</t>
        </is>
      </c>
      <c r="F6518" s="13" t="inlineStr">
        <is>
          <t>не нужно им</t>
        </is>
      </c>
      <c r="G6518" s="52" t="n">
        <v>1</v>
      </c>
      <c r="H6518" s="52" t="n">
        <v>2025</v>
      </c>
      <c r="I6518" s="14" t="n"/>
      <c r="J6518" s="14" t="n"/>
      <c r="K6518" s="53" t="inlineStr">
        <is>
          <t>Нет</t>
        </is>
      </c>
      <c r="L6518" s="53" t="inlineStr">
        <is>
          <t>Не определено</t>
        </is>
      </c>
      <c r="M6518" s="53" t="inlineStr">
        <is>
          <t>До 10</t>
        </is>
      </c>
      <c r="N6518" s="54" t="n">
        <v>3360</v>
      </c>
      <c r="O6518" s="55" t="inlineStr">
        <is>
          <t>1–15</t>
        </is>
      </c>
      <c r="P6518" s="16" t="inlineStr">
        <is>
          <t>ССЧР обогащена; ОКВЭД не найден/не загружен</t>
        </is>
      </c>
      <c r="Q6518" s="16" t="inlineStr">
        <is>
          <t>ФНС открытые данные ССЧР (ДатаСост 31.12.2025; набор 7707329152-sshr2019)</t>
        </is>
      </c>
      <c r="R6518" s="16">
        <f>HYPERLINK("https://checko.ru/search?query=3801001629","Чекко: проверить")</f>
        <v/>
      </c>
      <c r="S6518" t="n">
        <v>1</v>
      </c>
      <c r="T6518" s="35" t="inlineStr">
        <is>
          <t>4 — Не обогащён</t>
        </is>
      </c>
      <c r="U6518" s="35" t="inlineStr">
        <is>
          <t>Нет ОКВЭД/ССЧР</t>
        </is>
      </c>
      <c r="V6518" s="35" t="inlineStr">
        <is>
          <t>Не определено</t>
        </is>
      </c>
      <c r="W6518" s="35" t="inlineStr">
        <is>
          <t>Нет</t>
        </is>
      </c>
      <c r="X6518" s="35" t="inlineStr"/>
    </row>
    <row r="6519" ht="27.75" customHeight="1" s="24">
      <c r="A6519" s="13" t="inlineStr">
        <is>
          <t>FR668274</t>
        </is>
      </c>
      <c r="B6519" s="13" t="inlineStr">
        <is>
          <t>Общество с ограниченной ответственностью "СОЛОМОН"</t>
        </is>
      </c>
      <c r="C6519" s="13" t="inlineStr">
        <is>
          <t>3801156608, не работают с транспортными накладными</t>
        </is>
      </c>
      <c r="D6519" s="13" t="inlineStr">
        <is>
          <t>3801156608</t>
        </is>
      </c>
      <c r="E6519" s="13" t="inlineStr">
        <is>
          <t>ЮЛ РФ</t>
        </is>
      </c>
      <c r="F6519" s="13" t="inlineStr">
        <is>
          <t>не работают с транспортными накладными</t>
        </is>
      </c>
      <c r="G6519" s="52" t="n">
        <v>1</v>
      </c>
      <c r="H6519" s="52" t="n">
        <v>2025</v>
      </c>
      <c r="I6519" s="14" t="n"/>
      <c r="J6519" s="14" t="n"/>
      <c r="K6519" s="53" t="inlineStr">
        <is>
          <t>Нет</t>
        </is>
      </c>
      <c r="L6519" s="53" t="inlineStr">
        <is>
          <t>Не определено</t>
        </is>
      </c>
      <c r="M6519" s="53" t="inlineStr">
        <is>
          <t>До 10</t>
        </is>
      </c>
      <c r="N6519" s="54" t="n">
        <v>3360</v>
      </c>
      <c r="O6519" s="55" t="inlineStr">
        <is>
          <t>1–15</t>
        </is>
      </c>
      <c r="P6519" s="16" t="inlineStr">
        <is>
          <t>ССЧР обогащена; ОКВЭД не найден/не загружен</t>
        </is>
      </c>
      <c r="Q6519" s="16" t="inlineStr">
        <is>
          <t>ФНС открытые данные ССЧР (ДатаСост 31.12.2025; набор 7707329152-sshr2019)</t>
        </is>
      </c>
      <c r="R6519" s="16">
        <f>HYPERLINK("https://checko.ru/search?query=3801001629","Чекко: проверить")</f>
        <v/>
      </c>
      <c r="S6519" t="n">
        <v>1</v>
      </c>
      <c r="T6519" s="35" t="inlineStr">
        <is>
          <t>4 — Не обогащён</t>
        </is>
      </c>
      <c r="U6519" s="35" t="inlineStr">
        <is>
          <t>Нет ОКВЭД/ССЧР</t>
        </is>
      </c>
      <c r="V6519" s="35" t="inlineStr">
        <is>
          <t>Не определено</t>
        </is>
      </c>
      <c r="W6519" s="35" t="inlineStr">
        <is>
          <t>Нет</t>
        </is>
      </c>
      <c r="X6519" s="35" t="inlineStr"/>
    </row>
    <row r="6520" ht="27.75" customHeight="1" s="24">
      <c r="A6520" s="13" t="inlineStr">
        <is>
          <t>FR660196</t>
        </is>
      </c>
      <c r="B6520" s="13" t="inlineStr">
        <is>
          <t>ИП Лукин Антон Алексеевич</t>
        </is>
      </c>
      <c r="C6520" s="13" t="inlineStr">
        <is>
          <t>381018972921 на почту, свяжется сам, уточнила 16.06 связи нет</t>
        </is>
      </c>
      <c r="D6520" s="13" t="inlineStr">
        <is>
          <t>381018972921</t>
        </is>
      </c>
      <c r="E6520" s="13" t="inlineStr">
        <is>
          <t>ИП РФ / физлицо</t>
        </is>
      </c>
      <c r="F6520" s="13" t="inlineStr">
        <is>
          <t>на почту, свяжется сам, уточнила 16.06 связи нет</t>
        </is>
      </c>
      <c r="G6520" s="14" t="n"/>
      <c r="H6520" s="14" t="n"/>
      <c r="I6520" s="14" t="n"/>
      <c r="J6520" s="14" t="n"/>
      <c r="K6520" s="53" t="inlineStr"/>
      <c r="L6520" s="53" t="inlineStr">
        <is>
          <t>Не определено</t>
        </is>
      </c>
      <c r="M6520" s="53" t="inlineStr"/>
      <c r="N6520" s="54" t="inlineStr"/>
      <c r="O6520" s="55" t="inlineStr"/>
      <c r="P6520" s="16" t="inlineStr">
        <is>
          <t>Требует обогащения</t>
        </is>
      </c>
      <c r="Q6520" s="16">
        <f>HYPERLINK("https://pb.nalog.ru/search.html?query=381018972921","ФНС: проверить")</f>
        <v/>
      </c>
      <c r="R6520" s="16">
        <f>HYPERLINK("https://checko.ru/search?query=3801001629","Чекко: проверить")</f>
        <v/>
      </c>
      <c r="S6520" t="n">
        <v>1</v>
      </c>
      <c r="T6520" s="35" t="inlineStr">
        <is>
          <t>4 — Не обогащён</t>
        </is>
      </c>
      <c r="U6520" s="35" t="inlineStr">
        <is>
          <t>Нет ОКВЭД/ССЧР</t>
        </is>
      </c>
      <c r="V6520" s="35" t="inlineStr">
        <is>
          <t>Не определено</t>
        </is>
      </c>
      <c r="W6520" s="35" t="inlineStr"/>
      <c r="X6520" s="35" t="inlineStr"/>
    </row>
    <row r="6521" ht="27.75" customHeight="1" s="24">
      <c r="A6521" s="13" t="inlineStr">
        <is>
          <t>FR660189</t>
        </is>
      </c>
      <c r="B6521" s="13" t="inlineStr">
        <is>
          <t>Общество с ограниченной ответственностью  "ЮНОСТЬ"</t>
        </is>
      </c>
      <c r="C6521" s="13" t="inlineStr">
        <is>
          <t>3819010952, ндз, ндз2, ндз3</t>
        </is>
      </c>
      <c r="D6521" s="13" t="inlineStr">
        <is>
          <t>3819010952</t>
        </is>
      </c>
      <c r="E6521" s="13" t="inlineStr">
        <is>
          <t>ЮЛ РФ</t>
        </is>
      </c>
      <c r="F6521" s="13" t="inlineStr">
        <is>
          <t>ндз, ндз2, ндз3</t>
        </is>
      </c>
      <c r="G6521" s="52" t="n">
        <v>5</v>
      </c>
      <c r="H6521" s="52" t="n">
        <v>2025</v>
      </c>
      <c r="I6521" s="14" t="n"/>
      <c r="J6521" s="14" t="n"/>
      <c r="K6521" s="53" t="inlineStr">
        <is>
          <t>Нет</t>
        </is>
      </c>
      <c r="L6521" s="53" t="inlineStr">
        <is>
          <t>Не определено</t>
        </is>
      </c>
      <c r="M6521" s="53" t="inlineStr">
        <is>
          <t>До 10</t>
        </is>
      </c>
      <c r="N6521" s="54" t="n">
        <v>3360</v>
      </c>
      <c r="O6521" s="55" t="inlineStr">
        <is>
          <t>1–15</t>
        </is>
      </c>
      <c r="P6521" s="16" t="inlineStr">
        <is>
          <t>ССЧР обогащена; ОКВЭД не найден/не загружен</t>
        </is>
      </c>
      <c r="Q6521" s="16" t="inlineStr">
        <is>
          <t>ФНС открытые данные ССЧР (ДатаСост 31.12.2025; набор 7707329152-sshr2019)</t>
        </is>
      </c>
      <c r="R6521" s="16">
        <f>HYPERLINK("https://checko.ru/search?query=3801001629","Чекко: проверить")</f>
        <v/>
      </c>
      <c r="S6521" t="n">
        <v>1</v>
      </c>
      <c r="T6521" s="35" t="inlineStr">
        <is>
          <t>4 — Не обогащён</t>
        </is>
      </c>
      <c r="U6521" s="35" t="inlineStr">
        <is>
          <t>Нет ОКВЭД/ССЧР</t>
        </is>
      </c>
      <c r="V6521" s="35" t="inlineStr">
        <is>
          <t>Не определено</t>
        </is>
      </c>
      <c r="W6521" s="35" t="inlineStr">
        <is>
          <t>Нет</t>
        </is>
      </c>
      <c r="X6521" s="35" t="inlineStr"/>
    </row>
    <row r="6522" ht="27.75" customHeight="1" s="24">
      <c r="A6522" s="13" t="inlineStr">
        <is>
          <t>FR1190299</t>
        </is>
      </c>
      <c r="B6522" s="13" t="inlineStr">
        <is>
          <t>Общество с ограниченной ответственностью УПРАВЛЯЮЩАЯ КОМПАНИЯ "ВАН КОФЕ"</t>
        </is>
      </c>
      <c r="C6522" s="13" t="inlineStr">
        <is>
          <t>3849108271, оквед не тот</t>
        </is>
      </c>
      <c r="D6522" s="13" t="inlineStr">
        <is>
          <t>3849108271</t>
        </is>
      </c>
      <c r="E6522" s="13" t="inlineStr">
        <is>
          <t>ЮЛ РФ</t>
        </is>
      </c>
      <c r="F6522" s="13" t="inlineStr">
        <is>
          <t>оквед не тот</t>
        </is>
      </c>
      <c r="G6522" s="52" t="n">
        <v>1</v>
      </c>
      <c r="H6522" s="52" t="n">
        <v>2025</v>
      </c>
      <c r="I6522" s="14" t="n"/>
      <c r="J6522" s="14" t="n"/>
      <c r="K6522" s="53" t="inlineStr">
        <is>
          <t>Нет</t>
        </is>
      </c>
      <c r="L6522" s="53" t="inlineStr">
        <is>
          <t>Не определено</t>
        </is>
      </c>
      <c r="M6522" s="53" t="inlineStr">
        <is>
          <t>До 10</t>
        </is>
      </c>
      <c r="N6522" s="54" t="n">
        <v>3360</v>
      </c>
      <c r="O6522" s="55" t="inlineStr">
        <is>
          <t>1–15</t>
        </is>
      </c>
      <c r="P6522" s="16" t="inlineStr">
        <is>
          <t>ССЧР обогащена; ОКВЭД не найден/не загружен</t>
        </is>
      </c>
      <c r="Q6522" s="16" t="inlineStr">
        <is>
          <t>ФНС открытые данные ССЧР (ДатаСост 31.12.2025; набор 7707329152-sshr2019)</t>
        </is>
      </c>
      <c r="R6522" s="16">
        <f>HYPERLINK("https://checko.ru/search?query=3801001629","Чекко: проверить")</f>
        <v/>
      </c>
      <c r="S6522" t="n">
        <v>1</v>
      </c>
      <c r="T6522" s="35" t="inlineStr">
        <is>
          <t>4 — Не обогащён</t>
        </is>
      </c>
      <c r="U6522" s="35" t="inlineStr">
        <is>
          <t>Нет ОКВЭД/ССЧР</t>
        </is>
      </c>
      <c r="V6522" s="35" t="inlineStr">
        <is>
          <t>Не определено</t>
        </is>
      </c>
      <c r="W6522" s="35" t="inlineStr">
        <is>
          <t>Нет</t>
        </is>
      </c>
      <c r="X6522" s="35" t="inlineStr"/>
    </row>
    <row r="6523" ht="15" customHeight="1" s="24">
      <c r="A6523" s="13" t="inlineStr">
        <is>
          <t>FR991643</t>
        </is>
      </c>
      <c r="B6523" s="13" t="inlineStr">
        <is>
          <t>ИП Аветисян Артур Рафаелович</t>
        </is>
      </c>
      <c r="C6523" s="13" t="inlineStr">
        <is>
          <t>381013711404 ип ликвид</t>
        </is>
      </c>
      <c r="D6523" s="13" t="inlineStr">
        <is>
          <t>381013711404</t>
        </is>
      </c>
      <c r="E6523" s="13" t="inlineStr">
        <is>
          <t>ИП РФ / физлицо</t>
        </is>
      </c>
      <c r="F6523" s="13" t="inlineStr">
        <is>
          <t>ип ликвид</t>
        </is>
      </c>
      <c r="G6523" s="14" t="n"/>
      <c r="H6523" s="14" t="n"/>
      <c r="I6523" s="14" t="n"/>
      <c r="J6523" s="14" t="n"/>
      <c r="K6523" s="53" t="inlineStr"/>
      <c r="L6523" s="53" t="inlineStr">
        <is>
          <t>Не определено</t>
        </is>
      </c>
      <c r="M6523" s="53" t="inlineStr"/>
      <c r="N6523" s="54" t="inlineStr"/>
      <c r="O6523" s="55" t="inlineStr"/>
      <c r="P6523" s="16" t="inlineStr">
        <is>
          <t>Требует обогащения</t>
        </is>
      </c>
      <c r="Q6523" s="16">
        <f>HYPERLINK("https://pb.nalog.ru/search.html?query=381013711404","ФНС: проверить")</f>
        <v/>
      </c>
      <c r="R6523" s="16">
        <f>HYPERLINK("https://checko.ru/search?query=3801001629","Чекко: проверить")</f>
        <v/>
      </c>
      <c r="S6523" t="n">
        <v>1</v>
      </c>
      <c r="T6523" s="35" t="inlineStr">
        <is>
          <t>4 — Не обогащён</t>
        </is>
      </c>
      <c r="U6523" s="35" t="inlineStr">
        <is>
          <t>Нет ОКВЭД/ССЧР</t>
        </is>
      </c>
      <c r="V6523" s="35" t="inlineStr">
        <is>
          <t>Не определено</t>
        </is>
      </c>
      <c r="W6523" s="35" t="inlineStr"/>
      <c r="X6523" s="35" t="inlineStr"/>
    </row>
    <row r="6524" ht="15" customHeight="1" s="24">
      <c r="A6524" s="13" t="inlineStr">
        <is>
          <t>FR1199078</t>
        </is>
      </c>
      <c r="B6524" s="13" t="inlineStr">
        <is>
          <t>ИП Колесников Евгений Валерьевич</t>
        </is>
      </c>
      <c r="C6524" s="13" t="inlineStr">
        <is>
          <t>381108388710, оквед не тот</t>
        </is>
      </c>
      <c r="D6524" s="13" t="inlineStr">
        <is>
          <t>381108388710</t>
        </is>
      </c>
      <c r="E6524" s="13" t="inlineStr">
        <is>
          <t>ИП РФ / физлицо</t>
        </is>
      </c>
      <c r="F6524" s="13" t="inlineStr">
        <is>
          <t>оквед не тот</t>
        </is>
      </c>
      <c r="G6524" s="14" t="n"/>
      <c r="H6524" s="14" t="n"/>
      <c r="I6524" s="14" t="n"/>
      <c r="J6524" s="14" t="n"/>
      <c r="K6524" s="53" t="inlineStr"/>
      <c r="L6524" s="53" t="inlineStr">
        <is>
          <t>Не определено</t>
        </is>
      </c>
      <c r="M6524" s="53" t="inlineStr"/>
      <c r="N6524" s="54" t="inlineStr"/>
      <c r="O6524" s="55" t="inlineStr"/>
      <c r="P6524" s="16" t="inlineStr">
        <is>
          <t>Требует обогащения</t>
        </is>
      </c>
      <c r="Q6524" s="16">
        <f>HYPERLINK("https://pb.nalog.ru/search.html?query=381108388710","ФНС: проверить")</f>
        <v/>
      </c>
      <c r="R6524" s="16">
        <f>HYPERLINK("https://checko.ru/search?query=3801001629","Чекко: проверить")</f>
        <v/>
      </c>
      <c r="S6524" t="n">
        <v>1</v>
      </c>
      <c r="T6524" s="35" t="inlineStr">
        <is>
          <t>4 — Не обогащён</t>
        </is>
      </c>
      <c r="U6524" s="35" t="inlineStr">
        <is>
          <t>Нет ОКВЭД/ССЧР</t>
        </is>
      </c>
      <c r="V6524" s="35" t="inlineStr">
        <is>
          <t>Не определено</t>
        </is>
      </c>
      <c r="W6524" s="35" t="inlineStr"/>
      <c r="X6524" s="35" t="inlineStr"/>
    </row>
    <row r="6525" ht="27.75" customHeight="1" s="24">
      <c r="A6525" s="13" t="inlineStr">
        <is>
          <t>FR521200</t>
        </is>
      </c>
      <c r="B6525" s="13" t="inlineStr">
        <is>
          <t>ОБЩЕСТВО С ОГРАНИЧЕННОЙ ОТВЕТСТВЕННОСТЬЮ "ФОРТУНА"</t>
        </is>
      </c>
      <c r="C6525" s="13" t="inlineStr">
        <is>
          <t>3818024367, ндз, ндз2, ндз3</t>
        </is>
      </c>
      <c r="D6525" s="13" t="inlineStr">
        <is>
          <t>3818024367</t>
        </is>
      </c>
      <c r="E6525" s="13" t="inlineStr">
        <is>
          <t>ЮЛ РФ</t>
        </is>
      </c>
      <c r="F6525" s="13" t="inlineStr">
        <is>
          <t>ндз, ндз2, ндз3</t>
        </is>
      </c>
      <c r="G6525" s="52" t="n">
        <v>2</v>
      </c>
      <c r="H6525" s="52" t="n">
        <v>2025</v>
      </c>
      <c r="I6525" s="14" t="n"/>
      <c r="J6525" s="14" t="n"/>
      <c r="K6525" s="53" t="inlineStr">
        <is>
          <t>Нет</t>
        </is>
      </c>
      <c r="L6525" s="53" t="inlineStr">
        <is>
          <t>Не определено</t>
        </is>
      </c>
      <c r="M6525" s="53" t="inlineStr">
        <is>
          <t>До 10</t>
        </is>
      </c>
      <c r="N6525" s="54" t="n">
        <v>3360</v>
      </c>
      <c r="O6525" s="55" t="inlineStr">
        <is>
          <t>1–15</t>
        </is>
      </c>
      <c r="P6525" s="16" t="inlineStr">
        <is>
          <t>ССЧР обогащена; ОКВЭД не найден/не загружен</t>
        </is>
      </c>
      <c r="Q6525" s="16" t="inlineStr">
        <is>
          <t>ФНС открытые данные ССЧР (ДатаСост 31.12.2025; набор 7707329152-sshr2019)</t>
        </is>
      </c>
      <c r="R6525" s="16">
        <f>HYPERLINK("https://checko.ru/search?query=3801001629","Чекко: проверить")</f>
        <v/>
      </c>
      <c r="S6525" t="n">
        <v>1</v>
      </c>
      <c r="T6525" s="35" t="inlineStr">
        <is>
          <t>4 — Не обогащён</t>
        </is>
      </c>
      <c r="U6525" s="35" t="inlineStr">
        <is>
          <t>Нет ОКВЭД/ССЧР</t>
        </is>
      </c>
      <c r="V6525" s="35" t="inlineStr">
        <is>
          <t>Не определено</t>
        </is>
      </c>
      <c r="W6525" s="35" t="inlineStr">
        <is>
          <t>Нет</t>
        </is>
      </c>
      <c r="X6525" s="35" t="inlineStr"/>
    </row>
    <row r="6526" ht="27.75" customHeight="1" s="24">
      <c r="A6526" s="13" t="inlineStr">
        <is>
          <t>FR1192287</t>
        </is>
      </c>
      <c r="B6526" s="13" t="inlineStr">
        <is>
          <t>Общество с ограниченной ответственностью "РУССКИЙ СЕВЕР"</t>
        </is>
      </c>
      <c r="C6526" s="13" t="inlineStr">
        <is>
          <t>3811452099, "нам нужно будет, тогда и сделаем"</t>
        </is>
      </c>
      <c r="D6526" s="13" t="inlineStr">
        <is>
          <t>3811452099</t>
        </is>
      </c>
      <c r="E6526" s="13" t="inlineStr">
        <is>
          <t>ЮЛ РФ</t>
        </is>
      </c>
      <c r="F6526" s="13" t="inlineStr">
        <is>
          <t>"нам нужно будет, тогда и сделаем"</t>
        </is>
      </c>
      <c r="G6526" s="52" t="n">
        <v>2</v>
      </c>
      <c r="H6526" s="52" t="n">
        <v>2025</v>
      </c>
      <c r="I6526" s="14" t="n"/>
      <c r="J6526" s="14" t="n"/>
      <c r="K6526" s="53" t="inlineStr">
        <is>
          <t>Нет</t>
        </is>
      </c>
      <c r="L6526" s="53" t="inlineStr">
        <is>
          <t>Не определено</t>
        </is>
      </c>
      <c r="M6526" s="53" t="inlineStr">
        <is>
          <t>До 10</t>
        </is>
      </c>
      <c r="N6526" s="54" t="n">
        <v>3360</v>
      </c>
      <c r="O6526" s="55" t="inlineStr">
        <is>
          <t>1–15</t>
        </is>
      </c>
      <c r="P6526" s="16" t="inlineStr">
        <is>
          <t>ССЧР обогащена; ОКВЭД не найден/не загружен</t>
        </is>
      </c>
      <c r="Q6526" s="16" t="inlineStr">
        <is>
          <t>ФНС открытые данные ССЧР (ДатаСост 31.12.2025; набор 7707329152-sshr2019)</t>
        </is>
      </c>
      <c r="R6526" s="16">
        <f>HYPERLINK("https://checko.ru/search?query=3801001629","Чекко: проверить")</f>
        <v/>
      </c>
      <c r="S6526" t="n">
        <v>1</v>
      </c>
      <c r="T6526" s="35" t="inlineStr">
        <is>
          <t>4 — Не обогащён</t>
        </is>
      </c>
      <c r="U6526" s="35" t="inlineStr">
        <is>
          <t>Нет ОКВЭД/ССЧР</t>
        </is>
      </c>
      <c r="V6526" s="35" t="inlineStr">
        <is>
          <t>Не определено</t>
        </is>
      </c>
      <c r="W6526" s="35" t="inlineStr">
        <is>
          <t>Нет</t>
        </is>
      </c>
      <c r="X6526" s="35" t="inlineStr"/>
    </row>
    <row r="6527" ht="27.75" customHeight="1" s="24">
      <c r="A6527" s="13" t="inlineStr">
        <is>
          <t>FR192976</t>
        </is>
      </c>
      <c r="B6527" s="13" t="inlineStr">
        <is>
          <t>Общество с ограниченной ответственностью "СПЕЦТЕХСТРОЙ"</t>
        </is>
      </c>
      <c r="C6527" s="13" t="inlineStr">
        <is>
          <t>3811096820, будет ликвидация</t>
        </is>
      </c>
      <c r="D6527" s="13" t="inlineStr">
        <is>
          <t>3811096820</t>
        </is>
      </c>
      <c r="E6527" s="13" t="inlineStr">
        <is>
          <t>ЮЛ РФ</t>
        </is>
      </c>
      <c r="F6527" s="13" t="inlineStr">
        <is>
          <t>будет ликвидация</t>
        </is>
      </c>
      <c r="G6527" s="52" t="n">
        <v>1</v>
      </c>
      <c r="H6527" s="52" t="n">
        <v>2025</v>
      </c>
      <c r="I6527" s="14" t="n"/>
      <c r="J6527" s="14" t="n"/>
      <c r="K6527" s="53" t="inlineStr">
        <is>
          <t>Нет</t>
        </is>
      </c>
      <c r="L6527" s="53" t="inlineStr">
        <is>
          <t>Не определено</t>
        </is>
      </c>
      <c r="M6527" s="53" t="inlineStr">
        <is>
          <t>До 10</t>
        </is>
      </c>
      <c r="N6527" s="54" t="n">
        <v>3360</v>
      </c>
      <c r="O6527" s="55" t="inlineStr">
        <is>
          <t>1–15</t>
        </is>
      </c>
      <c r="P6527" s="16" t="inlineStr">
        <is>
          <t>ССЧР обогащена; ОКВЭД не найден/не загружен</t>
        </is>
      </c>
      <c r="Q6527" s="16" t="inlineStr">
        <is>
          <t>ФНС открытые данные ССЧР (ДатаСост 31.12.2025; набор 7707329152-sshr2019)</t>
        </is>
      </c>
      <c r="R6527" s="16">
        <f>HYPERLINK("https://checko.ru/search?query=3801001629","Чекко: проверить")</f>
        <v/>
      </c>
      <c r="S6527" t="n">
        <v>1</v>
      </c>
      <c r="T6527" s="35" t="inlineStr">
        <is>
          <t>4 — Не обогащён</t>
        </is>
      </c>
      <c r="U6527" s="35" t="inlineStr">
        <is>
          <t>Нет ОКВЭД/ССЧР</t>
        </is>
      </c>
      <c r="V6527" s="35" t="inlineStr">
        <is>
          <t>Не определено</t>
        </is>
      </c>
      <c r="W6527" s="35" t="inlineStr">
        <is>
          <t>Нет</t>
        </is>
      </c>
      <c r="X6527" s="35" t="inlineStr"/>
    </row>
    <row r="6528" ht="41.25" customHeight="1" s="24">
      <c r="A6528" s="13" t="inlineStr">
        <is>
          <t>FR380691</t>
        </is>
      </c>
      <c r="B6528" s="13" t="inlineStr">
        <is>
          <t>ИП Ефременкова Елена Анатольевна</t>
        </is>
      </c>
      <c r="C6528" s="13" t="inlineStr">
        <is>
          <t>381805383501, на почту отправила, ждут поставщика что им скажут, 16.06 письмо нов</t>
        </is>
      </c>
      <c r="D6528" s="13" t="inlineStr">
        <is>
          <t>381805383501</t>
        </is>
      </c>
      <c r="E6528" s="13" t="inlineStr">
        <is>
          <t>ИП РФ / физлицо</t>
        </is>
      </c>
      <c r="F6528" s="13" t="inlineStr">
        <is>
          <t>на почту отправила, ждут поставщика что им скажут, 16.06 письмо нов</t>
        </is>
      </c>
      <c r="G6528" s="14" t="n"/>
      <c r="H6528" s="14" t="n"/>
      <c r="I6528" s="14" t="n"/>
      <c r="J6528" s="14" t="n"/>
      <c r="K6528" s="53" t="inlineStr"/>
      <c r="L6528" s="53" t="inlineStr">
        <is>
          <t>Не определено</t>
        </is>
      </c>
      <c r="M6528" s="53" t="inlineStr"/>
      <c r="N6528" s="54" t="inlineStr"/>
      <c r="O6528" s="55" t="inlineStr"/>
      <c r="P6528" s="16" t="inlineStr">
        <is>
          <t>Требует обогащения</t>
        </is>
      </c>
      <c r="Q6528" s="16">
        <f>HYPERLINK("https://pb.nalog.ru/search.html?query=381805383501","ФНС: проверить")</f>
        <v/>
      </c>
      <c r="R6528" s="16">
        <f>HYPERLINK("https://checko.ru/search?query=3801001629","Чекко: проверить")</f>
        <v/>
      </c>
      <c r="S6528" t="n">
        <v>1</v>
      </c>
      <c r="T6528" s="35" t="inlineStr">
        <is>
          <t>4 — Не обогащён</t>
        </is>
      </c>
      <c r="U6528" s="35" t="inlineStr">
        <is>
          <t>Нет ОКВЭД/ССЧР</t>
        </is>
      </c>
      <c r="V6528" s="35" t="inlineStr">
        <is>
          <t>Не определено</t>
        </is>
      </c>
      <c r="W6528" s="35" t="inlineStr"/>
      <c r="X6528" s="35" t="inlineStr"/>
    </row>
    <row r="6529" ht="27.75" customHeight="1" s="24">
      <c r="A6529" s="13" t="inlineStr">
        <is>
          <t>FR1006494</t>
        </is>
      </c>
      <c r="B6529" s="13" t="inlineStr">
        <is>
          <t>Общество с ограниченной ответственностью "ПАК ТАО"</t>
        </is>
      </c>
      <c r="C6529" s="13" t="inlineStr">
        <is>
          <t>3849097301, оквед не тот</t>
        </is>
      </c>
      <c r="D6529" s="13" t="inlineStr">
        <is>
          <t>3849097301</t>
        </is>
      </c>
      <c r="E6529" s="13" t="inlineStr">
        <is>
          <t>ЮЛ РФ</t>
        </is>
      </c>
      <c r="F6529" s="13" t="inlineStr">
        <is>
          <t>оквед не тот</t>
        </is>
      </c>
      <c r="G6529" s="14" t="n"/>
      <c r="H6529" s="14" t="n"/>
      <c r="I6529" s="14" t="n"/>
      <c r="J6529" s="14" t="n"/>
      <c r="K6529" s="53" t="inlineStr"/>
      <c r="L6529" s="53" t="inlineStr">
        <is>
          <t>Не определено</t>
        </is>
      </c>
      <c r="M6529" s="53" t="inlineStr"/>
      <c r="N6529" s="54" t="inlineStr"/>
      <c r="O6529" s="55" t="inlineStr"/>
      <c r="P6529" s="16" t="inlineStr">
        <is>
          <t>Требует обогащения</t>
        </is>
      </c>
      <c r="Q6529" s="16">
        <f>HYPERLINK("https://pb.nalog.ru/search.html?query=3849097301","ФНС: проверить")</f>
        <v/>
      </c>
      <c r="R6529" s="16">
        <f>HYPERLINK("https://checko.ru/search?query=3801001629","Чекко: проверить")</f>
        <v/>
      </c>
      <c r="S6529" t="n">
        <v>1</v>
      </c>
      <c r="T6529" s="35" t="inlineStr">
        <is>
          <t>4 — Не обогащён</t>
        </is>
      </c>
      <c r="U6529" s="35" t="inlineStr">
        <is>
          <t>Нет ОКВЭД/ССЧР</t>
        </is>
      </c>
      <c r="V6529" s="35" t="inlineStr">
        <is>
          <t>Не определено</t>
        </is>
      </c>
      <c r="W6529" s="35" t="inlineStr"/>
      <c r="X6529" s="35" t="inlineStr"/>
    </row>
    <row r="6530" ht="15" customHeight="1" s="24">
      <c r="A6530" s="13" t="inlineStr">
        <is>
          <t>FR1201796</t>
        </is>
      </c>
      <c r="B6530" s="13" t="inlineStr">
        <is>
          <t xml:space="preserve"> "ГАРАНТ ЭЛЕКТРО"</t>
        </is>
      </c>
      <c r="C6530" s="13" t="inlineStr">
        <is>
          <t>3849108923 ндз, ндз2, ндз3</t>
        </is>
      </c>
      <c r="D6530" s="13" t="inlineStr">
        <is>
          <t>3849108923</t>
        </is>
      </c>
      <c r="E6530" s="13" t="inlineStr">
        <is>
          <t>ЮЛ РФ</t>
        </is>
      </c>
      <c r="F6530" s="13" t="inlineStr">
        <is>
          <t>ндз, ндз2, ндз3</t>
        </is>
      </c>
      <c r="G6530" s="52" t="n">
        <v>1</v>
      </c>
      <c r="H6530" s="52" t="n">
        <v>2025</v>
      </c>
      <c r="I6530" s="14" t="n"/>
      <c r="J6530" s="14" t="n"/>
      <c r="K6530" s="53" t="inlineStr">
        <is>
          <t>Нет</t>
        </is>
      </c>
      <c r="L6530" s="53" t="inlineStr">
        <is>
          <t>Не определено</t>
        </is>
      </c>
      <c r="M6530" s="53" t="inlineStr">
        <is>
          <t>До 10</t>
        </is>
      </c>
      <c r="N6530" s="54" t="n">
        <v>3360</v>
      </c>
      <c r="O6530" s="55" t="inlineStr">
        <is>
          <t>1–15</t>
        </is>
      </c>
      <c r="P6530" s="16" t="inlineStr">
        <is>
          <t>ССЧР обогащена; ОКВЭД не найден/не загружен</t>
        </is>
      </c>
      <c r="Q6530" s="16" t="inlineStr">
        <is>
          <t>ФНС открытые данные ССЧР (ДатаСост 31.12.2025; набор 7707329152-sshr2019)</t>
        </is>
      </c>
      <c r="R6530" s="16">
        <f>HYPERLINK("https://checko.ru/search?query=3801001629","Чекко: проверить")</f>
        <v/>
      </c>
      <c r="S6530" t="n">
        <v>1</v>
      </c>
      <c r="T6530" s="35" t="inlineStr">
        <is>
          <t>4 — Не обогащён</t>
        </is>
      </c>
      <c r="U6530" s="35" t="inlineStr">
        <is>
          <t>Нет ОКВЭД/ССЧР</t>
        </is>
      </c>
      <c r="V6530" s="35" t="inlineStr">
        <is>
          <t>Не определено</t>
        </is>
      </c>
      <c r="W6530" s="35" t="inlineStr">
        <is>
          <t>Нет</t>
        </is>
      </c>
      <c r="X6530" s="35" t="inlineStr"/>
    </row>
    <row r="6531" ht="15" customHeight="1" s="24">
      <c r="A6531" s="13" t="inlineStr">
        <is>
          <t>FR646355</t>
        </is>
      </c>
      <c r="B6531" s="13" t="inlineStr">
        <is>
          <t>"ЛЕАНТОРГ"</t>
        </is>
      </c>
      <c r="C6531" s="13" t="inlineStr">
        <is>
          <t>3811454392 ндз, ндз2, ндз3</t>
        </is>
      </c>
      <c r="D6531" s="13" t="inlineStr">
        <is>
          <t>3811454392</t>
        </is>
      </c>
      <c r="E6531" s="13" t="inlineStr">
        <is>
          <t>ЮЛ РФ</t>
        </is>
      </c>
      <c r="F6531" s="13" t="inlineStr">
        <is>
          <t>ндз, ндз2, ндз3</t>
        </is>
      </c>
      <c r="G6531" s="52" t="n">
        <v>1</v>
      </c>
      <c r="H6531" s="52" t="n">
        <v>2025</v>
      </c>
      <c r="I6531" s="14" t="n"/>
      <c r="J6531" s="14" t="n"/>
      <c r="K6531" s="53" t="inlineStr">
        <is>
          <t>Нет</t>
        </is>
      </c>
      <c r="L6531" s="53" t="inlineStr">
        <is>
          <t>Не определено</t>
        </is>
      </c>
      <c r="M6531" s="53" t="inlineStr">
        <is>
          <t>До 10</t>
        </is>
      </c>
      <c r="N6531" s="54" t="n">
        <v>3360</v>
      </c>
      <c r="O6531" s="55" t="inlineStr">
        <is>
          <t>1–15</t>
        </is>
      </c>
      <c r="P6531" s="16" t="inlineStr">
        <is>
          <t>ССЧР обогащена; ОКВЭД не найден/не загружен</t>
        </is>
      </c>
      <c r="Q6531" s="16" t="inlineStr">
        <is>
          <t>ФНС открытые данные ССЧР (ДатаСост 31.12.2025; набор 7707329152-sshr2019)</t>
        </is>
      </c>
      <c r="R6531" s="16">
        <f>HYPERLINK("https://checko.ru/search?query=3801001629","Чекко: проверить")</f>
        <v/>
      </c>
      <c r="S6531" t="n">
        <v>1</v>
      </c>
      <c r="T6531" s="35" t="inlineStr">
        <is>
          <t>4 — Не обогащён</t>
        </is>
      </c>
      <c r="U6531" s="35" t="inlineStr">
        <is>
          <t>Нет ОКВЭД/ССЧР</t>
        </is>
      </c>
      <c r="V6531" s="35" t="inlineStr">
        <is>
          <t>Не определено</t>
        </is>
      </c>
      <c r="W6531" s="35" t="inlineStr">
        <is>
          <t>Нет</t>
        </is>
      </c>
      <c r="X6531" s="35" t="inlineStr"/>
    </row>
    <row r="6532" ht="41.25" customHeight="1" s="24">
      <c r="A6532" s="13" t="inlineStr">
        <is>
          <t>FR991032</t>
        </is>
      </c>
      <c r="B6532" s="13" t="inlineStr">
        <is>
          <t>ИП Бегичев Григорий Вадимович</t>
        </is>
      </c>
      <c r="C6532" s="13" t="inlineStr">
        <is>
          <t>380127468871, сами свяжутся https://crm.forus.ru/crm/contact/details/286804/</t>
        </is>
      </c>
      <c r="D6532" s="13" t="inlineStr">
        <is>
          <t>380127468871</t>
        </is>
      </c>
      <c r="E6532" s="13" t="inlineStr">
        <is>
          <t>ИП РФ / физлицо</t>
        </is>
      </c>
      <c r="F6532" s="13" t="inlineStr">
        <is>
          <t>сами свяжутся https://crm.forus.ru/crm/contact/details/286804/</t>
        </is>
      </c>
      <c r="G6532" s="14" t="n"/>
      <c r="H6532" s="14" t="n"/>
      <c r="I6532" s="14" t="n"/>
      <c r="J6532" s="14" t="n"/>
      <c r="K6532" s="53" t="inlineStr"/>
      <c r="L6532" s="53" t="inlineStr">
        <is>
          <t>Не определено</t>
        </is>
      </c>
      <c r="M6532" s="53" t="inlineStr"/>
      <c r="N6532" s="54" t="inlineStr"/>
      <c r="O6532" s="55" t="inlineStr"/>
      <c r="P6532" s="16" t="inlineStr">
        <is>
          <t>Требует обогащения</t>
        </is>
      </c>
      <c r="Q6532" s="16">
        <f>HYPERLINK("https://pb.nalog.ru/search.html?query=380127468871","ФНС: проверить")</f>
        <v/>
      </c>
      <c r="R6532" s="16">
        <f>HYPERLINK("https://checko.ru/search?query=3801001629","Чекко: проверить")</f>
        <v/>
      </c>
      <c r="S6532" t="n">
        <v>1</v>
      </c>
      <c r="T6532" s="35" t="inlineStr">
        <is>
          <t>4 — Не обогащён</t>
        </is>
      </c>
      <c r="U6532" s="35" t="inlineStr">
        <is>
          <t>Нет ОКВЭД/ССЧР</t>
        </is>
      </c>
      <c r="V6532" s="35" t="inlineStr">
        <is>
          <t>Не определено</t>
        </is>
      </c>
      <c r="W6532" s="35" t="inlineStr"/>
      <c r="X6532" s="35" t="inlineStr"/>
    </row>
    <row r="6533" ht="15" customHeight="1" s="24">
      <c r="A6533" s="13" t="inlineStr">
        <is>
          <t>FR1193183</t>
        </is>
      </c>
      <c r="B6533" s="13" t="inlineStr">
        <is>
          <t>"МТЛ-СЕРВИС"</t>
        </is>
      </c>
      <c r="C6533" s="13" t="inlineStr">
        <is>
          <t>9729405442, на почту отложили</t>
        </is>
      </c>
      <c r="D6533" s="13" t="inlineStr">
        <is>
          <t>9729405442</t>
        </is>
      </c>
      <c r="E6533" s="13" t="inlineStr">
        <is>
          <t>ЮЛ РФ</t>
        </is>
      </c>
      <c r="F6533" s="13" t="inlineStr">
        <is>
          <t>на почту отложили</t>
        </is>
      </c>
      <c r="G6533" s="52" t="n">
        <v>1</v>
      </c>
      <c r="H6533" s="52" t="n">
        <v>2025</v>
      </c>
      <c r="I6533" s="14" t="n"/>
      <c r="J6533" s="14" t="n"/>
      <c r="K6533" s="53" t="inlineStr">
        <is>
          <t>Нет</t>
        </is>
      </c>
      <c r="L6533" s="53" t="inlineStr">
        <is>
          <t>Не определено</t>
        </is>
      </c>
      <c r="M6533" s="53" t="inlineStr">
        <is>
          <t>До 10</t>
        </is>
      </c>
      <c r="N6533" s="54" t="n">
        <v>3360</v>
      </c>
      <c r="O6533" s="55" t="inlineStr">
        <is>
          <t>1–15</t>
        </is>
      </c>
      <c r="P6533" s="16" t="inlineStr">
        <is>
          <t>ССЧР обогащена; ОКВЭД не найден/не загружен</t>
        </is>
      </c>
      <c r="Q6533" s="16" t="inlineStr">
        <is>
          <t>ФНС открытые данные ССЧР (ДатаСост 31.12.2025; набор 7707329152-sshr2019)</t>
        </is>
      </c>
      <c r="R6533" s="16">
        <f>HYPERLINK("https://checko.ru/search?query=3801001629","Чекко: проверить")</f>
        <v/>
      </c>
      <c r="S6533" t="n">
        <v>1</v>
      </c>
      <c r="T6533" s="35" t="inlineStr">
        <is>
          <t>4 — Не обогащён</t>
        </is>
      </c>
      <c r="U6533" s="35" t="inlineStr">
        <is>
          <t>Нет ОКВЭД/ССЧР</t>
        </is>
      </c>
      <c r="V6533" s="35" t="inlineStr">
        <is>
          <t>Не определено</t>
        </is>
      </c>
      <c r="W6533" s="35" t="inlineStr">
        <is>
          <t>Нет</t>
        </is>
      </c>
      <c r="X6533" s="35" t="inlineStr"/>
    </row>
    <row r="6534" ht="15" customHeight="1" s="24">
      <c r="A6534" s="13" t="inlineStr">
        <is>
          <t>FR1190668</t>
        </is>
      </c>
      <c r="B6534" s="13" t="inlineStr">
        <is>
          <t xml:space="preserve"> "ВМВ ЛИДЕР ПАК"</t>
        </is>
      </c>
      <c r="C6534" s="13" t="inlineStr">
        <is>
          <t>3801164133, ндз1, ндз2, ндз 3</t>
        </is>
      </c>
      <c r="D6534" s="13" t="inlineStr">
        <is>
          <t>3801164133</t>
        </is>
      </c>
      <c r="E6534" s="13" t="inlineStr">
        <is>
          <t>ЮЛ РФ</t>
        </is>
      </c>
      <c r="F6534" s="13" t="inlineStr">
        <is>
          <t>ндз1, ндз2, ндз 3</t>
        </is>
      </c>
      <c r="G6534" s="52" t="n">
        <v>4</v>
      </c>
      <c r="H6534" s="52" t="n">
        <v>2025</v>
      </c>
      <c r="I6534" s="14" t="n"/>
      <c r="J6534" s="14" t="n"/>
      <c r="K6534" s="53" t="inlineStr">
        <is>
          <t>Нет</t>
        </is>
      </c>
      <c r="L6534" s="53" t="inlineStr">
        <is>
          <t>Не определено</t>
        </is>
      </c>
      <c r="M6534" s="53" t="inlineStr">
        <is>
          <t>До 10</t>
        </is>
      </c>
      <c r="N6534" s="54" t="n">
        <v>3360</v>
      </c>
      <c r="O6534" s="55" t="inlineStr">
        <is>
          <t>1–15</t>
        </is>
      </c>
      <c r="P6534" s="16" t="inlineStr">
        <is>
          <t>ССЧР обогащена; ОКВЭД не найден/не загружен</t>
        </is>
      </c>
      <c r="Q6534" s="16" t="inlineStr">
        <is>
          <t>ФНС открытые данные ССЧР (ДатаСост 31.12.2025; набор 7707329152-sshr2019)</t>
        </is>
      </c>
      <c r="R6534" s="16">
        <f>HYPERLINK("https://checko.ru/search?query=3801001629","Чекко: проверить")</f>
        <v/>
      </c>
      <c r="S6534" t="n">
        <v>1</v>
      </c>
      <c r="T6534" s="35" t="inlineStr">
        <is>
          <t>4 — Не обогащён</t>
        </is>
      </c>
      <c r="U6534" s="35" t="inlineStr">
        <is>
          <t>Нет ОКВЭД/ССЧР</t>
        </is>
      </c>
      <c r="V6534" s="35" t="inlineStr">
        <is>
          <t>Не определено</t>
        </is>
      </c>
      <c r="W6534" s="35" t="inlineStr">
        <is>
          <t>Нет</t>
        </is>
      </c>
      <c r="X6534" s="35" t="inlineStr"/>
    </row>
    <row r="6535" ht="15" customHeight="1" s="24">
      <c r="A6535" s="13" t="inlineStr">
        <is>
          <t>FR1194556</t>
        </is>
      </c>
      <c r="B6535" s="13" t="inlineStr">
        <is>
          <t>ИП Немчук Марина Борисовна</t>
        </is>
      </c>
      <c r="C6535" s="13" t="inlineStr">
        <is>
          <t>380400633215, ндз1, ндз2, ндз3</t>
        </is>
      </c>
      <c r="D6535" s="13" t="inlineStr">
        <is>
          <t>380400633215</t>
        </is>
      </c>
      <c r="E6535" s="13" t="inlineStr">
        <is>
          <t>ИП РФ / физлицо</t>
        </is>
      </c>
      <c r="F6535" s="13" t="inlineStr">
        <is>
          <t>ндз1, ндз2, ндз3</t>
        </is>
      </c>
      <c r="G6535" s="14" t="n"/>
      <c r="H6535" s="14" t="n"/>
      <c r="I6535" s="14" t="n"/>
      <c r="J6535" s="14" t="n"/>
      <c r="K6535" s="53" t="inlineStr"/>
      <c r="L6535" s="53" t="inlineStr">
        <is>
          <t>Не определено</t>
        </is>
      </c>
      <c r="M6535" s="53" t="inlineStr"/>
      <c r="N6535" s="54" t="inlineStr"/>
      <c r="O6535" s="55" t="inlineStr"/>
      <c r="P6535" s="16" t="inlineStr">
        <is>
          <t>Требует обогащения</t>
        </is>
      </c>
      <c r="Q6535" s="16">
        <f>HYPERLINK("https://pb.nalog.ru/search.html?query=380400633215","ФНС: проверить")</f>
        <v/>
      </c>
      <c r="R6535" s="16">
        <f>HYPERLINK("https://checko.ru/search?query=3801001629","Чекко: проверить")</f>
        <v/>
      </c>
      <c r="S6535" t="n">
        <v>1</v>
      </c>
      <c r="T6535" s="35" t="inlineStr">
        <is>
          <t>4 — Не обогащён</t>
        </is>
      </c>
      <c r="U6535" s="35" t="inlineStr">
        <is>
          <t>Нет ОКВЭД/ССЧР</t>
        </is>
      </c>
      <c r="V6535" s="35" t="inlineStr">
        <is>
          <t>Не определено</t>
        </is>
      </c>
      <c r="W6535" s="35" t="inlineStr"/>
      <c r="X6535" s="35" t="inlineStr"/>
    </row>
    <row r="6536" ht="15" customHeight="1" s="24">
      <c r="A6536" s="13" t="inlineStr">
        <is>
          <t>FR998142</t>
        </is>
      </c>
      <c r="B6536" s="13" t="inlineStr">
        <is>
          <t>ООО "Эвгела"</t>
        </is>
      </c>
      <c r="C6536" s="13" t="inlineStr">
        <is>
          <t>3808288900, ндз1, ндз2, ндз3</t>
        </is>
      </c>
      <c r="D6536" s="13" t="inlineStr">
        <is>
          <t>3808288900</t>
        </is>
      </c>
      <c r="E6536" s="13" t="inlineStr">
        <is>
          <t>ЮЛ РФ</t>
        </is>
      </c>
      <c r="F6536" s="13" t="inlineStr">
        <is>
          <t>ндз1, ндз2, ндз3</t>
        </is>
      </c>
      <c r="G6536" s="52" t="n">
        <v>0</v>
      </c>
      <c r="H6536" s="52" t="n">
        <v>2025</v>
      </c>
      <c r="I6536" s="14" t="n"/>
      <c r="J6536" s="14" t="n"/>
      <c r="K6536" s="53" t="inlineStr">
        <is>
          <t>Нет</t>
        </is>
      </c>
      <c r="L6536" s="53" t="inlineStr">
        <is>
          <t>Не определено</t>
        </is>
      </c>
      <c r="M6536" s="53" t="inlineStr">
        <is>
          <t>До 10</t>
        </is>
      </c>
      <c r="N6536" s="54" t="n">
        <v>3360</v>
      </c>
      <c r="O6536" s="55" t="inlineStr">
        <is>
          <t>1–15</t>
        </is>
      </c>
      <c r="P6536" s="16" t="inlineStr">
        <is>
          <t>ССЧР обогащена; ОКВЭД не найден/не загружен</t>
        </is>
      </c>
      <c r="Q6536" s="16" t="inlineStr">
        <is>
          <t>ФНС открытые данные ССЧР (ДатаСост 31.12.2025; набор 7707329152-sshr2019)</t>
        </is>
      </c>
      <c r="R6536" s="16">
        <f>HYPERLINK("https://checko.ru/search?query=3801001629","Чекко: проверить")</f>
        <v/>
      </c>
      <c r="S6536" t="n">
        <v>1</v>
      </c>
      <c r="T6536" s="35" t="inlineStr">
        <is>
          <t>4 — Не обогащён</t>
        </is>
      </c>
      <c r="U6536" s="35" t="inlineStr">
        <is>
          <t>Нет ОКВЭД/ССЧР</t>
        </is>
      </c>
      <c r="V6536" s="35" t="inlineStr">
        <is>
          <t>Не определено</t>
        </is>
      </c>
      <c r="W6536" s="35" t="inlineStr">
        <is>
          <t>Нет</t>
        </is>
      </c>
      <c r="X6536" s="35" t="inlineStr"/>
    </row>
    <row r="6537" ht="15" customHeight="1" s="24">
      <c r="A6537" s="13" t="inlineStr">
        <is>
          <t>FR824137</t>
        </is>
      </c>
      <c r="B6537" s="13" t="inlineStr">
        <is>
          <t>"ТРАНСЛЕС"</t>
        </is>
      </c>
      <c r="C6537" s="13" t="inlineStr">
        <is>
          <t>3823015505, ндз1, ндз1, ндз2, ндз3</t>
        </is>
      </c>
      <c r="D6537" s="13" t="inlineStr">
        <is>
          <t>3823015505</t>
        </is>
      </c>
      <c r="E6537" s="13" t="inlineStr">
        <is>
          <t>ЮЛ РФ</t>
        </is>
      </c>
      <c r="F6537" s="13" t="inlineStr">
        <is>
          <t>ндз1, ндз1, ндз2, ндз3</t>
        </is>
      </c>
      <c r="G6537" s="52" t="n">
        <v>1</v>
      </c>
      <c r="H6537" s="52" t="n">
        <v>2025</v>
      </c>
      <c r="I6537" s="14" t="n"/>
      <c r="J6537" s="14" t="n"/>
      <c r="K6537" s="53" t="inlineStr">
        <is>
          <t>Нет</t>
        </is>
      </c>
      <c r="L6537" s="53" t="inlineStr">
        <is>
          <t>Не определено</t>
        </is>
      </c>
      <c r="M6537" s="53" t="inlineStr">
        <is>
          <t>До 10</t>
        </is>
      </c>
      <c r="N6537" s="54" t="n">
        <v>3360</v>
      </c>
      <c r="O6537" s="55" t="inlineStr">
        <is>
          <t>1–15</t>
        </is>
      </c>
      <c r="P6537" s="16" t="inlineStr">
        <is>
          <t>ССЧР обогащена; ОКВЭД не найден/не загружен</t>
        </is>
      </c>
      <c r="Q6537" s="16" t="inlineStr">
        <is>
          <t>ФНС открытые данные ССЧР (ДатаСост 31.12.2025; набор 7707329152-sshr2019)</t>
        </is>
      </c>
      <c r="R6537" s="16">
        <f>HYPERLINK("https://checko.ru/search?query=3801001629","Чекко: проверить")</f>
        <v/>
      </c>
      <c r="S6537" t="n">
        <v>1</v>
      </c>
      <c r="T6537" s="35" t="inlineStr">
        <is>
          <t>4 — Не обогащён</t>
        </is>
      </c>
      <c r="U6537" s="35" t="inlineStr">
        <is>
          <t>Нет ОКВЭД/ССЧР</t>
        </is>
      </c>
      <c r="V6537" s="35" t="inlineStr">
        <is>
          <t>Не определено</t>
        </is>
      </c>
      <c r="W6537" s="35" t="inlineStr">
        <is>
          <t>Нет</t>
        </is>
      </c>
      <c r="X6537" s="35" t="inlineStr"/>
    </row>
    <row r="6538" ht="15" customHeight="1" s="24">
      <c r="A6538" s="13" t="inlineStr">
        <is>
          <t>FR826269</t>
        </is>
      </c>
      <c r="B6538" s="13" t="inlineStr">
        <is>
          <t>ИП Кончаленко Николай Михайлович</t>
        </is>
      </c>
      <c r="C6538" s="13" t="inlineStr">
        <is>
          <t>381501643797 планируют ликвидацию</t>
        </is>
      </c>
      <c r="D6538" s="13" t="inlineStr">
        <is>
          <t>381501643797</t>
        </is>
      </c>
      <c r="E6538" s="13" t="inlineStr">
        <is>
          <t>ИП РФ / физлицо</t>
        </is>
      </c>
      <c r="F6538" s="13" t="inlineStr">
        <is>
          <t>планируют ликвидацию</t>
        </is>
      </c>
      <c r="G6538" s="14" t="n"/>
      <c r="H6538" s="14" t="n"/>
      <c r="I6538" s="14" t="n"/>
      <c r="J6538" s="14" t="n"/>
      <c r="K6538" s="53" t="inlineStr"/>
      <c r="L6538" s="53" t="inlineStr">
        <is>
          <t>Не определено</t>
        </is>
      </c>
      <c r="M6538" s="53" t="inlineStr"/>
      <c r="N6538" s="54" t="inlineStr"/>
      <c r="O6538" s="55" t="inlineStr"/>
      <c r="P6538" s="16" t="inlineStr">
        <is>
          <t>Требует обогащения</t>
        </is>
      </c>
      <c r="Q6538" s="16">
        <f>HYPERLINK("https://pb.nalog.ru/search.html?query=381501643797","ФНС: проверить")</f>
        <v/>
      </c>
      <c r="R6538" s="16">
        <f>HYPERLINK("https://checko.ru/search?query=3801001629","Чекко: проверить")</f>
        <v/>
      </c>
      <c r="S6538" t="n">
        <v>1</v>
      </c>
      <c r="T6538" s="35" t="inlineStr">
        <is>
          <t>4 — Не обогащён</t>
        </is>
      </c>
      <c r="U6538" s="35" t="inlineStr">
        <is>
          <t>Нет ОКВЭД/ССЧР</t>
        </is>
      </c>
      <c r="V6538" s="35" t="inlineStr">
        <is>
          <t>Не определено</t>
        </is>
      </c>
      <c r="W6538" s="35" t="inlineStr"/>
      <c r="X6538" s="35" t="inlineStr"/>
    </row>
    <row r="6539" ht="41.25" customHeight="1" s="24">
      <c r="A6539" s="13" t="inlineStr">
        <is>
          <t>FR808294</t>
        </is>
      </c>
      <c r="B6539" s="13" t="inlineStr">
        <is>
          <t>ОБЩЕСТВЕННАЯ ОРГАНИЗАЦИЯ ВЕТЕРАНОВ ПОЖАРНОЙ ОХРАНЫ И ОРГАНОВ УПРАВЛЕНИЯ ПО ДЕЛАМ ГРАЖДАНСКОЙ ОБОРОНЫ</t>
        </is>
      </c>
      <c r="C6539" s="13" t="inlineStr">
        <is>
          <t>3808279912, оквед не тот</t>
        </is>
      </c>
      <c r="D6539" s="13" t="inlineStr">
        <is>
          <t>3808279912</t>
        </is>
      </c>
      <c r="E6539" s="13" t="inlineStr">
        <is>
          <t>ЮЛ РФ</t>
        </is>
      </c>
      <c r="F6539" s="13" t="inlineStr">
        <is>
          <t>оквед не тот</t>
        </is>
      </c>
      <c r="G6539" s="14" t="n"/>
      <c r="H6539" s="14" t="n"/>
      <c r="I6539" s="14" t="n"/>
      <c r="J6539" s="14" t="n"/>
      <c r="K6539" s="53" t="inlineStr"/>
      <c r="L6539" s="53" t="inlineStr">
        <is>
          <t>Не определено</t>
        </is>
      </c>
      <c r="M6539" s="53" t="inlineStr"/>
      <c r="N6539" s="54" t="inlineStr"/>
      <c r="O6539" s="55" t="inlineStr"/>
      <c r="P6539" s="16" t="inlineStr">
        <is>
          <t>Требует обогащения</t>
        </is>
      </c>
      <c r="Q6539" s="16">
        <f>HYPERLINK("https://pb.nalog.ru/search.html?query=3808279912","ФНС: проверить")</f>
        <v/>
      </c>
      <c r="R6539" s="16">
        <f>HYPERLINK("https://checko.ru/search?query=3801001629","Чекко: проверить")</f>
        <v/>
      </c>
      <c r="S6539" t="n">
        <v>1</v>
      </c>
      <c r="T6539" s="35" t="inlineStr">
        <is>
          <t>4 — Не обогащён</t>
        </is>
      </c>
      <c r="U6539" s="35" t="inlineStr">
        <is>
          <t>Нет ОКВЭД/ССЧР</t>
        </is>
      </c>
      <c r="V6539" s="35" t="inlineStr">
        <is>
          <t>Не определено</t>
        </is>
      </c>
      <c r="W6539" s="35" t="inlineStr"/>
      <c r="X6539" s="35" t="inlineStr"/>
    </row>
    <row r="6540" ht="27.75" customHeight="1" s="24">
      <c r="A6540" s="13" t="inlineStr">
        <is>
          <t>FR988012</t>
        </is>
      </c>
      <c r="B6540" s="13" t="inlineStr">
        <is>
          <t>Общество с ограниченной ответственностью "МЕГАПОЛИС"</t>
        </is>
      </c>
      <c r="C6540" s="13" t="inlineStr">
        <is>
          <t>273949221, нет компании</t>
        </is>
      </c>
      <c r="D6540" s="13" t="n"/>
      <c r="E6540" s="13" t="inlineStr">
        <is>
          <t>Не определён</t>
        </is>
      </c>
      <c r="F6540" s="13" t="inlineStr">
        <is>
          <t>273949221, нет компании</t>
        </is>
      </c>
      <c r="G6540" s="14" t="n"/>
      <c r="H6540" s="14" t="n"/>
      <c r="I6540" s="14" t="n"/>
      <c r="J6540" s="14" t="n"/>
      <c r="K6540" s="13">
        <f>IF(G6540="","",IF(G6540&gt;=22,"Да","Нет"))</f>
        <v/>
      </c>
      <c r="L6540" s="13">
        <f>IF(OR(I6540="",J6540=""),"Не определено",IF(OR(COUNTIF(I6540,"45*")&gt;0,COUNTIF(J6540,"*45*")&gt;0,COUNTIF(I6540,"46*")&gt;0,COUNTIF(J6540,"*46*")&gt;0,COUNTIF(I6540,"47*")&gt;0,COUNTIF(J6540,"*47*")&gt;0,COUNTIF(I6540,"10*")&gt;0,COUNTIF(J6540,"*10*")&gt;0,COUNTIF(I6540,"11*")&gt;0,COUNTIF(J6540,"*11*")&gt;0,COUNTIF(I6540,"12*")&gt;0,COUNTIF(J6540,"*12*")&gt;0,COUNTIF(I6540,"13*")&gt;0,COUNTIF(J6540,"*13*")&gt;0,COUNTIF(I6540,"14*")&gt;0,COUNTIF(J6540,"*14*")&gt;0,COUNTIF(I6540,"15*")&gt;0,COUNTIF(J6540,"*15*")&gt;0,COUNTIF(I6540,"16*")&gt;0,COUNTIF(J6540,"*16*")&gt;0,COUNTIF(I6540,"17*")&gt;0,COUNTIF(J6540,"*17*")&gt;0,COUNTIF(I6540,"18*")&gt;0,COUNTIF(J6540,"*18*")&gt;0,COUNTIF(I6540,"19*")&gt;0,COUNTIF(J6540,"*19*")&gt;0,COUNTIF(I6540,"20*")&gt;0,COUNTIF(J6540,"*20*")&gt;0,COUNTIF(I6540,"21*")&gt;0,COUNTIF(J6540,"*21*")&gt;0,COUNTIF(I6540,"22*")&gt;0,COUNTIF(J6540,"*22*")&gt;0,COUNTIF(I6540,"23*")&gt;0,COUNTIF(J6540,"*23*")&gt;0,COUNTIF(I6540,"24*")&gt;0,COUNTIF(J6540,"*24*")&gt;0,COUNTIF(I6540,"25*")&gt;0,COUNTIF(J6540,"*25*")&gt;0,COUNTIF(I6540,"26*")&gt;0,COUNTIF(J6540,"*26*")&gt;0,COUNTIF(I6540,"27*")&gt;0,COUNTIF(J6540,"*27*")&gt;0,COUNTIF(I6540,"28*")&gt;0,COUNTIF(J6540,"*28*")&gt;0,COUNTIF(I6540,"29*")&gt;0,COUNTIF(J6540,"*29*")&gt;0,COUNTIF(I6540,"30*")&gt;0,COUNTIF(J6540,"*30*")&gt;0,COUNTIF(I6540,"31*")&gt;0,COUNTIF(J6540,"*31*")&gt;0,COUNTIF(I6540,"32*")&gt;0,COUNTIF(J6540,"*32*")&gt;0,COUNTIF(I6540,"33*")&gt;0,COUNTIF(J6540,"*33*")&gt;0,COUNTIF(I6540,"41*")&gt;0,COUNTIF(J6540,"*41*")&gt;0,COUNTIF(I6540,"42*")&gt;0,COUNTIF(J6540,"*42*")&gt;0,COUNTIF(I6540,"43*")&gt;0,COUNTIF(J6540,"*43*")&gt;0,COUNTIF(I6540,"49*")&gt;0,COUNTIF(J6540,"*49*")&gt;0,COUNTIF(I6540,"52*")&gt;0,COUNTIF(J6540,"*52*")&gt;0,COUNTIF(I6540,"55*")&gt;0,COUNTIF(J6540,"*55*")&gt;0,COUNTIF(I6540,"56*")&gt;0,COUNTIF(J6540,"*56*")&gt;0,COUNTIF(I6540,"68*")&gt;0,COUNTIF(J6540,"*68*")&gt;0,COUNTIF(I6540,"78*")&gt;0,COUNTIF(J6540,"*78*")&gt;0,COUNTIF(I6540,"81*")&gt;0,COUNTIF(J6540,"*81*")&gt;0,COUNTIF(I6540,"82*")&gt;0,COUNTIF(J6540,"*82*")&gt;0,COUNTIF(I6540,"64*")&gt;0,COUNTIF(J6540,"*64*")&gt;0,COUNTIF(I6540,"65*")&gt;0,COUNTIF(J6540,"*65*")&gt;0,COUNTIF(I6540,"66*")&gt;0,COUNTIF(J6540,"*66*")&gt;0,COUNTIF(I6540,"61*")&gt;0,COUNTIF(J6540,"*61*")&gt;0,COUNTIF(I6540,"62*")&gt;0,COUNTIF(J6540,"*62*")&gt;0,COUNTIF(I6540,"63*")&gt;0,COUNTIF(J6540,"*63*")&gt;0,COUNTIF(I6540,"85*")&gt;0,COUNTIF(J6540,"*85*")&gt;0,COUNTIF(I6540,"86*")&gt;0,COUNTIF(J6540,"*86*")&gt;0),"Да","Нет"))</f>
        <v/>
      </c>
      <c r="M6540" s="13">
        <f>IF(OR(G6540="",L6540&lt;&gt;"Да"),"",IF(G6540&lt;=100,"До 100",IF(G6540&lt;=200,"До 200",IF(G6540&lt;=500,"До 500","Отдельное КП"))))</f>
        <v/>
      </c>
      <c r="N6540" s="15">
        <f>IF(OR(G6540="",L6540&lt;&gt;"Да"),"",IF(G6540&lt;=100,33600,IF(G6540&lt;=200,62400,IF(G6540&lt;=500,144000,""))))</f>
        <v/>
      </c>
      <c r="O6540" s="16">
        <f>IF(G6540="","",IF(G6540&lt;=15,"1–15",IF(G6540&lt;=30,"16–30",IF(G6540&lt;=50,"31–50",IF(G6540&lt;=100,"51–100",IF(G6540&lt;=150,"101–150",IF(G6540&lt;=200,"151–200",IF(G6540&lt;=500,"201–500","500+"))))))))</f>
        <v/>
      </c>
      <c r="P6540" s="16" t="inlineStr">
        <is>
          <t>Нет совпадения в предоставленной выгрузке ССЧР</t>
        </is>
      </c>
      <c r="Q6540" s="16" t="n"/>
      <c r="R6540" s="16">
        <f>HYPERLINK("https://checko.ru/search?query=3801001629","Чекко: проверить")</f>
        <v/>
      </c>
      <c r="S6540" t="n">
        <v>0</v>
      </c>
    </row>
    <row r="6541" ht="15" customHeight="1" s="24">
      <c r="A6541" s="13" t="inlineStr">
        <is>
          <t>FR524908</t>
        </is>
      </c>
      <c r="B6541" s="13" t="inlineStr">
        <is>
          <t>ИП Кочнев Сергей Викторович</t>
        </is>
      </c>
      <c r="C6541" s="13" t="inlineStr">
        <is>
          <t>752901231329, оквед медицина</t>
        </is>
      </c>
      <c r="D6541" s="13" t="inlineStr">
        <is>
          <t>752901231329</t>
        </is>
      </c>
      <c r="E6541" s="13" t="inlineStr">
        <is>
          <t>ИП РФ / физлицо</t>
        </is>
      </c>
      <c r="F6541" s="13" t="inlineStr">
        <is>
          <t>оквед медицина</t>
        </is>
      </c>
      <c r="G6541" s="14" t="n"/>
      <c r="H6541" s="14" t="n"/>
      <c r="I6541" s="14" t="n"/>
      <c r="J6541" s="14" t="n"/>
      <c r="K6541" s="53" t="inlineStr"/>
      <c r="L6541" s="53" t="inlineStr">
        <is>
          <t>Не определено</t>
        </is>
      </c>
      <c r="M6541" s="53" t="inlineStr"/>
      <c r="N6541" s="54" t="inlineStr"/>
      <c r="O6541" s="55" t="inlineStr"/>
      <c r="P6541" s="16" t="inlineStr">
        <is>
          <t>Требует обогащения</t>
        </is>
      </c>
      <c r="Q6541" s="16">
        <f>HYPERLINK("https://pb.nalog.ru/search.html?query=752901231329","ФНС: проверить")</f>
        <v/>
      </c>
      <c r="R6541" s="16">
        <f>HYPERLINK("https://checko.ru/search?query=3801001629","Чекко: проверить")</f>
        <v/>
      </c>
      <c r="S6541" t="n">
        <v>1</v>
      </c>
      <c r="T6541" s="35" t="inlineStr">
        <is>
          <t>4 — Не обогащён</t>
        </is>
      </c>
      <c r="U6541" s="35" t="inlineStr">
        <is>
          <t>Нет ОКВЭД/ССЧР</t>
        </is>
      </c>
      <c r="V6541" s="35" t="inlineStr">
        <is>
          <t>Не определено</t>
        </is>
      </c>
      <c r="W6541" s="35" t="inlineStr"/>
      <c r="X6541" s="35" t="inlineStr"/>
    </row>
    <row r="6542" ht="27.75" customHeight="1" s="24">
      <c r="A6542" s="13" t="inlineStr">
        <is>
          <t>FR1000340</t>
        </is>
      </c>
      <c r="B6542" s="13" t="inlineStr">
        <is>
          <t>ООО"АТК"</t>
        </is>
      </c>
      <c r="C6542" s="13" t="inlineStr">
        <is>
          <t>3808279687, на почту инф бух отправила, обр связь июль - личная причина</t>
        </is>
      </c>
      <c r="D6542" s="13" t="inlineStr">
        <is>
          <t>3808279687</t>
        </is>
      </c>
      <c r="E6542" s="13" t="inlineStr">
        <is>
          <t>ЮЛ РФ</t>
        </is>
      </c>
      <c r="F6542" s="13" t="inlineStr">
        <is>
          <t>на почту инф бух отправила, обр связь июль - личная причина</t>
        </is>
      </c>
      <c r="G6542" s="52" t="n">
        <v>2</v>
      </c>
      <c r="H6542" s="52" t="n">
        <v>2025</v>
      </c>
      <c r="I6542" s="14" t="n"/>
      <c r="J6542" s="14" t="n"/>
      <c r="K6542" s="53" t="inlineStr">
        <is>
          <t>Нет</t>
        </is>
      </c>
      <c r="L6542" s="53" t="inlineStr">
        <is>
          <t>Не определено</t>
        </is>
      </c>
      <c r="M6542" s="53" t="inlineStr">
        <is>
          <t>До 10</t>
        </is>
      </c>
      <c r="N6542" s="54" t="n">
        <v>3360</v>
      </c>
      <c r="O6542" s="55" t="inlineStr">
        <is>
          <t>1–15</t>
        </is>
      </c>
      <c r="P6542" s="16" t="inlineStr">
        <is>
          <t>ССЧР обогащена; ОКВЭД не найден/не загружен</t>
        </is>
      </c>
      <c r="Q6542" s="16" t="inlineStr">
        <is>
          <t>ФНС открытые данные ССЧР (ДатаСост 31.12.2025; набор 7707329152-sshr2019)</t>
        </is>
      </c>
      <c r="R6542" s="16">
        <f>HYPERLINK("https://checko.ru/search?query=3801001629","Чекко: проверить")</f>
        <v/>
      </c>
      <c r="S6542" t="n">
        <v>1</v>
      </c>
      <c r="T6542" s="35" t="inlineStr">
        <is>
          <t>4 — Не обогащён</t>
        </is>
      </c>
      <c r="U6542" s="35" t="inlineStr">
        <is>
          <t>Нет ОКВЭД/ССЧР</t>
        </is>
      </c>
      <c r="V6542" s="35" t="inlineStr">
        <is>
          <t>Не определено</t>
        </is>
      </c>
      <c r="W6542" s="35" t="inlineStr">
        <is>
          <t>Нет</t>
        </is>
      </c>
      <c r="X6542" s="35" t="inlineStr"/>
    </row>
    <row r="6543" ht="15" customHeight="1" s="24">
      <c r="A6543" s="13" t="inlineStr">
        <is>
          <t>FR385733</t>
        </is>
      </c>
      <c r="B6543" s="13" t="inlineStr">
        <is>
          <t>ИП Орлов Денис Анатольевич</t>
        </is>
      </c>
      <c r="C6543" s="13" t="inlineStr">
        <is>
          <t>381251892100, оквед не тот</t>
        </is>
      </c>
      <c r="D6543" s="13" t="inlineStr">
        <is>
          <t>381251892100</t>
        </is>
      </c>
      <c r="E6543" s="13" t="inlineStr">
        <is>
          <t>ИП РФ / физлицо</t>
        </is>
      </c>
      <c r="F6543" s="13" t="inlineStr">
        <is>
          <t>оквед не тот</t>
        </is>
      </c>
      <c r="G6543" s="14" t="n"/>
      <c r="H6543" s="14" t="n"/>
      <c r="I6543" s="14" t="n"/>
      <c r="J6543" s="14" t="n"/>
      <c r="K6543" s="53" t="inlineStr"/>
      <c r="L6543" s="53" t="inlineStr">
        <is>
          <t>Не определено</t>
        </is>
      </c>
      <c r="M6543" s="53" t="inlineStr"/>
      <c r="N6543" s="54" t="inlineStr"/>
      <c r="O6543" s="55" t="inlineStr"/>
      <c r="P6543" s="16" t="inlineStr">
        <is>
          <t>Требует обогащения</t>
        </is>
      </c>
      <c r="Q6543" s="16">
        <f>HYPERLINK("https://pb.nalog.ru/search.html?query=381251892100","ФНС: проверить")</f>
        <v/>
      </c>
      <c r="R6543" s="16">
        <f>HYPERLINK("https://checko.ru/search?query=3801001629","Чекко: проверить")</f>
        <v/>
      </c>
      <c r="S6543" t="n">
        <v>1</v>
      </c>
      <c r="T6543" s="35" t="inlineStr">
        <is>
          <t>4 — Не обогащён</t>
        </is>
      </c>
      <c r="U6543" s="35" t="inlineStr">
        <is>
          <t>Нет ОКВЭД/ССЧР</t>
        </is>
      </c>
      <c r="V6543" s="35" t="inlineStr">
        <is>
          <t>Не определено</t>
        </is>
      </c>
      <c r="W6543" s="35" t="inlineStr"/>
      <c r="X6543" s="35" t="inlineStr"/>
    </row>
    <row r="6544" ht="41.25" customHeight="1" s="24">
      <c r="A6544" s="13" t="inlineStr">
        <is>
          <t>FR385083</t>
        </is>
      </c>
      <c r="B6544" s="13" t="inlineStr">
        <is>
          <t>ОБЩЕСТВО С ОГРАНИЧЕННОЙ ОТВЕТСТВЕННОСТЬЮ "СЕВЕРОБАЙКАЛЬСКАЯ МЕДИЦИНСКАЯ КОМПАНИЯ"</t>
        </is>
      </c>
      <c r="C6544" s="13" t="inlineStr">
        <is>
          <t>317741551, оквед не тот</t>
        </is>
      </c>
      <c r="D6544" s="13" t="n"/>
      <c r="E6544" s="13" t="inlineStr">
        <is>
          <t>Не определён</t>
        </is>
      </c>
      <c r="F6544" s="13" t="inlineStr">
        <is>
          <t>317741551, оквед не тот</t>
        </is>
      </c>
      <c r="G6544" s="14" t="n"/>
      <c r="H6544" s="14" t="n"/>
      <c r="I6544" s="14" t="n"/>
      <c r="J6544" s="14" t="n"/>
      <c r="K6544" s="13">
        <f>IF(G6544="","",IF(G6544&gt;=22,"Да","Нет"))</f>
        <v/>
      </c>
      <c r="L6544" s="13">
        <f>IF(OR(I6544="",J6544=""),"Не определено",IF(OR(COUNTIF(I6544,"45*")&gt;0,COUNTIF(J6544,"*45*")&gt;0,COUNTIF(I6544,"46*")&gt;0,COUNTIF(J6544,"*46*")&gt;0,COUNTIF(I6544,"47*")&gt;0,COUNTIF(J6544,"*47*")&gt;0,COUNTIF(I6544,"10*")&gt;0,COUNTIF(J6544,"*10*")&gt;0,COUNTIF(I6544,"11*")&gt;0,COUNTIF(J6544,"*11*")&gt;0,COUNTIF(I6544,"12*")&gt;0,COUNTIF(J6544,"*12*")&gt;0,COUNTIF(I6544,"13*")&gt;0,COUNTIF(J6544,"*13*")&gt;0,COUNTIF(I6544,"14*")&gt;0,COUNTIF(J6544,"*14*")&gt;0,COUNTIF(I6544,"15*")&gt;0,COUNTIF(J6544,"*15*")&gt;0,COUNTIF(I6544,"16*")&gt;0,COUNTIF(J6544,"*16*")&gt;0,COUNTIF(I6544,"17*")&gt;0,COUNTIF(J6544,"*17*")&gt;0,COUNTIF(I6544,"18*")&gt;0,COUNTIF(J6544,"*18*")&gt;0,COUNTIF(I6544,"19*")&gt;0,COUNTIF(J6544,"*19*")&gt;0,COUNTIF(I6544,"20*")&gt;0,COUNTIF(J6544,"*20*")&gt;0,COUNTIF(I6544,"21*")&gt;0,COUNTIF(J6544,"*21*")&gt;0,COUNTIF(I6544,"22*")&gt;0,COUNTIF(J6544,"*22*")&gt;0,COUNTIF(I6544,"23*")&gt;0,COUNTIF(J6544,"*23*")&gt;0,COUNTIF(I6544,"24*")&gt;0,COUNTIF(J6544,"*24*")&gt;0,COUNTIF(I6544,"25*")&gt;0,COUNTIF(J6544,"*25*")&gt;0,COUNTIF(I6544,"26*")&gt;0,COUNTIF(J6544,"*26*")&gt;0,COUNTIF(I6544,"27*")&gt;0,COUNTIF(J6544,"*27*")&gt;0,COUNTIF(I6544,"28*")&gt;0,COUNTIF(J6544,"*28*")&gt;0,COUNTIF(I6544,"29*")&gt;0,COUNTIF(J6544,"*29*")&gt;0,COUNTIF(I6544,"30*")&gt;0,COUNTIF(J6544,"*30*")&gt;0,COUNTIF(I6544,"31*")&gt;0,COUNTIF(J6544,"*31*")&gt;0,COUNTIF(I6544,"32*")&gt;0,COUNTIF(J6544,"*32*")&gt;0,COUNTIF(I6544,"33*")&gt;0,COUNTIF(J6544,"*33*")&gt;0,COUNTIF(I6544,"41*")&gt;0,COUNTIF(J6544,"*41*")&gt;0,COUNTIF(I6544,"42*")&gt;0,COUNTIF(J6544,"*42*")&gt;0,COUNTIF(I6544,"43*")&gt;0,COUNTIF(J6544,"*43*")&gt;0,COUNTIF(I6544,"49*")&gt;0,COUNTIF(J6544,"*49*")&gt;0,COUNTIF(I6544,"52*")&gt;0,COUNTIF(J6544,"*52*")&gt;0,COUNTIF(I6544,"55*")&gt;0,COUNTIF(J6544,"*55*")&gt;0,COUNTIF(I6544,"56*")&gt;0,COUNTIF(J6544,"*56*")&gt;0,COUNTIF(I6544,"68*")&gt;0,COUNTIF(J6544,"*68*")&gt;0,COUNTIF(I6544,"78*")&gt;0,COUNTIF(J6544,"*78*")&gt;0,COUNTIF(I6544,"81*")&gt;0,COUNTIF(J6544,"*81*")&gt;0,COUNTIF(I6544,"82*")&gt;0,COUNTIF(J6544,"*82*")&gt;0,COUNTIF(I6544,"64*")&gt;0,COUNTIF(J6544,"*64*")&gt;0,COUNTIF(I6544,"65*")&gt;0,COUNTIF(J6544,"*65*")&gt;0,COUNTIF(I6544,"66*")&gt;0,COUNTIF(J6544,"*66*")&gt;0,COUNTIF(I6544,"61*")&gt;0,COUNTIF(J6544,"*61*")&gt;0,COUNTIF(I6544,"62*")&gt;0,COUNTIF(J6544,"*62*")&gt;0,COUNTIF(I6544,"63*")&gt;0,COUNTIF(J6544,"*63*")&gt;0,COUNTIF(I6544,"85*")&gt;0,COUNTIF(J6544,"*85*")&gt;0,COUNTIF(I6544,"86*")&gt;0,COUNTIF(J6544,"*86*")&gt;0),"Да","Нет"))</f>
        <v/>
      </c>
      <c r="M6544" s="13">
        <f>IF(OR(G6544="",L6544&lt;&gt;"Да"),"",IF(G6544&lt;=100,"До 100",IF(G6544&lt;=200,"До 200",IF(G6544&lt;=500,"До 500","Отдельное КП"))))</f>
        <v/>
      </c>
      <c r="N6544" s="15">
        <f>IF(OR(G6544="",L6544&lt;&gt;"Да"),"",IF(G6544&lt;=100,33600,IF(G6544&lt;=200,62400,IF(G6544&lt;=500,144000,""))))</f>
        <v/>
      </c>
      <c r="O6544" s="16">
        <f>IF(G6544="","",IF(G6544&lt;=15,"1–15",IF(G6544&lt;=30,"16–30",IF(G6544&lt;=50,"31–50",IF(G6544&lt;=100,"51–100",IF(G6544&lt;=150,"101–150",IF(G6544&lt;=200,"151–200",IF(G6544&lt;=500,"201–500","500+"))))))))</f>
        <v/>
      </c>
      <c r="P6544" s="16" t="inlineStr">
        <is>
          <t>Нет совпадения в предоставленной выгрузке ССЧР</t>
        </is>
      </c>
      <c r="Q6544" s="16" t="n"/>
      <c r="R6544" s="16">
        <f>HYPERLINK("https://checko.ru/search?query=3801001629","Чекко: проверить")</f>
        <v/>
      </c>
      <c r="S6544" t="n">
        <v>0</v>
      </c>
    </row>
    <row r="6545" ht="15" customHeight="1" s="24">
      <c r="A6545" s="13" t="inlineStr">
        <is>
          <t>FR522564</t>
        </is>
      </c>
      <c r="B6545" s="13" t="inlineStr">
        <is>
          <t>Демидов Алексей Сергеевич</t>
        </is>
      </c>
      <c r="C6545" s="13" t="inlineStr">
        <is>
          <t>680501556371, оквед не тот</t>
        </is>
      </c>
      <c r="D6545" s="13" t="inlineStr">
        <is>
          <t>680501556371</t>
        </is>
      </c>
      <c r="E6545" s="13" t="inlineStr">
        <is>
          <t>ИП РФ / физлицо</t>
        </is>
      </c>
      <c r="F6545" s="13" t="inlineStr">
        <is>
          <t>оквед не тот</t>
        </is>
      </c>
      <c r="G6545" s="14" t="n"/>
      <c r="H6545" s="14" t="n"/>
      <c r="I6545" s="14" t="n"/>
      <c r="J6545" s="14" t="n"/>
      <c r="K6545" s="53" t="inlineStr"/>
      <c r="L6545" s="53" t="inlineStr">
        <is>
          <t>Не определено</t>
        </is>
      </c>
      <c r="M6545" s="53" t="inlineStr"/>
      <c r="N6545" s="54" t="inlineStr"/>
      <c r="O6545" s="55" t="inlineStr"/>
      <c r="P6545" s="16" t="inlineStr">
        <is>
          <t>Требует обогащения</t>
        </is>
      </c>
      <c r="Q6545" s="16">
        <f>HYPERLINK("https://pb.nalog.ru/search.html?query=680501556371","ФНС: проверить")</f>
        <v/>
      </c>
      <c r="R6545" s="16">
        <f>HYPERLINK("https://checko.ru/search?query=3801001629","Чекко: проверить")</f>
        <v/>
      </c>
      <c r="S6545" t="n">
        <v>1</v>
      </c>
      <c r="T6545" s="35" t="inlineStr">
        <is>
          <t>4 — Не обогащён</t>
        </is>
      </c>
      <c r="U6545" s="35" t="inlineStr">
        <is>
          <t>Нет ОКВЭД/ССЧР</t>
        </is>
      </c>
      <c r="V6545" s="35" t="inlineStr">
        <is>
          <t>Не определено</t>
        </is>
      </c>
      <c r="W6545" s="35" t="inlineStr"/>
      <c r="X6545" s="35" t="inlineStr"/>
    </row>
    <row r="6546" ht="27.75" customHeight="1" s="24">
      <c r="A6546" s="13" t="inlineStr">
        <is>
          <t>FR971079</t>
        </is>
      </c>
      <c r="B6546" s="13" t="inlineStr">
        <is>
          <t>"ГОРНАЯ КОМПАНИЯ</t>
        </is>
      </c>
      <c r="C6546" s="13" t="inlineStr">
        <is>
          <t xml:space="preserve">3837001414 на почту отправила инф + сделку созд </t>
        </is>
      </c>
      <c r="D6546" s="13" t="inlineStr">
        <is>
          <t>3837001414</t>
        </is>
      </c>
      <c r="E6546" s="13" t="inlineStr">
        <is>
          <t>ЮЛ РФ</t>
        </is>
      </c>
      <c r="F6546" s="13" t="inlineStr">
        <is>
          <t xml:space="preserve">на почту отправила инф + сделку созд </t>
        </is>
      </c>
      <c r="G6546" s="52" t="n">
        <v>3</v>
      </c>
      <c r="H6546" s="52" t="n">
        <v>2025</v>
      </c>
      <c r="I6546" s="14" t="n"/>
      <c r="J6546" s="14" t="n"/>
      <c r="K6546" s="53" t="inlineStr">
        <is>
          <t>Нет</t>
        </is>
      </c>
      <c r="L6546" s="53" t="inlineStr">
        <is>
          <t>Не определено</t>
        </is>
      </c>
      <c r="M6546" s="53" t="inlineStr">
        <is>
          <t>До 10</t>
        </is>
      </c>
      <c r="N6546" s="54" t="n">
        <v>3360</v>
      </c>
      <c r="O6546" s="55" t="inlineStr">
        <is>
          <t>1–15</t>
        </is>
      </c>
      <c r="P6546" s="16" t="inlineStr">
        <is>
          <t>ССЧР обогащена; ОКВЭД не найден/не загружен</t>
        </is>
      </c>
      <c r="Q6546" s="16" t="inlineStr">
        <is>
          <t>ФНС открытые данные ССЧР (ДатаСост 31.12.2025; набор 7707329152-sshr2019)</t>
        </is>
      </c>
      <c r="R6546" s="16">
        <f>HYPERLINK("https://checko.ru/search?query=3801001629","Чекко: проверить")</f>
        <v/>
      </c>
      <c r="S6546" t="n">
        <v>1</v>
      </c>
      <c r="T6546" s="35" t="inlineStr">
        <is>
          <t>4 — Не обогащён</t>
        </is>
      </c>
      <c r="U6546" s="35" t="inlineStr">
        <is>
          <t>Нет ОКВЭД/ССЧР</t>
        </is>
      </c>
      <c r="V6546" s="35" t="inlineStr">
        <is>
          <t>Не определено</t>
        </is>
      </c>
      <c r="W6546" s="35" t="inlineStr">
        <is>
          <t>Нет</t>
        </is>
      </c>
      <c r="X6546" s="35" t="inlineStr"/>
    </row>
    <row r="6547" ht="15" customHeight="1" s="24">
      <c r="A6547" s="13" t="inlineStr">
        <is>
          <t>FR1197284</t>
        </is>
      </c>
      <c r="B6547" s="13" t="inlineStr">
        <is>
          <t>ООО "АРЕВ"</t>
        </is>
      </c>
      <c r="C6547" s="13" t="inlineStr">
        <is>
          <t>3849103266, эпд не нужен</t>
        </is>
      </c>
      <c r="D6547" s="13" t="inlineStr">
        <is>
          <t>3849103266</t>
        </is>
      </c>
      <c r="E6547" s="13" t="inlineStr">
        <is>
          <t>ЮЛ РФ</t>
        </is>
      </c>
      <c r="F6547" s="13" t="inlineStr">
        <is>
          <t>эпд не нужен</t>
        </is>
      </c>
      <c r="G6547" s="52" t="n">
        <v>3</v>
      </c>
      <c r="H6547" s="52" t="n">
        <v>2025</v>
      </c>
      <c r="I6547" s="14" t="n"/>
      <c r="J6547" s="14" t="n"/>
      <c r="K6547" s="53" t="inlineStr">
        <is>
          <t>Нет</t>
        </is>
      </c>
      <c r="L6547" s="53" t="inlineStr">
        <is>
          <t>Не определено</t>
        </is>
      </c>
      <c r="M6547" s="53" t="inlineStr">
        <is>
          <t>До 10</t>
        </is>
      </c>
      <c r="N6547" s="54" t="n">
        <v>3360</v>
      </c>
      <c r="O6547" s="55" t="inlineStr">
        <is>
          <t>1–15</t>
        </is>
      </c>
      <c r="P6547" s="16" t="inlineStr">
        <is>
          <t>ССЧР обогащена; ОКВЭД не найден/не загружен</t>
        </is>
      </c>
      <c r="Q6547" s="16" t="inlineStr">
        <is>
          <t>ФНС открытые данные ССЧР (ДатаСост 31.12.2025; набор 7707329152-sshr2019)</t>
        </is>
      </c>
      <c r="R6547" s="16">
        <f>HYPERLINK("https://checko.ru/search?query=3801001629","Чекко: проверить")</f>
        <v/>
      </c>
      <c r="S6547" t="n">
        <v>1</v>
      </c>
      <c r="T6547" s="35" t="inlineStr">
        <is>
          <t>4 — Не обогащён</t>
        </is>
      </c>
      <c r="U6547" s="35" t="inlineStr">
        <is>
          <t>Нет ОКВЭД/ССЧР</t>
        </is>
      </c>
      <c r="V6547" s="35" t="inlineStr">
        <is>
          <t>Не определено</t>
        </is>
      </c>
      <c r="W6547" s="35" t="inlineStr">
        <is>
          <t>Нет</t>
        </is>
      </c>
      <c r="X6547" s="35" t="inlineStr"/>
    </row>
    <row r="6548" ht="15" customHeight="1" s="24">
      <c r="A6548" s="13" t="inlineStr">
        <is>
          <t>FR678951</t>
        </is>
      </c>
      <c r="B6548" s="13" t="inlineStr">
        <is>
          <t xml:space="preserve"> "ИРИДА+"</t>
        </is>
      </c>
      <c r="C6548" s="13" t="inlineStr">
        <is>
          <t>3827032188, эпд не нужен</t>
        </is>
      </c>
      <c r="D6548" s="13" t="inlineStr">
        <is>
          <t>3827032188</t>
        </is>
      </c>
      <c r="E6548" s="13" t="inlineStr">
        <is>
          <t>ЮЛ РФ</t>
        </is>
      </c>
      <c r="F6548" s="13" t="inlineStr">
        <is>
          <t>эпд не нужен</t>
        </is>
      </c>
      <c r="G6548" s="52" t="n">
        <v>5</v>
      </c>
      <c r="H6548" s="52" t="n">
        <v>2025</v>
      </c>
      <c r="I6548" s="14" t="n"/>
      <c r="J6548" s="14" t="n"/>
      <c r="K6548" s="53" t="inlineStr">
        <is>
          <t>Нет</t>
        </is>
      </c>
      <c r="L6548" s="53" t="inlineStr">
        <is>
          <t>Не определено</t>
        </is>
      </c>
      <c r="M6548" s="53" t="inlineStr">
        <is>
          <t>До 10</t>
        </is>
      </c>
      <c r="N6548" s="54" t="n">
        <v>3360</v>
      </c>
      <c r="O6548" s="55" t="inlineStr">
        <is>
          <t>1–15</t>
        </is>
      </c>
      <c r="P6548" s="16" t="inlineStr">
        <is>
          <t>ССЧР обогащена; ОКВЭД не найден/не загружен</t>
        </is>
      </c>
      <c r="Q6548" s="16" t="inlineStr">
        <is>
          <t>ФНС открытые данные ССЧР (ДатаСост 31.12.2025; набор 7707329152-sshr2019)</t>
        </is>
      </c>
      <c r="R6548" s="16">
        <f>HYPERLINK("https://checko.ru/search?query=3801001629","Чекко: проверить")</f>
        <v/>
      </c>
      <c r="S6548" t="n">
        <v>1</v>
      </c>
      <c r="T6548" s="35" t="inlineStr">
        <is>
          <t>4 — Не обогащён</t>
        </is>
      </c>
      <c r="U6548" s="35" t="inlineStr">
        <is>
          <t>Нет ОКВЭД/ССЧР</t>
        </is>
      </c>
      <c r="V6548" s="35" t="inlineStr">
        <is>
          <t>Не определено</t>
        </is>
      </c>
      <c r="W6548" s="35" t="inlineStr">
        <is>
          <t>Нет</t>
        </is>
      </c>
      <c r="X6548" s="35" t="inlineStr"/>
    </row>
    <row r="6549" ht="15" customHeight="1" s="24">
      <c r="A6549" s="13" t="inlineStr">
        <is>
          <t>FR536979</t>
        </is>
      </c>
      <c r="B6549" s="13" t="inlineStr">
        <is>
          <t>"ПРОМЫШЛЕННАЯ ГРУППА "АЛЬЯНС"</t>
        </is>
      </c>
      <c r="C6549" s="13" t="inlineStr">
        <is>
          <t>5257202706 москва, ндз1, ндз2, приост деят</t>
        </is>
      </c>
      <c r="D6549" s="13" t="inlineStr">
        <is>
          <t>5257202706</t>
        </is>
      </c>
      <c r="E6549" s="13" t="inlineStr">
        <is>
          <t>ЮЛ РФ</t>
        </is>
      </c>
      <c r="F6549" s="13" t="inlineStr">
        <is>
          <t>москва, ндз1, ндз2, приост деят</t>
        </is>
      </c>
      <c r="G6549" s="52" t="n">
        <v>1</v>
      </c>
      <c r="H6549" s="52" t="n">
        <v>2025</v>
      </c>
      <c r="I6549" s="14" t="n"/>
      <c r="J6549" s="14" t="n"/>
      <c r="K6549" s="53" t="inlineStr">
        <is>
          <t>Нет</t>
        </is>
      </c>
      <c r="L6549" s="53" t="inlineStr">
        <is>
          <t>Не определено</t>
        </is>
      </c>
      <c r="M6549" s="53" t="inlineStr">
        <is>
          <t>До 10</t>
        </is>
      </c>
      <c r="N6549" s="54" t="n">
        <v>3360</v>
      </c>
      <c r="O6549" s="55" t="inlineStr">
        <is>
          <t>1–15</t>
        </is>
      </c>
      <c r="P6549" s="16" t="inlineStr">
        <is>
          <t>ССЧР обогащена; ОКВЭД не найден/не загружен</t>
        </is>
      </c>
      <c r="Q6549" s="16" t="inlineStr">
        <is>
          <t>ФНС открытые данные ССЧР (ДатаСост 31.12.2025; набор 7707329152-sshr2019)</t>
        </is>
      </c>
      <c r="R6549" s="16">
        <f>HYPERLINK("https://checko.ru/search?query=3801001629","Чекко: проверить")</f>
        <v/>
      </c>
      <c r="S6549" t="n">
        <v>1</v>
      </c>
      <c r="T6549" s="35" t="inlineStr">
        <is>
          <t>4 — Не обогащён</t>
        </is>
      </c>
      <c r="U6549" s="35" t="inlineStr">
        <is>
          <t>Нет ОКВЭД/ССЧР</t>
        </is>
      </c>
      <c r="V6549" s="35" t="inlineStr">
        <is>
          <t>Не определено</t>
        </is>
      </c>
      <c r="W6549" s="35" t="inlineStr">
        <is>
          <t>Нет</t>
        </is>
      </c>
      <c r="X6549" s="35" t="inlineStr"/>
    </row>
    <row r="6550" ht="15" customHeight="1" s="24">
      <c r="A6550" s="13" t="inlineStr">
        <is>
          <t>FR973634</t>
        </is>
      </c>
      <c r="B6550" s="13" t="inlineStr">
        <is>
          <t>"АГРО-ВОСТОК"</t>
        </is>
      </c>
      <c r="C6550" s="13" t="inlineStr">
        <is>
          <t>3808148564, после 13, непр контакты</t>
        </is>
      </c>
      <c r="D6550" s="13" t="inlineStr">
        <is>
          <t>3808148564</t>
        </is>
      </c>
      <c r="E6550" s="13" t="inlineStr">
        <is>
          <t>ЮЛ РФ</t>
        </is>
      </c>
      <c r="F6550" s="13" t="inlineStr">
        <is>
          <t>после 13, непр контакты</t>
        </is>
      </c>
      <c r="G6550" s="52" t="n">
        <v>2</v>
      </c>
      <c r="H6550" s="52" t="n">
        <v>2025</v>
      </c>
      <c r="I6550" s="14" t="n"/>
      <c r="J6550" s="14" t="n"/>
      <c r="K6550" s="53" t="inlineStr">
        <is>
          <t>Нет</t>
        </is>
      </c>
      <c r="L6550" s="53" t="inlineStr">
        <is>
          <t>Не определено</t>
        </is>
      </c>
      <c r="M6550" s="53" t="inlineStr">
        <is>
          <t>До 10</t>
        </is>
      </c>
      <c r="N6550" s="54" t="n">
        <v>3360</v>
      </c>
      <c r="O6550" s="55" t="inlineStr">
        <is>
          <t>1–15</t>
        </is>
      </c>
      <c r="P6550" s="16" t="inlineStr">
        <is>
          <t>ССЧР обогащена; ОКВЭД не найден/не загружен</t>
        </is>
      </c>
      <c r="Q6550" s="16" t="inlineStr">
        <is>
          <t>ФНС открытые данные ССЧР (ДатаСост 31.12.2025; набор 7707329152-sshr2019)</t>
        </is>
      </c>
      <c r="R6550" s="16">
        <f>HYPERLINK("https://checko.ru/search?query=3801001629","Чекко: проверить")</f>
        <v/>
      </c>
      <c r="S6550" t="n">
        <v>1</v>
      </c>
      <c r="T6550" s="35" t="inlineStr">
        <is>
          <t>4 — Не обогащён</t>
        </is>
      </c>
      <c r="U6550" s="35" t="inlineStr">
        <is>
          <t>Нет ОКВЭД/ССЧР</t>
        </is>
      </c>
      <c r="V6550" s="35" t="inlineStr">
        <is>
          <t>Не определено</t>
        </is>
      </c>
      <c r="W6550" s="35" t="inlineStr">
        <is>
          <t>Нет</t>
        </is>
      </c>
      <c r="X6550" s="35" t="inlineStr"/>
    </row>
    <row r="6551" ht="15" customHeight="1" s="24">
      <c r="A6551" s="13" t="inlineStr">
        <is>
          <t>FR1199042</t>
        </is>
      </c>
      <c r="B6551" s="13" t="inlineStr">
        <is>
          <t>ИП Лхагва Энхтуяа</t>
        </is>
      </c>
      <c r="C6551" s="13" t="inlineStr">
        <is>
          <t>381213076710, ндз1, ндз2, эпд не нужно</t>
        </is>
      </c>
      <c r="D6551" s="13" t="inlineStr">
        <is>
          <t>381213076710</t>
        </is>
      </c>
      <c r="E6551" s="13" t="inlineStr">
        <is>
          <t>ИП РФ / физлицо</t>
        </is>
      </c>
      <c r="F6551" s="13" t="inlineStr">
        <is>
          <t>ндз1, ндз2, эпд не нужно</t>
        </is>
      </c>
      <c r="G6551" s="14" t="n"/>
      <c r="H6551" s="14" t="n"/>
      <c r="I6551" s="14" t="n"/>
      <c r="J6551" s="14" t="n"/>
      <c r="K6551" s="53" t="inlineStr"/>
      <c r="L6551" s="53" t="inlineStr">
        <is>
          <t>Не определено</t>
        </is>
      </c>
      <c r="M6551" s="53" t="inlineStr"/>
      <c r="N6551" s="54" t="inlineStr"/>
      <c r="O6551" s="55" t="inlineStr"/>
      <c r="P6551" s="16" t="inlineStr">
        <is>
          <t>Требует обогащения</t>
        </is>
      </c>
      <c r="Q6551" s="16">
        <f>HYPERLINK("https://pb.nalog.ru/search.html?query=381213076710","ФНС: проверить")</f>
        <v/>
      </c>
      <c r="R6551" s="16">
        <f>HYPERLINK("https://checko.ru/search?query=3801001629","Чекко: проверить")</f>
        <v/>
      </c>
      <c r="S6551" t="n">
        <v>1</v>
      </c>
      <c r="T6551" s="35" t="inlineStr">
        <is>
          <t>4 — Не обогащён</t>
        </is>
      </c>
      <c r="U6551" s="35" t="inlineStr">
        <is>
          <t>Нет ОКВЭД/ССЧР</t>
        </is>
      </c>
      <c r="V6551" s="35" t="inlineStr">
        <is>
          <t>Не определено</t>
        </is>
      </c>
      <c r="W6551" s="35" t="inlineStr"/>
      <c r="X6551" s="35" t="inlineStr"/>
    </row>
    <row r="6552" ht="27.75" customHeight="1" s="24">
      <c r="A6552" s="13" t="inlineStr">
        <is>
          <t>FR827723</t>
        </is>
      </c>
      <c r="B6552" s="13" t="inlineStr">
        <is>
          <t>ИП Варданян Манук Акобович</t>
        </is>
      </c>
      <c r="C6552" s="13" t="inlineStr">
        <is>
          <t>250305434930 не планируют с нами работать</t>
        </is>
      </c>
      <c r="D6552" s="13" t="inlineStr">
        <is>
          <t>250305434930</t>
        </is>
      </c>
      <c r="E6552" s="13" t="inlineStr">
        <is>
          <t>ИП РФ / физлицо</t>
        </is>
      </c>
      <c r="F6552" s="13" t="inlineStr">
        <is>
          <t>не планируют с нами работать</t>
        </is>
      </c>
      <c r="G6552" s="14" t="n"/>
      <c r="H6552" s="14" t="n"/>
      <c r="I6552" s="14" t="n"/>
      <c r="J6552" s="14" t="n"/>
      <c r="K6552" s="53" t="inlineStr"/>
      <c r="L6552" s="53" t="inlineStr">
        <is>
          <t>Не определено</t>
        </is>
      </c>
      <c r="M6552" s="53" t="inlineStr"/>
      <c r="N6552" s="54" t="inlineStr"/>
      <c r="O6552" s="55" t="inlineStr"/>
      <c r="P6552" s="16" t="inlineStr">
        <is>
          <t>Требует обогащения</t>
        </is>
      </c>
      <c r="Q6552" s="16">
        <f>HYPERLINK("https://pb.nalog.ru/search.html?query=250305434930","ФНС: проверить")</f>
        <v/>
      </c>
      <c r="R6552" s="16">
        <f>HYPERLINK("https://checko.ru/search?query=3801001629","Чекко: проверить")</f>
        <v/>
      </c>
      <c r="S6552" t="n">
        <v>1</v>
      </c>
      <c r="T6552" s="35" t="inlineStr">
        <is>
          <t>4 — Не обогащён</t>
        </is>
      </c>
      <c r="U6552" s="35" t="inlineStr">
        <is>
          <t>Нет ОКВЭД/ССЧР</t>
        </is>
      </c>
      <c r="V6552" s="35" t="inlineStr">
        <is>
          <t>Не определено</t>
        </is>
      </c>
      <c r="W6552" s="35" t="inlineStr"/>
      <c r="X6552" s="35" t="inlineStr"/>
    </row>
    <row r="6553" ht="15" customHeight="1" s="24">
      <c r="A6553" s="13" t="inlineStr">
        <is>
          <t>FR234209</t>
        </is>
      </c>
      <c r="B6553" s="13" t="inlineStr">
        <is>
          <t xml:space="preserve"> "МК СИБИРЯК"</t>
        </is>
      </c>
      <c r="C6553" s="13" t="inlineStr">
        <is>
          <t>2466294952, ндз, ндз2, ндз3</t>
        </is>
      </c>
      <c r="D6553" s="13" t="inlineStr">
        <is>
          <t>2466294952</t>
        </is>
      </c>
      <c r="E6553" s="13" t="inlineStr">
        <is>
          <t>ЮЛ РФ</t>
        </is>
      </c>
      <c r="F6553" s="13" t="inlineStr">
        <is>
          <t>ндз, ндз2, ндз3</t>
        </is>
      </c>
      <c r="G6553" s="52" t="n">
        <v>1</v>
      </c>
      <c r="H6553" s="52" t="n">
        <v>2025</v>
      </c>
      <c r="I6553" s="14" t="n"/>
      <c r="J6553" s="14" t="n"/>
      <c r="K6553" s="53" t="inlineStr">
        <is>
          <t>Нет</t>
        </is>
      </c>
      <c r="L6553" s="53" t="inlineStr">
        <is>
          <t>Не определено</t>
        </is>
      </c>
      <c r="M6553" s="53" t="inlineStr">
        <is>
          <t>До 10</t>
        </is>
      </c>
      <c r="N6553" s="54" t="n">
        <v>3360</v>
      </c>
      <c r="O6553" s="55" t="inlineStr">
        <is>
          <t>1–15</t>
        </is>
      </c>
      <c r="P6553" s="16" t="inlineStr">
        <is>
          <t>ССЧР обогащена; ОКВЭД не найден/не загружен</t>
        </is>
      </c>
      <c r="Q6553" s="16" t="inlineStr">
        <is>
          <t>ФНС открытые данные ССЧР (ДатаСост 31.12.2025; набор 7707329152-sshr2019)</t>
        </is>
      </c>
      <c r="R6553" s="16">
        <f>HYPERLINK("https://checko.ru/search?query=3801001629","Чекко: проверить")</f>
        <v/>
      </c>
      <c r="S6553" t="n">
        <v>1</v>
      </c>
      <c r="T6553" s="35" t="inlineStr">
        <is>
          <t>4 — Не обогащён</t>
        </is>
      </c>
      <c r="U6553" s="35" t="inlineStr">
        <is>
          <t>Нет ОКВЭД/ССЧР</t>
        </is>
      </c>
      <c r="V6553" s="35" t="inlineStr">
        <is>
          <t>Не определено</t>
        </is>
      </c>
      <c r="W6553" s="35" t="inlineStr">
        <is>
          <t>Нет</t>
        </is>
      </c>
      <c r="X6553" s="35" t="inlineStr"/>
    </row>
    <row r="6554" ht="15" customHeight="1" s="24">
      <c r="A6554" s="13" t="inlineStr">
        <is>
          <t>FR317827</t>
        </is>
      </c>
      <c r="B6554" s="13" t="inlineStr">
        <is>
          <t xml:space="preserve"> "НОВОБЫТСЕРВИС"</t>
        </is>
      </c>
      <c r="C6554" s="13" t="inlineStr">
        <is>
          <t>3801129361, сценарии не подходят пока</t>
        </is>
      </c>
      <c r="D6554" s="13" t="inlineStr">
        <is>
          <t>3801129361</t>
        </is>
      </c>
      <c r="E6554" s="13" t="inlineStr">
        <is>
          <t>ЮЛ РФ</t>
        </is>
      </c>
      <c r="F6554" s="13" t="inlineStr">
        <is>
          <t>сценарии не подходят пока</t>
        </is>
      </c>
      <c r="G6554" s="52" t="n">
        <v>6</v>
      </c>
      <c r="H6554" s="52" t="n">
        <v>2025</v>
      </c>
      <c r="I6554" s="14" t="n"/>
      <c r="J6554" s="14" t="n"/>
      <c r="K6554" s="53" t="inlineStr">
        <is>
          <t>Нет</t>
        </is>
      </c>
      <c r="L6554" s="53" t="inlineStr">
        <is>
          <t>Не определено</t>
        </is>
      </c>
      <c r="M6554" s="53" t="inlineStr">
        <is>
          <t>До 10</t>
        </is>
      </c>
      <c r="N6554" s="54" t="n">
        <v>3360</v>
      </c>
      <c r="O6554" s="55" t="inlineStr">
        <is>
          <t>1–15</t>
        </is>
      </c>
      <c r="P6554" s="16" t="inlineStr">
        <is>
          <t>ССЧР обогащена; ОКВЭД не найден/не загружен</t>
        </is>
      </c>
      <c r="Q6554" s="16" t="inlineStr">
        <is>
          <t>ФНС открытые данные ССЧР (ДатаСост 31.12.2025; набор 7707329152-sshr2019)</t>
        </is>
      </c>
      <c r="R6554" s="16">
        <f>HYPERLINK("https://checko.ru/search?query=3801001629","Чекко: проверить")</f>
        <v/>
      </c>
      <c r="S6554" t="n">
        <v>1</v>
      </c>
      <c r="T6554" s="35" t="inlineStr">
        <is>
          <t>4 — Не обогащён</t>
        </is>
      </c>
      <c r="U6554" s="35" t="inlineStr">
        <is>
          <t>Нет ОКВЭД/ССЧР</t>
        </is>
      </c>
      <c r="V6554" s="35" t="inlineStr">
        <is>
          <t>Не определено</t>
        </is>
      </c>
      <c r="W6554" s="35" t="inlineStr">
        <is>
          <t>Нет</t>
        </is>
      </c>
      <c r="X6554" s="35" t="inlineStr"/>
    </row>
    <row r="6555" ht="27.75" customHeight="1" s="24">
      <c r="A6555" s="13" t="inlineStr">
        <is>
          <t>FR528008</t>
        </is>
      </c>
      <c r="B6555" s="13" t="inlineStr">
        <is>
          <t>"ЛЕНСКАЯ ЭКОЛОГИЧЕСКАЯ КОМПАНИЯ"</t>
        </is>
      </c>
      <c r="C6555" s="13" t="inlineStr">
        <is>
          <t>3818051240, ндз, эпд не надо, сценарии не подходят</t>
        </is>
      </c>
      <c r="D6555" s="13" t="inlineStr">
        <is>
          <t>3818051240</t>
        </is>
      </c>
      <c r="E6555" s="13" t="inlineStr">
        <is>
          <t>ЮЛ РФ</t>
        </is>
      </c>
      <c r="F6555" s="13" t="inlineStr">
        <is>
          <t>ндз, эпд не надо, сценарии не подходят</t>
        </is>
      </c>
      <c r="G6555" s="52" t="n">
        <v>6</v>
      </c>
      <c r="H6555" s="52" t="n">
        <v>2025</v>
      </c>
      <c r="I6555" s="14" t="n"/>
      <c r="J6555" s="14" t="n"/>
      <c r="K6555" s="53" t="inlineStr">
        <is>
          <t>Нет</t>
        </is>
      </c>
      <c r="L6555" s="53" t="inlineStr">
        <is>
          <t>Не определено</t>
        </is>
      </c>
      <c r="M6555" s="53" t="inlineStr">
        <is>
          <t>До 10</t>
        </is>
      </c>
      <c r="N6555" s="54" t="n">
        <v>3360</v>
      </c>
      <c r="O6555" s="55" t="inlineStr">
        <is>
          <t>1–15</t>
        </is>
      </c>
      <c r="P6555" s="16" t="inlineStr">
        <is>
          <t>ССЧР обогащена; ОКВЭД не найден/не загружен</t>
        </is>
      </c>
      <c r="Q6555" s="16" t="inlineStr">
        <is>
          <t>ФНС открытые данные ССЧР (ДатаСост 31.12.2025; набор 7707329152-sshr2019)</t>
        </is>
      </c>
      <c r="R6555" s="16">
        <f>HYPERLINK("https://checko.ru/search?query=3801001629","Чекко: проверить")</f>
        <v/>
      </c>
      <c r="S6555" t="n">
        <v>1</v>
      </c>
      <c r="T6555" s="35" t="inlineStr">
        <is>
          <t>4 — Не обогащён</t>
        </is>
      </c>
      <c r="U6555" s="35" t="inlineStr">
        <is>
          <t>Нет ОКВЭД/ССЧР</t>
        </is>
      </c>
      <c r="V6555" s="35" t="inlineStr">
        <is>
          <t>Не определено</t>
        </is>
      </c>
      <c r="W6555" s="35" t="inlineStr">
        <is>
          <t>Нет</t>
        </is>
      </c>
      <c r="X6555" s="35" t="inlineStr"/>
    </row>
    <row r="6556" ht="15" customHeight="1" s="24">
      <c r="A6556" s="13" t="inlineStr">
        <is>
          <t>FR93489</t>
        </is>
      </c>
      <c r="B6556" s="13" t="inlineStr">
        <is>
          <t>ООО "ТД МИТЭКС"</t>
        </is>
      </c>
      <c r="C6556" s="13" t="inlineStr">
        <is>
          <t>2463245717, эпд не нужно</t>
        </is>
      </c>
      <c r="D6556" s="13" t="inlineStr">
        <is>
          <t>2463245717</t>
        </is>
      </c>
      <c r="E6556" s="13" t="inlineStr">
        <is>
          <t>ЮЛ РФ</t>
        </is>
      </c>
      <c r="F6556" s="13" t="inlineStr">
        <is>
          <t>эпд не нужно</t>
        </is>
      </c>
      <c r="G6556" s="52" t="n">
        <v>6</v>
      </c>
      <c r="H6556" s="52" t="n">
        <v>2025</v>
      </c>
      <c r="I6556" s="14" t="n"/>
      <c r="J6556" s="14" t="n"/>
      <c r="K6556" s="53" t="inlineStr">
        <is>
          <t>Нет</t>
        </is>
      </c>
      <c r="L6556" s="53" t="inlineStr">
        <is>
          <t>Не определено</t>
        </is>
      </c>
      <c r="M6556" s="53" t="inlineStr">
        <is>
          <t>До 10</t>
        </is>
      </c>
      <c r="N6556" s="54" t="n">
        <v>3360</v>
      </c>
      <c r="O6556" s="55" t="inlineStr">
        <is>
          <t>1–15</t>
        </is>
      </c>
      <c r="P6556" s="16" t="inlineStr">
        <is>
          <t>ССЧР обогащена; ОКВЭД не найден/не загружен</t>
        </is>
      </c>
      <c r="Q6556" s="16" t="inlineStr">
        <is>
          <t>ФНС открытые данные ССЧР (ДатаСост 31.12.2025; набор 7707329152-sshr2019)</t>
        </is>
      </c>
      <c r="R6556" s="16">
        <f>HYPERLINK("https://checko.ru/search?query=3801001629","Чекко: проверить")</f>
        <v/>
      </c>
      <c r="S6556" t="n">
        <v>1</v>
      </c>
      <c r="T6556" s="35" t="inlineStr">
        <is>
          <t>4 — Не обогащён</t>
        </is>
      </c>
      <c r="U6556" s="35" t="inlineStr">
        <is>
          <t>Нет ОКВЭД/ССЧР</t>
        </is>
      </c>
      <c r="V6556" s="35" t="inlineStr">
        <is>
          <t>Не определено</t>
        </is>
      </c>
      <c r="W6556" s="35" t="inlineStr">
        <is>
          <t>Нет</t>
        </is>
      </c>
      <c r="X6556" s="35" t="inlineStr"/>
    </row>
    <row r="6557" ht="41.25" customHeight="1" s="24">
      <c r="A6557" s="13" t="inlineStr">
        <is>
          <t>FR2890</t>
        </is>
      </c>
      <c r="B6557" s="13" t="inlineStr">
        <is>
          <t>ИП Лубсанов Булат Дабацыренович</t>
        </is>
      </c>
      <c r="C6557" s="13" t="inlineStr">
        <is>
          <t>32605153990, ндз, ндз2, ндз 3кп направила сделка:https://crm.forus.ru/crm/deal/details/307303/ 22.06</t>
        </is>
      </c>
      <c r="D6557" s="13" t="n"/>
      <c r="E6557" s="13" t="inlineStr">
        <is>
          <t>Не определён</t>
        </is>
      </c>
      <c r="F6557" s="13" t="inlineStr">
        <is>
          <t>ндз, ндз2, ндз 3кп направила сделка:https://crm.forus.ru/crm/deal/details/307303/ 22.06</t>
        </is>
      </c>
      <c r="G6557" s="14" t="n"/>
      <c r="H6557" s="14" t="n"/>
      <c r="I6557" s="14" t="n"/>
      <c r="J6557" s="14" t="n"/>
      <c r="K6557" s="13">
        <f>IF(G6557="","",IF(G6557&gt;=22,"Да","Нет"))</f>
        <v/>
      </c>
      <c r="L6557" s="13">
        <f>IF(OR(I6557="",J6557=""),"Не определено",IF(OR(COUNTIF(I6557,"45*")&gt;0,COUNTIF(J6557,"*45*")&gt;0,COUNTIF(I6557,"46*")&gt;0,COUNTIF(J6557,"*46*")&gt;0,COUNTIF(I6557,"47*")&gt;0,COUNTIF(J6557,"*47*")&gt;0,COUNTIF(I6557,"10*")&gt;0,COUNTIF(J6557,"*10*")&gt;0,COUNTIF(I6557,"11*")&gt;0,COUNTIF(J6557,"*11*")&gt;0,COUNTIF(I6557,"12*")&gt;0,COUNTIF(J6557,"*12*")&gt;0,COUNTIF(I6557,"13*")&gt;0,COUNTIF(J6557,"*13*")&gt;0,COUNTIF(I6557,"14*")&gt;0,COUNTIF(J6557,"*14*")&gt;0,COUNTIF(I6557,"15*")&gt;0,COUNTIF(J6557,"*15*")&gt;0,COUNTIF(I6557,"16*")&gt;0,COUNTIF(J6557,"*16*")&gt;0,COUNTIF(I6557,"17*")&gt;0,COUNTIF(J6557,"*17*")&gt;0,COUNTIF(I6557,"18*")&gt;0,COUNTIF(J6557,"*18*")&gt;0,COUNTIF(I6557,"19*")&gt;0,COUNTIF(J6557,"*19*")&gt;0,COUNTIF(I6557,"20*")&gt;0,COUNTIF(J6557,"*20*")&gt;0,COUNTIF(I6557,"21*")&gt;0,COUNTIF(J6557,"*21*")&gt;0,COUNTIF(I6557,"22*")&gt;0,COUNTIF(J6557,"*22*")&gt;0,COUNTIF(I6557,"23*")&gt;0,COUNTIF(J6557,"*23*")&gt;0,COUNTIF(I6557,"24*")&gt;0,COUNTIF(J6557,"*24*")&gt;0,COUNTIF(I6557,"25*")&gt;0,COUNTIF(J6557,"*25*")&gt;0,COUNTIF(I6557,"26*")&gt;0,COUNTIF(J6557,"*26*")&gt;0,COUNTIF(I6557,"27*")&gt;0,COUNTIF(J6557,"*27*")&gt;0,COUNTIF(I6557,"28*")&gt;0,COUNTIF(J6557,"*28*")&gt;0,COUNTIF(I6557,"29*")&gt;0,COUNTIF(J6557,"*29*")&gt;0,COUNTIF(I6557,"30*")&gt;0,COUNTIF(J6557,"*30*")&gt;0,COUNTIF(I6557,"31*")&gt;0,COUNTIF(J6557,"*31*")&gt;0,COUNTIF(I6557,"32*")&gt;0,COUNTIF(J6557,"*32*")&gt;0,COUNTIF(I6557,"33*")&gt;0,COUNTIF(J6557,"*33*")&gt;0,COUNTIF(I6557,"41*")&gt;0,COUNTIF(J6557,"*41*")&gt;0,COUNTIF(I6557,"42*")&gt;0,COUNTIF(J6557,"*42*")&gt;0,COUNTIF(I6557,"43*")&gt;0,COUNTIF(J6557,"*43*")&gt;0,COUNTIF(I6557,"49*")&gt;0,COUNTIF(J6557,"*49*")&gt;0,COUNTIF(I6557,"52*")&gt;0,COUNTIF(J6557,"*52*")&gt;0,COUNTIF(I6557,"55*")&gt;0,COUNTIF(J6557,"*55*")&gt;0,COUNTIF(I6557,"56*")&gt;0,COUNTIF(J6557,"*56*")&gt;0,COUNTIF(I6557,"68*")&gt;0,COUNTIF(J6557,"*68*")&gt;0,COUNTIF(I6557,"78*")&gt;0,COUNTIF(J6557,"*78*")&gt;0,COUNTIF(I6557,"81*")&gt;0,COUNTIF(J6557,"*81*")&gt;0,COUNTIF(I6557,"82*")&gt;0,COUNTIF(J6557,"*82*")&gt;0,COUNTIF(I6557,"64*")&gt;0,COUNTIF(J6557,"*64*")&gt;0,COUNTIF(I6557,"65*")&gt;0,COUNTIF(J6557,"*65*")&gt;0,COUNTIF(I6557,"66*")&gt;0,COUNTIF(J6557,"*66*")&gt;0,COUNTIF(I6557,"61*")&gt;0,COUNTIF(J6557,"*61*")&gt;0,COUNTIF(I6557,"62*")&gt;0,COUNTIF(J6557,"*62*")&gt;0,COUNTIF(I6557,"63*")&gt;0,COUNTIF(J6557,"*63*")&gt;0,COUNTIF(I6557,"85*")&gt;0,COUNTIF(J6557,"*85*")&gt;0,COUNTIF(I6557,"86*")&gt;0,COUNTIF(J6557,"*86*")&gt;0),"Да","Нет"))</f>
        <v/>
      </c>
      <c r="M6557" s="13">
        <f>IF(OR(G6557="",L6557&lt;&gt;"Да"),"",IF(G6557&lt;=100,"До 100",IF(G6557&lt;=200,"До 200",IF(G6557&lt;=500,"До 500","Отдельное КП"))))</f>
        <v/>
      </c>
      <c r="N6557" s="15">
        <f>IF(OR(G6557="",L6557&lt;&gt;"Да"),"",IF(G6557&lt;=100,33600,IF(G6557&lt;=200,62400,IF(G6557&lt;=500,144000,""))))</f>
        <v/>
      </c>
      <c r="O6557" s="16">
        <f>IF(G6557="","",IF(G6557&lt;=15,"1–15",IF(G6557&lt;=30,"16–30",IF(G6557&lt;=50,"31–50",IF(G6557&lt;=100,"51–100",IF(G6557&lt;=150,"101–150",IF(G6557&lt;=200,"151–200",IF(G6557&lt;=500,"201–500","500+"))))))))</f>
        <v/>
      </c>
      <c r="P6557" s="16" t="inlineStr">
        <is>
          <t>Нет совпадения в предоставленной выгрузке ССЧР</t>
        </is>
      </c>
      <c r="Q6557" s="16" t="n"/>
      <c r="R6557" s="16">
        <f>HYPERLINK("https://checko.ru/search?query=3801001629","Чекко: проверить")</f>
        <v/>
      </c>
      <c r="S6557" t="n">
        <v>0</v>
      </c>
    </row>
    <row r="6558" ht="27.75" customHeight="1" s="24">
      <c r="A6558" s="13" t="inlineStr">
        <is>
          <t>FR680499</t>
        </is>
      </c>
      <c r="B6558" s="13" t="inlineStr">
        <is>
          <t>АССОЦИАЦИЯ "БАЙКАЛЬСКАЯ ФЕДЕРАЦИЯ СКАНДИНАВСКОЙ ХОДЬБЫ"</t>
        </is>
      </c>
      <c r="C6558" s="13" t="inlineStr">
        <is>
          <t>3801132861, оквед не тот</t>
        </is>
      </c>
      <c r="D6558" s="13" t="inlineStr">
        <is>
          <t>3801132861</t>
        </is>
      </c>
      <c r="E6558" s="13" t="inlineStr">
        <is>
          <t>ЮЛ РФ</t>
        </is>
      </c>
      <c r="F6558" s="13" t="inlineStr">
        <is>
          <t>оквед не тот</t>
        </is>
      </c>
      <c r="G6558" s="14" t="n"/>
      <c r="H6558" s="14" t="n"/>
      <c r="I6558" s="14" t="n"/>
      <c r="J6558" s="14" t="n"/>
      <c r="K6558" s="53" t="inlineStr"/>
      <c r="L6558" s="53" t="inlineStr">
        <is>
          <t>Не определено</t>
        </is>
      </c>
      <c r="M6558" s="53" t="inlineStr"/>
      <c r="N6558" s="54" t="inlineStr"/>
      <c r="O6558" s="55" t="inlineStr"/>
      <c r="P6558" s="16" t="inlineStr">
        <is>
          <t>Требует обогащения</t>
        </is>
      </c>
      <c r="Q6558" s="16">
        <f>HYPERLINK("https://pb.nalog.ru/search.html?query=3801132861","ФНС: проверить")</f>
        <v/>
      </c>
      <c r="R6558" s="16">
        <f>HYPERLINK("https://checko.ru/search?query=3801001629","Чекко: проверить")</f>
        <v/>
      </c>
      <c r="S6558" t="n">
        <v>1</v>
      </c>
      <c r="T6558" s="35" t="inlineStr">
        <is>
          <t>4 — Не обогащён</t>
        </is>
      </c>
      <c r="U6558" s="35" t="inlineStr">
        <is>
          <t>Нет ОКВЭД/ССЧР</t>
        </is>
      </c>
      <c r="V6558" s="35" t="inlineStr">
        <is>
          <t>Не определено</t>
        </is>
      </c>
      <c r="W6558" s="35" t="inlineStr"/>
      <c r="X6558" s="35" t="inlineStr"/>
    </row>
    <row r="6559" ht="15" customHeight="1" s="24">
      <c r="A6559" s="13" t="inlineStr">
        <is>
          <t>FR1007241</t>
        </is>
      </c>
      <c r="B6559" s="13" t="inlineStr">
        <is>
          <t>ООО "СИБИРЬ ТРАНЗИТ"</t>
        </is>
      </c>
      <c r="C6559" s="13" t="inlineStr">
        <is>
          <t>3812162794, ндз, ндз2, ндз3</t>
        </is>
      </c>
      <c r="D6559" s="13" t="inlineStr">
        <is>
          <t>3812162794</t>
        </is>
      </c>
      <c r="E6559" s="13" t="inlineStr">
        <is>
          <t>ЮЛ РФ</t>
        </is>
      </c>
      <c r="F6559" s="13" t="inlineStr">
        <is>
          <t>ндз, ндз2, ндз3</t>
        </is>
      </c>
      <c r="G6559" s="52" t="n">
        <v>2</v>
      </c>
      <c r="H6559" s="52" t="n">
        <v>2025</v>
      </c>
      <c r="I6559" s="14" t="n"/>
      <c r="J6559" s="14" t="n"/>
      <c r="K6559" s="53" t="inlineStr">
        <is>
          <t>Нет</t>
        </is>
      </c>
      <c r="L6559" s="53" t="inlineStr">
        <is>
          <t>Не определено</t>
        </is>
      </c>
      <c r="M6559" s="53" t="inlineStr">
        <is>
          <t>До 10</t>
        </is>
      </c>
      <c r="N6559" s="54" t="n">
        <v>3360</v>
      </c>
      <c r="O6559" s="55" t="inlineStr">
        <is>
          <t>1–15</t>
        </is>
      </c>
      <c r="P6559" s="16" t="inlineStr">
        <is>
          <t>ССЧР обогащена; ОКВЭД не найден/не загружен</t>
        </is>
      </c>
      <c r="Q6559" s="16" t="inlineStr">
        <is>
          <t>ФНС открытые данные ССЧР (ДатаСост 31.12.2025; набор 7707329152-sshr2019)</t>
        </is>
      </c>
      <c r="R6559" s="16">
        <f>HYPERLINK("https://checko.ru/search?query=3801001629","Чекко: проверить")</f>
        <v/>
      </c>
      <c r="S6559" t="n">
        <v>1</v>
      </c>
      <c r="T6559" s="35" t="inlineStr">
        <is>
          <t>4 — Не обогащён</t>
        </is>
      </c>
      <c r="U6559" s="35" t="inlineStr">
        <is>
          <t>Нет ОКВЭД/ССЧР</t>
        </is>
      </c>
      <c r="V6559" s="35" t="inlineStr">
        <is>
          <t>Не определено</t>
        </is>
      </c>
      <c r="W6559" s="35" t="inlineStr">
        <is>
          <t>Нет</t>
        </is>
      </c>
      <c r="X6559" s="35" t="inlineStr"/>
    </row>
    <row r="6560" ht="27.75" customHeight="1" s="24">
      <c r="A6560" s="13" t="inlineStr">
        <is>
          <t>FR261303</t>
        </is>
      </c>
      <c r="B6560" s="13" t="inlineStr">
        <is>
          <t xml:space="preserve"> "СМ ИРКУТСК"</t>
        </is>
      </c>
      <c r="C6560" s="13" t="inlineStr">
        <is>
          <t>3810080867, направила на почту, отложили пока</t>
        </is>
      </c>
      <c r="D6560" s="13" t="inlineStr">
        <is>
          <t>3810080867</t>
        </is>
      </c>
      <c r="E6560" s="13" t="inlineStr">
        <is>
          <t>ЮЛ РФ</t>
        </is>
      </c>
      <c r="F6560" s="13" t="inlineStr">
        <is>
          <t>направила на почту, отложили пока</t>
        </is>
      </c>
      <c r="G6560" s="52" t="n">
        <v>12</v>
      </c>
      <c r="H6560" s="52" t="n">
        <v>2025</v>
      </c>
      <c r="I6560" s="14" t="n"/>
      <c r="J6560" s="14" t="n"/>
      <c r="K6560" s="53" t="inlineStr">
        <is>
          <t>Нет</t>
        </is>
      </c>
      <c r="L6560" s="53" t="inlineStr">
        <is>
          <t>Не определено</t>
        </is>
      </c>
      <c r="M6560" s="53" t="inlineStr">
        <is>
          <t>До 25</t>
        </is>
      </c>
      <c r="N6560" s="54" t="n">
        <v>8400</v>
      </c>
      <c r="O6560" s="55" t="inlineStr">
        <is>
          <t>1–15</t>
        </is>
      </c>
      <c r="P6560" s="16" t="inlineStr">
        <is>
          <t>ССЧР обогащена; ОКВЭД не найден/не загружен</t>
        </is>
      </c>
      <c r="Q6560" s="16" t="inlineStr">
        <is>
          <t>ФНС открытые данные ССЧР (ДатаСост 31.12.2025; набор 7707329152-sshr2019)</t>
        </is>
      </c>
      <c r="R6560" s="16">
        <f>HYPERLINK("https://checko.ru/search?query=3801001629","Чекко: проверить")</f>
        <v/>
      </c>
      <c r="S6560" t="n">
        <v>1</v>
      </c>
      <c r="T6560" s="35" t="inlineStr">
        <is>
          <t>4 — Не обогащён</t>
        </is>
      </c>
      <c r="U6560" s="35" t="inlineStr">
        <is>
          <t>Нет ОКВЭД/ССЧР</t>
        </is>
      </c>
      <c r="V6560" s="35" t="inlineStr">
        <is>
          <t>Не определено</t>
        </is>
      </c>
      <c r="W6560" s="35" t="inlineStr">
        <is>
          <t>Нет</t>
        </is>
      </c>
      <c r="X6560" s="35" t="inlineStr"/>
    </row>
    <row r="6561" ht="15" customHeight="1" s="24">
      <c r="A6561" s="13" t="inlineStr">
        <is>
          <t>FR746415</t>
        </is>
      </c>
      <c r="B6561" s="13" t="inlineStr">
        <is>
          <t>ИМУ ХОЛДИНГ "СИБХИММОНТАЖ"</t>
        </is>
      </c>
      <c r="C6561" s="13" t="inlineStr">
        <is>
          <t>3812083729, ндз, ндз2, на почту инф 25.05</t>
        </is>
      </c>
      <c r="D6561" s="13" t="inlineStr">
        <is>
          <t>3812083729</t>
        </is>
      </c>
      <c r="E6561" s="13" t="inlineStr">
        <is>
          <t>ЮЛ РФ</t>
        </is>
      </c>
      <c r="F6561" s="13" t="inlineStr">
        <is>
          <t>ндз, ндз2, на почту инф 25.05</t>
        </is>
      </c>
      <c r="G6561" s="52" t="n">
        <v>5</v>
      </c>
      <c r="H6561" s="52" t="n">
        <v>2025</v>
      </c>
      <c r="I6561" s="14" t="n"/>
      <c r="J6561" s="14" t="n"/>
      <c r="K6561" s="53" t="inlineStr">
        <is>
          <t>Нет</t>
        </is>
      </c>
      <c r="L6561" s="53" t="inlineStr">
        <is>
          <t>Не определено</t>
        </is>
      </c>
      <c r="M6561" s="53" t="inlineStr">
        <is>
          <t>До 10</t>
        </is>
      </c>
      <c r="N6561" s="54" t="n">
        <v>3360</v>
      </c>
      <c r="O6561" s="55" t="inlineStr">
        <is>
          <t>1–15</t>
        </is>
      </c>
      <c r="P6561" s="16" t="inlineStr">
        <is>
          <t>ССЧР обогащена; ОКВЭД не найден/не загружен</t>
        </is>
      </c>
      <c r="Q6561" s="16" t="inlineStr">
        <is>
          <t>ФНС открытые данные ССЧР (ДатаСост 31.12.2025; набор 7707329152-sshr2019)</t>
        </is>
      </c>
      <c r="R6561" s="16">
        <f>HYPERLINK("https://checko.ru/search?query=3801001629","Чекко: проверить")</f>
        <v/>
      </c>
      <c r="S6561" t="n">
        <v>1</v>
      </c>
      <c r="T6561" s="35" t="inlineStr">
        <is>
          <t>4 — Не обогащён</t>
        </is>
      </c>
      <c r="U6561" s="35" t="inlineStr">
        <is>
          <t>Нет ОКВЭД/ССЧР</t>
        </is>
      </c>
      <c r="V6561" s="35" t="inlineStr">
        <is>
          <t>Не определено</t>
        </is>
      </c>
      <c r="W6561" s="35" t="inlineStr">
        <is>
          <t>Нет</t>
        </is>
      </c>
      <c r="X6561" s="35" t="inlineStr"/>
    </row>
    <row r="6562" ht="15" customHeight="1" s="24">
      <c r="A6562" s="13" t="inlineStr">
        <is>
          <t>FR823665</t>
        </is>
      </c>
      <c r="B6562" s="13" t="inlineStr">
        <is>
          <t>ИП Мельников Тимофей Викторович</t>
        </is>
      </c>
      <c r="C6562" s="13" t="inlineStr">
        <is>
          <t>384900036292 уже юлиана работает</t>
        </is>
      </c>
      <c r="D6562" s="13" t="inlineStr">
        <is>
          <t>384900036292</t>
        </is>
      </c>
      <c r="E6562" s="13" t="inlineStr">
        <is>
          <t>ИП РФ / физлицо</t>
        </is>
      </c>
      <c r="F6562" s="13" t="inlineStr">
        <is>
          <t>уже юлиана работает</t>
        </is>
      </c>
      <c r="G6562" s="14" t="n"/>
      <c r="H6562" s="14" t="n"/>
      <c r="I6562" s="14" t="n"/>
      <c r="J6562" s="14" t="n"/>
      <c r="K6562" s="53" t="inlineStr"/>
      <c r="L6562" s="53" t="inlineStr">
        <is>
          <t>Не определено</t>
        </is>
      </c>
      <c r="M6562" s="53" t="inlineStr"/>
      <c r="N6562" s="54" t="inlineStr"/>
      <c r="O6562" s="55" t="inlineStr"/>
      <c r="P6562" s="16" t="inlineStr">
        <is>
          <t>Требует обогащения</t>
        </is>
      </c>
      <c r="Q6562" s="16">
        <f>HYPERLINK("https://pb.nalog.ru/search.html?query=384900036292","ФНС: проверить")</f>
        <v/>
      </c>
      <c r="R6562" s="16">
        <f>HYPERLINK("https://checko.ru/search?query=3801001629","Чекко: проверить")</f>
        <v/>
      </c>
      <c r="S6562" t="n">
        <v>1</v>
      </c>
      <c r="T6562" s="35" t="inlineStr">
        <is>
          <t>4 — Не обогащён</t>
        </is>
      </c>
      <c r="U6562" s="35" t="inlineStr">
        <is>
          <t>Нет ОКВЭД/ССЧР</t>
        </is>
      </c>
      <c r="V6562" s="35" t="inlineStr">
        <is>
          <t>Не определено</t>
        </is>
      </c>
      <c r="W6562" s="35" t="inlineStr"/>
      <c r="X6562" s="35" t="inlineStr"/>
    </row>
    <row r="6563" ht="41.25" customHeight="1" s="24">
      <c r="A6563" s="13" t="inlineStr">
        <is>
          <t>FR1004326</t>
        </is>
      </c>
      <c r="B6563" s="13" t="inlineStr">
        <is>
          <t>ИРКУТСКАЯ РЕГИОНАЛЬНАЯ ОРГАНИЗАЦИЯ ВЕТЕРАНОВ (ПЕНСИОНЕРОВ) ВОЙНЫ И ТРУДА ВОСТОЧНО-СИБИРСКОЙ ЖЕЛЕЗНОЙ</t>
        </is>
      </c>
      <c r="C6563" s="13" t="inlineStr">
        <is>
          <t>3808188172, оквед не тот</t>
        </is>
      </c>
      <c r="D6563" s="13" t="inlineStr">
        <is>
          <t>3808188172</t>
        </is>
      </c>
      <c r="E6563" s="13" t="inlineStr">
        <is>
          <t>ЮЛ РФ</t>
        </is>
      </c>
      <c r="F6563" s="13" t="inlineStr">
        <is>
          <t>оквед не тот</t>
        </is>
      </c>
      <c r="G6563" s="14" t="n"/>
      <c r="H6563" s="14" t="n"/>
      <c r="I6563" s="14" t="n"/>
      <c r="J6563" s="14" t="n"/>
      <c r="K6563" s="53" t="inlineStr"/>
      <c r="L6563" s="53" t="inlineStr">
        <is>
          <t>Не определено</t>
        </is>
      </c>
      <c r="M6563" s="53" t="inlineStr"/>
      <c r="N6563" s="54" t="inlineStr"/>
      <c r="O6563" s="55" t="inlineStr"/>
      <c r="P6563" s="16" t="inlineStr">
        <is>
          <t>Требует обогащения</t>
        </is>
      </c>
      <c r="Q6563" s="16">
        <f>HYPERLINK("https://pb.nalog.ru/search.html?query=3808188172","ФНС: проверить")</f>
        <v/>
      </c>
      <c r="R6563" s="16">
        <f>HYPERLINK("https://checko.ru/search?query=3801001629","Чекко: проверить")</f>
        <v/>
      </c>
      <c r="S6563" t="n">
        <v>1</v>
      </c>
      <c r="T6563" s="35" t="inlineStr">
        <is>
          <t>4 — Не обогащён</t>
        </is>
      </c>
      <c r="U6563" s="35" t="inlineStr">
        <is>
          <t>Нет ОКВЭД/ССЧР</t>
        </is>
      </c>
      <c r="V6563" s="35" t="inlineStr">
        <is>
          <t>Не определено</t>
        </is>
      </c>
      <c r="W6563" s="35" t="inlineStr"/>
      <c r="X6563" s="35" t="inlineStr"/>
    </row>
    <row r="6564" ht="15" customHeight="1" s="24">
      <c r="A6564" s="13" t="inlineStr">
        <is>
          <t>FR679430</t>
        </is>
      </c>
      <c r="B6564" s="13" t="inlineStr">
        <is>
          <t xml:space="preserve"> "РАФА"</t>
        </is>
      </c>
      <c r="C6564" s="13" t="inlineStr">
        <is>
          <t>3818049481, эпд не нужно</t>
        </is>
      </c>
      <c r="D6564" s="13" t="inlineStr">
        <is>
          <t>3818049481</t>
        </is>
      </c>
      <c r="E6564" s="13" t="inlineStr">
        <is>
          <t>ЮЛ РФ</t>
        </is>
      </c>
      <c r="F6564" s="13" t="inlineStr">
        <is>
          <t>эпд не нужно</t>
        </is>
      </c>
      <c r="G6564" s="52" t="n">
        <v>6</v>
      </c>
      <c r="H6564" s="52" t="n">
        <v>2025</v>
      </c>
      <c r="I6564" s="14" t="n"/>
      <c r="J6564" s="14" t="n"/>
      <c r="K6564" s="53" t="inlineStr">
        <is>
          <t>Нет</t>
        </is>
      </c>
      <c r="L6564" s="53" t="inlineStr">
        <is>
          <t>Не определено</t>
        </is>
      </c>
      <c r="M6564" s="53" t="inlineStr">
        <is>
          <t>До 10</t>
        </is>
      </c>
      <c r="N6564" s="54" t="n">
        <v>3360</v>
      </c>
      <c r="O6564" s="55" t="inlineStr">
        <is>
          <t>1–15</t>
        </is>
      </c>
      <c r="P6564" s="16" t="inlineStr">
        <is>
          <t>ССЧР обогащена; ОКВЭД не найден/не загружен</t>
        </is>
      </c>
      <c r="Q6564" s="16" t="inlineStr">
        <is>
          <t>ФНС открытые данные ССЧР (ДатаСост 31.12.2025; набор 7707329152-sshr2019)</t>
        </is>
      </c>
      <c r="R6564" s="16">
        <f>HYPERLINK("https://checko.ru/search?query=3801001629","Чекко: проверить")</f>
        <v/>
      </c>
      <c r="S6564" t="n">
        <v>1</v>
      </c>
      <c r="T6564" s="35" t="inlineStr">
        <is>
          <t>4 — Не обогащён</t>
        </is>
      </c>
      <c r="U6564" s="35" t="inlineStr">
        <is>
          <t>Нет ОКВЭД/ССЧР</t>
        </is>
      </c>
      <c r="V6564" s="35" t="inlineStr">
        <is>
          <t>Не определено</t>
        </is>
      </c>
      <c r="W6564" s="35" t="inlineStr">
        <is>
          <t>Нет</t>
        </is>
      </c>
      <c r="X6564" s="35" t="inlineStr"/>
    </row>
    <row r="6565" ht="27.75" customHeight="1" s="24">
      <c r="A6565" s="13" t="inlineStr">
        <is>
          <t>FR527926</t>
        </is>
      </c>
      <c r="B6565" s="13" t="inlineStr">
        <is>
          <t>"БРАТСК-ТЕХ"</t>
        </is>
      </c>
      <c r="C6565" s="13" t="inlineStr">
        <is>
          <t>3805997111, на почту инф и счет, обр связь июль не раньше июля</t>
        </is>
      </c>
      <c r="D6565" s="13" t="inlineStr">
        <is>
          <t>3805997111</t>
        </is>
      </c>
      <c r="E6565" s="13" t="inlineStr">
        <is>
          <t>ЮЛ РФ</t>
        </is>
      </c>
      <c r="F6565" s="13" t="inlineStr">
        <is>
          <t>на почту инф и счет, обр связь июль не раньше июля</t>
        </is>
      </c>
      <c r="G6565" s="52" t="n">
        <v>1</v>
      </c>
      <c r="H6565" s="52" t="n">
        <v>2025</v>
      </c>
      <c r="I6565" s="14" t="n"/>
      <c r="J6565" s="14" t="n"/>
      <c r="K6565" s="53" t="inlineStr">
        <is>
          <t>Нет</t>
        </is>
      </c>
      <c r="L6565" s="53" t="inlineStr">
        <is>
          <t>Не определено</t>
        </is>
      </c>
      <c r="M6565" s="53" t="inlineStr">
        <is>
          <t>До 10</t>
        </is>
      </c>
      <c r="N6565" s="54" t="n">
        <v>3360</v>
      </c>
      <c r="O6565" s="55" t="inlineStr">
        <is>
          <t>1–15</t>
        </is>
      </c>
      <c r="P6565" s="16" t="inlineStr">
        <is>
          <t>ССЧР обогащена; ОКВЭД не найден/не загружен</t>
        </is>
      </c>
      <c r="Q6565" s="16" t="inlineStr">
        <is>
          <t>ФНС открытые данные ССЧР (ДатаСост 31.12.2025; набор 7707329152-sshr2019)</t>
        </is>
      </c>
      <c r="R6565" s="16">
        <f>HYPERLINK("https://checko.ru/search?query=3801001629","Чекко: проверить")</f>
        <v/>
      </c>
      <c r="S6565" t="n">
        <v>1</v>
      </c>
      <c r="T6565" s="35" t="inlineStr">
        <is>
          <t>4 — Не обогащён</t>
        </is>
      </c>
      <c r="U6565" s="35" t="inlineStr">
        <is>
          <t>Нет ОКВЭД/ССЧР</t>
        </is>
      </c>
      <c r="V6565" s="35" t="inlineStr">
        <is>
          <t>Не определено</t>
        </is>
      </c>
      <c r="W6565" s="35" t="inlineStr">
        <is>
          <t>Нет</t>
        </is>
      </c>
      <c r="X6565" s="35" t="inlineStr"/>
    </row>
    <row r="6566" ht="15" customHeight="1" s="24">
      <c r="A6566" s="13" t="inlineStr">
        <is>
          <t>FR245182</t>
        </is>
      </c>
      <c r="B6566" s="13" t="inlineStr">
        <is>
          <t>"АЛМАЗМАРКЕТ"</t>
        </is>
      </c>
      <c r="C6566" s="13" t="inlineStr">
        <is>
          <t>7802425850, не нужно эпд</t>
        </is>
      </c>
      <c r="D6566" s="13" t="inlineStr">
        <is>
          <t>7802425850</t>
        </is>
      </c>
      <c r="E6566" s="13" t="inlineStr">
        <is>
          <t>ЮЛ РФ</t>
        </is>
      </c>
      <c r="F6566" s="13" t="inlineStr">
        <is>
          <t>не нужно эпд</t>
        </is>
      </c>
      <c r="G6566" s="52" t="n">
        <v>2</v>
      </c>
      <c r="H6566" s="52" t="n">
        <v>2025</v>
      </c>
      <c r="I6566" s="14" t="n"/>
      <c r="J6566" s="14" t="n"/>
      <c r="K6566" s="53" t="inlineStr">
        <is>
          <t>Нет</t>
        </is>
      </c>
      <c r="L6566" s="53" t="inlineStr">
        <is>
          <t>Не определено</t>
        </is>
      </c>
      <c r="M6566" s="53" t="inlineStr">
        <is>
          <t>До 10</t>
        </is>
      </c>
      <c r="N6566" s="54" t="n">
        <v>3360</v>
      </c>
      <c r="O6566" s="55" t="inlineStr">
        <is>
          <t>1–15</t>
        </is>
      </c>
      <c r="P6566" s="16" t="inlineStr">
        <is>
          <t>ССЧР обогащена; ОКВЭД не найден/не загружен</t>
        </is>
      </c>
      <c r="Q6566" s="16" t="inlineStr">
        <is>
          <t>ФНС открытые данные ССЧР (ДатаСост 31.12.2025; набор 7707329152-sshr2019)</t>
        </is>
      </c>
      <c r="R6566" s="16">
        <f>HYPERLINK("https://checko.ru/search?query=3801001629","Чекко: проверить")</f>
        <v/>
      </c>
      <c r="S6566" t="n">
        <v>1</v>
      </c>
      <c r="T6566" s="35" t="inlineStr">
        <is>
          <t>4 — Не обогащён</t>
        </is>
      </c>
      <c r="U6566" s="35" t="inlineStr">
        <is>
          <t>Нет ОКВЭД/ССЧР</t>
        </is>
      </c>
      <c r="V6566" s="35" t="inlineStr">
        <is>
          <t>Не определено</t>
        </is>
      </c>
      <c r="W6566" s="35" t="inlineStr">
        <is>
          <t>Нет</t>
        </is>
      </c>
      <c r="X6566" s="35" t="inlineStr"/>
    </row>
    <row r="6567" ht="15" customHeight="1" s="24">
      <c r="A6567" s="13" t="inlineStr">
        <is>
          <t>FR1004993</t>
        </is>
      </c>
      <c r="B6567" s="13" t="inlineStr">
        <is>
          <t xml:space="preserve"> "ИРКУТСКГРАЖДАНПРОЕКТ-I"</t>
        </is>
      </c>
      <c r="C6567" s="13" t="inlineStr">
        <is>
          <t>3808224470 оквед не тот</t>
        </is>
      </c>
      <c r="D6567" s="13" t="inlineStr">
        <is>
          <t>3808224470</t>
        </is>
      </c>
      <c r="E6567" s="13" t="inlineStr">
        <is>
          <t>ЮЛ РФ</t>
        </is>
      </c>
      <c r="F6567" s="13" t="inlineStr">
        <is>
          <t>оквед не тот</t>
        </is>
      </c>
      <c r="G6567" s="52" t="n">
        <v>11</v>
      </c>
      <c r="H6567" s="52" t="n">
        <v>2025</v>
      </c>
      <c r="I6567" s="14" t="n"/>
      <c r="J6567" s="14" t="n"/>
      <c r="K6567" s="53" t="inlineStr">
        <is>
          <t>Нет</t>
        </is>
      </c>
      <c r="L6567" s="53" t="inlineStr">
        <is>
          <t>Не определено</t>
        </is>
      </c>
      <c r="M6567" s="53" t="inlineStr">
        <is>
          <t>До 25</t>
        </is>
      </c>
      <c r="N6567" s="54" t="n">
        <v>8400</v>
      </c>
      <c r="O6567" s="55" t="inlineStr">
        <is>
          <t>1–15</t>
        </is>
      </c>
      <c r="P6567" s="16" t="inlineStr">
        <is>
          <t>ССЧР обогащена; ОКВЭД не найден/не загружен</t>
        </is>
      </c>
      <c r="Q6567" s="16" t="inlineStr">
        <is>
          <t>ФНС открытые данные ССЧР (ДатаСост 31.12.2025; набор 7707329152-sshr2019)</t>
        </is>
      </c>
      <c r="R6567" s="16">
        <f>HYPERLINK("https://checko.ru/search?query=3801001629","Чекко: проверить")</f>
        <v/>
      </c>
      <c r="S6567" t="n">
        <v>1</v>
      </c>
      <c r="T6567" s="35" t="inlineStr">
        <is>
          <t>4 — Не обогащён</t>
        </is>
      </c>
      <c r="U6567" s="35" t="inlineStr">
        <is>
          <t>Нет ОКВЭД/ССЧР</t>
        </is>
      </c>
      <c r="V6567" s="35" t="inlineStr">
        <is>
          <t>Не определено</t>
        </is>
      </c>
      <c r="W6567" s="35" t="inlineStr">
        <is>
          <t>Нет</t>
        </is>
      </c>
      <c r="X6567" s="35" t="inlineStr"/>
    </row>
    <row r="6568" ht="27.75" customHeight="1" s="24">
      <c r="A6568" s="13" t="inlineStr">
        <is>
          <t>FR169578</t>
        </is>
      </c>
      <c r="B6568" s="13" t="inlineStr">
        <is>
          <t>ООО "ИРКУТСКАЯ ФАБРИКА ПЕРЧАТОК"</t>
        </is>
      </c>
      <c r="C6568" s="13" t="inlineStr">
        <is>
          <t>3827057866, связалсь, кп на почте, 18.06 связь, вт обр связь</t>
        </is>
      </c>
      <c r="D6568" s="13" t="inlineStr">
        <is>
          <t>3827057866</t>
        </is>
      </c>
      <c r="E6568" s="13" t="inlineStr">
        <is>
          <t>ЮЛ РФ</t>
        </is>
      </c>
      <c r="F6568" s="13" t="inlineStr">
        <is>
          <t>связалсь, кп на почте, 18.06 связь, вт обр связь</t>
        </is>
      </c>
      <c r="G6568" s="52" t="n">
        <v>3</v>
      </c>
      <c r="H6568" s="52" t="n">
        <v>2025</v>
      </c>
      <c r="I6568" s="14" t="n"/>
      <c r="J6568" s="14" t="n"/>
      <c r="K6568" s="53" t="inlineStr">
        <is>
          <t>Нет</t>
        </is>
      </c>
      <c r="L6568" s="53" t="inlineStr">
        <is>
          <t>Не определено</t>
        </is>
      </c>
      <c r="M6568" s="53" t="inlineStr">
        <is>
          <t>До 10</t>
        </is>
      </c>
      <c r="N6568" s="54" t="n">
        <v>3360</v>
      </c>
      <c r="O6568" s="55" t="inlineStr">
        <is>
          <t>1–15</t>
        </is>
      </c>
      <c r="P6568" s="16" t="inlineStr">
        <is>
          <t>ССЧР обогащена; ОКВЭД не найден/не загружен</t>
        </is>
      </c>
      <c r="Q6568" s="16" t="inlineStr">
        <is>
          <t>ФНС открытые данные ССЧР (ДатаСост 31.12.2025; набор 7707329152-sshr2019)</t>
        </is>
      </c>
      <c r="R6568" s="16">
        <f>HYPERLINK("https://checko.ru/search?query=3801001629","Чекко: проверить")</f>
        <v/>
      </c>
      <c r="S6568" t="n">
        <v>1</v>
      </c>
      <c r="T6568" s="35" t="inlineStr">
        <is>
          <t>4 — Не обогащён</t>
        </is>
      </c>
      <c r="U6568" s="35" t="inlineStr">
        <is>
          <t>Нет ОКВЭД/ССЧР</t>
        </is>
      </c>
      <c r="V6568" s="35" t="inlineStr">
        <is>
          <t>Не определено</t>
        </is>
      </c>
      <c r="W6568" s="35" t="inlineStr">
        <is>
          <t>Нет</t>
        </is>
      </c>
      <c r="X6568" s="35" t="inlineStr"/>
    </row>
    <row r="6569" ht="27.75" customHeight="1" s="24">
      <c r="A6569" s="13" t="inlineStr">
        <is>
          <t>FR94853</t>
        </is>
      </c>
      <c r="B6569" s="13" t="inlineStr">
        <is>
          <t xml:space="preserve"> "КАЙРОС"</t>
        </is>
      </c>
      <c r="C6569" s="13" t="inlineStr">
        <is>
          <t>7536164395, ндз1, сделку созд, кп  22 06 связь</t>
        </is>
      </c>
      <c r="D6569" s="13" t="inlineStr">
        <is>
          <t>7536164395</t>
        </is>
      </c>
      <c r="E6569" s="13" t="inlineStr">
        <is>
          <t>ЮЛ РФ</t>
        </is>
      </c>
      <c r="F6569" s="13" t="inlineStr">
        <is>
          <t>ндз1, сделку созд, кп  22 06 связь</t>
        </is>
      </c>
      <c r="G6569" s="52" t="n">
        <v>1</v>
      </c>
      <c r="H6569" s="52" t="n">
        <v>2025</v>
      </c>
      <c r="I6569" s="14" t="n"/>
      <c r="J6569" s="14" t="n"/>
      <c r="K6569" s="53" t="inlineStr">
        <is>
          <t>Нет</t>
        </is>
      </c>
      <c r="L6569" s="53" t="inlineStr">
        <is>
          <t>Не определено</t>
        </is>
      </c>
      <c r="M6569" s="53" t="inlineStr">
        <is>
          <t>До 10</t>
        </is>
      </c>
      <c r="N6569" s="54" t="n">
        <v>3360</v>
      </c>
      <c r="O6569" s="55" t="inlineStr">
        <is>
          <t>1–15</t>
        </is>
      </c>
      <c r="P6569" s="16" t="inlineStr">
        <is>
          <t>ССЧР обогащена; ОКВЭД не найден/не загружен</t>
        </is>
      </c>
      <c r="Q6569" s="16" t="inlineStr">
        <is>
          <t>ФНС открытые данные ССЧР (ДатаСост 31.12.2025; набор 7707329152-sshr2019)</t>
        </is>
      </c>
      <c r="R6569" s="16">
        <f>HYPERLINK("https://checko.ru/search?query=3801001629","Чекко: проверить")</f>
        <v/>
      </c>
      <c r="S6569" t="n">
        <v>1</v>
      </c>
      <c r="T6569" s="35" t="inlineStr">
        <is>
          <t>4 — Не обогащён</t>
        </is>
      </c>
      <c r="U6569" s="35" t="inlineStr">
        <is>
          <t>Нет ОКВЭД/ССЧР</t>
        </is>
      </c>
      <c r="V6569" s="35" t="inlineStr">
        <is>
          <t>Не определено</t>
        </is>
      </c>
      <c r="W6569" s="35" t="inlineStr">
        <is>
          <t>Нет</t>
        </is>
      </c>
      <c r="X6569" s="35" t="inlineStr"/>
    </row>
    <row r="6570" ht="15" customHeight="1" s="24">
      <c r="A6570" s="13" t="inlineStr">
        <is>
          <t>FR1002382</t>
        </is>
      </c>
      <c r="B6570" s="13" t="inlineStr">
        <is>
          <t>ИП Исаков Евгений Павлович</t>
        </is>
      </c>
      <c r="C6570" s="13" t="inlineStr">
        <is>
          <t>380503285457, не нужно эпд</t>
        </is>
      </c>
      <c r="D6570" s="13" t="inlineStr">
        <is>
          <t>380503285457</t>
        </is>
      </c>
      <c r="E6570" s="13" t="inlineStr">
        <is>
          <t>ИП РФ / физлицо</t>
        </is>
      </c>
      <c r="F6570" s="13" t="inlineStr">
        <is>
          <t>не нужно эпд</t>
        </is>
      </c>
      <c r="G6570" s="14" t="n"/>
      <c r="H6570" s="14" t="n"/>
      <c r="I6570" s="14" t="n"/>
      <c r="J6570" s="14" t="n"/>
      <c r="K6570" s="53" t="inlineStr"/>
      <c r="L6570" s="53" t="inlineStr">
        <is>
          <t>Не определено</t>
        </is>
      </c>
      <c r="M6570" s="53" t="inlineStr"/>
      <c r="N6570" s="54" t="inlineStr"/>
      <c r="O6570" s="55" t="inlineStr"/>
      <c r="P6570" s="16" t="inlineStr">
        <is>
          <t>Требует обогащения</t>
        </is>
      </c>
      <c r="Q6570" s="16">
        <f>HYPERLINK("https://pb.nalog.ru/search.html?query=380503285457","ФНС: проверить")</f>
        <v/>
      </c>
      <c r="R6570" s="16">
        <f>HYPERLINK("https://checko.ru/search?query=3801001629","Чекко: проверить")</f>
        <v/>
      </c>
      <c r="S6570" t="n">
        <v>1</v>
      </c>
      <c r="T6570" s="35" t="inlineStr">
        <is>
          <t>4 — Не обогащён</t>
        </is>
      </c>
      <c r="U6570" s="35" t="inlineStr">
        <is>
          <t>Нет ОКВЭД/ССЧР</t>
        </is>
      </c>
      <c r="V6570" s="35" t="inlineStr">
        <is>
          <t>Не определено</t>
        </is>
      </c>
      <c r="W6570" s="35" t="inlineStr"/>
      <c r="X6570" s="35" t="inlineStr"/>
    </row>
    <row r="6571" ht="15" customHeight="1" s="24">
      <c r="A6571" s="13" t="inlineStr">
        <is>
          <t>FR530526</t>
        </is>
      </c>
      <c r="B6571" s="13" t="inlineStr">
        <is>
          <t>ИП Салацкая Диана Анатольевна</t>
        </is>
      </c>
      <c r="C6571" s="13" t="inlineStr">
        <is>
          <t>381200088878, почта и счет 16.06 не нужно</t>
        </is>
      </c>
      <c r="D6571" s="13" t="inlineStr">
        <is>
          <t>381200088878</t>
        </is>
      </c>
      <c r="E6571" s="13" t="inlineStr">
        <is>
          <t>ИП РФ / физлицо</t>
        </is>
      </c>
      <c r="F6571" s="13" t="inlineStr">
        <is>
          <t>почта и счет 16.06 не нужно</t>
        </is>
      </c>
      <c r="G6571" s="14" t="n"/>
      <c r="H6571" s="14" t="n"/>
      <c r="I6571" s="14" t="n"/>
      <c r="J6571" s="14" t="n"/>
      <c r="K6571" s="53" t="inlineStr"/>
      <c r="L6571" s="53" t="inlineStr">
        <is>
          <t>Не определено</t>
        </is>
      </c>
      <c r="M6571" s="53" t="inlineStr"/>
      <c r="N6571" s="54" t="inlineStr"/>
      <c r="O6571" s="55" t="inlineStr"/>
      <c r="P6571" s="16" t="inlineStr">
        <is>
          <t>Требует обогащения</t>
        </is>
      </c>
      <c r="Q6571" s="16">
        <f>HYPERLINK("https://pb.nalog.ru/search.html?query=381200088878","ФНС: проверить")</f>
        <v/>
      </c>
      <c r="R6571" s="16">
        <f>HYPERLINK("https://checko.ru/search?query=3801001629","Чекко: проверить")</f>
        <v/>
      </c>
      <c r="S6571" t="n">
        <v>1</v>
      </c>
      <c r="T6571" s="35" t="inlineStr">
        <is>
          <t>4 — Не обогащён</t>
        </is>
      </c>
      <c r="U6571" s="35" t="inlineStr">
        <is>
          <t>Нет ОКВЭД/ССЧР</t>
        </is>
      </c>
      <c r="V6571" s="35" t="inlineStr">
        <is>
          <t>Не определено</t>
        </is>
      </c>
      <c r="W6571" s="35" t="inlineStr"/>
      <c r="X6571" s="35" t="inlineStr"/>
    </row>
    <row r="6572" ht="27.75" customHeight="1" s="24">
      <c r="A6572" s="13" t="inlineStr">
        <is>
          <t>FR1202981</t>
        </is>
      </c>
      <c r="B6572" s="13" t="inlineStr">
        <is>
          <t xml:space="preserve"> "ГРАДСТРОЙ"</t>
        </is>
      </c>
      <c r="C6572" s="13" t="inlineStr">
        <is>
          <t>3812143230, ндз1, на почту инф направила 24.06</t>
        </is>
      </c>
      <c r="D6572" s="13" t="inlineStr">
        <is>
          <t>3812143230</t>
        </is>
      </c>
      <c r="E6572" s="13" t="inlineStr">
        <is>
          <t>ЮЛ РФ</t>
        </is>
      </c>
      <c r="F6572" s="13" t="inlineStr">
        <is>
          <t>ндз1, на почту инф направила 24.06</t>
        </is>
      </c>
      <c r="G6572" s="52" t="n">
        <v>3</v>
      </c>
      <c r="H6572" s="52" t="n">
        <v>2025</v>
      </c>
      <c r="I6572" s="14" t="n"/>
      <c r="J6572" s="14" t="n"/>
      <c r="K6572" s="53" t="inlineStr">
        <is>
          <t>Нет</t>
        </is>
      </c>
      <c r="L6572" s="53" t="inlineStr">
        <is>
          <t>Не определено</t>
        </is>
      </c>
      <c r="M6572" s="53" t="inlineStr">
        <is>
          <t>До 10</t>
        </is>
      </c>
      <c r="N6572" s="54" t="n">
        <v>3360</v>
      </c>
      <c r="O6572" s="55" t="inlineStr">
        <is>
          <t>1–15</t>
        </is>
      </c>
      <c r="P6572" s="16" t="inlineStr">
        <is>
          <t>ССЧР обогащена; ОКВЭД не найден/не загружен</t>
        </is>
      </c>
      <c r="Q6572" s="16" t="inlineStr">
        <is>
          <t>ФНС открытые данные ССЧР (ДатаСост 31.12.2025; набор 7707329152-sshr2019)</t>
        </is>
      </c>
      <c r="R6572" s="16">
        <f>HYPERLINK("https://checko.ru/search?query=3801001629","Чекко: проверить")</f>
        <v/>
      </c>
      <c r="S6572" t="n">
        <v>1</v>
      </c>
      <c r="T6572" s="35" t="inlineStr">
        <is>
          <t>4 — Не обогащён</t>
        </is>
      </c>
      <c r="U6572" s="35" t="inlineStr">
        <is>
          <t>Нет ОКВЭД/ССЧР</t>
        </is>
      </c>
      <c r="V6572" s="35" t="inlineStr">
        <is>
          <t>Не определено</t>
        </is>
      </c>
      <c r="W6572" s="35" t="inlineStr">
        <is>
          <t>Нет</t>
        </is>
      </c>
      <c r="X6572" s="35" t="inlineStr"/>
    </row>
    <row r="6573" ht="15" customHeight="1" s="24">
      <c r="A6573" s="13" t="inlineStr">
        <is>
          <t>FR883987</t>
        </is>
      </c>
      <c r="B6573" s="13" t="inlineStr">
        <is>
          <t>"ПРОФЕССИОНАЛЬНАЯ РЕНТГЕНОЛОГИЯ"</t>
        </is>
      </c>
      <c r="C6573" s="13" t="inlineStr">
        <is>
          <t>3812990702, оквед не тот</t>
        </is>
      </c>
      <c r="D6573" s="13" t="inlineStr">
        <is>
          <t>3812990702</t>
        </is>
      </c>
      <c r="E6573" s="13" t="inlineStr">
        <is>
          <t>ЮЛ РФ</t>
        </is>
      </c>
      <c r="F6573" s="13" t="inlineStr">
        <is>
          <t>оквед не тот</t>
        </is>
      </c>
      <c r="G6573" s="52" t="n">
        <v>0</v>
      </c>
      <c r="H6573" s="52" t="n">
        <v>2025</v>
      </c>
      <c r="I6573" s="14" t="n"/>
      <c r="J6573" s="14" t="n"/>
      <c r="K6573" s="53" t="inlineStr">
        <is>
          <t>Нет</t>
        </is>
      </c>
      <c r="L6573" s="53" t="inlineStr">
        <is>
          <t>Не определено</t>
        </is>
      </c>
      <c r="M6573" s="53" t="inlineStr">
        <is>
          <t>До 10</t>
        </is>
      </c>
      <c r="N6573" s="54" t="n">
        <v>3360</v>
      </c>
      <c r="O6573" s="55" t="inlineStr">
        <is>
          <t>1–15</t>
        </is>
      </c>
      <c r="P6573" s="16" t="inlineStr">
        <is>
          <t>ССЧР обогащена; ОКВЭД не найден/не загружен</t>
        </is>
      </c>
      <c r="Q6573" s="16" t="inlineStr">
        <is>
          <t>ФНС открытые данные ССЧР (ДатаСост 31.12.2025; набор 7707329152-sshr2019)</t>
        </is>
      </c>
      <c r="R6573" s="16">
        <f>HYPERLINK("https://checko.ru/search?query=3801001629","Чекко: проверить")</f>
        <v/>
      </c>
      <c r="S6573" t="n">
        <v>1</v>
      </c>
      <c r="T6573" s="35" t="inlineStr">
        <is>
          <t>4 — Не обогащён</t>
        </is>
      </c>
      <c r="U6573" s="35" t="inlineStr">
        <is>
          <t>Нет ОКВЭД/ССЧР</t>
        </is>
      </c>
      <c r="V6573" s="35" t="inlineStr">
        <is>
          <t>Не определено</t>
        </is>
      </c>
      <c r="W6573" s="35" t="inlineStr">
        <is>
          <t>Нет</t>
        </is>
      </c>
      <c r="X6573" s="35" t="inlineStr"/>
    </row>
    <row r="6574" ht="41.25" customHeight="1" s="24">
      <c r="A6574" s="13" t="inlineStr">
        <is>
          <t>FR1202360</t>
        </is>
      </c>
      <c r="B6574" s="13" t="inlineStr">
        <is>
          <t>ИП Козловцева Анастасия Дмитриевна</t>
        </is>
      </c>
      <c r="C6574" s="13" t="inlineStr">
        <is>
          <t>31797308794 завтра после обеда https://crm.forus.ru/crm/company/details/243160/ ндз1 ндз 2 ндз3</t>
        </is>
      </c>
      <c r="D6574" s="13" t="n"/>
      <c r="E6574" s="13" t="inlineStr">
        <is>
          <t>Не определён</t>
        </is>
      </c>
      <c r="F6574" s="13" t="inlineStr">
        <is>
          <t>завтра после обеда https://crm.forus.ru/crm/company/details/243160/ ндз1 ндз 2 ндз3</t>
        </is>
      </c>
      <c r="G6574" s="14" t="n"/>
      <c r="H6574" s="14" t="n"/>
      <c r="I6574" s="14" t="n"/>
      <c r="J6574" s="14" t="n"/>
      <c r="K6574" s="13">
        <f>IF(G6574="","",IF(G6574&gt;=22,"Да","Нет"))</f>
        <v/>
      </c>
      <c r="L6574" s="13">
        <f>IF(OR(I6574="",J6574=""),"Не определено",IF(OR(COUNTIF(I6574,"45*")&gt;0,COUNTIF(J6574,"*45*")&gt;0,COUNTIF(I6574,"46*")&gt;0,COUNTIF(J6574,"*46*")&gt;0,COUNTIF(I6574,"47*")&gt;0,COUNTIF(J6574,"*47*")&gt;0,COUNTIF(I6574,"10*")&gt;0,COUNTIF(J6574,"*10*")&gt;0,COUNTIF(I6574,"11*")&gt;0,COUNTIF(J6574,"*11*")&gt;0,COUNTIF(I6574,"12*")&gt;0,COUNTIF(J6574,"*12*")&gt;0,COUNTIF(I6574,"13*")&gt;0,COUNTIF(J6574,"*13*")&gt;0,COUNTIF(I6574,"14*")&gt;0,COUNTIF(J6574,"*14*")&gt;0,COUNTIF(I6574,"15*")&gt;0,COUNTIF(J6574,"*15*")&gt;0,COUNTIF(I6574,"16*")&gt;0,COUNTIF(J6574,"*16*")&gt;0,COUNTIF(I6574,"17*")&gt;0,COUNTIF(J6574,"*17*")&gt;0,COUNTIF(I6574,"18*")&gt;0,COUNTIF(J6574,"*18*")&gt;0,COUNTIF(I6574,"19*")&gt;0,COUNTIF(J6574,"*19*")&gt;0,COUNTIF(I6574,"20*")&gt;0,COUNTIF(J6574,"*20*")&gt;0,COUNTIF(I6574,"21*")&gt;0,COUNTIF(J6574,"*21*")&gt;0,COUNTIF(I6574,"22*")&gt;0,COUNTIF(J6574,"*22*")&gt;0,COUNTIF(I6574,"23*")&gt;0,COUNTIF(J6574,"*23*")&gt;0,COUNTIF(I6574,"24*")&gt;0,COUNTIF(J6574,"*24*")&gt;0,COUNTIF(I6574,"25*")&gt;0,COUNTIF(J6574,"*25*")&gt;0,COUNTIF(I6574,"26*")&gt;0,COUNTIF(J6574,"*26*")&gt;0,COUNTIF(I6574,"27*")&gt;0,COUNTIF(J6574,"*27*")&gt;0,COUNTIF(I6574,"28*")&gt;0,COUNTIF(J6574,"*28*")&gt;0,COUNTIF(I6574,"29*")&gt;0,COUNTIF(J6574,"*29*")&gt;0,COUNTIF(I6574,"30*")&gt;0,COUNTIF(J6574,"*30*")&gt;0,COUNTIF(I6574,"31*")&gt;0,COUNTIF(J6574,"*31*")&gt;0,COUNTIF(I6574,"32*")&gt;0,COUNTIF(J6574,"*32*")&gt;0,COUNTIF(I6574,"33*")&gt;0,COUNTIF(J6574,"*33*")&gt;0,COUNTIF(I6574,"41*")&gt;0,COUNTIF(J6574,"*41*")&gt;0,COUNTIF(I6574,"42*")&gt;0,COUNTIF(J6574,"*42*")&gt;0,COUNTIF(I6574,"43*")&gt;0,COUNTIF(J6574,"*43*")&gt;0,COUNTIF(I6574,"49*")&gt;0,COUNTIF(J6574,"*49*")&gt;0,COUNTIF(I6574,"52*")&gt;0,COUNTIF(J6574,"*52*")&gt;0,COUNTIF(I6574,"55*")&gt;0,COUNTIF(J6574,"*55*")&gt;0,COUNTIF(I6574,"56*")&gt;0,COUNTIF(J6574,"*56*")&gt;0,COUNTIF(I6574,"68*")&gt;0,COUNTIF(J6574,"*68*")&gt;0,COUNTIF(I6574,"78*")&gt;0,COUNTIF(J6574,"*78*")&gt;0,COUNTIF(I6574,"81*")&gt;0,COUNTIF(J6574,"*81*")&gt;0,COUNTIF(I6574,"82*")&gt;0,COUNTIF(J6574,"*82*")&gt;0,COUNTIF(I6574,"64*")&gt;0,COUNTIF(J6574,"*64*")&gt;0,COUNTIF(I6574,"65*")&gt;0,COUNTIF(J6574,"*65*")&gt;0,COUNTIF(I6574,"66*")&gt;0,COUNTIF(J6574,"*66*")&gt;0,COUNTIF(I6574,"61*")&gt;0,COUNTIF(J6574,"*61*")&gt;0,COUNTIF(I6574,"62*")&gt;0,COUNTIF(J6574,"*62*")&gt;0,COUNTIF(I6574,"63*")&gt;0,COUNTIF(J6574,"*63*")&gt;0,COUNTIF(I6574,"85*")&gt;0,COUNTIF(J6574,"*85*")&gt;0,COUNTIF(I6574,"86*")&gt;0,COUNTIF(J6574,"*86*")&gt;0),"Да","Нет"))</f>
        <v/>
      </c>
      <c r="M6574" s="13">
        <f>IF(OR(G6574="",L6574&lt;&gt;"Да"),"",IF(G6574&lt;=100,"До 100",IF(G6574&lt;=200,"До 200",IF(G6574&lt;=500,"До 500","Отдельное КП"))))</f>
        <v/>
      </c>
      <c r="N6574" s="15">
        <f>IF(OR(G6574="",L6574&lt;&gt;"Да"),"",IF(G6574&lt;=100,33600,IF(G6574&lt;=200,62400,IF(G6574&lt;=500,144000,""))))</f>
        <v/>
      </c>
      <c r="O6574" s="16">
        <f>IF(G6574="","",IF(G6574&lt;=15,"1–15",IF(G6574&lt;=30,"16–30",IF(G6574&lt;=50,"31–50",IF(G6574&lt;=100,"51–100",IF(G6574&lt;=150,"101–150",IF(G6574&lt;=200,"151–200",IF(G6574&lt;=500,"201–500","500+"))))))))</f>
        <v/>
      </c>
      <c r="P6574" s="16" t="inlineStr">
        <is>
          <t>Нет совпадения в предоставленной выгрузке ССЧР</t>
        </is>
      </c>
      <c r="Q6574" s="16" t="n"/>
      <c r="R6574" s="16">
        <f>HYPERLINK("https://checko.ru/search?query=3801001629","Чекко: проверить")</f>
        <v/>
      </c>
      <c r="S6574" t="n">
        <v>0</v>
      </c>
    </row>
    <row r="6575" ht="15" customHeight="1" s="24">
      <c r="A6575" s="13" t="inlineStr">
        <is>
          <t>FR1006831</t>
        </is>
      </c>
      <c r="B6575" s="13" t="inlineStr">
        <is>
          <t xml:space="preserve"> "СМАРТСИМ"</t>
        </is>
      </c>
      <c r="C6575" s="13" t="inlineStr">
        <is>
          <t>9703179397 оквед не тот</t>
        </is>
      </c>
      <c r="D6575" s="13" t="inlineStr">
        <is>
          <t>9703179397</t>
        </is>
      </c>
      <c r="E6575" s="13" t="inlineStr">
        <is>
          <t>ЮЛ РФ</t>
        </is>
      </c>
      <c r="F6575" s="13" t="inlineStr">
        <is>
          <t>оквед не тот</t>
        </is>
      </c>
      <c r="G6575" s="52" t="n">
        <v>0</v>
      </c>
      <c r="H6575" s="52" t="n">
        <v>2025</v>
      </c>
      <c r="I6575" s="14" t="n"/>
      <c r="J6575" s="14" t="n"/>
      <c r="K6575" s="53" t="inlineStr">
        <is>
          <t>Нет</t>
        </is>
      </c>
      <c r="L6575" s="53" t="inlineStr">
        <is>
          <t>Не определено</t>
        </is>
      </c>
      <c r="M6575" s="53" t="inlineStr">
        <is>
          <t>До 10</t>
        </is>
      </c>
      <c r="N6575" s="54" t="n">
        <v>3360</v>
      </c>
      <c r="O6575" s="55" t="inlineStr">
        <is>
          <t>1–15</t>
        </is>
      </c>
      <c r="P6575" s="16" t="inlineStr">
        <is>
          <t>ССЧР обогащена; ОКВЭД не найден/не загружен</t>
        </is>
      </c>
      <c r="Q6575" s="16" t="inlineStr">
        <is>
          <t>ФНС открытые данные ССЧР (ДатаСост 31.12.2025; набор 7707329152-sshr2019)</t>
        </is>
      </c>
      <c r="R6575" s="16">
        <f>HYPERLINK("https://checko.ru/search?query=3801001629","Чекко: проверить")</f>
        <v/>
      </c>
      <c r="S6575" t="n">
        <v>1</v>
      </c>
      <c r="T6575" s="35" t="inlineStr">
        <is>
          <t>4 — Не обогащён</t>
        </is>
      </c>
      <c r="U6575" s="35" t="inlineStr">
        <is>
          <t>Нет ОКВЭД/ССЧР</t>
        </is>
      </c>
      <c r="V6575" s="35" t="inlineStr">
        <is>
          <t>Не определено</t>
        </is>
      </c>
      <c r="W6575" s="35" t="inlineStr">
        <is>
          <t>Нет</t>
        </is>
      </c>
      <c r="X6575" s="35" t="inlineStr"/>
    </row>
    <row r="6576" ht="15" customHeight="1" s="24">
      <c r="A6576" s="13" t="inlineStr">
        <is>
          <t>FR553913</t>
        </is>
      </c>
      <c r="B6576" s="13" t="inlineStr">
        <is>
          <t>ИП Соколюк Иван Игоревич</t>
        </is>
      </c>
      <c r="C6576" s="13" t="inlineStr">
        <is>
          <t>236407131813, эпд не нужен</t>
        </is>
      </c>
      <c r="D6576" s="13" t="inlineStr">
        <is>
          <t>236407131813</t>
        </is>
      </c>
      <c r="E6576" s="13" t="inlineStr">
        <is>
          <t>ИП РФ / физлицо</t>
        </is>
      </c>
      <c r="F6576" s="13" t="inlineStr">
        <is>
          <t>эпд не нужен</t>
        </is>
      </c>
      <c r="G6576" s="14" t="n"/>
      <c r="H6576" s="14" t="n"/>
      <c r="I6576" s="14" t="n"/>
      <c r="J6576" s="14" t="n"/>
      <c r="K6576" s="53" t="inlineStr"/>
      <c r="L6576" s="53" t="inlineStr">
        <is>
          <t>Не определено</t>
        </is>
      </c>
      <c r="M6576" s="53" t="inlineStr"/>
      <c r="N6576" s="54" t="inlineStr"/>
      <c r="O6576" s="55" t="inlineStr"/>
      <c r="P6576" s="16" t="inlineStr">
        <is>
          <t>Требует обогащения</t>
        </is>
      </c>
      <c r="Q6576" s="16">
        <f>HYPERLINK("https://pb.nalog.ru/search.html?query=236407131813","ФНС: проверить")</f>
        <v/>
      </c>
      <c r="R6576" s="16">
        <f>HYPERLINK("https://checko.ru/search?query=3801001629","Чекко: проверить")</f>
        <v/>
      </c>
      <c r="S6576" t="n">
        <v>1</v>
      </c>
      <c r="T6576" s="35" t="inlineStr">
        <is>
          <t>4 — Не обогащён</t>
        </is>
      </c>
      <c r="U6576" s="35" t="inlineStr">
        <is>
          <t>Нет ОКВЭД/ССЧР</t>
        </is>
      </c>
      <c r="V6576" s="35" t="inlineStr">
        <is>
          <t>Не определено</t>
        </is>
      </c>
      <c r="W6576" s="35" t="inlineStr"/>
      <c r="X6576" s="35" t="inlineStr"/>
    </row>
    <row r="6577" ht="27.75" customHeight="1" s="24">
      <c r="A6577" s="13" t="inlineStr">
        <is>
          <t>FR95401</t>
        </is>
      </c>
      <c r="B6577" s="13" t="inlineStr">
        <is>
          <t>ИП Пономарева Татьяна Анатольевна</t>
        </is>
      </c>
      <c r="C6577" s="13" t="inlineStr">
        <is>
          <t>244500701500, ндз1, ндз2 направила на почту без обр связи</t>
        </is>
      </c>
      <c r="D6577" s="13" t="inlineStr">
        <is>
          <t>244500701500</t>
        </is>
      </c>
      <c r="E6577" s="13" t="inlineStr">
        <is>
          <t>ИП РФ / физлицо</t>
        </is>
      </c>
      <c r="F6577" s="13" t="inlineStr">
        <is>
          <t>ндз1, ндз2 направила на почту без обр связи</t>
        </is>
      </c>
      <c r="G6577" s="14" t="n"/>
      <c r="H6577" s="14" t="n"/>
      <c r="I6577" s="14" t="n"/>
      <c r="J6577" s="14" t="n"/>
      <c r="K6577" s="53" t="inlineStr"/>
      <c r="L6577" s="53" t="inlineStr">
        <is>
          <t>Не определено</t>
        </is>
      </c>
      <c r="M6577" s="53" t="inlineStr"/>
      <c r="N6577" s="54" t="inlineStr"/>
      <c r="O6577" s="55" t="inlineStr"/>
      <c r="P6577" s="16" t="inlineStr">
        <is>
          <t>Требует обогащения</t>
        </is>
      </c>
      <c r="Q6577" s="16">
        <f>HYPERLINK("https://pb.nalog.ru/search.html?query=244500701500","ФНС: проверить")</f>
        <v/>
      </c>
      <c r="R6577" s="16">
        <f>HYPERLINK("https://checko.ru/search?query=3801001629","Чекко: проверить")</f>
        <v/>
      </c>
      <c r="S6577" t="n">
        <v>1</v>
      </c>
      <c r="T6577" s="35" t="inlineStr">
        <is>
          <t>4 — Не обогащён</t>
        </is>
      </c>
      <c r="U6577" s="35" t="inlineStr">
        <is>
          <t>Нет ОКВЭД/ССЧР</t>
        </is>
      </c>
      <c r="V6577" s="35" t="inlineStr">
        <is>
          <t>Не определено</t>
        </is>
      </c>
      <c r="W6577" s="35" t="inlineStr"/>
      <c r="X6577" s="35" t="inlineStr"/>
    </row>
    <row r="6578" ht="15" customHeight="1" s="24">
      <c r="A6578" s="13" t="inlineStr">
        <is>
          <t>FR98944</t>
        </is>
      </c>
      <c r="B6578" s="13" t="inlineStr">
        <is>
          <t>ИП Макаров Алексей Анатольевич</t>
        </is>
      </c>
      <c r="C6578" s="13" t="inlineStr">
        <is>
          <t>381103840965, оквед не тот</t>
        </is>
      </c>
      <c r="D6578" s="13" t="inlineStr">
        <is>
          <t>381103840965</t>
        </is>
      </c>
      <c r="E6578" s="13" t="inlineStr">
        <is>
          <t>ИП РФ / физлицо</t>
        </is>
      </c>
      <c r="F6578" s="13" t="inlineStr">
        <is>
          <t>оквед не тот</t>
        </is>
      </c>
      <c r="G6578" s="14" t="n"/>
      <c r="H6578" s="14" t="n"/>
      <c r="I6578" s="14" t="n"/>
      <c r="J6578" s="14" t="n"/>
      <c r="K6578" s="53" t="inlineStr"/>
      <c r="L6578" s="53" t="inlineStr">
        <is>
          <t>Не определено</t>
        </is>
      </c>
      <c r="M6578" s="53" t="inlineStr"/>
      <c r="N6578" s="54" t="inlineStr"/>
      <c r="O6578" s="55" t="inlineStr"/>
      <c r="P6578" s="16" t="inlineStr">
        <is>
          <t>Требует обогащения</t>
        </is>
      </c>
      <c r="Q6578" s="16">
        <f>HYPERLINK("https://pb.nalog.ru/search.html?query=381103840965","ФНС: проверить")</f>
        <v/>
      </c>
      <c r="R6578" s="16">
        <f>HYPERLINK("https://checko.ru/search?query=3801001629","Чекко: проверить")</f>
        <v/>
      </c>
      <c r="S6578" t="n">
        <v>1</v>
      </c>
      <c r="T6578" s="35" t="inlineStr">
        <is>
          <t>4 — Не обогащён</t>
        </is>
      </c>
      <c r="U6578" s="35" t="inlineStr">
        <is>
          <t>Нет ОКВЭД/ССЧР</t>
        </is>
      </c>
      <c r="V6578" s="35" t="inlineStr">
        <is>
          <t>Не определено</t>
        </is>
      </c>
      <c r="W6578" s="35" t="inlineStr"/>
      <c r="X6578" s="35" t="inlineStr"/>
    </row>
    <row r="6579" ht="15" customHeight="1" s="24">
      <c r="A6579" s="13" t="inlineStr">
        <is>
          <t>FR1203733</t>
        </is>
      </c>
      <c r="B6579" s="13" t="inlineStr">
        <is>
          <t>ИП Сахьянов Василий Борисович</t>
        </is>
      </c>
      <c r="C6579" s="13" t="inlineStr">
        <is>
          <t>32314002989, оквед не тот</t>
        </is>
      </c>
      <c r="D6579" s="13" t="n"/>
      <c r="E6579" s="13" t="inlineStr">
        <is>
          <t>Не определён</t>
        </is>
      </c>
      <c r="F6579" s="13" t="inlineStr">
        <is>
          <t>оквед не тот</t>
        </is>
      </c>
      <c r="G6579" s="14" t="n"/>
      <c r="H6579" s="14" t="n"/>
      <c r="I6579" s="14" t="n"/>
      <c r="J6579" s="14" t="n"/>
      <c r="K6579" s="13">
        <f>IF(G6579="","",IF(G6579&gt;=22,"Да","Нет"))</f>
        <v/>
      </c>
      <c r="L6579" s="13">
        <f>IF(OR(I6579="",J6579=""),"Не определено",IF(OR(COUNTIF(I6579,"45*")&gt;0,COUNTIF(J6579,"*45*")&gt;0,COUNTIF(I6579,"46*")&gt;0,COUNTIF(J6579,"*46*")&gt;0,COUNTIF(I6579,"47*")&gt;0,COUNTIF(J6579,"*47*")&gt;0,COUNTIF(I6579,"10*")&gt;0,COUNTIF(J6579,"*10*")&gt;0,COUNTIF(I6579,"11*")&gt;0,COUNTIF(J6579,"*11*")&gt;0,COUNTIF(I6579,"12*")&gt;0,COUNTIF(J6579,"*12*")&gt;0,COUNTIF(I6579,"13*")&gt;0,COUNTIF(J6579,"*13*")&gt;0,COUNTIF(I6579,"14*")&gt;0,COUNTIF(J6579,"*14*")&gt;0,COUNTIF(I6579,"15*")&gt;0,COUNTIF(J6579,"*15*")&gt;0,COUNTIF(I6579,"16*")&gt;0,COUNTIF(J6579,"*16*")&gt;0,COUNTIF(I6579,"17*")&gt;0,COUNTIF(J6579,"*17*")&gt;0,COUNTIF(I6579,"18*")&gt;0,COUNTIF(J6579,"*18*")&gt;0,COUNTIF(I6579,"19*")&gt;0,COUNTIF(J6579,"*19*")&gt;0,COUNTIF(I6579,"20*")&gt;0,COUNTIF(J6579,"*20*")&gt;0,COUNTIF(I6579,"21*")&gt;0,COUNTIF(J6579,"*21*")&gt;0,COUNTIF(I6579,"22*")&gt;0,COUNTIF(J6579,"*22*")&gt;0,COUNTIF(I6579,"23*")&gt;0,COUNTIF(J6579,"*23*")&gt;0,COUNTIF(I6579,"24*")&gt;0,COUNTIF(J6579,"*24*")&gt;0,COUNTIF(I6579,"25*")&gt;0,COUNTIF(J6579,"*25*")&gt;0,COUNTIF(I6579,"26*")&gt;0,COUNTIF(J6579,"*26*")&gt;0,COUNTIF(I6579,"27*")&gt;0,COUNTIF(J6579,"*27*")&gt;0,COUNTIF(I6579,"28*")&gt;0,COUNTIF(J6579,"*28*")&gt;0,COUNTIF(I6579,"29*")&gt;0,COUNTIF(J6579,"*29*")&gt;0,COUNTIF(I6579,"30*")&gt;0,COUNTIF(J6579,"*30*")&gt;0,COUNTIF(I6579,"31*")&gt;0,COUNTIF(J6579,"*31*")&gt;0,COUNTIF(I6579,"32*")&gt;0,COUNTIF(J6579,"*32*")&gt;0,COUNTIF(I6579,"33*")&gt;0,COUNTIF(J6579,"*33*")&gt;0,COUNTIF(I6579,"41*")&gt;0,COUNTIF(J6579,"*41*")&gt;0,COUNTIF(I6579,"42*")&gt;0,COUNTIF(J6579,"*42*")&gt;0,COUNTIF(I6579,"43*")&gt;0,COUNTIF(J6579,"*43*")&gt;0,COUNTIF(I6579,"49*")&gt;0,COUNTIF(J6579,"*49*")&gt;0,COUNTIF(I6579,"52*")&gt;0,COUNTIF(J6579,"*52*")&gt;0,COUNTIF(I6579,"55*")&gt;0,COUNTIF(J6579,"*55*")&gt;0,COUNTIF(I6579,"56*")&gt;0,COUNTIF(J6579,"*56*")&gt;0,COUNTIF(I6579,"68*")&gt;0,COUNTIF(J6579,"*68*")&gt;0,COUNTIF(I6579,"78*")&gt;0,COUNTIF(J6579,"*78*")&gt;0,COUNTIF(I6579,"81*")&gt;0,COUNTIF(J6579,"*81*")&gt;0,COUNTIF(I6579,"82*")&gt;0,COUNTIF(J6579,"*82*")&gt;0,COUNTIF(I6579,"64*")&gt;0,COUNTIF(J6579,"*64*")&gt;0,COUNTIF(I6579,"65*")&gt;0,COUNTIF(J6579,"*65*")&gt;0,COUNTIF(I6579,"66*")&gt;0,COUNTIF(J6579,"*66*")&gt;0,COUNTIF(I6579,"61*")&gt;0,COUNTIF(J6579,"*61*")&gt;0,COUNTIF(I6579,"62*")&gt;0,COUNTIF(J6579,"*62*")&gt;0,COUNTIF(I6579,"63*")&gt;0,COUNTIF(J6579,"*63*")&gt;0,COUNTIF(I6579,"85*")&gt;0,COUNTIF(J6579,"*85*")&gt;0,COUNTIF(I6579,"86*")&gt;0,COUNTIF(J6579,"*86*")&gt;0),"Да","Нет"))</f>
        <v/>
      </c>
      <c r="M6579" s="13">
        <f>IF(OR(G6579="",L6579&lt;&gt;"Да"),"",IF(G6579&lt;=100,"До 100",IF(G6579&lt;=200,"До 200",IF(G6579&lt;=500,"До 500","Отдельное КП"))))</f>
        <v/>
      </c>
      <c r="N6579" s="15">
        <f>IF(OR(G6579="",L6579&lt;&gt;"Да"),"",IF(G6579&lt;=100,33600,IF(G6579&lt;=200,62400,IF(G6579&lt;=500,144000,""))))</f>
        <v/>
      </c>
      <c r="O6579" s="16">
        <f>IF(G6579="","",IF(G6579&lt;=15,"1–15",IF(G6579&lt;=30,"16–30",IF(G6579&lt;=50,"31–50",IF(G6579&lt;=100,"51–100",IF(G6579&lt;=150,"101–150",IF(G6579&lt;=200,"151–200",IF(G6579&lt;=500,"201–500","500+"))))))))</f>
        <v/>
      </c>
      <c r="P6579" s="16" t="inlineStr">
        <is>
          <t>Нет совпадения в предоставленной выгрузке ССЧР</t>
        </is>
      </c>
      <c r="Q6579" s="16" t="n"/>
      <c r="R6579" s="16">
        <f>HYPERLINK("https://checko.ru/search?query=3801001629","Чекко: проверить")</f>
        <v/>
      </c>
      <c r="S6579" t="n">
        <v>0</v>
      </c>
    </row>
    <row r="6580" ht="15" customHeight="1" s="24">
      <c r="A6580" s="13" t="inlineStr">
        <is>
          <t>FR1008426</t>
        </is>
      </c>
      <c r="B6580" s="13" t="inlineStr">
        <is>
          <t xml:space="preserve"> "АВТОДОМ"</t>
        </is>
      </c>
      <c r="C6580" s="13" t="inlineStr">
        <is>
          <t>3808289082, на почту напр 22.06</t>
        </is>
      </c>
      <c r="D6580" s="13" t="inlineStr">
        <is>
          <t>3808289082</t>
        </is>
      </c>
      <c r="E6580" s="13" t="inlineStr">
        <is>
          <t>ЮЛ РФ</t>
        </is>
      </c>
      <c r="F6580" s="13" t="inlineStr">
        <is>
          <t>на почту напр 22.06</t>
        </is>
      </c>
      <c r="G6580" s="52" t="n">
        <v>1</v>
      </c>
      <c r="H6580" s="52" t="n">
        <v>2025</v>
      </c>
      <c r="I6580" s="14" t="n"/>
      <c r="J6580" s="14" t="n"/>
      <c r="K6580" s="53" t="inlineStr">
        <is>
          <t>Нет</t>
        </is>
      </c>
      <c r="L6580" s="53" t="inlineStr">
        <is>
          <t>Не определено</t>
        </is>
      </c>
      <c r="M6580" s="53" t="inlineStr">
        <is>
          <t>До 10</t>
        </is>
      </c>
      <c r="N6580" s="54" t="n">
        <v>3360</v>
      </c>
      <c r="O6580" s="55" t="inlineStr">
        <is>
          <t>1–15</t>
        </is>
      </c>
      <c r="P6580" s="16" t="inlineStr">
        <is>
          <t>ССЧР обогащена; ОКВЭД не найден/не загружен</t>
        </is>
      </c>
      <c r="Q6580" s="16" t="inlineStr">
        <is>
          <t>ФНС открытые данные ССЧР (ДатаСост 31.12.2025; набор 7707329152-sshr2019)</t>
        </is>
      </c>
      <c r="R6580" s="16">
        <f>HYPERLINK("https://checko.ru/search?query=3801001629","Чекко: проверить")</f>
        <v/>
      </c>
      <c r="S6580" t="n">
        <v>1</v>
      </c>
      <c r="T6580" s="35" t="inlineStr">
        <is>
          <t>4 — Не обогащён</t>
        </is>
      </c>
      <c r="U6580" s="35" t="inlineStr">
        <is>
          <t>Нет ОКВЭД/ССЧР</t>
        </is>
      </c>
      <c r="V6580" s="35" t="inlineStr">
        <is>
          <t>Не определено</t>
        </is>
      </c>
      <c r="W6580" s="35" t="inlineStr">
        <is>
          <t>Нет</t>
        </is>
      </c>
      <c r="X6580" s="35" t="inlineStr"/>
    </row>
    <row r="6581" ht="15" customHeight="1" s="24">
      <c r="A6581" s="13" t="inlineStr">
        <is>
          <t>FR1216708</t>
        </is>
      </c>
      <c r="B6581" s="13" t="inlineStr">
        <is>
          <t>ФЛ Моркель Светлана Валентиновна</t>
        </is>
      </c>
      <c r="C6581" s="13" t="inlineStr">
        <is>
          <t>381251786670 ликвидировано</t>
        </is>
      </c>
      <c r="D6581" s="13" t="inlineStr">
        <is>
          <t>381251786670</t>
        </is>
      </c>
      <c r="E6581" s="13" t="inlineStr">
        <is>
          <t>ИП РФ / физлицо</t>
        </is>
      </c>
      <c r="F6581" s="13" t="inlineStr">
        <is>
          <t>ликвидировано</t>
        </is>
      </c>
      <c r="G6581" s="14" t="n"/>
      <c r="H6581" s="14" t="n"/>
      <c r="I6581" s="14" t="n"/>
      <c r="J6581" s="14" t="n"/>
      <c r="K6581" s="53" t="inlineStr"/>
      <c r="L6581" s="53" t="inlineStr">
        <is>
          <t>Не определено</t>
        </is>
      </c>
      <c r="M6581" s="53" t="inlineStr"/>
      <c r="N6581" s="54" t="inlineStr"/>
      <c r="O6581" s="55" t="inlineStr"/>
      <c r="P6581" s="16" t="inlineStr">
        <is>
          <t>Требует обогащения</t>
        </is>
      </c>
      <c r="Q6581" s="16">
        <f>HYPERLINK("https://pb.nalog.ru/search.html?query=381251786670","ФНС: проверить")</f>
        <v/>
      </c>
      <c r="R6581" s="16">
        <f>HYPERLINK("https://checko.ru/search?query=3801001629","Чекко: проверить")</f>
        <v/>
      </c>
      <c r="S6581" t="n">
        <v>1</v>
      </c>
      <c r="T6581" s="35" t="inlineStr">
        <is>
          <t>4 — Не обогащён</t>
        </is>
      </c>
      <c r="U6581" s="35" t="inlineStr">
        <is>
          <t>Нет ОКВЭД/ССЧР</t>
        </is>
      </c>
      <c r="V6581" s="35" t="inlineStr">
        <is>
          <t>Не определено</t>
        </is>
      </c>
      <c r="W6581" s="35" t="inlineStr"/>
      <c r="X6581" s="35" t="inlineStr"/>
    </row>
    <row r="6582" ht="15" customHeight="1" s="24">
      <c r="A6582" s="13" t="inlineStr">
        <is>
          <t>FR1204282</t>
        </is>
      </c>
      <c r="B6582" s="13" t="inlineStr">
        <is>
          <t>ИП Ильюшина Ирина Михайловна</t>
        </is>
      </c>
      <c r="C6582" s="13" t="inlineStr">
        <is>
          <t>143408405543 не тот оквед</t>
        </is>
      </c>
      <c r="D6582" s="13" t="inlineStr">
        <is>
          <t>143408405543</t>
        </is>
      </c>
      <c r="E6582" s="13" t="inlineStr">
        <is>
          <t>ИП РФ / физлицо</t>
        </is>
      </c>
      <c r="F6582" s="13" t="inlineStr">
        <is>
          <t>не тот оквед</t>
        </is>
      </c>
      <c r="G6582" s="14" t="n"/>
      <c r="H6582" s="14" t="n"/>
      <c r="I6582" s="14" t="n"/>
      <c r="J6582" s="14" t="n"/>
      <c r="K6582" s="53" t="inlineStr"/>
      <c r="L6582" s="53" t="inlineStr">
        <is>
          <t>Не определено</t>
        </is>
      </c>
      <c r="M6582" s="53" t="inlineStr"/>
      <c r="N6582" s="54" t="inlineStr"/>
      <c r="O6582" s="55" t="inlineStr"/>
      <c r="P6582" s="16" t="inlineStr">
        <is>
          <t>Требует обогащения</t>
        </is>
      </c>
      <c r="Q6582" s="16">
        <f>HYPERLINK("https://pb.nalog.ru/search.html?query=143408405543","ФНС: проверить")</f>
        <v/>
      </c>
      <c r="R6582" s="16">
        <f>HYPERLINK("https://checko.ru/search?query=3801001629","Чекко: проверить")</f>
        <v/>
      </c>
      <c r="S6582" t="n">
        <v>1</v>
      </c>
      <c r="T6582" s="35" t="inlineStr">
        <is>
          <t>4 — Не обогащён</t>
        </is>
      </c>
      <c r="U6582" s="35" t="inlineStr">
        <is>
          <t>Нет ОКВЭД/ССЧР</t>
        </is>
      </c>
      <c r="V6582" s="35" t="inlineStr">
        <is>
          <t>Не определено</t>
        </is>
      </c>
      <c r="W6582" s="35" t="inlineStr"/>
      <c r="X6582" s="35" t="inlineStr"/>
    </row>
    <row r="6583" ht="15" customHeight="1" s="24">
      <c r="A6583" s="13" t="inlineStr">
        <is>
          <t>FR265852</t>
        </is>
      </c>
      <c r="B6583" s="13" t="inlineStr">
        <is>
          <t>"СОВЕТСКАЯ АПТЕКА-38"</t>
        </is>
      </c>
      <c r="C6583" s="13" t="inlineStr">
        <is>
          <t>3801151590, не нужно эпд</t>
        </is>
      </c>
      <c r="D6583" s="13" t="inlineStr">
        <is>
          <t>3801151590</t>
        </is>
      </c>
      <c r="E6583" s="13" t="inlineStr">
        <is>
          <t>ЮЛ РФ</t>
        </is>
      </c>
      <c r="F6583" s="13" t="inlineStr">
        <is>
          <t>не нужно эпд</t>
        </is>
      </c>
      <c r="G6583" s="52" t="n">
        <v>1</v>
      </c>
      <c r="H6583" s="52" t="n">
        <v>2025</v>
      </c>
      <c r="I6583" s="14" t="n"/>
      <c r="J6583" s="14" t="n"/>
      <c r="K6583" s="53" t="inlineStr">
        <is>
          <t>Нет</t>
        </is>
      </c>
      <c r="L6583" s="53" t="inlineStr">
        <is>
          <t>Не определено</t>
        </is>
      </c>
      <c r="M6583" s="53" t="inlineStr">
        <is>
          <t>До 10</t>
        </is>
      </c>
      <c r="N6583" s="54" t="n">
        <v>3360</v>
      </c>
      <c r="O6583" s="55" t="inlineStr">
        <is>
          <t>1–15</t>
        </is>
      </c>
      <c r="P6583" s="16" t="inlineStr">
        <is>
          <t>ССЧР обогащена; ОКВЭД не найден/не загружен</t>
        </is>
      </c>
      <c r="Q6583" s="16" t="inlineStr">
        <is>
          <t>ФНС открытые данные ССЧР (ДатаСост 31.12.2025; набор 7707329152-sshr2019)</t>
        </is>
      </c>
      <c r="R6583" s="16">
        <f>HYPERLINK("https://checko.ru/search?query=3801001629","Чекко: проверить")</f>
        <v/>
      </c>
      <c r="S6583" t="n">
        <v>1</v>
      </c>
      <c r="T6583" s="35" t="inlineStr">
        <is>
          <t>4 — Не обогащён</t>
        </is>
      </c>
      <c r="U6583" s="35" t="inlineStr">
        <is>
          <t>Нет ОКВЭД/ССЧР</t>
        </is>
      </c>
      <c r="V6583" s="35" t="inlineStr">
        <is>
          <t>Не определено</t>
        </is>
      </c>
      <c r="W6583" s="35" t="inlineStr">
        <is>
          <t>Нет</t>
        </is>
      </c>
      <c r="X6583" s="35" t="inlineStr"/>
    </row>
    <row r="6584" ht="15" customHeight="1" s="24">
      <c r="A6584" s="13" t="inlineStr">
        <is>
          <t>FR34451</t>
        </is>
      </c>
      <c r="B6584" s="13" t="inlineStr">
        <is>
          <t>ООО "ОПЕРАТИВНАЯ ПЕЧАТЬ"</t>
        </is>
      </c>
      <c r="C6584" s="13" t="inlineStr">
        <is>
          <t>9721199526 ндз1 ндз2 ндз3</t>
        </is>
      </c>
      <c r="D6584" s="13" t="inlineStr">
        <is>
          <t>9721199526</t>
        </is>
      </c>
      <c r="E6584" s="13" t="inlineStr">
        <is>
          <t>ЮЛ РФ</t>
        </is>
      </c>
      <c r="F6584" s="13" t="inlineStr">
        <is>
          <t>ндз1 ндз2 ндз3</t>
        </is>
      </c>
      <c r="G6584" s="52" t="n">
        <v>4</v>
      </c>
      <c r="H6584" s="52" t="n">
        <v>2025</v>
      </c>
      <c r="I6584" s="14" t="n"/>
      <c r="J6584" s="14" t="n"/>
      <c r="K6584" s="53" t="inlineStr">
        <is>
          <t>Нет</t>
        </is>
      </c>
      <c r="L6584" s="53" t="inlineStr">
        <is>
          <t>Не определено</t>
        </is>
      </c>
      <c r="M6584" s="53" t="inlineStr">
        <is>
          <t>До 10</t>
        </is>
      </c>
      <c r="N6584" s="54" t="n">
        <v>3360</v>
      </c>
      <c r="O6584" s="55" t="inlineStr">
        <is>
          <t>1–15</t>
        </is>
      </c>
      <c r="P6584" s="16" t="inlineStr">
        <is>
          <t>ССЧР обогащена; ОКВЭД не найден/не загружен</t>
        </is>
      </c>
      <c r="Q6584" s="16" t="inlineStr">
        <is>
          <t>ФНС открытые данные ССЧР (ДатаСост 31.12.2025; набор 7707329152-sshr2019)</t>
        </is>
      </c>
      <c r="R6584" s="16">
        <f>HYPERLINK("https://checko.ru/search?query=3801001629","Чекко: проверить")</f>
        <v/>
      </c>
      <c r="S6584" t="n">
        <v>1</v>
      </c>
      <c r="T6584" s="35" t="inlineStr">
        <is>
          <t>4 — Не обогащён</t>
        </is>
      </c>
      <c r="U6584" s="35" t="inlineStr">
        <is>
          <t>Нет ОКВЭД/ССЧР</t>
        </is>
      </c>
      <c r="V6584" s="35" t="inlineStr">
        <is>
          <t>Не определено</t>
        </is>
      </c>
      <c r="W6584" s="35" t="inlineStr">
        <is>
          <t>Нет</t>
        </is>
      </c>
      <c r="X6584" s="35" t="inlineStr"/>
    </row>
    <row r="6585" ht="15" customHeight="1" s="24">
      <c r="A6585" s="13" t="inlineStr">
        <is>
          <t>FR840378</t>
        </is>
      </c>
      <c r="B6585" s="13" t="inlineStr">
        <is>
          <t>ИП Готовский Иван Сергеевич</t>
        </is>
      </c>
      <c r="C6585" s="13" t="inlineStr">
        <is>
          <t>381251190693 ликвидировано</t>
        </is>
      </c>
      <c r="D6585" s="13" t="inlineStr">
        <is>
          <t>381251190693</t>
        </is>
      </c>
      <c r="E6585" s="13" t="inlineStr">
        <is>
          <t>ИП РФ / физлицо</t>
        </is>
      </c>
      <c r="F6585" s="13" t="inlineStr">
        <is>
          <t>ликвидировано</t>
        </is>
      </c>
      <c r="G6585" s="14" t="n"/>
      <c r="H6585" s="14" t="n"/>
      <c r="I6585" s="14" t="n"/>
      <c r="J6585" s="14" t="n"/>
      <c r="K6585" s="53" t="inlineStr"/>
      <c r="L6585" s="53" t="inlineStr">
        <is>
          <t>Не определено</t>
        </is>
      </c>
      <c r="M6585" s="53" t="inlineStr"/>
      <c r="N6585" s="54" t="inlineStr"/>
      <c r="O6585" s="55" t="inlineStr"/>
      <c r="P6585" s="16" t="inlineStr">
        <is>
          <t>Требует обогащения</t>
        </is>
      </c>
      <c r="Q6585" s="16">
        <f>HYPERLINK("https://pb.nalog.ru/search.html?query=381251190693","ФНС: проверить")</f>
        <v/>
      </c>
      <c r="R6585" s="16">
        <f>HYPERLINK("https://checko.ru/search?query=3801001629","Чекко: проверить")</f>
        <v/>
      </c>
      <c r="S6585" t="n">
        <v>1</v>
      </c>
      <c r="T6585" s="35" t="inlineStr">
        <is>
          <t>4 — Не обогащён</t>
        </is>
      </c>
      <c r="U6585" s="35" t="inlineStr">
        <is>
          <t>Нет ОКВЭД/ССЧР</t>
        </is>
      </c>
      <c r="V6585" s="35" t="inlineStr">
        <is>
          <t>Не определено</t>
        </is>
      </c>
      <c r="W6585" s="35" t="inlineStr"/>
      <c r="X6585" s="35" t="inlineStr"/>
    </row>
    <row r="6586" ht="15" customHeight="1" s="24">
      <c r="A6586" s="13" t="inlineStr">
        <is>
          <t>FR824273</t>
        </is>
      </c>
      <c r="B6586" s="13" t="inlineStr">
        <is>
          <t>ООО "СБС"</t>
        </is>
      </c>
      <c r="C6586" s="13" t="inlineStr">
        <is>
          <t>3849094371, нет этрн</t>
        </is>
      </c>
      <c r="D6586" s="13" t="inlineStr">
        <is>
          <t>3849094371</t>
        </is>
      </c>
      <c r="E6586" s="13" t="inlineStr">
        <is>
          <t>ЮЛ РФ</t>
        </is>
      </c>
      <c r="F6586" s="13" t="inlineStr">
        <is>
          <t>нет этрн</t>
        </is>
      </c>
      <c r="G6586" s="52" t="n">
        <v>0</v>
      </c>
      <c r="H6586" s="52" t="n">
        <v>2025</v>
      </c>
      <c r="I6586" s="14" t="n"/>
      <c r="J6586" s="14" t="n"/>
      <c r="K6586" s="53" t="inlineStr">
        <is>
          <t>Нет</t>
        </is>
      </c>
      <c r="L6586" s="53" t="inlineStr">
        <is>
          <t>Не определено</t>
        </is>
      </c>
      <c r="M6586" s="53" t="inlineStr">
        <is>
          <t>До 10</t>
        </is>
      </c>
      <c r="N6586" s="54" t="n">
        <v>3360</v>
      </c>
      <c r="O6586" s="55" t="inlineStr">
        <is>
          <t>1–15</t>
        </is>
      </c>
      <c r="P6586" s="16" t="inlineStr">
        <is>
          <t>ССЧР обогащена; ОКВЭД не найден/не загружен</t>
        </is>
      </c>
      <c r="Q6586" s="16" t="inlineStr">
        <is>
          <t>ФНС открытые данные ССЧР (ДатаСост 31.12.2025; набор 7707329152-sshr2019)</t>
        </is>
      </c>
      <c r="R6586" s="16">
        <f>HYPERLINK("https://checko.ru/search?query=3801001629","Чекко: проверить")</f>
        <v/>
      </c>
      <c r="S6586" t="n">
        <v>1</v>
      </c>
      <c r="T6586" s="35" t="inlineStr">
        <is>
          <t>4 — Не обогащён</t>
        </is>
      </c>
      <c r="U6586" s="35" t="inlineStr">
        <is>
          <t>Нет ОКВЭД/ССЧР</t>
        </is>
      </c>
      <c r="V6586" s="35" t="inlineStr">
        <is>
          <t>Не определено</t>
        </is>
      </c>
      <c r="W6586" s="35" t="inlineStr">
        <is>
          <t>Нет</t>
        </is>
      </c>
      <c r="X6586" s="35" t="inlineStr"/>
    </row>
    <row r="6587" ht="15" customHeight="1" s="24">
      <c r="A6587" s="13" t="inlineStr">
        <is>
          <t>FR1206382</t>
        </is>
      </c>
      <c r="B6587" s="13" t="inlineStr">
        <is>
          <t>ИП Гайденко Александр Григорьевич</t>
        </is>
      </c>
      <c r="C6587" s="13" t="inlineStr">
        <is>
          <t>32357009379 не польз этрн</t>
        </is>
      </c>
      <c r="D6587" s="13" t="n"/>
      <c r="E6587" s="13" t="inlineStr">
        <is>
          <t>Не определён</t>
        </is>
      </c>
      <c r="F6587" s="13" t="inlineStr">
        <is>
          <t>не польз этрн</t>
        </is>
      </c>
      <c r="G6587" s="14" t="n"/>
      <c r="H6587" s="14" t="n"/>
      <c r="I6587" s="14" t="n"/>
      <c r="J6587" s="14" t="n"/>
      <c r="K6587" s="13">
        <f>IF(G6587="","",IF(G6587&gt;=22,"Да","Нет"))</f>
        <v/>
      </c>
      <c r="L6587" s="13">
        <f>IF(OR(I6587="",J6587=""),"Не определено",IF(OR(COUNTIF(I6587,"45*")&gt;0,COUNTIF(J6587,"*45*")&gt;0,COUNTIF(I6587,"46*")&gt;0,COUNTIF(J6587,"*46*")&gt;0,COUNTIF(I6587,"47*")&gt;0,COUNTIF(J6587,"*47*")&gt;0,COUNTIF(I6587,"10*")&gt;0,COUNTIF(J6587,"*10*")&gt;0,COUNTIF(I6587,"11*")&gt;0,COUNTIF(J6587,"*11*")&gt;0,COUNTIF(I6587,"12*")&gt;0,COUNTIF(J6587,"*12*")&gt;0,COUNTIF(I6587,"13*")&gt;0,COUNTIF(J6587,"*13*")&gt;0,COUNTIF(I6587,"14*")&gt;0,COUNTIF(J6587,"*14*")&gt;0,COUNTIF(I6587,"15*")&gt;0,COUNTIF(J6587,"*15*")&gt;0,COUNTIF(I6587,"16*")&gt;0,COUNTIF(J6587,"*16*")&gt;0,COUNTIF(I6587,"17*")&gt;0,COUNTIF(J6587,"*17*")&gt;0,COUNTIF(I6587,"18*")&gt;0,COUNTIF(J6587,"*18*")&gt;0,COUNTIF(I6587,"19*")&gt;0,COUNTIF(J6587,"*19*")&gt;0,COUNTIF(I6587,"20*")&gt;0,COUNTIF(J6587,"*20*")&gt;0,COUNTIF(I6587,"21*")&gt;0,COUNTIF(J6587,"*21*")&gt;0,COUNTIF(I6587,"22*")&gt;0,COUNTIF(J6587,"*22*")&gt;0,COUNTIF(I6587,"23*")&gt;0,COUNTIF(J6587,"*23*")&gt;0,COUNTIF(I6587,"24*")&gt;0,COUNTIF(J6587,"*24*")&gt;0,COUNTIF(I6587,"25*")&gt;0,COUNTIF(J6587,"*25*")&gt;0,COUNTIF(I6587,"26*")&gt;0,COUNTIF(J6587,"*26*")&gt;0,COUNTIF(I6587,"27*")&gt;0,COUNTIF(J6587,"*27*")&gt;0,COUNTIF(I6587,"28*")&gt;0,COUNTIF(J6587,"*28*")&gt;0,COUNTIF(I6587,"29*")&gt;0,COUNTIF(J6587,"*29*")&gt;0,COUNTIF(I6587,"30*")&gt;0,COUNTIF(J6587,"*30*")&gt;0,COUNTIF(I6587,"31*")&gt;0,COUNTIF(J6587,"*31*")&gt;0,COUNTIF(I6587,"32*")&gt;0,COUNTIF(J6587,"*32*")&gt;0,COUNTIF(I6587,"33*")&gt;0,COUNTIF(J6587,"*33*")&gt;0,COUNTIF(I6587,"41*")&gt;0,COUNTIF(J6587,"*41*")&gt;0,COUNTIF(I6587,"42*")&gt;0,COUNTIF(J6587,"*42*")&gt;0,COUNTIF(I6587,"43*")&gt;0,COUNTIF(J6587,"*43*")&gt;0,COUNTIF(I6587,"49*")&gt;0,COUNTIF(J6587,"*49*")&gt;0,COUNTIF(I6587,"52*")&gt;0,COUNTIF(J6587,"*52*")&gt;0,COUNTIF(I6587,"55*")&gt;0,COUNTIF(J6587,"*55*")&gt;0,COUNTIF(I6587,"56*")&gt;0,COUNTIF(J6587,"*56*")&gt;0,COUNTIF(I6587,"68*")&gt;0,COUNTIF(J6587,"*68*")&gt;0,COUNTIF(I6587,"78*")&gt;0,COUNTIF(J6587,"*78*")&gt;0,COUNTIF(I6587,"81*")&gt;0,COUNTIF(J6587,"*81*")&gt;0,COUNTIF(I6587,"82*")&gt;0,COUNTIF(J6587,"*82*")&gt;0,COUNTIF(I6587,"64*")&gt;0,COUNTIF(J6587,"*64*")&gt;0,COUNTIF(I6587,"65*")&gt;0,COUNTIF(J6587,"*65*")&gt;0,COUNTIF(I6587,"66*")&gt;0,COUNTIF(J6587,"*66*")&gt;0,COUNTIF(I6587,"61*")&gt;0,COUNTIF(J6587,"*61*")&gt;0,COUNTIF(I6587,"62*")&gt;0,COUNTIF(J6587,"*62*")&gt;0,COUNTIF(I6587,"63*")&gt;0,COUNTIF(J6587,"*63*")&gt;0,COUNTIF(I6587,"85*")&gt;0,COUNTIF(J6587,"*85*")&gt;0,COUNTIF(I6587,"86*")&gt;0,COUNTIF(J6587,"*86*")&gt;0),"Да","Нет"))</f>
        <v/>
      </c>
      <c r="M6587" s="13">
        <f>IF(OR(G6587="",L6587&lt;&gt;"Да"),"",IF(G6587&lt;=100,"До 100",IF(G6587&lt;=200,"До 200",IF(G6587&lt;=500,"До 500","Отдельное КП"))))</f>
        <v/>
      </c>
      <c r="N6587" s="15">
        <f>IF(OR(G6587="",L6587&lt;&gt;"Да"),"",IF(G6587&lt;=100,33600,IF(G6587&lt;=200,62400,IF(G6587&lt;=500,144000,""))))</f>
        <v/>
      </c>
      <c r="O6587" s="16">
        <f>IF(G6587="","",IF(G6587&lt;=15,"1–15",IF(G6587&lt;=30,"16–30",IF(G6587&lt;=50,"31–50",IF(G6587&lt;=100,"51–100",IF(G6587&lt;=150,"101–150",IF(G6587&lt;=200,"151–200",IF(G6587&lt;=500,"201–500","500+"))))))))</f>
        <v/>
      </c>
      <c r="P6587" s="16" t="inlineStr">
        <is>
          <t>Нет совпадения в предоставленной выгрузке ССЧР</t>
        </is>
      </c>
      <c r="Q6587" s="16" t="n"/>
      <c r="R6587" s="16">
        <f>HYPERLINK("https://checko.ru/search?query=3801001629","Чекко: проверить")</f>
        <v/>
      </c>
      <c r="S6587" t="n">
        <v>0</v>
      </c>
    </row>
    <row r="6588" ht="15" customHeight="1" s="24">
      <c r="A6588" s="13" t="inlineStr">
        <is>
          <t>FR674498</t>
        </is>
      </c>
      <c r="B6588" s="13" t="inlineStr">
        <is>
          <t xml:space="preserve"> "АСКА"</t>
        </is>
      </c>
      <c r="C6588" s="13" t="inlineStr">
        <is>
          <t>5903154226 ндз1 мне вообще не до вас</t>
        </is>
      </c>
      <c r="D6588" s="13" t="inlineStr">
        <is>
          <t>5903154226</t>
        </is>
      </c>
      <c r="E6588" s="13" t="inlineStr">
        <is>
          <t>ЮЛ РФ</t>
        </is>
      </c>
      <c r="F6588" s="13" t="inlineStr">
        <is>
          <t>ндз1 мне вообще не до вас</t>
        </is>
      </c>
      <c r="G6588" s="52" t="n">
        <v>2</v>
      </c>
      <c r="H6588" s="52" t="n">
        <v>2025</v>
      </c>
      <c r="I6588" s="14" t="n"/>
      <c r="J6588" s="14" t="n"/>
      <c r="K6588" s="53" t="inlineStr">
        <is>
          <t>Нет</t>
        </is>
      </c>
      <c r="L6588" s="53" t="inlineStr">
        <is>
          <t>Не определено</t>
        </is>
      </c>
      <c r="M6588" s="53" t="inlineStr">
        <is>
          <t>До 10</t>
        </is>
      </c>
      <c r="N6588" s="54" t="n">
        <v>3360</v>
      </c>
      <c r="O6588" s="55" t="inlineStr">
        <is>
          <t>1–15</t>
        </is>
      </c>
      <c r="P6588" s="16" t="inlineStr">
        <is>
          <t>ССЧР обогащена; ОКВЭД не найден/не загружен</t>
        </is>
      </c>
      <c r="Q6588" s="16" t="inlineStr">
        <is>
          <t>ФНС открытые данные ССЧР (ДатаСост 31.12.2025; набор 7707329152-sshr2019)</t>
        </is>
      </c>
      <c r="R6588" s="16">
        <f>HYPERLINK("https://checko.ru/search?query=3801001629","Чекко: проверить")</f>
        <v/>
      </c>
      <c r="S6588" t="n">
        <v>1</v>
      </c>
      <c r="T6588" s="35" t="inlineStr">
        <is>
          <t>4 — Не обогащён</t>
        </is>
      </c>
      <c r="U6588" s="35" t="inlineStr">
        <is>
          <t>Нет ОКВЭД/ССЧР</t>
        </is>
      </c>
      <c r="V6588" s="35" t="inlineStr">
        <is>
          <t>Не определено</t>
        </is>
      </c>
      <c r="W6588" s="35" t="inlineStr">
        <is>
          <t>Нет</t>
        </is>
      </c>
      <c r="X6588" s="35" t="inlineStr"/>
    </row>
    <row r="6589" ht="15" customHeight="1" s="24">
      <c r="A6589" s="13" t="inlineStr">
        <is>
          <t>FR1025680</t>
        </is>
      </c>
      <c r="B6589" s="13" t="inlineStr">
        <is>
          <t xml:space="preserve"> "АЛЬФА"</t>
        </is>
      </c>
      <c r="C6589" s="13" t="inlineStr">
        <is>
          <t>3811475723 оквед не тот</t>
        </is>
      </c>
      <c r="D6589" s="13" t="inlineStr">
        <is>
          <t>3811475723</t>
        </is>
      </c>
      <c r="E6589" s="13" t="inlineStr">
        <is>
          <t>ЮЛ РФ</t>
        </is>
      </c>
      <c r="F6589" s="13" t="inlineStr">
        <is>
          <t>оквед не тот</t>
        </is>
      </c>
      <c r="G6589" s="52" t="n">
        <v>16</v>
      </c>
      <c r="H6589" s="52" t="n">
        <v>2025</v>
      </c>
      <c r="I6589" s="14" t="n"/>
      <c r="J6589" s="14" t="n"/>
      <c r="K6589" s="53" t="inlineStr">
        <is>
          <t>Нет</t>
        </is>
      </c>
      <c r="L6589" s="53" t="inlineStr">
        <is>
          <t>Не определено</t>
        </is>
      </c>
      <c r="M6589" s="53" t="inlineStr">
        <is>
          <t>До 25</t>
        </is>
      </c>
      <c r="N6589" s="54" t="n">
        <v>8400</v>
      </c>
      <c r="O6589" s="55" t="inlineStr">
        <is>
          <t>16–30</t>
        </is>
      </c>
      <c r="P6589" s="16" t="inlineStr">
        <is>
          <t>ССЧР обогащена; ОКВЭД не найден/не загружен</t>
        </is>
      </c>
      <c r="Q6589" s="16" t="inlineStr">
        <is>
          <t>ФНС открытые данные ССЧР (ДатаСост 31.12.2025; набор 7707329152-sshr2019)</t>
        </is>
      </c>
      <c r="R6589" s="16">
        <f>HYPERLINK("https://checko.ru/search?query=3801001629","Чекко: проверить")</f>
        <v/>
      </c>
      <c r="S6589" t="n">
        <v>1</v>
      </c>
      <c r="T6589" s="35" t="inlineStr">
        <is>
          <t>4 — Не обогащён</t>
        </is>
      </c>
      <c r="U6589" s="35" t="inlineStr">
        <is>
          <t>Нет ОКВЭД/ССЧР</t>
        </is>
      </c>
      <c r="V6589" s="35" t="inlineStr">
        <is>
          <t>Не определено</t>
        </is>
      </c>
      <c r="W6589" s="35" t="inlineStr">
        <is>
          <t>Нет</t>
        </is>
      </c>
      <c r="X6589" s="35" t="inlineStr"/>
    </row>
    <row r="6590" ht="15" customHeight="1" s="24">
      <c r="A6590" s="13" t="inlineStr">
        <is>
          <t>FR1206567</t>
        </is>
      </c>
      <c r="B6590" s="13" t="inlineStr">
        <is>
          <t xml:space="preserve"> "ВИКТОРИЯ"</t>
        </is>
      </c>
      <c r="C6590" s="13" t="inlineStr">
        <is>
          <t>3849091740 оквед не тот</t>
        </is>
      </c>
      <c r="D6590" s="13" t="inlineStr">
        <is>
          <t>3849091740</t>
        </is>
      </c>
      <c r="E6590" s="13" t="inlineStr">
        <is>
          <t>ЮЛ РФ</t>
        </is>
      </c>
      <c r="F6590" s="13" t="inlineStr">
        <is>
          <t>оквед не тот</t>
        </is>
      </c>
      <c r="G6590" s="52" t="n">
        <v>6</v>
      </c>
      <c r="H6590" s="52" t="n">
        <v>2025</v>
      </c>
      <c r="I6590" s="14" t="n"/>
      <c r="J6590" s="14" t="n"/>
      <c r="K6590" s="53" t="inlineStr">
        <is>
          <t>Нет</t>
        </is>
      </c>
      <c r="L6590" s="53" t="inlineStr">
        <is>
          <t>Не определено</t>
        </is>
      </c>
      <c r="M6590" s="53" t="inlineStr">
        <is>
          <t>До 10</t>
        </is>
      </c>
      <c r="N6590" s="54" t="n">
        <v>3360</v>
      </c>
      <c r="O6590" s="55" t="inlineStr">
        <is>
          <t>1–15</t>
        </is>
      </c>
      <c r="P6590" s="16" t="inlineStr">
        <is>
          <t>ССЧР обогащена; ОКВЭД не найден/не загружен</t>
        </is>
      </c>
      <c r="Q6590" s="16" t="inlineStr">
        <is>
          <t>ФНС открытые данные ССЧР (ДатаСост 31.12.2025; набор 7707329152-sshr2019)</t>
        </is>
      </c>
      <c r="R6590" s="16">
        <f>HYPERLINK("https://checko.ru/search?query=3801001629","Чекко: проверить")</f>
        <v/>
      </c>
      <c r="S6590" t="n">
        <v>1</v>
      </c>
      <c r="T6590" s="35" t="inlineStr">
        <is>
          <t>4 — Не обогащён</t>
        </is>
      </c>
      <c r="U6590" s="35" t="inlineStr">
        <is>
          <t>Нет ОКВЭД/ССЧР</t>
        </is>
      </c>
      <c r="V6590" s="35" t="inlineStr">
        <is>
          <t>Не определено</t>
        </is>
      </c>
      <c r="W6590" s="35" t="inlineStr">
        <is>
          <t>Нет</t>
        </is>
      </c>
      <c r="X6590" s="35" t="inlineStr"/>
    </row>
    <row r="6591" ht="15" customHeight="1" s="24">
      <c r="A6591" s="13" t="inlineStr">
        <is>
          <t>FR529539</t>
        </is>
      </c>
      <c r="B6591" s="13" t="inlineStr">
        <is>
          <t xml:space="preserve"> "КОЛИБРИ"</t>
        </is>
      </c>
      <c r="C6591" s="13" t="inlineStr">
        <is>
          <t>3849065116, не нужно эпд самовывоз</t>
        </is>
      </c>
      <c r="D6591" s="13" t="inlineStr">
        <is>
          <t>3849065116</t>
        </is>
      </c>
      <c r="E6591" s="13" t="inlineStr">
        <is>
          <t>ЮЛ РФ</t>
        </is>
      </c>
      <c r="F6591" s="13" t="inlineStr">
        <is>
          <t>не нужно эпд самовывоз</t>
        </is>
      </c>
      <c r="G6591" s="52" t="n">
        <v>2</v>
      </c>
      <c r="H6591" s="52" t="n">
        <v>2025</v>
      </c>
      <c r="I6591" s="14" t="n"/>
      <c r="J6591" s="14" t="n"/>
      <c r="K6591" s="53" t="inlineStr">
        <is>
          <t>Нет</t>
        </is>
      </c>
      <c r="L6591" s="53" t="inlineStr">
        <is>
          <t>Не определено</t>
        </is>
      </c>
      <c r="M6591" s="53" t="inlineStr">
        <is>
          <t>До 10</t>
        </is>
      </c>
      <c r="N6591" s="54" t="n">
        <v>3360</v>
      </c>
      <c r="O6591" s="55" t="inlineStr">
        <is>
          <t>1–15</t>
        </is>
      </c>
      <c r="P6591" s="16" t="inlineStr">
        <is>
          <t>ССЧР обогащена; ОКВЭД не найден/не загружен</t>
        </is>
      </c>
      <c r="Q6591" s="16" t="inlineStr">
        <is>
          <t>ФНС открытые данные ССЧР (ДатаСост 31.12.2025; набор 7707329152-sshr2019)</t>
        </is>
      </c>
      <c r="R6591" s="16">
        <f>HYPERLINK("https://checko.ru/search?query=3801001629","Чекко: проверить")</f>
        <v/>
      </c>
      <c r="S6591" t="n">
        <v>1</v>
      </c>
      <c r="T6591" s="35" t="inlineStr">
        <is>
          <t>4 — Не обогащён</t>
        </is>
      </c>
      <c r="U6591" s="35" t="inlineStr">
        <is>
          <t>Нет ОКВЭД/ССЧР</t>
        </is>
      </c>
      <c r="V6591" s="35" t="inlineStr">
        <is>
          <t>Не определено</t>
        </is>
      </c>
      <c r="W6591" s="35" t="inlineStr">
        <is>
          <t>Нет</t>
        </is>
      </c>
      <c r="X6591" s="35" t="inlineStr"/>
    </row>
    <row r="6592" ht="27.75" customHeight="1" s="24">
      <c r="A6592" s="13" t="inlineStr">
        <is>
          <t>FR1020747</t>
        </is>
      </c>
      <c r="B6592" s="13" t="inlineStr">
        <is>
          <t>ООО "Надежда"</t>
        </is>
      </c>
      <c r="C6592" s="13" t="inlineStr">
        <is>
          <t>3820011125, эпд не нужно не исп накладные</t>
        </is>
      </c>
      <c r="D6592" s="13" t="inlineStr">
        <is>
          <t>3820011125</t>
        </is>
      </c>
      <c r="E6592" s="13" t="inlineStr">
        <is>
          <t>ЮЛ РФ</t>
        </is>
      </c>
      <c r="F6592" s="13" t="inlineStr">
        <is>
          <t>эпд не нужно не исп накладные</t>
        </is>
      </c>
      <c r="G6592" s="52" t="n">
        <v>9</v>
      </c>
      <c r="H6592" s="52" t="n">
        <v>2025</v>
      </c>
      <c r="I6592" s="14" t="n"/>
      <c r="J6592" s="14" t="n"/>
      <c r="K6592" s="53" t="inlineStr">
        <is>
          <t>Нет</t>
        </is>
      </c>
      <c r="L6592" s="53" t="inlineStr">
        <is>
          <t>Не определено</t>
        </is>
      </c>
      <c r="M6592" s="53" t="inlineStr">
        <is>
          <t>До 10</t>
        </is>
      </c>
      <c r="N6592" s="54" t="n">
        <v>3360</v>
      </c>
      <c r="O6592" s="55" t="inlineStr">
        <is>
          <t>1–15</t>
        </is>
      </c>
      <c r="P6592" s="16" t="inlineStr">
        <is>
          <t>ССЧР обогащена; ОКВЭД не найден/не загружен</t>
        </is>
      </c>
      <c r="Q6592" s="16" t="inlineStr">
        <is>
          <t>ФНС открытые данные ССЧР (ДатаСост 31.12.2025; набор 7707329152-sshr2019)</t>
        </is>
      </c>
      <c r="R6592" s="16">
        <f>HYPERLINK("https://checko.ru/search?query=3801001629","Чекко: проверить")</f>
        <v/>
      </c>
      <c r="S6592" t="n">
        <v>1</v>
      </c>
      <c r="T6592" s="35" t="inlineStr">
        <is>
          <t>4 — Не обогащён</t>
        </is>
      </c>
      <c r="U6592" s="35" t="inlineStr">
        <is>
          <t>Нет ОКВЭД/ССЧР</t>
        </is>
      </c>
      <c r="V6592" s="35" t="inlineStr">
        <is>
          <t>Не определено</t>
        </is>
      </c>
      <c r="W6592" s="35" t="inlineStr">
        <is>
          <t>Нет</t>
        </is>
      </c>
      <c r="X6592" s="35" t="inlineStr"/>
    </row>
    <row r="6593" ht="15" customHeight="1" s="24">
      <c r="A6593" s="13" t="n"/>
      <c r="B6593" s="13" t="n"/>
      <c r="C6593" s="13" t="n"/>
      <c r="D6593" s="13" t="n"/>
      <c r="E6593" s="13" t="inlineStr">
        <is>
          <t>Не определён</t>
        </is>
      </c>
      <c r="F6593" s="13" t="n"/>
      <c r="G6593" s="14" t="n"/>
      <c r="H6593" s="14" t="n"/>
      <c r="I6593" s="14" t="n"/>
      <c r="J6593" s="14" t="n"/>
      <c r="K6593" s="13">
        <f>IF(G6593="","",IF(G6593&gt;=22,"Да","Нет"))</f>
        <v/>
      </c>
      <c r="L6593" s="13">
        <f>IF(OR(I6593="",J6593=""),"Не определено",IF(OR(COUNTIF(I6593,"45*")&gt;0,COUNTIF(J6593,"*45*")&gt;0,COUNTIF(I6593,"46*")&gt;0,COUNTIF(J6593,"*46*")&gt;0,COUNTIF(I6593,"47*")&gt;0,COUNTIF(J6593,"*47*")&gt;0,COUNTIF(I6593,"10*")&gt;0,COUNTIF(J6593,"*10*")&gt;0,COUNTIF(I6593,"11*")&gt;0,COUNTIF(J6593,"*11*")&gt;0,COUNTIF(I6593,"12*")&gt;0,COUNTIF(J6593,"*12*")&gt;0,COUNTIF(I6593,"13*")&gt;0,COUNTIF(J6593,"*13*")&gt;0,COUNTIF(I6593,"14*")&gt;0,COUNTIF(J6593,"*14*")&gt;0,COUNTIF(I6593,"15*")&gt;0,COUNTIF(J6593,"*15*")&gt;0,COUNTIF(I6593,"16*")&gt;0,COUNTIF(J6593,"*16*")&gt;0,COUNTIF(I6593,"17*")&gt;0,COUNTIF(J6593,"*17*")&gt;0,COUNTIF(I6593,"18*")&gt;0,COUNTIF(J6593,"*18*")&gt;0,COUNTIF(I6593,"19*")&gt;0,COUNTIF(J6593,"*19*")&gt;0,COUNTIF(I6593,"20*")&gt;0,COUNTIF(J6593,"*20*")&gt;0,COUNTIF(I6593,"21*")&gt;0,COUNTIF(J6593,"*21*")&gt;0,COUNTIF(I6593,"22*")&gt;0,COUNTIF(J6593,"*22*")&gt;0,COUNTIF(I6593,"23*")&gt;0,COUNTIF(J6593,"*23*")&gt;0,COUNTIF(I6593,"24*")&gt;0,COUNTIF(J6593,"*24*")&gt;0,COUNTIF(I6593,"25*")&gt;0,COUNTIF(J6593,"*25*")&gt;0,COUNTIF(I6593,"26*")&gt;0,COUNTIF(J6593,"*26*")&gt;0,COUNTIF(I6593,"27*")&gt;0,COUNTIF(J6593,"*27*")&gt;0,COUNTIF(I6593,"28*")&gt;0,COUNTIF(J6593,"*28*")&gt;0,COUNTIF(I6593,"29*")&gt;0,COUNTIF(J6593,"*29*")&gt;0,COUNTIF(I6593,"30*")&gt;0,COUNTIF(J6593,"*30*")&gt;0,COUNTIF(I6593,"31*")&gt;0,COUNTIF(J6593,"*31*")&gt;0,COUNTIF(I6593,"32*")&gt;0,COUNTIF(J6593,"*32*")&gt;0,COUNTIF(I6593,"33*")&gt;0,COUNTIF(J6593,"*33*")&gt;0,COUNTIF(I6593,"41*")&gt;0,COUNTIF(J6593,"*41*")&gt;0,COUNTIF(I6593,"42*")&gt;0,COUNTIF(J6593,"*42*")&gt;0,COUNTIF(I6593,"43*")&gt;0,COUNTIF(J6593,"*43*")&gt;0,COUNTIF(I6593,"49*")&gt;0,COUNTIF(J6593,"*49*")&gt;0,COUNTIF(I6593,"52*")&gt;0,COUNTIF(J6593,"*52*")&gt;0,COUNTIF(I6593,"55*")&gt;0,COUNTIF(J6593,"*55*")&gt;0,COUNTIF(I6593,"56*")&gt;0,COUNTIF(J6593,"*56*")&gt;0,COUNTIF(I6593,"68*")&gt;0,COUNTIF(J6593,"*68*")&gt;0,COUNTIF(I6593,"78*")&gt;0,COUNTIF(J6593,"*78*")&gt;0,COUNTIF(I6593,"81*")&gt;0,COUNTIF(J6593,"*81*")&gt;0,COUNTIF(I6593,"82*")&gt;0,COUNTIF(J6593,"*82*")&gt;0,COUNTIF(I6593,"64*")&gt;0,COUNTIF(J6593,"*64*")&gt;0,COUNTIF(I6593,"65*")&gt;0,COUNTIF(J6593,"*65*")&gt;0,COUNTIF(I6593,"66*")&gt;0,COUNTIF(J6593,"*66*")&gt;0,COUNTIF(I6593,"61*")&gt;0,COUNTIF(J6593,"*61*")&gt;0,COUNTIF(I6593,"62*")&gt;0,COUNTIF(J6593,"*62*")&gt;0,COUNTIF(I6593,"63*")&gt;0,COUNTIF(J6593,"*63*")&gt;0,COUNTIF(I6593,"85*")&gt;0,COUNTIF(J6593,"*85*")&gt;0,COUNTIF(I6593,"86*")&gt;0,COUNTIF(J6593,"*86*")&gt;0),"Да","Нет"))</f>
        <v/>
      </c>
      <c r="M6593" s="13">
        <f>IF(OR(G6593="",L6593&lt;&gt;"Да"),"",IF(G6593&lt;=100,"До 100",IF(G6593&lt;=200,"До 200",IF(G6593&lt;=500,"До 500","Отдельное КП"))))</f>
        <v/>
      </c>
      <c r="N6593" s="15">
        <f>IF(OR(G6593="",L6593&lt;&gt;"Да"),"",IF(G6593&lt;=100,33600,IF(G6593&lt;=200,62400,IF(G6593&lt;=500,144000,""))))</f>
        <v/>
      </c>
      <c r="O6593" s="16">
        <f>IF(G6593="","",IF(G6593&lt;=15,"1–15",IF(G6593&lt;=30,"16–30",IF(G6593&lt;=50,"31–50",IF(G6593&lt;=100,"51–100",IF(G6593&lt;=150,"101–150",IF(G6593&lt;=200,"151–200",IF(G6593&lt;=500,"201–500","500+"))))))))</f>
        <v/>
      </c>
      <c r="P6593" s="16" t="inlineStr">
        <is>
          <t>Нет совпадения в предоставленной выгрузке ССЧР</t>
        </is>
      </c>
      <c r="Q6593" s="16" t="n"/>
      <c r="R6593" s="16">
        <f>HYPERLINK("https://checko.ru/search?query=3801001629","Чекко: проверить")</f>
        <v/>
      </c>
      <c r="S6593" t="n">
        <v>0</v>
      </c>
    </row>
    <row r="6594" ht="15" customHeight="1" s="24">
      <c r="A6594" s="13" t="inlineStr">
        <is>
          <t>FR532980</t>
        </is>
      </c>
      <c r="B6594" s="13" t="inlineStr">
        <is>
          <t xml:space="preserve"> "ПРАДО БАЙКАЛ"</t>
        </is>
      </c>
      <c r="C6594" s="13" t="inlineStr">
        <is>
          <t>3849053784 на почту направила 25.06</t>
        </is>
      </c>
      <c r="D6594" s="13" t="inlineStr">
        <is>
          <t>3849053784</t>
        </is>
      </c>
      <c r="E6594" s="13" t="inlineStr">
        <is>
          <t>ЮЛ РФ</t>
        </is>
      </c>
      <c r="F6594" s="13" t="inlineStr">
        <is>
          <t>на почту направила 25.06</t>
        </is>
      </c>
      <c r="G6594" s="52" t="n">
        <v>4</v>
      </c>
      <c r="H6594" s="52" t="n">
        <v>2025</v>
      </c>
      <c r="I6594" s="14" t="n"/>
      <c r="J6594" s="14" t="n"/>
      <c r="K6594" s="53" t="inlineStr">
        <is>
          <t>Нет</t>
        </is>
      </c>
      <c r="L6594" s="53" t="inlineStr">
        <is>
          <t>Не определено</t>
        </is>
      </c>
      <c r="M6594" s="53" t="inlineStr">
        <is>
          <t>До 10</t>
        </is>
      </c>
      <c r="N6594" s="54" t="n">
        <v>3360</v>
      </c>
      <c r="O6594" s="55" t="inlineStr">
        <is>
          <t>1–15</t>
        </is>
      </c>
      <c r="P6594" s="16" t="inlineStr">
        <is>
          <t>ССЧР обогащена; ОКВЭД не найден/не загружен</t>
        </is>
      </c>
      <c r="Q6594" s="16" t="inlineStr">
        <is>
          <t>ФНС открытые данные ССЧР (ДатаСост 31.12.2025; набор 7707329152-sshr2019)</t>
        </is>
      </c>
      <c r="R6594" s="16">
        <f>HYPERLINK("https://checko.ru/search?query=3801001629","Чекко: проверить")</f>
        <v/>
      </c>
      <c r="S6594" t="n">
        <v>1</v>
      </c>
      <c r="T6594" s="35" t="inlineStr">
        <is>
          <t>4 — Не обогащён</t>
        </is>
      </c>
      <c r="U6594" s="35" t="inlineStr">
        <is>
          <t>Нет ОКВЭД/ССЧР</t>
        </is>
      </c>
      <c r="V6594" s="35" t="inlineStr">
        <is>
          <t>Не определено</t>
        </is>
      </c>
      <c r="W6594" s="35" t="inlineStr">
        <is>
          <t>Нет</t>
        </is>
      </c>
      <c r="X6594" s="35" t="inlineStr"/>
    </row>
    <row r="6595" ht="15" customHeight="1" s="24">
      <c r="A6595" s="13" t="inlineStr">
        <is>
          <t>FR1207780</t>
        </is>
      </c>
      <c r="B6595" s="13" t="inlineStr">
        <is>
          <t>ИП Притис Ольга Николаевна</t>
        </is>
      </c>
      <c r="C6595" s="13" t="inlineStr">
        <is>
          <t>30603584605 эпд не нужно</t>
        </is>
      </c>
      <c r="D6595" s="13" t="n"/>
      <c r="E6595" s="13" t="inlineStr">
        <is>
          <t>Не определён</t>
        </is>
      </c>
      <c r="F6595" s="13" t="inlineStr">
        <is>
          <t>эпд не нужно</t>
        </is>
      </c>
      <c r="G6595" s="14" t="n"/>
      <c r="H6595" s="14" t="n"/>
      <c r="I6595" s="14" t="n"/>
      <c r="J6595" s="14" t="n"/>
      <c r="K6595" s="13">
        <f>IF(G6595="","",IF(G6595&gt;=22,"Да","Нет"))</f>
        <v/>
      </c>
      <c r="L6595" s="13">
        <f>IF(OR(I6595="",J6595=""),"Не определено",IF(OR(COUNTIF(I6595,"45*")&gt;0,COUNTIF(J6595,"*45*")&gt;0,COUNTIF(I6595,"46*")&gt;0,COUNTIF(J6595,"*46*")&gt;0,COUNTIF(I6595,"47*")&gt;0,COUNTIF(J6595,"*47*")&gt;0,COUNTIF(I6595,"10*")&gt;0,COUNTIF(J6595,"*10*")&gt;0,COUNTIF(I6595,"11*")&gt;0,COUNTIF(J6595,"*11*")&gt;0,COUNTIF(I6595,"12*")&gt;0,COUNTIF(J6595,"*12*")&gt;0,COUNTIF(I6595,"13*")&gt;0,COUNTIF(J6595,"*13*")&gt;0,COUNTIF(I6595,"14*")&gt;0,COUNTIF(J6595,"*14*")&gt;0,COUNTIF(I6595,"15*")&gt;0,COUNTIF(J6595,"*15*")&gt;0,COUNTIF(I6595,"16*")&gt;0,COUNTIF(J6595,"*16*")&gt;0,COUNTIF(I6595,"17*")&gt;0,COUNTIF(J6595,"*17*")&gt;0,COUNTIF(I6595,"18*")&gt;0,COUNTIF(J6595,"*18*")&gt;0,COUNTIF(I6595,"19*")&gt;0,COUNTIF(J6595,"*19*")&gt;0,COUNTIF(I6595,"20*")&gt;0,COUNTIF(J6595,"*20*")&gt;0,COUNTIF(I6595,"21*")&gt;0,COUNTIF(J6595,"*21*")&gt;0,COUNTIF(I6595,"22*")&gt;0,COUNTIF(J6595,"*22*")&gt;0,COUNTIF(I6595,"23*")&gt;0,COUNTIF(J6595,"*23*")&gt;0,COUNTIF(I6595,"24*")&gt;0,COUNTIF(J6595,"*24*")&gt;0,COUNTIF(I6595,"25*")&gt;0,COUNTIF(J6595,"*25*")&gt;0,COUNTIF(I6595,"26*")&gt;0,COUNTIF(J6595,"*26*")&gt;0,COUNTIF(I6595,"27*")&gt;0,COUNTIF(J6595,"*27*")&gt;0,COUNTIF(I6595,"28*")&gt;0,COUNTIF(J6595,"*28*")&gt;0,COUNTIF(I6595,"29*")&gt;0,COUNTIF(J6595,"*29*")&gt;0,COUNTIF(I6595,"30*")&gt;0,COUNTIF(J6595,"*30*")&gt;0,COUNTIF(I6595,"31*")&gt;0,COUNTIF(J6595,"*31*")&gt;0,COUNTIF(I6595,"32*")&gt;0,COUNTIF(J6595,"*32*")&gt;0,COUNTIF(I6595,"33*")&gt;0,COUNTIF(J6595,"*33*")&gt;0,COUNTIF(I6595,"41*")&gt;0,COUNTIF(J6595,"*41*")&gt;0,COUNTIF(I6595,"42*")&gt;0,COUNTIF(J6595,"*42*")&gt;0,COUNTIF(I6595,"43*")&gt;0,COUNTIF(J6595,"*43*")&gt;0,COUNTIF(I6595,"49*")&gt;0,COUNTIF(J6595,"*49*")&gt;0,COUNTIF(I6595,"52*")&gt;0,COUNTIF(J6595,"*52*")&gt;0,COUNTIF(I6595,"55*")&gt;0,COUNTIF(J6595,"*55*")&gt;0,COUNTIF(I6595,"56*")&gt;0,COUNTIF(J6595,"*56*")&gt;0,COUNTIF(I6595,"68*")&gt;0,COUNTIF(J6595,"*68*")&gt;0,COUNTIF(I6595,"78*")&gt;0,COUNTIF(J6595,"*78*")&gt;0,COUNTIF(I6595,"81*")&gt;0,COUNTIF(J6595,"*81*")&gt;0,COUNTIF(I6595,"82*")&gt;0,COUNTIF(J6595,"*82*")&gt;0,COUNTIF(I6595,"64*")&gt;0,COUNTIF(J6595,"*64*")&gt;0,COUNTIF(I6595,"65*")&gt;0,COUNTIF(J6595,"*65*")&gt;0,COUNTIF(I6595,"66*")&gt;0,COUNTIF(J6595,"*66*")&gt;0,COUNTIF(I6595,"61*")&gt;0,COUNTIF(J6595,"*61*")&gt;0,COUNTIF(I6595,"62*")&gt;0,COUNTIF(J6595,"*62*")&gt;0,COUNTIF(I6595,"63*")&gt;0,COUNTIF(J6595,"*63*")&gt;0,COUNTIF(I6595,"85*")&gt;0,COUNTIF(J6595,"*85*")&gt;0,COUNTIF(I6595,"86*")&gt;0,COUNTIF(J6595,"*86*")&gt;0),"Да","Нет"))</f>
        <v/>
      </c>
      <c r="M6595" s="13">
        <f>IF(OR(G6595="",L6595&lt;&gt;"Да"),"",IF(G6595&lt;=100,"До 100",IF(G6595&lt;=200,"До 200",IF(G6595&lt;=500,"До 500","Отдельное КП"))))</f>
        <v/>
      </c>
      <c r="N6595" s="15">
        <f>IF(OR(G6595="",L6595&lt;&gt;"Да"),"",IF(G6595&lt;=100,33600,IF(G6595&lt;=200,62400,IF(G6595&lt;=500,144000,""))))</f>
        <v/>
      </c>
      <c r="O6595" s="16">
        <f>IF(G6595="","",IF(G6595&lt;=15,"1–15",IF(G6595&lt;=30,"16–30",IF(G6595&lt;=50,"31–50",IF(G6595&lt;=100,"51–100",IF(G6595&lt;=150,"101–150",IF(G6595&lt;=200,"151–200",IF(G6595&lt;=500,"201–500","500+"))))))))</f>
        <v/>
      </c>
      <c r="P6595" s="16" t="inlineStr">
        <is>
          <t>Нет совпадения в предоставленной выгрузке ССЧР</t>
        </is>
      </c>
      <c r="Q6595" s="16" t="n"/>
      <c r="R6595" s="16">
        <f>HYPERLINK("https://checko.ru/search?query=3801001629","Чекко: проверить")</f>
        <v/>
      </c>
      <c r="S6595" t="n">
        <v>0</v>
      </c>
    </row>
    <row r="6596" ht="15" customHeight="1" s="24">
      <c r="A6596" s="13" t="inlineStr">
        <is>
          <t>FR1011188</t>
        </is>
      </c>
      <c r="B6596" s="13" t="inlineStr">
        <is>
          <t>АРТЭК ООО</t>
        </is>
      </c>
      <c r="C6596" s="13" t="inlineStr">
        <is>
          <t>3812156342 в контуре эпд</t>
        </is>
      </c>
      <c r="D6596" s="13" t="inlineStr">
        <is>
          <t>3812156342</t>
        </is>
      </c>
      <c r="E6596" s="13" t="inlineStr">
        <is>
          <t>ЮЛ РФ</t>
        </is>
      </c>
      <c r="F6596" s="13" t="inlineStr">
        <is>
          <t>в контуре эпд</t>
        </is>
      </c>
      <c r="G6596" s="52" t="n">
        <v>3</v>
      </c>
      <c r="H6596" s="52" t="n">
        <v>2025</v>
      </c>
      <c r="I6596" s="14" t="n"/>
      <c r="J6596" s="14" t="n"/>
      <c r="K6596" s="53" t="inlineStr">
        <is>
          <t>Нет</t>
        </is>
      </c>
      <c r="L6596" s="53" t="inlineStr">
        <is>
          <t>Не определено</t>
        </is>
      </c>
      <c r="M6596" s="53" t="inlineStr">
        <is>
          <t>До 10</t>
        </is>
      </c>
      <c r="N6596" s="54" t="n">
        <v>3360</v>
      </c>
      <c r="O6596" s="55" t="inlineStr">
        <is>
          <t>1–15</t>
        </is>
      </c>
      <c r="P6596" s="16" t="inlineStr">
        <is>
          <t>ССЧР обогащена; ОКВЭД не найден/не загружен</t>
        </is>
      </c>
      <c r="Q6596" s="16" t="inlineStr">
        <is>
          <t>ФНС открытые данные ССЧР (ДатаСост 31.12.2025; набор 7707329152-sshr2019)</t>
        </is>
      </c>
      <c r="R6596" s="16">
        <f>HYPERLINK("https://checko.ru/search?query=3801001629","Чекко: проверить")</f>
        <v/>
      </c>
      <c r="S6596" t="n">
        <v>1</v>
      </c>
      <c r="T6596" s="35" t="inlineStr">
        <is>
          <t>4 — Не обогащён</t>
        </is>
      </c>
      <c r="U6596" s="35" t="inlineStr">
        <is>
          <t>Нет ОКВЭД/ССЧР</t>
        </is>
      </c>
      <c r="V6596" s="35" t="inlineStr">
        <is>
          <t>Не определено</t>
        </is>
      </c>
      <c r="W6596" s="35" t="inlineStr">
        <is>
          <t>Нет</t>
        </is>
      </c>
      <c r="X6596" s="35" t="inlineStr"/>
    </row>
    <row r="6597" ht="41.25" customHeight="1" s="24">
      <c r="A6597" s="13" t="inlineStr">
        <is>
          <t>FR1208189</t>
        </is>
      </c>
      <c r="B6597" s="13" t="inlineStr">
        <is>
          <t>МЕСТНАЯ РЕЛИГИОЗНАЯ ОРГАНИЗАЦИЯ ЕВАНГЕЛЬСКИХ ХРИСТИАН-БАПТИСТОВ "ИРКУТСКАЯ БИБЛЕЙСКАЯ ЦЕРКОВЬ "ПРЕОБ</t>
        </is>
      </c>
      <c r="C6597" s="13" t="inlineStr">
        <is>
          <t>3812052150 оквед не  тот</t>
        </is>
      </c>
      <c r="D6597" s="13" t="inlineStr">
        <is>
          <t>3812052150</t>
        </is>
      </c>
      <c r="E6597" s="13" t="inlineStr">
        <is>
          <t>ЮЛ РФ</t>
        </is>
      </c>
      <c r="F6597" s="13" t="inlineStr">
        <is>
          <t>оквед не  тот</t>
        </is>
      </c>
      <c r="G6597" s="14" t="n"/>
      <c r="H6597" s="14" t="n"/>
      <c r="I6597" s="14" t="n"/>
      <c r="J6597" s="14" t="n"/>
      <c r="K6597" s="53" t="inlineStr"/>
      <c r="L6597" s="53" t="inlineStr">
        <is>
          <t>Не определено</t>
        </is>
      </c>
      <c r="M6597" s="53" t="inlineStr"/>
      <c r="N6597" s="54" t="inlineStr"/>
      <c r="O6597" s="55" t="inlineStr"/>
      <c r="P6597" s="16" t="inlineStr">
        <is>
          <t>Требует обогащения</t>
        </is>
      </c>
      <c r="Q6597" s="16">
        <f>HYPERLINK("https://pb.nalog.ru/search.html?query=3812052150","ФНС: проверить")</f>
        <v/>
      </c>
      <c r="R6597" s="16">
        <f>HYPERLINK("https://checko.ru/search?query=3801001629","Чекко: проверить")</f>
        <v/>
      </c>
      <c r="S6597" t="n">
        <v>1</v>
      </c>
      <c r="T6597" s="35" t="inlineStr">
        <is>
          <t>4 — Не обогащён</t>
        </is>
      </c>
      <c r="U6597" s="35" t="inlineStr">
        <is>
          <t>Нет ОКВЭД/ССЧР</t>
        </is>
      </c>
      <c r="V6597" s="35" t="inlineStr">
        <is>
          <t>Не определено</t>
        </is>
      </c>
      <c r="W6597" s="35" t="inlineStr"/>
      <c r="X6597" s="35" t="inlineStr"/>
    </row>
    <row r="6598" ht="27.75" customHeight="1" s="24">
      <c r="A6598" s="13" t="inlineStr">
        <is>
          <t>FR681733</t>
        </is>
      </c>
      <c r="B6598" s="13" t="inlineStr">
        <is>
          <t>ИП Вавренюк Виктор Андреевич</t>
        </is>
      </c>
      <c r="C6598" s="13" t="inlineStr">
        <is>
          <t>381600075440 сейчас не нужно, но мб позже, на почту инф направила</t>
        </is>
      </c>
      <c r="D6598" s="13" t="inlineStr">
        <is>
          <t>381600075440</t>
        </is>
      </c>
      <c r="E6598" s="13" t="inlineStr">
        <is>
          <t>ИП РФ / физлицо</t>
        </is>
      </c>
      <c r="F6598" s="13" t="inlineStr">
        <is>
          <t>сейчас не нужно, но мб позже, на почту инф направила</t>
        </is>
      </c>
      <c r="G6598" s="14" t="n"/>
      <c r="H6598" s="14" t="n"/>
      <c r="I6598" s="14" t="n"/>
      <c r="J6598" s="14" t="n"/>
      <c r="K6598" s="53" t="inlineStr"/>
      <c r="L6598" s="53" t="inlineStr">
        <is>
          <t>Не определено</t>
        </is>
      </c>
      <c r="M6598" s="53" t="inlineStr"/>
      <c r="N6598" s="54" t="inlineStr"/>
      <c r="O6598" s="55" t="inlineStr"/>
      <c r="P6598" s="16" t="inlineStr">
        <is>
          <t>Требует обогащения</t>
        </is>
      </c>
      <c r="Q6598" s="16">
        <f>HYPERLINK("https://pb.nalog.ru/search.html?query=381600075440","ФНС: проверить")</f>
        <v/>
      </c>
      <c r="R6598" s="16">
        <f>HYPERLINK("https://checko.ru/search?query=3801001629","Чекко: проверить")</f>
        <v/>
      </c>
      <c r="S6598" t="n">
        <v>1</v>
      </c>
      <c r="T6598" s="35" t="inlineStr">
        <is>
          <t>4 — Не обогащён</t>
        </is>
      </c>
      <c r="U6598" s="35" t="inlineStr">
        <is>
          <t>Нет ОКВЭД/ССЧР</t>
        </is>
      </c>
      <c r="V6598" s="35" t="inlineStr">
        <is>
          <t>Не определено</t>
        </is>
      </c>
      <c r="W6598" s="35" t="inlineStr"/>
      <c r="X6598" s="35" t="inlineStr"/>
    </row>
    <row r="6599" ht="15" customHeight="1" s="24">
      <c r="A6599" s="13" t="inlineStr">
        <is>
          <t>FR828993</t>
        </is>
      </c>
      <c r="B6599" s="13" t="inlineStr">
        <is>
          <t>ИП Шевченко Наталия Альбертовна</t>
        </is>
      </c>
      <c r="C6599" s="13" t="inlineStr">
        <is>
          <t>380405519146 ндз1 этрн не используют</t>
        </is>
      </c>
      <c r="D6599" s="13" t="inlineStr">
        <is>
          <t>380405519146</t>
        </is>
      </c>
      <c r="E6599" s="13" t="inlineStr">
        <is>
          <t>ИП РФ / физлицо</t>
        </is>
      </c>
      <c r="F6599" s="13" t="inlineStr">
        <is>
          <t>ндз1 этрн не используют</t>
        </is>
      </c>
      <c r="G6599" s="14" t="n"/>
      <c r="H6599" s="14" t="n"/>
      <c r="I6599" s="14" t="n"/>
      <c r="J6599" s="14" t="n"/>
      <c r="K6599" s="53" t="inlineStr"/>
      <c r="L6599" s="53" t="inlineStr">
        <is>
          <t>Не определено</t>
        </is>
      </c>
      <c r="M6599" s="53" t="inlineStr"/>
      <c r="N6599" s="54" t="inlineStr"/>
      <c r="O6599" s="55" t="inlineStr"/>
      <c r="P6599" s="16" t="inlineStr">
        <is>
          <t>Требует обогащения</t>
        </is>
      </c>
      <c r="Q6599" s="16">
        <f>HYPERLINK("https://pb.nalog.ru/search.html?query=380405519146","ФНС: проверить")</f>
        <v/>
      </c>
      <c r="R6599" s="16">
        <f>HYPERLINK("https://checko.ru/search?query=3801001629","Чекко: проверить")</f>
        <v/>
      </c>
      <c r="S6599" t="n">
        <v>1</v>
      </c>
      <c r="T6599" s="35" t="inlineStr">
        <is>
          <t>4 — Не обогащён</t>
        </is>
      </c>
      <c r="U6599" s="35" t="inlineStr">
        <is>
          <t>Нет ОКВЭД/ССЧР</t>
        </is>
      </c>
      <c r="V6599" s="35" t="inlineStr">
        <is>
          <t>Не определено</t>
        </is>
      </c>
      <c r="W6599" s="35" t="inlineStr"/>
      <c r="X6599" s="35" t="inlineStr"/>
    </row>
    <row r="6600" ht="15" customHeight="1" s="24">
      <c r="A6600" s="13" t="inlineStr">
        <is>
          <t>FR1012600</t>
        </is>
      </c>
      <c r="B6600" s="13" t="inlineStr">
        <is>
          <t>ООО "Байкал"</t>
        </is>
      </c>
      <c r="C6600" s="13" t="inlineStr">
        <is>
          <t>5401268389 оквед не тот</t>
        </is>
      </c>
      <c r="D6600" s="13" t="inlineStr">
        <is>
          <t>5401268389</t>
        </is>
      </c>
      <c r="E6600" s="13" t="inlineStr">
        <is>
          <t>ЮЛ РФ</t>
        </is>
      </c>
      <c r="F6600" s="13" t="inlineStr">
        <is>
          <t>оквед не тот</t>
        </is>
      </c>
      <c r="G6600" s="52" t="n">
        <v>7</v>
      </c>
      <c r="H6600" s="52" t="n">
        <v>2025</v>
      </c>
      <c r="I6600" s="14" t="n"/>
      <c r="J6600" s="14" t="n"/>
      <c r="K6600" s="53" t="inlineStr">
        <is>
          <t>Нет</t>
        </is>
      </c>
      <c r="L6600" s="53" t="inlineStr">
        <is>
          <t>Не определено</t>
        </is>
      </c>
      <c r="M6600" s="53" t="inlineStr">
        <is>
          <t>До 10</t>
        </is>
      </c>
      <c r="N6600" s="54" t="n">
        <v>3360</v>
      </c>
      <c r="O6600" s="55" t="inlineStr">
        <is>
          <t>1–15</t>
        </is>
      </c>
      <c r="P6600" s="16" t="inlineStr">
        <is>
          <t>ССЧР обогащена; ОКВЭД не найден/не загружен</t>
        </is>
      </c>
      <c r="Q6600" s="16" t="inlineStr">
        <is>
          <t>ФНС открытые данные ССЧР (ДатаСост 31.12.2025; набор 7707329152-sshr2019)</t>
        </is>
      </c>
      <c r="R6600" s="16">
        <f>HYPERLINK("https://checko.ru/search?query=3801001629","Чекко: проверить")</f>
        <v/>
      </c>
      <c r="S6600" t="n">
        <v>1</v>
      </c>
      <c r="T6600" s="35" t="inlineStr">
        <is>
          <t>4 — Не обогащён</t>
        </is>
      </c>
      <c r="U6600" s="35" t="inlineStr">
        <is>
          <t>Нет ОКВЭД/ССЧР</t>
        </is>
      </c>
      <c r="V6600" s="35" t="inlineStr">
        <is>
          <t>Не определено</t>
        </is>
      </c>
      <c r="W6600" s="35" t="inlineStr">
        <is>
          <t>Нет</t>
        </is>
      </c>
      <c r="X6600" s="35" t="inlineStr"/>
    </row>
    <row r="6601" ht="15" customHeight="1" s="24">
      <c r="A6601" s="13" t="inlineStr">
        <is>
          <t>FR1027767</t>
        </is>
      </c>
      <c r="B6601" s="13" t="inlineStr">
        <is>
          <t>ИП Иванов Алексей Валентинович</t>
        </is>
      </c>
      <c r="C6601" s="13" t="inlineStr">
        <is>
          <t>380895132900 сбис</t>
        </is>
      </c>
      <c r="D6601" s="13" t="inlineStr">
        <is>
          <t>380895132900</t>
        </is>
      </c>
      <c r="E6601" s="13" t="inlineStr">
        <is>
          <t>ИП РФ / физлицо</t>
        </is>
      </c>
      <c r="F6601" s="13" t="inlineStr">
        <is>
          <t>сбис</t>
        </is>
      </c>
      <c r="G6601" s="14" t="n"/>
      <c r="H6601" s="14" t="n"/>
      <c r="I6601" s="14" t="n"/>
      <c r="J6601" s="14" t="n"/>
      <c r="K6601" s="53" t="inlineStr"/>
      <c r="L6601" s="53" t="inlineStr">
        <is>
          <t>Не определено</t>
        </is>
      </c>
      <c r="M6601" s="53" t="inlineStr"/>
      <c r="N6601" s="54" t="inlineStr"/>
      <c r="O6601" s="55" t="inlineStr"/>
      <c r="P6601" s="16" t="inlineStr">
        <is>
          <t>Требует обогащения</t>
        </is>
      </c>
      <c r="Q6601" s="16">
        <f>HYPERLINK("https://pb.nalog.ru/search.html?query=380895132900","ФНС: проверить")</f>
        <v/>
      </c>
      <c r="R6601" s="16">
        <f>HYPERLINK("https://checko.ru/search?query=3801001629","Чекко: проверить")</f>
        <v/>
      </c>
      <c r="S6601" t="n">
        <v>1</v>
      </c>
      <c r="T6601" s="35" t="inlineStr">
        <is>
          <t>4 — Не обогащён</t>
        </is>
      </c>
      <c r="U6601" s="35" t="inlineStr">
        <is>
          <t>Нет ОКВЭД/ССЧР</t>
        </is>
      </c>
      <c r="V6601" s="35" t="inlineStr">
        <is>
          <t>Не определено</t>
        </is>
      </c>
      <c r="W6601" s="35" t="inlineStr"/>
      <c r="X6601" s="35" t="inlineStr"/>
    </row>
    <row r="6602" ht="15" customHeight="1" s="24">
      <c r="A6602" s="13" t="inlineStr">
        <is>
          <t>FR807684</t>
        </is>
      </c>
      <c r="B6602" s="13" t="inlineStr">
        <is>
          <t>ИП Шипицын Дмитрий Александрович</t>
        </is>
      </c>
      <c r="C6602" s="13" t="inlineStr">
        <is>
          <t>380201120106 мы уже установили им</t>
        </is>
      </c>
      <c r="D6602" s="13" t="inlineStr">
        <is>
          <t>380201120106</t>
        </is>
      </c>
      <c r="E6602" s="13" t="inlineStr">
        <is>
          <t>ИП РФ / физлицо</t>
        </is>
      </c>
      <c r="F6602" s="13" t="inlineStr">
        <is>
          <t>мы уже установили им</t>
        </is>
      </c>
      <c r="G6602" s="14" t="n"/>
      <c r="H6602" s="14" t="n"/>
      <c r="I6602" s="14" t="n"/>
      <c r="J6602" s="14" t="n"/>
      <c r="K6602" s="53" t="inlineStr"/>
      <c r="L6602" s="53" t="inlineStr">
        <is>
          <t>Не определено</t>
        </is>
      </c>
      <c r="M6602" s="53" t="inlineStr"/>
      <c r="N6602" s="54" t="inlineStr"/>
      <c r="O6602" s="55" t="inlineStr"/>
      <c r="P6602" s="16" t="inlineStr">
        <is>
          <t>Требует обогащения</t>
        </is>
      </c>
      <c r="Q6602" s="16">
        <f>HYPERLINK("https://pb.nalog.ru/search.html?query=380201120106","ФНС: проверить")</f>
        <v/>
      </c>
      <c r="R6602" s="16">
        <f>HYPERLINK("https://checko.ru/search?query=3801001629","Чекко: проверить")</f>
        <v/>
      </c>
      <c r="S6602" t="n">
        <v>1</v>
      </c>
      <c r="T6602" s="35" t="inlineStr">
        <is>
          <t>4 — Не обогащён</t>
        </is>
      </c>
      <c r="U6602" s="35" t="inlineStr">
        <is>
          <t>Нет ОКВЭД/ССЧР</t>
        </is>
      </c>
      <c r="V6602" s="35" t="inlineStr">
        <is>
          <t>Не определено</t>
        </is>
      </c>
      <c r="W6602" s="35" t="inlineStr"/>
      <c r="X6602" s="35" t="inlineStr"/>
    </row>
    <row r="6603" ht="15" customHeight="1" s="24">
      <c r="A6603" s="13" t="inlineStr">
        <is>
          <t>FR392999</t>
        </is>
      </c>
      <c r="B6603" s="13" t="inlineStr">
        <is>
          <t>ИП Данилова Елена Валерьевна</t>
        </is>
      </c>
      <c r="C6603" s="13" t="inlineStr">
        <is>
          <t>381200096580 сейчас в работе</t>
        </is>
      </c>
      <c r="D6603" s="13" t="inlineStr">
        <is>
          <t>381200096580</t>
        </is>
      </c>
      <c r="E6603" s="13" t="inlineStr">
        <is>
          <t>ИП РФ / физлицо</t>
        </is>
      </c>
      <c r="F6603" s="13" t="inlineStr">
        <is>
          <t>сейчас в работе</t>
        </is>
      </c>
      <c r="G6603" s="14" t="n"/>
      <c r="H6603" s="14" t="n"/>
      <c r="I6603" s="14" t="n"/>
      <c r="J6603" s="14" t="n"/>
      <c r="K6603" s="53" t="inlineStr"/>
      <c r="L6603" s="53" t="inlineStr">
        <is>
          <t>Не определено</t>
        </is>
      </c>
      <c r="M6603" s="53" t="inlineStr"/>
      <c r="N6603" s="54" t="inlineStr"/>
      <c r="O6603" s="55" t="inlineStr"/>
      <c r="P6603" s="16" t="inlineStr">
        <is>
          <t>Требует обогащения</t>
        </is>
      </c>
      <c r="Q6603" s="16">
        <f>HYPERLINK("https://pb.nalog.ru/search.html?query=381200096580","ФНС: проверить")</f>
        <v/>
      </c>
      <c r="R6603" s="16">
        <f>HYPERLINK("https://checko.ru/search?query=3801001629","Чекко: проверить")</f>
        <v/>
      </c>
      <c r="S6603" t="n">
        <v>1</v>
      </c>
      <c r="T6603" s="35" t="inlineStr">
        <is>
          <t>4 — Не обогащён</t>
        </is>
      </c>
      <c r="U6603" s="35" t="inlineStr">
        <is>
          <t>Нет ОКВЭД/ССЧР</t>
        </is>
      </c>
      <c r="V6603" s="35" t="inlineStr">
        <is>
          <t>Не определено</t>
        </is>
      </c>
      <c r="W6603" s="35" t="inlineStr"/>
      <c r="X6603" s="35" t="inlineStr"/>
    </row>
    <row r="6604" ht="15" customHeight="1" s="24">
      <c r="A6604" s="13" t="inlineStr">
        <is>
          <t>FR390958</t>
        </is>
      </c>
      <c r="B6604" s="13" t="inlineStr">
        <is>
          <t>ООО "ДОР-ТСК"</t>
        </is>
      </c>
      <c r="C6604" s="13" t="inlineStr">
        <is>
          <t>5027288811, на почту направ</t>
        </is>
      </c>
      <c r="D6604" s="13" t="inlineStr">
        <is>
          <t>5027288811</t>
        </is>
      </c>
      <c r="E6604" s="13" t="inlineStr">
        <is>
          <t>ЮЛ РФ</t>
        </is>
      </c>
      <c r="F6604" s="13" t="inlineStr">
        <is>
          <t>на почту направ</t>
        </is>
      </c>
      <c r="G6604" s="52" t="n">
        <v>1</v>
      </c>
      <c r="H6604" s="52" t="n">
        <v>2025</v>
      </c>
      <c r="I6604" s="14" t="n"/>
      <c r="J6604" s="14" t="n"/>
      <c r="K6604" s="53" t="inlineStr">
        <is>
          <t>Нет</t>
        </is>
      </c>
      <c r="L6604" s="53" t="inlineStr">
        <is>
          <t>Не определено</t>
        </is>
      </c>
      <c r="M6604" s="53" t="inlineStr">
        <is>
          <t>До 10</t>
        </is>
      </c>
      <c r="N6604" s="54" t="n">
        <v>3360</v>
      </c>
      <c r="O6604" s="55" t="inlineStr">
        <is>
          <t>1–15</t>
        </is>
      </c>
      <c r="P6604" s="16" t="inlineStr">
        <is>
          <t>ССЧР обогащена; ОКВЭД не найден/не загружен</t>
        </is>
      </c>
      <c r="Q6604" s="16" t="inlineStr">
        <is>
          <t>ФНС открытые данные ССЧР (ДатаСост 31.12.2025; набор 7707329152-sshr2019)</t>
        </is>
      </c>
      <c r="R6604" s="16">
        <f>HYPERLINK("https://checko.ru/search?query=3801001629","Чекко: проверить")</f>
        <v/>
      </c>
      <c r="S6604" t="n">
        <v>1</v>
      </c>
      <c r="T6604" s="35" t="inlineStr">
        <is>
          <t>4 — Не обогащён</t>
        </is>
      </c>
      <c r="U6604" s="35" t="inlineStr">
        <is>
          <t>Нет ОКВЭД/ССЧР</t>
        </is>
      </c>
      <c r="V6604" s="35" t="inlineStr">
        <is>
          <t>Не определено</t>
        </is>
      </c>
      <c r="W6604" s="35" t="inlineStr">
        <is>
          <t>Нет</t>
        </is>
      </c>
      <c r="X6604" s="35" t="inlineStr"/>
    </row>
    <row r="6605" ht="27.75" customHeight="1" s="24">
      <c r="A6605" s="13" t="inlineStr">
        <is>
          <t>FR687957</t>
        </is>
      </c>
      <c r="B6605" s="13" t="inlineStr">
        <is>
          <t>Общество с ограниченной ответственностью "НОВО-ТРАНС"</t>
        </is>
      </c>
      <c r="C6605" s="13" t="n">
        <v>8504003982</v>
      </c>
      <c r="D6605" s="13" t="inlineStr">
        <is>
          <t>8504003982</t>
        </is>
      </c>
      <c r="E6605" s="13" t="inlineStr">
        <is>
          <t>ЮЛ РФ</t>
        </is>
      </c>
      <c r="F6605" s="13" t="n"/>
      <c r="G6605" s="52" t="n">
        <v>12</v>
      </c>
      <c r="H6605" s="52" t="n">
        <v>2025</v>
      </c>
      <c r="I6605" s="14" t="n"/>
      <c r="J6605" s="14" t="n"/>
      <c r="K6605" s="53" t="inlineStr">
        <is>
          <t>Нет</t>
        </is>
      </c>
      <c r="L6605" s="53" t="inlineStr">
        <is>
          <t>Не определено</t>
        </is>
      </c>
      <c r="M6605" s="53" t="inlineStr">
        <is>
          <t>До 25</t>
        </is>
      </c>
      <c r="N6605" s="54" t="n">
        <v>8400</v>
      </c>
      <c r="O6605" s="55" t="inlineStr">
        <is>
          <t>1–15</t>
        </is>
      </c>
      <c r="P6605" s="16" t="inlineStr">
        <is>
          <t>ССЧР обогащена; ОКВЭД не найден/не загружен</t>
        </is>
      </c>
      <c r="Q6605" s="16" t="inlineStr">
        <is>
          <t>ФНС открытые данные ССЧР (ДатаСост 31.12.2025; набор 7707329152-sshr2019)</t>
        </is>
      </c>
      <c r="R6605" s="16">
        <f>HYPERLINK("https://checko.ru/search?query=3801001629","Чекко: проверить")</f>
        <v/>
      </c>
      <c r="S6605" t="n">
        <v>1</v>
      </c>
      <c r="T6605" s="35" t="inlineStr">
        <is>
          <t>4 — Не обогащён</t>
        </is>
      </c>
      <c r="U6605" s="35" t="inlineStr">
        <is>
          <t>Нет ОКВЭД/ССЧР</t>
        </is>
      </c>
      <c r="V6605" s="35" t="inlineStr">
        <is>
          <t>Не определено</t>
        </is>
      </c>
      <c r="W6605" s="35" t="inlineStr">
        <is>
          <t>Нет</t>
        </is>
      </c>
      <c r="X6605" s="35" t="inlineStr"/>
    </row>
    <row r="6606" ht="15" customHeight="1" s="24">
      <c r="A6606" s="13" t="inlineStr">
        <is>
          <t>FR1012756</t>
        </is>
      </c>
      <c r="B6606" s="13" t="inlineStr">
        <is>
          <t>ИП Герасимов Б.В.</t>
        </is>
      </c>
      <c r="C6606" s="13" t="n">
        <v>383400346671</v>
      </c>
      <c r="D6606" s="13" t="inlineStr">
        <is>
          <t>383400346671</t>
        </is>
      </c>
      <c r="E6606" s="13" t="inlineStr">
        <is>
          <t>ИП РФ / физлицо</t>
        </is>
      </c>
      <c r="F6606" s="13" t="n"/>
      <c r="G6606" s="14" t="n"/>
      <c r="H6606" s="14" t="n"/>
      <c r="I6606" s="14" t="n"/>
      <c r="J6606" s="14" t="n"/>
      <c r="K6606" s="53" t="inlineStr"/>
      <c r="L6606" s="53" t="inlineStr">
        <is>
          <t>Не определено</t>
        </is>
      </c>
      <c r="M6606" s="53" t="inlineStr"/>
      <c r="N6606" s="54" t="inlineStr"/>
      <c r="O6606" s="55" t="inlineStr"/>
      <c r="P6606" s="16" t="inlineStr">
        <is>
          <t>Требует обогащения</t>
        </is>
      </c>
      <c r="Q6606" s="16">
        <f>HYPERLINK("https://pb.nalog.ru/search.html?query=383400346671","ФНС: проверить")</f>
        <v/>
      </c>
      <c r="R6606" s="16">
        <f>HYPERLINK("https://checko.ru/search?query=3801001629","Чекко: проверить")</f>
        <v/>
      </c>
      <c r="S6606" t="n">
        <v>1</v>
      </c>
      <c r="T6606" s="35" t="inlineStr">
        <is>
          <t>4 — Не обогащён</t>
        </is>
      </c>
      <c r="U6606" s="35" t="inlineStr">
        <is>
          <t>Нет ОКВЭД/ССЧР</t>
        </is>
      </c>
      <c r="V6606" s="35" t="inlineStr">
        <is>
          <t>Не определено</t>
        </is>
      </c>
      <c r="W6606" s="35" t="inlineStr"/>
      <c r="X6606" s="35" t="inlineStr"/>
    </row>
    <row r="6607" ht="27.75" customHeight="1" s="24">
      <c r="A6607" s="13" t="inlineStr">
        <is>
          <t>FR826726</t>
        </is>
      </c>
      <c r="B6607" s="13" t="inlineStr">
        <is>
          <t>Общество с ограниченной ответственностью "АКРИДА+"</t>
        </is>
      </c>
      <c r="C6607" s="13" t="n">
        <v>3810063244</v>
      </c>
      <c r="D6607" s="13" t="inlineStr">
        <is>
          <t>3810063244</t>
        </is>
      </c>
      <c r="E6607" s="13" t="inlineStr">
        <is>
          <t>ЮЛ РФ</t>
        </is>
      </c>
      <c r="F6607" s="13" t="n"/>
      <c r="G6607" s="52" t="n">
        <v>8</v>
      </c>
      <c r="H6607" s="52" t="n">
        <v>2025</v>
      </c>
      <c r="I6607" s="14" t="n"/>
      <c r="J6607" s="14" t="n"/>
      <c r="K6607" s="53" t="inlineStr">
        <is>
          <t>Нет</t>
        </is>
      </c>
      <c r="L6607" s="53" t="inlineStr">
        <is>
          <t>Не определено</t>
        </is>
      </c>
      <c r="M6607" s="53" t="inlineStr">
        <is>
          <t>До 10</t>
        </is>
      </c>
      <c r="N6607" s="54" t="n">
        <v>3360</v>
      </c>
      <c r="O6607" s="55" t="inlineStr">
        <is>
          <t>1–15</t>
        </is>
      </c>
      <c r="P6607" s="16" t="inlineStr">
        <is>
          <t>ССЧР обогащена; ОКВЭД не найден/не загружен</t>
        </is>
      </c>
      <c r="Q6607" s="16" t="inlineStr">
        <is>
          <t>ФНС открытые данные ССЧР (ДатаСост 31.12.2025; набор 7707329152-sshr2019)</t>
        </is>
      </c>
      <c r="R6607" s="16">
        <f>HYPERLINK("https://checko.ru/search?query=3801001629","Чекко: проверить")</f>
        <v/>
      </c>
      <c r="S6607" t="n">
        <v>1</v>
      </c>
      <c r="T6607" s="35" t="inlineStr">
        <is>
          <t>4 — Не обогащён</t>
        </is>
      </c>
      <c r="U6607" s="35" t="inlineStr">
        <is>
          <t>Нет ОКВЭД/ССЧР</t>
        </is>
      </c>
      <c r="V6607" s="35" t="inlineStr">
        <is>
          <t>Не определено</t>
        </is>
      </c>
      <c r="W6607" s="35" t="inlineStr">
        <is>
          <t>Нет</t>
        </is>
      </c>
      <c r="X6607" s="35" t="inlineStr"/>
    </row>
    <row r="6608" ht="27.75" customHeight="1" s="24">
      <c r="A6608" s="13" t="inlineStr">
        <is>
          <t>FR1210069</t>
        </is>
      </c>
      <c r="B6608" s="13" t="inlineStr">
        <is>
          <t>Общество с ограниченной ответственностью "ТРЕЙД-ПРАЙМ"</t>
        </is>
      </c>
      <c r="C6608" s="13" t="n">
        <v>3456007030</v>
      </c>
      <c r="D6608" s="13" t="inlineStr">
        <is>
          <t>3456007030</t>
        </is>
      </c>
      <c r="E6608" s="13" t="inlineStr">
        <is>
          <t>ЮЛ РФ</t>
        </is>
      </c>
      <c r="F6608" s="13" t="n"/>
      <c r="G6608" s="52" t="n">
        <v>0</v>
      </c>
      <c r="H6608" s="52" t="n">
        <v>2025</v>
      </c>
      <c r="I6608" s="14" t="n"/>
      <c r="J6608" s="14" t="n"/>
      <c r="K6608" s="53" t="inlineStr">
        <is>
          <t>Нет</t>
        </is>
      </c>
      <c r="L6608" s="53" t="inlineStr">
        <is>
          <t>Не определено</t>
        </is>
      </c>
      <c r="M6608" s="53" t="inlineStr">
        <is>
          <t>До 10</t>
        </is>
      </c>
      <c r="N6608" s="54" t="n">
        <v>3360</v>
      </c>
      <c r="O6608" s="55" t="inlineStr">
        <is>
          <t>1–15</t>
        </is>
      </c>
      <c r="P6608" s="16" t="inlineStr">
        <is>
          <t>ССЧР обогащена; ОКВЭД не найден/не загружен</t>
        </is>
      </c>
      <c r="Q6608" s="16" t="inlineStr">
        <is>
          <t>ФНС открытые данные ССЧР (ДатаСост 31.12.2025; набор 7707329152-sshr2019)</t>
        </is>
      </c>
      <c r="R6608" s="16">
        <f>HYPERLINK("https://checko.ru/search?query=3801001629","Чекко: проверить")</f>
        <v/>
      </c>
      <c r="S6608" t="n">
        <v>1</v>
      </c>
      <c r="T6608" s="35" t="inlineStr">
        <is>
          <t>4 — Не обогащён</t>
        </is>
      </c>
      <c r="U6608" s="35" t="inlineStr">
        <is>
          <t>Нет ОКВЭД/ССЧР</t>
        </is>
      </c>
      <c r="V6608" s="35" t="inlineStr">
        <is>
          <t>Не определено</t>
        </is>
      </c>
      <c r="W6608" s="35" t="inlineStr">
        <is>
          <t>Нет</t>
        </is>
      </c>
      <c r="X6608" s="35" t="inlineStr"/>
    </row>
    <row r="6609" ht="27.75" customHeight="1" s="24">
      <c r="A6609" s="13" t="inlineStr">
        <is>
          <t>FR1014707</t>
        </is>
      </c>
      <c r="B6609" s="13" t="inlineStr">
        <is>
          <t>Общество с ограниченной ответственностью "ВОКСЕЛЬ-БРАТСК"</t>
        </is>
      </c>
      <c r="C6609" s="13" t="n">
        <v>3804113095</v>
      </c>
      <c r="D6609" s="13" t="inlineStr">
        <is>
          <t>3804113095</t>
        </is>
      </c>
      <c r="E6609" s="13" t="inlineStr">
        <is>
          <t>ЮЛ РФ</t>
        </is>
      </c>
      <c r="F6609" s="13" t="n"/>
      <c r="G6609" s="52" t="n">
        <v>6</v>
      </c>
      <c r="H6609" s="52" t="n">
        <v>2025</v>
      </c>
      <c r="I6609" s="14" t="n"/>
      <c r="J6609" s="14" t="n"/>
      <c r="K6609" s="53" t="inlineStr">
        <is>
          <t>Нет</t>
        </is>
      </c>
      <c r="L6609" s="53" t="inlineStr">
        <is>
          <t>Не определено</t>
        </is>
      </c>
      <c r="M6609" s="53" t="inlineStr">
        <is>
          <t>До 10</t>
        </is>
      </c>
      <c r="N6609" s="54" t="n">
        <v>3360</v>
      </c>
      <c r="O6609" s="55" t="inlineStr">
        <is>
          <t>1–15</t>
        </is>
      </c>
      <c r="P6609" s="16" t="inlineStr">
        <is>
          <t>ССЧР обогащена; ОКВЭД не найден/не загружен</t>
        </is>
      </c>
      <c r="Q6609" s="16" t="inlineStr">
        <is>
          <t>ФНС открытые данные ССЧР (ДатаСост 31.12.2025; набор 7707329152-sshr2019)</t>
        </is>
      </c>
      <c r="R6609" s="16">
        <f>HYPERLINK("https://checko.ru/search?query=3801001629","Чекко: проверить")</f>
        <v/>
      </c>
      <c r="S6609" t="n">
        <v>1</v>
      </c>
      <c r="T6609" s="35" t="inlineStr">
        <is>
          <t>4 — Не обогащён</t>
        </is>
      </c>
      <c r="U6609" s="35" t="inlineStr">
        <is>
          <t>Нет ОКВЭД/ССЧР</t>
        </is>
      </c>
      <c r="V6609" s="35" t="inlineStr">
        <is>
          <t>Не определено</t>
        </is>
      </c>
      <c r="W6609" s="35" t="inlineStr">
        <is>
          <t>Нет</t>
        </is>
      </c>
      <c r="X6609" s="35" t="inlineStr"/>
    </row>
    <row r="6610" ht="27.75" customHeight="1" s="24">
      <c r="A6610" s="13" t="inlineStr">
        <is>
          <t>FR687545</t>
        </is>
      </c>
      <c r="B6610" s="13" t="inlineStr">
        <is>
          <t>Общество с ограниченной ответственностью ВИС МЕД</t>
        </is>
      </c>
      <c r="C6610" s="13" t="n">
        <v>5473002444</v>
      </c>
      <c r="D6610" s="13" t="inlineStr">
        <is>
          <t>5473002444</t>
        </is>
      </c>
      <c r="E6610" s="13" t="inlineStr">
        <is>
          <t>ЮЛ РФ</t>
        </is>
      </c>
      <c r="F6610" s="13" t="n"/>
      <c r="G6610" s="52" t="n">
        <v>3</v>
      </c>
      <c r="H6610" s="52" t="n">
        <v>2025</v>
      </c>
      <c r="I6610" s="14" t="n"/>
      <c r="J6610" s="14" t="n"/>
      <c r="K6610" s="53" t="inlineStr">
        <is>
          <t>Нет</t>
        </is>
      </c>
      <c r="L6610" s="53" t="inlineStr">
        <is>
          <t>Не определено</t>
        </is>
      </c>
      <c r="M6610" s="53" t="inlineStr">
        <is>
          <t>До 10</t>
        </is>
      </c>
      <c r="N6610" s="54" t="n">
        <v>3360</v>
      </c>
      <c r="O6610" s="55" t="inlineStr">
        <is>
          <t>1–15</t>
        </is>
      </c>
      <c r="P6610" s="16" t="inlineStr">
        <is>
          <t>ССЧР обогащена; ОКВЭД не найден/не загружен</t>
        </is>
      </c>
      <c r="Q6610" s="16" t="inlineStr">
        <is>
          <t>ФНС открытые данные ССЧР (ДатаСост 31.12.2025; набор 7707329152-sshr2019)</t>
        </is>
      </c>
      <c r="R6610" s="16">
        <f>HYPERLINK("https://checko.ru/search?query=3801001629","Чекко: проверить")</f>
        <v/>
      </c>
      <c r="S6610" t="n">
        <v>1</v>
      </c>
      <c r="T6610" s="35" t="inlineStr">
        <is>
          <t>4 — Не обогащён</t>
        </is>
      </c>
      <c r="U6610" s="35" t="inlineStr">
        <is>
          <t>Нет ОКВЭД/ССЧР</t>
        </is>
      </c>
      <c r="V6610" s="35" t="inlineStr">
        <is>
          <t>Не определено</t>
        </is>
      </c>
      <c r="W6610" s="35" t="inlineStr">
        <is>
          <t>Нет</t>
        </is>
      </c>
      <c r="X6610" s="35" t="inlineStr"/>
    </row>
    <row r="6611" ht="27.75" customHeight="1" s="24">
      <c r="A6611" s="13" t="inlineStr">
        <is>
          <t>FR1210327</t>
        </is>
      </c>
      <c r="B6611" s="13" t="inlineStr">
        <is>
          <t>Общество с ограниченной ответственностью "ВЗЛЕТ"</t>
        </is>
      </c>
      <c r="C6611" s="13" t="n">
        <v>3808293508</v>
      </c>
      <c r="D6611" s="13" t="inlineStr">
        <is>
          <t>3808293508</t>
        </is>
      </c>
      <c r="E6611" s="13" t="inlineStr">
        <is>
          <t>ЮЛ РФ</t>
        </is>
      </c>
      <c r="F6611" s="13" t="n"/>
      <c r="G6611" s="52" t="n">
        <v>1</v>
      </c>
      <c r="H6611" s="52" t="n">
        <v>2025</v>
      </c>
      <c r="I6611" s="14" t="n"/>
      <c r="J6611" s="14" t="n"/>
      <c r="K6611" s="53" t="inlineStr">
        <is>
          <t>Нет</t>
        </is>
      </c>
      <c r="L6611" s="53" t="inlineStr">
        <is>
          <t>Не определено</t>
        </is>
      </c>
      <c r="M6611" s="53" t="inlineStr">
        <is>
          <t>До 10</t>
        </is>
      </c>
      <c r="N6611" s="54" t="n">
        <v>3360</v>
      </c>
      <c r="O6611" s="55" t="inlineStr">
        <is>
          <t>1–15</t>
        </is>
      </c>
      <c r="P6611" s="16" t="inlineStr">
        <is>
          <t>ССЧР обогащена; ОКВЭД не найден/не загружен</t>
        </is>
      </c>
      <c r="Q6611" s="16" t="inlineStr">
        <is>
          <t>ФНС открытые данные ССЧР (ДатаСост 31.12.2025; набор 7707329152-sshr2019)</t>
        </is>
      </c>
      <c r="R6611" s="16">
        <f>HYPERLINK("https://checko.ru/search?query=3801001629","Чекко: проверить")</f>
        <v/>
      </c>
      <c r="S6611" t="n">
        <v>1</v>
      </c>
      <c r="T6611" s="35" t="inlineStr">
        <is>
          <t>4 — Не обогащён</t>
        </is>
      </c>
      <c r="U6611" s="35" t="inlineStr">
        <is>
          <t>Нет ОКВЭД/ССЧР</t>
        </is>
      </c>
      <c r="V6611" s="35" t="inlineStr">
        <is>
          <t>Не определено</t>
        </is>
      </c>
      <c r="W6611" s="35" t="inlineStr">
        <is>
          <t>Нет</t>
        </is>
      </c>
      <c r="X6611" s="35" t="inlineStr"/>
    </row>
    <row r="6612" ht="27.75" customHeight="1" s="24">
      <c r="A6612" s="13" t="inlineStr">
        <is>
          <t>FR1221254</t>
        </is>
      </c>
      <c r="B6612" s="13" t="inlineStr">
        <is>
          <t>Общество с ограниченной ответственностью "ИНТЕХ"</t>
        </is>
      </c>
      <c r="C6612" s="13" t="n">
        <v>3805713970</v>
      </c>
      <c r="D6612" s="13" t="inlineStr">
        <is>
          <t>3805713970</t>
        </is>
      </c>
      <c r="E6612" s="13" t="inlineStr">
        <is>
          <t>ЮЛ РФ</t>
        </is>
      </c>
      <c r="F6612" s="13" t="n"/>
      <c r="G6612" s="52" t="n">
        <v>1</v>
      </c>
      <c r="H6612" s="52" t="n">
        <v>2025</v>
      </c>
      <c r="I6612" s="14" t="n"/>
      <c r="J6612" s="14" t="n"/>
      <c r="K6612" s="53" t="inlineStr">
        <is>
          <t>Нет</t>
        </is>
      </c>
      <c r="L6612" s="53" t="inlineStr">
        <is>
          <t>Не определено</t>
        </is>
      </c>
      <c r="M6612" s="53" t="inlineStr">
        <is>
          <t>До 10</t>
        </is>
      </c>
      <c r="N6612" s="54" t="n">
        <v>3360</v>
      </c>
      <c r="O6612" s="55" t="inlineStr">
        <is>
          <t>1–15</t>
        </is>
      </c>
      <c r="P6612" s="16" t="inlineStr">
        <is>
          <t>ССЧР обогащена; ОКВЭД не найден/не загружен</t>
        </is>
      </c>
      <c r="Q6612" s="16" t="inlineStr">
        <is>
          <t>ФНС открытые данные ССЧР (ДатаСост 31.12.2025; набор 7707329152-sshr2019)</t>
        </is>
      </c>
      <c r="R6612" s="16">
        <f>HYPERLINK("https://checko.ru/search?query=3801001629","Чекко: проверить")</f>
        <v/>
      </c>
      <c r="S6612" t="n">
        <v>1</v>
      </c>
      <c r="T6612" s="35" t="inlineStr">
        <is>
          <t>4 — Не обогащён</t>
        </is>
      </c>
      <c r="U6612" s="35" t="inlineStr">
        <is>
          <t>Нет ОКВЭД/ССЧР</t>
        </is>
      </c>
      <c r="V6612" s="35" t="inlineStr">
        <is>
          <t>Не определено</t>
        </is>
      </c>
      <c r="W6612" s="35" t="inlineStr">
        <is>
          <t>Нет</t>
        </is>
      </c>
      <c r="X6612" s="35" t="inlineStr"/>
    </row>
    <row r="6613" ht="15" customHeight="1" s="24">
      <c r="A6613" s="13" t="inlineStr">
        <is>
          <t>FR1210555</t>
        </is>
      </c>
      <c r="B6613" s="13" t="inlineStr">
        <is>
          <t>ООО "ПРОДОМ"</t>
        </is>
      </c>
      <c r="C6613" s="13" t="n">
        <v>3812167986</v>
      </c>
      <c r="D6613" s="13" t="inlineStr">
        <is>
          <t>3812167986</t>
        </is>
      </c>
      <c r="E6613" s="13" t="inlineStr">
        <is>
          <t>ЮЛ РФ</t>
        </is>
      </c>
      <c r="F6613" s="13" t="n"/>
      <c r="G6613" s="52" t="n">
        <v>0</v>
      </c>
      <c r="H6613" s="52" t="n">
        <v>2025</v>
      </c>
      <c r="I6613" s="14" t="n"/>
      <c r="J6613" s="14" t="n"/>
      <c r="K6613" s="53" t="inlineStr">
        <is>
          <t>Нет</t>
        </is>
      </c>
      <c r="L6613" s="53" t="inlineStr">
        <is>
          <t>Не определено</t>
        </is>
      </c>
      <c r="M6613" s="53" t="inlineStr">
        <is>
          <t>До 10</t>
        </is>
      </c>
      <c r="N6613" s="54" t="n">
        <v>3360</v>
      </c>
      <c r="O6613" s="55" t="inlineStr">
        <is>
          <t>1–15</t>
        </is>
      </c>
      <c r="P6613" s="16" t="inlineStr">
        <is>
          <t>ССЧР обогащена; ОКВЭД не найден/не загружен</t>
        </is>
      </c>
      <c r="Q6613" s="16" t="inlineStr">
        <is>
          <t>ФНС открытые данные ССЧР (ДатаСост 31.12.2025; набор 7707329152-sshr2019)</t>
        </is>
      </c>
      <c r="R6613" s="16">
        <f>HYPERLINK("https://checko.ru/search?query=3801001629","Чекко: проверить")</f>
        <v/>
      </c>
      <c r="S6613" t="n">
        <v>1</v>
      </c>
      <c r="T6613" s="35" t="inlineStr">
        <is>
          <t>4 — Не обогащён</t>
        </is>
      </c>
      <c r="U6613" s="35" t="inlineStr">
        <is>
          <t>Нет ОКВЭД/ССЧР</t>
        </is>
      </c>
      <c r="V6613" s="35" t="inlineStr">
        <is>
          <t>Не определено</t>
        </is>
      </c>
      <c r="W6613" s="35" t="inlineStr">
        <is>
          <t>Нет</t>
        </is>
      </c>
      <c r="X6613" s="35" t="inlineStr"/>
    </row>
    <row r="6614" ht="27.75" customHeight="1" s="24">
      <c r="A6614" s="13" t="inlineStr">
        <is>
          <t>FR826248</t>
        </is>
      </c>
      <c r="B6614" s="13" t="inlineStr">
        <is>
          <t>Общество с ограниченной ответственностью "ТРУШКИН И ПАРТНЕРЫ"</t>
        </is>
      </c>
      <c r="C6614" s="13" t="n">
        <v>3827057947</v>
      </c>
      <c r="D6614" s="13" t="inlineStr">
        <is>
          <t>3827057947</t>
        </is>
      </c>
      <c r="E6614" s="13" t="inlineStr">
        <is>
          <t>ЮЛ РФ</t>
        </is>
      </c>
      <c r="F6614" s="13" t="n"/>
      <c r="G6614" s="52" t="n">
        <v>1</v>
      </c>
      <c r="H6614" s="52" t="n">
        <v>2025</v>
      </c>
      <c r="I6614" s="14" t="n"/>
      <c r="J6614" s="14" t="n"/>
      <c r="K6614" s="53" t="inlineStr">
        <is>
          <t>Нет</t>
        </is>
      </c>
      <c r="L6614" s="53" t="inlineStr">
        <is>
          <t>Не определено</t>
        </is>
      </c>
      <c r="M6614" s="53" t="inlineStr">
        <is>
          <t>До 10</t>
        </is>
      </c>
      <c r="N6614" s="54" t="n">
        <v>3360</v>
      </c>
      <c r="O6614" s="55" t="inlineStr">
        <is>
          <t>1–15</t>
        </is>
      </c>
      <c r="P6614" s="16" t="inlineStr">
        <is>
          <t>ССЧР обогащена; ОКВЭД не найден/не загружен</t>
        </is>
      </c>
      <c r="Q6614" s="16" t="inlineStr">
        <is>
          <t>ФНС открытые данные ССЧР (ДатаСост 31.12.2025; набор 7707329152-sshr2019)</t>
        </is>
      </c>
      <c r="R6614" s="16">
        <f>HYPERLINK("https://checko.ru/search?query=3801001629","Чекко: проверить")</f>
        <v/>
      </c>
      <c r="S6614" t="n">
        <v>1</v>
      </c>
      <c r="T6614" s="35" t="inlineStr">
        <is>
          <t>4 — Не обогащён</t>
        </is>
      </c>
      <c r="U6614" s="35" t="inlineStr">
        <is>
          <t>Нет ОКВЭД/ССЧР</t>
        </is>
      </c>
      <c r="V6614" s="35" t="inlineStr">
        <is>
          <t>Не определено</t>
        </is>
      </c>
      <c r="W6614" s="35" t="inlineStr">
        <is>
          <t>Нет</t>
        </is>
      </c>
      <c r="X6614" s="35" t="inlineStr"/>
    </row>
    <row r="6615" ht="15" customHeight="1" s="24">
      <c r="A6615" s="13" t="inlineStr">
        <is>
          <t>FR1211079</t>
        </is>
      </c>
      <c r="B6615" s="13" t="inlineStr">
        <is>
          <t>ИП Шилова Наталья Владимировна</t>
        </is>
      </c>
      <c r="C6615" s="13" t="n">
        <v>590311825816</v>
      </c>
      <c r="D6615" s="13" t="inlineStr">
        <is>
          <t>590311825816</t>
        </is>
      </c>
      <c r="E6615" s="13" t="inlineStr">
        <is>
          <t>ИП РФ / физлицо</t>
        </is>
      </c>
      <c r="F6615" s="13" t="n"/>
      <c r="G6615" s="14" t="n"/>
      <c r="H6615" s="14" t="n"/>
      <c r="I6615" s="14" t="n"/>
      <c r="J6615" s="14" t="n"/>
      <c r="K6615" s="53" t="inlineStr"/>
      <c r="L6615" s="53" t="inlineStr">
        <is>
          <t>Не определено</t>
        </is>
      </c>
      <c r="M6615" s="53" t="inlineStr"/>
      <c r="N6615" s="54" t="inlineStr"/>
      <c r="O6615" s="55" t="inlineStr"/>
      <c r="P6615" s="16" t="inlineStr">
        <is>
          <t>Требует обогащения</t>
        </is>
      </c>
      <c r="Q6615" s="16">
        <f>HYPERLINK("https://pb.nalog.ru/search.html?query=590311825816","ФНС: проверить")</f>
        <v/>
      </c>
      <c r="R6615" s="16">
        <f>HYPERLINK("https://checko.ru/search?query=3801001629","Чекко: проверить")</f>
        <v/>
      </c>
      <c r="S6615" t="n">
        <v>1</v>
      </c>
      <c r="T6615" s="35" t="inlineStr">
        <is>
          <t>4 — Не обогащён</t>
        </is>
      </c>
      <c r="U6615" s="35" t="inlineStr">
        <is>
          <t>Нет ОКВЭД/ССЧР</t>
        </is>
      </c>
      <c r="V6615" s="35" t="inlineStr">
        <is>
          <t>Не определено</t>
        </is>
      </c>
      <c r="W6615" s="35" t="inlineStr"/>
      <c r="X6615" s="35" t="inlineStr"/>
    </row>
    <row r="6616" ht="15" customHeight="1" s="24">
      <c r="A6616" s="13" t="inlineStr">
        <is>
          <t>FR390067</t>
        </is>
      </c>
      <c r="B6616" s="13" t="inlineStr">
        <is>
          <t>ИП Балобанов Владислав Александрович</t>
        </is>
      </c>
      <c r="C6616" s="13" t="n">
        <v>183505977220</v>
      </c>
      <c r="D6616" s="13" t="inlineStr">
        <is>
          <t>183505977220</t>
        </is>
      </c>
      <c r="E6616" s="13" t="inlineStr">
        <is>
          <t>ИП РФ / физлицо</t>
        </is>
      </c>
      <c r="F6616" s="13" t="n"/>
      <c r="G6616" s="14" t="n"/>
      <c r="H6616" s="14" t="n"/>
      <c r="I6616" s="14" t="n"/>
      <c r="J6616" s="14" t="n"/>
      <c r="K6616" s="53" t="inlineStr"/>
      <c r="L6616" s="53" t="inlineStr">
        <is>
          <t>Не определено</t>
        </is>
      </c>
      <c r="M6616" s="53" t="inlineStr"/>
      <c r="N6616" s="54" t="inlineStr"/>
      <c r="O6616" s="55" t="inlineStr"/>
      <c r="P6616" s="16" t="inlineStr">
        <is>
          <t>Требует обогащения</t>
        </is>
      </c>
      <c r="Q6616" s="16">
        <f>HYPERLINK("https://pb.nalog.ru/search.html?query=183505977220","ФНС: проверить")</f>
        <v/>
      </c>
      <c r="R6616" s="16">
        <f>HYPERLINK("https://checko.ru/search?query=3801001629","Чекко: проверить")</f>
        <v/>
      </c>
      <c r="S6616" t="n">
        <v>1</v>
      </c>
      <c r="T6616" s="35" t="inlineStr">
        <is>
          <t>4 — Не обогащён</t>
        </is>
      </c>
      <c r="U6616" s="35" t="inlineStr">
        <is>
          <t>Нет ОКВЭД/ССЧР</t>
        </is>
      </c>
      <c r="V6616" s="35" t="inlineStr">
        <is>
          <t>Не определено</t>
        </is>
      </c>
      <c r="W6616" s="35" t="inlineStr"/>
      <c r="X6616" s="35" t="inlineStr"/>
    </row>
    <row r="6617" ht="15" customHeight="1" s="24">
      <c r="A6617" s="13" t="inlineStr">
        <is>
          <t>FR536363</t>
        </is>
      </c>
      <c r="B6617" s="13" t="inlineStr">
        <is>
          <t>ИП Гильфанов Алексей Михайлович</t>
        </is>
      </c>
      <c r="C6617" s="13" t="n">
        <v>382705169785</v>
      </c>
      <c r="D6617" s="13" t="inlineStr">
        <is>
          <t>382705169785</t>
        </is>
      </c>
      <c r="E6617" s="13" t="inlineStr">
        <is>
          <t>ИП РФ / физлицо</t>
        </is>
      </c>
      <c r="F6617" s="13" t="n"/>
      <c r="G6617" s="14" t="n"/>
      <c r="H6617" s="14" t="n"/>
      <c r="I6617" s="14" t="n"/>
      <c r="J6617" s="14" t="n"/>
      <c r="K6617" s="53" t="inlineStr"/>
      <c r="L6617" s="53" t="inlineStr">
        <is>
          <t>Не определено</t>
        </is>
      </c>
      <c r="M6617" s="53" t="inlineStr"/>
      <c r="N6617" s="54" t="inlineStr"/>
      <c r="O6617" s="55" t="inlineStr"/>
      <c r="P6617" s="16" t="inlineStr">
        <is>
          <t>Требует обогащения</t>
        </is>
      </c>
      <c r="Q6617" s="16">
        <f>HYPERLINK("https://pb.nalog.ru/search.html?query=382705169785","ФНС: проверить")</f>
        <v/>
      </c>
      <c r="R6617" s="16">
        <f>HYPERLINK("https://checko.ru/search?query=3801001629","Чекко: проверить")</f>
        <v/>
      </c>
      <c r="S6617" t="n">
        <v>1</v>
      </c>
      <c r="T6617" s="35" t="inlineStr">
        <is>
          <t>4 — Не обогащён</t>
        </is>
      </c>
      <c r="U6617" s="35" t="inlineStr">
        <is>
          <t>Нет ОКВЭД/ССЧР</t>
        </is>
      </c>
      <c r="V6617" s="35" t="inlineStr">
        <is>
          <t>Не определено</t>
        </is>
      </c>
      <c r="W6617" s="35" t="inlineStr"/>
      <c r="X6617" s="35" t="inlineStr"/>
    </row>
    <row r="6618" ht="41.25" customHeight="1" s="24">
      <c r="A6618" s="13" t="inlineStr">
        <is>
          <t>FR536947</t>
        </is>
      </c>
      <c r="B6618" s="13" t="inlineStr">
        <is>
          <t>ОБЩЕСТВО С ОГРАНИЧЕННОЙ ОТВЕТСТВЕННОСТЬЮ "МЕТАЛЛОПРОМЫШЛЕННАЯ ТОРГОВАЯ КОМПАНИЯ"</t>
        </is>
      </c>
      <c r="C6618" s="13" t="n">
        <v>3805702745</v>
      </c>
      <c r="D6618" s="13" t="inlineStr">
        <is>
          <t>3805702745</t>
        </is>
      </c>
      <c r="E6618" s="13" t="inlineStr">
        <is>
          <t>ЮЛ РФ</t>
        </is>
      </c>
      <c r="F6618" s="13" t="n"/>
      <c r="G6618" s="52" t="n">
        <v>1</v>
      </c>
      <c r="H6618" s="52" t="n">
        <v>2025</v>
      </c>
      <c r="I6618" s="14" t="n"/>
      <c r="J6618" s="14" t="n"/>
      <c r="K6618" s="53" t="inlineStr">
        <is>
          <t>Нет</t>
        </is>
      </c>
      <c r="L6618" s="53" t="inlineStr">
        <is>
          <t>Не определено</t>
        </is>
      </c>
      <c r="M6618" s="53" t="inlineStr">
        <is>
          <t>До 10</t>
        </is>
      </c>
      <c r="N6618" s="54" t="n">
        <v>3360</v>
      </c>
      <c r="O6618" s="55" t="inlineStr">
        <is>
          <t>1–15</t>
        </is>
      </c>
      <c r="P6618" s="16" t="inlineStr">
        <is>
          <t>ССЧР обогащена; ОКВЭД не найден/не загружен</t>
        </is>
      </c>
      <c r="Q6618" s="16" t="inlineStr">
        <is>
          <t>ФНС открытые данные ССЧР (ДатаСост 31.12.2025; набор 7707329152-sshr2019)</t>
        </is>
      </c>
      <c r="R6618" s="16">
        <f>HYPERLINK("https://checko.ru/search?query=3801001629","Чекко: проверить")</f>
        <v/>
      </c>
      <c r="S6618" t="n">
        <v>1</v>
      </c>
      <c r="T6618" s="35" t="inlineStr">
        <is>
          <t>4 — Не обогащён</t>
        </is>
      </c>
      <c r="U6618" s="35" t="inlineStr">
        <is>
          <t>Нет ОКВЭД/ССЧР</t>
        </is>
      </c>
      <c r="V6618" s="35" t="inlineStr">
        <is>
          <t>Не определено</t>
        </is>
      </c>
      <c r="W6618" s="35" t="inlineStr">
        <is>
          <t>Нет</t>
        </is>
      </c>
      <c r="X6618" s="35" t="inlineStr"/>
    </row>
    <row r="6619" ht="41.25" customHeight="1" s="24">
      <c r="A6619" s="13" t="inlineStr">
        <is>
          <t>FR832769</t>
        </is>
      </c>
      <c r="B6619" s="13" t="inlineStr">
        <is>
          <t>ОБЩЕСТВО С ОГРАНИЧЕННОЙ ОТВЕТСТВЕННОСТЬЮ "СИБИРСКАЯ АКАДЕМИЯ ОБРАЗОВАНИЯ"</t>
        </is>
      </c>
      <c r="C6619" s="13" t="n">
        <v>3849091959</v>
      </c>
      <c r="D6619" s="13" t="inlineStr">
        <is>
          <t>3849091959</t>
        </is>
      </c>
      <c r="E6619" s="13" t="inlineStr">
        <is>
          <t>ЮЛ РФ</t>
        </is>
      </c>
      <c r="F6619" s="13" t="n"/>
      <c r="G6619" s="52" t="n">
        <v>5</v>
      </c>
      <c r="H6619" s="52" t="n">
        <v>2025</v>
      </c>
      <c r="I6619" s="14" t="n"/>
      <c r="J6619" s="14" t="n"/>
      <c r="K6619" s="53" t="inlineStr">
        <is>
          <t>Нет</t>
        </is>
      </c>
      <c r="L6619" s="53" t="inlineStr">
        <is>
          <t>Не определено</t>
        </is>
      </c>
      <c r="M6619" s="53" t="inlineStr">
        <is>
          <t>До 10</t>
        </is>
      </c>
      <c r="N6619" s="54" t="n">
        <v>3360</v>
      </c>
      <c r="O6619" s="55" t="inlineStr">
        <is>
          <t>1–15</t>
        </is>
      </c>
      <c r="P6619" s="16" t="inlineStr">
        <is>
          <t>ССЧР обогащена; ОКВЭД не найден/не загружен</t>
        </is>
      </c>
      <c r="Q6619" s="16" t="inlineStr">
        <is>
          <t>ФНС открытые данные ССЧР (ДатаСост 31.12.2025; набор 7707329152-sshr2019)</t>
        </is>
      </c>
      <c r="R6619" s="16">
        <f>HYPERLINK("https://checko.ru/search?query=3801001629","Чекко: проверить")</f>
        <v/>
      </c>
      <c r="S6619" t="n">
        <v>1</v>
      </c>
      <c r="T6619" s="35" t="inlineStr">
        <is>
          <t>4 — Не обогащён</t>
        </is>
      </c>
      <c r="U6619" s="35" t="inlineStr">
        <is>
          <t>Нет ОКВЭД/ССЧР</t>
        </is>
      </c>
      <c r="V6619" s="35" t="inlineStr">
        <is>
          <t>Не определено</t>
        </is>
      </c>
      <c r="W6619" s="35" t="inlineStr">
        <is>
          <t>Нет</t>
        </is>
      </c>
      <c r="X6619" s="35" t="inlineStr"/>
    </row>
    <row r="6620" ht="27.75" customHeight="1" s="24">
      <c r="A6620" s="13" t="inlineStr">
        <is>
          <t>FR677682</t>
        </is>
      </c>
      <c r="B6620" s="13" t="inlineStr">
        <is>
          <t>Общество с ограниченной ответственностью "СИБЛИДЕР"</t>
        </is>
      </c>
      <c r="C6620" s="13" t="n">
        <v>3810332419</v>
      </c>
      <c r="D6620" s="13" t="inlineStr">
        <is>
          <t>3810332419</t>
        </is>
      </c>
      <c r="E6620" s="13" t="inlineStr">
        <is>
          <t>ЮЛ РФ</t>
        </is>
      </c>
      <c r="F6620" s="13" t="n"/>
      <c r="G6620" s="52" t="n">
        <v>4</v>
      </c>
      <c r="H6620" s="52" t="n">
        <v>2025</v>
      </c>
      <c r="I6620" s="14" t="n"/>
      <c r="J6620" s="14" t="n"/>
      <c r="K6620" s="53" t="inlineStr">
        <is>
          <t>Нет</t>
        </is>
      </c>
      <c r="L6620" s="53" t="inlineStr">
        <is>
          <t>Не определено</t>
        </is>
      </c>
      <c r="M6620" s="53" t="inlineStr">
        <is>
          <t>До 10</t>
        </is>
      </c>
      <c r="N6620" s="54" t="n">
        <v>3360</v>
      </c>
      <c r="O6620" s="55" t="inlineStr">
        <is>
          <t>1–15</t>
        </is>
      </c>
      <c r="P6620" s="16" t="inlineStr">
        <is>
          <t>ССЧР обогащена; ОКВЭД не найден/не загружен</t>
        </is>
      </c>
      <c r="Q6620" s="16" t="inlineStr">
        <is>
          <t>ФНС открытые данные ССЧР (ДатаСост 31.12.2025; набор 7707329152-sshr2019)</t>
        </is>
      </c>
      <c r="R6620" s="16">
        <f>HYPERLINK("https://checko.ru/search?query=3801001629","Чекко: проверить")</f>
        <v/>
      </c>
      <c r="S6620" t="n">
        <v>1</v>
      </c>
      <c r="T6620" s="35" t="inlineStr">
        <is>
          <t>4 — Не обогащён</t>
        </is>
      </c>
      <c r="U6620" s="35" t="inlineStr">
        <is>
          <t>Нет ОКВЭД/ССЧР</t>
        </is>
      </c>
      <c r="V6620" s="35" t="inlineStr">
        <is>
          <t>Не определено</t>
        </is>
      </c>
      <c r="W6620" s="35" t="inlineStr">
        <is>
          <t>Нет</t>
        </is>
      </c>
      <c r="X6620" s="35" t="inlineStr"/>
    </row>
    <row r="6621" ht="15" customHeight="1" s="24">
      <c r="A6621" s="13" t="inlineStr">
        <is>
          <t>FR271219</t>
        </is>
      </c>
      <c r="B6621" s="13" t="inlineStr">
        <is>
          <t>ООО "СИБСНАБСЕРВИС"</t>
        </is>
      </c>
      <c r="C6621" s="13" t="n">
        <v>3818030770</v>
      </c>
      <c r="D6621" s="13" t="inlineStr">
        <is>
          <t>3818030770</t>
        </is>
      </c>
      <c r="E6621" s="13" t="inlineStr">
        <is>
          <t>ЮЛ РФ</t>
        </is>
      </c>
      <c r="F6621" s="13" t="n"/>
      <c r="G6621" s="52" t="n">
        <v>2</v>
      </c>
      <c r="H6621" s="52" t="n">
        <v>2025</v>
      </c>
      <c r="I6621" s="14" t="n"/>
      <c r="J6621" s="14" t="n"/>
      <c r="K6621" s="53" t="inlineStr">
        <is>
          <t>Нет</t>
        </is>
      </c>
      <c r="L6621" s="53" t="inlineStr">
        <is>
          <t>Не определено</t>
        </is>
      </c>
      <c r="M6621" s="53" t="inlineStr">
        <is>
          <t>До 10</t>
        </is>
      </c>
      <c r="N6621" s="54" t="n">
        <v>3360</v>
      </c>
      <c r="O6621" s="55" t="inlineStr">
        <is>
          <t>1–15</t>
        </is>
      </c>
      <c r="P6621" s="16" t="inlineStr">
        <is>
          <t>ССЧР обогащена; ОКВЭД не найден/не загружен</t>
        </is>
      </c>
      <c r="Q6621" s="16" t="inlineStr">
        <is>
          <t>ФНС открытые данные ССЧР (ДатаСост 31.12.2025; набор 7707329152-sshr2019)</t>
        </is>
      </c>
      <c r="R6621" s="16">
        <f>HYPERLINK("https://checko.ru/search?query=3801001629","Чекко: проверить")</f>
        <v/>
      </c>
      <c r="S6621" t="n">
        <v>1</v>
      </c>
      <c r="T6621" s="35" t="inlineStr">
        <is>
          <t>4 — Не обогащён</t>
        </is>
      </c>
      <c r="U6621" s="35" t="inlineStr">
        <is>
          <t>Нет ОКВЭД/ССЧР</t>
        </is>
      </c>
      <c r="V6621" s="35" t="inlineStr">
        <is>
          <t>Не определено</t>
        </is>
      </c>
      <c r="W6621" s="35" t="inlineStr">
        <is>
          <t>Нет</t>
        </is>
      </c>
      <c r="X6621" s="35" t="inlineStr"/>
    </row>
    <row r="6622" ht="15" customHeight="1" s="24">
      <c r="A6622" s="13" t="inlineStr">
        <is>
          <t>FR1225986</t>
        </is>
      </c>
      <c r="B6622" s="13" t="inlineStr">
        <is>
          <t>ИП Баранова Татьяна Александровна</t>
        </is>
      </c>
      <c r="C6622" s="13" t="n">
        <v>752502890048</v>
      </c>
      <c r="D6622" s="13" t="inlineStr">
        <is>
          <t>752502890048</t>
        </is>
      </c>
      <c r="E6622" s="13" t="inlineStr">
        <is>
          <t>ИП РФ / физлицо</t>
        </is>
      </c>
      <c r="F6622" s="13" t="n"/>
      <c r="G6622" s="14" t="n"/>
      <c r="H6622" s="14" t="n"/>
      <c r="I6622" s="14" t="n"/>
      <c r="J6622" s="14" t="n"/>
      <c r="K6622" s="53" t="inlineStr"/>
      <c r="L6622" s="53" t="inlineStr">
        <is>
          <t>Не определено</t>
        </is>
      </c>
      <c r="M6622" s="53" t="inlineStr"/>
      <c r="N6622" s="54" t="inlineStr"/>
      <c r="O6622" s="55" t="inlineStr"/>
      <c r="P6622" s="16" t="inlineStr">
        <is>
          <t>Требует обогащения</t>
        </is>
      </c>
      <c r="Q6622" s="16">
        <f>HYPERLINK("https://pb.nalog.ru/search.html?query=752502890048","ФНС: проверить")</f>
        <v/>
      </c>
      <c r="R6622" s="16">
        <f>HYPERLINK("https://checko.ru/search?query=3801001629","Чекко: проверить")</f>
        <v/>
      </c>
      <c r="S6622" t="n">
        <v>1</v>
      </c>
      <c r="T6622" s="35" t="inlineStr">
        <is>
          <t>4 — Не обогащён</t>
        </is>
      </c>
      <c r="U6622" s="35" t="inlineStr">
        <is>
          <t>Нет ОКВЭД/ССЧР</t>
        </is>
      </c>
      <c r="V6622" s="35" t="inlineStr">
        <is>
          <t>Не определено</t>
        </is>
      </c>
      <c r="W6622" s="35" t="inlineStr"/>
      <c r="X6622" s="35" t="inlineStr"/>
    </row>
    <row r="6623" ht="15" customHeight="1" s="24">
      <c r="A6623" s="13" t="inlineStr">
        <is>
          <t>FR680672</t>
        </is>
      </c>
      <c r="B6623" s="13" t="inlineStr">
        <is>
          <t>ИП Костыря Татьяна Викторовна</t>
        </is>
      </c>
      <c r="C6623" s="13" t="n">
        <v>510803516152</v>
      </c>
      <c r="D6623" s="13" t="inlineStr">
        <is>
          <t>510803516152</t>
        </is>
      </c>
      <c r="E6623" s="13" t="inlineStr">
        <is>
          <t>ИП РФ / физлицо</t>
        </is>
      </c>
      <c r="F6623" s="13" t="n"/>
      <c r="G6623" s="14" t="n"/>
      <c r="H6623" s="14" t="n"/>
      <c r="I6623" s="14" t="n"/>
      <c r="J6623" s="14" t="n"/>
      <c r="K6623" s="53" t="inlineStr"/>
      <c r="L6623" s="53" t="inlineStr">
        <is>
          <t>Не определено</t>
        </is>
      </c>
      <c r="M6623" s="53" t="inlineStr"/>
      <c r="N6623" s="54" t="inlineStr"/>
      <c r="O6623" s="55" t="inlineStr"/>
      <c r="P6623" s="16" t="inlineStr">
        <is>
          <t>Требует обогащения</t>
        </is>
      </c>
      <c r="Q6623" s="16">
        <f>HYPERLINK("https://pb.nalog.ru/search.html?query=510803516152","ФНС: проверить")</f>
        <v/>
      </c>
      <c r="R6623" s="16">
        <f>HYPERLINK("https://checko.ru/search?query=3801001629","Чекко: проверить")</f>
        <v/>
      </c>
      <c r="S6623" t="n">
        <v>1</v>
      </c>
      <c r="T6623" s="35" t="inlineStr">
        <is>
          <t>4 — Не обогащён</t>
        </is>
      </c>
      <c r="U6623" s="35" t="inlineStr">
        <is>
          <t>Нет ОКВЭД/ССЧР</t>
        </is>
      </c>
      <c r="V6623" s="35" t="inlineStr">
        <is>
          <t>Не определено</t>
        </is>
      </c>
      <c r="W6623" s="35" t="inlineStr"/>
      <c r="X6623" s="35" t="inlineStr"/>
    </row>
    <row r="6624" ht="27.75" customHeight="1" s="24">
      <c r="A6624" s="13" t="inlineStr">
        <is>
          <t>FR1228454</t>
        </is>
      </c>
      <c r="B6624" s="13" t="inlineStr">
        <is>
          <t>Общество с ограниченной ответственностью "ОЛЬТА-ТУР"</t>
        </is>
      </c>
      <c r="C6624" s="13" t="n">
        <v>3812087709</v>
      </c>
      <c r="D6624" s="13" t="inlineStr">
        <is>
          <t>3812087709</t>
        </is>
      </c>
      <c r="E6624" s="13" t="inlineStr">
        <is>
          <t>ЮЛ РФ</t>
        </is>
      </c>
      <c r="F6624" s="13" t="n"/>
      <c r="G6624" s="52" t="n">
        <v>4</v>
      </c>
      <c r="H6624" s="52" t="n">
        <v>2025</v>
      </c>
      <c r="I6624" s="14" t="n"/>
      <c r="J6624" s="14" t="n"/>
      <c r="K6624" s="53" t="inlineStr">
        <is>
          <t>Нет</t>
        </is>
      </c>
      <c r="L6624" s="53" t="inlineStr">
        <is>
          <t>Не определено</t>
        </is>
      </c>
      <c r="M6624" s="53" t="inlineStr">
        <is>
          <t>До 10</t>
        </is>
      </c>
      <c r="N6624" s="54" t="n">
        <v>3360</v>
      </c>
      <c r="O6624" s="55" t="inlineStr">
        <is>
          <t>1–15</t>
        </is>
      </c>
      <c r="P6624" s="16" t="inlineStr">
        <is>
          <t>ССЧР обогащена; ОКВЭД не найден/не загружен</t>
        </is>
      </c>
      <c r="Q6624" s="16" t="inlineStr">
        <is>
          <t>ФНС открытые данные ССЧР (ДатаСост 31.12.2025; набор 7707329152-sshr2019)</t>
        </is>
      </c>
      <c r="R6624" s="16">
        <f>HYPERLINK("https://checko.ru/search?query=3801001629","Чекко: проверить")</f>
        <v/>
      </c>
      <c r="S6624" t="n">
        <v>1</v>
      </c>
      <c r="T6624" s="35" t="inlineStr">
        <is>
          <t>4 — Не обогащён</t>
        </is>
      </c>
      <c r="U6624" s="35" t="inlineStr">
        <is>
          <t>Нет ОКВЭД/ССЧР</t>
        </is>
      </c>
      <c r="V6624" s="35" t="inlineStr">
        <is>
          <t>Не определено</t>
        </is>
      </c>
      <c r="W6624" s="35" t="inlineStr">
        <is>
          <t>Нет</t>
        </is>
      </c>
      <c r="X6624" s="35" t="inlineStr"/>
    </row>
    <row r="6625" ht="27.75" customHeight="1" s="24">
      <c r="A6625" s="13" t="inlineStr">
        <is>
          <t>FR1228467</t>
        </is>
      </c>
      <c r="B6625" s="13" t="inlineStr">
        <is>
          <t>Общество с ограниченной ответственностью "АТМ ЛОГИСТИК"</t>
        </is>
      </c>
      <c r="C6625" s="13" t="n">
        <v>3849108031</v>
      </c>
      <c r="D6625" s="13" t="inlineStr">
        <is>
          <t>3849108031</t>
        </is>
      </c>
      <c r="E6625" s="13" t="inlineStr">
        <is>
          <t>ЮЛ РФ</t>
        </is>
      </c>
      <c r="F6625" s="13" t="n"/>
      <c r="G6625" s="52" t="n">
        <v>3</v>
      </c>
      <c r="H6625" s="52" t="n">
        <v>2025</v>
      </c>
      <c r="I6625" s="14" t="n"/>
      <c r="J6625" s="14" t="n"/>
      <c r="K6625" s="53" t="inlineStr">
        <is>
          <t>Нет</t>
        </is>
      </c>
      <c r="L6625" s="53" t="inlineStr">
        <is>
          <t>Не определено</t>
        </is>
      </c>
      <c r="M6625" s="53" t="inlineStr">
        <is>
          <t>До 10</t>
        </is>
      </c>
      <c r="N6625" s="54" t="n">
        <v>3360</v>
      </c>
      <c r="O6625" s="55" t="inlineStr">
        <is>
          <t>1–15</t>
        </is>
      </c>
      <c r="P6625" s="16" t="inlineStr">
        <is>
          <t>ССЧР обогащена; ОКВЭД не найден/не загружен</t>
        </is>
      </c>
      <c r="Q6625" s="16" t="inlineStr">
        <is>
          <t>ФНС открытые данные ССЧР (ДатаСост 31.12.2025; набор 7707329152-sshr2019)</t>
        </is>
      </c>
      <c r="R6625" s="16">
        <f>HYPERLINK("https://checko.ru/search?query=3801001629","Чекко: проверить")</f>
        <v/>
      </c>
      <c r="S6625" t="n">
        <v>1</v>
      </c>
      <c r="T6625" s="35" t="inlineStr">
        <is>
          <t>4 — Не обогащён</t>
        </is>
      </c>
      <c r="U6625" s="35" t="inlineStr">
        <is>
          <t>Нет ОКВЭД/ССЧР</t>
        </is>
      </c>
      <c r="V6625" s="35" t="inlineStr">
        <is>
          <t>Не определено</t>
        </is>
      </c>
      <c r="W6625" s="35" t="inlineStr">
        <is>
          <t>Нет</t>
        </is>
      </c>
      <c r="X6625" s="35" t="inlineStr"/>
    </row>
    <row r="6626" ht="15" customHeight="1" s="24">
      <c r="A6626" s="13" t="inlineStr">
        <is>
          <t>FR402925</t>
        </is>
      </c>
      <c r="B6626" s="13" t="inlineStr">
        <is>
          <t>ИП Титов Александр Николаевич</t>
        </is>
      </c>
      <c r="C6626" s="13" t="n">
        <v>272310995462</v>
      </c>
      <c r="D6626" s="13" t="inlineStr">
        <is>
          <t>272310995462</t>
        </is>
      </c>
      <c r="E6626" s="13" t="inlineStr">
        <is>
          <t>ИП РФ / физлицо</t>
        </is>
      </c>
      <c r="F6626" s="13" t="n"/>
      <c r="G6626" s="14" t="n"/>
      <c r="H6626" s="14" t="n"/>
      <c r="I6626" s="14" t="n"/>
      <c r="J6626" s="14" t="n"/>
      <c r="K6626" s="53" t="inlineStr"/>
      <c r="L6626" s="53" t="inlineStr">
        <is>
          <t>Не определено</t>
        </is>
      </c>
      <c r="M6626" s="53" t="inlineStr"/>
      <c r="N6626" s="54" t="inlineStr"/>
      <c r="O6626" s="55" t="inlineStr"/>
      <c r="P6626" s="16" t="inlineStr">
        <is>
          <t>Требует обогащения</t>
        </is>
      </c>
      <c r="Q6626" s="16">
        <f>HYPERLINK("https://pb.nalog.ru/search.html?query=272310995462","ФНС: проверить")</f>
        <v/>
      </c>
      <c r="R6626" s="16">
        <f>HYPERLINK("https://checko.ru/search?query=3801001629","Чекко: проверить")</f>
        <v/>
      </c>
      <c r="S6626" t="n">
        <v>1</v>
      </c>
      <c r="T6626" s="35" t="inlineStr">
        <is>
          <t>4 — Не обогащён</t>
        </is>
      </c>
      <c r="U6626" s="35" t="inlineStr">
        <is>
          <t>Нет ОКВЭД/ССЧР</t>
        </is>
      </c>
      <c r="V6626" s="35" t="inlineStr">
        <is>
          <t>Не определено</t>
        </is>
      </c>
      <c r="W6626" s="35" t="inlineStr"/>
      <c r="X6626" s="35" t="inlineStr"/>
    </row>
    <row r="6627" ht="27.75" customHeight="1" s="24">
      <c r="A6627" s="13" t="inlineStr">
        <is>
          <t>FR1213092</t>
        </is>
      </c>
      <c r="B6627" s="13" t="inlineStr">
        <is>
          <t>Общество с ограниченной ответственностью "СИ ЭМ ЛОГИСТИКС"</t>
        </is>
      </c>
      <c r="C6627" s="13" t="n">
        <v>268106145</v>
      </c>
      <c r="D6627" s="13" t="n"/>
      <c r="E6627" s="13" t="inlineStr">
        <is>
          <t>Не определён</t>
        </is>
      </c>
      <c r="F6627" s="13" t="inlineStr">
        <is>
          <t>268106145</t>
        </is>
      </c>
      <c r="G6627" s="14" t="n"/>
      <c r="H6627" s="14" t="n"/>
      <c r="I6627" s="14" t="n"/>
      <c r="J6627" s="14" t="n"/>
      <c r="K6627" s="13">
        <f>IF(G6627="","",IF(G6627&gt;=22,"Да","Нет"))</f>
        <v/>
      </c>
      <c r="L6627" s="13">
        <f>IF(OR(I6627="",J6627=""),"Не определено",IF(OR(COUNTIF(I6627,"45*")&gt;0,COUNTIF(J6627,"*45*")&gt;0,COUNTIF(I6627,"46*")&gt;0,COUNTIF(J6627,"*46*")&gt;0,COUNTIF(I6627,"47*")&gt;0,COUNTIF(J6627,"*47*")&gt;0,COUNTIF(I6627,"10*")&gt;0,COUNTIF(J6627,"*10*")&gt;0,COUNTIF(I6627,"11*")&gt;0,COUNTIF(J6627,"*11*")&gt;0,COUNTIF(I6627,"12*")&gt;0,COUNTIF(J6627,"*12*")&gt;0,COUNTIF(I6627,"13*")&gt;0,COUNTIF(J6627,"*13*")&gt;0,COUNTIF(I6627,"14*")&gt;0,COUNTIF(J6627,"*14*")&gt;0,COUNTIF(I6627,"15*")&gt;0,COUNTIF(J6627,"*15*")&gt;0,COUNTIF(I6627,"16*")&gt;0,COUNTIF(J6627,"*16*")&gt;0,COUNTIF(I6627,"17*")&gt;0,COUNTIF(J6627,"*17*")&gt;0,COUNTIF(I6627,"18*")&gt;0,COUNTIF(J6627,"*18*")&gt;0,COUNTIF(I6627,"19*")&gt;0,COUNTIF(J6627,"*19*")&gt;0,COUNTIF(I6627,"20*")&gt;0,COUNTIF(J6627,"*20*")&gt;0,COUNTIF(I6627,"21*")&gt;0,COUNTIF(J6627,"*21*")&gt;0,COUNTIF(I6627,"22*")&gt;0,COUNTIF(J6627,"*22*")&gt;0,COUNTIF(I6627,"23*")&gt;0,COUNTIF(J6627,"*23*")&gt;0,COUNTIF(I6627,"24*")&gt;0,COUNTIF(J6627,"*24*")&gt;0,COUNTIF(I6627,"25*")&gt;0,COUNTIF(J6627,"*25*")&gt;0,COUNTIF(I6627,"26*")&gt;0,COUNTIF(J6627,"*26*")&gt;0,COUNTIF(I6627,"27*")&gt;0,COUNTIF(J6627,"*27*")&gt;0,COUNTIF(I6627,"28*")&gt;0,COUNTIF(J6627,"*28*")&gt;0,COUNTIF(I6627,"29*")&gt;0,COUNTIF(J6627,"*29*")&gt;0,COUNTIF(I6627,"30*")&gt;0,COUNTIF(J6627,"*30*")&gt;0,COUNTIF(I6627,"31*")&gt;0,COUNTIF(J6627,"*31*")&gt;0,COUNTIF(I6627,"32*")&gt;0,COUNTIF(J6627,"*32*")&gt;0,COUNTIF(I6627,"33*")&gt;0,COUNTIF(J6627,"*33*")&gt;0,COUNTIF(I6627,"41*")&gt;0,COUNTIF(J6627,"*41*")&gt;0,COUNTIF(I6627,"42*")&gt;0,COUNTIF(J6627,"*42*")&gt;0,COUNTIF(I6627,"43*")&gt;0,COUNTIF(J6627,"*43*")&gt;0,COUNTIF(I6627,"49*")&gt;0,COUNTIF(J6627,"*49*")&gt;0,COUNTIF(I6627,"52*")&gt;0,COUNTIF(J6627,"*52*")&gt;0,COUNTIF(I6627,"55*")&gt;0,COUNTIF(J6627,"*55*")&gt;0,COUNTIF(I6627,"56*")&gt;0,COUNTIF(J6627,"*56*")&gt;0,COUNTIF(I6627,"68*")&gt;0,COUNTIF(J6627,"*68*")&gt;0,COUNTIF(I6627,"78*")&gt;0,COUNTIF(J6627,"*78*")&gt;0,COUNTIF(I6627,"81*")&gt;0,COUNTIF(J6627,"*81*")&gt;0,COUNTIF(I6627,"82*")&gt;0,COUNTIF(J6627,"*82*")&gt;0,COUNTIF(I6627,"64*")&gt;0,COUNTIF(J6627,"*64*")&gt;0,COUNTIF(I6627,"65*")&gt;0,COUNTIF(J6627,"*65*")&gt;0,COUNTIF(I6627,"66*")&gt;0,COUNTIF(J6627,"*66*")&gt;0,COUNTIF(I6627,"61*")&gt;0,COUNTIF(J6627,"*61*")&gt;0,COUNTIF(I6627,"62*")&gt;0,COUNTIF(J6627,"*62*")&gt;0,COUNTIF(I6627,"63*")&gt;0,COUNTIF(J6627,"*63*")&gt;0,COUNTIF(I6627,"85*")&gt;0,COUNTIF(J6627,"*85*")&gt;0,COUNTIF(I6627,"86*")&gt;0,COUNTIF(J6627,"*86*")&gt;0),"Да","Нет"))</f>
        <v/>
      </c>
      <c r="M6627" s="13">
        <f>IF(OR(G6627="",L6627&lt;&gt;"Да"),"",IF(G6627&lt;=100,"До 100",IF(G6627&lt;=200,"До 200",IF(G6627&lt;=500,"До 500","Отдельное КП"))))</f>
        <v/>
      </c>
      <c r="N6627" s="15">
        <f>IF(OR(G6627="",L6627&lt;&gt;"Да"),"",IF(G6627&lt;=100,33600,IF(G6627&lt;=200,62400,IF(G6627&lt;=500,144000,""))))</f>
        <v/>
      </c>
      <c r="O6627" s="16">
        <f>IF(G6627="","",IF(G6627&lt;=15,"1–15",IF(G6627&lt;=30,"16–30",IF(G6627&lt;=50,"31–50",IF(G6627&lt;=100,"51–100",IF(G6627&lt;=150,"101–150",IF(G6627&lt;=200,"151–200",IF(G6627&lt;=500,"201–500","500+"))))))))</f>
        <v/>
      </c>
      <c r="P6627" s="16" t="inlineStr">
        <is>
          <t>Нет совпадения в предоставленной выгрузке ССЧР</t>
        </is>
      </c>
      <c r="Q6627" s="16" t="n"/>
      <c r="R6627" s="16">
        <f>HYPERLINK("https://checko.ru/search?query=3801001629","Чекко: проверить")</f>
        <v/>
      </c>
      <c r="S6627" t="n">
        <v>0</v>
      </c>
    </row>
    <row r="6628" ht="15" customHeight="1" s="24">
      <c r="A6628" s="13" t="inlineStr">
        <is>
          <t>FR848692</t>
        </is>
      </c>
      <c r="B6628" s="13" t="inlineStr">
        <is>
          <t>ИП Красикова Татьяна Ивановна</t>
        </is>
      </c>
      <c r="C6628" s="13" t="n">
        <v>381201310099</v>
      </c>
      <c r="D6628" s="13" t="inlineStr">
        <is>
          <t>381201310099</t>
        </is>
      </c>
      <c r="E6628" s="13" t="inlineStr">
        <is>
          <t>ИП РФ / физлицо</t>
        </is>
      </c>
      <c r="F6628" s="13" t="n"/>
      <c r="G6628" s="14" t="n"/>
      <c r="H6628" s="14" t="n"/>
      <c r="I6628" s="14" t="n"/>
      <c r="J6628" s="14" t="n"/>
      <c r="K6628" s="53" t="inlineStr"/>
      <c r="L6628" s="53" t="inlineStr">
        <is>
          <t>Не определено</t>
        </is>
      </c>
      <c r="M6628" s="53" t="inlineStr"/>
      <c r="N6628" s="54" t="inlineStr"/>
      <c r="O6628" s="55" t="inlineStr"/>
      <c r="P6628" s="16" t="inlineStr">
        <is>
          <t>Требует обогащения</t>
        </is>
      </c>
      <c r="Q6628" s="16">
        <f>HYPERLINK("https://pb.nalog.ru/search.html?query=381201310099","ФНС: проверить")</f>
        <v/>
      </c>
      <c r="R6628" s="16">
        <f>HYPERLINK("https://checko.ru/search?query=3801001629","Чекко: проверить")</f>
        <v/>
      </c>
      <c r="S6628" t="n">
        <v>1</v>
      </c>
      <c r="T6628" s="35" t="inlineStr">
        <is>
          <t>4 — Не обогащён</t>
        </is>
      </c>
      <c r="U6628" s="35" t="inlineStr">
        <is>
          <t>Нет ОКВЭД/ССЧР</t>
        </is>
      </c>
      <c r="V6628" s="35" t="inlineStr">
        <is>
          <t>Не определено</t>
        </is>
      </c>
      <c r="W6628" s="35" t="inlineStr"/>
      <c r="X6628" s="35" t="inlineStr"/>
    </row>
    <row r="6629" ht="54.75" customHeight="1" s="24">
      <c r="A6629" s="13" t="inlineStr">
        <is>
          <t>FR392456</t>
        </is>
      </c>
      <c r="B6629" s="13" t="inlineStr">
        <is>
          <t>СЕЛЬСКОХОЗЯЙСТВЕННЫЙ, ПЕРЕРАБАТЫВАЮЩИЙ, СНАБЖЕНЧЕСКО-СБЫТОВОЙ ПОТРЕБИТЕЛЬСКИЙ КООПЕРАТИВ "ОЗЕРОК"</t>
        </is>
      </c>
      <c r="C6629" s="13" t="n">
        <v>3814016372</v>
      </c>
      <c r="D6629" s="13" t="inlineStr">
        <is>
          <t>3814016372</t>
        </is>
      </c>
      <c r="E6629" s="13" t="inlineStr">
        <is>
          <t>ЮЛ РФ</t>
        </is>
      </c>
      <c r="F6629" s="13" t="n"/>
      <c r="G6629" s="14" t="n"/>
      <c r="H6629" s="14" t="n"/>
      <c r="I6629" s="14" t="n"/>
      <c r="J6629" s="14" t="n"/>
      <c r="K6629" s="53" t="inlineStr"/>
      <c r="L6629" s="53" t="inlineStr">
        <is>
          <t>Не определено</t>
        </is>
      </c>
      <c r="M6629" s="53" t="inlineStr"/>
      <c r="N6629" s="54" t="inlineStr"/>
      <c r="O6629" s="55" t="inlineStr"/>
      <c r="P6629" s="16" t="inlineStr">
        <is>
          <t>Требует обогащения</t>
        </is>
      </c>
      <c r="Q6629" s="16">
        <f>HYPERLINK("https://pb.nalog.ru/search.html?query=3814016372","ФНС: проверить")</f>
        <v/>
      </c>
      <c r="R6629" s="16">
        <f>HYPERLINK("https://checko.ru/search?query=3801001629","Чекко: проверить")</f>
        <v/>
      </c>
      <c r="S6629" t="n">
        <v>0</v>
      </c>
      <c r="T6629" s="35" t="inlineStr">
        <is>
          <t>4 — Не обогащён</t>
        </is>
      </c>
      <c r="U6629" s="35" t="inlineStr">
        <is>
          <t>Нет ОКВЭД/ССЧР</t>
        </is>
      </c>
      <c r="V6629" s="35" t="inlineStr">
        <is>
          <t>Не определено</t>
        </is>
      </c>
      <c r="W6629" s="35" t="inlineStr"/>
      <c r="X6629" s="35" t="inlineStr"/>
    </row>
    <row r="6630" ht="41.25" customHeight="1" s="24">
      <c r="A6630" s="13" t="inlineStr">
        <is>
          <t>FR538437</t>
        </is>
      </c>
      <c r="B6630" s="13" t="inlineStr">
        <is>
          <t>ОБЩЕСТВО С ОГРАНИЧЕННОЙ ОТВЕТСТВЕННОСТЬЮ "ПРОЕКТНО-ПЛАНИРОВОЧНАЯ МАСТЕРСКАЯ "МАСТЕР-ПЛАН"</t>
        </is>
      </c>
      <c r="C6630" s="13" t="n">
        <v>3808158636</v>
      </c>
      <c r="D6630" s="13" t="inlineStr">
        <is>
          <t>3808158636</t>
        </is>
      </c>
      <c r="E6630" s="13" t="inlineStr">
        <is>
          <t>ЮЛ РФ</t>
        </is>
      </c>
      <c r="F6630" s="13" t="n"/>
      <c r="G6630" s="52" t="n">
        <v>29</v>
      </c>
      <c r="H6630" s="52" t="n">
        <v>2025</v>
      </c>
      <c r="I6630" s="52" t="inlineStr">
        <is>
          <t>71.11.1</t>
        </is>
      </c>
      <c r="J6630" s="52" t="inlineStr">
        <is>
          <t>71.11.1; 41.20; 70.22; 71.11; 71.12.4; 71.12.5; 71.12.6; 71.12.9; 71.12.42; 72.20; 73.20</t>
        </is>
      </c>
      <c r="K6630" s="53" t="inlineStr">
        <is>
          <t>Да</t>
        </is>
      </c>
      <c r="L6630" s="53" t="inlineStr">
        <is>
          <t>Да</t>
        </is>
      </c>
      <c r="M6630" s="53" t="inlineStr">
        <is>
          <t>До 50</t>
        </is>
      </c>
      <c r="N6630" s="54" t="n">
        <v>16800</v>
      </c>
      <c r="O6630" s="55" t="inlineStr">
        <is>
          <t>16–30</t>
        </is>
      </c>
      <c r="P6630" s="16" t="inlineStr">
        <is>
          <t>ССЧР + ОКВЭД обогащены</t>
        </is>
      </c>
      <c r="Q6630" s="16" t="inlineStr">
        <is>
          <t>ФНС открытые данные ССЧР (ДатаСост 31.12.2025; набор 7707329152-sshr2019)</t>
        </is>
      </c>
      <c r="R6630" s="16" t="inlineStr">
        <is>
          <t>ЕГРЮЛ / egrul.nalog.ru (выписка)</t>
        </is>
      </c>
      <c r="S6630" t="n">
        <v>1</v>
      </c>
      <c r="T6630" s="35" t="inlineStr">
        <is>
          <t>1 — Горячий</t>
        </is>
      </c>
      <c r="U6630" s="35" t="inlineStr">
        <is>
          <t>ОКВЭД + 22+</t>
        </is>
      </c>
      <c r="V6630" s="35" t="inlineStr">
        <is>
          <t>Да</t>
        </is>
      </c>
      <c r="W6630" s="35" t="inlineStr">
        <is>
          <t>Да</t>
        </is>
      </c>
      <c r="X6630" s="35" t="inlineStr">
        <is>
          <t>Да</t>
        </is>
      </c>
    </row>
    <row r="6631" ht="15" customHeight="1" s="24">
      <c r="A6631" s="13" t="inlineStr">
        <is>
          <t>FR1220882</t>
        </is>
      </c>
      <c r="B6631" s="13" t="inlineStr">
        <is>
          <t>ИП Дармаева Ирина Жалсараевна</t>
        </is>
      </c>
      <c r="C6631" s="13" t="n">
        <v>32615175505</v>
      </c>
      <c r="D6631" s="13" t="n"/>
      <c r="E6631" s="13" t="inlineStr">
        <is>
          <t>Не определён</t>
        </is>
      </c>
      <c r="F6631" s="13" t="n"/>
      <c r="G6631" s="14" t="n"/>
      <c r="H6631" s="14" t="n"/>
      <c r="I6631" s="14" t="n"/>
      <c r="J6631" s="14" t="n"/>
      <c r="K6631" s="13">
        <f>IF(G6631="","",IF(G6631&gt;=22,"Да","Нет"))</f>
        <v/>
      </c>
      <c r="L6631" s="13">
        <f>IF(OR(I6631="",J6631=""),"Не определено",IF(OR(COUNTIF(I6631,"45*")&gt;0,COUNTIF(J6631,"*45*")&gt;0,COUNTIF(I6631,"46*")&gt;0,COUNTIF(J6631,"*46*")&gt;0,COUNTIF(I6631,"47*")&gt;0,COUNTIF(J6631,"*47*")&gt;0,COUNTIF(I6631,"10*")&gt;0,COUNTIF(J6631,"*10*")&gt;0,COUNTIF(I6631,"11*")&gt;0,COUNTIF(J6631,"*11*")&gt;0,COUNTIF(I6631,"12*")&gt;0,COUNTIF(J6631,"*12*")&gt;0,COUNTIF(I6631,"13*")&gt;0,COUNTIF(J6631,"*13*")&gt;0,COUNTIF(I6631,"14*")&gt;0,COUNTIF(J6631,"*14*")&gt;0,COUNTIF(I6631,"15*")&gt;0,COUNTIF(J6631,"*15*")&gt;0,COUNTIF(I6631,"16*")&gt;0,COUNTIF(J6631,"*16*")&gt;0,COUNTIF(I6631,"17*")&gt;0,COUNTIF(J6631,"*17*")&gt;0,COUNTIF(I6631,"18*")&gt;0,COUNTIF(J6631,"*18*")&gt;0,COUNTIF(I6631,"19*")&gt;0,COUNTIF(J6631,"*19*")&gt;0,COUNTIF(I6631,"20*")&gt;0,COUNTIF(J6631,"*20*")&gt;0,COUNTIF(I6631,"21*")&gt;0,COUNTIF(J6631,"*21*")&gt;0,COUNTIF(I6631,"22*")&gt;0,COUNTIF(J6631,"*22*")&gt;0,COUNTIF(I6631,"23*")&gt;0,COUNTIF(J6631,"*23*")&gt;0,COUNTIF(I6631,"24*")&gt;0,COUNTIF(J6631,"*24*")&gt;0,COUNTIF(I6631,"25*")&gt;0,COUNTIF(J6631,"*25*")&gt;0,COUNTIF(I6631,"26*")&gt;0,COUNTIF(J6631,"*26*")&gt;0,COUNTIF(I6631,"27*")&gt;0,COUNTIF(J6631,"*27*")&gt;0,COUNTIF(I6631,"28*")&gt;0,COUNTIF(J6631,"*28*")&gt;0,COUNTIF(I6631,"29*")&gt;0,COUNTIF(J6631,"*29*")&gt;0,COUNTIF(I6631,"30*")&gt;0,COUNTIF(J6631,"*30*")&gt;0,COUNTIF(I6631,"31*")&gt;0,COUNTIF(J6631,"*31*")&gt;0,COUNTIF(I6631,"32*")&gt;0,COUNTIF(J6631,"*32*")&gt;0,COUNTIF(I6631,"33*")&gt;0,COUNTIF(J6631,"*33*")&gt;0,COUNTIF(I6631,"41*")&gt;0,COUNTIF(J6631,"*41*")&gt;0,COUNTIF(I6631,"42*")&gt;0,COUNTIF(J6631,"*42*")&gt;0,COUNTIF(I6631,"43*")&gt;0,COUNTIF(J6631,"*43*")&gt;0,COUNTIF(I6631,"49*")&gt;0,COUNTIF(J6631,"*49*")&gt;0,COUNTIF(I6631,"52*")&gt;0,COUNTIF(J6631,"*52*")&gt;0,COUNTIF(I6631,"55*")&gt;0,COUNTIF(J6631,"*55*")&gt;0,COUNTIF(I6631,"56*")&gt;0,COUNTIF(J6631,"*56*")&gt;0,COUNTIF(I6631,"68*")&gt;0,COUNTIF(J6631,"*68*")&gt;0,COUNTIF(I6631,"78*")&gt;0,COUNTIF(J6631,"*78*")&gt;0,COUNTIF(I6631,"81*")&gt;0,COUNTIF(J6631,"*81*")&gt;0,COUNTIF(I6631,"82*")&gt;0,COUNTIF(J6631,"*82*")&gt;0,COUNTIF(I6631,"64*")&gt;0,COUNTIF(J6631,"*64*")&gt;0,COUNTIF(I6631,"65*")&gt;0,COUNTIF(J6631,"*65*")&gt;0,COUNTIF(I6631,"66*")&gt;0,COUNTIF(J6631,"*66*")&gt;0,COUNTIF(I6631,"61*")&gt;0,COUNTIF(J6631,"*61*")&gt;0,COUNTIF(I6631,"62*")&gt;0,COUNTIF(J6631,"*62*")&gt;0,COUNTIF(I6631,"63*")&gt;0,COUNTIF(J6631,"*63*")&gt;0,COUNTIF(I6631,"85*")&gt;0,COUNTIF(J6631,"*85*")&gt;0,COUNTIF(I6631,"86*")&gt;0,COUNTIF(J6631,"*86*")&gt;0),"Да","Нет"))</f>
        <v/>
      </c>
      <c r="M6631" s="13">
        <f>IF(OR(G6631="",L6631&lt;&gt;"Да"),"",IF(G6631&lt;=100,"До 100",IF(G6631&lt;=200,"До 200",IF(G6631&lt;=500,"До 500","Отдельное КП"))))</f>
        <v/>
      </c>
      <c r="N6631" s="15">
        <f>IF(OR(G6631="",L6631&lt;&gt;"Да"),"",IF(G6631&lt;=100,33600,IF(G6631&lt;=200,62400,IF(G6631&lt;=500,144000,""))))</f>
        <v/>
      </c>
      <c r="O6631" s="16">
        <f>IF(G6631="","",IF(G6631&lt;=15,"1–15",IF(G6631&lt;=30,"16–30",IF(G6631&lt;=50,"31–50",IF(G6631&lt;=100,"51–100",IF(G6631&lt;=150,"101–150",IF(G6631&lt;=200,"151–200",IF(G6631&lt;=500,"201–500","500+"))))))))</f>
        <v/>
      </c>
      <c r="P6631" s="16" t="inlineStr">
        <is>
          <t>Нет совпадения в предоставленной выгрузке ССЧР</t>
        </is>
      </c>
      <c r="Q6631" s="16" t="n"/>
      <c r="R6631" s="16">
        <f>HYPERLINK("https://checko.ru/search?query=3801001629","Чекко: проверить")</f>
        <v/>
      </c>
      <c r="S6631" t="n">
        <v>0</v>
      </c>
    </row>
    <row r="6632" ht="27.75" customHeight="1" s="24">
      <c r="A6632" s="13" t="inlineStr">
        <is>
          <t>FR1230435</t>
        </is>
      </c>
      <c r="B6632" s="13" t="inlineStr">
        <is>
          <t>Общество с ограниченной ответственностью  УПРАВЛЯЮЩАЯ КОМПАНИЯ "ОСНОВА"</t>
        </is>
      </c>
      <c r="C6632" s="13" t="n">
        <v>3812999430</v>
      </c>
      <c r="D6632" s="13" t="inlineStr">
        <is>
          <t>3812999430</t>
        </is>
      </c>
      <c r="E6632" s="13" t="inlineStr">
        <is>
          <t>ЮЛ РФ</t>
        </is>
      </c>
      <c r="F6632" s="13" t="n"/>
      <c r="G6632" s="52" t="n">
        <v>1</v>
      </c>
      <c r="H6632" s="52" t="n">
        <v>2025</v>
      </c>
      <c r="I6632" s="14" t="n"/>
      <c r="J6632" s="14" t="n"/>
      <c r="K6632" s="53" t="inlineStr">
        <is>
          <t>Нет</t>
        </is>
      </c>
      <c r="L6632" s="53" t="inlineStr">
        <is>
          <t>Не определено</t>
        </is>
      </c>
      <c r="M6632" s="53" t="inlineStr">
        <is>
          <t>До 10</t>
        </is>
      </c>
      <c r="N6632" s="54" t="n">
        <v>3360</v>
      </c>
      <c r="O6632" s="55" t="inlineStr">
        <is>
          <t>1–15</t>
        </is>
      </c>
      <c r="P6632" s="16" t="inlineStr">
        <is>
          <t>ССЧР обогащена; ОКВЭД не найден/не загружен</t>
        </is>
      </c>
      <c r="Q6632" s="16" t="inlineStr">
        <is>
          <t>ФНС открытые данные ССЧР (ДатаСост 31.12.2025; набор 7707329152-sshr2019)</t>
        </is>
      </c>
      <c r="R6632" s="16">
        <f>HYPERLINK("https://checko.ru/search?query=3801001629","Чекко: проверить")</f>
        <v/>
      </c>
      <c r="S6632" t="n">
        <v>1</v>
      </c>
      <c r="T6632" s="35" t="inlineStr">
        <is>
          <t>4 — Не обогащён</t>
        </is>
      </c>
      <c r="U6632" s="35" t="inlineStr">
        <is>
          <t>Нет ОКВЭД/ССЧР</t>
        </is>
      </c>
      <c r="V6632" s="35" t="inlineStr">
        <is>
          <t>Не определено</t>
        </is>
      </c>
      <c r="W6632" s="35" t="inlineStr">
        <is>
          <t>Нет</t>
        </is>
      </c>
      <c r="X6632" s="35" t="inlineStr"/>
    </row>
    <row r="6633" ht="27.75" customHeight="1" s="24">
      <c r="A6633" s="13" t="inlineStr">
        <is>
          <t>FR1213678</t>
        </is>
      </c>
      <c r="B6633" s="13" t="inlineStr">
        <is>
          <t>Общество с ограниченной ответственностью "СИН ШЭН"</t>
        </is>
      </c>
      <c r="C6633" s="13" t="n">
        <v>3804117269</v>
      </c>
      <c r="D6633" s="13" t="inlineStr">
        <is>
          <t>3804117269</t>
        </is>
      </c>
      <c r="E6633" s="13" t="inlineStr">
        <is>
          <t>ЮЛ РФ</t>
        </is>
      </c>
      <c r="F6633" s="13" t="n"/>
      <c r="G6633" s="52" t="n">
        <v>5</v>
      </c>
      <c r="H6633" s="52" t="n">
        <v>2025</v>
      </c>
      <c r="I6633" s="14" t="n"/>
      <c r="J6633" s="14" t="n"/>
      <c r="K6633" s="53" t="inlineStr">
        <is>
          <t>Нет</t>
        </is>
      </c>
      <c r="L6633" s="53" t="inlineStr">
        <is>
          <t>Не определено</t>
        </is>
      </c>
      <c r="M6633" s="53" t="inlineStr">
        <is>
          <t>До 10</t>
        </is>
      </c>
      <c r="N6633" s="54" t="n">
        <v>3360</v>
      </c>
      <c r="O6633" s="55" t="inlineStr">
        <is>
          <t>1–15</t>
        </is>
      </c>
      <c r="P6633" s="16" t="inlineStr">
        <is>
          <t>ССЧР обогащена; ОКВЭД не найден/не загружен</t>
        </is>
      </c>
      <c r="Q6633" s="16" t="inlineStr">
        <is>
          <t>ФНС открытые данные ССЧР (ДатаСост 31.12.2025; набор 7707329152-sshr2019)</t>
        </is>
      </c>
      <c r="R6633" s="16">
        <f>HYPERLINK("https://checko.ru/search?query=3801001629","Чекко: проверить")</f>
        <v/>
      </c>
      <c r="S6633" t="n">
        <v>1</v>
      </c>
      <c r="T6633" s="35" t="inlineStr">
        <is>
          <t>4 — Не обогащён</t>
        </is>
      </c>
      <c r="U6633" s="35" t="inlineStr">
        <is>
          <t>Нет ОКВЭД/ССЧР</t>
        </is>
      </c>
      <c r="V6633" s="35" t="inlineStr">
        <is>
          <t>Не определено</t>
        </is>
      </c>
      <c r="W6633" s="35" t="inlineStr">
        <is>
          <t>Нет</t>
        </is>
      </c>
      <c r="X6633" s="35" t="inlineStr"/>
    </row>
    <row r="6634" ht="15" customHeight="1" s="24">
      <c r="A6634" s="13" t="inlineStr">
        <is>
          <t>FR689756</t>
        </is>
      </c>
      <c r="B6634" s="13" t="inlineStr">
        <is>
          <t>ИП Бажеев Алексей Тугутович</t>
        </is>
      </c>
      <c r="C6634" s="13" t="n">
        <v>381002014666</v>
      </c>
      <c r="D6634" s="13" t="inlineStr">
        <is>
          <t>381002014666</t>
        </is>
      </c>
      <c r="E6634" s="13" t="inlineStr">
        <is>
          <t>ИП РФ / физлицо</t>
        </is>
      </c>
      <c r="F6634" s="13" t="n"/>
      <c r="G6634" s="14" t="n"/>
      <c r="H6634" s="14" t="n"/>
      <c r="I6634" s="14" t="n"/>
      <c r="J6634" s="14" t="n"/>
      <c r="K6634" s="53" t="inlineStr"/>
      <c r="L6634" s="53" t="inlineStr">
        <is>
          <t>Не определено</t>
        </is>
      </c>
      <c r="M6634" s="53" t="inlineStr"/>
      <c r="N6634" s="54" t="inlineStr"/>
      <c r="O6634" s="55" t="inlineStr"/>
      <c r="P6634" s="16" t="inlineStr">
        <is>
          <t>Требует обогащения</t>
        </is>
      </c>
      <c r="Q6634" s="16">
        <f>HYPERLINK("https://pb.nalog.ru/search.html?query=381002014666","ФНС: проверить")</f>
        <v/>
      </c>
      <c r="R6634" s="16">
        <f>HYPERLINK("https://checko.ru/search?query=3801001629","Чекко: проверить")</f>
        <v/>
      </c>
      <c r="S6634" t="n">
        <v>1</v>
      </c>
      <c r="T6634" s="35" t="inlineStr">
        <is>
          <t>4 — Не обогащён</t>
        </is>
      </c>
      <c r="U6634" s="35" t="inlineStr">
        <is>
          <t>Нет ОКВЭД/ССЧР</t>
        </is>
      </c>
      <c r="V6634" s="35" t="inlineStr">
        <is>
          <t>Не определено</t>
        </is>
      </c>
      <c r="W6634" s="35" t="inlineStr"/>
      <c r="X6634" s="35" t="inlineStr"/>
    </row>
    <row r="6635" ht="15" customHeight="1" s="24">
      <c r="A6635" s="13" t="inlineStr">
        <is>
          <t>FR1035880</t>
        </is>
      </c>
      <c r="B6635" s="13" t="inlineStr">
        <is>
          <t>АВТОЛЮКС ООО</t>
        </is>
      </c>
      <c r="C6635" s="13" t="n">
        <v>3827031723</v>
      </c>
      <c r="D6635" s="13" t="inlineStr">
        <is>
          <t>3827031723</t>
        </is>
      </c>
      <c r="E6635" s="13" t="inlineStr">
        <is>
          <t>ЮЛ РФ</t>
        </is>
      </c>
      <c r="F6635" s="13" t="n"/>
      <c r="G6635" s="52" t="n">
        <v>2</v>
      </c>
      <c r="H6635" s="52" t="n">
        <v>2025</v>
      </c>
      <c r="I6635" s="14" t="n"/>
      <c r="J6635" s="14" t="n"/>
      <c r="K6635" s="53" t="inlineStr">
        <is>
          <t>Нет</t>
        </is>
      </c>
      <c r="L6635" s="53" t="inlineStr">
        <is>
          <t>Не определено</t>
        </is>
      </c>
      <c r="M6635" s="53" t="inlineStr">
        <is>
          <t>До 10</t>
        </is>
      </c>
      <c r="N6635" s="54" t="n">
        <v>3360</v>
      </c>
      <c r="O6635" s="55" t="inlineStr">
        <is>
          <t>1–15</t>
        </is>
      </c>
      <c r="P6635" s="16" t="inlineStr">
        <is>
          <t>ССЧР обогащена; ОКВЭД не найден/не загружен</t>
        </is>
      </c>
      <c r="Q6635" s="16" t="inlineStr">
        <is>
          <t>ФНС открытые данные ССЧР (ДатаСост 31.12.2025; набор 7707329152-sshr2019)</t>
        </is>
      </c>
      <c r="R6635" s="16">
        <f>HYPERLINK("https://checko.ru/search?query=3801001629","Чекко: проверить")</f>
        <v/>
      </c>
      <c r="S6635" t="n">
        <v>1</v>
      </c>
      <c r="T6635" s="35" t="inlineStr">
        <is>
          <t>4 — Не обогащён</t>
        </is>
      </c>
      <c r="U6635" s="35" t="inlineStr">
        <is>
          <t>Нет ОКВЭД/ССЧР</t>
        </is>
      </c>
      <c r="V6635" s="35" t="inlineStr">
        <is>
          <t>Не определено</t>
        </is>
      </c>
      <c r="W6635" s="35" t="inlineStr">
        <is>
          <t>Нет</t>
        </is>
      </c>
      <c r="X6635" s="35" t="inlineStr"/>
    </row>
    <row r="6636" ht="15" customHeight="1" s="24">
      <c r="A6636" s="13" t="inlineStr">
        <is>
          <t>FR1018245</t>
        </is>
      </c>
      <c r="B6636" s="13" t="inlineStr">
        <is>
          <t>ИП Сулейманов Теймур Гумбат Оглы</t>
        </is>
      </c>
      <c r="C6636" s="13" t="n">
        <v>381000378019</v>
      </c>
      <c r="D6636" s="13" t="inlineStr">
        <is>
          <t>381000378019</t>
        </is>
      </c>
      <c r="E6636" s="13" t="inlineStr">
        <is>
          <t>ИП РФ / физлицо</t>
        </is>
      </c>
      <c r="F6636" s="13" t="n"/>
      <c r="G6636" s="14" t="n"/>
      <c r="H6636" s="14" t="n"/>
      <c r="I6636" s="14" t="n"/>
      <c r="J6636" s="14" t="n"/>
      <c r="K6636" s="53" t="inlineStr"/>
      <c r="L6636" s="53" t="inlineStr">
        <is>
          <t>Не определено</t>
        </is>
      </c>
      <c r="M6636" s="53" t="inlineStr"/>
      <c r="N6636" s="54" t="inlineStr"/>
      <c r="O6636" s="55" t="inlineStr"/>
      <c r="P6636" s="16" t="inlineStr">
        <is>
          <t>Требует обогащения</t>
        </is>
      </c>
      <c r="Q6636" s="16">
        <f>HYPERLINK("https://pb.nalog.ru/search.html?query=381000378019","ФНС: проверить")</f>
        <v/>
      </c>
      <c r="R6636" s="16">
        <f>HYPERLINK("https://checko.ru/search?query=3801001629","Чекко: проверить")</f>
        <v/>
      </c>
      <c r="S6636" t="n">
        <v>1</v>
      </c>
      <c r="T6636" s="35" t="inlineStr">
        <is>
          <t>4 — Не обогащён</t>
        </is>
      </c>
      <c r="U6636" s="35" t="inlineStr">
        <is>
          <t>Нет ОКВЭД/ССЧР</t>
        </is>
      </c>
      <c r="V6636" s="35" t="inlineStr">
        <is>
          <t>Не определено</t>
        </is>
      </c>
      <c r="W6636" s="35" t="inlineStr"/>
      <c r="X6636" s="35" t="inlineStr"/>
    </row>
    <row r="6637" ht="27.75" customHeight="1" s="24">
      <c r="A6637" s="13" t="inlineStr">
        <is>
          <t>FR1018254</t>
        </is>
      </c>
      <c r="B6637" s="13" t="inlineStr">
        <is>
          <t>Общество с ограниченной ответственностью "КОНТИНЕНТ АВТО ТРЕЙД"</t>
        </is>
      </c>
      <c r="C6637" s="13" t="n">
        <v>3849104100</v>
      </c>
      <c r="D6637" s="13" t="inlineStr">
        <is>
          <t>3849104100</t>
        </is>
      </c>
      <c r="E6637" s="13" t="inlineStr">
        <is>
          <t>ЮЛ РФ</t>
        </is>
      </c>
      <c r="F6637" s="13" t="n"/>
      <c r="G6637" s="52" t="n">
        <v>1</v>
      </c>
      <c r="H6637" s="52" t="n">
        <v>2025</v>
      </c>
      <c r="I6637" s="14" t="n"/>
      <c r="J6637" s="14" t="n"/>
      <c r="K6637" s="53" t="inlineStr">
        <is>
          <t>Нет</t>
        </is>
      </c>
      <c r="L6637" s="53" t="inlineStr">
        <is>
          <t>Не определено</t>
        </is>
      </c>
      <c r="M6637" s="53" t="inlineStr">
        <is>
          <t>До 10</t>
        </is>
      </c>
      <c r="N6637" s="54" t="n">
        <v>3360</v>
      </c>
      <c r="O6637" s="55" t="inlineStr">
        <is>
          <t>1–15</t>
        </is>
      </c>
      <c r="P6637" s="16" t="inlineStr">
        <is>
          <t>ССЧР обогащена; ОКВЭД не найден/не загружен</t>
        </is>
      </c>
      <c r="Q6637" s="16" t="inlineStr">
        <is>
          <t>ФНС открытые данные ССЧР (ДатаСост 31.12.2025; набор 7707329152-sshr2019)</t>
        </is>
      </c>
      <c r="R6637" s="16">
        <f>HYPERLINK("https://checko.ru/search?query=3801001629","Чекко: проверить")</f>
        <v/>
      </c>
      <c r="S6637" t="n">
        <v>1</v>
      </c>
      <c r="T6637" s="35" t="inlineStr">
        <is>
          <t>4 — Не обогащён</t>
        </is>
      </c>
      <c r="U6637" s="35" t="inlineStr">
        <is>
          <t>Нет ОКВЭД/ССЧР</t>
        </is>
      </c>
      <c r="V6637" s="35" t="inlineStr">
        <is>
          <t>Не определено</t>
        </is>
      </c>
      <c r="W6637" s="35" t="inlineStr">
        <is>
          <t>Нет</t>
        </is>
      </c>
      <c r="X6637" s="35" t="inlineStr"/>
    </row>
    <row r="6638" ht="27.75" customHeight="1" s="24">
      <c r="A6638" s="13" t="inlineStr">
        <is>
          <t>FR1216180</t>
        </is>
      </c>
      <c r="B6638" s="13" t="inlineStr">
        <is>
          <t>Общество с ограниченной ответственностью "ВЕКСНАБ"</t>
        </is>
      </c>
      <c r="C6638" s="13" t="n">
        <v>3812168436</v>
      </c>
      <c r="D6638" s="13" t="inlineStr">
        <is>
          <t>3812168436</t>
        </is>
      </c>
      <c r="E6638" s="13" t="inlineStr">
        <is>
          <t>ЮЛ РФ</t>
        </is>
      </c>
      <c r="F6638" s="13" t="n"/>
      <c r="G6638" s="52" t="n">
        <v>1</v>
      </c>
      <c r="H6638" s="52" t="n">
        <v>2025</v>
      </c>
      <c r="I6638" s="14" t="n"/>
      <c r="J6638" s="14" t="n"/>
      <c r="K6638" s="53" t="inlineStr">
        <is>
          <t>Нет</t>
        </is>
      </c>
      <c r="L6638" s="53" t="inlineStr">
        <is>
          <t>Не определено</t>
        </is>
      </c>
      <c r="M6638" s="53" t="inlineStr">
        <is>
          <t>До 10</t>
        </is>
      </c>
      <c r="N6638" s="54" t="n">
        <v>3360</v>
      </c>
      <c r="O6638" s="55" t="inlineStr">
        <is>
          <t>1–15</t>
        </is>
      </c>
      <c r="P6638" s="16" t="inlineStr">
        <is>
          <t>ССЧР обогащена; ОКВЭД не найден/не загружен</t>
        </is>
      </c>
      <c r="Q6638" s="16" t="inlineStr">
        <is>
          <t>ФНС открытые данные ССЧР (ДатаСост 31.12.2025; набор 7707329152-sshr2019)</t>
        </is>
      </c>
      <c r="R6638" s="16">
        <f>HYPERLINK("https://checko.ru/search?query=3801001629","Чекко: проверить")</f>
        <v/>
      </c>
      <c r="S6638" t="n">
        <v>1</v>
      </c>
      <c r="T6638" s="35" t="inlineStr">
        <is>
          <t>4 — Не обогащён</t>
        </is>
      </c>
      <c r="U6638" s="35" t="inlineStr">
        <is>
          <t>Нет ОКВЭД/ССЧР</t>
        </is>
      </c>
      <c r="V6638" s="35" t="inlineStr">
        <is>
          <t>Не определено</t>
        </is>
      </c>
      <c r="W6638" s="35" t="inlineStr">
        <is>
          <t>Нет</t>
        </is>
      </c>
      <c r="X6638" s="35" t="inlineStr"/>
    </row>
    <row r="6639" ht="15" customHeight="1" s="24">
      <c r="A6639" s="13" t="inlineStr">
        <is>
          <t>FR20349</t>
        </is>
      </c>
      <c r="B6639" s="13" t="inlineStr">
        <is>
          <t>ООО "СибТехноСервис"</t>
        </is>
      </c>
      <c r="C6639" s="13" t="n">
        <v>3811098842</v>
      </c>
      <c r="D6639" s="13" t="inlineStr">
        <is>
          <t>3811098842</t>
        </is>
      </c>
      <c r="E6639" s="13" t="inlineStr">
        <is>
          <t>ЮЛ РФ</t>
        </is>
      </c>
      <c r="F6639" s="13" t="n"/>
      <c r="G6639" s="52" t="n">
        <v>2</v>
      </c>
      <c r="H6639" s="52" t="n">
        <v>2025</v>
      </c>
      <c r="I6639" s="14" t="n"/>
      <c r="J6639" s="14" t="n"/>
      <c r="K6639" s="53" t="inlineStr">
        <is>
          <t>Нет</t>
        </is>
      </c>
      <c r="L6639" s="53" t="inlineStr">
        <is>
          <t>Не определено</t>
        </is>
      </c>
      <c r="M6639" s="53" t="inlineStr">
        <is>
          <t>До 10</t>
        </is>
      </c>
      <c r="N6639" s="54" t="n">
        <v>3360</v>
      </c>
      <c r="O6639" s="55" t="inlineStr">
        <is>
          <t>1–15</t>
        </is>
      </c>
      <c r="P6639" s="16" t="inlineStr">
        <is>
          <t>ССЧР обогащена; ОКВЭД не найден/не загружен</t>
        </is>
      </c>
      <c r="Q6639" s="16" t="inlineStr">
        <is>
          <t>ФНС открытые данные ССЧР (ДатаСост 31.12.2025; набор 7707329152-sshr2019)</t>
        </is>
      </c>
      <c r="R6639" s="16">
        <f>HYPERLINK("https://checko.ru/search?query=3801001629","Чекко: проверить")</f>
        <v/>
      </c>
      <c r="S6639" t="n">
        <v>1</v>
      </c>
      <c r="T6639" s="35" t="inlineStr">
        <is>
          <t>4 — Не обогащён</t>
        </is>
      </c>
      <c r="U6639" s="35" t="inlineStr">
        <is>
          <t>Нет ОКВЭД/ССЧР</t>
        </is>
      </c>
      <c r="V6639" s="35" t="inlineStr">
        <is>
          <t>Не определено</t>
        </is>
      </c>
      <c r="W6639" s="35" t="inlineStr">
        <is>
          <t>Нет</t>
        </is>
      </c>
      <c r="X6639" s="35" t="inlineStr"/>
    </row>
    <row r="6640" ht="15" customHeight="1" s="24">
      <c r="A6640" s="13" t="inlineStr">
        <is>
          <t>FR16623</t>
        </is>
      </c>
      <c r="B6640" s="13" t="inlineStr">
        <is>
          <t>ИП Шатиришвили Автандил Александрович</t>
        </is>
      </c>
      <c r="C6640" s="13" t="n">
        <v>381100004169</v>
      </c>
      <c r="D6640" s="13" t="inlineStr">
        <is>
          <t>381100004169</t>
        </is>
      </c>
      <c r="E6640" s="13" t="inlineStr">
        <is>
          <t>ИП РФ / физлицо</t>
        </is>
      </c>
      <c r="F6640" s="13" t="n"/>
      <c r="G6640" s="14" t="n"/>
      <c r="H6640" s="14" t="n"/>
      <c r="I6640" s="14" t="n"/>
      <c r="J6640" s="14" t="n"/>
      <c r="K6640" s="53" t="inlineStr"/>
      <c r="L6640" s="53" t="inlineStr">
        <is>
          <t>Не определено</t>
        </is>
      </c>
      <c r="M6640" s="53" t="inlineStr"/>
      <c r="N6640" s="54" t="inlineStr"/>
      <c r="O6640" s="55" t="inlineStr"/>
      <c r="P6640" s="16" t="inlineStr">
        <is>
          <t>Требует обогащения</t>
        </is>
      </c>
      <c r="Q6640" s="16">
        <f>HYPERLINK("https://pb.nalog.ru/search.html?query=381100004169","ФНС: проверить")</f>
        <v/>
      </c>
      <c r="R6640" s="16">
        <f>HYPERLINK("https://checko.ru/search?query=3801001629","Чекко: проверить")</f>
        <v/>
      </c>
      <c r="S6640" t="n">
        <v>1</v>
      </c>
      <c r="T6640" s="35" t="inlineStr">
        <is>
          <t>4 — Не обогащён</t>
        </is>
      </c>
      <c r="U6640" s="35" t="inlineStr">
        <is>
          <t>Нет ОКВЭД/ССЧР</t>
        </is>
      </c>
      <c r="V6640" s="35" t="inlineStr">
        <is>
          <t>Не определено</t>
        </is>
      </c>
      <c r="W6640" s="35" t="inlineStr"/>
      <c r="X6640" s="35" t="inlineStr"/>
    </row>
    <row r="6641" ht="15" customHeight="1" s="24">
      <c r="A6641" s="13" t="inlineStr">
        <is>
          <t>FR15421</t>
        </is>
      </c>
      <c r="B6641" s="13" t="inlineStr">
        <is>
          <t>ООО "Свой Дом"</t>
        </is>
      </c>
      <c r="C6641" s="13" t="n">
        <v>3808149416</v>
      </c>
      <c r="D6641" s="13" t="inlineStr">
        <is>
          <t>3808149416</t>
        </is>
      </c>
      <c r="E6641" s="13" t="inlineStr">
        <is>
          <t>ЮЛ РФ</t>
        </is>
      </c>
      <c r="F6641" s="13" t="n"/>
      <c r="G6641" s="52" t="n">
        <v>9</v>
      </c>
      <c r="H6641" s="52" t="n">
        <v>2025</v>
      </c>
      <c r="I6641" s="14" t="n"/>
      <c r="J6641" s="14" t="n"/>
      <c r="K6641" s="53" t="inlineStr">
        <is>
          <t>Нет</t>
        </is>
      </c>
      <c r="L6641" s="53" t="inlineStr">
        <is>
          <t>Не определено</t>
        </is>
      </c>
      <c r="M6641" s="53" t="inlineStr">
        <is>
          <t>До 10</t>
        </is>
      </c>
      <c r="N6641" s="54" t="n">
        <v>3360</v>
      </c>
      <c r="O6641" s="55" t="inlineStr">
        <is>
          <t>1–15</t>
        </is>
      </c>
      <c r="P6641" s="16" t="inlineStr">
        <is>
          <t>ССЧР обогащена; ОКВЭД не найден/не загружен</t>
        </is>
      </c>
      <c r="Q6641" s="16" t="inlineStr">
        <is>
          <t>ФНС открытые данные ССЧР (ДатаСост 31.12.2025; набор 7707329152-sshr2019)</t>
        </is>
      </c>
      <c r="R6641" s="16">
        <f>HYPERLINK("https://checko.ru/search?query=3801001629","Чекко: проверить")</f>
        <v/>
      </c>
      <c r="S6641" t="n">
        <v>1</v>
      </c>
      <c r="T6641" s="35" t="inlineStr">
        <is>
          <t>4 — Не обогащён</t>
        </is>
      </c>
      <c r="U6641" s="35" t="inlineStr">
        <is>
          <t>Нет ОКВЭД/ССЧР</t>
        </is>
      </c>
      <c r="V6641" s="35" t="inlineStr">
        <is>
          <t>Не определено</t>
        </is>
      </c>
      <c r="W6641" s="35" t="inlineStr">
        <is>
          <t>Нет</t>
        </is>
      </c>
      <c r="X6641" s="35" t="inlineStr"/>
    </row>
    <row r="6642" ht="15" customHeight="1" s="24">
      <c r="A6642" s="13" t="inlineStr">
        <is>
          <t>FR2169</t>
        </is>
      </c>
      <c r="B6642" s="13" t="inlineStr">
        <is>
          <t>ООО "Альфа-Авто"</t>
        </is>
      </c>
      <c r="C6642" s="13" t="n">
        <v>5401342642</v>
      </c>
      <c r="D6642" s="13" t="inlineStr">
        <is>
          <t>5401342642</t>
        </is>
      </c>
      <c r="E6642" s="13" t="inlineStr">
        <is>
          <t>ЮЛ РФ</t>
        </is>
      </c>
      <c r="F6642" s="13" t="n"/>
      <c r="G6642" s="52" t="n">
        <v>5</v>
      </c>
      <c r="H6642" s="52" t="n">
        <v>2025</v>
      </c>
      <c r="I6642" s="14" t="n"/>
      <c r="J6642" s="14" t="n"/>
      <c r="K6642" s="53" t="inlineStr">
        <is>
          <t>Нет</t>
        </is>
      </c>
      <c r="L6642" s="53" t="inlineStr">
        <is>
          <t>Не определено</t>
        </is>
      </c>
      <c r="M6642" s="53" t="inlineStr">
        <is>
          <t>До 10</t>
        </is>
      </c>
      <c r="N6642" s="54" t="n">
        <v>3360</v>
      </c>
      <c r="O6642" s="55" t="inlineStr">
        <is>
          <t>1–15</t>
        </is>
      </c>
      <c r="P6642" s="16" t="inlineStr">
        <is>
          <t>ССЧР обогащена; ОКВЭД не найден/не загружен</t>
        </is>
      </c>
      <c r="Q6642" s="16" t="inlineStr">
        <is>
          <t>ФНС открытые данные ССЧР (ДатаСост 31.12.2025; набор 7707329152-sshr2019)</t>
        </is>
      </c>
      <c r="R6642" s="16">
        <f>HYPERLINK("https://checko.ru/search?query=3801001629","Чекко: проверить")</f>
        <v/>
      </c>
      <c r="S6642" t="n">
        <v>1</v>
      </c>
      <c r="T6642" s="35" t="inlineStr">
        <is>
          <t>4 — Не обогащён</t>
        </is>
      </c>
      <c r="U6642" s="35" t="inlineStr">
        <is>
          <t>Нет ОКВЭД/ССЧР</t>
        </is>
      </c>
      <c r="V6642" s="35" t="inlineStr">
        <is>
          <t>Не определено</t>
        </is>
      </c>
      <c r="W6642" s="35" t="inlineStr">
        <is>
          <t>Нет</t>
        </is>
      </c>
      <c r="X6642" s="35" t="inlineStr"/>
    </row>
    <row r="6643" ht="15" customHeight="1" s="24">
      <c r="A6643" s="13" t="inlineStr">
        <is>
          <t>FR761</t>
        </is>
      </c>
      <c r="B6643" s="13" t="inlineStr">
        <is>
          <t>ООО "Высокий стиль"</t>
        </is>
      </c>
      <c r="C6643" s="13" t="n">
        <v>3811076800</v>
      </c>
      <c r="D6643" s="13" t="inlineStr">
        <is>
          <t>3811076800</t>
        </is>
      </c>
      <c r="E6643" s="13" t="inlineStr">
        <is>
          <t>ЮЛ РФ</t>
        </is>
      </c>
      <c r="F6643" s="13" t="n"/>
      <c r="G6643" s="52" t="n">
        <v>2</v>
      </c>
      <c r="H6643" s="52" t="n">
        <v>2025</v>
      </c>
      <c r="I6643" s="14" t="n"/>
      <c r="J6643" s="14" t="n"/>
      <c r="K6643" s="53" t="inlineStr">
        <is>
          <t>Нет</t>
        </is>
      </c>
      <c r="L6643" s="53" t="inlineStr">
        <is>
          <t>Не определено</t>
        </is>
      </c>
      <c r="M6643" s="53" t="inlineStr">
        <is>
          <t>До 10</t>
        </is>
      </c>
      <c r="N6643" s="54" t="n">
        <v>3360</v>
      </c>
      <c r="O6643" s="55" t="inlineStr">
        <is>
          <t>1–15</t>
        </is>
      </c>
      <c r="P6643" s="16" t="inlineStr">
        <is>
          <t>ССЧР обогащена; ОКВЭД не найден/не загружен</t>
        </is>
      </c>
      <c r="Q6643" s="16" t="inlineStr">
        <is>
          <t>ФНС открытые данные ССЧР (ДатаСост 31.12.2025; набор 7707329152-sshr2019)</t>
        </is>
      </c>
      <c r="R6643" s="16">
        <f>HYPERLINK("https://checko.ru/search?query=3801001629","Чекко: проверить")</f>
        <v/>
      </c>
      <c r="S6643" t="n">
        <v>1</v>
      </c>
      <c r="T6643" s="35" t="inlineStr">
        <is>
          <t>4 — Не обогащён</t>
        </is>
      </c>
      <c r="U6643" s="35" t="inlineStr">
        <is>
          <t>Нет ОКВЭД/ССЧР</t>
        </is>
      </c>
      <c r="V6643" s="35" t="inlineStr">
        <is>
          <t>Не определено</t>
        </is>
      </c>
      <c r="W6643" s="35" t="inlineStr">
        <is>
          <t>Нет</t>
        </is>
      </c>
      <c r="X6643" s="35" t="inlineStr"/>
    </row>
    <row r="6644" ht="15" customHeight="1" s="24">
      <c r="A6644" s="13" t="inlineStr">
        <is>
          <t>FR175709</t>
        </is>
      </c>
      <c r="B6644" s="13" t="inlineStr">
        <is>
          <t>ИСТКОР ООО</t>
        </is>
      </c>
      <c r="C6644" s="13" t="n">
        <v>3812143551</v>
      </c>
      <c r="D6644" s="13" t="inlineStr">
        <is>
          <t>3812143551</t>
        </is>
      </c>
      <c r="E6644" s="13" t="inlineStr">
        <is>
          <t>ЮЛ РФ</t>
        </is>
      </c>
      <c r="F6644" s="13" t="n"/>
      <c r="G6644" s="52" t="n">
        <v>1</v>
      </c>
      <c r="H6644" s="52" t="n">
        <v>2025</v>
      </c>
      <c r="I6644" s="14" t="n"/>
      <c r="J6644" s="14" t="n"/>
      <c r="K6644" s="53" t="inlineStr">
        <is>
          <t>Нет</t>
        </is>
      </c>
      <c r="L6644" s="53" t="inlineStr">
        <is>
          <t>Не определено</t>
        </is>
      </c>
      <c r="M6644" s="53" t="inlineStr">
        <is>
          <t>До 10</t>
        </is>
      </c>
      <c r="N6644" s="54" t="n">
        <v>3360</v>
      </c>
      <c r="O6644" s="55" t="inlineStr">
        <is>
          <t>1–15</t>
        </is>
      </c>
      <c r="P6644" s="16" t="inlineStr">
        <is>
          <t>ССЧР обогащена; ОКВЭД не найден/не загружен</t>
        </is>
      </c>
      <c r="Q6644" s="16" t="inlineStr">
        <is>
          <t>ФНС открытые данные ССЧР (ДатаСост 31.12.2025; набор 7707329152-sshr2019)</t>
        </is>
      </c>
      <c r="R6644" s="16">
        <f>HYPERLINK("https://checko.ru/search?query=3801001629","Чекко: проверить")</f>
        <v/>
      </c>
      <c r="S6644" t="n">
        <v>1</v>
      </c>
      <c r="T6644" s="35" t="inlineStr">
        <is>
          <t>4 — Не обогащён</t>
        </is>
      </c>
      <c r="U6644" s="35" t="inlineStr">
        <is>
          <t>Нет ОКВЭД/ССЧР</t>
        </is>
      </c>
      <c r="V6644" s="35" t="inlineStr">
        <is>
          <t>Не определено</t>
        </is>
      </c>
      <c r="W6644" s="35" t="inlineStr">
        <is>
          <t>Нет</t>
        </is>
      </c>
      <c r="X6644" s="35" t="inlineStr"/>
    </row>
    <row r="6645" ht="15" customHeight="1" s="24">
      <c r="A6645" s="13" t="inlineStr">
        <is>
          <t>FR836658</t>
        </is>
      </c>
      <c r="B6645" s="13" t="inlineStr">
        <is>
          <t>Матюха Ольга Николаевна</t>
        </is>
      </c>
      <c r="C6645" s="13" t="n">
        <v>381910483960</v>
      </c>
      <c r="D6645" s="13" t="inlineStr">
        <is>
          <t>381910483960</t>
        </is>
      </c>
      <c r="E6645" s="13" t="inlineStr">
        <is>
          <t>ИП РФ / физлицо</t>
        </is>
      </c>
      <c r="F6645" s="13" t="n"/>
      <c r="G6645" s="14" t="n"/>
      <c r="H6645" s="14" t="n"/>
      <c r="I6645" s="14" t="n"/>
      <c r="J6645" s="14" t="n"/>
      <c r="K6645" s="53" t="inlineStr"/>
      <c r="L6645" s="53" t="inlineStr">
        <is>
          <t>Не определено</t>
        </is>
      </c>
      <c r="M6645" s="53" t="inlineStr"/>
      <c r="N6645" s="54" t="inlineStr"/>
      <c r="O6645" s="55" t="inlineStr"/>
      <c r="P6645" s="16" t="inlineStr">
        <is>
          <t>Требует обогащения</t>
        </is>
      </c>
      <c r="Q6645" s="16">
        <f>HYPERLINK("https://pb.nalog.ru/search.html?query=381910483960","ФНС: проверить")</f>
        <v/>
      </c>
      <c r="R6645" s="16">
        <f>HYPERLINK("https://checko.ru/search?query=3801001629","Чекко: проверить")</f>
        <v/>
      </c>
      <c r="S6645" t="n">
        <v>1</v>
      </c>
      <c r="T6645" s="35" t="inlineStr">
        <is>
          <t>4 — Не обогащён</t>
        </is>
      </c>
      <c r="U6645" s="35" t="inlineStr">
        <is>
          <t>Нет ОКВЭД/ССЧР</t>
        </is>
      </c>
      <c r="V6645" s="35" t="inlineStr">
        <is>
          <t>Не определено</t>
        </is>
      </c>
      <c r="W6645" s="35" t="inlineStr"/>
      <c r="X6645" s="35" t="inlineStr"/>
    </row>
    <row r="6646" ht="41.25" customHeight="1" s="24">
      <c r="A6646" s="13" t="inlineStr">
        <is>
          <t>FR836746</t>
        </is>
      </c>
      <c r="B6646" s="13" t="inlineStr">
        <is>
          <t>ФОНД СОЦИАЛЬНОЙ ПОМОЩИ ДЕТЯМ-СИРОТАМ, ИНВАЛИДАМ И МАЛОИМУЩИМ ГРАЖДАНАМ "ДОБРОЕ ДЕЛО"</t>
        </is>
      </c>
      <c r="C6646" s="13" t="n">
        <v>3812523578</v>
      </c>
      <c r="D6646" s="13" t="inlineStr">
        <is>
          <t>3812523578</t>
        </is>
      </c>
      <c r="E6646" s="13" t="inlineStr">
        <is>
          <t>ЮЛ РФ</t>
        </is>
      </c>
      <c r="F6646" s="13" t="n"/>
      <c r="G6646" s="14" t="n"/>
      <c r="H6646" s="14" t="n"/>
      <c r="I6646" s="14" t="n"/>
      <c r="J6646" s="14" t="n"/>
      <c r="K6646" s="53" t="inlineStr"/>
      <c r="L6646" s="53" t="inlineStr">
        <is>
          <t>Не определено</t>
        </is>
      </c>
      <c r="M6646" s="53" t="inlineStr"/>
      <c r="N6646" s="54" t="inlineStr"/>
      <c r="O6646" s="55" t="inlineStr"/>
      <c r="P6646" s="16" t="inlineStr">
        <is>
          <t>Требует обогащения</t>
        </is>
      </c>
      <c r="Q6646" s="16">
        <f>HYPERLINK("https://pb.nalog.ru/search.html?query=3812523578","ФНС: проверить")</f>
        <v/>
      </c>
      <c r="R6646" s="16">
        <f>HYPERLINK("https://checko.ru/search?query=3801001629","Чекко: проверить")</f>
        <v/>
      </c>
      <c r="S6646" t="n">
        <v>1</v>
      </c>
      <c r="T6646" s="35" t="inlineStr">
        <is>
          <t>4 — Не обогащён</t>
        </is>
      </c>
      <c r="U6646" s="35" t="inlineStr">
        <is>
          <t>Нет ОКВЭД/ССЧР</t>
        </is>
      </c>
      <c r="V6646" s="35" t="inlineStr">
        <is>
          <t>Не определено</t>
        </is>
      </c>
      <c r="W6646" s="35" t="inlineStr"/>
      <c r="X6646" s="35" t="inlineStr"/>
    </row>
    <row r="6647" ht="27.75" customHeight="1" s="24">
      <c r="A6647" s="13" t="inlineStr">
        <is>
          <t>FR801258</t>
        </is>
      </c>
      <c r="B6647" s="13" t="inlineStr">
        <is>
          <t>Общество с ограниченной ответственностью "ХОЛОД ПРО"</t>
        </is>
      </c>
      <c r="C6647" s="13" t="n">
        <v>2223608981</v>
      </c>
      <c r="D6647" s="13" t="inlineStr">
        <is>
          <t>2223608981</t>
        </is>
      </c>
      <c r="E6647" s="13" t="inlineStr">
        <is>
          <t>ЮЛ РФ</t>
        </is>
      </c>
      <c r="F6647" s="13" t="n"/>
      <c r="G6647" s="52" t="n">
        <v>1</v>
      </c>
      <c r="H6647" s="52" t="n">
        <v>2025</v>
      </c>
      <c r="I6647" s="14" t="n"/>
      <c r="J6647" s="14" t="n"/>
      <c r="K6647" s="53" t="inlineStr">
        <is>
          <t>Нет</t>
        </is>
      </c>
      <c r="L6647" s="53" t="inlineStr">
        <is>
          <t>Не определено</t>
        </is>
      </c>
      <c r="M6647" s="53" t="inlineStr">
        <is>
          <t>До 10</t>
        </is>
      </c>
      <c r="N6647" s="54" t="n">
        <v>3360</v>
      </c>
      <c r="O6647" s="55" t="inlineStr">
        <is>
          <t>1–15</t>
        </is>
      </c>
      <c r="P6647" s="16" t="inlineStr">
        <is>
          <t>ССЧР обогащена; ОКВЭД не найден/не загружен</t>
        </is>
      </c>
      <c r="Q6647" s="16" t="inlineStr">
        <is>
          <t>ФНС открытые данные ССЧР (ДатаСост 31.12.2025; набор 7707329152-sshr2019)</t>
        </is>
      </c>
      <c r="R6647" s="16">
        <f>HYPERLINK("https://checko.ru/search?query=3801001629","Чекко: проверить")</f>
        <v/>
      </c>
      <c r="S6647" t="n">
        <v>1</v>
      </c>
      <c r="T6647" s="35" t="inlineStr">
        <is>
          <t>4 — Не обогащён</t>
        </is>
      </c>
      <c r="U6647" s="35" t="inlineStr">
        <is>
          <t>Нет ОКВЭД/ССЧР</t>
        </is>
      </c>
      <c r="V6647" s="35" t="inlineStr">
        <is>
          <t>Не определено</t>
        </is>
      </c>
      <c r="W6647" s="35" t="inlineStr">
        <is>
          <t>Нет</t>
        </is>
      </c>
      <c r="X6647" s="35" t="inlineStr"/>
    </row>
    <row r="6648" ht="15" customHeight="1" s="24">
      <c r="A6648" s="13" t="inlineStr">
        <is>
          <t>FR837296</t>
        </is>
      </c>
      <c r="B6648" s="13" t="inlineStr">
        <is>
          <t>ИП Масько Юлия Андреевна</t>
        </is>
      </c>
      <c r="C6648" s="13" t="n">
        <v>381251363850</v>
      </c>
      <c r="D6648" s="13" t="inlineStr">
        <is>
          <t>381251363850</t>
        </is>
      </c>
      <c r="E6648" s="13" t="inlineStr">
        <is>
          <t>ИП РФ / физлицо</t>
        </is>
      </c>
      <c r="F6648" s="13" t="n"/>
      <c r="G6648" s="14" t="n"/>
      <c r="H6648" s="14" t="n"/>
      <c r="I6648" s="14" t="n"/>
      <c r="J6648" s="14" t="n"/>
      <c r="K6648" s="53" t="inlineStr"/>
      <c r="L6648" s="53" t="inlineStr">
        <is>
          <t>Не определено</t>
        </is>
      </c>
      <c r="M6648" s="53" t="inlineStr"/>
      <c r="N6648" s="54" t="inlineStr"/>
      <c r="O6648" s="55" t="inlineStr"/>
      <c r="P6648" s="16" t="inlineStr">
        <is>
          <t>Требует обогащения</t>
        </is>
      </c>
      <c r="Q6648" s="16">
        <f>HYPERLINK("https://pb.nalog.ru/search.html?query=381251363850","ФНС: проверить")</f>
        <v/>
      </c>
      <c r="R6648" s="16">
        <f>HYPERLINK("https://checko.ru/search?query=3801001629","Чекко: проверить")</f>
        <v/>
      </c>
      <c r="S6648" t="n">
        <v>1</v>
      </c>
      <c r="T6648" s="35" t="inlineStr">
        <is>
          <t>4 — Не обогащён</t>
        </is>
      </c>
      <c r="U6648" s="35" t="inlineStr">
        <is>
          <t>Нет ОКВЭД/ССЧР</t>
        </is>
      </c>
      <c r="V6648" s="35" t="inlineStr">
        <is>
          <t>Не определено</t>
        </is>
      </c>
      <c r="W6648" s="35" t="inlineStr"/>
      <c r="X6648" s="35" t="inlineStr"/>
    </row>
    <row r="6649" ht="15" customHeight="1" s="24">
      <c r="A6649" s="13" t="inlineStr">
        <is>
          <t>FR1021856</t>
        </is>
      </c>
      <c r="B6649" s="13" t="inlineStr">
        <is>
          <t>ИП Шульга Анна Петровна</t>
        </is>
      </c>
      <c r="C6649" s="13" t="n">
        <v>380896516458</v>
      </c>
      <c r="D6649" s="13" t="inlineStr">
        <is>
          <t>380896516458</t>
        </is>
      </c>
      <c r="E6649" s="13" t="inlineStr">
        <is>
          <t>ИП РФ / физлицо</t>
        </is>
      </c>
      <c r="F6649" s="13" t="n"/>
      <c r="G6649" s="14" t="n"/>
      <c r="H6649" s="14" t="n"/>
      <c r="I6649" s="14" t="n"/>
      <c r="J6649" s="14" t="n"/>
      <c r="K6649" s="53" t="inlineStr"/>
      <c r="L6649" s="53" t="inlineStr">
        <is>
          <t>Не определено</t>
        </is>
      </c>
      <c r="M6649" s="53" t="inlineStr"/>
      <c r="N6649" s="54" t="inlineStr"/>
      <c r="O6649" s="55" t="inlineStr"/>
      <c r="P6649" s="16" t="inlineStr">
        <is>
          <t>Требует обогащения</t>
        </is>
      </c>
      <c r="Q6649" s="16">
        <f>HYPERLINK("https://pb.nalog.ru/search.html?query=380896516458","ФНС: проверить")</f>
        <v/>
      </c>
      <c r="R6649" s="16">
        <f>HYPERLINK("https://checko.ru/search?query=3801001629","Чекко: проверить")</f>
        <v/>
      </c>
      <c r="S6649" t="n">
        <v>1</v>
      </c>
      <c r="T6649" s="35" t="inlineStr">
        <is>
          <t>4 — Не обогащён</t>
        </is>
      </c>
      <c r="U6649" s="35" t="inlineStr">
        <is>
          <t>Нет ОКВЭД/ССЧР</t>
        </is>
      </c>
      <c r="V6649" s="35" t="inlineStr">
        <is>
          <t>Не определено</t>
        </is>
      </c>
      <c r="W6649" s="35" t="inlineStr"/>
      <c r="X6649" s="35" t="inlineStr"/>
    </row>
    <row r="6650" ht="15" customHeight="1" s="24">
      <c r="A6650" s="13" t="inlineStr">
        <is>
          <t>FR684627</t>
        </is>
      </c>
      <c r="B6650" s="13" t="inlineStr">
        <is>
          <t>ИП Доровских Кристина Васильевна</t>
        </is>
      </c>
      <c r="C6650" s="13" t="n">
        <v>381012111605</v>
      </c>
      <c r="D6650" s="13" t="inlineStr">
        <is>
          <t>381012111605</t>
        </is>
      </c>
      <c r="E6650" s="13" t="inlineStr">
        <is>
          <t>ИП РФ / физлицо</t>
        </is>
      </c>
      <c r="F6650" s="13" t="n"/>
      <c r="G6650" s="14" t="n"/>
      <c r="H6650" s="14" t="n"/>
      <c r="I6650" s="14" t="n"/>
      <c r="J6650" s="14" t="n"/>
      <c r="K6650" s="53" t="inlineStr"/>
      <c r="L6650" s="53" t="inlineStr">
        <is>
          <t>Не определено</t>
        </is>
      </c>
      <c r="M6650" s="53" t="inlineStr"/>
      <c r="N6650" s="54" t="inlineStr"/>
      <c r="O6650" s="55" t="inlineStr"/>
      <c r="P6650" s="16" t="inlineStr">
        <is>
          <t>Требует обогащения</t>
        </is>
      </c>
      <c r="Q6650" s="16">
        <f>HYPERLINK("https://pb.nalog.ru/search.html?query=381012111605","ФНС: проверить")</f>
        <v/>
      </c>
      <c r="R6650" s="16">
        <f>HYPERLINK("https://checko.ru/search?query=3801001629","Чекко: проверить")</f>
        <v/>
      </c>
      <c r="S6650" t="n">
        <v>1</v>
      </c>
      <c r="T6650" s="35" t="inlineStr">
        <is>
          <t>4 — Не обогащён</t>
        </is>
      </c>
      <c r="U6650" s="35" t="inlineStr">
        <is>
          <t>Нет ОКВЭД/ССЧР</t>
        </is>
      </c>
      <c r="V6650" s="35" t="inlineStr">
        <is>
          <t>Не определено</t>
        </is>
      </c>
      <c r="W6650" s="35" t="inlineStr"/>
      <c r="X6650" s="35" t="inlineStr"/>
    </row>
    <row r="6651" ht="15" customHeight="1" s="24">
      <c r="A6651" s="13" t="inlineStr">
        <is>
          <t>FR68</t>
        </is>
      </c>
      <c r="B6651" s="13" t="inlineStr">
        <is>
          <t>ООО "Тико"</t>
        </is>
      </c>
      <c r="C6651" s="13" t="n">
        <v>3804027791</v>
      </c>
      <c r="D6651" s="13" t="inlineStr">
        <is>
          <t>3804027791</t>
        </is>
      </c>
      <c r="E6651" s="13" t="inlineStr">
        <is>
          <t>ЮЛ РФ</t>
        </is>
      </c>
      <c r="F6651" s="13" t="n"/>
      <c r="G6651" s="52" t="n">
        <v>3</v>
      </c>
      <c r="H6651" s="52" t="n">
        <v>2025</v>
      </c>
      <c r="I6651" s="14" t="n"/>
      <c r="J6651" s="14" t="n"/>
      <c r="K6651" s="53" t="inlineStr">
        <is>
          <t>Нет</t>
        </is>
      </c>
      <c r="L6651" s="53" t="inlineStr">
        <is>
          <t>Не определено</t>
        </is>
      </c>
      <c r="M6651" s="53" t="inlineStr">
        <is>
          <t>До 10</t>
        </is>
      </c>
      <c r="N6651" s="54" t="n">
        <v>3360</v>
      </c>
      <c r="O6651" s="55" t="inlineStr">
        <is>
          <t>1–15</t>
        </is>
      </c>
      <c r="P6651" s="16" t="inlineStr">
        <is>
          <t>ССЧР обогащена; ОКВЭД не найден/не загружен</t>
        </is>
      </c>
      <c r="Q6651" s="16" t="inlineStr">
        <is>
          <t>ФНС открытые данные ССЧР (ДатаСост 31.12.2025; набор 7707329152-sshr2019)</t>
        </is>
      </c>
      <c r="R6651" s="16">
        <f>HYPERLINK("https://checko.ru/search?query=3801001629","Чекко: проверить")</f>
        <v/>
      </c>
      <c r="S6651" t="n">
        <v>1</v>
      </c>
      <c r="T6651" s="35" t="inlineStr">
        <is>
          <t>4 — Не обогащён</t>
        </is>
      </c>
      <c r="U6651" s="35" t="inlineStr">
        <is>
          <t>Нет ОКВЭД/ССЧР</t>
        </is>
      </c>
      <c r="V6651" s="35" t="inlineStr">
        <is>
          <t>Не определено</t>
        </is>
      </c>
      <c r="W6651" s="35" t="inlineStr">
        <is>
          <t>Нет</t>
        </is>
      </c>
      <c r="X6651" s="35" t="inlineStr"/>
    </row>
    <row r="6652" ht="27.75" customHeight="1" s="24">
      <c r="A6652" s="13" t="inlineStr">
        <is>
          <t>FR988551</t>
        </is>
      </c>
      <c r="B6652" s="13" t="inlineStr">
        <is>
          <t>Общество с ограниченной ответственностью "ПОЛКА 38"</t>
        </is>
      </c>
      <c r="C6652" s="13" t="n">
        <v>3812141219</v>
      </c>
      <c r="D6652" s="13" t="inlineStr">
        <is>
          <t>3812141219</t>
        </is>
      </c>
      <c r="E6652" s="13" t="inlineStr">
        <is>
          <t>ЮЛ РФ</t>
        </is>
      </c>
      <c r="F6652" s="13" t="n"/>
      <c r="G6652" s="52" t="n">
        <v>2</v>
      </c>
      <c r="H6652" s="52" t="n">
        <v>2025</v>
      </c>
      <c r="I6652" s="14" t="n"/>
      <c r="J6652" s="14" t="n"/>
      <c r="K6652" s="53" t="inlineStr">
        <is>
          <t>Нет</t>
        </is>
      </c>
      <c r="L6652" s="53" t="inlineStr">
        <is>
          <t>Не определено</t>
        </is>
      </c>
      <c r="M6652" s="53" t="inlineStr">
        <is>
          <t>До 10</t>
        </is>
      </c>
      <c r="N6652" s="54" t="n">
        <v>3360</v>
      </c>
      <c r="O6652" s="55" t="inlineStr">
        <is>
          <t>1–15</t>
        </is>
      </c>
      <c r="P6652" s="16" t="inlineStr">
        <is>
          <t>ССЧР обогащена; ОКВЭД не найден/не загружен</t>
        </is>
      </c>
      <c r="Q6652" s="16" t="inlineStr">
        <is>
          <t>ФНС открытые данные ССЧР (ДатаСост 31.12.2025; набор 7707329152-sshr2019)</t>
        </is>
      </c>
      <c r="R6652" s="16">
        <f>HYPERLINK("https://checko.ru/search?query=3801001629","Чекко: проверить")</f>
        <v/>
      </c>
      <c r="S6652" t="n">
        <v>1</v>
      </c>
      <c r="T6652" s="35" t="inlineStr">
        <is>
          <t>4 — Не обогащён</t>
        </is>
      </c>
      <c r="U6652" s="35" t="inlineStr">
        <is>
          <t>Нет ОКВЭД/ССЧР</t>
        </is>
      </c>
      <c r="V6652" s="35" t="inlineStr">
        <is>
          <t>Не определено</t>
        </is>
      </c>
      <c r="W6652" s="35" t="inlineStr">
        <is>
          <t>Нет</t>
        </is>
      </c>
      <c r="X6652" s="35" t="inlineStr"/>
    </row>
    <row r="6653" ht="27.75" customHeight="1" s="24">
      <c r="A6653" s="13" t="inlineStr">
        <is>
          <t>FR541176</t>
        </is>
      </c>
      <c r="B6653" s="13" t="inlineStr">
        <is>
          <t>ОБЩЕСТВО С ОГРАНИЧЕННОЙ ОТВЕТСТВЕННОСТЬЮ "ЗАОТЭКС"</t>
        </is>
      </c>
      <c r="C6653" s="13" t="n">
        <v>3849075643</v>
      </c>
      <c r="D6653" s="13" t="inlineStr">
        <is>
          <t>3849075643</t>
        </is>
      </c>
      <c r="E6653" s="13" t="inlineStr">
        <is>
          <t>ЮЛ РФ</t>
        </is>
      </c>
      <c r="F6653" s="13" t="n"/>
      <c r="G6653" s="52" t="n">
        <v>12</v>
      </c>
      <c r="H6653" s="52" t="n">
        <v>2025</v>
      </c>
      <c r="I6653" s="14" t="n"/>
      <c r="J6653" s="14" t="n"/>
      <c r="K6653" s="53" t="inlineStr">
        <is>
          <t>Нет</t>
        </is>
      </c>
      <c r="L6653" s="53" t="inlineStr">
        <is>
          <t>Не определено</t>
        </is>
      </c>
      <c r="M6653" s="53" t="inlineStr">
        <is>
          <t>До 25</t>
        </is>
      </c>
      <c r="N6653" s="54" t="n">
        <v>8400</v>
      </c>
      <c r="O6653" s="55" t="inlineStr">
        <is>
          <t>1–15</t>
        </is>
      </c>
      <c r="P6653" s="16" t="inlineStr">
        <is>
          <t>ССЧР обогащена; ОКВЭД не найден/не загружен</t>
        </is>
      </c>
      <c r="Q6653" s="16" t="inlineStr">
        <is>
          <t>ФНС открытые данные ССЧР (ДатаСост 31.12.2025; набор 7707329152-sshr2019)</t>
        </is>
      </c>
      <c r="R6653" s="16">
        <f>HYPERLINK("https://checko.ru/search?query=3801001629","Чекко: проверить")</f>
        <v/>
      </c>
      <c r="S6653" t="n">
        <v>1</v>
      </c>
      <c r="T6653" s="35" t="inlineStr">
        <is>
          <t>4 — Не обогащён</t>
        </is>
      </c>
      <c r="U6653" s="35" t="inlineStr">
        <is>
          <t>Нет ОКВЭД/ССЧР</t>
        </is>
      </c>
      <c r="V6653" s="35" t="inlineStr">
        <is>
          <t>Не определено</t>
        </is>
      </c>
      <c r="W6653" s="35" t="inlineStr">
        <is>
          <t>Нет</t>
        </is>
      </c>
      <c r="X6653" s="35" t="inlineStr"/>
    </row>
    <row r="6654" ht="27.75" customHeight="1" s="24">
      <c r="A6654" s="13" t="inlineStr">
        <is>
          <t>FR838312</t>
        </is>
      </c>
      <c r="B6654" s="13" t="inlineStr">
        <is>
          <t>Общество с ограниченной ответственностью "ДЕЗИНТЕРСЕРВИС"</t>
        </is>
      </c>
      <c r="C6654" s="13" t="n">
        <v>3812130249</v>
      </c>
      <c r="D6654" s="13" t="inlineStr">
        <is>
          <t>3812130249</t>
        </is>
      </c>
      <c r="E6654" s="13" t="inlineStr">
        <is>
          <t>ЮЛ РФ</t>
        </is>
      </c>
      <c r="F6654" s="13" t="n"/>
      <c r="G6654" s="52" t="n">
        <v>8</v>
      </c>
      <c r="H6654" s="52" t="n">
        <v>2025</v>
      </c>
      <c r="I6654" s="14" t="n"/>
      <c r="J6654" s="14" t="n"/>
      <c r="K6654" s="53" t="inlineStr">
        <is>
          <t>Нет</t>
        </is>
      </c>
      <c r="L6654" s="53" t="inlineStr">
        <is>
          <t>Не определено</t>
        </is>
      </c>
      <c r="M6654" s="53" t="inlineStr">
        <is>
          <t>До 10</t>
        </is>
      </c>
      <c r="N6654" s="54" t="n">
        <v>3360</v>
      </c>
      <c r="O6654" s="55" t="inlineStr">
        <is>
          <t>1–15</t>
        </is>
      </c>
      <c r="P6654" s="16" t="inlineStr">
        <is>
          <t>ССЧР обогащена; ОКВЭД не найден/не загружен</t>
        </is>
      </c>
      <c r="Q6654" s="16" t="inlineStr">
        <is>
          <t>ФНС открытые данные ССЧР (ДатаСост 31.12.2025; набор 7707329152-sshr2019)</t>
        </is>
      </c>
      <c r="R6654" s="16">
        <f>HYPERLINK("https://checko.ru/search?query=3801001629","Чекко: проверить")</f>
        <v/>
      </c>
      <c r="S6654" t="n">
        <v>1</v>
      </c>
      <c r="T6654" s="35" t="inlineStr">
        <is>
          <t>4 — Не обогащён</t>
        </is>
      </c>
      <c r="U6654" s="35" t="inlineStr">
        <is>
          <t>Нет ОКВЭД/ССЧР</t>
        </is>
      </c>
      <c r="V6654" s="35" t="inlineStr">
        <is>
          <t>Не определено</t>
        </is>
      </c>
      <c r="W6654" s="35" t="inlineStr">
        <is>
          <t>Нет</t>
        </is>
      </c>
      <c r="X6654" s="35" t="inlineStr"/>
    </row>
    <row r="6655" ht="15" customHeight="1" s="24">
      <c r="A6655" s="13" t="inlineStr">
        <is>
          <t>FR838336</t>
        </is>
      </c>
      <c r="B6655" s="13" t="inlineStr">
        <is>
          <t>ИП Шавалиев Ильдар Фаильевич</t>
        </is>
      </c>
      <c r="C6655" s="13" t="n">
        <v>382800547613</v>
      </c>
      <c r="D6655" s="13" t="inlineStr">
        <is>
          <t>382800547613</t>
        </is>
      </c>
      <c r="E6655" s="13" t="inlineStr">
        <is>
          <t>ИП РФ / физлицо</t>
        </is>
      </c>
      <c r="F6655" s="13" t="n"/>
      <c r="G6655" s="14" t="n"/>
      <c r="H6655" s="14" t="n"/>
      <c r="I6655" s="14" t="n"/>
      <c r="J6655" s="14" t="n"/>
      <c r="K6655" s="53" t="inlineStr"/>
      <c r="L6655" s="53" t="inlineStr">
        <is>
          <t>Не определено</t>
        </is>
      </c>
      <c r="M6655" s="53" t="inlineStr"/>
      <c r="N6655" s="54" t="inlineStr"/>
      <c r="O6655" s="55" t="inlineStr"/>
      <c r="P6655" s="16" t="inlineStr">
        <is>
          <t>Требует обогащения</t>
        </is>
      </c>
      <c r="Q6655" s="16">
        <f>HYPERLINK("https://pb.nalog.ru/search.html?query=382800547613","ФНС: проверить")</f>
        <v/>
      </c>
      <c r="R6655" s="16">
        <f>HYPERLINK("https://checko.ru/search?query=3801001629","Чекко: проверить")</f>
        <v/>
      </c>
      <c r="S6655" t="n">
        <v>1</v>
      </c>
      <c r="T6655" s="35" t="inlineStr">
        <is>
          <t>4 — Не обогащён</t>
        </is>
      </c>
      <c r="U6655" s="35" t="inlineStr">
        <is>
          <t>Нет ОКВЭД/ССЧР</t>
        </is>
      </c>
      <c r="V6655" s="35" t="inlineStr">
        <is>
          <t>Не определено</t>
        </is>
      </c>
      <c r="W6655" s="35" t="inlineStr"/>
      <c r="X6655" s="35" t="inlineStr"/>
    </row>
    <row r="6656" ht="15" customHeight="1" s="24">
      <c r="A6656" s="13" t="inlineStr">
        <is>
          <t>FR1218789</t>
        </is>
      </c>
      <c r="B6656" s="13" t="inlineStr">
        <is>
          <t>ООО "ПРОФТЕХСНАБ"</t>
        </is>
      </c>
      <c r="C6656" s="13" t="n">
        <v>3811185365</v>
      </c>
      <c r="D6656" s="13" t="inlineStr">
        <is>
          <t>3811185365</t>
        </is>
      </c>
      <c r="E6656" s="13" t="inlineStr">
        <is>
          <t>ЮЛ РФ</t>
        </is>
      </c>
      <c r="F6656" s="13" t="n"/>
      <c r="G6656" s="52" t="n">
        <v>1</v>
      </c>
      <c r="H6656" s="52" t="n">
        <v>2025</v>
      </c>
      <c r="I6656" s="14" t="n"/>
      <c r="J6656" s="14" t="n"/>
      <c r="K6656" s="53" t="inlineStr">
        <is>
          <t>Нет</t>
        </is>
      </c>
      <c r="L6656" s="53" t="inlineStr">
        <is>
          <t>Не определено</t>
        </is>
      </c>
      <c r="M6656" s="53" t="inlineStr">
        <is>
          <t>До 10</t>
        </is>
      </c>
      <c r="N6656" s="54" t="n">
        <v>3360</v>
      </c>
      <c r="O6656" s="55" t="inlineStr">
        <is>
          <t>1–15</t>
        </is>
      </c>
      <c r="P6656" s="16" t="inlineStr">
        <is>
          <t>ССЧР обогащена; ОКВЭД не найден/не загружен</t>
        </is>
      </c>
      <c r="Q6656" s="16" t="inlineStr">
        <is>
          <t>ФНС открытые данные ССЧР (ДатаСост 31.12.2025; набор 7707329152-sshr2019)</t>
        </is>
      </c>
      <c r="R6656" s="16">
        <f>HYPERLINK("https://checko.ru/search?query=3801001629","Чекко: проверить")</f>
        <v/>
      </c>
      <c r="S6656" t="n">
        <v>1</v>
      </c>
      <c r="T6656" s="35" t="inlineStr">
        <is>
          <t>4 — Не обогащён</t>
        </is>
      </c>
      <c r="U6656" s="35" t="inlineStr">
        <is>
          <t>Нет ОКВЭД/ССЧР</t>
        </is>
      </c>
      <c r="V6656" s="35" t="inlineStr">
        <is>
          <t>Не определено</t>
        </is>
      </c>
      <c r="W6656" s="35" t="inlineStr">
        <is>
          <t>Нет</t>
        </is>
      </c>
      <c r="X6656" s="35" t="inlineStr"/>
    </row>
    <row r="6657" ht="15" customHeight="1" s="24">
      <c r="A6657" s="13" t="inlineStr">
        <is>
          <t>FR683266</t>
        </is>
      </c>
      <c r="B6657" s="13" t="inlineStr">
        <is>
          <t>ИП Се Наталья Александровна</t>
        </is>
      </c>
      <c r="C6657" s="13" t="n">
        <v>382400823467</v>
      </c>
      <c r="D6657" s="13" t="inlineStr">
        <is>
          <t>382400823467</t>
        </is>
      </c>
      <c r="E6657" s="13" t="inlineStr">
        <is>
          <t>ИП РФ / физлицо</t>
        </is>
      </c>
      <c r="F6657" s="13" t="n"/>
      <c r="G6657" s="14" t="n"/>
      <c r="H6657" s="14" t="n"/>
      <c r="I6657" s="14" t="n"/>
      <c r="J6657" s="14" t="n"/>
      <c r="K6657" s="53" t="inlineStr"/>
      <c r="L6657" s="53" t="inlineStr">
        <is>
          <t>Не определено</t>
        </is>
      </c>
      <c r="M6657" s="53" t="inlineStr"/>
      <c r="N6657" s="54" t="inlineStr"/>
      <c r="O6657" s="55" t="inlineStr"/>
      <c r="P6657" s="16" t="inlineStr">
        <is>
          <t>Требует обогащения</t>
        </is>
      </c>
      <c r="Q6657" s="16">
        <f>HYPERLINK("https://pb.nalog.ru/search.html?query=382400823467","ФНС: проверить")</f>
        <v/>
      </c>
      <c r="R6657" s="16">
        <f>HYPERLINK("https://checko.ru/search?query=3801001629","Чекко: проверить")</f>
        <v/>
      </c>
      <c r="S6657" t="n">
        <v>1</v>
      </c>
      <c r="T6657" s="35" t="inlineStr">
        <is>
          <t>4 — Не обогащён</t>
        </is>
      </c>
      <c r="U6657" s="35" t="inlineStr">
        <is>
          <t>Нет ОКВЭД/ССЧР</t>
        </is>
      </c>
      <c r="V6657" s="35" t="inlineStr">
        <is>
          <t>Не определено</t>
        </is>
      </c>
      <c r="W6657" s="35" t="inlineStr"/>
      <c r="X6657" s="35" t="inlineStr"/>
    </row>
    <row r="6658" ht="27.75" customHeight="1" s="24">
      <c r="A6658" s="13" t="inlineStr">
        <is>
          <t>FR840275</t>
        </is>
      </c>
      <c r="B6658" s="13" t="inlineStr">
        <is>
          <t>Общество с ограниченной ответственностью "НОВАЯ ОРДА"</t>
        </is>
      </c>
      <c r="C6658" s="13" t="n">
        <v>3808284655</v>
      </c>
      <c r="D6658" s="13" t="inlineStr">
        <is>
          <t>3808284655</t>
        </is>
      </c>
      <c r="E6658" s="13" t="inlineStr">
        <is>
          <t>ЮЛ РФ</t>
        </is>
      </c>
      <c r="F6658" s="13" t="n"/>
      <c r="G6658" s="52" t="n">
        <v>0</v>
      </c>
      <c r="H6658" s="52" t="n">
        <v>2025</v>
      </c>
      <c r="I6658" s="14" t="n"/>
      <c r="J6658" s="14" t="n"/>
      <c r="K6658" s="53" t="inlineStr">
        <is>
          <t>Нет</t>
        </is>
      </c>
      <c r="L6658" s="53" t="inlineStr">
        <is>
          <t>Не определено</t>
        </is>
      </c>
      <c r="M6658" s="53" t="inlineStr">
        <is>
          <t>До 10</t>
        </is>
      </c>
      <c r="N6658" s="54" t="n">
        <v>3360</v>
      </c>
      <c r="O6658" s="55" t="inlineStr">
        <is>
          <t>1–15</t>
        </is>
      </c>
      <c r="P6658" s="16" t="inlineStr">
        <is>
          <t>ССЧР обогащена; ОКВЭД не найден/не загружен</t>
        </is>
      </c>
      <c r="Q6658" s="16" t="inlineStr">
        <is>
          <t>ФНС открытые данные ССЧР (ДатаСост 31.12.2025; набор 7707329152-sshr2019)</t>
        </is>
      </c>
      <c r="R6658" s="16">
        <f>HYPERLINK("https://checko.ru/search?query=3801001629","Чекко: проверить")</f>
        <v/>
      </c>
      <c r="S6658" t="n">
        <v>1</v>
      </c>
      <c r="T6658" s="35" t="inlineStr">
        <is>
          <t>4 — Не обогащён</t>
        </is>
      </c>
      <c r="U6658" s="35" t="inlineStr">
        <is>
          <t>Нет ОКВЭД/ССЧР</t>
        </is>
      </c>
      <c r="V6658" s="35" t="inlineStr">
        <is>
          <t>Не определено</t>
        </is>
      </c>
      <c r="W6658" s="35" t="inlineStr">
        <is>
          <t>Нет</t>
        </is>
      </c>
      <c r="X6658" s="35" t="inlineStr"/>
    </row>
    <row r="6659" ht="15" customHeight="1" s="24">
      <c r="A6659" s="13" t="inlineStr">
        <is>
          <t>FR1219541</t>
        </is>
      </c>
      <c r="B6659" s="13" t="inlineStr">
        <is>
          <t>ИП Вяткина Виктория Валерьевна</t>
        </is>
      </c>
      <c r="C6659" s="13" t="n">
        <v>380802230819</v>
      </c>
      <c r="D6659" s="13" t="inlineStr">
        <is>
          <t>380802230819</t>
        </is>
      </c>
      <c r="E6659" s="13" t="inlineStr">
        <is>
          <t>ИП РФ / физлицо</t>
        </is>
      </c>
      <c r="F6659" s="13" t="n"/>
      <c r="G6659" s="14" t="n"/>
      <c r="H6659" s="14" t="n"/>
      <c r="I6659" s="14" t="n"/>
      <c r="J6659" s="14" t="n"/>
      <c r="K6659" s="53" t="inlineStr"/>
      <c r="L6659" s="53" t="inlineStr">
        <is>
          <t>Не определено</t>
        </is>
      </c>
      <c r="M6659" s="53" t="inlineStr"/>
      <c r="N6659" s="54" t="inlineStr"/>
      <c r="O6659" s="55" t="inlineStr"/>
      <c r="P6659" s="16" t="inlineStr">
        <is>
          <t>Требует обогащения</t>
        </is>
      </c>
      <c r="Q6659" s="16">
        <f>HYPERLINK("https://pb.nalog.ru/search.html?query=380802230819","ФНС: проверить")</f>
        <v/>
      </c>
      <c r="R6659" s="16">
        <f>HYPERLINK("https://checko.ru/search?query=3801001629","Чекко: проверить")</f>
        <v/>
      </c>
      <c r="S6659" t="n">
        <v>1</v>
      </c>
      <c r="T6659" s="35" t="inlineStr">
        <is>
          <t>4 — Не обогащён</t>
        </is>
      </c>
      <c r="U6659" s="35" t="inlineStr">
        <is>
          <t>Нет ОКВЭД/ССЧР</t>
        </is>
      </c>
      <c r="V6659" s="35" t="inlineStr">
        <is>
          <t>Не определено</t>
        </is>
      </c>
      <c r="W6659" s="35" t="inlineStr"/>
      <c r="X6659" s="35" t="inlineStr"/>
    </row>
    <row r="6660" ht="15" customHeight="1" s="24">
      <c r="A6660" s="13" t="inlineStr">
        <is>
          <t>FR477519</t>
        </is>
      </c>
      <c r="B6660" s="13" t="inlineStr">
        <is>
          <t>ООО Венттехпроект</t>
        </is>
      </c>
      <c r="C6660" s="13" t="n">
        <v>4400001905</v>
      </c>
      <c r="D6660" s="13" t="inlineStr">
        <is>
          <t>4400001905</t>
        </is>
      </c>
      <c r="E6660" s="13" t="inlineStr">
        <is>
          <t>ЮЛ РФ</t>
        </is>
      </c>
      <c r="F6660" s="13" t="n"/>
      <c r="G6660" s="52" t="n">
        <v>0</v>
      </c>
      <c r="H6660" s="52" t="n">
        <v>2025</v>
      </c>
      <c r="I6660" s="14" t="n"/>
      <c r="J6660" s="14" t="n"/>
      <c r="K6660" s="53" t="inlineStr">
        <is>
          <t>Нет</t>
        </is>
      </c>
      <c r="L6660" s="53" t="inlineStr">
        <is>
          <t>Не определено</t>
        </is>
      </c>
      <c r="M6660" s="53" t="inlineStr">
        <is>
          <t>До 10</t>
        </is>
      </c>
      <c r="N6660" s="54" t="n">
        <v>3360</v>
      </c>
      <c r="O6660" s="55" t="inlineStr">
        <is>
          <t>1–15</t>
        </is>
      </c>
      <c r="P6660" s="16" t="inlineStr">
        <is>
          <t>ССЧР обогащена; ОКВЭД не найден/не загружен</t>
        </is>
      </c>
      <c r="Q6660" s="16" t="inlineStr">
        <is>
          <t>ФНС открытые данные ССЧР (ДатаСост 31.12.2025; набор 7707329152-sshr2019)</t>
        </is>
      </c>
      <c r="R6660" s="16">
        <f>HYPERLINK("https://checko.ru/search?query=3801001629","Чекко: проверить")</f>
        <v/>
      </c>
      <c r="S6660" t="n">
        <v>1</v>
      </c>
      <c r="T6660" s="35" t="inlineStr">
        <is>
          <t>4 — Не обогащён</t>
        </is>
      </c>
      <c r="U6660" s="35" t="inlineStr">
        <is>
          <t>Нет ОКВЭД/ССЧР</t>
        </is>
      </c>
      <c r="V6660" s="35" t="inlineStr">
        <is>
          <t>Не определено</t>
        </is>
      </c>
      <c r="W6660" s="35" t="inlineStr">
        <is>
          <t>Нет</t>
        </is>
      </c>
      <c r="X6660" s="35" t="inlineStr"/>
    </row>
    <row r="6661" ht="15" customHeight="1" s="24">
      <c r="A6661" s="13" t="inlineStr">
        <is>
          <t>FR16879</t>
        </is>
      </c>
      <c r="B6661" s="13" t="inlineStr">
        <is>
          <t>ООО "БИЗНЕС ХОЛДИНГ"</t>
        </is>
      </c>
      <c r="C6661" s="13" t="n">
        <v>7536137070</v>
      </c>
      <c r="D6661" s="13" t="inlineStr">
        <is>
          <t>7536137070</t>
        </is>
      </c>
      <c r="E6661" s="13" t="inlineStr">
        <is>
          <t>ЮЛ РФ</t>
        </is>
      </c>
      <c r="F6661" s="13" t="n"/>
      <c r="G6661" s="52" t="n">
        <v>1</v>
      </c>
      <c r="H6661" s="52" t="n">
        <v>2025</v>
      </c>
      <c r="I6661" s="14" t="n"/>
      <c r="J6661" s="14" t="n"/>
      <c r="K6661" s="53" t="inlineStr">
        <is>
          <t>Нет</t>
        </is>
      </c>
      <c r="L6661" s="53" t="inlineStr">
        <is>
          <t>Не определено</t>
        </is>
      </c>
      <c r="M6661" s="53" t="inlineStr">
        <is>
          <t>До 10</t>
        </is>
      </c>
      <c r="N6661" s="54" t="n">
        <v>3360</v>
      </c>
      <c r="O6661" s="55" t="inlineStr">
        <is>
          <t>1–15</t>
        </is>
      </c>
      <c r="P6661" s="16" t="inlineStr">
        <is>
          <t>ССЧР обогащена; ОКВЭД не найден/не загружен</t>
        </is>
      </c>
      <c r="Q6661" s="16" t="inlineStr">
        <is>
          <t>ФНС открытые данные ССЧР (ДатаСост 31.12.2025; набор 7707329152-sshr2019)</t>
        </is>
      </c>
      <c r="R6661" s="16">
        <f>HYPERLINK("https://checko.ru/search?query=3801001629","Чекко: проверить")</f>
        <v/>
      </c>
      <c r="S6661" t="n">
        <v>1</v>
      </c>
      <c r="T6661" s="35" t="inlineStr">
        <is>
          <t>4 — Не обогащён</t>
        </is>
      </c>
      <c r="U6661" s="35" t="inlineStr">
        <is>
          <t>Нет ОКВЭД/ССЧР</t>
        </is>
      </c>
      <c r="V6661" s="35" t="inlineStr">
        <is>
          <t>Не определено</t>
        </is>
      </c>
      <c r="W6661" s="35" t="inlineStr">
        <is>
          <t>Нет</t>
        </is>
      </c>
      <c r="X6661" s="35" t="inlineStr"/>
    </row>
    <row r="6662" ht="27.75" customHeight="1" s="24">
      <c r="A6662" s="13" t="inlineStr">
        <is>
          <t>FR1220569</t>
        </is>
      </c>
      <c r="B6662" s="13" t="inlineStr">
        <is>
          <t>Общество с ограниченной ответственностью "ПРОИЗВОДСТВЕННАЯ КОМПАНИЯ "СИБИРЬ""</t>
        </is>
      </c>
      <c r="C6662" s="13" t="n">
        <v>2464165486</v>
      </c>
      <c r="D6662" s="13" t="inlineStr">
        <is>
          <t>2464165486</t>
        </is>
      </c>
      <c r="E6662" s="13" t="inlineStr">
        <is>
          <t>ЮЛ РФ</t>
        </is>
      </c>
      <c r="F6662" s="13" t="n"/>
      <c r="G6662" s="52" t="n">
        <v>3</v>
      </c>
      <c r="H6662" s="52" t="n">
        <v>2025</v>
      </c>
      <c r="I6662" s="14" t="n"/>
      <c r="J6662" s="14" t="n"/>
      <c r="K6662" s="53" t="inlineStr">
        <is>
          <t>Нет</t>
        </is>
      </c>
      <c r="L6662" s="53" t="inlineStr">
        <is>
          <t>Не определено</t>
        </is>
      </c>
      <c r="M6662" s="53" t="inlineStr">
        <is>
          <t>До 10</t>
        </is>
      </c>
      <c r="N6662" s="54" t="n">
        <v>3360</v>
      </c>
      <c r="O6662" s="55" t="inlineStr">
        <is>
          <t>1–15</t>
        </is>
      </c>
      <c r="P6662" s="16" t="inlineStr">
        <is>
          <t>ССЧР обогащена; ОКВЭД не найден/не загружен</t>
        </is>
      </c>
      <c r="Q6662" s="16" t="inlineStr">
        <is>
          <t>ФНС открытые данные ССЧР (ДатаСост 31.12.2025; набор 7707329152-sshr2019)</t>
        </is>
      </c>
      <c r="R6662" s="16">
        <f>HYPERLINK("https://checko.ru/search?query=3801001629","Чекко: проверить")</f>
        <v/>
      </c>
      <c r="S6662" t="n">
        <v>1</v>
      </c>
      <c r="T6662" s="35" t="inlineStr">
        <is>
          <t>4 — Не обогащён</t>
        </is>
      </c>
      <c r="U6662" s="35" t="inlineStr">
        <is>
          <t>Нет ОКВЭД/ССЧР</t>
        </is>
      </c>
      <c r="V6662" s="35" t="inlineStr">
        <is>
          <t>Не определено</t>
        </is>
      </c>
      <c r="W6662" s="35" t="inlineStr">
        <is>
          <t>Нет</t>
        </is>
      </c>
      <c r="X6662" s="35" t="inlineStr"/>
    </row>
    <row r="6663" ht="15" customHeight="1" s="24">
      <c r="A6663" s="13" t="inlineStr">
        <is>
          <t>FR1026579</t>
        </is>
      </c>
      <c r="B6663" s="13" t="inlineStr">
        <is>
          <t>ИП Кондур Кристина Игоревна</t>
        </is>
      </c>
      <c r="C6663" s="13" t="n">
        <v>384903320600</v>
      </c>
      <c r="D6663" s="13" t="inlineStr">
        <is>
          <t>384903320600</t>
        </is>
      </c>
      <c r="E6663" s="13" t="inlineStr">
        <is>
          <t>ИП РФ / физлицо</t>
        </is>
      </c>
      <c r="F6663" s="13" t="n"/>
      <c r="G6663" s="14" t="n"/>
      <c r="H6663" s="14" t="n"/>
      <c r="I6663" s="14" t="n"/>
      <c r="J6663" s="14" t="n"/>
      <c r="K6663" s="53" t="inlineStr"/>
      <c r="L6663" s="53" t="inlineStr">
        <is>
          <t>Не определено</t>
        </is>
      </c>
      <c r="M6663" s="53" t="inlineStr"/>
      <c r="N6663" s="54" t="inlineStr"/>
      <c r="O6663" s="55" t="inlineStr"/>
      <c r="P6663" s="16" t="inlineStr">
        <is>
          <t>Требует обогащения</t>
        </is>
      </c>
      <c r="Q6663" s="16">
        <f>HYPERLINK("https://pb.nalog.ru/search.html?query=384903320600","ФНС: проверить")</f>
        <v/>
      </c>
      <c r="R6663" s="16">
        <f>HYPERLINK("https://checko.ru/search?query=3801001629","Чекко: проверить")</f>
        <v/>
      </c>
      <c r="S6663" t="n">
        <v>1</v>
      </c>
      <c r="T6663" s="35" t="inlineStr">
        <is>
          <t>4 — Не обогащён</t>
        </is>
      </c>
      <c r="U6663" s="35" t="inlineStr">
        <is>
          <t>Нет ОКВЭД/ССЧР</t>
        </is>
      </c>
      <c r="V6663" s="35" t="inlineStr">
        <is>
          <t>Не определено</t>
        </is>
      </c>
      <c r="W6663" s="35" t="inlineStr"/>
      <c r="X6663" s="35" t="inlineStr"/>
    </row>
    <row r="6664" ht="27.75" customHeight="1" s="24">
      <c r="A6664" s="13" t="inlineStr">
        <is>
          <t>FR1220481</t>
        </is>
      </c>
      <c r="B6664" s="13" t="inlineStr">
        <is>
          <t>Общество с ограниченной ответственностью "КРИПТМИКС"</t>
        </is>
      </c>
      <c r="C6664" s="13" t="n">
        <v>4632236223</v>
      </c>
      <c r="D6664" s="13" t="inlineStr">
        <is>
          <t>4632236223</t>
        </is>
      </c>
      <c r="E6664" s="13" t="inlineStr">
        <is>
          <t>ЮЛ РФ</t>
        </is>
      </c>
      <c r="F6664" s="13" t="n"/>
      <c r="G6664" s="52" t="n">
        <v>1</v>
      </c>
      <c r="H6664" s="52" t="n">
        <v>2025</v>
      </c>
      <c r="I6664" s="14" t="n"/>
      <c r="J6664" s="14" t="n"/>
      <c r="K6664" s="53" t="inlineStr">
        <is>
          <t>Нет</t>
        </is>
      </c>
      <c r="L6664" s="53" t="inlineStr">
        <is>
          <t>Не определено</t>
        </is>
      </c>
      <c r="M6664" s="53" t="inlineStr">
        <is>
          <t>До 10</t>
        </is>
      </c>
      <c r="N6664" s="54" t="n">
        <v>3360</v>
      </c>
      <c r="O6664" s="55" t="inlineStr">
        <is>
          <t>1–15</t>
        </is>
      </c>
      <c r="P6664" s="16" t="inlineStr">
        <is>
          <t>ССЧР обогащена; ОКВЭД не найден/не загружен</t>
        </is>
      </c>
      <c r="Q6664" s="16" t="inlineStr">
        <is>
          <t>ФНС открытые данные ССЧР (ДатаСост 31.12.2025; набор 7707329152-sshr2019)</t>
        </is>
      </c>
      <c r="R6664" s="16">
        <f>HYPERLINK("https://checko.ru/search?query=3801001629","Чекко: проверить")</f>
        <v/>
      </c>
      <c r="S6664" t="n">
        <v>1</v>
      </c>
      <c r="T6664" s="35" t="inlineStr">
        <is>
          <t>4 — Не обогащён</t>
        </is>
      </c>
      <c r="U6664" s="35" t="inlineStr">
        <is>
          <t>Нет ОКВЭД/ССЧР</t>
        </is>
      </c>
      <c r="V6664" s="35" t="inlineStr">
        <is>
          <t>Не определено</t>
        </is>
      </c>
      <c r="W6664" s="35" t="inlineStr">
        <is>
          <t>Нет</t>
        </is>
      </c>
      <c r="X6664" s="35" t="inlineStr"/>
    </row>
    <row r="6665" ht="27.75" customHeight="1" s="24">
      <c r="A6665" s="13" t="inlineStr">
        <is>
          <t>FR1220381</t>
        </is>
      </c>
      <c r="B6665" s="13" t="inlineStr">
        <is>
          <t>Общество с ограниченной ответственностью "ЛАМЕЛИОН"</t>
        </is>
      </c>
      <c r="C6665" s="13" t="n">
        <v>3804123294</v>
      </c>
      <c r="D6665" s="13" t="inlineStr">
        <is>
          <t>3804123294</t>
        </is>
      </c>
      <c r="E6665" s="13" t="inlineStr">
        <is>
          <t>ЮЛ РФ</t>
        </is>
      </c>
      <c r="F6665" s="13" t="n"/>
      <c r="G6665" s="52" t="n">
        <v>0</v>
      </c>
      <c r="H6665" s="52" t="n">
        <v>2025</v>
      </c>
      <c r="I6665" s="14" t="n"/>
      <c r="J6665" s="14" t="n"/>
      <c r="K6665" s="53" t="inlineStr">
        <is>
          <t>Нет</t>
        </is>
      </c>
      <c r="L6665" s="53" t="inlineStr">
        <is>
          <t>Не определено</t>
        </is>
      </c>
      <c r="M6665" s="53" t="inlineStr">
        <is>
          <t>До 10</t>
        </is>
      </c>
      <c r="N6665" s="54" t="n">
        <v>3360</v>
      </c>
      <c r="O6665" s="55" t="inlineStr">
        <is>
          <t>1–15</t>
        </is>
      </c>
      <c r="P6665" s="16" t="inlineStr">
        <is>
          <t>ССЧР обогащена; ОКВЭД не найден/не загружен</t>
        </is>
      </c>
      <c r="Q6665" s="16" t="inlineStr">
        <is>
          <t>ФНС открытые данные ССЧР (ДатаСост 31.12.2025; набор 7707329152-sshr2019)</t>
        </is>
      </c>
      <c r="R6665" s="16">
        <f>HYPERLINK("https://checko.ru/search?query=3801001629","Чекко: проверить")</f>
        <v/>
      </c>
      <c r="S6665" t="n">
        <v>1</v>
      </c>
      <c r="T6665" s="35" t="inlineStr">
        <is>
          <t>4 — Не обогащён</t>
        </is>
      </c>
      <c r="U6665" s="35" t="inlineStr">
        <is>
          <t>Нет ОКВЭД/ССЧР</t>
        </is>
      </c>
      <c r="V6665" s="35" t="inlineStr">
        <is>
          <t>Не определено</t>
        </is>
      </c>
      <c r="W6665" s="35" t="inlineStr">
        <is>
          <t>Нет</t>
        </is>
      </c>
      <c r="X6665" s="35" t="inlineStr"/>
    </row>
    <row r="6666" ht="15" customHeight="1" s="24">
      <c r="A6666" s="13" t="inlineStr">
        <is>
          <t>FR178583</t>
        </is>
      </c>
      <c r="B6666" s="13" t="inlineStr">
        <is>
          <t>ИП Травкина Надежда Анатольевна</t>
        </is>
      </c>
      <c r="C6666" s="13" t="n">
        <v>30619543065</v>
      </c>
      <c r="D6666" s="13" t="n"/>
      <c r="E6666" s="13" t="inlineStr">
        <is>
          <t>Не определён</t>
        </is>
      </c>
      <c r="F6666" s="13" t="n"/>
      <c r="G6666" s="14" t="n"/>
      <c r="H6666" s="14" t="n"/>
      <c r="I6666" s="14" t="n"/>
      <c r="J6666" s="14" t="n"/>
      <c r="K6666" s="13">
        <f>IF(G6666="","",IF(G6666&gt;=22,"Да","Нет"))</f>
        <v/>
      </c>
      <c r="L6666" s="13">
        <f>IF(OR(I6666="",J6666=""),"Не определено",IF(OR(COUNTIF(I6666,"45*")&gt;0,COUNTIF(J6666,"*45*")&gt;0,COUNTIF(I6666,"46*")&gt;0,COUNTIF(J6666,"*46*")&gt;0,COUNTIF(I6666,"47*")&gt;0,COUNTIF(J6666,"*47*")&gt;0,COUNTIF(I6666,"10*")&gt;0,COUNTIF(J6666,"*10*")&gt;0,COUNTIF(I6666,"11*")&gt;0,COUNTIF(J6666,"*11*")&gt;0,COUNTIF(I6666,"12*")&gt;0,COUNTIF(J6666,"*12*")&gt;0,COUNTIF(I6666,"13*")&gt;0,COUNTIF(J6666,"*13*")&gt;0,COUNTIF(I6666,"14*")&gt;0,COUNTIF(J6666,"*14*")&gt;0,COUNTIF(I6666,"15*")&gt;0,COUNTIF(J6666,"*15*")&gt;0,COUNTIF(I6666,"16*")&gt;0,COUNTIF(J6666,"*16*")&gt;0,COUNTIF(I6666,"17*")&gt;0,COUNTIF(J6666,"*17*")&gt;0,COUNTIF(I6666,"18*")&gt;0,COUNTIF(J6666,"*18*")&gt;0,COUNTIF(I6666,"19*")&gt;0,COUNTIF(J6666,"*19*")&gt;0,COUNTIF(I6666,"20*")&gt;0,COUNTIF(J6666,"*20*")&gt;0,COUNTIF(I6666,"21*")&gt;0,COUNTIF(J6666,"*21*")&gt;0,COUNTIF(I6666,"22*")&gt;0,COUNTIF(J6666,"*22*")&gt;0,COUNTIF(I6666,"23*")&gt;0,COUNTIF(J6666,"*23*")&gt;0,COUNTIF(I6666,"24*")&gt;0,COUNTIF(J6666,"*24*")&gt;0,COUNTIF(I6666,"25*")&gt;0,COUNTIF(J6666,"*25*")&gt;0,COUNTIF(I6666,"26*")&gt;0,COUNTIF(J6666,"*26*")&gt;0,COUNTIF(I6666,"27*")&gt;0,COUNTIF(J6666,"*27*")&gt;0,COUNTIF(I6666,"28*")&gt;0,COUNTIF(J6666,"*28*")&gt;0,COUNTIF(I6666,"29*")&gt;0,COUNTIF(J6666,"*29*")&gt;0,COUNTIF(I6666,"30*")&gt;0,COUNTIF(J6666,"*30*")&gt;0,COUNTIF(I6666,"31*")&gt;0,COUNTIF(J6666,"*31*")&gt;0,COUNTIF(I6666,"32*")&gt;0,COUNTIF(J6666,"*32*")&gt;0,COUNTIF(I6666,"33*")&gt;0,COUNTIF(J6666,"*33*")&gt;0,COUNTIF(I6666,"41*")&gt;0,COUNTIF(J6666,"*41*")&gt;0,COUNTIF(I6666,"42*")&gt;0,COUNTIF(J6666,"*42*")&gt;0,COUNTIF(I6666,"43*")&gt;0,COUNTIF(J6666,"*43*")&gt;0,COUNTIF(I6666,"49*")&gt;0,COUNTIF(J6666,"*49*")&gt;0,COUNTIF(I6666,"52*")&gt;0,COUNTIF(J6666,"*52*")&gt;0,COUNTIF(I6666,"55*")&gt;0,COUNTIF(J6666,"*55*")&gt;0,COUNTIF(I6666,"56*")&gt;0,COUNTIF(J6666,"*56*")&gt;0,COUNTIF(I6666,"68*")&gt;0,COUNTIF(J6666,"*68*")&gt;0,COUNTIF(I6666,"78*")&gt;0,COUNTIF(J6666,"*78*")&gt;0,COUNTIF(I6666,"81*")&gt;0,COUNTIF(J6666,"*81*")&gt;0,COUNTIF(I6666,"82*")&gt;0,COUNTIF(J6666,"*82*")&gt;0,COUNTIF(I6666,"64*")&gt;0,COUNTIF(J6666,"*64*")&gt;0,COUNTIF(I6666,"65*")&gt;0,COUNTIF(J6666,"*65*")&gt;0,COUNTIF(I6666,"66*")&gt;0,COUNTIF(J6666,"*66*")&gt;0,COUNTIF(I6666,"61*")&gt;0,COUNTIF(J6666,"*61*")&gt;0,COUNTIF(I6666,"62*")&gt;0,COUNTIF(J6666,"*62*")&gt;0,COUNTIF(I6666,"63*")&gt;0,COUNTIF(J6666,"*63*")&gt;0,COUNTIF(I6666,"85*")&gt;0,COUNTIF(J6666,"*85*")&gt;0,COUNTIF(I6666,"86*")&gt;0,COUNTIF(J6666,"*86*")&gt;0),"Да","Нет"))</f>
        <v/>
      </c>
      <c r="M6666" s="13">
        <f>IF(OR(G6666="",L6666&lt;&gt;"Да"),"",IF(G6666&lt;=100,"До 100",IF(G6666&lt;=200,"До 200",IF(G6666&lt;=500,"До 500","Отдельное КП"))))</f>
        <v/>
      </c>
      <c r="N6666" s="15">
        <f>IF(OR(G6666="",L6666&lt;&gt;"Да"),"",IF(G6666&lt;=100,33600,IF(G6666&lt;=200,62400,IF(G6666&lt;=500,144000,""))))</f>
        <v/>
      </c>
      <c r="O6666" s="16">
        <f>IF(G6666="","",IF(G6666&lt;=15,"1–15",IF(G6666&lt;=30,"16–30",IF(G6666&lt;=50,"31–50",IF(G6666&lt;=100,"51–100",IF(G6666&lt;=150,"101–150",IF(G6666&lt;=200,"151–200",IF(G6666&lt;=500,"201–500","500+"))))))))</f>
        <v/>
      </c>
      <c r="P6666" s="16" t="inlineStr">
        <is>
          <t>Нет совпадения в предоставленной выгрузке ССЧР</t>
        </is>
      </c>
      <c r="Q6666" s="16" t="n"/>
      <c r="R6666" s="16">
        <f>HYPERLINK("https://checko.ru/search?query=3801001629","Чекко: проверить")</f>
        <v/>
      </c>
      <c r="S6666" t="n">
        <v>0</v>
      </c>
    </row>
    <row r="6667" ht="15" customHeight="1" s="24">
      <c r="A6667" s="13" t="inlineStr">
        <is>
          <t>FR263436</t>
        </is>
      </c>
      <c r="B6667" s="13" t="inlineStr">
        <is>
          <t>ИП Шатунов Артем Васильевич</t>
        </is>
      </c>
      <c r="C6667" s="13" t="n">
        <v>244703856555</v>
      </c>
      <c r="D6667" s="13" t="inlineStr">
        <is>
          <t>244703856555</t>
        </is>
      </c>
      <c r="E6667" s="13" t="inlineStr">
        <is>
          <t>ИП РФ / физлицо</t>
        </is>
      </c>
      <c r="F6667" s="13" t="n"/>
      <c r="G6667" s="14" t="n"/>
      <c r="H6667" s="14" t="n"/>
      <c r="I6667" s="14" t="n"/>
      <c r="J6667" s="14" t="n"/>
      <c r="K6667" s="53" t="inlineStr"/>
      <c r="L6667" s="53" t="inlineStr">
        <is>
          <t>Не определено</t>
        </is>
      </c>
      <c r="M6667" s="53" t="inlineStr"/>
      <c r="N6667" s="54" t="inlineStr"/>
      <c r="O6667" s="55" t="inlineStr"/>
      <c r="P6667" s="16" t="inlineStr">
        <is>
          <t>Требует обогащения</t>
        </is>
      </c>
      <c r="Q6667" s="16">
        <f>HYPERLINK("https://pb.nalog.ru/search.html?query=244703856555","ФНС: проверить")</f>
        <v/>
      </c>
      <c r="R6667" s="16">
        <f>HYPERLINK("https://checko.ru/search?query=3801001629","Чекко: проверить")</f>
        <v/>
      </c>
      <c r="S6667" t="n">
        <v>1</v>
      </c>
      <c r="T6667" s="35" t="inlineStr">
        <is>
          <t>4 — Не обогащён</t>
        </is>
      </c>
      <c r="U6667" s="35" t="inlineStr">
        <is>
          <t>Нет ОКВЭД/ССЧР</t>
        </is>
      </c>
      <c r="V6667" s="35" t="inlineStr">
        <is>
          <t>Не определено</t>
        </is>
      </c>
      <c r="W6667" s="35" t="inlineStr"/>
      <c r="X6667" s="35" t="inlineStr"/>
    </row>
    <row r="6668" ht="41.25" customHeight="1" s="24">
      <c r="A6668" s="13" t="inlineStr">
        <is>
          <t>FR1221828</t>
        </is>
      </c>
      <c r="B6668" s="13" t="inlineStr">
        <is>
          <t>Общество с ограниченной ответственностью "ПРОЕКТНО-СТРОИТЕЛЬНАЯ КОМПАНИЯ "ПРОФОСНОВА""</t>
        </is>
      </c>
      <c r="C6668" s="13" t="n">
        <v>3849110640</v>
      </c>
      <c r="D6668" s="13" t="inlineStr">
        <is>
          <t>3849110640</t>
        </is>
      </c>
      <c r="E6668" s="13" t="inlineStr">
        <is>
          <t>ЮЛ РФ</t>
        </is>
      </c>
      <c r="F6668" s="13" t="n"/>
      <c r="G6668" s="52" t="n">
        <v>0</v>
      </c>
      <c r="H6668" s="52" t="n">
        <v>2025</v>
      </c>
      <c r="I6668" s="14" t="n"/>
      <c r="J6668" s="14" t="n"/>
      <c r="K6668" s="53" t="inlineStr">
        <is>
          <t>Нет</t>
        </is>
      </c>
      <c r="L6668" s="53" t="inlineStr">
        <is>
          <t>Не определено</t>
        </is>
      </c>
      <c r="M6668" s="53" t="inlineStr">
        <is>
          <t>До 10</t>
        </is>
      </c>
      <c r="N6668" s="54" t="n">
        <v>3360</v>
      </c>
      <c r="O6668" s="55" t="inlineStr">
        <is>
          <t>1–15</t>
        </is>
      </c>
      <c r="P6668" s="16" t="inlineStr">
        <is>
          <t>ССЧР обогащена; ОКВЭД не найден/не загружен</t>
        </is>
      </c>
      <c r="Q6668" s="16" t="inlineStr">
        <is>
          <t>ФНС открытые данные ССЧР (ДатаСост 31.12.2025; набор 7707329152-sshr2019)</t>
        </is>
      </c>
      <c r="R6668" s="16">
        <f>HYPERLINK("https://checko.ru/search?query=3801001629","Чекко: проверить")</f>
        <v/>
      </c>
      <c r="S6668" t="n">
        <v>1</v>
      </c>
      <c r="T6668" s="35" t="inlineStr">
        <is>
          <t>4 — Не обогащён</t>
        </is>
      </c>
      <c r="U6668" s="35" t="inlineStr">
        <is>
          <t>Нет ОКВЭД/ССЧР</t>
        </is>
      </c>
      <c r="V6668" s="35" t="inlineStr">
        <is>
          <t>Не определено</t>
        </is>
      </c>
      <c r="W6668" s="35" t="inlineStr">
        <is>
          <t>Нет</t>
        </is>
      </c>
      <c r="X6668" s="35" t="inlineStr"/>
    </row>
    <row r="6669" ht="27.75" customHeight="1" s="24">
      <c r="A6669" s="13" t="inlineStr">
        <is>
          <t>FR1221959</t>
        </is>
      </c>
      <c r="B6669" s="13" t="inlineStr">
        <is>
          <t>Общество с ограниченной ответственностью "БАЙКАЛ МЕГА"</t>
        </is>
      </c>
      <c r="C6669" s="13" t="n">
        <v>3849105986</v>
      </c>
      <c r="D6669" s="13" t="inlineStr">
        <is>
          <t>3849105986</t>
        </is>
      </c>
      <c r="E6669" s="13" t="inlineStr">
        <is>
          <t>ЮЛ РФ</t>
        </is>
      </c>
      <c r="F6669" s="13" t="n"/>
      <c r="G6669" s="52" t="n">
        <v>0</v>
      </c>
      <c r="H6669" s="52" t="n">
        <v>2025</v>
      </c>
      <c r="I6669" s="14" t="n"/>
      <c r="J6669" s="14" t="n"/>
      <c r="K6669" s="53" t="inlineStr">
        <is>
          <t>Нет</t>
        </is>
      </c>
      <c r="L6669" s="53" t="inlineStr">
        <is>
          <t>Не определено</t>
        </is>
      </c>
      <c r="M6669" s="53" t="inlineStr">
        <is>
          <t>До 10</t>
        </is>
      </c>
      <c r="N6669" s="54" t="n">
        <v>3360</v>
      </c>
      <c r="O6669" s="55" t="inlineStr">
        <is>
          <t>1–15</t>
        </is>
      </c>
      <c r="P6669" s="16" t="inlineStr">
        <is>
          <t>ССЧР обогащена; ОКВЭД не найден/не загружен</t>
        </is>
      </c>
      <c r="Q6669" s="16" t="inlineStr">
        <is>
          <t>ФНС открытые данные ССЧР (ДатаСост 31.12.2025; набор 7707329152-sshr2019)</t>
        </is>
      </c>
      <c r="R6669" s="16">
        <f>HYPERLINK("https://checko.ru/search?query=3801001629","Чекко: проверить")</f>
        <v/>
      </c>
      <c r="S6669" t="n">
        <v>1</v>
      </c>
      <c r="T6669" s="35" t="inlineStr">
        <is>
          <t>4 — Не обогащён</t>
        </is>
      </c>
      <c r="U6669" s="35" t="inlineStr">
        <is>
          <t>Нет ОКВЭД/ССЧР</t>
        </is>
      </c>
      <c r="V6669" s="35" t="inlineStr">
        <is>
          <t>Не определено</t>
        </is>
      </c>
      <c r="W6669" s="35" t="inlineStr">
        <is>
          <t>Нет</t>
        </is>
      </c>
      <c r="X6669" s="35" t="inlineStr"/>
    </row>
    <row r="6670" ht="15" customHeight="1" s="24">
      <c r="A6670" s="13" t="inlineStr">
        <is>
          <t>FR1027358</t>
        </is>
      </c>
      <c r="B6670" s="13" t="inlineStr">
        <is>
          <t>ООО НПО "А-Комплекс"</t>
        </is>
      </c>
      <c r="C6670" s="13" t="n">
        <v>3811116611</v>
      </c>
      <c r="D6670" s="13" t="inlineStr">
        <is>
          <t>3811116611</t>
        </is>
      </c>
      <c r="E6670" s="13" t="inlineStr">
        <is>
          <t>ЮЛ РФ</t>
        </is>
      </c>
      <c r="F6670" s="13" t="n"/>
      <c r="G6670" s="52" t="n">
        <v>4</v>
      </c>
      <c r="H6670" s="52" t="n">
        <v>2025</v>
      </c>
      <c r="I6670" s="14" t="n"/>
      <c r="J6670" s="14" t="n"/>
      <c r="K6670" s="53" t="inlineStr">
        <is>
          <t>Нет</t>
        </is>
      </c>
      <c r="L6670" s="53" t="inlineStr">
        <is>
          <t>Не определено</t>
        </is>
      </c>
      <c r="M6670" s="53" t="inlineStr">
        <is>
          <t>До 10</t>
        </is>
      </c>
      <c r="N6670" s="54" t="n">
        <v>3360</v>
      </c>
      <c r="O6670" s="55" t="inlineStr">
        <is>
          <t>1–15</t>
        </is>
      </c>
      <c r="P6670" s="16" t="inlineStr">
        <is>
          <t>ССЧР обогащена; ОКВЭД не найден/не загружен</t>
        </is>
      </c>
      <c r="Q6670" s="16" t="inlineStr">
        <is>
          <t>ФНС открытые данные ССЧР (ДатаСост 31.12.2025; набор 7707329152-sshr2019)</t>
        </is>
      </c>
      <c r="R6670" s="16">
        <f>HYPERLINK("https://checko.ru/search?query=3801001629","Чекко: проверить")</f>
        <v/>
      </c>
      <c r="S6670" t="n">
        <v>1</v>
      </c>
      <c r="T6670" s="35" t="inlineStr">
        <is>
          <t>4 — Не обогащён</t>
        </is>
      </c>
      <c r="U6670" s="35" t="inlineStr">
        <is>
          <t>Нет ОКВЭД/ССЧР</t>
        </is>
      </c>
      <c r="V6670" s="35" t="inlineStr">
        <is>
          <t>Не определено</t>
        </is>
      </c>
      <c r="W6670" s="35" t="inlineStr">
        <is>
          <t>Нет</t>
        </is>
      </c>
      <c r="X6670" s="35" t="inlineStr"/>
    </row>
    <row r="6671" ht="27.75" customHeight="1" s="24">
      <c r="A6671" s="13" t="inlineStr">
        <is>
          <t>FR544814</t>
        </is>
      </c>
      <c r="B6671" s="13" t="inlineStr">
        <is>
          <t>ОБЩЕСТВО С ОГРАНИЧЕННОЙ ОТВЕТСТВЕННОСТЬЮ "РМКСИБ"</t>
        </is>
      </c>
      <c r="C6671" s="13" t="n">
        <v>3811475473</v>
      </c>
      <c r="D6671" s="13" t="inlineStr">
        <is>
          <t>3811475473</t>
        </is>
      </c>
      <c r="E6671" s="13" t="inlineStr">
        <is>
          <t>ЮЛ РФ</t>
        </is>
      </c>
      <c r="F6671" s="13" t="n"/>
      <c r="G6671" s="52" t="n">
        <v>2</v>
      </c>
      <c r="H6671" s="52" t="n">
        <v>2025</v>
      </c>
      <c r="I6671" s="14" t="n"/>
      <c r="J6671" s="14" t="n"/>
      <c r="K6671" s="53" t="inlineStr">
        <is>
          <t>Нет</t>
        </is>
      </c>
      <c r="L6671" s="53" t="inlineStr">
        <is>
          <t>Не определено</t>
        </is>
      </c>
      <c r="M6671" s="53" t="inlineStr">
        <is>
          <t>До 10</t>
        </is>
      </c>
      <c r="N6671" s="54" t="n">
        <v>3360</v>
      </c>
      <c r="O6671" s="55" t="inlineStr">
        <is>
          <t>1–15</t>
        </is>
      </c>
      <c r="P6671" s="16" t="inlineStr">
        <is>
          <t>ССЧР обогащена; ОКВЭД не найден/не загружен</t>
        </is>
      </c>
      <c r="Q6671" s="16" t="inlineStr">
        <is>
          <t>ФНС открытые данные ССЧР (ДатаСост 31.12.2025; набор 7707329152-sshr2019)</t>
        </is>
      </c>
      <c r="R6671" s="16">
        <f>HYPERLINK("https://checko.ru/search?query=3801001629","Чекко: проверить")</f>
        <v/>
      </c>
      <c r="S6671" t="n">
        <v>1</v>
      </c>
      <c r="T6671" s="35" t="inlineStr">
        <is>
          <t>4 — Не обогащён</t>
        </is>
      </c>
      <c r="U6671" s="35" t="inlineStr">
        <is>
          <t>Нет ОКВЭД/ССЧР</t>
        </is>
      </c>
      <c r="V6671" s="35" t="inlineStr">
        <is>
          <t>Не определено</t>
        </is>
      </c>
      <c r="W6671" s="35" t="inlineStr">
        <is>
          <t>Нет</t>
        </is>
      </c>
      <c r="X6671" s="35" t="inlineStr"/>
    </row>
    <row r="6672" ht="15" customHeight="1" s="24">
      <c r="A6672" s="13" t="inlineStr">
        <is>
          <t>FR1222753</t>
        </is>
      </c>
      <c r="B6672" s="13" t="inlineStr">
        <is>
          <t>ИП Циома Данила Александрович</t>
        </is>
      </c>
      <c r="C6672" s="13" t="n">
        <v>771672264112</v>
      </c>
      <c r="D6672" s="13" t="inlineStr">
        <is>
          <t>771672264112</t>
        </is>
      </c>
      <c r="E6672" s="13" t="inlineStr">
        <is>
          <t>ИП РФ / физлицо</t>
        </is>
      </c>
      <c r="F6672" s="13" t="n"/>
      <c r="G6672" s="14" t="n"/>
      <c r="H6672" s="14" t="n"/>
      <c r="I6672" s="14" t="n"/>
      <c r="J6672" s="14" t="n"/>
      <c r="K6672" s="53" t="inlineStr"/>
      <c r="L6672" s="53" t="inlineStr">
        <is>
          <t>Не определено</t>
        </is>
      </c>
      <c r="M6672" s="53" t="inlineStr"/>
      <c r="N6672" s="54" t="inlineStr"/>
      <c r="O6672" s="55" t="inlineStr"/>
      <c r="P6672" s="16" t="inlineStr">
        <is>
          <t>Требует обогащения</t>
        </is>
      </c>
      <c r="Q6672" s="16">
        <f>HYPERLINK("https://pb.nalog.ru/search.html?query=771672264112","ФНС: проверить")</f>
        <v/>
      </c>
      <c r="R6672" s="16">
        <f>HYPERLINK("https://checko.ru/search?query=3801001629","Чекко: проверить")</f>
        <v/>
      </c>
      <c r="S6672" t="n">
        <v>1</v>
      </c>
      <c r="T6672" s="35" t="inlineStr">
        <is>
          <t>4 — Не обогащён</t>
        </is>
      </c>
      <c r="U6672" s="35" t="inlineStr">
        <is>
          <t>Нет ОКВЭД/ССЧР</t>
        </is>
      </c>
      <c r="V6672" s="35" t="inlineStr">
        <is>
          <t>Не определено</t>
        </is>
      </c>
      <c r="W6672" s="35" t="inlineStr"/>
      <c r="X6672" s="35" t="inlineStr"/>
    </row>
    <row r="6673" ht="15" customHeight="1" s="24">
      <c r="A6673" s="13" t="inlineStr">
        <is>
          <t>FR936497</t>
        </is>
      </c>
      <c r="B6673" s="13" t="inlineStr">
        <is>
          <t>ИП Ведерникова Раиса Петровна</t>
        </is>
      </c>
      <c r="C6673" s="13" t="n">
        <v>381800016219</v>
      </c>
      <c r="D6673" s="13" t="inlineStr">
        <is>
          <t>381800016219</t>
        </is>
      </c>
      <c r="E6673" s="13" t="inlineStr">
        <is>
          <t>ИП РФ / физлицо</t>
        </is>
      </c>
      <c r="F6673" s="13" t="n"/>
      <c r="G6673" s="14" t="n"/>
      <c r="H6673" s="14" t="n"/>
      <c r="I6673" s="14" t="n"/>
      <c r="J6673" s="14" t="n"/>
      <c r="K6673" s="53" t="inlineStr"/>
      <c r="L6673" s="53" t="inlineStr">
        <is>
          <t>Не определено</t>
        </is>
      </c>
      <c r="M6673" s="53" t="inlineStr"/>
      <c r="N6673" s="54" t="inlineStr"/>
      <c r="O6673" s="55" t="inlineStr"/>
      <c r="P6673" s="16" t="inlineStr">
        <is>
          <t>Требует обогащения</t>
        </is>
      </c>
      <c r="Q6673" s="16">
        <f>HYPERLINK("https://pb.nalog.ru/search.html?query=381800016219","ФНС: проверить")</f>
        <v/>
      </c>
      <c r="R6673" s="16">
        <f>HYPERLINK("https://checko.ru/search?query=3801001629","Чекко: проверить")</f>
        <v/>
      </c>
      <c r="S6673" t="n">
        <v>1</v>
      </c>
      <c r="T6673" s="35" t="inlineStr">
        <is>
          <t>4 — Не обогащён</t>
        </is>
      </c>
      <c r="U6673" s="35" t="inlineStr">
        <is>
          <t>Нет ОКВЭД/ССЧР</t>
        </is>
      </c>
      <c r="V6673" s="35" t="inlineStr">
        <is>
          <t>Не определено</t>
        </is>
      </c>
      <c r="W6673" s="35" t="inlineStr"/>
      <c r="X6673" s="35" t="inlineStr"/>
    </row>
    <row r="6674" ht="15" customHeight="1" s="24">
      <c r="A6674" s="13" t="inlineStr">
        <is>
          <t>FR1028770</t>
        </is>
      </c>
      <c r="B6674" s="13" t="inlineStr">
        <is>
          <t>ИП Мотякина Лилия Александровна</t>
        </is>
      </c>
      <c r="C6674" s="13" t="n">
        <v>773770189611</v>
      </c>
      <c r="D6674" s="13" t="inlineStr">
        <is>
          <t>773770189611</t>
        </is>
      </c>
      <c r="E6674" s="13" t="inlineStr">
        <is>
          <t>ИП РФ / физлицо</t>
        </is>
      </c>
      <c r="F6674" s="13" t="n"/>
      <c r="G6674" s="14" t="n"/>
      <c r="H6674" s="14" t="n"/>
      <c r="I6674" s="14" t="n"/>
      <c r="J6674" s="14" t="n"/>
      <c r="K6674" s="53" t="inlineStr"/>
      <c r="L6674" s="53" t="inlineStr">
        <is>
          <t>Не определено</t>
        </is>
      </c>
      <c r="M6674" s="53" t="inlineStr"/>
      <c r="N6674" s="54" t="inlineStr"/>
      <c r="O6674" s="55" t="inlineStr"/>
      <c r="P6674" s="16" t="inlineStr">
        <is>
          <t>Требует обогащения</t>
        </is>
      </c>
      <c r="Q6674" s="16">
        <f>HYPERLINK("https://pb.nalog.ru/search.html?query=773770189611","ФНС: проверить")</f>
        <v/>
      </c>
      <c r="R6674" s="16">
        <f>HYPERLINK("https://checko.ru/search?query=3801001629","Чекко: проверить")</f>
        <v/>
      </c>
      <c r="S6674" t="n">
        <v>1</v>
      </c>
      <c r="T6674" s="35" t="inlineStr">
        <is>
          <t>4 — Не обогащён</t>
        </is>
      </c>
      <c r="U6674" s="35" t="inlineStr">
        <is>
          <t>Нет ОКВЭД/ССЧР</t>
        </is>
      </c>
      <c r="V6674" s="35" t="inlineStr">
        <is>
          <t>Не определено</t>
        </is>
      </c>
      <c r="W6674" s="35" t="inlineStr"/>
      <c r="X6674" s="35" t="inlineStr"/>
    </row>
    <row r="6675" ht="15" customHeight="1" s="24">
      <c r="A6675" s="13" t="inlineStr">
        <is>
          <t>FR1231183</t>
        </is>
      </c>
      <c r="B6675" s="13" t="inlineStr">
        <is>
          <t>КАСКАД СОДРУЖЕСТВО ООО</t>
        </is>
      </c>
      <c r="C6675" s="13" t="n">
        <v>9703092139</v>
      </c>
      <c r="D6675" s="13" t="inlineStr">
        <is>
          <t>9703092139</t>
        </is>
      </c>
      <c r="E6675" s="13" t="inlineStr">
        <is>
          <t>ЮЛ РФ</t>
        </is>
      </c>
      <c r="F6675" s="13" t="n"/>
      <c r="G6675" s="52" t="n">
        <v>6</v>
      </c>
      <c r="H6675" s="52" t="n">
        <v>2025</v>
      </c>
      <c r="I6675" s="14" t="n"/>
      <c r="J6675" s="14" t="n"/>
      <c r="K6675" s="53" t="inlineStr">
        <is>
          <t>Нет</t>
        </is>
      </c>
      <c r="L6675" s="53" t="inlineStr">
        <is>
          <t>Не определено</t>
        </is>
      </c>
      <c r="M6675" s="53" t="inlineStr">
        <is>
          <t>До 10</t>
        </is>
      </c>
      <c r="N6675" s="54" t="n">
        <v>3360</v>
      </c>
      <c r="O6675" s="55" t="inlineStr">
        <is>
          <t>1–15</t>
        </is>
      </c>
      <c r="P6675" s="16" t="inlineStr">
        <is>
          <t>ССЧР обогащена; ОКВЭД не найден/не загружен</t>
        </is>
      </c>
      <c r="Q6675" s="16" t="inlineStr">
        <is>
          <t>ФНС открытые данные ССЧР (ДатаСост 31.12.2025; набор 7707329152-sshr2019)</t>
        </is>
      </c>
      <c r="R6675" s="16">
        <f>HYPERLINK("https://checko.ru/search?query=3801001629","Чекко: проверить")</f>
        <v/>
      </c>
      <c r="S6675" t="n">
        <v>1</v>
      </c>
      <c r="T6675" s="35" t="inlineStr">
        <is>
          <t>4 — Не обогащён</t>
        </is>
      </c>
      <c r="U6675" s="35" t="inlineStr">
        <is>
          <t>Нет ОКВЭД/ССЧР</t>
        </is>
      </c>
      <c r="V6675" s="35" t="inlineStr">
        <is>
          <t>Не определено</t>
        </is>
      </c>
      <c r="W6675" s="35" t="inlineStr">
        <is>
          <t>Нет</t>
        </is>
      </c>
      <c r="X6675" s="35" t="inlineStr"/>
    </row>
    <row r="6676" ht="27.75" customHeight="1" s="24">
      <c r="A6676" s="13" t="inlineStr">
        <is>
          <t>FR843906</t>
        </is>
      </c>
      <c r="B6676" s="13" t="inlineStr">
        <is>
          <t>Общество с ограниченной ответственностью "АНГАРСК МОНТАЖЭНЕРГОРЕМОНТ"</t>
        </is>
      </c>
      <c r="C6676" s="13" t="n">
        <v>3801130335</v>
      </c>
      <c r="D6676" s="13" t="inlineStr">
        <is>
          <t>3801130335</t>
        </is>
      </c>
      <c r="E6676" s="13" t="inlineStr">
        <is>
          <t>ЮЛ РФ</t>
        </is>
      </c>
      <c r="F6676" s="13" t="n"/>
      <c r="G6676" s="52" t="n">
        <v>47</v>
      </c>
      <c r="H6676" s="52" t="n">
        <v>2025</v>
      </c>
      <c r="I6676" s="14" t="n"/>
      <c r="J6676" s="14" t="n"/>
      <c r="K6676" s="53" t="inlineStr">
        <is>
          <t>Да</t>
        </is>
      </c>
      <c r="L6676" s="53" t="inlineStr">
        <is>
          <t>Не определено</t>
        </is>
      </c>
      <c r="M6676" s="53" t="inlineStr">
        <is>
          <t>До 50</t>
        </is>
      </c>
      <c r="N6676" s="54" t="n">
        <v>16800</v>
      </c>
      <c r="O6676" s="55" t="inlineStr">
        <is>
          <t>31–50</t>
        </is>
      </c>
      <c r="P6676" s="16" t="inlineStr">
        <is>
          <t>ССЧР обогащена; ОКВЭД не найден/не загружен</t>
        </is>
      </c>
      <c r="Q6676" s="16" t="inlineStr">
        <is>
          <t>ФНС открытые данные ССЧР (ДатаСост 31.12.2025; набор 7707329152-sshr2019)</t>
        </is>
      </c>
      <c r="R6676" s="16">
        <f>HYPERLINK("https://checko.ru/search?query=3801001629","Чекко: проверить")</f>
        <v/>
      </c>
      <c r="S6676" t="n">
        <v>1</v>
      </c>
      <c r="T6676" s="35" t="inlineStr">
        <is>
          <t>3 — 22+ без ОКВЭД</t>
        </is>
      </c>
      <c r="U6676" s="35" t="inlineStr">
        <is>
          <t>22+ без целевого ОКВЭД</t>
        </is>
      </c>
      <c r="V6676" s="35" t="inlineStr">
        <is>
          <t>Не определено</t>
        </is>
      </c>
      <c r="W6676" s="35" t="inlineStr">
        <is>
          <t>Да</t>
        </is>
      </c>
      <c r="X6676" s="35" t="inlineStr"/>
    </row>
    <row r="6677" ht="27.75" customHeight="1" s="24">
      <c r="A6677" s="13" t="inlineStr">
        <is>
          <t>FR617966</t>
        </is>
      </c>
      <c r="B6677" s="13" t="inlineStr">
        <is>
          <t>Общество с ограниченной ответственностью "ТРАНСЛОГИСТИК"</t>
        </is>
      </c>
      <c r="C6677" s="13" t="n">
        <v>2460105670</v>
      </c>
      <c r="D6677" s="13" t="inlineStr">
        <is>
          <t>2460105670</t>
        </is>
      </c>
      <c r="E6677" s="13" t="inlineStr">
        <is>
          <t>ЮЛ РФ</t>
        </is>
      </c>
      <c r="F6677" s="13" t="n"/>
      <c r="G6677" s="52" t="n">
        <v>5</v>
      </c>
      <c r="H6677" s="52" t="n">
        <v>2025</v>
      </c>
      <c r="I6677" s="14" t="n"/>
      <c r="J6677" s="14" t="n"/>
      <c r="K6677" s="53" t="inlineStr">
        <is>
          <t>Нет</t>
        </is>
      </c>
      <c r="L6677" s="53" t="inlineStr">
        <is>
          <t>Не определено</t>
        </is>
      </c>
      <c r="M6677" s="53" t="inlineStr">
        <is>
          <t>До 10</t>
        </is>
      </c>
      <c r="N6677" s="54" t="n">
        <v>3360</v>
      </c>
      <c r="O6677" s="55" t="inlineStr">
        <is>
          <t>1–15</t>
        </is>
      </c>
      <c r="P6677" s="16" t="inlineStr">
        <is>
          <t>ССЧР обогащена; ОКВЭД не найден/не загружен</t>
        </is>
      </c>
      <c r="Q6677" s="16" t="inlineStr">
        <is>
          <t>ФНС открытые данные ССЧР (ДатаСост 31.12.2025; набор 7707329152-sshr2019)</t>
        </is>
      </c>
      <c r="R6677" s="16">
        <f>HYPERLINK("https://checko.ru/search?query=3801001629","Чекко: проверить")</f>
        <v/>
      </c>
      <c r="S6677" t="n">
        <v>1</v>
      </c>
      <c r="T6677" s="35" t="inlineStr">
        <is>
          <t>4 — Не обогащён</t>
        </is>
      </c>
      <c r="U6677" s="35" t="inlineStr">
        <is>
          <t>Нет ОКВЭД/ССЧР</t>
        </is>
      </c>
      <c r="V6677" s="35" t="inlineStr">
        <is>
          <t>Не определено</t>
        </is>
      </c>
      <c r="W6677" s="35" t="inlineStr">
        <is>
          <t>Нет</t>
        </is>
      </c>
      <c r="X6677" s="35" t="inlineStr"/>
    </row>
    <row r="6678" ht="27.75" customHeight="1" s="24">
      <c r="A6678" s="13" t="inlineStr">
        <is>
          <t>FR843826</t>
        </is>
      </c>
      <c r="B6678" s="13" t="inlineStr">
        <is>
          <t>Общество с ограниченной ответственностью "ВАВИЛОН"</t>
        </is>
      </c>
      <c r="C6678" s="13" t="n">
        <v>3808197593</v>
      </c>
      <c r="D6678" s="13" t="inlineStr">
        <is>
          <t>3808197593</t>
        </is>
      </c>
      <c r="E6678" s="13" t="inlineStr">
        <is>
          <t>ЮЛ РФ</t>
        </is>
      </c>
      <c r="F6678" s="13" t="n"/>
      <c r="G6678" s="52" t="n">
        <v>3</v>
      </c>
      <c r="H6678" s="52" t="n">
        <v>2025</v>
      </c>
      <c r="I6678" s="14" t="n"/>
      <c r="J6678" s="14" t="n"/>
      <c r="K6678" s="53" t="inlineStr">
        <is>
          <t>Нет</t>
        </is>
      </c>
      <c r="L6678" s="53" t="inlineStr">
        <is>
          <t>Не определено</t>
        </is>
      </c>
      <c r="M6678" s="53" t="inlineStr">
        <is>
          <t>До 10</t>
        </is>
      </c>
      <c r="N6678" s="54" t="n">
        <v>3360</v>
      </c>
      <c r="O6678" s="55" t="inlineStr">
        <is>
          <t>1–15</t>
        </is>
      </c>
      <c r="P6678" s="16" t="inlineStr">
        <is>
          <t>ССЧР обогащена; ОКВЭД не найден/не загружен</t>
        </is>
      </c>
      <c r="Q6678" s="16" t="inlineStr">
        <is>
          <t>ФНС открытые данные ССЧР (ДатаСост 31.12.2025; набор 7707329152-sshr2019)</t>
        </is>
      </c>
      <c r="R6678" s="16">
        <f>HYPERLINK("https://checko.ru/search?query=3801001629","Чекко: проверить")</f>
        <v/>
      </c>
      <c r="S6678" t="n">
        <v>1</v>
      </c>
      <c r="T6678" s="35" t="inlineStr">
        <is>
          <t>4 — Не обогащён</t>
        </is>
      </c>
      <c r="U6678" s="35" t="inlineStr">
        <is>
          <t>Нет ОКВЭД/ССЧР</t>
        </is>
      </c>
      <c r="V6678" s="35" t="inlineStr">
        <is>
          <t>Не определено</t>
        </is>
      </c>
      <c r="W6678" s="35" t="inlineStr">
        <is>
          <t>Нет</t>
        </is>
      </c>
      <c r="X6678" s="35" t="inlineStr"/>
    </row>
    <row r="6679" ht="15" customHeight="1" s="24">
      <c r="A6679" s="13" t="inlineStr">
        <is>
          <t>FR1033808</t>
        </is>
      </c>
      <c r="B6679" s="13" t="inlineStr">
        <is>
          <t>ДИНАМИКА ООО</t>
        </is>
      </c>
      <c r="C6679" s="13" t="n">
        <v>3812993069</v>
      </c>
      <c r="D6679" s="13" t="inlineStr">
        <is>
          <t>3812993069</t>
        </is>
      </c>
      <c r="E6679" s="13" t="inlineStr">
        <is>
          <t>ЮЛ РФ</t>
        </is>
      </c>
      <c r="F6679" s="13" t="n"/>
      <c r="G6679" s="52" t="n">
        <v>5</v>
      </c>
      <c r="H6679" s="52" t="n">
        <v>2025</v>
      </c>
      <c r="I6679" s="14" t="n"/>
      <c r="J6679" s="14" t="n"/>
      <c r="K6679" s="53" t="inlineStr">
        <is>
          <t>Нет</t>
        </is>
      </c>
      <c r="L6679" s="53" t="inlineStr">
        <is>
          <t>Не определено</t>
        </is>
      </c>
      <c r="M6679" s="53" t="inlineStr">
        <is>
          <t>До 10</t>
        </is>
      </c>
      <c r="N6679" s="54" t="n">
        <v>3360</v>
      </c>
      <c r="O6679" s="55" t="inlineStr">
        <is>
          <t>1–15</t>
        </is>
      </c>
      <c r="P6679" s="16" t="inlineStr">
        <is>
          <t>ССЧР обогащена; ОКВЭД не найден/не загружен</t>
        </is>
      </c>
      <c r="Q6679" s="16" t="inlineStr">
        <is>
          <t>ФНС открытые данные ССЧР (ДатаСост 31.12.2025; набор 7707329152-sshr2019)</t>
        </is>
      </c>
      <c r="R6679" s="16">
        <f>HYPERLINK("https://checko.ru/search?query=3801001629","Чекко: проверить")</f>
        <v/>
      </c>
      <c r="S6679" t="n">
        <v>1</v>
      </c>
      <c r="T6679" s="35" t="inlineStr">
        <is>
          <t>4 — Не обогащён</t>
        </is>
      </c>
      <c r="U6679" s="35" t="inlineStr">
        <is>
          <t>Нет ОКВЭД/ССЧР</t>
        </is>
      </c>
      <c r="V6679" s="35" t="inlineStr">
        <is>
          <t>Не определено</t>
        </is>
      </c>
      <c r="W6679" s="35" t="inlineStr">
        <is>
          <t>Нет</t>
        </is>
      </c>
      <c r="X6679" s="35" t="inlineStr"/>
    </row>
    <row r="6680" ht="15" customHeight="1" s="24">
      <c r="A6680" s="13" t="inlineStr">
        <is>
          <t>FR842550</t>
        </is>
      </c>
      <c r="B6680" s="13" t="inlineStr">
        <is>
          <t>ИП Горбачев Евгений Олегович</t>
        </is>
      </c>
      <c r="C6680" s="13" t="n">
        <v>381109023800</v>
      </c>
      <c r="D6680" s="13" t="inlineStr">
        <is>
          <t>381109023800</t>
        </is>
      </c>
      <c r="E6680" s="13" t="inlineStr">
        <is>
          <t>ИП РФ / физлицо</t>
        </is>
      </c>
      <c r="F6680" s="13" t="n"/>
      <c r="G6680" s="14" t="n"/>
      <c r="H6680" s="14" t="n"/>
      <c r="I6680" s="14" t="n"/>
      <c r="J6680" s="14" t="n"/>
      <c r="K6680" s="53" t="inlineStr"/>
      <c r="L6680" s="53" t="inlineStr">
        <is>
          <t>Не определено</t>
        </is>
      </c>
      <c r="M6680" s="53" t="inlineStr"/>
      <c r="N6680" s="54" t="inlineStr"/>
      <c r="O6680" s="55" t="inlineStr"/>
      <c r="P6680" s="16" t="inlineStr">
        <is>
          <t>Требует обогащения</t>
        </is>
      </c>
      <c r="Q6680" s="16">
        <f>HYPERLINK("https://pb.nalog.ru/search.html?query=381109023800","ФНС: проверить")</f>
        <v/>
      </c>
      <c r="R6680" s="16">
        <f>HYPERLINK("https://checko.ru/search?query=3801001629","Чекко: проверить")</f>
        <v/>
      </c>
      <c r="S6680" t="n">
        <v>0</v>
      </c>
      <c r="T6680" s="35" t="inlineStr">
        <is>
          <t>4 — Не обогащён</t>
        </is>
      </c>
      <c r="U6680" s="35" t="inlineStr">
        <is>
          <t>Нет ОКВЭД/ССЧР</t>
        </is>
      </c>
      <c r="V6680" s="35" t="inlineStr">
        <is>
          <t>Не определено</t>
        </is>
      </c>
      <c r="W6680" s="35" t="inlineStr"/>
      <c r="X6680" s="35" t="inlineStr"/>
    </row>
    <row r="6681" ht="27.75" customHeight="1" s="24">
      <c r="A6681" s="13" t="inlineStr">
        <is>
          <t>FR689015</t>
        </is>
      </c>
      <c r="B6681" s="13" t="inlineStr">
        <is>
          <t>Общество с ограниченной ответственностью "ВЕНЕВСКИЙ"</t>
        </is>
      </c>
      <c r="C6681" s="13" t="n">
        <v>7722466153</v>
      </c>
      <c r="D6681" s="13" t="inlineStr">
        <is>
          <t>7722466153</t>
        </is>
      </c>
      <c r="E6681" s="13" t="inlineStr">
        <is>
          <t>ЮЛ РФ</t>
        </is>
      </c>
      <c r="F6681" s="13" t="n"/>
      <c r="G6681" s="52" t="n">
        <v>1</v>
      </c>
      <c r="H6681" s="52" t="n">
        <v>2025</v>
      </c>
      <c r="I6681" s="14" t="n"/>
      <c r="J6681" s="14" t="n"/>
      <c r="K6681" s="53" t="inlineStr">
        <is>
          <t>Нет</t>
        </is>
      </c>
      <c r="L6681" s="53" t="inlineStr">
        <is>
          <t>Не определено</t>
        </is>
      </c>
      <c r="M6681" s="53" t="inlineStr">
        <is>
          <t>До 10</t>
        </is>
      </c>
      <c r="N6681" s="54" t="n">
        <v>3360</v>
      </c>
      <c r="O6681" s="55" t="inlineStr">
        <is>
          <t>1–15</t>
        </is>
      </c>
      <c r="P6681" s="16" t="inlineStr">
        <is>
          <t>ССЧР обогащена; ОКВЭД не найден/не загружен</t>
        </is>
      </c>
      <c r="Q6681" s="16" t="inlineStr">
        <is>
          <t>ФНС открытые данные ССЧР (ДатаСост 31.12.2025; набор 7707329152-sshr2019)</t>
        </is>
      </c>
      <c r="R6681" s="16">
        <f>HYPERLINK("https://checko.ru/search?query=3801001629","Чекко: проверить")</f>
        <v/>
      </c>
      <c r="S6681" t="n">
        <v>1</v>
      </c>
      <c r="T6681" s="35" t="inlineStr">
        <is>
          <t>4 — Не обогащён</t>
        </is>
      </c>
      <c r="U6681" s="35" t="inlineStr">
        <is>
          <t>Нет ОКВЭД/ССЧР</t>
        </is>
      </c>
      <c r="V6681" s="35" t="inlineStr">
        <is>
          <t>Не определено</t>
        </is>
      </c>
      <c r="W6681" s="35" t="inlineStr">
        <is>
          <t>Нет</t>
        </is>
      </c>
      <c r="X6681" s="35" t="inlineStr"/>
    </row>
    <row r="6682" ht="15" customHeight="1" s="24">
      <c r="A6682" s="13" t="inlineStr">
        <is>
          <t>FR1224282</t>
        </is>
      </c>
      <c r="B6682" s="13" t="inlineStr">
        <is>
          <t>ИП Расолько Артём Александрович</t>
        </is>
      </c>
      <c r="C6682" s="13" t="n">
        <v>524831678751</v>
      </c>
      <c r="D6682" s="13" t="inlineStr">
        <is>
          <t>524831678751</t>
        </is>
      </c>
      <c r="E6682" s="13" t="inlineStr">
        <is>
          <t>ИП РФ / физлицо</t>
        </is>
      </c>
      <c r="F6682" s="13" t="n"/>
      <c r="G6682" s="14" t="n"/>
      <c r="H6682" s="14" t="n"/>
      <c r="I6682" s="14" t="n"/>
      <c r="J6682" s="14" t="n"/>
      <c r="K6682" s="53" t="inlineStr"/>
      <c r="L6682" s="53" t="inlineStr">
        <is>
          <t>Не определено</t>
        </is>
      </c>
      <c r="M6682" s="53" t="inlineStr"/>
      <c r="N6682" s="54" t="inlineStr"/>
      <c r="O6682" s="55" t="inlineStr"/>
      <c r="P6682" s="16" t="inlineStr">
        <is>
          <t>Требует обогащения</t>
        </is>
      </c>
      <c r="Q6682" s="16">
        <f>HYPERLINK("https://pb.nalog.ru/search.html?query=524831678751","ФНС: проверить")</f>
        <v/>
      </c>
      <c r="R6682" s="16">
        <f>HYPERLINK("https://checko.ru/search?query=3801001629","Чекко: проверить")</f>
        <v/>
      </c>
      <c r="S6682" t="n">
        <v>1</v>
      </c>
      <c r="T6682" s="35" t="inlineStr">
        <is>
          <t>4 — Не обогащён</t>
        </is>
      </c>
      <c r="U6682" s="35" t="inlineStr">
        <is>
          <t>Нет ОКВЭД/ССЧР</t>
        </is>
      </c>
      <c r="V6682" s="35" t="inlineStr">
        <is>
          <t>Не определено</t>
        </is>
      </c>
      <c r="W6682" s="35" t="inlineStr"/>
      <c r="X6682" s="35" t="inlineStr"/>
    </row>
    <row r="6683" ht="15" customHeight="1" s="24">
      <c r="A6683" s="13" t="inlineStr">
        <is>
          <t>FR844340</t>
        </is>
      </c>
      <c r="B6683" s="13" t="inlineStr">
        <is>
          <t>ИП Красикова Зоя Николаевна</t>
        </is>
      </c>
      <c r="C6683" s="13" t="n">
        <v>381800168116</v>
      </c>
      <c r="D6683" s="13" t="inlineStr">
        <is>
          <t>381800168116</t>
        </is>
      </c>
      <c r="E6683" s="13" t="inlineStr">
        <is>
          <t>ИП РФ / физлицо</t>
        </is>
      </c>
      <c r="F6683" s="13" t="n"/>
      <c r="G6683" s="14" t="n"/>
      <c r="H6683" s="14" t="n"/>
      <c r="I6683" s="14" t="n"/>
      <c r="J6683" s="14" t="n"/>
      <c r="K6683" s="53" t="inlineStr"/>
      <c r="L6683" s="53" t="inlineStr">
        <is>
          <t>Не определено</t>
        </is>
      </c>
      <c r="M6683" s="53" t="inlineStr"/>
      <c r="N6683" s="54" t="inlineStr"/>
      <c r="O6683" s="55" t="inlineStr"/>
      <c r="P6683" s="16" t="inlineStr">
        <is>
          <t>Требует обогащения</t>
        </is>
      </c>
      <c r="Q6683" s="16">
        <f>HYPERLINK("https://pb.nalog.ru/search.html?query=381800168116","ФНС: проверить")</f>
        <v/>
      </c>
      <c r="R6683" s="16">
        <f>HYPERLINK("https://checko.ru/search?query=3801001629","Чекко: проверить")</f>
        <v/>
      </c>
      <c r="S6683" t="n">
        <v>1</v>
      </c>
      <c r="T6683" s="35" t="inlineStr">
        <is>
          <t>4 — Не обогащён</t>
        </is>
      </c>
      <c r="U6683" s="35" t="inlineStr">
        <is>
          <t>Нет ОКВЭД/ССЧР</t>
        </is>
      </c>
      <c r="V6683" s="35" t="inlineStr">
        <is>
          <t>Не определено</t>
        </is>
      </c>
      <c r="W6683" s="35" t="inlineStr"/>
      <c r="X6683" s="35" t="inlineStr"/>
    </row>
    <row r="6684" ht="15" customHeight="1" s="24">
      <c r="A6684" s="13" t="inlineStr">
        <is>
          <t>FR853627</t>
        </is>
      </c>
      <c r="B6684" s="13" t="inlineStr">
        <is>
          <t>ИП Проскура Татьяна Валерьевна</t>
        </is>
      </c>
      <c r="C6684" s="13" t="n">
        <v>381111114540</v>
      </c>
      <c r="D6684" s="13" t="inlineStr">
        <is>
          <t>381111114540</t>
        </is>
      </c>
      <c r="E6684" s="13" t="inlineStr">
        <is>
          <t>ИП РФ / физлицо</t>
        </is>
      </c>
      <c r="F6684" s="13" t="n"/>
      <c r="G6684" s="14" t="n"/>
      <c r="H6684" s="14" t="n"/>
      <c r="I6684" s="14" t="n"/>
      <c r="J6684" s="14" t="n"/>
      <c r="K6684" s="53" t="inlineStr"/>
      <c r="L6684" s="53" t="inlineStr">
        <is>
          <t>Не определено</t>
        </is>
      </c>
      <c r="M6684" s="53" t="inlineStr"/>
      <c r="N6684" s="54" t="inlineStr"/>
      <c r="O6684" s="55" t="inlineStr"/>
      <c r="P6684" s="16" t="inlineStr">
        <is>
          <t>Требует обогащения</t>
        </is>
      </c>
      <c r="Q6684" s="16">
        <f>HYPERLINK("https://pb.nalog.ru/search.html?query=381111114540","ФНС: проверить")</f>
        <v/>
      </c>
      <c r="R6684" s="16">
        <f>HYPERLINK("https://checko.ru/search?query=3801001629","Чекко: проверить")</f>
        <v/>
      </c>
      <c r="S6684" t="n">
        <v>1</v>
      </c>
      <c r="T6684" s="35" t="inlineStr">
        <is>
          <t>4 — Не обогащён</t>
        </is>
      </c>
      <c r="U6684" s="35" t="inlineStr">
        <is>
          <t>Нет ОКВЭД/ССЧР</t>
        </is>
      </c>
      <c r="V6684" s="35" t="inlineStr">
        <is>
          <t>Не определено</t>
        </is>
      </c>
      <c r="W6684" s="35" t="inlineStr"/>
      <c r="X6684" s="35" t="inlineStr"/>
    </row>
    <row r="6685" ht="15" customHeight="1" s="24">
      <c r="A6685" s="13" t="inlineStr">
        <is>
          <t>FR838506</t>
        </is>
      </c>
      <c r="B6685" s="13" t="inlineStr">
        <is>
          <t>ИП Позняк Виктория Рустемовна</t>
        </is>
      </c>
      <c r="C6685" s="13" t="n">
        <v>382008245848</v>
      </c>
      <c r="D6685" s="13" t="inlineStr">
        <is>
          <t>382008245848</t>
        </is>
      </c>
      <c r="E6685" s="13" t="inlineStr">
        <is>
          <t>ИП РФ / физлицо</t>
        </is>
      </c>
      <c r="F6685" s="13" t="n"/>
      <c r="G6685" s="14" t="n"/>
      <c r="H6685" s="14" t="n"/>
      <c r="I6685" s="14" t="n"/>
      <c r="J6685" s="14" t="n"/>
      <c r="K6685" s="53" t="inlineStr"/>
      <c r="L6685" s="53" t="inlineStr">
        <is>
          <t>Не определено</t>
        </is>
      </c>
      <c r="M6685" s="53" t="inlineStr"/>
      <c r="N6685" s="54" t="inlineStr"/>
      <c r="O6685" s="55" t="inlineStr"/>
      <c r="P6685" s="16" t="inlineStr">
        <is>
          <t>Требует обогащения</t>
        </is>
      </c>
      <c r="Q6685" s="16">
        <f>HYPERLINK("https://pb.nalog.ru/search.html?query=382008245848","ФНС: проверить")</f>
        <v/>
      </c>
      <c r="R6685" s="16">
        <f>HYPERLINK("https://checko.ru/search?query=3801001629","Чекко: проверить")</f>
        <v/>
      </c>
      <c r="S6685" t="n">
        <v>1</v>
      </c>
      <c r="T6685" s="35" t="inlineStr">
        <is>
          <t>4 — Не обогащён</t>
        </is>
      </c>
      <c r="U6685" s="35" t="inlineStr">
        <is>
          <t>Нет ОКВЭД/ССЧР</t>
        </is>
      </c>
      <c r="V6685" s="35" t="inlineStr">
        <is>
          <t>Не определено</t>
        </is>
      </c>
      <c r="W6685" s="35" t="inlineStr"/>
      <c r="X6685" s="35" t="inlineStr"/>
    </row>
    <row r="6686" ht="15" customHeight="1" s="24">
      <c r="A6686" s="13" t="inlineStr">
        <is>
          <t>FR205775</t>
        </is>
      </c>
      <c r="B6686" s="13" t="inlineStr">
        <is>
          <t>ИП Стадников Иван Анатольевич</t>
        </is>
      </c>
      <c r="C6686" s="13" t="n">
        <v>741803142520</v>
      </c>
      <c r="D6686" s="13" t="inlineStr">
        <is>
          <t>741803142520</t>
        </is>
      </c>
      <c r="E6686" s="13" t="inlineStr">
        <is>
          <t>ИП РФ / физлицо</t>
        </is>
      </c>
      <c r="F6686" s="13" t="n"/>
      <c r="G6686" s="14" t="n"/>
      <c r="H6686" s="14" t="n"/>
      <c r="I6686" s="14" t="n"/>
      <c r="J6686" s="14" t="n"/>
      <c r="K6686" s="53" t="inlineStr"/>
      <c r="L6686" s="53" t="inlineStr">
        <is>
          <t>Не определено</t>
        </is>
      </c>
      <c r="M6686" s="53" t="inlineStr"/>
      <c r="N6686" s="54" t="inlineStr"/>
      <c r="O6686" s="55" t="inlineStr"/>
      <c r="P6686" s="16" t="inlineStr">
        <is>
          <t>Требует обогащения</t>
        </is>
      </c>
      <c r="Q6686" s="16">
        <f>HYPERLINK("https://pb.nalog.ru/search.html?query=741803142520","ФНС: проверить")</f>
        <v/>
      </c>
      <c r="R6686" s="16">
        <f>HYPERLINK("https://checko.ru/search?query=3801001629","Чекко: проверить")</f>
        <v/>
      </c>
      <c r="S6686" t="n">
        <v>1</v>
      </c>
      <c r="T6686" s="35" t="inlineStr">
        <is>
          <t>4 — Не обогащён</t>
        </is>
      </c>
      <c r="U6686" s="35" t="inlineStr">
        <is>
          <t>Нет ОКВЭД/ССЧР</t>
        </is>
      </c>
      <c r="V6686" s="35" t="inlineStr">
        <is>
          <t>Не определено</t>
        </is>
      </c>
      <c r="W6686" s="35" t="inlineStr"/>
      <c r="X6686" s="35" t="inlineStr"/>
    </row>
    <row r="6687" ht="15" customHeight="1" s="24">
      <c r="A6687" s="13" t="inlineStr">
        <is>
          <t>FR1033808</t>
        </is>
      </c>
      <c r="B6687" s="13" t="inlineStr">
        <is>
          <t>ДИНАМИКА ООО</t>
        </is>
      </c>
      <c r="C6687" s="13" t="n">
        <v>3812993069</v>
      </c>
      <c r="D6687" s="13" t="inlineStr">
        <is>
          <t>3812993069</t>
        </is>
      </c>
      <c r="E6687" s="13" t="inlineStr">
        <is>
          <t>ЮЛ РФ</t>
        </is>
      </c>
      <c r="F6687" s="13" t="n"/>
      <c r="G6687" s="52" t="n">
        <v>5</v>
      </c>
      <c r="H6687" s="52" t="n">
        <v>2025</v>
      </c>
      <c r="I6687" s="14" t="n"/>
      <c r="J6687" s="14" t="n"/>
      <c r="K6687" s="53" t="inlineStr">
        <is>
          <t>Нет</t>
        </is>
      </c>
      <c r="L6687" s="53" t="inlineStr">
        <is>
          <t>Не определено</t>
        </is>
      </c>
      <c r="M6687" s="53" t="inlineStr">
        <is>
          <t>До 10</t>
        </is>
      </c>
      <c r="N6687" s="54" t="n">
        <v>3360</v>
      </c>
      <c r="O6687" s="55" t="inlineStr">
        <is>
          <t>1–15</t>
        </is>
      </c>
      <c r="P6687" s="16" t="inlineStr">
        <is>
          <t>ССЧР обогащена; ОКВЭД не найден/не загружен</t>
        </is>
      </c>
      <c r="Q6687" s="16" t="inlineStr">
        <is>
          <t>ФНС открытые данные ССЧР (ДатаСост 31.12.2025; набор 7707329152-sshr2019)</t>
        </is>
      </c>
      <c r="R6687" s="16">
        <f>HYPERLINK("https://checko.ru/search?query=3801001629","Чекко: проверить")</f>
        <v/>
      </c>
      <c r="S6687" t="n">
        <v>0</v>
      </c>
      <c r="T6687" s="35" t="inlineStr">
        <is>
          <t>4 — Не обогащён</t>
        </is>
      </c>
      <c r="U6687" s="35" t="inlineStr">
        <is>
          <t>Нет ОКВЭД/ССЧР</t>
        </is>
      </c>
      <c r="V6687" s="35" t="inlineStr">
        <is>
          <t>Не определено</t>
        </is>
      </c>
      <c r="W6687" s="35" t="inlineStr">
        <is>
          <t>Нет</t>
        </is>
      </c>
      <c r="X6687" s="35" t="inlineStr"/>
    </row>
    <row r="6688" ht="27.75" customHeight="1" s="24">
      <c r="A6688" s="13" t="inlineStr">
        <is>
          <t>FR539618</t>
        </is>
      </c>
      <c r="B6688" s="13" t="inlineStr">
        <is>
          <t>ОБЩЕСТВО С ОГРАНИЧЕННОЙ ОТВЕТСТВЕННОСТЬЮ  "ПЕККО"</t>
        </is>
      </c>
      <c r="C6688" s="13" t="n">
        <v>3808119122</v>
      </c>
      <c r="D6688" s="13" t="inlineStr">
        <is>
          <t>3808119122</t>
        </is>
      </c>
      <c r="E6688" s="13" t="inlineStr">
        <is>
          <t>ЮЛ РФ</t>
        </is>
      </c>
      <c r="F6688" s="13" t="n"/>
      <c r="G6688" s="52" t="n">
        <v>10</v>
      </c>
      <c r="H6688" s="52" t="n">
        <v>2025</v>
      </c>
      <c r="I6688" s="14" t="n"/>
      <c r="J6688" s="14" t="n"/>
      <c r="K6688" s="53" t="inlineStr">
        <is>
          <t>Нет</t>
        </is>
      </c>
      <c r="L6688" s="53" t="inlineStr">
        <is>
          <t>Не определено</t>
        </is>
      </c>
      <c r="M6688" s="53" t="inlineStr">
        <is>
          <t>До 10</t>
        </is>
      </c>
      <c r="N6688" s="54" t="n">
        <v>3360</v>
      </c>
      <c r="O6688" s="55" t="inlineStr">
        <is>
          <t>1–15</t>
        </is>
      </c>
      <c r="P6688" s="16" t="inlineStr">
        <is>
          <t>ССЧР обогащена; ОКВЭД не найден/не загружен</t>
        </is>
      </c>
      <c r="Q6688" s="16" t="inlineStr">
        <is>
          <t>ФНС открытые данные ССЧР (ДатаСост 31.12.2025; набор 7707329152-sshr2019)</t>
        </is>
      </c>
      <c r="R6688" s="16">
        <f>HYPERLINK("https://checko.ru/search?query=3801001629","Чекко: проверить")</f>
        <v/>
      </c>
      <c r="S6688" t="n">
        <v>1</v>
      </c>
      <c r="T6688" s="35" t="inlineStr">
        <is>
          <t>4 — Не обогащён</t>
        </is>
      </c>
      <c r="U6688" s="35" t="inlineStr">
        <is>
          <t>Нет ОКВЭД/ССЧР</t>
        </is>
      </c>
      <c r="V6688" s="35" t="inlineStr">
        <is>
          <t>Не определено</t>
        </is>
      </c>
      <c r="W6688" s="35" t="inlineStr">
        <is>
          <t>Нет</t>
        </is>
      </c>
      <c r="X6688" s="35" t="inlineStr"/>
    </row>
    <row r="6689" ht="15" customHeight="1" s="24">
      <c r="A6689" s="13" t="inlineStr">
        <is>
          <t>FR690608</t>
        </is>
      </c>
      <c r="B6689" s="13" t="inlineStr">
        <is>
          <t>ИП Градобоев Алексей Валерьевич</t>
        </is>
      </c>
      <c r="C6689" s="13" t="n">
        <v>381101511267</v>
      </c>
      <c r="D6689" s="13" t="inlineStr">
        <is>
          <t>381101511267</t>
        </is>
      </c>
      <c r="E6689" s="13" t="inlineStr">
        <is>
          <t>ИП РФ / физлицо</t>
        </is>
      </c>
      <c r="F6689" s="13" t="n"/>
      <c r="G6689" s="14" t="n"/>
      <c r="H6689" s="14" t="n"/>
      <c r="I6689" s="14" t="n"/>
      <c r="J6689" s="14" t="n"/>
      <c r="K6689" s="53" t="inlineStr"/>
      <c r="L6689" s="53" t="inlineStr">
        <is>
          <t>Не определено</t>
        </is>
      </c>
      <c r="M6689" s="53" t="inlineStr"/>
      <c r="N6689" s="54" t="inlineStr"/>
      <c r="O6689" s="55" t="inlineStr"/>
      <c r="P6689" s="16" t="inlineStr">
        <is>
          <t>Требует обогащения</t>
        </is>
      </c>
      <c r="Q6689" s="16">
        <f>HYPERLINK("https://pb.nalog.ru/search.html?query=381101511267","ФНС: проверить")</f>
        <v/>
      </c>
      <c r="R6689" s="16">
        <f>HYPERLINK("https://checko.ru/search?query=3801001629","Чекко: проверить")</f>
        <v/>
      </c>
      <c r="S6689" t="n">
        <v>1</v>
      </c>
      <c r="T6689" s="35" t="inlineStr">
        <is>
          <t>4 — Не обогащён</t>
        </is>
      </c>
      <c r="U6689" s="35" t="inlineStr">
        <is>
          <t>Нет ОКВЭД/ССЧР</t>
        </is>
      </c>
      <c r="V6689" s="35" t="inlineStr">
        <is>
          <t>Не определено</t>
        </is>
      </c>
      <c r="W6689" s="35" t="inlineStr"/>
      <c r="X6689" s="35" t="inlineStr"/>
    </row>
    <row r="6690" ht="15" customHeight="1" s="24">
      <c r="A6690" s="13" t="inlineStr">
        <is>
          <t>FR412016</t>
        </is>
      </c>
      <c r="B6690" s="13" t="inlineStr">
        <is>
          <t>ИП Сохова Зарема Борисовна</t>
        </is>
      </c>
      <c r="C6690" s="13" t="n">
        <v>71403529298</v>
      </c>
      <c r="D6690" s="13" t="n"/>
      <c r="E6690" s="13" t="inlineStr">
        <is>
          <t>Не определён</t>
        </is>
      </c>
      <c r="F6690" s="13" t="n"/>
      <c r="G6690" s="14" t="n"/>
      <c r="H6690" s="14" t="n"/>
      <c r="I6690" s="14" t="n"/>
      <c r="J6690" s="14" t="n"/>
      <c r="K6690" s="13">
        <f>IF(G6690="","",IF(G6690&gt;=22,"Да","Нет"))</f>
        <v/>
      </c>
      <c r="L6690" s="13">
        <f>IF(OR(I6690="",J6690=""),"Не определено",IF(OR(COUNTIF(I6690,"45*")&gt;0,COUNTIF(J6690,"*45*")&gt;0,COUNTIF(I6690,"46*")&gt;0,COUNTIF(J6690,"*46*")&gt;0,COUNTIF(I6690,"47*")&gt;0,COUNTIF(J6690,"*47*")&gt;0,COUNTIF(I6690,"10*")&gt;0,COUNTIF(J6690,"*10*")&gt;0,COUNTIF(I6690,"11*")&gt;0,COUNTIF(J6690,"*11*")&gt;0,COUNTIF(I6690,"12*")&gt;0,COUNTIF(J6690,"*12*")&gt;0,COUNTIF(I6690,"13*")&gt;0,COUNTIF(J6690,"*13*")&gt;0,COUNTIF(I6690,"14*")&gt;0,COUNTIF(J6690,"*14*")&gt;0,COUNTIF(I6690,"15*")&gt;0,COUNTIF(J6690,"*15*")&gt;0,COUNTIF(I6690,"16*")&gt;0,COUNTIF(J6690,"*16*")&gt;0,COUNTIF(I6690,"17*")&gt;0,COUNTIF(J6690,"*17*")&gt;0,COUNTIF(I6690,"18*")&gt;0,COUNTIF(J6690,"*18*")&gt;0,COUNTIF(I6690,"19*")&gt;0,COUNTIF(J6690,"*19*")&gt;0,COUNTIF(I6690,"20*")&gt;0,COUNTIF(J6690,"*20*")&gt;0,COUNTIF(I6690,"21*")&gt;0,COUNTIF(J6690,"*21*")&gt;0,COUNTIF(I6690,"22*")&gt;0,COUNTIF(J6690,"*22*")&gt;0,COUNTIF(I6690,"23*")&gt;0,COUNTIF(J6690,"*23*")&gt;0,COUNTIF(I6690,"24*")&gt;0,COUNTIF(J6690,"*24*")&gt;0,COUNTIF(I6690,"25*")&gt;0,COUNTIF(J6690,"*25*")&gt;0,COUNTIF(I6690,"26*")&gt;0,COUNTIF(J6690,"*26*")&gt;0,COUNTIF(I6690,"27*")&gt;0,COUNTIF(J6690,"*27*")&gt;0,COUNTIF(I6690,"28*")&gt;0,COUNTIF(J6690,"*28*")&gt;0,COUNTIF(I6690,"29*")&gt;0,COUNTIF(J6690,"*29*")&gt;0,COUNTIF(I6690,"30*")&gt;0,COUNTIF(J6690,"*30*")&gt;0,COUNTIF(I6690,"31*")&gt;0,COUNTIF(J6690,"*31*")&gt;0,COUNTIF(I6690,"32*")&gt;0,COUNTIF(J6690,"*32*")&gt;0,COUNTIF(I6690,"33*")&gt;0,COUNTIF(J6690,"*33*")&gt;0,COUNTIF(I6690,"41*")&gt;0,COUNTIF(J6690,"*41*")&gt;0,COUNTIF(I6690,"42*")&gt;0,COUNTIF(J6690,"*42*")&gt;0,COUNTIF(I6690,"43*")&gt;0,COUNTIF(J6690,"*43*")&gt;0,COUNTIF(I6690,"49*")&gt;0,COUNTIF(J6690,"*49*")&gt;0,COUNTIF(I6690,"52*")&gt;0,COUNTIF(J6690,"*52*")&gt;0,COUNTIF(I6690,"55*")&gt;0,COUNTIF(J6690,"*55*")&gt;0,COUNTIF(I6690,"56*")&gt;0,COUNTIF(J6690,"*56*")&gt;0,COUNTIF(I6690,"68*")&gt;0,COUNTIF(J6690,"*68*")&gt;0,COUNTIF(I6690,"78*")&gt;0,COUNTIF(J6690,"*78*")&gt;0,COUNTIF(I6690,"81*")&gt;0,COUNTIF(J6690,"*81*")&gt;0,COUNTIF(I6690,"82*")&gt;0,COUNTIF(J6690,"*82*")&gt;0,COUNTIF(I6690,"64*")&gt;0,COUNTIF(J6690,"*64*")&gt;0,COUNTIF(I6690,"65*")&gt;0,COUNTIF(J6690,"*65*")&gt;0,COUNTIF(I6690,"66*")&gt;0,COUNTIF(J6690,"*66*")&gt;0,COUNTIF(I6690,"61*")&gt;0,COUNTIF(J6690,"*61*")&gt;0,COUNTIF(I6690,"62*")&gt;0,COUNTIF(J6690,"*62*")&gt;0,COUNTIF(I6690,"63*")&gt;0,COUNTIF(J6690,"*63*")&gt;0,COUNTIF(I6690,"85*")&gt;0,COUNTIF(J6690,"*85*")&gt;0,COUNTIF(I6690,"86*")&gt;0,COUNTIF(J6690,"*86*")&gt;0),"Да","Нет"))</f>
        <v/>
      </c>
      <c r="M6690" s="13">
        <f>IF(OR(G6690="",L6690&lt;&gt;"Да"),"",IF(G6690&lt;=100,"До 100",IF(G6690&lt;=200,"До 200",IF(G6690&lt;=500,"До 500","Отдельное КП"))))</f>
        <v/>
      </c>
      <c r="N6690" s="15">
        <f>IF(OR(G6690="",L6690&lt;&gt;"Да"),"",IF(G6690&lt;=100,33600,IF(G6690&lt;=200,62400,IF(G6690&lt;=500,144000,""))))</f>
        <v/>
      </c>
      <c r="O6690" s="16">
        <f>IF(G6690="","",IF(G6690&lt;=15,"1–15",IF(G6690&lt;=30,"16–30",IF(G6690&lt;=50,"31–50",IF(G6690&lt;=100,"51–100",IF(G6690&lt;=150,"101–150",IF(G6690&lt;=200,"151–200",IF(G6690&lt;=500,"201–500","500+"))))))))</f>
        <v/>
      </c>
      <c r="P6690" s="16" t="inlineStr">
        <is>
          <t>Нет совпадения в предоставленной выгрузке ССЧР</t>
        </is>
      </c>
      <c r="Q6690" s="16" t="n"/>
      <c r="R6690" s="16">
        <f>HYPERLINK("https://checko.ru/search?query=3801001629","Чекко: проверить")</f>
        <v/>
      </c>
      <c r="S6690" t="n">
        <v>0</v>
      </c>
    </row>
    <row r="6691" ht="15" customHeight="1" s="24">
      <c r="A6691" s="13" t="inlineStr">
        <is>
          <t>FR772737</t>
        </is>
      </c>
      <c r="B6691" s="13" t="inlineStr">
        <is>
          <t>ИП Милов Дмитрий Евгеньевич</t>
        </is>
      </c>
      <c r="C6691" s="13" t="n">
        <v>381110148917</v>
      </c>
      <c r="D6691" s="13" t="inlineStr">
        <is>
          <t>381110148917</t>
        </is>
      </c>
      <c r="E6691" s="13" t="inlineStr">
        <is>
          <t>ИП РФ / физлицо</t>
        </is>
      </c>
      <c r="F6691" s="13" t="n"/>
      <c r="G6691" s="14" t="n"/>
      <c r="H6691" s="14" t="n"/>
      <c r="I6691" s="14" t="n"/>
      <c r="J6691" s="14" t="n"/>
      <c r="K6691" s="53" t="inlineStr"/>
      <c r="L6691" s="53" t="inlineStr">
        <is>
          <t>Не определено</t>
        </is>
      </c>
      <c r="M6691" s="53" t="inlineStr"/>
      <c r="N6691" s="54" t="inlineStr"/>
      <c r="O6691" s="55" t="inlineStr"/>
      <c r="P6691" s="16" t="inlineStr">
        <is>
          <t>Требует обогащения</t>
        </is>
      </c>
      <c r="Q6691" s="16">
        <f>HYPERLINK("https://pb.nalog.ru/search.html?query=381110148917","ФНС: проверить")</f>
        <v/>
      </c>
      <c r="R6691" s="16">
        <f>HYPERLINK("https://checko.ru/search?query=3801001629","Чекко: проверить")</f>
        <v/>
      </c>
      <c r="S6691" t="n">
        <v>1</v>
      </c>
      <c r="T6691" s="35" t="inlineStr">
        <is>
          <t>4 — Не обогащён</t>
        </is>
      </c>
      <c r="U6691" s="35" t="inlineStr">
        <is>
          <t>Нет ОКВЭД/ССЧР</t>
        </is>
      </c>
      <c r="V6691" s="35" t="inlineStr">
        <is>
          <t>Не определено</t>
        </is>
      </c>
      <c r="W6691" s="35" t="inlineStr"/>
      <c r="X6691" s="35" t="inlineStr"/>
    </row>
    <row r="6692" ht="27.75" customHeight="1" s="24">
      <c r="A6692" s="13" t="inlineStr">
        <is>
          <t>FR403352</t>
        </is>
      </c>
      <c r="B6692" s="13" t="inlineStr">
        <is>
          <t>ОБЩЕСТВО С ОГРАНИЧЕННОЙ ОТВЕТСТВЕННОСТЬЮ "СВЕТ И ТЕПЛО"</t>
        </is>
      </c>
      <c r="C6692" s="13" t="n">
        <v>3810321625</v>
      </c>
      <c r="D6692" s="13" t="inlineStr">
        <is>
          <t>3810321625</t>
        </is>
      </c>
      <c r="E6692" s="13" t="inlineStr">
        <is>
          <t>ЮЛ РФ</t>
        </is>
      </c>
      <c r="F6692" s="13" t="n"/>
      <c r="G6692" s="52" t="n">
        <v>10</v>
      </c>
      <c r="H6692" s="52" t="n">
        <v>2025</v>
      </c>
      <c r="I6692" s="14" t="n"/>
      <c r="J6692" s="14" t="n"/>
      <c r="K6692" s="53" t="inlineStr">
        <is>
          <t>Нет</t>
        </is>
      </c>
      <c r="L6692" s="53" t="inlineStr">
        <is>
          <t>Не определено</t>
        </is>
      </c>
      <c r="M6692" s="53" t="inlineStr">
        <is>
          <t>До 10</t>
        </is>
      </c>
      <c r="N6692" s="54" t="n">
        <v>3360</v>
      </c>
      <c r="O6692" s="55" t="inlineStr">
        <is>
          <t>1–15</t>
        </is>
      </c>
      <c r="P6692" s="16" t="inlineStr">
        <is>
          <t>ССЧР обогащена; ОКВЭД не найден/не загружен</t>
        </is>
      </c>
      <c r="Q6692" s="16" t="inlineStr">
        <is>
          <t>ФНС открытые данные ССЧР (ДатаСост 31.12.2025; набор 7707329152-sshr2019)</t>
        </is>
      </c>
      <c r="R6692" s="16">
        <f>HYPERLINK("https://checko.ru/search?query=3801001629","Чекко: проверить")</f>
        <v/>
      </c>
      <c r="S6692" t="n">
        <v>1</v>
      </c>
      <c r="T6692" s="35" t="inlineStr">
        <is>
          <t>4 — Не обогащён</t>
        </is>
      </c>
      <c r="U6692" s="35" t="inlineStr">
        <is>
          <t>Нет ОКВЭД/ССЧР</t>
        </is>
      </c>
      <c r="V6692" s="35" t="inlineStr">
        <is>
          <t>Не определено</t>
        </is>
      </c>
      <c r="W6692" s="35" t="inlineStr">
        <is>
          <t>Нет</t>
        </is>
      </c>
      <c r="X6692" s="35" t="inlineStr"/>
    </row>
    <row r="6693" ht="15" customHeight="1" s="24">
      <c r="A6693" s="13" t="inlineStr">
        <is>
          <t>FR515787</t>
        </is>
      </c>
      <c r="B6693" s="13" t="inlineStr">
        <is>
          <t>ИП Кадиева Сарият Курбановна</t>
        </is>
      </c>
      <c r="C6693" s="13" t="n">
        <v>54803792264</v>
      </c>
      <c r="D6693" s="13" t="n"/>
      <c r="E6693" s="13" t="inlineStr">
        <is>
          <t>Не определён</t>
        </is>
      </c>
      <c r="F6693" s="13" t="n"/>
      <c r="G6693" s="14" t="n"/>
      <c r="H6693" s="14" t="n"/>
      <c r="I6693" s="14" t="n"/>
      <c r="J6693" s="14" t="n"/>
      <c r="K6693" s="13">
        <f>IF(G6693="","",IF(G6693&gt;=22,"Да","Нет"))</f>
        <v/>
      </c>
      <c r="L6693" s="13">
        <f>IF(OR(I6693="",J6693=""),"Не определено",IF(OR(COUNTIF(I6693,"45*")&gt;0,COUNTIF(J6693,"*45*")&gt;0,COUNTIF(I6693,"46*")&gt;0,COUNTIF(J6693,"*46*")&gt;0,COUNTIF(I6693,"47*")&gt;0,COUNTIF(J6693,"*47*")&gt;0,COUNTIF(I6693,"10*")&gt;0,COUNTIF(J6693,"*10*")&gt;0,COUNTIF(I6693,"11*")&gt;0,COUNTIF(J6693,"*11*")&gt;0,COUNTIF(I6693,"12*")&gt;0,COUNTIF(J6693,"*12*")&gt;0,COUNTIF(I6693,"13*")&gt;0,COUNTIF(J6693,"*13*")&gt;0,COUNTIF(I6693,"14*")&gt;0,COUNTIF(J6693,"*14*")&gt;0,COUNTIF(I6693,"15*")&gt;0,COUNTIF(J6693,"*15*")&gt;0,COUNTIF(I6693,"16*")&gt;0,COUNTIF(J6693,"*16*")&gt;0,COUNTIF(I6693,"17*")&gt;0,COUNTIF(J6693,"*17*")&gt;0,COUNTIF(I6693,"18*")&gt;0,COUNTIF(J6693,"*18*")&gt;0,COUNTIF(I6693,"19*")&gt;0,COUNTIF(J6693,"*19*")&gt;0,COUNTIF(I6693,"20*")&gt;0,COUNTIF(J6693,"*20*")&gt;0,COUNTIF(I6693,"21*")&gt;0,COUNTIF(J6693,"*21*")&gt;0,COUNTIF(I6693,"22*")&gt;0,COUNTIF(J6693,"*22*")&gt;0,COUNTIF(I6693,"23*")&gt;0,COUNTIF(J6693,"*23*")&gt;0,COUNTIF(I6693,"24*")&gt;0,COUNTIF(J6693,"*24*")&gt;0,COUNTIF(I6693,"25*")&gt;0,COUNTIF(J6693,"*25*")&gt;0,COUNTIF(I6693,"26*")&gt;0,COUNTIF(J6693,"*26*")&gt;0,COUNTIF(I6693,"27*")&gt;0,COUNTIF(J6693,"*27*")&gt;0,COUNTIF(I6693,"28*")&gt;0,COUNTIF(J6693,"*28*")&gt;0,COUNTIF(I6693,"29*")&gt;0,COUNTIF(J6693,"*29*")&gt;0,COUNTIF(I6693,"30*")&gt;0,COUNTIF(J6693,"*30*")&gt;0,COUNTIF(I6693,"31*")&gt;0,COUNTIF(J6693,"*31*")&gt;0,COUNTIF(I6693,"32*")&gt;0,COUNTIF(J6693,"*32*")&gt;0,COUNTIF(I6693,"33*")&gt;0,COUNTIF(J6693,"*33*")&gt;0,COUNTIF(I6693,"41*")&gt;0,COUNTIF(J6693,"*41*")&gt;0,COUNTIF(I6693,"42*")&gt;0,COUNTIF(J6693,"*42*")&gt;0,COUNTIF(I6693,"43*")&gt;0,COUNTIF(J6693,"*43*")&gt;0,COUNTIF(I6693,"49*")&gt;0,COUNTIF(J6693,"*49*")&gt;0,COUNTIF(I6693,"52*")&gt;0,COUNTIF(J6693,"*52*")&gt;0,COUNTIF(I6693,"55*")&gt;0,COUNTIF(J6693,"*55*")&gt;0,COUNTIF(I6693,"56*")&gt;0,COUNTIF(J6693,"*56*")&gt;0,COUNTIF(I6693,"68*")&gt;0,COUNTIF(J6693,"*68*")&gt;0,COUNTIF(I6693,"78*")&gt;0,COUNTIF(J6693,"*78*")&gt;0,COUNTIF(I6693,"81*")&gt;0,COUNTIF(J6693,"*81*")&gt;0,COUNTIF(I6693,"82*")&gt;0,COUNTIF(J6693,"*82*")&gt;0,COUNTIF(I6693,"64*")&gt;0,COUNTIF(J6693,"*64*")&gt;0,COUNTIF(I6693,"65*")&gt;0,COUNTIF(J6693,"*65*")&gt;0,COUNTIF(I6693,"66*")&gt;0,COUNTIF(J6693,"*66*")&gt;0,COUNTIF(I6693,"61*")&gt;0,COUNTIF(J6693,"*61*")&gt;0,COUNTIF(I6693,"62*")&gt;0,COUNTIF(J6693,"*62*")&gt;0,COUNTIF(I6693,"63*")&gt;0,COUNTIF(J6693,"*63*")&gt;0,COUNTIF(I6693,"85*")&gt;0,COUNTIF(J6693,"*85*")&gt;0,COUNTIF(I6693,"86*")&gt;0,COUNTIF(J6693,"*86*")&gt;0),"Да","Нет"))</f>
        <v/>
      </c>
      <c r="M6693" s="13">
        <f>IF(OR(G6693="",L6693&lt;&gt;"Да"),"",IF(G6693&lt;=100,"До 100",IF(G6693&lt;=200,"До 200",IF(G6693&lt;=500,"До 500","Отдельное КП"))))</f>
        <v/>
      </c>
      <c r="N6693" s="15">
        <f>IF(OR(G6693="",L6693&lt;&gt;"Да"),"",IF(G6693&lt;=100,33600,IF(G6693&lt;=200,62400,IF(G6693&lt;=500,144000,""))))</f>
        <v/>
      </c>
      <c r="O6693" s="16">
        <f>IF(G6693="","",IF(G6693&lt;=15,"1–15",IF(G6693&lt;=30,"16–30",IF(G6693&lt;=50,"31–50",IF(G6693&lt;=100,"51–100",IF(G6693&lt;=150,"101–150",IF(G6693&lt;=200,"151–200",IF(G6693&lt;=500,"201–500","500+"))))))))</f>
        <v/>
      </c>
      <c r="P6693" s="16" t="inlineStr">
        <is>
          <t>Нет совпадения в предоставленной выгрузке ССЧР</t>
        </is>
      </c>
      <c r="Q6693" s="16" t="n"/>
      <c r="R6693" s="16">
        <f>HYPERLINK("https://checko.ru/search?query=3801001629","Чекко: проверить")</f>
        <v/>
      </c>
      <c r="S6693" t="n">
        <v>0</v>
      </c>
    </row>
    <row r="6694" ht="15" customHeight="1" s="24">
      <c r="A6694" s="13" t="inlineStr">
        <is>
          <t>FR696148</t>
        </is>
      </c>
      <c r="B6694" s="13" t="inlineStr">
        <is>
          <t>ИП Лис Зинаида Александровна</t>
        </is>
      </c>
      <c r="C6694" s="13" t="n">
        <v>384902392151</v>
      </c>
      <c r="D6694" s="13" t="inlineStr">
        <is>
          <t>384902392151</t>
        </is>
      </c>
      <c r="E6694" s="13" t="inlineStr">
        <is>
          <t>ИП РФ / физлицо</t>
        </is>
      </c>
      <c r="F6694" s="13" t="n"/>
      <c r="G6694" s="14" t="n"/>
      <c r="H6694" s="14" t="n"/>
      <c r="I6694" s="14" t="n"/>
      <c r="J6694" s="14" t="n"/>
      <c r="K6694" s="53" t="inlineStr"/>
      <c r="L6694" s="53" t="inlineStr">
        <is>
          <t>Не определено</t>
        </is>
      </c>
      <c r="M6694" s="53" t="inlineStr"/>
      <c r="N6694" s="54" t="inlineStr"/>
      <c r="O6694" s="55" t="inlineStr"/>
      <c r="P6694" s="16" t="inlineStr">
        <is>
          <t>Требует обогащения</t>
        </is>
      </c>
      <c r="Q6694" s="16">
        <f>HYPERLINK("https://pb.nalog.ru/search.html?query=384902392151","ФНС: проверить")</f>
        <v/>
      </c>
      <c r="R6694" s="16">
        <f>HYPERLINK("https://checko.ru/search?query=3801001629","Чекко: проверить")</f>
        <v/>
      </c>
      <c r="S6694" t="n">
        <v>1</v>
      </c>
      <c r="T6694" s="35" t="inlineStr">
        <is>
          <t>4 — Не обогащён</t>
        </is>
      </c>
      <c r="U6694" s="35" t="inlineStr">
        <is>
          <t>Нет ОКВЭД/ССЧР</t>
        </is>
      </c>
      <c r="V6694" s="35" t="inlineStr">
        <is>
          <t>Не определено</t>
        </is>
      </c>
      <c r="W6694" s="35" t="inlineStr"/>
      <c r="X6694" s="35" t="inlineStr"/>
    </row>
    <row r="6695" ht="15" customHeight="1" s="24">
      <c r="A6695" s="13" t="inlineStr">
        <is>
          <t>FR696863</t>
        </is>
      </c>
      <c r="B6695" s="13" t="inlineStr">
        <is>
          <t>ИП Чобанян Рубик Алексанович</t>
        </is>
      </c>
      <c r="C6695" s="13" t="n">
        <v>384201164742</v>
      </c>
      <c r="D6695" s="13" t="inlineStr">
        <is>
          <t>384201164742</t>
        </is>
      </c>
      <c r="E6695" s="13" t="inlineStr">
        <is>
          <t>ИП РФ / физлицо</t>
        </is>
      </c>
      <c r="F6695" s="13" t="n"/>
      <c r="G6695" s="14" t="n"/>
      <c r="H6695" s="14" t="n"/>
      <c r="I6695" s="14" t="n"/>
      <c r="J6695" s="14" t="n"/>
      <c r="K6695" s="53" t="inlineStr"/>
      <c r="L6695" s="53" t="inlineStr">
        <is>
          <t>Не определено</t>
        </is>
      </c>
      <c r="M6695" s="53" t="inlineStr"/>
      <c r="N6695" s="54" t="inlineStr"/>
      <c r="O6695" s="55" t="inlineStr"/>
      <c r="P6695" s="16" t="inlineStr">
        <is>
          <t>Требует обогащения</t>
        </is>
      </c>
      <c r="Q6695" s="16">
        <f>HYPERLINK("https://pb.nalog.ru/search.html?query=384201164742","ФНС: проверить")</f>
        <v/>
      </c>
      <c r="R6695" s="16">
        <f>HYPERLINK("https://checko.ru/search?query=3801001629","Чекко: проверить")</f>
        <v/>
      </c>
      <c r="S6695" t="n">
        <v>1</v>
      </c>
      <c r="T6695" s="35" t="inlineStr">
        <is>
          <t>4 — Не обогащён</t>
        </is>
      </c>
      <c r="U6695" s="35" t="inlineStr">
        <is>
          <t>Нет ОКВЭД/ССЧР</t>
        </is>
      </c>
      <c r="V6695" s="35" t="inlineStr">
        <is>
          <t>Не определено</t>
        </is>
      </c>
      <c r="W6695" s="35" t="inlineStr"/>
      <c r="X6695" s="35" t="inlineStr"/>
    </row>
    <row r="6696" ht="15" customHeight="1" s="24">
      <c r="A6696" s="13" t="inlineStr">
        <is>
          <t>FR45477</t>
        </is>
      </c>
      <c r="B6696" s="13" t="inlineStr">
        <is>
          <t>ООО Ост Венд</t>
        </is>
      </c>
      <c r="C6696" s="13" t="n">
        <v>3811437076</v>
      </c>
      <c r="D6696" s="13" t="inlineStr">
        <is>
          <t>3811437076</t>
        </is>
      </c>
      <c r="E6696" s="13" t="inlineStr">
        <is>
          <t>ЮЛ РФ</t>
        </is>
      </c>
      <c r="F6696" s="13" t="n"/>
      <c r="G6696" s="52" t="n">
        <v>1</v>
      </c>
      <c r="H6696" s="52" t="n">
        <v>2025</v>
      </c>
      <c r="I6696" s="14" t="n"/>
      <c r="J6696" s="14" t="n"/>
      <c r="K6696" s="53" t="inlineStr">
        <is>
          <t>Нет</t>
        </is>
      </c>
      <c r="L6696" s="53" t="inlineStr">
        <is>
          <t>Не определено</t>
        </is>
      </c>
      <c r="M6696" s="53" t="inlineStr">
        <is>
          <t>До 10</t>
        </is>
      </c>
      <c r="N6696" s="54" t="n">
        <v>3360</v>
      </c>
      <c r="O6696" s="55" t="inlineStr">
        <is>
          <t>1–15</t>
        </is>
      </c>
      <c r="P6696" s="16" t="inlineStr">
        <is>
          <t>ССЧР обогащена; ОКВЭД не найден/не загружен</t>
        </is>
      </c>
      <c r="Q6696" s="16" t="inlineStr">
        <is>
          <t>ФНС открытые данные ССЧР (ДатаСост 31.12.2025; набор 7707329152-sshr2019)</t>
        </is>
      </c>
      <c r="R6696" s="16">
        <f>HYPERLINK("https://checko.ru/search?query=3801001629","Чекко: проверить")</f>
        <v/>
      </c>
      <c r="S6696" t="n">
        <v>1</v>
      </c>
      <c r="T6696" s="35" t="inlineStr">
        <is>
          <t>4 — Не обогащён</t>
        </is>
      </c>
      <c r="U6696" s="35" t="inlineStr">
        <is>
          <t>Нет ОКВЭД/ССЧР</t>
        </is>
      </c>
      <c r="V6696" s="35" t="inlineStr">
        <is>
          <t>Не определено</t>
        </is>
      </c>
      <c r="W6696" s="35" t="inlineStr">
        <is>
          <t>Нет</t>
        </is>
      </c>
      <c r="X6696" s="35" t="inlineStr"/>
    </row>
    <row r="6697" ht="27.75" customHeight="1" s="24">
      <c r="A6697" s="13" t="inlineStr">
        <is>
          <t>FR104285</t>
        </is>
      </c>
      <c r="B6697" s="13" t="inlineStr">
        <is>
          <t>Общество с ограниченной ответственностью "НОБЕРГ"</t>
        </is>
      </c>
      <c r="C6697" s="13" t="n">
        <v>3812058754</v>
      </c>
      <c r="D6697" s="13" t="inlineStr">
        <is>
          <t>3812058754</t>
        </is>
      </c>
      <c r="E6697" s="13" t="inlineStr">
        <is>
          <t>ЮЛ РФ</t>
        </is>
      </c>
      <c r="F6697" s="13" t="n"/>
      <c r="G6697" s="52" t="n">
        <v>1</v>
      </c>
      <c r="H6697" s="52" t="n">
        <v>2025</v>
      </c>
      <c r="I6697" s="14" t="n"/>
      <c r="J6697" s="14" t="n"/>
      <c r="K6697" s="53" t="inlineStr">
        <is>
          <t>Нет</t>
        </is>
      </c>
      <c r="L6697" s="53" t="inlineStr">
        <is>
          <t>Не определено</t>
        </is>
      </c>
      <c r="M6697" s="53" t="inlineStr">
        <is>
          <t>До 10</t>
        </is>
      </c>
      <c r="N6697" s="54" t="n">
        <v>3360</v>
      </c>
      <c r="O6697" s="55" t="inlineStr">
        <is>
          <t>1–15</t>
        </is>
      </c>
      <c r="P6697" s="16" t="inlineStr">
        <is>
          <t>ССЧР обогащена; ОКВЭД не найден/не загружен</t>
        </is>
      </c>
      <c r="Q6697" s="16" t="inlineStr">
        <is>
          <t>ФНС открытые данные ССЧР (ДатаСост 31.12.2025; набор 7707329152-sshr2019)</t>
        </is>
      </c>
      <c r="R6697" s="16">
        <f>HYPERLINK("https://checko.ru/search?query=3801001629","Чекко: проверить")</f>
        <v/>
      </c>
      <c r="S6697" t="n">
        <v>1</v>
      </c>
      <c r="T6697" s="35" t="inlineStr">
        <is>
          <t>4 — Не обогащён</t>
        </is>
      </c>
      <c r="U6697" s="35" t="inlineStr">
        <is>
          <t>Нет ОКВЭД/ССЧР</t>
        </is>
      </c>
      <c r="V6697" s="35" t="inlineStr">
        <is>
          <t>Не определено</t>
        </is>
      </c>
      <c r="W6697" s="35" t="inlineStr">
        <is>
          <t>Нет</t>
        </is>
      </c>
      <c r="X6697" s="35" t="inlineStr"/>
    </row>
    <row r="6698" ht="15" customHeight="1" s="24">
      <c r="A6698" s="13" t="inlineStr">
        <is>
          <t>FR1031123</t>
        </is>
      </c>
      <c r="B6698" s="13" t="inlineStr">
        <is>
          <t>ИП Булдакова Татьяна Алексеевна</t>
        </is>
      </c>
      <c r="C6698" s="13" t="n">
        <v>381808320700</v>
      </c>
      <c r="D6698" s="13" t="inlineStr">
        <is>
          <t>381808320700</t>
        </is>
      </c>
      <c r="E6698" s="13" t="inlineStr">
        <is>
          <t>ИП РФ / физлицо</t>
        </is>
      </c>
      <c r="F6698" s="13" t="n"/>
      <c r="G6698" s="14" t="n"/>
      <c r="H6698" s="14" t="n"/>
      <c r="I6698" s="14" t="n"/>
      <c r="J6698" s="14" t="n"/>
      <c r="K6698" s="53" t="inlineStr"/>
      <c r="L6698" s="53" t="inlineStr">
        <is>
          <t>Не определено</t>
        </is>
      </c>
      <c r="M6698" s="53" t="inlineStr"/>
      <c r="N6698" s="54" t="inlineStr"/>
      <c r="O6698" s="55" t="inlineStr"/>
      <c r="P6698" s="16" t="inlineStr">
        <is>
          <t>Требует обогащения</t>
        </is>
      </c>
      <c r="Q6698" s="16">
        <f>HYPERLINK("https://pb.nalog.ru/search.html?query=381808320700","ФНС: проверить")</f>
        <v/>
      </c>
      <c r="R6698" s="16">
        <f>HYPERLINK("https://checko.ru/search?query=3801001629","Чекко: проверить")</f>
        <v/>
      </c>
      <c r="S6698" t="n">
        <v>1</v>
      </c>
      <c r="T6698" s="35" t="inlineStr">
        <is>
          <t>4 — Не обогащён</t>
        </is>
      </c>
      <c r="U6698" s="35" t="inlineStr">
        <is>
          <t>Нет ОКВЭД/ССЧР</t>
        </is>
      </c>
      <c r="V6698" s="35" t="inlineStr">
        <is>
          <t>Не определено</t>
        </is>
      </c>
      <c r="W6698" s="35" t="inlineStr"/>
      <c r="X6698" s="35" t="inlineStr"/>
    </row>
    <row r="6699" ht="27.75" customHeight="1" s="24">
      <c r="A6699" s="13" t="inlineStr">
        <is>
          <t>FR549213</t>
        </is>
      </c>
      <c r="B6699" s="13" t="inlineStr">
        <is>
          <t>Общество с ограниченной ответственностью ТОРГОВЫЙ КОМПЛЕКС "ЦЕНТРАЛЬНЫЙ"</t>
        </is>
      </c>
      <c r="C6699" s="13" t="n">
        <v>3808290480</v>
      </c>
      <c r="D6699" s="13" t="inlineStr">
        <is>
          <t>3808290480</t>
        </is>
      </c>
      <c r="E6699" s="13" t="inlineStr">
        <is>
          <t>ЮЛ РФ</t>
        </is>
      </c>
      <c r="F6699" s="13" t="n"/>
      <c r="G6699" s="52" t="n">
        <v>3</v>
      </c>
      <c r="H6699" s="52" t="n">
        <v>2025</v>
      </c>
      <c r="I6699" s="14" t="n"/>
      <c r="J6699" s="14" t="n"/>
      <c r="K6699" s="53" t="inlineStr">
        <is>
          <t>Нет</t>
        </is>
      </c>
      <c r="L6699" s="53" t="inlineStr">
        <is>
          <t>Не определено</t>
        </is>
      </c>
      <c r="M6699" s="53" t="inlineStr">
        <is>
          <t>До 10</t>
        </is>
      </c>
      <c r="N6699" s="54" t="n">
        <v>3360</v>
      </c>
      <c r="O6699" s="55" t="inlineStr">
        <is>
          <t>1–15</t>
        </is>
      </c>
      <c r="P6699" s="16" t="inlineStr">
        <is>
          <t>ССЧР обогащена; ОКВЭД не найден/не загружен</t>
        </is>
      </c>
      <c r="Q6699" s="16" t="inlineStr">
        <is>
          <t>ФНС открытые данные ССЧР (ДатаСост 31.12.2025; набор 7707329152-sshr2019)</t>
        </is>
      </c>
      <c r="R6699" s="16">
        <f>HYPERLINK("https://checko.ru/search?query=3801001629","Чекко: проверить")</f>
        <v/>
      </c>
      <c r="S6699" t="n">
        <v>1</v>
      </c>
      <c r="T6699" s="35" t="inlineStr">
        <is>
          <t>4 — Не обогащён</t>
        </is>
      </c>
      <c r="U6699" s="35" t="inlineStr">
        <is>
          <t>Нет ОКВЭД/ССЧР</t>
        </is>
      </c>
      <c r="V6699" s="35" t="inlineStr">
        <is>
          <t>Не определено</t>
        </is>
      </c>
      <c r="W6699" s="35" t="inlineStr">
        <is>
          <t>Нет</t>
        </is>
      </c>
      <c r="X6699" s="35" t="inlineStr"/>
    </row>
    <row r="6700" ht="27.75" customHeight="1" s="24">
      <c r="A6700" s="13" t="inlineStr">
        <is>
          <t>FR549213</t>
        </is>
      </c>
      <c r="B6700" s="13" t="inlineStr">
        <is>
          <t>Общество с ограниченной ответственностью ТОРГОВЫЙ КОМПЛЕКС "ЦЕНТРАЛЬНЫЙ"</t>
        </is>
      </c>
      <c r="C6700" s="13" t="n">
        <v>3808290480</v>
      </c>
      <c r="D6700" s="13" t="inlineStr">
        <is>
          <t>3808290480</t>
        </is>
      </c>
      <c r="E6700" s="13" t="inlineStr">
        <is>
          <t>ЮЛ РФ</t>
        </is>
      </c>
      <c r="F6700" s="13" t="n"/>
      <c r="G6700" s="52" t="n">
        <v>3</v>
      </c>
      <c r="H6700" s="52" t="n">
        <v>2025</v>
      </c>
      <c r="I6700" s="14" t="n"/>
      <c r="J6700" s="14" t="n"/>
      <c r="K6700" s="53" t="inlineStr">
        <is>
          <t>Нет</t>
        </is>
      </c>
      <c r="L6700" s="53" t="inlineStr">
        <is>
          <t>Не определено</t>
        </is>
      </c>
      <c r="M6700" s="53" t="inlineStr">
        <is>
          <t>До 10</t>
        </is>
      </c>
      <c r="N6700" s="54" t="n">
        <v>3360</v>
      </c>
      <c r="O6700" s="55" t="inlineStr">
        <is>
          <t>1–15</t>
        </is>
      </c>
      <c r="P6700" s="16" t="inlineStr">
        <is>
          <t>ССЧР обогащена; ОКВЭД не найден/не загружен</t>
        </is>
      </c>
      <c r="Q6700" s="16" t="inlineStr">
        <is>
          <t>ФНС открытые данные ССЧР (ДатаСост 31.12.2025; набор 7707329152-sshr2019)</t>
        </is>
      </c>
      <c r="R6700" s="16">
        <f>HYPERLINK("https://checko.ru/search?query=3801001629","Чекко: проверить")</f>
        <v/>
      </c>
      <c r="S6700" t="n">
        <v>0</v>
      </c>
      <c r="T6700" s="35" t="inlineStr">
        <is>
          <t>4 — Не обогащён</t>
        </is>
      </c>
      <c r="U6700" s="35" t="inlineStr">
        <is>
          <t>Нет ОКВЭД/ССЧР</t>
        </is>
      </c>
      <c r="V6700" s="35" t="inlineStr">
        <is>
          <t>Не определено</t>
        </is>
      </c>
      <c r="W6700" s="35" t="inlineStr">
        <is>
          <t>Нет</t>
        </is>
      </c>
      <c r="X6700" s="35" t="inlineStr"/>
    </row>
    <row r="6701" ht="27.75" customHeight="1" s="24">
      <c r="A6701" s="13" t="inlineStr">
        <is>
          <t>FR548168</t>
        </is>
      </c>
      <c r="B6701" s="13" t="inlineStr">
        <is>
          <t>ОБЩЕСТВО С ОГРАНИЧЕННОЙ ОТВЕТСТВЕННОСТЬЮ "ВАШ ЮРИСТ"</t>
        </is>
      </c>
      <c r="C6701" s="13" t="n">
        <v>3811467955</v>
      </c>
      <c r="D6701" s="13" t="inlineStr">
        <is>
          <t>3811467955</t>
        </is>
      </c>
      <c r="E6701" s="13" t="inlineStr">
        <is>
          <t>ЮЛ РФ</t>
        </is>
      </c>
      <c r="F6701" s="13" t="n"/>
      <c r="G6701" s="52" t="n">
        <v>12</v>
      </c>
      <c r="H6701" s="52" t="n">
        <v>2025</v>
      </c>
      <c r="I6701" s="14" t="n"/>
      <c r="J6701" s="14" t="n"/>
      <c r="K6701" s="53" t="inlineStr">
        <is>
          <t>Нет</t>
        </is>
      </c>
      <c r="L6701" s="53" t="inlineStr">
        <is>
          <t>Не определено</t>
        </is>
      </c>
      <c r="M6701" s="53" t="inlineStr">
        <is>
          <t>До 25</t>
        </is>
      </c>
      <c r="N6701" s="54" t="n">
        <v>8400</v>
      </c>
      <c r="O6701" s="55" t="inlineStr">
        <is>
          <t>1–15</t>
        </is>
      </c>
      <c r="P6701" s="16" t="inlineStr">
        <is>
          <t>ССЧР обогащена; ОКВЭД не найден/не загружен</t>
        </is>
      </c>
      <c r="Q6701" s="16" t="inlineStr">
        <is>
          <t>ФНС открытые данные ССЧР (ДатаСост 31.12.2025; набор 7707329152-sshr2019)</t>
        </is>
      </c>
      <c r="R6701" s="16">
        <f>HYPERLINK("https://checko.ru/search?query=3801001629","Чекко: проверить")</f>
        <v/>
      </c>
      <c r="S6701" t="n">
        <v>1</v>
      </c>
      <c r="T6701" s="35" t="inlineStr">
        <is>
          <t>4 — Не обогащён</t>
        </is>
      </c>
      <c r="U6701" s="35" t="inlineStr">
        <is>
          <t>Нет ОКВЭД/ССЧР</t>
        </is>
      </c>
      <c r="V6701" s="35" t="inlineStr">
        <is>
          <t>Не определено</t>
        </is>
      </c>
      <c r="W6701" s="35" t="inlineStr">
        <is>
          <t>Нет</t>
        </is>
      </c>
      <c r="X6701" s="35" t="inlineStr"/>
    </row>
    <row r="6702" ht="27.75" customHeight="1" s="24">
      <c r="A6702" s="13" t="inlineStr">
        <is>
          <t>FR1228035</t>
        </is>
      </c>
      <c r="B6702" s="13" t="inlineStr">
        <is>
          <t>Общество с ограниченной ответственностью "МАКСАВТО"</t>
        </is>
      </c>
      <c r="C6702" s="13" t="n">
        <v>5610256482</v>
      </c>
      <c r="D6702" s="13" t="inlineStr">
        <is>
          <t>5610256482</t>
        </is>
      </c>
      <c r="E6702" s="13" t="inlineStr">
        <is>
          <t>ЮЛ РФ</t>
        </is>
      </c>
      <c r="F6702" s="13" t="n"/>
      <c r="G6702" s="52" t="n">
        <v>0</v>
      </c>
      <c r="H6702" s="52" t="n">
        <v>2025</v>
      </c>
      <c r="I6702" s="14" t="n"/>
      <c r="J6702" s="14" t="n"/>
      <c r="K6702" s="53" t="inlineStr">
        <is>
          <t>Нет</t>
        </is>
      </c>
      <c r="L6702" s="53" t="inlineStr">
        <is>
          <t>Не определено</t>
        </is>
      </c>
      <c r="M6702" s="53" t="inlineStr">
        <is>
          <t>До 10</t>
        </is>
      </c>
      <c r="N6702" s="54" t="n">
        <v>3360</v>
      </c>
      <c r="O6702" s="55" t="inlineStr">
        <is>
          <t>1–15</t>
        </is>
      </c>
      <c r="P6702" s="16" t="inlineStr">
        <is>
          <t>ССЧР обогащена; ОКВЭД не найден/не загружен</t>
        </is>
      </c>
      <c r="Q6702" s="16" t="inlineStr">
        <is>
          <t>ФНС открытые данные ССЧР (ДатаСост 31.12.2025; набор 7707329152-sshr2019)</t>
        </is>
      </c>
      <c r="R6702" s="16">
        <f>HYPERLINK("https://checko.ru/search?query=3801001629","Чекко: проверить")</f>
        <v/>
      </c>
      <c r="S6702" t="n">
        <v>1</v>
      </c>
      <c r="T6702" s="35" t="inlineStr">
        <is>
          <t>4 — Не обогащён</t>
        </is>
      </c>
      <c r="U6702" s="35" t="inlineStr">
        <is>
          <t>Нет ОКВЭД/ССЧР</t>
        </is>
      </c>
      <c r="V6702" s="35" t="inlineStr">
        <is>
          <t>Не определено</t>
        </is>
      </c>
      <c r="W6702" s="35" t="inlineStr">
        <is>
          <t>Нет</t>
        </is>
      </c>
      <c r="X6702" s="35" t="inlineStr"/>
    </row>
    <row r="6703" ht="41.25" customHeight="1" s="24">
      <c r="A6703" s="13" t="inlineStr">
        <is>
          <t>FR1228347</t>
        </is>
      </c>
      <c r="B6703" s="13" t="inlineStr">
        <is>
          <t>МОРДОВСКАЯ РЕСПУБЛИКАНСКАЯ ОБЩЕСТВЕННАЯ ОРГАНИЗАЦИЯ "АССОЦИАЦИЯ ВРАЧЕЙ МОРДОВИИ" (АВМ)</t>
        </is>
      </c>
      <c r="C6703" s="13" t="n">
        <v>1325127160</v>
      </c>
      <c r="D6703" s="13" t="inlineStr">
        <is>
          <t>1325127160</t>
        </is>
      </c>
      <c r="E6703" s="13" t="inlineStr">
        <is>
          <t>ЮЛ РФ</t>
        </is>
      </c>
      <c r="F6703" s="13" t="n"/>
      <c r="G6703" s="14" t="n"/>
      <c r="H6703" s="14" t="n"/>
      <c r="I6703" s="14" t="n"/>
      <c r="J6703" s="14" t="n"/>
      <c r="K6703" s="53" t="inlineStr"/>
      <c r="L6703" s="53" t="inlineStr">
        <is>
          <t>Не определено</t>
        </is>
      </c>
      <c r="M6703" s="53" t="inlineStr"/>
      <c r="N6703" s="54" t="inlineStr"/>
      <c r="O6703" s="55" t="inlineStr"/>
      <c r="P6703" s="16" t="inlineStr">
        <is>
          <t>Требует обогащения</t>
        </is>
      </c>
      <c r="Q6703" s="16">
        <f>HYPERLINK("https://pb.nalog.ru/search.html?query=1325127160","ФНС: проверить")</f>
        <v/>
      </c>
      <c r="R6703" s="16">
        <f>HYPERLINK("https://checko.ru/search?query=3801001629","Чекко: проверить")</f>
        <v/>
      </c>
      <c r="S6703" t="n">
        <v>1</v>
      </c>
      <c r="T6703" s="35" t="inlineStr">
        <is>
          <t>4 — Не обогащён</t>
        </is>
      </c>
      <c r="U6703" s="35" t="inlineStr">
        <is>
          <t>Нет ОКВЭД/ССЧР</t>
        </is>
      </c>
      <c r="V6703" s="35" t="inlineStr">
        <is>
          <t>Не определено</t>
        </is>
      </c>
      <c r="W6703" s="35" t="inlineStr"/>
      <c r="X6703" s="35" t="inlineStr"/>
    </row>
    <row r="6704" ht="27.75" customHeight="1" s="24">
      <c r="A6704" s="13" t="inlineStr">
        <is>
          <t>FR408766</t>
        </is>
      </c>
      <c r="B6704" s="13" t="inlineStr">
        <is>
          <t>ОБЩЕСТВО С ОГРАНИЧЕННОЙ ОТВЕТСТВЕННОСТЬЮ "ПРЕСТИЖ"</t>
        </is>
      </c>
      <c r="C6704" s="13" t="n">
        <v>6672249060</v>
      </c>
      <c r="D6704" s="13" t="inlineStr">
        <is>
          <t>6672249060</t>
        </is>
      </c>
      <c r="E6704" s="13" t="inlineStr">
        <is>
          <t>ЮЛ РФ</t>
        </is>
      </c>
      <c r="F6704" s="13" t="n"/>
      <c r="G6704" s="52" t="n">
        <v>5</v>
      </c>
      <c r="H6704" s="52" t="n">
        <v>2025</v>
      </c>
      <c r="I6704" s="14" t="n"/>
      <c r="J6704" s="14" t="n"/>
      <c r="K6704" s="53" t="inlineStr">
        <is>
          <t>Нет</t>
        </is>
      </c>
      <c r="L6704" s="53" t="inlineStr">
        <is>
          <t>Не определено</t>
        </is>
      </c>
      <c r="M6704" s="53" t="inlineStr">
        <is>
          <t>До 10</t>
        </is>
      </c>
      <c r="N6704" s="54" t="n">
        <v>3360</v>
      </c>
      <c r="O6704" s="55" t="inlineStr">
        <is>
          <t>1–15</t>
        </is>
      </c>
      <c r="P6704" s="16" t="inlineStr">
        <is>
          <t>ССЧР обогащена; ОКВЭД не найден/не загружен</t>
        </is>
      </c>
      <c r="Q6704" s="16" t="inlineStr">
        <is>
          <t>ФНС открытые данные ССЧР (ДатаСост 31.12.2025; набор 7707329152-sshr2019)</t>
        </is>
      </c>
      <c r="R6704" s="16">
        <f>HYPERLINK("https://checko.ru/search?query=3801001629","Чекко: проверить")</f>
        <v/>
      </c>
      <c r="S6704" t="n">
        <v>1</v>
      </c>
      <c r="T6704" s="35" t="inlineStr">
        <is>
          <t>4 — Не обогащён</t>
        </is>
      </c>
      <c r="U6704" s="35" t="inlineStr">
        <is>
          <t>Нет ОКВЭД/ССЧР</t>
        </is>
      </c>
      <c r="V6704" s="35" t="inlineStr">
        <is>
          <t>Не определено</t>
        </is>
      </c>
      <c r="W6704" s="35" t="inlineStr">
        <is>
          <t>Нет</t>
        </is>
      </c>
      <c r="X6704" s="35" t="inlineStr"/>
    </row>
    <row r="6705" ht="15" customHeight="1" s="24">
      <c r="A6705" s="13" t="inlineStr">
        <is>
          <t>FR849248</t>
        </is>
      </c>
      <c r="B6705" s="13" t="inlineStr">
        <is>
          <t>ИП Пантелеева Александра Игоревна</t>
        </is>
      </c>
      <c r="C6705" s="13" t="n">
        <v>381212756382</v>
      </c>
      <c r="D6705" s="13" t="inlineStr">
        <is>
          <t>381212756382</t>
        </is>
      </c>
      <c r="E6705" s="13" t="inlineStr">
        <is>
          <t>ИП РФ / физлицо</t>
        </is>
      </c>
      <c r="F6705" s="13" t="n"/>
      <c r="G6705" s="14" t="n"/>
      <c r="H6705" s="14" t="n"/>
      <c r="I6705" s="14" t="n"/>
      <c r="J6705" s="14" t="n"/>
      <c r="K6705" s="53" t="inlineStr"/>
      <c r="L6705" s="53" t="inlineStr">
        <is>
          <t>Не определено</t>
        </is>
      </c>
      <c r="M6705" s="53" t="inlineStr"/>
      <c r="N6705" s="54" t="inlineStr"/>
      <c r="O6705" s="55" t="inlineStr"/>
      <c r="P6705" s="16" t="inlineStr">
        <is>
          <t>Требует обогащения</t>
        </is>
      </c>
      <c r="Q6705" s="16">
        <f>HYPERLINK("https://pb.nalog.ru/search.html?query=381212756382","ФНС: проверить")</f>
        <v/>
      </c>
      <c r="R6705" s="16">
        <f>HYPERLINK("https://checko.ru/search?query=3801001629","Чекко: проверить")</f>
        <v/>
      </c>
      <c r="S6705" t="n">
        <v>1</v>
      </c>
      <c r="T6705" s="35" t="inlineStr">
        <is>
          <t>4 — Не обогащён</t>
        </is>
      </c>
      <c r="U6705" s="35" t="inlineStr">
        <is>
          <t>Нет ОКВЭД/ССЧР</t>
        </is>
      </c>
      <c r="V6705" s="35" t="inlineStr">
        <is>
          <t>Не определено</t>
        </is>
      </c>
      <c r="W6705" s="35" t="inlineStr"/>
      <c r="X6705" s="35" t="inlineStr"/>
    </row>
    <row r="6706" ht="27.75" customHeight="1" s="24">
      <c r="A6706" s="13" t="inlineStr">
        <is>
          <t>FR691798</t>
        </is>
      </c>
      <c r="B6706" s="13" t="inlineStr">
        <is>
          <t>Общество с ограниченной ответственностью "НИКОС"</t>
        </is>
      </c>
      <c r="C6706" s="13" t="n">
        <v>3849091469</v>
      </c>
      <c r="D6706" s="13" t="inlineStr">
        <is>
          <t>3849091469</t>
        </is>
      </c>
      <c r="E6706" s="13" t="inlineStr">
        <is>
          <t>ЮЛ РФ</t>
        </is>
      </c>
      <c r="F6706" s="13" t="n"/>
      <c r="G6706" s="52" t="n">
        <v>6</v>
      </c>
      <c r="H6706" s="52" t="n">
        <v>2025</v>
      </c>
      <c r="I6706" s="14" t="n"/>
      <c r="J6706" s="14" t="n"/>
      <c r="K6706" s="53" t="inlineStr">
        <is>
          <t>Нет</t>
        </is>
      </c>
      <c r="L6706" s="53" t="inlineStr">
        <is>
          <t>Не определено</t>
        </is>
      </c>
      <c r="M6706" s="53" t="inlineStr">
        <is>
          <t>До 10</t>
        </is>
      </c>
      <c r="N6706" s="54" t="n">
        <v>3360</v>
      </c>
      <c r="O6706" s="55" t="inlineStr">
        <is>
          <t>1–15</t>
        </is>
      </c>
      <c r="P6706" s="16" t="inlineStr">
        <is>
          <t>ССЧР обогащена; ОКВЭД не найден/не загружен</t>
        </is>
      </c>
      <c r="Q6706" s="16" t="inlineStr">
        <is>
          <t>ФНС открытые данные ССЧР (ДатаСост 31.12.2025; набор 7707329152-sshr2019)</t>
        </is>
      </c>
      <c r="R6706" s="16">
        <f>HYPERLINK("https://checko.ru/search?query=3801001629","Чекко: проверить")</f>
        <v/>
      </c>
      <c r="S6706" t="n">
        <v>1</v>
      </c>
      <c r="T6706" s="35" t="inlineStr">
        <is>
          <t>4 — Не обогащён</t>
        </is>
      </c>
      <c r="U6706" s="35" t="inlineStr">
        <is>
          <t>Нет ОКВЭД/ССЧР</t>
        </is>
      </c>
      <c r="V6706" s="35" t="inlineStr">
        <is>
          <t>Не определено</t>
        </is>
      </c>
      <c r="W6706" s="35" t="inlineStr">
        <is>
          <t>Нет</t>
        </is>
      </c>
      <c r="X6706" s="35" t="inlineStr"/>
    </row>
    <row r="6707" ht="15" customHeight="1" s="24">
      <c r="A6707" s="13" t="inlineStr">
        <is>
          <t>FR1033642</t>
        </is>
      </c>
      <c r="B6707" s="13" t="inlineStr">
        <is>
          <t>ИП Герасимова Людмила Борисовна</t>
        </is>
      </c>
      <c r="C6707" s="13" t="n">
        <v>383407246852</v>
      </c>
      <c r="D6707" s="13" t="inlineStr">
        <is>
          <t>383407246852</t>
        </is>
      </c>
      <c r="E6707" s="13" t="inlineStr">
        <is>
          <t>ИП РФ / физлицо</t>
        </is>
      </c>
      <c r="F6707" s="13" t="n"/>
      <c r="G6707" s="14" t="n"/>
      <c r="H6707" s="14" t="n"/>
      <c r="I6707" s="14" t="n"/>
      <c r="J6707" s="14" t="n"/>
      <c r="K6707" s="53" t="inlineStr"/>
      <c r="L6707" s="53" t="inlineStr">
        <is>
          <t>Не определено</t>
        </is>
      </c>
      <c r="M6707" s="53" t="inlineStr"/>
      <c r="N6707" s="54" t="inlineStr"/>
      <c r="O6707" s="55" t="inlineStr"/>
      <c r="P6707" s="16" t="inlineStr">
        <is>
          <t>Требует обогащения</t>
        </is>
      </c>
      <c r="Q6707" s="16">
        <f>HYPERLINK("https://pb.nalog.ru/search.html?query=383407246852","ФНС: проверить")</f>
        <v/>
      </c>
      <c r="R6707" s="16">
        <f>HYPERLINK("https://checko.ru/search?query=3801001629","Чекко: проверить")</f>
        <v/>
      </c>
      <c r="S6707" t="n">
        <v>1</v>
      </c>
      <c r="T6707" s="35" t="inlineStr">
        <is>
          <t>4 — Не обогащён</t>
        </is>
      </c>
      <c r="U6707" s="35" t="inlineStr">
        <is>
          <t>Нет ОКВЭД/ССЧР</t>
        </is>
      </c>
      <c r="V6707" s="35" t="inlineStr">
        <is>
          <t>Не определено</t>
        </is>
      </c>
      <c r="W6707" s="35" t="inlineStr"/>
      <c r="X6707" s="35" t="inlineStr"/>
    </row>
    <row r="6708" ht="27.75" customHeight="1" s="24">
      <c r="A6708" s="13" t="inlineStr">
        <is>
          <t>FR1040202</t>
        </is>
      </c>
      <c r="B6708" s="13" t="inlineStr">
        <is>
          <t>АВТОНОМНАЯ НЕКОММЕРЧЕСКАЯ ОРГАНИЗАЦИЯ "ЦЕНТР РАЗВИТИЯ ОХРАНЫ ТРУДА"</t>
        </is>
      </c>
      <c r="C6708" s="13" t="n">
        <v>2465364452</v>
      </c>
      <c r="D6708" s="13" t="inlineStr">
        <is>
          <t>2465364452</t>
        </is>
      </c>
      <c r="E6708" s="13" t="inlineStr">
        <is>
          <t>ЮЛ РФ</t>
        </is>
      </c>
      <c r="F6708" s="13" t="n"/>
      <c r="G6708" s="14" t="n"/>
      <c r="H6708" s="14" t="n"/>
      <c r="I6708" s="14" t="n"/>
      <c r="J6708" s="14" t="n"/>
      <c r="K6708" s="53" t="inlineStr"/>
      <c r="L6708" s="53" t="inlineStr">
        <is>
          <t>Не определено</t>
        </is>
      </c>
      <c r="M6708" s="53" t="inlineStr"/>
      <c r="N6708" s="54" t="inlineStr"/>
      <c r="O6708" s="55" t="inlineStr"/>
      <c r="P6708" s="16" t="inlineStr">
        <is>
          <t>Требует обогащения</t>
        </is>
      </c>
      <c r="Q6708" s="16">
        <f>HYPERLINK("https://pb.nalog.ru/search.html?query=2465364452","ФНС: проверить")</f>
        <v/>
      </c>
      <c r="R6708" s="16">
        <f>HYPERLINK("https://checko.ru/search?query=3801001629","Чекко: проверить")</f>
        <v/>
      </c>
      <c r="S6708" t="n">
        <v>1</v>
      </c>
      <c r="T6708" s="35" t="inlineStr">
        <is>
          <t>4 — Не обогащён</t>
        </is>
      </c>
      <c r="U6708" s="35" t="inlineStr">
        <is>
          <t>Нет ОКВЭД/ССЧР</t>
        </is>
      </c>
      <c r="V6708" s="35" t="inlineStr">
        <is>
          <t>Не определено</t>
        </is>
      </c>
      <c r="W6708" s="35" t="inlineStr"/>
      <c r="X6708" s="35" t="inlineStr"/>
    </row>
    <row r="6709" ht="41.25" customHeight="1" s="24">
      <c r="A6709" s="13" t="inlineStr">
        <is>
          <t>FR1035201</t>
        </is>
      </c>
      <c r="B6709" s="13" t="inlineStr">
        <is>
          <t>Общество с ограниченной ответственностью "ПРОИЗВОДСТВЕННО-БУРОВАЯ КОМПАНИЯ "ИРКУТБУРЕНИЕ""</t>
        </is>
      </c>
      <c r="C6709" s="13" t="n">
        <v>3812162650</v>
      </c>
      <c r="D6709" s="13" t="inlineStr">
        <is>
          <t>3812162650</t>
        </is>
      </c>
      <c r="E6709" s="13" t="inlineStr">
        <is>
          <t>ЮЛ РФ</t>
        </is>
      </c>
      <c r="F6709" s="13" t="n"/>
      <c r="G6709" s="52" t="n">
        <v>1</v>
      </c>
      <c r="H6709" s="52" t="n">
        <v>2025</v>
      </c>
      <c r="I6709" s="14" t="n"/>
      <c r="J6709" s="14" t="n"/>
      <c r="K6709" s="53" t="inlineStr">
        <is>
          <t>Нет</t>
        </is>
      </c>
      <c r="L6709" s="53" t="inlineStr">
        <is>
          <t>Не определено</t>
        </is>
      </c>
      <c r="M6709" s="53" t="inlineStr">
        <is>
          <t>До 10</t>
        </is>
      </c>
      <c r="N6709" s="54" t="n">
        <v>3360</v>
      </c>
      <c r="O6709" s="55" t="inlineStr">
        <is>
          <t>1–15</t>
        </is>
      </c>
      <c r="P6709" s="16" t="inlineStr">
        <is>
          <t>ССЧР обогащена; ОКВЭД не найден/не загружен</t>
        </is>
      </c>
      <c r="Q6709" s="16" t="inlineStr">
        <is>
          <t>ФНС открытые данные ССЧР (ДатаСост 31.12.2025; набор 7707329152-sshr2019)</t>
        </is>
      </c>
      <c r="R6709" s="16">
        <f>HYPERLINK("https://checko.ru/search?query=3801001629","Чекко: проверить")</f>
        <v/>
      </c>
      <c r="S6709" t="n">
        <v>1</v>
      </c>
      <c r="T6709" s="35" t="inlineStr">
        <is>
          <t>4 — Не обогащён</t>
        </is>
      </c>
      <c r="U6709" s="35" t="inlineStr">
        <is>
          <t>Нет ОКВЭД/ССЧР</t>
        </is>
      </c>
      <c r="V6709" s="35" t="inlineStr">
        <is>
          <t>Не определено</t>
        </is>
      </c>
      <c r="W6709" s="35" t="inlineStr">
        <is>
          <t>Нет</t>
        </is>
      </c>
      <c r="X6709" s="35" t="inlineStr"/>
    </row>
    <row r="6710" ht="15" customHeight="1" s="24">
      <c r="A6710" s="13" t="inlineStr">
        <is>
          <t>FR849246</t>
        </is>
      </c>
      <c r="B6710" s="13" t="inlineStr">
        <is>
          <t>ИП Мищенко Андрей Александрович</t>
        </is>
      </c>
      <c r="C6710" s="13" t="n">
        <v>381000238702</v>
      </c>
      <c r="D6710" s="13" t="inlineStr">
        <is>
          <t>381000238702</t>
        </is>
      </c>
      <c r="E6710" s="13" t="inlineStr">
        <is>
          <t>ИП РФ / физлицо</t>
        </is>
      </c>
      <c r="F6710" s="13" t="n"/>
      <c r="G6710" s="14" t="n"/>
      <c r="H6710" s="14" t="n"/>
      <c r="I6710" s="14" t="n"/>
      <c r="J6710" s="14" t="n"/>
      <c r="K6710" s="53" t="inlineStr"/>
      <c r="L6710" s="53" t="inlineStr">
        <is>
          <t>Не определено</t>
        </is>
      </c>
      <c r="M6710" s="53" t="inlineStr"/>
      <c r="N6710" s="54" t="inlineStr"/>
      <c r="O6710" s="55" t="inlineStr"/>
      <c r="P6710" s="16" t="inlineStr">
        <is>
          <t>Требует обогащения</t>
        </is>
      </c>
      <c r="Q6710" s="16">
        <f>HYPERLINK("https://pb.nalog.ru/search.html?query=381000238702","ФНС: проверить")</f>
        <v/>
      </c>
      <c r="R6710" s="16">
        <f>HYPERLINK("https://checko.ru/search?query=3801001629","Чекко: проверить")</f>
        <v/>
      </c>
      <c r="S6710" t="n">
        <v>1</v>
      </c>
      <c r="T6710" s="35" t="inlineStr">
        <is>
          <t>4 — Не обогащён</t>
        </is>
      </c>
      <c r="U6710" s="35" t="inlineStr">
        <is>
          <t>Нет ОКВЭД/ССЧР</t>
        </is>
      </c>
      <c r="V6710" s="35" t="inlineStr">
        <is>
          <t>Не определено</t>
        </is>
      </c>
      <c r="W6710" s="35" t="inlineStr"/>
      <c r="X6710" s="35" t="inlineStr"/>
    </row>
    <row r="6711" ht="15" customHeight="1" s="24">
      <c r="A6711" s="13" t="inlineStr">
        <is>
          <t>FR1219933</t>
        </is>
      </c>
      <c r="B6711" s="13" t="inlineStr">
        <is>
          <t>ИП Германов Вадим Леонидович</t>
        </is>
      </c>
      <c r="C6711" s="13" t="n">
        <v>490907738790</v>
      </c>
      <c r="D6711" s="13" t="inlineStr">
        <is>
          <t>490907738790</t>
        </is>
      </c>
      <c r="E6711" s="13" t="inlineStr">
        <is>
          <t>ИП РФ / физлицо</t>
        </is>
      </c>
      <c r="F6711" s="13" t="n"/>
      <c r="G6711" s="14" t="n"/>
      <c r="H6711" s="14" t="n"/>
      <c r="I6711" s="14" t="n"/>
      <c r="J6711" s="14" t="n"/>
      <c r="K6711" s="53" t="inlineStr"/>
      <c r="L6711" s="53" t="inlineStr">
        <is>
          <t>Не определено</t>
        </is>
      </c>
      <c r="M6711" s="53" t="inlineStr"/>
      <c r="N6711" s="54" t="inlineStr"/>
      <c r="O6711" s="55" t="inlineStr"/>
      <c r="P6711" s="16" t="inlineStr">
        <is>
          <t>Требует обогащения</t>
        </is>
      </c>
      <c r="Q6711" s="16">
        <f>HYPERLINK("https://pb.nalog.ru/search.html?query=490907738790","ФНС: проверить")</f>
        <v/>
      </c>
      <c r="R6711" s="16">
        <f>HYPERLINK("https://checko.ru/search?query=3801001629","Чекко: проверить")</f>
        <v/>
      </c>
      <c r="S6711" t="n">
        <v>1</v>
      </c>
      <c r="T6711" s="35" t="inlineStr">
        <is>
          <t>4 — Не обогащён</t>
        </is>
      </c>
      <c r="U6711" s="35" t="inlineStr">
        <is>
          <t>Нет ОКВЭД/ССЧР</t>
        </is>
      </c>
      <c r="V6711" s="35" t="inlineStr">
        <is>
          <t>Не определено</t>
        </is>
      </c>
      <c r="W6711" s="35" t="inlineStr"/>
      <c r="X6711" s="35" t="inlineStr"/>
    </row>
    <row r="6712" ht="27.75" customHeight="1" s="24">
      <c r="A6712" s="13" t="inlineStr">
        <is>
          <t>FR824173</t>
        </is>
      </c>
      <c r="B6712" s="13" t="inlineStr">
        <is>
          <t>Общество с ограниченной ответственностью "СЛ-СИБИРЬ"</t>
        </is>
      </c>
      <c r="C6712" s="13" t="n">
        <v>3808280065</v>
      </c>
      <c r="D6712" s="13" t="inlineStr">
        <is>
          <t>3808280065</t>
        </is>
      </c>
      <c r="E6712" s="13" t="inlineStr">
        <is>
          <t>ЮЛ РФ</t>
        </is>
      </c>
      <c r="F6712" s="13" t="n"/>
      <c r="G6712" s="52" t="n">
        <v>1</v>
      </c>
      <c r="H6712" s="52" t="n">
        <v>2025</v>
      </c>
      <c r="I6712" s="14" t="n"/>
      <c r="J6712" s="14" t="n"/>
      <c r="K6712" s="53" t="inlineStr">
        <is>
          <t>Нет</t>
        </is>
      </c>
      <c r="L6712" s="53" t="inlineStr">
        <is>
          <t>Не определено</t>
        </is>
      </c>
      <c r="M6712" s="53" t="inlineStr">
        <is>
          <t>До 10</t>
        </is>
      </c>
      <c r="N6712" s="54" t="n">
        <v>3360</v>
      </c>
      <c r="O6712" s="55" t="inlineStr">
        <is>
          <t>1–15</t>
        </is>
      </c>
      <c r="P6712" s="16" t="inlineStr">
        <is>
          <t>ССЧР обогащена; ОКВЭД не найден/не загружен</t>
        </is>
      </c>
      <c r="Q6712" s="16" t="inlineStr">
        <is>
          <t>ФНС открытые данные ССЧР (ДатаСост 31.12.2025; набор 7707329152-sshr2019)</t>
        </is>
      </c>
      <c r="R6712" s="16">
        <f>HYPERLINK("https://checko.ru/search?query=3801001629","Чекко: проверить")</f>
        <v/>
      </c>
      <c r="S6712" t="n">
        <v>1</v>
      </c>
      <c r="T6712" s="35" t="inlineStr">
        <is>
          <t>4 — Не обогащён</t>
        </is>
      </c>
      <c r="U6712" s="35" t="inlineStr">
        <is>
          <t>Нет ОКВЭД/ССЧР</t>
        </is>
      </c>
      <c r="V6712" s="35" t="inlineStr">
        <is>
          <t>Не определено</t>
        </is>
      </c>
      <c r="W6712" s="35" t="inlineStr">
        <is>
          <t>Нет</t>
        </is>
      </c>
      <c r="X6712" s="35" t="inlineStr"/>
    </row>
    <row r="6713" ht="15" customHeight="1" s="24">
      <c r="A6713" s="13" t="inlineStr">
        <is>
          <t>FR279331</t>
        </is>
      </c>
      <c r="B6713" s="13" t="inlineStr">
        <is>
          <t>ИП Курносов Олег Евгеньевич</t>
        </is>
      </c>
      <c r="C6713" s="13" t="n">
        <v>30901641979</v>
      </c>
      <c r="D6713" s="13" t="n"/>
      <c r="E6713" s="13" t="inlineStr">
        <is>
          <t>Не определён</t>
        </is>
      </c>
      <c r="F6713" s="13" t="n"/>
      <c r="G6713" s="14" t="n"/>
      <c r="H6713" s="14" t="n"/>
      <c r="I6713" s="14" t="n"/>
      <c r="J6713" s="14" t="n"/>
      <c r="K6713" s="13">
        <f>IF(G6713="","",IF(G6713&gt;=22,"Да","Нет"))</f>
        <v/>
      </c>
      <c r="L6713" s="13">
        <f>IF(OR(I6713="",J6713=""),"Не определено",IF(OR(COUNTIF(I6713,"45*")&gt;0,COUNTIF(J6713,"*45*")&gt;0,COUNTIF(I6713,"46*")&gt;0,COUNTIF(J6713,"*46*")&gt;0,COUNTIF(I6713,"47*")&gt;0,COUNTIF(J6713,"*47*")&gt;0,COUNTIF(I6713,"10*")&gt;0,COUNTIF(J6713,"*10*")&gt;0,COUNTIF(I6713,"11*")&gt;0,COUNTIF(J6713,"*11*")&gt;0,COUNTIF(I6713,"12*")&gt;0,COUNTIF(J6713,"*12*")&gt;0,COUNTIF(I6713,"13*")&gt;0,COUNTIF(J6713,"*13*")&gt;0,COUNTIF(I6713,"14*")&gt;0,COUNTIF(J6713,"*14*")&gt;0,COUNTIF(I6713,"15*")&gt;0,COUNTIF(J6713,"*15*")&gt;0,COUNTIF(I6713,"16*")&gt;0,COUNTIF(J6713,"*16*")&gt;0,COUNTIF(I6713,"17*")&gt;0,COUNTIF(J6713,"*17*")&gt;0,COUNTIF(I6713,"18*")&gt;0,COUNTIF(J6713,"*18*")&gt;0,COUNTIF(I6713,"19*")&gt;0,COUNTIF(J6713,"*19*")&gt;0,COUNTIF(I6713,"20*")&gt;0,COUNTIF(J6713,"*20*")&gt;0,COUNTIF(I6713,"21*")&gt;0,COUNTIF(J6713,"*21*")&gt;0,COUNTIF(I6713,"22*")&gt;0,COUNTIF(J6713,"*22*")&gt;0,COUNTIF(I6713,"23*")&gt;0,COUNTIF(J6713,"*23*")&gt;0,COUNTIF(I6713,"24*")&gt;0,COUNTIF(J6713,"*24*")&gt;0,COUNTIF(I6713,"25*")&gt;0,COUNTIF(J6713,"*25*")&gt;0,COUNTIF(I6713,"26*")&gt;0,COUNTIF(J6713,"*26*")&gt;0,COUNTIF(I6713,"27*")&gt;0,COUNTIF(J6713,"*27*")&gt;0,COUNTIF(I6713,"28*")&gt;0,COUNTIF(J6713,"*28*")&gt;0,COUNTIF(I6713,"29*")&gt;0,COUNTIF(J6713,"*29*")&gt;0,COUNTIF(I6713,"30*")&gt;0,COUNTIF(J6713,"*30*")&gt;0,COUNTIF(I6713,"31*")&gt;0,COUNTIF(J6713,"*31*")&gt;0,COUNTIF(I6713,"32*")&gt;0,COUNTIF(J6713,"*32*")&gt;0,COUNTIF(I6713,"33*")&gt;0,COUNTIF(J6713,"*33*")&gt;0,COUNTIF(I6713,"41*")&gt;0,COUNTIF(J6713,"*41*")&gt;0,COUNTIF(I6713,"42*")&gt;0,COUNTIF(J6713,"*42*")&gt;0,COUNTIF(I6713,"43*")&gt;0,COUNTIF(J6713,"*43*")&gt;0,COUNTIF(I6713,"49*")&gt;0,COUNTIF(J6713,"*49*")&gt;0,COUNTIF(I6713,"52*")&gt;0,COUNTIF(J6713,"*52*")&gt;0,COUNTIF(I6713,"55*")&gt;0,COUNTIF(J6713,"*55*")&gt;0,COUNTIF(I6713,"56*")&gt;0,COUNTIF(J6713,"*56*")&gt;0,COUNTIF(I6713,"68*")&gt;0,COUNTIF(J6713,"*68*")&gt;0,COUNTIF(I6713,"78*")&gt;0,COUNTIF(J6713,"*78*")&gt;0,COUNTIF(I6713,"81*")&gt;0,COUNTIF(J6713,"*81*")&gt;0,COUNTIF(I6713,"82*")&gt;0,COUNTIF(J6713,"*82*")&gt;0,COUNTIF(I6713,"64*")&gt;0,COUNTIF(J6713,"*64*")&gt;0,COUNTIF(I6713,"65*")&gt;0,COUNTIF(J6713,"*65*")&gt;0,COUNTIF(I6713,"66*")&gt;0,COUNTIF(J6713,"*66*")&gt;0,COUNTIF(I6713,"61*")&gt;0,COUNTIF(J6713,"*61*")&gt;0,COUNTIF(I6713,"62*")&gt;0,COUNTIF(J6713,"*62*")&gt;0,COUNTIF(I6713,"63*")&gt;0,COUNTIF(J6713,"*63*")&gt;0,COUNTIF(I6713,"85*")&gt;0,COUNTIF(J6713,"*85*")&gt;0,COUNTIF(I6713,"86*")&gt;0,COUNTIF(J6713,"*86*")&gt;0),"Да","Нет"))</f>
        <v/>
      </c>
      <c r="M6713" s="13">
        <f>IF(OR(G6713="",L6713&lt;&gt;"Да"),"",IF(G6713&lt;=100,"До 100",IF(G6713&lt;=200,"До 200",IF(G6713&lt;=500,"До 500","Отдельное КП"))))</f>
        <v/>
      </c>
      <c r="N6713" s="15">
        <f>IF(OR(G6713="",L6713&lt;&gt;"Да"),"",IF(G6713&lt;=100,33600,IF(G6713&lt;=200,62400,IF(G6713&lt;=500,144000,""))))</f>
        <v/>
      </c>
      <c r="O6713" s="16">
        <f>IF(G6713="","",IF(G6713&lt;=15,"1–15",IF(G6713&lt;=30,"16–30",IF(G6713&lt;=50,"31–50",IF(G6713&lt;=100,"51–100",IF(G6713&lt;=150,"101–150",IF(G6713&lt;=200,"151–200",IF(G6713&lt;=500,"201–500","500+"))))))))</f>
        <v/>
      </c>
      <c r="P6713" s="16" t="inlineStr">
        <is>
          <t>Нет совпадения в предоставленной выгрузке ССЧР</t>
        </is>
      </c>
      <c r="Q6713" s="16" t="n"/>
      <c r="R6713" s="16">
        <f>HYPERLINK("https://checko.ru/search?query=3801001629","Чекко: проверить")</f>
        <v/>
      </c>
      <c r="S6713" t="n">
        <v>0</v>
      </c>
    </row>
    <row r="6714" ht="15" customHeight="1" s="24">
      <c r="A6714" s="13" t="inlineStr">
        <is>
          <t>FR10808</t>
        </is>
      </c>
      <c r="B6714" s="13" t="inlineStr">
        <is>
          <t>Компания Байкал Онлайн, ООО</t>
        </is>
      </c>
      <c r="C6714" s="13" t="n">
        <v>3810339157</v>
      </c>
      <c r="D6714" s="13" t="inlineStr">
        <is>
          <t>3810339157</t>
        </is>
      </c>
      <c r="E6714" s="13" t="inlineStr">
        <is>
          <t>ЮЛ РФ</t>
        </is>
      </c>
      <c r="F6714" s="13" t="n"/>
      <c r="G6714" s="52" t="n">
        <v>3</v>
      </c>
      <c r="H6714" s="52" t="n">
        <v>2025</v>
      </c>
      <c r="I6714" s="14" t="n"/>
      <c r="J6714" s="14" t="n"/>
      <c r="K6714" s="53" t="inlineStr">
        <is>
          <t>Нет</t>
        </is>
      </c>
      <c r="L6714" s="53" t="inlineStr">
        <is>
          <t>Не определено</t>
        </is>
      </c>
      <c r="M6714" s="53" t="inlineStr">
        <is>
          <t>До 10</t>
        </is>
      </c>
      <c r="N6714" s="54" t="n">
        <v>3360</v>
      </c>
      <c r="O6714" s="55" t="inlineStr">
        <is>
          <t>1–15</t>
        </is>
      </c>
      <c r="P6714" s="16" t="inlineStr">
        <is>
          <t>ССЧР обогащена; ОКВЭД не найден/не загружен</t>
        </is>
      </c>
      <c r="Q6714" s="16" t="inlineStr">
        <is>
          <t>ФНС открытые данные ССЧР (ДатаСост 31.12.2025; набор 7707329152-sshr2019)</t>
        </is>
      </c>
      <c r="R6714" s="16">
        <f>HYPERLINK("https://checko.ru/search?query=3801001629","Чекко: проверить")</f>
        <v/>
      </c>
      <c r="S6714" t="n">
        <v>1</v>
      </c>
      <c r="T6714" s="35" t="inlineStr">
        <is>
          <t>4 — Не обогащён</t>
        </is>
      </c>
      <c r="U6714" s="35" t="inlineStr">
        <is>
          <t>Нет ОКВЭД/ССЧР</t>
        </is>
      </c>
      <c r="V6714" s="35" t="inlineStr">
        <is>
          <t>Не определено</t>
        </is>
      </c>
      <c r="W6714" s="35" t="inlineStr">
        <is>
          <t>Нет</t>
        </is>
      </c>
      <c r="X6714" s="35" t="inlineStr"/>
    </row>
    <row r="6715" ht="15" customHeight="1" s="24">
      <c r="A6715" s="13" t="inlineStr">
        <is>
          <t>FR289349</t>
        </is>
      </c>
      <c r="B6715" s="13" t="inlineStr">
        <is>
          <t>ПСК ФОТОН ООО</t>
        </is>
      </c>
      <c r="C6715" s="13" t="n">
        <v>3808203014</v>
      </c>
      <c r="D6715" s="13" t="inlineStr">
        <is>
          <t>3808203014</t>
        </is>
      </c>
      <c r="E6715" s="13" t="inlineStr">
        <is>
          <t>ЮЛ РФ</t>
        </is>
      </c>
      <c r="F6715" s="13" t="n"/>
      <c r="G6715" s="52" t="n">
        <v>10</v>
      </c>
      <c r="H6715" s="52" t="n">
        <v>2025</v>
      </c>
      <c r="I6715" s="14" t="n"/>
      <c r="J6715" s="14" t="n"/>
      <c r="K6715" s="53" t="inlineStr">
        <is>
          <t>Нет</t>
        </is>
      </c>
      <c r="L6715" s="53" t="inlineStr">
        <is>
          <t>Не определено</t>
        </is>
      </c>
      <c r="M6715" s="53" t="inlineStr">
        <is>
          <t>До 10</t>
        </is>
      </c>
      <c r="N6715" s="54" t="n">
        <v>3360</v>
      </c>
      <c r="O6715" s="55" t="inlineStr">
        <is>
          <t>1–15</t>
        </is>
      </c>
      <c r="P6715" s="16" t="inlineStr">
        <is>
          <t>ССЧР обогащена; ОКВЭД не найден/не загружен</t>
        </is>
      </c>
      <c r="Q6715" s="16" t="inlineStr">
        <is>
          <t>ФНС открытые данные ССЧР (ДатаСост 31.12.2025; набор 7707329152-sshr2019)</t>
        </is>
      </c>
      <c r="R6715" s="16">
        <f>HYPERLINK("https://checko.ru/search?query=3801001629","Чекко: проверить")</f>
        <v/>
      </c>
      <c r="S6715" t="n">
        <v>1</v>
      </c>
      <c r="T6715" s="35" t="inlineStr">
        <is>
          <t>4 — Не обогащён</t>
        </is>
      </c>
      <c r="U6715" s="35" t="inlineStr">
        <is>
          <t>Нет ОКВЭД/ССЧР</t>
        </is>
      </c>
      <c r="V6715" s="35" t="inlineStr">
        <is>
          <t>Не определено</t>
        </is>
      </c>
      <c r="W6715" s="35" t="inlineStr">
        <is>
          <t>Нет</t>
        </is>
      </c>
      <c r="X6715" s="35" t="inlineStr"/>
    </row>
    <row r="6716" ht="27.75" customHeight="1" s="24">
      <c r="A6716" s="13" t="inlineStr">
        <is>
          <t>FR304525</t>
        </is>
      </c>
      <c r="B6716" s="13" t="inlineStr">
        <is>
          <t>ОБЩЕСТВО С ОГРАНИЧЕННОЙ ОТВЕТСТВЕННОСТЬЮ "СИЛА ТРЕНИЯ"</t>
        </is>
      </c>
      <c r="C6716" s="13" t="n">
        <v>6686122610</v>
      </c>
      <c r="D6716" s="13" t="inlineStr">
        <is>
          <t>6686122610</t>
        </is>
      </c>
      <c r="E6716" s="13" t="inlineStr">
        <is>
          <t>ЮЛ РФ</t>
        </is>
      </c>
      <c r="F6716" s="13" t="n"/>
      <c r="G6716" s="52" t="n">
        <v>2</v>
      </c>
      <c r="H6716" s="52" t="n">
        <v>2025</v>
      </c>
      <c r="I6716" s="14" t="n"/>
      <c r="J6716" s="14" t="n"/>
      <c r="K6716" s="53" t="inlineStr">
        <is>
          <t>Нет</t>
        </is>
      </c>
      <c r="L6716" s="53" t="inlineStr">
        <is>
          <t>Не определено</t>
        </is>
      </c>
      <c r="M6716" s="53" t="inlineStr">
        <is>
          <t>До 10</t>
        </is>
      </c>
      <c r="N6716" s="54" t="n">
        <v>3360</v>
      </c>
      <c r="O6716" s="55" t="inlineStr">
        <is>
          <t>1–15</t>
        </is>
      </c>
      <c r="P6716" s="16" t="inlineStr">
        <is>
          <t>ССЧР обогащена; ОКВЭД не найден/не загружен</t>
        </is>
      </c>
      <c r="Q6716" s="16" t="inlineStr">
        <is>
          <t>ФНС открытые данные ССЧР (ДатаСост 31.12.2025; набор 7707329152-sshr2019)</t>
        </is>
      </c>
      <c r="R6716" s="16">
        <f>HYPERLINK("https://checko.ru/search?query=3801001629","Чекко: проверить")</f>
        <v/>
      </c>
      <c r="S6716" t="n">
        <v>1</v>
      </c>
      <c r="T6716" s="35" t="inlineStr">
        <is>
          <t>4 — Не обогащён</t>
        </is>
      </c>
      <c r="U6716" s="35" t="inlineStr">
        <is>
          <t>Нет ОКВЭД/ССЧР</t>
        </is>
      </c>
      <c r="V6716" s="35" t="inlineStr">
        <is>
          <t>Не определено</t>
        </is>
      </c>
      <c r="W6716" s="35" t="inlineStr">
        <is>
          <t>Нет</t>
        </is>
      </c>
      <c r="X6716" s="35" t="inlineStr"/>
    </row>
    <row r="6717" ht="15" customHeight="1" s="24">
      <c r="A6717" s="13" t="inlineStr">
        <is>
          <t>FR838429</t>
        </is>
      </c>
      <c r="B6717" s="13" t="inlineStr">
        <is>
          <t>ИП Литвинова Светлана Александровна</t>
        </is>
      </c>
      <c r="C6717" s="13" t="n">
        <v>380406563927</v>
      </c>
      <c r="D6717" s="13" t="inlineStr">
        <is>
          <t>380406563927</t>
        </is>
      </c>
      <c r="E6717" s="13" t="inlineStr">
        <is>
          <t>ИП РФ / физлицо</t>
        </is>
      </c>
      <c r="F6717" s="13" t="n"/>
      <c r="G6717" s="14" t="n"/>
      <c r="H6717" s="14" t="n"/>
      <c r="I6717" s="14" t="n"/>
      <c r="J6717" s="14" t="n"/>
      <c r="K6717" s="53" t="inlineStr"/>
      <c r="L6717" s="53" t="inlineStr">
        <is>
          <t>Не определено</t>
        </is>
      </c>
      <c r="M6717" s="53" t="inlineStr"/>
      <c r="N6717" s="54" t="inlineStr"/>
      <c r="O6717" s="55" t="inlineStr"/>
      <c r="P6717" s="16" t="inlineStr">
        <is>
          <t>Требует обогащения</t>
        </is>
      </c>
      <c r="Q6717" s="16">
        <f>HYPERLINK("https://pb.nalog.ru/search.html?query=380406563927","ФНС: проверить")</f>
        <v/>
      </c>
      <c r="R6717" s="16">
        <f>HYPERLINK("https://checko.ru/search?query=3801001629","Чекко: проверить")</f>
        <v/>
      </c>
      <c r="S6717" t="n">
        <v>1</v>
      </c>
      <c r="T6717" s="35" t="inlineStr">
        <is>
          <t>4 — Не обогащён</t>
        </is>
      </c>
      <c r="U6717" s="35" t="inlineStr">
        <is>
          <t>Нет ОКВЭД/ССЧР</t>
        </is>
      </c>
      <c r="V6717" s="35" t="inlineStr">
        <is>
          <t>Не определено</t>
        </is>
      </c>
      <c r="W6717" s="35" t="inlineStr"/>
      <c r="X6717" s="35" t="inlineStr"/>
    </row>
    <row r="6718" ht="27.75" customHeight="1" s="24">
      <c r="A6718" s="13" t="inlineStr">
        <is>
          <t>FR695545</t>
        </is>
      </c>
      <c r="B6718" s="13" t="inlineStr">
        <is>
          <t>Общество с ограниченной ответственностью "МИРЭНЕРГО"</t>
        </is>
      </c>
      <c r="C6718" s="13" t="n">
        <v>2317082550</v>
      </c>
      <c r="D6718" s="13" t="inlineStr">
        <is>
          <t>2317082550</t>
        </is>
      </c>
      <c r="E6718" s="13" t="inlineStr">
        <is>
          <t>ЮЛ РФ</t>
        </is>
      </c>
      <c r="F6718" s="13" t="n"/>
      <c r="G6718" s="52" t="n">
        <v>4</v>
      </c>
      <c r="H6718" s="52" t="n">
        <v>2025</v>
      </c>
      <c r="I6718" s="14" t="n"/>
      <c r="J6718" s="14" t="n"/>
      <c r="K6718" s="53" t="inlineStr">
        <is>
          <t>Нет</t>
        </is>
      </c>
      <c r="L6718" s="53" t="inlineStr">
        <is>
          <t>Не определено</t>
        </is>
      </c>
      <c r="M6718" s="53" t="inlineStr">
        <is>
          <t>До 10</t>
        </is>
      </c>
      <c r="N6718" s="54" t="n">
        <v>3360</v>
      </c>
      <c r="O6718" s="55" t="inlineStr">
        <is>
          <t>1–15</t>
        </is>
      </c>
      <c r="P6718" s="16" t="inlineStr">
        <is>
          <t>ССЧР обогащена; ОКВЭД не найден/не загружен</t>
        </is>
      </c>
      <c r="Q6718" s="16" t="inlineStr">
        <is>
          <t>ФНС открытые данные ССЧР (ДатаСост 31.12.2025; набор 7707329152-sshr2019)</t>
        </is>
      </c>
      <c r="R6718" s="16">
        <f>HYPERLINK("https://checko.ru/search?query=3801001629","Чекко: проверить")</f>
        <v/>
      </c>
      <c r="S6718" t="n">
        <v>1</v>
      </c>
      <c r="T6718" s="35" t="inlineStr">
        <is>
          <t>4 — Не обогащён</t>
        </is>
      </c>
      <c r="U6718" s="35" t="inlineStr">
        <is>
          <t>Нет ОКВЭД/ССЧР</t>
        </is>
      </c>
      <c r="V6718" s="35" t="inlineStr">
        <is>
          <t>Не определено</t>
        </is>
      </c>
      <c r="W6718" s="35" t="inlineStr">
        <is>
          <t>Нет</t>
        </is>
      </c>
      <c r="X6718" s="35" t="inlineStr"/>
    </row>
    <row r="6719" ht="27.75" customHeight="1" s="24">
      <c r="A6719" s="13" t="inlineStr">
        <is>
          <t>FR699426</t>
        </is>
      </c>
      <c r="B6719" s="13" t="inlineStr">
        <is>
          <t>Общество с ограниченной ответственностью "РЕСПЕКТ ПЛЮС"</t>
        </is>
      </c>
      <c r="C6719" s="13" t="n">
        <v>2465346573</v>
      </c>
      <c r="D6719" s="13" t="inlineStr">
        <is>
          <t>2465346573</t>
        </is>
      </c>
      <c r="E6719" s="13" t="inlineStr">
        <is>
          <t>ЮЛ РФ</t>
        </is>
      </c>
      <c r="F6719" s="13" t="n"/>
      <c r="G6719" s="52" t="n">
        <v>2</v>
      </c>
      <c r="H6719" s="52" t="n">
        <v>2025</v>
      </c>
      <c r="I6719" s="14" t="n"/>
      <c r="J6719" s="14" t="n"/>
      <c r="K6719" s="53" t="inlineStr">
        <is>
          <t>Нет</t>
        </is>
      </c>
      <c r="L6719" s="53" t="inlineStr">
        <is>
          <t>Не определено</t>
        </is>
      </c>
      <c r="M6719" s="53" t="inlineStr">
        <is>
          <t>До 10</t>
        </is>
      </c>
      <c r="N6719" s="54" t="n">
        <v>3360</v>
      </c>
      <c r="O6719" s="55" t="inlineStr">
        <is>
          <t>1–15</t>
        </is>
      </c>
      <c r="P6719" s="16" t="inlineStr">
        <is>
          <t>ССЧР обогащена; ОКВЭД не найден/не загружен</t>
        </is>
      </c>
      <c r="Q6719" s="16" t="inlineStr">
        <is>
          <t>ФНС открытые данные ССЧР (ДатаСост 31.12.2025; набор 7707329152-sshr2019)</t>
        </is>
      </c>
      <c r="R6719" s="16">
        <f>HYPERLINK("https://checko.ru/search?query=3801001629","Чекко: проверить")</f>
        <v/>
      </c>
      <c r="S6719" t="n">
        <v>1</v>
      </c>
      <c r="T6719" s="35" t="inlineStr">
        <is>
          <t>4 — Не обогащён</t>
        </is>
      </c>
      <c r="U6719" s="35" t="inlineStr">
        <is>
          <t>Нет ОКВЭД/ССЧР</t>
        </is>
      </c>
      <c r="V6719" s="35" t="inlineStr">
        <is>
          <t>Не определено</t>
        </is>
      </c>
      <c r="W6719" s="35" t="inlineStr">
        <is>
          <t>Нет</t>
        </is>
      </c>
      <c r="X6719" s="35" t="inlineStr"/>
    </row>
    <row r="6720" ht="15" customHeight="1" s="24">
      <c r="A6720" s="13" t="inlineStr">
        <is>
          <t>FR693863</t>
        </is>
      </c>
      <c r="B6720" s="13" t="inlineStr">
        <is>
          <t>ИП ПАСЕЧНИКОВА МАРИЯ АЛЕКСАНДРОВНА</t>
        </is>
      </c>
      <c r="C6720" s="13" t="n">
        <v>380470609791</v>
      </c>
      <c r="D6720" s="13" t="inlineStr">
        <is>
          <t>380470609791</t>
        </is>
      </c>
      <c r="E6720" s="13" t="inlineStr">
        <is>
          <t>ИП РФ / физлицо</t>
        </is>
      </c>
      <c r="F6720" s="13" t="n"/>
      <c r="G6720" s="14" t="n"/>
      <c r="H6720" s="14" t="n"/>
      <c r="I6720" s="14" t="n"/>
      <c r="J6720" s="14" t="n"/>
      <c r="K6720" s="53" t="inlineStr"/>
      <c r="L6720" s="53" t="inlineStr">
        <is>
          <t>Не определено</t>
        </is>
      </c>
      <c r="M6720" s="53" t="inlineStr"/>
      <c r="N6720" s="54" t="inlineStr"/>
      <c r="O6720" s="55" t="inlineStr"/>
      <c r="P6720" s="16" t="inlineStr">
        <is>
          <t>Требует обогащения</t>
        </is>
      </c>
      <c r="Q6720" s="16">
        <f>HYPERLINK("https://pb.nalog.ru/search.html?query=380470609791","ФНС: проверить")</f>
        <v/>
      </c>
      <c r="R6720" s="16">
        <f>HYPERLINK("https://checko.ru/search?query=3801001629","Чекко: проверить")</f>
        <v/>
      </c>
      <c r="S6720" t="n">
        <v>1</v>
      </c>
      <c r="T6720" s="35" t="inlineStr">
        <is>
          <t>4 — Не обогащён</t>
        </is>
      </c>
      <c r="U6720" s="35" t="inlineStr">
        <is>
          <t>Нет ОКВЭД/ССЧР</t>
        </is>
      </c>
      <c r="V6720" s="35" t="inlineStr">
        <is>
          <t>Не определено</t>
        </is>
      </c>
      <c r="W6720" s="35" t="inlineStr"/>
      <c r="X6720" s="35" t="inlineStr"/>
    </row>
    <row r="6721" ht="15" customHeight="1" s="24">
      <c r="A6721" s="13" t="inlineStr">
        <is>
          <t>FR1244231</t>
        </is>
      </c>
      <c r="B6721" s="13" t="inlineStr">
        <is>
          <t>ИП Григорьев Иван Александрович</t>
        </is>
      </c>
      <c r="C6721" s="13" t="n">
        <v>564802905405</v>
      </c>
      <c r="D6721" s="13" t="inlineStr">
        <is>
          <t>564802905405</t>
        </is>
      </c>
      <c r="E6721" s="13" t="inlineStr">
        <is>
          <t>ИП РФ / физлицо</t>
        </is>
      </c>
      <c r="F6721" s="13" t="n"/>
      <c r="G6721" s="14" t="n"/>
      <c r="H6721" s="14" t="n"/>
      <c r="I6721" s="14" t="n"/>
      <c r="J6721" s="14" t="n"/>
      <c r="K6721" s="53" t="inlineStr"/>
      <c r="L6721" s="53" t="inlineStr">
        <is>
          <t>Не определено</t>
        </is>
      </c>
      <c r="M6721" s="53" t="inlineStr"/>
      <c r="N6721" s="54" t="inlineStr"/>
      <c r="O6721" s="55" t="inlineStr"/>
      <c r="P6721" s="16" t="inlineStr">
        <is>
          <t>Требует обогащения</t>
        </is>
      </c>
      <c r="Q6721" s="16">
        <f>HYPERLINK("https://pb.nalog.ru/search.html?query=564802905405","ФНС: проверить")</f>
        <v/>
      </c>
      <c r="R6721" s="16">
        <f>HYPERLINK("https://checko.ru/search?query=3801001629","Чекко: проверить")</f>
        <v/>
      </c>
      <c r="S6721" t="n">
        <v>1</v>
      </c>
      <c r="T6721" s="35" t="inlineStr">
        <is>
          <t>4 — Не обогащён</t>
        </is>
      </c>
      <c r="U6721" s="35" t="inlineStr">
        <is>
          <t>Нет ОКВЭД/ССЧР</t>
        </is>
      </c>
      <c r="V6721" s="35" t="inlineStr">
        <is>
          <t>Не определено</t>
        </is>
      </c>
      <c r="W6721" s="35" t="inlineStr"/>
      <c r="X6721" s="35" t="inlineStr"/>
    </row>
    <row r="6722" ht="15" customHeight="1" s="24">
      <c r="A6722" s="13" t="inlineStr">
        <is>
          <t>FR1037321</t>
        </is>
      </c>
      <c r="B6722" s="13" t="inlineStr">
        <is>
          <t>АНО "РАРК ВОСТОЧНОЙ-СИБИРИ"</t>
        </is>
      </c>
      <c r="C6722" s="13" t="n">
        <v>3811443665</v>
      </c>
      <c r="D6722" s="13" t="inlineStr">
        <is>
          <t>3811443665</t>
        </is>
      </c>
      <c r="E6722" s="13" t="inlineStr">
        <is>
          <t>ЮЛ РФ</t>
        </is>
      </c>
      <c r="F6722" s="13" t="n"/>
      <c r="G6722" s="14" t="n"/>
      <c r="H6722" s="14" t="n"/>
      <c r="I6722" s="14" t="n"/>
      <c r="J6722" s="14" t="n"/>
      <c r="K6722" s="53" t="inlineStr"/>
      <c r="L6722" s="53" t="inlineStr">
        <is>
          <t>Не определено</t>
        </is>
      </c>
      <c r="M6722" s="53" t="inlineStr"/>
      <c r="N6722" s="54" t="inlineStr"/>
      <c r="O6722" s="55" t="inlineStr"/>
      <c r="P6722" s="16" t="inlineStr">
        <is>
          <t>Требует обогащения</t>
        </is>
      </c>
      <c r="Q6722" s="16">
        <f>HYPERLINK("https://pb.nalog.ru/search.html?query=3811443665","ФНС: проверить")</f>
        <v/>
      </c>
      <c r="R6722" s="16">
        <f>HYPERLINK("https://checko.ru/search?query=3801001629","Чекко: проверить")</f>
        <v/>
      </c>
      <c r="S6722" t="n">
        <v>1</v>
      </c>
      <c r="T6722" s="35" t="inlineStr">
        <is>
          <t>4 — Не обогащён</t>
        </is>
      </c>
      <c r="U6722" s="35" t="inlineStr">
        <is>
          <t>Нет ОКВЭД/ССЧР</t>
        </is>
      </c>
      <c r="V6722" s="35" t="inlineStr">
        <is>
          <t>Не определено</t>
        </is>
      </c>
      <c r="W6722" s="35" t="inlineStr"/>
      <c r="X6722" s="35" t="inlineStr"/>
    </row>
    <row r="6723" ht="15" customHeight="1" s="24">
      <c r="A6723" s="13" t="inlineStr">
        <is>
          <t>FR105022</t>
        </is>
      </c>
      <c r="B6723" s="13" t="inlineStr">
        <is>
          <t>ИП Финк Елизавета Александровна</t>
        </is>
      </c>
      <c r="C6723" s="13" t="n">
        <v>780431196277</v>
      </c>
      <c r="D6723" s="13" t="inlineStr">
        <is>
          <t>780431196277</t>
        </is>
      </c>
      <c r="E6723" s="13" t="inlineStr">
        <is>
          <t>ИП РФ / физлицо</t>
        </is>
      </c>
      <c r="F6723" s="13" t="n"/>
      <c r="G6723" s="14" t="n"/>
      <c r="H6723" s="14" t="n"/>
      <c r="I6723" s="14" t="n"/>
      <c r="J6723" s="14" t="n"/>
      <c r="K6723" s="53" t="inlineStr"/>
      <c r="L6723" s="53" t="inlineStr">
        <is>
          <t>Не определено</t>
        </is>
      </c>
      <c r="M6723" s="53" t="inlineStr"/>
      <c r="N6723" s="54" t="inlineStr"/>
      <c r="O6723" s="55" t="inlineStr"/>
      <c r="P6723" s="16" t="inlineStr">
        <is>
          <t>Требует обогащения</t>
        </is>
      </c>
      <c r="Q6723" s="16">
        <f>HYPERLINK("https://pb.nalog.ru/search.html?query=780431196277","ФНС: проверить")</f>
        <v/>
      </c>
      <c r="R6723" s="16">
        <f>HYPERLINK("https://checko.ru/search?query=3801001629","Чекко: проверить")</f>
        <v/>
      </c>
      <c r="S6723" t="n">
        <v>1</v>
      </c>
      <c r="T6723" s="35" t="inlineStr">
        <is>
          <t>4 — Не обогащён</t>
        </is>
      </c>
      <c r="U6723" s="35" t="inlineStr">
        <is>
          <t>Нет ОКВЭД/ССЧР</t>
        </is>
      </c>
      <c r="V6723" s="35" t="inlineStr">
        <is>
          <t>Не определено</t>
        </is>
      </c>
      <c r="W6723" s="35" t="inlineStr"/>
      <c r="X6723" s="35" t="inlineStr"/>
    </row>
    <row r="6724" ht="15" customHeight="1" s="24">
      <c r="A6724" s="13" t="inlineStr">
        <is>
          <t>FR2229</t>
        </is>
      </c>
      <c r="B6724" s="13" t="inlineStr">
        <is>
          <t>БайкалСнаб</t>
        </is>
      </c>
      <c r="C6724" s="13" t="n">
        <v>3811125623</v>
      </c>
      <c r="D6724" s="13" t="inlineStr">
        <is>
          <t>3811125623</t>
        </is>
      </c>
      <c r="E6724" s="13" t="inlineStr">
        <is>
          <t>ЮЛ РФ</t>
        </is>
      </c>
      <c r="F6724" s="13" t="n"/>
      <c r="G6724" s="52" t="n">
        <v>2</v>
      </c>
      <c r="H6724" s="52" t="n">
        <v>2025</v>
      </c>
      <c r="I6724" s="14" t="n"/>
      <c r="J6724" s="14" t="n"/>
      <c r="K6724" s="53" t="inlineStr">
        <is>
          <t>Нет</t>
        </is>
      </c>
      <c r="L6724" s="53" t="inlineStr">
        <is>
          <t>Не определено</t>
        </is>
      </c>
      <c r="M6724" s="53" t="inlineStr">
        <is>
          <t>До 10</t>
        </is>
      </c>
      <c r="N6724" s="54" t="n">
        <v>3360</v>
      </c>
      <c r="O6724" s="55" t="inlineStr">
        <is>
          <t>1–15</t>
        </is>
      </c>
      <c r="P6724" s="16" t="inlineStr">
        <is>
          <t>ССЧР обогащена; ОКВЭД не найден/не загружен</t>
        </is>
      </c>
      <c r="Q6724" s="16" t="inlineStr">
        <is>
          <t>ФНС открытые данные ССЧР (ДатаСост 31.12.2025; набор 7707329152-sshr2019)</t>
        </is>
      </c>
      <c r="R6724" s="16">
        <f>HYPERLINK("https://checko.ru/search?query=3801001629","Чекко: проверить")</f>
        <v/>
      </c>
      <c r="S6724" t="n">
        <v>1</v>
      </c>
      <c r="T6724" s="35" t="inlineStr">
        <is>
          <t>4 — Не обогащён</t>
        </is>
      </c>
      <c r="U6724" s="35" t="inlineStr">
        <is>
          <t>Нет ОКВЭД/ССЧР</t>
        </is>
      </c>
      <c r="V6724" s="35" t="inlineStr">
        <is>
          <t>Не определено</t>
        </is>
      </c>
      <c r="W6724" s="35" t="inlineStr">
        <is>
          <t>Нет</t>
        </is>
      </c>
      <c r="X6724" s="35" t="inlineStr"/>
    </row>
    <row r="6725" ht="27.75" customHeight="1" s="24">
      <c r="A6725" s="13" t="inlineStr">
        <is>
          <t>FR8881</t>
        </is>
      </c>
      <c r="B6725" s="13" t="inlineStr">
        <is>
          <t>Общество с ограниченной ответственностью "ЗАРЯД-ЦЕНТР"</t>
        </is>
      </c>
      <c r="C6725" s="13" t="n">
        <v>7536165215</v>
      </c>
      <c r="D6725" s="13" t="inlineStr">
        <is>
          <t>7536165215</t>
        </is>
      </c>
      <c r="E6725" s="13" t="inlineStr">
        <is>
          <t>ЮЛ РФ</t>
        </is>
      </c>
      <c r="F6725" s="13" t="n"/>
      <c r="G6725" s="52" t="n">
        <v>3</v>
      </c>
      <c r="H6725" s="52" t="n">
        <v>2025</v>
      </c>
      <c r="I6725" s="14" t="n"/>
      <c r="J6725" s="14" t="n"/>
      <c r="K6725" s="53" t="inlineStr">
        <is>
          <t>Нет</t>
        </is>
      </c>
      <c r="L6725" s="53" t="inlineStr">
        <is>
          <t>Не определено</t>
        </is>
      </c>
      <c r="M6725" s="53" t="inlineStr">
        <is>
          <t>До 10</t>
        </is>
      </c>
      <c r="N6725" s="54" t="n">
        <v>3360</v>
      </c>
      <c r="O6725" s="55" t="inlineStr">
        <is>
          <t>1–15</t>
        </is>
      </c>
      <c r="P6725" s="16" t="inlineStr">
        <is>
          <t>ССЧР обогащена; ОКВЭД не найден/не загружен</t>
        </is>
      </c>
      <c r="Q6725" s="16" t="inlineStr">
        <is>
          <t>ФНС открытые данные ССЧР (ДатаСост 31.12.2025; набор 7707329152-sshr2019)</t>
        </is>
      </c>
      <c r="R6725" s="16">
        <f>HYPERLINK("https://checko.ru/search?query=3801001629","Чекко: проверить")</f>
        <v/>
      </c>
      <c r="S6725" t="n">
        <v>1</v>
      </c>
      <c r="T6725" s="35" t="inlineStr">
        <is>
          <t>4 — Не обогащён</t>
        </is>
      </c>
      <c r="U6725" s="35" t="inlineStr">
        <is>
          <t>Нет ОКВЭД/ССЧР</t>
        </is>
      </c>
      <c r="V6725" s="35" t="inlineStr">
        <is>
          <t>Не определено</t>
        </is>
      </c>
      <c r="W6725" s="35" t="inlineStr">
        <is>
          <t>Нет</t>
        </is>
      </c>
      <c r="X6725" s="35" t="inlineStr"/>
    </row>
    <row r="6726" ht="15" customHeight="1" s="24">
      <c r="A6726" s="13" t="inlineStr">
        <is>
          <t>FR24229</t>
        </is>
      </c>
      <c r="B6726" s="13" t="inlineStr">
        <is>
          <t>Васильков Игорь Сергеевич</t>
        </is>
      </c>
      <c r="C6726" s="13" t="n">
        <v>381254482180</v>
      </c>
      <c r="D6726" s="13" t="inlineStr">
        <is>
          <t>381254482180</t>
        </is>
      </c>
      <c r="E6726" s="13" t="inlineStr">
        <is>
          <t>ИП РФ / физлицо</t>
        </is>
      </c>
      <c r="F6726" s="13" t="n"/>
      <c r="G6726" s="14" t="n"/>
      <c r="H6726" s="14" t="n"/>
      <c r="I6726" s="14" t="n"/>
      <c r="J6726" s="14" t="n"/>
      <c r="K6726" s="53" t="inlineStr"/>
      <c r="L6726" s="53" t="inlineStr">
        <is>
          <t>Не определено</t>
        </is>
      </c>
      <c r="M6726" s="53" t="inlineStr"/>
      <c r="N6726" s="54" t="inlineStr"/>
      <c r="O6726" s="55" t="inlineStr"/>
      <c r="P6726" s="16" t="inlineStr">
        <is>
          <t>Требует обогащения</t>
        </is>
      </c>
      <c r="Q6726" s="16">
        <f>HYPERLINK("https://pb.nalog.ru/search.html?query=381254482180","ФНС: проверить")</f>
        <v/>
      </c>
      <c r="R6726" s="16">
        <f>HYPERLINK("https://checko.ru/search?query=3801001629","Чекко: проверить")</f>
        <v/>
      </c>
      <c r="S6726" t="n">
        <v>1</v>
      </c>
      <c r="T6726" s="35" t="inlineStr">
        <is>
          <t>4 — Не обогащён</t>
        </is>
      </c>
      <c r="U6726" s="35" t="inlineStr">
        <is>
          <t>Нет ОКВЭД/ССЧР</t>
        </is>
      </c>
      <c r="V6726" s="35" t="inlineStr">
        <is>
          <t>Не определено</t>
        </is>
      </c>
      <c r="W6726" s="35" t="inlineStr"/>
      <c r="X6726" s="35" t="inlineStr"/>
    </row>
    <row r="6727" ht="15" customHeight="1" s="24">
      <c r="A6727" s="13" t="inlineStr">
        <is>
          <t>FR2668</t>
        </is>
      </c>
      <c r="B6727" s="13" t="inlineStr">
        <is>
          <t>ОПС- Иркутск</t>
        </is>
      </c>
      <c r="C6727" s="13" t="n">
        <v>3811161646</v>
      </c>
      <c r="D6727" s="13" t="inlineStr">
        <is>
          <t>3811161646</t>
        </is>
      </c>
      <c r="E6727" s="13" t="inlineStr">
        <is>
          <t>ЮЛ РФ</t>
        </is>
      </c>
      <c r="F6727" s="13" t="n"/>
      <c r="G6727" s="52" t="n">
        <v>2</v>
      </c>
      <c r="H6727" s="52" t="n">
        <v>2025</v>
      </c>
      <c r="I6727" s="14" t="n"/>
      <c r="J6727" s="14" t="n"/>
      <c r="K6727" s="53" t="inlineStr">
        <is>
          <t>Нет</t>
        </is>
      </c>
      <c r="L6727" s="53" t="inlineStr">
        <is>
          <t>Не определено</t>
        </is>
      </c>
      <c r="M6727" s="53" t="inlineStr">
        <is>
          <t>До 10</t>
        </is>
      </c>
      <c r="N6727" s="54" t="n">
        <v>3360</v>
      </c>
      <c r="O6727" s="55" t="inlineStr">
        <is>
          <t>1–15</t>
        </is>
      </c>
      <c r="P6727" s="16" t="inlineStr">
        <is>
          <t>ССЧР обогащена; ОКВЭД не найден/не загружен</t>
        </is>
      </c>
      <c r="Q6727" s="16" t="inlineStr">
        <is>
          <t>ФНС открытые данные ССЧР (ДатаСост 31.12.2025; набор 7707329152-sshr2019)</t>
        </is>
      </c>
      <c r="R6727" s="16">
        <f>HYPERLINK("https://checko.ru/search?query=3801001629","Чекко: проверить")</f>
        <v/>
      </c>
      <c r="S6727" t="n">
        <v>1</v>
      </c>
      <c r="T6727" s="35" t="inlineStr">
        <is>
          <t>4 — Не обогащён</t>
        </is>
      </c>
      <c r="U6727" s="35" t="inlineStr">
        <is>
          <t>Нет ОКВЭД/ССЧР</t>
        </is>
      </c>
      <c r="V6727" s="35" t="inlineStr">
        <is>
          <t>Не определено</t>
        </is>
      </c>
      <c r="W6727" s="35" t="inlineStr">
        <is>
          <t>Нет</t>
        </is>
      </c>
      <c r="X6727" s="35" t="inlineStr"/>
    </row>
    <row r="6728" ht="15" customHeight="1" s="24">
      <c r="A6728" s="13" t="inlineStr">
        <is>
          <t>FR320989</t>
        </is>
      </c>
      <c r="B6728" s="13" t="inlineStr">
        <is>
          <t>ВПК ЭКСПОФОРБ, ООО</t>
        </is>
      </c>
      <c r="C6728" s="13" t="n">
        <v>7726383564</v>
      </c>
      <c r="D6728" s="13" t="inlineStr">
        <is>
          <t>7726383564</t>
        </is>
      </c>
      <c r="E6728" s="13" t="inlineStr">
        <is>
          <t>ЮЛ РФ</t>
        </is>
      </c>
      <c r="F6728" s="13" t="n"/>
      <c r="G6728" s="52" t="n">
        <v>2</v>
      </c>
      <c r="H6728" s="52" t="n">
        <v>2025</v>
      </c>
      <c r="I6728" s="14" t="n"/>
      <c r="J6728" s="14" t="n"/>
      <c r="K6728" s="53" t="inlineStr">
        <is>
          <t>Нет</t>
        </is>
      </c>
      <c r="L6728" s="53" t="inlineStr">
        <is>
          <t>Не определено</t>
        </is>
      </c>
      <c r="M6728" s="53" t="inlineStr">
        <is>
          <t>До 10</t>
        </is>
      </c>
      <c r="N6728" s="54" t="n">
        <v>3360</v>
      </c>
      <c r="O6728" s="55" t="inlineStr">
        <is>
          <t>1–15</t>
        </is>
      </c>
      <c r="P6728" s="16" t="inlineStr">
        <is>
          <t>ССЧР обогащена; ОКВЭД не найден/не загружен</t>
        </is>
      </c>
      <c r="Q6728" s="16" t="inlineStr">
        <is>
          <t>ФНС открытые данные ССЧР (ДатаСост 31.12.2025; набор 7707329152-sshr2019)</t>
        </is>
      </c>
      <c r="R6728" s="16">
        <f>HYPERLINK("https://checko.ru/search?query=3801001629","Чекко: проверить")</f>
        <v/>
      </c>
      <c r="S6728" t="n">
        <v>1</v>
      </c>
      <c r="T6728" s="35" t="inlineStr">
        <is>
          <t>4 — Не обогащён</t>
        </is>
      </c>
      <c r="U6728" s="35" t="inlineStr">
        <is>
          <t>Нет ОКВЭД/ССЧР</t>
        </is>
      </c>
      <c r="V6728" s="35" t="inlineStr">
        <is>
          <t>Не определено</t>
        </is>
      </c>
      <c r="W6728" s="35" t="inlineStr">
        <is>
          <t>Нет</t>
        </is>
      </c>
      <c r="X6728" s="35" t="inlineStr"/>
    </row>
    <row r="6729" ht="15" customHeight="1" s="24">
      <c r="A6729" s="13" t="inlineStr">
        <is>
          <t>FR179859</t>
        </is>
      </c>
      <c r="B6729" s="13" t="inlineStr">
        <is>
          <t>ИП Абрамов Константин Сергеевич</t>
        </is>
      </c>
      <c r="C6729" s="13" t="n">
        <v>32385560612</v>
      </c>
      <c r="D6729" s="13" t="n"/>
      <c r="E6729" s="13" t="inlineStr">
        <is>
          <t>Не определён</t>
        </is>
      </c>
      <c r="F6729" s="13" t="n"/>
      <c r="G6729" s="14" t="n"/>
      <c r="H6729" s="14" t="n"/>
      <c r="I6729" s="14" t="n"/>
      <c r="J6729" s="14" t="n"/>
      <c r="K6729" s="13">
        <f>IF(G6729="","",IF(G6729&gt;=22,"Да","Нет"))</f>
        <v/>
      </c>
      <c r="L6729" s="13">
        <f>IF(OR(I6729="",J6729=""),"Не определено",IF(OR(COUNTIF(I6729,"45*")&gt;0,COUNTIF(J6729,"*45*")&gt;0,COUNTIF(I6729,"46*")&gt;0,COUNTIF(J6729,"*46*")&gt;0,COUNTIF(I6729,"47*")&gt;0,COUNTIF(J6729,"*47*")&gt;0,COUNTIF(I6729,"10*")&gt;0,COUNTIF(J6729,"*10*")&gt;0,COUNTIF(I6729,"11*")&gt;0,COUNTIF(J6729,"*11*")&gt;0,COUNTIF(I6729,"12*")&gt;0,COUNTIF(J6729,"*12*")&gt;0,COUNTIF(I6729,"13*")&gt;0,COUNTIF(J6729,"*13*")&gt;0,COUNTIF(I6729,"14*")&gt;0,COUNTIF(J6729,"*14*")&gt;0,COUNTIF(I6729,"15*")&gt;0,COUNTIF(J6729,"*15*")&gt;0,COUNTIF(I6729,"16*")&gt;0,COUNTIF(J6729,"*16*")&gt;0,COUNTIF(I6729,"17*")&gt;0,COUNTIF(J6729,"*17*")&gt;0,COUNTIF(I6729,"18*")&gt;0,COUNTIF(J6729,"*18*")&gt;0,COUNTIF(I6729,"19*")&gt;0,COUNTIF(J6729,"*19*")&gt;0,COUNTIF(I6729,"20*")&gt;0,COUNTIF(J6729,"*20*")&gt;0,COUNTIF(I6729,"21*")&gt;0,COUNTIF(J6729,"*21*")&gt;0,COUNTIF(I6729,"22*")&gt;0,COUNTIF(J6729,"*22*")&gt;0,COUNTIF(I6729,"23*")&gt;0,COUNTIF(J6729,"*23*")&gt;0,COUNTIF(I6729,"24*")&gt;0,COUNTIF(J6729,"*24*")&gt;0,COUNTIF(I6729,"25*")&gt;0,COUNTIF(J6729,"*25*")&gt;0,COUNTIF(I6729,"26*")&gt;0,COUNTIF(J6729,"*26*")&gt;0,COUNTIF(I6729,"27*")&gt;0,COUNTIF(J6729,"*27*")&gt;0,COUNTIF(I6729,"28*")&gt;0,COUNTIF(J6729,"*28*")&gt;0,COUNTIF(I6729,"29*")&gt;0,COUNTIF(J6729,"*29*")&gt;0,COUNTIF(I6729,"30*")&gt;0,COUNTIF(J6729,"*30*")&gt;0,COUNTIF(I6729,"31*")&gt;0,COUNTIF(J6729,"*31*")&gt;0,COUNTIF(I6729,"32*")&gt;0,COUNTIF(J6729,"*32*")&gt;0,COUNTIF(I6729,"33*")&gt;0,COUNTIF(J6729,"*33*")&gt;0,COUNTIF(I6729,"41*")&gt;0,COUNTIF(J6729,"*41*")&gt;0,COUNTIF(I6729,"42*")&gt;0,COUNTIF(J6729,"*42*")&gt;0,COUNTIF(I6729,"43*")&gt;0,COUNTIF(J6729,"*43*")&gt;0,COUNTIF(I6729,"49*")&gt;0,COUNTIF(J6729,"*49*")&gt;0,COUNTIF(I6729,"52*")&gt;0,COUNTIF(J6729,"*52*")&gt;0,COUNTIF(I6729,"55*")&gt;0,COUNTIF(J6729,"*55*")&gt;0,COUNTIF(I6729,"56*")&gt;0,COUNTIF(J6729,"*56*")&gt;0,COUNTIF(I6729,"68*")&gt;0,COUNTIF(J6729,"*68*")&gt;0,COUNTIF(I6729,"78*")&gt;0,COUNTIF(J6729,"*78*")&gt;0,COUNTIF(I6729,"81*")&gt;0,COUNTIF(J6729,"*81*")&gt;0,COUNTIF(I6729,"82*")&gt;0,COUNTIF(J6729,"*82*")&gt;0,COUNTIF(I6729,"64*")&gt;0,COUNTIF(J6729,"*64*")&gt;0,COUNTIF(I6729,"65*")&gt;0,COUNTIF(J6729,"*65*")&gt;0,COUNTIF(I6729,"66*")&gt;0,COUNTIF(J6729,"*66*")&gt;0,COUNTIF(I6729,"61*")&gt;0,COUNTIF(J6729,"*61*")&gt;0,COUNTIF(I6729,"62*")&gt;0,COUNTIF(J6729,"*62*")&gt;0,COUNTIF(I6729,"63*")&gt;0,COUNTIF(J6729,"*63*")&gt;0,COUNTIF(I6729,"85*")&gt;0,COUNTIF(J6729,"*85*")&gt;0,COUNTIF(I6729,"86*")&gt;0,COUNTIF(J6729,"*86*")&gt;0),"Да","Нет"))</f>
        <v/>
      </c>
      <c r="M6729" s="13">
        <f>IF(OR(G6729="",L6729&lt;&gt;"Да"),"",IF(G6729&lt;=100,"До 100",IF(G6729&lt;=200,"До 200",IF(G6729&lt;=500,"До 500","Отдельное КП"))))</f>
        <v/>
      </c>
      <c r="N6729" s="15">
        <f>IF(OR(G6729="",L6729&lt;&gt;"Да"),"",IF(G6729&lt;=100,33600,IF(G6729&lt;=200,62400,IF(G6729&lt;=500,144000,""))))</f>
        <v/>
      </c>
      <c r="O6729" s="16">
        <f>IF(G6729="","",IF(G6729&lt;=15,"1–15",IF(G6729&lt;=30,"16–30",IF(G6729&lt;=50,"31–50",IF(G6729&lt;=100,"51–100",IF(G6729&lt;=150,"101–150",IF(G6729&lt;=200,"151–200",IF(G6729&lt;=500,"201–500","500+"))))))))</f>
        <v/>
      </c>
      <c r="P6729" s="16" t="inlineStr">
        <is>
          <t>Нет совпадения в предоставленной выгрузке ССЧР</t>
        </is>
      </c>
      <c r="Q6729" s="16" t="n"/>
      <c r="R6729" s="16">
        <f>HYPERLINK("https://checko.ru/search?query=3801001629","Чекко: проверить")</f>
        <v/>
      </c>
      <c r="S6729" t="n">
        <v>0</v>
      </c>
    </row>
    <row r="6730" ht="15" customHeight="1" s="24">
      <c r="A6730" s="13" t="inlineStr">
        <is>
          <t>FR1232020</t>
        </is>
      </c>
      <c r="B6730" s="13" t="inlineStr">
        <is>
          <t>ИП Налунина Светлана Андреевна</t>
        </is>
      </c>
      <c r="C6730" s="13" t="n">
        <v>381114183013</v>
      </c>
      <c r="D6730" s="13" t="inlineStr">
        <is>
          <t>381114183013</t>
        </is>
      </c>
      <c r="E6730" s="13" t="inlineStr">
        <is>
          <t>ИП РФ / физлицо</t>
        </is>
      </c>
      <c r="F6730" s="13" t="n"/>
      <c r="G6730" s="14" t="n"/>
      <c r="H6730" s="14" t="n"/>
      <c r="I6730" s="14" t="n"/>
      <c r="J6730" s="14" t="n"/>
      <c r="K6730" s="53" t="inlineStr"/>
      <c r="L6730" s="53" t="inlineStr">
        <is>
          <t>Не определено</t>
        </is>
      </c>
      <c r="M6730" s="53" t="inlineStr"/>
      <c r="N6730" s="54" t="inlineStr"/>
      <c r="O6730" s="55" t="inlineStr"/>
      <c r="P6730" s="16" t="inlineStr">
        <is>
          <t>Требует обогащения</t>
        </is>
      </c>
      <c r="Q6730" s="16">
        <f>HYPERLINK("https://pb.nalog.ru/search.html?query=381114183013","ФНС: проверить")</f>
        <v/>
      </c>
      <c r="R6730" s="16">
        <f>HYPERLINK("https://checko.ru/search?query=3801001629","Чекко: проверить")</f>
        <v/>
      </c>
      <c r="S6730" t="n">
        <v>1</v>
      </c>
      <c r="T6730" s="35" t="inlineStr">
        <is>
          <t>4 — Не обогащён</t>
        </is>
      </c>
      <c r="U6730" s="35" t="inlineStr">
        <is>
          <t>Нет ОКВЭД/ССЧР</t>
        </is>
      </c>
      <c r="V6730" s="35" t="inlineStr">
        <is>
          <t>Не определено</t>
        </is>
      </c>
      <c r="W6730" s="35" t="inlineStr"/>
      <c r="X6730" s="35" t="inlineStr"/>
    </row>
    <row r="6731" ht="27.75" customHeight="1" s="24">
      <c r="A6731" s="13" t="inlineStr">
        <is>
          <t>FR1247828</t>
        </is>
      </c>
      <c r="B6731" s="13" t="inlineStr">
        <is>
          <t>Общество с ограниченной ответственностью "СПЕКТР"</t>
        </is>
      </c>
      <c r="C6731" s="13" t="n">
        <v>3808294406</v>
      </c>
      <c r="D6731" s="13" t="inlineStr">
        <is>
          <t>3808294406</t>
        </is>
      </c>
      <c r="E6731" s="13" t="inlineStr">
        <is>
          <t>ЮЛ РФ</t>
        </is>
      </c>
      <c r="F6731" s="13" t="n"/>
      <c r="G6731" s="52" t="n">
        <v>1</v>
      </c>
      <c r="H6731" s="52" t="n">
        <v>2025</v>
      </c>
      <c r="I6731" s="14" t="n"/>
      <c r="J6731" s="14" t="n"/>
      <c r="K6731" s="53" t="inlineStr">
        <is>
          <t>Нет</t>
        </is>
      </c>
      <c r="L6731" s="53" t="inlineStr">
        <is>
          <t>Не определено</t>
        </is>
      </c>
      <c r="M6731" s="53" t="inlineStr">
        <is>
          <t>До 10</t>
        </is>
      </c>
      <c r="N6731" s="54" t="n">
        <v>3360</v>
      </c>
      <c r="O6731" s="55" t="inlineStr">
        <is>
          <t>1–15</t>
        </is>
      </c>
      <c r="P6731" s="16" t="inlineStr">
        <is>
          <t>ССЧР обогащена; ОКВЭД не найден/не загружен</t>
        </is>
      </c>
      <c r="Q6731" s="16" t="inlineStr">
        <is>
          <t>ФНС открытые данные ССЧР (ДатаСост 31.12.2025; набор 7707329152-sshr2019)</t>
        </is>
      </c>
      <c r="R6731" s="16">
        <f>HYPERLINK("https://checko.ru/search?query=3801001629","Чекко: проверить")</f>
        <v/>
      </c>
      <c r="S6731" t="n">
        <v>1</v>
      </c>
      <c r="T6731" s="35" t="inlineStr">
        <is>
          <t>4 — Не обогащён</t>
        </is>
      </c>
      <c r="U6731" s="35" t="inlineStr">
        <is>
          <t>Нет ОКВЭД/ССЧР</t>
        </is>
      </c>
      <c r="V6731" s="35" t="inlineStr">
        <is>
          <t>Не определено</t>
        </is>
      </c>
      <c r="W6731" s="35" t="inlineStr">
        <is>
          <t>Нет</t>
        </is>
      </c>
      <c r="X6731" s="35" t="inlineStr"/>
    </row>
    <row r="6732" ht="15" customHeight="1" s="24">
      <c r="A6732" s="13" t="inlineStr">
        <is>
          <t>FR289046</t>
        </is>
      </c>
      <c r="B6732" s="13" t="inlineStr">
        <is>
          <t>ИП Мухамадиева Асия Рафгатовна</t>
        </is>
      </c>
      <c r="C6732" s="13" t="n">
        <v>505200103285</v>
      </c>
      <c r="D6732" s="13" t="inlineStr">
        <is>
          <t>505200103285</t>
        </is>
      </c>
      <c r="E6732" s="13" t="inlineStr">
        <is>
          <t>ИП РФ / физлицо</t>
        </is>
      </c>
      <c r="F6732" s="13" t="n"/>
      <c r="G6732" s="14" t="n"/>
      <c r="H6732" s="14" t="n"/>
      <c r="I6732" s="14" t="n"/>
      <c r="J6732" s="14" t="n"/>
      <c r="K6732" s="53" t="inlineStr"/>
      <c r="L6732" s="53" t="inlineStr">
        <is>
          <t>Не определено</t>
        </is>
      </c>
      <c r="M6732" s="53" t="inlineStr"/>
      <c r="N6732" s="54" t="inlineStr"/>
      <c r="O6732" s="55" t="inlineStr"/>
      <c r="P6732" s="16" t="inlineStr">
        <is>
          <t>Требует обогащения</t>
        </is>
      </c>
      <c r="Q6732" s="16">
        <f>HYPERLINK("https://pb.nalog.ru/search.html?query=505200103285","ФНС: проверить")</f>
        <v/>
      </c>
      <c r="R6732" s="16">
        <f>HYPERLINK("https://checko.ru/search?query=3801001629","Чекко: проверить")</f>
        <v/>
      </c>
      <c r="S6732" t="n">
        <v>1</v>
      </c>
      <c r="T6732" s="35" t="inlineStr">
        <is>
          <t>4 — Не обогащён</t>
        </is>
      </c>
      <c r="U6732" s="35" t="inlineStr">
        <is>
          <t>Нет ОКВЭД/ССЧР</t>
        </is>
      </c>
      <c r="V6732" s="35" t="inlineStr">
        <is>
          <t>Не определено</t>
        </is>
      </c>
      <c r="W6732" s="35" t="inlineStr"/>
      <c r="X6732" s="35" t="inlineStr"/>
    </row>
    <row r="6733" ht="15" customHeight="1" s="24">
      <c r="A6733" s="13" t="inlineStr">
        <is>
          <t>FR554866</t>
        </is>
      </c>
      <c r="B6733" s="13" t="inlineStr">
        <is>
          <t>ИП Мартынова Наталья Геннадьевна</t>
        </is>
      </c>
      <c r="C6733" s="13" t="n">
        <v>381208150623</v>
      </c>
      <c r="D6733" s="13" t="inlineStr">
        <is>
          <t>381208150623</t>
        </is>
      </c>
      <c r="E6733" s="13" t="inlineStr">
        <is>
          <t>ИП РФ / физлицо</t>
        </is>
      </c>
      <c r="F6733" s="13" t="n"/>
      <c r="G6733" s="14" t="n"/>
      <c r="H6733" s="14" t="n"/>
      <c r="I6733" s="14" t="n"/>
      <c r="J6733" s="14" t="n"/>
      <c r="K6733" s="53" t="inlineStr"/>
      <c r="L6733" s="53" t="inlineStr">
        <is>
          <t>Не определено</t>
        </is>
      </c>
      <c r="M6733" s="53" t="inlineStr"/>
      <c r="N6733" s="54" t="inlineStr"/>
      <c r="O6733" s="55" t="inlineStr"/>
      <c r="P6733" s="16" t="inlineStr">
        <is>
          <t>Требует обогащения</t>
        </is>
      </c>
      <c r="Q6733" s="16">
        <f>HYPERLINK("https://pb.nalog.ru/search.html?query=381208150623","ФНС: проверить")</f>
        <v/>
      </c>
      <c r="R6733" s="16">
        <f>HYPERLINK("https://checko.ru/search?query=3801001629","Чекко: проверить")</f>
        <v/>
      </c>
      <c r="S6733" t="n">
        <v>1</v>
      </c>
      <c r="T6733" s="35" t="inlineStr">
        <is>
          <t>4 — Не обогащён</t>
        </is>
      </c>
      <c r="U6733" s="35" t="inlineStr">
        <is>
          <t>Нет ОКВЭД/ССЧР</t>
        </is>
      </c>
      <c r="V6733" s="35" t="inlineStr">
        <is>
          <t>Не определено</t>
        </is>
      </c>
      <c r="W6733" s="35" t="inlineStr"/>
      <c r="X6733" s="35" t="inlineStr"/>
    </row>
    <row r="6734" ht="27.75" customHeight="1" s="24">
      <c r="A6734" s="13" t="inlineStr">
        <is>
          <t>FR853617</t>
        </is>
      </c>
      <c r="B6734" s="13" t="inlineStr">
        <is>
          <t>Красноярская краевая организация профсоюза работников связи</t>
        </is>
      </c>
      <c r="C6734" s="13" t="n">
        <v>2466001500</v>
      </c>
      <c r="D6734" s="13" t="inlineStr">
        <is>
          <t>2466001500</t>
        </is>
      </c>
      <c r="E6734" s="13" t="inlineStr">
        <is>
          <t>ЮЛ РФ</t>
        </is>
      </c>
      <c r="F6734" s="13" t="n"/>
      <c r="G6734" s="14" t="n"/>
      <c r="H6734" s="14" t="n"/>
      <c r="I6734" s="14" t="n"/>
      <c r="J6734" s="14" t="n"/>
      <c r="K6734" s="53" t="inlineStr"/>
      <c r="L6734" s="53" t="inlineStr">
        <is>
          <t>Не определено</t>
        </is>
      </c>
      <c r="M6734" s="53" t="inlineStr"/>
      <c r="N6734" s="54" t="inlineStr"/>
      <c r="O6734" s="55" t="inlineStr"/>
      <c r="P6734" s="16" t="inlineStr">
        <is>
          <t>Требует обогащения</t>
        </is>
      </c>
      <c r="Q6734" s="16">
        <f>HYPERLINK("https://pb.nalog.ru/search.html?query=2466001500","ФНС: проверить")</f>
        <v/>
      </c>
      <c r="R6734" s="16">
        <f>HYPERLINK("https://checko.ru/search?query=3801001629","Чекко: проверить")</f>
        <v/>
      </c>
      <c r="S6734" t="n">
        <v>1</v>
      </c>
      <c r="T6734" s="35" t="inlineStr">
        <is>
          <t>4 — Не обогащён</t>
        </is>
      </c>
      <c r="U6734" s="35" t="inlineStr">
        <is>
          <t>Нет ОКВЭД/ССЧР</t>
        </is>
      </c>
      <c r="V6734" s="35" t="inlineStr">
        <is>
          <t>Не определено</t>
        </is>
      </c>
      <c r="W6734" s="35" t="inlineStr"/>
      <c r="X6734" s="35" t="inlineStr"/>
    </row>
    <row r="6735" ht="27.75" customHeight="1" s="24">
      <c r="A6735" s="13" t="inlineStr">
        <is>
          <t>FR856053</t>
        </is>
      </c>
      <c r="B6735" s="13" t="inlineStr">
        <is>
          <t>Общество с ограниченной ответственностью "ТРАНС-СИБИРЬ"</t>
        </is>
      </c>
      <c r="C6735" s="13" t="n">
        <v>3818048537</v>
      </c>
      <c r="D6735" s="13" t="inlineStr">
        <is>
          <t>3818048537</t>
        </is>
      </c>
      <c r="E6735" s="13" t="inlineStr">
        <is>
          <t>ЮЛ РФ</t>
        </is>
      </c>
      <c r="F6735" s="13" t="n"/>
      <c r="G6735" s="52" t="n">
        <v>19</v>
      </c>
      <c r="H6735" s="52" t="n">
        <v>2025</v>
      </c>
      <c r="I6735" s="14" t="n"/>
      <c r="J6735" s="14" t="n"/>
      <c r="K6735" s="53" t="inlineStr">
        <is>
          <t>Нет</t>
        </is>
      </c>
      <c r="L6735" s="53" t="inlineStr">
        <is>
          <t>Не определено</t>
        </is>
      </c>
      <c r="M6735" s="53" t="inlineStr">
        <is>
          <t>До 25</t>
        </is>
      </c>
      <c r="N6735" s="54" t="n">
        <v>8400</v>
      </c>
      <c r="O6735" s="55" t="inlineStr">
        <is>
          <t>16–30</t>
        </is>
      </c>
      <c r="P6735" s="16" t="inlineStr">
        <is>
          <t>ССЧР обогащена; ОКВЭД не найден/не загружен</t>
        </is>
      </c>
      <c r="Q6735" s="16" t="inlineStr">
        <is>
          <t>ФНС открытые данные ССЧР (ДатаСост 31.12.2025; набор 7707329152-sshr2019)</t>
        </is>
      </c>
      <c r="R6735" s="16">
        <f>HYPERLINK("https://checko.ru/search?query=3801001629","Чекко: проверить")</f>
        <v/>
      </c>
      <c r="S6735" t="n">
        <v>1</v>
      </c>
      <c r="T6735" s="35" t="inlineStr">
        <is>
          <t>4 — Не обогащён</t>
        </is>
      </c>
      <c r="U6735" s="35" t="inlineStr">
        <is>
          <t>Нет ОКВЭД/ССЧР</t>
        </is>
      </c>
      <c r="V6735" s="35" t="inlineStr">
        <is>
          <t>Не определено</t>
        </is>
      </c>
      <c r="W6735" s="35" t="inlineStr">
        <is>
          <t>Нет</t>
        </is>
      </c>
      <c r="X6735" s="35" t="inlineStr"/>
    </row>
    <row r="6736" ht="15" customHeight="1" s="24">
      <c r="A6736" s="13" t="inlineStr">
        <is>
          <t>FR1234447</t>
        </is>
      </c>
      <c r="B6736" s="13" t="inlineStr">
        <is>
          <t>ИП Кравчук Ирина Михайловна</t>
        </is>
      </c>
      <c r="C6736" s="13" t="n">
        <v>771901033695</v>
      </c>
      <c r="D6736" s="13" t="inlineStr">
        <is>
          <t>771901033695</t>
        </is>
      </c>
      <c r="E6736" s="13" t="inlineStr">
        <is>
          <t>ИП РФ / физлицо</t>
        </is>
      </c>
      <c r="F6736" s="13" t="n"/>
      <c r="G6736" s="14" t="n"/>
      <c r="H6736" s="14" t="n"/>
      <c r="I6736" s="14" t="n"/>
      <c r="J6736" s="14" t="n"/>
      <c r="K6736" s="53" t="inlineStr"/>
      <c r="L6736" s="53" t="inlineStr">
        <is>
          <t>Не определено</t>
        </is>
      </c>
      <c r="M6736" s="53" t="inlineStr"/>
      <c r="N6736" s="54" t="inlineStr"/>
      <c r="O6736" s="55" t="inlineStr"/>
      <c r="P6736" s="16" t="inlineStr">
        <is>
          <t>Требует обогащения</t>
        </is>
      </c>
      <c r="Q6736" s="16">
        <f>HYPERLINK("https://pb.nalog.ru/search.html?query=771901033695","ФНС: проверить")</f>
        <v/>
      </c>
      <c r="R6736" s="16">
        <f>HYPERLINK("https://checko.ru/search?query=3801001629","Чекко: проверить")</f>
        <v/>
      </c>
      <c r="S6736" t="n">
        <v>1</v>
      </c>
      <c r="T6736" s="35" t="inlineStr">
        <is>
          <t>4 — Не обогащён</t>
        </is>
      </c>
      <c r="U6736" s="35" t="inlineStr">
        <is>
          <t>Нет ОКВЭД/ССЧР</t>
        </is>
      </c>
      <c r="V6736" s="35" t="inlineStr">
        <is>
          <t>Не определено</t>
        </is>
      </c>
      <c r="W6736" s="35" t="inlineStr"/>
      <c r="X6736" s="35" t="inlineStr"/>
    </row>
    <row r="6737" ht="15" customHeight="1" s="24">
      <c r="A6737" s="13" t="inlineStr">
        <is>
          <t>FR1047123</t>
        </is>
      </c>
      <c r="B6737" s="13" t="inlineStr">
        <is>
          <t>Королева Анна Владимировна</t>
        </is>
      </c>
      <c r="C6737" s="13" t="n">
        <v>381452196328</v>
      </c>
      <c r="D6737" s="13" t="inlineStr">
        <is>
          <t>381452196328</t>
        </is>
      </c>
      <c r="E6737" s="13" t="inlineStr">
        <is>
          <t>ИП РФ / физлицо</t>
        </is>
      </c>
      <c r="F6737" s="13" t="n"/>
      <c r="G6737" s="14" t="n"/>
      <c r="H6737" s="14" t="n"/>
      <c r="I6737" s="14" t="n"/>
      <c r="J6737" s="14" t="n"/>
      <c r="K6737" s="53" t="inlineStr"/>
      <c r="L6737" s="53" t="inlineStr">
        <is>
          <t>Не определено</t>
        </is>
      </c>
      <c r="M6737" s="53" t="inlineStr"/>
      <c r="N6737" s="54" t="inlineStr"/>
      <c r="O6737" s="55" t="inlineStr"/>
      <c r="P6737" s="16" t="inlineStr">
        <is>
          <t>Требует обогащения</t>
        </is>
      </c>
      <c r="Q6737" s="16">
        <f>HYPERLINK("https://pb.nalog.ru/search.html?query=381452196328","ФНС: проверить")</f>
        <v/>
      </c>
      <c r="R6737" s="16">
        <f>HYPERLINK("https://checko.ru/search?query=3801001629","Чекко: проверить")</f>
        <v/>
      </c>
      <c r="S6737" t="n">
        <v>1</v>
      </c>
      <c r="T6737" s="35" t="inlineStr">
        <is>
          <t>4 — Не обогащён</t>
        </is>
      </c>
      <c r="U6737" s="35" t="inlineStr">
        <is>
          <t>Нет ОКВЭД/ССЧР</t>
        </is>
      </c>
      <c r="V6737" s="35" t="inlineStr">
        <is>
          <t>Не определено</t>
        </is>
      </c>
      <c r="W6737" s="35" t="inlineStr"/>
      <c r="X6737" s="35" t="inlineStr"/>
    </row>
    <row r="6738" ht="27.75" customHeight="1" s="24">
      <c r="A6738" s="13" t="inlineStr">
        <is>
          <t>FR1234552</t>
        </is>
      </c>
      <c r="B6738" s="13" t="inlineStr">
        <is>
          <t>Общество с ограниченной ответственностью "НОВЫЙБАЙКАЛ"</t>
        </is>
      </c>
      <c r="C6738" s="13" t="n">
        <v>3812159801</v>
      </c>
      <c r="D6738" s="13" t="inlineStr">
        <is>
          <t>3812159801</t>
        </is>
      </c>
      <c r="E6738" s="13" t="inlineStr">
        <is>
          <t>ЮЛ РФ</t>
        </is>
      </c>
      <c r="F6738" s="13" t="n"/>
      <c r="G6738" s="52" t="n">
        <v>8</v>
      </c>
      <c r="H6738" s="52" t="n">
        <v>2025</v>
      </c>
      <c r="I6738" s="14" t="n"/>
      <c r="J6738" s="14" t="n"/>
      <c r="K6738" s="53" t="inlineStr">
        <is>
          <t>Нет</t>
        </is>
      </c>
      <c r="L6738" s="53" t="inlineStr">
        <is>
          <t>Не определено</t>
        </is>
      </c>
      <c r="M6738" s="53" t="inlineStr">
        <is>
          <t>До 10</t>
        </is>
      </c>
      <c r="N6738" s="54" t="n">
        <v>3360</v>
      </c>
      <c r="O6738" s="55" t="inlineStr">
        <is>
          <t>1–15</t>
        </is>
      </c>
      <c r="P6738" s="16" t="inlineStr">
        <is>
          <t>ССЧР обогащена; ОКВЭД не найден/не загружен</t>
        </is>
      </c>
      <c r="Q6738" s="16" t="inlineStr">
        <is>
          <t>ФНС открытые данные ССЧР (ДатаСост 31.12.2025; набор 7707329152-sshr2019)</t>
        </is>
      </c>
      <c r="R6738" s="16">
        <f>HYPERLINK("https://checko.ru/search?query=3801001629","Чекко: проверить")</f>
        <v/>
      </c>
      <c r="S6738" t="n">
        <v>1</v>
      </c>
      <c r="T6738" s="35" t="inlineStr">
        <is>
          <t>4 — Не обогащён</t>
        </is>
      </c>
      <c r="U6738" s="35" t="inlineStr">
        <is>
          <t>Нет ОКВЭД/ССЧР</t>
        </is>
      </c>
      <c r="V6738" s="35" t="inlineStr">
        <is>
          <t>Не определено</t>
        </is>
      </c>
      <c r="W6738" s="35" t="inlineStr">
        <is>
          <t>Нет</t>
        </is>
      </c>
      <c r="X6738" s="35" t="inlineStr"/>
    </row>
    <row r="6739" ht="15" customHeight="1" s="24">
      <c r="A6739" s="13" t="inlineStr">
        <is>
          <t>FR292850</t>
        </is>
      </c>
      <c r="B6739" s="13" t="inlineStr">
        <is>
          <t>ИП Крокошев Александр Александрович</t>
        </is>
      </c>
      <c r="C6739" s="13" t="n">
        <v>381005594454</v>
      </c>
      <c r="D6739" s="13" t="inlineStr">
        <is>
          <t>381005594454</t>
        </is>
      </c>
      <c r="E6739" s="13" t="inlineStr">
        <is>
          <t>ИП РФ / физлицо</t>
        </is>
      </c>
      <c r="F6739" s="13" t="n"/>
      <c r="G6739" s="14" t="n"/>
      <c r="H6739" s="14" t="n"/>
      <c r="I6739" s="14" t="n"/>
      <c r="J6739" s="14" t="n"/>
      <c r="K6739" s="53" t="inlineStr"/>
      <c r="L6739" s="53" t="inlineStr">
        <is>
          <t>Не определено</t>
        </is>
      </c>
      <c r="M6739" s="53" t="inlineStr"/>
      <c r="N6739" s="54" t="inlineStr"/>
      <c r="O6739" s="55" t="inlineStr"/>
      <c r="P6739" s="16" t="inlineStr">
        <is>
          <t>Требует обогащения</t>
        </is>
      </c>
      <c r="Q6739" s="16">
        <f>HYPERLINK("https://pb.nalog.ru/search.html?query=381005594454","ФНС: проверить")</f>
        <v/>
      </c>
      <c r="R6739" s="16">
        <f>HYPERLINK("https://checko.ru/search?query=3801001629","Чекко: проверить")</f>
        <v/>
      </c>
      <c r="S6739" t="n">
        <v>1</v>
      </c>
      <c r="T6739" s="35" t="inlineStr">
        <is>
          <t>4 — Не обогащён</t>
        </is>
      </c>
      <c r="U6739" s="35" t="inlineStr">
        <is>
          <t>Нет ОКВЭД/ССЧР</t>
        </is>
      </c>
      <c r="V6739" s="35" t="inlineStr">
        <is>
          <t>Не определено</t>
        </is>
      </c>
      <c r="W6739" s="35" t="inlineStr"/>
      <c r="X6739" s="35" t="inlineStr"/>
    </row>
    <row r="6740" ht="41.25" customHeight="1" s="24">
      <c r="A6740" s="13" t="inlineStr">
        <is>
          <t>FR551080</t>
        </is>
      </c>
      <c r="B6740" s="13" t="inlineStr">
        <is>
          <t>СЕЛЬСКОХОЗЯЙСТВЕННЫЙ СНАБЖЕНЧЕСКО-СБЫТОВОЙ ПЕРЕРАБАТЫВАЮЩИЙ ПОТРЕБИТЕЛЬСКИЙ КООПЕРАТИВ "НИКА"</t>
        </is>
      </c>
      <c r="C6740" s="13" t="n">
        <v>3849007788</v>
      </c>
      <c r="D6740" s="13" t="inlineStr">
        <is>
          <t>3849007788</t>
        </is>
      </c>
      <c r="E6740" s="13" t="inlineStr">
        <is>
          <t>ЮЛ РФ</t>
        </is>
      </c>
      <c r="F6740" s="13" t="n"/>
      <c r="G6740" s="14" t="n"/>
      <c r="H6740" s="14" t="n"/>
      <c r="I6740" s="14" t="n"/>
      <c r="J6740" s="14" t="n"/>
      <c r="K6740" s="53" t="inlineStr"/>
      <c r="L6740" s="53" t="inlineStr">
        <is>
          <t>Не определено</t>
        </is>
      </c>
      <c r="M6740" s="53" t="inlineStr"/>
      <c r="N6740" s="54" t="inlineStr"/>
      <c r="O6740" s="55" t="inlineStr"/>
      <c r="P6740" s="16" t="inlineStr">
        <is>
          <t>Требует обогащения</t>
        </is>
      </c>
      <c r="Q6740" s="16">
        <f>HYPERLINK("https://pb.nalog.ru/search.html?query=3849007788","ФНС: проверить")</f>
        <v/>
      </c>
      <c r="R6740" s="16">
        <f>HYPERLINK("https://checko.ru/search?query=3801001629","Чекко: проверить")</f>
        <v/>
      </c>
      <c r="S6740" t="n">
        <v>1</v>
      </c>
      <c r="T6740" s="35" t="inlineStr">
        <is>
          <t>4 — Не обогащён</t>
        </is>
      </c>
      <c r="U6740" s="35" t="inlineStr">
        <is>
          <t>Нет ОКВЭД/ССЧР</t>
        </is>
      </c>
      <c r="V6740" s="35" t="inlineStr">
        <is>
          <t>Не определено</t>
        </is>
      </c>
      <c r="W6740" s="35" t="inlineStr"/>
      <c r="X6740" s="35" t="inlineStr"/>
    </row>
    <row r="6741" ht="15" customHeight="1" s="24">
      <c r="A6741" s="13" t="inlineStr">
        <is>
          <t>FR553797</t>
        </is>
      </c>
      <c r="B6741" s="13" t="inlineStr">
        <is>
          <t>ООО "ПУТЬСЕРВИС М"</t>
        </is>
      </c>
      <c r="C6741" s="13" t="n">
        <v>3818047854</v>
      </c>
      <c r="D6741" s="13" t="inlineStr">
        <is>
          <t>3818047854</t>
        </is>
      </c>
      <c r="E6741" s="13" t="inlineStr">
        <is>
          <t>ЮЛ РФ</t>
        </is>
      </c>
      <c r="F6741" s="13" t="n"/>
      <c r="G6741" s="52" t="n">
        <v>12</v>
      </c>
      <c r="H6741" s="52" t="n">
        <v>2025</v>
      </c>
      <c r="I6741" s="14" t="n"/>
      <c r="J6741" s="14" t="n"/>
      <c r="K6741" s="53" t="inlineStr">
        <is>
          <t>Нет</t>
        </is>
      </c>
      <c r="L6741" s="53" t="inlineStr">
        <is>
          <t>Не определено</t>
        </is>
      </c>
      <c r="M6741" s="53" t="inlineStr">
        <is>
          <t>До 25</t>
        </is>
      </c>
      <c r="N6741" s="54" t="n">
        <v>8400</v>
      </c>
      <c r="O6741" s="55" t="inlineStr">
        <is>
          <t>1–15</t>
        </is>
      </c>
      <c r="P6741" s="16" t="inlineStr">
        <is>
          <t>ССЧР обогащена; ОКВЭД не найден/не загружен</t>
        </is>
      </c>
      <c r="Q6741" s="16" t="inlineStr">
        <is>
          <t>ФНС открытые данные ССЧР (ДатаСост 31.12.2025; набор 7707329152-sshr2019)</t>
        </is>
      </c>
      <c r="R6741" s="16">
        <f>HYPERLINK("https://checko.ru/search?query=3801001629","Чекко: проверить")</f>
        <v/>
      </c>
      <c r="S6741" t="n">
        <v>1</v>
      </c>
      <c r="T6741" s="35" t="inlineStr">
        <is>
          <t>4 — Не обогащён</t>
        </is>
      </c>
      <c r="U6741" s="35" t="inlineStr">
        <is>
          <t>Нет ОКВЭД/ССЧР</t>
        </is>
      </c>
      <c r="V6741" s="35" t="inlineStr">
        <is>
          <t>Не определено</t>
        </is>
      </c>
      <c r="W6741" s="35" t="inlineStr">
        <is>
          <t>Нет</t>
        </is>
      </c>
      <c r="X6741" s="35" t="inlineStr"/>
    </row>
    <row r="6742" ht="41.25" customHeight="1" s="24">
      <c r="A6742" s="13" t="inlineStr">
        <is>
          <t>FR410871</t>
        </is>
      </c>
      <c r="B6742" s="13" t="inlineStr">
        <is>
          <t>ОБЩЕСТВО С ОГРАНИЧЕННОЙ ОТВЕТСТВЕННОСТЬЮ ОХРАННОЕ АГЕНТСТВО "РАДИАН"</t>
        </is>
      </c>
      <c r="C6742" s="13" t="n">
        <v>3810084981</v>
      </c>
      <c r="D6742" s="13" t="inlineStr">
        <is>
          <t>3810084981</t>
        </is>
      </c>
      <c r="E6742" s="13" t="inlineStr">
        <is>
          <t>ЮЛ РФ</t>
        </is>
      </c>
      <c r="F6742" s="13" t="n"/>
      <c r="G6742" s="52" t="n">
        <v>16</v>
      </c>
      <c r="H6742" s="52" t="n">
        <v>2025</v>
      </c>
      <c r="I6742" s="14" t="n"/>
      <c r="J6742" s="14" t="n"/>
      <c r="K6742" s="53" t="inlineStr">
        <is>
          <t>Нет</t>
        </is>
      </c>
      <c r="L6742" s="53" t="inlineStr">
        <is>
          <t>Не определено</t>
        </is>
      </c>
      <c r="M6742" s="53" t="inlineStr">
        <is>
          <t>До 25</t>
        </is>
      </c>
      <c r="N6742" s="54" t="n">
        <v>8400</v>
      </c>
      <c r="O6742" s="55" t="inlineStr">
        <is>
          <t>16–30</t>
        </is>
      </c>
      <c r="P6742" s="16" t="inlineStr">
        <is>
          <t>ССЧР обогащена; ОКВЭД не найден/не загружен</t>
        </is>
      </c>
      <c r="Q6742" s="16" t="inlineStr">
        <is>
          <t>ФНС открытые данные ССЧР (ДатаСост 31.12.2025; набор 7707329152-sshr2019)</t>
        </is>
      </c>
      <c r="R6742" s="16">
        <f>HYPERLINK("https://checko.ru/search?query=3801001629","Чекко: проверить")</f>
        <v/>
      </c>
      <c r="S6742" t="n">
        <v>1</v>
      </c>
      <c r="T6742" s="35" t="inlineStr">
        <is>
          <t>4 — Не обогащён</t>
        </is>
      </c>
      <c r="U6742" s="35" t="inlineStr">
        <is>
          <t>Нет ОКВЭД/ССЧР</t>
        </is>
      </c>
      <c r="V6742" s="35" t="inlineStr">
        <is>
          <t>Не определено</t>
        </is>
      </c>
      <c r="W6742" s="35" t="inlineStr">
        <is>
          <t>Нет</t>
        </is>
      </c>
      <c r="X6742" s="35" t="inlineStr"/>
    </row>
    <row r="6743" ht="27.75" customHeight="1" s="24">
      <c r="A6743" s="13" t="inlineStr">
        <is>
          <t>FR1035114</t>
        </is>
      </c>
      <c r="B6743" s="13" t="inlineStr">
        <is>
          <t>Общество с ограниченной ответственностью "СИЛА СИБИРИ"</t>
        </is>
      </c>
      <c r="C6743" s="13" t="n">
        <v>3849092945</v>
      </c>
      <c r="D6743" s="13" t="inlineStr">
        <is>
          <t>3849092945</t>
        </is>
      </c>
      <c r="E6743" s="13" t="inlineStr">
        <is>
          <t>ЮЛ РФ</t>
        </is>
      </c>
      <c r="F6743" s="13" t="n"/>
      <c r="G6743" s="52" t="n">
        <v>2</v>
      </c>
      <c r="H6743" s="52" t="n">
        <v>2025</v>
      </c>
      <c r="I6743" s="14" t="n"/>
      <c r="J6743" s="14" t="n"/>
      <c r="K6743" s="53" t="inlineStr">
        <is>
          <t>Нет</t>
        </is>
      </c>
      <c r="L6743" s="53" t="inlineStr">
        <is>
          <t>Не определено</t>
        </is>
      </c>
      <c r="M6743" s="53" t="inlineStr">
        <is>
          <t>До 10</t>
        </is>
      </c>
      <c r="N6743" s="54" t="n">
        <v>3360</v>
      </c>
      <c r="O6743" s="55" t="inlineStr">
        <is>
          <t>1–15</t>
        </is>
      </c>
      <c r="P6743" s="16" t="inlineStr">
        <is>
          <t>ССЧР обогащена; ОКВЭД не найден/не загружен</t>
        </is>
      </c>
      <c r="Q6743" s="16" t="inlineStr">
        <is>
          <t>ФНС открытые данные ССЧР (ДатаСост 31.12.2025; набор 7707329152-sshr2019)</t>
        </is>
      </c>
      <c r="R6743" s="16">
        <f>HYPERLINK("https://checko.ru/search?query=3801001629","Чекко: проверить")</f>
        <v/>
      </c>
      <c r="S6743" t="n">
        <v>1</v>
      </c>
      <c r="T6743" s="35" t="inlineStr">
        <is>
          <t>4 — Не обогащён</t>
        </is>
      </c>
      <c r="U6743" s="35" t="inlineStr">
        <is>
          <t>Нет ОКВЭД/ССЧР</t>
        </is>
      </c>
      <c r="V6743" s="35" t="inlineStr">
        <is>
          <t>Не определено</t>
        </is>
      </c>
      <c r="W6743" s="35" t="inlineStr">
        <is>
          <t>Нет</t>
        </is>
      </c>
      <c r="X6743" s="35" t="inlineStr"/>
    </row>
    <row r="6744" ht="15" customHeight="1" s="24">
      <c r="A6744" s="13" t="inlineStr">
        <is>
          <t>FR1044615</t>
        </is>
      </c>
      <c r="B6744" s="13" t="inlineStr">
        <is>
          <t>НП СРОСБР</t>
        </is>
      </c>
      <c r="C6744" s="13" t="n">
        <v>3811126176</v>
      </c>
      <c r="D6744" s="13" t="inlineStr">
        <is>
          <t>3811126176</t>
        </is>
      </c>
      <c r="E6744" s="13" t="inlineStr">
        <is>
          <t>ЮЛ РФ</t>
        </is>
      </c>
      <c r="F6744" s="13" t="n"/>
      <c r="G6744" s="14" t="n"/>
      <c r="H6744" s="14" t="n"/>
      <c r="I6744" s="14" t="n"/>
      <c r="J6744" s="14" t="n"/>
      <c r="K6744" s="53" t="inlineStr"/>
      <c r="L6744" s="53" t="inlineStr">
        <is>
          <t>Не определено</t>
        </is>
      </c>
      <c r="M6744" s="53" t="inlineStr"/>
      <c r="N6744" s="54" t="inlineStr"/>
      <c r="O6744" s="55" t="inlineStr"/>
      <c r="P6744" s="16" t="inlineStr">
        <is>
          <t>Требует обогащения</t>
        </is>
      </c>
      <c r="Q6744" s="16">
        <f>HYPERLINK("https://pb.nalog.ru/search.html?query=3811126176","ФНС: проверить")</f>
        <v/>
      </c>
      <c r="R6744" s="16">
        <f>HYPERLINK("https://checko.ru/search?query=3801001629","Чекко: проверить")</f>
        <v/>
      </c>
      <c r="S6744" t="n">
        <v>1</v>
      </c>
      <c r="T6744" s="35" t="inlineStr">
        <is>
          <t>4 — Не обогащён</t>
        </is>
      </c>
      <c r="U6744" s="35" t="inlineStr">
        <is>
          <t>Нет ОКВЭД/ССЧР</t>
        </is>
      </c>
      <c r="V6744" s="35" t="inlineStr">
        <is>
          <t>Не определено</t>
        </is>
      </c>
      <c r="W6744" s="35" t="inlineStr"/>
      <c r="X6744" s="35" t="inlineStr"/>
    </row>
    <row r="6745" ht="27.75" customHeight="1" s="24">
      <c r="A6745" s="13" t="inlineStr">
        <is>
          <t>FR285370</t>
        </is>
      </c>
      <c r="B6745" s="13" t="inlineStr">
        <is>
          <t>Общество с ограниченной ответственностью "ВАШ ЮРИСТ"</t>
        </is>
      </c>
      <c r="C6745" s="13" t="n">
        <v>1215203002</v>
      </c>
      <c r="D6745" s="13" t="inlineStr">
        <is>
          <t>1215203002</t>
        </is>
      </c>
      <c r="E6745" s="13" t="inlineStr">
        <is>
          <t>ЮЛ РФ</t>
        </is>
      </c>
      <c r="F6745" s="13" t="n"/>
      <c r="G6745" s="52" t="n">
        <v>3</v>
      </c>
      <c r="H6745" s="52" t="n">
        <v>2025</v>
      </c>
      <c r="I6745" s="14" t="n"/>
      <c r="J6745" s="14" t="n"/>
      <c r="K6745" s="53" t="inlineStr">
        <is>
          <t>Нет</t>
        </is>
      </c>
      <c r="L6745" s="53" t="inlineStr">
        <is>
          <t>Не определено</t>
        </is>
      </c>
      <c r="M6745" s="53" t="inlineStr">
        <is>
          <t>До 10</t>
        </is>
      </c>
      <c r="N6745" s="54" t="n">
        <v>3360</v>
      </c>
      <c r="O6745" s="55" t="inlineStr">
        <is>
          <t>1–15</t>
        </is>
      </c>
      <c r="P6745" s="16" t="inlineStr">
        <is>
          <t>ССЧР обогащена; ОКВЭД не найден/не загружен</t>
        </is>
      </c>
      <c r="Q6745" s="16" t="inlineStr">
        <is>
          <t>ФНС открытые данные ССЧР (ДатаСост 31.12.2025; набор 7707329152-sshr2019)</t>
        </is>
      </c>
      <c r="R6745" s="16">
        <f>HYPERLINK("https://checko.ru/search?query=3801001629","Чекко: проверить")</f>
        <v/>
      </c>
      <c r="S6745" t="n">
        <v>1</v>
      </c>
      <c r="T6745" s="35" t="inlineStr">
        <is>
          <t>4 — Не обогащён</t>
        </is>
      </c>
      <c r="U6745" s="35" t="inlineStr">
        <is>
          <t>Нет ОКВЭД/ССЧР</t>
        </is>
      </c>
      <c r="V6745" s="35" t="inlineStr">
        <is>
          <t>Не определено</t>
        </is>
      </c>
      <c r="W6745" s="35" t="inlineStr">
        <is>
          <t>Нет</t>
        </is>
      </c>
      <c r="X6745" s="35" t="inlineStr"/>
    </row>
    <row r="6746" ht="15" customHeight="1" s="24">
      <c r="A6746" s="13" t="inlineStr">
        <is>
          <t>FR704678</t>
        </is>
      </c>
      <c r="B6746" s="13" t="inlineStr">
        <is>
          <t>ООО "БЦСЭ"</t>
        </is>
      </c>
      <c r="C6746" s="13" t="n">
        <v>3804025353</v>
      </c>
      <c r="D6746" s="13" t="inlineStr">
        <is>
          <t>3804025353</t>
        </is>
      </c>
      <c r="E6746" s="13" t="inlineStr">
        <is>
          <t>ЮЛ РФ</t>
        </is>
      </c>
      <c r="F6746" s="13" t="n"/>
      <c r="G6746" s="52" t="n">
        <v>4</v>
      </c>
      <c r="H6746" s="52" t="n">
        <v>2025</v>
      </c>
      <c r="I6746" s="14" t="n"/>
      <c r="J6746" s="14" t="n"/>
      <c r="K6746" s="53" t="inlineStr">
        <is>
          <t>Нет</t>
        </is>
      </c>
      <c r="L6746" s="53" t="inlineStr">
        <is>
          <t>Не определено</t>
        </is>
      </c>
      <c r="M6746" s="53" t="inlineStr">
        <is>
          <t>До 10</t>
        </is>
      </c>
      <c r="N6746" s="54" t="n">
        <v>3360</v>
      </c>
      <c r="O6746" s="55" t="inlineStr">
        <is>
          <t>1–15</t>
        </is>
      </c>
      <c r="P6746" s="16" t="inlineStr">
        <is>
          <t>ССЧР обогащена; ОКВЭД не найден/не загружен</t>
        </is>
      </c>
      <c r="Q6746" s="16" t="inlineStr">
        <is>
          <t>ФНС открытые данные ССЧР (ДатаСост 31.12.2025; набор 7707329152-sshr2019)</t>
        </is>
      </c>
      <c r="R6746" s="16">
        <f>HYPERLINK("https://checko.ru/search?query=3801001629","Чекко: проверить")</f>
        <v/>
      </c>
      <c r="S6746" t="n">
        <v>1</v>
      </c>
      <c r="T6746" s="35" t="inlineStr">
        <is>
          <t>4 — Не обогащён</t>
        </is>
      </c>
      <c r="U6746" s="35" t="inlineStr">
        <is>
          <t>Нет ОКВЭД/ССЧР</t>
        </is>
      </c>
      <c r="V6746" s="35" t="inlineStr">
        <is>
          <t>Не определено</t>
        </is>
      </c>
      <c r="W6746" s="35" t="inlineStr">
        <is>
          <t>Нет</t>
        </is>
      </c>
      <c r="X6746" s="35" t="inlineStr"/>
    </row>
    <row r="6747" ht="15" customHeight="1" s="24">
      <c r="A6747" s="13" t="inlineStr">
        <is>
          <t>FR710868</t>
        </is>
      </c>
      <c r="B6747" s="13" t="inlineStr">
        <is>
          <t>ИП Алиева Саманият Гамзатовна</t>
        </is>
      </c>
      <c r="C6747" s="13" t="n">
        <v>381800172909</v>
      </c>
      <c r="D6747" s="13" t="inlineStr">
        <is>
          <t>381800172909</t>
        </is>
      </c>
      <c r="E6747" s="13" t="inlineStr">
        <is>
          <t>ИП РФ / физлицо</t>
        </is>
      </c>
      <c r="F6747" s="13" t="n"/>
      <c r="G6747" s="14" t="n"/>
      <c r="H6747" s="14" t="n"/>
      <c r="I6747" s="14" t="n"/>
      <c r="J6747" s="14" t="n"/>
      <c r="K6747" s="53" t="inlineStr"/>
      <c r="L6747" s="53" t="inlineStr">
        <is>
          <t>Не определено</t>
        </is>
      </c>
      <c r="M6747" s="53" t="inlineStr"/>
      <c r="N6747" s="54" t="inlineStr"/>
      <c r="O6747" s="55" t="inlineStr"/>
      <c r="P6747" s="16" t="inlineStr">
        <is>
          <t>Требует обогащения</t>
        </is>
      </c>
      <c r="Q6747" s="16">
        <f>HYPERLINK("https://pb.nalog.ru/search.html?query=381800172909","ФНС: проверить")</f>
        <v/>
      </c>
      <c r="R6747" s="16">
        <f>HYPERLINK("https://checko.ru/search?query=3801001629","Чекко: проверить")</f>
        <v/>
      </c>
      <c r="S6747" t="n">
        <v>1</v>
      </c>
      <c r="T6747" s="35" t="inlineStr">
        <is>
          <t>4 — Не обогащён</t>
        </is>
      </c>
      <c r="U6747" s="35" t="inlineStr">
        <is>
          <t>Нет ОКВЭД/ССЧР</t>
        </is>
      </c>
      <c r="V6747" s="35" t="inlineStr">
        <is>
          <t>Не определено</t>
        </is>
      </c>
      <c r="W6747" s="35" t="inlineStr"/>
      <c r="X6747" s="35" t="inlineStr"/>
    </row>
    <row r="6748" ht="27.75" customHeight="1" s="24">
      <c r="A6748" s="13" t="inlineStr">
        <is>
          <t>FR568014</t>
        </is>
      </c>
      <c r="B6748" s="13" t="inlineStr">
        <is>
          <t>ОБЩЕСТВО С ОГРАНИЧЕННОЙ ОТВЕТСТВЕННОСТЬЮ "БЕККЕР ХАУС"</t>
        </is>
      </c>
      <c r="C6748" s="13" t="n">
        <v>5406804139</v>
      </c>
      <c r="D6748" s="13" t="inlineStr">
        <is>
          <t>5406804139</t>
        </is>
      </c>
      <c r="E6748" s="13" t="inlineStr">
        <is>
          <t>ЮЛ РФ</t>
        </is>
      </c>
      <c r="F6748" s="13" t="n"/>
      <c r="G6748" s="52" t="n">
        <v>4</v>
      </c>
      <c r="H6748" s="52" t="n">
        <v>2025</v>
      </c>
      <c r="I6748" s="14" t="n"/>
      <c r="J6748" s="14" t="n"/>
      <c r="K6748" s="53" t="inlineStr">
        <is>
          <t>Нет</t>
        </is>
      </c>
      <c r="L6748" s="53" t="inlineStr">
        <is>
          <t>Не определено</t>
        </is>
      </c>
      <c r="M6748" s="53" t="inlineStr">
        <is>
          <t>До 10</t>
        </is>
      </c>
      <c r="N6748" s="54" t="n">
        <v>3360</v>
      </c>
      <c r="O6748" s="55" t="inlineStr">
        <is>
          <t>1–15</t>
        </is>
      </c>
      <c r="P6748" s="16" t="inlineStr">
        <is>
          <t>ССЧР обогащена; ОКВЭД не найден/не загружен</t>
        </is>
      </c>
      <c r="Q6748" s="16" t="inlineStr">
        <is>
          <t>ФНС открытые данные ССЧР (ДатаСост 31.12.2025; набор 7707329152-sshr2019)</t>
        </is>
      </c>
      <c r="R6748" s="16">
        <f>HYPERLINK("https://checko.ru/search?query=3801001629","Чекко: проверить")</f>
        <v/>
      </c>
      <c r="S6748" t="n">
        <v>1</v>
      </c>
      <c r="T6748" s="35" t="inlineStr">
        <is>
          <t>4 — Не обогащён</t>
        </is>
      </c>
      <c r="U6748" s="35" t="inlineStr">
        <is>
          <t>Нет ОКВЭД/ССЧР</t>
        </is>
      </c>
      <c r="V6748" s="35" t="inlineStr">
        <is>
          <t>Не определено</t>
        </is>
      </c>
      <c r="W6748" s="35" t="inlineStr">
        <is>
          <t>Нет</t>
        </is>
      </c>
      <c r="X6748" s="35" t="inlineStr"/>
    </row>
    <row r="6749" ht="27.75" customHeight="1" s="24">
      <c r="A6749" s="13" t="inlineStr">
        <is>
          <t>FR412502</t>
        </is>
      </c>
      <c r="B6749" s="13" t="inlineStr">
        <is>
          <t>ОБЩЕСТВО С ОГРАНИЧЕННОЙ ОТВЕТСТВЕННОСТЬЮ "ПЕРВАЯ КОМПАНИЯ"</t>
        </is>
      </c>
      <c r="C6749" s="13" t="n">
        <v>7801659750</v>
      </c>
      <c r="D6749" s="13" t="inlineStr">
        <is>
          <t>7801659750</t>
        </is>
      </c>
      <c r="E6749" s="13" t="inlineStr">
        <is>
          <t>ЮЛ РФ</t>
        </is>
      </c>
      <c r="F6749" s="13" t="n"/>
      <c r="G6749" s="52" t="n">
        <v>9</v>
      </c>
      <c r="H6749" s="52" t="n">
        <v>2025</v>
      </c>
      <c r="I6749" s="14" t="n"/>
      <c r="J6749" s="14" t="n"/>
      <c r="K6749" s="53" t="inlineStr">
        <is>
          <t>Нет</t>
        </is>
      </c>
      <c r="L6749" s="53" t="inlineStr">
        <is>
          <t>Не определено</t>
        </is>
      </c>
      <c r="M6749" s="53" t="inlineStr">
        <is>
          <t>До 10</t>
        </is>
      </c>
      <c r="N6749" s="54" t="n">
        <v>3360</v>
      </c>
      <c r="O6749" s="55" t="inlineStr">
        <is>
          <t>1–15</t>
        </is>
      </c>
      <c r="P6749" s="16" t="inlineStr">
        <is>
          <t>ССЧР обогащена; ОКВЭД не найден/не загружен</t>
        </is>
      </c>
      <c r="Q6749" s="16" t="inlineStr">
        <is>
          <t>ФНС открытые данные ССЧР (ДатаСост 31.12.2025; набор 7707329152-sshr2019)</t>
        </is>
      </c>
      <c r="R6749" s="16">
        <f>HYPERLINK("https://checko.ru/search?query=3801001629","Чекко: проверить")</f>
        <v/>
      </c>
      <c r="S6749" t="n">
        <v>1</v>
      </c>
      <c r="T6749" s="35" t="inlineStr">
        <is>
          <t>4 — Не обогащён</t>
        </is>
      </c>
      <c r="U6749" s="35" t="inlineStr">
        <is>
          <t>Нет ОКВЭД/ССЧР</t>
        </is>
      </c>
      <c r="V6749" s="35" t="inlineStr">
        <is>
          <t>Не определено</t>
        </is>
      </c>
      <c r="W6749" s="35" t="inlineStr">
        <is>
          <t>Нет</t>
        </is>
      </c>
      <c r="X6749" s="35" t="inlineStr"/>
    </row>
    <row r="6750" ht="27.75" customHeight="1" s="24">
      <c r="A6750" s="13" t="inlineStr">
        <is>
          <t>FR569097</t>
        </is>
      </c>
      <c r="B6750" s="13" t="inlineStr">
        <is>
          <t>ОБЩЕСТВО С ОГРАНИЧЕННОЙ ОТВЕТСТВЕННОСТЬЮ "МЕХЦЕХ"</t>
        </is>
      </c>
      <c r="C6750" s="13" t="n">
        <v>3811467923</v>
      </c>
      <c r="D6750" s="13" t="inlineStr">
        <is>
          <t>3811467923</t>
        </is>
      </c>
      <c r="E6750" s="13" t="inlineStr">
        <is>
          <t>ЮЛ РФ</t>
        </is>
      </c>
      <c r="F6750" s="13" t="n"/>
      <c r="G6750" s="52" t="n">
        <v>8</v>
      </c>
      <c r="H6750" s="52" t="n">
        <v>2025</v>
      </c>
      <c r="I6750" s="14" t="n"/>
      <c r="J6750" s="14" t="n"/>
      <c r="K6750" s="53" t="inlineStr">
        <is>
          <t>Нет</t>
        </is>
      </c>
      <c r="L6750" s="53" t="inlineStr">
        <is>
          <t>Не определено</t>
        </is>
      </c>
      <c r="M6750" s="53" t="inlineStr">
        <is>
          <t>До 10</t>
        </is>
      </c>
      <c r="N6750" s="54" t="n">
        <v>3360</v>
      </c>
      <c r="O6750" s="55" t="inlineStr">
        <is>
          <t>1–15</t>
        </is>
      </c>
      <c r="P6750" s="16" t="inlineStr">
        <is>
          <t>ССЧР обогащена; ОКВЭД не найден/не загружен</t>
        </is>
      </c>
      <c r="Q6750" s="16" t="inlineStr">
        <is>
          <t>ФНС открытые данные ССЧР (ДатаСост 31.12.2025; набор 7707329152-sshr2019)</t>
        </is>
      </c>
      <c r="R6750" s="16">
        <f>HYPERLINK("https://checko.ru/search?query=3801001629","Чекко: проверить")</f>
        <v/>
      </c>
      <c r="S6750" t="n">
        <v>1</v>
      </c>
      <c r="T6750" s="35" t="inlineStr">
        <is>
          <t>4 — Не обогащён</t>
        </is>
      </c>
      <c r="U6750" s="35" t="inlineStr">
        <is>
          <t>Нет ОКВЭД/ССЧР</t>
        </is>
      </c>
      <c r="V6750" s="35" t="inlineStr">
        <is>
          <t>Не определено</t>
        </is>
      </c>
      <c r="W6750" s="35" t="inlineStr">
        <is>
          <t>Нет</t>
        </is>
      </c>
      <c r="X6750" s="35" t="inlineStr"/>
    </row>
    <row r="6751" ht="27.75" customHeight="1" s="24">
      <c r="A6751" s="13" t="inlineStr">
        <is>
          <t>FR1046187</t>
        </is>
      </c>
      <c r="B6751" s="13" t="inlineStr">
        <is>
          <t>Общество с ограниченной ответственностью "ТЕРМИНАЛИНВЕСТСТРОЙ"</t>
        </is>
      </c>
      <c r="C6751" s="13" t="n">
        <v>3811435495</v>
      </c>
      <c r="D6751" s="13" t="inlineStr">
        <is>
          <t>3811435495</t>
        </is>
      </c>
      <c r="E6751" s="13" t="inlineStr">
        <is>
          <t>ЮЛ РФ</t>
        </is>
      </c>
      <c r="F6751" s="13" t="n"/>
      <c r="G6751" s="52" t="n">
        <v>4</v>
      </c>
      <c r="H6751" s="52" t="n">
        <v>2025</v>
      </c>
      <c r="I6751" s="14" t="n"/>
      <c r="J6751" s="14" t="n"/>
      <c r="K6751" s="53" t="inlineStr">
        <is>
          <t>Нет</t>
        </is>
      </c>
      <c r="L6751" s="53" t="inlineStr">
        <is>
          <t>Не определено</t>
        </is>
      </c>
      <c r="M6751" s="53" t="inlineStr">
        <is>
          <t>До 10</t>
        </is>
      </c>
      <c r="N6751" s="54" t="n">
        <v>3360</v>
      </c>
      <c r="O6751" s="55" t="inlineStr">
        <is>
          <t>1–15</t>
        </is>
      </c>
      <c r="P6751" s="16" t="inlineStr">
        <is>
          <t>ССЧР обогащена; ОКВЭД не найден/не загружен</t>
        </is>
      </c>
      <c r="Q6751" s="16" t="inlineStr">
        <is>
          <t>ФНС открытые данные ССЧР (ДатаСост 31.12.2025; набор 7707329152-sshr2019)</t>
        </is>
      </c>
      <c r="R6751" s="16">
        <f>HYPERLINK("https://checko.ru/search?query=3801001629","Чекко: проверить")</f>
        <v/>
      </c>
      <c r="S6751" t="n">
        <v>1</v>
      </c>
      <c r="T6751" s="35" t="inlineStr">
        <is>
          <t>4 — Не обогащён</t>
        </is>
      </c>
      <c r="U6751" s="35" t="inlineStr">
        <is>
          <t>Нет ОКВЭД/ССЧР</t>
        </is>
      </c>
      <c r="V6751" s="35" t="inlineStr">
        <is>
          <t>Не определено</t>
        </is>
      </c>
      <c r="W6751" s="35" t="inlineStr">
        <is>
          <t>Нет</t>
        </is>
      </c>
      <c r="X6751" s="35" t="inlineStr"/>
    </row>
    <row r="6752" ht="27.75" customHeight="1" s="24">
      <c r="A6752" s="13" t="inlineStr">
        <is>
          <t>FR1238748</t>
        </is>
      </c>
      <c r="B6752" s="13" t="inlineStr">
        <is>
          <t>ТОВАРИЩЕСТВО СОБСТВЕННИКОВ ЖИЛЬЯ "ГАРАНТ"</t>
        </is>
      </c>
      <c r="C6752" s="13" t="n">
        <v>3811089816</v>
      </c>
      <c r="D6752" s="13" t="inlineStr">
        <is>
          <t>3811089816</t>
        </is>
      </c>
      <c r="E6752" s="13" t="inlineStr">
        <is>
          <t>ЮЛ РФ</t>
        </is>
      </c>
      <c r="F6752" s="13" t="n"/>
      <c r="G6752" s="14" t="n"/>
      <c r="H6752" s="14" t="n"/>
      <c r="I6752" s="14" t="n"/>
      <c r="J6752" s="14" t="n"/>
      <c r="K6752" s="53" t="inlineStr"/>
      <c r="L6752" s="53" t="inlineStr">
        <is>
          <t>Не определено</t>
        </is>
      </c>
      <c r="M6752" s="53" t="inlineStr"/>
      <c r="N6752" s="54" t="inlineStr"/>
      <c r="O6752" s="55" t="inlineStr"/>
      <c r="P6752" s="16" t="inlineStr">
        <is>
          <t>Требует обогащения</t>
        </is>
      </c>
      <c r="Q6752" s="16">
        <f>HYPERLINK("https://pb.nalog.ru/search.html?query=3811089816","ФНС: проверить")</f>
        <v/>
      </c>
      <c r="R6752" s="16">
        <f>HYPERLINK("https://checko.ru/search?query=3801001629","Чекко: проверить")</f>
        <v/>
      </c>
      <c r="S6752" t="n">
        <v>1</v>
      </c>
      <c r="T6752" s="35" t="inlineStr">
        <is>
          <t>4 — Не обогащён</t>
        </is>
      </c>
      <c r="U6752" s="35" t="inlineStr">
        <is>
          <t>Нет ОКВЭД/ССЧР</t>
        </is>
      </c>
      <c r="V6752" s="35" t="inlineStr">
        <is>
          <t>Не определено</t>
        </is>
      </c>
      <c r="W6752" s="35" t="inlineStr"/>
      <c r="X6752" s="35" t="inlineStr"/>
    </row>
    <row r="6753" ht="27.75" customHeight="1" s="24">
      <c r="A6753" s="13" t="inlineStr">
        <is>
          <t>FR1250182</t>
        </is>
      </c>
      <c r="B6753" s="13" t="inlineStr">
        <is>
          <t>Общество с ограниченной ответственностью "ТОВАРНО-КОМПЛЕКТУЮЩИЕ МАТЕРИАЛЫ"</t>
        </is>
      </c>
      <c r="C6753" s="13" t="n">
        <v>3849111299</v>
      </c>
      <c r="D6753" s="13" t="inlineStr">
        <is>
          <t>3849111299</t>
        </is>
      </c>
      <c r="E6753" s="13" t="inlineStr">
        <is>
          <t>ЮЛ РФ</t>
        </is>
      </c>
      <c r="F6753" s="13" t="n"/>
      <c r="G6753" s="52" t="n">
        <v>0</v>
      </c>
      <c r="H6753" s="52" t="n">
        <v>2025</v>
      </c>
      <c r="I6753" s="14" t="n"/>
      <c r="J6753" s="14" t="n"/>
      <c r="K6753" s="53" t="inlineStr">
        <is>
          <t>Нет</t>
        </is>
      </c>
      <c r="L6753" s="53" t="inlineStr">
        <is>
          <t>Не определено</t>
        </is>
      </c>
      <c r="M6753" s="53" t="inlineStr">
        <is>
          <t>До 10</t>
        </is>
      </c>
      <c r="N6753" s="54" t="n">
        <v>3360</v>
      </c>
      <c r="O6753" s="55" t="inlineStr">
        <is>
          <t>1–15</t>
        </is>
      </c>
      <c r="P6753" s="16" t="inlineStr">
        <is>
          <t>ССЧР обогащена; ОКВЭД не найден/не загружен</t>
        </is>
      </c>
      <c r="Q6753" s="16" t="inlineStr">
        <is>
          <t>ФНС открытые данные ССЧР (ДатаСост 31.12.2025; набор 7707329152-sshr2019)</t>
        </is>
      </c>
      <c r="R6753" s="16">
        <f>HYPERLINK("https://checko.ru/search?query=3801001629","Чекко: проверить")</f>
        <v/>
      </c>
      <c r="S6753" t="n">
        <v>1</v>
      </c>
      <c r="T6753" s="35" t="inlineStr">
        <is>
          <t>4 — Не обогащён</t>
        </is>
      </c>
      <c r="U6753" s="35" t="inlineStr">
        <is>
          <t>Нет ОКВЭД/ССЧР</t>
        </is>
      </c>
      <c r="V6753" s="35" t="inlineStr">
        <is>
          <t>Не определено</t>
        </is>
      </c>
      <c r="W6753" s="35" t="inlineStr">
        <is>
          <t>Нет</t>
        </is>
      </c>
      <c r="X6753" s="35" t="inlineStr"/>
    </row>
    <row r="6754" ht="15" customHeight="1" s="24">
      <c r="A6754" s="13" t="inlineStr">
        <is>
          <t>FR690411</t>
        </is>
      </c>
      <c r="B6754" s="13" t="inlineStr">
        <is>
          <t>ИП Маргарян Артур Барисович</t>
        </is>
      </c>
      <c r="C6754" s="13" t="n">
        <v>850301633709</v>
      </c>
      <c r="D6754" s="13" t="inlineStr">
        <is>
          <t>850301633709</t>
        </is>
      </c>
      <c r="E6754" s="13" t="inlineStr">
        <is>
          <t>ИП РФ / физлицо</t>
        </is>
      </c>
      <c r="F6754" s="13" t="n"/>
      <c r="G6754" s="14" t="n"/>
      <c r="H6754" s="14" t="n"/>
      <c r="I6754" s="14" t="n"/>
      <c r="J6754" s="14" t="n"/>
      <c r="K6754" s="53" t="inlineStr"/>
      <c r="L6754" s="53" t="inlineStr">
        <is>
          <t>Не определено</t>
        </is>
      </c>
      <c r="M6754" s="53" t="inlineStr"/>
      <c r="N6754" s="54" t="inlineStr"/>
      <c r="O6754" s="55" t="inlineStr"/>
      <c r="P6754" s="16" t="inlineStr">
        <is>
          <t>Требует обогащения</t>
        </is>
      </c>
      <c r="Q6754" s="16">
        <f>HYPERLINK("https://pb.nalog.ru/search.html?query=850301633709","ФНС: проверить")</f>
        <v/>
      </c>
      <c r="R6754" s="16">
        <f>HYPERLINK("https://checko.ru/search?query=3801001629","Чекко: проверить")</f>
        <v/>
      </c>
      <c r="S6754" t="n">
        <v>1</v>
      </c>
      <c r="T6754" s="35" t="inlineStr">
        <is>
          <t>4 — Не обогащён</t>
        </is>
      </c>
      <c r="U6754" s="35" t="inlineStr">
        <is>
          <t>Нет ОКВЭД/ССЧР</t>
        </is>
      </c>
      <c r="V6754" s="35" t="inlineStr">
        <is>
          <t>Не определено</t>
        </is>
      </c>
      <c r="W6754" s="35" t="inlineStr"/>
      <c r="X6754" s="35" t="inlineStr"/>
    </row>
    <row r="6755" ht="15" customHeight="1" s="24">
      <c r="A6755" s="13" t="inlineStr">
        <is>
          <t>FR1047235</t>
        </is>
      </c>
      <c r="B6755" s="13" t="inlineStr">
        <is>
          <t>Семенова Валентина Георгиевна</t>
        </is>
      </c>
      <c r="C6755" s="13" t="n">
        <v>382500112315</v>
      </c>
      <c r="D6755" s="13" t="inlineStr">
        <is>
          <t>382500112315</t>
        </is>
      </c>
      <c r="E6755" s="13" t="inlineStr">
        <is>
          <t>ИП РФ / физлицо</t>
        </is>
      </c>
      <c r="F6755" s="13" t="n"/>
      <c r="G6755" s="14" t="n"/>
      <c r="H6755" s="14" t="n"/>
      <c r="I6755" s="14" t="n"/>
      <c r="J6755" s="14" t="n"/>
      <c r="K6755" s="53" t="inlineStr"/>
      <c r="L6755" s="53" t="inlineStr">
        <is>
          <t>Не определено</t>
        </is>
      </c>
      <c r="M6755" s="53" t="inlineStr"/>
      <c r="N6755" s="54" t="inlineStr"/>
      <c r="O6755" s="55" t="inlineStr"/>
      <c r="P6755" s="16" t="inlineStr">
        <is>
          <t>Требует обогащения</t>
        </is>
      </c>
      <c r="Q6755" s="16">
        <f>HYPERLINK("https://pb.nalog.ru/search.html?query=382500112315","ФНС: проверить")</f>
        <v/>
      </c>
      <c r="R6755" s="16">
        <f>HYPERLINK("https://checko.ru/search?query=3801001629","Чекко: проверить")</f>
        <v/>
      </c>
      <c r="S6755" t="n">
        <v>1</v>
      </c>
      <c r="T6755" s="35" t="inlineStr">
        <is>
          <t>4 — Не обогащён</t>
        </is>
      </c>
      <c r="U6755" s="35" t="inlineStr">
        <is>
          <t>Нет ОКВЭД/ССЧР</t>
        </is>
      </c>
      <c r="V6755" s="35" t="inlineStr">
        <is>
          <t>Не определено</t>
        </is>
      </c>
      <c r="W6755" s="35" t="inlineStr"/>
      <c r="X6755" s="35" t="inlineStr"/>
    </row>
    <row r="6756" ht="15" customHeight="1" s="24">
      <c r="A6756" s="13" t="inlineStr">
        <is>
          <t>FR1239359</t>
        </is>
      </c>
      <c r="B6756" s="13" t="inlineStr">
        <is>
          <t>ИП Горожанкина Любовь Леонтьевна</t>
        </is>
      </c>
      <c r="C6756" s="13" t="n">
        <v>519048656750</v>
      </c>
      <c r="D6756" s="13" t="inlineStr">
        <is>
          <t>519048656750</t>
        </is>
      </c>
      <c r="E6756" s="13" t="inlineStr">
        <is>
          <t>ИП РФ / физлицо</t>
        </is>
      </c>
      <c r="F6756" s="13" t="n"/>
      <c r="G6756" s="14" t="n"/>
      <c r="H6756" s="14" t="n"/>
      <c r="I6756" s="14" t="n"/>
      <c r="J6756" s="14" t="n"/>
      <c r="K6756" s="53" t="inlineStr"/>
      <c r="L6756" s="53" t="inlineStr">
        <is>
          <t>Не определено</t>
        </is>
      </c>
      <c r="M6756" s="53" t="inlineStr"/>
      <c r="N6756" s="54" t="inlineStr"/>
      <c r="O6756" s="55" t="inlineStr"/>
      <c r="P6756" s="16" t="inlineStr">
        <is>
          <t>Требует обогащения</t>
        </is>
      </c>
      <c r="Q6756" s="16">
        <f>HYPERLINK("https://pb.nalog.ru/search.html?query=519048656750","ФНС: проверить")</f>
        <v/>
      </c>
      <c r="R6756" s="16">
        <f>HYPERLINK("https://checko.ru/search?query=3801001629","Чекко: проверить")</f>
        <v/>
      </c>
      <c r="S6756" t="n">
        <v>1</v>
      </c>
      <c r="T6756" s="35" t="inlineStr">
        <is>
          <t>4 — Не обогащён</t>
        </is>
      </c>
      <c r="U6756" s="35" t="inlineStr">
        <is>
          <t>Нет ОКВЭД/ССЧР</t>
        </is>
      </c>
      <c r="V6756" s="35" t="inlineStr">
        <is>
          <t>Не определено</t>
        </is>
      </c>
      <c r="W6756" s="35" t="inlineStr"/>
      <c r="X6756" s="35" t="inlineStr"/>
    </row>
    <row r="6757" ht="15" customHeight="1" s="24">
      <c r="A6757" s="13" t="inlineStr">
        <is>
          <t>FR1047203</t>
        </is>
      </c>
      <c r="B6757" s="13" t="inlineStr">
        <is>
          <t>ЛИНИЯ ООО</t>
        </is>
      </c>
      <c r="C6757" s="13" t="n">
        <v>3811475272</v>
      </c>
      <c r="D6757" s="13" t="inlineStr">
        <is>
          <t>3811475272</t>
        </is>
      </c>
      <c r="E6757" s="13" t="inlineStr">
        <is>
          <t>ЮЛ РФ</t>
        </is>
      </c>
      <c r="F6757" s="13" t="n"/>
      <c r="G6757" s="52" t="n">
        <v>0</v>
      </c>
      <c r="H6757" s="52" t="n">
        <v>2025</v>
      </c>
      <c r="I6757" s="14" t="n"/>
      <c r="J6757" s="14" t="n"/>
      <c r="K6757" s="53" t="inlineStr">
        <is>
          <t>Нет</t>
        </is>
      </c>
      <c r="L6757" s="53" t="inlineStr">
        <is>
          <t>Не определено</t>
        </is>
      </c>
      <c r="M6757" s="53" t="inlineStr">
        <is>
          <t>До 10</t>
        </is>
      </c>
      <c r="N6757" s="54" t="n">
        <v>3360</v>
      </c>
      <c r="O6757" s="55" t="inlineStr">
        <is>
          <t>1–15</t>
        </is>
      </c>
      <c r="P6757" s="16" t="inlineStr">
        <is>
          <t>ССЧР обогащена; ОКВЭД не найден/не загружен</t>
        </is>
      </c>
      <c r="Q6757" s="16" t="inlineStr">
        <is>
          <t>ФНС открытые данные ССЧР (ДатаСост 31.12.2025; набор 7707329152-sshr2019)</t>
        </is>
      </c>
      <c r="R6757" s="16">
        <f>HYPERLINK("https://checko.ru/search?query=3801001629","Чекко: проверить")</f>
        <v/>
      </c>
      <c r="S6757" t="n">
        <v>1</v>
      </c>
      <c r="T6757" s="35" t="inlineStr">
        <is>
          <t>4 — Не обогащён</t>
        </is>
      </c>
      <c r="U6757" s="35" t="inlineStr">
        <is>
          <t>Нет ОКВЭД/ССЧР</t>
        </is>
      </c>
      <c r="V6757" s="35" t="inlineStr">
        <is>
          <t>Не определено</t>
        </is>
      </c>
      <c r="W6757" s="35" t="inlineStr">
        <is>
          <t>Нет</t>
        </is>
      </c>
      <c r="X6757" s="35" t="inlineStr"/>
    </row>
    <row r="6758" ht="15" customHeight="1" s="24">
      <c r="A6758" s="13" t="inlineStr">
        <is>
          <t>FR1047219</t>
        </is>
      </c>
      <c r="B6758" s="13" t="inlineStr">
        <is>
          <t>Лазарев Александр Иванович</t>
        </is>
      </c>
      <c r="C6758" s="13" t="n">
        <v>381206655474</v>
      </c>
      <c r="D6758" s="13" t="inlineStr">
        <is>
          <t>381206655474</t>
        </is>
      </c>
      <c r="E6758" s="13" t="inlineStr">
        <is>
          <t>ИП РФ / физлицо</t>
        </is>
      </c>
      <c r="F6758" s="13" t="n"/>
      <c r="G6758" s="14" t="n"/>
      <c r="H6758" s="14" t="n"/>
      <c r="I6758" s="14" t="n"/>
      <c r="J6758" s="14" t="n"/>
      <c r="K6758" s="53" t="inlineStr"/>
      <c r="L6758" s="53" t="inlineStr">
        <is>
          <t>Не определено</t>
        </is>
      </c>
      <c r="M6758" s="53" t="inlineStr"/>
      <c r="N6758" s="54" t="inlineStr"/>
      <c r="O6758" s="55" t="inlineStr"/>
      <c r="P6758" s="16" t="inlineStr">
        <is>
          <t>Требует обогащения</t>
        </is>
      </c>
      <c r="Q6758" s="16">
        <f>HYPERLINK("https://pb.nalog.ru/search.html?query=381206655474","ФНС: проверить")</f>
        <v/>
      </c>
      <c r="R6758" s="16">
        <f>HYPERLINK("https://checko.ru/search?query=3801001629","Чекко: проверить")</f>
        <v/>
      </c>
      <c r="S6758" t="n">
        <v>1</v>
      </c>
      <c r="T6758" s="35" t="inlineStr">
        <is>
          <t>4 — Не обогащён</t>
        </is>
      </c>
      <c r="U6758" s="35" t="inlineStr">
        <is>
          <t>Нет ОКВЭД/ССЧР</t>
        </is>
      </c>
      <c r="V6758" s="35" t="inlineStr">
        <is>
          <t>Не определено</t>
        </is>
      </c>
      <c r="W6758" s="35" t="inlineStr"/>
      <c r="X6758" s="35" t="inlineStr"/>
    </row>
    <row r="6759" ht="27.75" customHeight="1" s="24">
      <c r="A6759" s="13" t="inlineStr">
        <is>
          <t>FR20732</t>
        </is>
      </c>
      <c r="B6759" s="13" t="inlineStr">
        <is>
          <t>Индивидуальный Предприниматель Коркмазов Ахмат Хисаевич</t>
        </is>
      </c>
      <c r="C6759" s="13" t="n">
        <v>90600110281</v>
      </c>
      <c r="D6759" s="13" t="n"/>
      <c r="E6759" s="13" t="inlineStr">
        <is>
          <t>Не определён</t>
        </is>
      </c>
      <c r="F6759" s="13" t="n"/>
      <c r="G6759" s="14" t="n"/>
      <c r="H6759" s="14" t="n"/>
      <c r="I6759" s="14" t="n"/>
      <c r="J6759" s="14" t="n"/>
      <c r="K6759" s="13">
        <f>IF(G6759="","",IF(G6759&gt;=22,"Да","Нет"))</f>
        <v/>
      </c>
      <c r="L6759" s="13">
        <f>IF(OR(I6759="",J6759=""),"Не определено",IF(OR(COUNTIF(I6759,"45*")&gt;0,COUNTIF(J6759,"*45*")&gt;0,COUNTIF(I6759,"46*")&gt;0,COUNTIF(J6759,"*46*")&gt;0,COUNTIF(I6759,"47*")&gt;0,COUNTIF(J6759,"*47*")&gt;0,COUNTIF(I6759,"10*")&gt;0,COUNTIF(J6759,"*10*")&gt;0,COUNTIF(I6759,"11*")&gt;0,COUNTIF(J6759,"*11*")&gt;0,COUNTIF(I6759,"12*")&gt;0,COUNTIF(J6759,"*12*")&gt;0,COUNTIF(I6759,"13*")&gt;0,COUNTIF(J6759,"*13*")&gt;0,COUNTIF(I6759,"14*")&gt;0,COUNTIF(J6759,"*14*")&gt;0,COUNTIF(I6759,"15*")&gt;0,COUNTIF(J6759,"*15*")&gt;0,COUNTIF(I6759,"16*")&gt;0,COUNTIF(J6759,"*16*")&gt;0,COUNTIF(I6759,"17*")&gt;0,COUNTIF(J6759,"*17*")&gt;0,COUNTIF(I6759,"18*")&gt;0,COUNTIF(J6759,"*18*")&gt;0,COUNTIF(I6759,"19*")&gt;0,COUNTIF(J6759,"*19*")&gt;0,COUNTIF(I6759,"20*")&gt;0,COUNTIF(J6759,"*20*")&gt;0,COUNTIF(I6759,"21*")&gt;0,COUNTIF(J6759,"*21*")&gt;0,COUNTIF(I6759,"22*")&gt;0,COUNTIF(J6759,"*22*")&gt;0,COUNTIF(I6759,"23*")&gt;0,COUNTIF(J6759,"*23*")&gt;0,COUNTIF(I6759,"24*")&gt;0,COUNTIF(J6759,"*24*")&gt;0,COUNTIF(I6759,"25*")&gt;0,COUNTIF(J6759,"*25*")&gt;0,COUNTIF(I6759,"26*")&gt;0,COUNTIF(J6759,"*26*")&gt;0,COUNTIF(I6759,"27*")&gt;0,COUNTIF(J6759,"*27*")&gt;0,COUNTIF(I6759,"28*")&gt;0,COUNTIF(J6759,"*28*")&gt;0,COUNTIF(I6759,"29*")&gt;0,COUNTIF(J6759,"*29*")&gt;0,COUNTIF(I6759,"30*")&gt;0,COUNTIF(J6759,"*30*")&gt;0,COUNTIF(I6759,"31*")&gt;0,COUNTIF(J6759,"*31*")&gt;0,COUNTIF(I6759,"32*")&gt;0,COUNTIF(J6759,"*32*")&gt;0,COUNTIF(I6759,"33*")&gt;0,COUNTIF(J6759,"*33*")&gt;0,COUNTIF(I6759,"41*")&gt;0,COUNTIF(J6759,"*41*")&gt;0,COUNTIF(I6759,"42*")&gt;0,COUNTIF(J6759,"*42*")&gt;0,COUNTIF(I6759,"43*")&gt;0,COUNTIF(J6759,"*43*")&gt;0,COUNTIF(I6759,"49*")&gt;0,COUNTIF(J6759,"*49*")&gt;0,COUNTIF(I6759,"52*")&gt;0,COUNTIF(J6759,"*52*")&gt;0,COUNTIF(I6759,"55*")&gt;0,COUNTIF(J6759,"*55*")&gt;0,COUNTIF(I6759,"56*")&gt;0,COUNTIF(J6759,"*56*")&gt;0,COUNTIF(I6759,"68*")&gt;0,COUNTIF(J6759,"*68*")&gt;0,COUNTIF(I6759,"78*")&gt;0,COUNTIF(J6759,"*78*")&gt;0,COUNTIF(I6759,"81*")&gt;0,COUNTIF(J6759,"*81*")&gt;0,COUNTIF(I6759,"82*")&gt;0,COUNTIF(J6759,"*82*")&gt;0,COUNTIF(I6759,"64*")&gt;0,COUNTIF(J6759,"*64*")&gt;0,COUNTIF(I6759,"65*")&gt;0,COUNTIF(J6759,"*65*")&gt;0,COUNTIF(I6759,"66*")&gt;0,COUNTIF(J6759,"*66*")&gt;0,COUNTIF(I6759,"61*")&gt;0,COUNTIF(J6759,"*61*")&gt;0,COUNTIF(I6759,"62*")&gt;0,COUNTIF(J6759,"*62*")&gt;0,COUNTIF(I6759,"63*")&gt;0,COUNTIF(J6759,"*63*")&gt;0,COUNTIF(I6759,"85*")&gt;0,COUNTIF(J6759,"*85*")&gt;0,COUNTIF(I6759,"86*")&gt;0,COUNTIF(J6759,"*86*")&gt;0),"Да","Нет"))</f>
        <v/>
      </c>
      <c r="M6759" s="13">
        <f>IF(OR(G6759="",L6759&lt;&gt;"Да"),"",IF(G6759&lt;=100,"До 100",IF(G6759&lt;=200,"До 200",IF(G6759&lt;=500,"До 500","Отдельное КП"))))</f>
        <v/>
      </c>
      <c r="N6759" s="15">
        <f>IF(OR(G6759="",L6759&lt;&gt;"Да"),"",IF(G6759&lt;=100,33600,IF(G6759&lt;=200,62400,IF(G6759&lt;=500,144000,""))))</f>
        <v/>
      </c>
      <c r="O6759" s="16">
        <f>IF(G6759="","",IF(G6759&lt;=15,"1–15",IF(G6759&lt;=30,"16–30",IF(G6759&lt;=50,"31–50",IF(G6759&lt;=100,"51–100",IF(G6759&lt;=150,"101–150",IF(G6759&lt;=200,"151–200",IF(G6759&lt;=500,"201–500","500+"))))))))</f>
        <v/>
      </c>
      <c r="P6759" s="16" t="inlineStr">
        <is>
          <t>Нет совпадения в предоставленной выгрузке ССЧР</t>
        </is>
      </c>
      <c r="Q6759" s="16" t="n"/>
      <c r="R6759" s="16">
        <f>HYPERLINK("https://checko.ru/search?query=3801001629","Чекко: проверить")</f>
        <v/>
      </c>
      <c r="S6759" t="n">
        <v>0</v>
      </c>
    </row>
    <row r="6760" ht="15" customHeight="1" s="24">
      <c r="A6760" s="13" t="inlineStr">
        <is>
          <t>FR276186</t>
        </is>
      </c>
      <c r="B6760" s="13" t="inlineStr">
        <is>
          <t>ВИЗУМ, ООО</t>
        </is>
      </c>
      <c r="C6760" s="13" t="n">
        <v>276906233</v>
      </c>
      <c r="D6760" s="13" t="n"/>
      <c r="E6760" s="13" t="inlineStr">
        <is>
          <t>Не определён</t>
        </is>
      </c>
      <c r="F6760" s="13" t="inlineStr">
        <is>
          <t>276906233</t>
        </is>
      </c>
      <c r="G6760" s="14" t="n"/>
      <c r="H6760" s="14" t="n"/>
      <c r="I6760" s="14" t="n"/>
      <c r="J6760" s="14" t="n"/>
      <c r="K6760" s="13">
        <f>IF(G6760="","",IF(G6760&gt;=22,"Да","Нет"))</f>
        <v/>
      </c>
      <c r="L6760" s="13">
        <f>IF(OR(I6760="",J6760=""),"Не определено",IF(OR(COUNTIF(I6760,"45*")&gt;0,COUNTIF(J6760,"*45*")&gt;0,COUNTIF(I6760,"46*")&gt;0,COUNTIF(J6760,"*46*")&gt;0,COUNTIF(I6760,"47*")&gt;0,COUNTIF(J6760,"*47*")&gt;0,COUNTIF(I6760,"10*")&gt;0,COUNTIF(J6760,"*10*")&gt;0,COUNTIF(I6760,"11*")&gt;0,COUNTIF(J6760,"*11*")&gt;0,COUNTIF(I6760,"12*")&gt;0,COUNTIF(J6760,"*12*")&gt;0,COUNTIF(I6760,"13*")&gt;0,COUNTIF(J6760,"*13*")&gt;0,COUNTIF(I6760,"14*")&gt;0,COUNTIF(J6760,"*14*")&gt;0,COUNTIF(I6760,"15*")&gt;0,COUNTIF(J6760,"*15*")&gt;0,COUNTIF(I6760,"16*")&gt;0,COUNTIF(J6760,"*16*")&gt;0,COUNTIF(I6760,"17*")&gt;0,COUNTIF(J6760,"*17*")&gt;0,COUNTIF(I6760,"18*")&gt;0,COUNTIF(J6760,"*18*")&gt;0,COUNTIF(I6760,"19*")&gt;0,COUNTIF(J6760,"*19*")&gt;0,COUNTIF(I6760,"20*")&gt;0,COUNTIF(J6760,"*20*")&gt;0,COUNTIF(I6760,"21*")&gt;0,COUNTIF(J6760,"*21*")&gt;0,COUNTIF(I6760,"22*")&gt;0,COUNTIF(J6760,"*22*")&gt;0,COUNTIF(I6760,"23*")&gt;0,COUNTIF(J6760,"*23*")&gt;0,COUNTIF(I6760,"24*")&gt;0,COUNTIF(J6760,"*24*")&gt;0,COUNTIF(I6760,"25*")&gt;0,COUNTIF(J6760,"*25*")&gt;0,COUNTIF(I6760,"26*")&gt;0,COUNTIF(J6760,"*26*")&gt;0,COUNTIF(I6760,"27*")&gt;0,COUNTIF(J6760,"*27*")&gt;0,COUNTIF(I6760,"28*")&gt;0,COUNTIF(J6760,"*28*")&gt;0,COUNTIF(I6760,"29*")&gt;0,COUNTIF(J6760,"*29*")&gt;0,COUNTIF(I6760,"30*")&gt;0,COUNTIF(J6760,"*30*")&gt;0,COUNTIF(I6760,"31*")&gt;0,COUNTIF(J6760,"*31*")&gt;0,COUNTIF(I6760,"32*")&gt;0,COUNTIF(J6760,"*32*")&gt;0,COUNTIF(I6760,"33*")&gt;0,COUNTIF(J6760,"*33*")&gt;0,COUNTIF(I6760,"41*")&gt;0,COUNTIF(J6760,"*41*")&gt;0,COUNTIF(I6760,"42*")&gt;0,COUNTIF(J6760,"*42*")&gt;0,COUNTIF(I6760,"43*")&gt;0,COUNTIF(J6760,"*43*")&gt;0,COUNTIF(I6760,"49*")&gt;0,COUNTIF(J6760,"*49*")&gt;0,COUNTIF(I6760,"52*")&gt;0,COUNTIF(J6760,"*52*")&gt;0,COUNTIF(I6760,"55*")&gt;0,COUNTIF(J6760,"*55*")&gt;0,COUNTIF(I6760,"56*")&gt;0,COUNTIF(J6760,"*56*")&gt;0,COUNTIF(I6760,"68*")&gt;0,COUNTIF(J6760,"*68*")&gt;0,COUNTIF(I6760,"78*")&gt;0,COUNTIF(J6760,"*78*")&gt;0,COUNTIF(I6760,"81*")&gt;0,COUNTIF(J6760,"*81*")&gt;0,COUNTIF(I6760,"82*")&gt;0,COUNTIF(J6760,"*82*")&gt;0,COUNTIF(I6760,"64*")&gt;0,COUNTIF(J6760,"*64*")&gt;0,COUNTIF(I6760,"65*")&gt;0,COUNTIF(J6760,"*65*")&gt;0,COUNTIF(I6760,"66*")&gt;0,COUNTIF(J6760,"*66*")&gt;0,COUNTIF(I6760,"61*")&gt;0,COUNTIF(J6760,"*61*")&gt;0,COUNTIF(I6760,"62*")&gt;0,COUNTIF(J6760,"*62*")&gt;0,COUNTIF(I6760,"63*")&gt;0,COUNTIF(J6760,"*63*")&gt;0,COUNTIF(I6760,"85*")&gt;0,COUNTIF(J6760,"*85*")&gt;0,COUNTIF(I6760,"86*")&gt;0,COUNTIF(J6760,"*86*")&gt;0),"Да","Нет"))</f>
        <v/>
      </c>
      <c r="M6760" s="13">
        <f>IF(OR(G6760="",L6760&lt;&gt;"Да"),"",IF(G6760&lt;=100,"До 100",IF(G6760&lt;=200,"До 200",IF(G6760&lt;=500,"До 500","Отдельное КП"))))</f>
        <v/>
      </c>
      <c r="N6760" s="15">
        <f>IF(OR(G6760="",L6760&lt;&gt;"Да"),"",IF(G6760&lt;=100,33600,IF(G6760&lt;=200,62400,IF(G6760&lt;=500,144000,""))))</f>
        <v/>
      </c>
      <c r="O6760" s="16">
        <f>IF(G6760="","",IF(G6760&lt;=15,"1–15",IF(G6760&lt;=30,"16–30",IF(G6760&lt;=50,"31–50",IF(G6760&lt;=100,"51–100",IF(G6760&lt;=150,"101–150",IF(G6760&lt;=200,"151–200",IF(G6760&lt;=500,"201–500","500+"))))))))</f>
        <v/>
      </c>
      <c r="P6760" s="16" t="inlineStr">
        <is>
          <t>Нет совпадения в предоставленной выгрузке ССЧР</t>
        </is>
      </c>
      <c r="Q6760" s="16" t="n"/>
      <c r="R6760" s="16">
        <f>HYPERLINK("https://checko.ru/search?query=3801001629","Чекко: проверить")</f>
        <v/>
      </c>
      <c r="S6760" t="n">
        <v>0</v>
      </c>
    </row>
    <row r="6761" ht="15" customHeight="1" s="24">
      <c r="A6761" s="13" t="inlineStr">
        <is>
          <t>FR875244</t>
        </is>
      </c>
      <c r="B6761" s="13" t="inlineStr">
        <is>
          <t>ИП Розов Игорь Олегович</t>
        </is>
      </c>
      <c r="C6761" s="13" t="n">
        <v>381109717140</v>
      </c>
      <c r="D6761" s="13" t="inlineStr">
        <is>
          <t>381109717140</t>
        </is>
      </c>
      <c r="E6761" s="13" t="inlineStr">
        <is>
          <t>ИП РФ / физлицо</t>
        </is>
      </c>
      <c r="F6761" s="13" t="n"/>
      <c r="G6761" s="14" t="n"/>
      <c r="H6761" s="14" t="n"/>
      <c r="I6761" s="14" t="n"/>
      <c r="J6761" s="14" t="n"/>
      <c r="K6761" s="53" t="inlineStr"/>
      <c r="L6761" s="53" t="inlineStr">
        <is>
          <t>Не определено</t>
        </is>
      </c>
      <c r="M6761" s="53" t="inlineStr"/>
      <c r="N6761" s="54" t="inlineStr"/>
      <c r="O6761" s="55" t="inlineStr"/>
      <c r="P6761" s="16" t="inlineStr">
        <is>
          <t>Требует обогащения</t>
        </is>
      </c>
      <c r="Q6761" s="16">
        <f>HYPERLINK("https://pb.nalog.ru/search.html?query=381109717140","ФНС: проверить")</f>
        <v/>
      </c>
      <c r="R6761" s="16">
        <f>HYPERLINK("https://checko.ru/search?query=3801001629","Чекко: проверить")</f>
        <v/>
      </c>
      <c r="S6761" t="n">
        <v>1</v>
      </c>
      <c r="T6761" s="35" t="inlineStr">
        <is>
          <t>4 — Не обогащён</t>
        </is>
      </c>
      <c r="U6761" s="35" t="inlineStr">
        <is>
          <t>Нет ОКВЭД/ССЧР</t>
        </is>
      </c>
      <c r="V6761" s="35" t="inlineStr">
        <is>
          <t>Не определено</t>
        </is>
      </c>
      <c r="W6761" s="35" t="inlineStr"/>
      <c r="X6761" s="35" t="inlineStr"/>
    </row>
    <row r="6762" ht="15" customHeight="1" s="24">
      <c r="A6762" s="13" t="inlineStr">
        <is>
          <t>FR411213</t>
        </is>
      </c>
      <c r="B6762" s="13" t="inlineStr">
        <is>
          <t>ИП Иванов Алексей Петрович</t>
        </is>
      </c>
      <c r="C6762" s="13" t="n">
        <v>381105694678</v>
      </c>
      <c r="D6762" s="13" t="inlineStr">
        <is>
          <t>381105694678</t>
        </is>
      </c>
      <c r="E6762" s="13" t="inlineStr">
        <is>
          <t>ИП РФ / физлицо</t>
        </is>
      </c>
      <c r="F6762" s="13" t="n"/>
      <c r="G6762" s="14" t="n"/>
      <c r="H6762" s="14" t="n"/>
      <c r="I6762" s="14" t="n"/>
      <c r="J6762" s="14" t="n"/>
      <c r="K6762" s="53" t="inlineStr"/>
      <c r="L6762" s="53" t="inlineStr">
        <is>
          <t>Не определено</t>
        </is>
      </c>
      <c r="M6762" s="53" t="inlineStr"/>
      <c r="N6762" s="54" t="inlineStr"/>
      <c r="O6762" s="55" t="inlineStr"/>
      <c r="P6762" s="16" t="inlineStr">
        <is>
          <t>Требует обогащения</t>
        </is>
      </c>
      <c r="Q6762" s="16">
        <f>HYPERLINK("https://pb.nalog.ru/search.html?query=381105694678","ФНС: проверить")</f>
        <v/>
      </c>
      <c r="R6762" s="16">
        <f>HYPERLINK("https://checko.ru/search?query=3801001629","Чекко: проверить")</f>
        <v/>
      </c>
      <c r="S6762" t="n">
        <v>1</v>
      </c>
      <c r="T6762" s="35" t="inlineStr">
        <is>
          <t>4 — Не обогащён</t>
        </is>
      </c>
      <c r="U6762" s="35" t="inlineStr">
        <is>
          <t>Нет ОКВЭД/ССЧР</t>
        </is>
      </c>
      <c r="V6762" s="35" t="inlineStr">
        <is>
          <t>Не определено</t>
        </is>
      </c>
      <c r="W6762" s="35" t="inlineStr"/>
      <c r="X6762" s="35" t="inlineStr"/>
    </row>
    <row r="6763" ht="41.25" customHeight="1" s="24">
      <c r="A6763" s="13" t="inlineStr">
        <is>
          <t>FR1063421</t>
        </is>
      </c>
      <c r="B6763" s="13" t="inlineStr">
        <is>
          <t>Общество с ограниченной ответственностью "СПЕЦИАЛЬНЫЕ ИНЖИНИРИНГОВЫЕ ТЕХНОЛОГИИ"</t>
        </is>
      </c>
      <c r="C6763" s="13" t="n">
        <v>9724090654</v>
      </c>
      <c r="D6763" s="13" t="inlineStr">
        <is>
          <t>9724090654</t>
        </is>
      </c>
      <c r="E6763" s="13" t="inlineStr">
        <is>
          <t>ЮЛ РФ</t>
        </is>
      </c>
      <c r="F6763" s="13" t="n"/>
      <c r="G6763" s="52" t="n">
        <v>2</v>
      </c>
      <c r="H6763" s="52" t="n">
        <v>2025</v>
      </c>
      <c r="I6763" s="14" t="n"/>
      <c r="J6763" s="14" t="n"/>
      <c r="K6763" s="53" t="inlineStr">
        <is>
          <t>Нет</t>
        </is>
      </c>
      <c r="L6763" s="53" t="inlineStr">
        <is>
          <t>Не определено</t>
        </is>
      </c>
      <c r="M6763" s="53" t="inlineStr">
        <is>
          <t>До 10</t>
        </is>
      </c>
      <c r="N6763" s="54" t="n">
        <v>3360</v>
      </c>
      <c r="O6763" s="55" t="inlineStr">
        <is>
          <t>1–15</t>
        </is>
      </c>
      <c r="P6763" s="16" t="inlineStr">
        <is>
          <t>ССЧР обогащена; ОКВЭД не найден/не загружен</t>
        </is>
      </c>
      <c r="Q6763" s="16" t="inlineStr">
        <is>
          <t>ФНС открытые данные ССЧР (ДатаСост 31.12.2025; набор 7707329152-sshr2019)</t>
        </is>
      </c>
      <c r="R6763" s="16">
        <f>HYPERLINK("https://checko.ru/search?query=3801001629","Чекко: проверить")</f>
        <v/>
      </c>
      <c r="S6763" t="n">
        <v>1</v>
      </c>
      <c r="T6763" s="35" t="inlineStr">
        <is>
          <t>4 — Не обогащён</t>
        </is>
      </c>
      <c r="U6763" s="35" t="inlineStr">
        <is>
          <t>Нет ОКВЭД/ССЧР</t>
        </is>
      </c>
      <c r="V6763" s="35" t="inlineStr">
        <is>
          <t>Не определено</t>
        </is>
      </c>
      <c r="W6763" s="35" t="inlineStr">
        <is>
          <t>Нет</t>
        </is>
      </c>
      <c r="X6763" s="35" t="inlineStr"/>
    </row>
    <row r="6764" ht="15" customHeight="1" s="24">
      <c r="A6764" s="13" t="inlineStr">
        <is>
          <t>FR563520</t>
        </is>
      </c>
      <c r="B6764" s="13" t="inlineStr">
        <is>
          <t>ИП Ханжин Леонид Павлович</t>
        </is>
      </c>
      <c r="C6764" s="13" t="n">
        <v>773500231781</v>
      </c>
      <c r="D6764" s="13" t="inlineStr">
        <is>
          <t>773500231781</t>
        </is>
      </c>
      <c r="E6764" s="13" t="inlineStr">
        <is>
          <t>ИП РФ / физлицо</t>
        </is>
      </c>
      <c r="F6764" s="13" t="n"/>
      <c r="G6764" s="14" t="n"/>
      <c r="H6764" s="14" t="n"/>
      <c r="I6764" s="14" t="n"/>
      <c r="J6764" s="14" t="n"/>
      <c r="K6764" s="53" t="inlineStr"/>
      <c r="L6764" s="53" t="inlineStr">
        <is>
          <t>Не определено</t>
        </is>
      </c>
      <c r="M6764" s="53" t="inlineStr"/>
      <c r="N6764" s="54" t="inlineStr"/>
      <c r="O6764" s="55" t="inlineStr"/>
      <c r="P6764" s="16" t="inlineStr">
        <is>
          <t>Требует обогащения</t>
        </is>
      </c>
      <c r="Q6764" s="16">
        <f>HYPERLINK("https://pb.nalog.ru/search.html?query=773500231781","ФНС: проверить")</f>
        <v/>
      </c>
      <c r="R6764" s="16">
        <f>HYPERLINK("https://checko.ru/search?query=3801001629","Чекко: проверить")</f>
        <v/>
      </c>
      <c r="S6764" t="n">
        <v>1</v>
      </c>
      <c r="T6764" s="35" t="inlineStr">
        <is>
          <t>4 — Не обогащён</t>
        </is>
      </c>
      <c r="U6764" s="35" t="inlineStr">
        <is>
          <t>Нет ОКВЭД/ССЧР</t>
        </is>
      </c>
      <c r="V6764" s="35" t="inlineStr">
        <is>
          <t>Не определено</t>
        </is>
      </c>
      <c r="W6764" s="35" t="inlineStr"/>
      <c r="X6764" s="35" t="inlineStr"/>
    </row>
    <row r="6765" ht="15" customHeight="1" s="24">
      <c r="A6765" s="13" t="inlineStr">
        <is>
          <t>FR553251</t>
        </is>
      </c>
      <c r="B6765" s="13" t="inlineStr">
        <is>
          <t>ИП Гусейнов Руслан Гусейнович</t>
        </is>
      </c>
      <c r="C6765" s="13" t="n">
        <v>272512393904</v>
      </c>
      <c r="D6765" s="13" t="inlineStr">
        <is>
          <t>272512393904</t>
        </is>
      </c>
      <c r="E6765" s="13" t="inlineStr">
        <is>
          <t>ИП РФ / физлицо</t>
        </is>
      </c>
      <c r="F6765" s="13" t="n"/>
      <c r="G6765" s="14" t="n"/>
      <c r="H6765" s="14" t="n"/>
      <c r="I6765" s="14" t="n"/>
      <c r="J6765" s="14" t="n"/>
      <c r="K6765" s="53" t="inlineStr"/>
      <c r="L6765" s="53" t="inlineStr">
        <is>
          <t>Не определено</t>
        </is>
      </c>
      <c r="M6765" s="53" t="inlineStr"/>
      <c r="N6765" s="54" t="inlineStr"/>
      <c r="O6765" s="55" t="inlineStr"/>
      <c r="P6765" s="16" t="inlineStr">
        <is>
          <t>Требует обогащения</t>
        </is>
      </c>
      <c r="Q6765" s="16">
        <f>HYPERLINK("https://pb.nalog.ru/search.html?query=272512393904","ФНС: проверить")</f>
        <v/>
      </c>
      <c r="R6765" s="16">
        <f>HYPERLINK("https://checko.ru/search?query=3801001629","Чекко: проверить")</f>
        <v/>
      </c>
      <c r="S6765" t="n">
        <v>1</v>
      </c>
      <c r="T6765" s="35" t="inlineStr">
        <is>
          <t>4 — Не обогащён</t>
        </is>
      </c>
      <c r="U6765" s="35" t="inlineStr">
        <is>
          <t>Нет ОКВЭД/ССЧР</t>
        </is>
      </c>
      <c r="V6765" s="35" t="inlineStr">
        <is>
          <t>Не определено</t>
        </is>
      </c>
      <c r="W6765" s="35" t="inlineStr"/>
      <c r="X6765" s="35" t="inlineStr"/>
    </row>
    <row r="6766" ht="41.25" customHeight="1" s="24">
      <c r="A6766" s="13" t="inlineStr">
        <is>
          <t>FR716316</t>
        </is>
      </c>
      <c r="B6766" s="13" t="inlineStr">
        <is>
          <t>Общество с ограниченной ответственностью "ЖИЛИЩНО-ЭКСПЛУАТАЦИОННАЯ КОМПАНИЯ - ЭНЕРГИЯ"</t>
        </is>
      </c>
      <c r="C6766" s="13" t="n">
        <v>3804049530</v>
      </c>
      <c r="D6766" s="13" t="inlineStr">
        <is>
          <t>3804049530</t>
        </is>
      </c>
      <c r="E6766" s="13" t="inlineStr">
        <is>
          <t>ЮЛ РФ</t>
        </is>
      </c>
      <c r="F6766" s="13" t="n"/>
      <c r="G6766" s="52" t="n">
        <v>4</v>
      </c>
      <c r="H6766" s="52" t="n">
        <v>2025</v>
      </c>
      <c r="I6766" s="14" t="n"/>
      <c r="J6766" s="14" t="n"/>
      <c r="K6766" s="53" t="inlineStr">
        <is>
          <t>Нет</t>
        </is>
      </c>
      <c r="L6766" s="53" t="inlineStr">
        <is>
          <t>Не определено</t>
        </is>
      </c>
      <c r="M6766" s="53" t="inlineStr">
        <is>
          <t>До 10</t>
        </is>
      </c>
      <c r="N6766" s="54" t="n">
        <v>3360</v>
      </c>
      <c r="O6766" s="55" t="inlineStr">
        <is>
          <t>1–15</t>
        </is>
      </c>
      <c r="P6766" s="16" t="inlineStr">
        <is>
          <t>ССЧР обогащена; ОКВЭД не найден/не загружен</t>
        </is>
      </c>
      <c r="Q6766" s="16" t="inlineStr">
        <is>
          <t>ФНС открытые данные ССЧР (ДатаСост 31.12.2025; набор 7707329152-sshr2019)</t>
        </is>
      </c>
      <c r="R6766" s="16">
        <f>HYPERLINK("https://checko.ru/search?query=3801001629","Чекко: проверить")</f>
        <v/>
      </c>
      <c r="S6766" t="n">
        <v>1</v>
      </c>
      <c r="T6766" s="35" t="inlineStr">
        <is>
          <t>4 — Не обогащён</t>
        </is>
      </c>
      <c r="U6766" s="35" t="inlineStr">
        <is>
          <t>Нет ОКВЭД/ССЧР</t>
        </is>
      </c>
      <c r="V6766" s="35" t="inlineStr">
        <is>
          <t>Не определено</t>
        </is>
      </c>
      <c r="W6766" s="35" t="inlineStr">
        <is>
          <t>Нет</t>
        </is>
      </c>
      <c r="X6766" s="35" t="inlineStr"/>
    </row>
    <row r="6767" ht="15" customHeight="1" s="24">
      <c r="A6767" s="13" t="inlineStr">
        <is>
          <t>FR95901</t>
        </is>
      </c>
      <c r="B6767" s="13" t="inlineStr">
        <is>
          <t>АТР-СЕРВИС ООО</t>
        </is>
      </c>
      <c r="C6767" s="13" t="n">
        <v>7733700905</v>
      </c>
      <c r="D6767" s="13" t="inlineStr">
        <is>
          <t>7733700905</t>
        </is>
      </c>
      <c r="E6767" s="13" t="inlineStr">
        <is>
          <t>ЮЛ РФ</t>
        </is>
      </c>
      <c r="F6767" s="13" t="n"/>
      <c r="G6767" s="52" t="n">
        <v>1</v>
      </c>
      <c r="H6767" s="52" t="n">
        <v>2025</v>
      </c>
      <c r="I6767" s="14" t="n"/>
      <c r="J6767" s="14" t="n"/>
      <c r="K6767" s="53" t="inlineStr">
        <is>
          <t>Нет</t>
        </is>
      </c>
      <c r="L6767" s="53" t="inlineStr">
        <is>
          <t>Не определено</t>
        </is>
      </c>
      <c r="M6767" s="53" t="inlineStr">
        <is>
          <t>До 10</t>
        </is>
      </c>
      <c r="N6767" s="54" t="n">
        <v>3360</v>
      </c>
      <c r="O6767" s="55" t="inlineStr">
        <is>
          <t>1–15</t>
        </is>
      </c>
      <c r="P6767" s="16" t="inlineStr">
        <is>
          <t>ССЧР обогащена; ОКВЭД не найден/не загружен</t>
        </is>
      </c>
      <c r="Q6767" s="16" t="inlineStr">
        <is>
          <t>ФНС открытые данные ССЧР (ДатаСост 31.12.2025; набор 7707329152-sshr2019)</t>
        </is>
      </c>
      <c r="R6767" s="16">
        <f>HYPERLINK("https://checko.ru/search?query=3801001629","Чекко: проверить")</f>
        <v/>
      </c>
      <c r="S6767" t="n">
        <v>1</v>
      </c>
      <c r="T6767" s="35" t="inlineStr">
        <is>
          <t>4 — Не обогащён</t>
        </is>
      </c>
      <c r="U6767" s="35" t="inlineStr">
        <is>
          <t>Нет ОКВЭД/ССЧР</t>
        </is>
      </c>
      <c r="V6767" s="35" t="inlineStr">
        <is>
          <t>Не определено</t>
        </is>
      </c>
      <c r="W6767" s="35" t="inlineStr">
        <is>
          <t>Нет</t>
        </is>
      </c>
      <c r="X6767" s="35" t="inlineStr"/>
    </row>
    <row r="6768" ht="27.75" customHeight="1" s="24">
      <c r="A6768" s="13" t="inlineStr">
        <is>
          <t>FR558831</t>
        </is>
      </c>
      <c r="B6768" s="13" t="inlineStr">
        <is>
          <t>ОБЩЕСТВО С ОГРАНИЧЕННОЙ ОТВЕТСТВЕННОСТЬЮ "МАСТЕРСТРОЙ"</t>
        </is>
      </c>
      <c r="C6768" s="13" t="n">
        <v>3802011891</v>
      </c>
      <c r="D6768" s="13" t="inlineStr">
        <is>
          <t>3802011891</t>
        </is>
      </c>
      <c r="E6768" s="13" t="inlineStr">
        <is>
          <t>ЮЛ РФ</t>
        </is>
      </c>
      <c r="F6768" s="13" t="n"/>
      <c r="G6768" s="52" t="n">
        <v>4</v>
      </c>
      <c r="H6768" s="52" t="n">
        <v>2025</v>
      </c>
      <c r="I6768" s="14" t="n"/>
      <c r="J6768" s="14" t="n"/>
      <c r="K6768" s="53" t="inlineStr">
        <is>
          <t>Нет</t>
        </is>
      </c>
      <c r="L6768" s="53" t="inlineStr">
        <is>
          <t>Не определено</t>
        </is>
      </c>
      <c r="M6768" s="53" t="inlineStr">
        <is>
          <t>До 10</t>
        </is>
      </c>
      <c r="N6768" s="54" t="n">
        <v>3360</v>
      </c>
      <c r="O6768" s="55" t="inlineStr">
        <is>
          <t>1–15</t>
        </is>
      </c>
      <c r="P6768" s="16" t="inlineStr">
        <is>
          <t>ССЧР обогащена; ОКВЭД не найден/не загружен</t>
        </is>
      </c>
      <c r="Q6768" s="16" t="inlineStr">
        <is>
          <t>ФНС открытые данные ССЧР (ДатаСост 31.12.2025; набор 7707329152-sshr2019)</t>
        </is>
      </c>
      <c r="R6768" s="16">
        <f>HYPERLINK("https://checko.ru/search?query=3801001629","Чекко: проверить")</f>
        <v/>
      </c>
      <c r="S6768" t="n">
        <v>1</v>
      </c>
      <c r="T6768" s="35" t="inlineStr">
        <is>
          <t>4 — Не обогащён</t>
        </is>
      </c>
      <c r="U6768" s="35" t="inlineStr">
        <is>
          <t>Нет ОКВЭД/ССЧР</t>
        </is>
      </c>
      <c r="V6768" s="35" t="inlineStr">
        <is>
          <t>Не определено</t>
        </is>
      </c>
      <c r="W6768" s="35" t="inlineStr">
        <is>
          <t>Нет</t>
        </is>
      </c>
      <c r="X6768" s="35" t="inlineStr"/>
    </row>
    <row r="6769" ht="27.75" customHeight="1" s="24">
      <c r="A6769" s="13" t="inlineStr">
        <is>
          <t>FR568036</t>
        </is>
      </c>
      <c r="B6769" s="13" t="inlineStr">
        <is>
          <t>ОБЩЕСТВО С ОГРАНИЧЕННОЙ ОТВЕТСТВЕННОСТЬЮ "ПРОФИТ"</t>
        </is>
      </c>
      <c r="C6769" s="13" t="n">
        <v>3810056159</v>
      </c>
      <c r="D6769" s="13" t="inlineStr">
        <is>
          <t>3810056159</t>
        </is>
      </c>
      <c r="E6769" s="13" t="inlineStr">
        <is>
          <t>ЮЛ РФ</t>
        </is>
      </c>
      <c r="F6769" s="13" t="n"/>
      <c r="G6769" s="52" t="n">
        <v>1</v>
      </c>
      <c r="H6769" s="52" t="n">
        <v>2025</v>
      </c>
      <c r="I6769" s="14" t="n"/>
      <c r="J6769" s="14" t="n"/>
      <c r="K6769" s="53" t="inlineStr">
        <is>
          <t>Нет</t>
        </is>
      </c>
      <c r="L6769" s="53" t="inlineStr">
        <is>
          <t>Не определено</t>
        </is>
      </c>
      <c r="M6769" s="53" t="inlineStr">
        <is>
          <t>До 10</t>
        </is>
      </c>
      <c r="N6769" s="54" t="n">
        <v>3360</v>
      </c>
      <c r="O6769" s="55" t="inlineStr">
        <is>
          <t>1–15</t>
        </is>
      </c>
      <c r="P6769" s="16" t="inlineStr">
        <is>
          <t>ССЧР обогащена; ОКВЭД не найден/не загружен</t>
        </is>
      </c>
      <c r="Q6769" s="16" t="inlineStr">
        <is>
          <t>ФНС открытые данные ССЧР (ДатаСост 31.12.2025; набор 7707329152-sshr2019)</t>
        </is>
      </c>
      <c r="R6769" s="16">
        <f>HYPERLINK("https://checko.ru/search?query=3801001629","Чекко: проверить")</f>
        <v/>
      </c>
      <c r="S6769" t="n">
        <v>1</v>
      </c>
      <c r="T6769" s="35" t="inlineStr">
        <is>
          <t>4 — Не обогащён</t>
        </is>
      </c>
      <c r="U6769" s="35" t="inlineStr">
        <is>
          <t>Нет ОКВЭД/ССЧР</t>
        </is>
      </c>
      <c r="V6769" s="35" t="inlineStr">
        <is>
          <t>Не определено</t>
        </is>
      </c>
      <c r="W6769" s="35" t="inlineStr">
        <is>
          <t>Нет</t>
        </is>
      </c>
      <c r="X6769" s="35" t="inlineStr"/>
    </row>
    <row r="6770" ht="15" customHeight="1" s="24">
      <c r="A6770" s="13" t="inlineStr">
        <is>
          <t>FR415972</t>
        </is>
      </c>
      <c r="B6770" s="13" t="inlineStr">
        <is>
          <t>ИП Хитько Полина Валерьевна</t>
        </is>
      </c>
      <c r="C6770" s="13" t="n">
        <v>233008504627</v>
      </c>
      <c r="D6770" s="13" t="inlineStr">
        <is>
          <t>233008504627</t>
        </is>
      </c>
      <c r="E6770" s="13" t="inlineStr">
        <is>
          <t>ИП РФ / физлицо</t>
        </is>
      </c>
      <c r="F6770" s="13" t="n"/>
      <c r="G6770" s="14" t="n"/>
      <c r="H6770" s="14" t="n"/>
      <c r="I6770" s="14" t="n"/>
      <c r="J6770" s="14" t="n"/>
      <c r="K6770" s="53" t="inlineStr"/>
      <c r="L6770" s="53" t="inlineStr">
        <is>
          <t>Не определено</t>
        </is>
      </c>
      <c r="M6770" s="53" t="inlineStr"/>
      <c r="N6770" s="54" t="inlineStr"/>
      <c r="O6770" s="55" t="inlineStr"/>
      <c r="P6770" s="16" t="inlineStr">
        <is>
          <t>Требует обогащения</t>
        </is>
      </c>
      <c r="Q6770" s="16">
        <f>HYPERLINK("https://pb.nalog.ru/search.html?query=233008504627","ФНС: проверить")</f>
        <v/>
      </c>
      <c r="R6770" s="16">
        <f>HYPERLINK("https://checko.ru/search?query=3801001629","Чекко: проверить")</f>
        <v/>
      </c>
      <c r="S6770" t="n">
        <v>1</v>
      </c>
      <c r="T6770" s="35" t="inlineStr">
        <is>
          <t>4 — Не обогащён</t>
        </is>
      </c>
      <c r="U6770" s="35" t="inlineStr">
        <is>
          <t>Нет ОКВЭД/ССЧР</t>
        </is>
      </c>
      <c r="V6770" s="35" t="inlineStr">
        <is>
          <t>Не определено</t>
        </is>
      </c>
      <c r="W6770" s="35" t="inlineStr"/>
      <c r="X6770" s="35" t="inlineStr"/>
    </row>
    <row r="6771" ht="15" customHeight="1" s="24">
      <c r="A6771" s="13" t="inlineStr">
        <is>
          <t>FR1259206</t>
        </is>
      </c>
      <c r="B6771" s="13" t="inlineStr">
        <is>
          <t>ИП Баранов Алексей Павлович</t>
        </is>
      </c>
      <c r="C6771" s="13" t="n">
        <v>380415551710</v>
      </c>
      <c r="D6771" s="13" t="inlineStr">
        <is>
          <t>380415551710</t>
        </is>
      </c>
      <c r="E6771" s="13" t="inlineStr">
        <is>
          <t>ИП РФ / физлицо</t>
        </is>
      </c>
      <c r="F6771" s="13" t="n"/>
      <c r="G6771" s="14" t="n"/>
      <c r="H6771" s="14" t="n"/>
      <c r="I6771" s="14" t="n"/>
      <c r="J6771" s="14" t="n"/>
      <c r="K6771" s="53" t="inlineStr"/>
      <c r="L6771" s="53" t="inlineStr">
        <is>
          <t>Не определено</t>
        </is>
      </c>
      <c r="M6771" s="53" t="inlineStr"/>
      <c r="N6771" s="54" t="inlineStr"/>
      <c r="O6771" s="55" t="inlineStr"/>
      <c r="P6771" s="16" t="inlineStr">
        <is>
          <t>Требует обогащения</t>
        </is>
      </c>
      <c r="Q6771" s="16">
        <f>HYPERLINK("https://pb.nalog.ru/search.html?query=380415551710","ФНС: проверить")</f>
        <v/>
      </c>
      <c r="R6771" s="16">
        <f>HYPERLINK("https://checko.ru/search?query=3801001629","Чекко: проверить")</f>
        <v/>
      </c>
      <c r="S6771" t="n">
        <v>1</v>
      </c>
      <c r="T6771" s="35" t="inlineStr">
        <is>
          <t>4 — Не обогащён</t>
        </is>
      </c>
      <c r="U6771" s="35" t="inlineStr">
        <is>
          <t>Нет ОКВЭД/ССЧР</t>
        </is>
      </c>
      <c r="V6771" s="35" t="inlineStr">
        <is>
          <t>Не определено</t>
        </is>
      </c>
      <c r="W6771" s="35" t="inlineStr"/>
      <c r="X6771" s="35" t="inlineStr"/>
    </row>
    <row r="6772" ht="15" customHeight="1" s="24">
      <c r="A6772" s="13" t="inlineStr">
        <is>
          <t>FR704232</t>
        </is>
      </c>
      <c r="B6772" s="13" t="inlineStr">
        <is>
          <t>ИП Долежал Ян Янович</t>
        </is>
      </c>
      <c r="C6772" s="13" t="n">
        <v>773015264044</v>
      </c>
      <c r="D6772" s="13" t="inlineStr">
        <is>
          <t>773015264044</t>
        </is>
      </c>
      <c r="E6772" s="13" t="inlineStr">
        <is>
          <t>ИП РФ / физлицо</t>
        </is>
      </c>
      <c r="F6772" s="13" t="n"/>
      <c r="G6772" s="14" t="n"/>
      <c r="H6772" s="14" t="n"/>
      <c r="I6772" s="14" t="n"/>
      <c r="J6772" s="14" t="n"/>
      <c r="K6772" s="53" t="inlineStr"/>
      <c r="L6772" s="53" t="inlineStr">
        <is>
          <t>Не определено</t>
        </is>
      </c>
      <c r="M6772" s="53" t="inlineStr"/>
      <c r="N6772" s="54" t="inlineStr"/>
      <c r="O6772" s="55" t="inlineStr"/>
      <c r="P6772" s="16" t="inlineStr">
        <is>
          <t>Требует обогащения</t>
        </is>
      </c>
      <c r="Q6772" s="16">
        <f>HYPERLINK("https://pb.nalog.ru/search.html?query=773015264044","ФНС: проверить")</f>
        <v/>
      </c>
      <c r="R6772" s="16">
        <f>HYPERLINK("https://checko.ru/search?query=3801001629","Чекко: проверить")</f>
        <v/>
      </c>
      <c r="S6772" t="n">
        <v>1</v>
      </c>
      <c r="T6772" s="35" t="inlineStr">
        <is>
          <t>4 — Не обогащён</t>
        </is>
      </c>
      <c r="U6772" s="35" t="inlineStr">
        <is>
          <t>Нет ОКВЭД/ССЧР</t>
        </is>
      </c>
      <c r="V6772" s="35" t="inlineStr">
        <is>
          <t>Не определено</t>
        </is>
      </c>
      <c r="W6772" s="35" t="inlineStr"/>
      <c r="X6772" s="35" t="inlineStr"/>
    </row>
    <row r="6773" ht="15" customHeight="1" s="24">
      <c r="A6773" s="13" t="inlineStr">
        <is>
          <t>FR699365</t>
        </is>
      </c>
      <c r="B6773" s="13" t="inlineStr">
        <is>
          <t>ООО ИРКУТСКИЙ СВЯЗНОЙ</t>
        </is>
      </c>
      <c r="C6773" s="13" t="n">
        <v>3812990124</v>
      </c>
      <c r="D6773" s="13" t="inlineStr">
        <is>
          <t>3812990124</t>
        </is>
      </c>
      <c r="E6773" s="13" t="inlineStr">
        <is>
          <t>ЮЛ РФ</t>
        </is>
      </c>
      <c r="F6773" s="13" t="n"/>
      <c r="G6773" s="14" t="n"/>
      <c r="H6773" s="14" t="n"/>
      <c r="I6773" s="14" t="n"/>
      <c r="J6773" s="14" t="n"/>
      <c r="K6773" s="53" t="inlineStr"/>
      <c r="L6773" s="53" t="inlineStr">
        <is>
          <t>Не определено</t>
        </is>
      </c>
      <c r="M6773" s="53" t="inlineStr"/>
      <c r="N6773" s="54" t="inlineStr"/>
      <c r="O6773" s="55" t="inlineStr"/>
      <c r="P6773" s="16" t="inlineStr">
        <is>
          <t>Требует обогащения</t>
        </is>
      </c>
      <c r="Q6773" s="16">
        <f>HYPERLINK("https://pb.nalog.ru/search.html?query=3812990124","ФНС: проверить")</f>
        <v/>
      </c>
      <c r="R6773" s="16">
        <f>HYPERLINK("https://checko.ru/search?query=3801001629","Чекко: проверить")</f>
        <v/>
      </c>
      <c r="S6773" t="n">
        <v>1</v>
      </c>
      <c r="T6773" s="35" t="inlineStr">
        <is>
          <t>4 — Не обогащён</t>
        </is>
      </c>
      <c r="U6773" s="35" t="inlineStr">
        <is>
          <t>Нет ОКВЭД/ССЧР</t>
        </is>
      </c>
      <c r="V6773" s="35" t="inlineStr">
        <is>
          <t>Не определено</t>
        </is>
      </c>
      <c r="W6773" s="35" t="inlineStr"/>
      <c r="X6773" s="35" t="inlineStr"/>
    </row>
    <row r="6774" ht="27.75" customHeight="1" s="24">
      <c r="A6774" s="13" t="inlineStr">
        <is>
          <t>FR1259557</t>
        </is>
      </c>
      <c r="B6774" s="13" t="inlineStr">
        <is>
          <t>Общество с ограниченной ответственностью "ПЛУТОС"</t>
        </is>
      </c>
      <c r="C6774" s="13" t="n">
        <v>3816035074</v>
      </c>
      <c r="D6774" s="13" t="inlineStr">
        <is>
          <t>3816035074</t>
        </is>
      </c>
      <c r="E6774" s="13" t="inlineStr">
        <is>
          <t>ЮЛ РФ</t>
        </is>
      </c>
      <c r="F6774" s="13" t="n"/>
      <c r="G6774" s="52" t="n">
        <v>0</v>
      </c>
      <c r="H6774" s="52" t="n">
        <v>2025</v>
      </c>
      <c r="I6774" s="14" t="n"/>
      <c r="J6774" s="14" t="n"/>
      <c r="K6774" s="53" t="inlineStr">
        <is>
          <t>Нет</t>
        </is>
      </c>
      <c r="L6774" s="53" t="inlineStr">
        <is>
          <t>Не определено</t>
        </is>
      </c>
      <c r="M6774" s="53" t="inlineStr">
        <is>
          <t>До 10</t>
        </is>
      </c>
      <c r="N6774" s="54" t="n">
        <v>3360</v>
      </c>
      <c r="O6774" s="55" t="inlineStr">
        <is>
          <t>1–15</t>
        </is>
      </c>
      <c r="P6774" s="16" t="inlineStr">
        <is>
          <t>ССЧР обогащена; ОКВЭД не найден/не загружен</t>
        </is>
      </c>
      <c r="Q6774" s="16" t="inlineStr">
        <is>
          <t>ФНС открытые данные ССЧР (ДатаСост 31.12.2025; набор 7707329152-sshr2019)</t>
        </is>
      </c>
      <c r="R6774" s="16">
        <f>HYPERLINK("https://checko.ru/search?query=3801001629","Чекко: проверить")</f>
        <v/>
      </c>
      <c r="S6774" t="n">
        <v>1</v>
      </c>
      <c r="T6774" s="35" t="inlineStr">
        <is>
          <t>4 — Не обогащён</t>
        </is>
      </c>
      <c r="U6774" s="35" t="inlineStr">
        <is>
          <t>Нет ОКВЭД/ССЧР</t>
        </is>
      </c>
      <c r="V6774" s="35" t="inlineStr">
        <is>
          <t>Не определено</t>
        </is>
      </c>
      <c r="W6774" s="35" t="inlineStr">
        <is>
          <t>Нет</t>
        </is>
      </c>
      <c r="X6774" s="35" t="inlineStr"/>
    </row>
    <row r="6775" ht="27.75" customHeight="1" s="24">
      <c r="A6775" s="13" t="inlineStr">
        <is>
          <t>FR1260888</t>
        </is>
      </c>
      <c r="B6775" s="13" t="inlineStr">
        <is>
          <t>Общество с ограниченной ответственностью "МАЯК"</t>
        </is>
      </c>
      <c r="C6775" s="13" t="n">
        <v>3811118432</v>
      </c>
      <c r="D6775" s="13" t="inlineStr">
        <is>
          <t>3811118432</t>
        </is>
      </c>
      <c r="E6775" s="13" t="inlineStr">
        <is>
          <t>ЮЛ РФ</t>
        </is>
      </c>
      <c r="F6775" s="13" t="n"/>
      <c r="G6775" s="52" t="n">
        <v>1</v>
      </c>
      <c r="H6775" s="52" t="n">
        <v>2025</v>
      </c>
      <c r="I6775" s="14" t="n"/>
      <c r="J6775" s="14" t="n"/>
      <c r="K6775" s="53" t="inlineStr">
        <is>
          <t>Нет</t>
        </is>
      </c>
      <c r="L6775" s="53" t="inlineStr">
        <is>
          <t>Не определено</t>
        </is>
      </c>
      <c r="M6775" s="53" t="inlineStr">
        <is>
          <t>До 10</t>
        </is>
      </c>
      <c r="N6775" s="54" t="n">
        <v>3360</v>
      </c>
      <c r="O6775" s="55" t="inlineStr">
        <is>
          <t>1–15</t>
        </is>
      </c>
      <c r="P6775" s="16" t="inlineStr">
        <is>
          <t>ССЧР обогащена; ОКВЭД не найден/не загружен</t>
        </is>
      </c>
      <c r="Q6775" s="16" t="inlineStr">
        <is>
          <t>ФНС открытые данные ССЧР (ДатаСост 31.12.2025; набор 7707329152-sshr2019)</t>
        </is>
      </c>
      <c r="R6775" s="16">
        <f>HYPERLINK("https://checko.ru/search?query=3801001629","Чекко: проверить")</f>
        <v/>
      </c>
      <c r="S6775" t="n">
        <v>1</v>
      </c>
      <c r="T6775" s="35" t="inlineStr">
        <is>
          <t>4 — Не обогащён</t>
        </is>
      </c>
      <c r="U6775" s="35" t="inlineStr">
        <is>
          <t>Нет ОКВЭД/ССЧР</t>
        </is>
      </c>
      <c r="V6775" s="35" t="inlineStr">
        <is>
          <t>Не определено</t>
        </is>
      </c>
      <c r="W6775" s="35" t="inlineStr">
        <is>
          <t>Нет</t>
        </is>
      </c>
      <c r="X6775" s="35" t="inlineStr"/>
    </row>
    <row r="6776" ht="41.25" customHeight="1" s="24">
      <c r="A6776" s="13" t="inlineStr">
        <is>
          <t>FR1004967</t>
        </is>
      </c>
      <c r="B6776" s="13" t="inlineStr">
        <is>
          <t>Общество с ограниченной ответственностью РЕМОНТНО-СТРОИТЕЛЬНОЕ ПРЕДПРИЯТИЕ "АЛЬПИНИСТ"</t>
        </is>
      </c>
      <c r="C6776" s="13" t="n">
        <v>1434035618</v>
      </c>
      <c r="D6776" s="13" t="inlineStr">
        <is>
          <t>1434035618</t>
        </is>
      </c>
      <c r="E6776" s="13" t="inlineStr">
        <is>
          <t>ЮЛ РФ</t>
        </is>
      </c>
      <c r="F6776" s="13" t="n"/>
      <c r="G6776" s="52" t="n">
        <v>1</v>
      </c>
      <c r="H6776" s="52" t="n">
        <v>2025</v>
      </c>
      <c r="I6776" s="14" t="n"/>
      <c r="J6776" s="14" t="n"/>
      <c r="K6776" s="53" t="inlineStr">
        <is>
          <t>Нет</t>
        </is>
      </c>
      <c r="L6776" s="53" t="inlineStr">
        <is>
          <t>Не определено</t>
        </is>
      </c>
      <c r="M6776" s="53" t="inlineStr">
        <is>
          <t>До 10</t>
        </is>
      </c>
      <c r="N6776" s="54" t="n">
        <v>3360</v>
      </c>
      <c r="O6776" s="55" t="inlineStr">
        <is>
          <t>1–15</t>
        </is>
      </c>
      <c r="P6776" s="16" t="inlineStr">
        <is>
          <t>ССЧР обогащена; ОКВЭД не найден/не загружен</t>
        </is>
      </c>
      <c r="Q6776" s="16" t="inlineStr">
        <is>
          <t>ФНС открытые данные ССЧР (ДатаСост 31.12.2025; набор 7707329152-sshr2019)</t>
        </is>
      </c>
      <c r="R6776" s="16">
        <f>HYPERLINK("https://checko.ru/search?query=3801001629","Чекко: проверить")</f>
        <v/>
      </c>
      <c r="S6776" t="n">
        <v>1</v>
      </c>
      <c r="T6776" s="35" t="inlineStr">
        <is>
          <t>4 — Не обогащён</t>
        </is>
      </c>
      <c r="U6776" s="35" t="inlineStr">
        <is>
          <t>Нет ОКВЭД/ССЧР</t>
        </is>
      </c>
      <c r="V6776" s="35" t="inlineStr">
        <is>
          <t>Не определено</t>
        </is>
      </c>
      <c r="W6776" s="35" t="inlineStr">
        <is>
          <t>Нет</t>
        </is>
      </c>
      <c r="X6776" s="35" t="inlineStr"/>
    </row>
    <row r="6777" ht="15" customHeight="1" s="24">
      <c r="A6777" s="13" t="inlineStr">
        <is>
          <t>FR1236763</t>
        </is>
      </c>
      <c r="B6777" s="13" t="inlineStr">
        <is>
          <t>ИП ДАМБАЕВА НАДЕЖДА ВЛАДИМИРОВНА</t>
        </is>
      </c>
      <c r="C6777" s="13" t="n">
        <v>32608234358</v>
      </c>
      <c r="D6777" s="13" t="n"/>
      <c r="E6777" s="13" t="inlineStr">
        <is>
          <t>Не определён</t>
        </is>
      </c>
      <c r="F6777" s="13" t="n"/>
      <c r="G6777" s="14" t="n"/>
      <c r="H6777" s="14" t="n"/>
      <c r="I6777" s="14" t="n"/>
      <c r="J6777" s="14" t="n"/>
      <c r="K6777" s="13">
        <f>IF(G6777="","",IF(G6777&gt;=22,"Да","Нет"))</f>
        <v/>
      </c>
      <c r="L6777" s="13">
        <f>IF(OR(I6777="",J6777=""),"Не определено",IF(OR(COUNTIF(I6777,"45*")&gt;0,COUNTIF(J6777,"*45*")&gt;0,COUNTIF(I6777,"46*")&gt;0,COUNTIF(J6777,"*46*")&gt;0,COUNTIF(I6777,"47*")&gt;0,COUNTIF(J6777,"*47*")&gt;0,COUNTIF(I6777,"10*")&gt;0,COUNTIF(J6777,"*10*")&gt;0,COUNTIF(I6777,"11*")&gt;0,COUNTIF(J6777,"*11*")&gt;0,COUNTIF(I6777,"12*")&gt;0,COUNTIF(J6777,"*12*")&gt;0,COUNTIF(I6777,"13*")&gt;0,COUNTIF(J6777,"*13*")&gt;0,COUNTIF(I6777,"14*")&gt;0,COUNTIF(J6777,"*14*")&gt;0,COUNTIF(I6777,"15*")&gt;0,COUNTIF(J6777,"*15*")&gt;0,COUNTIF(I6777,"16*")&gt;0,COUNTIF(J6777,"*16*")&gt;0,COUNTIF(I6777,"17*")&gt;0,COUNTIF(J6777,"*17*")&gt;0,COUNTIF(I6777,"18*")&gt;0,COUNTIF(J6777,"*18*")&gt;0,COUNTIF(I6777,"19*")&gt;0,COUNTIF(J6777,"*19*")&gt;0,COUNTIF(I6777,"20*")&gt;0,COUNTIF(J6777,"*20*")&gt;0,COUNTIF(I6777,"21*")&gt;0,COUNTIF(J6777,"*21*")&gt;0,COUNTIF(I6777,"22*")&gt;0,COUNTIF(J6777,"*22*")&gt;0,COUNTIF(I6777,"23*")&gt;0,COUNTIF(J6777,"*23*")&gt;0,COUNTIF(I6777,"24*")&gt;0,COUNTIF(J6777,"*24*")&gt;0,COUNTIF(I6777,"25*")&gt;0,COUNTIF(J6777,"*25*")&gt;0,COUNTIF(I6777,"26*")&gt;0,COUNTIF(J6777,"*26*")&gt;0,COUNTIF(I6777,"27*")&gt;0,COUNTIF(J6777,"*27*")&gt;0,COUNTIF(I6777,"28*")&gt;0,COUNTIF(J6777,"*28*")&gt;0,COUNTIF(I6777,"29*")&gt;0,COUNTIF(J6777,"*29*")&gt;0,COUNTIF(I6777,"30*")&gt;0,COUNTIF(J6777,"*30*")&gt;0,COUNTIF(I6777,"31*")&gt;0,COUNTIF(J6777,"*31*")&gt;0,COUNTIF(I6777,"32*")&gt;0,COUNTIF(J6777,"*32*")&gt;0,COUNTIF(I6777,"33*")&gt;0,COUNTIF(J6777,"*33*")&gt;0,COUNTIF(I6777,"41*")&gt;0,COUNTIF(J6777,"*41*")&gt;0,COUNTIF(I6777,"42*")&gt;0,COUNTIF(J6777,"*42*")&gt;0,COUNTIF(I6777,"43*")&gt;0,COUNTIF(J6777,"*43*")&gt;0,COUNTIF(I6777,"49*")&gt;0,COUNTIF(J6777,"*49*")&gt;0,COUNTIF(I6777,"52*")&gt;0,COUNTIF(J6777,"*52*")&gt;0,COUNTIF(I6777,"55*")&gt;0,COUNTIF(J6777,"*55*")&gt;0,COUNTIF(I6777,"56*")&gt;0,COUNTIF(J6777,"*56*")&gt;0,COUNTIF(I6777,"68*")&gt;0,COUNTIF(J6777,"*68*")&gt;0,COUNTIF(I6777,"78*")&gt;0,COUNTIF(J6777,"*78*")&gt;0,COUNTIF(I6777,"81*")&gt;0,COUNTIF(J6777,"*81*")&gt;0,COUNTIF(I6777,"82*")&gt;0,COUNTIF(J6777,"*82*")&gt;0,COUNTIF(I6777,"64*")&gt;0,COUNTIF(J6777,"*64*")&gt;0,COUNTIF(I6777,"65*")&gt;0,COUNTIF(J6777,"*65*")&gt;0,COUNTIF(I6777,"66*")&gt;0,COUNTIF(J6777,"*66*")&gt;0,COUNTIF(I6777,"61*")&gt;0,COUNTIF(J6777,"*61*")&gt;0,COUNTIF(I6777,"62*")&gt;0,COUNTIF(J6777,"*62*")&gt;0,COUNTIF(I6777,"63*")&gt;0,COUNTIF(J6777,"*63*")&gt;0,COUNTIF(I6777,"85*")&gt;0,COUNTIF(J6777,"*85*")&gt;0,COUNTIF(I6777,"86*")&gt;0,COUNTIF(J6777,"*86*")&gt;0),"Да","Нет"))</f>
        <v/>
      </c>
      <c r="M6777" s="13">
        <f>IF(OR(G6777="",L6777&lt;&gt;"Да"),"",IF(G6777&lt;=100,"До 100",IF(G6777&lt;=200,"До 200",IF(G6777&lt;=500,"До 500","Отдельное КП"))))</f>
        <v/>
      </c>
      <c r="N6777" s="15">
        <f>IF(OR(G6777="",L6777&lt;&gt;"Да"),"",IF(G6777&lt;=100,33600,IF(G6777&lt;=200,62400,IF(G6777&lt;=500,144000,""))))</f>
        <v/>
      </c>
      <c r="O6777" s="16">
        <f>IF(G6777="","",IF(G6777&lt;=15,"1–15",IF(G6777&lt;=30,"16–30",IF(G6777&lt;=50,"31–50",IF(G6777&lt;=100,"51–100",IF(G6777&lt;=150,"101–150",IF(G6777&lt;=200,"151–200",IF(G6777&lt;=500,"201–500","500+"))))))))</f>
        <v/>
      </c>
      <c r="P6777" s="16" t="inlineStr">
        <is>
          <t>Нет совпадения в предоставленной выгрузке ССЧР</t>
        </is>
      </c>
      <c r="Q6777" s="16" t="n"/>
      <c r="R6777" s="16">
        <f>HYPERLINK("https://checko.ru/search?query=3801001629","Чекко: проверить")</f>
        <v/>
      </c>
      <c r="S6777" t="n">
        <v>0</v>
      </c>
    </row>
    <row r="6778" ht="15" customHeight="1" s="24">
      <c r="A6778" s="13" t="inlineStr">
        <is>
          <t>FR559334</t>
        </is>
      </c>
      <c r="B6778" s="13" t="inlineStr">
        <is>
          <t>ИП Устинов Юрий Владимирович</t>
        </is>
      </c>
      <c r="C6778" s="13" t="n">
        <v>190401504397</v>
      </c>
      <c r="D6778" s="13" t="inlineStr">
        <is>
          <t>190401504397</t>
        </is>
      </c>
      <c r="E6778" s="13" t="inlineStr">
        <is>
          <t>ИП РФ / физлицо</t>
        </is>
      </c>
      <c r="F6778" s="13" t="n"/>
      <c r="G6778" s="14" t="n"/>
      <c r="H6778" s="14" t="n"/>
      <c r="I6778" s="14" t="n"/>
      <c r="J6778" s="14" t="n"/>
      <c r="K6778" s="53" t="inlineStr"/>
      <c r="L6778" s="53" t="inlineStr">
        <is>
          <t>Не определено</t>
        </is>
      </c>
      <c r="M6778" s="53" t="inlineStr"/>
      <c r="N6778" s="54" t="inlineStr"/>
      <c r="O6778" s="55" t="inlineStr"/>
      <c r="P6778" s="16" t="inlineStr">
        <is>
          <t>Требует обогащения</t>
        </is>
      </c>
      <c r="Q6778" s="16">
        <f>HYPERLINK("https://pb.nalog.ru/search.html?query=190401504397","ФНС: проверить")</f>
        <v/>
      </c>
      <c r="R6778" s="16">
        <f>HYPERLINK("https://checko.ru/search?query=3801001629","Чекко: проверить")</f>
        <v/>
      </c>
      <c r="S6778" t="n">
        <v>1</v>
      </c>
      <c r="T6778" s="35" t="inlineStr">
        <is>
          <t>4 — Не обогащён</t>
        </is>
      </c>
      <c r="U6778" s="35" t="inlineStr">
        <is>
          <t>Нет ОКВЭД/ССЧР</t>
        </is>
      </c>
      <c r="V6778" s="35" t="inlineStr">
        <is>
          <t>Не определено</t>
        </is>
      </c>
      <c r="W6778" s="35" t="inlineStr"/>
      <c r="X6778" s="35" t="inlineStr"/>
    </row>
    <row r="6779" ht="27.75" customHeight="1" s="24">
      <c r="A6779" s="13" t="inlineStr">
        <is>
          <t>FR1246139</t>
        </is>
      </c>
      <c r="B6779" s="13" t="inlineStr">
        <is>
          <t>Общество с ограниченной ответственностью БАЙТЕХ-АВТО</t>
        </is>
      </c>
      <c r="C6779" s="13" t="n">
        <v>3849111186</v>
      </c>
      <c r="D6779" s="13" t="inlineStr">
        <is>
          <t>3849111186</t>
        </is>
      </c>
      <c r="E6779" s="13" t="inlineStr">
        <is>
          <t>ЮЛ РФ</t>
        </is>
      </c>
      <c r="F6779" s="13" t="n"/>
      <c r="G6779" s="52" t="n">
        <v>4</v>
      </c>
      <c r="H6779" s="52" t="n">
        <v>2025</v>
      </c>
      <c r="I6779" s="14" t="n"/>
      <c r="J6779" s="14" t="n"/>
      <c r="K6779" s="53" t="inlineStr">
        <is>
          <t>Нет</t>
        </is>
      </c>
      <c r="L6779" s="53" t="inlineStr">
        <is>
          <t>Не определено</t>
        </is>
      </c>
      <c r="M6779" s="53" t="inlineStr">
        <is>
          <t>До 10</t>
        </is>
      </c>
      <c r="N6779" s="54" t="n">
        <v>3360</v>
      </c>
      <c r="O6779" s="55" t="inlineStr">
        <is>
          <t>1–15</t>
        </is>
      </c>
      <c r="P6779" s="16" t="inlineStr">
        <is>
          <t>ССЧР обогащена; ОКВЭД не найден/не загружен</t>
        </is>
      </c>
      <c r="Q6779" s="16" t="inlineStr">
        <is>
          <t>ФНС открытые данные ССЧР (ДатаСост 31.12.2025; набор 7707329152-sshr2019)</t>
        </is>
      </c>
      <c r="R6779" s="16">
        <f>HYPERLINK("https://checko.ru/search?query=3801001629","Чекко: проверить")</f>
        <v/>
      </c>
      <c r="S6779" t="n">
        <v>1</v>
      </c>
      <c r="T6779" s="35" t="inlineStr">
        <is>
          <t>4 — Не обогащён</t>
        </is>
      </c>
      <c r="U6779" s="35" t="inlineStr">
        <is>
          <t>Нет ОКВЭД/ССЧР</t>
        </is>
      </c>
      <c r="V6779" s="35" t="inlineStr">
        <is>
          <t>Не определено</t>
        </is>
      </c>
      <c r="W6779" s="35" t="inlineStr">
        <is>
          <t>Нет</t>
        </is>
      </c>
      <c r="X6779" s="35" t="inlineStr"/>
    </row>
    <row r="6780" ht="15" customHeight="1" s="24">
      <c r="A6780" s="13" t="inlineStr">
        <is>
          <t>FR1259464</t>
        </is>
      </c>
      <c r="B6780" s="13" t="inlineStr">
        <is>
          <t>ИП Алексеев Сергей Григорьевич</t>
        </is>
      </c>
      <c r="C6780" s="13" t="n">
        <v>382007678800</v>
      </c>
      <c r="D6780" s="13" t="inlineStr">
        <is>
          <t>382007678800</t>
        </is>
      </c>
      <c r="E6780" s="13" t="inlineStr">
        <is>
          <t>ИП РФ / физлицо</t>
        </is>
      </c>
      <c r="F6780" s="13" t="n"/>
      <c r="G6780" s="14" t="n"/>
      <c r="H6780" s="14" t="n"/>
      <c r="I6780" s="14" t="n"/>
      <c r="J6780" s="14" t="n"/>
      <c r="K6780" s="53" t="inlineStr"/>
      <c r="L6780" s="53" t="inlineStr">
        <is>
          <t>Не определено</t>
        </is>
      </c>
      <c r="M6780" s="53" t="inlineStr"/>
      <c r="N6780" s="54" t="inlineStr"/>
      <c r="O6780" s="55" t="inlineStr"/>
      <c r="P6780" s="16" t="inlineStr">
        <is>
          <t>Требует обогащения</t>
        </is>
      </c>
      <c r="Q6780" s="16">
        <f>HYPERLINK("https://pb.nalog.ru/search.html?query=382007678800","ФНС: проверить")</f>
        <v/>
      </c>
      <c r="R6780" s="16">
        <f>HYPERLINK("https://checko.ru/search?query=3801001629","Чекко: проверить")</f>
        <v/>
      </c>
      <c r="S6780" t="n">
        <v>1</v>
      </c>
      <c r="T6780" s="35" t="inlineStr">
        <is>
          <t>4 — Не обогащён</t>
        </is>
      </c>
      <c r="U6780" s="35" t="inlineStr">
        <is>
          <t>Нет ОКВЭД/ССЧР</t>
        </is>
      </c>
      <c r="V6780" s="35" t="inlineStr">
        <is>
          <t>Не определено</t>
        </is>
      </c>
      <c r="W6780" s="35" t="inlineStr"/>
      <c r="X6780" s="35" t="inlineStr"/>
    </row>
    <row r="6781" ht="15" customHeight="1" s="24">
      <c r="A6781" s="13" t="inlineStr">
        <is>
          <t>FR1243536</t>
        </is>
      </c>
      <c r="B6781" s="13" t="inlineStr">
        <is>
          <t>ИП Умахандибиров Анварпаша Мирзабегович</t>
        </is>
      </c>
      <c r="C6781" s="13" t="n">
        <v>57300377965</v>
      </c>
      <c r="D6781" s="13" t="n"/>
      <c r="E6781" s="13" t="inlineStr">
        <is>
          <t>Не определён</t>
        </is>
      </c>
      <c r="F6781" s="13" t="n"/>
      <c r="G6781" s="14" t="n"/>
      <c r="H6781" s="14" t="n"/>
      <c r="I6781" s="14" t="n"/>
      <c r="J6781" s="14" t="n"/>
      <c r="K6781" s="13">
        <f>IF(G6781="","",IF(G6781&gt;=22,"Да","Нет"))</f>
        <v/>
      </c>
      <c r="L6781" s="13">
        <f>IF(OR(I6781="",J6781=""),"Не определено",IF(OR(COUNTIF(I6781,"45*")&gt;0,COUNTIF(J6781,"*45*")&gt;0,COUNTIF(I6781,"46*")&gt;0,COUNTIF(J6781,"*46*")&gt;0,COUNTIF(I6781,"47*")&gt;0,COUNTIF(J6781,"*47*")&gt;0,COUNTIF(I6781,"10*")&gt;0,COUNTIF(J6781,"*10*")&gt;0,COUNTIF(I6781,"11*")&gt;0,COUNTIF(J6781,"*11*")&gt;0,COUNTIF(I6781,"12*")&gt;0,COUNTIF(J6781,"*12*")&gt;0,COUNTIF(I6781,"13*")&gt;0,COUNTIF(J6781,"*13*")&gt;0,COUNTIF(I6781,"14*")&gt;0,COUNTIF(J6781,"*14*")&gt;0,COUNTIF(I6781,"15*")&gt;0,COUNTIF(J6781,"*15*")&gt;0,COUNTIF(I6781,"16*")&gt;0,COUNTIF(J6781,"*16*")&gt;0,COUNTIF(I6781,"17*")&gt;0,COUNTIF(J6781,"*17*")&gt;0,COUNTIF(I6781,"18*")&gt;0,COUNTIF(J6781,"*18*")&gt;0,COUNTIF(I6781,"19*")&gt;0,COUNTIF(J6781,"*19*")&gt;0,COUNTIF(I6781,"20*")&gt;0,COUNTIF(J6781,"*20*")&gt;0,COUNTIF(I6781,"21*")&gt;0,COUNTIF(J6781,"*21*")&gt;0,COUNTIF(I6781,"22*")&gt;0,COUNTIF(J6781,"*22*")&gt;0,COUNTIF(I6781,"23*")&gt;0,COUNTIF(J6781,"*23*")&gt;0,COUNTIF(I6781,"24*")&gt;0,COUNTIF(J6781,"*24*")&gt;0,COUNTIF(I6781,"25*")&gt;0,COUNTIF(J6781,"*25*")&gt;0,COUNTIF(I6781,"26*")&gt;0,COUNTIF(J6781,"*26*")&gt;0,COUNTIF(I6781,"27*")&gt;0,COUNTIF(J6781,"*27*")&gt;0,COUNTIF(I6781,"28*")&gt;0,COUNTIF(J6781,"*28*")&gt;0,COUNTIF(I6781,"29*")&gt;0,COUNTIF(J6781,"*29*")&gt;0,COUNTIF(I6781,"30*")&gt;0,COUNTIF(J6781,"*30*")&gt;0,COUNTIF(I6781,"31*")&gt;0,COUNTIF(J6781,"*31*")&gt;0,COUNTIF(I6781,"32*")&gt;0,COUNTIF(J6781,"*32*")&gt;0,COUNTIF(I6781,"33*")&gt;0,COUNTIF(J6781,"*33*")&gt;0,COUNTIF(I6781,"41*")&gt;0,COUNTIF(J6781,"*41*")&gt;0,COUNTIF(I6781,"42*")&gt;0,COUNTIF(J6781,"*42*")&gt;0,COUNTIF(I6781,"43*")&gt;0,COUNTIF(J6781,"*43*")&gt;0,COUNTIF(I6781,"49*")&gt;0,COUNTIF(J6781,"*49*")&gt;0,COUNTIF(I6781,"52*")&gt;0,COUNTIF(J6781,"*52*")&gt;0,COUNTIF(I6781,"55*")&gt;0,COUNTIF(J6781,"*55*")&gt;0,COUNTIF(I6781,"56*")&gt;0,COUNTIF(J6781,"*56*")&gt;0,COUNTIF(I6781,"68*")&gt;0,COUNTIF(J6781,"*68*")&gt;0,COUNTIF(I6781,"78*")&gt;0,COUNTIF(J6781,"*78*")&gt;0,COUNTIF(I6781,"81*")&gt;0,COUNTIF(J6781,"*81*")&gt;0,COUNTIF(I6781,"82*")&gt;0,COUNTIF(J6781,"*82*")&gt;0,COUNTIF(I6781,"64*")&gt;0,COUNTIF(J6781,"*64*")&gt;0,COUNTIF(I6781,"65*")&gt;0,COUNTIF(J6781,"*65*")&gt;0,COUNTIF(I6781,"66*")&gt;0,COUNTIF(J6781,"*66*")&gt;0,COUNTIF(I6781,"61*")&gt;0,COUNTIF(J6781,"*61*")&gt;0,COUNTIF(I6781,"62*")&gt;0,COUNTIF(J6781,"*62*")&gt;0,COUNTIF(I6781,"63*")&gt;0,COUNTIF(J6781,"*63*")&gt;0,COUNTIF(I6781,"85*")&gt;0,COUNTIF(J6781,"*85*")&gt;0,COUNTIF(I6781,"86*")&gt;0,COUNTIF(J6781,"*86*")&gt;0),"Да","Нет"))</f>
        <v/>
      </c>
      <c r="M6781" s="13">
        <f>IF(OR(G6781="",L6781&lt;&gt;"Да"),"",IF(G6781&lt;=100,"До 100",IF(G6781&lt;=200,"До 200",IF(G6781&lt;=500,"До 500","Отдельное КП"))))</f>
        <v/>
      </c>
      <c r="N6781" s="15">
        <f>IF(OR(G6781="",L6781&lt;&gt;"Да"),"",IF(G6781&lt;=100,33600,IF(G6781&lt;=200,62400,IF(G6781&lt;=500,144000,""))))</f>
        <v/>
      </c>
      <c r="O6781" s="16">
        <f>IF(G6781="","",IF(G6781&lt;=15,"1–15",IF(G6781&lt;=30,"16–30",IF(G6781&lt;=50,"31–50",IF(G6781&lt;=100,"51–100",IF(G6781&lt;=150,"101–150",IF(G6781&lt;=200,"151–200",IF(G6781&lt;=500,"201–500","500+"))))))))</f>
        <v/>
      </c>
      <c r="P6781" s="16" t="inlineStr">
        <is>
          <t>Нет совпадения в предоставленной выгрузке ССЧР</t>
        </is>
      </c>
      <c r="Q6781" s="16" t="n"/>
      <c r="R6781" s="16">
        <f>HYPERLINK("https://checko.ru/search?query=3801001629","Чекко: проверить")</f>
        <v/>
      </c>
      <c r="S6781" t="n">
        <v>0</v>
      </c>
    </row>
    <row r="6782" ht="27.75" customHeight="1" s="24">
      <c r="A6782" s="13" t="inlineStr">
        <is>
          <t>FR1262642</t>
        </is>
      </c>
      <c r="B6782" s="13" t="inlineStr">
        <is>
          <t>Общество с ограниченной ответственностью "ЮСМАКС"</t>
        </is>
      </c>
      <c r="C6782" s="13" t="n">
        <v>3808295086</v>
      </c>
      <c r="D6782" s="13" t="inlineStr">
        <is>
          <t>3808295086</t>
        </is>
      </c>
      <c r="E6782" s="13" t="inlineStr">
        <is>
          <t>ЮЛ РФ</t>
        </is>
      </c>
      <c r="F6782" s="13" t="n"/>
      <c r="G6782" s="52" t="n">
        <v>0</v>
      </c>
      <c r="H6782" s="52" t="n">
        <v>2025</v>
      </c>
      <c r="I6782" s="14" t="n"/>
      <c r="J6782" s="14" t="n"/>
      <c r="K6782" s="53" t="inlineStr">
        <is>
          <t>Нет</t>
        </is>
      </c>
      <c r="L6782" s="53" t="inlineStr">
        <is>
          <t>Не определено</t>
        </is>
      </c>
      <c r="M6782" s="53" t="inlineStr">
        <is>
          <t>До 10</t>
        </is>
      </c>
      <c r="N6782" s="54" t="n">
        <v>3360</v>
      </c>
      <c r="O6782" s="55" t="inlineStr">
        <is>
          <t>1–15</t>
        </is>
      </c>
      <c r="P6782" s="16" t="inlineStr">
        <is>
          <t>ССЧР обогащена; ОКВЭД не найден/не загружен</t>
        </is>
      </c>
      <c r="Q6782" s="16" t="inlineStr">
        <is>
          <t>ФНС открытые данные ССЧР (ДатаСост 31.12.2025; набор 7707329152-sshr2019)</t>
        </is>
      </c>
      <c r="R6782" s="16">
        <f>HYPERLINK("https://checko.ru/search?query=3801001629","Чекко: проверить")</f>
        <v/>
      </c>
      <c r="S6782" t="n">
        <v>1</v>
      </c>
      <c r="T6782" s="35" t="inlineStr">
        <is>
          <t>4 — Не обогащён</t>
        </is>
      </c>
      <c r="U6782" s="35" t="inlineStr">
        <is>
          <t>Нет ОКВЭД/ССЧР</t>
        </is>
      </c>
      <c r="V6782" s="35" t="inlineStr">
        <is>
          <t>Не определено</t>
        </is>
      </c>
      <c r="W6782" s="35" t="inlineStr">
        <is>
          <t>Нет</t>
        </is>
      </c>
      <c r="X6782" s="35" t="inlineStr"/>
    </row>
    <row r="6783" ht="27.75" customHeight="1" s="24">
      <c r="A6783" s="13" t="inlineStr">
        <is>
          <t>FR1250433</t>
        </is>
      </c>
      <c r="B6783" s="13" t="inlineStr">
        <is>
          <t>Общество с ограниченной ответственностью "БАЙКАЛЬСКАЯ СКАЗКА"</t>
        </is>
      </c>
      <c r="C6783" s="13" t="n">
        <v>3812162466</v>
      </c>
      <c r="D6783" s="13" t="inlineStr">
        <is>
          <t>3812162466</t>
        </is>
      </c>
      <c r="E6783" s="13" t="inlineStr">
        <is>
          <t>ЮЛ РФ</t>
        </is>
      </c>
      <c r="F6783" s="13" t="n"/>
      <c r="G6783" s="52" t="n">
        <v>2</v>
      </c>
      <c r="H6783" s="52" t="n">
        <v>2025</v>
      </c>
      <c r="I6783" s="14" t="n"/>
      <c r="J6783" s="14" t="n"/>
      <c r="K6783" s="53" t="inlineStr">
        <is>
          <t>Нет</t>
        </is>
      </c>
      <c r="L6783" s="53" t="inlineStr">
        <is>
          <t>Не определено</t>
        </is>
      </c>
      <c r="M6783" s="53" t="inlineStr">
        <is>
          <t>До 10</t>
        </is>
      </c>
      <c r="N6783" s="54" t="n">
        <v>3360</v>
      </c>
      <c r="O6783" s="55" t="inlineStr">
        <is>
          <t>1–15</t>
        </is>
      </c>
      <c r="P6783" s="16" t="inlineStr">
        <is>
          <t>ССЧР обогащена; ОКВЭД не найден/не загружен</t>
        </is>
      </c>
      <c r="Q6783" s="16" t="inlineStr">
        <is>
          <t>ФНС открытые данные ССЧР (ДатаСост 31.12.2025; набор 7707329152-sshr2019)</t>
        </is>
      </c>
      <c r="R6783" s="16">
        <f>HYPERLINK("https://checko.ru/search?query=3801001629","Чекко: проверить")</f>
        <v/>
      </c>
      <c r="S6783" t="n">
        <v>1</v>
      </c>
      <c r="T6783" s="35" t="inlineStr">
        <is>
          <t>4 — Не обогащён</t>
        </is>
      </c>
      <c r="U6783" s="35" t="inlineStr">
        <is>
          <t>Нет ОКВЭД/ССЧР</t>
        </is>
      </c>
      <c r="V6783" s="35" t="inlineStr">
        <is>
          <t>Не определено</t>
        </is>
      </c>
      <c r="W6783" s="35" t="inlineStr">
        <is>
          <t>Нет</t>
        </is>
      </c>
      <c r="X6783" s="35" t="inlineStr"/>
    </row>
    <row r="6784" ht="15" customHeight="1" s="24">
      <c r="A6784" s="13" t="inlineStr">
        <is>
          <t>FR1246350</t>
        </is>
      </c>
      <c r="B6784" s="13" t="inlineStr">
        <is>
          <t>ИП Добрынин Егор Романович</t>
        </is>
      </c>
      <c r="C6784" s="13" t="n">
        <v>382706964000</v>
      </c>
      <c r="D6784" s="13" t="inlineStr">
        <is>
          <t>382706964000</t>
        </is>
      </c>
      <c r="E6784" s="13" t="inlineStr">
        <is>
          <t>ИП РФ / физлицо</t>
        </is>
      </c>
      <c r="F6784" s="13" t="n"/>
      <c r="G6784" s="14" t="n"/>
      <c r="H6784" s="14" t="n"/>
      <c r="I6784" s="14" t="n"/>
      <c r="J6784" s="14" t="n"/>
      <c r="K6784" s="53" t="inlineStr"/>
      <c r="L6784" s="53" t="inlineStr">
        <is>
          <t>Не определено</t>
        </is>
      </c>
      <c r="M6784" s="53" t="inlineStr"/>
      <c r="N6784" s="54" t="inlineStr"/>
      <c r="O6784" s="55" t="inlineStr"/>
      <c r="P6784" s="16" t="inlineStr">
        <is>
          <t>Требует обогащения</t>
        </is>
      </c>
      <c r="Q6784" s="16">
        <f>HYPERLINK("https://pb.nalog.ru/search.html?query=382706964000","ФНС: проверить")</f>
        <v/>
      </c>
      <c r="R6784" s="16">
        <f>HYPERLINK("https://checko.ru/search?query=3801001629","Чекко: проверить")</f>
        <v/>
      </c>
      <c r="S6784" t="n">
        <v>1</v>
      </c>
      <c r="T6784" s="35" t="inlineStr">
        <is>
          <t>4 — Не обогащён</t>
        </is>
      </c>
      <c r="U6784" s="35" t="inlineStr">
        <is>
          <t>Нет ОКВЭД/ССЧР</t>
        </is>
      </c>
      <c r="V6784" s="35" t="inlineStr">
        <is>
          <t>Не определено</t>
        </is>
      </c>
      <c r="W6784" s="35" t="inlineStr"/>
      <c r="X6784" s="35" t="inlineStr"/>
    </row>
    <row r="6785" ht="15" customHeight="1" s="24">
      <c r="A6785" s="13" t="inlineStr">
        <is>
          <t>FR1244657</t>
        </is>
      </c>
      <c r="B6785" s="13" t="inlineStr">
        <is>
          <t>ИП ВАНЮШКИНА ДИНА ДМИТРИЕВНА</t>
        </is>
      </c>
      <c r="C6785" s="13" t="n">
        <v>250703884061</v>
      </c>
      <c r="D6785" s="13" t="inlineStr">
        <is>
          <t>250703884061</t>
        </is>
      </c>
      <c r="E6785" s="13" t="inlineStr">
        <is>
          <t>ИП РФ / физлицо</t>
        </is>
      </c>
      <c r="F6785" s="13" t="n"/>
      <c r="G6785" s="14" t="n"/>
      <c r="H6785" s="14" t="n"/>
      <c r="I6785" s="14" t="n"/>
      <c r="J6785" s="14" t="n"/>
      <c r="K6785" s="53" t="inlineStr"/>
      <c r="L6785" s="53" t="inlineStr">
        <is>
          <t>Не определено</t>
        </is>
      </c>
      <c r="M6785" s="53" t="inlineStr"/>
      <c r="N6785" s="54" t="inlineStr"/>
      <c r="O6785" s="55" t="inlineStr"/>
      <c r="P6785" s="16" t="inlineStr">
        <is>
          <t>Требует обогащения</t>
        </is>
      </c>
      <c r="Q6785" s="16">
        <f>HYPERLINK("https://pb.nalog.ru/search.html?query=250703884061","ФНС: проверить")</f>
        <v/>
      </c>
      <c r="R6785" s="16">
        <f>HYPERLINK("https://checko.ru/search?query=3801001629","Чекко: проверить")</f>
        <v/>
      </c>
      <c r="S6785" t="n">
        <v>1</v>
      </c>
      <c r="T6785" s="35" t="inlineStr">
        <is>
          <t>4 — Не обогащён</t>
        </is>
      </c>
      <c r="U6785" s="35" t="inlineStr">
        <is>
          <t>Нет ОКВЭД/ССЧР</t>
        </is>
      </c>
      <c r="V6785" s="35" t="inlineStr">
        <is>
          <t>Не определено</t>
        </is>
      </c>
      <c r="W6785" s="35" t="inlineStr"/>
      <c r="X6785" s="35" t="inlineStr"/>
    </row>
    <row r="6786" ht="15" customHeight="1" s="24">
      <c r="A6786" s="13" t="inlineStr">
        <is>
          <t>FR1068122</t>
        </is>
      </c>
      <c r="B6786" s="13" t="inlineStr">
        <is>
          <t>ООО "СЕЗАМ"</t>
        </is>
      </c>
      <c r="C6786" s="13" t="n">
        <v>3811156830</v>
      </c>
      <c r="D6786" s="13" t="inlineStr">
        <is>
          <t>3811156830</t>
        </is>
      </c>
      <c r="E6786" s="13" t="inlineStr">
        <is>
          <t>ЮЛ РФ</t>
        </is>
      </c>
      <c r="F6786" s="13" t="n"/>
      <c r="G6786" s="52" t="n">
        <v>18</v>
      </c>
      <c r="H6786" s="52" t="n">
        <v>2025</v>
      </c>
      <c r="I6786" s="14" t="n"/>
      <c r="J6786" s="14" t="n"/>
      <c r="K6786" s="53" t="inlineStr">
        <is>
          <t>Нет</t>
        </is>
      </c>
      <c r="L6786" s="53" t="inlineStr">
        <is>
          <t>Не определено</t>
        </is>
      </c>
      <c r="M6786" s="53" t="inlineStr">
        <is>
          <t>До 25</t>
        </is>
      </c>
      <c r="N6786" s="54" t="n">
        <v>8400</v>
      </c>
      <c r="O6786" s="55" t="inlineStr">
        <is>
          <t>16–30</t>
        </is>
      </c>
      <c r="P6786" s="16" t="inlineStr">
        <is>
          <t>ССЧР обогащена; ОКВЭД не найден/не загружен</t>
        </is>
      </c>
      <c r="Q6786" s="16" t="inlineStr">
        <is>
          <t>ФНС открытые данные ССЧР (ДатаСост 31.12.2025; набор 7707329152-sshr2019)</t>
        </is>
      </c>
      <c r="R6786" s="16">
        <f>HYPERLINK("https://checko.ru/search?query=3801001629","Чекко: проверить")</f>
        <v/>
      </c>
      <c r="S6786" t="n">
        <v>1</v>
      </c>
      <c r="T6786" s="35" t="inlineStr">
        <is>
          <t>4 — Не обогащён</t>
        </is>
      </c>
      <c r="U6786" s="35" t="inlineStr">
        <is>
          <t>Нет ОКВЭД/ССЧР</t>
        </is>
      </c>
      <c r="V6786" s="35" t="inlineStr">
        <is>
          <t>Не определено</t>
        </is>
      </c>
      <c r="W6786" s="35" t="inlineStr">
        <is>
          <t>Нет</t>
        </is>
      </c>
      <c r="X6786" s="35" t="inlineStr"/>
    </row>
    <row r="6787" ht="27.75" customHeight="1" s="24">
      <c r="A6787" s="13" t="inlineStr">
        <is>
          <t>FR1067410</t>
        </is>
      </c>
      <c r="B6787" s="13" t="inlineStr">
        <is>
          <t>Общество с ограниченной ответственностью "УДАЧА"</t>
        </is>
      </c>
      <c r="C6787" s="13" t="n">
        <v>3816032806</v>
      </c>
      <c r="D6787" s="13" t="inlineStr">
        <is>
          <t>3816032806</t>
        </is>
      </c>
      <c r="E6787" s="13" t="inlineStr">
        <is>
          <t>ЮЛ РФ</t>
        </is>
      </c>
      <c r="F6787" s="13" t="n"/>
      <c r="G6787" s="52" t="n">
        <v>23</v>
      </c>
      <c r="H6787" s="52" t="n">
        <v>2025</v>
      </c>
      <c r="I6787" s="52" t="inlineStr">
        <is>
          <t>47.59</t>
        </is>
      </c>
      <c r="J6787" s="52" t="inlineStr">
        <is>
          <t>47.59; 47.52; 47.52.1; 47.52.2; 47.52.3; 47.52.4; 47.52.5; 47.52.6; 47.52.7; 47.52.71; 47.52.72; 47.52.73; 47.52.74; 47.52.79; 47.53; 47.53.1; 47.53.2; 47.53.3; 47.59.1; 47.59.2; 47.59.3; 47.59.4; 47.59.5; 47.59.6; 47.59.7; 47.59.9; 47.91; 47.91.1; 47.91.2; 47.91.3; 47.91.4</t>
        </is>
      </c>
      <c r="K6787" s="53" t="inlineStr">
        <is>
          <t>Да</t>
        </is>
      </c>
      <c r="L6787" s="53" t="inlineStr">
        <is>
          <t>Да</t>
        </is>
      </c>
      <c r="M6787" s="53" t="inlineStr">
        <is>
          <t>До 25</t>
        </is>
      </c>
      <c r="N6787" s="54" t="n">
        <v>8400</v>
      </c>
      <c r="O6787" s="55" t="inlineStr">
        <is>
          <t>16–30</t>
        </is>
      </c>
      <c r="P6787" s="16" t="inlineStr">
        <is>
          <t>ССЧР + ОКВЭД обогащены</t>
        </is>
      </c>
      <c r="Q6787" s="16" t="inlineStr">
        <is>
          <t>ФНС открытые данные ССЧР (ДатаСост 31.12.2025; набор 7707329152-sshr2019)</t>
        </is>
      </c>
      <c r="R6787" s="16" t="inlineStr">
        <is>
          <t>ЕГРЮЛ / egrul.nalog.ru (выписка)</t>
        </is>
      </c>
      <c r="S6787" t="n">
        <v>1</v>
      </c>
      <c r="T6787" s="35" t="inlineStr">
        <is>
          <t>1 — Горячий</t>
        </is>
      </c>
      <c r="U6787" s="35" t="inlineStr">
        <is>
          <t>ОКВЭД + 22+</t>
        </is>
      </c>
      <c r="V6787" s="35" t="inlineStr">
        <is>
          <t>Да</t>
        </is>
      </c>
      <c r="W6787" s="35" t="inlineStr">
        <is>
          <t>Да</t>
        </is>
      </c>
      <c r="X6787" s="35" t="inlineStr">
        <is>
          <t>Да</t>
        </is>
      </c>
    </row>
    <row r="6788" ht="27.75" customHeight="1" s="24">
      <c r="A6788" s="13" t="inlineStr">
        <is>
          <t>FR1064699</t>
        </is>
      </c>
      <c r="B6788" s="13" t="inlineStr">
        <is>
          <t>Общество с ограниченной ответственностью "ОПОРА"</t>
        </is>
      </c>
      <c r="C6788" s="13" t="n">
        <v>3849103763</v>
      </c>
      <c r="D6788" s="13" t="inlineStr">
        <is>
          <t>3849103763</t>
        </is>
      </c>
      <c r="E6788" s="13" t="inlineStr">
        <is>
          <t>ЮЛ РФ</t>
        </is>
      </c>
      <c r="F6788" s="13" t="n"/>
      <c r="G6788" s="52" t="n">
        <v>0</v>
      </c>
      <c r="H6788" s="52" t="n">
        <v>2025</v>
      </c>
      <c r="I6788" s="14" t="n"/>
      <c r="J6788" s="14" t="n"/>
      <c r="K6788" s="53" t="inlineStr">
        <is>
          <t>Нет</t>
        </is>
      </c>
      <c r="L6788" s="53" t="inlineStr">
        <is>
          <t>Не определено</t>
        </is>
      </c>
      <c r="M6788" s="53" t="inlineStr">
        <is>
          <t>До 10</t>
        </is>
      </c>
      <c r="N6788" s="54" t="n">
        <v>3360</v>
      </c>
      <c r="O6788" s="55" t="inlineStr">
        <is>
          <t>1–15</t>
        </is>
      </c>
      <c r="P6788" s="16" t="inlineStr">
        <is>
          <t>ССЧР обогащена; ОКВЭД не найден/не загружен</t>
        </is>
      </c>
      <c r="Q6788" s="16" t="inlineStr">
        <is>
          <t>ФНС открытые данные ССЧР (ДатаСост 31.12.2025; набор 7707329152-sshr2019)</t>
        </is>
      </c>
      <c r="R6788" s="16">
        <f>HYPERLINK("https://checko.ru/search?query=3801001629","Чекко: проверить")</f>
        <v/>
      </c>
      <c r="S6788" t="n">
        <v>1</v>
      </c>
      <c r="T6788" s="35" t="inlineStr">
        <is>
          <t>4 — Не обогащён</t>
        </is>
      </c>
      <c r="U6788" s="35" t="inlineStr">
        <is>
          <t>Нет ОКВЭД/ССЧР</t>
        </is>
      </c>
      <c r="V6788" s="35" t="inlineStr">
        <is>
          <t>Не определено</t>
        </is>
      </c>
      <c r="W6788" s="35" t="inlineStr">
        <is>
          <t>Нет</t>
        </is>
      </c>
      <c r="X6788" s="35" t="inlineStr"/>
    </row>
    <row r="6789" ht="27.75" customHeight="1" s="24">
      <c r="A6789" s="13" t="inlineStr">
        <is>
          <t>FR414888</t>
        </is>
      </c>
      <c r="B6789" s="13" t="inlineStr">
        <is>
          <t>ОБЩЕСТВО С ОГРАНИЧЕННОЙ ОТВЕТСТВЕННОСТЬЮ "НОВЫЙ КВАДРАТ"</t>
        </is>
      </c>
      <c r="C6789" s="13" t="n">
        <v>6317112811</v>
      </c>
      <c r="D6789" s="13" t="inlineStr">
        <is>
          <t>6317112811</t>
        </is>
      </c>
      <c r="E6789" s="13" t="inlineStr">
        <is>
          <t>ЮЛ РФ</t>
        </is>
      </c>
      <c r="F6789" s="13" t="n"/>
      <c r="G6789" s="52" t="n">
        <v>3</v>
      </c>
      <c r="H6789" s="52" t="n">
        <v>2025</v>
      </c>
      <c r="I6789" s="14" t="n"/>
      <c r="J6789" s="14" t="n"/>
      <c r="K6789" s="53" t="inlineStr">
        <is>
          <t>Нет</t>
        </is>
      </c>
      <c r="L6789" s="53" t="inlineStr">
        <is>
          <t>Не определено</t>
        </is>
      </c>
      <c r="M6789" s="53" t="inlineStr">
        <is>
          <t>До 10</t>
        </is>
      </c>
      <c r="N6789" s="54" t="n">
        <v>3360</v>
      </c>
      <c r="O6789" s="55" t="inlineStr">
        <is>
          <t>1–15</t>
        </is>
      </c>
      <c r="P6789" s="16" t="inlineStr">
        <is>
          <t>ССЧР обогащена; ОКВЭД не найден/не загружен</t>
        </is>
      </c>
      <c r="Q6789" s="16" t="inlineStr">
        <is>
          <t>ФНС открытые данные ССЧР (ДатаСост 31.12.2025; набор 7707329152-sshr2019)</t>
        </is>
      </c>
      <c r="R6789" s="16">
        <f>HYPERLINK("https://checko.ru/search?query=3801001629","Чекко: проверить")</f>
        <v/>
      </c>
      <c r="S6789" t="n">
        <v>1</v>
      </c>
      <c r="T6789" s="35" t="inlineStr">
        <is>
          <t>4 — Не обогащён</t>
        </is>
      </c>
      <c r="U6789" s="35" t="inlineStr">
        <is>
          <t>Нет ОКВЭД/ССЧР</t>
        </is>
      </c>
      <c r="V6789" s="35" t="inlineStr">
        <is>
          <t>Не определено</t>
        </is>
      </c>
      <c r="W6789" s="35" t="inlineStr">
        <is>
          <t>Нет</t>
        </is>
      </c>
      <c r="X6789" s="35" t="inlineStr"/>
    </row>
    <row r="6790" ht="27.75" customHeight="1" s="24">
      <c r="A6790" s="13" t="inlineStr">
        <is>
          <t>FR1068726</t>
        </is>
      </c>
      <c r="B6790" s="13" t="inlineStr">
        <is>
          <t>ОБЩЕСТВО С ОГРАНИЧЕННОЙ ОТВЕТСТВЕННОСТЬЮ "ПЕКАРНЯ "БУЛКА"</t>
        </is>
      </c>
      <c r="C6790" s="13" t="n">
        <v>3811063448</v>
      </c>
      <c r="D6790" s="13" t="inlineStr">
        <is>
          <t>3811063448</t>
        </is>
      </c>
      <c r="E6790" s="13" t="inlineStr">
        <is>
          <t>ЮЛ РФ</t>
        </is>
      </c>
      <c r="F6790" s="13" t="n"/>
      <c r="G6790" s="52" t="n">
        <v>10</v>
      </c>
      <c r="H6790" s="52" t="n">
        <v>2025</v>
      </c>
      <c r="I6790" s="14" t="n"/>
      <c r="J6790" s="14" t="n"/>
      <c r="K6790" s="53" t="inlineStr">
        <is>
          <t>Нет</t>
        </is>
      </c>
      <c r="L6790" s="53" t="inlineStr">
        <is>
          <t>Не определено</t>
        </is>
      </c>
      <c r="M6790" s="53" t="inlineStr">
        <is>
          <t>До 10</t>
        </is>
      </c>
      <c r="N6790" s="54" t="n">
        <v>3360</v>
      </c>
      <c r="O6790" s="55" t="inlineStr">
        <is>
          <t>1–15</t>
        </is>
      </c>
      <c r="P6790" s="16" t="inlineStr">
        <is>
          <t>ССЧР обогащена; ОКВЭД не найден/не загружен</t>
        </is>
      </c>
      <c r="Q6790" s="16" t="inlineStr">
        <is>
          <t>ФНС открытые данные ССЧР (ДатаСост 31.12.2025; набор 7707329152-sshr2019)</t>
        </is>
      </c>
      <c r="R6790" s="16">
        <f>HYPERLINK("https://checko.ru/search?query=3801001629","Чекко: проверить")</f>
        <v/>
      </c>
      <c r="S6790" t="n">
        <v>1</v>
      </c>
      <c r="T6790" s="35" t="inlineStr">
        <is>
          <t>4 — Не обогащён</t>
        </is>
      </c>
      <c r="U6790" s="35" t="inlineStr">
        <is>
          <t>Нет ОКВЭД/ССЧР</t>
        </is>
      </c>
      <c r="V6790" s="35" t="inlineStr">
        <is>
          <t>Не определено</t>
        </is>
      </c>
      <c r="W6790" s="35" t="inlineStr">
        <is>
          <t>Нет</t>
        </is>
      </c>
      <c r="X6790" s="35" t="inlineStr"/>
    </row>
    <row r="6791" ht="15" customHeight="1" s="24">
      <c r="A6791" s="13" t="inlineStr">
        <is>
          <t>FR1261923</t>
        </is>
      </c>
      <c r="B6791" s="13" t="inlineStr">
        <is>
          <t>ИП Перепечкин Александр Аркадьевич</t>
        </is>
      </c>
      <c r="C6791" s="13" t="n">
        <v>381113611266</v>
      </c>
      <c r="D6791" s="13" t="inlineStr">
        <is>
          <t>381113611266</t>
        </is>
      </c>
      <c r="E6791" s="13" t="inlineStr">
        <is>
          <t>ИП РФ / физлицо</t>
        </is>
      </c>
      <c r="F6791" s="13" t="n"/>
      <c r="G6791" s="14" t="n"/>
      <c r="H6791" s="14" t="n"/>
      <c r="I6791" s="14" t="n"/>
      <c r="J6791" s="14" t="n"/>
      <c r="K6791" s="53" t="inlineStr"/>
      <c r="L6791" s="53" t="inlineStr">
        <is>
          <t>Не определено</t>
        </is>
      </c>
      <c r="M6791" s="53" t="inlineStr"/>
      <c r="N6791" s="54" t="inlineStr"/>
      <c r="O6791" s="55" t="inlineStr"/>
      <c r="P6791" s="16" t="inlineStr">
        <is>
          <t>Требует обогащения</t>
        </is>
      </c>
      <c r="Q6791" s="16">
        <f>HYPERLINK("https://pb.nalog.ru/search.html?query=381113611266","ФНС: проверить")</f>
        <v/>
      </c>
      <c r="R6791" s="16">
        <f>HYPERLINK("https://checko.ru/search?query=3801001629","Чекко: проверить")</f>
        <v/>
      </c>
      <c r="S6791" t="n">
        <v>1</v>
      </c>
      <c r="T6791" s="35" t="inlineStr">
        <is>
          <t>4 — Не обогащён</t>
        </is>
      </c>
      <c r="U6791" s="35" t="inlineStr">
        <is>
          <t>Нет ОКВЭД/ССЧР</t>
        </is>
      </c>
      <c r="V6791" s="35" t="inlineStr">
        <is>
          <t>Не определено</t>
        </is>
      </c>
      <c r="W6791" s="35" t="inlineStr"/>
      <c r="X6791" s="35" t="inlineStr"/>
    </row>
    <row r="6792" ht="15" customHeight="1" s="24">
      <c r="A6792" s="13" t="inlineStr">
        <is>
          <t>FR1062520</t>
        </is>
      </c>
      <c r="B6792" s="13" t="inlineStr">
        <is>
          <t>ИП Федосеев Денис Андреевич</t>
        </is>
      </c>
      <c r="C6792" s="13" t="n">
        <v>245730971767</v>
      </c>
      <c r="D6792" s="13" t="inlineStr">
        <is>
          <t>245730971767</t>
        </is>
      </c>
      <c r="E6792" s="13" t="inlineStr">
        <is>
          <t>ИП РФ / физлицо</t>
        </is>
      </c>
      <c r="F6792" s="13" t="n"/>
      <c r="G6792" s="14" t="n"/>
      <c r="H6792" s="14" t="n"/>
      <c r="I6792" s="14" t="n"/>
      <c r="J6792" s="14" t="n"/>
      <c r="K6792" s="53" t="inlineStr"/>
      <c r="L6792" s="53" t="inlineStr">
        <is>
          <t>Не определено</t>
        </is>
      </c>
      <c r="M6792" s="53" t="inlineStr"/>
      <c r="N6792" s="54" t="inlineStr"/>
      <c r="O6792" s="55" t="inlineStr"/>
      <c r="P6792" s="16" t="inlineStr">
        <is>
          <t>Требует обогащения</t>
        </is>
      </c>
      <c r="Q6792" s="16">
        <f>HYPERLINK("https://pb.nalog.ru/search.html?query=245730971767","ФНС: проверить")</f>
        <v/>
      </c>
      <c r="R6792" s="16">
        <f>HYPERLINK("https://checko.ru/search?query=3801001629","Чекко: проверить")</f>
        <v/>
      </c>
      <c r="S6792" t="n">
        <v>1</v>
      </c>
      <c r="T6792" s="35" t="inlineStr">
        <is>
          <t>4 — Не обогащён</t>
        </is>
      </c>
      <c r="U6792" s="35" t="inlineStr">
        <is>
          <t>Нет ОКВЭД/ССЧР</t>
        </is>
      </c>
      <c r="V6792" s="35" t="inlineStr">
        <is>
          <t>Не определено</t>
        </is>
      </c>
      <c r="W6792" s="35" t="inlineStr"/>
      <c r="X6792" s="35" t="inlineStr"/>
    </row>
    <row r="6793" ht="27.75" customHeight="1" s="24">
      <c r="A6793" s="13" t="inlineStr">
        <is>
          <t>FR1068294</t>
        </is>
      </c>
      <c r="B6793" s="13" t="inlineStr">
        <is>
          <t>Общество с ограниченной ответственностью "ТОП РЫБА"</t>
        </is>
      </c>
      <c r="C6793" s="13" t="n">
        <v>3812991777</v>
      </c>
      <c r="D6793" s="13" t="inlineStr">
        <is>
          <t>3812991777</t>
        </is>
      </c>
      <c r="E6793" s="13" t="inlineStr">
        <is>
          <t>ЮЛ РФ</t>
        </is>
      </c>
      <c r="F6793" s="13" t="n"/>
      <c r="G6793" s="52" t="n">
        <v>4</v>
      </c>
      <c r="H6793" s="52" t="n">
        <v>2025</v>
      </c>
      <c r="I6793" s="14" t="n"/>
      <c r="J6793" s="14" t="n"/>
      <c r="K6793" s="53" t="inlineStr">
        <is>
          <t>Нет</t>
        </is>
      </c>
      <c r="L6793" s="53" t="inlineStr">
        <is>
          <t>Не определено</t>
        </is>
      </c>
      <c r="M6793" s="53" t="inlineStr">
        <is>
          <t>До 10</t>
        </is>
      </c>
      <c r="N6793" s="54" t="n">
        <v>3360</v>
      </c>
      <c r="O6793" s="55" t="inlineStr">
        <is>
          <t>1–15</t>
        </is>
      </c>
      <c r="P6793" s="16" t="inlineStr">
        <is>
          <t>ССЧР обогащена; ОКВЭД не найден/не загружен</t>
        </is>
      </c>
      <c r="Q6793" s="16" t="inlineStr">
        <is>
          <t>ФНС открытые данные ССЧР (ДатаСост 31.12.2025; набор 7707329152-sshr2019)</t>
        </is>
      </c>
      <c r="R6793" s="16">
        <f>HYPERLINK("https://checko.ru/search?query=3801001629","Чекко: проверить")</f>
        <v/>
      </c>
      <c r="S6793" t="n">
        <v>1</v>
      </c>
      <c r="T6793" s="35" t="inlineStr">
        <is>
          <t>4 — Не обогащён</t>
        </is>
      </c>
      <c r="U6793" s="35" t="inlineStr">
        <is>
          <t>Нет ОКВЭД/ССЧР</t>
        </is>
      </c>
      <c r="V6793" s="35" t="inlineStr">
        <is>
          <t>Не определено</t>
        </is>
      </c>
      <c r="W6793" s="35" t="inlineStr">
        <is>
          <t>Нет</t>
        </is>
      </c>
      <c r="X6793" s="35" t="inlineStr"/>
    </row>
    <row r="6794" ht="15" customHeight="1" s="24">
      <c r="A6794" s="13" t="inlineStr">
        <is>
          <t>FR1244620</t>
        </is>
      </c>
      <c r="B6794" s="13" t="inlineStr">
        <is>
          <t>ИП Абдуолимов Абдурасул Абдулбаннобович</t>
        </is>
      </c>
      <c r="C6794" s="13" t="n">
        <v>143410340815</v>
      </c>
      <c r="D6794" s="13" t="inlineStr">
        <is>
          <t>143410340815</t>
        </is>
      </c>
      <c r="E6794" s="13" t="inlineStr">
        <is>
          <t>ИП РФ / физлицо</t>
        </is>
      </c>
      <c r="F6794" s="13" t="n"/>
      <c r="G6794" s="14" t="n"/>
      <c r="H6794" s="14" t="n"/>
      <c r="I6794" s="14" t="n"/>
      <c r="J6794" s="14" t="n"/>
      <c r="K6794" s="53" t="inlineStr"/>
      <c r="L6794" s="53" t="inlineStr">
        <is>
          <t>Не определено</t>
        </is>
      </c>
      <c r="M6794" s="53" t="inlineStr"/>
      <c r="N6794" s="54" t="inlineStr"/>
      <c r="O6794" s="55" t="inlineStr"/>
      <c r="P6794" s="16" t="inlineStr">
        <is>
          <t>Требует обогащения</t>
        </is>
      </c>
      <c r="Q6794" s="16">
        <f>HYPERLINK("https://pb.nalog.ru/search.html?query=143410340815","ФНС: проверить")</f>
        <v/>
      </c>
      <c r="R6794" s="16">
        <f>HYPERLINK("https://checko.ru/search?query=3801001629","Чекко: проверить")</f>
        <v/>
      </c>
      <c r="S6794" t="n">
        <v>1</v>
      </c>
      <c r="T6794" s="35" t="inlineStr">
        <is>
          <t>4 — Не обогащён</t>
        </is>
      </c>
      <c r="U6794" s="35" t="inlineStr">
        <is>
          <t>Нет ОКВЭД/ССЧР</t>
        </is>
      </c>
      <c r="V6794" s="35" t="inlineStr">
        <is>
          <t>Не определено</t>
        </is>
      </c>
      <c r="W6794" s="35" t="inlineStr"/>
      <c r="X6794" s="35" t="inlineStr"/>
    </row>
    <row r="6795" ht="15" customHeight="1" s="24">
      <c r="A6795" s="13" t="inlineStr">
        <is>
          <t>FR1070406</t>
        </is>
      </c>
      <c r="B6795" s="13" t="inlineStr">
        <is>
          <t>ИП Тришанкова Светлана Анатольевна</t>
        </is>
      </c>
      <c r="C6795" s="13" t="n">
        <v>143406774425</v>
      </c>
      <c r="D6795" s="13" t="inlineStr">
        <is>
          <t>143406774425</t>
        </is>
      </c>
      <c r="E6795" s="13" t="inlineStr">
        <is>
          <t>ИП РФ / физлицо</t>
        </is>
      </c>
      <c r="F6795" s="13" t="n"/>
      <c r="G6795" s="14" t="n"/>
      <c r="H6795" s="14" t="n"/>
      <c r="I6795" s="14" t="n"/>
      <c r="J6795" s="14" t="n"/>
      <c r="K6795" s="53" t="inlineStr"/>
      <c r="L6795" s="53" t="inlineStr">
        <is>
          <t>Не определено</t>
        </is>
      </c>
      <c r="M6795" s="53" t="inlineStr"/>
      <c r="N6795" s="54" t="inlineStr"/>
      <c r="O6795" s="55" t="inlineStr"/>
      <c r="P6795" s="16" t="inlineStr">
        <is>
          <t>Требует обогащения</t>
        </is>
      </c>
      <c r="Q6795" s="16">
        <f>HYPERLINK("https://pb.nalog.ru/search.html?query=143406774425","ФНС: проверить")</f>
        <v/>
      </c>
      <c r="R6795" s="16">
        <f>HYPERLINK("https://checko.ru/search?query=3801001629","Чекко: проверить")</f>
        <v/>
      </c>
      <c r="S6795" t="n">
        <v>1</v>
      </c>
      <c r="T6795" s="35" t="inlineStr">
        <is>
          <t>4 — Не обогащён</t>
        </is>
      </c>
      <c r="U6795" s="35" t="inlineStr">
        <is>
          <t>Нет ОКВЭД/ССЧР</t>
        </is>
      </c>
      <c r="V6795" s="35" t="inlineStr">
        <is>
          <t>Не определено</t>
        </is>
      </c>
      <c r="W6795" s="35" t="inlineStr"/>
      <c r="X6795" s="35" t="inlineStr"/>
    </row>
    <row r="6796" ht="27.75" customHeight="1" s="24">
      <c r="A6796" s="13" t="inlineStr">
        <is>
          <t>FR1070482</t>
        </is>
      </c>
      <c r="B6796" s="13" t="inlineStr">
        <is>
          <t>Общество с ограниченной ответственностью "СИБСЕРВИС"</t>
        </is>
      </c>
      <c r="C6796" s="13" t="n">
        <v>3810058999</v>
      </c>
      <c r="D6796" s="13" t="inlineStr">
        <is>
          <t>3810058999</t>
        </is>
      </c>
      <c r="E6796" s="13" t="inlineStr">
        <is>
          <t>ЮЛ РФ</t>
        </is>
      </c>
      <c r="F6796" s="13" t="n"/>
      <c r="G6796" s="52" t="n">
        <v>0</v>
      </c>
      <c r="H6796" s="52" t="n">
        <v>2025</v>
      </c>
      <c r="I6796" s="14" t="n"/>
      <c r="J6796" s="14" t="n"/>
      <c r="K6796" s="53" t="inlineStr">
        <is>
          <t>Нет</t>
        </is>
      </c>
      <c r="L6796" s="53" t="inlineStr">
        <is>
          <t>Не определено</t>
        </is>
      </c>
      <c r="M6796" s="53" t="inlineStr">
        <is>
          <t>До 10</t>
        </is>
      </c>
      <c r="N6796" s="54" t="n">
        <v>3360</v>
      </c>
      <c r="O6796" s="55" t="inlineStr">
        <is>
          <t>1–15</t>
        </is>
      </c>
      <c r="P6796" s="16" t="inlineStr">
        <is>
          <t>ССЧР обогащена; ОКВЭД не найден/не загружен</t>
        </is>
      </c>
      <c r="Q6796" s="16" t="inlineStr">
        <is>
          <t>ФНС открытые данные ССЧР (ДатаСост 31.12.2025; набор 7707329152-sshr2019)</t>
        </is>
      </c>
      <c r="R6796" s="16">
        <f>HYPERLINK("https://checko.ru/search?query=3801001629","Чекко: проверить")</f>
        <v/>
      </c>
      <c r="S6796" t="n">
        <v>1</v>
      </c>
      <c r="T6796" s="35" t="inlineStr">
        <is>
          <t>4 — Не обогащён</t>
        </is>
      </c>
      <c r="U6796" s="35" t="inlineStr">
        <is>
          <t>Нет ОКВЭД/ССЧР</t>
        </is>
      </c>
      <c r="V6796" s="35" t="inlineStr">
        <is>
          <t>Не определено</t>
        </is>
      </c>
      <c r="W6796" s="35" t="inlineStr">
        <is>
          <t>Нет</t>
        </is>
      </c>
      <c r="X6796" s="35" t="inlineStr"/>
    </row>
    <row r="6797" ht="15" customHeight="1" s="24">
      <c r="A6797" s="13" t="inlineStr">
        <is>
          <t>FR1068842</t>
        </is>
      </c>
      <c r="B6797" s="13" t="inlineStr">
        <is>
          <t>ДЕМЕТРА ООО</t>
        </is>
      </c>
      <c r="C6797" s="13" t="n">
        <v>3805733623</v>
      </c>
      <c r="D6797" s="13" t="inlineStr">
        <is>
          <t>3805733623</t>
        </is>
      </c>
      <c r="E6797" s="13" t="inlineStr">
        <is>
          <t>ЮЛ РФ</t>
        </is>
      </c>
      <c r="F6797" s="13" t="n"/>
      <c r="G6797" s="52" t="n">
        <v>15</v>
      </c>
      <c r="H6797" s="52" t="n">
        <v>2025</v>
      </c>
      <c r="I6797" s="14" t="n"/>
      <c r="J6797" s="14" t="n"/>
      <c r="K6797" s="53" t="inlineStr">
        <is>
          <t>Нет</t>
        </is>
      </c>
      <c r="L6797" s="53" t="inlineStr">
        <is>
          <t>Не определено</t>
        </is>
      </c>
      <c r="M6797" s="53" t="inlineStr">
        <is>
          <t>До 25</t>
        </is>
      </c>
      <c r="N6797" s="54" t="n">
        <v>8400</v>
      </c>
      <c r="O6797" s="55" t="inlineStr">
        <is>
          <t>1–15</t>
        </is>
      </c>
      <c r="P6797" s="16" t="inlineStr">
        <is>
          <t>ССЧР обогащена; ОКВЭД не найден/не загружен</t>
        </is>
      </c>
      <c r="Q6797" s="16" t="inlineStr">
        <is>
          <t>ФНС открытые данные ССЧР (ДатаСост 31.12.2025; набор 7707329152-sshr2019)</t>
        </is>
      </c>
      <c r="R6797" s="16">
        <f>HYPERLINK("https://checko.ru/search?query=3801001629","Чекко: проверить")</f>
        <v/>
      </c>
      <c r="S6797" t="n">
        <v>1</v>
      </c>
      <c r="T6797" s="35" t="inlineStr">
        <is>
          <t>4 — Не обогащён</t>
        </is>
      </c>
      <c r="U6797" s="35" t="inlineStr">
        <is>
          <t>Нет ОКВЭД/ССЧР</t>
        </is>
      </c>
      <c r="V6797" s="35" t="inlineStr">
        <is>
          <t>Не определено</t>
        </is>
      </c>
      <c r="W6797" s="35" t="inlineStr">
        <is>
          <t>Нет</t>
        </is>
      </c>
      <c r="X6797" s="35" t="inlineStr"/>
    </row>
    <row r="6798" ht="27.75" customHeight="1" s="24">
      <c r="A6798" s="13" t="inlineStr">
        <is>
          <t>FR1255682</t>
        </is>
      </c>
      <c r="B6798" s="13" t="inlineStr">
        <is>
          <t>Общество с ограниченной ответственностью "ПЕРСПЕКТИВНЫЕ ТЕХНОЛОГИИ"</t>
        </is>
      </c>
      <c r="C6798" s="13" t="n">
        <v>3811080235</v>
      </c>
      <c r="D6798" s="13" t="inlineStr">
        <is>
          <t>3811080235</t>
        </is>
      </c>
      <c r="E6798" s="13" t="inlineStr">
        <is>
          <t>ЮЛ РФ</t>
        </is>
      </c>
      <c r="F6798" s="13" t="n"/>
      <c r="G6798" s="52" t="n">
        <v>2</v>
      </c>
      <c r="H6798" s="52" t="n">
        <v>2025</v>
      </c>
      <c r="I6798" s="14" t="n"/>
      <c r="J6798" s="14" t="n"/>
      <c r="K6798" s="53" t="inlineStr">
        <is>
          <t>Нет</t>
        </is>
      </c>
      <c r="L6798" s="53" t="inlineStr">
        <is>
          <t>Не определено</t>
        </is>
      </c>
      <c r="M6798" s="53" t="inlineStr">
        <is>
          <t>До 10</t>
        </is>
      </c>
      <c r="N6798" s="54" t="n">
        <v>3360</v>
      </c>
      <c r="O6798" s="55" t="inlineStr">
        <is>
          <t>1–15</t>
        </is>
      </c>
      <c r="P6798" s="16" t="inlineStr">
        <is>
          <t>ССЧР обогащена; ОКВЭД не найден/не загружен</t>
        </is>
      </c>
      <c r="Q6798" s="16" t="inlineStr">
        <is>
          <t>ФНС открытые данные ССЧР (ДатаСост 31.12.2025; набор 7707329152-sshr2019)</t>
        </is>
      </c>
      <c r="R6798" s="16">
        <f>HYPERLINK("https://checko.ru/search?query=3801001629","Чекко: проверить")</f>
        <v/>
      </c>
      <c r="S6798" t="n">
        <v>1</v>
      </c>
      <c r="T6798" s="35" t="inlineStr">
        <is>
          <t>4 — Не обогащён</t>
        </is>
      </c>
      <c r="U6798" s="35" t="inlineStr">
        <is>
          <t>Нет ОКВЭД/ССЧР</t>
        </is>
      </c>
      <c r="V6798" s="35" t="inlineStr">
        <is>
          <t>Не определено</t>
        </is>
      </c>
      <c r="W6798" s="35" t="inlineStr">
        <is>
          <t>Нет</t>
        </is>
      </c>
      <c r="X6798" s="35" t="inlineStr"/>
    </row>
    <row r="6799" ht="27.75" customHeight="1" s="24">
      <c r="A6799" s="13" t="inlineStr">
        <is>
          <t>FR1259242</t>
        </is>
      </c>
      <c r="B6799" s="13" t="inlineStr">
        <is>
          <t>Общество с ограниченной ответственностью ФИРМА "БРАТСК ТРЕЙДИНГ КО"</t>
        </is>
      </c>
      <c r="C6799" s="13" t="n">
        <v>3827046582</v>
      </c>
      <c r="D6799" s="13" t="inlineStr">
        <is>
          <t>3827046582</t>
        </is>
      </c>
      <c r="E6799" s="13" t="inlineStr">
        <is>
          <t>ЮЛ РФ</t>
        </is>
      </c>
      <c r="F6799" s="13" t="n"/>
      <c r="G6799" s="52" t="n">
        <v>6</v>
      </c>
      <c r="H6799" s="52" t="n">
        <v>2025</v>
      </c>
      <c r="I6799" s="14" t="n"/>
      <c r="J6799" s="14" t="n"/>
      <c r="K6799" s="53" t="inlineStr">
        <is>
          <t>Нет</t>
        </is>
      </c>
      <c r="L6799" s="53" t="inlineStr">
        <is>
          <t>Не определено</t>
        </is>
      </c>
      <c r="M6799" s="53" t="inlineStr">
        <is>
          <t>До 10</t>
        </is>
      </c>
      <c r="N6799" s="54" t="n">
        <v>3360</v>
      </c>
      <c r="O6799" s="55" t="inlineStr">
        <is>
          <t>1–15</t>
        </is>
      </c>
      <c r="P6799" s="16" t="inlineStr">
        <is>
          <t>ССЧР обогащена; ОКВЭД не найден/не загружен</t>
        </is>
      </c>
      <c r="Q6799" s="16" t="inlineStr">
        <is>
          <t>ФНС открытые данные ССЧР (ДатаСост 31.12.2025; набор 7707329152-sshr2019)</t>
        </is>
      </c>
      <c r="R6799" s="16">
        <f>HYPERLINK("https://checko.ru/search?query=3801001629","Чекко: проверить")</f>
        <v/>
      </c>
      <c r="S6799" t="n">
        <v>1</v>
      </c>
      <c r="T6799" s="35" t="inlineStr">
        <is>
          <t>4 — Не обогащён</t>
        </is>
      </c>
      <c r="U6799" s="35" t="inlineStr">
        <is>
          <t>Нет ОКВЭД/ССЧР</t>
        </is>
      </c>
      <c r="V6799" s="35" t="inlineStr">
        <is>
          <t>Не определено</t>
        </is>
      </c>
      <c r="W6799" s="35" t="inlineStr">
        <is>
          <t>Нет</t>
        </is>
      </c>
      <c r="X6799" s="35" t="inlineStr"/>
    </row>
    <row r="6800" ht="15" customHeight="1" s="24">
      <c r="A6800" s="13" t="inlineStr">
        <is>
          <t>FR1261885</t>
        </is>
      </c>
      <c r="B6800" s="13" t="inlineStr">
        <is>
          <t>ИП Тормаева Алеся Валентиновна</t>
        </is>
      </c>
      <c r="C6800" s="13" t="n">
        <v>504723340553</v>
      </c>
      <c r="D6800" s="13" t="inlineStr">
        <is>
          <t>504723340553</t>
        </is>
      </c>
      <c r="E6800" s="13" t="inlineStr">
        <is>
          <t>ИП РФ / физлицо</t>
        </is>
      </c>
      <c r="F6800" s="13" t="n"/>
      <c r="G6800" s="14" t="n"/>
      <c r="H6800" s="14" t="n"/>
      <c r="I6800" s="14" t="n"/>
      <c r="J6800" s="14" t="n"/>
      <c r="K6800" s="53" t="inlineStr"/>
      <c r="L6800" s="53" t="inlineStr">
        <is>
          <t>Не определено</t>
        </is>
      </c>
      <c r="M6800" s="53" t="inlineStr"/>
      <c r="N6800" s="54" t="inlineStr"/>
      <c r="O6800" s="55" t="inlineStr"/>
      <c r="P6800" s="16" t="inlineStr">
        <is>
          <t>Требует обогащения</t>
        </is>
      </c>
      <c r="Q6800" s="16">
        <f>HYPERLINK("https://pb.nalog.ru/search.html?query=504723340553","ФНС: проверить")</f>
        <v/>
      </c>
      <c r="R6800" s="16">
        <f>HYPERLINK("https://checko.ru/search?query=3801001629","Чекко: проверить")</f>
        <v/>
      </c>
      <c r="S6800" t="n">
        <v>1</v>
      </c>
      <c r="T6800" s="35" t="inlineStr">
        <is>
          <t>4 — Не обогащён</t>
        </is>
      </c>
      <c r="U6800" s="35" t="inlineStr">
        <is>
          <t>Нет ОКВЭД/ССЧР</t>
        </is>
      </c>
      <c r="V6800" s="35" t="inlineStr">
        <is>
          <t>Не определено</t>
        </is>
      </c>
      <c r="W6800" s="35" t="inlineStr"/>
      <c r="X6800" s="35" t="inlineStr"/>
    </row>
    <row r="6801" ht="15" customHeight="1" s="24">
      <c r="A6801" s="13" t="inlineStr">
        <is>
          <t>FR1261896</t>
        </is>
      </c>
      <c r="B6801" s="13" t="inlineStr">
        <is>
          <t>ИП Богданова Анна Александровна</t>
        </is>
      </c>
      <c r="C6801" s="13" t="n">
        <v>616111578094</v>
      </c>
      <c r="D6801" s="13" t="inlineStr">
        <is>
          <t>616111578094</t>
        </is>
      </c>
      <c r="E6801" s="13" t="inlineStr">
        <is>
          <t>ИП РФ / физлицо</t>
        </is>
      </c>
      <c r="F6801" s="13" t="n"/>
      <c r="G6801" s="14" t="n"/>
      <c r="H6801" s="14" t="n"/>
      <c r="I6801" s="14" t="n"/>
      <c r="J6801" s="14" t="n"/>
      <c r="K6801" s="53" t="inlineStr"/>
      <c r="L6801" s="53" t="inlineStr">
        <is>
          <t>Не определено</t>
        </is>
      </c>
      <c r="M6801" s="53" t="inlineStr"/>
      <c r="N6801" s="54" t="inlineStr"/>
      <c r="O6801" s="55" t="inlineStr"/>
      <c r="P6801" s="16" t="inlineStr">
        <is>
          <t>Требует обогащения</t>
        </is>
      </c>
      <c r="Q6801" s="16">
        <f>HYPERLINK("https://pb.nalog.ru/search.html?query=616111578094","ФНС: проверить")</f>
        <v/>
      </c>
      <c r="R6801" s="16">
        <f>HYPERLINK("https://checko.ru/search?query=3801001629","Чекко: проверить")</f>
        <v/>
      </c>
      <c r="S6801" t="n">
        <v>1</v>
      </c>
      <c r="T6801" s="35" t="inlineStr">
        <is>
          <t>4 — Не обогащён</t>
        </is>
      </c>
      <c r="U6801" s="35" t="inlineStr">
        <is>
          <t>Нет ОКВЭД/ССЧР</t>
        </is>
      </c>
      <c r="V6801" s="35" t="inlineStr">
        <is>
          <t>Не определено</t>
        </is>
      </c>
      <c r="W6801" s="35" t="inlineStr"/>
      <c r="X6801" s="35" t="inlineStr"/>
    </row>
    <row r="6802" ht="27.75" customHeight="1" s="24">
      <c r="A6802" s="13" t="inlineStr">
        <is>
          <t>FR1245186</t>
        </is>
      </c>
      <c r="B6802" s="13" t="inlineStr">
        <is>
          <t>Общество с ограниченной ответственностью "БРИБЕРГ"</t>
        </is>
      </c>
      <c r="C6802" s="13" t="n">
        <v>9729373776</v>
      </c>
      <c r="D6802" s="13" t="inlineStr">
        <is>
          <t>9729373776</t>
        </is>
      </c>
      <c r="E6802" s="13" t="inlineStr">
        <is>
          <t>ЮЛ РФ</t>
        </is>
      </c>
      <c r="F6802" s="13" t="n"/>
      <c r="G6802" s="52" t="n">
        <v>1</v>
      </c>
      <c r="H6802" s="52" t="n">
        <v>2025</v>
      </c>
      <c r="I6802" s="14" t="n"/>
      <c r="J6802" s="14" t="n"/>
      <c r="K6802" s="53" t="inlineStr">
        <is>
          <t>Нет</t>
        </is>
      </c>
      <c r="L6802" s="53" t="inlineStr">
        <is>
          <t>Не определено</t>
        </is>
      </c>
      <c r="M6802" s="53" t="inlineStr">
        <is>
          <t>До 10</t>
        </is>
      </c>
      <c r="N6802" s="54" t="n">
        <v>3360</v>
      </c>
      <c r="O6802" s="55" t="inlineStr">
        <is>
          <t>1–15</t>
        </is>
      </c>
      <c r="P6802" s="16" t="inlineStr">
        <is>
          <t>ССЧР обогащена; ОКВЭД не найден/не загружен</t>
        </is>
      </c>
      <c r="Q6802" s="16" t="inlineStr">
        <is>
          <t>ФНС открытые данные ССЧР (ДатаСост 31.12.2025; набор 7707329152-sshr2019)</t>
        </is>
      </c>
      <c r="R6802" s="16">
        <f>HYPERLINK("https://checko.ru/search?query=3801001629","Чекко: проверить")</f>
        <v/>
      </c>
      <c r="S6802" t="n">
        <v>1</v>
      </c>
      <c r="T6802" s="35" t="inlineStr">
        <is>
          <t>4 — Не обогащён</t>
        </is>
      </c>
      <c r="U6802" s="35" t="inlineStr">
        <is>
          <t>Нет ОКВЭД/ССЧР</t>
        </is>
      </c>
      <c r="V6802" s="35" t="inlineStr">
        <is>
          <t>Не определено</t>
        </is>
      </c>
      <c r="W6802" s="35" t="inlineStr">
        <is>
          <t>Нет</t>
        </is>
      </c>
      <c r="X6802" s="35" t="inlineStr"/>
    </row>
    <row r="6803" ht="15" customHeight="1" s="24">
      <c r="A6803" s="13" t="inlineStr">
        <is>
          <t>FR1262819</t>
        </is>
      </c>
      <c r="B6803" s="13" t="inlineStr">
        <is>
          <t>ИП Чеснокова Анастасия Викторовна</t>
        </is>
      </c>
      <c r="C6803" s="13" t="n">
        <v>31440195513</v>
      </c>
      <c r="D6803" s="13" t="n"/>
      <c r="E6803" s="13" t="inlineStr">
        <is>
          <t>Не определён</t>
        </is>
      </c>
      <c r="F6803" s="13" t="n"/>
      <c r="G6803" s="14" t="n"/>
      <c r="H6803" s="14" t="n"/>
      <c r="I6803" s="14" t="n"/>
      <c r="J6803" s="14" t="n"/>
      <c r="K6803" s="13">
        <f>IF(G6803="","",IF(G6803&gt;=22,"Да","Нет"))</f>
        <v/>
      </c>
      <c r="L6803" s="13">
        <f>IF(OR(I6803="",J6803=""),"Не определено",IF(OR(COUNTIF(I6803,"45*")&gt;0,COUNTIF(J6803,"*45*")&gt;0,COUNTIF(I6803,"46*")&gt;0,COUNTIF(J6803,"*46*")&gt;0,COUNTIF(I6803,"47*")&gt;0,COUNTIF(J6803,"*47*")&gt;0,COUNTIF(I6803,"10*")&gt;0,COUNTIF(J6803,"*10*")&gt;0,COUNTIF(I6803,"11*")&gt;0,COUNTIF(J6803,"*11*")&gt;0,COUNTIF(I6803,"12*")&gt;0,COUNTIF(J6803,"*12*")&gt;0,COUNTIF(I6803,"13*")&gt;0,COUNTIF(J6803,"*13*")&gt;0,COUNTIF(I6803,"14*")&gt;0,COUNTIF(J6803,"*14*")&gt;0,COUNTIF(I6803,"15*")&gt;0,COUNTIF(J6803,"*15*")&gt;0,COUNTIF(I6803,"16*")&gt;0,COUNTIF(J6803,"*16*")&gt;0,COUNTIF(I6803,"17*")&gt;0,COUNTIF(J6803,"*17*")&gt;0,COUNTIF(I6803,"18*")&gt;0,COUNTIF(J6803,"*18*")&gt;0,COUNTIF(I6803,"19*")&gt;0,COUNTIF(J6803,"*19*")&gt;0,COUNTIF(I6803,"20*")&gt;0,COUNTIF(J6803,"*20*")&gt;0,COUNTIF(I6803,"21*")&gt;0,COUNTIF(J6803,"*21*")&gt;0,COUNTIF(I6803,"22*")&gt;0,COUNTIF(J6803,"*22*")&gt;0,COUNTIF(I6803,"23*")&gt;0,COUNTIF(J6803,"*23*")&gt;0,COUNTIF(I6803,"24*")&gt;0,COUNTIF(J6803,"*24*")&gt;0,COUNTIF(I6803,"25*")&gt;0,COUNTIF(J6803,"*25*")&gt;0,COUNTIF(I6803,"26*")&gt;0,COUNTIF(J6803,"*26*")&gt;0,COUNTIF(I6803,"27*")&gt;0,COUNTIF(J6803,"*27*")&gt;0,COUNTIF(I6803,"28*")&gt;0,COUNTIF(J6803,"*28*")&gt;0,COUNTIF(I6803,"29*")&gt;0,COUNTIF(J6803,"*29*")&gt;0,COUNTIF(I6803,"30*")&gt;0,COUNTIF(J6803,"*30*")&gt;0,COUNTIF(I6803,"31*")&gt;0,COUNTIF(J6803,"*31*")&gt;0,COUNTIF(I6803,"32*")&gt;0,COUNTIF(J6803,"*32*")&gt;0,COUNTIF(I6803,"33*")&gt;0,COUNTIF(J6803,"*33*")&gt;0,COUNTIF(I6803,"41*")&gt;0,COUNTIF(J6803,"*41*")&gt;0,COUNTIF(I6803,"42*")&gt;0,COUNTIF(J6803,"*42*")&gt;0,COUNTIF(I6803,"43*")&gt;0,COUNTIF(J6803,"*43*")&gt;0,COUNTIF(I6803,"49*")&gt;0,COUNTIF(J6803,"*49*")&gt;0,COUNTIF(I6803,"52*")&gt;0,COUNTIF(J6803,"*52*")&gt;0,COUNTIF(I6803,"55*")&gt;0,COUNTIF(J6803,"*55*")&gt;0,COUNTIF(I6803,"56*")&gt;0,COUNTIF(J6803,"*56*")&gt;0,COUNTIF(I6803,"68*")&gt;0,COUNTIF(J6803,"*68*")&gt;0,COUNTIF(I6803,"78*")&gt;0,COUNTIF(J6803,"*78*")&gt;0,COUNTIF(I6803,"81*")&gt;0,COUNTIF(J6803,"*81*")&gt;0,COUNTIF(I6803,"82*")&gt;0,COUNTIF(J6803,"*82*")&gt;0,COUNTIF(I6803,"64*")&gt;0,COUNTIF(J6803,"*64*")&gt;0,COUNTIF(I6803,"65*")&gt;0,COUNTIF(J6803,"*65*")&gt;0,COUNTIF(I6803,"66*")&gt;0,COUNTIF(J6803,"*66*")&gt;0,COUNTIF(I6803,"61*")&gt;0,COUNTIF(J6803,"*61*")&gt;0,COUNTIF(I6803,"62*")&gt;0,COUNTIF(J6803,"*62*")&gt;0,COUNTIF(I6803,"63*")&gt;0,COUNTIF(J6803,"*63*")&gt;0,COUNTIF(I6803,"85*")&gt;0,COUNTIF(J6803,"*85*")&gt;0,COUNTIF(I6803,"86*")&gt;0,COUNTIF(J6803,"*86*")&gt;0),"Да","Нет"))</f>
        <v/>
      </c>
      <c r="M6803" s="13">
        <f>IF(OR(G6803="",L6803&lt;&gt;"Да"),"",IF(G6803&lt;=100,"До 100",IF(G6803&lt;=200,"До 200",IF(G6803&lt;=500,"До 500","Отдельное КП"))))</f>
        <v/>
      </c>
      <c r="N6803" s="15">
        <f>IF(OR(G6803="",L6803&lt;&gt;"Да"),"",IF(G6803&lt;=100,33600,IF(G6803&lt;=200,62400,IF(G6803&lt;=500,144000,""))))</f>
        <v/>
      </c>
      <c r="O6803" s="16">
        <f>IF(G6803="","",IF(G6803&lt;=15,"1–15",IF(G6803&lt;=30,"16–30",IF(G6803&lt;=50,"31–50",IF(G6803&lt;=100,"51–100",IF(G6803&lt;=150,"101–150",IF(G6803&lt;=200,"151–200",IF(G6803&lt;=500,"201–500","500+"))))))))</f>
        <v/>
      </c>
      <c r="P6803" s="16" t="inlineStr">
        <is>
          <t>Нет совпадения в предоставленной выгрузке ССЧР</t>
        </is>
      </c>
      <c r="Q6803" s="16" t="n"/>
      <c r="R6803" s="16">
        <f>HYPERLINK("https://checko.ru/search?query=3801001629","Чекко: проверить")</f>
        <v/>
      </c>
      <c r="S6803" t="n">
        <v>0</v>
      </c>
    </row>
    <row r="6804" ht="15" customHeight="1" s="24">
      <c r="A6804" s="13" t="inlineStr">
        <is>
          <t>FR1262923</t>
        </is>
      </c>
      <c r="B6804" s="13" t="inlineStr">
        <is>
          <t>ИП Колпаков Сергей Михайлович</t>
        </is>
      </c>
      <c r="C6804" s="13" t="n">
        <v>383200673752</v>
      </c>
      <c r="D6804" s="13" t="inlineStr">
        <is>
          <t>383200673752</t>
        </is>
      </c>
      <c r="E6804" s="13" t="inlineStr">
        <is>
          <t>ИП РФ / физлицо</t>
        </is>
      </c>
      <c r="F6804" s="13" t="n"/>
      <c r="G6804" s="14" t="n"/>
      <c r="H6804" s="14" t="n"/>
      <c r="I6804" s="14" t="n"/>
      <c r="J6804" s="14" t="n"/>
      <c r="K6804" s="53" t="inlineStr"/>
      <c r="L6804" s="53" t="inlineStr">
        <is>
          <t>Не определено</t>
        </is>
      </c>
      <c r="M6804" s="53" t="inlineStr"/>
      <c r="N6804" s="54" t="inlineStr"/>
      <c r="O6804" s="55" t="inlineStr"/>
      <c r="P6804" s="16" t="inlineStr">
        <is>
          <t>Требует обогащения</t>
        </is>
      </c>
      <c r="Q6804" s="16">
        <f>HYPERLINK("https://pb.nalog.ru/search.html?query=383200673752","ФНС: проверить")</f>
        <v/>
      </c>
      <c r="R6804" s="16">
        <f>HYPERLINK("https://checko.ru/search?query=3801001629","Чекко: проверить")</f>
        <v/>
      </c>
      <c r="S6804" t="n">
        <v>1</v>
      </c>
      <c r="T6804" s="35" t="inlineStr">
        <is>
          <t>4 — Не обогащён</t>
        </is>
      </c>
      <c r="U6804" s="35" t="inlineStr">
        <is>
          <t>Нет ОКВЭД/ССЧР</t>
        </is>
      </c>
      <c r="V6804" s="35" t="inlineStr">
        <is>
          <t>Не определено</t>
        </is>
      </c>
      <c r="W6804" s="35" t="inlineStr"/>
      <c r="X6804" s="35" t="inlineStr"/>
    </row>
    <row r="6805" ht="15" customHeight="1" s="24">
      <c r="A6805" s="13" t="inlineStr">
        <is>
          <t>FR1262698</t>
        </is>
      </c>
      <c r="B6805" s="13" t="inlineStr">
        <is>
          <t>ИП Нуртынова Екатерина Васильевна</t>
        </is>
      </c>
      <c r="C6805" s="13" t="n">
        <v>30800217146</v>
      </c>
      <c r="D6805" s="13" t="n"/>
      <c r="E6805" s="13" t="inlineStr">
        <is>
          <t>Не определён</t>
        </is>
      </c>
      <c r="F6805" s="13" t="n"/>
      <c r="G6805" s="14" t="n"/>
      <c r="H6805" s="14" t="n"/>
      <c r="I6805" s="14" t="n"/>
      <c r="J6805" s="14" t="n"/>
      <c r="K6805" s="13">
        <f>IF(G6805="","",IF(G6805&gt;=22,"Да","Нет"))</f>
        <v/>
      </c>
      <c r="L6805" s="13">
        <f>IF(OR(I6805="",J6805=""),"Не определено",IF(OR(COUNTIF(I6805,"45*")&gt;0,COUNTIF(J6805,"*45*")&gt;0,COUNTIF(I6805,"46*")&gt;0,COUNTIF(J6805,"*46*")&gt;0,COUNTIF(I6805,"47*")&gt;0,COUNTIF(J6805,"*47*")&gt;0,COUNTIF(I6805,"10*")&gt;0,COUNTIF(J6805,"*10*")&gt;0,COUNTIF(I6805,"11*")&gt;0,COUNTIF(J6805,"*11*")&gt;0,COUNTIF(I6805,"12*")&gt;0,COUNTIF(J6805,"*12*")&gt;0,COUNTIF(I6805,"13*")&gt;0,COUNTIF(J6805,"*13*")&gt;0,COUNTIF(I6805,"14*")&gt;0,COUNTIF(J6805,"*14*")&gt;0,COUNTIF(I6805,"15*")&gt;0,COUNTIF(J6805,"*15*")&gt;0,COUNTIF(I6805,"16*")&gt;0,COUNTIF(J6805,"*16*")&gt;0,COUNTIF(I6805,"17*")&gt;0,COUNTIF(J6805,"*17*")&gt;0,COUNTIF(I6805,"18*")&gt;0,COUNTIF(J6805,"*18*")&gt;0,COUNTIF(I6805,"19*")&gt;0,COUNTIF(J6805,"*19*")&gt;0,COUNTIF(I6805,"20*")&gt;0,COUNTIF(J6805,"*20*")&gt;0,COUNTIF(I6805,"21*")&gt;0,COUNTIF(J6805,"*21*")&gt;0,COUNTIF(I6805,"22*")&gt;0,COUNTIF(J6805,"*22*")&gt;0,COUNTIF(I6805,"23*")&gt;0,COUNTIF(J6805,"*23*")&gt;0,COUNTIF(I6805,"24*")&gt;0,COUNTIF(J6805,"*24*")&gt;0,COUNTIF(I6805,"25*")&gt;0,COUNTIF(J6805,"*25*")&gt;0,COUNTIF(I6805,"26*")&gt;0,COUNTIF(J6805,"*26*")&gt;0,COUNTIF(I6805,"27*")&gt;0,COUNTIF(J6805,"*27*")&gt;0,COUNTIF(I6805,"28*")&gt;0,COUNTIF(J6805,"*28*")&gt;0,COUNTIF(I6805,"29*")&gt;0,COUNTIF(J6805,"*29*")&gt;0,COUNTIF(I6805,"30*")&gt;0,COUNTIF(J6805,"*30*")&gt;0,COUNTIF(I6805,"31*")&gt;0,COUNTIF(J6805,"*31*")&gt;0,COUNTIF(I6805,"32*")&gt;0,COUNTIF(J6805,"*32*")&gt;0,COUNTIF(I6805,"33*")&gt;0,COUNTIF(J6805,"*33*")&gt;0,COUNTIF(I6805,"41*")&gt;0,COUNTIF(J6805,"*41*")&gt;0,COUNTIF(I6805,"42*")&gt;0,COUNTIF(J6805,"*42*")&gt;0,COUNTIF(I6805,"43*")&gt;0,COUNTIF(J6805,"*43*")&gt;0,COUNTIF(I6805,"49*")&gt;0,COUNTIF(J6805,"*49*")&gt;0,COUNTIF(I6805,"52*")&gt;0,COUNTIF(J6805,"*52*")&gt;0,COUNTIF(I6805,"55*")&gt;0,COUNTIF(J6805,"*55*")&gt;0,COUNTIF(I6805,"56*")&gt;0,COUNTIF(J6805,"*56*")&gt;0,COUNTIF(I6805,"68*")&gt;0,COUNTIF(J6805,"*68*")&gt;0,COUNTIF(I6805,"78*")&gt;0,COUNTIF(J6805,"*78*")&gt;0,COUNTIF(I6805,"81*")&gt;0,COUNTIF(J6805,"*81*")&gt;0,COUNTIF(I6805,"82*")&gt;0,COUNTIF(J6805,"*82*")&gt;0,COUNTIF(I6805,"64*")&gt;0,COUNTIF(J6805,"*64*")&gt;0,COUNTIF(I6805,"65*")&gt;0,COUNTIF(J6805,"*65*")&gt;0,COUNTIF(I6805,"66*")&gt;0,COUNTIF(J6805,"*66*")&gt;0,COUNTIF(I6805,"61*")&gt;0,COUNTIF(J6805,"*61*")&gt;0,COUNTIF(I6805,"62*")&gt;0,COUNTIF(J6805,"*62*")&gt;0,COUNTIF(I6805,"63*")&gt;0,COUNTIF(J6805,"*63*")&gt;0,COUNTIF(I6805,"85*")&gt;0,COUNTIF(J6805,"*85*")&gt;0,COUNTIF(I6805,"86*")&gt;0,COUNTIF(J6805,"*86*")&gt;0),"Да","Нет"))</f>
        <v/>
      </c>
      <c r="M6805" s="13">
        <f>IF(OR(G6805="",L6805&lt;&gt;"Да"),"",IF(G6805&lt;=100,"До 100",IF(G6805&lt;=200,"До 200",IF(G6805&lt;=500,"До 500","Отдельное КП"))))</f>
        <v/>
      </c>
      <c r="N6805" s="15">
        <f>IF(OR(G6805="",L6805&lt;&gt;"Да"),"",IF(G6805&lt;=100,33600,IF(G6805&lt;=200,62400,IF(G6805&lt;=500,144000,""))))</f>
        <v/>
      </c>
      <c r="O6805" s="16">
        <f>IF(G6805="","",IF(G6805&lt;=15,"1–15",IF(G6805&lt;=30,"16–30",IF(G6805&lt;=50,"31–50",IF(G6805&lt;=100,"51–100",IF(G6805&lt;=150,"101–150",IF(G6805&lt;=200,"151–200",IF(G6805&lt;=500,"201–500","500+"))))))))</f>
        <v/>
      </c>
      <c r="P6805" s="16" t="inlineStr">
        <is>
          <t>Нет совпадения в предоставленной выгрузке ССЧР</t>
        </is>
      </c>
      <c r="Q6805" s="16" t="n"/>
      <c r="R6805" s="16">
        <f>HYPERLINK("https://checko.ru/search?query=3801001629","Чекко: проверить")</f>
        <v/>
      </c>
      <c r="S6805" t="n">
        <v>0</v>
      </c>
    </row>
    <row r="6806" ht="15" customHeight="1" s="24">
      <c r="A6806" s="13" t="inlineStr">
        <is>
          <t>FR1263903</t>
        </is>
      </c>
      <c r="B6806" s="13" t="inlineStr">
        <is>
          <t>ИП Тарасова Марина Александровна</t>
        </is>
      </c>
      <c r="C6806" s="13" t="n">
        <v>381100531824</v>
      </c>
      <c r="D6806" s="13" t="inlineStr">
        <is>
          <t>381100531824</t>
        </is>
      </c>
      <c r="E6806" s="13" t="inlineStr">
        <is>
          <t>ИП РФ / физлицо</t>
        </is>
      </c>
      <c r="F6806" s="13" t="n"/>
      <c r="G6806" s="14" t="n"/>
      <c r="H6806" s="14" t="n"/>
      <c r="I6806" s="14" t="n"/>
      <c r="J6806" s="14" t="n"/>
      <c r="K6806" s="53" t="inlineStr"/>
      <c r="L6806" s="53" t="inlineStr">
        <is>
          <t>Не определено</t>
        </is>
      </c>
      <c r="M6806" s="53" t="inlineStr"/>
      <c r="N6806" s="54" t="inlineStr"/>
      <c r="O6806" s="55" t="inlineStr"/>
      <c r="P6806" s="16" t="inlineStr">
        <is>
          <t>Требует обогащения</t>
        </is>
      </c>
      <c r="Q6806" s="16">
        <f>HYPERLINK("https://pb.nalog.ru/search.html?query=381100531824","ФНС: проверить")</f>
        <v/>
      </c>
      <c r="R6806" s="16">
        <f>HYPERLINK("https://checko.ru/search?query=3801001629","Чекко: проверить")</f>
        <v/>
      </c>
      <c r="S6806" t="n">
        <v>1</v>
      </c>
      <c r="T6806" s="35" t="inlineStr">
        <is>
          <t>4 — Не обогащён</t>
        </is>
      </c>
      <c r="U6806" s="35" t="inlineStr">
        <is>
          <t>Нет ОКВЭД/ССЧР</t>
        </is>
      </c>
      <c r="V6806" s="35" t="inlineStr">
        <is>
          <t>Не определено</t>
        </is>
      </c>
      <c r="W6806" s="35" t="inlineStr"/>
      <c r="X6806" s="35" t="inlineStr"/>
    </row>
    <row r="6807" ht="15" customHeight="1" s="24">
      <c r="A6807" s="13" t="inlineStr">
        <is>
          <t>FR1252857</t>
        </is>
      </c>
      <c r="B6807" s="13" t="inlineStr">
        <is>
          <t>ИП Лапсина И.П.</t>
        </is>
      </c>
      <c r="C6807" s="13" t="n">
        <v>251113756319</v>
      </c>
      <c r="D6807" s="13" t="inlineStr">
        <is>
          <t>251113756319</t>
        </is>
      </c>
      <c r="E6807" s="13" t="inlineStr">
        <is>
          <t>ИП РФ / физлицо</t>
        </is>
      </c>
      <c r="F6807" s="13" t="n"/>
      <c r="G6807" s="14" t="n"/>
      <c r="H6807" s="14" t="n"/>
      <c r="I6807" s="14" t="n"/>
      <c r="J6807" s="14" t="n"/>
      <c r="K6807" s="53" t="inlineStr"/>
      <c r="L6807" s="53" t="inlineStr">
        <is>
          <t>Не определено</t>
        </is>
      </c>
      <c r="M6807" s="53" t="inlineStr"/>
      <c r="N6807" s="54" t="inlineStr"/>
      <c r="O6807" s="55" t="inlineStr"/>
      <c r="P6807" s="16" t="inlineStr">
        <is>
          <t>Требует обогащения</t>
        </is>
      </c>
      <c r="Q6807" s="16">
        <f>HYPERLINK("https://pb.nalog.ru/search.html?query=251113756319","ФНС: проверить")</f>
        <v/>
      </c>
      <c r="R6807" s="16">
        <f>HYPERLINK("https://checko.ru/search?query=3801001629","Чекко: проверить")</f>
        <v/>
      </c>
      <c r="S6807" t="n">
        <v>1</v>
      </c>
      <c r="T6807" s="35" t="inlineStr">
        <is>
          <t>4 — Не обогащён</t>
        </is>
      </c>
      <c r="U6807" s="35" t="inlineStr">
        <is>
          <t>Нет ОКВЭД/ССЧР</t>
        </is>
      </c>
      <c r="V6807" s="35" t="inlineStr">
        <is>
          <t>Не определено</t>
        </is>
      </c>
      <c r="W6807" s="35" t="inlineStr"/>
      <c r="X6807" s="35" t="inlineStr"/>
    </row>
    <row r="6808" ht="15" customHeight="1" s="24">
      <c r="A6808" s="13" t="inlineStr">
        <is>
          <t>FR107418</t>
        </is>
      </c>
      <c r="B6808" s="13" t="inlineStr">
        <is>
          <t>ООО "СИТЭК"</t>
        </is>
      </c>
      <c r="C6808" s="13" t="n">
        <v>3804037648</v>
      </c>
      <c r="D6808" s="13" t="inlineStr">
        <is>
          <t>3804037648</t>
        </is>
      </c>
      <c r="E6808" s="13" t="inlineStr">
        <is>
          <t>ЮЛ РФ</t>
        </is>
      </c>
      <c r="F6808" s="13" t="n"/>
      <c r="G6808" s="52" t="n">
        <v>5</v>
      </c>
      <c r="H6808" s="52" t="n">
        <v>2025</v>
      </c>
      <c r="I6808" s="14" t="n"/>
      <c r="J6808" s="14" t="n"/>
      <c r="K6808" s="53" t="inlineStr">
        <is>
          <t>Нет</t>
        </is>
      </c>
      <c r="L6808" s="53" t="inlineStr">
        <is>
          <t>Не определено</t>
        </is>
      </c>
      <c r="M6808" s="53" t="inlineStr">
        <is>
          <t>До 10</t>
        </is>
      </c>
      <c r="N6808" s="54" t="n">
        <v>3360</v>
      </c>
      <c r="O6808" s="55" t="inlineStr">
        <is>
          <t>1–15</t>
        </is>
      </c>
      <c r="P6808" s="16" t="inlineStr">
        <is>
          <t>ССЧР обогащена; ОКВЭД не найден/не загружен</t>
        </is>
      </c>
      <c r="Q6808" s="16" t="inlineStr">
        <is>
          <t>ФНС открытые данные ССЧР (ДатаСост 31.12.2025; набор 7707329152-sshr2019)</t>
        </is>
      </c>
      <c r="R6808" s="16">
        <f>HYPERLINK("https://checko.ru/search?query=3801001629","Чекко: проверить")</f>
        <v/>
      </c>
      <c r="S6808" t="n">
        <v>1</v>
      </c>
      <c r="T6808" s="35" t="inlineStr">
        <is>
          <t>4 — Не обогащён</t>
        </is>
      </c>
      <c r="U6808" s="35" t="inlineStr">
        <is>
          <t>Нет ОКВЭД/ССЧР</t>
        </is>
      </c>
      <c r="V6808" s="35" t="inlineStr">
        <is>
          <t>Не определено</t>
        </is>
      </c>
      <c r="W6808" s="35" t="inlineStr">
        <is>
          <t>Нет</t>
        </is>
      </c>
      <c r="X6808" s="35" t="inlineStr"/>
    </row>
    <row r="6809" ht="15" customHeight="1" s="24">
      <c r="A6809" s="13" t="inlineStr">
        <is>
          <t>FR1246306</t>
        </is>
      </c>
      <c r="B6809" s="13" t="inlineStr">
        <is>
          <t>ИП Борисов Илья Владимирович</t>
        </is>
      </c>
      <c r="C6809" s="13" t="n">
        <v>366517037011</v>
      </c>
      <c r="D6809" s="13" t="inlineStr">
        <is>
          <t>366517037011</t>
        </is>
      </c>
      <c r="E6809" s="13" t="inlineStr">
        <is>
          <t>ИП РФ / физлицо</t>
        </is>
      </c>
      <c r="F6809" s="13" t="n"/>
      <c r="G6809" s="14" t="n"/>
      <c r="H6809" s="14" t="n"/>
      <c r="I6809" s="14" t="n"/>
      <c r="J6809" s="14" t="n"/>
      <c r="K6809" s="53" t="inlineStr"/>
      <c r="L6809" s="53" t="inlineStr">
        <is>
          <t>Не определено</t>
        </is>
      </c>
      <c r="M6809" s="53" t="inlineStr"/>
      <c r="N6809" s="54" t="inlineStr"/>
      <c r="O6809" s="55" t="inlineStr"/>
      <c r="P6809" s="16" t="inlineStr">
        <is>
          <t>Требует обогащения</t>
        </is>
      </c>
      <c r="Q6809" s="16">
        <f>HYPERLINK("https://pb.nalog.ru/search.html?query=366517037011","ФНС: проверить")</f>
        <v/>
      </c>
      <c r="R6809" s="16">
        <f>HYPERLINK("https://checko.ru/search?query=3801001629","Чекко: проверить")</f>
        <v/>
      </c>
      <c r="S6809" t="n">
        <v>1</v>
      </c>
      <c r="T6809" s="35" t="inlineStr">
        <is>
          <t>4 — Не обогащён</t>
        </is>
      </c>
      <c r="U6809" s="35" t="inlineStr">
        <is>
          <t>Нет ОКВЭД/ССЧР</t>
        </is>
      </c>
      <c r="V6809" s="35" t="inlineStr">
        <is>
          <t>Не определено</t>
        </is>
      </c>
      <c r="W6809" s="35" t="inlineStr"/>
      <c r="X6809" s="35" t="inlineStr"/>
    </row>
    <row r="6810" ht="27.75" customHeight="1" s="24">
      <c r="A6810" s="13" t="inlineStr">
        <is>
          <t>FR542997</t>
        </is>
      </c>
      <c r="B6810" s="13" t="inlineStr">
        <is>
          <t>ОБЩЕСТВО С ОГРАНИЧЕННОЙ ОТВЕТСТВЕННОСТЬЮ "ГИГИЕНА И ДЕЗИНФЕКЦИЯ"</t>
        </is>
      </c>
      <c r="C6810" s="13" t="n">
        <v>3804041098</v>
      </c>
      <c r="D6810" s="13" t="inlineStr">
        <is>
          <t>3804041098</t>
        </is>
      </c>
      <c r="E6810" s="13" t="inlineStr">
        <is>
          <t>ЮЛ РФ</t>
        </is>
      </c>
      <c r="F6810" s="13" t="n"/>
      <c r="G6810" s="52" t="n">
        <v>3</v>
      </c>
      <c r="H6810" s="52" t="n">
        <v>2025</v>
      </c>
      <c r="I6810" s="14" t="n"/>
      <c r="J6810" s="14" t="n"/>
      <c r="K6810" s="53" t="inlineStr">
        <is>
          <t>Нет</t>
        </is>
      </c>
      <c r="L6810" s="53" t="inlineStr">
        <is>
          <t>Не определено</t>
        </is>
      </c>
      <c r="M6810" s="53" t="inlineStr">
        <is>
          <t>До 10</t>
        </is>
      </c>
      <c r="N6810" s="54" t="n">
        <v>3360</v>
      </c>
      <c r="O6810" s="55" t="inlineStr">
        <is>
          <t>1–15</t>
        </is>
      </c>
      <c r="P6810" s="16" t="inlineStr">
        <is>
          <t>ССЧР обогащена; ОКВЭД не найден/не загружен</t>
        </is>
      </c>
      <c r="Q6810" s="16" t="inlineStr">
        <is>
          <t>ФНС открытые данные ССЧР (ДатаСост 31.12.2025; набор 7707329152-sshr2019)</t>
        </is>
      </c>
      <c r="R6810" s="16">
        <f>HYPERLINK("https://checko.ru/search?query=3801001629","Чекко: проверить")</f>
        <v/>
      </c>
      <c r="S6810" t="n">
        <v>1</v>
      </c>
      <c r="T6810" s="35" t="inlineStr">
        <is>
          <t>4 — Не обогащён</t>
        </is>
      </c>
      <c r="U6810" s="35" t="inlineStr">
        <is>
          <t>Нет ОКВЭД/ССЧР</t>
        </is>
      </c>
      <c r="V6810" s="35" t="inlineStr">
        <is>
          <t>Не определено</t>
        </is>
      </c>
      <c r="W6810" s="35" t="inlineStr">
        <is>
          <t>Нет</t>
        </is>
      </c>
      <c r="X6810" s="35" t="inlineStr"/>
    </row>
    <row r="6811" ht="41.25" customHeight="1" s="24">
      <c r="A6811" s="13" t="inlineStr">
        <is>
          <t>FR719139</t>
        </is>
      </c>
      <c r="B6811" s="13" t="inlineStr">
        <is>
          <t>Общество с ограниченной ответственностью "СТОМАТОЛОГИЧЕСКАЯ КЛИНИКА "АКАДЕМИЧЕСКАЯ"</t>
        </is>
      </c>
      <c r="C6811" s="13" t="n">
        <v>3801104110</v>
      </c>
      <c r="D6811" s="13" t="inlineStr">
        <is>
          <t>3801104110</t>
        </is>
      </c>
      <c r="E6811" s="13" t="inlineStr">
        <is>
          <t>ЮЛ РФ</t>
        </is>
      </c>
      <c r="F6811" s="13" t="n"/>
      <c r="G6811" s="52" t="n">
        <v>20</v>
      </c>
      <c r="H6811" s="52" t="n">
        <v>2025</v>
      </c>
      <c r="I6811" s="14" t="n"/>
      <c r="J6811" s="14" t="n"/>
      <c r="K6811" s="53" t="inlineStr">
        <is>
          <t>Нет</t>
        </is>
      </c>
      <c r="L6811" s="53" t="inlineStr">
        <is>
          <t>Не определено</t>
        </is>
      </c>
      <c r="M6811" s="53" t="inlineStr">
        <is>
          <t>До 25</t>
        </is>
      </c>
      <c r="N6811" s="54" t="n">
        <v>8400</v>
      </c>
      <c r="O6811" s="55" t="inlineStr">
        <is>
          <t>16–30</t>
        </is>
      </c>
      <c r="P6811" s="16" t="inlineStr">
        <is>
          <t>ССЧР обогащена; ОКВЭД не найден/не загружен</t>
        </is>
      </c>
      <c r="Q6811" s="16" t="inlineStr">
        <is>
          <t>ФНС открытые данные ССЧР (ДатаСост 31.12.2025; набор 7707329152-sshr2019)</t>
        </is>
      </c>
      <c r="R6811" s="16">
        <f>HYPERLINK("https://checko.ru/search?query=3801001629","Чекко: проверить")</f>
        <v/>
      </c>
      <c r="S6811" t="n">
        <v>1</v>
      </c>
      <c r="T6811" s="35" t="inlineStr">
        <is>
          <t>4 — Не обогащён</t>
        </is>
      </c>
      <c r="U6811" s="35" t="inlineStr">
        <is>
          <t>Нет ОКВЭД/ССЧР</t>
        </is>
      </c>
      <c r="V6811" s="35" t="inlineStr">
        <is>
          <t>Не определено</t>
        </is>
      </c>
      <c r="W6811" s="35" t="inlineStr">
        <is>
          <t>Нет</t>
        </is>
      </c>
      <c r="X6811" s="35" t="inlineStr"/>
    </row>
    <row r="6812" ht="15" customHeight="1" s="24">
      <c r="A6812" s="13" t="inlineStr">
        <is>
          <t>FR1256441</t>
        </is>
      </c>
      <c r="B6812" s="13" t="inlineStr">
        <is>
          <t>ИП Мельниченко Н.В.</t>
        </is>
      </c>
      <c r="C6812" s="13" t="n">
        <v>380800003810</v>
      </c>
      <c r="D6812" s="13" t="inlineStr">
        <is>
          <t>380800003810</t>
        </is>
      </c>
      <c r="E6812" s="13" t="inlineStr">
        <is>
          <t>ИП РФ / физлицо</t>
        </is>
      </c>
      <c r="F6812" s="13" t="n"/>
      <c r="G6812" s="14" t="n"/>
      <c r="H6812" s="14" t="n"/>
      <c r="I6812" s="14" t="n"/>
      <c r="J6812" s="14" t="n"/>
      <c r="K6812" s="53" t="inlineStr"/>
      <c r="L6812" s="53" t="inlineStr">
        <is>
          <t>Не определено</t>
        </is>
      </c>
      <c r="M6812" s="53" t="inlineStr"/>
      <c r="N6812" s="54" t="inlineStr"/>
      <c r="O6812" s="55" t="inlineStr"/>
      <c r="P6812" s="16" t="inlineStr">
        <is>
          <t>Требует обогащения</t>
        </is>
      </c>
      <c r="Q6812" s="16">
        <f>HYPERLINK("https://pb.nalog.ru/search.html?query=380800003810","ФНС: проверить")</f>
        <v/>
      </c>
      <c r="R6812" s="16">
        <f>HYPERLINK("https://checko.ru/search?query=3801001629","Чекко: проверить")</f>
        <v/>
      </c>
      <c r="S6812" t="n">
        <v>1</v>
      </c>
      <c r="T6812" s="35" t="inlineStr">
        <is>
          <t>4 — Не обогащён</t>
        </is>
      </c>
      <c r="U6812" s="35" t="inlineStr">
        <is>
          <t>Нет ОКВЭД/ССЧР</t>
        </is>
      </c>
      <c r="V6812" s="35" t="inlineStr">
        <is>
          <t>Не определено</t>
        </is>
      </c>
      <c r="W6812" s="35" t="inlineStr"/>
      <c r="X6812" s="35" t="inlineStr"/>
    </row>
    <row r="6813" ht="15" customHeight="1" s="24">
      <c r="A6813" s="13" t="inlineStr">
        <is>
          <t>FR866336</t>
        </is>
      </c>
      <c r="B6813" s="13" t="inlineStr">
        <is>
          <t>ООО Радуга</t>
        </is>
      </c>
      <c r="C6813" s="13" t="n">
        <v>3808238761</v>
      </c>
      <c r="D6813" s="13" t="inlineStr">
        <is>
          <t>3808238761</t>
        </is>
      </c>
      <c r="E6813" s="13" t="inlineStr">
        <is>
          <t>ЮЛ РФ</t>
        </is>
      </c>
      <c r="F6813" s="13" t="n"/>
      <c r="G6813" s="52" t="n">
        <v>2</v>
      </c>
      <c r="H6813" s="52" t="n">
        <v>2025</v>
      </c>
      <c r="I6813" s="14" t="n"/>
      <c r="J6813" s="14" t="n"/>
      <c r="K6813" s="53" t="inlineStr">
        <is>
          <t>Нет</t>
        </is>
      </c>
      <c r="L6813" s="53" t="inlineStr">
        <is>
          <t>Не определено</t>
        </is>
      </c>
      <c r="M6813" s="53" t="inlineStr">
        <is>
          <t>До 10</t>
        </is>
      </c>
      <c r="N6813" s="54" t="n">
        <v>3360</v>
      </c>
      <c r="O6813" s="55" t="inlineStr">
        <is>
          <t>1–15</t>
        </is>
      </c>
      <c r="P6813" s="16" t="inlineStr">
        <is>
          <t>ССЧР обогащена; ОКВЭД не найден/не загружен</t>
        </is>
      </c>
      <c r="Q6813" s="16" t="inlineStr">
        <is>
          <t>ФНС открытые данные ССЧР (ДатаСост 31.12.2025; набор 7707329152-sshr2019)</t>
        </is>
      </c>
      <c r="R6813" s="16">
        <f>HYPERLINK("https://checko.ru/search?query=3801001629","Чекко: проверить")</f>
        <v/>
      </c>
      <c r="S6813" t="n">
        <v>1</v>
      </c>
      <c r="T6813" s="35" t="inlineStr">
        <is>
          <t>4 — Не обогащён</t>
        </is>
      </c>
      <c r="U6813" s="35" t="inlineStr">
        <is>
          <t>Нет ОКВЭД/ССЧР</t>
        </is>
      </c>
      <c r="V6813" s="35" t="inlineStr">
        <is>
          <t>Не определено</t>
        </is>
      </c>
      <c r="W6813" s="35" t="inlineStr">
        <is>
          <t>Нет</t>
        </is>
      </c>
      <c r="X6813" s="35" t="inlineStr"/>
    </row>
    <row r="6814" ht="27.75" customHeight="1" s="24">
      <c r="A6814" s="13" t="inlineStr">
        <is>
          <t>FR866062</t>
        </is>
      </c>
      <c r="B6814" s="13" t="inlineStr">
        <is>
          <t>Общество с ограниченной ответственностью "ПРОФИЛЬ"</t>
        </is>
      </c>
      <c r="C6814" s="13" t="n">
        <v>3808285017</v>
      </c>
      <c r="D6814" s="13" t="inlineStr">
        <is>
          <t>3808285017</t>
        </is>
      </c>
      <c r="E6814" s="13" t="inlineStr">
        <is>
          <t>ЮЛ РФ</t>
        </is>
      </c>
      <c r="F6814" s="13" t="n"/>
      <c r="G6814" s="52" t="n">
        <v>1</v>
      </c>
      <c r="H6814" s="52" t="n">
        <v>2025</v>
      </c>
      <c r="I6814" s="14" t="n"/>
      <c r="J6814" s="14" t="n"/>
      <c r="K6814" s="53" t="inlineStr">
        <is>
          <t>Нет</t>
        </is>
      </c>
      <c r="L6814" s="53" t="inlineStr">
        <is>
          <t>Не определено</t>
        </is>
      </c>
      <c r="M6814" s="53" t="inlineStr">
        <is>
          <t>До 10</t>
        </is>
      </c>
      <c r="N6814" s="54" t="n">
        <v>3360</v>
      </c>
      <c r="O6814" s="55" t="inlineStr">
        <is>
          <t>1–15</t>
        </is>
      </c>
      <c r="P6814" s="16" t="inlineStr">
        <is>
          <t>ССЧР обогащена; ОКВЭД не найден/не загружен</t>
        </is>
      </c>
      <c r="Q6814" s="16" t="inlineStr">
        <is>
          <t>ФНС открытые данные ССЧР (ДатаСост 31.12.2025; набор 7707329152-sshr2019)</t>
        </is>
      </c>
      <c r="R6814" s="16">
        <f>HYPERLINK("https://checko.ru/search?query=3801001629","Чекко: проверить")</f>
        <v/>
      </c>
      <c r="S6814" t="n">
        <v>1</v>
      </c>
      <c r="T6814" s="35" t="inlineStr">
        <is>
          <t>4 — Не обогащён</t>
        </is>
      </c>
      <c r="U6814" s="35" t="inlineStr">
        <is>
          <t>Нет ОКВЭД/ССЧР</t>
        </is>
      </c>
      <c r="V6814" s="35" t="inlineStr">
        <is>
          <t>Не определено</t>
        </is>
      </c>
      <c r="W6814" s="35" t="inlineStr">
        <is>
          <t>Нет</t>
        </is>
      </c>
      <c r="X6814" s="35" t="inlineStr"/>
    </row>
    <row r="6815" ht="27.75" customHeight="1" s="24">
      <c r="A6815" s="13" t="inlineStr">
        <is>
          <t>FR1265518</t>
        </is>
      </c>
      <c r="B6815" s="13" t="inlineStr">
        <is>
          <t>Общество с ограниченной ответственностью "МИНЕРВА СИСТЕМ"</t>
        </is>
      </c>
      <c r="C6815" s="13" t="n">
        <v>3849111549</v>
      </c>
      <c r="D6815" s="13" t="inlineStr">
        <is>
          <t>3849111549</t>
        </is>
      </c>
      <c r="E6815" s="13" t="inlineStr">
        <is>
          <t>ЮЛ РФ</t>
        </is>
      </c>
      <c r="F6815" s="13" t="n"/>
      <c r="G6815" s="52" t="n">
        <v>1</v>
      </c>
      <c r="H6815" s="52" t="n">
        <v>2025</v>
      </c>
      <c r="I6815" s="14" t="n"/>
      <c r="J6815" s="14" t="n"/>
      <c r="K6815" s="53" t="inlineStr">
        <is>
          <t>Нет</t>
        </is>
      </c>
      <c r="L6815" s="53" t="inlineStr">
        <is>
          <t>Не определено</t>
        </is>
      </c>
      <c r="M6815" s="53" t="inlineStr">
        <is>
          <t>До 10</t>
        </is>
      </c>
      <c r="N6815" s="54" t="n">
        <v>3360</v>
      </c>
      <c r="O6815" s="55" t="inlineStr">
        <is>
          <t>1–15</t>
        </is>
      </c>
      <c r="P6815" s="16" t="inlineStr">
        <is>
          <t>ССЧР обогащена; ОКВЭД не найден/не загружен</t>
        </is>
      </c>
      <c r="Q6815" s="16" t="inlineStr">
        <is>
          <t>ФНС открытые данные ССЧР (ДатаСост 31.12.2025; набор 7707329152-sshr2019)</t>
        </is>
      </c>
      <c r="R6815" s="16">
        <f>HYPERLINK("https://checko.ru/search?query=3801001629","Чекко: проверить")</f>
        <v/>
      </c>
      <c r="S6815" t="n">
        <v>1</v>
      </c>
      <c r="T6815" s="35" t="inlineStr">
        <is>
          <t>4 — Не обогащён</t>
        </is>
      </c>
      <c r="U6815" s="35" t="inlineStr">
        <is>
          <t>Нет ОКВЭД/ССЧР</t>
        </is>
      </c>
      <c r="V6815" s="35" t="inlineStr">
        <is>
          <t>Не определено</t>
        </is>
      </c>
      <c r="W6815" s="35" t="inlineStr">
        <is>
          <t>Нет</t>
        </is>
      </c>
      <c r="X6815" s="35" t="inlineStr"/>
    </row>
    <row r="6816" ht="27.75" customHeight="1" s="24">
      <c r="A6816" s="13" t="inlineStr">
        <is>
          <t>FR834043</t>
        </is>
      </c>
      <c r="B6816" s="13" t="inlineStr">
        <is>
          <t>Общество с ограниченной ответственностью "МК-85"</t>
        </is>
      </c>
      <c r="C6816" s="13" t="n">
        <v>3849097326</v>
      </c>
      <c r="D6816" s="13" t="inlineStr">
        <is>
          <t>3849097326</t>
        </is>
      </c>
      <c r="E6816" s="13" t="inlineStr">
        <is>
          <t>ЮЛ РФ</t>
        </is>
      </c>
      <c r="F6816" s="13" t="n"/>
      <c r="G6816" s="52" t="n">
        <v>13</v>
      </c>
      <c r="H6816" s="52" t="n">
        <v>2025</v>
      </c>
      <c r="I6816" s="14" t="n"/>
      <c r="J6816" s="14" t="n"/>
      <c r="K6816" s="53" t="inlineStr">
        <is>
          <t>Нет</t>
        </is>
      </c>
      <c r="L6816" s="53" t="inlineStr">
        <is>
          <t>Не определено</t>
        </is>
      </c>
      <c r="M6816" s="53" t="inlineStr">
        <is>
          <t>До 25</t>
        </is>
      </c>
      <c r="N6816" s="54" t="n">
        <v>8400</v>
      </c>
      <c r="O6816" s="55" t="inlineStr">
        <is>
          <t>1–15</t>
        </is>
      </c>
      <c r="P6816" s="16" t="inlineStr">
        <is>
          <t>ССЧР обогащена; ОКВЭД не найден/не загружен</t>
        </is>
      </c>
      <c r="Q6816" s="16" t="inlineStr">
        <is>
          <t>ФНС открытые данные ССЧР (ДатаСост 31.12.2025; набор 7707329152-sshr2019)</t>
        </is>
      </c>
      <c r="R6816" s="16">
        <f>HYPERLINK("https://checko.ru/search?query=3801001629","Чекко: проверить")</f>
        <v/>
      </c>
      <c r="S6816" t="n">
        <v>1</v>
      </c>
      <c r="T6816" s="35" t="inlineStr">
        <is>
          <t>4 — Не обогащён</t>
        </is>
      </c>
      <c r="U6816" s="35" t="inlineStr">
        <is>
          <t>Нет ОКВЭД/ССЧР</t>
        </is>
      </c>
      <c r="V6816" s="35" t="inlineStr">
        <is>
          <t>Не определено</t>
        </is>
      </c>
      <c r="W6816" s="35" t="inlineStr">
        <is>
          <t>Нет</t>
        </is>
      </c>
      <c r="X6816" s="35" t="inlineStr"/>
    </row>
    <row r="6817" ht="27.75" customHeight="1" s="24">
      <c r="A6817" s="13" t="inlineStr">
        <is>
          <t>FR1226452</t>
        </is>
      </c>
      <c r="B6817" s="13" t="inlineStr">
        <is>
          <t>Общество с ограниченной ответственностью "ДЖЕФ"</t>
        </is>
      </c>
      <c r="C6817" s="13" t="n">
        <v>3804123230</v>
      </c>
      <c r="D6817" s="13" t="inlineStr">
        <is>
          <t>3804123230</t>
        </is>
      </c>
      <c r="E6817" s="13" t="inlineStr">
        <is>
          <t>ЮЛ РФ</t>
        </is>
      </c>
      <c r="F6817" s="13" t="n"/>
      <c r="G6817" s="52" t="n">
        <v>0</v>
      </c>
      <c r="H6817" s="52" t="n">
        <v>2025</v>
      </c>
      <c r="I6817" s="14" t="n"/>
      <c r="J6817" s="14" t="n"/>
      <c r="K6817" s="53" t="inlineStr">
        <is>
          <t>Нет</t>
        </is>
      </c>
      <c r="L6817" s="53" t="inlineStr">
        <is>
          <t>Не определено</t>
        </is>
      </c>
      <c r="M6817" s="53" t="inlineStr">
        <is>
          <t>До 10</t>
        </is>
      </c>
      <c r="N6817" s="54" t="n">
        <v>3360</v>
      </c>
      <c r="O6817" s="55" t="inlineStr">
        <is>
          <t>1–15</t>
        </is>
      </c>
      <c r="P6817" s="16" t="inlineStr">
        <is>
          <t>ССЧР обогащена; ОКВЭД не найден/не загружен</t>
        </is>
      </c>
      <c r="Q6817" s="16" t="inlineStr">
        <is>
          <t>ФНС открытые данные ССЧР (ДатаСост 31.12.2025; набор 7707329152-sshr2019)</t>
        </is>
      </c>
      <c r="R6817" s="16">
        <f>HYPERLINK("https://checko.ru/search?query=3801001629","Чекко: проверить")</f>
        <v/>
      </c>
      <c r="S6817" t="n">
        <v>1</v>
      </c>
      <c r="T6817" s="35" t="inlineStr">
        <is>
          <t>4 — Не обогащён</t>
        </is>
      </c>
      <c r="U6817" s="35" t="inlineStr">
        <is>
          <t>Нет ОКВЭД/ССЧР</t>
        </is>
      </c>
      <c r="V6817" s="35" t="inlineStr">
        <is>
          <t>Не определено</t>
        </is>
      </c>
      <c r="W6817" s="35" t="inlineStr">
        <is>
          <t>Нет</t>
        </is>
      </c>
      <c r="X6817" s="35" t="inlineStr"/>
    </row>
    <row r="6818" ht="41.25" customHeight="1" s="24">
      <c r="A6818" s="13" t="inlineStr">
        <is>
          <t>FR1263635</t>
        </is>
      </c>
      <c r="B6818" s="13" t="inlineStr">
        <is>
          <t>АВТОНОМНАЯ НЕКОММЕРЧЕСКАЯ ОРГАНИЗАЦИЯ РАЗВИТИЯ ТВОРЧЕСКОГО ПОТЕНЦИАЛА ШКОЛА-ФЕРМА "ДЕТИ ЗЕМЛИ"</t>
        </is>
      </c>
      <c r="C6818" s="13" t="n">
        <v>2263032408</v>
      </c>
      <c r="D6818" s="13" t="inlineStr">
        <is>
          <t>2263032408</t>
        </is>
      </c>
      <c r="E6818" s="13" t="inlineStr">
        <is>
          <t>ЮЛ РФ</t>
        </is>
      </c>
      <c r="F6818" s="13" t="n"/>
      <c r="G6818" s="14" t="n"/>
      <c r="H6818" s="14" t="n"/>
      <c r="I6818" s="14" t="n"/>
      <c r="J6818" s="14" t="n"/>
      <c r="K6818" s="53" t="inlineStr"/>
      <c r="L6818" s="53" t="inlineStr">
        <is>
          <t>Не определено</t>
        </is>
      </c>
      <c r="M6818" s="53" t="inlineStr"/>
      <c r="N6818" s="54" t="inlineStr"/>
      <c r="O6818" s="55" t="inlineStr"/>
      <c r="P6818" s="16" t="inlineStr">
        <is>
          <t>Требует обогащения</t>
        </is>
      </c>
      <c r="Q6818" s="16">
        <f>HYPERLINK("https://pb.nalog.ru/search.html?query=2263032408","ФНС: проверить")</f>
        <v/>
      </c>
      <c r="R6818" s="16">
        <f>HYPERLINK("https://checko.ru/search?query=3801001629","Чекко: проверить")</f>
        <v/>
      </c>
      <c r="S6818" t="n">
        <v>1</v>
      </c>
      <c r="T6818" s="35" t="inlineStr">
        <is>
          <t>4 — Не обогащён</t>
        </is>
      </c>
      <c r="U6818" s="35" t="inlineStr">
        <is>
          <t>Нет ОКВЭД/ССЧР</t>
        </is>
      </c>
      <c r="V6818" s="35" t="inlineStr">
        <is>
          <t>Не определено</t>
        </is>
      </c>
      <c r="W6818" s="35" t="inlineStr"/>
      <c r="X6818" s="35" t="inlineStr"/>
    </row>
    <row r="6819" ht="15" customHeight="1" s="24">
      <c r="A6819" s="13" t="inlineStr">
        <is>
          <t>FR959714</t>
        </is>
      </c>
      <c r="B6819" s="13" t="inlineStr">
        <is>
          <t>ФЛ Пешкова Елена Евгеньевна</t>
        </is>
      </c>
      <c r="C6819" s="13" t="n">
        <v>753620389224</v>
      </c>
      <c r="D6819" s="13" t="inlineStr">
        <is>
          <t>753620389224</t>
        </is>
      </c>
      <c r="E6819" s="13" t="inlineStr">
        <is>
          <t>ИП РФ / физлицо</t>
        </is>
      </c>
      <c r="F6819" s="13" t="n"/>
      <c r="G6819" s="14" t="n"/>
      <c r="H6819" s="14" t="n"/>
      <c r="I6819" s="14" t="n"/>
      <c r="J6819" s="14" t="n"/>
      <c r="K6819" s="53" t="inlineStr"/>
      <c r="L6819" s="53" t="inlineStr">
        <is>
          <t>Не определено</t>
        </is>
      </c>
      <c r="M6819" s="53" t="inlineStr"/>
      <c r="N6819" s="54" t="inlineStr"/>
      <c r="O6819" s="55" t="inlineStr"/>
      <c r="P6819" s="16" t="inlineStr">
        <is>
          <t>Требует обогащения</t>
        </is>
      </c>
      <c r="Q6819" s="16">
        <f>HYPERLINK("https://pb.nalog.ru/search.html?query=753620389224","ФНС: проверить")</f>
        <v/>
      </c>
      <c r="R6819" s="16">
        <f>HYPERLINK("https://checko.ru/search?query=3801001629","Чекко: проверить")</f>
        <v/>
      </c>
      <c r="S6819" t="n">
        <v>1</v>
      </c>
      <c r="T6819" s="35" t="inlineStr">
        <is>
          <t>4 — Не обогащён</t>
        </is>
      </c>
      <c r="U6819" s="35" t="inlineStr">
        <is>
          <t>Нет ОКВЭД/ССЧР</t>
        </is>
      </c>
      <c r="V6819" s="35" t="inlineStr">
        <is>
          <t>Не определено</t>
        </is>
      </c>
      <c r="W6819" s="35" t="inlineStr"/>
      <c r="X6819" s="35" t="inlineStr"/>
    </row>
    <row r="6820" ht="15" customHeight="1" s="24">
      <c r="A6820" s="13" t="inlineStr">
        <is>
          <t>FR1062849</t>
        </is>
      </c>
      <c r="B6820" s="13" t="inlineStr">
        <is>
          <t>ХАРИЗМА ООО</t>
        </is>
      </c>
      <c r="C6820" s="13" t="n">
        <v>7726764129</v>
      </c>
      <c r="D6820" s="13" t="inlineStr">
        <is>
          <t>7726764129</t>
        </is>
      </c>
      <c r="E6820" s="13" t="inlineStr">
        <is>
          <t>ЮЛ РФ</t>
        </is>
      </c>
      <c r="F6820" s="13" t="n"/>
      <c r="G6820" s="52" t="n">
        <v>2</v>
      </c>
      <c r="H6820" s="52" t="n">
        <v>2025</v>
      </c>
      <c r="I6820" s="14" t="n"/>
      <c r="J6820" s="14" t="n"/>
      <c r="K6820" s="53" t="inlineStr">
        <is>
          <t>Нет</t>
        </is>
      </c>
      <c r="L6820" s="53" t="inlineStr">
        <is>
          <t>Не определено</t>
        </is>
      </c>
      <c r="M6820" s="53" t="inlineStr">
        <is>
          <t>До 10</t>
        </is>
      </c>
      <c r="N6820" s="54" t="n">
        <v>3360</v>
      </c>
      <c r="O6820" s="55" t="inlineStr">
        <is>
          <t>1–15</t>
        </is>
      </c>
      <c r="P6820" s="16" t="inlineStr">
        <is>
          <t>ССЧР обогащена; ОКВЭД не найден/не загружен</t>
        </is>
      </c>
      <c r="Q6820" s="16" t="inlineStr">
        <is>
          <t>ФНС открытые данные ССЧР (ДатаСост 31.12.2025; набор 7707329152-sshr2019)</t>
        </is>
      </c>
      <c r="R6820" s="16">
        <f>HYPERLINK("https://checko.ru/search?query=3801001629","Чекко: проверить")</f>
        <v/>
      </c>
      <c r="S6820" t="n">
        <v>1</v>
      </c>
      <c r="T6820" s="35" t="inlineStr">
        <is>
          <t>4 — Не обогащён</t>
        </is>
      </c>
      <c r="U6820" s="35" t="inlineStr">
        <is>
          <t>Нет ОКВЭД/ССЧР</t>
        </is>
      </c>
      <c r="V6820" s="35" t="inlineStr">
        <is>
          <t>Не определено</t>
        </is>
      </c>
      <c r="W6820" s="35" t="inlineStr">
        <is>
          <t>Нет</t>
        </is>
      </c>
      <c r="X6820" s="35" t="inlineStr"/>
    </row>
    <row r="6821" ht="41.25" customHeight="1" s="24">
      <c r="A6821" s="13" t="inlineStr">
        <is>
          <t>FR570969</t>
        </is>
      </c>
      <c r="B6821" s="13" t="inlineStr">
        <is>
          <t>ОБЩЕСТВО С ОГРАНИЧЕННОЙ ОТВЕТСТВЕННОСТЬЮ "ПОСЫЛОЧНЫЙ ТОРГОВЫЙ ДОМ"</t>
        </is>
      </c>
      <c r="C6821" s="13" t="n">
        <v>3809006019</v>
      </c>
      <c r="D6821" s="13" t="inlineStr">
        <is>
          <t>3809006019</t>
        </is>
      </c>
      <c r="E6821" s="13" t="inlineStr">
        <is>
          <t>ЮЛ РФ</t>
        </is>
      </c>
      <c r="F6821" s="13" t="n"/>
      <c r="G6821" s="52" t="n">
        <v>7</v>
      </c>
      <c r="H6821" s="52" t="n">
        <v>2025</v>
      </c>
      <c r="I6821" s="14" t="n"/>
      <c r="J6821" s="14" t="n"/>
      <c r="K6821" s="53" t="inlineStr">
        <is>
          <t>Нет</t>
        </is>
      </c>
      <c r="L6821" s="53" t="inlineStr">
        <is>
          <t>Не определено</t>
        </is>
      </c>
      <c r="M6821" s="53" t="inlineStr">
        <is>
          <t>До 10</t>
        </is>
      </c>
      <c r="N6821" s="54" t="n">
        <v>3360</v>
      </c>
      <c r="O6821" s="55" t="inlineStr">
        <is>
          <t>1–15</t>
        </is>
      </c>
      <c r="P6821" s="16" t="inlineStr">
        <is>
          <t>ССЧР обогащена; ОКВЭД не найден/не загружен</t>
        </is>
      </c>
      <c r="Q6821" s="16" t="inlineStr">
        <is>
          <t>ФНС открытые данные ССЧР (ДатаСост 31.12.2025; набор 7707329152-sshr2019)</t>
        </is>
      </c>
      <c r="R6821" s="16">
        <f>HYPERLINK("https://checko.ru/search?query=3801001629","Чекко: проверить")</f>
        <v/>
      </c>
      <c r="S6821" t="n">
        <v>1</v>
      </c>
      <c r="T6821" s="35" t="inlineStr">
        <is>
          <t>4 — Не обогащён</t>
        </is>
      </c>
      <c r="U6821" s="35" t="inlineStr">
        <is>
          <t>Нет ОКВЭД/ССЧР</t>
        </is>
      </c>
      <c r="V6821" s="35" t="inlineStr">
        <is>
          <t>Не определено</t>
        </is>
      </c>
      <c r="W6821" s="35" t="inlineStr">
        <is>
          <t>Нет</t>
        </is>
      </c>
      <c r="X6821" s="35" t="inlineStr"/>
    </row>
    <row r="6822" ht="27.75" customHeight="1" s="24">
      <c r="A6822" s="13" t="inlineStr">
        <is>
          <t>FR1059619</t>
        </is>
      </c>
      <c r="B6822" s="13" t="inlineStr">
        <is>
          <t>Общество с ограниченной ответственностью "СОРОСТ"</t>
        </is>
      </c>
      <c r="C6822" s="13" t="n">
        <v>3811063751</v>
      </c>
      <c r="D6822" s="13" t="inlineStr">
        <is>
          <t>3811063751</t>
        </is>
      </c>
      <c r="E6822" s="13" t="inlineStr">
        <is>
          <t>ЮЛ РФ</t>
        </is>
      </c>
      <c r="F6822" s="13" t="n"/>
      <c r="G6822" s="52" t="n">
        <v>3</v>
      </c>
      <c r="H6822" s="52" t="n">
        <v>2025</v>
      </c>
      <c r="I6822" s="14" t="n"/>
      <c r="J6822" s="14" t="n"/>
      <c r="K6822" s="53" t="inlineStr">
        <is>
          <t>Нет</t>
        </is>
      </c>
      <c r="L6822" s="53" t="inlineStr">
        <is>
          <t>Не определено</t>
        </is>
      </c>
      <c r="M6822" s="53" t="inlineStr">
        <is>
          <t>До 10</t>
        </is>
      </c>
      <c r="N6822" s="54" t="n">
        <v>3360</v>
      </c>
      <c r="O6822" s="55" t="inlineStr">
        <is>
          <t>1–15</t>
        </is>
      </c>
      <c r="P6822" s="16" t="inlineStr">
        <is>
          <t>ССЧР обогащена; ОКВЭД не найден/не загружен</t>
        </is>
      </c>
      <c r="Q6822" s="16" t="inlineStr">
        <is>
          <t>ФНС открытые данные ССЧР (ДатаСост 31.12.2025; набор 7707329152-sshr2019)</t>
        </is>
      </c>
      <c r="R6822" s="16">
        <f>HYPERLINK("https://checko.ru/search?query=3801001629","Чекко: проверить")</f>
        <v/>
      </c>
      <c r="S6822" t="n">
        <v>1</v>
      </c>
      <c r="T6822" s="35" t="inlineStr">
        <is>
          <t>4 — Не обогащён</t>
        </is>
      </c>
      <c r="U6822" s="35" t="inlineStr">
        <is>
          <t>Нет ОКВЭД/ССЧР</t>
        </is>
      </c>
      <c r="V6822" s="35" t="inlineStr">
        <is>
          <t>Не определено</t>
        </is>
      </c>
      <c r="W6822" s="35" t="inlineStr">
        <is>
          <t>Нет</t>
        </is>
      </c>
      <c r="X6822" s="35" t="inlineStr"/>
    </row>
    <row r="6823" ht="15" customHeight="1" s="24">
      <c r="A6823" s="13" t="inlineStr">
        <is>
          <t>FR1061156</t>
        </is>
      </c>
      <c r="B6823" s="13" t="inlineStr">
        <is>
          <t>ИП Ткачук Татьяна Евгеньевна</t>
        </is>
      </c>
      <c r="C6823" s="13" t="n">
        <v>381109583753</v>
      </c>
      <c r="D6823" s="13" t="inlineStr">
        <is>
          <t>381109583753</t>
        </is>
      </c>
      <c r="E6823" s="13" t="inlineStr">
        <is>
          <t>ИП РФ / физлицо</t>
        </is>
      </c>
      <c r="F6823" s="13" t="n"/>
      <c r="G6823" s="14" t="n"/>
      <c r="H6823" s="14" t="n"/>
      <c r="I6823" s="14" t="n"/>
      <c r="J6823" s="14" t="n"/>
      <c r="K6823" s="53" t="inlineStr"/>
      <c r="L6823" s="53" t="inlineStr">
        <is>
          <t>Не определено</t>
        </is>
      </c>
      <c r="M6823" s="53" t="inlineStr"/>
      <c r="N6823" s="54" t="inlineStr"/>
      <c r="O6823" s="55" t="inlineStr"/>
      <c r="P6823" s="16" t="inlineStr">
        <is>
          <t>Требует обогащения</t>
        </is>
      </c>
      <c r="Q6823" s="16">
        <f>HYPERLINK("https://pb.nalog.ru/search.html?query=381109583753","ФНС: проверить")</f>
        <v/>
      </c>
      <c r="R6823" s="16">
        <f>HYPERLINK("https://checko.ru/search?query=3801001629","Чекко: проверить")</f>
        <v/>
      </c>
      <c r="S6823" t="n">
        <v>1</v>
      </c>
      <c r="T6823" s="35" t="inlineStr">
        <is>
          <t>4 — Не обогащён</t>
        </is>
      </c>
      <c r="U6823" s="35" t="inlineStr">
        <is>
          <t>Нет ОКВЭД/ССЧР</t>
        </is>
      </c>
      <c r="V6823" s="35" t="inlineStr">
        <is>
          <t>Не определено</t>
        </is>
      </c>
      <c r="W6823" s="35" t="inlineStr"/>
      <c r="X6823" s="35" t="inlineStr"/>
    </row>
    <row r="6824" ht="15" customHeight="1" s="24">
      <c r="A6824" s="13" t="inlineStr">
        <is>
          <t>FR1258035</t>
        </is>
      </c>
      <c r="B6824" s="13" t="inlineStr">
        <is>
          <t>Тихомиров Петр Владимирович</t>
        </is>
      </c>
      <c r="C6824" s="13" t="n">
        <v>702203124332</v>
      </c>
      <c r="D6824" s="13" t="inlineStr">
        <is>
          <t>702203124332</t>
        </is>
      </c>
      <c r="E6824" s="13" t="inlineStr">
        <is>
          <t>ИП РФ / физлицо</t>
        </is>
      </c>
      <c r="F6824" s="13" t="n"/>
      <c r="G6824" s="14" t="n"/>
      <c r="H6824" s="14" t="n"/>
      <c r="I6824" s="14" t="n"/>
      <c r="J6824" s="14" t="n"/>
      <c r="K6824" s="53" t="inlineStr"/>
      <c r="L6824" s="53" t="inlineStr">
        <is>
          <t>Не определено</t>
        </is>
      </c>
      <c r="M6824" s="53" t="inlineStr"/>
      <c r="N6824" s="54" t="inlineStr"/>
      <c r="O6824" s="55" t="inlineStr"/>
      <c r="P6824" s="16" t="inlineStr">
        <is>
          <t>Требует обогащения</t>
        </is>
      </c>
      <c r="Q6824" s="16">
        <f>HYPERLINK("https://pb.nalog.ru/search.html?query=702203124332","ФНС: проверить")</f>
        <v/>
      </c>
      <c r="R6824" s="16">
        <f>HYPERLINK("https://checko.ru/search?query=3801001629","Чекко: проверить")</f>
        <v/>
      </c>
      <c r="S6824" t="n">
        <v>1</v>
      </c>
      <c r="T6824" s="35" t="inlineStr">
        <is>
          <t>4 — Не обогащён</t>
        </is>
      </c>
      <c r="U6824" s="35" t="inlineStr">
        <is>
          <t>Нет ОКВЭД/ССЧР</t>
        </is>
      </c>
      <c r="V6824" s="35" t="inlineStr">
        <is>
          <t>Не определено</t>
        </is>
      </c>
      <c r="W6824" s="35" t="inlineStr"/>
      <c r="X6824" s="35" t="inlineStr"/>
    </row>
    <row r="6825" ht="27.75" customHeight="1" s="24">
      <c r="A6825" s="13" t="inlineStr">
        <is>
          <t>FR1258447</t>
        </is>
      </c>
      <c r="B6825" s="13" t="inlineStr">
        <is>
          <t>Общество с ограниченной ответственностью "АГЕНТСТВО ОХРАНЫ "ЧУР"</t>
        </is>
      </c>
      <c r="C6825" s="13" t="n">
        <v>5908073299</v>
      </c>
      <c r="D6825" s="13" t="inlineStr">
        <is>
          <t>5908073299</t>
        </is>
      </c>
      <c r="E6825" s="13" t="inlineStr">
        <is>
          <t>ЮЛ РФ</t>
        </is>
      </c>
      <c r="F6825" s="13" t="n"/>
      <c r="G6825" s="52" t="n">
        <v>1</v>
      </c>
      <c r="H6825" s="52" t="n">
        <v>2025</v>
      </c>
      <c r="I6825" s="14" t="n"/>
      <c r="J6825" s="14" t="n"/>
      <c r="K6825" s="53" t="inlineStr">
        <is>
          <t>Нет</t>
        </is>
      </c>
      <c r="L6825" s="53" t="inlineStr">
        <is>
          <t>Не определено</t>
        </is>
      </c>
      <c r="M6825" s="53" t="inlineStr">
        <is>
          <t>До 10</t>
        </is>
      </c>
      <c r="N6825" s="54" t="n">
        <v>3360</v>
      </c>
      <c r="O6825" s="55" t="inlineStr">
        <is>
          <t>1–15</t>
        </is>
      </c>
      <c r="P6825" s="16" t="inlineStr">
        <is>
          <t>ССЧР обогащена; ОКВЭД не найден/не загружен</t>
        </is>
      </c>
      <c r="Q6825" s="16" t="inlineStr">
        <is>
          <t>ФНС открытые данные ССЧР (ДатаСост 31.12.2025; набор 7707329152-sshr2019)</t>
        </is>
      </c>
      <c r="R6825" s="16">
        <f>HYPERLINK("https://checko.ru/search?query=3801001629","Чекко: проверить")</f>
        <v/>
      </c>
      <c r="S6825" t="n">
        <v>1</v>
      </c>
      <c r="T6825" s="35" t="inlineStr">
        <is>
          <t>4 — Не обогащён</t>
        </is>
      </c>
      <c r="U6825" s="35" t="inlineStr">
        <is>
          <t>Нет ОКВЭД/ССЧР</t>
        </is>
      </c>
      <c r="V6825" s="35" t="inlineStr">
        <is>
          <t>Не определено</t>
        </is>
      </c>
      <c r="W6825" s="35" t="inlineStr">
        <is>
          <t>Нет</t>
        </is>
      </c>
      <c r="X6825" s="35" t="inlineStr"/>
    </row>
    <row r="6826" ht="15" customHeight="1" s="24">
      <c r="A6826" s="13" t="inlineStr">
        <is>
          <t>FR1255603</t>
        </is>
      </c>
      <c r="B6826" s="13" t="inlineStr">
        <is>
          <t>ИП Калеников Валерий Андреевич</t>
        </is>
      </c>
      <c r="C6826" s="13" t="n">
        <v>380431556761</v>
      </c>
      <c r="D6826" s="13" t="inlineStr">
        <is>
          <t>380431556761</t>
        </is>
      </c>
      <c r="E6826" s="13" t="inlineStr">
        <is>
          <t>ИП РФ / физлицо</t>
        </is>
      </c>
      <c r="F6826" s="13" t="n"/>
      <c r="G6826" s="14" t="n"/>
      <c r="H6826" s="14" t="n"/>
      <c r="I6826" s="14" t="n"/>
      <c r="J6826" s="14" t="n"/>
      <c r="K6826" s="53" t="inlineStr"/>
      <c r="L6826" s="53" t="inlineStr">
        <is>
          <t>Не определено</t>
        </is>
      </c>
      <c r="M6826" s="53" t="inlineStr"/>
      <c r="N6826" s="54" t="inlineStr"/>
      <c r="O6826" s="55" t="inlineStr"/>
      <c r="P6826" s="16" t="inlineStr">
        <is>
          <t>Требует обогащения</t>
        </is>
      </c>
      <c r="Q6826" s="16">
        <f>HYPERLINK("https://pb.nalog.ru/search.html?query=380431556761","ФНС: проверить")</f>
        <v/>
      </c>
      <c r="R6826" s="16">
        <f>HYPERLINK("https://checko.ru/search?query=3801001629","Чекко: проверить")</f>
        <v/>
      </c>
      <c r="S6826" t="n">
        <v>1</v>
      </c>
      <c r="T6826" s="35" t="inlineStr">
        <is>
          <t>4 — Не обогащён</t>
        </is>
      </c>
      <c r="U6826" s="35" t="inlineStr">
        <is>
          <t>Нет ОКВЭД/ССЧР</t>
        </is>
      </c>
      <c r="V6826" s="35" t="inlineStr">
        <is>
          <t>Не определено</t>
        </is>
      </c>
      <c r="W6826" s="35" t="inlineStr"/>
      <c r="X6826" s="35" t="inlineStr"/>
    </row>
    <row r="6827" ht="15" customHeight="1" s="24">
      <c r="A6827" s="13" t="inlineStr">
        <is>
          <t>FR216767</t>
        </is>
      </c>
      <c r="B6827" s="13" t="inlineStr">
        <is>
          <t>ООО Сервис транс</t>
        </is>
      </c>
      <c r="C6827" s="13" t="n">
        <v>3849062355</v>
      </c>
      <c r="D6827" s="13" t="inlineStr">
        <is>
          <t>3849062355</t>
        </is>
      </c>
      <c r="E6827" s="13" t="inlineStr">
        <is>
          <t>ЮЛ РФ</t>
        </is>
      </c>
      <c r="F6827" s="13" t="n"/>
      <c r="G6827" s="52" t="n">
        <v>4</v>
      </c>
      <c r="H6827" s="52" t="n">
        <v>2025</v>
      </c>
      <c r="I6827" s="14" t="n"/>
      <c r="J6827" s="14" t="n"/>
      <c r="K6827" s="53" t="inlineStr">
        <is>
          <t>Нет</t>
        </is>
      </c>
      <c r="L6827" s="53" t="inlineStr">
        <is>
          <t>Не определено</t>
        </is>
      </c>
      <c r="M6827" s="53" t="inlineStr">
        <is>
          <t>До 10</t>
        </is>
      </c>
      <c r="N6827" s="54" t="n">
        <v>3360</v>
      </c>
      <c r="O6827" s="55" t="inlineStr">
        <is>
          <t>1–15</t>
        </is>
      </c>
      <c r="P6827" s="16" t="inlineStr">
        <is>
          <t>ССЧР обогащена; ОКВЭД не найден/не загружен</t>
        </is>
      </c>
      <c r="Q6827" s="16" t="inlineStr">
        <is>
          <t>ФНС открытые данные ССЧР (ДатаСост 31.12.2025; набор 7707329152-sshr2019)</t>
        </is>
      </c>
      <c r="R6827" s="16">
        <f>HYPERLINK("https://checko.ru/search?query=3801001629","Чекко: проверить")</f>
        <v/>
      </c>
      <c r="S6827" t="n">
        <v>1</v>
      </c>
      <c r="T6827" s="35" t="inlineStr">
        <is>
          <t>4 — Не обогащён</t>
        </is>
      </c>
      <c r="U6827" s="35" t="inlineStr">
        <is>
          <t>Нет ОКВЭД/ССЧР</t>
        </is>
      </c>
      <c r="V6827" s="35" t="inlineStr">
        <is>
          <t>Не определено</t>
        </is>
      </c>
      <c r="W6827" s="35" t="inlineStr">
        <is>
          <t>Нет</t>
        </is>
      </c>
      <c r="X6827" s="35" t="inlineStr"/>
    </row>
    <row r="6828" ht="27.75" customHeight="1" s="24">
      <c r="A6828" s="13" t="inlineStr">
        <is>
          <t>FR1258762</t>
        </is>
      </c>
      <c r="B6828" s="13" t="inlineStr">
        <is>
          <t>Общество с ограниченной ответственностью "СТОМА-ДЕНТАЛЬ"</t>
        </is>
      </c>
      <c r="C6828" s="13" t="n">
        <v>3801082882</v>
      </c>
      <c r="D6828" s="13" t="inlineStr">
        <is>
          <t>3801082882</t>
        </is>
      </c>
      <c r="E6828" s="13" t="inlineStr">
        <is>
          <t>ЮЛ РФ</t>
        </is>
      </c>
      <c r="F6828" s="13" t="n"/>
      <c r="G6828" s="52" t="n">
        <v>6</v>
      </c>
      <c r="H6828" s="52" t="n">
        <v>2025</v>
      </c>
      <c r="I6828" s="14" t="n"/>
      <c r="J6828" s="14" t="n"/>
      <c r="K6828" s="53" t="inlineStr">
        <is>
          <t>Нет</t>
        </is>
      </c>
      <c r="L6828" s="53" t="inlineStr">
        <is>
          <t>Не определено</t>
        </is>
      </c>
      <c r="M6828" s="53" t="inlineStr">
        <is>
          <t>До 10</t>
        </is>
      </c>
      <c r="N6828" s="54" t="n">
        <v>3360</v>
      </c>
      <c r="O6828" s="55" t="inlineStr">
        <is>
          <t>1–15</t>
        </is>
      </c>
      <c r="P6828" s="16" t="inlineStr">
        <is>
          <t>ССЧР обогащена; ОКВЭД не найден/не загружен</t>
        </is>
      </c>
      <c r="Q6828" s="16" t="inlineStr">
        <is>
          <t>ФНС открытые данные ССЧР (ДатаСост 31.12.2025; набор 7707329152-sshr2019)</t>
        </is>
      </c>
      <c r="R6828" s="16">
        <f>HYPERLINK("https://checko.ru/search?query=3801001629","Чекко: проверить")</f>
        <v/>
      </c>
      <c r="S6828" t="n">
        <v>1</v>
      </c>
      <c r="T6828" s="35" t="inlineStr">
        <is>
          <t>4 — Не обогащён</t>
        </is>
      </c>
      <c r="U6828" s="35" t="inlineStr">
        <is>
          <t>Нет ОКВЭД/ССЧР</t>
        </is>
      </c>
      <c r="V6828" s="35" t="inlineStr">
        <is>
          <t>Не определено</t>
        </is>
      </c>
      <c r="W6828" s="35" t="inlineStr">
        <is>
          <t>Нет</t>
        </is>
      </c>
      <c r="X6828" s="35" t="inlineStr"/>
    </row>
    <row r="6829" ht="15" customHeight="1" s="24">
      <c r="A6829" s="13" t="inlineStr">
        <is>
          <t>FR879790</t>
        </is>
      </c>
      <c r="B6829" s="13" t="inlineStr">
        <is>
          <t>ИП Милюк Михаил Михайлович</t>
        </is>
      </c>
      <c r="C6829" s="13" t="n">
        <v>381809041971</v>
      </c>
      <c r="D6829" s="13" t="inlineStr">
        <is>
          <t>381809041971</t>
        </is>
      </c>
      <c r="E6829" s="13" t="inlineStr">
        <is>
          <t>ИП РФ / физлицо</t>
        </is>
      </c>
      <c r="F6829" s="13" t="n"/>
      <c r="G6829" s="14" t="n"/>
      <c r="H6829" s="14" t="n"/>
      <c r="I6829" s="14" t="n"/>
      <c r="J6829" s="14" t="n"/>
      <c r="K6829" s="53" t="inlineStr"/>
      <c r="L6829" s="53" t="inlineStr">
        <is>
          <t>Не определено</t>
        </is>
      </c>
      <c r="M6829" s="53" t="inlineStr"/>
      <c r="N6829" s="54" t="inlineStr"/>
      <c r="O6829" s="55" t="inlineStr"/>
      <c r="P6829" s="16" t="inlineStr">
        <is>
          <t>Требует обогащения</t>
        </is>
      </c>
      <c r="Q6829" s="16">
        <f>HYPERLINK("https://pb.nalog.ru/search.html?query=381809041971","ФНС: проверить")</f>
        <v/>
      </c>
      <c r="R6829" s="16">
        <f>HYPERLINK("https://checko.ru/search?query=3801001629","Чекко: проверить")</f>
        <v/>
      </c>
      <c r="S6829" t="n">
        <v>1</v>
      </c>
      <c r="T6829" s="35" t="inlineStr">
        <is>
          <t>4 — Не обогащён</t>
        </is>
      </c>
      <c r="U6829" s="35" t="inlineStr">
        <is>
          <t>Нет ОКВЭД/ССЧР</t>
        </is>
      </c>
      <c r="V6829" s="35" t="inlineStr">
        <is>
          <t>Не определено</t>
        </is>
      </c>
      <c r="W6829" s="35" t="inlineStr"/>
      <c r="X6829" s="35" t="inlineStr"/>
    </row>
    <row r="6830" ht="15" customHeight="1" s="24">
      <c r="A6830" s="13" t="inlineStr">
        <is>
          <t>FR1060293</t>
        </is>
      </c>
      <c r="B6830" s="13" t="inlineStr">
        <is>
          <t>ООО "АПТЕКА "ДОВЕРИЕ"</t>
        </is>
      </c>
      <c r="C6830" s="13" t="n">
        <v>3834009126</v>
      </c>
      <c r="D6830" s="13" t="inlineStr">
        <is>
          <t>3834009126</t>
        </is>
      </c>
      <c r="E6830" s="13" t="inlineStr">
        <is>
          <t>ЮЛ РФ</t>
        </is>
      </c>
      <c r="F6830" s="13" t="n"/>
      <c r="G6830" s="52" t="n">
        <v>7</v>
      </c>
      <c r="H6830" s="52" t="n">
        <v>2025</v>
      </c>
      <c r="I6830" s="14" t="n"/>
      <c r="J6830" s="14" t="n"/>
      <c r="K6830" s="53" t="inlineStr">
        <is>
          <t>Нет</t>
        </is>
      </c>
      <c r="L6830" s="53" t="inlineStr">
        <is>
          <t>Не определено</t>
        </is>
      </c>
      <c r="M6830" s="53" t="inlineStr">
        <is>
          <t>До 10</t>
        </is>
      </c>
      <c r="N6830" s="54" t="n">
        <v>3360</v>
      </c>
      <c r="O6830" s="55" t="inlineStr">
        <is>
          <t>1–15</t>
        </is>
      </c>
      <c r="P6830" s="16" t="inlineStr">
        <is>
          <t>ССЧР обогащена; ОКВЭД не найден/не загружен</t>
        </is>
      </c>
      <c r="Q6830" s="16" t="inlineStr">
        <is>
          <t>ФНС открытые данные ССЧР (ДатаСост 31.12.2025; набор 7707329152-sshr2019)</t>
        </is>
      </c>
      <c r="R6830" s="16">
        <f>HYPERLINK("https://checko.ru/search?query=3801001629","Чекко: проверить")</f>
        <v/>
      </c>
      <c r="S6830" t="n">
        <v>1</v>
      </c>
      <c r="T6830" s="35" t="inlineStr">
        <is>
          <t>4 — Не обогащён</t>
        </is>
      </c>
      <c r="U6830" s="35" t="inlineStr">
        <is>
          <t>Нет ОКВЭД/ССЧР</t>
        </is>
      </c>
      <c r="V6830" s="35" t="inlineStr">
        <is>
          <t>Не определено</t>
        </is>
      </c>
      <c r="W6830" s="35" t="inlineStr">
        <is>
          <t>Нет</t>
        </is>
      </c>
      <c r="X6830" s="35" t="inlineStr"/>
    </row>
    <row r="6831" ht="41.25" customHeight="1" s="24">
      <c r="A6831" s="13" t="inlineStr">
        <is>
          <t>FR871075</t>
        </is>
      </c>
      <c r="B6831" s="13" t="inlineStr">
        <is>
          <t>ПЕРВИЧНАЯ ПРОФСОЮЗНАЯ ОРГАНИЗАЦИЯ "РАЗРЕЗ ТУЛУНУГОЛЬ" РОССИЙСКОГО НЕЗАВИСИМОГО ПРОФСОЮЗА РАБОТНИКОВ</t>
        </is>
      </c>
      <c r="C6831" s="13" t="n">
        <v>3816003700</v>
      </c>
      <c r="D6831" s="13" t="inlineStr">
        <is>
          <t>3816003700</t>
        </is>
      </c>
      <c r="E6831" s="13" t="inlineStr">
        <is>
          <t>ЮЛ РФ</t>
        </is>
      </c>
      <c r="F6831" s="13" t="n"/>
      <c r="G6831" s="14" t="n"/>
      <c r="H6831" s="14" t="n"/>
      <c r="I6831" s="14" t="n"/>
      <c r="J6831" s="14" t="n"/>
      <c r="K6831" s="53" t="inlineStr"/>
      <c r="L6831" s="53" t="inlineStr">
        <is>
          <t>Не определено</t>
        </is>
      </c>
      <c r="M6831" s="53" t="inlineStr"/>
      <c r="N6831" s="54" t="inlineStr"/>
      <c r="O6831" s="55" t="inlineStr"/>
      <c r="P6831" s="16" t="inlineStr">
        <is>
          <t>Требует обогащения</t>
        </is>
      </c>
      <c r="Q6831" s="16">
        <f>HYPERLINK("https://pb.nalog.ru/search.html?query=3816003700","ФНС: проверить")</f>
        <v/>
      </c>
      <c r="R6831" s="16">
        <f>HYPERLINK("https://checko.ru/search?query=3801001629","Чекко: проверить")</f>
        <v/>
      </c>
      <c r="S6831" t="n">
        <v>1</v>
      </c>
      <c r="T6831" s="35" t="inlineStr">
        <is>
          <t>4 — Не обогащён</t>
        </is>
      </c>
      <c r="U6831" s="35" t="inlineStr">
        <is>
          <t>Нет ОКВЭД/ССЧР</t>
        </is>
      </c>
      <c r="V6831" s="35" t="inlineStr">
        <is>
          <t>Не определено</t>
        </is>
      </c>
      <c r="W6831" s="35" t="inlineStr"/>
      <c r="X6831" s="35" t="inlineStr"/>
    </row>
    <row r="6832" ht="15" customHeight="1" s="24">
      <c r="A6832" s="13" t="inlineStr">
        <is>
          <t>FR24147</t>
        </is>
      </c>
      <c r="B6832" s="13" t="inlineStr">
        <is>
          <t>ООО "ПРОТЕХ"</t>
        </is>
      </c>
      <c r="C6832" s="13" t="n">
        <v>7727344737</v>
      </c>
      <c r="D6832" s="13" t="inlineStr">
        <is>
          <t>7727344737</t>
        </is>
      </c>
      <c r="E6832" s="13" t="inlineStr">
        <is>
          <t>ЮЛ РФ</t>
        </is>
      </c>
      <c r="F6832" s="13" t="n"/>
      <c r="G6832" s="52" t="n">
        <v>3</v>
      </c>
      <c r="H6832" s="52" t="n">
        <v>2025</v>
      </c>
      <c r="I6832" s="14" t="n"/>
      <c r="J6832" s="14" t="n"/>
      <c r="K6832" s="53" t="inlineStr">
        <is>
          <t>Нет</t>
        </is>
      </c>
      <c r="L6832" s="53" t="inlineStr">
        <is>
          <t>Не определено</t>
        </is>
      </c>
      <c r="M6832" s="53" t="inlineStr">
        <is>
          <t>До 10</t>
        </is>
      </c>
      <c r="N6832" s="54" t="n">
        <v>3360</v>
      </c>
      <c r="O6832" s="55" t="inlineStr">
        <is>
          <t>1–15</t>
        </is>
      </c>
      <c r="P6832" s="16" t="inlineStr">
        <is>
          <t>ССЧР обогащена; ОКВЭД не найден/не загружен</t>
        </is>
      </c>
      <c r="Q6832" s="16" t="inlineStr">
        <is>
          <t>ФНС открытые данные ССЧР (ДатаСост 31.12.2025; набор 7707329152-sshr2019)</t>
        </is>
      </c>
      <c r="R6832" s="16">
        <f>HYPERLINK("https://checko.ru/search?query=3801001629","Чекко: проверить")</f>
        <v/>
      </c>
      <c r="S6832" t="n">
        <v>1</v>
      </c>
      <c r="T6832" s="35" t="inlineStr">
        <is>
          <t>4 — Не обогащён</t>
        </is>
      </c>
      <c r="U6832" s="35" t="inlineStr">
        <is>
          <t>Нет ОКВЭД/ССЧР</t>
        </is>
      </c>
      <c r="V6832" s="35" t="inlineStr">
        <is>
          <t>Не определено</t>
        </is>
      </c>
      <c r="W6832" s="35" t="inlineStr">
        <is>
          <t>Нет</t>
        </is>
      </c>
      <c r="X6832" s="35" t="inlineStr"/>
    </row>
    <row r="6833" ht="15" customHeight="1" s="24">
      <c r="A6833" s="13" t="inlineStr">
        <is>
          <t>FR191334</t>
        </is>
      </c>
      <c r="B6833" s="13" t="inlineStr">
        <is>
          <t>ИП Зайцев Егор Николаевич</t>
        </is>
      </c>
      <c r="C6833" s="13" t="n">
        <v>860226075914</v>
      </c>
      <c r="D6833" s="13" t="inlineStr">
        <is>
          <t>860226075914</t>
        </is>
      </c>
      <c r="E6833" s="13" t="inlineStr">
        <is>
          <t>ИП РФ / физлицо</t>
        </is>
      </c>
      <c r="F6833" s="13" t="n"/>
      <c r="G6833" s="14" t="n"/>
      <c r="H6833" s="14" t="n"/>
      <c r="I6833" s="14" t="n"/>
      <c r="J6833" s="14" t="n"/>
      <c r="K6833" s="53" t="inlineStr"/>
      <c r="L6833" s="53" t="inlineStr">
        <is>
          <t>Не определено</t>
        </is>
      </c>
      <c r="M6833" s="53" t="inlineStr"/>
      <c r="N6833" s="54" t="inlineStr"/>
      <c r="O6833" s="55" t="inlineStr"/>
      <c r="P6833" s="16" t="inlineStr">
        <is>
          <t>Требует обогащения</t>
        </is>
      </c>
      <c r="Q6833" s="16">
        <f>HYPERLINK("https://pb.nalog.ru/search.html?query=860226075914","ФНС: проверить")</f>
        <v/>
      </c>
      <c r="R6833" s="16">
        <f>HYPERLINK("https://checko.ru/search?query=3801001629","Чекко: проверить")</f>
        <v/>
      </c>
      <c r="S6833" t="n">
        <v>1</v>
      </c>
      <c r="T6833" s="35" t="inlineStr">
        <is>
          <t>4 — Не обогащён</t>
        </is>
      </c>
      <c r="U6833" s="35" t="inlineStr">
        <is>
          <t>Нет ОКВЭД/ССЧР</t>
        </is>
      </c>
      <c r="V6833" s="35" t="inlineStr">
        <is>
          <t>Не определено</t>
        </is>
      </c>
      <c r="W6833" s="35" t="inlineStr"/>
      <c r="X6833" s="35" t="inlineStr"/>
    </row>
    <row r="6834" ht="15" customHeight="1" s="24">
      <c r="A6834" s="13" t="inlineStr">
        <is>
          <t>FR13607</t>
        </is>
      </c>
      <c r="B6834" s="13" t="inlineStr">
        <is>
          <t>ИП Алетина Олеся Владимировна</t>
        </is>
      </c>
      <c r="C6834" s="13" t="n">
        <v>381299963101</v>
      </c>
      <c r="D6834" s="13" t="inlineStr">
        <is>
          <t>381299963101</t>
        </is>
      </c>
      <c r="E6834" s="13" t="inlineStr">
        <is>
          <t>ИП РФ / физлицо</t>
        </is>
      </c>
      <c r="F6834" s="13" t="n"/>
      <c r="G6834" s="14" t="n"/>
      <c r="H6834" s="14" t="n"/>
      <c r="I6834" s="14" t="n"/>
      <c r="J6834" s="14" t="n"/>
      <c r="K6834" s="53" t="inlineStr"/>
      <c r="L6834" s="53" t="inlineStr">
        <is>
          <t>Не определено</t>
        </is>
      </c>
      <c r="M6834" s="53" t="inlineStr"/>
      <c r="N6834" s="54" t="inlineStr"/>
      <c r="O6834" s="55" t="inlineStr"/>
      <c r="P6834" s="16" t="inlineStr">
        <is>
          <t>Требует обогащения</t>
        </is>
      </c>
      <c r="Q6834" s="16">
        <f>HYPERLINK("https://pb.nalog.ru/search.html?query=381299963101","ФНС: проверить")</f>
        <v/>
      </c>
      <c r="R6834" s="16">
        <f>HYPERLINK("https://checko.ru/search?query=3801001629","Чекко: проверить")</f>
        <v/>
      </c>
      <c r="S6834" t="n">
        <v>1</v>
      </c>
      <c r="T6834" s="35" t="inlineStr">
        <is>
          <t>4 — Не обогащён</t>
        </is>
      </c>
      <c r="U6834" s="35" t="inlineStr">
        <is>
          <t>Нет ОКВЭД/ССЧР</t>
        </is>
      </c>
      <c r="V6834" s="35" t="inlineStr">
        <is>
          <t>Не определено</t>
        </is>
      </c>
      <c r="W6834" s="35" t="inlineStr"/>
      <c r="X6834" s="35" t="inlineStr"/>
    </row>
    <row r="6835" ht="27.75" customHeight="1" s="24">
      <c r="A6835" s="13" t="inlineStr">
        <is>
          <t>FR13229</t>
        </is>
      </c>
      <c r="B6835" s="13" t="inlineStr">
        <is>
          <t>Общество с ограниченной ответственностью "ТЕХНОПАРК"</t>
        </is>
      </c>
      <c r="C6835" s="13" t="n">
        <v>2721239751</v>
      </c>
      <c r="D6835" s="13" t="inlineStr">
        <is>
          <t>2721239751</t>
        </is>
      </c>
      <c r="E6835" s="13" t="inlineStr">
        <is>
          <t>ЮЛ РФ</t>
        </is>
      </c>
      <c r="F6835" s="13" t="n"/>
      <c r="G6835" s="52" t="n">
        <v>6</v>
      </c>
      <c r="H6835" s="52" t="n">
        <v>2025</v>
      </c>
      <c r="I6835" s="14" t="n"/>
      <c r="J6835" s="14" t="n"/>
      <c r="K6835" s="53" t="inlineStr">
        <is>
          <t>Нет</t>
        </is>
      </c>
      <c r="L6835" s="53" t="inlineStr">
        <is>
          <t>Не определено</t>
        </is>
      </c>
      <c r="M6835" s="53" t="inlineStr">
        <is>
          <t>До 10</t>
        </is>
      </c>
      <c r="N6835" s="54" t="n">
        <v>3360</v>
      </c>
      <c r="O6835" s="55" t="inlineStr">
        <is>
          <t>1–15</t>
        </is>
      </c>
      <c r="P6835" s="16" t="inlineStr">
        <is>
          <t>ССЧР обогащена; ОКВЭД не найден/не загружен</t>
        </is>
      </c>
      <c r="Q6835" s="16" t="inlineStr">
        <is>
          <t>ФНС открытые данные ССЧР (ДатаСост 31.12.2025; набор 7707329152-sshr2019)</t>
        </is>
      </c>
      <c r="R6835" s="16">
        <f>HYPERLINK("https://checko.ru/search?query=3801001629","Чекко: проверить")</f>
        <v/>
      </c>
      <c r="S6835" t="n">
        <v>1</v>
      </c>
      <c r="T6835" s="35" t="inlineStr">
        <is>
          <t>4 — Не обогащён</t>
        </is>
      </c>
      <c r="U6835" s="35" t="inlineStr">
        <is>
          <t>Нет ОКВЭД/ССЧР</t>
        </is>
      </c>
      <c r="V6835" s="35" t="inlineStr">
        <is>
          <t>Не определено</t>
        </is>
      </c>
      <c r="W6835" s="35" t="inlineStr">
        <is>
          <t>Нет</t>
        </is>
      </c>
      <c r="X6835" s="35" t="inlineStr"/>
    </row>
    <row r="6836" ht="27.75" customHeight="1" s="24">
      <c r="A6836" s="13" t="inlineStr">
        <is>
          <t>FR110785</t>
        </is>
      </c>
      <c r="B6836" s="13" t="inlineStr">
        <is>
          <t>Общество с ограниченной ответственностью "СНАБЖЕНИЕ МОРСКИХ СУДОВ"</t>
        </is>
      </c>
      <c r="C6836" s="13" t="n">
        <v>2502057773</v>
      </c>
      <c r="D6836" s="13" t="inlineStr">
        <is>
          <t>2502057773</t>
        </is>
      </c>
      <c r="E6836" s="13" t="inlineStr">
        <is>
          <t>ЮЛ РФ</t>
        </is>
      </c>
      <c r="F6836" s="13" t="n"/>
      <c r="G6836" s="52" t="n">
        <v>0</v>
      </c>
      <c r="H6836" s="52" t="n">
        <v>2025</v>
      </c>
      <c r="I6836" s="14" t="n"/>
      <c r="J6836" s="14" t="n"/>
      <c r="K6836" s="53" t="inlineStr">
        <is>
          <t>Нет</t>
        </is>
      </c>
      <c r="L6836" s="53" t="inlineStr">
        <is>
          <t>Не определено</t>
        </is>
      </c>
      <c r="M6836" s="53" t="inlineStr">
        <is>
          <t>До 10</t>
        </is>
      </c>
      <c r="N6836" s="54" t="n">
        <v>3360</v>
      </c>
      <c r="O6836" s="55" t="inlineStr">
        <is>
          <t>1–15</t>
        </is>
      </c>
      <c r="P6836" s="16" t="inlineStr">
        <is>
          <t>ССЧР обогащена; ОКВЭД не найден/не загружен</t>
        </is>
      </c>
      <c r="Q6836" s="16" t="inlineStr">
        <is>
          <t>ФНС открытые данные ССЧР (ДатаСост 31.12.2025; набор 7707329152-sshr2019)</t>
        </is>
      </c>
      <c r="R6836" s="16">
        <f>HYPERLINK("https://checko.ru/search?query=3801001629","Чекко: проверить")</f>
        <v/>
      </c>
      <c r="S6836" t="n">
        <v>1</v>
      </c>
      <c r="T6836" s="35" t="inlineStr">
        <is>
          <t>4 — Не обогащён</t>
        </is>
      </c>
      <c r="U6836" s="35" t="inlineStr">
        <is>
          <t>Нет ОКВЭД/ССЧР</t>
        </is>
      </c>
      <c r="V6836" s="35" t="inlineStr">
        <is>
          <t>Не определено</t>
        </is>
      </c>
      <c r="W6836" s="35" t="inlineStr">
        <is>
          <t>Нет</t>
        </is>
      </c>
      <c r="X6836" s="35" t="inlineStr"/>
    </row>
    <row r="6837" ht="15" customHeight="1" s="24">
      <c r="A6837" s="13" t="inlineStr">
        <is>
          <t>FR107181</t>
        </is>
      </c>
      <c r="B6837" s="13" t="inlineStr">
        <is>
          <t>ООО "ПОЛИГРАФ-СНАБ"</t>
        </is>
      </c>
      <c r="C6837" s="13" t="n">
        <v>5040152680</v>
      </c>
      <c r="D6837" s="13" t="inlineStr">
        <is>
          <t>5040152680</t>
        </is>
      </c>
      <c r="E6837" s="13" t="inlineStr">
        <is>
          <t>ЮЛ РФ</t>
        </is>
      </c>
      <c r="F6837" s="13" t="n"/>
      <c r="G6837" s="52" t="n">
        <v>3</v>
      </c>
      <c r="H6837" s="52" t="n">
        <v>2025</v>
      </c>
      <c r="I6837" s="14" t="n"/>
      <c r="J6837" s="14" t="n"/>
      <c r="K6837" s="53" t="inlineStr">
        <is>
          <t>Нет</t>
        </is>
      </c>
      <c r="L6837" s="53" t="inlineStr">
        <is>
          <t>Не определено</t>
        </is>
      </c>
      <c r="M6837" s="53" t="inlineStr">
        <is>
          <t>До 10</t>
        </is>
      </c>
      <c r="N6837" s="54" t="n">
        <v>3360</v>
      </c>
      <c r="O6837" s="55" t="inlineStr">
        <is>
          <t>1–15</t>
        </is>
      </c>
      <c r="P6837" s="16" t="inlineStr">
        <is>
          <t>ССЧР обогащена; ОКВЭД не найден/не загружен</t>
        </is>
      </c>
      <c r="Q6837" s="16" t="inlineStr">
        <is>
          <t>ФНС открытые данные ССЧР (ДатаСост 31.12.2025; набор 7707329152-sshr2019)</t>
        </is>
      </c>
      <c r="R6837" s="16">
        <f>HYPERLINK("https://checko.ru/search?query=3801001629","Чекко: проверить")</f>
        <v/>
      </c>
      <c r="S6837" t="n">
        <v>1</v>
      </c>
      <c r="T6837" s="35" t="inlineStr">
        <is>
          <t>4 — Не обогащён</t>
        </is>
      </c>
      <c r="U6837" s="35" t="inlineStr">
        <is>
          <t>Нет ОКВЭД/ССЧР</t>
        </is>
      </c>
      <c r="V6837" s="35" t="inlineStr">
        <is>
          <t>Не определено</t>
        </is>
      </c>
      <c r="W6837" s="35" t="inlineStr">
        <is>
          <t>Нет</t>
        </is>
      </c>
      <c r="X6837" s="35" t="inlineStr"/>
    </row>
    <row r="6838" ht="15" customHeight="1" s="24">
      <c r="A6838" s="13" t="inlineStr">
        <is>
          <t>FR111194</t>
        </is>
      </c>
      <c r="B6838" s="13" t="inlineStr">
        <is>
          <t>БИК ООО</t>
        </is>
      </c>
      <c r="C6838" s="13" t="n">
        <v>2223605966</v>
      </c>
      <c r="D6838" s="13" t="inlineStr">
        <is>
          <t>2223605966</t>
        </is>
      </c>
      <c r="E6838" s="13" t="inlineStr">
        <is>
          <t>ЮЛ РФ</t>
        </is>
      </c>
      <c r="F6838" s="13" t="n"/>
      <c r="G6838" s="52" t="n">
        <v>2</v>
      </c>
      <c r="H6838" s="52" t="n">
        <v>2025</v>
      </c>
      <c r="I6838" s="14" t="n"/>
      <c r="J6838" s="14" t="n"/>
      <c r="K6838" s="53" t="inlineStr">
        <is>
          <t>Нет</t>
        </is>
      </c>
      <c r="L6838" s="53" t="inlineStr">
        <is>
          <t>Не определено</t>
        </is>
      </c>
      <c r="M6838" s="53" t="inlineStr">
        <is>
          <t>До 10</t>
        </is>
      </c>
      <c r="N6838" s="54" t="n">
        <v>3360</v>
      </c>
      <c r="O6838" s="55" t="inlineStr">
        <is>
          <t>1–15</t>
        </is>
      </c>
      <c r="P6838" s="16" t="inlineStr">
        <is>
          <t>ССЧР обогащена; ОКВЭД не найден/не загружен</t>
        </is>
      </c>
      <c r="Q6838" s="16" t="inlineStr">
        <is>
          <t>ФНС открытые данные ССЧР (ДатаСост 31.12.2025; набор 7707329152-sshr2019)</t>
        </is>
      </c>
      <c r="R6838" s="16">
        <f>HYPERLINK("https://checko.ru/search?query=3801001629","Чекко: проверить")</f>
        <v/>
      </c>
      <c r="S6838" t="n">
        <v>1</v>
      </c>
      <c r="T6838" s="35" t="inlineStr">
        <is>
          <t>4 — Не обогащён</t>
        </is>
      </c>
      <c r="U6838" s="35" t="inlineStr">
        <is>
          <t>Нет ОКВЭД/ССЧР</t>
        </is>
      </c>
      <c r="V6838" s="35" t="inlineStr">
        <is>
          <t>Не определено</t>
        </is>
      </c>
      <c r="W6838" s="35" t="inlineStr">
        <is>
          <t>Нет</t>
        </is>
      </c>
      <c r="X6838" s="35" t="inlineStr"/>
    </row>
    <row r="6839" ht="15" customHeight="1" s="24">
      <c r="A6839" s="13" t="inlineStr">
        <is>
          <t>FR113610</t>
        </is>
      </c>
      <c r="B6839" s="13" t="inlineStr">
        <is>
          <t>ООО "Гиперион"</t>
        </is>
      </c>
      <c r="C6839" s="13" t="n">
        <v>3812097961</v>
      </c>
      <c r="D6839" s="13" t="inlineStr">
        <is>
          <t>3812097961</t>
        </is>
      </c>
      <c r="E6839" s="13" t="inlineStr">
        <is>
          <t>ЮЛ РФ</t>
        </is>
      </c>
      <c r="F6839" s="13" t="n"/>
      <c r="G6839" s="52" t="n">
        <v>10</v>
      </c>
      <c r="H6839" s="52" t="n">
        <v>2025</v>
      </c>
      <c r="I6839" s="14" t="n"/>
      <c r="J6839" s="14" t="n"/>
      <c r="K6839" s="53" t="inlineStr">
        <is>
          <t>Нет</t>
        </is>
      </c>
      <c r="L6839" s="53" t="inlineStr">
        <is>
          <t>Не определено</t>
        </is>
      </c>
      <c r="M6839" s="53" t="inlineStr">
        <is>
          <t>До 10</t>
        </is>
      </c>
      <c r="N6839" s="54" t="n">
        <v>3360</v>
      </c>
      <c r="O6839" s="55" t="inlineStr">
        <is>
          <t>1–15</t>
        </is>
      </c>
      <c r="P6839" s="16" t="inlineStr">
        <is>
          <t>ССЧР обогащена; ОКВЭД не найден/не загружен</t>
        </is>
      </c>
      <c r="Q6839" s="16" t="inlineStr">
        <is>
          <t>ФНС открытые данные ССЧР (ДатаСост 31.12.2025; набор 7707329152-sshr2019)</t>
        </is>
      </c>
      <c r="R6839" s="16">
        <f>HYPERLINK("https://checko.ru/search?query=3801001629","Чекко: проверить")</f>
        <v/>
      </c>
      <c r="S6839" t="n">
        <v>1</v>
      </c>
      <c r="T6839" s="35" t="inlineStr">
        <is>
          <t>4 — Не обогащён</t>
        </is>
      </c>
      <c r="U6839" s="35" t="inlineStr">
        <is>
          <t>Нет ОКВЭД/ССЧР</t>
        </is>
      </c>
      <c r="V6839" s="35" t="inlineStr">
        <is>
          <t>Не определено</t>
        </is>
      </c>
      <c r="W6839" s="35" t="inlineStr">
        <is>
          <t>Нет</t>
        </is>
      </c>
      <c r="X6839" s="35" t="inlineStr"/>
    </row>
    <row r="6840" ht="41.25" customHeight="1" s="24">
      <c r="A6840" s="13" t="inlineStr">
        <is>
          <t>FR709270</t>
        </is>
      </c>
      <c r="B6840" s="13" t="inlineStr">
        <is>
          <t>Общество с ограниченной ответственностью "БАЙКАЛЬСКАЯ ЭЛЕКТРОТЕХНИЧЕСКАЯ КОМПАНИЯ"</t>
        </is>
      </c>
      <c r="C6840" s="13" t="n">
        <v>3812094343</v>
      </c>
      <c r="D6840" s="13" t="inlineStr">
        <is>
          <t>3812094343</t>
        </is>
      </c>
      <c r="E6840" s="13" t="inlineStr">
        <is>
          <t>ЮЛ РФ</t>
        </is>
      </c>
      <c r="F6840" s="13" t="n"/>
      <c r="G6840" s="52" t="n">
        <v>1</v>
      </c>
      <c r="H6840" s="52" t="n">
        <v>2025</v>
      </c>
      <c r="I6840" s="14" t="n"/>
      <c r="J6840" s="14" t="n"/>
      <c r="K6840" s="53" t="inlineStr">
        <is>
          <t>Нет</t>
        </is>
      </c>
      <c r="L6840" s="53" t="inlineStr">
        <is>
          <t>Не определено</t>
        </is>
      </c>
      <c r="M6840" s="53" t="inlineStr">
        <is>
          <t>До 10</t>
        </is>
      </c>
      <c r="N6840" s="54" t="n">
        <v>3360</v>
      </c>
      <c r="O6840" s="55" t="inlineStr">
        <is>
          <t>1–15</t>
        </is>
      </c>
      <c r="P6840" s="16" t="inlineStr">
        <is>
          <t>ССЧР обогащена; ОКВЭД не найден/не загружен</t>
        </is>
      </c>
      <c r="Q6840" s="16" t="inlineStr">
        <is>
          <t>ФНС открытые данные ССЧР (ДатаСост 31.12.2025; набор 7707329152-sshr2019)</t>
        </is>
      </c>
      <c r="R6840" s="16">
        <f>HYPERLINK("https://checko.ru/search?query=3801001629","Чекко: проверить")</f>
        <v/>
      </c>
      <c r="S6840" t="n">
        <v>1</v>
      </c>
      <c r="T6840" s="35" t="inlineStr">
        <is>
          <t>4 — Не обогащён</t>
        </is>
      </c>
      <c r="U6840" s="35" t="inlineStr">
        <is>
          <t>Нет ОКВЭД/ССЧР</t>
        </is>
      </c>
      <c r="V6840" s="35" t="inlineStr">
        <is>
          <t>Не определено</t>
        </is>
      </c>
      <c r="W6840" s="35" t="inlineStr">
        <is>
          <t>Нет</t>
        </is>
      </c>
      <c r="X6840" s="35" t="inlineStr"/>
    </row>
    <row r="6841" ht="15" customHeight="1" s="24">
      <c r="A6841" s="13" t="inlineStr">
        <is>
          <t>FR299331</t>
        </is>
      </c>
      <c r="B6841" s="13" t="inlineStr">
        <is>
          <t>ИП Красников Андрей Викторович</t>
        </is>
      </c>
      <c r="C6841" s="13" t="n">
        <v>253698758152</v>
      </c>
      <c r="D6841" s="13" t="inlineStr">
        <is>
          <t>253698758152</t>
        </is>
      </c>
      <c r="E6841" s="13" t="inlineStr">
        <is>
          <t>ИП РФ / физлицо</t>
        </is>
      </c>
      <c r="F6841" s="13" t="n"/>
      <c r="G6841" s="14" t="n"/>
      <c r="H6841" s="14" t="n"/>
      <c r="I6841" s="14" t="n"/>
      <c r="J6841" s="14" t="n"/>
      <c r="K6841" s="53" t="inlineStr"/>
      <c r="L6841" s="53" t="inlineStr">
        <is>
          <t>Не определено</t>
        </is>
      </c>
      <c r="M6841" s="53" t="inlineStr"/>
      <c r="N6841" s="54" t="inlineStr"/>
      <c r="O6841" s="55" t="inlineStr"/>
      <c r="P6841" s="16" t="inlineStr">
        <is>
          <t>Требует обогащения</t>
        </is>
      </c>
      <c r="Q6841" s="16">
        <f>HYPERLINK("https://pb.nalog.ru/search.html?query=253698758152","ФНС: проверить")</f>
        <v/>
      </c>
      <c r="R6841" s="16">
        <f>HYPERLINK("https://checko.ru/search?query=3801001629","Чекко: проверить")</f>
        <v/>
      </c>
      <c r="S6841" t="n">
        <v>1</v>
      </c>
      <c r="T6841" s="35" t="inlineStr">
        <is>
          <t>4 — Не обогащён</t>
        </is>
      </c>
      <c r="U6841" s="35" t="inlineStr">
        <is>
          <t>Нет ОКВЭД/ССЧР</t>
        </is>
      </c>
      <c r="V6841" s="35" t="inlineStr">
        <is>
          <t>Не определено</t>
        </is>
      </c>
      <c r="W6841" s="35" t="inlineStr"/>
      <c r="X6841" s="35" t="inlineStr"/>
    </row>
    <row r="6842" ht="15" customHeight="1" s="24">
      <c r="A6842" s="13" t="inlineStr">
        <is>
          <t>FR280734</t>
        </is>
      </c>
      <c r="B6842" s="13" t="inlineStr">
        <is>
          <t>Зэт Мэйд, ООО</t>
        </is>
      </c>
      <c r="C6842" s="13" t="n">
        <v>7722486209</v>
      </c>
      <c r="D6842" s="13" t="inlineStr">
        <is>
          <t>7722486209</t>
        </is>
      </c>
      <c r="E6842" s="13" t="inlineStr">
        <is>
          <t>ЮЛ РФ</t>
        </is>
      </c>
      <c r="F6842" s="13" t="n"/>
      <c r="G6842" s="52" t="n">
        <v>1</v>
      </c>
      <c r="H6842" s="52" t="n">
        <v>2025</v>
      </c>
      <c r="I6842" s="14" t="n"/>
      <c r="J6842" s="14" t="n"/>
      <c r="K6842" s="53" t="inlineStr">
        <is>
          <t>Нет</t>
        </is>
      </c>
      <c r="L6842" s="53" t="inlineStr">
        <is>
          <t>Не определено</t>
        </is>
      </c>
      <c r="M6842" s="53" t="inlineStr">
        <is>
          <t>До 10</t>
        </is>
      </c>
      <c r="N6842" s="54" t="n">
        <v>3360</v>
      </c>
      <c r="O6842" s="55" t="inlineStr">
        <is>
          <t>1–15</t>
        </is>
      </c>
      <c r="P6842" s="16" t="inlineStr">
        <is>
          <t>ССЧР обогащена; ОКВЭД не найден/не загружен</t>
        </is>
      </c>
      <c r="Q6842" s="16" t="inlineStr">
        <is>
          <t>ФНС открытые данные ССЧР (ДатаСост 31.12.2025; набор 7707329152-sshr2019)</t>
        </is>
      </c>
      <c r="R6842" s="16">
        <f>HYPERLINK("https://checko.ru/search?query=3801001629","Чекко: проверить")</f>
        <v/>
      </c>
      <c r="S6842" t="n">
        <v>1</v>
      </c>
      <c r="T6842" s="35" t="inlineStr">
        <is>
          <t>4 — Не обогащён</t>
        </is>
      </c>
      <c r="U6842" s="35" t="inlineStr">
        <is>
          <t>Нет ОКВЭД/ССЧР</t>
        </is>
      </c>
      <c r="V6842" s="35" t="inlineStr">
        <is>
          <t>Не определено</t>
        </is>
      </c>
      <c r="W6842" s="35" t="inlineStr">
        <is>
          <t>Нет</t>
        </is>
      </c>
      <c r="X6842" s="35" t="inlineStr"/>
    </row>
    <row r="6843" ht="15" customHeight="1" s="24">
      <c r="A6843" s="13" t="inlineStr">
        <is>
          <t>FR291607</t>
        </is>
      </c>
      <c r="B6843" s="13" t="inlineStr">
        <is>
          <t>ООО "ЦАРЬГРАД"</t>
        </is>
      </c>
      <c r="C6843" s="13" t="n">
        <v>7736315080</v>
      </c>
      <c r="D6843" s="13" t="inlineStr">
        <is>
          <t>7736315080</t>
        </is>
      </c>
      <c r="E6843" s="13" t="inlineStr">
        <is>
          <t>ЮЛ РФ</t>
        </is>
      </c>
      <c r="F6843" s="13" t="n"/>
      <c r="G6843" s="52" t="n">
        <v>1</v>
      </c>
      <c r="H6843" s="52" t="n">
        <v>2025</v>
      </c>
      <c r="I6843" s="14" t="n"/>
      <c r="J6843" s="14" t="n"/>
      <c r="K6843" s="53" t="inlineStr">
        <is>
          <t>Нет</t>
        </is>
      </c>
      <c r="L6843" s="53" t="inlineStr">
        <is>
          <t>Не определено</t>
        </is>
      </c>
      <c r="M6843" s="53" t="inlineStr">
        <is>
          <t>До 10</t>
        </is>
      </c>
      <c r="N6843" s="54" t="n">
        <v>3360</v>
      </c>
      <c r="O6843" s="55" t="inlineStr">
        <is>
          <t>1–15</t>
        </is>
      </c>
      <c r="P6843" s="16" t="inlineStr">
        <is>
          <t>ССЧР обогащена; ОКВЭД не найден/не загружен</t>
        </is>
      </c>
      <c r="Q6843" s="16" t="inlineStr">
        <is>
          <t>ФНС открытые данные ССЧР (ДатаСост 31.12.2025; набор 7707329152-sshr2019)</t>
        </is>
      </c>
      <c r="R6843" s="16">
        <f>HYPERLINK("https://checko.ru/search?query=3801001629","Чекко: проверить")</f>
        <v/>
      </c>
      <c r="S6843" t="n">
        <v>1</v>
      </c>
      <c r="T6843" s="35" t="inlineStr">
        <is>
          <t>4 — Не обогащён</t>
        </is>
      </c>
      <c r="U6843" s="35" t="inlineStr">
        <is>
          <t>Нет ОКВЭД/ССЧР</t>
        </is>
      </c>
      <c r="V6843" s="35" t="inlineStr">
        <is>
          <t>Не определено</t>
        </is>
      </c>
      <c r="W6843" s="35" t="inlineStr">
        <is>
          <t>Нет</t>
        </is>
      </c>
      <c r="X6843" s="35" t="inlineStr"/>
    </row>
    <row r="6844" ht="15" customHeight="1" s="24">
      <c r="A6844" s="13" t="inlineStr">
        <is>
          <t>FR291607</t>
        </is>
      </c>
      <c r="B6844" s="13" t="inlineStr">
        <is>
          <t>ООО "ЦАРЬГРАД"</t>
        </is>
      </c>
      <c r="C6844" s="13" t="n">
        <v>7736315080</v>
      </c>
      <c r="D6844" s="13" t="inlineStr">
        <is>
          <t>7736315080</t>
        </is>
      </c>
      <c r="E6844" s="13" t="inlineStr">
        <is>
          <t>ЮЛ РФ</t>
        </is>
      </c>
      <c r="F6844" s="13" t="n"/>
      <c r="G6844" s="52" t="n">
        <v>1</v>
      </c>
      <c r="H6844" s="52" t="n">
        <v>2025</v>
      </c>
      <c r="I6844" s="14" t="n"/>
      <c r="J6844" s="14" t="n"/>
      <c r="K6844" s="53" t="inlineStr">
        <is>
          <t>Нет</t>
        </is>
      </c>
      <c r="L6844" s="53" t="inlineStr">
        <is>
          <t>Не определено</t>
        </is>
      </c>
      <c r="M6844" s="53" t="inlineStr">
        <is>
          <t>До 10</t>
        </is>
      </c>
      <c r="N6844" s="54" t="n">
        <v>3360</v>
      </c>
      <c r="O6844" s="55" t="inlineStr">
        <is>
          <t>1–15</t>
        </is>
      </c>
      <c r="P6844" s="16" t="inlineStr">
        <is>
          <t>ССЧР обогащена; ОКВЭД не найден/не загружен</t>
        </is>
      </c>
      <c r="Q6844" s="16" t="inlineStr">
        <is>
          <t>ФНС открытые данные ССЧР (ДатаСост 31.12.2025; набор 7707329152-sshr2019)</t>
        </is>
      </c>
      <c r="R6844" s="16">
        <f>HYPERLINK("https://checko.ru/search?query=3801001629","Чекко: проверить")</f>
        <v/>
      </c>
      <c r="S6844" t="n">
        <v>0</v>
      </c>
      <c r="T6844" s="35" t="inlineStr">
        <is>
          <t>4 — Не обогащён</t>
        </is>
      </c>
      <c r="U6844" s="35" t="inlineStr">
        <is>
          <t>Нет ОКВЭД/ССЧР</t>
        </is>
      </c>
      <c r="V6844" s="35" t="inlineStr">
        <is>
          <t>Не определено</t>
        </is>
      </c>
      <c r="W6844" s="35" t="inlineStr">
        <is>
          <t>Нет</t>
        </is>
      </c>
      <c r="X6844" s="35" t="inlineStr"/>
    </row>
    <row r="6845" ht="15" customHeight="1" s="24">
      <c r="A6845" s="13" t="inlineStr">
        <is>
          <t>FR287111</t>
        </is>
      </c>
      <c r="B6845" s="13" t="inlineStr">
        <is>
          <t>ИП Фрончек Бронислав Веславович</t>
        </is>
      </c>
      <c r="C6845" s="13" t="n">
        <v>540136230339</v>
      </c>
      <c r="D6845" s="13" t="inlineStr">
        <is>
          <t>540136230339</t>
        </is>
      </c>
      <c r="E6845" s="13" t="inlineStr">
        <is>
          <t>ИП РФ / физлицо</t>
        </is>
      </c>
      <c r="F6845" s="13" t="n"/>
      <c r="G6845" s="14" t="n"/>
      <c r="H6845" s="14" t="n"/>
      <c r="I6845" s="14" t="n"/>
      <c r="J6845" s="14" t="n"/>
      <c r="K6845" s="53" t="inlineStr"/>
      <c r="L6845" s="53" t="inlineStr">
        <is>
          <t>Не определено</t>
        </is>
      </c>
      <c r="M6845" s="53" t="inlineStr"/>
      <c r="N6845" s="54" t="inlineStr"/>
      <c r="O6845" s="55" t="inlineStr"/>
      <c r="P6845" s="16" t="inlineStr">
        <is>
          <t>Требует обогащения</t>
        </is>
      </c>
      <c r="Q6845" s="16">
        <f>HYPERLINK("https://pb.nalog.ru/search.html?query=540136230339","ФНС: проверить")</f>
        <v/>
      </c>
      <c r="R6845" s="16">
        <f>HYPERLINK("https://checko.ru/search?query=3801001629","Чекко: проверить")</f>
        <v/>
      </c>
      <c r="S6845" t="n">
        <v>1</v>
      </c>
      <c r="T6845" s="35" t="inlineStr">
        <is>
          <t>4 — Не обогащён</t>
        </is>
      </c>
      <c r="U6845" s="35" t="inlineStr">
        <is>
          <t>Нет ОКВЭД/ССЧР</t>
        </is>
      </c>
      <c r="V6845" s="35" t="inlineStr">
        <is>
          <t>Не определено</t>
        </is>
      </c>
      <c r="W6845" s="35" t="inlineStr"/>
      <c r="X6845" s="35" t="inlineStr"/>
    </row>
    <row r="6846" ht="27.75" customHeight="1" s="24">
      <c r="A6846" s="13" t="inlineStr">
        <is>
          <t>FR1250962</t>
        </is>
      </c>
      <c r="B6846" s="13" t="inlineStr">
        <is>
          <t>Общество с ограниченной ответственностью "ГК ПРОЕКТИРОВАНИЕ"</t>
        </is>
      </c>
      <c r="C6846" s="13" t="n">
        <v>3812168813</v>
      </c>
      <c r="D6846" s="13" t="inlineStr">
        <is>
          <t>3812168813</t>
        </is>
      </c>
      <c r="E6846" s="13" t="inlineStr">
        <is>
          <t>ЮЛ РФ</t>
        </is>
      </c>
      <c r="F6846" s="13" t="n"/>
      <c r="G6846" s="52" t="n">
        <v>0</v>
      </c>
      <c r="H6846" s="52" t="n">
        <v>2025</v>
      </c>
      <c r="I6846" s="14" t="n"/>
      <c r="J6846" s="14" t="n"/>
      <c r="K6846" s="53" t="inlineStr">
        <is>
          <t>Нет</t>
        </is>
      </c>
      <c r="L6846" s="53" t="inlineStr">
        <is>
          <t>Не определено</t>
        </is>
      </c>
      <c r="M6846" s="53" t="inlineStr">
        <is>
          <t>До 10</t>
        </is>
      </c>
      <c r="N6846" s="54" t="n">
        <v>3360</v>
      </c>
      <c r="O6846" s="55" t="inlineStr">
        <is>
          <t>1–15</t>
        </is>
      </c>
      <c r="P6846" s="16" t="inlineStr">
        <is>
          <t>ССЧР обогащена; ОКВЭД не найден/не загружен</t>
        </is>
      </c>
      <c r="Q6846" s="16" t="inlineStr">
        <is>
          <t>ФНС открытые данные ССЧР (ДатаСост 31.12.2025; набор 7707329152-sshr2019)</t>
        </is>
      </c>
      <c r="R6846" s="16">
        <f>HYPERLINK("https://checko.ru/search?query=3801001629","Чекко: проверить")</f>
        <v/>
      </c>
      <c r="S6846" t="n">
        <v>1</v>
      </c>
      <c r="T6846" s="35" t="inlineStr">
        <is>
          <t>4 — Не обогащён</t>
        </is>
      </c>
      <c r="U6846" s="35" t="inlineStr">
        <is>
          <t>Нет ОКВЭД/ССЧР</t>
        </is>
      </c>
      <c r="V6846" s="35" t="inlineStr">
        <is>
          <t>Не определено</t>
        </is>
      </c>
      <c r="W6846" s="35" t="inlineStr">
        <is>
          <t>Нет</t>
        </is>
      </c>
      <c r="X6846" s="35" t="inlineStr"/>
    </row>
    <row r="6847" ht="15" customHeight="1" s="24">
      <c r="A6847" s="13" t="inlineStr">
        <is>
          <t>FR1251612</t>
        </is>
      </c>
      <c r="B6847" s="13" t="inlineStr">
        <is>
          <t>ИП Долганова Ксения Уктамовна</t>
        </is>
      </c>
      <c r="C6847" s="13" t="n">
        <v>290603054545</v>
      </c>
      <c r="D6847" s="13" t="inlineStr">
        <is>
          <t>290603054545</t>
        </is>
      </c>
      <c r="E6847" s="13" t="inlineStr">
        <is>
          <t>ИП РФ / физлицо</t>
        </is>
      </c>
      <c r="F6847" s="13" t="n"/>
      <c r="G6847" s="14" t="n"/>
      <c r="H6847" s="14" t="n"/>
      <c r="I6847" s="14" t="n"/>
      <c r="J6847" s="14" t="n"/>
      <c r="K6847" s="53" t="inlineStr"/>
      <c r="L6847" s="53" t="inlineStr">
        <is>
          <t>Не определено</t>
        </is>
      </c>
      <c r="M6847" s="53" t="inlineStr"/>
      <c r="N6847" s="54" t="inlineStr"/>
      <c r="O6847" s="55" t="inlineStr"/>
      <c r="P6847" s="16" t="inlineStr">
        <is>
          <t>Требует обогащения</t>
        </is>
      </c>
      <c r="Q6847" s="16">
        <f>HYPERLINK("https://pb.nalog.ru/search.html?query=290603054545","ФНС: проверить")</f>
        <v/>
      </c>
      <c r="R6847" s="16">
        <f>HYPERLINK("https://checko.ru/search?query=3801001629","Чекко: проверить")</f>
        <v/>
      </c>
      <c r="S6847" t="n">
        <v>1</v>
      </c>
      <c r="T6847" s="35" t="inlineStr">
        <is>
          <t>4 — Не обогащён</t>
        </is>
      </c>
      <c r="U6847" s="35" t="inlineStr">
        <is>
          <t>Нет ОКВЭД/ССЧР</t>
        </is>
      </c>
      <c r="V6847" s="35" t="inlineStr">
        <is>
          <t>Не определено</t>
        </is>
      </c>
      <c r="W6847" s="35" t="inlineStr"/>
      <c r="X6847" s="35" t="inlineStr"/>
    </row>
    <row r="6848" ht="15" customHeight="1" s="24">
      <c r="A6848" s="13" t="inlineStr">
        <is>
          <t>FR55147</t>
        </is>
      </c>
      <c r="B6848" s="13" t="inlineStr">
        <is>
          <t>ТК Альянс ООО</t>
        </is>
      </c>
      <c r="C6848" s="13" t="n">
        <v>2465124732</v>
      </c>
      <c r="D6848" s="13" t="inlineStr">
        <is>
          <t>2465124732</t>
        </is>
      </c>
      <c r="E6848" s="13" t="inlineStr">
        <is>
          <t>ЮЛ РФ</t>
        </is>
      </c>
      <c r="F6848" s="13" t="n"/>
      <c r="G6848" s="52" t="n">
        <v>1</v>
      </c>
      <c r="H6848" s="52" t="n">
        <v>2025</v>
      </c>
      <c r="I6848" s="14" t="n"/>
      <c r="J6848" s="14" t="n"/>
      <c r="K6848" s="53" t="inlineStr">
        <is>
          <t>Нет</t>
        </is>
      </c>
      <c r="L6848" s="53" t="inlineStr">
        <is>
          <t>Не определено</t>
        </is>
      </c>
      <c r="M6848" s="53" t="inlineStr">
        <is>
          <t>До 10</t>
        </is>
      </c>
      <c r="N6848" s="54" t="n">
        <v>3360</v>
      </c>
      <c r="O6848" s="55" t="inlineStr">
        <is>
          <t>1–15</t>
        </is>
      </c>
      <c r="P6848" s="16" t="inlineStr">
        <is>
          <t>ССЧР обогащена; ОКВЭД не найден/не загружен</t>
        </is>
      </c>
      <c r="Q6848" s="16" t="inlineStr">
        <is>
          <t>ФНС открытые данные ССЧР (ДатаСост 31.12.2025; набор 7707329152-sshr2019)</t>
        </is>
      </c>
      <c r="R6848" s="16">
        <f>HYPERLINK("https://checko.ru/search?query=3801001629","Чекко: проверить")</f>
        <v/>
      </c>
      <c r="S6848" t="n">
        <v>1</v>
      </c>
      <c r="T6848" s="35" t="inlineStr">
        <is>
          <t>4 — Не обогащён</t>
        </is>
      </c>
      <c r="U6848" s="35" t="inlineStr">
        <is>
          <t>Нет ОКВЭД/ССЧР</t>
        </is>
      </c>
      <c r="V6848" s="35" t="inlineStr">
        <is>
          <t>Не определено</t>
        </is>
      </c>
      <c r="W6848" s="35" t="inlineStr">
        <is>
          <t>Нет</t>
        </is>
      </c>
      <c r="X6848" s="35" t="inlineStr"/>
    </row>
    <row r="6849" ht="15" customHeight="1" s="24">
      <c r="A6849" s="13" t="inlineStr">
        <is>
          <t>FR291044</t>
        </is>
      </c>
      <c r="B6849" s="13" t="inlineStr">
        <is>
          <t>ГИДРОСЕРВИС ООО</t>
        </is>
      </c>
      <c r="C6849" s="13" t="n">
        <v>9201526921</v>
      </c>
      <c r="D6849" s="13" t="inlineStr">
        <is>
          <t>9201526921</t>
        </is>
      </c>
      <c r="E6849" s="13" t="inlineStr">
        <is>
          <t>ЮЛ РФ</t>
        </is>
      </c>
      <c r="F6849" s="13" t="n"/>
      <c r="G6849" s="52" t="n">
        <v>3</v>
      </c>
      <c r="H6849" s="52" t="n">
        <v>2025</v>
      </c>
      <c r="I6849" s="14" t="n"/>
      <c r="J6849" s="14" t="n"/>
      <c r="K6849" s="53" t="inlineStr">
        <is>
          <t>Нет</t>
        </is>
      </c>
      <c r="L6849" s="53" t="inlineStr">
        <is>
          <t>Не определено</t>
        </is>
      </c>
      <c r="M6849" s="53" t="inlineStr">
        <is>
          <t>До 10</t>
        </is>
      </c>
      <c r="N6849" s="54" t="n">
        <v>3360</v>
      </c>
      <c r="O6849" s="55" t="inlineStr">
        <is>
          <t>1–15</t>
        </is>
      </c>
      <c r="P6849" s="16" t="inlineStr">
        <is>
          <t>ССЧР обогащена; ОКВЭД не найден/не загружен</t>
        </is>
      </c>
      <c r="Q6849" s="16" t="inlineStr">
        <is>
          <t>ФНС открытые данные ССЧР (ДатаСост 31.12.2025; набор 7707329152-sshr2019)</t>
        </is>
      </c>
      <c r="R6849" s="16">
        <f>HYPERLINK("https://checko.ru/search?query=3801001629","Чекко: проверить")</f>
        <v/>
      </c>
      <c r="S6849" t="n">
        <v>1</v>
      </c>
      <c r="T6849" s="35" t="inlineStr">
        <is>
          <t>4 — Не обогащён</t>
        </is>
      </c>
      <c r="U6849" s="35" t="inlineStr">
        <is>
          <t>Нет ОКВЭД/ССЧР</t>
        </is>
      </c>
      <c r="V6849" s="35" t="inlineStr">
        <is>
          <t>Не определено</t>
        </is>
      </c>
      <c r="W6849" s="35" t="inlineStr">
        <is>
          <t>Нет</t>
        </is>
      </c>
      <c r="X6849" s="35" t="inlineStr"/>
    </row>
    <row r="6850" ht="15" customHeight="1" s="24">
      <c r="A6850" s="13" t="inlineStr">
        <is>
          <t>FR293526</t>
        </is>
      </c>
      <c r="B6850" s="13" t="inlineStr">
        <is>
          <t>ООО "КРОНВЕРК"</t>
        </is>
      </c>
      <c r="C6850" s="13" t="n">
        <v>3808155106</v>
      </c>
      <c r="D6850" s="13" t="inlineStr">
        <is>
          <t>3808155106</t>
        </is>
      </c>
      <c r="E6850" s="13" t="inlineStr">
        <is>
          <t>ЮЛ РФ</t>
        </is>
      </c>
      <c r="F6850" s="13" t="n"/>
      <c r="G6850" s="52" t="n">
        <v>2</v>
      </c>
      <c r="H6850" s="52" t="n">
        <v>2025</v>
      </c>
      <c r="I6850" s="14" t="n"/>
      <c r="J6850" s="14" t="n"/>
      <c r="K6850" s="53" t="inlineStr">
        <is>
          <t>Нет</t>
        </is>
      </c>
      <c r="L6850" s="53" t="inlineStr">
        <is>
          <t>Не определено</t>
        </is>
      </c>
      <c r="M6850" s="53" t="inlineStr">
        <is>
          <t>До 10</t>
        </is>
      </c>
      <c r="N6850" s="54" t="n">
        <v>3360</v>
      </c>
      <c r="O6850" s="55" t="inlineStr">
        <is>
          <t>1–15</t>
        </is>
      </c>
      <c r="P6850" s="16" t="inlineStr">
        <is>
          <t>ССЧР обогащена; ОКВЭД не найден/не загружен</t>
        </is>
      </c>
      <c r="Q6850" s="16" t="inlineStr">
        <is>
          <t>ФНС открытые данные ССЧР (ДатаСост 31.12.2025; набор 7707329152-sshr2019)</t>
        </is>
      </c>
      <c r="R6850" s="16">
        <f>HYPERLINK("https://checko.ru/search?query=3801001629","Чекко: проверить")</f>
        <v/>
      </c>
      <c r="S6850" t="n">
        <v>1</v>
      </c>
      <c r="T6850" s="35" t="inlineStr">
        <is>
          <t>4 — Не обогащён</t>
        </is>
      </c>
      <c r="U6850" s="35" t="inlineStr">
        <is>
          <t>Нет ОКВЭД/ССЧР</t>
        </is>
      </c>
      <c r="V6850" s="35" t="inlineStr">
        <is>
          <t>Не определено</t>
        </is>
      </c>
      <c r="W6850" s="35" t="inlineStr">
        <is>
          <t>Нет</t>
        </is>
      </c>
      <c r="X6850" s="35" t="inlineStr"/>
    </row>
    <row r="6851" ht="41.25" customHeight="1" s="24">
      <c r="A6851" s="13" t="inlineStr">
        <is>
          <t>FR562412</t>
        </is>
      </c>
      <c r="B6851" s="13" t="inlineStr">
        <is>
          <t>АВТОНОМНАЯ НЕКОММЕРЧЕСКАЯ ОРГАНИЗАЦИЯ "ЦЕНТР СОДЕЙСТВИЯ СОХРАНЕНИЮ ИСТОРИЧЕСКОГО И КУЛЬТУРНОГО НАСЛЕ</t>
        </is>
      </c>
      <c r="C6851" s="13" t="n">
        <v>1655466330</v>
      </c>
      <c r="D6851" s="13" t="inlineStr">
        <is>
          <t>1655466330</t>
        </is>
      </c>
      <c r="E6851" s="13" t="inlineStr">
        <is>
          <t>ЮЛ РФ</t>
        </is>
      </c>
      <c r="F6851" s="13" t="n"/>
      <c r="G6851" s="14" t="n"/>
      <c r="H6851" s="14" t="n"/>
      <c r="I6851" s="14" t="n"/>
      <c r="J6851" s="14" t="n"/>
      <c r="K6851" s="53" t="inlineStr"/>
      <c r="L6851" s="53" t="inlineStr">
        <is>
          <t>Не определено</t>
        </is>
      </c>
      <c r="M6851" s="53" t="inlineStr"/>
      <c r="N6851" s="54" t="inlineStr"/>
      <c r="O6851" s="55" t="inlineStr"/>
      <c r="P6851" s="16" t="inlineStr">
        <is>
          <t>Требует обогащения</t>
        </is>
      </c>
      <c r="Q6851" s="16">
        <f>HYPERLINK("https://pb.nalog.ru/search.html?query=1655466330","ФНС: проверить")</f>
        <v/>
      </c>
      <c r="R6851" s="16">
        <f>HYPERLINK("https://checko.ru/search?query=3801001629","Чекко: проверить")</f>
        <v/>
      </c>
      <c r="S6851" t="n">
        <v>1</v>
      </c>
      <c r="T6851" s="35" t="inlineStr">
        <is>
          <t>4 — Не обогащён</t>
        </is>
      </c>
      <c r="U6851" s="35" t="inlineStr">
        <is>
          <t>Нет ОКВЭД/ССЧР</t>
        </is>
      </c>
      <c r="V6851" s="35" t="inlineStr">
        <is>
          <t>Не определено</t>
        </is>
      </c>
      <c r="W6851" s="35" t="inlineStr"/>
      <c r="X6851" s="35" t="inlineStr"/>
    </row>
    <row r="6852" ht="15" customHeight="1" s="24">
      <c r="A6852" s="13" t="inlineStr">
        <is>
          <t>FR13516</t>
        </is>
      </c>
      <c r="B6852" s="13" t="inlineStr">
        <is>
          <t>АСТРА ООО</t>
        </is>
      </c>
      <c r="C6852" s="13" t="n">
        <v>3810077818</v>
      </c>
      <c r="D6852" s="13" t="inlineStr">
        <is>
          <t>3810077818</t>
        </is>
      </c>
      <c r="E6852" s="13" t="inlineStr">
        <is>
          <t>ЮЛ РФ</t>
        </is>
      </c>
      <c r="F6852" s="13" t="n"/>
      <c r="G6852" s="52" t="n">
        <v>1</v>
      </c>
      <c r="H6852" s="52" t="n">
        <v>2025</v>
      </c>
      <c r="I6852" s="14" t="n"/>
      <c r="J6852" s="14" t="n"/>
      <c r="K6852" s="53" t="inlineStr">
        <is>
          <t>Нет</t>
        </is>
      </c>
      <c r="L6852" s="53" t="inlineStr">
        <is>
          <t>Не определено</t>
        </is>
      </c>
      <c r="M6852" s="53" t="inlineStr">
        <is>
          <t>До 10</t>
        </is>
      </c>
      <c r="N6852" s="54" t="n">
        <v>3360</v>
      </c>
      <c r="O6852" s="55" t="inlineStr">
        <is>
          <t>1–15</t>
        </is>
      </c>
      <c r="P6852" s="16" t="inlineStr">
        <is>
          <t>ССЧР обогащена; ОКВЭД не найден/не загружен</t>
        </is>
      </c>
      <c r="Q6852" s="16" t="inlineStr">
        <is>
          <t>ФНС открытые данные ССЧР (ДатаСост 31.12.2025; набор 7707329152-sshr2019)</t>
        </is>
      </c>
      <c r="R6852" s="16">
        <f>HYPERLINK("https://checko.ru/search?query=3801001629","Чекко: проверить")</f>
        <v/>
      </c>
      <c r="S6852" t="n">
        <v>1</v>
      </c>
      <c r="T6852" s="35" t="inlineStr">
        <is>
          <t>4 — Не обогащён</t>
        </is>
      </c>
      <c r="U6852" s="35" t="inlineStr">
        <is>
          <t>Нет ОКВЭД/ССЧР</t>
        </is>
      </c>
      <c r="V6852" s="35" t="inlineStr">
        <is>
          <t>Не определено</t>
        </is>
      </c>
      <c r="W6852" s="35" t="inlineStr">
        <is>
          <t>Нет</t>
        </is>
      </c>
      <c r="X6852" s="35" t="inlineStr"/>
    </row>
    <row r="6853" ht="15" customHeight="1" s="24">
      <c r="A6853" s="13" t="inlineStr">
        <is>
          <t>FR188060</t>
        </is>
      </c>
      <c r="B6853" s="13" t="inlineStr">
        <is>
          <t>ИП Чучелов Егор Николаевич</t>
        </is>
      </c>
      <c r="C6853" s="13" t="n">
        <v>330709407259</v>
      </c>
      <c r="D6853" s="13" t="inlineStr">
        <is>
          <t>330709407259</t>
        </is>
      </c>
      <c r="E6853" s="13" t="inlineStr">
        <is>
          <t>ИП РФ / физлицо</t>
        </is>
      </c>
      <c r="F6853" s="13" t="n"/>
      <c r="G6853" s="14" t="n"/>
      <c r="H6853" s="14" t="n"/>
      <c r="I6853" s="14" t="n"/>
      <c r="J6853" s="14" t="n"/>
      <c r="K6853" s="53" t="inlineStr"/>
      <c r="L6853" s="53" t="inlineStr">
        <is>
          <t>Не определено</t>
        </is>
      </c>
      <c r="M6853" s="53" t="inlineStr"/>
      <c r="N6853" s="54" t="inlineStr"/>
      <c r="O6853" s="55" t="inlineStr"/>
      <c r="P6853" s="16" t="inlineStr">
        <is>
          <t>Требует обогащения</t>
        </is>
      </c>
      <c r="Q6853" s="16">
        <f>HYPERLINK("https://pb.nalog.ru/search.html?query=330709407259","ФНС: проверить")</f>
        <v/>
      </c>
      <c r="R6853" s="16">
        <f>HYPERLINK("https://checko.ru/search?query=3801001629","Чекко: проверить")</f>
        <v/>
      </c>
      <c r="S6853" t="n">
        <v>1</v>
      </c>
      <c r="T6853" s="35" t="inlineStr">
        <is>
          <t>4 — Не обогащён</t>
        </is>
      </c>
      <c r="U6853" s="35" t="inlineStr">
        <is>
          <t>Нет ОКВЭД/ССЧР</t>
        </is>
      </c>
      <c r="V6853" s="35" t="inlineStr">
        <is>
          <t>Не определено</t>
        </is>
      </c>
      <c r="W6853" s="35" t="inlineStr"/>
      <c r="X6853" s="35" t="inlineStr"/>
    </row>
    <row r="6854" ht="15" customHeight="1" s="24">
      <c r="A6854" s="13" t="inlineStr">
        <is>
          <t>FR275117</t>
        </is>
      </c>
      <c r="B6854" s="13" t="inlineStr">
        <is>
          <t>ИП Чуриков Вячеслав Вячеславович</t>
        </is>
      </c>
      <c r="C6854" s="13" t="n">
        <v>246531903570</v>
      </c>
      <c r="D6854" s="13" t="inlineStr">
        <is>
          <t>246531903570</t>
        </is>
      </c>
      <c r="E6854" s="13" t="inlineStr">
        <is>
          <t>ИП РФ / физлицо</t>
        </is>
      </c>
      <c r="F6854" s="13" t="n"/>
      <c r="G6854" s="14" t="n"/>
      <c r="H6854" s="14" t="n"/>
      <c r="I6854" s="14" t="n"/>
      <c r="J6854" s="14" t="n"/>
      <c r="K6854" s="53" t="inlineStr"/>
      <c r="L6854" s="53" t="inlineStr">
        <is>
          <t>Не определено</t>
        </is>
      </c>
      <c r="M6854" s="53" t="inlineStr"/>
      <c r="N6854" s="54" t="inlineStr"/>
      <c r="O6854" s="55" t="inlineStr"/>
      <c r="P6854" s="16" t="inlineStr">
        <is>
          <t>Требует обогащения</t>
        </is>
      </c>
      <c r="Q6854" s="16">
        <f>HYPERLINK("https://pb.nalog.ru/search.html?query=246531903570","ФНС: проверить")</f>
        <v/>
      </c>
      <c r="R6854" s="16">
        <f>HYPERLINK("https://checko.ru/search?query=3801001629","Чекко: проверить")</f>
        <v/>
      </c>
      <c r="S6854" t="n">
        <v>1</v>
      </c>
      <c r="T6854" s="35" t="inlineStr">
        <is>
          <t>4 — Не обогащён</t>
        </is>
      </c>
      <c r="U6854" s="35" t="inlineStr">
        <is>
          <t>Нет ОКВЭД/ССЧР</t>
        </is>
      </c>
      <c r="V6854" s="35" t="inlineStr">
        <is>
          <t>Не определено</t>
        </is>
      </c>
      <c r="W6854" s="35" t="inlineStr"/>
      <c r="X6854" s="35" t="inlineStr"/>
    </row>
    <row r="6855" ht="15" customHeight="1" s="24">
      <c r="A6855" s="13" t="inlineStr">
        <is>
          <t>FR713421</t>
        </is>
      </c>
      <c r="B6855" s="13" t="inlineStr">
        <is>
          <t>ИП Сальникова Алена Юрьевна</t>
        </is>
      </c>
      <c r="C6855" s="13" t="n">
        <v>443101476550</v>
      </c>
      <c r="D6855" s="13" t="inlineStr">
        <is>
          <t>443101476550</t>
        </is>
      </c>
      <c r="E6855" s="13" t="inlineStr">
        <is>
          <t>ИП РФ / физлицо</t>
        </is>
      </c>
      <c r="F6855" s="13" t="n"/>
      <c r="G6855" s="14" t="n"/>
      <c r="H6855" s="14" t="n"/>
      <c r="I6855" s="14" t="n"/>
      <c r="J6855" s="14" t="n"/>
      <c r="K6855" s="53" t="inlineStr"/>
      <c r="L6855" s="53" t="inlineStr">
        <is>
          <t>Не определено</t>
        </is>
      </c>
      <c r="M6855" s="53" t="inlineStr"/>
      <c r="N6855" s="54" t="inlineStr"/>
      <c r="O6855" s="55" t="inlineStr"/>
      <c r="P6855" s="16" t="inlineStr">
        <is>
          <t>Требует обогащения</t>
        </is>
      </c>
      <c r="Q6855" s="16">
        <f>HYPERLINK("https://pb.nalog.ru/search.html?query=443101476550","ФНС: проверить")</f>
        <v/>
      </c>
      <c r="R6855" s="16">
        <f>HYPERLINK("https://checko.ru/search?query=3801001629","Чекко: проверить")</f>
        <v/>
      </c>
      <c r="S6855" t="n">
        <v>1</v>
      </c>
      <c r="T6855" s="35" t="inlineStr">
        <is>
          <t>4 — Не обогащён</t>
        </is>
      </c>
      <c r="U6855" s="35" t="inlineStr">
        <is>
          <t>Нет ОКВЭД/ССЧР</t>
        </is>
      </c>
      <c r="V6855" s="35" t="inlineStr">
        <is>
          <t>Не определено</t>
        </is>
      </c>
      <c r="W6855" s="35" t="inlineStr"/>
      <c r="X6855" s="35" t="inlineStr"/>
    </row>
    <row r="6856" ht="15" customHeight="1" s="24">
      <c r="A6856" s="13" t="inlineStr">
        <is>
          <t>FR97537</t>
        </is>
      </c>
      <c r="B6856" s="13" t="inlineStr">
        <is>
          <t>ИП Гаврилов Александр Алексеевич</t>
        </is>
      </c>
      <c r="C6856" s="13" t="n">
        <v>381256645471</v>
      </c>
      <c r="D6856" s="13" t="inlineStr">
        <is>
          <t>381256645471</t>
        </is>
      </c>
      <c r="E6856" s="13" t="inlineStr">
        <is>
          <t>ИП РФ / физлицо</t>
        </is>
      </c>
      <c r="F6856" s="13" t="n"/>
      <c r="G6856" s="14" t="n"/>
      <c r="H6856" s="14" t="n"/>
      <c r="I6856" s="14" t="n"/>
      <c r="J6856" s="14" t="n"/>
      <c r="K6856" s="53" t="inlineStr"/>
      <c r="L6856" s="53" t="inlineStr">
        <is>
          <t>Не определено</t>
        </is>
      </c>
      <c r="M6856" s="53" t="inlineStr"/>
      <c r="N6856" s="54" t="inlineStr"/>
      <c r="O6856" s="55" t="inlineStr"/>
      <c r="P6856" s="16" t="inlineStr">
        <is>
          <t>Требует обогащения</t>
        </is>
      </c>
      <c r="Q6856" s="16">
        <f>HYPERLINK("https://pb.nalog.ru/search.html?query=381256645471","ФНС: проверить")</f>
        <v/>
      </c>
      <c r="R6856" s="16">
        <f>HYPERLINK("https://checko.ru/search?query=3801001629","Чекко: проверить")</f>
        <v/>
      </c>
      <c r="S6856" t="n">
        <v>1</v>
      </c>
      <c r="T6856" s="35" t="inlineStr">
        <is>
          <t>4 — Не обогащён</t>
        </is>
      </c>
      <c r="U6856" s="35" t="inlineStr">
        <is>
          <t>Нет ОКВЭД/ССЧР</t>
        </is>
      </c>
      <c r="V6856" s="35" t="inlineStr">
        <is>
          <t>Не определено</t>
        </is>
      </c>
      <c r="W6856" s="35" t="inlineStr"/>
      <c r="X6856" s="35" t="inlineStr"/>
    </row>
    <row r="6857" ht="15" customHeight="1" s="24">
      <c r="A6857" s="13" t="inlineStr">
        <is>
          <t>FR1252879</t>
        </is>
      </c>
      <c r="B6857" s="13" t="inlineStr">
        <is>
          <t>ИП Додонова Варвара Игоревна</t>
        </is>
      </c>
      <c r="C6857" s="13" t="n">
        <v>380895831200</v>
      </c>
      <c r="D6857" s="13" t="inlineStr">
        <is>
          <t>380895831200</t>
        </is>
      </c>
      <c r="E6857" s="13" t="inlineStr">
        <is>
          <t>ИП РФ / физлицо</t>
        </is>
      </c>
      <c r="F6857" s="13" t="n"/>
      <c r="G6857" s="14" t="n"/>
      <c r="H6857" s="14" t="n"/>
      <c r="I6857" s="14" t="n"/>
      <c r="J6857" s="14" t="n"/>
      <c r="K6857" s="53" t="inlineStr"/>
      <c r="L6857" s="53" t="inlineStr">
        <is>
          <t>Не определено</t>
        </is>
      </c>
      <c r="M6857" s="53" t="inlineStr"/>
      <c r="N6857" s="54" t="inlineStr"/>
      <c r="O6857" s="55" t="inlineStr"/>
      <c r="P6857" s="16" t="inlineStr">
        <is>
          <t>Требует обогащения</t>
        </is>
      </c>
      <c r="Q6857" s="16">
        <f>HYPERLINK("https://pb.nalog.ru/search.html?query=380895831200","ФНС: проверить")</f>
        <v/>
      </c>
      <c r="R6857" s="16">
        <f>HYPERLINK("https://checko.ru/search?query=3801001629","Чекко: проверить")</f>
        <v/>
      </c>
      <c r="S6857" t="n">
        <v>1</v>
      </c>
      <c r="T6857" s="35" t="inlineStr">
        <is>
          <t>4 — Не обогащён</t>
        </is>
      </c>
      <c r="U6857" s="35" t="inlineStr">
        <is>
          <t>Нет ОКВЭД/ССЧР</t>
        </is>
      </c>
      <c r="V6857" s="35" t="inlineStr">
        <is>
          <t>Не определено</t>
        </is>
      </c>
      <c r="W6857" s="35" t="inlineStr"/>
      <c r="X6857" s="35" t="inlineStr"/>
    </row>
    <row r="6858" ht="15" customHeight="1" s="24">
      <c r="A6858" s="13" t="inlineStr">
        <is>
          <t>FR1255587</t>
        </is>
      </c>
      <c r="B6858" s="13" t="inlineStr">
        <is>
          <t>ИП Савинов Николай Сергеевич</t>
        </is>
      </c>
      <c r="C6858" s="13" t="n">
        <v>245307317752</v>
      </c>
      <c r="D6858" s="13" t="inlineStr">
        <is>
          <t>245307317752</t>
        </is>
      </c>
      <c r="E6858" s="13" t="inlineStr">
        <is>
          <t>ИП РФ / физлицо</t>
        </is>
      </c>
      <c r="F6858" s="13" t="n"/>
      <c r="G6858" s="14" t="n"/>
      <c r="H6858" s="14" t="n"/>
      <c r="I6858" s="14" t="n"/>
      <c r="J6858" s="14" t="n"/>
      <c r="K6858" s="53" t="inlineStr"/>
      <c r="L6858" s="53" t="inlineStr">
        <is>
          <t>Не определено</t>
        </is>
      </c>
      <c r="M6858" s="53" t="inlineStr"/>
      <c r="N6858" s="54" t="inlineStr"/>
      <c r="O6858" s="55" t="inlineStr"/>
      <c r="P6858" s="16" t="inlineStr">
        <is>
          <t>Требует обогащения</t>
        </is>
      </c>
      <c r="Q6858" s="16">
        <f>HYPERLINK("https://pb.nalog.ru/search.html?query=245307317752","ФНС: проверить")</f>
        <v/>
      </c>
      <c r="R6858" s="16">
        <f>HYPERLINK("https://checko.ru/search?query=3801001629","Чекко: проверить")</f>
        <v/>
      </c>
      <c r="S6858" t="n">
        <v>1</v>
      </c>
      <c r="T6858" s="35" t="inlineStr">
        <is>
          <t>4 — Не обогащён</t>
        </is>
      </c>
      <c r="U6858" s="35" t="inlineStr">
        <is>
          <t>Нет ОКВЭД/ССЧР</t>
        </is>
      </c>
      <c r="V6858" s="35" t="inlineStr">
        <is>
          <t>Не определено</t>
        </is>
      </c>
      <c r="W6858" s="35" t="inlineStr"/>
      <c r="X6858" s="35" t="inlineStr"/>
    </row>
    <row r="6859" ht="27.75" customHeight="1" s="24">
      <c r="A6859" s="13" t="inlineStr">
        <is>
          <t>FR1257238</t>
        </is>
      </c>
      <c r="B6859" s="13" t="inlineStr">
        <is>
          <t>Общество с ограниченной ответственностью "ЗВЕЗДА СИБИРИ-МЕДИА"</t>
        </is>
      </c>
      <c r="C6859" s="13" t="n">
        <v>3849110591</v>
      </c>
      <c r="D6859" s="13" t="inlineStr">
        <is>
          <t>3849110591</t>
        </is>
      </c>
      <c r="E6859" s="13" t="inlineStr">
        <is>
          <t>ЮЛ РФ</t>
        </is>
      </c>
      <c r="F6859" s="13" t="n"/>
      <c r="G6859" s="52" t="n">
        <v>0</v>
      </c>
      <c r="H6859" s="52" t="n">
        <v>2025</v>
      </c>
      <c r="I6859" s="14" t="n"/>
      <c r="J6859" s="14" t="n"/>
      <c r="K6859" s="53" t="inlineStr">
        <is>
          <t>Нет</t>
        </is>
      </c>
      <c r="L6859" s="53" t="inlineStr">
        <is>
          <t>Не определено</t>
        </is>
      </c>
      <c r="M6859" s="53" t="inlineStr">
        <is>
          <t>До 10</t>
        </is>
      </c>
      <c r="N6859" s="54" t="n">
        <v>3360</v>
      </c>
      <c r="O6859" s="55" t="inlineStr">
        <is>
          <t>1–15</t>
        </is>
      </c>
      <c r="P6859" s="16" t="inlineStr">
        <is>
          <t>ССЧР обогащена; ОКВЭД не найден/не загружен</t>
        </is>
      </c>
      <c r="Q6859" s="16" t="inlineStr">
        <is>
          <t>ФНС открытые данные ССЧР (ДатаСост 31.12.2025; набор 7707329152-sshr2019)</t>
        </is>
      </c>
      <c r="R6859" s="16">
        <f>HYPERLINK("https://checko.ru/search?query=3801001629","Чекко: проверить")</f>
        <v/>
      </c>
      <c r="S6859" t="n">
        <v>1</v>
      </c>
      <c r="T6859" s="35" t="inlineStr">
        <is>
          <t>4 — Не обогащён</t>
        </is>
      </c>
      <c r="U6859" s="35" t="inlineStr">
        <is>
          <t>Нет ОКВЭД/ССЧР</t>
        </is>
      </c>
      <c r="V6859" s="35" t="inlineStr">
        <is>
          <t>Не определено</t>
        </is>
      </c>
      <c r="W6859" s="35" t="inlineStr">
        <is>
          <t>Нет</t>
        </is>
      </c>
      <c r="X6859" s="35" t="inlineStr"/>
    </row>
    <row r="6860" ht="15" customHeight="1" s="24">
      <c r="A6860" s="13" t="inlineStr">
        <is>
          <t>FR1249413</t>
        </is>
      </c>
      <c r="B6860" s="13" t="inlineStr">
        <is>
          <t>ИП Оржеховская Людмила Александровна</t>
        </is>
      </c>
      <c r="C6860" s="13" t="n">
        <v>800102343055</v>
      </c>
      <c r="D6860" s="13" t="inlineStr">
        <is>
          <t>800102343055</t>
        </is>
      </c>
      <c r="E6860" s="13" t="inlineStr">
        <is>
          <t>ИП РФ / физлицо</t>
        </is>
      </c>
      <c r="F6860" s="13" t="n"/>
      <c r="G6860" s="14" t="n"/>
      <c r="H6860" s="14" t="n"/>
      <c r="I6860" s="14" t="n"/>
      <c r="J6860" s="14" t="n"/>
      <c r="K6860" s="53" t="inlineStr"/>
      <c r="L6860" s="53" t="inlineStr">
        <is>
          <t>Не определено</t>
        </is>
      </c>
      <c r="M6860" s="53" t="inlineStr"/>
      <c r="N6860" s="54" t="inlineStr"/>
      <c r="O6860" s="55" t="inlineStr"/>
      <c r="P6860" s="16" t="inlineStr">
        <is>
          <t>Требует обогащения</t>
        </is>
      </c>
      <c r="Q6860" s="16">
        <f>HYPERLINK("https://pb.nalog.ru/search.html?query=800102343055","ФНС: проверить")</f>
        <v/>
      </c>
      <c r="R6860" s="16">
        <f>HYPERLINK("https://checko.ru/search?query=3801001629","Чекко: проверить")</f>
        <v/>
      </c>
      <c r="S6860" t="n">
        <v>1</v>
      </c>
      <c r="T6860" s="35" t="inlineStr">
        <is>
          <t>4 — Не обогащён</t>
        </is>
      </c>
      <c r="U6860" s="35" t="inlineStr">
        <is>
          <t>Нет ОКВЭД/ССЧР</t>
        </is>
      </c>
      <c r="V6860" s="35" t="inlineStr">
        <is>
          <t>Не определено</t>
        </is>
      </c>
      <c r="W6860" s="35" t="inlineStr"/>
      <c r="X6860" s="35" t="inlineStr"/>
    </row>
    <row r="6861" ht="15" customHeight="1" s="24">
      <c r="A6861" s="13" t="inlineStr">
        <is>
          <t>FR1203733</t>
        </is>
      </c>
      <c r="B6861" s="13" t="inlineStr">
        <is>
          <t>ИП Сахьянов Василий Борисович</t>
        </is>
      </c>
      <c r="C6861" s="13" t="n">
        <v>32314002989</v>
      </c>
      <c r="D6861" s="13" t="n"/>
      <c r="E6861" s="13" t="inlineStr">
        <is>
          <t>Не определён</t>
        </is>
      </c>
      <c r="F6861" s="13" t="n"/>
      <c r="G6861" s="14" t="n"/>
      <c r="H6861" s="14" t="n"/>
      <c r="I6861" s="14" t="n"/>
      <c r="J6861" s="14" t="n"/>
      <c r="K6861" s="13">
        <f>IF(G6861="","",IF(G6861&gt;=22,"Да","Нет"))</f>
        <v/>
      </c>
      <c r="L6861" s="13">
        <f>IF(OR(I6861="",J6861=""),"Не определено",IF(OR(COUNTIF(I6861,"45*")&gt;0,COUNTIF(J6861,"*45*")&gt;0,COUNTIF(I6861,"46*")&gt;0,COUNTIF(J6861,"*46*")&gt;0,COUNTIF(I6861,"47*")&gt;0,COUNTIF(J6861,"*47*")&gt;0,COUNTIF(I6861,"10*")&gt;0,COUNTIF(J6861,"*10*")&gt;0,COUNTIF(I6861,"11*")&gt;0,COUNTIF(J6861,"*11*")&gt;0,COUNTIF(I6861,"12*")&gt;0,COUNTIF(J6861,"*12*")&gt;0,COUNTIF(I6861,"13*")&gt;0,COUNTIF(J6861,"*13*")&gt;0,COUNTIF(I6861,"14*")&gt;0,COUNTIF(J6861,"*14*")&gt;0,COUNTIF(I6861,"15*")&gt;0,COUNTIF(J6861,"*15*")&gt;0,COUNTIF(I6861,"16*")&gt;0,COUNTIF(J6861,"*16*")&gt;0,COUNTIF(I6861,"17*")&gt;0,COUNTIF(J6861,"*17*")&gt;0,COUNTIF(I6861,"18*")&gt;0,COUNTIF(J6861,"*18*")&gt;0,COUNTIF(I6861,"19*")&gt;0,COUNTIF(J6861,"*19*")&gt;0,COUNTIF(I6861,"20*")&gt;0,COUNTIF(J6861,"*20*")&gt;0,COUNTIF(I6861,"21*")&gt;0,COUNTIF(J6861,"*21*")&gt;0,COUNTIF(I6861,"22*")&gt;0,COUNTIF(J6861,"*22*")&gt;0,COUNTIF(I6861,"23*")&gt;0,COUNTIF(J6861,"*23*")&gt;0,COUNTIF(I6861,"24*")&gt;0,COUNTIF(J6861,"*24*")&gt;0,COUNTIF(I6861,"25*")&gt;0,COUNTIF(J6861,"*25*")&gt;0,COUNTIF(I6861,"26*")&gt;0,COUNTIF(J6861,"*26*")&gt;0,COUNTIF(I6861,"27*")&gt;0,COUNTIF(J6861,"*27*")&gt;0,COUNTIF(I6861,"28*")&gt;0,COUNTIF(J6861,"*28*")&gt;0,COUNTIF(I6861,"29*")&gt;0,COUNTIF(J6861,"*29*")&gt;0,COUNTIF(I6861,"30*")&gt;0,COUNTIF(J6861,"*30*")&gt;0,COUNTIF(I6861,"31*")&gt;0,COUNTIF(J6861,"*31*")&gt;0,COUNTIF(I6861,"32*")&gt;0,COUNTIF(J6861,"*32*")&gt;0,COUNTIF(I6861,"33*")&gt;0,COUNTIF(J6861,"*33*")&gt;0,COUNTIF(I6861,"41*")&gt;0,COUNTIF(J6861,"*41*")&gt;0,COUNTIF(I6861,"42*")&gt;0,COUNTIF(J6861,"*42*")&gt;0,COUNTIF(I6861,"43*")&gt;0,COUNTIF(J6861,"*43*")&gt;0,COUNTIF(I6861,"49*")&gt;0,COUNTIF(J6861,"*49*")&gt;0,COUNTIF(I6861,"52*")&gt;0,COUNTIF(J6861,"*52*")&gt;0,COUNTIF(I6861,"55*")&gt;0,COUNTIF(J6861,"*55*")&gt;0,COUNTIF(I6861,"56*")&gt;0,COUNTIF(J6861,"*56*")&gt;0,COUNTIF(I6861,"68*")&gt;0,COUNTIF(J6861,"*68*")&gt;0,COUNTIF(I6861,"78*")&gt;0,COUNTIF(J6861,"*78*")&gt;0,COUNTIF(I6861,"81*")&gt;0,COUNTIF(J6861,"*81*")&gt;0,COUNTIF(I6861,"82*")&gt;0,COUNTIF(J6861,"*82*")&gt;0,COUNTIF(I6861,"64*")&gt;0,COUNTIF(J6861,"*64*")&gt;0,COUNTIF(I6861,"65*")&gt;0,COUNTIF(J6861,"*65*")&gt;0,COUNTIF(I6861,"66*")&gt;0,COUNTIF(J6861,"*66*")&gt;0,COUNTIF(I6861,"61*")&gt;0,COUNTIF(J6861,"*61*")&gt;0,COUNTIF(I6861,"62*")&gt;0,COUNTIF(J6861,"*62*")&gt;0,COUNTIF(I6861,"63*")&gt;0,COUNTIF(J6861,"*63*")&gt;0,COUNTIF(I6861,"85*")&gt;0,COUNTIF(J6861,"*85*")&gt;0,COUNTIF(I6861,"86*")&gt;0,COUNTIF(J6861,"*86*")&gt;0),"Да","Нет"))</f>
        <v/>
      </c>
      <c r="M6861" s="13">
        <f>IF(OR(G6861="",L6861&lt;&gt;"Да"),"",IF(G6861&lt;=100,"До 100",IF(G6861&lt;=200,"До 200",IF(G6861&lt;=500,"До 500","Отдельное КП"))))</f>
        <v/>
      </c>
      <c r="N6861" s="15">
        <f>IF(OR(G6861="",L6861&lt;&gt;"Да"),"",IF(G6861&lt;=100,33600,IF(G6861&lt;=200,62400,IF(G6861&lt;=500,144000,""))))</f>
        <v/>
      </c>
      <c r="O6861" s="16">
        <f>IF(G6861="","",IF(G6861&lt;=15,"1–15",IF(G6861&lt;=30,"16–30",IF(G6861&lt;=50,"31–50",IF(G6861&lt;=100,"51–100",IF(G6861&lt;=150,"101–150",IF(G6861&lt;=200,"151–200",IF(G6861&lt;=500,"201–500","500+"))))))))</f>
        <v/>
      </c>
      <c r="P6861" s="16" t="inlineStr">
        <is>
          <t>Нет совпадения в предоставленной выгрузке ССЧР</t>
        </is>
      </c>
      <c r="Q6861" s="16" t="n"/>
      <c r="R6861" s="16">
        <f>HYPERLINK("https://checko.ru/search?query=3801001629","Чекко: проверить")</f>
        <v/>
      </c>
      <c r="S6861" t="n">
        <v>0</v>
      </c>
    </row>
    <row r="6862" ht="27.75" customHeight="1" s="24">
      <c r="A6862" s="13" t="inlineStr">
        <is>
          <t>FR712167</t>
        </is>
      </c>
      <c r="B6862" s="13" t="inlineStr">
        <is>
          <t>Общество с ограниченной ответственностью "АРТДЕНТ"</t>
        </is>
      </c>
      <c r="C6862" s="13" t="n">
        <v>3849089854</v>
      </c>
      <c r="D6862" s="13" t="inlineStr">
        <is>
          <t>3849089854</t>
        </is>
      </c>
      <c r="E6862" s="13" t="inlineStr">
        <is>
          <t>ЮЛ РФ</t>
        </is>
      </c>
      <c r="F6862" s="13" t="n"/>
      <c r="G6862" s="52" t="n">
        <v>14</v>
      </c>
      <c r="H6862" s="52" t="n">
        <v>2025</v>
      </c>
      <c r="I6862" s="14" t="n"/>
      <c r="J6862" s="14" t="n"/>
      <c r="K6862" s="53" t="inlineStr">
        <is>
          <t>Нет</t>
        </is>
      </c>
      <c r="L6862" s="53" t="inlineStr">
        <is>
          <t>Не определено</t>
        </is>
      </c>
      <c r="M6862" s="53" t="inlineStr">
        <is>
          <t>До 25</t>
        </is>
      </c>
      <c r="N6862" s="54" t="n">
        <v>8400</v>
      </c>
      <c r="O6862" s="55" t="inlineStr">
        <is>
          <t>1–15</t>
        </is>
      </c>
      <c r="P6862" s="16" t="inlineStr">
        <is>
          <t>ССЧР обогащена; ОКВЭД не найден/не загружен</t>
        </is>
      </c>
      <c r="Q6862" s="16" t="inlineStr">
        <is>
          <t>ФНС открытые данные ССЧР (ДатаСост 31.12.2025; набор 7707329152-sshr2019)</t>
        </is>
      </c>
      <c r="R6862" s="16">
        <f>HYPERLINK("https://checko.ru/search?query=3801001629","Чекко: проверить")</f>
        <v/>
      </c>
      <c r="S6862" t="n">
        <v>1</v>
      </c>
      <c r="T6862" s="35" t="inlineStr">
        <is>
          <t>4 — Не обогащён</t>
        </is>
      </c>
      <c r="U6862" s="35" t="inlineStr">
        <is>
          <t>Нет ОКВЭД/ССЧР</t>
        </is>
      </c>
      <c r="V6862" s="35" t="inlineStr">
        <is>
          <t>Не определено</t>
        </is>
      </c>
      <c r="W6862" s="35" t="inlineStr">
        <is>
          <t>Нет</t>
        </is>
      </c>
      <c r="X6862" s="35" t="inlineStr"/>
    </row>
    <row r="6863" ht="27.75" customHeight="1" s="24">
      <c r="A6863" s="13" t="inlineStr">
        <is>
          <t>FR722365</t>
        </is>
      </c>
      <c r="B6863" s="13" t="inlineStr">
        <is>
          <t>Общество с ограниченной ответственностью "СПЕКТРЭНЕРГО"</t>
        </is>
      </c>
      <c r="C6863" s="13" t="n">
        <v>3810036473</v>
      </c>
      <c r="D6863" s="13" t="inlineStr">
        <is>
          <t>3810036473</t>
        </is>
      </c>
      <c r="E6863" s="13" t="inlineStr">
        <is>
          <t>ЮЛ РФ</t>
        </is>
      </c>
      <c r="F6863" s="13" t="n"/>
      <c r="G6863" s="52" t="n">
        <v>2</v>
      </c>
      <c r="H6863" s="52" t="n">
        <v>2025</v>
      </c>
      <c r="I6863" s="14" t="n"/>
      <c r="J6863" s="14" t="n"/>
      <c r="K6863" s="53" t="inlineStr">
        <is>
          <t>Нет</t>
        </is>
      </c>
      <c r="L6863" s="53" t="inlineStr">
        <is>
          <t>Не определено</t>
        </is>
      </c>
      <c r="M6863" s="53" t="inlineStr">
        <is>
          <t>До 10</t>
        </is>
      </c>
      <c r="N6863" s="54" t="n">
        <v>3360</v>
      </c>
      <c r="O6863" s="55" t="inlineStr">
        <is>
          <t>1–15</t>
        </is>
      </c>
      <c r="P6863" s="16" t="inlineStr">
        <is>
          <t>ССЧР обогащена; ОКВЭД не найден/не загружен</t>
        </is>
      </c>
      <c r="Q6863" s="16" t="inlineStr">
        <is>
          <t>ФНС открытые данные ССЧР (ДатаСост 31.12.2025; набор 7707329152-sshr2019)</t>
        </is>
      </c>
      <c r="R6863" s="16">
        <f>HYPERLINK("https://checko.ru/search?query=3801001629","Чекко: проверить")</f>
        <v/>
      </c>
      <c r="S6863" t="n">
        <v>1</v>
      </c>
      <c r="T6863" s="35" t="inlineStr">
        <is>
          <t>4 — Не обогащён</t>
        </is>
      </c>
      <c r="U6863" s="35" t="inlineStr">
        <is>
          <t>Нет ОКВЭД/ССЧР</t>
        </is>
      </c>
      <c r="V6863" s="35" t="inlineStr">
        <is>
          <t>Не определено</t>
        </is>
      </c>
      <c r="W6863" s="35" t="inlineStr">
        <is>
          <t>Нет</t>
        </is>
      </c>
      <c r="X6863" s="35" t="inlineStr"/>
    </row>
    <row r="6864" ht="15" customHeight="1" s="24">
      <c r="A6864" s="13" t="inlineStr">
        <is>
          <t>FR722314</t>
        </is>
      </c>
      <c r="B6864" s="13" t="inlineStr">
        <is>
          <t>БЛАГОТВОРИТЕЛЬНЫЙ ФОНД "РОДНОЙ КРАЙ"</t>
        </is>
      </c>
      <c r="C6864" s="13" t="n">
        <v>3849091532</v>
      </c>
      <c r="D6864" s="13" t="inlineStr">
        <is>
          <t>3849091532</t>
        </is>
      </c>
      <c r="E6864" s="13" t="inlineStr">
        <is>
          <t>ЮЛ РФ</t>
        </is>
      </c>
      <c r="F6864" s="13" t="n"/>
      <c r="G6864" s="14" t="n"/>
      <c r="H6864" s="14" t="n"/>
      <c r="I6864" s="14" t="n"/>
      <c r="J6864" s="14" t="n"/>
      <c r="K6864" s="53" t="inlineStr"/>
      <c r="L6864" s="53" t="inlineStr">
        <is>
          <t>Не определено</t>
        </is>
      </c>
      <c r="M6864" s="53" t="inlineStr"/>
      <c r="N6864" s="54" t="inlineStr"/>
      <c r="O6864" s="55" t="inlineStr"/>
      <c r="P6864" s="16" t="inlineStr">
        <is>
          <t>Требует обогащения</t>
        </is>
      </c>
      <c r="Q6864" s="16">
        <f>HYPERLINK("https://pb.nalog.ru/search.html?query=3849091532","ФНС: проверить")</f>
        <v/>
      </c>
      <c r="R6864" s="16">
        <f>HYPERLINK("https://checko.ru/search?query=3801001629","Чекко: проверить")</f>
        <v/>
      </c>
      <c r="S6864" t="n">
        <v>1</v>
      </c>
      <c r="T6864" s="35" t="inlineStr">
        <is>
          <t>4 — Не обогащён</t>
        </is>
      </c>
      <c r="U6864" s="35" t="inlineStr">
        <is>
          <t>Нет ОКВЭД/ССЧР</t>
        </is>
      </c>
      <c r="V6864" s="35" t="inlineStr">
        <is>
          <t>Не определено</t>
        </is>
      </c>
      <c r="W6864" s="35" t="inlineStr"/>
      <c r="X6864" s="35" t="inlineStr"/>
    </row>
    <row r="6865" ht="27.75" customHeight="1" s="24">
      <c r="A6865" s="13" t="inlineStr">
        <is>
          <t>FR718648</t>
        </is>
      </c>
      <c r="B6865" s="13" t="inlineStr">
        <is>
          <t>Общество с ограниченной ответственностью "ДЕЗИРС"</t>
        </is>
      </c>
      <c r="C6865" s="13" t="n">
        <v>3811090191</v>
      </c>
      <c r="D6865" s="13" t="inlineStr">
        <is>
          <t>3811090191</t>
        </is>
      </c>
      <c r="E6865" s="13" t="inlineStr">
        <is>
          <t>ЮЛ РФ</t>
        </is>
      </c>
      <c r="F6865" s="13" t="n"/>
      <c r="G6865" s="52" t="n">
        <v>1</v>
      </c>
      <c r="H6865" s="52" t="n">
        <v>2025</v>
      </c>
      <c r="I6865" s="14" t="n"/>
      <c r="J6865" s="14" t="n"/>
      <c r="K6865" s="53" t="inlineStr">
        <is>
          <t>Нет</t>
        </is>
      </c>
      <c r="L6865" s="53" t="inlineStr">
        <is>
          <t>Не определено</t>
        </is>
      </c>
      <c r="M6865" s="53" t="inlineStr">
        <is>
          <t>До 10</t>
        </is>
      </c>
      <c r="N6865" s="54" t="n">
        <v>3360</v>
      </c>
      <c r="O6865" s="55" t="inlineStr">
        <is>
          <t>1–15</t>
        </is>
      </c>
      <c r="P6865" s="16" t="inlineStr">
        <is>
          <t>ССЧР обогащена; ОКВЭД не найден/не загружен</t>
        </is>
      </c>
      <c r="Q6865" s="16" t="inlineStr">
        <is>
          <t>ФНС открытые данные ССЧР (ДатаСост 31.12.2025; набор 7707329152-sshr2019)</t>
        </is>
      </c>
      <c r="R6865" s="16">
        <f>HYPERLINK("https://checko.ru/search?query=3801001629","Чекко: проверить")</f>
        <v/>
      </c>
      <c r="S6865" t="n">
        <v>1</v>
      </c>
      <c r="T6865" s="35" t="inlineStr">
        <is>
          <t>4 — Не обогащён</t>
        </is>
      </c>
      <c r="U6865" s="35" t="inlineStr">
        <is>
          <t>Нет ОКВЭД/ССЧР</t>
        </is>
      </c>
      <c r="V6865" s="35" t="inlineStr">
        <is>
          <t>Не определено</t>
        </is>
      </c>
      <c r="W6865" s="35" t="inlineStr">
        <is>
          <t>Нет</t>
        </is>
      </c>
      <c r="X6865" s="35" t="inlineStr"/>
    </row>
    <row r="6866" ht="15" customHeight="1" s="24">
      <c r="A6866" s="13" t="inlineStr">
        <is>
          <t>FR1253541</t>
        </is>
      </c>
      <c r="B6866" s="13" t="inlineStr">
        <is>
          <t>ИП Алиева Елена Ивановна</t>
        </is>
      </c>
      <c r="C6866" s="13" t="n">
        <v>781100289395</v>
      </c>
      <c r="D6866" s="13" t="inlineStr">
        <is>
          <t>781100289395</t>
        </is>
      </c>
      <c r="E6866" s="13" t="inlineStr">
        <is>
          <t>ИП РФ / физлицо</t>
        </is>
      </c>
      <c r="F6866" s="13" t="n"/>
      <c r="G6866" s="14" t="n"/>
      <c r="H6866" s="14" t="n"/>
      <c r="I6866" s="14" t="n"/>
      <c r="J6866" s="14" t="n"/>
      <c r="K6866" s="53" t="inlineStr"/>
      <c r="L6866" s="53" t="inlineStr">
        <is>
          <t>Не определено</t>
        </is>
      </c>
      <c r="M6866" s="53" t="inlineStr"/>
      <c r="N6866" s="54" t="inlineStr"/>
      <c r="O6866" s="55" t="inlineStr"/>
      <c r="P6866" s="16" t="inlineStr">
        <is>
          <t>Требует обогащения</t>
        </is>
      </c>
      <c r="Q6866" s="16">
        <f>HYPERLINK("https://pb.nalog.ru/search.html?query=781100289395","ФНС: проверить")</f>
        <v/>
      </c>
      <c r="R6866" s="16">
        <f>HYPERLINK("https://checko.ru/search?query=3801001629","Чекко: проверить")</f>
        <v/>
      </c>
      <c r="S6866" t="n">
        <v>1</v>
      </c>
      <c r="T6866" s="35" t="inlineStr">
        <is>
          <t>4 — Не обогащён</t>
        </is>
      </c>
      <c r="U6866" s="35" t="inlineStr">
        <is>
          <t>Нет ОКВЭД/ССЧР</t>
        </is>
      </c>
      <c r="V6866" s="35" t="inlineStr">
        <is>
          <t>Не определено</t>
        </is>
      </c>
      <c r="W6866" s="35" t="inlineStr"/>
      <c r="X6866" s="35" t="inlineStr"/>
    </row>
    <row r="6867" ht="27.75" customHeight="1" s="24">
      <c r="A6867" s="13" t="inlineStr">
        <is>
          <t>FR794937</t>
        </is>
      </c>
      <c r="B6867" s="13" t="inlineStr">
        <is>
          <t>Общество с ограниченной ответственностью "ТОРГОВЫЙ ДОМ ФЕНИКС"</t>
        </is>
      </c>
      <c r="C6867" s="13" t="n">
        <v>3801157577</v>
      </c>
      <c r="D6867" s="13" t="inlineStr">
        <is>
          <t>3801157577</t>
        </is>
      </c>
      <c r="E6867" s="13" t="inlineStr">
        <is>
          <t>ЮЛ РФ</t>
        </is>
      </c>
      <c r="F6867" s="13" t="n"/>
      <c r="G6867" s="52" t="n">
        <v>3</v>
      </c>
      <c r="H6867" s="52" t="n">
        <v>2025</v>
      </c>
      <c r="I6867" s="14" t="n"/>
      <c r="J6867" s="14" t="n"/>
      <c r="K6867" s="53" t="inlineStr">
        <is>
          <t>Нет</t>
        </is>
      </c>
      <c r="L6867" s="53" t="inlineStr">
        <is>
          <t>Не определено</t>
        </is>
      </c>
      <c r="M6867" s="53" t="inlineStr">
        <is>
          <t>До 10</t>
        </is>
      </c>
      <c r="N6867" s="54" t="n">
        <v>3360</v>
      </c>
      <c r="O6867" s="55" t="inlineStr">
        <is>
          <t>1–15</t>
        </is>
      </c>
      <c r="P6867" s="16" t="inlineStr">
        <is>
          <t>ССЧР обогащена; ОКВЭД не найден/не загружен</t>
        </is>
      </c>
      <c r="Q6867" s="16" t="inlineStr">
        <is>
          <t>ФНС открытые данные ССЧР (ДатаСост 31.12.2025; набор 7707329152-sshr2019)</t>
        </is>
      </c>
      <c r="R6867" s="16">
        <f>HYPERLINK("https://checko.ru/search?query=3801001629","Чекко: проверить")</f>
        <v/>
      </c>
      <c r="S6867" t="n">
        <v>1</v>
      </c>
      <c r="T6867" s="35" t="inlineStr">
        <is>
          <t>4 — Не обогащён</t>
        </is>
      </c>
      <c r="U6867" s="35" t="inlineStr">
        <is>
          <t>Нет ОКВЭД/ССЧР</t>
        </is>
      </c>
      <c r="V6867" s="35" t="inlineStr">
        <is>
          <t>Не определено</t>
        </is>
      </c>
      <c r="W6867" s="35" t="inlineStr">
        <is>
          <t>Нет</t>
        </is>
      </c>
      <c r="X6867" s="35" t="inlineStr"/>
    </row>
    <row r="6868" ht="15" customHeight="1" s="24">
      <c r="A6868" s="13" t="inlineStr">
        <is>
          <t>FR394363</t>
        </is>
      </c>
      <c r="B6868" s="13" t="inlineStr">
        <is>
          <t>ИП Шаброва Ольга Николаевна</t>
        </is>
      </c>
      <c r="C6868" s="13" t="n">
        <v>772334255189</v>
      </c>
      <c r="D6868" s="13" t="inlineStr">
        <is>
          <t>772334255189</t>
        </is>
      </c>
      <c r="E6868" s="13" t="inlineStr">
        <is>
          <t>ИП РФ / физлицо</t>
        </is>
      </c>
      <c r="F6868" s="13" t="n"/>
      <c r="G6868" s="14" t="n"/>
      <c r="H6868" s="14" t="n"/>
      <c r="I6868" s="14" t="n"/>
      <c r="J6868" s="14" t="n"/>
      <c r="K6868" s="53" t="inlineStr"/>
      <c r="L6868" s="53" t="inlineStr">
        <is>
          <t>Не определено</t>
        </is>
      </c>
      <c r="M6868" s="53" t="inlineStr"/>
      <c r="N6868" s="54" t="inlineStr"/>
      <c r="O6868" s="55" t="inlineStr"/>
      <c r="P6868" s="16" t="inlineStr">
        <is>
          <t>Требует обогащения</t>
        </is>
      </c>
      <c r="Q6868" s="16">
        <f>HYPERLINK("https://pb.nalog.ru/search.html?query=772334255189","ФНС: проверить")</f>
        <v/>
      </c>
      <c r="R6868" s="16">
        <f>HYPERLINK("https://checko.ru/search?query=3801001629","Чекко: проверить")</f>
        <v/>
      </c>
      <c r="S6868" t="n">
        <v>1</v>
      </c>
      <c r="T6868" s="35" t="inlineStr">
        <is>
          <t>4 — Не обогащён</t>
        </is>
      </c>
      <c r="U6868" s="35" t="inlineStr">
        <is>
          <t>Нет ОКВЭД/ССЧР</t>
        </is>
      </c>
      <c r="V6868" s="35" t="inlineStr">
        <is>
          <t>Не определено</t>
        </is>
      </c>
      <c r="W6868" s="35" t="inlineStr"/>
      <c r="X6868" s="35" t="inlineStr"/>
    </row>
    <row r="6869" ht="15" customHeight="1" s="24">
      <c r="A6869" s="13" t="inlineStr">
        <is>
          <t>FR24803</t>
        </is>
      </c>
      <c r="B6869" s="13" t="inlineStr">
        <is>
          <t>ООО "ТДС"</t>
        </is>
      </c>
      <c r="C6869" s="13" t="n">
        <v>6949107284</v>
      </c>
      <c r="D6869" s="13" t="inlineStr">
        <is>
          <t>6949107284</t>
        </is>
      </c>
      <c r="E6869" s="13" t="inlineStr">
        <is>
          <t>ЮЛ РФ</t>
        </is>
      </c>
      <c r="F6869" s="13" t="n"/>
      <c r="G6869" s="52" t="n">
        <v>1</v>
      </c>
      <c r="H6869" s="52" t="n">
        <v>2025</v>
      </c>
      <c r="I6869" s="14" t="n"/>
      <c r="J6869" s="14" t="n"/>
      <c r="K6869" s="53" t="inlineStr">
        <is>
          <t>Нет</t>
        </is>
      </c>
      <c r="L6869" s="53" t="inlineStr">
        <is>
          <t>Не определено</t>
        </is>
      </c>
      <c r="M6869" s="53" t="inlineStr">
        <is>
          <t>До 10</t>
        </is>
      </c>
      <c r="N6869" s="54" t="n">
        <v>3360</v>
      </c>
      <c r="O6869" s="55" t="inlineStr">
        <is>
          <t>1–15</t>
        </is>
      </c>
      <c r="P6869" s="16" t="inlineStr">
        <is>
          <t>ССЧР обогащена; ОКВЭД не найден/не загружен</t>
        </is>
      </c>
      <c r="Q6869" s="16" t="inlineStr">
        <is>
          <t>ФНС открытые данные ССЧР (ДатаСост 31.12.2025; набор 7707329152-sshr2019)</t>
        </is>
      </c>
      <c r="R6869" s="16">
        <f>HYPERLINK("https://checko.ru/search?query=3801001629","Чекко: проверить")</f>
        <v/>
      </c>
      <c r="S6869" t="n">
        <v>1</v>
      </c>
      <c r="T6869" s="35" t="inlineStr">
        <is>
          <t>4 — Не обогащён</t>
        </is>
      </c>
      <c r="U6869" s="35" t="inlineStr">
        <is>
          <t>Нет ОКВЭД/ССЧР</t>
        </is>
      </c>
      <c r="V6869" s="35" t="inlineStr">
        <is>
          <t>Не определено</t>
        </is>
      </c>
      <c r="W6869" s="35" t="inlineStr">
        <is>
          <t>Нет</t>
        </is>
      </c>
      <c r="X6869" s="35" t="inlineStr"/>
    </row>
    <row r="6870" ht="15" customHeight="1" s="24">
      <c r="A6870" s="13" t="inlineStr">
        <is>
          <t>FR57351</t>
        </is>
      </c>
      <c r="B6870" s="13" t="inlineStr">
        <is>
          <t>АЛЬФА-АВТОМАТИКА ООО</t>
        </is>
      </c>
      <c r="C6870" s="13" t="n">
        <v>3812119816</v>
      </c>
      <c r="D6870" s="13" t="inlineStr">
        <is>
          <t>3812119816</t>
        </is>
      </c>
      <c r="E6870" s="13" t="inlineStr">
        <is>
          <t>ЮЛ РФ</t>
        </is>
      </c>
      <c r="F6870" s="13" t="n"/>
      <c r="G6870" s="52" t="n">
        <v>2</v>
      </c>
      <c r="H6870" s="52" t="n">
        <v>2025</v>
      </c>
      <c r="I6870" s="14" t="n"/>
      <c r="J6870" s="14" t="n"/>
      <c r="K6870" s="53" t="inlineStr">
        <is>
          <t>Нет</t>
        </is>
      </c>
      <c r="L6870" s="53" t="inlineStr">
        <is>
          <t>Не определено</t>
        </is>
      </c>
      <c r="M6870" s="53" t="inlineStr">
        <is>
          <t>До 10</t>
        </is>
      </c>
      <c r="N6870" s="54" t="n">
        <v>3360</v>
      </c>
      <c r="O6870" s="55" t="inlineStr">
        <is>
          <t>1–15</t>
        </is>
      </c>
      <c r="P6870" s="16" t="inlineStr">
        <is>
          <t>ССЧР обогащена; ОКВЭД не найден/не загружен</t>
        </is>
      </c>
      <c r="Q6870" s="16" t="inlineStr">
        <is>
          <t>ФНС открытые данные ССЧР (ДатаСост 31.12.2025; набор 7707329152-sshr2019)</t>
        </is>
      </c>
      <c r="R6870" s="16">
        <f>HYPERLINK("https://checko.ru/search?query=3801001629","Чекко: проверить")</f>
        <v/>
      </c>
      <c r="S6870" t="n">
        <v>1</v>
      </c>
      <c r="T6870" s="35" t="inlineStr">
        <is>
          <t>4 — Не обогащён</t>
        </is>
      </c>
      <c r="U6870" s="35" t="inlineStr">
        <is>
          <t>Нет ОКВЭД/ССЧР</t>
        </is>
      </c>
      <c r="V6870" s="35" t="inlineStr">
        <is>
          <t>Не определено</t>
        </is>
      </c>
      <c r="W6870" s="35" t="inlineStr">
        <is>
          <t>Нет</t>
        </is>
      </c>
      <c r="X6870" s="35" t="inlineStr"/>
    </row>
    <row r="6871" ht="15" customHeight="1" s="24">
      <c r="A6871" s="13" t="inlineStr">
        <is>
          <t>FR534663</t>
        </is>
      </c>
      <c r="B6871" s="13" t="inlineStr">
        <is>
          <t>ИП Гвасалия Северьян Мерабович</t>
        </is>
      </c>
      <c r="C6871" s="13" t="n">
        <v>380408440046</v>
      </c>
      <c r="D6871" s="13" t="inlineStr">
        <is>
          <t>380408440046</t>
        </is>
      </c>
      <c r="E6871" s="13" t="inlineStr">
        <is>
          <t>ИП РФ / физлицо</t>
        </is>
      </c>
      <c r="F6871" s="13" t="n"/>
      <c r="G6871" s="14" t="n"/>
      <c r="H6871" s="14" t="n"/>
      <c r="I6871" s="14" t="n"/>
      <c r="J6871" s="14" t="n"/>
      <c r="K6871" s="53" t="inlineStr"/>
      <c r="L6871" s="53" t="inlineStr">
        <is>
          <t>Не определено</t>
        </is>
      </c>
      <c r="M6871" s="53" t="inlineStr"/>
      <c r="N6871" s="54" t="inlineStr"/>
      <c r="O6871" s="55" t="inlineStr"/>
      <c r="P6871" s="16" t="inlineStr">
        <is>
          <t>Требует обогащения</t>
        </is>
      </c>
      <c r="Q6871" s="16">
        <f>HYPERLINK("https://pb.nalog.ru/search.html?query=380408440046","ФНС: проверить")</f>
        <v/>
      </c>
      <c r="R6871" s="16">
        <f>HYPERLINK("https://checko.ru/search?query=3801001629","Чекко: проверить")</f>
        <v/>
      </c>
      <c r="S6871" t="n">
        <v>1</v>
      </c>
      <c r="T6871" s="35" t="inlineStr">
        <is>
          <t>4 — Не обогащён</t>
        </is>
      </c>
      <c r="U6871" s="35" t="inlineStr">
        <is>
          <t>Нет ОКВЭД/ССЧР</t>
        </is>
      </c>
      <c r="V6871" s="35" t="inlineStr">
        <is>
          <t>Не определено</t>
        </is>
      </c>
      <c r="W6871" s="35" t="inlineStr"/>
      <c r="X6871" s="35" t="inlineStr"/>
    </row>
    <row r="6872" ht="27.75" customHeight="1" s="24">
      <c r="A6872" s="13" t="inlineStr">
        <is>
          <t>FR567122</t>
        </is>
      </c>
      <c r="B6872" s="13" t="inlineStr">
        <is>
          <t>ОБЩЕСТВО С ОГРАНИЧЕННОЙ ОТВЕТСТВЕННОСТЬЮ "ТЕХПРОМКОМПЛЕКТ"</t>
        </is>
      </c>
      <c r="C6872" s="13" t="n">
        <v>3801154329</v>
      </c>
      <c r="D6872" s="13" t="inlineStr">
        <is>
          <t>3801154329</t>
        </is>
      </c>
      <c r="E6872" s="13" t="inlineStr">
        <is>
          <t>ЮЛ РФ</t>
        </is>
      </c>
      <c r="F6872" s="13" t="n"/>
      <c r="G6872" s="52" t="n">
        <v>1</v>
      </c>
      <c r="H6872" s="52" t="n">
        <v>2025</v>
      </c>
      <c r="I6872" s="14" t="n"/>
      <c r="J6872" s="14" t="n"/>
      <c r="K6872" s="53" t="inlineStr">
        <is>
          <t>Нет</t>
        </is>
      </c>
      <c r="L6872" s="53" t="inlineStr">
        <is>
          <t>Не определено</t>
        </is>
      </c>
      <c r="M6872" s="53" t="inlineStr">
        <is>
          <t>До 10</t>
        </is>
      </c>
      <c r="N6872" s="54" t="n">
        <v>3360</v>
      </c>
      <c r="O6872" s="55" t="inlineStr">
        <is>
          <t>1–15</t>
        </is>
      </c>
      <c r="P6872" s="16" t="inlineStr">
        <is>
          <t>ССЧР обогащена; ОКВЭД не найден/не загружен</t>
        </is>
      </c>
      <c r="Q6872" s="16" t="inlineStr">
        <is>
          <t>ФНС открытые данные ССЧР (ДатаСост 31.12.2025; набор 7707329152-sshr2019)</t>
        </is>
      </c>
      <c r="R6872" s="16">
        <f>HYPERLINK("https://checko.ru/search?query=3801001629","Чекко: проверить")</f>
        <v/>
      </c>
      <c r="S6872" t="n">
        <v>1</v>
      </c>
      <c r="T6872" s="35" t="inlineStr">
        <is>
          <t>4 — Не обогащён</t>
        </is>
      </c>
      <c r="U6872" s="35" t="inlineStr">
        <is>
          <t>Нет ОКВЭД/ССЧР</t>
        </is>
      </c>
      <c r="V6872" s="35" t="inlineStr">
        <is>
          <t>Не определено</t>
        </is>
      </c>
      <c r="W6872" s="35" t="inlineStr">
        <is>
          <t>Нет</t>
        </is>
      </c>
      <c r="X6872" s="35" t="inlineStr"/>
    </row>
    <row r="6873" ht="15" customHeight="1" s="24">
      <c r="A6873" s="13" t="inlineStr">
        <is>
          <t>FR189553</t>
        </is>
      </c>
      <c r="B6873" s="13" t="inlineStr">
        <is>
          <t>УПАКСЕРВИС ООО</t>
        </is>
      </c>
      <c r="C6873" s="13" t="n">
        <v>7743101650</v>
      </c>
      <c r="D6873" s="13" t="inlineStr">
        <is>
          <t>7743101650</t>
        </is>
      </c>
      <c r="E6873" s="13" t="inlineStr">
        <is>
          <t>ЮЛ РФ</t>
        </is>
      </c>
      <c r="F6873" s="13" t="n"/>
      <c r="G6873" s="52" t="n">
        <v>2</v>
      </c>
      <c r="H6873" s="52" t="n">
        <v>2025</v>
      </c>
      <c r="I6873" s="14" t="n"/>
      <c r="J6873" s="14" t="n"/>
      <c r="K6873" s="53" t="inlineStr">
        <is>
          <t>Нет</t>
        </is>
      </c>
      <c r="L6873" s="53" t="inlineStr">
        <is>
          <t>Не определено</t>
        </is>
      </c>
      <c r="M6873" s="53" t="inlineStr">
        <is>
          <t>До 10</t>
        </is>
      </c>
      <c r="N6873" s="54" t="n">
        <v>3360</v>
      </c>
      <c r="O6873" s="55" t="inlineStr">
        <is>
          <t>1–15</t>
        </is>
      </c>
      <c r="P6873" s="16" t="inlineStr">
        <is>
          <t>ССЧР обогащена; ОКВЭД не найден/не загружен</t>
        </is>
      </c>
      <c r="Q6873" s="16" t="inlineStr">
        <is>
          <t>ФНС открытые данные ССЧР (ДатаСост 31.12.2025; набор 7707329152-sshr2019)</t>
        </is>
      </c>
      <c r="R6873" s="16">
        <f>HYPERLINK("https://checko.ru/search?query=3801001629","Чекко: проверить")</f>
        <v/>
      </c>
      <c r="S6873" t="n">
        <v>1</v>
      </c>
      <c r="T6873" s="35" t="inlineStr">
        <is>
          <t>4 — Не обогащён</t>
        </is>
      </c>
      <c r="U6873" s="35" t="inlineStr">
        <is>
          <t>Нет ОКВЭД/ССЧР</t>
        </is>
      </c>
      <c r="V6873" s="35" t="inlineStr">
        <is>
          <t>Не определено</t>
        </is>
      </c>
      <c r="W6873" s="35" t="inlineStr">
        <is>
          <t>Нет</t>
        </is>
      </c>
      <c r="X6873" s="35" t="inlineStr"/>
    </row>
    <row r="6874" ht="27.75" customHeight="1" s="24">
      <c r="A6874" s="13" t="inlineStr">
        <is>
          <t>FR570223</t>
        </is>
      </c>
      <c r="B6874" s="13" t="inlineStr">
        <is>
          <t>ОБЩЕСТВО С ОГРАНИЧЕННОЙ ОТВЕТСТВЕННОСТЬЮ "РЫКОВА Т.В."</t>
        </is>
      </c>
      <c r="C6874" s="13" t="n">
        <v>3836003874</v>
      </c>
      <c r="D6874" s="13" t="inlineStr">
        <is>
          <t>3836003874</t>
        </is>
      </c>
      <c r="E6874" s="13" t="inlineStr">
        <is>
          <t>ЮЛ РФ</t>
        </is>
      </c>
      <c r="F6874" s="13" t="n"/>
      <c r="G6874" s="52" t="n">
        <v>8</v>
      </c>
      <c r="H6874" s="52" t="n">
        <v>2025</v>
      </c>
      <c r="I6874" s="14" t="n"/>
      <c r="J6874" s="14" t="n"/>
      <c r="K6874" s="53" t="inlineStr">
        <is>
          <t>Нет</t>
        </is>
      </c>
      <c r="L6874" s="53" t="inlineStr">
        <is>
          <t>Не определено</t>
        </is>
      </c>
      <c r="M6874" s="53" t="inlineStr">
        <is>
          <t>До 10</t>
        </is>
      </c>
      <c r="N6874" s="54" t="n">
        <v>3360</v>
      </c>
      <c r="O6874" s="55" t="inlineStr">
        <is>
          <t>1–15</t>
        </is>
      </c>
      <c r="P6874" s="16" t="inlineStr">
        <is>
          <t>ССЧР обогащена; ОКВЭД не найден/не загружен</t>
        </is>
      </c>
      <c r="Q6874" s="16" t="inlineStr">
        <is>
          <t>ФНС открытые данные ССЧР (ДатаСост 31.12.2025; набор 7707329152-sshr2019)</t>
        </is>
      </c>
      <c r="R6874" s="16">
        <f>HYPERLINK("https://checko.ru/search?query=3801001629","Чекко: проверить")</f>
        <v/>
      </c>
      <c r="S6874" t="n">
        <v>1</v>
      </c>
      <c r="T6874" s="35" t="inlineStr">
        <is>
          <t>4 — Не обогащён</t>
        </is>
      </c>
      <c r="U6874" s="35" t="inlineStr">
        <is>
          <t>Нет ОКВЭД/ССЧР</t>
        </is>
      </c>
      <c r="V6874" s="35" t="inlineStr">
        <is>
          <t>Не определено</t>
        </is>
      </c>
      <c r="W6874" s="35" t="inlineStr">
        <is>
          <t>Нет</t>
        </is>
      </c>
      <c r="X6874" s="35" t="inlineStr"/>
    </row>
    <row r="6875" ht="27.75" customHeight="1" s="24">
      <c r="A6875" s="13" t="inlineStr">
        <is>
          <t>FR425428</t>
        </is>
      </c>
      <c r="B6875" s="13" t="inlineStr">
        <is>
          <t>ОБЩЕСТВО С ОГРАНИЧЕННОЙ ОТВЕТСТВЕННОСТЬЮ "РУСТЕХТОРГ"</t>
        </is>
      </c>
      <c r="C6875" s="13" t="n">
        <v>7722522231</v>
      </c>
      <c r="D6875" s="13" t="inlineStr">
        <is>
          <t>7722522231</t>
        </is>
      </c>
      <c r="E6875" s="13" t="inlineStr">
        <is>
          <t>ЮЛ РФ</t>
        </is>
      </c>
      <c r="F6875" s="13" t="n"/>
      <c r="G6875" s="52" t="n">
        <v>1</v>
      </c>
      <c r="H6875" s="52" t="n">
        <v>2025</v>
      </c>
      <c r="I6875" s="14" t="n"/>
      <c r="J6875" s="14" t="n"/>
      <c r="K6875" s="53" t="inlineStr">
        <is>
          <t>Нет</t>
        </is>
      </c>
      <c r="L6875" s="53" t="inlineStr">
        <is>
          <t>Не определено</t>
        </is>
      </c>
      <c r="M6875" s="53" t="inlineStr">
        <is>
          <t>До 10</t>
        </is>
      </c>
      <c r="N6875" s="54" t="n">
        <v>3360</v>
      </c>
      <c r="O6875" s="55" t="inlineStr">
        <is>
          <t>1–15</t>
        </is>
      </c>
      <c r="P6875" s="16" t="inlineStr">
        <is>
          <t>ССЧР обогащена; ОКВЭД не найден/не загружен</t>
        </is>
      </c>
      <c r="Q6875" s="16" t="inlineStr">
        <is>
          <t>ФНС открытые данные ССЧР (ДатаСост 31.12.2025; набор 7707329152-sshr2019)</t>
        </is>
      </c>
      <c r="R6875" s="16">
        <f>HYPERLINK("https://checko.ru/search?query=3801001629","Чекко: проверить")</f>
        <v/>
      </c>
      <c r="S6875" t="n">
        <v>1</v>
      </c>
      <c r="T6875" s="35" t="inlineStr">
        <is>
          <t>4 — Не обогащён</t>
        </is>
      </c>
      <c r="U6875" s="35" t="inlineStr">
        <is>
          <t>Нет ОКВЭД/ССЧР</t>
        </is>
      </c>
      <c r="V6875" s="35" t="inlineStr">
        <is>
          <t>Не определено</t>
        </is>
      </c>
      <c r="W6875" s="35" t="inlineStr">
        <is>
          <t>Нет</t>
        </is>
      </c>
      <c r="X6875" s="35" t="inlineStr"/>
    </row>
    <row r="6876" ht="27.75" customHeight="1" s="24">
      <c r="A6876" s="13" t="inlineStr">
        <is>
          <t>FR425428</t>
        </is>
      </c>
      <c r="B6876" s="13" t="inlineStr">
        <is>
          <t>ОБЩЕСТВО С ОГРАНИЧЕННОЙ ОТВЕТСТВЕННОСТЬЮ "РУСТЕХТОРГ"</t>
        </is>
      </c>
      <c r="C6876" s="13" t="n">
        <v>7722522231</v>
      </c>
      <c r="D6876" s="13" t="inlineStr">
        <is>
          <t>7722522231</t>
        </is>
      </c>
      <c r="E6876" s="13" t="inlineStr">
        <is>
          <t>ЮЛ РФ</t>
        </is>
      </c>
      <c r="F6876" s="13" t="n"/>
      <c r="G6876" s="52" t="n">
        <v>1</v>
      </c>
      <c r="H6876" s="52" t="n">
        <v>2025</v>
      </c>
      <c r="I6876" s="14" t="n"/>
      <c r="J6876" s="14" t="n"/>
      <c r="K6876" s="53" t="inlineStr">
        <is>
          <t>Нет</t>
        </is>
      </c>
      <c r="L6876" s="53" t="inlineStr">
        <is>
          <t>Не определено</t>
        </is>
      </c>
      <c r="M6876" s="53" t="inlineStr">
        <is>
          <t>До 10</t>
        </is>
      </c>
      <c r="N6876" s="54" t="n">
        <v>3360</v>
      </c>
      <c r="O6876" s="55" t="inlineStr">
        <is>
          <t>1–15</t>
        </is>
      </c>
      <c r="P6876" s="16" t="inlineStr">
        <is>
          <t>ССЧР обогащена; ОКВЭД не найден/не загружен</t>
        </is>
      </c>
      <c r="Q6876" s="16" t="inlineStr">
        <is>
          <t>ФНС открытые данные ССЧР (ДатаСост 31.12.2025; набор 7707329152-sshr2019)</t>
        </is>
      </c>
      <c r="R6876" s="16">
        <f>HYPERLINK("https://checko.ru/search?query=3801001629","Чекко: проверить")</f>
        <v/>
      </c>
      <c r="S6876" t="n">
        <v>0</v>
      </c>
      <c r="T6876" s="35" t="inlineStr">
        <is>
          <t>4 — Не обогащён</t>
        </is>
      </c>
      <c r="U6876" s="35" t="inlineStr">
        <is>
          <t>Нет ОКВЭД/ССЧР</t>
        </is>
      </c>
      <c r="V6876" s="35" t="inlineStr">
        <is>
          <t>Не определено</t>
        </is>
      </c>
      <c r="W6876" s="35" t="inlineStr">
        <is>
          <t>Нет</t>
        </is>
      </c>
      <c r="X6876" s="35" t="inlineStr"/>
    </row>
    <row r="6877" ht="15" customHeight="1" s="24">
      <c r="A6877" s="13" t="inlineStr">
        <is>
          <t>FR415288</t>
        </is>
      </c>
      <c r="B6877" s="13" t="inlineStr">
        <is>
          <t>ИП Бровченко Юрий Олегович</t>
        </is>
      </c>
      <c r="C6877" s="13" t="n">
        <v>380506253862</v>
      </c>
      <c r="D6877" s="13" t="inlineStr">
        <is>
          <t>380506253862</t>
        </is>
      </c>
      <c r="E6877" s="13" t="inlineStr">
        <is>
          <t>ИП РФ / физлицо</t>
        </is>
      </c>
      <c r="F6877" s="13" t="n"/>
      <c r="G6877" s="14" t="n"/>
      <c r="H6877" s="14" t="n"/>
      <c r="I6877" s="14" t="n"/>
      <c r="J6877" s="14" t="n"/>
      <c r="K6877" s="53" t="inlineStr"/>
      <c r="L6877" s="53" t="inlineStr">
        <is>
          <t>Не определено</t>
        </is>
      </c>
      <c r="M6877" s="53" t="inlineStr"/>
      <c r="N6877" s="54" t="inlineStr"/>
      <c r="O6877" s="55" t="inlineStr"/>
      <c r="P6877" s="16" t="inlineStr">
        <is>
          <t>Требует обогащения</t>
        </is>
      </c>
      <c r="Q6877" s="16">
        <f>HYPERLINK("https://pb.nalog.ru/search.html?query=380506253862","ФНС: проверить")</f>
        <v/>
      </c>
      <c r="R6877" s="16">
        <f>HYPERLINK("https://checko.ru/search?query=3801001629","Чекко: проверить")</f>
        <v/>
      </c>
      <c r="S6877" t="n">
        <v>1</v>
      </c>
      <c r="T6877" s="35" t="inlineStr">
        <is>
          <t>4 — Не обогащён</t>
        </is>
      </c>
      <c r="U6877" s="35" t="inlineStr">
        <is>
          <t>Нет ОКВЭД/ССЧР</t>
        </is>
      </c>
      <c r="V6877" s="35" t="inlineStr">
        <is>
          <t>Не определено</t>
        </is>
      </c>
      <c r="W6877" s="35" t="inlineStr"/>
      <c r="X6877" s="35" t="inlineStr"/>
    </row>
    <row r="6878" ht="27.75" customHeight="1" s="24">
      <c r="A6878" s="13" t="inlineStr">
        <is>
          <t>FR1256315</t>
        </is>
      </c>
      <c r="B6878" s="13" t="inlineStr">
        <is>
          <t>Общество с ограниченной ответственностью "НВ-СЕРВИССПЕЦСТРОЙ"</t>
        </is>
      </c>
      <c r="C6878" s="13" t="n">
        <v>8603254521</v>
      </c>
      <c r="D6878" s="13" t="inlineStr">
        <is>
          <t>8603254521</t>
        </is>
      </c>
      <c r="E6878" s="13" t="inlineStr">
        <is>
          <t>ЮЛ РФ</t>
        </is>
      </c>
      <c r="F6878" s="13" t="n"/>
      <c r="G6878" s="52" t="n">
        <v>0</v>
      </c>
      <c r="H6878" s="52" t="n">
        <v>2025</v>
      </c>
      <c r="I6878" s="14" t="n"/>
      <c r="J6878" s="14" t="n"/>
      <c r="K6878" s="53" t="inlineStr">
        <is>
          <t>Нет</t>
        </is>
      </c>
      <c r="L6878" s="53" t="inlineStr">
        <is>
          <t>Не определено</t>
        </is>
      </c>
      <c r="M6878" s="53" t="inlineStr">
        <is>
          <t>До 10</t>
        </is>
      </c>
      <c r="N6878" s="54" t="n">
        <v>3360</v>
      </c>
      <c r="O6878" s="55" t="inlineStr">
        <is>
          <t>1–15</t>
        </is>
      </c>
      <c r="P6878" s="16" t="inlineStr">
        <is>
          <t>ССЧР обогащена; ОКВЭД не найден/не загружен</t>
        </is>
      </c>
      <c r="Q6878" s="16" t="inlineStr">
        <is>
          <t>ФНС открытые данные ССЧР (ДатаСост 31.12.2025; набор 7707329152-sshr2019)</t>
        </is>
      </c>
      <c r="R6878" s="16">
        <f>HYPERLINK("https://checko.ru/search?query=3801001629","Чекко: проверить")</f>
        <v/>
      </c>
      <c r="S6878" t="n">
        <v>1</v>
      </c>
      <c r="T6878" s="35" t="inlineStr">
        <is>
          <t>4 — Не обогащён</t>
        </is>
      </c>
      <c r="U6878" s="35" t="inlineStr">
        <is>
          <t>Нет ОКВЭД/ССЧР</t>
        </is>
      </c>
      <c r="V6878" s="35" t="inlineStr">
        <is>
          <t>Не определено</t>
        </is>
      </c>
      <c r="W6878" s="35" t="inlineStr">
        <is>
          <t>Нет</t>
        </is>
      </c>
      <c r="X6878" s="35" t="inlineStr"/>
    </row>
    <row r="6879" ht="15" customHeight="1" s="24">
      <c r="A6879" s="13" t="inlineStr">
        <is>
          <t>FR677283</t>
        </is>
      </c>
      <c r="B6879" s="13" t="inlineStr">
        <is>
          <t>ИП Курова Ирина Борисовна</t>
        </is>
      </c>
      <c r="C6879" s="13" t="n">
        <v>695008291756</v>
      </c>
      <c r="D6879" s="13" t="inlineStr">
        <is>
          <t>695008291756</t>
        </is>
      </c>
      <c r="E6879" s="13" t="inlineStr">
        <is>
          <t>ИП РФ / физлицо</t>
        </is>
      </c>
      <c r="F6879" s="13" t="n"/>
      <c r="G6879" s="14" t="n"/>
      <c r="H6879" s="14" t="n"/>
      <c r="I6879" s="14" t="n"/>
      <c r="J6879" s="14" t="n"/>
      <c r="K6879" s="53" t="inlineStr"/>
      <c r="L6879" s="53" t="inlineStr">
        <is>
          <t>Не определено</t>
        </is>
      </c>
      <c r="M6879" s="53" t="inlineStr"/>
      <c r="N6879" s="54" t="inlineStr"/>
      <c r="O6879" s="55" t="inlineStr"/>
      <c r="P6879" s="16" t="inlineStr">
        <is>
          <t>Требует обогащения</t>
        </is>
      </c>
      <c r="Q6879" s="16">
        <f>HYPERLINK("https://pb.nalog.ru/search.html?query=695008291756","ФНС: проверить")</f>
        <v/>
      </c>
      <c r="R6879" s="16">
        <f>HYPERLINK("https://checko.ru/search?query=3801001629","Чекко: проверить")</f>
        <v/>
      </c>
      <c r="S6879" t="n">
        <v>1</v>
      </c>
      <c r="T6879" s="35" t="inlineStr">
        <is>
          <t>4 — Не обогащён</t>
        </is>
      </c>
      <c r="U6879" s="35" t="inlineStr">
        <is>
          <t>Нет ОКВЭД/ССЧР</t>
        </is>
      </c>
      <c r="V6879" s="35" t="inlineStr">
        <is>
          <t>Не определено</t>
        </is>
      </c>
      <c r="W6879" s="35" t="inlineStr"/>
      <c r="X6879" s="35" t="inlineStr"/>
    </row>
    <row r="6880" ht="15" customHeight="1" s="24">
      <c r="A6880" s="13" t="inlineStr">
        <is>
          <t>FR371075</t>
        </is>
      </c>
      <c r="B6880" s="13" t="inlineStr">
        <is>
          <t>ИП Чикулаев Алексей Сергеевич</t>
        </is>
      </c>
      <c r="C6880" s="13" t="n">
        <v>781615194521</v>
      </c>
      <c r="D6880" s="13" t="inlineStr">
        <is>
          <t>781615194521</t>
        </is>
      </c>
      <c r="E6880" s="13" t="inlineStr">
        <is>
          <t>ИП РФ / физлицо</t>
        </is>
      </c>
      <c r="F6880" s="13" t="n"/>
      <c r="G6880" s="14" t="n"/>
      <c r="H6880" s="14" t="n"/>
      <c r="I6880" s="14" t="n"/>
      <c r="J6880" s="14" t="n"/>
      <c r="K6880" s="53" t="inlineStr"/>
      <c r="L6880" s="53" t="inlineStr">
        <is>
          <t>Не определено</t>
        </is>
      </c>
      <c r="M6880" s="53" t="inlineStr"/>
      <c r="N6880" s="54" t="inlineStr"/>
      <c r="O6880" s="55" t="inlineStr"/>
      <c r="P6880" s="16" t="inlineStr">
        <is>
          <t>Требует обогащения</t>
        </is>
      </c>
      <c r="Q6880" s="16">
        <f>HYPERLINK("https://pb.nalog.ru/search.html?query=781615194521","ФНС: проверить")</f>
        <v/>
      </c>
      <c r="R6880" s="16">
        <f>HYPERLINK("https://checko.ru/search?query=3801001629","Чекко: проверить")</f>
        <v/>
      </c>
      <c r="S6880" t="n">
        <v>1</v>
      </c>
      <c r="T6880" s="35" t="inlineStr">
        <is>
          <t>4 — Не обогащён</t>
        </is>
      </c>
      <c r="U6880" s="35" t="inlineStr">
        <is>
          <t>Нет ОКВЭД/ССЧР</t>
        </is>
      </c>
      <c r="V6880" s="35" t="inlineStr">
        <is>
          <t>Не определено</t>
        </is>
      </c>
      <c r="W6880" s="35" t="inlineStr"/>
      <c r="X6880" s="35" t="inlineStr"/>
    </row>
    <row r="6881" ht="27.75" customHeight="1" s="24">
      <c r="A6881" s="13" t="inlineStr">
        <is>
          <t>FR877926</t>
        </is>
      </c>
      <c r="B6881" s="13" t="inlineStr">
        <is>
          <t>Общество с ограниченной ответственностью "АРМ-РУССИБ"</t>
        </is>
      </c>
      <c r="C6881" s="13" t="n">
        <v>3801138849</v>
      </c>
      <c r="D6881" s="13" t="inlineStr">
        <is>
          <t>3801138849</t>
        </is>
      </c>
      <c r="E6881" s="13" t="inlineStr">
        <is>
          <t>ЮЛ РФ</t>
        </is>
      </c>
      <c r="F6881" s="13" t="n"/>
      <c r="G6881" s="52" t="n">
        <v>1</v>
      </c>
      <c r="H6881" s="52" t="n">
        <v>2025</v>
      </c>
      <c r="I6881" s="14" t="n"/>
      <c r="J6881" s="14" t="n"/>
      <c r="K6881" s="53" t="inlineStr">
        <is>
          <t>Нет</t>
        </is>
      </c>
      <c r="L6881" s="53" t="inlineStr">
        <is>
          <t>Не определено</t>
        </is>
      </c>
      <c r="M6881" s="53" t="inlineStr">
        <is>
          <t>До 10</t>
        </is>
      </c>
      <c r="N6881" s="54" t="n">
        <v>3360</v>
      </c>
      <c r="O6881" s="55" t="inlineStr">
        <is>
          <t>1–15</t>
        </is>
      </c>
      <c r="P6881" s="16" t="inlineStr">
        <is>
          <t>ССЧР обогащена; ОКВЭД не найден/не загружен</t>
        </is>
      </c>
      <c r="Q6881" s="16" t="inlineStr">
        <is>
          <t>ФНС открытые данные ССЧР (ДатаСост 31.12.2025; набор 7707329152-sshr2019)</t>
        </is>
      </c>
      <c r="R6881" s="16">
        <f>HYPERLINK("https://checko.ru/search?query=3801001629","Чекко: проверить")</f>
        <v/>
      </c>
      <c r="S6881" t="n">
        <v>1</v>
      </c>
      <c r="T6881" s="35" t="inlineStr">
        <is>
          <t>4 — Не обогащён</t>
        </is>
      </c>
      <c r="U6881" s="35" t="inlineStr">
        <is>
          <t>Нет ОКВЭД/ССЧР</t>
        </is>
      </c>
      <c r="V6881" s="35" t="inlineStr">
        <is>
          <t>Не определено</t>
        </is>
      </c>
      <c r="W6881" s="35" t="inlineStr">
        <is>
          <t>Нет</t>
        </is>
      </c>
      <c r="X6881" s="35" t="inlineStr"/>
    </row>
    <row r="6882" ht="15" customHeight="1" s="24">
      <c r="A6882" s="13" t="inlineStr">
        <is>
          <t>FR186069</t>
        </is>
      </c>
      <c r="B6882" s="13" t="inlineStr">
        <is>
          <t>ООО "ДОБРОСТРОЙ-ДВ"</t>
        </is>
      </c>
      <c r="C6882" s="13" t="n">
        <v>2543149906</v>
      </c>
      <c r="D6882" s="13" t="inlineStr">
        <is>
          <t>2543149906</t>
        </is>
      </c>
      <c r="E6882" s="13" t="inlineStr">
        <is>
          <t>ЮЛ РФ</t>
        </is>
      </c>
      <c r="F6882" s="13" t="n"/>
      <c r="G6882" s="52" t="n">
        <v>9</v>
      </c>
      <c r="H6882" s="52" t="n">
        <v>2025</v>
      </c>
      <c r="I6882" s="14" t="n"/>
      <c r="J6882" s="14" t="n"/>
      <c r="K6882" s="53" t="inlineStr">
        <is>
          <t>Нет</t>
        </is>
      </c>
      <c r="L6882" s="53" t="inlineStr">
        <is>
          <t>Не определено</t>
        </is>
      </c>
      <c r="M6882" s="53" t="inlineStr">
        <is>
          <t>До 10</t>
        </is>
      </c>
      <c r="N6882" s="54" t="n">
        <v>3360</v>
      </c>
      <c r="O6882" s="55" t="inlineStr">
        <is>
          <t>1–15</t>
        </is>
      </c>
      <c r="P6882" s="16" t="inlineStr">
        <is>
          <t>ССЧР обогащена; ОКВЭД не найден/не загружен</t>
        </is>
      </c>
      <c r="Q6882" s="16" t="inlineStr">
        <is>
          <t>ФНС открытые данные ССЧР (ДатаСост 31.12.2025; набор 7707329152-sshr2019)</t>
        </is>
      </c>
      <c r="R6882" s="16">
        <f>HYPERLINK("https://checko.ru/search?query=3801001629","Чекко: проверить")</f>
        <v/>
      </c>
      <c r="S6882" t="n">
        <v>1</v>
      </c>
      <c r="T6882" s="35" t="inlineStr">
        <is>
          <t>4 — Не обогащён</t>
        </is>
      </c>
      <c r="U6882" s="35" t="inlineStr">
        <is>
          <t>Нет ОКВЭД/ССЧР</t>
        </is>
      </c>
      <c r="V6882" s="35" t="inlineStr">
        <is>
          <t>Не определено</t>
        </is>
      </c>
      <c r="W6882" s="35" t="inlineStr">
        <is>
          <t>Нет</t>
        </is>
      </c>
      <c r="X6882" s="35" t="inlineStr"/>
    </row>
    <row r="6883" ht="27.75" customHeight="1" s="24">
      <c r="A6883" s="13" t="inlineStr">
        <is>
          <t>FR723540</t>
        </is>
      </c>
      <c r="B6883" s="13" t="inlineStr">
        <is>
          <t>Общество с ограниченной ответственностью "АКСИОМА-ИРКУТСК"</t>
        </is>
      </c>
      <c r="C6883" s="13" t="n">
        <v>3811444740</v>
      </c>
      <c r="D6883" s="13" t="inlineStr">
        <is>
          <t>3811444740</t>
        </is>
      </c>
      <c r="E6883" s="13" t="inlineStr">
        <is>
          <t>ЮЛ РФ</t>
        </is>
      </c>
      <c r="F6883" s="13" t="n"/>
      <c r="G6883" s="52" t="n">
        <v>6</v>
      </c>
      <c r="H6883" s="52" t="n">
        <v>2025</v>
      </c>
      <c r="I6883" s="14" t="n"/>
      <c r="J6883" s="14" t="n"/>
      <c r="K6883" s="53" t="inlineStr">
        <is>
          <t>Нет</t>
        </is>
      </c>
      <c r="L6883" s="53" t="inlineStr">
        <is>
          <t>Не определено</t>
        </is>
      </c>
      <c r="M6883" s="53" t="inlineStr">
        <is>
          <t>До 10</t>
        </is>
      </c>
      <c r="N6883" s="54" t="n">
        <v>3360</v>
      </c>
      <c r="O6883" s="55" t="inlineStr">
        <is>
          <t>1–15</t>
        </is>
      </c>
      <c r="P6883" s="16" t="inlineStr">
        <is>
          <t>ССЧР обогащена; ОКВЭД не найден/не загружен</t>
        </is>
      </c>
      <c r="Q6883" s="16" t="inlineStr">
        <is>
          <t>ФНС открытые данные ССЧР (ДатаСост 31.12.2025; набор 7707329152-sshr2019)</t>
        </is>
      </c>
      <c r="R6883" s="16">
        <f>HYPERLINK("https://checko.ru/search?query=3801001629","Чекко: проверить")</f>
        <v/>
      </c>
      <c r="S6883" t="n">
        <v>1</v>
      </c>
      <c r="T6883" s="35" t="inlineStr">
        <is>
          <t>4 — Не обогащён</t>
        </is>
      </c>
      <c r="U6883" s="35" t="inlineStr">
        <is>
          <t>Нет ОКВЭД/ССЧР</t>
        </is>
      </c>
      <c r="V6883" s="35" t="inlineStr">
        <is>
          <t>Не определено</t>
        </is>
      </c>
      <c r="W6883" s="35" t="inlineStr">
        <is>
          <t>Нет</t>
        </is>
      </c>
      <c r="X6883" s="35" t="inlineStr"/>
    </row>
    <row r="6884" ht="15" customHeight="1" s="24">
      <c r="A6884" s="13" t="inlineStr">
        <is>
          <t>FR1256399</t>
        </is>
      </c>
      <c r="B6884" s="13" t="inlineStr">
        <is>
          <t>ИП Гуленко Владимир Евгеньевич</t>
        </is>
      </c>
      <c r="C6884" s="13" t="n">
        <v>380508284425</v>
      </c>
      <c r="D6884" s="13" t="inlineStr">
        <is>
          <t>380508284425</t>
        </is>
      </c>
      <c r="E6884" s="13" t="inlineStr">
        <is>
          <t>ИП РФ / физлицо</t>
        </is>
      </c>
      <c r="F6884" s="13" t="n"/>
      <c r="G6884" s="14" t="n"/>
      <c r="H6884" s="14" t="n"/>
      <c r="I6884" s="14" t="n"/>
      <c r="J6884" s="14" t="n"/>
      <c r="K6884" s="53" t="inlineStr"/>
      <c r="L6884" s="53" t="inlineStr">
        <is>
          <t>Не определено</t>
        </is>
      </c>
      <c r="M6884" s="53" t="inlineStr"/>
      <c r="N6884" s="54" t="inlineStr"/>
      <c r="O6884" s="55" t="inlineStr"/>
      <c r="P6884" s="16" t="inlineStr">
        <is>
          <t>Требует обогащения</t>
        </is>
      </c>
      <c r="Q6884" s="16">
        <f>HYPERLINK("https://pb.nalog.ru/search.html?query=380508284425","ФНС: проверить")</f>
        <v/>
      </c>
      <c r="R6884" s="16">
        <f>HYPERLINK("https://checko.ru/search?query=3801001629","Чекко: проверить")</f>
        <v/>
      </c>
      <c r="S6884" t="n">
        <v>1</v>
      </c>
      <c r="T6884" s="35" t="inlineStr">
        <is>
          <t>4 — Не обогащён</t>
        </is>
      </c>
      <c r="U6884" s="35" t="inlineStr">
        <is>
          <t>Нет ОКВЭД/ССЧР</t>
        </is>
      </c>
      <c r="V6884" s="35" t="inlineStr">
        <is>
          <t>Не определено</t>
        </is>
      </c>
      <c r="W6884" s="35" t="inlineStr"/>
      <c r="X6884" s="35" t="inlineStr"/>
    </row>
    <row r="6885" ht="15" customHeight="1" s="24">
      <c r="A6885" s="13" t="inlineStr">
        <is>
          <t>FR397032</t>
        </is>
      </c>
      <c r="B6885" s="13" t="inlineStr">
        <is>
          <t>ООО ЮНИВОЙС</t>
        </is>
      </c>
      <c r="C6885" s="13" t="n">
        <v>9723034449</v>
      </c>
      <c r="D6885" s="13" t="inlineStr">
        <is>
          <t>9723034449</t>
        </is>
      </c>
      <c r="E6885" s="13" t="inlineStr">
        <is>
          <t>ЮЛ РФ</t>
        </is>
      </c>
      <c r="F6885" s="13" t="n"/>
      <c r="G6885" s="52" t="n">
        <v>3</v>
      </c>
      <c r="H6885" s="52" t="n">
        <v>2025</v>
      </c>
      <c r="I6885" s="14" t="n"/>
      <c r="J6885" s="14" t="n"/>
      <c r="K6885" s="53" t="inlineStr">
        <is>
          <t>Нет</t>
        </is>
      </c>
      <c r="L6885" s="53" t="inlineStr">
        <is>
          <t>Не определено</t>
        </is>
      </c>
      <c r="M6885" s="53" t="inlineStr">
        <is>
          <t>До 10</t>
        </is>
      </c>
      <c r="N6885" s="54" t="n">
        <v>3360</v>
      </c>
      <c r="O6885" s="55" t="inlineStr">
        <is>
          <t>1–15</t>
        </is>
      </c>
      <c r="P6885" s="16" t="inlineStr">
        <is>
          <t>ССЧР обогащена; ОКВЭД не найден/не загружен</t>
        </is>
      </c>
      <c r="Q6885" s="16" t="inlineStr">
        <is>
          <t>ФНС открытые данные ССЧР (ДатаСост 31.12.2025; набор 7707329152-sshr2019)</t>
        </is>
      </c>
      <c r="R6885" s="16">
        <f>HYPERLINK("https://checko.ru/search?query=3801001629","Чекко: проверить")</f>
        <v/>
      </c>
      <c r="S6885" t="n">
        <v>1</v>
      </c>
      <c r="T6885" s="35" t="inlineStr">
        <is>
          <t>4 — Не обогащён</t>
        </is>
      </c>
      <c r="U6885" s="35" t="inlineStr">
        <is>
          <t>Нет ОКВЭД/ССЧР</t>
        </is>
      </c>
      <c r="V6885" s="35" t="inlineStr">
        <is>
          <t>Не определено</t>
        </is>
      </c>
      <c r="W6885" s="35" t="inlineStr">
        <is>
          <t>Нет</t>
        </is>
      </c>
      <c r="X6885" s="35" t="inlineStr"/>
    </row>
    <row r="6886" ht="15" customHeight="1" s="24">
      <c r="A6886" s="13" t="inlineStr">
        <is>
          <t>FR295691</t>
        </is>
      </c>
      <c r="B6886" s="13" t="inlineStr">
        <is>
          <t>ООО "СибСпецСтрой"</t>
        </is>
      </c>
      <c r="C6886" s="13" t="n">
        <v>3810319552</v>
      </c>
      <c r="D6886" s="13" t="inlineStr">
        <is>
          <t>3810319552</t>
        </is>
      </c>
      <c r="E6886" s="13" t="inlineStr">
        <is>
          <t>ЮЛ РФ</t>
        </is>
      </c>
      <c r="F6886" s="13" t="n"/>
      <c r="G6886" s="52" t="n">
        <v>4</v>
      </c>
      <c r="H6886" s="52" t="n">
        <v>2025</v>
      </c>
      <c r="I6886" s="14" t="n"/>
      <c r="J6886" s="14" t="n"/>
      <c r="K6886" s="53" t="inlineStr">
        <is>
          <t>Нет</t>
        </is>
      </c>
      <c r="L6886" s="53" t="inlineStr">
        <is>
          <t>Не определено</t>
        </is>
      </c>
      <c r="M6886" s="53" t="inlineStr">
        <is>
          <t>До 10</t>
        </is>
      </c>
      <c r="N6886" s="54" t="n">
        <v>3360</v>
      </c>
      <c r="O6886" s="55" t="inlineStr">
        <is>
          <t>1–15</t>
        </is>
      </c>
      <c r="P6886" s="16" t="inlineStr">
        <is>
          <t>ССЧР обогащена; ОКВЭД не найден/не загружен</t>
        </is>
      </c>
      <c r="Q6886" s="16" t="inlineStr">
        <is>
          <t>ФНС открытые данные ССЧР (ДатаСост 31.12.2025; набор 7707329152-sshr2019)</t>
        </is>
      </c>
      <c r="R6886" s="16">
        <f>HYPERLINK("https://checko.ru/search?query=3801001629","Чекко: проверить")</f>
        <v/>
      </c>
      <c r="S6886" t="n">
        <v>1</v>
      </c>
      <c r="T6886" s="35" t="inlineStr">
        <is>
          <t>4 — Не обогащён</t>
        </is>
      </c>
      <c r="U6886" s="35" t="inlineStr">
        <is>
          <t>Нет ОКВЭД/ССЧР</t>
        </is>
      </c>
      <c r="V6886" s="35" t="inlineStr">
        <is>
          <t>Не определено</t>
        </is>
      </c>
      <c r="W6886" s="35" t="inlineStr">
        <is>
          <t>Нет</t>
        </is>
      </c>
      <c r="X6886" s="35" t="inlineStr"/>
    </row>
    <row r="6887" ht="15" customHeight="1" s="24">
      <c r="A6887" s="13" t="inlineStr">
        <is>
          <t>FR294407</t>
        </is>
      </c>
      <c r="B6887" s="13" t="inlineStr">
        <is>
          <t>ИП Фадеев Александр Евгеньевич</t>
        </is>
      </c>
      <c r="C6887" s="13" t="n">
        <v>504711390694</v>
      </c>
      <c r="D6887" s="13" t="inlineStr">
        <is>
          <t>504711390694</t>
        </is>
      </c>
      <c r="E6887" s="13" t="inlineStr">
        <is>
          <t>ИП РФ / физлицо</t>
        </is>
      </c>
      <c r="F6887" s="13" t="n"/>
      <c r="G6887" s="14" t="n"/>
      <c r="H6887" s="14" t="n"/>
      <c r="I6887" s="14" t="n"/>
      <c r="J6887" s="14" t="n"/>
      <c r="K6887" s="53" t="inlineStr"/>
      <c r="L6887" s="53" t="inlineStr">
        <is>
          <t>Не определено</t>
        </is>
      </c>
      <c r="M6887" s="53" t="inlineStr"/>
      <c r="N6887" s="54" t="inlineStr"/>
      <c r="O6887" s="55" t="inlineStr"/>
      <c r="P6887" s="16" t="inlineStr">
        <is>
          <t>Требует обогащения</t>
        </is>
      </c>
      <c r="Q6887" s="16">
        <f>HYPERLINK("https://pb.nalog.ru/search.html?query=504711390694","ФНС: проверить")</f>
        <v/>
      </c>
      <c r="R6887" s="16">
        <f>HYPERLINK("https://checko.ru/search?query=3801001629","Чекко: проверить")</f>
        <v/>
      </c>
      <c r="S6887" t="n">
        <v>1</v>
      </c>
      <c r="T6887" s="35" t="inlineStr">
        <is>
          <t>4 — Не обогащён</t>
        </is>
      </c>
      <c r="U6887" s="35" t="inlineStr">
        <is>
          <t>Нет ОКВЭД/ССЧР</t>
        </is>
      </c>
      <c r="V6887" s="35" t="inlineStr">
        <is>
          <t>Не определено</t>
        </is>
      </c>
      <c r="W6887" s="35" t="inlineStr"/>
      <c r="X6887" s="35" t="inlineStr"/>
    </row>
    <row r="6888" ht="27.75" customHeight="1" s="24">
      <c r="A6888" s="13" t="inlineStr">
        <is>
          <t>FR1257309</t>
        </is>
      </c>
      <c r="B6888" s="13" t="inlineStr">
        <is>
          <t>Общество с ограниченной ответственностью "БАЙКАЛ ПРЕМИУМ"</t>
        </is>
      </c>
      <c r="C6888" s="13" t="n">
        <v>3808292180</v>
      </c>
      <c r="D6888" s="13" t="inlineStr">
        <is>
          <t>3808292180</t>
        </is>
      </c>
      <c r="E6888" s="13" t="inlineStr">
        <is>
          <t>ЮЛ РФ</t>
        </is>
      </c>
      <c r="F6888" s="13" t="n"/>
      <c r="G6888" s="52" t="n">
        <v>0</v>
      </c>
      <c r="H6888" s="52" t="n">
        <v>2025</v>
      </c>
      <c r="I6888" s="14" t="n"/>
      <c r="J6888" s="14" t="n"/>
      <c r="K6888" s="53" t="inlineStr">
        <is>
          <t>Нет</t>
        </is>
      </c>
      <c r="L6888" s="53" t="inlineStr">
        <is>
          <t>Не определено</t>
        </is>
      </c>
      <c r="M6888" s="53" t="inlineStr">
        <is>
          <t>До 10</t>
        </is>
      </c>
      <c r="N6888" s="54" t="n">
        <v>3360</v>
      </c>
      <c r="O6888" s="55" t="inlineStr">
        <is>
          <t>1–15</t>
        </is>
      </c>
      <c r="P6888" s="16" t="inlineStr">
        <is>
          <t>ССЧР обогащена; ОКВЭД не найден/не загружен</t>
        </is>
      </c>
      <c r="Q6888" s="16" t="inlineStr">
        <is>
          <t>ФНС открытые данные ССЧР (ДатаСост 31.12.2025; набор 7707329152-sshr2019)</t>
        </is>
      </c>
      <c r="R6888" s="16">
        <f>HYPERLINK("https://checko.ru/search?query=3801001629","Чекко: проверить")</f>
        <v/>
      </c>
      <c r="S6888" t="n">
        <v>1</v>
      </c>
      <c r="T6888" s="35" t="inlineStr">
        <is>
          <t>4 — Не обогащён</t>
        </is>
      </c>
      <c r="U6888" s="35" t="inlineStr">
        <is>
          <t>Нет ОКВЭД/ССЧР</t>
        </is>
      </c>
      <c r="V6888" s="35" t="inlineStr">
        <is>
          <t>Не определено</t>
        </is>
      </c>
      <c r="W6888" s="35" t="inlineStr">
        <is>
          <t>Нет</t>
        </is>
      </c>
      <c r="X6888" s="35" t="inlineStr"/>
    </row>
    <row r="6889" ht="15" customHeight="1" s="24">
      <c r="A6889" s="13" t="inlineStr">
        <is>
          <t>FR1256414</t>
        </is>
      </c>
      <c r="B6889" s="13" t="inlineStr">
        <is>
          <t>ИП Костычев Александр Александрович</t>
        </is>
      </c>
      <c r="C6889" s="13" t="n">
        <v>381452719391</v>
      </c>
      <c r="D6889" s="13" t="inlineStr">
        <is>
          <t>381452719391</t>
        </is>
      </c>
      <c r="E6889" s="13" t="inlineStr">
        <is>
          <t>ИП РФ / физлицо</t>
        </is>
      </c>
      <c r="F6889" s="13" t="n"/>
      <c r="G6889" s="14" t="n"/>
      <c r="H6889" s="14" t="n"/>
      <c r="I6889" s="14" t="n"/>
      <c r="J6889" s="14" t="n"/>
      <c r="K6889" s="53" t="inlineStr"/>
      <c r="L6889" s="53" t="inlineStr">
        <is>
          <t>Не определено</t>
        </is>
      </c>
      <c r="M6889" s="53" t="inlineStr"/>
      <c r="N6889" s="54" t="inlineStr"/>
      <c r="O6889" s="55" t="inlineStr"/>
      <c r="P6889" s="16" t="inlineStr">
        <is>
          <t>Требует обогащения</t>
        </is>
      </c>
      <c r="Q6889" s="16">
        <f>HYPERLINK("https://pb.nalog.ru/search.html?query=381452719391","ФНС: проверить")</f>
        <v/>
      </c>
      <c r="R6889" s="16">
        <f>HYPERLINK("https://checko.ru/search?query=3801001629","Чекко: проверить")</f>
        <v/>
      </c>
      <c r="S6889" t="n">
        <v>1</v>
      </c>
      <c r="T6889" s="35" t="inlineStr">
        <is>
          <t>4 — Не обогащён</t>
        </is>
      </c>
      <c r="U6889" s="35" t="inlineStr">
        <is>
          <t>Нет ОКВЭД/ССЧР</t>
        </is>
      </c>
      <c r="V6889" s="35" t="inlineStr">
        <is>
          <t>Не определено</t>
        </is>
      </c>
      <c r="W6889" s="35" t="inlineStr"/>
      <c r="X6889" s="35" t="inlineStr"/>
    </row>
    <row r="6890" ht="15" customHeight="1" s="24">
      <c r="A6890" s="13" t="inlineStr">
        <is>
          <t>FR578968</t>
        </is>
      </c>
      <c r="B6890" s="13" t="inlineStr">
        <is>
          <t>ИП Андреев Андриан Андреевич</t>
        </is>
      </c>
      <c r="C6890" s="13" t="n">
        <v>143515610233</v>
      </c>
      <c r="D6890" s="13" t="inlineStr">
        <is>
          <t>143515610233</t>
        </is>
      </c>
      <c r="E6890" s="13" t="inlineStr">
        <is>
          <t>ИП РФ / физлицо</t>
        </is>
      </c>
      <c r="F6890" s="13" t="n"/>
      <c r="G6890" s="14" t="n"/>
      <c r="H6890" s="14" t="n"/>
      <c r="I6890" s="14" t="n"/>
      <c r="J6890" s="14" t="n"/>
      <c r="K6890" s="53" t="inlineStr"/>
      <c r="L6890" s="53" t="inlineStr">
        <is>
          <t>Не определено</t>
        </is>
      </c>
      <c r="M6890" s="53" t="inlineStr"/>
      <c r="N6890" s="54" t="inlineStr"/>
      <c r="O6890" s="55" t="inlineStr"/>
      <c r="P6890" s="16" t="inlineStr">
        <is>
          <t>Требует обогащения</t>
        </is>
      </c>
      <c r="Q6890" s="16">
        <f>HYPERLINK("https://pb.nalog.ru/search.html?query=143515610233","ФНС: проверить")</f>
        <v/>
      </c>
      <c r="R6890" s="16">
        <f>HYPERLINK("https://checko.ru/search?query=3801001629","Чекко: проверить")</f>
        <v/>
      </c>
      <c r="S6890" t="n">
        <v>1</v>
      </c>
      <c r="T6890" s="35" t="inlineStr">
        <is>
          <t>4 — Не обогащён</t>
        </is>
      </c>
      <c r="U6890" s="35" t="inlineStr">
        <is>
          <t>Нет ОКВЭД/ССЧР</t>
        </is>
      </c>
      <c r="V6890" s="35" t="inlineStr">
        <is>
          <t>Не определено</t>
        </is>
      </c>
      <c r="W6890" s="35" t="inlineStr"/>
      <c r="X6890" s="35" t="inlineStr"/>
    </row>
    <row r="6891" ht="27.75" customHeight="1" s="24">
      <c r="A6891" s="13" t="inlineStr">
        <is>
          <t>FR603163</t>
        </is>
      </c>
      <c r="B6891" s="13" t="inlineStr">
        <is>
          <t>Общество с ограниченной ответственностью "ЭНЕРГОИНТЕНСИВ"</t>
        </is>
      </c>
      <c r="C6891" s="13" t="n">
        <v>7451349622</v>
      </c>
      <c r="D6891" s="13" t="inlineStr">
        <is>
          <t>7451349622</t>
        </is>
      </c>
      <c r="E6891" s="13" t="inlineStr">
        <is>
          <t>ЮЛ РФ</t>
        </is>
      </c>
      <c r="F6891" s="13" t="n"/>
      <c r="G6891" s="52" t="n">
        <v>2</v>
      </c>
      <c r="H6891" s="52" t="n">
        <v>2025</v>
      </c>
      <c r="I6891" s="14" t="n"/>
      <c r="J6891" s="14" t="n"/>
      <c r="K6891" s="53" t="inlineStr">
        <is>
          <t>Нет</t>
        </is>
      </c>
      <c r="L6891" s="53" t="inlineStr">
        <is>
          <t>Не определено</t>
        </is>
      </c>
      <c r="M6891" s="53" t="inlineStr">
        <is>
          <t>До 10</t>
        </is>
      </c>
      <c r="N6891" s="54" t="n">
        <v>3360</v>
      </c>
      <c r="O6891" s="55" t="inlineStr">
        <is>
          <t>1–15</t>
        </is>
      </c>
      <c r="P6891" s="16" t="inlineStr">
        <is>
          <t>ССЧР обогащена; ОКВЭД не найден/не загружен</t>
        </is>
      </c>
      <c r="Q6891" s="16" t="inlineStr">
        <is>
          <t>ФНС открытые данные ССЧР (ДатаСост 31.12.2025; набор 7707329152-sshr2019)</t>
        </is>
      </c>
      <c r="R6891" s="16">
        <f>HYPERLINK("https://checko.ru/search?query=3801001629","Чекко: проверить")</f>
        <v/>
      </c>
      <c r="S6891" t="n">
        <v>1</v>
      </c>
      <c r="T6891" s="35" t="inlineStr">
        <is>
          <t>4 — Не обогащён</t>
        </is>
      </c>
      <c r="U6891" s="35" t="inlineStr">
        <is>
          <t>Нет ОКВЭД/ССЧР</t>
        </is>
      </c>
      <c r="V6891" s="35" t="inlineStr">
        <is>
          <t>Не определено</t>
        </is>
      </c>
      <c r="W6891" s="35" t="inlineStr">
        <is>
          <t>Нет</t>
        </is>
      </c>
      <c r="X6891" s="35" t="inlineStr"/>
    </row>
    <row r="6892" ht="27.75" customHeight="1" s="24">
      <c r="A6892" s="13" t="inlineStr">
        <is>
          <t>FR723540</t>
        </is>
      </c>
      <c r="B6892" s="13" t="inlineStr">
        <is>
          <t>Общество с ограниченной ответственностью "АКСИОМА-ИРКУТСК"</t>
        </is>
      </c>
      <c r="C6892" s="13" t="n">
        <v>3811444740</v>
      </c>
      <c r="D6892" s="13" t="inlineStr">
        <is>
          <t>3811444740</t>
        </is>
      </c>
      <c r="E6892" s="13" t="inlineStr">
        <is>
          <t>ЮЛ РФ</t>
        </is>
      </c>
      <c r="F6892" s="13" t="n"/>
      <c r="G6892" s="52" t="n">
        <v>6</v>
      </c>
      <c r="H6892" s="52" t="n">
        <v>2025</v>
      </c>
      <c r="I6892" s="14" t="n"/>
      <c r="J6892" s="14" t="n"/>
      <c r="K6892" s="53" t="inlineStr">
        <is>
          <t>Нет</t>
        </is>
      </c>
      <c r="L6892" s="53" t="inlineStr">
        <is>
          <t>Не определено</t>
        </is>
      </c>
      <c r="M6892" s="53" t="inlineStr">
        <is>
          <t>До 10</t>
        </is>
      </c>
      <c r="N6892" s="54" t="n">
        <v>3360</v>
      </c>
      <c r="O6892" s="55" t="inlineStr">
        <is>
          <t>1–15</t>
        </is>
      </c>
      <c r="P6892" s="16" t="inlineStr">
        <is>
          <t>ССЧР обогащена; ОКВЭД не найден/не загружен</t>
        </is>
      </c>
      <c r="Q6892" s="16" t="inlineStr">
        <is>
          <t>ФНС открытые данные ССЧР (ДатаСост 31.12.2025; набор 7707329152-sshr2019)</t>
        </is>
      </c>
      <c r="R6892" s="16">
        <f>HYPERLINK("https://checko.ru/search?query=3801001629","Чекко: проверить")</f>
        <v/>
      </c>
      <c r="S6892" t="n">
        <v>0</v>
      </c>
      <c r="T6892" s="35" t="inlineStr">
        <is>
          <t>4 — Не обогащён</t>
        </is>
      </c>
      <c r="U6892" s="35" t="inlineStr">
        <is>
          <t>Нет ОКВЭД/ССЧР</t>
        </is>
      </c>
      <c r="V6892" s="35" t="inlineStr">
        <is>
          <t>Не определено</t>
        </is>
      </c>
      <c r="W6892" s="35" t="inlineStr">
        <is>
          <t>Нет</t>
        </is>
      </c>
      <c r="X6892" s="35" t="inlineStr"/>
    </row>
    <row r="6893" ht="27.75" customHeight="1" s="24">
      <c r="A6893" s="13" t="inlineStr">
        <is>
          <t>FR863761</t>
        </is>
      </c>
      <c r="B6893" s="13" t="inlineStr">
        <is>
          <t>Общество с ограниченной ответственностью "МЕДАРТ"</t>
        </is>
      </c>
      <c r="C6893" s="13" t="n">
        <v>3827066451</v>
      </c>
      <c r="D6893" s="13" t="inlineStr">
        <is>
          <t>3827066451</t>
        </is>
      </c>
      <c r="E6893" s="13" t="inlineStr">
        <is>
          <t>ЮЛ РФ</t>
        </is>
      </c>
      <c r="F6893" s="13" t="n"/>
      <c r="G6893" s="52" t="n">
        <v>1</v>
      </c>
      <c r="H6893" s="52" t="n">
        <v>2025</v>
      </c>
      <c r="I6893" s="14" t="n"/>
      <c r="J6893" s="14" t="n"/>
      <c r="K6893" s="53" t="inlineStr">
        <is>
          <t>Нет</t>
        </is>
      </c>
      <c r="L6893" s="53" t="inlineStr">
        <is>
          <t>Не определено</t>
        </is>
      </c>
      <c r="M6893" s="53" t="inlineStr">
        <is>
          <t>До 10</t>
        </is>
      </c>
      <c r="N6893" s="54" t="n">
        <v>3360</v>
      </c>
      <c r="O6893" s="55" t="inlineStr">
        <is>
          <t>1–15</t>
        </is>
      </c>
      <c r="P6893" s="16" t="inlineStr">
        <is>
          <t>ССЧР обогащена; ОКВЭД не найден/не загружен</t>
        </is>
      </c>
      <c r="Q6893" s="16" t="inlineStr">
        <is>
          <t>ФНС открытые данные ССЧР (ДатаСост 31.12.2025; набор 7707329152-sshr2019)</t>
        </is>
      </c>
      <c r="R6893" s="16">
        <f>HYPERLINK("https://checko.ru/search?query=3801001629","Чекко: проверить")</f>
        <v/>
      </c>
      <c r="S6893" t="n">
        <v>1</v>
      </c>
      <c r="T6893" s="35" t="inlineStr">
        <is>
          <t>4 — Не обогащён</t>
        </is>
      </c>
      <c r="U6893" s="35" t="inlineStr">
        <is>
          <t>Нет ОКВЭД/ССЧР</t>
        </is>
      </c>
      <c r="V6893" s="35" t="inlineStr">
        <is>
          <t>Не определено</t>
        </is>
      </c>
      <c r="W6893" s="35" t="inlineStr">
        <is>
          <t>Нет</t>
        </is>
      </c>
      <c r="X6893" s="35" t="inlineStr"/>
    </row>
    <row r="6894" ht="15" customHeight="1" s="24">
      <c r="A6894" s="13" t="inlineStr">
        <is>
          <t>FR55514</t>
        </is>
      </c>
      <c r="B6894" s="13" t="inlineStr">
        <is>
          <t>ГАРАНТ, ООО</t>
        </is>
      </c>
      <c r="C6894" s="13" t="n">
        <v>3665133493</v>
      </c>
      <c r="D6894" s="13" t="inlineStr">
        <is>
          <t>3665133493</t>
        </is>
      </c>
      <c r="E6894" s="13" t="inlineStr">
        <is>
          <t>ЮЛ РФ</t>
        </is>
      </c>
      <c r="F6894" s="13" t="n"/>
      <c r="G6894" s="52" t="n">
        <v>0</v>
      </c>
      <c r="H6894" s="52" t="n">
        <v>2025</v>
      </c>
      <c r="I6894" s="14" t="n"/>
      <c r="J6894" s="14" t="n"/>
      <c r="K6894" s="53" t="inlineStr">
        <is>
          <t>Нет</t>
        </is>
      </c>
      <c r="L6894" s="53" t="inlineStr">
        <is>
          <t>Не определено</t>
        </is>
      </c>
      <c r="M6894" s="53" t="inlineStr">
        <is>
          <t>До 10</t>
        </is>
      </c>
      <c r="N6894" s="54" t="n">
        <v>3360</v>
      </c>
      <c r="O6894" s="55" t="inlineStr">
        <is>
          <t>1–15</t>
        </is>
      </c>
      <c r="P6894" s="16" t="inlineStr">
        <is>
          <t>ССЧР обогащена; ОКВЭД не найден/не загружен</t>
        </is>
      </c>
      <c r="Q6894" s="16" t="inlineStr">
        <is>
          <t>ФНС открытые данные ССЧР (ДатаСост 31.12.2025; набор 7707329152-sshr2019)</t>
        </is>
      </c>
      <c r="R6894" s="16">
        <f>HYPERLINK("https://checko.ru/search?query=3801001629","Чекко: проверить")</f>
        <v/>
      </c>
      <c r="S6894" t="n">
        <v>1</v>
      </c>
      <c r="T6894" s="35" t="inlineStr">
        <is>
          <t>4 — Не обогащён</t>
        </is>
      </c>
      <c r="U6894" s="35" t="inlineStr">
        <is>
          <t>Нет ОКВЭД/ССЧР</t>
        </is>
      </c>
      <c r="V6894" s="35" t="inlineStr">
        <is>
          <t>Не определено</t>
        </is>
      </c>
      <c r="W6894" s="35" t="inlineStr">
        <is>
          <t>Нет</t>
        </is>
      </c>
      <c r="X6894" s="35" t="inlineStr"/>
    </row>
    <row r="6895" ht="27.75" customHeight="1" s="24">
      <c r="A6895" s="13" t="inlineStr">
        <is>
          <t>FR296110</t>
        </is>
      </c>
      <c r="B6895" s="13" t="inlineStr">
        <is>
          <t>ОБЩЕСТВО С ОГРАНИЧЕННОЙ ОТВЕТСТВЕННОСТЬЮ "АВИАВОЯЖ"</t>
        </is>
      </c>
      <c r="C6895" s="13" t="n">
        <v>3808226519</v>
      </c>
      <c r="D6895" s="13" t="inlineStr">
        <is>
          <t>3808226519</t>
        </is>
      </c>
      <c r="E6895" s="13" t="inlineStr">
        <is>
          <t>ЮЛ РФ</t>
        </is>
      </c>
      <c r="F6895" s="13" t="n"/>
      <c r="G6895" s="52" t="n">
        <v>6</v>
      </c>
      <c r="H6895" s="52" t="n">
        <v>2025</v>
      </c>
      <c r="I6895" s="14" t="n"/>
      <c r="J6895" s="14" t="n"/>
      <c r="K6895" s="53" t="inlineStr">
        <is>
          <t>Нет</t>
        </is>
      </c>
      <c r="L6895" s="53" t="inlineStr">
        <is>
          <t>Не определено</t>
        </is>
      </c>
      <c r="M6895" s="53" t="inlineStr">
        <is>
          <t>До 10</t>
        </is>
      </c>
      <c r="N6895" s="54" t="n">
        <v>3360</v>
      </c>
      <c r="O6895" s="55" t="inlineStr">
        <is>
          <t>1–15</t>
        </is>
      </c>
      <c r="P6895" s="16" t="inlineStr">
        <is>
          <t>ССЧР обогащена; ОКВЭД не найден/не загружен</t>
        </is>
      </c>
      <c r="Q6895" s="16" t="inlineStr">
        <is>
          <t>ФНС открытые данные ССЧР (ДатаСост 31.12.2025; набор 7707329152-sshr2019)</t>
        </is>
      </c>
      <c r="R6895" s="16">
        <f>HYPERLINK("https://checko.ru/search?query=3801001629","Чекко: проверить")</f>
        <v/>
      </c>
      <c r="S6895" t="n">
        <v>1</v>
      </c>
      <c r="T6895" s="35" t="inlineStr">
        <is>
          <t>4 — Не обогащён</t>
        </is>
      </c>
      <c r="U6895" s="35" t="inlineStr">
        <is>
          <t>Нет ОКВЭД/ССЧР</t>
        </is>
      </c>
      <c r="V6895" s="35" t="inlineStr">
        <is>
          <t>Не определено</t>
        </is>
      </c>
      <c r="W6895" s="35" t="inlineStr">
        <is>
          <t>Нет</t>
        </is>
      </c>
      <c r="X6895" s="35" t="inlineStr"/>
    </row>
    <row r="6896" ht="27.75" customHeight="1" s="24">
      <c r="A6896" s="13" t="inlineStr">
        <is>
          <t>FR2370</t>
        </is>
      </c>
      <c r="B6896" s="13" t="inlineStr">
        <is>
          <t>ОБЩЕСТВО С ОГРАНИЧЕННОЙ ОТВЕТСТВЕННОСТЬЮ "КОРУНД"</t>
        </is>
      </c>
      <c r="C6896" s="13" t="n">
        <v>3810329600</v>
      </c>
      <c r="D6896" s="13" t="inlineStr">
        <is>
          <t>3810329600</t>
        </is>
      </c>
      <c r="E6896" s="13" t="inlineStr">
        <is>
          <t>ЮЛ РФ</t>
        </is>
      </c>
      <c r="F6896" s="13" t="n"/>
      <c r="G6896" s="52" t="n">
        <v>3</v>
      </c>
      <c r="H6896" s="52" t="n">
        <v>2025</v>
      </c>
      <c r="I6896" s="14" t="n"/>
      <c r="J6896" s="14" t="n"/>
      <c r="K6896" s="53" t="inlineStr">
        <is>
          <t>Нет</t>
        </is>
      </c>
      <c r="L6896" s="53" t="inlineStr">
        <is>
          <t>Не определено</t>
        </is>
      </c>
      <c r="M6896" s="53" t="inlineStr">
        <is>
          <t>До 10</t>
        </is>
      </c>
      <c r="N6896" s="54" t="n">
        <v>3360</v>
      </c>
      <c r="O6896" s="55" t="inlineStr">
        <is>
          <t>1–15</t>
        </is>
      </c>
      <c r="P6896" s="16" t="inlineStr">
        <is>
          <t>ССЧР обогащена; ОКВЭД не найден/не загружен</t>
        </is>
      </c>
      <c r="Q6896" s="16" t="inlineStr">
        <is>
          <t>ФНС открытые данные ССЧР (ДатаСост 31.12.2025; набор 7707329152-sshr2019)</t>
        </is>
      </c>
      <c r="R6896" s="16">
        <f>HYPERLINK("https://checko.ru/search?query=3801001629","Чекко: проверить")</f>
        <v/>
      </c>
      <c r="S6896" t="n">
        <v>1</v>
      </c>
      <c r="T6896" s="35" t="inlineStr">
        <is>
          <t>4 — Не обогащён</t>
        </is>
      </c>
      <c r="U6896" s="35" t="inlineStr">
        <is>
          <t>Нет ОКВЭД/ССЧР</t>
        </is>
      </c>
      <c r="V6896" s="35" t="inlineStr">
        <is>
          <t>Не определено</t>
        </is>
      </c>
      <c r="W6896" s="35" t="inlineStr">
        <is>
          <t>Нет</t>
        </is>
      </c>
      <c r="X6896" s="35" t="inlineStr"/>
    </row>
    <row r="6897" ht="15" customHeight="1" s="24">
      <c r="A6897" s="13" t="inlineStr">
        <is>
          <t>FR570996</t>
        </is>
      </c>
      <c r="B6897" s="13" t="inlineStr">
        <is>
          <t>ИП Тайхомов Григорий Леонидович</t>
        </is>
      </c>
      <c r="C6897" s="13" t="n">
        <v>380413155647</v>
      </c>
      <c r="D6897" s="13" t="inlineStr">
        <is>
          <t>380413155647</t>
        </is>
      </c>
      <c r="E6897" s="13" t="inlineStr">
        <is>
          <t>ИП РФ / физлицо</t>
        </is>
      </c>
      <c r="F6897" s="13" t="n"/>
      <c r="G6897" s="14" t="n"/>
      <c r="H6897" s="14" t="n"/>
      <c r="I6897" s="14" t="n"/>
      <c r="J6897" s="14" t="n"/>
      <c r="K6897" s="53" t="inlineStr"/>
      <c r="L6897" s="53" t="inlineStr">
        <is>
          <t>Не определено</t>
        </is>
      </c>
      <c r="M6897" s="53" t="inlineStr"/>
      <c r="N6897" s="54" t="inlineStr"/>
      <c r="O6897" s="55" t="inlineStr"/>
      <c r="P6897" s="16" t="inlineStr">
        <is>
          <t>Требует обогащения</t>
        </is>
      </c>
      <c r="Q6897" s="16">
        <f>HYPERLINK("https://pb.nalog.ru/search.html?query=380413155647","ФНС: проверить")</f>
        <v/>
      </c>
      <c r="R6897" s="16">
        <f>HYPERLINK("https://checko.ru/search?query=3801001629","Чекко: проверить")</f>
        <v/>
      </c>
      <c r="S6897" t="n">
        <v>1</v>
      </c>
      <c r="T6897" s="35" t="inlineStr">
        <is>
          <t>4 — Не обогащён</t>
        </is>
      </c>
      <c r="U6897" s="35" t="inlineStr">
        <is>
          <t>Нет ОКВЭД/ССЧР</t>
        </is>
      </c>
      <c r="V6897" s="35" t="inlineStr">
        <is>
          <t>Не определено</t>
        </is>
      </c>
      <c r="W6897" s="35" t="inlineStr"/>
      <c r="X6897" s="35" t="inlineStr"/>
    </row>
    <row r="6898" ht="27.75" customHeight="1" s="24">
      <c r="A6898" s="13" t="inlineStr">
        <is>
          <t>FR1259413</t>
        </is>
      </c>
      <c r="B6898" s="13" t="inlineStr">
        <is>
          <t>Общество с ограниченной ответственностью "БАЗАСТРОЙ"</t>
        </is>
      </c>
      <c r="C6898" s="13" t="n">
        <v>3812162427</v>
      </c>
      <c r="D6898" s="13" t="inlineStr">
        <is>
          <t>3812162427</t>
        </is>
      </c>
      <c r="E6898" s="13" t="inlineStr">
        <is>
          <t>ЮЛ РФ</t>
        </is>
      </c>
      <c r="F6898" s="13" t="n"/>
      <c r="G6898" s="52" t="n">
        <v>1</v>
      </c>
      <c r="H6898" s="52" t="n">
        <v>2025</v>
      </c>
      <c r="I6898" s="14" t="n"/>
      <c r="J6898" s="14" t="n"/>
      <c r="K6898" s="53" t="inlineStr">
        <is>
          <t>Нет</t>
        </is>
      </c>
      <c r="L6898" s="53" t="inlineStr">
        <is>
          <t>Не определено</t>
        </is>
      </c>
      <c r="M6898" s="53" t="inlineStr">
        <is>
          <t>До 10</t>
        </is>
      </c>
      <c r="N6898" s="54" t="n">
        <v>3360</v>
      </c>
      <c r="O6898" s="55" t="inlineStr">
        <is>
          <t>1–15</t>
        </is>
      </c>
      <c r="P6898" s="16" t="inlineStr">
        <is>
          <t>ССЧР обогащена; ОКВЭД не найден/не загружен</t>
        </is>
      </c>
      <c r="Q6898" s="16" t="inlineStr">
        <is>
          <t>ФНС открытые данные ССЧР (ДатаСост 31.12.2025; набор 7707329152-sshr2019)</t>
        </is>
      </c>
      <c r="R6898" s="16">
        <f>HYPERLINK("https://checko.ru/search?query=3801001629","Чекко: проверить")</f>
        <v/>
      </c>
      <c r="S6898" t="n">
        <v>1</v>
      </c>
      <c r="T6898" s="35" t="inlineStr">
        <is>
          <t>4 — Не обогащён</t>
        </is>
      </c>
      <c r="U6898" s="35" t="inlineStr">
        <is>
          <t>Нет ОКВЭД/ССЧР</t>
        </is>
      </c>
      <c r="V6898" s="35" t="inlineStr">
        <is>
          <t>Не определено</t>
        </is>
      </c>
      <c r="W6898" s="35" t="inlineStr">
        <is>
          <t>Нет</t>
        </is>
      </c>
      <c r="X6898" s="35" t="inlineStr"/>
    </row>
    <row r="6899" ht="15" customHeight="1" s="24">
      <c r="A6899" s="13" t="inlineStr">
        <is>
          <t>FR330810</t>
        </is>
      </c>
      <c r="B6899" s="13" t="inlineStr">
        <is>
          <t>РАМ ИНТЕГРАЦИЯ, ООО</t>
        </is>
      </c>
      <c r="C6899" s="13" t="n">
        <v>7413027134</v>
      </c>
      <c r="D6899" s="13" t="inlineStr">
        <is>
          <t>7413027134</t>
        </is>
      </c>
      <c r="E6899" s="13" t="inlineStr">
        <is>
          <t>ЮЛ РФ</t>
        </is>
      </c>
      <c r="F6899" s="13" t="n"/>
      <c r="G6899" s="52" t="n">
        <v>1</v>
      </c>
      <c r="H6899" s="52" t="n">
        <v>2025</v>
      </c>
      <c r="I6899" s="14" t="n"/>
      <c r="J6899" s="14" t="n"/>
      <c r="K6899" s="53" t="inlineStr">
        <is>
          <t>Нет</t>
        </is>
      </c>
      <c r="L6899" s="53" t="inlineStr">
        <is>
          <t>Не определено</t>
        </is>
      </c>
      <c r="M6899" s="53" t="inlineStr">
        <is>
          <t>До 10</t>
        </is>
      </c>
      <c r="N6899" s="54" t="n">
        <v>3360</v>
      </c>
      <c r="O6899" s="55" t="inlineStr">
        <is>
          <t>1–15</t>
        </is>
      </c>
      <c r="P6899" s="16" t="inlineStr">
        <is>
          <t>ССЧР обогащена; ОКВЭД не найден/не загружен</t>
        </is>
      </c>
      <c r="Q6899" s="16" t="inlineStr">
        <is>
          <t>ФНС открытые данные ССЧР (ДатаСост 31.12.2025; набор 7707329152-sshr2019)</t>
        </is>
      </c>
      <c r="R6899" s="16">
        <f>HYPERLINK("https://checko.ru/search?query=3801001629","Чекко: проверить")</f>
        <v/>
      </c>
      <c r="S6899" t="n">
        <v>1</v>
      </c>
      <c r="T6899" s="35" t="inlineStr">
        <is>
          <t>4 — Не обогащён</t>
        </is>
      </c>
      <c r="U6899" s="35" t="inlineStr">
        <is>
          <t>Нет ОКВЭД/ССЧР</t>
        </is>
      </c>
      <c r="V6899" s="35" t="inlineStr">
        <is>
          <t>Не определено</t>
        </is>
      </c>
      <c r="W6899" s="35" t="inlineStr">
        <is>
          <t>Нет</t>
        </is>
      </c>
      <c r="X6899" s="35" t="inlineStr"/>
    </row>
    <row r="6900" ht="15" customHeight="1" s="24">
      <c r="A6900" s="13" t="inlineStr">
        <is>
          <t>FR24877</t>
        </is>
      </c>
      <c r="B6900" s="13" t="inlineStr">
        <is>
          <t>ООО "Астра"</t>
        </is>
      </c>
      <c r="C6900" s="13" t="n">
        <v>5903118757</v>
      </c>
      <c r="D6900" s="13" t="inlineStr">
        <is>
          <t>5903118757</t>
        </is>
      </c>
      <c r="E6900" s="13" t="inlineStr">
        <is>
          <t>ЮЛ РФ</t>
        </is>
      </c>
      <c r="F6900" s="13" t="n"/>
      <c r="G6900" s="52" t="n">
        <v>1</v>
      </c>
      <c r="H6900" s="52" t="n">
        <v>2025</v>
      </c>
      <c r="I6900" s="14" t="n"/>
      <c r="J6900" s="14" t="n"/>
      <c r="K6900" s="53" t="inlineStr">
        <is>
          <t>Нет</t>
        </is>
      </c>
      <c r="L6900" s="53" t="inlineStr">
        <is>
          <t>Не определено</t>
        </is>
      </c>
      <c r="M6900" s="53" t="inlineStr">
        <is>
          <t>До 10</t>
        </is>
      </c>
      <c r="N6900" s="54" t="n">
        <v>3360</v>
      </c>
      <c r="O6900" s="55" t="inlineStr">
        <is>
          <t>1–15</t>
        </is>
      </c>
      <c r="P6900" s="16" t="inlineStr">
        <is>
          <t>ССЧР обогащена; ОКВЭД не найден/не загружен</t>
        </is>
      </c>
      <c r="Q6900" s="16" t="inlineStr">
        <is>
          <t>ФНС открытые данные ССЧР (ДатаСост 31.12.2025; набор 7707329152-sshr2019)</t>
        </is>
      </c>
      <c r="R6900" s="16">
        <f>HYPERLINK("https://checko.ru/search?query=3801001629","Чекко: проверить")</f>
        <v/>
      </c>
      <c r="S6900" t="n">
        <v>1</v>
      </c>
      <c r="T6900" s="35" t="inlineStr">
        <is>
          <t>4 — Не обогащён</t>
        </is>
      </c>
      <c r="U6900" s="35" t="inlineStr">
        <is>
          <t>Нет ОКВЭД/ССЧР</t>
        </is>
      </c>
      <c r="V6900" s="35" t="inlineStr">
        <is>
          <t>Не определено</t>
        </is>
      </c>
      <c r="W6900" s="35" t="inlineStr">
        <is>
          <t>Нет</t>
        </is>
      </c>
      <c r="X6900" s="35" t="inlineStr"/>
    </row>
    <row r="6901" ht="27.75" customHeight="1" s="24">
      <c r="A6901" s="13" t="inlineStr">
        <is>
          <t>FR1260480</t>
        </is>
      </c>
      <c r="B6901" s="13" t="inlineStr">
        <is>
          <t>Общество с ограниченной ответственностью "ИНЛАЙН"</t>
        </is>
      </c>
      <c r="C6901" s="13" t="n">
        <v>4345333287</v>
      </c>
      <c r="D6901" s="13" t="inlineStr">
        <is>
          <t>4345333287</t>
        </is>
      </c>
      <c r="E6901" s="13" t="inlineStr">
        <is>
          <t>ЮЛ РФ</t>
        </is>
      </c>
      <c r="F6901" s="13" t="n"/>
      <c r="G6901" s="52" t="n">
        <v>3</v>
      </c>
      <c r="H6901" s="52" t="n">
        <v>2025</v>
      </c>
      <c r="I6901" s="14" t="n"/>
      <c r="J6901" s="14" t="n"/>
      <c r="K6901" s="53" t="inlineStr">
        <is>
          <t>Нет</t>
        </is>
      </c>
      <c r="L6901" s="53" t="inlineStr">
        <is>
          <t>Не определено</t>
        </is>
      </c>
      <c r="M6901" s="53" t="inlineStr">
        <is>
          <t>До 10</t>
        </is>
      </c>
      <c r="N6901" s="54" t="n">
        <v>3360</v>
      </c>
      <c r="O6901" s="55" t="inlineStr">
        <is>
          <t>1–15</t>
        </is>
      </c>
      <c r="P6901" s="16" t="inlineStr">
        <is>
          <t>ССЧР обогащена; ОКВЭД не найден/не загружен</t>
        </is>
      </c>
      <c r="Q6901" s="16" t="inlineStr">
        <is>
          <t>ФНС открытые данные ССЧР (ДатаСост 31.12.2025; набор 7707329152-sshr2019)</t>
        </is>
      </c>
      <c r="R6901" s="16">
        <f>HYPERLINK("https://checko.ru/search?query=3801001629","Чекко: проверить")</f>
        <v/>
      </c>
      <c r="S6901" t="n">
        <v>1</v>
      </c>
      <c r="T6901" s="35" t="inlineStr">
        <is>
          <t>4 — Не обогащён</t>
        </is>
      </c>
      <c r="U6901" s="35" t="inlineStr">
        <is>
          <t>Нет ОКВЭД/ССЧР</t>
        </is>
      </c>
      <c r="V6901" s="35" t="inlineStr">
        <is>
          <t>Не определено</t>
        </is>
      </c>
      <c r="W6901" s="35" t="inlineStr">
        <is>
          <t>Нет</t>
        </is>
      </c>
      <c r="X6901" s="35" t="inlineStr"/>
    </row>
    <row r="6902" ht="15" customHeight="1" s="24">
      <c r="A6902" s="13" t="inlineStr">
        <is>
          <t>FR1261730</t>
        </is>
      </c>
      <c r="B6902" s="13" t="inlineStr">
        <is>
          <t>ИП Дашдамирова Сабира Джуван Кызы</t>
        </is>
      </c>
      <c r="C6902" s="13" t="n">
        <v>381256882419</v>
      </c>
      <c r="D6902" s="13" t="inlineStr">
        <is>
          <t>381256882419</t>
        </is>
      </c>
      <c r="E6902" s="13" t="inlineStr">
        <is>
          <t>ИП РФ / физлицо</t>
        </is>
      </c>
      <c r="F6902" s="13" t="n"/>
      <c r="G6902" s="14" t="n"/>
      <c r="H6902" s="14" t="n"/>
      <c r="I6902" s="14" t="n"/>
      <c r="J6902" s="14" t="n"/>
      <c r="K6902" s="53" t="inlineStr"/>
      <c r="L6902" s="53" t="inlineStr">
        <is>
          <t>Не определено</t>
        </is>
      </c>
      <c r="M6902" s="53" t="inlineStr"/>
      <c r="N6902" s="54" t="inlineStr"/>
      <c r="O6902" s="55" t="inlineStr"/>
      <c r="P6902" s="16" t="inlineStr">
        <is>
          <t>Требует обогащения</t>
        </is>
      </c>
      <c r="Q6902" s="16">
        <f>HYPERLINK("https://pb.nalog.ru/search.html?query=381256882419","ФНС: проверить")</f>
        <v/>
      </c>
      <c r="R6902" s="16">
        <f>HYPERLINK("https://checko.ru/search?query=3801001629","Чекко: проверить")</f>
        <v/>
      </c>
      <c r="S6902" t="n">
        <v>1</v>
      </c>
      <c r="T6902" s="35" t="inlineStr">
        <is>
          <t>4 — Не обогащён</t>
        </is>
      </c>
      <c r="U6902" s="35" t="inlineStr">
        <is>
          <t>Нет ОКВЭД/ССЧР</t>
        </is>
      </c>
      <c r="V6902" s="35" t="inlineStr">
        <is>
          <t>Не определено</t>
        </is>
      </c>
      <c r="W6902" s="35" t="inlineStr"/>
      <c r="X6902" s="35" t="inlineStr"/>
    </row>
    <row r="6903" ht="15" customHeight="1" s="24">
      <c r="A6903" s="13" t="inlineStr">
        <is>
          <t>FR1268008</t>
        </is>
      </c>
      <c r="B6903" s="13" t="inlineStr">
        <is>
          <t>ИП Онищенко Анастасия Андреевна</t>
        </is>
      </c>
      <c r="C6903" s="13" t="n">
        <v>383704799842</v>
      </c>
      <c r="D6903" s="13" t="inlineStr">
        <is>
          <t>383704799842</t>
        </is>
      </c>
      <c r="E6903" s="13" t="inlineStr">
        <is>
          <t>ИП РФ / физлицо</t>
        </is>
      </c>
      <c r="F6903" s="13" t="n"/>
      <c r="G6903" s="14" t="n"/>
      <c r="H6903" s="14" t="n"/>
      <c r="I6903" s="14" t="n"/>
      <c r="J6903" s="14" t="n"/>
      <c r="K6903" s="53" t="inlineStr"/>
      <c r="L6903" s="53" t="inlineStr">
        <is>
          <t>Не определено</t>
        </is>
      </c>
      <c r="M6903" s="53" t="inlineStr"/>
      <c r="N6903" s="54" t="inlineStr"/>
      <c r="O6903" s="55" t="inlineStr"/>
      <c r="P6903" s="16" t="inlineStr">
        <is>
          <t>Требует обогащения</t>
        </is>
      </c>
      <c r="Q6903" s="16">
        <f>HYPERLINK("https://pb.nalog.ru/search.html?query=383704799842","ФНС: проверить")</f>
        <v/>
      </c>
      <c r="R6903" s="16">
        <f>HYPERLINK("https://checko.ru/search?query=3801001629","Чекко: проверить")</f>
        <v/>
      </c>
      <c r="S6903" t="n">
        <v>1</v>
      </c>
      <c r="T6903" s="35" t="inlineStr">
        <is>
          <t>4 — Не обогащён</t>
        </is>
      </c>
      <c r="U6903" s="35" t="inlineStr">
        <is>
          <t>Нет ОКВЭД/ССЧР</t>
        </is>
      </c>
      <c r="V6903" s="35" t="inlineStr">
        <is>
          <t>Не определено</t>
        </is>
      </c>
      <c r="W6903" s="35" t="inlineStr"/>
      <c r="X6903" s="35" t="inlineStr"/>
    </row>
    <row r="6904" ht="15" customHeight="1" s="24">
      <c r="A6904" s="13" t="inlineStr">
        <is>
          <t>FR425103</t>
        </is>
      </c>
      <c r="B6904" s="13" t="inlineStr">
        <is>
          <t>ИП Секлетин Дмитрий Александрович</t>
        </is>
      </c>
      <c r="C6904" s="13" t="n">
        <v>382007716396</v>
      </c>
      <c r="D6904" s="13" t="inlineStr">
        <is>
          <t>382007716396</t>
        </is>
      </c>
      <c r="E6904" s="13" t="inlineStr">
        <is>
          <t>ИП РФ / физлицо</t>
        </is>
      </c>
      <c r="F6904" s="13" t="n"/>
      <c r="G6904" s="14" t="n"/>
      <c r="H6904" s="14" t="n"/>
      <c r="I6904" s="14" t="n"/>
      <c r="J6904" s="14" t="n"/>
      <c r="K6904" s="53" t="inlineStr"/>
      <c r="L6904" s="53" t="inlineStr">
        <is>
          <t>Не определено</t>
        </is>
      </c>
      <c r="M6904" s="53" t="inlineStr"/>
      <c r="N6904" s="54" t="inlineStr"/>
      <c r="O6904" s="55" t="inlineStr"/>
      <c r="P6904" s="16" t="inlineStr">
        <is>
          <t>Требует обогащения</t>
        </is>
      </c>
      <c r="Q6904" s="16">
        <f>HYPERLINK("https://pb.nalog.ru/search.html?query=382007716396","ФНС: проверить")</f>
        <v/>
      </c>
      <c r="R6904" s="16">
        <f>HYPERLINK("https://checko.ru/search?query=3801001629","Чекко: проверить")</f>
        <v/>
      </c>
      <c r="S6904" t="n">
        <v>1</v>
      </c>
      <c r="T6904" s="35" t="inlineStr">
        <is>
          <t>4 — Не обогащён</t>
        </is>
      </c>
      <c r="U6904" s="35" t="inlineStr">
        <is>
          <t>Нет ОКВЭД/ССЧР</t>
        </is>
      </c>
      <c r="V6904" s="35" t="inlineStr">
        <is>
          <t>Не определено</t>
        </is>
      </c>
      <c r="W6904" s="35" t="inlineStr"/>
      <c r="X6904" s="35" t="inlineStr"/>
    </row>
    <row r="6905" ht="27.75" customHeight="1" s="24">
      <c r="A6905" s="13" t="inlineStr">
        <is>
          <t>FR438474</t>
        </is>
      </c>
      <c r="B6905" s="13" t="inlineStr">
        <is>
          <t>ОБЩЕСТВО С ОГРАНИЧЕННОЙ ОТВЕТСТВЕННОСТЬЮ "АКВАТРЕЙД"</t>
        </is>
      </c>
      <c r="C6905" s="13" t="n">
        <v>3810083441</v>
      </c>
      <c r="D6905" s="13" t="inlineStr">
        <is>
          <t>3810083441</t>
        </is>
      </c>
      <c r="E6905" s="13" t="inlineStr">
        <is>
          <t>ЮЛ РФ</t>
        </is>
      </c>
      <c r="F6905" s="13" t="n"/>
      <c r="G6905" s="52" t="n">
        <v>2</v>
      </c>
      <c r="H6905" s="52" t="n">
        <v>2025</v>
      </c>
      <c r="I6905" s="14" t="n"/>
      <c r="J6905" s="14" t="n"/>
      <c r="K6905" s="53" t="inlineStr">
        <is>
          <t>Нет</t>
        </is>
      </c>
      <c r="L6905" s="53" t="inlineStr">
        <is>
          <t>Не определено</t>
        </is>
      </c>
      <c r="M6905" s="53" t="inlineStr">
        <is>
          <t>До 10</t>
        </is>
      </c>
      <c r="N6905" s="54" t="n">
        <v>3360</v>
      </c>
      <c r="O6905" s="55" t="inlineStr">
        <is>
          <t>1–15</t>
        </is>
      </c>
      <c r="P6905" s="16" t="inlineStr">
        <is>
          <t>ССЧР обогащена; ОКВЭД не найден/не загружен</t>
        </is>
      </c>
      <c r="Q6905" s="16" t="inlineStr">
        <is>
          <t>ФНС открытые данные ССЧР (ДатаСост 31.12.2025; набор 7707329152-sshr2019)</t>
        </is>
      </c>
      <c r="R6905" s="16">
        <f>HYPERLINK("https://checko.ru/search?query=3801001629","Чекко: проверить")</f>
        <v/>
      </c>
      <c r="S6905" t="n">
        <v>1</v>
      </c>
      <c r="T6905" s="35" t="inlineStr">
        <is>
          <t>4 — Не обогащён</t>
        </is>
      </c>
      <c r="U6905" s="35" t="inlineStr">
        <is>
          <t>Нет ОКВЭД/ССЧР</t>
        </is>
      </c>
      <c r="V6905" s="35" t="inlineStr">
        <is>
          <t>Не определено</t>
        </is>
      </c>
      <c r="W6905" s="35" t="inlineStr">
        <is>
          <t>Нет</t>
        </is>
      </c>
      <c r="X6905" s="35" t="inlineStr"/>
    </row>
    <row r="6906" ht="15" customHeight="1" s="24">
      <c r="A6906" s="13" t="inlineStr">
        <is>
          <t>FR1067323</t>
        </is>
      </c>
      <c r="B6906" s="13" t="inlineStr">
        <is>
          <t>ИП Ярыев Эльман Бахрам Оглы</t>
        </is>
      </c>
      <c r="C6906" s="13" t="n">
        <v>383100601627</v>
      </c>
      <c r="D6906" s="13" t="inlineStr">
        <is>
          <t>383100601627</t>
        </is>
      </c>
      <c r="E6906" s="13" t="inlineStr">
        <is>
          <t>ИП РФ / физлицо</t>
        </is>
      </c>
      <c r="F6906" s="13" t="n"/>
      <c r="G6906" s="14" t="n"/>
      <c r="H6906" s="14" t="n"/>
      <c r="I6906" s="14" t="n"/>
      <c r="J6906" s="14" t="n"/>
      <c r="K6906" s="53" t="inlineStr"/>
      <c r="L6906" s="53" t="inlineStr">
        <is>
          <t>Не определено</t>
        </is>
      </c>
      <c r="M6906" s="53" t="inlineStr"/>
      <c r="N6906" s="54" t="inlineStr"/>
      <c r="O6906" s="55" t="inlineStr"/>
      <c r="P6906" s="16" t="inlineStr">
        <is>
          <t>Требует обогащения</t>
        </is>
      </c>
      <c r="Q6906" s="16">
        <f>HYPERLINK("https://pb.nalog.ru/search.html?query=383100601627","ФНС: проверить")</f>
        <v/>
      </c>
      <c r="R6906" s="16">
        <f>HYPERLINK("https://checko.ru/search?query=3801001629","Чекко: проверить")</f>
        <v/>
      </c>
      <c r="S6906" t="n">
        <v>1</v>
      </c>
      <c r="T6906" s="35" t="inlineStr">
        <is>
          <t>4 — Не обогащён</t>
        </is>
      </c>
      <c r="U6906" s="35" t="inlineStr">
        <is>
          <t>Нет ОКВЭД/ССЧР</t>
        </is>
      </c>
      <c r="V6906" s="35" t="inlineStr">
        <is>
          <t>Не определено</t>
        </is>
      </c>
      <c r="W6906" s="35" t="inlineStr"/>
      <c r="X6906" s="35" t="inlineStr"/>
    </row>
    <row r="6907" ht="27.75" customHeight="1" s="24">
      <c r="A6907" s="13" t="inlineStr">
        <is>
          <t>FR716907</t>
        </is>
      </c>
      <c r="B6907" s="13" t="inlineStr">
        <is>
          <t>Общество с ограниченной ответственностью "СЕЛЕНА"</t>
        </is>
      </c>
      <c r="C6907" s="13" t="n">
        <v>3844005716</v>
      </c>
      <c r="D6907" s="13" t="inlineStr">
        <is>
          <t>3844005716</t>
        </is>
      </c>
      <c r="E6907" s="13" t="inlineStr">
        <is>
          <t>ЮЛ РФ</t>
        </is>
      </c>
      <c r="F6907" s="13" t="n"/>
      <c r="G6907" s="52" t="n">
        <v>10</v>
      </c>
      <c r="H6907" s="52" t="n">
        <v>2025</v>
      </c>
      <c r="I6907" s="14" t="n"/>
      <c r="J6907" s="14" t="n"/>
      <c r="K6907" s="53" t="inlineStr">
        <is>
          <t>Нет</t>
        </is>
      </c>
      <c r="L6907" s="53" t="inlineStr">
        <is>
          <t>Не определено</t>
        </is>
      </c>
      <c r="M6907" s="53" t="inlineStr">
        <is>
          <t>До 10</t>
        </is>
      </c>
      <c r="N6907" s="54" t="n">
        <v>3360</v>
      </c>
      <c r="O6907" s="55" t="inlineStr">
        <is>
          <t>1–15</t>
        </is>
      </c>
      <c r="P6907" s="16" t="inlineStr">
        <is>
          <t>ССЧР обогащена; ОКВЭД не найден/не загружен</t>
        </is>
      </c>
      <c r="Q6907" s="16" t="inlineStr">
        <is>
          <t>ФНС открытые данные ССЧР (ДатаСост 31.12.2025; набор 7707329152-sshr2019)</t>
        </is>
      </c>
      <c r="R6907" s="16">
        <f>HYPERLINK("https://checko.ru/search?query=3801001629","Чекко: проверить")</f>
        <v/>
      </c>
      <c r="S6907" t="n">
        <v>1</v>
      </c>
      <c r="T6907" s="35" t="inlineStr">
        <is>
          <t>4 — Не обогащён</t>
        </is>
      </c>
      <c r="U6907" s="35" t="inlineStr">
        <is>
          <t>Нет ОКВЭД/ССЧР</t>
        </is>
      </c>
      <c r="V6907" s="35" t="inlineStr">
        <is>
          <t>Не определено</t>
        </is>
      </c>
      <c r="W6907" s="35" t="inlineStr">
        <is>
          <t>Нет</t>
        </is>
      </c>
      <c r="X6907" s="35" t="inlineStr"/>
    </row>
    <row r="6908" ht="41.25" customHeight="1" s="24">
      <c r="A6908" s="13" t="inlineStr">
        <is>
          <t>FR1260981</t>
        </is>
      </c>
      <c r="B6908" s="13" t="inlineStr">
        <is>
          <t>Общество с ограниченной ответственностью "УПРАВЛЯЮЩАЯ КОМПАНИЯ БИЗНЕС-ЦЕНТРА "ВАДИМ"</t>
        </is>
      </c>
      <c r="C6908" s="13" t="n">
        <v>3811475995</v>
      </c>
      <c r="D6908" s="13" t="inlineStr">
        <is>
          <t>3811475995</t>
        </is>
      </c>
      <c r="E6908" s="13" t="inlineStr">
        <is>
          <t>ЮЛ РФ</t>
        </is>
      </c>
      <c r="F6908" s="13" t="n"/>
      <c r="G6908" s="52" t="n">
        <v>1</v>
      </c>
      <c r="H6908" s="52" t="n">
        <v>2025</v>
      </c>
      <c r="I6908" s="14" t="n"/>
      <c r="J6908" s="14" t="n"/>
      <c r="K6908" s="53" t="inlineStr">
        <is>
          <t>Нет</t>
        </is>
      </c>
      <c r="L6908" s="53" t="inlineStr">
        <is>
          <t>Не определено</t>
        </is>
      </c>
      <c r="M6908" s="53" t="inlineStr">
        <is>
          <t>До 10</t>
        </is>
      </c>
      <c r="N6908" s="54" t="n">
        <v>3360</v>
      </c>
      <c r="O6908" s="55" t="inlineStr">
        <is>
          <t>1–15</t>
        </is>
      </c>
      <c r="P6908" s="16" t="inlineStr">
        <is>
          <t>ССЧР обогащена; ОКВЭД не найден/не загружен</t>
        </is>
      </c>
      <c r="Q6908" s="16" t="inlineStr">
        <is>
          <t>ФНС открытые данные ССЧР (ДатаСост 31.12.2025; набор 7707329152-sshr2019)</t>
        </is>
      </c>
      <c r="R6908" s="16">
        <f>HYPERLINK("https://checko.ru/search?query=3801001629","Чекко: проверить")</f>
        <v/>
      </c>
      <c r="S6908" t="n">
        <v>1</v>
      </c>
      <c r="T6908" s="35" t="inlineStr">
        <is>
          <t>4 — Не обогащён</t>
        </is>
      </c>
      <c r="U6908" s="35" t="inlineStr">
        <is>
          <t>Нет ОКВЭД/ССЧР</t>
        </is>
      </c>
      <c r="V6908" s="35" t="inlineStr">
        <is>
          <t>Не определено</t>
        </is>
      </c>
      <c r="W6908" s="35" t="inlineStr">
        <is>
          <t>Нет</t>
        </is>
      </c>
      <c r="X6908" s="35" t="inlineStr"/>
    </row>
    <row r="6909" ht="15" customHeight="1" s="24">
      <c r="A6909" s="13" t="inlineStr">
        <is>
          <t>FR1269909</t>
        </is>
      </c>
      <c r="B6909" s="13" t="inlineStr">
        <is>
          <t>ИП Потапова Анна Вячеславовна</t>
        </is>
      </c>
      <c r="C6909" s="13" t="n">
        <v>382801599727</v>
      </c>
      <c r="D6909" s="13" t="inlineStr">
        <is>
          <t>382801599727</t>
        </is>
      </c>
      <c r="E6909" s="13" t="inlineStr">
        <is>
          <t>ИП РФ / физлицо</t>
        </is>
      </c>
      <c r="F6909" s="13" t="n"/>
      <c r="G6909" s="14" t="n"/>
      <c r="H6909" s="14" t="n"/>
      <c r="I6909" s="14" t="n"/>
      <c r="J6909" s="14" t="n"/>
      <c r="K6909" s="53" t="inlineStr"/>
      <c r="L6909" s="53" t="inlineStr">
        <is>
          <t>Не определено</t>
        </is>
      </c>
      <c r="M6909" s="53" t="inlineStr"/>
      <c r="N6909" s="54" t="inlineStr"/>
      <c r="O6909" s="55" t="inlineStr"/>
      <c r="P6909" s="16" t="inlineStr">
        <is>
          <t>Требует обогащения</t>
        </is>
      </c>
      <c r="Q6909" s="16">
        <f>HYPERLINK("https://pb.nalog.ru/search.html?query=382801599727","ФНС: проверить")</f>
        <v/>
      </c>
      <c r="R6909" s="16">
        <f>HYPERLINK("https://checko.ru/search?query=3801001629","Чекко: проверить")</f>
        <v/>
      </c>
      <c r="S6909" t="n">
        <v>1</v>
      </c>
      <c r="T6909" s="35" t="inlineStr">
        <is>
          <t>4 — Не обогащён</t>
        </is>
      </c>
      <c r="U6909" s="35" t="inlineStr">
        <is>
          <t>Нет ОКВЭД/ССЧР</t>
        </is>
      </c>
      <c r="V6909" s="35" t="inlineStr">
        <is>
          <t>Не определено</t>
        </is>
      </c>
      <c r="W6909" s="35" t="inlineStr"/>
      <c r="X6909" s="35" t="inlineStr"/>
    </row>
    <row r="6910" ht="27.75" customHeight="1" s="24">
      <c r="A6910" s="13" t="inlineStr">
        <is>
          <t>FR572601</t>
        </is>
      </c>
      <c r="B6910" s="13" t="inlineStr">
        <is>
          <t>ОБЩЕСТВО С ОГРАНИЧЕННОЙ ОТВЕТСТВЕННОСТЬЮ "ГРАД"</t>
        </is>
      </c>
      <c r="C6910" s="13" t="n">
        <v>3811470965</v>
      </c>
      <c r="D6910" s="13" t="inlineStr">
        <is>
          <t>3811470965</t>
        </is>
      </c>
      <c r="E6910" s="13" t="inlineStr">
        <is>
          <t>ЮЛ РФ</t>
        </is>
      </c>
      <c r="F6910" s="13" t="n"/>
      <c r="G6910" s="52" t="n">
        <v>8</v>
      </c>
      <c r="H6910" s="52" t="n">
        <v>2025</v>
      </c>
      <c r="I6910" s="14" t="n"/>
      <c r="J6910" s="14" t="n"/>
      <c r="K6910" s="53" t="inlineStr">
        <is>
          <t>Нет</t>
        </is>
      </c>
      <c r="L6910" s="53" t="inlineStr">
        <is>
          <t>Не определено</t>
        </is>
      </c>
      <c r="M6910" s="53" t="inlineStr">
        <is>
          <t>До 10</t>
        </is>
      </c>
      <c r="N6910" s="54" t="n">
        <v>3360</v>
      </c>
      <c r="O6910" s="55" t="inlineStr">
        <is>
          <t>1–15</t>
        </is>
      </c>
      <c r="P6910" s="16" t="inlineStr">
        <is>
          <t>ССЧР обогащена; ОКВЭД не найден/не загружен</t>
        </is>
      </c>
      <c r="Q6910" s="16" t="inlineStr">
        <is>
          <t>ФНС открытые данные ССЧР (ДатаСост 31.12.2025; набор 7707329152-sshr2019)</t>
        </is>
      </c>
      <c r="R6910" s="16">
        <f>HYPERLINK("https://checko.ru/search?query=3801001629","Чекко: проверить")</f>
        <v/>
      </c>
      <c r="S6910" t="n">
        <v>1</v>
      </c>
      <c r="T6910" s="35" t="inlineStr">
        <is>
          <t>4 — Не обогащён</t>
        </is>
      </c>
      <c r="U6910" s="35" t="inlineStr">
        <is>
          <t>Нет ОКВЭД/ССЧР</t>
        </is>
      </c>
      <c r="V6910" s="35" t="inlineStr">
        <is>
          <t>Не определено</t>
        </is>
      </c>
      <c r="W6910" s="35" t="inlineStr">
        <is>
          <t>Нет</t>
        </is>
      </c>
      <c r="X6910" s="35" t="inlineStr"/>
    </row>
    <row r="6911" ht="15" customHeight="1" s="24">
      <c r="A6911" s="13" t="inlineStr">
        <is>
          <t>FR191585</t>
        </is>
      </c>
      <c r="B6911" s="13" t="inlineStr">
        <is>
          <t>ИП Колпиков Андрей Сергеевич</t>
        </is>
      </c>
      <c r="C6911" s="13" t="n">
        <v>263602512044</v>
      </c>
      <c r="D6911" s="13" t="inlineStr">
        <is>
          <t>263602512044</t>
        </is>
      </c>
      <c r="E6911" s="13" t="inlineStr">
        <is>
          <t>ИП РФ / физлицо</t>
        </is>
      </c>
      <c r="F6911" s="13" t="n"/>
      <c r="G6911" s="14" t="n"/>
      <c r="H6911" s="14" t="n"/>
      <c r="I6911" s="14" t="n"/>
      <c r="J6911" s="14" t="n"/>
      <c r="K6911" s="53" t="inlineStr"/>
      <c r="L6911" s="53" t="inlineStr">
        <is>
          <t>Не определено</t>
        </is>
      </c>
      <c r="M6911" s="53" t="inlineStr"/>
      <c r="N6911" s="54" t="inlineStr"/>
      <c r="O6911" s="55" t="inlineStr"/>
      <c r="P6911" s="16" t="inlineStr">
        <is>
          <t>Требует обогащения</t>
        </is>
      </c>
      <c r="Q6911" s="16">
        <f>HYPERLINK("https://pb.nalog.ru/search.html?query=263602512044","ФНС: проверить")</f>
        <v/>
      </c>
      <c r="R6911" s="16">
        <f>HYPERLINK("https://checko.ru/search?query=3801001629","Чекко: проверить")</f>
        <v/>
      </c>
      <c r="S6911" t="n">
        <v>1</v>
      </c>
      <c r="T6911" s="35" t="inlineStr">
        <is>
          <t>4 — Не обогащён</t>
        </is>
      </c>
      <c r="U6911" s="35" t="inlineStr">
        <is>
          <t>Нет ОКВЭД/ССЧР</t>
        </is>
      </c>
      <c r="V6911" s="35" t="inlineStr">
        <is>
          <t>Не определено</t>
        </is>
      </c>
      <c r="W6911" s="35" t="inlineStr"/>
      <c r="X6911" s="35" t="inlineStr"/>
    </row>
    <row r="6912" ht="27.75" customHeight="1" s="24">
      <c r="A6912" s="13" t="inlineStr">
        <is>
          <t>FR878554</t>
        </is>
      </c>
      <c r="B6912" s="13" t="inlineStr">
        <is>
          <t>Общество с ограниченной ответственностью "ЛАГАРД"</t>
        </is>
      </c>
      <c r="C6912" s="13" t="n">
        <v>3812999952</v>
      </c>
      <c r="D6912" s="13" t="inlineStr">
        <is>
          <t>3812999952</t>
        </is>
      </c>
      <c r="E6912" s="13" t="inlineStr">
        <is>
          <t>ЮЛ РФ</t>
        </is>
      </c>
      <c r="F6912" s="13" t="n"/>
      <c r="G6912" s="52" t="n">
        <v>2</v>
      </c>
      <c r="H6912" s="52" t="n">
        <v>2025</v>
      </c>
      <c r="I6912" s="14" t="n"/>
      <c r="J6912" s="14" t="n"/>
      <c r="K6912" s="53" t="inlineStr">
        <is>
          <t>Нет</t>
        </is>
      </c>
      <c r="L6912" s="53" t="inlineStr">
        <is>
          <t>Не определено</t>
        </is>
      </c>
      <c r="M6912" s="53" t="inlineStr">
        <is>
          <t>До 10</t>
        </is>
      </c>
      <c r="N6912" s="54" t="n">
        <v>3360</v>
      </c>
      <c r="O6912" s="55" t="inlineStr">
        <is>
          <t>1–15</t>
        </is>
      </c>
      <c r="P6912" s="16" t="inlineStr">
        <is>
          <t>ССЧР обогащена; ОКВЭД не найден/не загружен</t>
        </is>
      </c>
      <c r="Q6912" s="16" t="inlineStr">
        <is>
          <t>ФНС открытые данные ССЧР (ДатаСост 31.12.2025; набор 7707329152-sshr2019)</t>
        </is>
      </c>
      <c r="R6912" s="16">
        <f>HYPERLINK("https://checko.ru/search?query=3801001629","Чекко: проверить")</f>
        <v/>
      </c>
      <c r="S6912" t="n">
        <v>1</v>
      </c>
      <c r="T6912" s="35" t="inlineStr">
        <is>
          <t>4 — Не обогащён</t>
        </is>
      </c>
      <c r="U6912" s="35" t="inlineStr">
        <is>
          <t>Нет ОКВЭД/ССЧР</t>
        </is>
      </c>
      <c r="V6912" s="35" t="inlineStr">
        <is>
          <t>Не определено</t>
        </is>
      </c>
      <c r="W6912" s="35" t="inlineStr">
        <is>
          <t>Нет</t>
        </is>
      </c>
      <c r="X6912" s="35" t="inlineStr"/>
    </row>
    <row r="6913" ht="15" customHeight="1" s="24">
      <c r="A6913" s="13" t="inlineStr">
        <is>
          <t>FR1261766</t>
        </is>
      </c>
      <c r="B6913" s="13" t="inlineStr">
        <is>
          <t>ИП Сухарева Нина Николаевна</t>
        </is>
      </c>
      <c r="C6913" s="13" t="n">
        <v>380894761687</v>
      </c>
      <c r="D6913" s="13" t="inlineStr">
        <is>
          <t>380894761687</t>
        </is>
      </c>
      <c r="E6913" s="13" t="inlineStr">
        <is>
          <t>ИП РФ / физлицо</t>
        </is>
      </c>
      <c r="F6913" s="13" t="n"/>
      <c r="G6913" s="14" t="n"/>
      <c r="H6913" s="14" t="n"/>
      <c r="I6913" s="14" t="n"/>
      <c r="J6913" s="14" t="n"/>
      <c r="K6913" s="53" t="inlineStr"/>
      <c r="L6913" s="53" t="inlineStr">
        <is>
          <t>Не определено</t>
        </is>
      </c>
      <c r="M6913" s="53" t="inlineStr"/>
      <c r="N6913" s="54" t="inlineStr"/>
      <c r="O6913" s="55" t="inlineStr"/>
      <c r="P6913" s="16" t="inlineStr">
        <is>
          <t>Требует обогащения</t>
        </is>
      </c>
      <c r="Q6913" s="16">
        <f>HYPERLINK("https://pb.nalog.ru/search.html?query=380894761687","ФНС: проверить")</f>
        <v/>
      </c>
      <c r="R6913" s="16">
        <f>HYPERLINK("https://checko.ru/search?query=3801001629","Чекко: проверить")</f>
        <v/>
      </c>
      <c r="S6913" t="n">
        <v>1</v>
      </c>
      <c r="T6913" s="35" t="inlineStr">
        <is>
          <t>4 — Не обогащён</t>
        </is>
      </c>
      <c r="U6913" s="35" t="inlineStr">
        <is>
          <t>Нет ОКВЭД/ССЧР</t>
        </is>
      </c>
      <c r="V6913" s="35" t="inlineStr">
        <is>
          <t>Не определено</t>
        </is>
      </c>
      <c r="W6913" s="35" t="inlineStr"/>
      <c r="X6913" s="35" t="inlineStr"/>
    </row>
    <row r="6914" ht="27.75" customHeight="1" s="24">
      <c r="A6914" s="13" t="inlineStr">
        <is>
          <t>FR1261843</t>
        </is>
      </c>
      <c r="B6914" s="13" t="inlineStr">
        <is>
          <t>Общество с ограниченной ответственностью "СТЕЛЛА +"</t>
        </is>
      </c>
      <c r="C6914" s="13" t="n">
        <v>3801164430</v>
      </c>
      <c r="D6914" s="13" t="inlineStr">
        <is>
          <t>3801164430</t>
        </is>
      </c>
      <c r="E6914" s="13" t="inlineStr">
        <is>
          <t>ЮЛ РФ</t>
        </is>
      </c>
      <c r="F6914" s="13" t="n"/>
      <c r="G6914" s="52" t="n">
        <v>4</v>
      </c>
      <c r="H6914" s="52" t="n">
        <v>2025</v>
      </c>
      <c r="I6914" s="14" t="n"/>
      <c r="J6914" s="14" t="n"/>
      <c r="K6914" s="53" t="inlineStr">
        <is>
          <t>Нет</t>
        </is>
      </c>
      <c r="L6914" s="53" t="inlineStr">
        <is>
          <t>Не определено</t>
        </is>
      </c>
      <c r="M6914" s="53" t="inlineStr">
        <is>
          <t>До 10</t>
        </is>
      </c>
      <c r="N6914" s="54" t="n">
        <v>3360</v>
      </c>
      <c r="O6914" s="55" t="inlineStr">
        <is>
          <t>1–15</t>
        </is>
      </c>
      <c r="P6914" s="16" t="inlineStr">
        <is>
          <t>ССЧР обогащена; ОКВЭД не найден/не загружен</t>
        </is>
      </c>
      <c r="Q6914" s="16" t="inlineStr">
        <is>
          <t>ФНС открытые данные ССЧР (ДатаСост 31.12.2025; набор 7707329152-sshr2019)</t>
        </is>
      </c>
      <c r="R6914" s="16">
        <f>HYPERLINK("https://checko.ru/search?query=3801001629","Чекко: проверить")</f>
        <v/>
      </c>
      <c r="S6914" t="n">
        <v>1</v>
      </c>
      <c r="T6914" s="35" t="inlineStr">
        <is>
          <t>4 — Не обогащён</t>
        </is>
      </c>
      <c r="U6914" s="35" t="inlineStr">
        <is>
          <t>Нет ОКВЭД/ССЧР</t>
        </is>
      </c>
      <c r="V6914" s="35" t="inlineStr">
        <is>
          <t>Не определено</t>
        </is>
      </c>
      <c r="W6914" s="35" t="inlineStr">
        <is>
          <t>Нет</t>
        </is>
      </c>
      <c r="X6914" s="35" t="inlineStr"/>
    </row>
    <row r="6915" ht="15" customHeight="1" s="24">
      <c r="A6915" s="13" t="inlineStr">
        <is>
          <t>FR297982</t>
        </is>
      </c>
      <c r="B6915" s="13" t="inlineStr">
        <is>
          <t>ИП Азовский Андрей Минзафарович</t>
        </is>
      </c>
      <c r="C6915" s="13" t="n">
        <v>381251454603</v>
      </c>
      <c r="D6915" s="13" t="inlineStr">
        <is>
          <t>381251454603</t>
        </is>
      </c>
      <c r="E6915" s="13" t="inlineStr">
        <is>
          <t>ИП РФ / физлицо</t>
        </is>
      </c>
      <c r="F6915" s="13" t="n"/>
      <c r="G6915" s="14" t="n"/>
      <c r="H6915" s="14" t="n"/>
      <c r="I6915" s="14" t="n"/>
      <c r="J6915" s="14" t="n"/>
      <c r="K6915" s="53" t="inlineStr"/>
      <c r="L6915" s="53" t="inlineStr">
        <is>
          <t>Не определено</t>
        </is>
      </c>
      <c r="M6915" s="53" t="inlineStr"/>
      <c r="N6915" s="54" t="inlineStr"/>
      <c r="O6915" s="55" t="inlineStr"/>
      <c r="P6915" s="16" t="inlineStr">
        <is>
          <t>Требует обогащения</t>
        </is>
      </c>
      <c r="Q6915" s="16">
        <f>HYPERLINK("https://pb.nalog.ru/search.html?query=381251454603","ФНС: проверить")</f>
        <v/>
      </c>
      <c r="R6915" s="16">
        <f>HYPERLINK("https://checko.ru/search?query=3801001629","Чекко: проверить")</f>
        <v/>
      </c>
      <c r="S6915" t="n">
        <v>1</v>
      </c>
      <c r="T6915" s="35" t="inlineStr">
        <is>
          <t>4 — Не обогащён</t>
        </is>
      </c>
      <c r="U6915" s="35" t="inlineStr">
        <is>
          <t>Нет ОКВЭД/ССЧР</t>
        </is>
      </c>
      <c r="V6915" s="35" t="inlineStr">
        <is>
          <t>Не определено</t>
        </is>
      </c>
      <c r="W6915" s="35" t="inlineStr"/>
      <c r="X6915" s="35" t="inlineStr"/>
    </row>
    <row r="6916" ht="27.75" customHeight="1" s="24">
      <c r="A6916" s="13" t="inlineStr">
        <is>
          <t>FR727231</t>
        </is>
      </c>
      <c r="B6916" s="13" t="inlineStr">
        <is>
          <t>Общество с ограниченной ответственностью "КАТРИН"</t>
        </is>
      </c>
      <c r="C6916" s="13" t="n">
        <v>2466150100</v>
      </c>
      <c r="D6916" s="13" t="inlineStr">
        <is>
          <t>2466150100</t>
        </is>
      </c>
      <c r="E6916" s="13" t="inlineStr">
        <is>
          <t>ЮЛ РФ</t>
        </is>
      </c>
      <c r="F6916" s="13" t="n"/>
      <c r="G6916" s="52" t="n">
        <v>12</v>
      </c>
      <c r="H6916" s="52" t="n">
        <v>2025</v>
      </c>
      <c r="I6916" s="14" t="n"/>
      <c r="J6916" s="14" t="n"/>
      <c r="K6916" s="53" t="inlineStr">
        <is>
          <t>Нет</t>
        </is>
      </c>
      <c r="L6916" s="53" t="inlineStr">
        <is>
          <t>Не определено</t>
        </is>
      </c>
      <c r="M6916" s="53" t="inlineStr">
        <is>
          <t>До 25</t>
        </is>
      </c>
      <c r="N6916" s="54" t="n">
        <v>8400</v>
      </c>
      <c r="O6916" s="55" t="inlineStr">
        <is>
          <t>1–15</t>
        </is>
      </c>
      <c r="P6916" s="16" t="inlineStr">
        <is>
          <t>ССЧР обогащена; ОКВЭД не найден/не загружен</t>
        </is>
      </c>
      <c r="Q6916" s="16" t="inlineStr">
        <is>
          <t>ФНС открытые данные ССЧР (ДатаСост 31.12.2025; набор 7707329152-sshr2019)</t>
        </is>
      </c>
      <c r="R6916" s="16">
        <f>HYPERLINK("https://checko.ru/search?query=3801001629","Чекко: проверить")</f>
        <v/>
      </c>
      <c r="S6916" t="n">
        <v>1</v>
      </c>
      <c r="T6916" s="35" t="inlineStr">
        <is>
          <t>4 — Не обогащён</t>
        </is>
      </c>
      <c r="U6916" s="35" t="inlineStr">
        <is>
          <t>Нет ОКВЭД/ССЧР</t>
        </is>
      </c>
      <c r="V6916" s="35" t="inlineStr">
        <is>
          <t>Не определено</t>
        </is>
      </c>
      <c r="W6916" s="35" t="inlineStr">
        <is>
          <t>Нет</t>
        </is>
      </c>
      <c r="X6916" s="35" t="inlineStr"/>
    </row>
    <row r="6917" ht="27.75" customHeight="1" s="24">
      <c r="A6917" s="13" t="inlineStr">
        <is>
          <t>FR723578</t>
        </is>
      </c>
      <c r="B6917" s="13" t="inlineStr">
        <is>
          <t>Общество с ограниченной ответственностью "ЛИСС"</t>
        </is>
      </c>
      <c r="C6917" s="13" t="n">
        <v>7536166723</v>
      </c>
      <c r="D6917" s="13" t="inlineStr">
        <is>
          <t>7536166723</t>
        </is>
      </c>
      <c r="E6917" s="13" t="inlineStr">
        <is>
          <t>ЮЛ РФ</t>
        </is>
      </c>
      <c r="F6917" s="13" t="n"/>
      <c r="G6917" s="52" t="n">
        <v>13</v>
      </c>
      <c r="H6917" s="52" t="n">
        <v>2025</v>
      </c>
      <c r="I6917" s="14" t="n"/>
      <c r="J6917" s="14" t="n"/>
      <c r="K6917" s="53" t="inlineStr">
        <is>
          <t>Нет</t>
        </is>
      </c>
      <c r="L6917" s="53" t="inlineStr">
        <is>
          <t>Не определено</t>
        </is>
      </c>
      <c r="M6917" s="53" t="inlineStr">
        <is>
          <t>До 25</t>
        </is>
      </c>
      <c r="N6917" s="54" t="n">
        <v>8400</v>
      </c>
      <c r="O6917" s="55" t="inlineStr">
        <is>
          <t>1–15</t>
        </is>
      </c>
      <c r="P6917" s="16" t="inlineStr">
        <is>
          <t>ССЧР обогащена; ОКВЭД не найден/не загружен</t>
        </is>
      </c>
      <c r="Q6917" s="16" t="inlineStr">
        <is>
          <t>ФНС открытые данные ССЧР (ДатаСост 31.12.2025; набор 7707329152-sshr2019)</t>
        </is>
      </c>
      <c r="R6917" s="16">
        <f>HYPERLINK("https://checko.ru/search?query=3801001629","Чекко: проверить")</f>
        <v/>
      </c>
      <c r="S6917" t="n">
        <v>1</v>
      </c>
      <c r="T6917" s="35" t="inlineStr">
        <is>
          <t>4 — Не обогащён</t>
        </is>
      </c>
      <c r="U6917" s="35" t="inlineStr">
        <is>
          <t>Нет ОКВЭД/ССЧР</t>
        </is>
      </c>
      <c r="V6917" s="35" t="inlineStr">
        <is>
          <t>Не определено</t>
        </is>
      </c>
      <c r="W6917" s="35" t="inlineStr">
        <is>
          <t>Нет</t>
        </is>
      </c>
      <c r="X6917" s="35" t="inlineStr"/>
    </row>
    <row r="6918" ht="15" customHeight="1" s="24">
      <c r="A6918" s="13" t="inlineStr">
        <is>
          <t>FR196269</t>
        </is>
      </c>
      <c r="B6918" s="13" t="inlineStr">
        <is>
          <t>ПРОМИНСТРУМЕНТ ООО</t>
        </is>
      </c>
      <c r="C6918" s="13" t="n">
        <v>3827018722</v>
      </c>
      <c r="D6918" s="13" t="inlineStr">
        <is>
          <t>3827018722</t>
        </is>
      </c>
      <c r="E6918" s="13" t="inlineStr">
        <is>
          <t>ЮЛ РФ</t>
        </is>
      </c>
      <c r="F6918" s="13" t="n"/>
      <c r="G6918" s="52" t="n">
        <v>1</v>
      </c>
      <c r="H6918" s="52" t="n">
        <v>2025</v>
      </c>
      <c r="I6918" s="14" t="n"/>
      <c r="J6918" s="14" t="n"/>
      <c r="K6918" s="53" t="inlineStr">
        <is>
          <t>Нет</t>
        </is>
      </c>
      <c r="L6918" s="53" t="inlineStr">
        <is>
          <t>Не определено</t>
        </is>
      </c>
      <c r="M6918" s="53" t="inlineStr">
        <is>
          <t>До 10</t>
        </is>
      </c>
      <c r="N6918" s="54" t="n">
        <v>3360</v>
      </c>
      <c r="O6918" s="55" t="inlineStr">
        <is>
          <t>1–15</t>
        </is>
      </c>
      <c r="P6918" s="16" t="inlineStr">
        <is>
          <t>ССЧР обогащена; ОКВЭД не найден/не загружен</t>
        </is>
      </c>
      <c r="Q6918" s="16" t="inlineStr">
        <is>
          <t>ФНС открытые данные ССЧР (ДатаСост 31.12.2025; набор 7707329152-sshr2019)</t>
        </is>
      </c>
      <c r="R6918" s="16">
        <f>HYPERLINK("https://checko.ru/search?query=3801001629","Чекко: проверить")</f>
        <v/>
      </c>
      <c r="S6918" t="n">
        <v>1</v>
      </c>
      <c r="T6918" s="35" t="inlineStr">
        <is>
          <t>4 — Не обогащён</t>
        </is>
      </c>
      <c r="U6918" s="35" t="inlineStr">
        <is>
          <t>Нет ОКВЭД/ССЧР</t>
        </is>
      </c>
      <c r="V6918" s="35" t="inlineStr">
        <is>
          <t>Не определено</t>
        </is>
      </c>
      <c r="W6918" s="35" t="inlineStr">
        <is>
          <t>Нет</t>
        </is>
      </c>
      <c r="X6918" s="35" t="inlineStr"/>
    </row>
    <row r="6919" ht="27.75" customHeight="1" s="24">
      <c r="A6919" s="13" t="inlineStr">
        <is>
          <t>FR723156</t>
        </is>
      </c>
      <c r="B6919" s="13" t="inlineStr">
        <is>
          <t>Общество с ограниченной ответственностью "ДРИАДА ТУР"</t>
        </is>
      </c>
      <c r="C6919" s="13" t="n">
        <v>2317076228</v>
      </c>
      <c r="D6919" s="13" t="inlineStr">
        <is>
          <t>2317076228</t>
        </is>
      </c>
      <c r="E6919" s="13" t="inlineStr">
        <is>
          <t>ЮЛ РФ</t>
        </is>
      </c>
      <c r="F6919" s="13" t="n"/>
      <c r="G6919" s="52" t="n">
        <v>4</v>
      </c>
      <c r="H6919" s="52" t="n">
        <v>2025</v>
      </c>
      <c r="I6919" s="14" t="n"/>
      <c r="J6919" s="14" t="n"/>
      <c r="K6919" s="53" t="inlineStr">
        <is>
          <t>Нет</t>
        </is>
      </c>
      <c r="L6919" s="53" t="inlineStr">
        <is>
          <t>Не определено</t>
        </is>
      </c>
      <c r="M6919" s="53" t="inlineStr">
        <is>
          <t>До 10</t>
        </is>
      </c>
      <c r="N6919" s="54" t="n">
        <v>3360</v>
      </c>
      <c r="O6919" s="55" t="inlineStr">
        <is>
          <t>1–15</t>
        </is>
      </c>
      <c r="P6919" s="16" t="inlineStr">
        <is>
          <t>ССЧР обогащена; ОКВЭД не найден/не загружен</t>
        </is>
      </c>
      <c r="Q6919" s="16" t="inlineStr">
        <is>
          <t>ФНС открытые данные ССЧР (ДатаСост 31.12.2025; набор 7707329152-sshr2019)</t>
        </is>
      </c>
      <c r="R6919" s="16">
        <f>HYPERLINK("https://checko.ru/search?query=3801001629","Чекко: проверить")</f>
        <v/>
      </c>
      <c r="S6919" t="n">
        <v>1</v>
      </c>
      <c r="T6919" s="35" t="inlineStr">
        <is>
          <t>4 — Не обогащён</t>
        </is>
      </c>
      <c r="U6919" s="35" t="inlineStr">
        <is>
          <t>Нет ОКВЭД/ССЧР</t>
        </is>
      </c>
      <c r="V6919" s="35" t="inlineStr">
        <is>
          <t>Не определено</t>
        </is>
      </c>
      <c r="W6919" s="35" t="inlineStr">
        <is>
          <t>Нет</t>
        </is>
      </c>
      <c r="X6919" s="35" t="inlineStr"/>
    </row>
    <row r="6920" ht="27.75" customHeight="1" s="24">
      <c r="A6920" s="13" t="inlineStr">
        <is>
          <t>FR1263168</t>
        </is>
      </c>
      <c r="B6920" s="13" t="inlineStr">
        <is>
          <t>Общество с ограниченной ответственностью "ТР-МОТОРС"</t>
        </is>
      </c>
      <c r="C6920" s="13" t="n">
        <v>9729290953</v>
      </c>
      <c r="D6920" s="13" t="inlineStr">
        <is>
          <t>9729290953</t>
        </is>
      </c>
      <c r="E6920" s="13" t="inlineStr">
        <is>
          <t>ЮЛ РФ</t>
        </is>
      </c>
      <c r="F6920" s="13" t="n"/>
      <c r="G6920" s="52" t="n">
        <v>0</v>
      </c>
      <c r="H6920" s="52" t="n">
        <v>2025</v>
      </c>
      <c r="I6920" s="14" t="n"/>
      <c r="J6920" s="14" t="n"/>
      <c r="K6920" s="53" t="inlineStr">
        <is>
          <t>Нет</t>
        </is>
      </c>
      <c r="L6920" s="53" t="inlineStr">
        <is>
          <t>Не определено</t>
        </is>
      </c>
      <c r="M6920" s="53" t="inlineStr">
        <is>
          <t>До 10</t>
        </is>
      </c>
      <c r="N6920" s="54" t="n">
        <v>3360</v>
      </c>
      <c r="O6920" s="55" t="inlineStr">
        <is>
          <t>1–15</t>
        </is>
      </c>
      <c r="P6920" s="16" t="inlineStr">
        <is>
          <t>ССЧР обогащена; ОКВЭД не найден/не загружен</t>
        </is>
      </c>
      <c r="Q6920" s="16" t="inlineStr">
        <is>
          <t>ФНС открытые данные ССЧР (ДатаСост 31.12.2025; набор 7707329152-sshr2019)</t>
        </is>
      </c>
      <c r="R6920" s="16">
        <f>HYPERLINK("https://checko.ru/search?query=3801001629","Чекко: проверить")</f>
        <v/>
      </c>
      <c r="S6920" t="n">
        <v>1</v>
      </c>
      <c r="T6920" s="35" t="inlineStr">
        <is>
          <t>4 — Не обогащён</t>
        </is>
      </c>
      <c r="U6920" s="35" t="inlineStr">
        <is>
          <t>Нет ОКВЭД/ССЧР</t>
        </is>
      </c>
      <c r="V6920" s="35" t="inlineStr">
        <is>
          <t>Не определено</t>
        </is>
      </c>
      <c r="W6920" s="35" t="inlineStr">
        <is>
          <t>Нет</t>
        </is>
      </c>
      <c r="X6920" s="35" t="inlineStr"/>
    </row>
    <row r="6921" ht="27.75" customHeight="1" s="24">
      <c r="A6921" s="13" t="inlineStr">
        <is>
          <t>FR1246637</t>
        </is>
      </c>
      <c r="B6921" s="13" t="inlineStr">
        <is>
          <t>СОЮЗ ВОЗРОЖДЕНИЯ ТРАДИЦИЙ РАБОЧЕГО КОНЕВОДСТВА</t>
        </is>
      </c>
      <c r="C6921" s="13" t="n">
        <v>9725196741</v>
      </c>
      <c r="D6921" s="13" t="inlineStr">
        <is>
          <t>9725196741</t>
        </is>
      </c>
      <c r="E6921" s="13" t="inlineStr">
        <is>
          <t>ЮЛ РФ</t>
        </is>
      </c>
      <c r="F6921" s="13" t="n"/>
      <c r="G6921" s="14" t="n"/>
      <c r="H6921" s="14" t="n"/>
      <c r="I6921" s="14" t="n"/>
      <c r="J6921" s="14" t="n"/>
      <c r="K6921" s="53" t="inlineStr"/>
      <c r="L6921" s="53" t="inlineStr">
        <is>
          <t>Не определено</t>
        </is>
      </c>
      <c r="M6921" s="53" t="inlineStr"/>
      <c r="N6921" s="54" t="inlineStr"/>
      <c r="O6921" s="55" t="inlineStr"/>
      <c r="P6921" s="16" t="inlineStr">
        <is>
          <t>Требует обогащения</t>
        </is>
      </c>
      <c r="Q6921" s="16">
        <f>HYPERLINK("https://pb.nalog.ru/search.html?query=9725196741","ФНС: проверить")</f>
        <v/>
      </c>
      <c r="R6921" s="16">
        <f>HYPERLINK("https://checko.ru/search?query=3801001629","Чекко: проверить")</f>
        <v/>
      </c>
      <c r="S6921" t="n">
        <v>1</v>
      </c>
      <c r="T6921" s="35" t="inlineStr">
        <is>
          <t>4 — Не обогащён</t>
        </is>
      </c>
      <c r="U6921" s="35" t="inlineStr">
        <is>
          <t>Нет ОКВЭД/ССЧР</t>
        </is>
      </c>
      <c r="V6921" s="35" t="inlineStr">
        <is>
          <t>Не определено</t>
        </is>
      </c>
      <c r="W6921" s="35" t="inlineStr"/>
      <c r="X6921" s="35" t="inlineStr"/>
    </row>
    <row r="6922" ht="27.75" customHeight="1" s="24">
      <c r="A6922" s="13" t="inlineStr">
        <is>
          <t>FR718608</t>
        </is>
      </c>
      <c r="B6922" s="13" t="inlineStr">
        <is>
          <t>Общество с ограниченной ответственностью "ГЕТ-ЛОГИСТИК"</t>
        </is>
      </c>
      <c r="C6922" s="13" t="n">
        <v>3811475508</v>
      </c>
      <c r="D6922" s="13" t="inlineStr">
        <is>
          <t>3811475508</t>
        </is>
      </c>
      <c r="E6922" s="13" t="inlineStr">
        <is>
          <t>ЮЛ РФ</t>
        </is>
      </c>
      <c r="F6922" s="13" t="n"/>
      <c r="G6922" s="52" t="n">
        <v>5</v>
      </c>
      <c r="H6922" s="52" t="n">
        <v>2025</v>
      </c>
      <c r="I6922" s="14" t="n"/>
      <c r="J6922" s="14" t="n"/>
      <c r="K6922" s="53" t="inlineStr">
        <is>
          <t>Нет</t>
        </is>
      </c>
      <c r="L6922" s="53" t="inlineStr">
        <is>
          <t>Не определено</t>
        </is>
      </c>
      <c r="M6922" s="53" t="inlineStr">
        <is>
          <t>До 10</t>
        </is>
      </c>
      <c r="N6922" s="54" t="n">
        <v>3360</v>
      </c>
      <c r="O6922" s="55" t="inlineStr">
        <is>
          <t>1–15</t>
        </is>
      </c>
      <c r="P6922" s="16" t="inlineStr">
        <is>
          <t>ССЧР обогащена; ОКВЭД не найден/не загружен</t>
        </is>
      </c>
      <c r="Q6922" s="16" t="inlineStr">
        <is>
          <t>ФНС открытые данные ССЧР (ДатаСост 31.12.2025; набор 7707329152-sshr2019)</t>
        </is>
      </c>
      <c r="R6922" s="16">
        <f>HYPERLINK("https://checko.ru/search?query=3801001629","Чекко: проверить")</f>
        <v/>
      </c>
      <c r="S6922" t="n">
        <v>1</v>
      </c>
      <c r="T6922" s="35" t="inlineStr">
        <is>
          <t>4 — Не обогащён</t>
        </is>
      </c>
      <c r="U6922" s="35" t="inlineStr">
        <is>
          <t>Нет ОКВЭД/ССЧР</t>
        </is>
      </c>
      <c r="V6922" s="35" t="inlineStr">
        <is>
          <t>Не определено</t>
        </is>
      </c>
      <c r="W6922" s="35" t="inlineStr">
        <is>
          <t>Нет</t>
        </is>
      </c>
      <c r="X6922" s="35" t="inlineStr"/>
    </row>
    <row r="6923" ht="15" customHeight="1" s="24">
      <c r="A6923" s="13" t="inlineStr">
        <is>
          <t>FR879129</t>
        </is>
      </c>
      <c r="B6923" s="13" t="inlineStr">
        <is>
          <t>ООО "БСТ"</t>
        </is>
      </c>
      <c r="C6923" s="13" t="n">
        <v>3827066660</v>
      </c>
      <c r="D6923" s="13" t="inlineStr">
        <is>
          <t>3827066660</t>
        </is>
      </c>
      <c r="E6923" s="13" t="inlineStr">
        <is>
          <t>ЮЛ РФ</t>
        </is>
      </c>
      <c r="F6923" s="13" t="n"/>
      <c r="G6923" s="52" t="n">
        <v>2</v>
      </c>
      <c r="H6923" s="52" t="n">
        <v>2025</v>
      </c>
      <c r="I6923" s="14" t="n"/>
      <c r="J6923" s="14" t="n"/>
      <c r="K6923" s="53" t="inlineStr">
        <is>
          <t>Нет</t>
        </is>
      </c>
      <c r="L6923" s="53" t="inlineStr">
        <is>
          <t>Не определено</t>
        </is>
      </c>
      <c r="M6923" s="53" t="inlineStr">
        <is>
          <t>До 10</t>
        </is>
      </c>
      <c r="N6923" s="54" t="n">
        <v>3360</v>
      </c>
      <c r="O6923" s="55" t="inlineStr">
        <is>
          <t>1–15</t>
        </is>
      </c>
      <c r="P6923" s="16" t="inlineStr">
        <is>
          <t>ССЧР обогащена; ОКВЭД не найден/не загружен</t>
        </is>
      </c>
      <c r="Q6923" s="16" t="inlineStr">
        <is>
          <t>ФНС открытые данные ССЧР (ДатаСост 31.12.2025; набор 7707329152-sshr2019)</t>
        </is>
      </c>
      <c r="R6923" s="16">
        <f>HYPERLINK("https://checko.ru/search?query=3801001629","Чекко: проверить")</f>
        <v/>
      </c>
      <c r="S6923" t="n">
        <v>1</v>
      </c>
      <c r="T6923" s="35" t="inlineStr">
        <is>
          <t>4 — Не обогащён</t>
        </is>
      </c>
      <c r="U6923" s="35" t="inlineStr">
        <is>
          <t>Нет ОКВЭД/ССЧР</t>
        </is>
      </c>
      <c r="V6923" s="35" t="inlineStr">
        <is>
          <t>Не определено</t>
        </is>
      </c>
      <c r="W6923" s="35" t="inlineStr">
        <is>
          <t>Нет</t>
        </is>
      </c>
      <c r="X6923" s="35" t="inlineStr"/>
    </row>
    <row r="6924" ht="27.75" customHeight="1" s="24">
      <c r="A6924" s="13" t="inlineStr">
        <is>
          <t>FR577389</t>
        </is>
      </c>
      <c r="B6924" s="13" t="inlineStr">
        <is>
          <t>Общество с ограниченной ответственностью "УНИКС-СТРОЙ"</t>
        </is>
      </c>
      <c r="C6924" s="13" t="n">
        <v>5402060922</v>
      </c>
      <c r="D6924" s="13" t="inlineStr">
        <is>
          <t>5402060922</t>
        </is>
      </c>
      <c r="E6924" s="13" t="inlineStr">
        <is>
          <t>ЮЛ РФ</t>
        </is>
      </c>
      <c r="F6924" s="13" t="n"/>
      <c r="G6924" s="52" t="n">
        <v>0</v>
      </c>
      <c r="H6924" s="52" t="n">
        <v>2025</v>
      </c>
      <c r="I6924" s="14" t="n"/>
      <c r="J6924" s="14" t="n"/>
      <c r="K6924" s="53" t="inlineStr">
        <is>
          <t>Нет</t>
        </is>
      </c>
      <c r="L6924" s="53" t="inlineStr">
        <is>
          <t>Не определено</t>
        </is>
      </c>
      <c r="M6924" s="53" t="inlineStr">
        <is>
          <t>До 10</t>
        </is>
      </c>
      <c r="N6924" s="54" t="n">
        <v>3360</v>
      </c>
      <c r="O6924" s="55" t="inlineStr">
        <is>
          <t>1–15</t>
        </is>
      </c>
      <c r="P6924" s="16" t="inlineStr">
        <is>
          <t>ССЧР обогащена; ОКВЭД не найден/не загружен</t>
        </is>
      </c>
      <c r="Q6924" s="16" t="inlineStr">
        <is>
          <t>ФНС открытые данные ССЧР (ДатаСост 31.12.2025; набор 7707329152-sshr2019)</t>
        </is>
      </c>
      <c r="R6924" s="16">
        <f>HYPERLINK("https://checko.ru/search?query=3801001629","Чекко: проверить")</f>
        <v/>
      </c>
      <c r="S6924" t="n">
        <v>1</v>
      </c>
      <c r="T6924" s="35" t="inlineStr">
        <is>
          <t>4 — Не обогащён</t>
        </is>
      </c>
      <c r="U6924" s="35" t="inlineStr">
        <is>
          <t>Нет ОКВЭД/ССЧР</t>
        </is>
      </c>
      <c r="V6924" s="35" t="inlineStr">
        <is>
          <t>Не определено</t>
        </is>
      </c>
      <c r="W6924" s="35" t="inlineStr">
        <is>
          <t>Нет</t>
        </is>
      </c>
      <c r="X6924" s="35" t="inlineStr"/>
    </row>
    <row r="6925" ht="15" customHeight="1" s="24">
      <c r="A6925" s="13" t="inlineStr">
        <is>
          <t>FR2740</t>
        </is>
      </c>
      <c r="B6925" s="13" t="inlineStr">
        <is>
          <t>ИП Лобанов Вячеслав Александрович</t>
        </is>
      </c>
      <c r="C6925" s="13" t="n">
        <v>381259019994</v>
      </c>
      <c r="D6925" s="13" t="inlineStr">
        <is>
          <t>381259019994</t>
        </is>
      </c>
      <c r="E6925" s="13" t="inlineStr">
        <is>
          <t>ИП РФ / физлицо</t>
        </is>
      </c>
      <c r="F6925" s="13" t="n"/>
      <c r="G6925" s="14" t="n"/>
      <c r="H6925" s="14" t="n"/>
      <c r="I6925" s="14" t="n"/>
      <c r="J6925" s="14" t="n"/>
      <c r="K6925" s="53" t="inlineStr"/>
      <c r="L6925" s="53" t="inlineStr">
        <is>
          <t>Не определено</t>
        </is>
      </c>
      <c r="M6925" s="53" t="inlineStr"/>
      <c r="N6925" s="54" t="inlineStr"/>
      <c r="O6925" s="55" t="inlineStr"/>
      <c r="P6925" s="16" t="inlineStr">
        <is>
          <t>Требует обогащения</t>
        </is>
      </c>
      <c r="Q6925" s="16">
        <f>HYPERLINK("https://pb.nalog.ru/search.html?query=381259019994","ФНС: проверить")</f>
        <v/>
      </c>
      <c r="R6925" s="16">
        <f>HYPERLINK("https://checko.ru/search?query=3801001629","Чекко: проверить")</f>
        <v/>
      </c>
      <c r="S6925" t="n">
        <v>1</v>
      </c>
      <c r="T6925" s="35" t="inlineStr">
        <is>
          <t>4 — Не обогащён</t>
        </is>
      </c>
      <c r="U6925" s="35" t="inlineStr">
        <is>
          <t>Нет ОКВЭД/ССЧР</t>
        </is>
      </c>
      <c r="V6925" s="35" t="inlineStr">
        <is>
          <t>Не определено</t>
        </is>
      </c>
      <c r="W6925" s="35" t="inlineStr"/>
      <c r="X6925" s="35" t="inlineStr"/>
    </row>
    <row r="6926" ht="41.25" customHeight="1" s="24">
      <c r="A6926" s="13" t="inlineStr">
        <is>
          <t>FR871075</t>
        </is>
      </c>
      <c r="B6926" s="13" t="inlineStr">
        <is>
          <t>ПЕРВИЧНАЯ ПРОФСОЮЗНАЯ ОРГАНИЗАЦИЯ "РАЗРЕЗ ТУЛУНУГОЛЬ" РОССИЙСКОГО НЕЗАВИСИМОГО ПРОФСОЮЗА РАБОТНИКОВ</t>
        </is>
      </c>
      <c r="C6926" s="13" t="n">
        <v>3816003700</v>
      </c>
      <c r="D6926" s="13" t="inlineStr">
        <is>
          <t>3816003700</t>
        </is>
      </c>
      <c r="E6926" s="13" t="inlineStr">
        <is>
          <t>ЮЛ РФ</t>
        </is>
      </c>
      <c r="F6926" s="13" t="n"/>
      <c r="G6926" s="14" t="n"/>
      <c r="H6926" s="14" t="n"/>
      <c r="I6926" s="14" t="n"/>
      <c r="J6926" s="14" t="n"/>
      <c r="K6926" s="53" t="inlineStr"/>
      <c r="L6926" s="53" t="inlineStr">
        <is>
          <t>Не определено</t>
        </is>
      </c>
      <c r="M6926" s="53" t="inlineStr"/>
      <c r="N6926" s="54" t="inlineStr"/>
      <c r="O6926" s="55" t="inlineStr"/>
      <c r="P6926" s="16" t="inlineStr">
        <is>
          <t>Требует обогащения</t>
        </is>
      </c>
      <c r="Q6926" s="16">
        <f>HYPERLINK("https://pb.nalog.ru/search.html?query=3816003700","ФНС: проверить")</f>
        <v/>
      </c>
      <c r="R6926" s="16">
        <f>HYPERLINK("https://checko.ru/search?query=3801001629","Чекко: проверить")</f>
        <v/>
      </c>
      <c r="S6926" t="n">
        <v>0</v>
      </c>
      <c r="T6926" s="35" t="inlineStr">
        <is>
          <t>4 — Не обогащён</t>
        </is>
      </c>
      <c r="U6926" s="35" t="inlineStr">
        <is>
          <t>Нет ОКВЭД/ССЧР</t>
        </is>
      </c>
      <c r="V6926" s="35" t="inlineStr">
        <is>
          <t>Не определено</t>
        </is>
      </c>
      <c r="W6926" s="35" t="inlineStr"/>
      <c r="X6926" s="35" t="inlineStr"/>
    </row>
    <row r="6927" ht="15" customHeight="1" s="24">
      <c r="A6927" s="13" t="inlineStr">
        <is>
          <t>FR52309</t>
        </is>
      </c>
      <c r="B6927" s="13" t="inlineStr">
        <is>
          <t>ИП Родина Анастасия Сергеевна</t>
        </is>
      </c>
      <c r="C6927" s="13" t="n">
        <v>228401577197</v>
      </c>
      <c r="D6927" s="13" t="inlineStr">
        <is>
          <t>228401577197</t>
        </is>
      </c>
      <c r="E6927" s="13" t="inlineStr">
        <is>
          <t>ИП РФ / физлицо</t>
        </is>
      </c>
      <c r="F6927" s="13" t="n"/>
      <c r="G6927" s="14" t="n"/>
      <c r="H6927" s="14" t="n"/>
      <c r="I6927" s="14" t="n"/>
      <c r="J6927" s="14" t="n"/>
      <c r="K6927" s="53" t="inlineStr"/>
      <c r="L6927" s="53" t="inlineStr">
        <is>
          <t>Не определено</t>
        </is>
      </c>
      <c r="M6927" s="53" t="inlineStr"/>
      <c r="N6927" s="54" t="inlineStr"/>
      <c r="O6927" s="55" t="inlineStr"/>
      <c r="P6927" s="16" t="inlineStr">
        <is>
          <t>Требует обогащения</t>
        </is>
      </c>
      <c r="Q6927" s="16">
        <f>HYPERLINK("https://pb.nalog.ru/search.html?query=228401577197","ФНС: проверить")</f>
        <v/>
      </c>
      <c r="R6927" s="16">
        <f>HYPERLINK("https://checko.ru/search?query=3801001629","Чекко: проверить")</f>
        <v/>
      </c>
      <c r="S6927" t="n">
        <v>1</v>
      </c>
      <c r="T6927" s="35" t="inlineStr">
        <is>
          <t>4 — Не обогащён</t>
        </is>
      </c>
      <c r="U6927" s="35" t="inlineStr">
        <is>
          <t>Нет ОКВЭД/ССЧР</t>
        </is>
      </c>
      <c r="V6927" s="35" t="inlineStr">
        <is>
          <t>Не определено</t>
        </is>
      </c>
      <c r="W6927" s="35" t="inlineStr"/>
      <c r="X6927" s="35" t="inlineStr"/>
    </row>
    <row r="6928" ht="15" customHeight="1" s="24">
      <c r="A6928" s="13" t="inlineStr">
        <is>
          <t>FR406238</t>
        </is>
      </c>
      <c r="B6928" s="13" t="inlineStr">
        <is>
          <t>ИП Грабаренко Юрий Андреевич</t>
        </is>
      </c>
      <c r="C6928" s="13" t="n">
        <v>783830116208</v>
      </c>
      <c r="D6928" s="13" t="inlineStr">
        <is>
          <t>783830116208</t>
        </is>
      </c>
      <c r="E6928" s="13" t="inlineStr">
        <is>
          <t>ИП РФ / физлицо</t>
        </is>
      </c>
      <c r="F6928" s="13" t="n"/>
      <c r="G6928" s="14" t="n"/>
      <c r="H6928" s="14" t="n"/>
      <c r="I6928" s="14" t="n"/>
      <c r="J6928" s="14" t="n"/>
      <c r="K6928" s="53" t="inlineStr"/>
      <c r="L6928" s="53" t="inlineStr">
        <is>
          <t>Не определено</t>
        </is>
      </c>
      <c r="M6928" s="53" t="inlineStr"/>
      <c r="N6928" s="54" t="inlineStr"/>
      <c r="O6928" s="55" t="inlineStr"/>
      <c r="P6928" s="16" t="inlineStr">
        <is>
          <t>Требует обогащения</t>
        </is>
      </c>
      <c r="Q6928" s="16">
        <f>HYPERLINK("https://pb.nalog.ru/search.html?query=783830116208","ФНС: проверить")</f>
        <v/>
      </c>
      <c r="R6928" s="16">
        <f>HYPERLINK("https://checko.ru/search?query=3801001629","Чекко: проверить")</f>
        <v/>
      </c>
      <c r="S6928" t="n">
        <v>1</v>
      </c>
      <c r="T6928" s="35" t="inlineStr">
        <is>
          <t>4 — Не обогащён</t>
        </is>
      </c>
      <c r="U6928" s="35" t="inlineStr">
        <is>
          <t>Нет ОКВЭД/ССЧР</t>
        </is>
      </c>
      <c r="V6928" s="35" t="inlineStr">
        <is>
          <t>Не определено</t>
        </is>
      </c>
      <c r="W6928" s="35" t="inlineStr"/>
      <c r="X6928" s="35" t="inlineStr"/>
    </row>
    <row r="6929" ht="27.75" customHeight="1" s="24">
      <c r="A6929" s="13" t="inlineStr">
        <is>
          <t>FR574971</t>
        </is>
      </c>
      <c r="B6929" s="13" t="inlineStr">
        <is>
          <t>ОБЩЕСТВО С ОГРАНИЧЕННОЙ ОТВЕТСТВЕННОСТЬЮ "ИГРА ВЛ"</t>
        </is>
      </c>
      <c r="C6929" s="13" t="n">
        <v>2536261706</v>
      </c>
      <c r="D6929" s="13" t="inlineStr">
        <is>
          <t>2536261706</t>
        </is>
      </c>
      <c r="E6929" s="13" t="inlineStr">
        <is>
          <t>ЮЛ РФ</t>
        </is>
      </c>
      <c r="F6929" s="13" t="n"/>
      <c r="G6929" s="52" t="n">
        <v>1</v>
      </c>
      <c r="H6929" s="52" t="n">
        <v>2025</v>
      </c>
      <c r="I6929" s="14" t="n"/>
      <c r="J6929" s="14" t="n"/>
      <c r="K6929" s="53" t="inlineStr">
        <is>
          <t>Нет</t>
        </is>
      </c>
      <c r="L6929" s="53" t="inlineStr">
        <is>
          <t>Не определено</t>
        </is>
      </c>
      <c r="M6929" s="53" t="inlineStr">
        <is>
          <t>До 10</t>
        </is>
      </c>
      <c r="N6929" s="54" t="n">
        <v>3360</v>
      </c>
      <c r="O6929" s="55" t="inlineStr">
        <is>
          <t>1–15</t>
        </is>
      </c>
      <c r="P6929" s="16" t="inlineStr">
        <is>
          <t>ССЧР обогащена; ОКВЭД не найден/не загружен</t>
        </is>
      </c>
      <c r="Q6929" s="16" t="inlineStr">
        <is>
          <t>ФНС открытые данные ССЧР (ДатаСост 31.12.2025; набор 7707329152-sshr2019)</t>
        </is>
      </c>
      <c r="R6929" s="16">
        <f>HYPERLINK("https://checko.ru/search?query=3801001629","Чекко: проверить")</f>
        <v/>
      </c>
      <c r="S6929" t="n">
        <v>1</v>
      </c>
      <c r="T6929" s="35" t="inlineStr">
        <is>
          <t>4 — Не обогащён</t>
        </is>
      </c>
      <c r="U6929" s="35" t="inlineStr">
        <is>
          <t>Нет ОКВЭД/ССЧР</t>
        </is>
      </c>
      <c r="V6929" s="35" t="inlineStr">
        <is>
          <t>Не определено</t>
        </is>
      </c>
      <c r="W6929" s="35" t="inlineStr">
        <is>
          <t>Нет</t>
        </is>
      </c>
      <c r="X6929" s="35" t="inlineStr"/>
    </row>
    <row r="6930" ht="15" customHeight="1" s="24">
      <c r="A6930" s="13" t="inlineStr">
        <is>
          <t>FR715740</t>
        </is>
      </c>
      <c r="B6930" s="13" t="inlineStr">
        <is>
          <t>ИП Букрина Наталья Викторовна</t>
        </is>
      </c>
      <c r="C6930" s="13" t="n">
        <v>381298856033</v>
      </c>
      <c r="D6930" s="13" t="inlineStr">
        <is>
          <t>381298856033</t>
        </is>
      </c>
      <c r="E6930" s="13" t="inlineStr">
        <is>
          <t>ИП РФ / физлицо</t>
        </is>
      </c>
      <c r="F6930" s="13" t="n"/>
      <c r="G6930" s="14" t="n"/>
      <c r="H6930" s="14" t="n"/>
      <c r="I6930" s="14" t="n"/>
      <c r="J6930" s="14" t="n"/>
      <c r="K6930" s="53" t="inlineStr"/>
      <c r="L6930" s="53" t="inlineStr">
        <is>
          <t>Не определено</t>
        </is>
      </c>
      <c r="M6930" s="53" t="inlineStr"/>
      <c r="N6930" s="54" t="inlineStr"/>
      <c r="O6930" s="55" t="inlineStr"/>
      <c r="P6930" s="16" t="inlineStr">
        <is>
          <t>Требует обогащения</t>
        </is>
      </c>
      <c r="Q6930" s="16">
        <f>HYPERLINK("https://pb.nalog.ru/search.html?query=381298856033","ФНС: проверить")</f>
        <v/>
      </c>
      <c r="R6930" s="16">
        <f>HYPERLINK("https://checko.ru/search?query=3801001629","Чекко: проверить")</f>
        <v/>
      </c>
      <c r="S6930" t="n">
        <v>1</v>
      </c>
      <c r="T6930" s="35" t="inlineStr">
        <is>
          <t>4 — Не обогащён</t>
        </is>
      </c>
      <c r="U6930" s="35" t="inlineStr">
        <is>
          <t>Нет ОКВЭД/ССЧР</t>
        </is>
      </c>
      <c r="V6930" s="35" t="inlineStr">
        <is>
          <t>Не определено</t>
        </is>
      </c>
      <c r="W6930" s="35" t="inlineStr"/>
      <c r="X6930" s="35" t="inlineStr"/>
    </row>
    <row r="6931" ht="15" customHeight="1" s="24">
      <c r="A6931" s="13" t="inlineStr">
        <is>
          <t>FR715740</t>
        </is>
      </c>
      <c r="B6931" s="13" t="inlineStr">
        <is>
          <t>ИП Букрина Наталья Викторовна</t>
        </is>
      </c>
      <c r="C6931" s="13" t="n">
        <v>381298856033</v>
      </c>
      <c r="D6931" s="13" t="inlineStr">
        <is>
          <t>381298856033</t>
        </is>
      </c>
      <c r="E6931" s="13" t="inlineStr">
        <is>
          <t>ИП РФ / физлицо</t>
        </is>
      </c>
      <c r="F6931" s="13" t="n"/>
      <c r="G6931" s="14" t="n"/>
      <c r="H6931" s="14" t="n"/>
      <c r="I6931" s="14" t="n"/>
      <c r="J6931" s="14" t="n"/>
      <c r="K6931" s="53" t="inlineStr"/>
      <c r="L6931" s="53" t="inlineStr">
        <is>
          <t>Не определено</t>
        </is>
      </c>
      <c r="M6931" s="53" t="inlineStr"/>
      <c r="N6931" s="54" t="inlineStr"/>
      <c r="O6931" s="55" t="inlineStr"/>
      <c r="P6931" s="16" t="inlineStr">
        <is>
          <t>Требует обогащения</t>
        </is>
      </c>
      <c r="Q6931" s="16">
        <f>HYPERLINK("https://pb.nalog.ru/search.html?query=381298856033","ФНС: проверить")</f>
        <v/>
      </c>
      <c r="R6931" s="16">
        <f>HYPERLINK("https://checko.ru/search?query=3801001629","Чекко: проверить")</f>
        <v/>
      </c>
      <c r="S6931" t="n">
        <v>0</v>
      </c>
      <c r="T6931" s="35" t="inlineStr">
        <is>
          <t>4 — Не обогащён</t>
        </is>
      </c>
      <c r="U6931" s="35" t="inlineStr">
        <is>
          <t>Нет ОКВЭД/ССЧР</t>
        </is>
      </c>
      <c r="V6931" s="35" t="inlineStr">
        <is>
          <t>Не определено</t>
        </is>
      </c>
      <c r="W6931" s="35" t="inlineStr"/>
      <c r="X6931" s="35" t="inlineStr"/>
    </row>
    <row r="6932" ht="15" customHeight="1" s="24">
      <c r="A6932" s="13" t="inlineStr">
        <is>
          <t>FR713949</t>
        </is>
      </c>
      <c r="B6932" s="13" t="inlineStr">
        <is>
          <t>ИП Кибирева Оксана Викторовна</t>
        </is>
      </c>
      <c r="C6932" s="13" t="n">
        <v>751802519749</v>
      </c>
      <c r="D6932" s="13" t="inlineStr">
        <is>
          <t>751802519749</t>
        </is>
      </c>
      <c r="E6932" s="13" t="inlineStr">
        <is>
          <t>ИП РФ / физлицо</t>
        </is>
      </c>
      <c r="F6932" s="13" t="n"/>
      <c r="G6932" s="14" t="n"/>
      <c r="H6932" s="14" t="n"/>
      <c r="I6932" s="14" t="n"/>
      <c r="J6932" s="14" t="n"/>
      <c r="K6932" s="53" t="inlineStr"/>
      <c r="L6932" s="53" t="inlineStr">
        <is>
          <t>Не определено</t>
        </is>
      </c>
      <c r="M6932" s="53" t="inlineStr"/>
      <c r="N6932" s="54" t="inlineStr"/>
      <c r="O6932" s="55" t="inlineStr"/>
      <c r="P6932" s="16" t="inlineStr">
        <is>
          <t>Требует обогащения</t>
        </is>
      </c>
      <c r="Q6932" s="16">
        <f>HYPERLINK("https://pb.nalog.ru/search.html?query=751802519749","ФНС: проверить")</f>
        <v/>
      </c>
      <c r="R6932" s="16">
        <f>HYPERLINK("https://checko.ru/search?query=3801001629","Чекко: проверить")</f>
        <v/>
      </c>
      <c r="S6932" t="n">
        <v>1</v>
      </c>
      <c r="T6932" s="35" t="inlineStr">
        <is>
          <t>4 — Не обогащён</t>
        </is>
      </c>
      <c r="U6932" s="35" t="inlineStr">
        <is>
          <t>Нет ОКВЭД/ССЧР</t>
        </is>
      </c>
      <c r="V6932" s="35" t="inlineStr">
        <is>
          <t>Не определено</t>
        </is>
      </c>
      <c r="W6932" s="35" t="inlineStr"/>
      <c r="X6932" s="35" t="inlineStr"/>
    </row>
    <row r="6933" ht="27.75" customHeight="1" s="24">
      <c r="A6933" s="13" t="inlineStr">
        <is>
          <t>FR1078964</t>
        </is>
      </c>
      <c r="B6933" s="13" t="inlineStr">
        <is>
          <t>Общество с ограниченной ответственностью "СПК АКВИЛА"</t>
        </is>
      </c>
      <c r="C6933" s="13" t="n">
        <v>3808288924</v>
      </c>
      <c r="D6933" s="13" t="inlineStr">
        <is>
          <t>3808288924</t>
        </is>
      </c>
      <c r="E6933" s="13" t="inlineStr">
        <is>
          <t>ЮЛ РФ</t>
        </is>
      </c>
      <c r="F6933" s="13" t="n"/>
      <c r="G6933" s="52" t="n">
        <v>2</v>
      </c>
      <c r="H6933" s="52" t="n">
        <v>2025</v>
      </c>
      <c r="I6933" s="14" t="n"/>
      <c r="J6933" s="14" t="n"/>
      <c r="K6933" s="53" t="inlineStr">
        <is>
          <t>Нет</t>
        </is>
      </c>
      <c r="L6933" s="53" t="inlineStr">
        <is>
          <t>Не определено</t>
        </is>
      </c>
      <c r="M6933" s="53" t="inlineStr">
        <is>
          <t>До 10</t>
        </is>
      </c>
      <c r="N6933" s="54" t="n">
        <v>3360</v>
      </c>
      <c r="O6933" s="55" t="inlineStr">
        <is>
          <t>1–15</t>
        </is>
      </c>
      <c r="P6933" s="16" t="inlineStr">
        <is>
          <t>ССЧР обогащена; ОКВЭД не найден/не загружен</t>
        </is>
      </c>
      <c r="Q6933" s="16" t="inlineStr">
        <is>
          <t>ФНС открытые данные ССЧР (ДатаСост 31.12.2025; набор 7707329152-sshr2019)</t>
        </is>
      </c>
      <c r="R6933" s="16">
        <f>HYPERLINK("https://checko.ru/search?query=3801001629","Чекко: проверить")</f>
        <v/>
      </c>
      <c r="S6933" t="n">
        <v>1</v>
      </c>
      <c r="T6933" s="35" t="inlineStr">
        <is>
          <t>4 — Не обогащён</t>
        </is>
      </c>
      <c r="U6933" s="35" t="inlineStr">
        <is>
          <t>Нет ОКВЭД/ССЧР</t>
        </is>
      </c>
      <c r="V6933" s="35" t="inlineStr">
        <is>
          <t>Не определено</t>
        </is>
      </c>
      <c r="W6933" s="35" t="inlineStr">
        <is>
          <t>Нет</t>
        </is>
      </c>
      <c r="X6933" s="35" t="inlineStr"/>
    </row>
    <row r="6934" ht="41.25" customHeight="1" s="24">
      <c r="A6934" s="13" t="inlineStr">
        <is>
          <t>FR1262184</t>
        </is>
      </c>
      <c r="B6934" s="13" t="inlineStr">
        <is>
          <t>СЕЛЬСКОХОЗЯЙСТВЕННЫЙ СНАБЖЕНЧЕСКО-СБЫТОВОЙ ПОТРЕБИТЕЛЬСКИЙ ПЕРЕРАБАТЫВАЮЩИЙ КООПЕРАТИВ "ДИАНИКА"</t>
        </is>
      </c>
      <c r="C6934" s="13" t="n">
        <v>3849111556</v>
      </c>
      <c r="D6934" s="13" t="inlineStr">
        <is>
          <t>3849111556</t>
        </is>
      </c>
      <c r="E6934" s="13" t="inlineStr">
        <is>
          <t>ЮЛ РФ</t>
        </is>
      </c>
      <c r="F6934" s="13" t="n"/>
      <c r="G6934" s="14" t="n"/>
      <c r="H6934" s="14" t="n"/>
      <c r="I6934" s="14" t="n"/>
      <c r="J6934" s="14" t="n"/>
      <c r="K6934" s="53" t="inlineStr"/>
      <c r="L6934" s="53" t="inlineStr">
        <is>
          <t>Не определено</t>
        </is>
      </c>
      <c r="M6934" s="53" t="inlineStr"/>
      <c r="N6934" s="54" t="inlineStr"/>
      <c r="O6934" s="55" t="inlineStr"/>
      <c r="P6934" s="16" t="inlineStr">
        <is>
          <t>Требует обогащения</t>
        </is>
      </c>
      <c r="Q6934" s="16">
        <f>HYPERLINK("https://pb.nalog.ru/search.html?query=3849111556","ФНС: проверить")</f>
        <v/>
      </c>
      <c r="R6934" s="16">
        <f>HYPERLINK("https://checko.ru/search?query=3801001629","Чекко: проверить")</f>
        <v/>
      </c>
      <c r="S6934" t="n">
        <v>1</v>
      </c>
      <c r="T6934" s="35" t="inlineStr">
        <is>
          <t>4 — Не обогащён</t>
        </is>
      </c>
      <c r="U6934" s="35" t="inlineStr">
        <is>
          <t>Нет ОКВЭД/ССЧР</t>
        </is>
      </c>
      <c r="V6934" s="35" t="inlineStr">
        <is>
          <t>Не определено</t>
        </is>
      </c>
      <c r="W6934" s="35" t="inlineStr"/>
      <c r="X6934" s="35" t="inlineStr"/>
    </row>
    <row r="6935" ht="15" customHeight="1" s="24">
      <c r="A6935" s="13" t="inlineStr">
        <is>
          <t>FR431433</t>
        </is>
      </c>
      <c r="B6935" s="13" t="inlineStr">
        <is>
          <t>ИП Андреева Елена Владимировна</t>
        </is>
      </c>
      <c r="C6935" s="13" t="n">
        <v>380402396312</v>
      </c>
      <c r="D6935" s="13" t="inlineStr">
        <is>
          <t>380402396312</t>
        </is>
      </c>
      <c r="E6935" s="13" t="inlineStr">
        <is>
          <t>ИП РФ / физлицо</t>
        </is>
      </c>
      <c r="F6935" s="13" t="n"/>
      <c r="G6935" s="14" t="n"/>
      <c r="H6935" s="14" t="n"/>
      <c r="I6935" s="14" t="n"/>
      <c r="J6935" s="14" t="n"/>
      <c r="K6935" s="53" t="inlineStr"/>
      <c r="L6935" s="53" t="inlineStr">
        <is>
          <t>Не определено</t>
        </is>
      </c>
      <c r="M6935" s="53" t="inlineStr"/>
      <c r="N6935" s="54" t="inlineStr"/>
      <c r="O6935" s="55" t="inlineStr"/>
      <c r="P6935" s="16" t="inlineStr">
        <is>
          <t>Требует обогащения</t>
        </is>
      </c>
      <c r="Q6935" s="16">
        <f>HYPERLINK("https://pb.nalog.ru/search.html?query=380402396312","ФНС: проверить")</f>
        <v/>
      </c>
      <c r="R6935" s="16">
        <f>HYPERLINK("https://checko.ru/search?query=3801001629","Чекко: проверить")</f>
        <v/>
      </c>
      <c r="S6935" t="n">
        <v>1</v>
      </c>
      <c r="T6935" s="35" t="inlineStr">
        <is>
          <t>4 — Не обогащён</t>
        </is>
      </c>
      <c r="U6935" s="35" t="inlineStr">
        <is>
          <t>Нет ОКВЭД/ССЧР</t>
        </is>
      </c>
      <c r="V6935" s="35" t="inlineStr">
        <is>
          <t>Не определено</t>
        </is>
      </c>
      <c r="W6935" s="35" t="inlineStr"/>
      <c r="X6935" s="35" t="inlineStr"/>
    </row>
    <row r="6936" ht="41.25" customHeight="1" s="24">
      <c r="A6936" s="13" t="inlineStr">
        <is>
          <t>FR299316</t>
        </is>
      </c>
      <c r="B6936" s="13" t="inlineStr">
        <is>
          <t>ОБЩЕСТВО С ОГРАНИЧЕННОЙ ОТВЕТСТВЕННОСТЬЮ ТРАНСПОРТНАЯ КОМПАНИЯ "СПЕЦПАРТНЕР"</t>
        </is>
      </c>
      <c r="C6936" s="13" t="n">
        <v>3811459697</v>
      </c>
      <c r="D6936" s="13" t="inlineStr">
        <is>
          <t>3811459697</t>
        </is>
      </c>
      <c r="E6936" s="13" t="inlineStr">
        <is>
          <t>ЮЛ РФ</t>
        </is>
      </c>
      <c r="F6936" s="13" t="n"/>
      <c r="G6936" s="52" t="n">
        <v>3</v>
      </c>
      <c r="H6936" s="52" t="n">
        <v>2025</v>
      </c>
      <c r="I6936" s="14" t="n"/>
      <c r="J6936" s="14" t="n"/>
      <c r="K6936" s="53" t="inlineStr">
        <is>
          <t>Нет</t>
        </is>
      </c>
      <c r="L6936" s="53" t="inlineStr">
        <is>
          <t>Не определено</t>
        </is>
      </c>
      <c r="M6936" s="53" t="inlineStr">
        <is>
          <t>До 10</t>
        </is>
      </c>
      <c r="N6936" s="54" t="n">
        <v>3360</v>
      </c>
      <c r="O6936" s="55" t="inlineStr">
        <is>
          <t>1–15</t>
        </is>
      </c>
      <c r="P6936" s="16" t="inlineStr">
        <is>
          <t>ССЧР обогащена; ОКВЭД не найден/не загружен</t>
        </is>
      </c>
      <c r="Q6936" s="16" t="inlineStr">
        <is>
          <t>ФНС открытые данные ССЧР (ДатаСост 31.12.2025; набор 7707329152-sshr2019)</t>
        </is>
      </c>
      <c r="R6936" s="16">
        <f>HYPERLINK("https://checko.ru/search?query=3801001629","Чекко: проверить")</f>
        <v/>
      </c>
      <c r="S6936" t="n">
        <v>1</v>
      </c>
      <c r="T6936" s="35" t="inlineStr">
        <is>
          <t>4 — Не обогащён</t>
        </is>
      </c>
      <c r="U6936" s="35" t="inlineStr">
        <is>
          <t>Нет ОКВЭД/ССЧР</t>
        </is>
      </c>
      <c r="V6936" s="35" t="inlineStr">
        <is>
          <t>Не определено</t>
        </is>
      </c>
      <c r="W6936" s="35" t="inlineStr">
        <is>
          <t>Нет</t>
        </is>
      </c>
      <c r="X6936" s="35" t="inlineStr"/>
    </row>
    <row r="6937" ht="15" customHeight="1" s="24">
      <c r="A6937" s="13" t="inlineStr">
        <is>
          <t>FR1278839</t>
        </is>
      </c>
      <c r="B6937" s="13" t="inlineStr">
        <is>
          <t>ИП Басов Евгений Павлович</t>
        </is>
      </c>
      <c r="C6937" s="13" t="n">
        <v>380891360278</v>
      </c>
      <c r="D6937" s="13" t="inlineStr">
        <is>
          <t>380891360278</t>
        </is>
      </c>
      <c r="E6937" s="13" t="inlineStr">
        <is>
          <t>ИП РФ / физлицо</t>
        </is>
      </c>
      <c r="F6937" s="13" t="n"/>
      <c r="G6937" s="14" t="n"/>
      <c r="H6937" s="14" t="n"/>
      <c r="I6937" s="14" t="n"/>
      <c r="J6937" s="14" t="n"/>
      <c r="K6937" s="53" t="inlineStr"/>
      <c r="L6937" s="53" t="inlineStr">
        <is>
          <t>Не определено</t>
        </is>
      </c>
      <c r="M6937" s="53" t="inlineStr"/>
      <c r="N6937" s="54" t="inlineStr"/>
      <c r="O6937" s="55" t="inlineStr"/>
      <c r="P6937" s="16" t="inlineStr">
        <is>
          <t>Требует обогащения</t>
        </is>
      </c>
      <c r="Q6937" s="16">
        <f>HYPERLINK("https://pb.nalog.ru/search.html?query=380891360278","ФНС: проверить")</f>
        <v/>
      </c>
      <c r="R6937" s="16">
        <f>HYPERLINK("https://checko.ru/search?query=3801001629","Чекко: проверить")</f>
        <v/>
      </c>
      <c r="S6937" t="n">
        <v>1</v>
      </c>
      <c r="T6937" s="35" t="inlineStr">
        <is>
          <t>4 — Не обогащён</t>
        </is>
      </c>
      <c r="U6937" s="35" t="inlineStr">
        <is>
          <t>Нет ОКВЭД/ССЧР</t>
        </is>
      </c>
      <c r="V6937" s="35" t="inlineStr">
        <is>
          <t>Не определено</t>
        </is>
      </c>
      <c r="W6937" s="35" t="inlineStr"/>
      <c r="X6937" s="35" t="inlineStr"/>
    </row>
    <row r="6938" ht="15" customHeight="1" s="24">
      <c r="A6938" s="13" t="inlineStr">
        <is>
          <t>FR1266935</t>
        </is>
      </c>
      <c r="B6938" s="13" t="inlineStr">
        <is>
          <t>ИП Москаленко Артём Михайлович</t>
        </is>
      </c>
      <c r="C6938" s="13" t="n">
        <v>770370385694</v>
      </c>
      <c r="D6938" s="13" t="inlineStr">
        <is>
          <t>770370385694</t>
        </is>
      </c>
      <c r="E6938" s="13" t="inlineStr">
        <is>
          <t>ИП РФ / физлицо</t>
        </is>
      </c>
      <c r="F6938" s="13" t="n"/>
      <c r="G6938" s="14" t="n"/>
      <c r="H6938" s="14" t="n"/>
      <c r="I6938" s="14" t="n"/>
      <c r="J6938" s="14" t="n"/>
      <c r="K6938" s="53" t="inlineStr"/>
      <c r="L6938" s="53" t="inlineStr">
        <is>
          <t>Не определено</t>
        </is>
      </c>
      <c r="M6938" s="53" t="inlineStr"/>
      <c r="N6938" s="54" t="inlineStr"/>
      <c r="O6938" s="55" t="inlineStr"/>
      <c r="P6938" s="16" t="inlineStr">
        <is>
          <t>Требует обогащения</t>
        </is>
      </c>
      <c r="Q6938" s="16">
        <f>HYPERLINK("https://pb.nalog.ru/search.html?query=770370385694","ФНС: проверить")</f>
        <v/>
      </c>
      <c r="R6938" s="16">
        <f>HYPERLINK("https://checko.ru/search?query=3801001629","Чекко: проверить")</f>
        <v/>
      </c>
      <c r="S6938" t="n">
        <v>1</v>
      </c>
      <c r="T6938" s="35" t="inlineStr">
        <is>
          <t>4 — Не обогащён</t>
        </is>
      </c>
      <c r="U6938" s="35" t="inlineStr">
        <is>
          <t>Нет ОКВЭД/ССЧР</t>
        </is>
      </c>
      <c r="V6938" s="35" t="inlineStr">
        <is>
          <t>Не определено</t>
        </is>
      </c>
      <c r="W6938" s="35" t="inlineStr"/>
      <c r="X6938" s="35" t="inlineStr"/>
    </row>
    <row r="6939" ht="27.75" customHeight="1" s="24">
      <c r="A6939" s="13" t="inlineStr">
        <is>
          <t>FR729680</t>
        </is>
      </c>
      <c r="B6939" s="13" t="inlineStr">
        <is>
          <t>Общество с ограниченной ответственностью "СОДЕЙСТВИЕ БИЗНЕСУ"</t>
        </is>
      </c>
      <c r="C6939" s="13" t="n">
        <v>3808233940</v>
      </c>
      <c r="D6939" s="13" t="inlineStr">
        <is>
          <t>3808233940</t>
        </is>
      </c>
      <c r="E6939" s="13" t="inlineStr">
        <is>
          <t>ЮЛ РФ</t>
        </is>
      </c>
      <c r="F6939" s="13" t="n"/>
      <c r="G6939" s="52" t="n">
        <v>2</v>
      </c>
      <c r="H6939" s="52" t="n">
        <v>2025</v>
      </c>
      <c r="I6939" s="14" t="n"/>
      <c r="J6939" s="14" t="n"/>
      <c r="K6939" s="53" t="inlineStr">
        <is>
          <t>Нет</t>
        </is>
      </c>
      <c r="L6939" s="53" t="inlineStr">
        <is>
          <t>Не определено</t>
        </is>
      </c>
      <c r="M6939" s="53" t="inlineStr">
        <is>
          <t>До 10</t>
        </is>
      </c>
      <c r="N6939" s="54" t="n">
        <v>3360</v>
      </c>
      <c r="O6939" s="55" t="inlineStr">
        <is>
          <t>1–15</t>
        </is>
      </c>
      <c r="P6939" s="16" t="inlineStr">
        <is>
          <t>ССЧР обогащена; ОКВЭД не найден/не загружен</t>
        </is>
      </c>
      <c r="Q6939" s="16" t="inlineStr">
        <is>
          <t>ФНС открытые данные ССЧР (ДатаСост 31.12.2025; набор 7707329152-sshr2019)</t>
        </is>
      </c>
      <c r="R6939" s="16">
        <f>HYPERLINK("https://checko.ru/search?query=3801001629","Чекко: проверить")</f>
        <v/>
      </c>
      <c r="S6939" t="n">
        <v>1</v>
      </c>
      <c r="T6939" s="35" t="inlineStr">
        <is>
          <t>4 — Не обогащён</t>
        </is>
      </c>
      <c r="U6939" s="35" t="inlineStr">
        <is>
          <t>Нет ОКВЭД/ССЧР</t>
        </is>
      </c>
      <c r="V6939" s="35" t="inlineStr">
        <is>
          <t>Не определено</t>
        </is>
      </c>
      <c r="W6939" s="35" t="inlineStr">
        <is>
          <t>Нет</t>
        </is>
      </c>
      <c r="X6939" s="35" t="inlineStr"/>
    </row>
    <row r="6940" ht="15" customHeight="1" s="24">
      <c r="A6940" s="13" t="inlineStr">
        <is>
          <t>FR648076</t>
        </is>
      </c>
      <c r="B6940" s="13" t="inlineStr">
        <is>
          <t>ООО "ДАЛЬСТРОЙ"</t>
        </is>
      </c>
      <c r="C6940" s="13" t="n">
        <v>1434044933</v>
      </c>
      <c r="D6940" s="13" t="inlineStr">
        <is>
          <t>1434044933</t>
        </is>
      </c>
      <c r="E6940" s="13" t="inlineStr">
        <is>
          <t>ЮЛ РФ</t>
        </is>
      </c>
      <c r="F6940" s="13" t="n"/>
      <c r="G6940" s="52" t="n">
        <v>1</v>
      </c>
      <c r="H6940" s="52" t="n">
        <v>2025</v>
      </c>
      <c r="I6940" s="14" t="n"/>
      <c r="J6940" s="14" t="n"/>
      <c r="K6940" s="53" t="inlineStr">
        <is>
          <t>Нет</t>
        </is>
      </c>
      <c r="L6940" s="53" t="inlineStr">
        <is>
          <t>Не определено</t>
        </is>
      </c>
      <c r="M6940" s="53" t="inlineStr">
        <is>
          <t>До 10</t>
        </is>
      </c>
      <c r="N6940" s="54" t="n">
        <v>3360</v>
      </c>
      <c r="O6940" s="55" t="inlineStr">
        <is>
          <t>1–15</t>
        </is>
      </c>
      <c r="P6940" s="16" t="inlineStr">
        <is>
          <t>ССЧР обогащена; ОКВЭД не найден/не загружен</t>
        </is>
      </c>
      <c r="Q6940" s="16" t="inlineStr">
        <is>
          <t>ФНС открытые данные ССЧР (ДатаСост 31.12.2025; набор 7707329152-sshr2019)</t>
        </is>
      </c>
      <c r="R6940" s="16">
        <f>HYPERLINK("https://checko.ru/search?query=3801001629","Чекко: проверить")</f>
        <v/>
      </c>
      <c r="S6940" t="n">
        <v>1</v>
      </c>
      <c r="T6940" s="35" t="inlineStr">
        <is>
          <t>4 — Не обогащён</t>
        </is>
      </c>
      <c r="U6940" s="35" t="inlineStr">
        <is>
          <t>Нет ОКВЭД/ССЧР</t>
        </is>
      </c>
      <c r="V6940" s="35" t="inlineStr">
        <is>
          <t>Не определено</t>
        </is>
      </c>
      <c r="W6940" s="35" t="inlineStr">
        <is>
          <t>Нет</t>
        </is>
      </c>
      <c r="X6940" s="35" t="inlineStr"/>
    </row>
    <row r="6941" ht="15" customHeight="1" s="24">
      <c r="A6941" s="13" t="inlineStr">
        <is>
          <t>FR233186</t>
        </is>
      </c>
      <c r="B6941" s="13" t="inlineStr">
        <is>
          <t>ООО "ЛЕС ТГ ПЛЮС"</t>
        </is>
      </c>
      <c r="C6941" s="13" t="n">
        <v>2361015496</v>
      </c>
      <c r="D6941" s="13" t="inlineStr">
        <is>
          <t>2361015496</t>
        </is>
      </c>
      <c r="E6941" s="13" t="inlineStr">
        <is>
          <t>ЮЛ РФ</t>
        </is>
      </c>
      <c r="F6941" s="13" t="n"/>
      <c r="G6941" s="52" t="n">
        <v>4</v>
      </c>
      <c r="H6941" s="52" t="n">
        <v>2025</v>
      </c>
      <c r="I6941" s="14" t="n"/>
      <c r="J6941" s="14" t="n"/>
      <c r="K6941" s="53" t="inlineStr">
        <is>
          <t>Нет</t>
        </is>
      </c>
      <c r="L6941" s="53" t="inlineStr">
        <is>
          <t>Не определено</t>
        </is>
      </c>
      <c r="M6941" s="53" t="inlineStr">
        <is>
          <t>До 10</t>
        </is>
      </c>
      <c r="N6941" s="54" t="n">
        <v>3360</v>
      </c>
      <c r="O6941" s="55" t="inlineStr">
        <is>
          <t>1–15</t>
        </is>
      </c>
      <c r="P6941" s="16" t="inlineStr">
        <is>
          <t>ССЧР обогащена; ОКВЭД не найден/не загружен</t>
        </is>
      </c>
      <c r="Q6941" s="16" t="inlineStr">
        <is>
          <t>ФНС открытые данные ССЧР (ДатаСост 31.12.2025; набор 7707329152-sshr2019)</t>
        </is>
      </c>
      <c r="R6941" s="16">
        <f>HYPERLINK("https://checko.ru/search?query=3801001629","Чекко: проверить")</f>
        <v/>
      </c>
      <c r="S6941" t="n">
        <v>1</v>
      </c>
      <c r="T6941" s="35" t="inlineStr">
        <is>
          <t>4 — Не обогащён</t>
        </is>
      </c>
      <c r="U6941" s="35" t="inlineStr">
        <is>
          <t>Нет ОКВЭД/ССЧР</t>
        </is>
      </c>
      <c r="V6941" s="35" t="inlineStr">
        <is>
          <t>Не определено</t>
        </is>
      </c>
      <c r="W6941" s="35" t="inlineStr">
        <is>
          <t>Нет</t>
        </is>
      </c>
      <c r="X6941" s="35" t="inlineStr"/>
    </row>
    <row r="6942" ht="15" customHeight="1" s="24">
      <c r="A6942" s="13" t="inlineStr">
        <is>
          <t>FR27952</t>
        </is>
      </c>
      <c r="B6942" s="13" t="inlineStr">
        <is>
          <t>ИП Коробко Алексей Анатольевич</t>
        </is>
      </c>
      <c r="C6942" s="13" t="n">
        <v>380404675181</v>
      </c>
      <c r="D6942" s="13" t="inlineStr">
        <is>
          <t>380404675181</t>
        </is>
      </c>
      <c r="E6942" s="13" t="inlineStr">
        <is>
          <t>ИП РФ / физлицо</t>
        </is>
      </c>
      <c r="F6942" s="13" t="n"/>
      <c r="G6942" s="14" t="n"/>
      <c r="H6942" s="14" t="n"/>
      <c r="I6942" s="14" t="n"/>
      <c r="J6942" s="14" t="n"/>
      <c r="K6942" s="53" t="inlineStr"/>
      <c r="L6942" s="53" t="inlineStr">
        <is>
          <t>Не определено</t>
        </is>
      </c>
      <c r="M6942" s="53" t="inlineStr"/>
      <c r="N6942" s="54" t="inlineStr"/>
      <c r="O6942" s="55" t="inlineStr"/>
      <c r="P6942" s="16" t="inlineStr">
        <is>
          <t>Требует обогащения</t>
        </is>
      </c>
      <c r="Q6942" s="16">
        <f>HYPERLINK("https://pb.nalog.ru/search.html?query=380404675181","ФНС: проверить")</f>
        <v/>
      </c>
      <c r="R6942" s="16">
        <f>HYPERLINK("https://checko.ru/search?query=3801001629","Чекко: проверить")</f>
        <v/>
      </c>
      <c r="S6942" t="n">
        <v>1</v>
      </c>
      <c r="T6942" s="35" t="inlineStr">
        <is>
          <t>4 — Не обогащён</t>
        </is>
      </c>
      <c r="U6942" s="35" t="inlineStr">
        <is>
          <t>Нет ОКВЭД/ССЧР</t>
        </is>
      </c>
      <c r="V6942" s="35" t="inlineStr">
        <is>
          <t>Не определено</t>
        </is>
      </c>
      <c r="W6942" s="35" t="inlineStr"/>
      <c r="X6942" s="35" t="inlineStr"/>
    </row>
    <row r="6943" ht="15" customHeight="1" s="24">
      <c r="A6943" s="13" t="inlineStr">
        <is>
          <t>FR14530</t>
        </is>
      </c>
      <c r="B6943" s="13" t="inlineStr">
        <is>
          <t>АО "Иркутскаудит"</t>
        </is>
      </c>
      <c r="C6943" s="13" t="n">
        <v>3807000149</v>
      </c>
      <c r="D6943" s="13" t="inlineStr">
        <is>
          <t>3807000149</t>
        </is>
      </c>
      <c r="E6943" s="13" t="inlineStr">
        <is>
          <t>ЮЛ РФ</t>
        </is>
      </c>
      <c r="F6943" s="13" t="n"/>
      <c r="G6943" s="52" t="n">
        <v>10</v>
      </c>
      <c r="H6943" s="52" t="n">
        <v>2025</v>
      </c>
      <c r="I6943" s="14" t="n"/>
      <c r="J6943" s="14" t="n"/>
      <c r="K6943" s="53" t="inlineStr">
        <is>
          <t>Нет</t>
        </is>
      </c>
      <c r="L6943" s="53" t="inlineStr">
        <is>
          <t>Не определено</t>
        </is>
      </c>
      <c r="M6943" s="53" t="inlineStr">
        <is>
          <t>До 10</t>
        </is>
      </c>
      <c r="N6943" s="54" t="n">
        <v>3360</v>
      </c>
      <c r="O6943" s="55" t="inlineStr">
        <is>
          <t>1–15</t>
        </is>
      </c>
      <c r="P6943" s="16" t="inlineStr">
        <is>
          <t>ССЧР обогащена; ОКВЭД не найден/не загружен</t>
        </is>
      </c>
      <c r="Q6943" s="16" t="inlineStr">
        <is>
          <t>ФНС открытые данные ССЧР (ДатаСост 31.12.2025; набор 7707329152-sshr2019)</t>
        </is>
      </c>
      <c r="R6943" s="16">
        <f>HYPERLINK("https://checko.ru/search?query=3801001629","Чекко: проверить")</f>
        <v/>
      </c>
      <c r="S6943" t="n">
        <v>1</v>
      </c>
      <c r="T6943" s="35" t="inlineStr">
        <is>
          <t>4 — Не обогащён</t>
        </is>
      </c>
      <c r="U6943" s="35" t="inlineStr">
        <is>
          <t>Нет ОКВЭД/ССЧР</t>
        </is>
      </c>
      <c r="V6943" s="35" t="inlineStr">
        <is>
          <t>Не определено</t>
        </is>
      </c>
      <c r="W6943" s="35" t="inlineStr">
        <is>
          <t>Нет</t>
        </is>
      </c>
      <c r="X6943" s="35" t="inlineStr"/>
    </row>
    <row r="6944" ht="15" customHeight="1" s="24">
      <c r="A6944" s="13" t="inlineStr">
        <is>
          <t>FR40833</t>
        </is>
      </c>
      <c r="B6944" s="13" t="inlineStr">
        <is>
          <t>ВЕРТОЛ-К ООО</t>
        </is>
      </c>
      <c r="C6944" s="13" t="n">
        <v>1655365340</v>
      </c>
      <c r="D6944" s="13" t="inlineStr">
        <is>
          <t>1655365340</t>
        </is>
      </c>
      <c r="E6944" s="13" t="inlineStr">
        <is>
          <t>ЮЛ РФ</t>
        </is>
      </c>
      <c r="F6944" s="13" t="n"/>
      <c r="G6944" s="52" t="n">
        <v>4</v>
      </c>
      <c r="H6944" s="52" t="n">
        <v>2025</v>
      </c>
      <c r="I6944" s="14" t="n"/>
      <c r="J6944" s="14" t="n"/>
      <c r="K6944" s="53" t="inlineStr">
        <is>
          <t>Нет</t>
        </is>
      </c>
      <c r="L6944" s="53" t="inlineStr">
        <is>
          <t>Не определено</t>
        </is>
      </c>
      <c r="M6944" s="53" t="inlineStr">
        <is>
          <t>До 10</t>
        </is>
      </c>
      <c r="N6944" s="54" t="n">
        <v>3360</v>
      </c>
      <c r="O6944" s="55" t="inlineStr">
        <is>
          <t>1–15</t>
        </is>
      </c>
      <c r="P6944" s="16" t="inlineStr">
        <is>
          <t>ССЧР обогащена; ОКВЭД не найден/не загружен</t>
        </is>
      </c>
      <c r="Q6944" s="16" t="inlineStr">
        <is>
          <t>ФНС открытые данные ССЧР (ДатаСост 31.12.2025; набор 7707329152-sshr2019)</t>
        </is>
      </c>
      <c r="R6944" s="16">
        <f>HYPERLINK("https://checko.ru/search?query=3801001629","Чекко: проверить")</f>
        <v/>
      </c>
      <c r="S6944" t="n">
        <v>1</v>
      </c>
      <c r="T6944" s="35" t="inlineStr">
        <is>
          <t>4 — Не обогащён</t>
        </is>
      </c>
      <c r="U6944" s="35" t="inlineStr">
        <is>
          <t>Нет ОКВЭД/ССЧР</t>
        </is>
      </c>
      <c r="V6944" s="35" t="inlineStr">
        <is>
          <t>Не определено</t>
        </is>
      </c>
      <c r="W6944" s="35" t="inlineStr">
        <is>
          <t>Нет</t>
        </is>
      </c>
      <c r="X6944" s="35" t="inlineStr"/>
    </row>
    <row r="6945" ht="15" customHeight="1" s="24">
      <c r="A6945" s="13" t="inlineStr">
        <is>
          <t>FR5870</t>
        </is>
      </c>
      <c r="B6945" s="13" t="inlineStr">
        <is>
          <t>ООО "ВСЛС"</t>
        </is>
      </c>
      <c r="C6945" s="13" t="n">
        <v>3812122512</v>
      </c>
      <c r="D6945" s="13" t="inlineStr">
        <is>
          <t>3812122512</t>
        </is>
      </c>
      <c r="E6945" s="13" t="inlineStr">
        <is>
          <t>ЮЛ РФ</t>
        </is>
      </c>
      <c r="F6945" s="13" t="n"/>
      <c r="G6945" s="52" t="n">
        <v>8</v>
      </c>
      <c r="H6945" s="52" t="n">
        <v>2025</v>
      </c>
      <c r="I6945" s="14" t="n"/>
      <c r="J6945" s="14" t="n"/>
      <c r="K6945" s="53" t="inlineStr">
        <is>
          <t>Нет</t>
        </is>
      </c>
      <c r="L6945" s="53" t="inlineStr">
        <is>
          <t>Не определено</t>
        </is>
      </c>
      <c r="M6945" s="53" t="inlineStr">
        <is>
          <t>До 10</t>
        </is>
      </c>
      <c r="N6945" s="54" t="n">
        <v>3360</v>
      </c>
      <c r="O6945" s="55" t="inlineStr">
        <is>
          <t>1–15</t>
        </is>
      </c>
      <c r="P6945" s="16" t="inlineStr">
        <is>
          <t>ССЧР обогащена; ОКВЭД не найден/не загружен</t>
        </is>
      </c>
      <c r="Q6945" s="16" t="inlineStr">
        <is>
          <t>ФНС открытые данные ССЧР (ДатаСост 31.12.2025; набор 7707329152-sshr2019)</t>
        </is>
      </c>
      <c r="R6945" s="16">
        <f>HYPERLINK("https://checko.ru/search?query=3801001629","Чекко: проверить")</f>
        <v/>
      </c>
      <c r="S6945" t="n">
        <v>1</v>
      </c>
      <c r="T6945" s="35" t="inlineStr">
        <is>
          <t>4 — Не обогащён</t>
        </is>
      </c>
      <c r="U6945" s="35" t="inlineStr">
        <is>
          <t>Нет ОКВЭД/ССЧР</t>
        </is>
      </c>
      <c r="V6945" s="35" t="inlineStr">
        <is>
          <t>Не определено</t>
        </is>
      </c>
      <c r="W6945" s="35" t="inlineStr">
        <is>
          <t>Нет</t>
        </is>
      </c>
      <c r="X6945" s="35" t="inlineStr"/>
    </row>
    <row r="6946" ht="15" customHeight="1" s="24">
      <c r="A6946" s="13" t="inlineStr">
        <is>
          <t>FR117085</t>
        </is>
      </c>
      <c r="B6946" s="13" t="inlineStr">
        <is>
          <t>Иркутская фармацевтическая компания</t>
        </is>
      </c>
      <c r="C6946" s="13" t="n">
        <v>3808061338</v>
      </c>
      <c r="D6946" s="13" t="inlineStr">
        <is>
          <t>3808061338</t>
        </is>
      </c>
      <c r="E6946" s="13" t="inlineStr">
        <is>
          <t>ЮЛ РФ</t>
        </is>
      </c>
      <c r="F6946" s="13" t="n"/>
      <c r="G6946" s="52" t="n">
        <v>1</v>
      </c>
      <c r="H6946" s="52" t="n">
        <v>2025</v>
      </c>
      <c r="I6946" s="14" t="n"/>
      <c r="J6946" s="14" t="n"/>
      <c r="K6946" s="53" t="inlineStr">
        <is>
          <t>Нет</t>
        </is>
      </c>
      <c r="L6946" s="53" t="inlineStr">
        <is>
          <t>Не определено</t>
        </is>
      </c>
      <c r="M6946" s="53" t="inlineStr">
        <is>
          <t>До 10</t>
        </is>
      </c>
      <c r="N6946" s="54" t="n">
        <v>3360</v>
      </c>
      <c r="O6946" s="55" t="inlineStr">
        <is>
          <t>1–15</t>
        </is>
      </c>
      <c r="P6946" s="16" t="inlineStr">
        <is>
          <t>ССЧР обогащена; ОКВЭД не найден/не загружен</t>
        </is>
      </c>
      <c r="Q6946" s="16" t="inlineStr">
        <is>
          <t>ФНС открытые данные ССЧР (ДатаСост 31.12.2025; набор 7707329152-sshr2019)</t>
        </is>
      </c>
      <c r="R6946" s="16">
        <f>HYPERLINK("https://checko.ru/search?query=3801001629","Чекко: проверить")</f>
        <v/>
      </c>
      <c r="S6946" t="n">
        <v>1</v>
      </c>
      <c r="T6946" s="35" t="inlineStr">
        <is>
          <t>4 — Не обогащён</t>
        </is>
      </c>
      <c r="U6946" s="35" t="inlineStr">
        <is>
          <t>Нет ОКВЭД/ССЧР</t>
        </is>
      </c>
      <c r="V6946" s="35" t="inlineStr">
        <is>
          <t>Не определено</t>
        </is>
      </c>
      <c r="W6946" s="35" t="inlineStr">
        <is>
          <t>Нет</t>
        </is>
      </c>
      <c r="X6946" s="35" t="inlineStr"/>
    </row>
    <row r="6947" ht="15" customHeight="1" s="24">
      <c r="A6947" s="13" t="inlineStr">
        <is>
          <t>FR402925</t>
        </is>
      </c>
      <c r="B6947" s="13" t="inlineStr">
        <is>
          <t>ИП Титов Александр Николаевич</t>
        </is>
      </c>
      <c r="C6947" s="13" t="n">
        <v>272310995462</v>
      </c>
      <c r="D6947" s="13" t="inlineStr">
        <is>
          <t>272310995462</t>
        </is>
      </c>
      <c r="E6947" s="13" t="inlineStr">
        <is>
          <t>ИП РФ / физлицо</t>
        </is>
      </c>
      <c r="F6947" s="13" t="n"/>
      <c r="G6947" s="14" t="n"/>
      <c r="H6947" s="14" t="n"/>
      <c r="I6947" s="14" t="n"/>
      <c r="J6947" s="14" t="n"/>
      <c r="K6947" s="53" t="inlineStr"/>
      <c r="L6947" s="53" t="inlineStr">
        <is>
          <t>Не определено</t>
        </is>
      </c>
      <c r="M6947" s="53" t="inlineStr"/>
      <c r="N6947" s="54" t="inlineStr"/>
      <c r="O6947" s="55" t="inlineStr"/>
      <c r="P6947" s="16" t="inlineStr">
        <is>
          <t>Требует обогащения</t>
        </is>
      </c>
      <c r="Q6947" s="16">
        <f>HYPERLINK("https://pb.nalog.ru/search.html?query=272310995462","ФНС: проверить")</f>
        <v/>
      </c>
      <c r="R6947" s="16">
        <f>HYPERLINK("https://checko.ru/search?query=3801001629","Чекко: проверить")</f>
        <v/>
      </c>
      <c r="S6947" t="n">
        <v>0</v>
      </c>
      <c r="T6947" s="35" t="inlineStr">
        <is>
          <t>4 — Не обогащён</t>
        </is>
      </c>
      <c r="U6947" s="35" t="inlineStr">
        <is>
          <t>Нет ОКВЭД/ССЧР</t>
        </is>
      </c>
      <c r="V6947" s="35" t="inlineStr">
        <is>
          <t>Не определено</t>
        </is>
      </c>
      <c r="W6947" s="35" t="inlineStr"/>
      <c r="X6947" s="35" t="inlineStr"/>
    </row>
    <row r="6948" ht="15" customHeight="1" s="24">
      <c r="A6948" s="13" t="inlineStr">
        <is>
          <t>FR446436</t>
        </is>
      </c>
      <c r="B6948" s="13" t="inlineStr">
        <is>
          <t>ПИР, ООО</t>
        </is>
      </c>
      <c r="C6948" s="13" t="n">
        <v>7816713626</v>
      </c>
      <c r="D6948" s="13" t="inlineStr">
        <is>
          <t>7816713626</t>
        </is>
      </c>
      <c r="E6948" s="13" t="inlineStr">
        <is>
          <t>ЮЛ РФ</t>
        </is>
      </c>
      <c r="F6948" s="13" t="n"/>
      <c r="G6948" s="52" t="n">
        <v>3</v>
      </c>
      <c r="H6948" s="52" t="n">
        <v>2025</v>
      </c>
      <c r="I6948" s="14" t="n"/>
      <c r="J6948" s="14" t="n"/>
      <c r="K6948" s="53" t="inlineStr">
        <is>
          <t>Нет</t>
        </is>
      </c>
      <c r="L6948" s="53" t="inlineStr">
        <is>
          <t>Не определено</t>
        </is>
      </c>
      <c r="M6948" s="53" t="inlineStr">
        <is>
          <t>До 10</t>
        </is>
      </c>
      <c r="N6948" s="54" t="n">
        <v>3360</v>
      </c>
      <c r="O6948" s="55" t="inlineStr">
        <is>
          <t>1–15</t>
        </is>
      </c>
      <c r="P6948" s="16" t="inlineStr">
        <is>
          <t>ССЧР обогащена; ОКВЭД не найден/не загружен</t>
        </is>
      </c>
      <c r="Q6948" s="16" t="inlineStr">
        <is>
          <t>ФНС открытые данные ССЧР (ДатаСост 31.12.2025; набор 7707329152-sshr2019)</t>
        </is>
      </c>
      <c r="R6948" s="16">
        <f>HYPERLINK("https://checko.ru/search?query=3801001629","Чекко: проверить")</f>
        <v/>
      </c>
      <c r="S6948" t="n">
        <v>1</v>
      </c>
      <c r="T6948" s="35" t="inlineStr">
        <is>
          <t>4 — Не обогащён</t>
        </is>
      </c>
      <c r="U6948" s="35" t="inlineStr">
        <is>
          <t>Нет ОКВЭД/ССЧР</t>
        </is>
      </c>
      <c r="V6948" s="35" t="inlineStr">
        <is>
          <t>Не определено</t>
        </is>
      </c>
      <c r="W6948" s="35" t="inlineStr">
        <is>
          <t>Нет</t>
        </is>
      </c>
      <c r="X6948" s="35" t="inlineStr"/>
    </row>
    <row r="6949" ht="15" customHeight="1" s="24">
      <c r="A6949" s="13" t="inlineStr">
        <is>
          <t>FR989886</t>
        </is>
      </c>
      <c r="B6949" s="13" t="inlineStr">
        <is>
          <t>ИП Зайцева Ирина Павловна</t>
        </is>
      </c>
      <c r="C6949" s="13" t="n">
        <v>381900058653</v>
      </c>
      <c r="D6949" s="13" t="inlineStr">
        <is>
          <t>381900058653</t>
        </is>
      </c>
      <c r="E6949" s="13" t="inlineStr">
        <is>
          <t>ИП РФ / физлицо</t>
        </is>
      </c>
      <c r="F6949" s="13" t="n"/>
      <c r="G6949" s="14" t="n"/>
      <c r="H6949" s="14" t="n"/>
      <c r="I6949" s="14" t="n"/>
      <c r="J6949" s="14" t="n"/>
      <c r="K6949" s="53" t="inlineStr"/>
      <c r="L6949" s="53" t="inlineStr">
        <is>
          <t>Не определено</t>
        </is>
      </c>
      <c r="M6949" s="53" t="inlineStr"/>
      <c r="N6949" s="54" t="inlineStr"/>
      <c r="O6949" s="55" t="inlineStr"/>
      <c r="P6949" s="16" t="inlineStr">
        <is>
          <t>Требует обогащения</t>
        </is>
      </c>
      <c r="Q6949" s="16">
        <f>HYPERLINK("https://pb.nalog.ru/search.html?query=381900058653","ФНС: проверить")</f>
        <v/>
      </c>
      <c r="R6949" s="16">
        <f>HYPERLINK("https://checko.ru/search?query=3801001629","Чекко: проверить")</f>
        <v/>
      </c>
      <c r="S6949" t="n">
        <v>1</v>
      </c>
      <c r="T6949" s="35" t="inlineStr">
        <is>
          <t>4 — Не обогащён</t>
        </is>
      </c>
      <c r="U6949" s="35" t="inlineStr">
        <is>
          <t>Нет ОКВЭД/ССЧР</t>
        </is>
      </c>
      <c r="V6949" s="35" t="inlineStr">
        <is>
          <t>Не определено</t>
        </is>
      </c>
      <c r="W6949" s="35" t="inlineStr"/>
      <c r="X6949" s="35" t="inlineStr"/>
    </row>
    <row r="6950" ht="15" customHeight="1" s="24">
      <c r="A6950" s="13" t="inlineStr">
        <is>
          <t>FR190562</t>
        </is>
      </c>
      <c r="B6950" s="13" t="inlineStr">
        <is>
          <t>ЦТО Малекс, ООО</t>
        </is>
      </c>
      <c r="C6950" s="13" t="n">
        <v>7529010806</v>
      </c>
      <c r="D6950" s="13" t="inlineStr">
        <is>
          <t>7529010806</t>
        </is>
      </c>
      <c r="E6950" s="13" t="inlineStr">
        <is>
          <t>ЮЛ РФ</t>
        </is>
      </c>
      <c r="F6950" s="13" t="n"/>
      <c r="G6950" s="52" t="n">
        <v>4</v>
      </c>
      <c r="H6950" s="52" t="n">
        <v>2025</v>
      </c>
      <c r="I6950" s="14" t="n"/>
      <c r="J6950" s="14" t="n"/>
      <c r="K6950" s="53" t="inlineStr">
        <is>
          <t>Нет</t>
        </is>
      </c>
      <c r="L6950" s="53" t="inlineStr">
        <is>
          <t>Не определено</t>
        </is>
      </c>
      <c r="M6950" s="53" t="inlineStr">
        <is>
          <t>До 10</t>
        </is>
      </c>
      <c r="N6950" s="54" t="n">
        <v>3360</v>
      </c>
      <c r="O6950" s="55" t="inlineStr">
        <is>
          <t>1–15</t>
        </is>
      </c>
      <c r="P6950" s="16" t="inlineStr">
        <is>
          <t>ССЧР обогащена; ОКВЭД не найден/не загружен</t>
        </is>
      </c>
      <c r="Q6950" s="16" t="inlineStr">
        <is>
          <t>ФНС открытые данные ССЧР (ДатаСост 31.12.2025; набор 7707329152-sshr2019)</t>
        </is>
      </c>
      <c r="R6950" s="16">
        <f>HYPERLINK("https://checko.ru/search?query=3801001629","Чекко: проверить")</f>
        <v/>
      </c>
      <c r="S6950" t="n">
        <v>1</v>
      </c>
      <c r="T6950" s="35" t="inlineStr">
        <is>
          <t>4 — Не обогащён</t>
        </is>
      </c>
      <c r="U6950" s="35" t="inlineStr">
        <is>
          <t>Нет ОКВЭД/ССЧР</t>
        </is>
      </c>
      <c r="V6950" s="35" t="inlineStr">
        <is>
          <t>Не определено</t>
        </is>
      </c>
      <c r="W6950" s="35" t="inlineStr">
        <is>
          <t>Нет</t>
        </is>
      </c>
      <c r="X6950" s="35" t="inlineStr"/>
    </row>
    <row r="6951" ht="15" customHeight="1" s="24">
      <c r="A6951" s="13" t="inlineStr">
        <is>
          <t>FR39156</t>
        </is>
      </c>
      <c r="B6951" s="13" t="inlineStr">
        <is>
          <t>ООО "ЩИТ"</t>
        </is>
      </c>
      <c r="C6951" s="13" t="n">
        <v>6509023883</v>
      </c>
      <c r="D6951" s="13" t="inlineStr">
        <is>
          <t>6509023883</t>
        </is>
      </c>
      <c r="E6951" s="13" t="inlineStr">
        <is>
          <t>ЮЛ РФ</t>
        </is>
      </c>
      <c r="F6951" s="13" t="n"/>
      <c r="G6951" s="52" t="n">
        <v>1</v>
      </c>
      <c r="H6951" s="52" t="n">
        <v>2025</v>
      </c>
      <c r="I6951" s="14" t="n"/>
      <c r="J6951" s="14" t="n"/>
      <c r="K6951" s="53" t="inlineStr">
        <is>
          <t>Нет</t>
        </is>
      </c>
      <c r="L6951" s="53" t="inlineStr">
        <is>
          <t>Не определено</t>
        </is>
      </c>
      <c r="M6951" s="53" t="inlineStr">
        <is>
          <t>До 10</t>
        </is>
      </c>
      <c r="N6951" s="54" t="n">
        <v>3360</v>
      </c>
      <c r="O6951" s="55" t="inlineStr">
        <is>
          <t>1–15</t>
        </is>
      </c>
      <c r="P6951" s="16" t="inlineStr">
        <is>
          <t>ССЧР обогащена; ОКВЭД не найден/не загружен</t>
        </is>
      </c>
      <c r="Q6951" s="16" t="inlineStr">
        <is>
          <t>ФНС открытые данные ССЧР (ДатаСост 31.12.2025; набор 7707329152-sshr2019)</t>
        </is>
      </c>
      <c r="R6951" s="16">
        <f>HYPERLINK("https://checko.ru/search?query=3801001629","Чекко: проверить")</f>
        <v/>
      </c>
      <c r="S6951" t="n">
        <v>1</v>
      </c>
      <c r="T6951" s="35" t="inlineStr">
        <is>
          <t>4 — Не обогащён</t>
        </is>
      </c>
      <c r="U6951" s="35" t="inlineStr">
        <is>
          <t>Нет ОКВЭД/ССЧР</t>
        </is>
      </c>
      <c r="V6951" s="35" t="inlineStr">
        <is>
          <t>Не определено</t>
        </is>
      </c>
      <c r="W6951" s="35" t="inlineStr">
        <is>
          <t>Нет</t>
        </is>
      </c>
      <c r="X6951" s="35" t="inlineStr"/>
    </row>
    <row r="6952" ht="15" customHeight="1" s="24">
      <c r="A6952" s="13" t="inlineStr">
        <is>
          <t>FR116463</t>
        </is>
      </c>
      <c r="B6952" s="13" t="inlineStr">
        <is>
          <t>КАССА-ЦЕНТР ООО</t>
        </is>
      </c>
      <c r="C6952" s="13" t="n">
        <v>7536157253</v>
      </c>
      <c r="D6952" s="13" t="inlineStr">
        <is>
          <t>7536157253</t>
        </is>
      </c>
      <c r="E6952" s="13" t="inlineStr">
        <is>
          <t>ЮЛ РФ</t>
        </is>
      </c>
      <c r="F6952" s="13" t="n"/>
      <c r="G6952" s="52" t="n">
        <v>6</v>
      </c>
      <c r="H6952" s="52" t="n">
        <v>2025</v>
      </c>
      <c r="I6952" s="14" t="n"/>
      <c r="J6952" s="14" t="n"/>
      <c r="K6952" s="53" t="inlineStr">
        <is>
          <t>Нет</t>
        </is>
      </c>
      <c r="L6952" s="53" t="inlineStr">
        <is>
          <t>Не определено</t>
        </is>
      </c>
      <c r="M6952" s="53" t="inlineStr">
        <is>
          <t>До 10</t>
        </is>
      </c>
      <c r="N6952" s="54" t="n">
        <v>3360</v>
      </c>
      <c r="O6952" s="55" t="inlineStr">
        <is>
          <t>1–15</t>
        </is>
      </c>
      <c r="P6952" s="16" t="inlineStr">
        <is>
          <t>ССЧР обогащена; ОКВЭД не найден/не загружен</t>
        </is>
      </c>
      <c r="Q6952" s="16" t="inlineStr">
        <is>
          <t>ФНС открытые данные ССЧР (ДатаСост 31.12.2025; набор 7707329152-sshr2019)</t>
        </is>
      </c>
      <c r="R6952" s="16">
        <f>HYPERLINK("https://checko.ru/search?query=3801001629","Чекко: проверить")</f>
        <v/>
      </c>
      <c r="S6952" t="n">
        <v>1</v>
      </c>
      <c r="T6952" s="35" t="inlineStr">
        <is>
          <t>4 — Не обогащён</t>
        </is>
      </c>
      <c r="U6952" s="35" t="inlineStr">
        <is>
          <t>Нет ОКВЭД/ССЧР</t>
        </is>
      </c>
      <c r="V6952" s="35" t="inlineStr">
        <is>
          <t>Не определено</t>
        </is>
      </c>
      <c r="W6952" s="35" t="inlineStr">
        <is>
          <t>Нет</t>
        </is>
      </c>
      <c r="X6952" s="35" t="inlineStr"/>
    </row>
    <row r="6953" ht="15" customHeight="1" s="24">
      <c r="A6953" s="13" t="inlineStr">
        <is>
          <t>FR730239</t>
        </is>
      </c>
      <c r="B6953" s="13" t="inlineStr">
        <is>
          <t>Общество с ограниченной ответственностью "ТСК"</t>
        </is>
      </c>
      <c r="C6953" s="13" t="n">
        <v>3849096410</v>
      </c>
      <c r="D6953" s="13" t="inlineStr">
        <is>
          <t>3849096410</t>
        </is>
      </c>
      <c r="E6953" s="13" t="inlineStr">
        <is>
          <t>ЮЛ РФ</t>
        </is>
      </c>
      <c r="F6953" s="13" t="n"/>
      <c r="G6953" s="52" t="n">
        <v>0</v>
      </c>
      <c r="H6953" s="52" t="n">
        <v>2025</v>
      </c>
      <c r="I6953" s="14" t="n"/>
      <c r="J6953" s="14" t="n"/>
      <c r="K6953" s="53" t="inlineStr">
        <is>
          <t>Нет</t>
        </is>
      </c>
      <c r="L6953" s="53" t="inlineStr">
        <is>
          <t>Не определено</t>
        </is>
      </c>
      <c r="M6953" s="53" t="inlineStr">
        <is>
          <t>До 10</t>
        </is>
      </c>
      <c r="N6953" s="54" t="n">
        <v>3360</v>
      </c>
      <c r="O6953" s="55" t="inlineStr">
        <is>
          <t>1–15</t>
        </is>
      </c>
      <c r="P6953" s="16" t="inlineStr">
        <is>
          <t>ССЧР обогащена; ОКВЭД не найден/не загружен</t>
        </is>
      </c>
      <c r="Q6953" s="16" t="inlineStr">
        <is>
          <t>ФНС открытые данные ССЧР (ДатаСост 31.12.2025; набор 7707329152-sshr2019)</t>
        </is>
      </c>
      <c r="R6953" s="16">
        <f>HYPERLINK("https://checko.ru/search?query=3801001629","Чекко: проверить")</f>
        <v/>
      </c>
      <c r="S6953" t="n">
        <v>1</v>
      </c>
      <c r="T6953" s="35" t="inlineStr">
        <is>
          <t>4 — Не обогащён</t>
        </is>
      </c>
      <c r="U6953" s="35" t="inlineStr">
        <is>
          <t>Нет ОКВЭД/ССЧР</t>
        </is>
      </c>
      <c r="V6953" s="35" t="inlineStr">
        <is>
          <t>Не определено</t>
        </is>
      </c>
      <c r="W6953" s="35" t="inlineStr">
        <is>
          <t>Нет</t>
        </is>
      </c>
      <c r="X6953" s="35" t="inlineStr"/>
    </row>
    <row r="6954" ht="15" customHeight="1" s="24">
      <c r="A6954" s="13" t="inlineStr">
        <is>
          <t>FR1266336</t>
        </is>
      </c>
      <c r="B6954" s="13" t="inlineStr">
        <is>
          <t>ИП Карпушкина Ирина Владимировна</t>
        </is>
      </c>
      <c r="C6954" s="13" t="n">
        <v>563604494906</v>
      </c>
      <c r="D6954" s="13" t="inlineStr">
        <is>
          <t>563604494906</t>
        </is>
      </c>
      <c r="E6954" s="13" t="inlineStr">
        <is>
          <t>ИП РФ / физлицо</t>
        </is>
      </c>
      <c r="F6954" s="13" t="n"/>
      <c r="G6954" s="14" t="n"/>
      <c r="H6954" s="14" t="n"/>
      <c r="I6954" s="14" t="n"/>
      <c r="J6954" s="14" t="n"/>
      <c r="K6954" s="53" t="inlineStr"/>
      <c r="L6954" s="53" t="inlineStr">
        <is>
          <t>Не определено</t>
        </is>
      </c>
      <c r="M6954" s="53" t="inlineStr"/>
      <c r="N6954" s="54" t="inlineStr"/>
      <c r="O6954" s="55" t="inlineStr"/>
      <c r="P6954" s="16" t="inlineStr">
        <is>
          <t>Требует обогащения</t>
        </is>
      </c>
      <c r="Q6954" s="16">
        <f>HYPERLINK("https://pb.nalog.ru/search.html?query=563604494906","ФНС: проверить")</f>
        <v/>
      </c>
      <c r="R6954" s="16">
        <f>HYPERLINK("https://checko.ru/search?query=3801001629","Чекко: проверить")</f>
        <v/>
      </c>
      <c r="S6954" t="n">
        <v>1</v>
      </c>
      <c r="T6954" s="35" t="inlineStr">
        <is>
          <t>4 — Не обогащён</t>
        </is>
      </c>
      <c r="U6954" s="35" t="inlineStr">
        <is>
          <t>Нет ОКВЭД/ССЧР</t>
        </is>
      </c>
      <c r="V6954" s="35" t="inlineStr">
        <is>
          <t>Не определено</t>
        </is>
      </c>
      <c r="W6954" s="35" t="inlineStr"/>
      <c r="X6954" s="35" t="inlineStr"/>
    </row>
    <row r="6955" ht="15" customHeight="1" s="24">
      <c r="A6955" s="13" t="inlineStr">
        <is>
          <t>FR1266384</t>
        </is>
      </c>
      <c r="B6955" s="13" t="inlineStr">
        <is>
          <t>ИП Санхорова Дулма Бэлигтоевна</t>
        </is>
      </c>
      <c r="C6955" s="13" t="n">
        <v>800302153326</v>
      </c>
      <c r="D6955" s="13" t="inlineStr">
        <is>
          <t>800302153326</t>
        </is>
      </c>
      <c r="E6955" s="13" t="inlineStr">
        <is>
          <t>ИП РФ / физлицо</t>
        </is>
      </c>
      <c r="F6955" s="13" t="n"/>
      <c r="G6955" s="14" t="n"/>
      <c r="H6955" s="14" t="n"/>
      <c r="I6955" s="14" t="n"/>
      <c r="J6955" s="14" t="n"/>
      <c r="K6955" s="53" t="inlineStr"/>
      <c r="L6955" s="53" t="inlineStr">
        <is>
          <t>Не определено</t>
        </is>
      </c>
      <c r="M6955" s="53" t="inlineStr"/>
      <c r="N6955" s="54" t="inlineStr"/>
      <c r="O6955" s="55" t="inlineStr"/>
      <c r="P6955" s="16" t="inlineStr">
        <is>
          <t>Требует обогащения</t>
        </is>
      </c>
      <c r="Q6955" s="16">
        <f>HYPERLINK("https://pb.nalog.ru/search.html?query=800302153326","ФНС: проверить")</f>
        <v/>
      </c>
      <c r="R6955" s="16">
        <f>HYPERLINK("https://checko.ru/search?query=3801001629","Чекко: проверить")</f>
        <v/>
      </c>
      <c r="S6955" t="n">
        <v>1</v>
      </c>
      <c r="T6955" s="35" t="inlineStr">
        <is>
          <t>4 — Не обогащён</t>
        </is>
      </c>
      <c r="U6955" s="35" t="inlineStr">
        <is>
          <t>Нет ОКВЭД/ССЧР</t>
        </is>
      </c>
      <c r="V6955" s="35" t="inlineStr">
        <is>
          <t>Не определено</t>
        </is>
      </c>
      <c r="W6955" s="35" t="inlineStr"/>
      <c r="X6955" s="35" t="inlineStr"/>
    </row>
    <row r="6956" ht="15" customHeight="1" s="24">
      <c r="A6956" s="13" t="inlineStr">
        <is>
          <t>FR2406</t>
        </is>
      </c>
      <c r="B6956" s="13" t="inlineStr">
        <is>
          <t>АЗИМУТ-СТРОП ООО</t>
        </is>
      </c>
      <c r="C6956" s="13" t="n">
        <v>3810068933</v>
      </c>
      <c r="D6956" s="13" t="inlineStr">
        <is>
          <t>3810068933</t>
        </is>
      </c>
      <c r="E6956" s="13" t="inlineStr">
        <is>
          <t>ЮЛ РФ</t>
        </is>
      </c>
      <c r="F6956" s="13" t="n"/>
      <c r="G6956" s="52" t="n">
        <v>0</v>
      </c>
      <c r="H6956" s="52" t="n">
        <v>2025</v>
      </c>
      <c r="I6956" s="14" t="n"/>
      <c r="J6956" s="14" t="n"/>
      <c r="K6956" s="53" t="inlineStr">
        <is>
          <t>Нет</t>
        </is>
      </c>
      <c r="L6956" s="53" t="inlineStr">
        <is>
          <t>Не определено</t>
        </is>
      </c>
      <c r="M6956" s="53" t="inlineStr">
        <is>
          <t>До 10</t>
        </is>
      </c>
      <c r="N6956" s="54" t="n">
        <v>3360</v>
      </c>
      <c r="O6956" s="55" t="inlineStr">
        <is>
          <t>1–15</t>
        </is>
      </c>
      <c r="P6956" s="16" t="inlineStr">
        <is>
          <t>ССЧР обогащена; ОКВЭД не найден/не загружен</t>
        </is>
      </c>
      <c r="Q6956" s="16" t="inlineStr">
        <is>
          <t>ФНС открытые данные ССЧР (ДатаСост 31.12.2025; набор 7707329152-sshr2019)</t>
        </is>
      </c>
      <c r="R6956" s="16">
        <f>HYPERLINK("https://checko.ru/search?query=3801001629","Чекко: проверить")</f>
        <v/>
      </c>
      <c r="S6956" t="n">
        <v>1</v>
      </c>
      <c r="T6956" s="35" t="inlineStr">
        <is>
          <t>4 — Не обогащён</t>
        </is>
      </c>
      <c r="U6956" s="35" t="inlineStr">
        <is>
          <t>Нет ОКВЭД/ССЧР</t>
        </is>
      </c>
      <c r="V6956" s="35" t="inlineStr">
        <is>
          <t>Не определено</t>
        </is>
      </c>
      <c r="W6956" s="35" t="inlineStr">
        <is>
          <t>Нет</t>
        </is>
      </c>
      <c r="X6956" s="35" t="inlineStr"/>
    </row>
    <row r="6957" ht="15" customHeight="1" s="24">
      <c r="A6957" s="13" t="inlineStr">
        <is>
          <t>FR570272</t>
        </is>
      </c>
      <c r="B6957" s="13" t="inlineStr">
        <is>
          <t>ИП Семак Алексей Юрьевич</t>
        </is>
      </c>
      <c r="C6957" s="13" t="n">
        <v>381002774970</v>
      </c>
      <c r="D6957" s="13" t="inlineStr">
        <is>
          <t>381002774970</t>
        </is>
      </c>
      <c r="E6957" s="13" t="inlineStr">
        <is>
          <t>ИП РФ / физлицо</t>
        </is>
      </c>
      <c r="F6957" s="13" t="n"/>
      <c r="G6957" s="14" t="n"/>
      <c r="H6957" s="14" t="n"/>
      <c r="I6957" s="14" t="n"/>
      <c r="J6957" s="14" t="n"/>
      <c r="K6957" s="53" t="inlineStr"/>
      <c r="L6957" s="53" t="inlineStr">
        <is>
          <t>Не определено</t>
        </is>
      </c>
      <c r="M6957" s="53" t="inlineStr"/>
      <c r="N6957" s="54" t="inlineStr"/>
      <c r="O6957" s="55" t="inlineStr"/>
      <c r="P6957" s="16" t="inlineStr">
        <is>
          <t>Требует обогащения</t>
        </is>
      </c>
      <c r="Q6957" s="16">
        <f>HYPERLINK("https://pb.nalog.ru/search.html?query=381002774970","ФНС: проверить")</f>
        <v/>
      </c>
      <c r="R6957" s="16">
        <f>HYPERLINK("https://checko.ru/search?query=3801001629","Чекко: проверить")</f>
        <v/>
      </c>
      <c r="S6957" t="n">
        <v>1</v>
      </c>
      <c r="T6957" s="35" t="inlineStr">
        <is>
          <t>4 — Не обогащён</t>
        </is>
      </c>
      <c r="U6957" s="35" t="inlineStr">
        <is>
          <t>Нет ОКВЭД/ССЧР</t>
        </is>
      </c>
      <c r="V6957" s="35" t="inlineStr">
        <is>
          <t>Не определено</t>
        </is>
      </c>
      <c r="W6957" s="35" t="inlineStr"/>
      <c r="X6957" s="35" t="inlineStr"/>
    </row>
    <row r="6958" ht="15" customHeight="1" s="24">
      <c r="A6958" s="13" t="inlineStr">
        <is>
          <t>FR732257</t>
        </is>
      </c>
      <c r="B6958" s="13" t="inlineStr">
        <is>
          <t>ИП Головкова Татьяна Игоревна</t>
        </is>
      </c>
      <c r="C6958" s="13" t="n">
        <v>246210870362</v>
      </c>
      <c r="D6958" s="13" t="inlineStr">
        <is>
          <t>246210870362</t>
        </is>
      </c>
      <c r="E6958" s="13" t="inlineStr">
        <is>
          <t>ИП РФ / физлицо</t>
        </is>
      </c>
      <c r="F6958" s="13" t="n"/>
      <c r="G6958" s="14" t="n"/>
      <c r="H6958" s="14" t="n"/>
      <c r="I6958" s="14" t="n"/>
      <c r="J6958" s="14" t="n"/>
      <c r="K6958" s="53" t="inlineStr"/>
      <c r="L6958" s="53" t="inlineStr">
        <is>
          <t>Не определено</t>
        </is>
      </c>
      <c r="M6958" s="53" t="inlineStr"/>
      <c r="N6958" s="54" t="inlineStr"/>
      <c r="O6958" s="55" t="inlineStr"/>
      <c r="P6958" s="16" t="inlineStr">
        <is>
          <t>Требует обогащения</t>
        </is>
      </c>
      <c r="Q6958" s="16">
        <f>HYPERLINK("https://pb.nalog.ru/search.html?query=246210870362","ФНС: проверить")</f>
        <v/>
      </c>
      <c r="R6958" s="16">
        <f>HYPERLINK("https://checko.ru/search?query=3801001629","Чекко: проверить")</f>
        <v/>
      </c>
      <c r="S6958" t="n">
        <v>1</v>
      </c>
      <c r="T6958" s="35" t="inlineStr">
        <is>
          <t>4 — Не обогащён</t>
        </is>
      </c>
      <c r="U6958" s="35" t="inlineStr">
        <is>
          <t>Нет ОКВЭД/ССЧР</t>
        </is>
      </c>
      <c r="V6958" s="35" t="inlineStr">
        <is>
          <t>Не определено</t>
        </is>
      </c>
      <c r="W6958" s="35" t="inlineStr"/>
      <c r="X6958" s="35" t="inlineStr"/>
    </row>
    <row r="6959" ht="15" customHeight="1" s="24">
      <c r="A6959" s="13" t="inlineStr">
        <is>
          <t>FR884104</t>
        </is>
      </c>
      <c r="B6959" s="13" t="inlineStr">
        <is>
          <t>ИП Ивахина Валерия Владимировна</t>
        </is>
      </c>
      <c r="C6959" s="13" t="n">
        <v>380407286183</v>
      </c>
      <c r="D6959" s="13" t="inlineStr">
        <is>
          <t>380407286183</t>
        </is>
      </c>
      <c r="E6959" s="13" t="inlineStr">
        <is>
          <t>ИП РФ / физлицо</t>
        </is>
      </c>
      <c r="F6959" s="13" t="n"/>
      <c r="G6959" s="14" t="n"/>
      <c r="H6959" s="14" t="n"/>
      <c r="I6959" s="14" t="n"/>
      <c r="J6959" s="14" t="n"/>
      <c r="K6959" s="53" t="inlineStr"/>
      <c r="L6959" s="53" t="inlineStr">
        <is>
          <t>Не определено</t>
        </is>
      </c>
      <c r="M6959" s="53" t="inlineStr"/>
      <c r="N6959" s="54" t="inlineStr"/>
      <c r="O6959" s="55" t="inlineStr"/>
      <c r="P6959" s="16" t="inlineStr">
        <is>
          <t>Требует обогащения</t>
        </is>
      </c>
      <c r="Q6959" s="16">
        <f>HYPERLINK("https://pb.nalog.ru/search.html?query=380407286183","ФНС: проверить")</f>
        <v/>
      </c>
      <c r="R6959" s="16">
        <f>HYPERLINK("https://checko.ru/search?query=3801001629","Чекко: проверить")</f>
        <v/>
      </c>
      <c r="S6959" t="n">
        <v>1</v>
      </c>
      <c r="T6959" s="35" t="inlineStr">
        <is>
          <t>4 — Не обогащён</t>
        </is>
      </c>
      <c r="U6959" s="35" t="inlineStr">
        <is>
          <t>Нет ОКВЭД/ССЧР</t>
        </is>
      </c>
      <c r="V6959" s="35" t="inlineStr">
        <is>
          <t>Не определено</t>
        </is>
      </c>
      <c r="W6959" s="35" t="inlineStr"/>
      <c r="X6959" s="35" t="inlineStr"/>
    </row>
    <row r="6960" ht="15" customHeight="1" s="24">
      <c r="A6960" s="13" t="inlineStr">
        <is>
          <t>FR1267390</t>
        </is>
      </c>
      <c r="B6960" s="13" t="inlineStr">
        <is>
          <t>ИП Магнитов Владимир Андреевич</t>
        </is>
      </c>
      <c r="C6960" s="13" t="n">
        <v>262902389209</v>
      </c>
      <c r="D6960" s="13" t="inlineStr">
        <is>
          <t>262902389209</t>
        </is>
      </c>
      <c r="E6960" s="13" t="inlineStr">
        <is>
          <t>ИП РФ / физлицо</t>
        </is>
      </c>
      <c r="F6960" s="13" t="n"/>
      <c r="G6960" s="14" t="n"/>
      <c r="H6960" s="14" t="n"/>
      <c r="I6960" s="14" t="n"/>
      <c r="J6960" s="14" t="n"/>
      <c r="K6960" s="53" t="inlineStr"/>
      <c r="L6960" s="53" t="inlineStr">
        <is>
          <t>Не определено</t>
        </is>
      </c>
      <c r="M6960" s="53" t="inlineStr"/>
      <c r="N6960" s="54" t="inlineStr"/>
      <c r="O6960" s="55" t="inlineStr"/>
      <c r="P6960" s="16" t="inlineStr">
        <is>
          <t>Требует обогащения</t>
        </is>
      </c>
      <c r="Q6960" s="16">
        <f>HYPERLINK("https://pb.nalog.ru/search.html?query=262902389209","ФНС: проверить")</f>
        <v/>
      </c>
      <c r="R6960" s="16">
        <f>HYPERLINK("https://checko.ru/search?query=3801001629","Чекко: проверить")</f>
        <v/>
      </c>
      <c r="S6960" t="n">
        <v>1</v>
      </c>
      <c r="T6960" s="35" t="inlineStr">
        <is>
          <t>4 — Не обогащён</t>
        </is>
      </c>
      <c r="U6960" s="35" t="inlineStr">
        <is>
          <t>Нет ОКВЭД/ССЧР</t>
        </is>
      </c>
      <c r="V6960" s="35" t="inlineStr">
        <is>
          <t>Не определено</t>
        </is>
      </c>
      <c r="W6960" s="35" t="inlineStr"/>
      <c r="X6960" s="35" t="inlineStr"/>
    </row>
    <row r="6961" ht="15" customHeight="1" s="24">
      <c r="A6961" s="13" t="inlineStr">
        <is>
          <t>FR717638</t>
        </is>
      </c>
      <c r="B6961" s="13" t="inlineStr">
        <is>
          <t>ИП Банщикова Ирина Васильевна</t>
        </is>
      </c>
      <c r="C6961" s="13" t="n">
        <v>382003402871</v>
      </c>
      <c r="D6961" s="13" t="inlineStr">
        <is>
          <t>382003402871</t>
        </is>
      </c>
      <c r="E6961" s="13" t="inlineStr">
        <is>
          <t>ИП РФ / физлицо</t>
        </is>
      </c>
      <c r="F6961" s="13" t="n"/>
      <c r="G6961" s="14" t="n"/>
      <c r="H6961" s="14" t="n"/>
      <c r="I6961" s="14" t="n"/>
      <c r="J6961" s="14" t="n"/>
      <c r="K6961" s="53" t="inlineStr"/>
      <c r="L6961" s="53" t="inlineStr">
        <is>
          <t>Не определено</t>
        </is>
      </c>
      <c r="M6961" s="53" t="inlineStr"/>
      <c r="N6961" s="54" t="inlineStr"/>
      <c r="O6961" s="55" t="inlineStr"/>
      <c r="P6961" s="16" t="inlineStr">
        <is>
          <t>Требует обогащения</t>
        </is>
      </c>
      <c r="Q6961" s="16">
        <f>HYPERLINK("https://pb.nalog.ru/search.html?query=382003402871","ФНС: проверить")</f>
        <v/>
      </c>
      <c r="R6961" s="16">
        <f>HYPERLINK("https://checko.ru/search?query=3801001629","Чекко: проверить")</f>
        <v/>
      </c>
      <c r="S6961" t="n">
        <v>1</v>
      </c>
      <c r="T6961" s="35" t="inlineStr">
        <is>
          <t>4 — Не обогащён</t>
        </is>
      </c>
      <c r="U6961" s="35" t="inlineStr">
        <is>
          <t>Нет ОКВЭД/ССЧР</t>
        </is>
      </c>
      <c r="V6961" s="35" t="inlineStr">
        <is>
          <t>Не определено</t>
        </is>
      </c>
      <c r="W6961" s="35" t="inlineStr"/>
      <c r="X6961" s="35" t="inlineStr"/>
    </row>
    <row r="6962" ht="15" customHeight="1" s="24">
      <c r="A6962" s="13" t="inlineStr">
        <is>
          <t>FR717638</t>
        </is>
      </c>
      <c r="B6962" s="13" t="inlineStr">
        <is>
          <t>ИП Банщикова Ирина Васильевна</t>
        </is>
      </c>
      <c r="C6962" s="13" t="n">
        <v>382003402871</v>
      </c>
      <c r="D6962" s="13" t="inlineStr">
        <is>
          <t>382003402871</t>
        </is>
      </c>
      <c r="E6962" s="13" t="inlineStr">
        <is>
          <t>ИП РФ / физлицо</t>
        </is>
      </c>
      <c r="F6962" s="13" t="n"/>
      <c r="G6962" s="14" t="n"/>
      <c r="H6962" s="14" t="n"/>
      <c r="I6962" s="14" t="n"/>
      <c r="J6962" s="14" t="n"/>
      <c r="K6962" s="53" t="inlineStr"/>
      <c r="L6962" s="53" t="inlineStr">
        <is>
          <t>Не определено</t>
        </is>
      </c>
      <c r="M6962" s="53" t="inlineStr"/>
      <c r="N6962" s="54" t="inlineStr"/>
      <c r="O6962" s="55" t="inlineStr"/>
      <c r="P6962" s="16" t="inlineStr">
        <is>
          <t>Требует обогащения</t>
        </is>
      </c>
      <c r="Q6962" s="16">
        <f>HYPERLINK("https://pb.nalog.ru/search.html?query=382003402871","ФНС: проверить")</f>
        <v/>
      </c>
      <c r="R6962" s="16">
        <f>HYPERLINK("https://checko.ru/search?query=3801001629","Чекко: проверить")</f>
        <v/>
      </c>
      <c r="S6962" t="n">
        <v>0</v>
      </c>
      <c r="T6962" s="35" t="inlineStr">
        <is>
          <t>4 — Не обогащён</t>
        </is>
      </c>
      <c r="U6962" s="35" t="inlineStr">
        <is>
          <t>Нет ОКВЭД/ССЧР</t>
        </is>
      </c>
      <c r="V6962" s="35" t="inlineStr">
        <is>
          <t>Не определено</t>
        </is>
      </c>
      <c r="W6962" s="35" t="inlineStr"/>
      <c r="X6962" s="35" t="inlineStr"/>
    </row>
    <row r="6963" ht="15" customHeight="1" s="24">
      <c r="A6963" s="13" t="inlineStr">
        <is>
          <t>FR882778</t>
        </is>
      </c>
      <c r="B6963" s="13" t="inlineStr">
        <is>
          <t>ИП Зайцева Елена Александровна</t>
        </is>
      </c>
      <c r="C6963" s="13" t="n">
        <v>381250763126</v>
      </c>
      <c r="D6963" s="13" t="inlineStr">
        <is>
          <t>381250763126</t>
        </is>
      </c>
      <c r="E6963" s="13" t="inlineStr">
        <is>
          <t>ИП РФ / физлицо</t>
        </is>
      </c>
      <c r="F6963" s="13" t="n"/>
      <c r="G6963" s="14" t="n"/>
      <c r="H6963" s="14" t="n"/>
      <c r="I6963" s="14" t="n"/>
      <c r="J6963" s="14" t="n"/>
      <c r="K6963" s="53" t="inlineStr"/>
      <c r="L6963" s="53" t="inlineStr">
        <is>
          <t>Не определено</t>
        </is>
      </c>
      <c r="M6963" s="53" t="inlineStr"/>
      <c r="N6963" s="54" t="inlineStr"/>
      <c r="O6963" s="55" t="inlineStr"/>
      <c r="P6963" s="16" t="inlineStr">
        <is>
          <t>Требует обогащения</t>
        </is>
      </c>
      <c r="Q6963" s="16">
        <f>HYPERLINK("https://pb.nalog.ru/search.html?query=381250763126","ФНС: проверить")</f>
        <v/>
      </c>
      <c r="R6963" s="16">
        <f>HYPERLINK("https://checko.ru/search?query=3801001629","Чекко: проверить")</f>
        <v/>
      </c>
      <c r="S6963" t="n">
        <v>1</v>
      </c>
      <c r="T6963" s="35" t="inlineStr">
        <is>
          <t>4 — Не обогащён</t>
        </is>
      </c>
      <c r="U6963" s="35" t="inlineStr">
        <is>
          <t>Нет ОКВЭД/ССЧР</t>
        </is>
      </c>
      <c r="V6963" s="35" t="inlineStr">
        <is>
          <t>Не определено</t>
        </is>
      </c>
      <c r="W6963" s="35" t="inlineStr"/>
      <c r="X6963" s="35" t="inlineStr"/>
    </row>
    <row r="6964" ht="15" customHeight="1" s="24">
      <c r="A6964" s="13" t="inlineStr">
        <is>
          <t>FR883382</t>
        </is>
      </c>
      <c r="B6964" s="13" t="inlineStr">
        <is>
          <t>ИП Горохов Михаил Андреевич</t>
        </is>
      </c>
      <c r="C6964" s="13" t="n">
        <v>564304408175</v>
      </c>
      <c r="D6964" s="13" t="inlineStr">
        <is>
          <t>564304408175</t>
        </is>
      </c>
      <c r="E6964" s="13" t="inlineStr">
        <is>
          <t>ИП РФ / физлицо</t>
        </is>
      </c>
      <c r="F6964" s="13" t="n"/>
      <c r="G6964" s="14" t="n"/>
      <c r="H6964" s="14" t="n"/>
      <c r="I6964" s="14" t="n"/>
      <c r="J6964" s="14" t="n"/>
      <c r="K6964" s="53" t="inlineStr"/>
      <c r="L6964" s="53" t="inlineStr">
        <is>
          <t>Не определено</t>
        </is>
      </c>
      <c r="M6964" s="53" t="inlineStr"/>
      <c r="N6964" s="54" t="inlineStr"/>
      <c r="O6964" s="55" t="inlineStr"/>
      <c r="P6964" s="16" t="inlineStr">
        <is>
          <t>Требует обогащения</t>
        </is>
      </c>
      <c r="Q6964" s="16">
        <f>HYPERLINK("https://pb.nalog.ru/search.html?query=564304408175","ФНС: проверить")</f>
        <v/>
      </c>
      <c r="R6964" s="16">
        <f>HYPERLINK("https://checko.ru/search?query=3801001629","Чекко: проверить")</f>
        <v/>
      </c>
      <c r="S6964" t="n">
        <v>1</v>
      </c>
      <c r="T6964" s="35" t="inlineStr">
        <is>
          <t>4 — Не обогащён</t>
        </is>
      </c>
      <c r="U6964" s="35" t="inlineStr">
        <is>
          <t>Нет ОКВЭД/ССЧР</t>
        </is>
      </c>
      <c r="V6964" s="35" t="inlineStr">
        <is>
          <t>Не определено</t>
        </is>
      </c>
      <c r="W6964" s="35" t="inlineStr"/>
      <c r="X6964" s="35" t="inlineStr"/>
    </row>
    <row r="6965" ht="15" customHeight="1" s="24">
      <c r="A6965" s="13" t="inlineStr">
        <is>
          <t>FR195375</t>
        </is>
      </c>
      <c r="B6965" s="13" t="inlineStr">
        <is>
          <t>КИРОЛ ООО</t>
        </is>
      </c>
      <c r="C6965" s="13" t="n">
        <v>7017267140</v>
      </c>
      <c r="D6965" s="13" t="inlineStr">
        <is>
          <t>7017267140</t>
        </is>
      </c>
      <c r="E6965" s="13" t="inlineStr">
        <is>
          <t>ЮЛ РФ</t>
        </is>
      </c>
      <c r="F6965" s="13" t="n"/>
      <c r="G6965" s="52" t="n">
        <v>4</v>
      </c>
      <c r="H6965" s="52" t="n">
        <v>2025</v>
      </c>
      <c r="I6965" s="14" t="n"/>
      <c r="J6965" s="14" t="n"/>
      <c r="K6965" s="53" t="inlineStr">
        <is>
          <t>Нет</t>
        </is>
      </c>
      <c r="L6965" s="53" t="inlineStr">
        <is>
          <t>Не определено</t>
        </is>
      </c>
      <c r="M6965" s="53" t="inlineStr">
        <is>
          <t>До 10</t>
        </is>
      </c>
      <c r="N6965" s="54" t="n">
        <v>3360</v>
      </c>
      <c r="O6965" s="55" t="inlineStr">
        <is>
          <t>1–15</t>
        </is>
      </c>
      <c r="P6965" s="16" t="inlineStr">
        <is>
          <t>ССЧР обогащена; ОКВЭД не найден/не загружен</t>
        </is>
      </c>
      <c r="Q6965" s="16" t="inlineStr">
        <is>
          <t>ФНС открытые данные ССЧР (ДатаСост 31.12.2025; набор 7707329152-sshr2019)</t>
        </is>
      </c>
      <c r="R6965" s="16">
        <f>HYPERLINK("https://checko.ru/search?query=3801001629","Чекко: проверить")</f>
        <v/>
      </c>
      <c r="S6965" t="n">
        <v>1</v>
      </c>
      <c r="T6965" s="35" t="inlineStr">
        <is>
          <t>4 — Не обогащён</t>
        </is>
      </c>
      <c r="U6965" s="35" t="inlineStr">
        <is>
          <t>Нет ОКВЭД/ССЧР</t>
        </is>
      </c>
      <c r="V6965" s="35" t="inlineStr">
        <is>
          <t>Не определено</t>
        </is>
      </c>
      <c r="W6965" s="35" t="inlineStr">
        <is>
          <t>Нет</t>
        </is>
      </c>
      <c r="X6965" s="35" t="inlineStr"/>
    </row>
    <row r="6966" ht="15" customHeight="1" s="24">
      <c r="A6966" s="13" t="inlineStr">
        <is>
          <t>FR1255606</t>
        </is>
      </c>
      <c r="B6966" s="13" t="inlineStr">
        <is>
          <t>ИП Цыренов Болот Цырендондокович</t>
        </is>
      </c>
      <c r="C6966" s="13" t="n">
        <v>753607502505</v>
      </c>
      <c r="D6966" s="13" t="inlineStr">
        <is>
          <t>753607502505</t>
        </is>
      </c>
      <c r="E6966" s="13" t="inlineStr">
        <is>
          <t>ИП РФ / физлицо</t>
        </is>
      </c>
      <c r="F6966" s="13" t="n"/>
      <c r="G6966" s="14" t="n"/>
      <c r="H6966" s="14" t="n"/>
      <c r="I6966" s="14" t="n"/>
      <c r="J6966" s="14" t="n"/>
      <c r="K6966" s="53" t="inlineStr"/>
      <c r="L6966" s="53" t="inlineStr">
        <is>
          <t>Не определено</t>
        </is>
      </c>
      <c r="M6966" s="53" t="inlineStr"/>
      <c r="N6966" s="54" t="inlineStr"/>
      <c r="O6966" s="55" t="inlineStr"/>
      <c r="P6966" s="16" t="inlineStr">
        <is>
          <t>Требует обогащения</t>
        </is>
      </c>
      <c r="Q6966" s="16">
        <f>HYPERLINK("https://pb.nalog.ru/search.html?query=753607502505","ФНС: проверить")</f>
        <v/>
      </c>
      <c r="R6966" s="16">
        <f>HYPERLINK("https://checko.ru/search?query=3801001629","Чекко: проверить")</f>
        <v/>
      </c>
      <c r="S6966" t="n">
        <v>1</v>
      </c>
      <c r="T6966" s="35" t="inlineStr">
        <is>
          <t>4 — Не обогащён</t>
        </is>
      </c>
      <c r="U6966" s="35" t="inlineStr">
        <is>
          <t>Нет ОКВЭД/ССЧР</t>
        </is>
      </c>
      <c r="V6966" s="35" t="inlineStr">
        <is>
          <t>Не определено</t>
        </is>
      </c>
      <c r="W6966" s="35" t="inlineStr"/>
      <c r="X6966" s="35" t="inlineStr"/>
    </row>
    <row r="6967" ht="27.75" customHeight="1" s="24">
      <c r="A6967" s="13" t="inlineStr">
        <is>
          <t>FR884711</t>
        </is>
      </c>
      <c r="B6967" s="13" t="inlineStr">
        <is>
          <t>Общество с ограниченной ответственностью "КЛИМАТ-ИН"</t>
        </is>
      </c>
      <c r="C6967" s="13" t="n">
        <v>3808163121</v>
      </c>
      <c r="D6967" s="13" t="inlineStr">
        <is>
          <t>3808163121</t>
        </is>
      </c>
      <c r="E6967" s="13" t="inlineStr">
        <is>
          <t>ЮЛ РФ</t>
        </is>
      </c>
      <c r="F6967" s="13" t="n"/>
      <c r="G6967" s="52" t="n">
        <v>1</v>
      </c>
      <c r="H6967" s="52" t="n">
        <v>2025</v>
      </c>
      <c r="I6967" s="14" t="n"/>
      <c r="J6967" s="14" t="n"/>
      <c r="K6967" s="53" t="inlineStr">
        <is>
          <t>Нет</t>
        </is>
      </c>
      <c r="L6967" s="53" t="inlineStr">
        <is>
          <t>Не определено</t>
        </is>
      </c>
      <c r="M6967" s="53" t="inlineStr">
        <is>
          <t>До 10</t>
        </is>
      </c>
      <c r="N6967" s="54" t="n">
        <v>3360</v>
      </c>
      <c r="O6967" s="55" t="inlineStr">
        <is>
          <t>1–15</t>
        </is>
      </c>
      <c r="P6967" s="16" t="inlineStr">
        <is>
          <t>ССЧР обогащена; ОКВЭД не найден/не загружен</t>
        </is>
      </c>
      <c r="Q6967" s="16" t="inlineStr">
        <is>
          <t>ФНС открытые данные ССЧР (ДатаСост 31.12.2025; набор 7707329152-sshr2019)</t>
        </is>
      </c>
      <c r="R6967" s="16">
        <f>HYPERLINK("https://checko.ru/search?query=3801001629","Чекко: проверить")</f>
        <v/>
      </c>
      <c r="S6967" t="n">
        <v>1</v>
      </c>
      <c r="T6967" s="35" t="inlineStr">
        <is>
          <t>4 — Не обогащён</t>
        </is>
      </c>
      <c r="U6967" s="35" t="inlineStr">
        <is>
          <t>Нет ОКВЭД/ССЧР</t>
        </is>
      </c>
      <c r="V6967" s="35" t="inlineStr">
        <is>
          <t>Не определено</t>
        </is>
      </c>
      <c r="W6967" s="35" t="inlineStr">
        <is>
          <t>Нет</t>
        </is>
      </c>
      <c r="X6967" s="35" t="inlineStr"/>
    </row>
    <row r="6968" ht="27.75" customHeight="1" s="24">
      <c r="A6968" s="13" t="inlineStr">
        <is>
          <t>FR1268249</t>
        </is>
      </c>
      <c r="B6968" s="13" t="inlineStr">
        <is>
          <t>Общество с ограниченной ответственностью "СИБИРСКАЯ ПРОДОВОЛЬСТВЕННАЯ КОМПАНИЯ"</t>
        </is>
      </c>
      <c r="C6968" s="13" t="n">
        <v>3810071333</v>
      </c>
      <c r="D6968" s="13" t="inlineStr">
        <is>
          <t>3810071333</t>
        </is>
      </c>
      <c r="E6968" s="13" t="inlineStr">
        <is>
          <t>ЮЛ РФ</t>
        </is>
      </c>
      <c r="F6968" s="13" t="n"/>
      <c r="G6968" s="52" t="n">
        <v>3</v>
      </c>
      <c r="H6968" s="52" t="n">
        <v>2025</v>
      </c>
      <c r="I6968" s="14" t="n"/>
      <c r="J6968" s="14" t="n"/>
      <c r="K6968" s="53" t="inlineStr">
        <is>
          <t>Нет</t>
        </is>
      </c>
      <c r="L6968" s="53" t="inlineStr">
        <is>
          <t>Не определено</t>
        </is>
      </c>
      <c r="M6968" s="53" t="inlineStr">
        <is>
          <t>До 10</t>
        </is>
      </c>
      <c r="N6968" s="54" t="n">
        <v>3360</v>
      </c>
      <c r="O6968" s="55" t="inlineStr">
        <is>
          <t>1–15</t>
        </is>
      </c>
      <c r="P6968" s="16" t="inlineStr">
        <is>
          <t>ССЧР обогащена; ОКВЭД не найден/не загружен</t>
        </is>
      </c>
      <c r="Q6968" s="16" t="inlineStr">
        <is>
          <t>ФНС открытые данные ССЧР (ДатаСост 31.12.2025; набор 7707329152-sshr2019)</t>
        </is>
      </c>
      <c r="R6968" s="16">
        <f>HYPERLINK("https://checko.ru/search?query=3801001629","Чекко: проверить")</f>
        <v/>
      </c>
      <c r="S6968" t="n">
        <v>1</v>
      </c>
      <c r="T6968" s="35" t="inlineStr">
        <is>
          <t>4 — Не обогащён</t>
        </is>
      </c>
      <c r="U6968" s="35" t="inlineStr">
        <is>
          <t>Нет ОКВЭД/ССЧР</t>
        </is>
      </c>
      <c r="V6968" s="35" t="inlineStr">
        <is>
          <t>Не определено</t>
        </is>
      </c>
      <c r="W6968" s="35" t="inlineStr">
        <is>
          <t>Нет</t>
        </is>
      </c>
      <c r="X6968" s="35" t="inlineStr"/>
    </row>
    <row r="6969" ht="15" customHeight="1" s="24">
      <c r="A6969" s="13" t="inlineStr">
        <is>
          <t>FR730462</t>
        </is>
      </c>
      <c r="B6969" s="13" t="inlineStr">
        <is>
          <t>ИП Бурдуковский Сергей Андреевич</t>
        </is>
      </c>
      <c r="C6969" s="13" t="n">
        <v>525624593413</v>
      </c>
      <c r="D6969" s="13" t="inlineStr">
        <is>
          <t>525624593413</t>
        </is>
      </c>
      <c r="E6969" s="13" t="inlineStr">
        <is>
          <t>ИП РФ / физлицо</t>
        </is>
      </c>
      <c r="F6969" s="13" t="n"/>
      <c r="G6969" s="14" t="n"/>
      <c r="H6969" s="14" t="n"/>
      <c r="I6969" s="14" t="n"/>
      <c r="J6969" s="14" t="n"/>
      <c r="K6969" s="53" t="inlineStr"/>
      <c r="L6969" s="53" t="inlineStr">
        <is>
          <t>Не определено</t>
        </is>
      </c>
      <c r="M6969" s="53" t="inlineStr"/>
      <c r="N6969" s="54" t="inlineStr"/>
      <c r="O6969" s="55" t="inlineStr"/>
      <c r="P6969" s="16" t="inlineStr">
        <is>
          <t>Требует обогащения</t>
        </is>
      </c>
      <c r="Q6969" s="16">
        <f>HYPERLINK("https://pb.nalog.ru/search.html?query=525624593413","ФНС: проверить")</f>
        <v/>
      </c>
      <c r="R6969" s="16">
        <f>HYPERLINK("https://checko.ru/search?query=3801001629","Чекко: проверить")</f>
        <v/>
      </c>
      <c r="S6969" t="n">
        <v>1</v>
      </c>
      <c r="T6969" s="35" t="inlineStr">
        <is>
          <t>4 — Не обогащён</t>
        </is>
      </c>
      <c r="U6969" s="35" t="inlineStr">
        <is>
          <t>Нет ОКВЭД/ССЧР</t>
        </is>
      </c>
      <c r="V6969" s="35" t="inlineStr">
        <is>
          <t>Не определено</t>
        </is>
      </c>
      <c r="W6969" s="35" t="inlineStr"/>
      <c r="X6969" s="35" t="inlineStr"/>
    </row>
    <row r="6970" ht="27.75" customHeight="1" s="24">
      <c r="A6970" s="13" t="inlineStr">
        <is>
          <t>FR592080</t>
        </is>
      </c>
      <c r="B6970" s="13" t="inlineStr">
        <is>
          <t>Общество с ограниченной ответственностью "АЛЬФАСИБСТРОЙ"</t>
        </is>
      </c>
      <c r="C6970" s="13" t="n">
        <v>3849086500</v>
      </c>
      <c r="D6970" s="13" t="inlineStr">
        <is>
          <t>3849086500</t>
        </is>
      </c>
      <c r="E6970" s="13" t="inlineStr">
        <is>
          <t>ЮЛ РФ</t>
        </is>
      </c>
      <c r="F6970" s="13" t="n"/>
      <c r="G6970" s="52" t="n">
        <v>1</v>
      </c>
      <c r="H6970" s="52" t="n">
        <v>2025</v>
      </c>
      <c r="I6970" s="14" t="n"/>
      <c r="J6970" s="14" t="n"/>
      <c r="K6970" s="53" t="inlineStr">
        <is>
          <t>Нет</t>
        </is>
      </c>
      <c r="L6970" s="53" t="inlineStr">
        <is>
          <t>Не определено</t>
        </is>
      </c>
      <c r="M6970" s="53" t="inlineStr">
        <is>
          <t>До 10</t>
        </is>
      </c>
      <c r="N6970" s="54" t="n">
        <v>3360</v>
      </c>
      <c r="O6970" s="55" t="inlineStr">
        <is>
          <t>1–15</t>
        </is>
      </c>
      <c r="P6970" s="16" t="inlineStr">
        <is>
          <t>ССЧР обогащена; ОКВЭД не найден/не загружен</t>
        </is>
      </c>
      <c r="Q6970" s="16" t="inlineStr">
        <is>
          <t>ФНС открытые данные ССЧР (ДатаСост 31.12.2025; набор 7707329152-sshr2019)</t>
        </is>
      </c>
      <c r="R6970" s="16">
        <f>HYPERLINK("https://checko.ru/search?query=3801001629","Чекко: проверить")</f>
        <v/>
      </c>
      <c r="S6970" t="n">
        <v>1</v>
      </c>
      <c r="T6970" s="35" t="inlineStr">
        <is>
          <t>4 — Не обогащён</t>
        </is>
      </c>
      <c r="U6970" s="35" t="inlineStr">
        <is>
          <t>Нет ОКВЭД/ССЧР</t>
        </is>
      </c>
      <c r="V6970" s="35" t="inlineStr">
        <is>
          <t>Не определено</t>
        </is>
      </c>
      <c r="W6970" s="35" t="inlineStr">
        <is>
          <t>Нет</t>
        </is>
      </c>
      <c r="X6970" s="35" t="inlineStr"/>
    </row>
    <row r="6971" ht="27.75" customHeight="1" s="24">
      <c r="A6971" s="13" t="inlineStr">
        <is>
          <t>FR422890</t>
        </is>
      </c>
      <c r="B6971" s="13" t="inlineStr">
        <is>
          <t>Общество с ограниченной ответственностью "ФАРТЕХ"</t>
        </is>
      </c>
      <c r="C6971" s="13" t="n">
        <v>5040148972</v>
      </c>
      <c r="D6971" s="13" t="inlineStr">
        <is>
          <t>5040148972</t>
        </is>
      </c>
      <c r="E6971" s="13" t="inlineStr">
        <is>
          <t>ЮЛ РФ</t>
        </is>
      </c>
      <c r="F6971" s="13" t="n"/>
      <c r="G6971" s="52" t="n">
        <v>3</v>
      </c>
      <c r="H6971" s="52" t="n">
        <v>2025</v>
      </c>
      <c r="I6971" s="14" t="n"/>
      <c r="J6971" s="14" t="n"/>
      <c r="K6971" s="53" t="inlineStr">
        <is>
          <t>Нет</t>
        </is>
      </c>
      <c r="L6971" s="53" t="inlineStr">
        <is>
          <t>Не определено</t>
        </is>
      </c>
      <c r="M6971" s="53" t="inlineStr">
        <is>
          <t>До 10</t>
        </is>
      </c>
      <c r="N6971" s="54" t="n">
        <v>3360</v>
      </c>
      <c r="O6971" s="55" t="inlineStr">
        <is>
          <t>1–15</t>
        </is>
      </c>
      <c r="P6971" s="16" t="inlineStr">
        <is>
          <t>ССЧР обогащена; ОКВЭД не найден/не загружен</t>
        </is>
      </c>
      <c r="Q6971" s="16" t="inlineStr">
        <is>
          <t>ФНС открытые данные ССЧР (ДатаСост 31.12.2025; набор 7707329152-sshr2019)</t>
        </is>
      </c>
      <c r="R6971" s="16">
        <f>HYPERLINK("https://checko.ru/search?query=3801001629","Чекко: проверить")</f>
        <v/>
      </c>
      <c r="S6971" t="n">
        <v>1</v>
      </c>
      <c r="T6971" s="35" t="inlineStr">
        <is>
          <t>4 — Не обогащён</t>
        </is>
      </c>
      <c r="U6971" s="35" t="inlineStr">
        <is>
          <t>Нет ОКВЭД/ССЧР</t>
        </is>
      </c>
      <c r="V6971" s="35" t="inlineStr">
        <is>
          <t>Не определено</t>
        </is>
      </c>
      <c r="W6971" s="35" t="inlineStr">
        <is>
          <t>Нет</t>
        </is>
      </c>
      <c r="X6971" s="35" t="inlineStr"/>
    </row>
    <row r="6972" ht="15" customHeight="1" s="24">
      <c r="A6972" s="13" t="inlineStr">
        <is>
          <t>FR1074775</t>
        </is>
      </c>
      <c r="B6972" s="13" t="inlineStr">
        <is>
          <t>ООО "ТК ЭРАСТРОЙ"</t>
        </is>
      </c>
      <c r="C6972" s="13" t="n">
        <v>3816030439</v>
      </c>
      <c r="D6972" s="13" t="inlineStr">
        <is>
          <t>3816030439</t>
        </is>
      </c>
      <c r="E6972" s="13" t="inlineStr">
        <is>
          <t>ЮЛ РФ</t>
        </is>
      </c>
      <c r="F6972" s="13" t="n"/>
      <c r="G6972" s="52" t="n">
        <v>19</v>
      </c>
      <c r="H6972" s="52" t="n">
        <v>2025</v>
      </c>
      <c r="I6972" s="14" t="n"/>
      <c r="J6972" s="14" t="n"/>
      <c r="K6972" s="53" t="inlineStr">
        <is>
          <t>Нет</t>
        </is>
      </c>
      <c r="L6972" s="53" t="inlineStr">
        <is>
          <t>Не определено</t>
        </is>
      </c>
      <c r="M6972" s="53" t="inlineStr">
        <is>
          <t>До 25</t>
        </is>
      </c>
      <c r="N6972" s="54" t="n">
        <v>8400</v>
      </c>
      <c r="O6972" s="55" t="inlineStr">
        <is>
          <t>16–30</t>
        </is>
      </c>
      <c r="P6972" s="16" t="inlineStr">
        <is>
          <t>ССЧР обогащена; ОКВЭД не найден/не загружен</t>
        </is>
      </c>
      <c r="Q6972" s="16" t="inlineStr">
        <is>
          <t>ФНС открытые данные ССЧР (ДатаСост 31.12.2025; набор 7707329152-sshr2019)</t>
        </is>
      </c>
      <c r="R6972" s="16">
        <f>HYPERLINK("https://checko.ru/search?query=3801001629","Чекко: проверить")</f>
        <v/>
      </c>
      <c r="S6972" t="n">
        <v>1</v>
      </c>
      <c r="T6972" s="35" t="inlineStr">
        <is>
          <t>4 — Не обогащён</t>
        </is>
      </c>
      <c r="U6972" s="35" t="inlineStr">
        <is>
          <t>Нет ОКВЭД/ССЧР</t>
        </is>
      </c>
      <c r="V6972" s="35" t="inlineStr">
        <is>
          <t>Не определено</t>
        </is>
      </c>
      <c r="W6972" s="35" t="inlineStr">
        <is>
          <t>Нет</t>
        </is>
      </c>
      <c r="X6972" s="35" t="inlineStr"/>
    </row>
    <row r="6973" ht="27.75" customHeight="1" s="24">
      <c r="A6973" s="13" t="inlineStr">
        <is>
          <t>FR124914</t>
        </is>
      </c>
      <c r="B6973" s="13" t="inlineStr">
        <is>
          <t>Общество с ограниченной ответственностью "НПО ПРИБОРЫ И МЕХАНИЗМЫ"</t>
        </is>
      </c>
      <c r="C6973" s="13" t="n">
        <v>2100024270</v>
      </c>
      <c r="D6973" s="13" t="inlineStr">
        <is>
          <t>2100024270</t>
        </is>
      </c>
      <c r="E6973" s="13" t="inlineStr">
        <is>
          <t>ЮЛ РФ</t>
        </is>
      </c>
      <c r="F6973" s="13" t="n"/>
      <c r="G6973" s="52" t="n">
        <v>1</v>
      </c>
      <c r="H6973" s="52" t="n">
        <v>2025</v>
      </c>
      <c r="I6973" s="14" t="n"/>
      <c r="J6973" s="14" t="n"/>
      <c r="K6973" s="53" t="inlineStr">
        <is>
          <t>Нет</t>
        </is>
      </c>
      <c r="L6973" s="53" t="inlineStr">
        <is>
          <t>Не определено</t>
        </is>
      </c>
      <c r="M6973" s="53" t="inlineStr">
        <is>
          <t>До 10</t>
        </is>
      </c>
      <c r="N6973" s="54" t="n">
        <v>3360</v>
      </c>
      <c r="O6973" s="55" t="inlineStr">
        <is>
          <t>1–15</t>
        </is>
      </c>
      <c r="P6973" s="16" t="inlineStr">
        <is>
          <t>ССЧР обогащена; ОКВЭД не найден/не загружен</t>
        </is>
      </c>
      <c r="Q6973" s="16" t="inlineStr">
        <is>
          <t>ФНС открытые данные ССЧР (ДатаСост 31.12.2025; набор 7707329152-sshr2019)</t>
        </is>
      </c>
      <c r="R6973" s="16">
        <f>HYPERLINK("https://checko.ru/search?query=3801001629","Чекко: проверить")</f>
        <v/>
      </c>
      <c r="S6973" t="n">
        <v>1</v>
      </c>
      <c r="T6973" s="35" t="inlineStr">
        <is>
          <t>4 — Не обогащён</t>
        </is>
      </c>
      <c r="U6973" s="35" t="inlineStr">
        <is>
          <t>Нет ОКВЭД/ССЧР</t>
        </is>
      </c>
      <c r="V6973" s="35" t="inlineStr">
        <is>
          <t>Не определено</t>
        </is>
      </c>
      <c r="W6973" s="35" t="inlineStr">
        <is>
          <t>Нет</t>
        </is>
      </c>
      <c r="X6973" s="35" t="inlineStr"/>
    </row>
    <row r="6974" ht="15" customHeight="1" s="24">
      <c r="A6974" s="13" t="inlineStr">
        <is>
          <t>FR896137</t>
        </is>
      </c>
      <c r="B6974" s="13" t="inlineStr">
        <is>
          <t>ООО С.К. "Успех"</t>
        </is>
      </c>
      <c r="C6974" s="13" t="n">
        <v>3804119393</v>
      </c>
      <c r="D6974" s="13" t="inlineStr">
        <is>
          <t>3804119393</t>
        </is>
      </c>
      <c r="E6974" s="13" t="inlineStr">
        <is>
          <t>ЮЛ РФ</t>
        </is>
      </c>
      <c r="F6974" s="13" t="n"/>
      <c r="G6974" s="52" t="n">
        <v>11</v>
      </c>
      <c r="H6974" s="52" t="n">
        <v>2025</v>
      </c>
      <c r="I6974" s="14" t="n"/>
      <c r="J6974" s="14" t="n"/>
      <c r="K6974" s="53" t="inlineStr">
        <is>
          <t>Нет</t>
        </is>
      </c>
      <c r="L6974" s="53" t="inlineStr">
        <is>
          <t>Не определено</t>
        </is>
      </c>
      <c r="M6974" s="53" t="inlineStr">
        <is>
          <t>До 25</t>
        </is>
      </c>
      <c r="N6974" s="54" t="n">
        <v>8400</v>
      </c>
      <c r="O6974" s="55" t="inlineStr">
        <is>
          <t>1–15</t>
        </is>
      </c>
      <c r="P6974" s="16" t="inlineStr">
        <is>
          <t>ССЧР обогащена; ОКВЭД не найден/не загружен</t>
        </is>
      </c>
      <c r="Q6974" s="16" t="inlineStr">
        <is>
          <t>ФНС открытые данные ССЧР (ДатаСост 31.12.2025; набор 7707329152-sshr2019)</t>
        </is>
      </c>
      <c r="R6974" s="16">
        <f>HYPERLINK("https://checko.ru/search?query=3801001629","Чекко: проверить")</f>
        <v/>
      </c>
      <c r="S6974" t="n">
        <v>1</v>
      </c>
      <c r="T6974" s="35" t="inlineStr">
        <is>
          <t>4 — Не обогащён</t>
        </is>
      </c>
      <c r="U6974" s="35" t="inlineStr">
        <is>
          <t>Нет ОКВЭД/ССЧР</t>
        </is>
      </c>
      <c r="V6974" s="35" t="inlineStr">
        <is>
          <t>Не определено</t>
        </is>
      </c>
      <c r="W6974" s="35" t="inlineStr">
        <is>
          <t>Нет</t>
        </is>
      </c>
      <c r="X6974" s="35" t="inlineStr"/>
    </row>
    <row r="6975" ht="15" customHeight="1" s="24">
      <c r="A6975" s="13" t="inlineStr">
        <is>
          <t>FR7006</t>
        </is>
      </c>
      <c r="B6975" s="13" t="inlineStr">
        <is>
          <t>ИП Севостьянова Зоя Владимировна</t>
        </is>
      </c>
      <c r="C6975" s="13" t="n">
        <v>381103970700</v>
      </c>
      <c r="D6975" s="13" t="inlineStr">
        <is>
          <t>381103970700</t>
        </is>
      </c>
      <c r="E6975" s="13" t="inlineStr">
        <is>
          <t>ИП РФ / физлицо</t>
        </is>
      </c>
      <c r="F6975" s="13" t="n"/>
      <c r="G6975" s="14" t="n"/>
      <c r="H6975" s="14" t="n"/>
      <c r="I6975" s="14" t="n"/>
      <c r="J6975" s="14" t="n"/>
      <c r="K6975" s="53" t="inlineStr"/>
      <c r="L6975" s="53" t="inlineStr">
        <is>
          <t>Не определено</t>
        </is>
      </c>
      <c r="M6975" s="53" t="inlineStr"/>
      <c r="N6975" s="54" t="inlineStr"/>
      <c r="O6975" s="55" t="inlineStr"/>
      <c r="P6975" s="16" t="inlineStr">
        <is>
          <t>Требует обогащения</t>
        </is>
      </c>
      <c r="Q6975" s="16">
        <f>HYPERLINK("https://pb.nalog.ru/search.html?query=381103970700","ФНС: проверить")</f>
        <v/>
      </c>
      <c r="R6975" s="16">
        <f>HYPERLINK("https://checko.ru/search?query=3801001629","Чекко: проверить")</f>
        <v/>
      </c>
      <c r="S6975" t="n">
        <v>1</v>
      </c>
      <c r="T6975" s="35" t="inlineStr">
        <is>
          <t>4 — Не обогащён</t>
        </is>
      </c>
      <c r="U6975" s="35" t="inlineStr">
        <is>
          <t>Нет ОКВЭД/ССЧР</t>
        </is>
      </c>
      <c r="V6975" s="35" t="inlineStr">
        <is>
          <t>Не определено</t>
        </is>
      </c>
      <c r="W6975" s="35" t="inlineStr"/>
      <c r="X6975" s="35" t="inlineStr"/>
    </row>
    <row r="6976" ht="15" customHeight="1" s="24">
      <c r="A6976" s="13" t="inlineStr">
        <is>
          <t>FR1270259</t>
        </is>
      </c>
      <c r="B6976" s="13" t="inlineStr">
        <is>
          <t>ООО "Сити-Сервис"</t>
        </is>
      </c>
      <c r="C6976" s="13" t="n">
        <v>3849009048</v>
      </c>
      <c r="D6976" s="13" t="inlineStr">
        <is>
          <t>3849009048</t>
        </is>
      </c>
      <c r="E6976" s="13" t="inlineStr">
        <is>
          <t>ЮЛ РФ</t>
        </is>
      </c>
      <c r="F6976" s="13" t="n"/>
      <c r="G6976" s="52" t="n">
        <v>3</v>
      </c>
      <c r="H6976" s="52" t="n">
        <v>2025</v>
      </c>
      <c r="I6976" s="14" t="n"/>
      <c r="J6976" s="14" t="n"/>
      <c r="K6976" s="53" t="inlineStr">
        <is>
          <t>Нет</t>
        </is>
      </c>
      <c r="L6976" s="53" t="inlineStr">
        <is>
          <t>Не определено</t>
        </is>
      </c>
      <c r="M6976" s="53" t="inlineStr">
        <is>
          <t>До 10</t>
        </is>
      </c>
      <c r="N6976" s="54" t="n">
        <v>3360</v>
      </c>
      <c r="O6976" s="55" t="inlineStr">
        <is>
          <t>1–15</t>
        </is>
      </c>
      <c r="P6976" s="16" t="inlineStr">
        <is>
          <t>ССЧР обогащена; ОКВЭД не найден/не загружен</t>
        </is>
      </c>
      <c r="Q6976" s="16" t="inlineStr">
        <is>
          <t>ФНС открытые данные ССЧР (ДатаСост 31.12.2025; набор 7707329152-sshr2019)</t>
        </is>
      </c>
      <c r="R6976" s="16">
        <f>HYPERLINK("https://checko.ru/search?query=3801001629","Чекко: проверить")</f>
        <v/>
      </c>
      <c r="S6976" t="n">
        <v>1</v>
      </c>
      <c r="T6976" s="35" t="inlineStr">
        <is>
          <t>4 — Не обогащён</t>
        </is>
      </c>
      <c r="U6976" s="35" t="inlineStr">
        <is>
          <t>Нет ОКВЭД/ССЧР</t>
        </is>
      </c>
      <c r="V6976" s="35" t="inlineStr">
        <is>
          <t>Не определено</t>
        </is>
      </c>
      <c r="W6976" s="35" t="inlineStr">
        <is>
          <t>Нет</t>
        </is>
      </c>
      <c r="X6976" s="35" t="inlineStr"/>
    </row>
    <row r="6977" ht="27.75" customHeight="1" s="24">
      <c r="A6977" s="13" t="inlineStr">
        <is>
          <t>FR100265</t>
        </is>
      </c>
      <c r="B6977" s="13" t="inlineStr">
        <is>
          <t>ДИРЕКЦИЯ КУЛЬТУРНЫХ И СОЦИАЛЬНЫХ ПРОЕКТОВ, ООО</t>
        </is>
      </c>
      <c r="C6977" s="13" t="n">
        <v>1660246958</v>
      </c>
      <c r="D6977" s="13" t="inlineStr">
        <is>
          <t>1660246958</t>
        </is>
      </c>
      <c r="E6977" s="13" t="inlineStr">
        <is>
          <t>ЮЛ РФ</t>
        </is>
      </c>
      <c r="F6977" s="13" t="n"/>
      <c r="G6977" s="52" t="n">
        <v>6</v>
      </c>
      <c r="H6977" s="52" t="n">
        <v>2025</v>
      </c>
      <c r="I6977" s="14" t="n"/>
      <c r="J6977" s="14" t="n"/>
      <c r="K6977" s="53" t="inlineStr">
        <is>
          <t>Нет</t>
        </is>
      </c>
      <c r="L6977" s="53" t="inlineStr">
        <is>
          <t>Не определено</t>
        </is>
      </c>
      <c r="M6977" s="53" t="inlineStr">
        <is>
          <t>До 10</t>
        </is>
      </c>
      <c r="N6977" s="54" t="n">
        <v>3360</v>
      </c>
      <c r="O6977" s="55" t="inlineStr">
        <is>
          <t>1–15</t>
        </is>
      </c>
      <c r="P6977" s="16" t="inlineStr">
        <is>
          <t>ССЧР обогащена; ОКВЭД не найден/не загружен</t>
        </is>
      </c>
      <c r="Q6977" s="16" t="inlineStr">
        <is>
          <t>ФНС открытые данные ССЧР (ДатаСост 31.12.2025; набор 7707329152-sshr2019)</t>
        </is>
      </c>
      <c r="R6977" s="16">
        <f>HYPERLINK("https://checko.ru/search?query=3801001629","Чекко: проверить")</f>
        <v/>
      </c>
      <c r="S6977" t="n">
        <v>1</v>
      </c>
      <c r="T6977" s="35" t="inlineStr">
        <is>
          <t>4 — Не обогащён</t>
        </is>
      </c>
      <c r="U6977" s="35" t="inlineStr">
        <is>
          <t>Нет ОКВЭД/ССЧР</t>
        </is>
      </c>
      <c r="V6977" s="35" t="inlineStr">
        <is>
          <t>Не определено</t>
        </is>
      </c>
      <c r="W6977" s="35" t="inlineStr">
        <is>
          <t>Нет</t>
        </is>
      </c>
      <c r="X6977" s="35" t="inlineStr"/>
    </row>
    <row r="6978" ht="15" customHeight="1" s="24">
      <c r="A6978" s="13" t="inlineStr">
        <is>
          <t>FR196188</t>
        </is>
      </c>
      <c r="B6978" s="13" t="inlineStr">
        <is>
          <t>ООО "СВО"</t>
        </is>
      </c>
      <c r="C6978" s="13" t="n">
        <v>6321251631</v>
      </c>
      <c r="D6978" s="13" t="inlineStr">
        <is>
          <t>6321251631</t>
        </is>
      </c>
      <c r="E6978" s="13" t="inlineStr">
        <is>
          <t>ЮЛ РФ</t>
        </is>
      </c>
      <c r="F6978" s="13" t="n"/>
      <c r="G6978" s="52" t="n">
        <v>6</v>
      </c>
      <c r="H6978" s="52" t="n">
        <v>2025</v>
      </c>
      <c r="I6978" s="14" t="n"/>
      <c r="J6978" s="14" t="n"/>
      <c r="K6978" s="53" t="inlineStr">
        <is>
          <t>Нет</t>
        </is>
      </c>
      <c r="L6978" s="53" t="inlineStr">
        <is>
          <t>Не определено</t>
        </is>
      </c>
      <c r="M6978" s="53" t="inlineStr">
        <is>
          <t>До 10</t>
        </is>
      </c>
      <c r="N6978" s="54" t="n">
        <v>3360</v>
      </c>
      <c r="O6978" s="55" t="inlineStr">
        <is>
          <t>1–15</t>
        </is>
      </c>
      <c r="P6978" s="16" t="inlineStr">
        <is>
          <t>ССЧР обогащена; ОКВЭД не найден/не загружен</t>
        </is>
      </c>
      <c r="Q6978" s="16" t="inlineStr">
        <is>
          <t>ФНС открытые данные ССЧР (ДатаСост 31.12.2025; набор 7707329152-sshr2019)</t>
        </is>
      </c>
      <c r="R6978" s="16">
        <f>HYPERLINK("https://checko.ru/search?query=3801001629","Чекко: проверить")</f>
        <v/>
      </c>
      <c r="S6978" t="n">
        <v>1</v>
      </c>
      <c r="T6978" s="35" t="inlineStr">
        <is>
          <t>4 — Не обогащён</t>
        </is>
      </c>
      <c r="U6978" s="35" t="inlineStr">
        <is>
          <t>Нет ОКВЭД/ССЧР</t>
        </is>
      </c>
      <c r="V6978" s="35" t="inlineStr">
        <is>
          <t>Не определено</t>
        </is>
      </c>
      <c r="W6978" s="35" t="inlineStr">
        <is>
          <t>Нет</t>
        </is>
      </c>
      <c r="X6978" s="35" t="inlineStr"/>
    </row>
    <row r="6979" ht="15" customHeight="1" s="24">
      <c r="A6979" s="13" t="inlineStr">
        <is>
          <t>FR366448</t>
        </is>
      </c>
      <c r="B6979" s="13" t="inlineStr">
        <is>
          <t>ИП Фёдоров Юрий Александрович</t>
        </is>
      </c>
      <c r="C6979" s="13" t="n">
        <v>591150890281</v>
      </c>
      <c r="D6979" s="13" t="inlineStr">
        <is>
          <t>591150890281</t>
        </is>
      </c>
      <c r="E6979" s="13" t="inlineStr">
        <is>
          <t>ИП РФ / физлицо</t>
        </is>
      </c>
      <c r="F6979" s="13" t="n"/>
      <c r="G6979" s="14" t="n"/>
      <c r="H6979" s="14" t="n"/>
      <c r="I6979" s="14" t="n"/>
      <c r="J6979" s="14" t="n"/>
      <c r="K6979" s="53" t="inlineStr"/>
      <c r="L6979" s="53" t="inlineStr">
        <is>
          <t>Не определено</t>
        </is>
      </c>
      <c r="M6979" s="53" t="inlineStr"/>
      <c r="N6979" s="54" t="inlineStr"/>
      <c r="O6979" s="55" t="inlineStr"/>
      <c r="P6979" s="16" t="inlineStr">
        <is>
          <t>Требует обогащения</t>
        </is>
      </c>
      <c r="Q6979" s="16">
        <f>HYPERLINK("https://pb.nalog.ru/search.html?query=591150890281","ФНС: проверить")</f>
        <v/>
      </c>
      <c r="R6979" s="16">
        <f>HYPERLINK("https://checko.ru/search?query=3801001629","Чекко: проверить")</f>
        <v/>
      </c>
      <c r="S6979" t="n">
        <v>1</v>
      </c>
      <c r="T6979" s="35" t="inlineStr">
        <is>
          <t>4 — Не обогащён</t>
        </is>
      </c>
      <c r="U6979" s="35" t="inlineStr">
        <is>
          <t>Нет ОКВЭД/ССЧР</t>
        </is>
      </c>
      <c r="V6979" s="35" t="inlineStr">
        <is>
          <t>Не определено</t>
        </is>
      </c>
      <c r="W6979" s="35" t="inlineStr"/>
      <c r="X6979" s="35" t="inlineStr"/>
    </row>
    <row r="6980" ht="15" customHeight="1" s="24">
      <c r="A6980" s="13" t="inlineStr">
        <is>
          <t>FR1269671</t>
        </is>
      </c>
      <c r="B6980" s="13" t="inlineStr">
        <is>
          <t>ИП Лунева Анна Александровна</t>
        </is>
      </c>
      <c r="C6980" s="13" t="n">
        <v>583509142150</v>
      </c>
      <c r="D6980" s="13" t="inlineStr">
        <is>
          <t>583509142150</t>
        </is>
      </c>
      <c r="E6980" s="13" t="inlineStr">
        <is>
          <t>ИП РФ / физлицо</t>
        </is>
      </c>
      <c r="F6980" s="13" t="n"/>
      <c r="G6980" s="14" t="n"/>
      <c r="H6980" s="14" t="n"/>
      <c r="I6980" s="14" t="n"/>
      <c r="J6980" s="14" t="n"/>
      <c r="K6980" s="53" t="inlineStr"/>
      <c r="L6980" s="53" t="inlineStr">
        <is>
          <t>Не определено</t>
        </is>
      </c>
      <c r="M6980" s="53" t="inlineStr"/>
      <c r="N6980" s="54" t="inlineStr"/>
      <c r="O6980" s="55" t="inlineStr"/>
      <c r="P6980" s="16" t="inlineStr">
        <is>
          <t>Требует обогащения</t>
        </is>
      </c>
      <c r="Q6980" s="16">
        <f>HYPERLINK("https://pb.nalog.ru/search.html?query=583509142150","ФНС: проверить")</f>
        <v/>
      </c>
      <c r="R6980" s="16">
        <f>HYPERLINK("https://checko.ru/search?query=3801001629","Чекко: проверить")</f>
        <v/>
      </c>
      <c r="S6980" t="n">
        <v>1</v>
      </c>
      <c r="T6980" s="35" t="inlineStr">
        <is>
          <t>4 — Не обогащён</t>
        </is>
      </c>
      <c r="U6980" s="35" t="inlineStr">
        <is>
          <t>Нет ОКВЭД/ССЧР</t>
        </is>
      </c>
      <c r="V6980" s="35" t="inlineStr">
        <is>
          <t>Не определено</t>
        </is>
      </c>
      <c r="W6980" s="35" t="inlineStr"/>
      <c r="X6980" s="35" t="inlineStr"/>
    </row>
    <row r="6981" ht="41.25" customHeight="1" s="24">
      <c r="A6981" s="13" t="inlineStr">
        <is>
          <t>FR436616</t>
        </is>
      </c>
      <c r="B6981" s="13" t="inlineStr">
        <is>
          <t>СОЮЗ ПО БЛАГОУСТРОЙСТВУ ПРИДОМОВОЙ ТЕРРИТОРИИ ДОМА 15А ПО УЛИЦЕ ЛЕНИНА ГОРОДА КРАСНОГОРСКА</t>
        </is>
      </c>
      <c r="C6981" s="13" t="n">
        <v>5024998563</v>
      </c>
      <c r="D6981" s="13" t="inlineStr">
        <is>
          <t>5024998563</t>
        </is>
      </c>
      <c r="E6981" s="13" t="inlineStr">
        <is>
          <t>ЮЛ РФ</t>
        </is>
      </c>
      <c r="F6981" s="13" t="n"/>
      <c r="G6981" s="14" t="n"/>
      <c r="H6981" s="14" t="n"/>
      <c r="I6981" s="14" t="n"/>
      <c r="J6981" s="14" t="n"/>
      <c r="K6981" s="53" t="inlineStr"/>
      <c r="L6981" s="53" t="inlineStr">
        <is>
          <t>Не определено</t>
        </is>
      </c>
      <c r="M6981" s="53" t="inlineStr"/>
      <c r="N6981" s="54" t="inlineStr"/>
      <c r="O6981" s="55" t="inlineStr"/>
      <c r="P6981" s="16" t="inlineStr">
        <is>
          <t>Требует обогащения</t>
        </is>
      </c>
      <c r="Q6981" s="16">
        <f>HYPERLINK("https://pb.nalog.ru/search.html?query=5024998563","ФНС: проверить")</f>
        <v/>
      </c>
      <c r="R6981" s="16">
        <f>HYPERLINK("https://checko.ru/search?query=3801001629","Чекко: проверить")</f>
        <v/>
      </c>
      <c r="S6981" t="n">
        <v>1</v>
      </c>
      <c r="T6981" s="35" t="inlineStr">
        <is>
          <t>4 — Не обогащён</t>
        </is>
      </c>
      <c r="U6981" s="35" t="inlineStr">
        <is>
          <t>Нет ОКВЭД/ССЧР</t>
        </is>
      </c>
      <c r="V6981" s="35" t="inlineStr">
        <is>
          <t>Не определено</t>
        </is>
      </c>
      <c r="W6981" s="35" t="inlineStr"/>
      <c r="X6981" s="35" t="inlineStr"/>
    </row>
    <row r="6982" ht="15" customHeight="1" s="24">
      <c r="A6982" s="13" t="inlineStr">
        <is>
          <t>FR1269278</t>
        </is>
      </c>
      <c r="B6982" s="13" t="inlineStr">
        <is>
          <t>ИП Фока Ольга Валерьевна</t>
        </is>
      </c>
      <c r="C6982" s="13" t="n">
        <v>572300406123</v>
      </c>
      <c r="D6982" s="13" t="inlineStr">
        <is>
          <t>572300406123</t>
        </is>
      </c>
      <c r="E6982" s="13" t="inlineStr">
        <is>
          <t>ИП РФ / физлицо</t>
        </is>
      </c>
      <c r="F6982" s="13" t="n"/>
      <c r="G6982" s="14" t="n"/>
      <c r="H6982" s="14" t="n"/>
      <c r="I6982" s="14" t="n"/>
      <c r="J6982" s="14" t="n"/>
      <c r="K6982" s="53" t="inlineStr"/>
      <c r="L6982" s="53" t="inlineStr">
        <is>
          <t>Не определено</t>
        </is>
      </c>
      <c r="M6982" s="53" t="inlineStr"/>
      <c r="N6982" s="54" t="inlineStr"/>
      <c r="O6982" s="55" t="inlineStr"/>
      <c r="P6982" s="16" t="inlineStr">
        <is>
          <t>Требует обогащения</t>
        </is>
      </c>
      <c r="Q6982" s="16">
        <f>HYPERLINK("https://pb.nalog.ru/search.html?query=572300406123","ФНС: проверить")</f>
        <v/>
      </c>
      <c r="R6982" s="16">
        <f>HYPERLINK("https://checko.ru/search?query=3801001629","Чекко: проверить")</f>
        <v/>
      </c>
      <c r="S6982" t="n">
        <v>1</v>
      </c>
      <c r="T6982" s="35" t="inlineStr">
        <is>
          <t>4 — Не обогащён</t>
        </is>
      </c>
      <c r="U6982" s="35" t="inlineStr">
        <is>
          <t>Нет ОКВЭД/ССЧР</t>
        </is>
      </c>
      <c r="V6982" s="35" t="inlineStr">
        <is>
          <t>Не определено</t>
        </is>
      </c>
      <c r="W6982" s="35" t="inlineStr"/>
      <c r="X6982" s="35" t="inlineStr"/>
    </row>
    <row r="6983" ht="15" customHeight="1" s="24">
      <c r="A6983" s="13" t="inlineStr">
        <is>
          <t>FR1269001</t>
        </is>
      </c>
      <c r="B6983" s="13" t="inlineStr">
        <is>
          <t>ИП Путько Дмитрий Александрович</t>
        </is>
      </c>
      <c r="C6983" s="13" t="n">
        <v>661585762426</v>
      </c>
      <c r="D6983" s="13" t="inlineStr">
        <is>
          <t>661585762426</t>
        </is>
      </c>
      <c r="E6983" s="13" t="inlineStr">
        <is>
          <t>ИП РФ / физлицо</t>
        </is>
      </c>
      <c r="F6983" s="13" t="n"/>
      <c r="G6983" s="14" t="n"/>
      <c r="H6983" s="14" t="n"/>
      <c r="I6983" s="14" t="n"/>
      <c r="J6983" s="14" t="n"/>
      <c r="K6983" s="53" t="inlineStr"/>
      <c r="L6983" s="53" t="inlineStr">
        <is>
          <t>Не определено</t>
        </is>
      </c>
      <c r="M6983" s="53" t="inlineStr"/>
      <c r="N6983" s="54" t="inlineStr"/>
      <c r="O6983" s="55" t="inlineStr"/>
      <c r="P6983" s="16" t="inlineStr">
        <is>
          <t>Требует обогащения</t>
        </is>
      </c>
      <c r="Q6983" s="16">
        <f>HYPERLINK("https://pb.nalog.ru/search.html?query=661585762426","ФНС: проверить")</f>
        <v/>
      </c>
      <c r="R6983" s="16">
        <f>HYPERLINK("https://checko.ru/search?query=3801001629","Чекко: проверить")</f>
        <v/>
      </c>
      <c r="S6983" t="n">
        <v>1</v>
      </c>
      <c r="T6983" s="35" t="inlineStr">
        <is>
          <t>4 — Не обогащён</t>
        </is>
      </c>
      <c r="U6983" s="35" t="inlineStr">
        <is>
          <t>Нет ОКВЭД/ССЧР</t>
        </is>
      </c>
      <c r="V6983" s="35" t="inlineStr">
        <is>
          <t>Не определено</t>
        </is>
      </c>
      <c r="W6983" s="35" t="inlineStr"/>
      <c r="X6983" s="35" t="inlineStr"/>
    </row>
    <row r="6984" ht="15" customHeight="1" s="24">
      <c r="A6984" s="13" t="inlineStr">
        <is>
          <t>FR1076966</t>
        </is>
      </c>
      <c r="B6984" s="13" t="inlineStr">
        <is>
          <t>ИП Цивилев Антон Сергеевич</t>
        </is>
      </c>
      <c r="C6984" s="13" t="n">
        <v>381713406678</v>
      </c>
      <c r="D6984" s="13" t="inlineStr">
        <is>
          <t>381713406678</t>
        </is>
      </c>
      <c r="E6984" s="13" t="inlineStr">
        <is>
          <t>ИП РФ / физлицо</t>
        </is>
      </c>
      <c r="F6984" s="13" t="n"/>
      <c r="G6984" s="14" t="n"/>
      <c r="H6984" s="14" t="n"/>
      <c r="I6984" s="14" t="n"/>
      <c r="J6984" s="14" t="n"/>
      <c r="K6984" s="53" t="inlineStr"/>
      <c r="L6984" s="53" t="inlineStr">
        <is>
          <t>Не определено</t>
        </is>
      </c>
      <c r="M6984" s="53" t="inlineStr"/>
      <c r="N6984" s="54" t="inlineStr"/>
      <c r="O6984" s="55" t="inlineStr"/>
      <c r="P6984" s="16" t="inlineStr">
        <is>
          <t>Требует обогащения</t>
        </is>
      </c>
      <c r="Q6984" s="16">
        <f>HYPERLINK("https://pb.nalog.ru/search.html?query=381713406678","ФНС: проверить")</f>
        <v/>
      </c>
      <c r="R6984" s="16">
        <f>HYPERLINK("https://checko.ru/search?query=3801001629","Чекко: проверить")</f>
        <v/>
      </c>
      <c r="S6984" t="n">
        <v>1</v>
      </c>
      <c r="T6984" s="35" t="inlineStr">
        <is>
          <t>4 — Не обогащён</t>
        </is>
      </c>
      <c r="U6984" s="35" t="inlineStr">
        <is>
          <t>Нет ОКВЭД/ССЧР</t>
        </is>
      </c>
      <c r="V6984" s="35" t="inlineStr">
        <is>
          <t>Не определено</t>
        </is>
      </c>
      <c r="W6984" s="35" t="inlineStr"/>
      <c r="X6984" s="35" t="inlineStr"/>
    </row>
    <row r="6985" ht="27.75" customHeight="1" s="24">
      <c r="A6985" s="13" t="inlineStr">
        <is>
          <t>FR1075779</t>
        </is>
      </c>
      <c r="B6985" s="13" t="inlineStr">
        <is>
          <t>Общество с ограниченной ответственностью ГРУППА КОМПАНИЙ "СИНЕРГИЯ"</t>
        </is>
      </c>
      <c r="C6985" s="13" t="n">
        <v>3812528953</v>
      </c>
      <c r="D6985" s="13" t="inlineStr">
        <is>
          <t>3812528953</t>
        </is>
      </c>
      <c r="E6985" s="13" t="inlineStr">
        <is>
          <t>ЮЛ РФ</t>
        </is>
      </c>
      <c r="F6985" s="13" t="n"/>
      <c r="G6985" s="52" t="n">
        <v>1</v>
      </c>
      <c r="H6985" s="52" t="n">
        <v>2025</v>
      </c>
      <c r="I6985" s="14" t="n"/>
      <c r="J6985" s="14" t="n"/>
      <c r="K6985" s="53" t="inlineStr">
        <is>
          <t>Нет</t>
        </is>
      </c>
      <c r="L6985" s="53" t="inlineStr">
        <is>
          <t>Не определено</t>
        </is>
      </c>
      <c r="M6985" s="53" t="inlineStr">
        <is>
          <t>До 10</t>
        </is>
      </c>
      <c r="N6985" s="54" t="n">
        <v>3360</v>
      </c>
      <c r="O6985" s="55" t="inlineStr">
        <is>
          <t>1–15</t>
        </is>
      </c>
      <c r="P6985" s="16" t="inlineStr">
        <is>
          <t>ССЧР обогащена; ОКВЭД не найден/не загружен</t>
        </is>
      </c>
      <c r="Q6985" s="16" t="inlineStr">
        <is>
          <t>ФНС открытые данные ССЧР (ДатаСост 31.12.2025; набор 7707329152-sshr2019)</t>
        </is>
      </c>
      <c r="R6985" s="16">
        <f>HYPERLINK("https://checko.ru/search?query=3801001629","Чекко: проверить")</f>
        <v/>
      </c>
      <c r="S6985" t="n">
        <v>1</v>
      </c>
      <c r="T6985" s="35" t="inlineStr">
        <is>
          <t>4 — Не обогащён</t>
        </is>
      </c>
      <c r="U6985" s="35" t="inlineStr">
        <is>
          <t>Нет ОКВЭД/ССЧР</t>
        </is>
      </c>
      <c r="V6985" s="35" t="inlineStr">
        <is>
          <t>Не определено</t>
        </is>
      </c>
      <c r="W6985" s="35" t="inlineStr">
        <is>
          <t>Нет</t>
        </is>
      </c>
      <c r="X6985" s="35" t="inlineStr"/>
    </row>
    <row r="6986" ht="27.75" customHeight="1" s="24">
      <c r="A6986" s="13" t="inlineStr">
        <is>
          <t>FR1075995</t>
        </is>
      </c>
      <c r="B6986" s="13" t="inlineStr">
        <is>
          <t>Общество с ограниченной ответственностью "ИРКУТСКИЙ ИСПЫТАТЕЛЬНЫЙ ЦЕНТР"</t>
        </is>
      </c>
      <c r="C6986" s="13" t="n">
        <v>3849002324</v>
      </c>
      <c r="D6986" s="13" t="inlineStr">
        <is>
          <t>3849002324</t>
        </is>
      </c>
      <c r="E6986" s="13" t="inlineStr">
        <is>
          <t>ЮЛ РФ</t>
        </is>
      </c>
      <c r="F6986" s="13" t="n"/>
      <c r="G6986" s="52" t="n">
        <v>6</v>
      </c>
      <c r="H6986" s="52" t="n">
        <v>2025</v>
      </c>
      <c r="I6986" s="14" t="n"/>
      <c r="J6986" s="14" t="n"/>
      <c r="K6986" s="53" t="inlineStr">
        <is>
          <t>Нет</t>
        </is>
      </c>
      <c r="L6986" s="53" t="inlineStr">
        <is>
          <t>Не определено</t>
        </is>
      </c>
      <c r="M6986" s="53" t="inlineStr">
        <is>
          <t>До 10</t>
        </is>
      </c>
      <c r="N6986" s="54" t="n">
        <v>3360</v>
      </c>
      <c r="O6986" s="55" t="inlineStr">
        <is>
          <t>1–15</t>
        </is>
      </c>
      <c r="P6986" s="16" t="inlineStr">
        <is>
          <t>ССЧР обогащена; ОКВЭД не найден/не загружен</t>
        </is>
      </c>
      <c r="Q6986" s="16" t="inlineStr">
        <is>
          <t>ФНС открытые данные ССЧР (ДатаСост 31.12.2025; набор 7707329152-sshr2019)</t>
        </is>
      </c>
      <c r="R6986" s="16">
        <f>HYPERLINK("https://checko.ru/search?query=3801001629","Чекко: проверить")</f>
        <v/>
      </c>
      <c r="S6986" t="n">
        <v>1</v>
      </c>
      <c r="T6986" s="35" t="inlineStr">
        <is>
          <t>4 — Не обогащён</t>
        </is>
      </c>
      <c r="U6986" s="35" t="inlineStr">
        <is>
          <t>Нет ОКВЭД/ССЧР</t>
        </is>
      </c>
      <c r="V6986" s="35" t="inlineStr">
        <is>
          <t>Не определено</t>
        </is>
      </c>
      <c r="W6986" s="35" t="inlineStr">
        <is>
          <t>Нет</t>
        </is>
      </c>
      <c r="X6986" s="35" t="inlineStr"/>
    </row>
    <row r="6987" ht="15" customHeight="1" s="24">
      <c r="A6987" s="13" t="inlineStr">
        <is>
          <t>FR1075799</t>
        </is>
      </c>
      <c r="B6987" s="13" t="inlineStr">
        <is>
          <t>ИП Грицких Константин Владимирович</t>
        </is>
      </c>
      <c r="C6987" s="13" t="n">
        <v>380501711406</v>
      </c>
      <c r="D6987" s="13" t="inlineStr">
        <is>
          <t>380501711406</t>
        </is>
      </c>
      <c r="E6987" s="13" t="inlineStr">
        <is>
          <t>ИП РФ / физлицо</t>
        </is>
      </c>
      <c r="F6987" s="13" t="n"/>
      <c r="G6987" s="14" t="n"/>
      <c r="H6987" s="14" t="n"/>
      <c r="I6987" s="14" t="n"/>
      <c r="J6987" s="14" t="n"/>
      <c r="K6987" s="53" t="inlineStr"/>
      <c r="L6987" s="53" t="inlineStr">
        <is>
          <t>Не определено</t>
        </is>
      </c>
      <c r="M6987" s="53" t="inlineStr"/>
      <c r="N6987" s="54" t="inlineStr"/>
      <c r="O6987" s="55" t="inlineStr"/>
      <c r="P6987" s="16" t="inlineStr">
        <is>
          <t>Требует обогащения</t>
        </is>
      </c>
      <c r="Q6987" s="16">
        <f>HYPERLINK("https://pb.nalog.ru/search.html?query=380501711406","ФНС: проверить")</f>
        <v/>
      </c>
      <c r="R6987" s="16">
        <f>HYPERLINK("https://checko.ru/search?query=3801001629","Чекко: проверить")</f>
        <v/>
      </c>
      <c r="S6987" t="n">
        <v>1</v>
      </c>
      <c r="T6987" s="35" t="inlineStr">
        <is>
          <t>4 — Не обогащён</t>
        </is>
      </c>
      <c r="U6987" s="35" t="inlineStr">
        <is>
          <t>Нет ОКВЭД/ССЧР</t>
        </is>
      </c>
      <c r="V6987" s="35" t="inlineStr">
        <is>
          <t>Не определено</t>
        </is>
      </c>
      <c r="W6987" s="35" t="inlineStr"/>
      <c r="X6987" s="35" t="inlineStr"/>
    </row>
    <row r="6988" ht="15" customHeight="1" s="24">
      <c r="A6988" s="13" t="inlineStr">
        <is>
          <t>FR1271683</t>
        </is>
      </c>
      <c r="B6988" s="13" t="inlineStr">
        <is>
          <t>ИП Антонов Виктор Алексеевич</t>
        </is>
      </c>
      <c r="C6988" s="13" t="n">
        <v>780258972089</v>
      </c>
      <c r="D6988" s="13" t="inlineStr">
        <is>
          <t>780258972089</t>
        </is>
      </c>
      <c r="E6988" s="13" t="inlineStr">
        <is>
          <t>ИП РФ / физлицо</t>
        </is>
      </c>
      <c r="F6988" s="13" t="n"/>
      <c r="G6988" s="14" t="n"/>
      <c r="H6988" s="14" t="n"/>
      <c r="I6988" s="14" t="n"/>
      <c r="J6988" s="14" t="n"/>
      <c r="K6988" s="53" t="inlineStr"/>
      <c r="L6988" s="53" t="inlineStr">
        <is>
          <t>Не определено</t>
        </is>
      </c>
      <c r="M6988" s="53" t="inlineStr"/>
      <c r="N6988" s="54" t="inlineStr"/>
      <c r="O6988" s="55" t="inlineStr"/>
      <c r="P6988" s="16" t="inlineStr">
        <is>
          <t>Требует обогащения</t>
        </is>
      </c>
      <c r="Q6988" s="16">
        <f>HYPERLINK("https://pb.nalog.ru/search.html?query=780258972089","ФНС: проверить")</f>
        <v/>
      </c>
      <c r="R6988" s="16">
        <f>HYPERLINK("https://checko.ru/search?query=3801001629","Чекко: проверить")</f>
        <v/>
      </c>
      <c r="S6988" t="n">
        <v>1</v>
      </c>
      <c r="T6988" s="35" t="inlineStr">
        <is>
          <t>4 — Не обогащён</t>
        </is>
      </c>
      <c r="U6988" s="35" t="inlineStr">
        <is>
          <t>Нет ОКВЭД/ССЧР</t>
        </is>
      </c>
      <c r="V6988" s="35" t="inlineStr">
        <is>
          <t>Не определено</t>
        </is>
      </c>
      <c r="W6988" s="35" t="inlineStr"/>
      <c r="X6988" s="35" t="inlineStr"/>
    </row>
    <row r="6989" ht="15" customHeight="1" s="24">
      <c r="A6989" s="13" t="inlineStr">
        <is>
          <t>FR1291034</t>
        </is>
      </c>
      <c r="B6989" s="13" t="inlineStr">
        <is>
          <t>Коваленко Полина Сергеевна</t>
        </is>
      </c>
      <c r="C6989" s="13" t="n">
        <v>253610708580</v>
      </c>
      <c r="D6989" s="13" t="inlineStr">
        <is>
          <t>253610708580</t>
        </is>
      </c>
      <c r="E6989" s="13" t="inlineStr">
        <is>
          <t>ИП РФ / физлицо</t>
        </is>
      </c>
      <c r="F6989" s="13" t="n"/>
      <c r="G6989" s="14" t="n"/>
      <c r="H6989" s="14" t="n"/>
      <c r="I6989" s="14" t="n"/>
      <c r="J6989" s="14" t="n"/>
      <c r="K6989" s="53" t="inlineStr"/>
      <c r="L6989" s="53" t="inlineStr">
        <is>
          <t>Не определено</t>
        </is>
      </c>
      <c r="M6989" s="53" t="inlineStr"/>
      <c r="N6989" s="54" t="inlineStr"/>
      <c r="O6989" s="55" t="inlineStr"/>
      <c r="P6989" s="16" t="inlineStr">
        <is>
          <t>Требует обогащения</t>
        </is>
      </c>
      <c r="Q6989" s="16">
        <f>HYPERLINK("https://pb.nalog.ru/search.html?query=253610708580","ФНС: проверить")</f>
        <v/>
      </c>
      <c r="R6989" s="16">
        <f>HYPERLINK("https://checko.ru/search?query=3801001629","Чекко: проверить")</f>
        <v/>
      </c>
      <c r="S6989" t="n">
        <v>1</v>
      </c>
      <c r="T6989" s="35" t="inlineStr">
        <is>
          <t>4 — Не обогащён</t>
        </is>
      </c>
      <c r="U6989" s="35" t="inlineStr">
        <is>
          <t>Нет ОКВЭД/ССЧР</t>
        </is>
      </c>
      <c r="V6989" s="35" t="inlineStr">
        <is>
          <t>Не определено</t>
        </is>
      </c>
      <c r="W6989" s="35" t="inlineStr"/>
      <c r="X6989" s="35" t="inlineStr"/>
    </row>
    <row r="6990" ht="15" customHeight="1" s="24">
      <c r="A6990" s="13" t="inlineStr">
        <is>
          <t>FR54917</t>
        </is>
      </c>
      <c r="B6990" s="13" t="inlineStr">
        <is>
          <t>ИП Шлянин Владимир Иванович</t>
        </is>
      </c>
      <c r="C6990" s="13" t="n">
        <v>272327094730</v>
      </c>
      <c r="D6990" s="13" t="inlineStr">
        <is>
          <t>272327094730</t>
        </is>
      </c>
      <c r="E6990" s="13" t="inlineStr">
        <is>
          <t>ИП РФ / физлицо</t>
        </is>
      </c>
      <c r="F6990" s="13" t="n"/>
      <c r="G6990" s="14" t="n"/>
      <c r="H6990" s="14" t="n"/>
      <c r="I6990" s="14" t="n"/>
      <c r="J6990" s="14" t="n"/>
      <c r="K6990" s="53" t="inlineStr"/>
      <c r="L6990" s="53" t="inlineStr">
        <is>
          <t>Не определено</t>
        </is>
      </c>
      <c r="M6990" s="53" t="inlineStr"/>
      <c r="N6990" s="54" t="inlineStr"/>
      <c r="O6990" s="55" t="inlineStr"/>
      <c r="P6990" s="16" t="inlineStr">
        <is>
          <t>Требует обогащения</t>
        </is>
      </c>
      <c r="Q6990" s="16">
        <f>HYPERLINK("https://pb.nalog.ru/search.html?query=272327094730","ФНС: проверить")</f>
        <v/>
      </c>
      <c r="R6990" s="16">
        <f>HYPERLINK("https://checko.ru/search?query=3801001629","Чекко: проверить")</f>
        <v/>
      </c>
      <c r="S6990" t="n">
        <v>1</v>
      </c>
      <c r="T6990" s="35" t="inlineStr">
        <is>
          <t>4 — Не обогащён</t>
        </is>
      </c>
      <c r="U6990" s="35" t="inlineStr">
        <is>
          <t>Нет ОКВЭД/ССЧР</t>
        </is>
      </c>
      <c r="V6990" s="35" t="inlineStr">
        <is>
          <t>Не определено</t>
        </is>
      </c>
      <c r="W6990" s="35" t="inlineStr"/>
      <c r="X6990" s="35" t="inlineStr"/>
    </row>
    <row r="6991" ht="15" customHeight="1" s="24">
      <c r="A6991" s="13" t="inlineStr">
        <is>
          <t>FR195430</t>
        </is>
      </c>
      <c r="B6991" s="13" t="inlineStr">
        <is>
          <t>ООО "МПА-СБ"</t>
        </is>
      </c>
      <c r="C6991" s="13" t="n">
        <v>7730718132</v>
      </c>
      <c r="D6991" s="13" t="inlineStr">
        <is>
          <t>7730718132</t>
        </is>
      </c>
      <c r="E6991" s="13" t="inlineStr">
        <is>
          <t>ЮЛ РФ</t>
        </is>
      </c>
      <c r="F6991" s="13" t="n"/>
      <c r="G6991" s="52" t="n">
        <v>7</v>
      </c>
      <c r="H6991" s="52" t="n">
        <v>2025</v>
      </c>
      <c r="I6991" s="14" t="n"/>
      <c r="J6991" s="14" t="n"/>
      <c r="K6991" s="53" t="inlineStr">
        <is>
          <t>Нет</t>
        </is>
      </c>
      <c r="L6991" s="53" t="inlineStr">
        <is>
          <t>Не определено</t>
        </is>
      </c>
      <c r="M6991" s="53" t="inlineStr">
        <is>
          <t>До 10</t>
        </is>
      </c>
      <c r="N6991" s="54" t="n">
        <v>3360</v>
      </c>
      <c r="O6991" s="55" t="inlineStr">
        <is>
          <t>1–15</t>
        </is>
      </c>
      <c r="P6991" s="16" t="inlineStr">
        <is>
          <t>ССЧР обогащена; ОКВЭД не найден/не загружен</t>
        </is>
      </c>
      <c r="Q6991" s="16" t="inlineStr">
        <is>
          <t>ФНС открытые данные ССЧР (ДатаСост 31.12.2025; набор 7707329152-sshr2019)</t>
        </is>
      </c>
      <c r="R6991" s="16">
        <f>HYPERLINK("https://checko.ru/search?query=3801001629","Чекко: проверить")</f>
        <v/>
      </c>
      <c r="S6991" t="n">
        <v>1</v>
      </c>
      <c r="T6991" s="35" t="inlineStr">
        <is>
          <t>4 — Не обогащён</t>
        </is>
      </c>
      <c r="U6991" s="35" t="inlineStr">
        <is>
          <t>Нет ОКВЭД/ССЧР</t>
        </is>
      </c>
      <c r="V6991" s="35" t="inlineStr">
        <is>
          <t>Не определено</t>
        </is>
      </c>
      <c r="W6991" s="35" t="inlineStr">
        <is>
          <t>Нет</t>
        </is>
      </c>
      <c r="X6991" s="35" t="inlineStr"/>
    </row>
    <row r="6992" ht="27.75" customHeight="1" s="24">
      <c r="A6992" s="13" t="inlineStr">
        <is>
          <t>FR1077520</t>
        </is>
      </c>
      <c r="B6992" s="13" t="inlineStr">
        <is>
          <t>Общество с ограниченной ответственностью "РЕМОНТ ТЕХНИКИ И ТРАНСПОРТИРОВАНИЕ"</t>
        </is>
      </c>
      <c r="C6992" s="13" t="n">
        <v>3810084540</v>
      </c>
      <c r="D6992" s="13" t="inlineStr">
        <is>
          <t>3810084540</t>
        </is>
      </c>
      <c r="E6992" s="13" t="inlineStr">
        <is>
          <t>ЮЛ РФ</t>
        </is>
      </c>
      <c r="F6992" s="13" t="n"/>
      <c r="G6992" s="52" t="n">
        <v>1</v>
      </c>
      <c r="H6992" s="52" t="n">
        <v>2025</v>
      </c>
      <c r="I6992" s="14" t="n"/>
      <c r="J6992" s="14" t="n"/>
      <c r="K6992" s="53" t="inlineStr">
        <is>
          <t>Нет</t>
        </is>
      </c>
      <c r="L6992" s="53" t="inlineStr">
        <is>
          <t>Не определено</t>
        </is>
      </c>
      <c r="M6992" s="53" t="inlineStr">
        <is>
          <t>До 10</t>
        </is>
      </c>
      <c r="N6992" s="54" t="n">
        <v>3360</v>
      </c>
      <c r="O6992" s="55" t="inlineStr">
        <is>
          <t>1–15</t>
        </is>
      </c>
      <c r="P6992" s="16" t="inlineStr">
        <is>
          <t>ССЧР обогащена; ОКВЭД не найден/не загружен</t>
        </is>
      </c>
      <c r="Q6992" s="16" t="inlineStr">
        <is>
          <t>ФНС открытые данные ССЧР (ДатаСост 31.12.2025; набор 7707329152-sshr2019)</t>
        </is>
      </c>
      <c r="R6992" s="16">
        <f>HYPERLINK("https://checko.ru/search?query=3801001629","Чекко: проверить")</f>
        <v/>
      </c>
      <c r="S6992" t="n">
        <v>1</v>
      </c>
      <c r="T6992" s="35" t="inlineStr">
        <is>
          <t>4 — Не обогащён</t>
        </is>
      </c>
      <c r="U6992" s="35" t="inlineStr">
        <is>
          <t>Нет ОКВЭД/ССЧР</t>
        </is>
      </c>
      <c r="V6992" s="35" t="inlineStr">
        <is>
          <t>Не определено</t>
        </is>
      </c>
      <c r="W6992" s="35" t="inlineStr">
        <is>
          <t>Нет</t>
        </is>
      </c>
      <c r="X6992" s="35" t="inlineStr"/>
    </row>
    <row r="6993" ht="15" customHeight="1" s="24">
      <c r="A6993" s="13" t="inlineStr">
        <is>
          <t>FR1078236</t>
        </is>
      </c>
      <c r="B6993" s="13" t="inlineStr">
        <is>
          <t>ООО "ЛЮДВИГ</t>
        </is>
      </c>
      <c r="C6993" s="13" t="n">
        <v>7720720132</v>
      </c>
      <c r="D6993" s="13" t="inlineStr">
        <is>
          <t>7720720132</t>
        </is>
      </c>
      <c r="E6993" s="13" t="inlineStr">
        <is>
          <t>ЮЛ РФ</t>
        </is>
      </c>
      <c r="F6993" s="13" t="n"/>
      <c r="G6993" s="52" t="n">
        <v>2</v>
      </c>
      <c r="H6993" s="52" t="n">
        <v>2025</v>
      </c>
      <c r="I6993" s="14" t="n"/>
      <c r="J6993" s="14" t="n"/>
      <c r="K6993" s="53" t="inlineStr">
        <is>
          <t>Нет</t>
        </is>
      </c>
      <c r="L6993" s="53" t="inlineStr">
        <is>
          <t>Не определено</t>
        </is>
      </c>
      <c r="M6993" s="53" t="inlineStr">
        <is>
          <t>До 10</t>
        </is>
      </c>
      <c r="N6993" s="54" t="n">
        <v>3360</v>
      </c>
      <c r="O6993" s="55" t="inlineStr">
        <is>
          <t>1–15</t>
        </is>
      </c>
      <c r="P6993" s="16" t="inlineStr">
        <is>
          <t>ССЧР обогащена; ОКВЭД не найден/не загружен</t>
        </is>
      </c>
      <c r="Q6993" s="16" t="inlineStr">
        <is>
          <t>ФНС открытые данные ССЧР (ДатаСост 31.12.2025; набор 7707329152-sshr2019)</t>
        </is>
      </c>
      <c r="R6993" s="16">
        <f>HYPERLINK("https://checko.ru/search?query=3801001629","Чекко: проверить")</f>
        <v/>
      </c>
      <c r="S6993" t="n">
        <v>1</v>
      </c>
      <c r="T6993" s="35" t="inlineStr">
        <is>
          <t>4 — Не обогащён</t>
        </is>
      </c>
      <c r="U6993" s="35" t="inlineStr">
        <is>
          <t>Нет ОКВЭД/ССЧР</t>
        </is>
      </c>
      <c r="V6993" s="35" t="inlineStr">
        <is>
          <t>Не определено</t>
        </is>
      </c>
      <c r="W6993" s="35" t="inlineStr">
        <is>
          <t>Нет</t>
        </is>
      </c>
      <c r="X6993" s="35" t="inlineStr"/>
    </row>
    <row r="6994" ht="15" customHeight="1" s="24">
      <c r="A6994" s="13" t="inlineStr">
        <is>
          <t>FR436960</t>
        </is>
      </c>
      <c r="B6994" s="13" t="inlineStr">
        <is>
          <t>ИП Щуров Александр Геннадьевич</t>
        </is>
      </c>
      <c r="C6994" s="13" t="n">
        <v>380500008423</v>
      </c>
      <c r="D6994" s="13" t="inlineStr">
        <is>
          <t>380500008423</t>
        </is>
      </c>
      <c r="E6994" s="13" t="inlineStr">
        <is>
          <t>ИП РФ / физлицо</t>
        </is>
      </c>
      <c r="F6994" s="13" t="n"/>
      <c r="G6994" s="14" t="n"/>
      <c r="H6994" s="14" t="n"/>
      <c r="I6994" s="14" t="n"/>
      <c r="J6994" s="14" t="n"/>
      <c r="K6994" s="53" t="inlineStr"/>
      <c r="L6994" s="53" t="inlineStr">
        <is>
          <t>Не определено</t>
        </is>
      </c>
      <c r="M6994" s="53" t="inlineStr"/>
      <c r="N6994" s="54" t="inlineStr"/>
      <c r="O6994" s="55" t="inlineStr"/>
      <c r="P6994" s="16" t="inlineStr">
        <is>
          <t>Требует обогащения</t>
        </is>
      </c>
      <c r="Q6994" s="16">
        <f>HYPERLINK("https://pb.nalog.ru/search.html?query=380500008423","ФНС: проверить")</f>
        <v/>
      </c>
      <c r="R6994" s="16">
        <f>HYPERLINK("https://checko.ru/search?query=3801001629","Чекко: проверить")</f>
        <v/>
      </c>
      <c r="S6994" t="n">
        <v>1</v>
      </c>
      <c r="T6994" s="35" t="inlineStr">
        <is>
          <t>4 — Не обогащён</t>
        </is>
      </c>
      <c r="U6994" s="35" t="inlineStr">
        <is>
          <t>Нет ОКВЭД/ССЧР</t>
        </is>
      </c>
      <c r="V6994" s="35" t="inlineStr">
        <is>
          <t>Не определено</t>
        </is>
      </c>
      <c r="W6994" s="35" t="inlineStr"/>
      <c r="X6994" s="35" t="inlineStr"/>
    </row>
    <row r="6995" ht="27.75" customHeight="1" s="24">
      <c r="A6995" s="13" t="inlineStr">
        <is>
          <t>FR579619</t>
        </is>
      </c>
      <c r="B6995" s="13" t="inlineStr">
        <is>
          <t>Общество с ограниченной ответственностью "ТЕХНОЛОГИИ РАЗВИТИЯ"</t>
        </is>
      </c>
      <c r="C6995" s="13" t="n">
        <v>2815015517</v>
      </c>
      <c r="D6995" s="13" t="inlineStr">
        <is>
          <t>2815015517</t>
        </is>
      </c>
      <c r="E6995" s="13" t="inlineStr">
        <is>
          <t>ЮЛ РФ</t>
        </is>
      </c>
      <c r="F6995" s="13" t="n"/>
      <c r="G6995" s="52" t="n">
        <v>1</v>
      </c>
      <c r="H6995" s="52" t="n">
        <v>2025</v>
      </c>
      <c r="I6995" s="14" t="n"/>
      <c r="J6995" s="14" t="n"/>
      <c r="K6995" s="53" t="inlineStr">
        <is>
          <t>Нет</t>
        </is>
      </c>
      <c r="L6995" s="53" t="inlineStr">
        <is>
          <t>Не определено</t>
        </is>
      </c>
      <c r="M6995" s="53" t="inlineStr">
        <is>
          <t>До 10</t>
        </is>
      </c>
      <c r="N6995" s="54" t="n">
        <v>3360</v>
      </c>
      <c r="O6995" s="55" t="inlineStr">
        <is>
          <t>1–15</t>
        </is>
      </c>
      <c r="P6995" s="16" t="inlineStr">
        <is>
          <t>ССЧР обогащена; ОКВЭД не найден/не загружен</t>
        </is>
      </c>
      <c r="Q6995" s="16" t="inlineStr">
        <is>
          <t>ФНС открытые данные ССЧР (ДатаСост 31.12.2025; набор 7707329152-sshr2019)</t>
        </is>
      </c>
      <c r="R6995" s="16">
        <f>HYPERLINK("https://checko.ru/search?query=3801001629","Чекко: проверить")</f>
        <v/>
      </c>
      <c r="S6995" t="n">
        <v>1</v>
      </c>
      <c r="T6995" s="35" t="inlineStr">
        <is>
          <t>4 — Не обогащён</t>
        </is>
      </c>
      <c r="U6995" s="35" t="inlineStr">
        <is>
          <t>Нет ОКВЭД/ССЧР</t>
        </is>
      </c>
      <c r="V6995" s="35" t="inlineStr">
        <is>
          <t>Не определено</t>
        </is>
      </c>
      <c r="W6995" s="35" t="inlineStr">
        <is>
          <t>Нет</t>
        </is>
      </c>
      <c r="X6995" s="35" t="inlineStr"/>
    </row>
    <row r="6996" ht="27.75" customHeight="1" s="24">
      <c r="A6996" s="13" t="inlineStr">
        <is>
          <t>FR725304</t>
        </is>
      </c>
      <c r="B6996" s="13" t="inlineStr">
        <is>
          <t>Общество с ограниченной ответственностью "ИНВЕСТ-ЛЕС"</t>
        </is>
      </c>
      <c r="C6996" s="13" t="n">
        <v>3808280114</v>
      </c>
      <c r="D6996" s="13" t="inlineStr">
        <is>
          <t>3808280114</t>
        </is>
      </c>
      <c r="E6996" s="13" t="inlineStr">
        <is>
          <t>ЮЛ РФ</t>
        </is>
      </c>
      <c r="F6996" s="13" t="n"/>
      <c r="G6996" s="52" t="n">
        <v>8</v>
      </c>
      <c r="H6996" s="52" t="n">
        <v>2025</v>
      </c>
      <c r="I6996" s="14" t="n"/>
      <c r="J6996" s="14" t="n"/>
      <c r="K6996" s="53" t="inlineStr">
        <is>
          <t>Нет</t>
        </is>
      </c>
      <c r="L6996" s="53" t="inlineStr">
        <is>
          <t>Не определено</t>
        </is>
      </c>
      <c r="M6996" s="53" t="inlineStr">
        <is>
          <t>До 10</t>
        </is>
      </c>
      <c r="N6996" s="54" t="n">
        <v>3360</v>
      </c>
      <c r="O6996" s="55" t="inlineStr">
        <is>
          <t>1–15</t>
        </is>
      </c>
      <c r="P6996" s="16" t="inlineStr">
        <is>
          <t>ССЧР обогащена; ОКВЭД не найден/не загружен</t>
        </is>
      </c>
      <c r="Q6996" s="16" t="inlineStr">
        <is>
          <t>ФНС открытые данные ССЧР (ДатаСост 31.12.2025; набор 7707329152-sshr2019)</t>
        </is>
      </c>
      <c r="R6996" s="16">
        <f>HYPERLINK("https://checko.ru/search?query=3801001629","Чекко: проверить")</f>
        <v/>
      </c>
      <c r="S6996" t="n">
        <v>1</v>
      </c>
      <c r="T6996" s="35" t="inlineStr">
        <is>
          <t>4 — Не обогащён</t>
        </is>
      </c>
      <c r="U6996" s="35" t="inlineStr">
        <is>
          <t>Нет ОКВЭД/ССЧР</t>
        </is>
      </c>
      <c r="V6996" s="35" t="inlineStr">
        <is>
          <t>Не определено</t>
        </is>
      </c>
      <c r="W6996" s="35" t="inlineStr">
        <is>
          <t>Нет</t>
        </is>
      </c>
      <c r="X6996" s="35" t="inlineStr"/>
    </row>
    <row r="6997" ht="27.75" customHeight="1" s="24">
      <c r="A6997" s="13" t="inlineStr">
        <is>
          <t>FR725204</t>
        </is>
      </c>
      <c r="B6997" s="13" t="inlineStr">
        <is>
          <t>Общество с ограниченной ответственностью "МИСТ"</t>
        </is>
      </c>
      <c r="C6997" s="13" t="n">
        <v>3811078099</v>
      </c>
      <c r="D6997" s="13" t="inlineStr">
        <is>
          <t>3811078099</t>
        </is>
      </c>
      <c r="E6997" s="13" t="inlineStr">
        <is>
          <t>ЮЛ РФ</t>
        </is>
      </c>
      <c r="F6997" s="13" t="n"/>
      <c r="G6997" s="52" t="n">
        <v>2</v>
      </c>
      <c r="H6997" s="52" t="n">
        <v>2025</v>
      </c>
      <c r="I6997" s="14" t="n"/>
      <c r="J6997" s="14" t="n"/>
      <c r="K6997" s="53" t="inlineStr">
        <is>
          <t>Нет</t>
        </is>
      </c>
      <c r="L6997" s="53" t="inlineStr">
        <is>
          <t>Не определено</t>
        </is>
      </c>
      <c r="M6997" s="53" t="inlineStr">
        <is>
          <t>До 10</t>
        </is>
      </c>
      <c r="N6997" s="54" t="n">
        <v>3360</v>
      </c>
      <c r="O6997" s="55" t="inlineStr">
        <is>
          <t>1–15</t>
        </is>
      </c>
      <c r="P6997" s="16" t="inlineStr">
        <is>
          <t>ССЧР обогащена; ОКВЭД не найден/не загружен</t>
        </is>
      </c>
      <c r="Q6997" s="16" t="inlineStr">
        <is>
          <t>ФНС открытые данные ССЧР (ДатаСост 31.12.2025; набор 7707329152-sshr2019)</t>
        </is>
      </c>
      <c r="R6997" s="16">
        <f>HYPERLINK("https://checko.ru/search?query=3801001629","Чекко: проверить")</f>
        <v/>
      </c>
      <c r="S6997" t="n">
        <v>1</v>
      </c>
      <c r="T6997" s="35" t="inlineStr">
        <is>
          <t>4 — Не обогащён</t>
        </is>
      </c>
      <c r="U6997" s="35" t="inlineStr">
        <is>
          <t>Нет ОКВЭД/ССЧР</t>
        </is>
      </c>
      <c r="V6997" s="35" t="inlineStr">
        <is>
          <t>Не определено</t>
        </is>
      </c>
      <c r="W6997" s="35" t="inlineStr">
        <is>
          <t>Нет</t>
        </is>
      </c>
      <c r="X6997" s="35" t="inlineStr"/>
    </row>
    <row r="6998" ht="15" customHeight="1" s="24">
      <c r="A6998" s="13" t="inlineStr">
        <is>
          <t>FR1272321</t>
        </is>
      </c>
      <c r="B6998" s="13" t="inlineStr">
        <is>
          <t>ИП Руненкова Татьяна Викторовна</t>
        </is>
      </c>
      <c r="C6998" s="13" t="n">
        <v>380800222971</v>
      </c>
      <c r="D6998" s="13" t="inlineStr">
        <is>
          <t>380800222971</t>
        </is>
      </c>
      <c r="E6998" s="13" t="inlineStr">
        <is>
          <t>ИП РФ / физлицо</t>
        </is>
      </c>
      <c r="F6998" s="13" t="n"/>
      <c r="G6998" s="14" t="n"/>
      <c r="H6998" s="14" t="n"/>
      <c r="I6998" s="14" t="n"/>
      <c r="J6998" s="14" t="n"/>
      <c r="K6998" s="53" t="inlineStr"/>
      <c r="L6998" s="53" t="inlineStr">
        <is>
          <t>Не определено</t>
        </is>
      </c>
      <c r="M6998" s="53" t="inlineStr"/>
      <c r="N6998" s="54" t="inlineStr"/>
      <c r="O6998" s="55" t="inlineStr"/>
      <c r="P6998" s="16" t="inlineStr">
        <is>
          <t>Требует обогащения</t>
        </is>
      </c>
      <c r="Q6998" s="16">
        <f>HYPERLINK("https://pb.nalog.ru/search.html?query=380800222971","ФНС: проверить")</f>
        <v/>
      </c>
      <c r="R6998" s="16">
        <f>HYPERLINK("https://checko.ru/search?query=3801001629","Чекко: проверить")</f>
        <v/>
      </c>
      <c r="S6998" t="n">
        <v>1</v>
      </c>
      <c r="T6998" s="35" t="inlineStr">
        <is>
          <t>4 — Не обогащён</t>
        </is>
      </c>
      <c r="U6998" s="35" t="inlineStr">
        <is>
          <t>Нет ОКВЭД/ССЧР</t>
        </is>
      </c>
      <c r="V6998" s="35" t="inlineStr">
        <is>
          <t>Не определено</t>
        </is>
      </c>
      <c r="W6998" s="35" t="inlineStr"/>
      <c r="X6998" s="35" t="inlineStr"/>
    </row>
    <row r="6999" ht="41.25" customHeight="1" s="24">
      <c r="A6999" s="13" t="inlineStr">
        <is>
          <t>FR1081757</t>
        </is>
      </c>
      <c r="B6999" s="13" t="inlineStr">
        <is>
          <t>Общество с ограниченной ответственностью "ИРКУТСКИЙ ЗАВОД СТАТИЧЕСКОГО ОБОРУДОВАНИЯ"</t>
        </is>
      </c>
      <c r="C6999" s="13" t="n">
        <v>3812162219</v>
      </c>
      <c r="D6999" s="13" t="inlineStr">
        <is>
          <t>3812162219</t>
        </is>
      </c>
      <c r="E6999" s="13" t="inlineStr">
        <is>
          <t>ЮЛ РФ</t>
        </is>
      </c>
      <c r="F6999" s="13" t="n"/>
      <c r="G6999" s="52" t="n">
        <v>8</v>
      </c>
      <c r="H6999" s="52" t="n">
        <v>2025</v>
      </c>
      <c r="I6999" s="14" t="n"/>
      <c r="J6999" s="14" t="n"/>
      <c r="K6999" s="53" t="inlineStr">
        <is>
          <t>Нет</t>
        </is>
      </c>
      <c r="L6999" s="53" t="inlineStr">
        <is>
          <t>Не определено</t>
        </is>
      </c>
      <c r="M6999" s="53" t="inlineStr">
        <is>
          <t>До 10</t>
        </is>
      </c>
      <c r="N6999" s="54" t="n">
        <v>3360</v>
      </c>
      <c r="O6999" s="55" t="inlineStr">
        <is>
          <t>1–15</t>
        </is>
      </c>
      <c r="P6999" s="16" t="inlineStr">
        <is>
          <t>ССЧР обогащена; ОКВЭД не найден/не загружен</t>
        </is>
      </c>
      <c r="Q6999" s="16" t="inlineStr">
        <is>
          <t>ФНС открытые данные ССЧР (ДатаСост 31.12.2025; набор 7707329152-sshr2019)</t>
        </is>
      </c>
      <c r="R6999" s="16">
        <f>HYPERLINK("https://checko.ru/search?query=3801001629","Чекко: проверить")</f>
        <v/>
      </c>
      <c r="S6999" t="n">
        <v>1</v>
      </c>
      <c r="T6999" s="35" t="inlineStr">
        <is>
          <t>4 — Не обогащён</t>
        </is>
      </c>
      <c r="U6999" s="35" t="inlineStr">
        <is>
          <t>Нет ОКВЭД/ССЧР</t>
        </is>
      </c>
      <c r="V6999" s="35" t="inlineStr">
        <is>
          <t>Не определено</t>
        </is>
      </c>
      <c r="W6999" s="35" t="inlineStr">
        <is>
          <t>Нет</t>
        </is>
      </c>
      <c r="X6999" s="35" t="inlineStr"/>
    </row>
    <row r="7000" ht="27.75" customHeight="1" s="24">
      <c r="A7000" s="13" t="inlineStr">
        <is>
          <t>FR726066</t>
        </is>
      </c>
      <c r="B7000" s="13" t="inlineStr">
        <is>
          <t>Общество с ограниченной ответственностью "МАСТЕР БУРОВ"</t>
        </is>
      </c>
      <c r="C7000" s="13" t="n">
        <v>3812997874</v>
      </c>
      <c r="D7000" s="13" t="inlineStr">
        <is>
          <t>3812997874</t>
        </is>
      </c>
      <c r="E7000" s="13" t="inlineStr">
        <is>
          <t>ЮЛ РФ</t>
        </is>
      </c>
      <c r="F7000" s="13" t="n"/>
      <c r="G7000" s="52" t="n">
        <v>3</v>
      </c>
      <c r="H7000" s="52" t="n">
        <v>2025</v>
      </c>
      <c r="I7000" s="14" t="n"/>
      <c r="J7000" s="14" t="n"/>
      <c r="K7000" s="53" t="inlineStr">
        <is>
          <t>Нет</t>
        </is>
      </c>
      <c r="L7000" s="53" t="inlineStr">
        <is>
          <t>Не определено</t>
        </is>
      </c>
      <c r="M7000" s="53" t="inlineStr">
        <is>
          <t>До 10</t>
        </is>
      </c>
      <c r="N7000" s="54" t="n">
        <v>3360</v>
      </c>
      <c r="O7000" s="55" t="inlineStr">
        <is>
          <t>1–15</t>
        </is>
      </c>
      <c r="P7000" s="16" t="inlineStr">
        <is>
          <t>ССЧР обогащена; ОКВЭД не найден/не загружен</t>
        </is>
      </c>
      <c r="Q7000" s="16" t="inlineStr">
        <is>
          <t>ФНС открытые данные ССЧР (ДатаСост 31.12.2025; набор 7707329152-sshr2019)</t>
        </is>
      </c>
      <c r="R7000" s="16">
        <f>HYPERLINK("https://checko.ru/search?query=3801001629","Чекко: проверить")</f>
        <v/>
      </c>
      <c r="S7000" t="n">
        <v>1</v>
      </c>
      <c r="T7000" s="35" t="inlineStr">
        <is>
          <t>4 — Не обогащён</t>
        </is>
      </c>
      <c r="U7000" s="35" t="inlineStr">
        <is>
          <t>Нет ОКВЭД/ССЧР</t>
        </is>
      </c>
      <c r="V7000" s="35" t="inlineStr">
        <is>
          <t>Не определено</t>
        </is>
      </c>
      <c r="W7000" s="35" t="inlineStr">
        <is>
          <t>Нет</t>
        </is>
      </c>
      <c r="X7000" s="35" t="inlineStr"/>
    </row>
    <row r="7001" ht="15" customHeight="1" s="24">
      <c r="A7001" s="13" t="inlineStr">
        <is>
          <t>FR236001</t>
        </is>
      </c>
      <c r="B7001" s="13" t="inlineStr">
        <is>
          <t>ГЛОСС КОМПАНИ ООО</t>
        </is>
      </c>
      <c r="C7001" s="13" t="n">
        <v>3811179019</v>
      </c>
      <c r="D7001" s="13" t="inlineStr">
        <is>
          <t>3811179019</t>
        </is>
      </c>
      <c r="E7001" s="13" t="inlineStr">
        <is>
          <t>ЮЛ РФ</t>
        </is>
      </c>
      <c r="F7001" s="13" t="n"/>
      <c r="G7001" s="52" t="n">
        <v>2</v>
      </c>
      <c r="H7001" s="52" t="n">
        <v>2025</v>
      </c>
      <c r="I7001" s="14" t="n"/>
      <c r="J7001" s="14" t="n"/>
      <c r="K7001" s="53" t="inlineStr">
        <is>
          <t>Нет</t>
        </is>
      </c>
      <c r="L7001" s="53" t="inlineStr">
        <is>
          <t>Не определено</t>
        </is>
      </c>
      <c r="M7001" s="53" t="inlineStr">
        <is>
          <t>До 10</t>
        </is>
      </c>
      <c r="N7001" s="54" t="n">
        <v>3360</v>
      </c>
      <c r="O7001" s="55" t="inlineStr">
        <is>
          <t>1–15</t>
        </is>
      </c>
      <c r="P7001" s="16" t="inlineStr">
        <is>
          <t>ССЧР обогащена; ОКВЭД не найден/не загружен</t>
        </is>
      </c>
      <c r="Q7001" s="16" t="inlineStr">
        <is>
          <t>ФНС открытые данные ССЧР (ДатаСост 31.12.2025; набор 7707329152-sshr2019)</t>
        </is>
      </c>
      <c r="R7001" s="16">
        <f>HYPERLINK("https://checko.ru/search?query=3801001629","Чекко: проверить")</f>
        <v/>
      </c>
      <c r="S7001" t="n">
        <v>1</v>
      </c>
      <c r="T7001" s="35" t="inlineStr">
        <is>
          <t>4 — Не обогащён</t>
        </is>
      </c>
      <c r="U7001" s="35" t="inlineStr">
        <is>
          <t>Нет ОКВЭД/ССЧР</t>
        </is>
      </c>
      <c r="V7001" s="35" t="inlineStr">
        <is>
          <t>Не определено</t>
        </is>
      </c>
      <c r="W7001" s="35" t="inlineStr">
        <is>
          <t>Нет</t>
        </is>
      </c>
      <c r="X7001" s="35" t="inlineStr"/>
    </row>
    <row r="7002" ht="27.75" customHeight="1" s="24">
      <c r="A7002" s="13" t="inlineStr">
        <is>
          <t>FR886647</t>
        </is>
      </c>
      <c r="B7002" s="13" t="inlineStr">
        <is>
          <t>Общество с ограниченной ответственностью "ТЕХПЛАСТИК"</t>
        </is>
      </c>
      <c r="C7002" s="13" t="n">
        <v>9721224652</v>
      </c>
      <c r="D7002" s="13" t="inlineStr">
        <is>
          <t>9721224652</t>
        </is>
      </c>
      <c r="E7002" s="13" t="inlineStr">
        <is>
          <t>ЮЛ РФ</t>
        </is>
      </c>
      <c r="F7002" s="13" t="n"/>
      <c r="G7002" s="52" t="n">
        <v>1</v>
      </c>
      <c r="H7002" s="52" t="n">
        <v>2025</v>
      </c>
      <c r="I7002" s="14" t="n"/>
      <c r="J7002" s="14" t="n"/>
      <c r="K7002" s="53" t="inlineStr">
        <is>
          <t>Нет</t>
        </is>
      </c>
      <c r="L7002" s="53" t="inlineStr">
        <is>
          <t>Не определено</t>
        </is>
      </c>
      <c r="M7002" s="53" t="inlineStr">
        <is>
          <t>До 10</t>
        </is>
      </c>
      <c r="N7002" s="54" t="n">
        <v>3360</v>
      </c>
      <c r="O7002" s="55" t="inlineStr">
        <is>
          <t>1–15</t>
        </is>
      </c>
      <c r="P7002" s="16" t="inlineStr">
        <is>
          <t>ССЧР обогащена; ОКВЭД не найден/не загружен</t>
        </is>
      </c>
      <c r="Q7002" s="16" t="inlineStr">
        <is>
          <t>ФНС открытые данные ССЧР (ДатаСост 31.12.2025; набор 7707329152-sshr2019)</t>
        </is>
      </c>
      <c r="R7002" s="16">
        <f>HYPERLINK("https://checko.ru/search?query=3801001629","Чекко: проверить")</f>
        <v/>
      </c>
      <c r="S7002" t="n">
        <v>1</v>
      </c>
      <c r="T7002" s="35" t="inlineStr">
        <is>
          <t>4 — Не обогащён</t>
        </is>
      </c>
      <c r="U7002" s="35" t="inlineStr">
        <is>
          <t>Нет ОКВЭД/ССЧР</t>
        </is>
      </c>
      <c r="V7002" s="35" t="inlineStr">
        <is>
          <t>Не определено</t>
        </is>
      </c>
      <c r="W7002" s="35" t="inlineStr">
        <is>
          <t>Нет</t>
        </is>
      </c>
      <c r="X7002" s="35" t="inlineStr"/>
    </row>
    <row r="7003" ht="15" customHeight="1" s="24">
      <c r="A7003" s="13" t="inlineStr">
        <is>
          <t>FR725446</t>
        </is>
      </c>
      <c r="B7003" s="13" t="inlineStr">
        <is>
          <t>ИП Албучев Николай Владимирович</t>
        </is>
      </c>
      <c r="C7003" s="13" t="n">
        <v>564101287126</v>
      </c>
      <c r="D7003" s="13" t="inlineStr">
        <is>
          <t>564101287126</t>
        </is>
      </c>
      <c r="E7003" s="13" t="inlineStr">
        <is>
          <t>ИП РФ / физлицо</t>
        </is>
      </c>
      <c r="F7003" s="13" t="n"/>
      <c r="G7003" s="14" t="n"/>
      <c r="H7003" s="14" t="n"/>
      <c r="I7003" s="14" t="n"/>
      <c r="J7003" s="14" t="n"/>
      <c r="K7003" s="53" t="inlineStr"/>
      <c r="L7003" s="53" t="inlineStr">
        <is>
          <t>Не определено</t>
        </is>
      </c>
      <c r="M7003" s="53" t="inlineStr"/>
      <c r="N7003" s="54" t="inlineStr"/>
      <c r="O7003" s="55" t="inlineStr"/>
      <c r="P7003" s="16" t="inlineStr">
        <is>
          <t>Требует обогащения</t>
        </is>
      </c>
      <c r="Q7003" s="16">
        <f>HYPERLINK("https://pb.nalog.ru/search.html?query=564101287126","ФНС: проверить")</f>
        <v/>
      </c>
      <c r="R7003" s="16">
        <f>HYPERLINK("https://checko.ru/search?query=3801001629","Чекко: проверить")</f>
        <v/>
      </c>
      <c r="S7003" t="n">
        <v>1</v>
      </c>
      <c r="T7003" s="35" t="inlineStr">
        <is>
          <t>4 — Не обогащён</t>
        </is>
      </c>
      <c r="U7003" s="35" t="inlineStr">
        <is>
          <t>Нет ОКВЭД/ССЧР</t>
        </is>
      </c>
      <c r="V7003" s="35" t="inlineStr">
        <is>
          <t>Не определено</t>
        </is>
      </c>
      <c r="W7003" s="35" t="inlineStr"/>
      <c r="X7003" s="35" t="inlineStr"/>
    </row>
    <row r="7004" ht="27.75" customHeight="1" s="24">
      <c r="A7004" s="13" t="inlineStr">
        <is>
          <t>FR573722</t>
        </is>
      </c>
      <c r="B7004" s="13" t="inlineStr">
        <is>
          <t>Общество с ограниченной ответственностью "МАГИСТРАЛЬ"</t>
        </is>
      </c>
      <c r="C7004" s="13" t="n">
        <v>3849028192</v>
      </c>
      <c r="D7004" s="13" t="inlineStr">
        <is>
          <t>3849028192</t>
        </is>
      </c>
      <c r="E7004" s="13" t="inlineStr">
        <is>
          <t>ЮЛ РФ</t>
        </is>
      </c>
      <c r="F7004" s="13" t="n"/>
      <c r="G7004" s="52" t="n">
        <v>2</v>
      </c>
      <c r="H7004" s="52" t="n">
        <v>2025</v>
      </c>
      <c r="I7004" s="14" t="n"/>
      <c r="J7004" s="14" t="n"/>
      <c r="K7004" s="53" t="inlineStr">
        <is>
          <t>Нет</t>
        </is>
      </c>
      <c r="L7004" s="53" t="inlineStr">
        <is>
          <t>Не определено</t>
        </is>
      </c>
      <c r="M7004" s="53" t="inlineStr">
        <is>
          <t>До 10</t>
        </is>
      </c>
      <c r="N7004" s="54" t="n">
        <v>3360</v>
      </c>
      <c r="O7004" s="55" t="inlineStr">
        <is>
          <t>1–15</t>
        </is>
      </c>
      <c r="P7004" s="16" t="inlineStr">
        <is>
          <t>ССЧР обогащена; ОКВЭД не найден/не загружен</t>
        </is>
      </c>
      <c r="Q7004" s="16" t="inlineStr">
        <is>
          <t>ФНС открытые данные ССЧР (ДатаСост 31.12.2025; набор 7707329152-sshr2019)</t>
        </is>
      </c>
      <c r="R7004" s="16">
        <f>HYPERLINK("https://checko.ru/search?query=3801001629","Чекко: проверить")</f>
        <v/>
      </c>
      <c r="S7004" t="n">
        <v>1</v>
      </c>
      <c r="T7004" s="35" t="inlineStr">
        <is>
          <t>4 — Не обогащён</t>
        </is>
      </c>
      <c r="U7004" s="35" t="inlineStr">
        <is>
          <t>Нет ОКВЭД/ССЧР</t>
        </is>
      </c>
      <c r="V7004" s="35" t="inlineStr">
        <is>
          <t>Не определено</t>
        </is>
      </c>
      <c r="W7004" s="35" t="inlineStr">
        <is>
          <t>Нет</t>
        </is>
      </c>
      <c r="X7004" s="35" t="inlineStr"/>
    </row>
    <row r="7005" ht="15" customHeight="1" s="24">
      <c r="A7005" s="13" t="inlineStr">
        <is>
          <t>FR1273969</t>
        </is>
      </c>
      <c r="B7005" s="13" t="inlineStr">
        <is>
          <t>ИП Шумкова Алёна Сергеевна</t>
        </is>
      </c>
      <c r="C7005" s="13" t="n">
        <v>344312633602</v>
      </c>
      <c r="D7005" s="13" t="inlineStr">
        <is>
          <t>344312633602</t>
        </is>
      </c>
      <c r="E7005" s="13" t="inlineStr">
        <is>
          <t>ИП РФ / физлицо</t>
        </is>
      </c>
      <c r="F7005" s="13" t="n"/>
      <c r="G7005" s="14" t="n"/>
      <c r="H7005" s="14" t="n"/>
      <c r="I7005" s="14" t="n"/>
      <c r="J7005" s="14" t="n"/>
      <c r="K7005" s="53" t="inlineStr"/>
      <c r="L7005" s="53" t="inlineStr">
        <is>
          <t>Не определено</t>
        </is>
      </c>
      <c r="M7005" s="53" t="inlineStr"/>
      <c r="N7005" s="54" t="inlineStr"/>
      <c r="O7005" s="55" t="inlineStr"/>
      <c r="P7005" s="16" t="inlineStr">
        <is>
          <t>Требует обогащения</t>
        </is>
      </c>
      <c r="Q7005" s="16">
        <f>HYPERLINK("https://pb.nalog.ru/search.html?query=344312633602","ФНС: проверить")</f>
        <v/>
      </c>
      <c r="R7005" s="16">
        <f>HYPERLINK("https://checko.ru/search?query=3801001629","Чекко: проверить")</f>
        <v/>
      </c>
      <c r="S7005" t="n">
        <v>1</v>
      </c>
      <c r="T7005" s="35" t="inlineStr">
        <is>
          <t>4 — Не обогащён</t>
        </is>
      </c>
      <c r="U7005" s="35" t="inlineStr">
        <is>
          <t>Нет ОКВЭД/ССЧР</t>
        </is>
      </c>
      <c r="V7005" s="35" t="inlineStr">
        <is>
          <t>Не определено</t>
        </is>
      </c>
      <c r="W7005" s="35" t="inlineStr"/>
      <c r="X7005" s="35" t="inlineStr"/>
    </row>
    <row r="7006" ht="27.75" customHeight="1" s="24">
      <c r="A7006" s="13" t="inlineStr">
        <is>
          <t>FR1273639</t>
        </is>
      </c>
      <c r="B7006" s="13" t="inlineStr">
        <is>
          <t>Общество с ограниченной ответственностью "ВЕКТОР ПЛЮС"</t>
        </is>
      </c>
      <c r="C7006" s="13" t="n">
        <v>7733385675</v>
      </c>
      <c r="D7006" s="13" t="inlineStr">
        <is>
          <t>7733385675</t>
        </is>
      </c>
      <c r="E7006" s="13" t="inlineStr">
        <is>
          <t>ЮЛ РФ</t>
        </is>
      </c>
      <c r="F7006" s="13" t="n"/>
      <c r="G7006" s="52" t="n">
        <v>0</v>
      </c>
      <c r="H7006" s="52" t="n">
        <v>2025</v>
      </c>
      <c r="I7006" s="14" t="n"/>
      <c r="J7006" s="14" t="n"/>
      <c r="K7006" s="53" t="inlineStr">
        <is>
          <t>Нет</t>
        </is>
      </c>
      <c r="L7006" s="53" t="inlineStr">
        <is>
          <t>Не определено</t>
        </is>
      </c>
      <c r="M7006" s="53" t="inlineStr">
        <is>
          <t>До 10</t>
        </is>
      </c>
      <c r="N7006" s="54" t="n">
        <v>3360</v>
      </c>
      <c r="O7006" s="55" t="inlineStr">
        <is>
          <t>1–15</t>
        </is>
      </c>
      <c r="P7006" s="16" t="inlineStr">
        <is>
          <t>ССЧР обогащена; ОКВЭД не найден/не загружен</t>
        </is>
      </c>
      <c r="Q7006" s="16" t="inlineStr">
        <is>
          <t>ФНС открытые данные ССЧР (ДатаСост 31.12.2025; набор 7707329152-sshr2019)</t>
        </is>
      </c>
      <c r="R7006" s="16">
        <f>HYPERLINK("https://checko.ru/search?query=3801001629","Чекко: проверить")</f>
        <v/>
      </c>
      <c r="S7006" t="n">
        <v>1</v>
      </c>
      <c r="T7006" s="35" t="inlineStr">
        <is>
          <t>4 — Не обогащён</t>
        </is>
      </c>
      <c r="U7006" s="35" t="inlineStr">
        <is>
          <t>Нет ОКВЭД/ССЧР</t>
        </is>
      </c>
      <c r="V7006" s="35" t="inlineStr">
        <is>
          <t>Не определено</t>
        </is>
      </c>
      <c r="W7006" s="35" t="inlineStr">
        <is>
          <t>Нет</t>
        </is>
      </c>
      <c r="X7006" s="35" t="inlineStr"/>
    </row>
    <row r="7007" ht="15" customHeight="1" s="24">
      <c r="A7007" s="13" t="inlineStr">
        <is>
          <t>FR67855</t>
        </is>
      </c>
      <c r="B7007" s="13" t="inlineStr">
        <is>
          <t>ООО "НОБИЛИС"</t>
        </is>
      </c>
      <c r="C7007" s="13" t="n">
        <v>6321427437</v>
      </c>
      <c r="D7007" s="13" t="inlineStr">
        <is>
          <t>6321427437</t>
        </is>
      </c>
      <c r="E7007" s="13" t="inlineStr">
        <is>
          <t>ЮЛ РФ</t>
        </is>
      </c>
      <c r="F7007" s="13" t="n"/>
      <c r="G7007" s="52" t="n">
        <v>1</v>
      </c>
      <c r="H7007" s="52" t="n">
        <v>2025</v>
      </c>
      <c r="I7007" s="14" t="n"/>
      <c r="J7007" s="14" t="n"/>
      <c r="K7007" s="53" t="inlineStr">
        <is>
          <t>Нет</t>
        </is>
      </c>
      <c r="L7007" s="53" t="inlineStr">
        <is>
          <t>Не определено</t>
        </is>
      </c>
      <c r="M7007" s="53" t="inlineStr">
        <is>
          <t>До 10</t>
        </is>
      </c>
      <c r="N7007" s="54" t="n">
        <v>3360</v>
      </c>
      <c r="O7007" s="55" t="inlineStr">
        <is>
          <t>1–15</t>
        </is>
      </c>
      <c r="P7007" s="16" t="inlineStr">
        <is>
          <t>ССЧР обогащена; ОКВЭД не найден/не загружен</t>
        </is>
      </c>
      <c r="Q7007" s="16" t="inlineStr">
        <is>
          <t>ФНС открытые данные ССЧР (ДатаСост 31.12.2025; набор 7707329152-sshr2019)</t>
        </is>
      </c>
      <c r="R7007" s="16">
        <f>HYPERLINK("https://checko.ru/search?query=3801001629","Чекко: проверить")</f>
        <v/>
      </c>
      <c r="S7007" t="n">
        <v>1</v>
      </c>
      <c r="T7007" s="35" t="inlineStr">
        <is>
          <t>4 — Не обогащён</t>
        </is>
      </c>
      <c r="U7007" s="35" t="inlineStr">
        <is>
          <t>Нет ОКВЭД/ССЧР</t>
        </is>
      </c>
      <c r="V7007" s="35" t="inlineStr">
        <is>
          <t>Не определено</t>
        </is>
      </c>
      <c r="W7007" s="35" t="inlineStr">
        <is>
          <t>Нет</t>
        </is>
      </c>
      <c r="X7007" s="35" t="inlineStr"/>
    </row>
    <row r="7008" ht="15" customHeight="1" s="24">
      <c r="A7008" s="13" t="inlineStr">
        <is>
          <t>FR887981</t>
        </is>
      </c>
      <c r="B7008" s="13" t="inlineStr">
        <is>
          <t>ООО "ЭВЕРЕСТ"</t>
        </is>
      </c>
      <c r="C7008" s="13" t="n">
        <v>3827052762</v>
      </c>
      <c r="D7008" s="13" t="inlineStr">
        <is>
          <t>3827052762</t>
        </is>
      </c>
      <c r="E7008" s="13" t="inlineStr">
        <is>
          <t>ЮЛ РФ</t>
        </is>
      </c>
      <c r="F7008" s="13" t="n"/>
      <c r="G7008" s="52" t="n">
        <v>7</v>
      </c>
      <c r="H7008" s="52" t="n">
        <v>2025</v>
      </c>
      <c r="I7008" s="14" t="n"/>
      <c r="J7008" s="14" t="n"/>
      <c r="K7008" s="53" t="inlineStr">
        <is>
          <t>Нет</t>
        </is>
      </c>
      <c r="L7008" s="53" t="inlineStr">
        <is>
          <t>Не определено</t>
        </is>
      </c>
      <c r="M7008" s="53" t="inlineStr">
        <is>
          <t>До 10</t>
        </is>
      </c>
      <c r="N7008" s="54" t="n">
        <v>3360</v>
      </c>
      <c r="O7008" s="55" t="inlineStr">
        <is>
          <t>1–15</t>
        </is>
      </c>
      <c r="P7008" s="16" t="inlineStr">
        <is>
          <t>ССЧР обогащена; ОКВЭД не найден/не загружен</t>
        </is>
      </c>
      <c r="Q7008" s="16" t="inlineStr">
        <is>
          <t>ФНС открытые данные ССЧР (ДатаСост 31.12.2025; набор 7707329152-sshr2019)</t>
        </is>
      </c>
      <c r="R7008" s="16">
        <f>HYPERLINK("https://checko.ru/search?query=3801001629","Чекко: проверить")</f>
        <v/>
      </c>
      <c r="S7008" t="n">
        <v>1</v>
      </c>
      <c r="T7008" s="35" t="inlineStr">
        <is>
          <t>4 — Не обогащён</t>
        </is>
      </c>
      <c r="U7008" s="35" t="inlineStr">
        <is>
          <t>Нет ОКВЭД/ССЧР</t>
        </is>
      </c>
      <c r="V7008" s="35" t="inlineStr">
        <is>
          <t>Не определено</t>
        </is>
      </c>
      <c r="W7008" s="35" t="inlineStr">
        <is>
          <t>Нет</t>
        </is>
      </c>
      <c r="X7008" s="35" t="inlineStr"/>
    </row>
    <row r="7009" ht="15" customHeight="1" s="24">
      <c r="A7009" s="13" t="inlineStr">
        <is>
          <t>FR1274714</t>
        </is>
      </c>
      <c r="B7009" s="13" t="inlineStr">
        <is>
          <t>ИП Абдулганиев Эльдар Эреджепович</t>
        </is>
      </c>
      <c r="C7009" s="13" t="n">
        <v>261407698338</v>
      </c>
      <c r="D7009" s="13" t="inlineStr">
        <is>
          <t>261407698338</t>
        </is>
      </c>
      <c r="E7009" s="13" t="inlineStr">
        <is>
          <t>ИП РФ / физлицо</t>
        </is>
      </c>
      <c r="F7009" s="13" t="n"/>
      <c r="G7009" s="14" t="n"/>
      <c r="H7009" s="14" t="n"/>
      <c r="I7009" s="14" t="n"/>
      <c r="J7009" s="14" t="n"/>
      <c r="K7009" s="53" t="inlineStr"/>
      <c r="L7009" s="53" t="inlineStr">
        <is>
          <t>Не определено</t>
        </is>
      </c>
      <c r="M7009" s="53" t="inlineStr"/>
      <c r="N7009" s="54" t="inlineStr"/>
      <c r="O7009" s="55" t="inlineStr"/>
      <c r="P7009" s="16" t="inlineStr">
        <is>
          <t>Требует обогащения</t>
        </is>
      </c>
      <c r="Q7009" s="16">
        <f>HYPERLINK("https://pb.nalog.ru/search.html?query=261407698338","ФНС: проверить")</f>
        <v/>
      </c>
      <c r="R7009" s="16">
        <f>HYPERLINK("https://checko.ru/search?query=3801001629","Чекко: проверить")</f>
        <v/>
      </c>
      <c r="S7009" t="n">
        <v>1</v>
      </c>
      <c r="T7009" s="35" t="inlineStr">
        <is>
          <t>4 — Не обогащён</t>
        </is>
      </c>
      <c r="U7009" s="35" t="inlineStr">
        <is>
          <t>Нет ОКВЭД/ССЧР</t>
        </is>
      </c>
      <c r="V7009" s="35" t="inlineStr">
        <is>
          <t>Не определено</t>
        </is>
      </c>
      <c r="W7009" s="35" t="inlineStr"/>
      <c r="X7009" s="35" t="inlineStr"/>
    </row>
    <row r="7010" ht="15" customHeight="1" s="24">
      <c r="A7010" s="13" t="inlineStr">
        <is>
          <t>FR1275017</t>
        </is>
      </c>
      <c r="B7010" s="13" t="inlineStr">
        <is>
          <t>ИП Щербакова Ольга Николаевна</t>
        </is>
      </c>
      <c r="C7010" s="13" t="n">
        <v>501304967123</v>
      </c>
      <c r="D7010" s="13" t="inlineStr">
        <is>
          <t>501304967123</t>
        </is>
      </c>
      <c r="E7010" s="13" t="inlineStr">
        <is>
          <t>ИП РФ / физлицо</t>
        </is>
      </c>
      <c r="F7010" s="13" t="n"/>
      <c r="G7010" s="14" t="n"/>
      <c r="H7010" s="14" t="n"/>
      <c r="I7010" s="14" t="n"/>
      <c r="J7010" s="14" t="n"/>
      <c r="K7010" s="53" t="inlineStr"/>
      <c r="L7010" s="53" t="inlineStr">
        <is>
          <t>Не определено</t>
        </is>
      </c>
      <c r="M7010" s="53" t="inlineStr"/>
      <c r="N7010" s="54" t="inlineStr"/>
      <c r="O7010" s="55" t="inlineStr"/>
      <c r="P7010" s="16" t="inlineStr">
        <is>
          <t>Требует обогащения</t>
        </is>
      </c>
      <c r="Q7010" s="16">
        <f>HYPERLINK("https://pb.nalog.ru/search.html?query=501304967123","ФНС: проверить")</f>
        <v/>
      </c>
      <c r="R7010" s="16">
        <f>HYPERLINK("https://checko.ru/search?query=3801001629","Чекко: проверить")</f>
        <v/>
      </c>
      <c r="S7010" t="n">
        <v>1</v>
      </c>
      <c r="T7010" s="35" t="inlineStr">
        <is>
          <t>4 — Не обогащён</t>
        </is>
      </c>
      <c r="U7010" s="35" t="inlineStr">
        <is>
          <t>Нет ОКВЭД/ССЧР</t>
        </is>
      </c>
      <c r="V7010" s="35" t="inlineStr">
        <is>
          <t>Не определено</t>
        </is>
      </c>
      <c r="W7010" s="35" t="inlineStr"/>
      <c r="X7010" s="35" t="inlineStr"/>
    </row>
    <row r="7011" ht="41.25" customHeight="1" s="24">
      <c r="A7011" s="13" t="inlineStr">
        <is>
          <t>FR1080305</t>
        </is>
      </c>
      <c r="B7011" s="13" t="inlineStr">
        <is>
          <t>Общество с ограниченной ответственностью РЕМОНТНО МОНТАЖНАЯ КОМПАНИЯ "ГАРАНТСЕРВИС"</t>
        </is>
      </c>
      <c r="C7011" s="13" t="n">
        <v>1902027732</v>
      </c>
      <c r="D7011" s="13" t="inlineStr">
        <is>
          <t>1902027732</t>
        </is>
      </c>
      <c r="E7011" s="13" t="inlineStr">
        <is>
          <t>ЮЛ РФ</t>
        </is>
      </c>
      <c r="F7011" s="13" t="n"/>
      <c r="G7011" s="52" t="n">
        <v>29</v>
      </c>
      <c r="H7011" s="52" t="n">
        <v>2025</v>
      </c>
      <c r="I7011" s="52" t="inlineStr">
        <is>
          <t>33.12</t>
        </is>
      </c>
      <c r="J7011" s="52" t="inlineStr">
        <is>
          <t>33.12; 25.62; 33.14; 33.20; 41.20; 42.21; 42.99; 43.12.3; 43.21; 43.22; 43.29; 43.31; 43.32; 43.33; 43.34; 43.39; 43.91; 43.99.1; 43.99.4; 43.99.5; 43.99.6; 43.99.7; 47.19.1; 71.12.1; 71.20.4; 71.20.9; 81.10</t>
        </is>
      </c>
      <c r="K7011" s="53" t="inlineStr">
        <is>
          <t>Да</t>
        </is>
      </c>
      <c r="L7011" s="53" t="inlineStr">
        <is>
          <t>Да</t>
        </is>
      </c>
      <c r="M7011" s="53" t="inlineStr">
        <is>
          <t>До 50</t>
        </is>
      </c>
      <c r="N7011" s="54" t="n">
        <v>16800</v>
      </c>
      <c r="O7011" s="55" t="inlineStr">
        <is>
          <t>16–30</t>
        </is>
      </c>
      <c r="P7011" s="16" t="inlineStr">
        <is>
          <t>ССЧР + ОКВЭД обогащены</t>
        </is>
      </c>
      <c r="Q7011" s="16" t="inlineStr">
        <is>
          <t>ФНС открытые данные ССЧР (ДатаСост 31.12.2025; набор 7707329152-sshr2019)</t>
        </is>
      </c>
      <c r="R7011" s="16" t="inlineStr">
        <is>
          <t>ЕГРЮЛ / egrul.nalog.ru (выписка)</t>
        </is>
      </c>
      <c r="S7011" t="n">
        <v>1</v>
      </c>
      <c r="T7011" s="35" t="inlineStr">
        <is>
          <t>1 — Горячий</t>
        </is>
      </c>
      <c r="U7011" s="35" t="inlineStr">
        <is>
          <t>ОКВЭД + 22+</t>
        </is>
      </c>
      <c r="V7011" s="35" t="inlineStr">
        <is>
          <t>Да</t>
        </is>
      </c>
      <c r="W7011" s="35" t="inlineStr">
        <is>
          <t>Да</t>
        </is>
      </c>
      <c r="X7011" s="35" t="inlineStr">
        <is>
          <t>Да</t>
        </is>
      </c>
    </row>
    <row r="7012" ht="27.75" customHeight="1" s="24">
      <c r="A7012" s="13" t="inlineStr">
        <is>
          <t>FR439153</t>
        </is>
      </c>
      <c r="B7012" s="13" t="inlineStr">
        <is>
          <t>ОБЩЕСТВО С ОГРАНИЧЕННОЙ ОТВЕТСТВЕННОСТЬЮ "БАЙКАЛ ПРОДУКТ"</t>
        </is>
      </c>
      <c r="C7012" s="13" t="n">
        <v>3808115801</v>
      </c>
      <c r="D7012" s="13" t="inlineStr">
        <is>
          <t>3808115801</t>
        </is>
      </c>
      <c r="E7012" s="13" t="inlineStr">
        <is>
          <t>ЮЛ РФ</t>
        </is>
      </c>
      <c r="F7012" s="13" t="n"/>
      <c r="G7012" s="52" t="n">
        <v>3</v>
      </c>
      <c r="H7012" s="52" t="n">
        <v>2025</v>
      </c>
      <c r="I7012" s="14" t="n"/>
      <c r="J7012" s="14" t="n"/>
      <c r="K7012" s="53" t="inlineStr">
        <is>
          <t>Нет</t>
        </is>
      </c>
      <c r="L7012" s="53" t="inlineStr">
        <is>
          <t>Не определено</t>
        </is>
      </c>
      <c r="M7012" s="53" t="inlineStr">
        <is>
          <t>До 10</t>
        </is>
      </c>
      <c r="N7012" s="54" t="n">
        <v>3360</v>
      </c>
      <c r="O7012" s="55" t="inlineStr">
        <is>
          <t>1–15</t>
        </is>
      </c>
      <c r="P7012" s="16" t="inlineStr">
        <is>
          <t>ССЧР обогащена; ОКВЭД не найден/не загружен</t>
        </is>
      </c>
      <c r="Q7012" s="16" t="inlineStr">
        <is>
          <t>ФНС открытые данные ССЧР (ДатаСост 31.12.2025; набор 7707329152-sshr2019)</t>
        </is>
      </c>
      <c r="R7012" s="16">
        <f>HYPERLINK("https://checko.ru/search?query=3801001629","Чекко: проверить")</f>
        <v/>
      </c>
      <c r="S7012" t="n">
        <v>1</v>
      </c>
      <c r="T7012" s="35" t="inlineStr">
        <is>
          <t>4 — Не обогащён</t>
        </is>
      </c>
      <c r="U7012" s="35" t="inlineStr">
        <is>
          <t>Нет ОКВЭД/ССЧР</t>
        </is>
      </c>
      <c r="V7012" s="35" t="inlineStr">
        <is>
          <t>Не определено</t>
        </is>
      </c>
      <c r="W7012" s="35" t="inlineStr">
        <is>
          <t>Нет</t>
        </is>
      </c>
      <c r="X7012" s="35" t="inlineStr"/>
    </row>
    <row r="7013" ht="27.75" customHeight="1" s="24">
      <c r="A7013" s="13" t="inlineStr">
        <is>
          <t>FR318097</t>
        </is>
      </c>
      <c r="B7013" s="13" t="inlineStr">
        <is>
          <t>ОБЩЕСТВО С ОГРАНИЧЕННОЙ ОТВЕТСТВЕННОСТЬЮ  "АМИНТА МАРКЕТ"</t>
        </is>
      </c>
      <c r="C7013" s="13" t="n">
        <v>5032252384</v>
      </c>
      <c r="D7013" s="13" t="inlineStr">
        <is>
          <t>5032252384</t>
        </is>
      </c>
      <c r="E7013" s="13" t="inlineStr">
        <is>
          <t>ЮЛ РФ</t>
        </is>
      </c>
      <c r="F7013" s="13" t="n"/>
      <c r="G7013" s="52" t="n">
        <v>3</v>
      </c>
      <c r="H7013" s="52" t="n">
        <v>2025</v>
      </c>
      <c r="I7013" s="14" t="n"/>
      <c r="J7013" s="14" t="n"/>
      <c r="K7013" s="53" t="inlineStr">
        <is>
          <t>Нет</t>
        </is>
      </c>
      <c r="L7013" s="53" t="inlineStr">
        <is>
          <t>Не определено</t>
        </is>
      </c>
      <c r="M7013" s="53" t="inlineStr">
        <is>
          <t>До 10</t>
        </is>
      </c>
      <c r="N7013" s="54" t="n">
        <v>3360</v>
      </c>
      <c r="O7013" s="55" t="inlineStr">
        <is>
          <t>1–15</t>
        </is>
      </c>
      <c r="P7013" s="16" t="inlineStr">
        <is>
          <t>ССЧР обогащена; ОКВЭД не найден/не загружен</t>
        </is>
      </c>
      <c r="Q7013" s="16" t="inlineStr">
        <is>
          <t>ФНС открытые данные ССЧР (ДатаСост 31.12.2025; набор 7707329152-sshr2019)</t>
        </is>
      </c>
      <c r="R7013" s="16">
        <f>HYPERLINK("https://checko.ru/search?query=3801001629","Чекко: проверить")</f>
        <v/>
      </c>
      <c r="S7013" t="n">
        <v>1</v>
      </c>
      <c r="T7013" s="35" t="inlineStr">
        <is>
          <t>4 — Не обогащён</t>
        </is>
      </c>
      <c r="U7013" s="35" t="inlineStr">
        <is>
          <t>Нет ОКВЭД/ССЧР</t>
        </is>
      </c>
      <c r="V7013" s="35" t="inlineStr">
        <is>
          <t>Не определено</t>
        </is>
      </c>
      <c r="W7013" s="35" t="inlineStr">
        <is>
          <t>Нет</t>
        </is>
      </c>
      <c r="X7013" s="35" t="inlineStr"/>
    </row>
    <row r="7014" ht="27.75" customHeight="1" s="24">
      <c r="A7014" s="13" t="inlineStr">
        <is>
          <t>FR439854</t>
        </is>
      </c>
      <c r="B7014" s="13" t="inlineStr">
        <is>
          <t>ОБЩЕСТВО С ОГРАНИЧЕННОЙ ОТВЕТСТВЕННОСТЬЮ "НАШ УРОЖАЙ"</t>
        </is>
      </c>
      <c r="C7014" s="13" t="n">
        <v>5031132743</v>
      </c>
      <c r="D7014" s="13" t="inlineStr">
        <is>
          <t>5031132743</t>
        </is>
      </c>
      <c r="E7014" s="13" t="inlineStr">
        <is>
          <t>ЮЛ РФ</t>
        </is>
      </c>
      <c r="F7014" s="13" t="n"/>
      <c r="G7014" s="52" t="n">
        <v>2</v>
      </c>
      <c r="H7014" s="52" t="n">
        <v>2025</v>
      </c>
      <c r="I7014" s="14" t="n"/>
      <c r="J7014" s="14" t="n"/>
      <c r="K7014" s="53" t="inlineStr">
        <is>
          <t>Нет</t>
        </is>
      </c>
      <c r="L7014" s="53" t="inlineStr">
        <is>
          <t>Не определено</t>
        </is>
      </c>
      <c r="M7014" s="53" t="inlineStr">
        <is>
          <t>До 10</t>
        </is>
      </c>
      <c r="N7014" s="54" t="n">
        <v>3360</v>
      </c>
      <c r="O7014" s="55" t="inlineStr">
        <is>
          <t>1–15</t>
        </is>
      </c>
      <c r="P7014" s="16" t="inlineStr">
        <is>
          <t>ССЧР обогащена; ОКВЭД не найден/не загружен</t>
        </is>
      </c>
      <c r="Q7014" s="16" t="inlineStr">
        <is>
          <t>ФНС открытые данные ССЧР (ДатаСост 31.12.2025; набор 7707329152-sshr2019)</t>
        </is>
      </c>
      <c r="R7014" s="16">
        <f>HYPERLINK("https://checko.ru/search?query=3801001629","Чекко: проверить")</f>
        <v/>
      </c>
      <c r="S7014" t="n">
        <v>1</v>
      </c>
      <c r="T7014" s="35" t="inlineStr">
        <is>
          <t>4 — Не обогащён</t>
        </is>
      </c>
      <c r="U7014" s="35" t="inlineStr">
        <is>
          <t>Нет ОКВЭД/ССЧР</t>
        </is>
      </c>
      <c r="V7014" s="35" t="inlineStr">
        <is>
          <t>Не определено</t>
        </is>
      </c>
      <c r="W7014" s="35" t="inlineStr">
        <is>
          <t>Нет</t>
        </is>
      </c>
      <c r="X7014" s="35" t="inlineStr"/>
    </row>
    <row r="7015" ht="15" customHeight="1" s="24">
      <c r="A7015" s="13" t="inlineStr">
        <is>
          <t>FR439702</t>
        </is>
      </c>
      <c r="B7015" s="13" t="inlineStr">
        <is>
          <t>Тимофеева Надежда Анатольевна</t>
        </is>
      </c>
      <c r="C7015" s="13" t="n">
        <v>780242237993</v>
      </c>
      <c r="D7015" s="13" t="inlineStr">
        <is>
          <t>780242237993</t>
        </is>
      </c>
      <c r="E7015" s="13" t="inlineStr">
        <is>
          <t>ИП РФ / физлицо</t>
        </is>
      </c>
      <c r="F7015" s="13" t="n"/>
      <c r="G7015" s="14" t="n"/>
      <c r="H7015" s="14" t="n"/>
      <c r="I7015" s="14" t="n"/>
      <c r="J7015" s="14" t="n"/>
      <c r="K7015" s="53" t="inlineStr"/>
      <c r="L7015" s="53" t="inlineStr">
        <is>
          <t>Не определено</t>
        </is>
      </c>
      <c r="M7015" s="53" t="inlineStr"/>
      <c r="N7015" s="54" t="inlineStr"/>
      <c r="O7015" s="55" t="inlineStr"/>
      <c r="P7015" s="16" t="inlineStr">
        <is>
          <t>Требует обогащения</t>
        </is>
      </c>
      <c r="Q7015" s="16">
        <f>HYPERLINK("https://pb.nalog.ru/search.html?query=780242237993","ФНС: проверить")</f>
        <v/>
      </c>
      <c r="R7015" s="16">
        <f>HYPERLINK("https://checko.ru/search?query=3801001629","Чекко: проверить")</f>
        <v/>
      </c>
      <c r="S7015" t="n">
        <v>1</v>
      </c>
      <c r="T7015" s="35" t="inlineStr">
        <is>
          <t>4 — Не обогащён</t>
        </is>
      </c>
      <c r="U7015" s="35" t="inlineStr">
        <is>
          <t>Нет ОКВЭД/ССЧР</t>
        </is>
      </c>
      <c r="V7015" s="35" t="inlineStr">
        <is>
          <t>Не определено</t>
        </is>
      </c>
      <c r="W7015" s="35" t="inlineStr"/>
      <c r="X7015" s="35" t="inlineStr"/>
    </row>
    <row r="7016" ht="27.75" customHeight="1" s="24">
      <c r="A7016" s="13" t="inlineStr">
        <is>
          <t>FR727161</t>
        </is>
      </c>
      <c r="B7016" s="13" t="inlineStr">
        <is>
          <t>Общество с ограниченной ответственностью "САЯНЫ"</t>
        </is>
      </c>
      <c r="C7016" s="13" t="n">
        <v>3818027946</v>
      </c>
      <c r="D7016" s="13" t="inlineStr">
        <is>
          <t>3818027946</t>
        </is>
      </c>
      <c r="E7016" s="13" t="inlineStr">
        <is>
          <t>ЮЛ РФ</t>
        </is>
      </c>
      <c r="F7016" s="13" t="n"/>
      <c r="G7016" s="52" t="n">
        <v>5</v>
      </c>
      <c r="H7016" s="52" t="n">
        <v>2025</v>
      </c>
      <c r="I7016" s="14" t="n"/>
      <c r="J7016" s="14" t="n"/>
      <c r="K7016" s="53" t="inlineStr">
        <is>
          <t>Нет</t>
        </is>
      </c>
      <c r="L7016" s="53" t="inlineStr">
        <is>
          <t>Не определено</t>
        </is>
      </c>
      <c r="M7016" s="53" t="inlineStr">
        <is>
          <t>До 10</t>
        </is>
      </c>
      <c r="N7016" s="54" t="n">
        <v>3360</v>
      </c>
      <c r="O7016" s="55" t="inlineStr">
        <is>
          <t>1–15</t>
        </is>
      </c>
      <c r="P7016" s="16" t="inlineStr">
        <is>
          <t>ССЧР обогащена; ОКВЭД не найден/не загружен</t>
        </is>
      </c>
      <c r="Q7016" s="16" t="inlineStr">
        <is>
          <t>ФНС открытые данные ССЧР (ДатаСост 31.12.2025; набор 7707329152-sshr2019)</t>
        </is>
      </c>
      <c r="R7016" s="16">
        <f>HYPERLINK("https://checko.ru/search?query=3801001629","Чекко: проверить")</f>
        <v/>
      </c>
      <c r="S7016" t="n">
        <v>1</v>
      </c>
      <c r="T7016" s="35" t="inlineStr">
        <is>
          <t>4 — Не обогащён</t>
        </is>
      </c>
      <c r="U7016" s="35" t="inlineStr">
        <is>
          <t>Нет ОКВЭД/ССЧР</t>
        </is>
      </c>
      <c r="V7016" s="35" t="inlineStr">
        <is>
          <t>Не определено</t>
        </is>
      </c>
      <c r="W7016" s="35" t="inlineStr">
        <is>
          <t>Нет</t>
        </is>
      </c>
      <c r="X7016" s="35" t="inlineStr"/>
    </row>
    <row r="7017" ht="27.75" customHeight="1" s="24">
      <c r="A7017" s="13" t="inlineStr">
        <is>
          <t>FR1081897</t>
        </is>
      </c>
      <c r="B7017" s="13" t="inlineStr">
        <is>
          <t>Общество с ограниченной ответственностью "СИБИРЬ РЕГИОН СЕРВИС"</t>
        </is>
      </c>
      <c r="C7017" s="13" t="n">
        <v>3808216711</v>
      </c>
      <c r="D7017" s="13" t="inlineStr">
        <is>
          <t>3808216711</t>
        </is>
      </c>
      <c r="E7017" s="13" t="inlineStr">
        <is>
          <t>ЮЛ РФ</t>
        </is>
      </c>
      <c r="F7017" s="13" t="n"/>
      <c r="G7017" s="52" t="n">
        <v>8</v>
      </c>
      <c r="H7017" s="52" t="n">
        <v>2025</v>
      </c>
      <c r="I7017" s="14" t="n"/>
      <c r="J7017" s="14" t="n"/>
      <c r="K7017" s="53" t="inlineStr">
        <is>
          <t>Нет</t>
        </is>
      </c>
      <c r="L7017" s="53" t="inlineStr">
        <is>
          <t>Не определено</t>
        </is>
      </c>
      <c r="M7017" s="53" t="inlineStr">
        <is>
          <t>До 10</t>
        </is>
      </c>
      <c r="N7017" s="54" t="n">
        <v>3360</v>
      </c>
      <c r="O7017" s="55" t="inlineStr">
        <is>
          <t>1–15</t>
        </is>
      </c>
      <c r="P7017" s="16" t="inlineStr">
        <is>
          <t>ССЧР обогащена; ОКВЭД не найден/не загружен</t>
        </is>
      </c>
      <c r="Q7017" s="16" t="inlineStr">
        <is>
          <t>ФНС открытые данные ССЧР (ДатаСост 31.12.2025; набор 7707329152-sshr2019)</t>
        </is>
      </c>
      <c r="R7017" s="16">
        <f>HYPERLINK("https://checko.ru/search?query=3801001629","Чекко: проверить")</f>
        <v/>
      </c>
      <c r="S7017" t="n">
        <v>1</v>
      </c>
      <c r="T7017" s="35" t="inlineStr">
        <is>
          <t>4 — Не обогащён</t>
        </is>
      </c>
      <c r="U7017" s="35" t="inlineStr">
        <is>
          <t>Нет ОКВЭД/ССЧР</t>
        </is>
      </c>
      <c r="V7017" s="35" t="inlineStr">
        <is>
          <t>Не определено</t>
        </is>
      </c>
      <c r="W7017" s="35" t="inlineStr">
        <is>
          <t>Нет</t>
        </is>
      </c>
      <c r="X7017" s="35" t="inlineStr"/>
    </row>
    <row r="7018" ht="15" customHeight="1" s="24">
      <c r="A7018" s="13" t="inlineStr">
        <is>
          <t>FR1277959</t>
        </is>
      </c>
      <c r="B7018" s="13" t="inlineStr">
        <is>
          <t>ИП Гегер Анна Валерьевна</t>
        </is>
      </c>
      <c r="C7018" s="13" t="n">
        <v>234307045758</v>
      </c>
      <c r="D7018" s="13" t="inlineStr">
        <is>
          <t>234307045758</t>
        </is>
      </c>
      <c r="E7018" s="13" t="inlineStr">
        <is>
          <t>ИП РФ / физлицо</t>
        </is>
      </c>
      <c r="F7018" s="13" t="n"/>
      <c r="G7018" s="14" t="n"/>
      <c r="H7018" s="14" t="n"/>
      <c r="I7018" s="14" t="n"/>
      <c r="J7018" s="14" t="n"/>
      <c r="K7018" s="53" t="inlineStr"/>
      <c r="L7018" s="53" t="inlineStr">
        <is>
          <t>Не определено</t>
        </is>
      </c>
      <c r="M7018" s="53" t="inlineStr"/>
      <c r="N7018" s="54" t="inlineStr"/>
      <c r="O7018" s="55" t="inlineStr"/>
      <c r="P7018" s="16" t="inlineStr">
        <is>
          <t>Требует обогащения</t>
        </is>
      </c>
      <c r="Q7018" s="16">
        <f>HYPERLINK("https://pb.nalog.ru/search.html?query=234307045758","ФНС: проверить")</f>
        <v/>
      </c>
      <c r="R7018" s="16">
        <f>HYPERLINK("https://checko.ru/search?query=3801001629","Чекко: проверить")</f>
        <v/>
      </c>
      <c r="S7018" t="n">
        <v>1</v>
      </c>
      <c r="T7018" s="35" t="inlineStr">
        <is>
          <t>4 — Не обогащён</t>
        </is>
      </c>
      <c r="U7018" s="35" t="inlineStr">
        <is>
          <t>Нет ОКВЭД/ССЧР</t>
        </is>
      </c>
      <c r="V7018" s="35" t="inlineStr">
        <is>
          <t>Не определено</t>
        </is>
      </c>
      <c r="W7018" s="35" t="inlineStr"/>
      <c r="X7018" s="35" t="inlineStr"/>
    </row>
    <row r="7019" ht="15" customHeight="1" s="24">
      <c r="A7019" s="13" t="inlineStr">
        <is>
          <t>FR1277563</t>
        </is>
      </c>
      <c r="B7019" s="13" t="inlineStr">
        <is>
          <t>Тюкавкин ИП</t>
        </is>
      </c>
      <c r="C7019" s="13" t="n">
        <v>380100231603</v>
      </c>
      <c r="D7019" s="13" t="inlineStr">
        <is>
          <t>380100231603</t>
        </is>
      </c>
      <c r="E7019" s="13" t="inlineStr">
        <is>
          <t>ИП РФ / физлицо</t>
        </is>
      </c>
      <c r="F7019" s="13" t="n"/>
      <c r="G7019" s="14" t="n"/>
      <c r="H7019" s="14" t="n"/>
      <c r="I7019" s="14" t="n"/>
      <c r="J7019" s="14" t="n"/>
      <c r="K7019" s="53" t="inlineStr"/>
      <c r="L7019" s="53" t="inlineStr">
        <is>
          <t>Не определено</t>
        </is>
      </c>
      <c r="M7019" s="53" t="inlineStr"/>
      <c r="N7019" s="54" t="inlineStr"/>
      <c r="O7019" s="55" t="inlineStr"/>
      <c r="P7019" s="16" t="inlineStr">
        <is>
          <t>Требует обогащения</t>
        </is>
      </c>
      <c r="Q7019" s="16">
        <f>HYPERLINK("https://pb.nalog.ru/search.html?query=380100231603","ФНС: проверить")</f>
        <v/>
      </c>
      <c r="R7019" s="16">
        <f>HYPERLINK("https://checko.ru/search?query=3801001629","Чекко: проверить")</f>
        <v/>
      </c>
      <c r="S7019" t="n">
        <v>1</v>
      </c>
      <c r="T7019" s="35" t="inlineStr">
        <is>
          <t>4 — Не обогащён</t>
        </is>
      </c>
      <c r="U7019" s="35" t="inlineStr">
        <is>
          <t>Нет ОКВЭД/ССЧР</t>
        </is>
      </c>
      <c r="V7019" s="35" t="inlineStr">
        <is>
          <t>Не определено</t>
        </is>
      </c>
      <c r="W7019" s="35" t="inlineStr"/>
      <c r="X7019" s="35" t="inlineStr"/>
    </row>
    <row r="7020" ht="27.75" customHeight="1" s="24">
      <c r="A7020" s="13" t="inlineStr">
        <is>
          <t>FR1275205</t>
        </is>
      </c>
      <c r="B7020" s="13" t="inlineStr">
        <is>
          <t>Общество с ограниченной ответственностью "КОМПРОМИСС"</t>
        </is>
      </c>
      <c r="C7020" s="13" t="n">
        <v>3851022751</v>
      </c>
      <c r="D7020" s="13" t="inlineStr">
        <is>
          <t>3851022751</t>
        </is>
      </c>
      <c r="E7020" s="13" t="inlineStr">
        <is>
          <t>ЮЛ РФ</t>
        </is>
      </c>
      <c r="F7020" s="13" t="n"/>
      <c r="G7020" s="52" t="n">
        <v>1</v>
      </c>
      <c r="H7020" s="52" t="n">
        <v>2025</v>
      </c>
      <c r="I7020" s="14" t="n"/>
      <c r="J7020" s="14" t="n"/>
      <c r="K7020" s="53" t="inlineStr">
        <is>
          <t>Нет</t>
        </is>
      </c>
      <c r="L7020" s="53" t="inlineStr">
        <is>
          <t>Не определено</t>
        </is>
      </c>
      <c r="M7020" s="53" t="inlineStr">
        <is>
          <t>До 10</t>
        </is>
      </c>
      <c r="N7020" s="54" t="n">
        <v>3360</v>
      </c>
      <c r="O7020" s="55" t="inlineStr">
        <is>
          <t>1–15</t>
        </is>
      </c>
      <c r="P7020" s="16" t="inlineStr">
        <is>
          <t>ССЧР обогащена; ОКВЭД не найден/не загружен</t>
        </is>
      </c>
      <c r="Q7020" s="16" t="inlineStr">
        <is>
          <t>ФНС открытые данные ССЧР (ДатаСост 31.12.2025; набор 7707329152-sshr2019)</t>
        </is>
      </c>
      <c r="R7020" s="16">
        <f>HYPERLINK("https://checko.ru/search?query=3801001629","Чекко: проверить")</f>
        <v/>
      </c>
      <c r="S7020" t="n">
        <v>1</v>
      </c>
      <c r="T7020" s="35" t="inlineStr">
        <is>
          <t>4 — Не обогащён</t>
        </is>
      </c>
      <c r="U7020" s="35" t="inlineStr">
        <is>
          <t>Нет ОКВЭД/ССЧР</t>
        </is>
      </c>
      <c r="V7020" s="35" t="inlineStr">
        <is>
          <t>Не определено</t>
        </is>
      </c>
      <c r="W7020" s="35" t="inlineStr">
        <is>
          <t>Нет</t>
        </is>
      </c>
      <c r="X7020" s="35" t="inlineStr"/>
    </row>
    <row r="7021" ht="15" customHeight="1" s="24">
      <c r="A7021" s="13" t="inlineStr">
        <is>
          <t>FR1081755</t>
        </is>
      </c>
      <c r="B7021" s="13" t="inlineStr">
        <is>
          <t>ИП Поляков Алексей Евгеньевич</t>
        </is>
      </c>
      <c r="C7021" s="13" t="n">
        <v>381113013033</v>
      </c>
      <c r="D7021" s="13" t="inlineStr">
        <is>
          <t>381113013033</t>
        </is>
      </c>
      <c r="E7021" s="13" t="inlineStr">
        <is>
          <t>ИП РФ / физлицо</t>
        </is>
      </c>
      <c r="F7021" s="13" t="n"/>
      <c r="G7021" s="14" t="n"/>
      <c r="H7021" s="14" t="n"/>
      <c r="I7021" s="14" t="n"/>
      <c r="J7021" s="14" t="n"/>
      <c r="K7021" s="53" t="inlineStr"/>
      <c r="L7021" s="53" t="inlineStr">
        <is>
          <t>Не определено</t>
        </is>
      </c>
      <c r="M7021" s="53" t="inlineStr"/>
      <c r="N7021" s="54" t="inlineStr"/>
      <c r="O7021" s="55" t="inlineStr"/>
      <c r="P7021" s="16" t="inlineStr">
        <is>
          <t>Требует обогащения</t>
        </is>
      </c>
      <c r="Q7021" s="16">
        <f>HYPERLINK("https://pb.nalog.ru/search.html?query=381113013033","ФНС: проверить")</f>
        <v/>
      </c>
      <c r="R7021" s="16">
        <f>HYPERLINK("https://checko.ru/search?query=3801001629","Чекко: проверить")</f>
        <v/>
      </c>
      <c r="S7021" t="n">
        <v>1</v>
      </c>
      <c r="T7021" s="35" t="inlineStr">
        <is>
          <t>4 — Не обогащён</t>
        </is>
      </c>
      <c r="U7021" s="35" t="inlineStr">
        <is>
          <t>Нет ОКВЭД/ССЧР</t>
        </is>
      </c>
      <c r="V7021" s="35" t="inlineStr">
        <is>
          <t>Не определено</t>
        </is>
      </c>
      <c r="W7021" s="35" t="inlineStr"/>
      <c r="X7021" s="35" t="inlineStr"/>
    </row>
    <row r="7022" ht="27.75" customHeight="1" s="24">
      <c r="A7022" s="13" t="inlineStr">
        <is>
          <t>FR1082660</t>
        </is>
      </c>
      <c r="B7022" s="13" t="inlineStr">
        <is>
          <t>Общество с ограниченной ответственностью "СИСТЕМЫ БЕЗОПАСНОСТИ-24"</t>
        </is>
      </c>
      <c r="C7022" s="13" t="n">
        <v>3816029786</v>
      </c>
      <c r="D7022" s="13" t="inlineStr">
        <is>
          <t>3816029786</t>
        </is>
      </c>
      <c r="E7022" s="13" t="inlineStr">
        <is>
          <t>ЮЛ РФ</t>
        </is>
      </c>
      <c r="F7022" s="13" t="n"/>
      <c r="G7022" s="52" t="n">
        <v>3</v>
      </c>
      <c r="H7022" s="52" t="n">
        <v>2025</v>
      </c>
      <c r="I7022" s="14" t="n"/>
      <c r="J7022" s="14" t="n"/>
      <c r="K7022" s="53" t="inlineStr">
        <is>
          <t>Нет</t>
        </is>
      </c>
      <c r="L7022" s="53" t="inlineStr">
        <is>
          <t>Не определено</t>
        </is>
      </c>
      <c r="M7022" s="53" t="inlineStr">
        <is>
          <t>До 10</t>
        </is>
      </c>
      <c r="N7022" s="54" t="n">
        <v>3360</v>
      </c>
      <c r="O7022" s="55" t="inlineStr">
        <is>
          <t>1–15</t>
        </is>
      </c>
      <c r="P7022" s="16" t="inlineStr">
        <is>
          <t>ССЧР обогащена; ОКВЭД не найден/не загружен</t>
        </is>
      </c>
      <c r="Q7022" s="16" t="inlineStr">
        <is>
          <t>ФНС открытые данные ССЧР (ДатаСост 31.12.2025; набор 7707329152-sshr2019)</t>
        </is>
      </c>
      <c r="R7022" s="16">
        <f>HYPERLINK("https://checko.ru/search?query=3801001629","Чекко: проверить")</f>
        <v/>
      </c>
      <c r="S7022" t="n">
        <v>1</v>
      </c>
      <c r="T7022" s="35" t="inlineStr">
        <is>
          <t>4 — Не обогащён</t>
        </is>
      </c>
      <c r="U7022" s="35" t="inlineStr">
        <is>
          <t>Нет ОКВЭД/ССЧР</t>
        </is>
      </c>
      <c r="V7022" s="35" t="inlineStr">
        <is>
          <t>Не определено</t>
        </is>
      </c>
      <c r="W7022" s="35" t="inlineStr">
        <is>
          <t>Нет</t>
        </is>
      </c>
      <c r="X7022" s="35" t="inlineStr"/>
    </row>
    <row r="7023" ht="15" customHeight="1" s="24">
      <c r="A7023" s="13" t="inlineStr">
        <is>
          <t>FR440572</t>
        </is>
      </c>
      <c r="B7023" s="13" t="inlineStr">
        <is>
          <t>ИП Трофимова Людмила Сергеевна</t>
        </is>
      </c>
      <c r="C7023" s="13" t="n">
        <v>381706153190</v>
      </c>
      <c r="D7023" s="13" t="inlineStr">
        <is>
          <t>381706153190</t>
        </is>
      </c>
      <c r="E7023" s="13" t="inlineStr">
        <is>
          <t>ИП РФ / физлицо</t>
        </is>
      </c>
      <c r="F7023" s="13" t="n"/>
      <c r="G7023" s="14" t="n"/>
      <c r="H7023" s="14" t="n"/>
      <c r="I7023" s="14" t="n"/>
      <c r="J7023" s="14" t="n"/>
      <c r="K7023" s="53" t="inlineStr"/>
      <c r="L7023" s="53" t="inlineStr">
        <is>
          <t>Не определено</t>
        </is>
      </c>
      <c r="M7023" s="53" t="inlineStr"/>
      <c r="N7023" s="54" t="inlineStr"/>
      <c r="O7023" s="55" t="inlineStr"/>
      <c r="P7023" s="16" t="inlineStr">
        <is>
          <t>Требует обогащения</t>
        </is>
      </c>
      <c r="Q7023" s="16">
        <f>HYPERLINK("https://pb.nalog.ru/search.html?query=381706153190","ФНС: проверить")</f>
        <v/>
      </c>
      <c r="R7023" s="16">
        <f>HYPERLINK("https://checko.ru/search?query=3801001629","Чекко: проверить")</f>
        <v/>
      </c>
      <c r="S7023" t="n">
        <v>1</v>
      </c>
      <c r="T7023" s="35" t="inlineStr">
        <is>
          <t>4 — Не обогащён</t>
        </is>
      </c>
      <c r="U7023" s="35" t="inlineStr">
        <is>
          <t>Нет ОКВЭД/ССЧР</t>
        </is>
      </c>
      <c r="V7023" s="35" t="inlineStr">
        <is>
          <t>Не определено</t>
        </is>
      </c>
      <c r="W7023" s="35" t="inlineStr"/>
      <c r="X7023" s="35" t="inlineStr"/>
    </row>
    <row r="7024" ht="15" customHeight="1" s="24">
      <c r="A7024" s="13" t="inlineStr">
        <is>
          <t>FR439793</t>
        </is>
      </c>
      <c r="B7024" s="13" t="inlineStr">
        <is>
          <t>ИП Жамалетдинов Ринат Андреевич</t>
        </is>
      </c>
      <c r="C7024" s="13" t="n">
        <v>772600880361</v>
      </c>
      <c r="D7024" s="13" t="inlineStr">
        <is>
          <t>772600880361</t>
        </is>
      </c>
      <c r="E7024" s="13" t="inlineStr">
        <is>
          <t>ИП РФ / физлицо</t>
        </is>
      </c>
      <c r="F7024" s="13" t="n"/>
      <c r="G7024" s="14" t="n"/>
      <c r="H7024" s="14" t="n"/>
      <c r="I7024" s="14" t="n"/>
      <c r="J7024" s="14" t="n"/>
      <c r="K7024" s="53" t="inlineStr"/>
      <c r="L7024" s="53" t="inlineStr">
        <is>
          <t>Не определено</t>
        </is>
      </c>
      <c r="M7024" s="53" t="inlineStr"/>
      <c r="N7024" s="54" t="inlineStr"/>
      <c r="O7024" s="55" t="inlineStr"/>
      <c r="P7024" s="16" t="inlineStr">
        <is>
          <t>Требует обогащения</t>
        </is>
      </c>
      <c r="Q7024" s="16">
        <f>HYPERLINK("https://pb.nalog.ru/search.html?query=772600880361","ФНС: проверить")</f>
        <v/>
      </c>
      <c r="R7024" s="16">
        <f>HYPERLINK("https://checko.ru/search?query=3801001629","Чекко: проверить")</f>
        <v/>
      </c>
      <c r="S7024" t="n">
        <v>1</v>
      </c>
      <c r="T7024" s="35" t="inlineStr">
        <is>
          <t>4 — Не обогащён</t>
        </is>
      </c>
      <c r="U7024" s="35" t="inlineStr">
        <is>
          <t>Нет ОКВЭД/ССЧР</t>
        </is>
      </c>
      <c r="V7024" s="35" t="inlineStr">
        <is>
          <t>Не определено</t>
        </is>
      </c>
      <c r="W7024" s="35" t="inlineStr"/>
      <c r="X7024" s="35" t="inlineStr"/>
    </row>
    <row r="7025" ht="41.25" customHeight="1" s="24">
      <c r="A7025" s="13" t="inlineStr">
        <is>
          <t>FR1083320</t>
        </is>
      </c>
      <c r="B7025" s="13" t="inlineStr">
        <is>
          <t>Общество с ограниченной ответственностью "Центр Инновационного Протезирования и Ортопедии "Эталон-Иркутск"</t>
        </is>
      </c>
      <c r="C7025" s="13" t="n">
        <v>3849096690</v>
      </c>
      <c r="D7025" s="13" t="inlineStr">
        <is>
          <t>3849096690</t>
        </is>
      </c>
      <c r="E7025" s="13" t="inlineStr">
        <is>
          <t>ЮЛ РФ</t>
        </is>
      </c>
      <c r="F7025" s="13" t="n"/>
      <c r="G7025" s="52" t="n">
        <v>14</v>
      </c>
      <c r="H7025" s="52" t="n">
        <v>2025</v>
      </c>
      <c r="I7025" s="14" t="n"/>
      <c r="J7025" s="14" t="n"/>
      <c r="K7025" s="53" t="inlineStr">
        <is>
          <t>Нет</t>
        </is>
      </c>
      <c r="L7025" s="53" t="inlineStr">
        <is>
          <t>Не определено</t>
        </is>
      </c>
      <c r="M7025" s="53" t="inlineStr">
        <is>
          <t>До 25</t>
        </is>
      </c>
      <c r="N7025" s="54" t="n">
        <v>8400</v>
      </c>
      <c r="O7025" s="55" t="inlineStr">
        <is>
          <t>1–15</t>
        </is>
      </c>
      <c r="P7025" s="16" t="inlineStr">
        <is>
          <t>ССЧР обогащена; ОКВЭД не найден/не загружен</t>
        </is>
      </c>
      <c r="Q7025" s="16" t="inlineStr">
        <is>
          <t>ФНС открытые данные ССЧР (ДатаСост 31.12.2025; набор 7707329152-sshr2019)</t>
        </is>
      </c>
      <c r="R7025" s="16">
        <f>HYPERLINK("https://checko.ru/search?query=3801001629","Чекко: проверить")</f>
        <v/>
      </c>
      <c r="S7025" t="n">
        <v>0</v>
      </c>
      <c r="T7025" s="35" t="inlineStr">
        <is>
          <t>4 — Не обогащён</t>
        </is>
      </c>
      <c r="U7025" s="35" t="inlineStr">
        <is>
          <t>Нет ОКВЭД/ССЧР</t>
        </is>
      </c>
      <c r="V7025" s="35" t="inlineStr">
        <is>
          <t>Не определено</t>
        </is>
      </c>
      <c r="W7025" s="35" t="inlineStr">
        <is>
          <t>Нет</t>
        </is>
      </c>
      <c r="X7025" s="35" t="inlineStr"/>
    </row>
    <row r="7026" ht="15" customHeight="1" s="24">
      <c r="A7026" s="13" t="inlineStr">
        <is>
          <t>FR1271979</t>
        </is>
      </c>
      <c r="B7026" s="13" t="inlineStr">
        <is>
          <t>ИП Бояршина Мария Евгеньевна</t>
        </is>
      </c>
      <c r="C7026" s="13" t="n">
        <v>370257887482</v>
      </c>
      <c r="D7026" s="13" t="inlineStr">
        <is>
          <t>370257887482</t>
        </is>
      </c>
      <c r="E7026" s="13" t="inlineStr">
        <is>
          <t>ИП РФ / физлицо</t>
        </is>
      </c>
      <c r="F7026" s="13" t="n"/>
      <c r="G7026" s="14" t="n"/>
      <c r="H7026" s="14" t="n"/>
      <c r="I7026" s="14" t="n"/>
      <c r="J7026" s="14" t="n"/>
      <c r="K7026" s="53" t="inlineStr"/>
      <c r="L7026" s="53" t="inlineStr">
        <is>
          <t>Не определено</t>
        </is>
      </c>
      <c r="M7026" s="53" t="inlineStr"/>
      <c r="N7026" s="54" t="inlineStr"/>
      <c r="O7026" s="55" t="inlineStr"/>
      <c r="P7026" s="16" t="inlineStr">
        <is>
          <t>Требует обогащения</t>
        </is>
      </c>
      <c r="Q7026" s="16">
        <f>HYPERLINK("https://pb.nalog.ru/search.html?query=370257887482","ФНС: проверить")</f>
        <v/>
      </c>
      <c r="R7026" s="16">
        <f>HYPERLINK("https://checko.ru/search?query=3801001629","Чекко: проверить")</f>
        <v/>
      </c>
      <c r="S7026" t="n">
        <v>1</v>
      </c>
      <c r="T7026" s="35" t="inlineStr">
        <is>
          <t>4 — Не обогащён</t>
        </is>
      </c>
      <c r="U7026" s="35" t="inlineStr">
        <is>
          <t>Нет ОКВЭД/ССЧР</t>
        </is>
      </c>
      <c r="V7026" s="35" t="inlineStr">
        <is>
          <t>Не определено</t>
        </is>
      </c>
      <c r="W7026" s="35" t="inlineStr"/>
      <c r="X7026" s="35" t="inlineStr"/>
    </row>
    <row r="7027" ht="15" customHeight="1" s="24">
      <c r="A7027" s="13" t="inlineStr">
        <is>
          <t>FR1277165</t>
        </is>
      </c>
      <c r="B7027" s="13" t="inlineStr">
        <is>
          <t>ООО "Байкалмедтехсервис"</t>
        </is>
      </c>
      <c r="C7027" s="13" t="n">
        <v>3811094319</v>
      </c>
      <c r="D7027" s="13" t="inlineStr">
        <is>
          <t>3811094319</t>
        </is>
      </c>
      <c r="E7027" s="13" t="inlineStr">
        <is>
          <t>ЮЛ РФ</t>
        </is>
      </c>
      <c r="F7027" s="13" t="n"/>
      <c r="G7027" s="52" t="n">
        <v>8</v>
      </c>
      <c r="H7027" s="52" t="n">
        <v>2025</v>
      </c>
      <c r="I7027" s="14" t="n"/>
      <c r="J7027" s="14" t="n"/>
      <c r="K7027" s="53" t="inlineStr">
        <is>
          <t>Нет</t>
        </is>
      </c>
      <c r="L7027" s="53" t="inlineStr">
        <is>
          <t>Не определено</t>
        </is>
      </c>
      <c r="M7027" s="53" t="inlineStr">
        <is>
          <t>До 10</t>
        </is>
      </c>
      <c r="N7027" s="54" t="n">
        <v>3360</v>
      </c>
      <c r="O7027" s="55" t="inlineStr">
        <is>
          <t>1–15</t>
        </is>
      </c>
      <c r="P7027" s="16" t="inlineStr">
        <is>
          <t>ССЧР обогащена; ОКВЭД не найден/не загружен</t>
        </is>
      </c>
      <c r="Q7027" s="16" t="inlineStr">
        <is>
          <t>ФНС открытые данные ССЧР (ДатаСост 31.12.2025; набор 7707329152-sshr2019)</t>
        </is>
      </c>
      <c r="R7027" s="16">
        <f>HYPERLINK("https://checko.ru/search?query=3801001629","Чекко: проверить")</f>
        <v/>
      </c>
      <c r="S7027" t="n">
        <v>1</v>
      </c>
      <c r="T7027" s="35" t="inlineStr">
        <is>
          <t>4 — Не обогащён</t>
        </is>
      </c>
      <c r="U7027" s="35" t="inlineStr">
        <is>
          <t>Нет ОКВЭД/ССЧР</t>
        </is>
      </c>
      <c r="V7027" s="35" t="inlineStr">
        <is>
          <t>Не определено</t>
        </is>
      </c>
      <c r="W7027" s="35" t="inlineStr">
        <is>
          <t>Нет</t>
        </is>
      </c>
      <c r="X7027" s="35" t="inlineStr"/>
    </row>
    <row r="7028" ht="15" customHeight="1" s="24">
      <c r="A7028" s="13" t="inlineStr">
        <is>
          <t>FR453673</t>
        </is>
      </c>
      <c r="B7028" s="13" t="inlineStr">
        <is>
          <t>ИП Наривский Илья Юрьевич</t>
        </is>
      </c>
      <c r="C7028" s="13" t="n">
        <v>381114738709</v>
      </c>
      <c r="D7028" s="13" t="inlineStr">
        <is>
          <t>381114738709</t>
        </is>
      </c>
      <c r="E7028" s="13" t="inlineStr">
        <is>
          <t>ИП РФ / физлицо</t>
        </is>
      </c>
      <c r="F7028" s="13" t="n"/>
      <c r="G7028" s="14" t="n"/>
      <c r="H7028" s="14" t="n"/>
      <c r="I7028" s="14" t="n"/>
      <c r="J7028" s="14" t="n"/>
      <c r="K7028" s="53" t="inlineStr"/>
      <c r="L7028" s="53" t="inlineStr">
        <is>
          <t>Не определено</t>
        </is>
      </c>
      <c r="M7028" s="53" t="inlineStr"/>
      <c r="N7028" s="54" t="inlineStr"/>
      <c r="O7028" s="55" t="inlineStr"/>
      <c r="P7028" s="16" t="inlineStr">
        <is>
          <t>Требует обогащения</t>
        </is>
      </c>
      <c r="Q7028" s="16">
        <f>HYPERLINK("https://pb.nalog.ru/search.html?query=381114738709","ФНС: проверить")</f>
        <v/>
      </c>
      <c r="R7028" s="16">
        <f>HYPERLINK("https://checko.ru/search?query=3801001629","Чекко: проверить")</f>
        <v/>
      </c>
      <c r="S7028" t="n">
        <v>1</v>
      </c>
      <c r="T7028" s="35" t="inlineStr">
        <is>
          <t>4 — Не обогащён</t>
        </is>
      </c>
      <c r="U7028" s="35" t="inlineStr">
        <is>
          <t>Нет ОКВЭД/ССЧР</t>
        </is>
      </c>
      <c r="V7028" s="35" t="inlineStr">
        <is>
          <t>Не определено</t>
        </is>
      </c>
      <c r="W7028" s="35" t="inlineStr"/>
      <c r="X7028" s="35" t="inlineStr"/>
    </row>
    <row r="7029" ht="27.75" customHeight="1" s="24">
      <c r="A7029" s="13" t="inlineStr">
        <is>
          <t>FR892935</t>
        </is>
      </c>
      <c r="B7029" s="13" t="inlineStr">
        <is>
          <t>Общество с ограниченной ответственностью "СЕРВИС ОПС"</t>
        </is>
      </c>
      <c r="C7029" s="13" t="n">
        <v>3810334776</v>
      </c>
      <c r="D7029" s="13" t="inlineStr">
        <is>
          <t>3810334776</t>
        </is>
      </c>
      <c r="E7029" s="13" t="inlineStr">
        <is>
          <t>ЮЛ РФ</t>
        </is>
      </c>
      <c r="F7029" s="13" t="n"/>
      <c r="G7029" s="52" t="n">
        <v>1</v>
      </c>
      <c r="H7029" s="52" t="n">
        <v>2025</v>
      </c>
      <c r="I7029" s="14" t="n"/>
      <c r="J7029" s="14" t="n"/>
      <c r="K7029" s="53" t="inlineStr">
        <is>
          <t>Нет</t>
        </is>
      </c>
      <c r="L7029" s="53" t="inlineStr">
        <is>
          <t>Не определено</t>
        </is>
      </c>
      <c r="M7029" s="53" t="inlineStr">
        <is>
          <t>До 10</t>
        </is>
      </c>
      <c r="N7029" s="54" t="n">
        <v>3360</v>
      </c>
      <c r="O7029" s="55" t="inlineStr">
        <is>
          <t>1–15</t>
        </is>
      </c>
      <c r="P7029" s="16" t="inlineStr">
        <is>
          <t>ССЧР обогащена; ОКВЭД не найден/не загружен</t>
        </is>
      </c>
      <c r="Q7029" s="16" t="inlineStr">
        <is>
          <t>ФНС открытые данные ССЧР (ДатаСост 31.12.2025; набор 7707329152-sshr2019)</t>
        </is>
      </c>
      <c r="R7029" s="16">
        <f>HYPERLINK("https://checko.ru/search?query=3801001629","Чекко: проверить")</f>
        <v/>
      </c>
      <c r="S7029" t="n">
        <v>1</v>
      </c>
      <c r="T7029" s="35" t="inlineStr">
        <is>
          <t>4 — Не обогащён</t>
        </is>
      </c>
      <c r="U7029" s="35" t="inlineStr">
        <is>
          <t>Нет ОКВЭД/ССЧР</t>
        </is>
      </c>
      <c r="V7029" s="35" t="inlineStr">
        <is>
          <t>Не определено</t>
        </is>
      </c>
      <c r="W7029" s="35" t="inlineStr">
        <is>
          <t>Нет</t>
        </is>
      </c>
      <c r="X7029" s="35" t="inlineStr"/>
    </row>
    <row r="7030" ht="41.25" customHeight="1" s="24">
      <c r="A7030" s="13" t="inlineStr">
        <is>
          <t>FR444084</t>
        </is>
      </c>
      <c r="B7030" s="13" t="inlineStr">
        <is>
          <t>АВТОНОМНАЯ НЕКОММЕРЧЕСКАЯ ОРГАНИЗАЦИЯ "ОРЕНБУРГСКИЙ ХОККЕЙНЫЙ КЛУБ "ЛОКОМОТИВ"</t>
        </is>
      </c>
      <c r="C7030" s="13" t="n">
        <v>5610217349</v>
      </c>
      <c r="D7030" s="13" t="inlineStr">
        <is>
          <t>5610217349</t>
        </is>
      </c>
      <c r="E7030" s="13" t="inlineStr">
        <is>
          <t>ЮЛ РФ</t>
        </is>
      </c>
      <c r="F7030" s="13" t="n"/>
      <c r="G7030" s="14" t="n"/>
      <c r="H7030" s="14" t="n"/>
      <c r="I7030" s="14" t="n"/>
      <c r="J7030" s="14" t="n"/>
      <c r="K7030" s="53" t="inlineStr"/>
      <c r="L7030" s="53" t="inlineStr">
        <is>
          <t>Не определено</t>
        </is>
      </c>
      <c r="M7030" s="53" t="inlineStr"/>
      <c r="N7030" s="54" t="inlineStr"/>
      <c r="O7030" s="55" t="inlineStr"/>
      <c r="P7030" s="16" t="inlineStr">
        <is>
          <t>Требует обогащения</t>
        </is>
      </c>
      <c r="Q7030" s="16">
        <f>HYPERLINK("https://pb.nalog.ru/search.html?query=5610217349","ФНС: проверить")</f>
        <v/>
      </c>
      <c r="R7030" s="16">
        <f>HYPERLINK("https://checko.ru/search?query=3801001629","Чекко: проверить")</f>
        <v/>
      </c>
      <c r="S7030" t="n">
        <v>1</v>
      </c>
      <c r="T7030" s="35" t="inlineStr">
        <is>
          <t>4 — Не обогащён</t>
        </is>
      </c>
      <c r="U7030" s="35" t="inlineStr">
        <is>
          <t>Нет ОКВЭД/ССЧР</t>
        </is>
      </c>
      <c r="V7030" s="35" t="inlineStr">
        <is>
          <t>Не определено</t>
        </is>
      </c>
      <c r="W7030" s="35" t="inlineStr"/>
      <c r="X7030" s="35" t="inlineStr"/>
    </row>
    <row r="7031" ht="41.25" customHeight="1" s="24">
      <c r="A7031" s="13" t="inlineStr">
        <is>
          <t>FR444113</t>
        </is>
      </c>
      <c r="B7031" s="13" t="inlineStr">
        <is>
          <t>ОРЕНБУРГСКАЯ РЕГИОНАЛЬНАЯ ОБЩЕСТВЕННАЯ ФИЗКУЛЬТУРНО-СПОРТИВНАЯ ОРГАНИЗАЦИЯ ИНВАЛИДОВ "СЛЕДЖ-ХОККЕЙНЫ</t>
        </is>
      </c>
      <c r="C7031" s="13" t="n">
        <v>5610148617</v>
      </c>
      <c r="D7031" s="13" t="inlineStr">
        <is>
          <t>5610148617</t>
        </is>
      </c>
      <c r="E7031" s="13" t="inlineStr">
        <is>
          <t>ЮЛ РФ</t>
        </is>
      </c>
      <c r="F7031" s="13" t="n"/>
      <c r="G7031" s="14" t="n"/>
      <c r="H7031" s="14" t="n"/>
      <c r="I7031" s="14" t="n"/>
      <c r="J7031" s="14" t="n"/>
      <c r="K7031" s="53" t="inlineStr"/>
      <c r="L7031" s="53" t="inlineStr">
        <is>
          <t>Не определено</t>
        </is>
      </c>
      <c r="M7031" s="53" t="inlineStr"/>
      <c r="N7031" s="54" t="inlineStr"/>
      <c r="O7031" s="55" t="inlineStr"/>
      <c r="P7031" s="16" t="inlineStr">
        <is>
          <t>Требует обогащения</t>
        </is>
      </c>
      <c r="Q7031" s="16">
        <f>HYPERLINK("https://pb.nalog.ru/search.html?query=5610148617","ФНС: проверить")</f>
        <v/>
      </c>
      <c r="R7031" s="16">
        <f>HYPERLINK("https://checko.ru/search?query=3801001629","Чекко: проверить")</f>
        <v/>
      </c>
      <c r="S7031" t="n">
        <v>1</v>
      </c>
      <c r="T7031" s="35" t="inlineStr">
        <is>
          <t>4 — Не обогащён</t>
        </is>
      </c>
      <c r="U7031" s="35" t="inlineStr">
        <is>
          <t>Нет ОКВЭД/ССЧР</t>
        </is>
      </c>
      <c r="V7031" s="35" t="inlineStr">
        <is>
          <t>Не определено</t>
        </is>
      </c>
      <c r="W7031" s="35" t="inlineStr"/>
      <c r="X7031" s="35" t="inlineStr"/>
    </row>
    <row r="7032" ht="15" customHeight="1" s="24">
      <c r="A7032" s="13" t="inlineStr">
        <is>
          <t>FR577919</t>
        </is>
      </c>
      <c r="B7032" s="13" t="inlineStr">
        <is>
          <t>ИП Захленюк Андрей Владимирович</t>
        </is>
      </c>
      <c r="C7032" s="13" t="n">
        <v>850300582307</v>
      </c>
      <c r="D7032" s="13" t="inlineStr">
        <is>
          <t>850300582307</t>
        </is>
      </c>
      <c r="E7032" s="13" t="inlineStr">
        <is>
          <t>ИП РФ / физлицо</t>
        </is>
      </c>
      <c r="F7032" s="13" t="n"/>
      <c r="G7032" s="14" t="n"/>
      <c r="H7032" s="14" t="n"/>
      <c r="I7032" s="14" t="n"/>
      <c r="J7032" s="14" t="n"/>
      <c r="K7032" s="53" t="inlineStr"/>
      <c r="L7032" s="53" t="inlineStr">
        <is>
          <t>Не определено</t>
        </is>
      </c>
      <c r="M7032" s="53" t="inlineStr"/>
      <c r="N7032" s="54" t="inlineStr"/>
      <c r="O7032" s="55" t="inlineStr"/>
      <c r="P7032" s="16" t="inlineStr">
        <is>
          <t>Требует обогащения</t>
        </is>
      </c>
      <c r="Q7032" s="16">
        <f>HYPERLINK("https://pb.nalog.ru/search.html?query=850300582307","ФНС: проверить")</f>
        <v/>
      </c>
      <c r="R7032" s="16">
        <f>HYPERLINK("https://checko.ru/search?query=3801001629","Чекко: проверить")</f>
        <v/>
      </c>
      <c r="S7032" t="n">
        <v>1</v>
      </c>
      <c r="T7032" s="35" t="inlineStr">
        <is>
          <t>4 — Не обогащён</t>
        </is>
      </c>
      <c r="U7032" s="35" t="inlineStr">
        <is>
          <t>Нет ОКВЭД/ССЧР</t>
        </is>
      </c>
      <c r="V7032" s="35" t="inlineStr">
        <is>
          <t>Не определено</t>
        </is>
      </c>
      <c r="W7032" s="35" t="inlineStr"/>
      <c r="X7032" s="35" t="inlineStr"/>
    </row>
    <row r="7033" ht="27.75" customHeight="1" s="24">
      <c r="A7033" s="13" t="inlineStr">
        <is>
          <t>FR730838</t>
        </is>
      </c>
      <c r="B7033" s="13" t="inlineStr">
        <is>
          <t>Общество с ограниченной ответственностью "РЕАЛ"</t>
        </is>
      </c>
      <c r="C7033" s="13" t="n">
        <v>3827055065</v>
      </c>
      <c r="D7033" s="13" t="inlineStr">
        <is>
          <t>3827055065</t>
        </is>
      </c>
      <c r="E7033" s="13" t="inlineStr">
        <is>
          <t>ЮЛ РФ</t>
        </is>
      </c>
      <c r="F7033" s="13" t="n"/>
      <c r="G7033" s="52" t="n">
        <v>1</v>
      </c>
      <c r="H7033" s="52" t="n">
        <v>2025</v>
      </c>
      <c r="I7033" s="14" t="n"/>
      <c r="J7033" s="14" t="n"/>
      <c r="K7033" s="53" t="inlineStr">
        <is>
          <t>Нет</t>
        </is>
      </c>
      <c r="L7033" s="53" t="inlineStr">
        <is>
          <t>Не определено</t>
        </is>
      </c>
      <c r="M7033" s="53" t="inlineStr">
        <is>
          <t>До 10</t>
        </is>
      </c>
      <c r="N7033" s="54" t="n">
        <v>3360</v>
      </c>
      <c r="O7033" s="55" t="inlineStr">
        <is>
          <t>1–15</t>
        </is>
      </c>
      <c r="P7033" s="16" t="inlineStr">
        <is>
          <t>ССЧР обогащена; ОКВЭД не найден/не загружен</t>
        </is>
      </c>
      <c r="Q7033" s="16" t="inlineStr">
        <is>
          <t>ФНС открытые данные ССЧР (ДатаСост 31.12.2025; набор 7707329152-sshr2019)</t>
        </is>
      </c>
      <c r="R7033" s="16">
        <f>HYPERLINK("https://checko.ru/search?query=3801001629","Чекко: проверить")</f>
        <v/>
      </c>
      <c r="S7033" t="n">
        <v>1</v>
      </c>
      <c r="T7033" s="35" t="inlineStr">
        <is>
          <t>4 — Не обогащён</t>
        </is>
      </c>
      <c r="U7033" s="35" t="inlineStr">
        <is>
          <t>Нет ОКВЭД/ССЧР</t>
        </is>
      </c>
      <c r="V7033" s="35" t="inlineStr">
        <is>
          <t>Не определено</t>
        </is>
      </c>
      <c r="W7033" s="35" t="inlineStr">
        <is>
          <t>Нет</t>
        </is>
      </c>
      <c r="X7033" s="35" t="inlineStr"/>
    </row>
    <row r="7034" ht="15" customHeight="1" s="24">
      <c r="A7034" s="13" t="inlineStr">
        <is>
          <t>FR1279540</t>
        </is>
      </c>
      <c r="B7034" s="13" t="inlineStr">
        <is>
          <t>ИП Салахов Марат Инсафович</t>
        </is>
      </c>
      <c r="C7034" s="13" t="n">
        <v>780624842230</v>
      </c>
      <c r="D7034" s="13" t="inlineStr">
        <is>
          <t>780624842230</t>
        </is>
      </c>
      <c r="E7034" s="13" t="inlineStr">
        <is>
          <t>ИП РФ / физлицо</t>
        </is>
      </c>
      <c r="F7034" s="13" t="n"/>
      <c r="G7034" s="14" t="n"/>
      <c r="H7034" s="14" t="n"/>
      <c r="I7034" s="14" t="n"/>
      <c r="J7034" s="14" t="n"/>
      <c r="K7034" s="53" t="inlineStr"/>
      <c r="L7034" s="53" t="inlineStr">
        <is>
          <t>Не определено</t>
        </is>
      </c>
      <c r="M7034" s="53" t="inlineStr"/>
      <c r="N7034" s="54" t="inlineStr"/>
      <c r="O7034" s="55" t="inlineStr"/>
      <c r="P7034" s="16" t="inlineStr">
        <is>
          <t>Требует обогащения</t>
        </is>
      </c>
      <c r="Q7034" s="16">
        <f>HYPERLINK("https://pb.nalog.ru/search.html?query=780624842230","ФНС: проверить")</f>
        <v/>
      </c>
      <c r="R7034" s="16">
        <f>HYPERLINK("https://checko.ru/search?query=3801001629","Чекко: проверить")</f>
        <v/>
      </c>
      <c r="S7034" t="n">
        <v>1</v>
      </c>
      <c r="T7034" s="35" t="inlineStr">
        <is>
          <t>4 — Не обогащён</t>
        </is>
      </c>
      <c r="U7034" s="35" t="inlineStr">
        <is>
          <t>Нет ОКВЭД/ССЧР</t>
        </is>
      </c>
      <c r="V7034" s="35" t="inlineStr">
        <is>
          <t>Не определено</t>
        </is>
      </c>
      <c r="W7034" s="35" t="inlineStr"/>
      <c r="X7034" s="35" t="inlineStr"/>
    </row>
    <row r="7035" ht="41.25" customHeight="1" s="24">
      <c r="A7035" s="13" t="inlineStr">
        <is>
          <t>FR719153</t>
        </is>
      </c>
      <c r="B7035" s="13" t="inlineStr">
        <is>
          <t>Общество с ограниченной ответственностью "ИНСТИТУТ АРХИТЕКТУРНО-ГРАДОСТРОИТЕЛЬНОГО ПРОЕКТИРОВАНИЯ"</t>
        </is>
      </c>
      <c r="C7035" s="13" t="n">
        <v>3812156141</v>
      </c>
      <c r="D7035" s="13" t="inlineStr">
        <is>
          <t>3812156141</t>
        </is>
      </c>
      <c r="E7035" s="13" t="inlineStr">
        <is>
          <t>ЮЛ РФ</t>
        </is>
      </c>
      <c r="F7035" s="13" t="n"/>
      <c r="G7035" s="52" t="n">
        <v>8</v>
      </c>
      <c r="H7035" s="52" t="n">
        <v>2025</v>
      </c>
      <c r="I7035" s="14" t="n"/>
      <c r="J7035" s="14" t="n"/>
      <c r="K7035" s="53" t="inlineStr">
        <is>
          <t>Нет</t>
        </is>
      </c>
      <c r="L7035" s="53" t="inlineStr">
        <is>
          <t>Не определено</t>
        </is>
      </c>
      <c r="M7035" s="53" t="inlineStr">
        <is>
          <t>До 10</t>
        </is>
      </c>
      <c r="N7035" s="54" t="n">
        <v>3360</v>
      </c>
      <c r="O7035" s="55" t="inlineStr">
        <is>
          <t>1–15</t>
        </is>
      </c>
      <c r="P7035" s="16" t="inlineStr">
        <is>
          <t>ССЧР обогащена; ОКВЭД не найден/не загружен</t>
        </is>
      </c>
      <c r="Q7035" s="16" t="inlineStr">
        <is>
          <t>ФНС открытые данные ССЧР (ДатаСост 31.12.2025; набор 7707329152-sshr2019)</t>
        </is>
      </c>
      <c r="R7035" s="16">
        <f>HYPERLINK("https://checko.ru/search?query=3801001629","Чекко: проверить")</f>
        <v/>
      </c>
      <c r="S7035" t="n">
        <v>1</v>
      </c>
      <c r="T7035" s="35" t="inlineStr">
        <is>
          <t>4 — Не обогащён</t>
        </is>
      </c>
      <c r="U7035" s="35" t="inlineStr">
        <is>
          <t>Нет ОКВЭД/ССЧР</t>
        </is>
      </c>
      <c r="V7035" s="35" t="inlineStr">
        <is>
          <t>Не определено</t>
        </is>
      </c>
      <c r="W7035" s="35" t="inlineStr">
        <is>
          <t>Нет</t>
        </is>
      </c>
      <c r="X7035" s="35" t="inlineStr"/>
    </row>
    <row r="7036" ht="15" customHeight="1" s="24">
      <c r="A7036" s="13" t="inlineStr">
        <is>
          <t>FR1087055</t>
        </is>
      </c>
      <c r="B7036" s="13" t="inlineStr">
        <is>
          <t>Общество с ограниченной ответственностью "500"</t>
        </is>
      </c>
      <c r="C7036" s="13" t="n">
        <v>3805733856</v>
      </c>
      <c r="D7036" s="13" t="inlineStr">
        <is>
          <t>3805733856</t>
        </is>
      </c>
      <c r="E7036" s="13" t="inlineStr">
        <is>
          <t>ЮЛ РФ</t>
        </is>
      </c>
      <c r="F7036" s="13" t="n"/>
      <c r="G7036" s="52" t="n">
        <v>2</v>
      </c>
      <c r="H7036" s="52" t="n">
        <v>2025</v>
      </c>
      <c r="I7036" s="14" t="n"/>
      <c r="J7036" s="14" t="n"/>
      <c r="K7036" s="53" t="inlineStr">
        <is>
          <t>Нет</t>
        </is>
      </c>
      <c r="L7036" s="53" t="inlineStr">
        <is>
          <t>Не определено</t>
        </is>
      </c>
      <c r="M7036" s="53" t="inlineStr">
        <is>
          <t>До 10</t>
        </is>
      </c>
      <c r="N7036" s="54" t="n">
        <v>3360</v>
      </c>
      <c r="O7036" s="55" t="inlineStr">
        <is>
          <t>1–15</t>
        </is>
      </c>
      <c r="P7036" s="16" t="inlineStr">
        <is>
          <t>ССЧР обогащена; ОКВЭД не найден/не загружен</t>
        </is>
      </c>
      <c r="Q7036" s="16" t="inlineStr">
        <is>
          <t>ФНС открытые данные ССЧР (ДатаСост 31.12.2025; набор 7707329152-sshr2019)</t>
        </is>
      </c>
      <c r="R7036" s="16">
        <f>HYPERLINK("https://checko.ru/search?query=3801001629","Чекко: проверить")</f>
        <v/>
      </c>
      <c r="S7036" t="n">
        <v>1</v>
      </c>
      <c r="T7036" s="35" t="inlineStr">
        <is>
          <t>4 — Не обогащён</t>
        </is>
      </c>
      <c r="U7036" s="35" t="inlineStr">
        <is>
          <t>Нет ОКВЭД/ССЧР</t>
        </is>
      </c>
      <c r="V7036" s="35" t="inlineStr">
        <is>
          <t>Не определено</t>
        </is>
      </c>
      <c r="W7036" s="35" t="inlineStr">
        <is>
          <t>Нет</t>
        </is>
      </c>
      <c r="X7036" s="35" t="inlineStr"/>
    </row>
    <row r="7037" ht="15" customHeight="1" s="24">
      <c r="A7037" s="13" t="inlineStr">
        <is>
          <t>FR1084721</t>
        </is>
      </c>
      <c r="B7037" s="13" t="inlineStr">
        <is>
          <t>ИП Сорокин Андрей Михайлович</t>
        </is>
      </c>
      <c r="C7037" s="13" t="n">
        <v>540905010935</v>
      </c>
      <c r="D7037" s="13" t="inlineStr">
        <is>
          <t>540905010935</t>
        </is>
      </c>
      <c r="E7037" s="13" t="inlineStr">
        <is>
          <t>ИП РФ / физлицо</t>
        </is>
      </c>
      <c r="F7037" s="13" t="n"/>
      <c r="G7037" s="14" t="n"/>
      <c r="H7037" s="14" t="n"/>
      <c r="I7037" s="14" t="n"/>
      <c r="J7037" s="14" t="n"/>
      <c r="K7037" s="53" t="inlineStr"/>
      <c r="L7037" s="53" t="inlineStr">
        <is>
          <t>Не определено</t>
        </is>
      </c>
      <c r="M7037" s="53" t="inlineStr"/>
      <c r="N7037" s="54" t="inlineStr"/>
      <c r="O7037" s="55" t="inlineStr"/>
      <c r="P7037" s="16" t="inlineStr">
        <is>
          <t>Требует обогащения</t>
        </is>
      </c>
      <c r="Q7037" s="16">
        <f>HYPERLINK("https://pb.nalog.ru/search.html?query=540905010935","ФНС: проверить")</f>
        <v/>
      </c>
      <c r="R7037" s="16">
        <f>HYPERLINK("https://checko.ru/search?query=3801001629","Чекко: проверить")</f>
        <v/>
      </c>
      <c r="S7037" t="n">
        <v>1</v>
      </c>
      <c r="T7037" s="35" t="inlineStr">
        <is>
          <t>4 — Не обогащён</t>
        </is>
      </c>
      <c r="U7037" s="35" t="inlineStr">
        <is>
          <t>Нет ОКВЭД/ССЧР</t>
        </is>
      </c>
      <c r="V7037" s="35" t="inlineStr">
        <is>
          <t>Не определено</t>
        </is>
      </c>
      <c r="W7037" s="35" t="inlineStr"/>
      <c r="X7037" s="35" t="inlineStr"/>
    </row>
    <row r="7038" ht="15" customHeight="1" s="24">
      <c r="A7038" s="13" t="inlineStr">
        <is>
          <t>FR889862</t>
        </is>
      </c>
      <c r="B7038" s="13" t="inlineStr">
        <is>
          <t>ЛАЙТ-ДЕНТ ООО</t>
        </is>
      </c>
      <c r="C7038" s="13" t="n">
        <v>3812125697</v>
      </c>
      <c r="D7038" s="13" t="inlineStr">
        <is>
          <t>3812125697</t>
        </is>
      </c>
      <c r="E7038" s="13" t="inlineStr">
        <is>
          <t>ЮЛ РФ</t>
        </is>
      </c>
      <c r="F7038" s="13" t="n"/>
      <c r="G7038" s="52" t="n">
        <v>1</v>
      </c>
      <c r="H7038" s="52" t="n">
        <v>2025</v>
      </c>
      <c r="I7038" s="14" t="n"/>
      <c r="J7038" s="14" t="n"/>
      <c r="K7038" s="53" t="inlineStr">
        <is>
          <t>Нет</t>
        </is>
      </c>
      <c r="L7038" s="53" t="inlineStr">
        <is>
          <t>Не определено</t>
        </is>
      </c>
      <c r="M7038" s="53" t="inlineStr">
        <is>
          <t>До 10</t>
        </is>
      </c>
      <c r="N7038" s="54" t="n">
        <v>3360</v>
      </c>
      <c r="O7038" s="55" t="inlineStr">
        <is>
          <t>1–15</t>
        </is>
      </c>
      <c r="P7038" s="16" t="inlineStr">
        <is>
          <t>ССЧР обогащена; ОКВЭД не найден/не загружен</t>
        </is>
      </c>
      <c r="Q7038" s="16" t="inlineStr">
        <is>
          <t>ФНС открытые данные ССЧР (ДатаСост 31.12.2025; набор 7707329152-sshr2019)</t>
        </is>
      </c>
      <c r="R7038" s="16">
        <f>HYPERLINK("https://checko.ru/search?query=3801001629","Чекко: проверить")</f>
        <v/>
      </c>
      <c r="S7038" t="n">
        <v>1</v>
      </c>
      <c r="T7038" s="35" t="inlineStr">
        <is>
          <t>4 — Не обогащён</t>
        </is>
      </c>
      <c r="U7038" s="35" t="inlineStr">
        <is>
          <t>Нет ОКВЭД/ССЧР</t>
        </is>
      </c>
      <c r="V7038" s="35" t="inlineStr">
        <is>
          <t>Не определено</t>
        </is>
      </c>
      <c r="W7038" s="35" t="inlineStr">
        <is>
          <t>Нет</t>
        </is>
      </c>
      <c r="X7038" s="35" t="inlineStr"/>
    </row>
    <row r="7039" ht="15" customHeight="1" s="24">
      <c r="A7039" s="13" t="inlineStr">
        <is>
          <t>FR891759</t>
        </is>
      </c>
      <c r="B7039" s="13" t="inlineStr">
        <is>
          <t>ИП Сизиков Александр Сергеевич</t>
        </is>
      </c>
      <c r="C7039" s="13" t="n">
        <v>752302146811</v>
      </c>
      <c r="D7039" s="13" t="inlineStr">
        <is>
          <t>752302146811</t>
        </is>
      </c>
      <c r="E7039" s="13" t="inlineStr">
        <is>
          <t>ИП РФ / физлицо</t>
        </is>
      </c>
      <c r="F7039" s="13" t="n"/>
      <c r="G7039" s="14" t="n"/>
      <c r="H7039" s="14" t="n"/>
      <c r="I7039" s="14" t="n"/>
      <c r="J7039" s="14" t="n"/>
      <c r="K7039" s="53" t="inlineStr"/>
      <c r="L7039" s="53" t="inlineStr">
        <is>
          <t>Не определено</t>
        </is>
      </c>
      <c r="M7039" s="53" t="inlineStr"/>
      <c r="N7039" s="54" t="inlineStr"/>
      <c r="O7039" s="55" t="inlineStr"/>
      <c r="P7039" s="16" t="inlineStr">
        <is>
          <t>Требует обогащения</t>
        </is>
      </c>
      <c r="Q7039" s="16">
        <f>HYPERLINK("https://pb.nalog.ru/search.html?query=752302146811","ФНС: проверить")</f>
        <v/>
      </c>
      <c r="R7039" s="16">
        <f>HYPERLINK("https://checko.ru/search?query=3801001629","Чекко: проверить")</f>
        <v/>
      </c>
      <c r="S7039" t="n">
        <v>1</v>
      </c>
      <c r="T7039" s="35" t="inlineStr">
        <is>
          <t>4 — Не обогащён</t>
        </is>
      </c>
      <c r="U7039" s="35" t="inlineStr">
        <is>
          <t>Нет ОКВЭД/ССЧР</t>
        </is>
      </c>
      <c r="V7039" s="35" t="inlineStr">
        <is>
          <t>Не определено</t>
        </is>
      </c>
      <c r="W7039" s="35" t="inlineStr"/>
      <c r="X7039" s="35" t="inlineStr"/>
    </row>
    <row r="7040" ht="15" customHeight="1" s="24">
      <c r="A7040" s="13" t="inlineStr">
        <is>
          <t>FR204943</t>
        </is>
      </c>
      <c r="B7040" s="13" t="inlineStr">
        <is>
          <t>ООО "УСТЬ-УДИНСКИЙ РЫБЗАВОД"</t>
        </is>
      </c>
      <c r="C7040" s="13" t="n">
        <v>3814012988</v>
      </c>
      <c r="D7040" s="13" t="inlineStr">
        <is>
          <t>3814012988</t>
        </is>
      </c>
      <c r="E7040" s="13" t="inlineStr">
        <is>
          <t>ЮЛ РФ</t>
        </is>
      </c>
      <c r="F7040" s="13" t="n"/>
      <c r="G7040" s="52" t="n">
        <v>5</v>
      </c>
      <c r="H7040" s="52" t="n">
        <v>2025</v>
      </c>
      <c r="I7040" s="14" t="n"/>
      <c r="J7040" s="14" t="n"/>
      <c r="K7040" s="53" t="inlineStr">
        <is>
          <t>Нет</t>
        </is>
      </c>
      <c r="L7040" s="53" t="inlineStr">
        <is>
          <t>Не определено</t>
        </is>
      </c>
      <c r="M7040" s="53" t="inlineStr">
        <is>
          <t>До 10</t>
        </is>
      </c>
      <c r="N7040" s="54" t="n">
        <v>3360</v>
      </c>
      <c r="O7040" s="55" t="inlineStr">
        <is>
          <t>1–15</t>
        </is>
      </c>
      <c r="P7040" s="16" t="inlineStr">
        <is>
          <t>ССЧР обогащена; ОКВЭД не найден/не загружен</t>
        </is>
      </c>
      <c r="Q7040" s="16" t="inlineStr">
        <is>
          <t>ФНС открытые данные ССЧР (ДатаСост 31.12.2025; набор 7707329152-sshr2019)</t>
        </is>
      </c>
      <c r="R7040" s="16">
        <f>HYPERLINK("https://checko.ru/search?query=3801001629","Чекко: проверить")</f>
        <v/>
      </c>
      <c r="S7040" t="n">
        <v>1</v>
      </c>
      <c r="T7040" s="35" t="inlineStr">
        <is>
          <t>4 — Не обогащён</t>
        </is>
      </c>
      <c r="U7040" s="35" t="inlineStr">
        <is>
          <t>Нет ОКВЭД/ССЧР</t>
        </is>
      </c>
      <c r="V7040" s="35" t="inlineStr">
        <is>
          <t>Не определено</t>
        </is>
      </c>
      <c r="W7040" s="35" t="inlineStr">
        <is>
          <t>Нет</t>
        </is>
      </c>
      <c r="X7040" s="35" t="inlineStr"/>
    </row>
    <row r="7041" ht="15" customHeight="1" s="24">
      <c r="A7041" s="13" t="inlineStr">
        <is>
          <t>FR1279764</t>
        </is>
      </c>
      <c r="B7041" s="13" t="inlineStr">
        <is>
          <t>ИП Колганова Ольга Витальевна</t>
        </is>
      </c>
      <c r="C7041" s="13" t="n">
        <v>383000003729</v>
      </c>
      <c r="D7041" s="13" t="inlineStr">
        <is>
          <t>383000003729</t>
        </is>
      </c>
      <c r="E7041" s="13" t="inlineStr">
        <is>
          <t>ИП РФ / физлицо</t>
        </is>
      </c>
      <c r="F7041" s="13" t="n"/>
      <c r="G7041" s="14" t="n"/>
      <c r="H7041" s="14" t="n"/>
      <c r="I7041" s="14" t="n"/>
      <c r="J7041" s="14" t="n"/>
      <c r="K7041" s="53" t="inlineStr"/>
      <c r="L7041" s="53" t="inlineStr">
        <is>
          <t>Не определено</t>
        </is>
      </c>
      <c r="M7041" s="53" t="inlineStr"/>
      <c r="N7041" s="54" t="inlineStr"/>
      <c r="O7041" s="55" t="inlineStr"/>
      <c r="P7041" s="16" t="inlineStr">
        <is>
          <t>Требует обогащения</t>
        </is>
      </c>
      <c r="Q7041" s="16">
        <f>HYPERLINK("https://pb.nalog.ru/search.html?query=383000003729","ФНС: проверить")</f>
        <v/>
      </c>
      <c r="R7041" s="16">
        <f>HYPERLINK("https://checko.ru/search?query=3801001629","Чекко: проверить")</f>
        <v/>
      </c>
      <c r="S7041" t="n">
        <v>1</v>
      </c>
      <c r="T7041" s="35" t="inlineStr">
        <is>
          <t>4 — Не обогащён</t>
        </is>
      </c>
      <c r="U7041" s="35" t="inlineStr">
        <is>
          <t>Нет ОКВЭД/ССЧР</t>
        </is>
      </c>
      <c r="V7041" s="35" t="inlineStr">
        <is>
          <t>Не определено</t>
        </is>
      </c>
      <c r="W7041" s="35" t="inlineStr"/>
      <c r="X7041" s="35" t="inlineStr"/>
    </row>
    <row r="7042" ht="27.75" customHeight="1" s="24">
      <c r="A7042" s="13" t="inlineStr">
        <is>
          <t>FR1099371</t>
        </is>
      </c>
      <c r="B7042" s="13" t="inlineStr">
        <is>
          <t>Общество с ограниченной ответственностью "КОНСТРУКТИВ-ЛОГИСТИК"</t>
        </is>
      </c>
      <c r="C7042" s="13" t="n">
        <v>7719590249</v>
      </c>
      <c r="D7042" s="13" t="inlineStr">
        <is>
          <t>7719590249</t>
        </is>
      </c>
      <c r="E7042" s="13" t="inlineStr">
        <is>
          <t>ЮЛ РФ</t>
        </is>
      </c>
      <c r="F7042" s="13" t="n"/>
      <c r="G7042" s="52" t="n">
        <v>0</v>
      </c>
      <c r="H7042" s="52" t="n">
        <v>2025</v>
      </c>
      <c r="I7042" s="14" t="n"/>
      <c r="J7042" s="14" t="n"/>
      <c r="K7042" s="53" t="inlineStr">
        <is>
          <t>Нет</t>
        </is>
      </c>
      <c r="L7042" s="53" t="inlineStr">
        <is>
          <t>Не определено</t>
        </is>
      </c>
      <c r="M7042" s="53" t="inlineStr">
        <is>
          <t>До 10</t>
        </is>
      </c>
      <c r="N7042" s="54" t="n">
        <v>3360</v>
      </c>
      <c r="O7042" s="55" t="inlineStr">
        <is>
          <t>1–15</t>
        </is>
      </c>
      <c r="P7042" s="16" t="inlineStr">
        <is>
          <t>ССЧР обогащена; ОКВЭД не найден/не загружен</t>
        </is>
      </c>
      <c r="Q7042" s="16" t="inlineStr">
        <is>
          <t>ФНС открытые данные ССЧР (ДатаСост 31.12.2025; набор 7707329152-sshr2019)</t>
        </is>
      </c>
      <c r="R7042" s="16">
        <f>HYPERLINK("https://checko.ru/search?query=3801001629","Чекко: проверить")</f>
        <v/>
      </c>
      <c r="S7042" t="n">
        <v>1</v>
      </c>
      <c r="T7042" s="35" t="inlineStr">
        <is>
          <t>4 — Не обогащён</t>
        </is>
      </c>
      <c r="U7042" s="35" t="inlineStr">
        <is>
          <t>Нет ОКВЭД/ССЧР</t>
        </is>
      </c>
      <c r="V7042" s="35" t="inlineStr">
        <is>
          <t>Не определено</t>
        </is>
      </c>
      <c r="W7042" s="35" t="inlineStr">
        <is>
          <t>Нет</t>
        </is>
      </c>
      <c r="X7042" s="35" t="inlineStr"/>
    </row>
    <row r="7043" ht="27.75" customHeight="1" s="24">
      <c r="A7043" s="13" t="inlineStr">
        <is>
          <t>FR1281524</t>
        </is>
      </c>
      <c r="B7043" s="13" t="inlineStr">
        <is>
          <t>Общество с ограниченной ответственностью "АЛЬ-БАРАКА"</t>
        </is>
      </c>
      <c r="C7043" s="13" t="n">
        <v>3812533311</v>
      </c>
      <c r="D7043" s="13" t="inlineStr">
        <is>
          <t>3812533311</t>
        </is>
      </c>
      <c r="E7043" s="13" t="inlineStr">
        <is>
          <t>ЮЛ РФ</t>
        </is>
      </c>
      <c r="F7043" s="13" t="n"/>
      <c r="G7043" s="52" t="n">
        <v>2</v>
      </c>
      <c r="H7043" s="52" t="n">
        <v>2025</v>
      </c>
      <c r="I7043" s="14" t="n"/>
      <c r="J7043" s="14" t="n"/>
      <c r="K7043" s="53" t="inlineStr">
        <is>
          <t>Нет</t>
        </is>
      </c>
      <c r="L7043" s="53" t="inlineStr">
        <is>
          <t>Не определено</t>
        </is>
      </c>
      <c r="M7043" s="53" t="inlineStr">
        <is>
          <t>До 10</t>
        </is>
      </c>
      <c r="N7043" s="54" t="n">
        <v>3360</v>
      </c>
      <c r="O7043" s="55" t="inlineStr">
        <is>
          <t>1–15</t>
        </is>
      </c>
      <c r="P7043" s="16" t="inlineStr">
        <is>
          <t>ССЧР обогащена; ОКВЭД не найден/не загружен</t>
        </is>
      </c>
      <c r="Q7043" s="16" t="inlineStr">
        <is>
          <t>ФНС открытые данные ССЧР (ДатаСост 31.12.2025; набор 7707329152-sshr2019)</t>
        </is>
      </c>
      <c r="R7043" s="16">
        <f>HYPERLINK("https://checko.ru/search?query=3801001629","Чекко: проверить")</f>
        <v/>
      </c>
      <c r="S7043" t="n">
        <v>1</v>
      </c>
      <c r="T7043" s="35" t="inlineStr">
        <is>
          <t>4 — Не обогащён</t>
        </is>
      </c>
      <c r="U7043" s="35" t="inlineStr">
        <is>
          <t>Нет ОКВЭД/ССЧР</t>
        </is>
      </c>
      <c r="V7043" s="35" t="inlineStr">
        <is>
          <t>Не определено</t>
        </is>
      </c>
      <c r="W7043" s="35" t="inlineStr">
        <is>
          <t>Нет</t>
        </is>
      </c>
      <c r="X7043" s="35" t="inlineStr"/>
    </row>
    <row r="7044" ht="15" customHeight="1" s="24">
      <c r="A7044" s="13" t="inlineStr">
        <is>
          <t>FR1282898</t>
        </is>
      </c>
      <c r="B7044" s="13" t="inlineStr">
        <is>
          <t>ИП Цыганко Анастасия Владимировна</t>
        </is>
      </c>
      <c r="C7044" s="13" t="n">
        <v>280444885834</v>
      </c>
      <c r="D7044" s="13" t="inlineStr">
        <is>
          <t>280444885834</t>
        </is>
      </c>
      <c r="E7044" s="13" t="inlineStr">
        <is>
          <t>ИП РФ / физлицо</t>
        </is>
      </c>
      <c r="F7044" s="13" t="n"/>
      <c r="G7044" s="14" t="n"/>
      <c r="H7044" s="14" t="n"/>
      <c r="I7044" s="14" t="n"/>
      <c r="J7044" s="14" t="n"/>
      <c r="K7044" s="53" t="inlineStr"/>
      <c r="L7044" s="53" t="inlineStr">
        <is>
          <t>Не определено</t>
        </is>
      </c>
      <c r="M7044" s="53" t="inlineStr"/>
      <c r="N7044" s="54" t="inlineStr"/>
      <c r="O7044" s="55" t="inlineStr"/>
      <c r="P7044" s="16" t="inlineStr">
        <is>
          <t>Требует обогащения</t>
        </is>
      </c>
      <c r="Q7044" s="16">
        <f>HYPERLINK("https://pb.nalog.ru/search.html?query=280444885834","ФНС: проверить")</f>
        <v/>
      </c>
      <c r="R7044" s="16">
        <f>HYPERLINK("https://checko.ru/search?query=3801001629","Чекко: проверить")</f>
        <v/>
      </c>
      <c r="S7044" t="n">
        <v>1</v>
      </c>
      <c r="T7044" s="35" t="inlineStr">
        <is>
          <t>4 — Не обогащён</t>
        </is>
      </c>
      <c r="U7044" s="35" t="inlineStr">
        <is>
          <t>Нет ОКВЭД/ССЧР</t>
        </is>
      </c>
      <c r="V7044" s="35" t="inlineStr">
        <is>
          <t>Не определено</t>
        </is>
      </c>
      <c r="W7044" s="35" t="inlineStr"/>
      <c r="X7044" s="35" t="inlineStr"/>
    </row>
    <row r="7045" ht="15" customHeight="1" s="24">
      <c r="A7045" s="13" t="inlineStr">
        <is>
          <t>FR1282506</t>
        </is>
      </c>
      <c r="B7045" s="13" t="inlineStr">
        <is>
          <t>ИП ПЕРОВ НИКОЛАЙ АЛЕКСАНДРОВИЧ</t>
        </is>
      </c>
      <c r="C7045" s="13" t="n">
        <v>383400921307</v>
      </c>
      <c r="D7045" s="13" t="inlineStr">
        <is>
          <t>383400921307</t>
        </is>
      </c>
      <c r="E7045" s="13" t="inlineStr">
        <is>
          <t>ИП РФ / физлицо</t>
        </is>
      </c>
      <c r="F7045" s="13" t="n"/>
      <c r="G7045" s="14" t="n"/>
      <c r="H7045" s="14" t="n"/>
      <c r="I7045" s="14" t="n"/>
      <c r="J7045" s="14" t="n"/>
      <c r="K7045" s="53" t="inlineStr"/>
      <c r="L7045" s="53" t="inlineStr">
        <is>
          <t>Не определено</t>
        </is>
      </c>
      <c r="M7045" s="53" t="inlineStr"/>
      <c r="N7045" s="54" t="inlineStr"/>
      <c r="O7045" s="55" t="inlineStr"/>
      <c r="P7045" s="16" t="inlineStr">
        <is>
          <t>Требует обогащения</t>
        </is>
      </c>
      <c r="Q7045" s="16">
        <f>HYPERLINK("https://pb.nalog.ru/search.html?query=383400921307","ФНС: проверить")</f>
        <v/>
      </c>
      <c r="R7045" s="16">
        <f>HYPERLINK("https://checko.ru/search?query=3801001629","Чекко: проверить")</f>
        <v/>
      </c>
      <c r="S7045" t="n">
        <v>1</v>
      </c>
      <c r="T7045" s="35" t="inlineStr">
        <is>
          <t>4 — Не обогащён</t>
        </is>
      </c>
      <c r="U7045" s="35" t="inlineStr">
        <is>
          <t>Нет ОКВЭД/ССЧР</t>
        </is>
      </c>
      <c r="V7045" s="35" t="inlineStr">
        <is>
          <t>Не определено</t>
        </is>
      </c>
      <c r="W7045" s="35" t="inlineStr"/>
      <c r="X7045" s="35" t="inlineStr"/>
    </row>
    <row r="7046" ht="15" customHeight="1" s="24">
      <c r="A7046" s="13" t="inlineStr">
        <is>
          <t>FR1087846</t>
        </is>
      </c>
      <c r="B7046" s="13" t="inlineStr">
        <is>
          <t>ИП Лянник Александр Евгеньевич</t>
        </is>
      </c>
      <c r="C7046" s="13" t="n">
        <v>645504239430</v>
      </c>
      <c r="D7046" s="13" t="inlineStr">
        <is>
          <t>645504239430</t>
        </is>
      </c>
      <c r="E7046" s="13" t="inlineStr">
        <is>
          <t>ИП РФ / физлицо</t>
        </is>
      </c>
      <c r="F7046" s="13" t="n"/>
      <c r="G7046" s="14" t="n"/>
      <c r="H7046" s="14" t="n"/>
      <c r="I7046" s="14" t="n"/>
      <c r="J7046" s="14" t="n"/>
      <c r="K7046" s="53" t="inlineStr"/>
      <c r="L7046" s="53" t="inlineStr">
        <is>
          <t>Не определено</t>
        </is>
      </c>
      <c r="M7046" s="53" t="inlineStr"/>
      <c r="N7046" s="54" t="inlineStr"/>
      <c r="O7046" s="55" t="inlineStr"/>
      <c r="P7046" s="16" t="inlineStr">
        <is>
          <t>Требует обогащения</t>
        </is>
      </c>
      <c r="Q7046" s="16">
        <f>HYPERLINK("https://pb.nalog.ru/search.html?query=645504239430","ФНС: проверить")</f>
        <v/>
      </c>
      <c r="R7046" s="16">
        <f>HYPERLINK("https://checko.ru/search?query=3801001629","Чекко: проверить")</f>
        <v/>
      </c>
      <c r="S7046" t="n">
        <v>1</v>
      </c>
      <c r="T7046" s="35" t="inlineStr">
        <is>
          <t>4 — Не обогащён</t>
        </is>
      </c>
      <c r="U7046" s="35" t="inlineStr">
        <is>
          <t>Нет ОКВЭД/ССЧР</t>
        </is>
      </c>
      <c r="V7046" s="35" t="inlineStr">
        <is>
          <t>Не определено</t>
        </is>
      </c>
      <c r="W7046" s="35" t="inlineStr"/>
      <c r="X7046" s="35" t="inlineStr"/>
    </row>
    <row r="7047" ht="27.75" customHeight="1" s="24">
      <c r="A7047" s="13" t="inlineStr">
        <is>
          <t>FR1086970</t>
        </is>
      </c>
      <c r="B7047" s="13" t="inlineStr">
        <is>
          <t>ОБЩЕСТВО С ОГРАНИЧЕННОЙ ОТВЕТСТВЕННОСТЬЮ "ЛУПТАКОВ И ПАРТНЕРЫ"</t>
        </is>
      </c>
      <c r="C7047" s="13" t="n">
        <v>7100020589</v>
      </c>
      <c r="D7047" s="13" t="inlineStr">
        <is>
          <t>7100020589</t>
        </is>
      </c>
      <c r="E7047" s="13" t="inlineStr">
        <is>
          <t>ЮЛ РФ</t>
        </is>
      </c>
      <c r="F7047" s="13" t="n"/>
      <c r="G7047" s="52" t="n">
        <v>18</v>
      </c>
      <c r="H7047" s="52" t="n">
        <v>2025</v>
      </c>
      <c r="I7047" s="14" t="n"/>
      <c r="J7047" s="14" t="n"/>
      <c r="K7047" s="53" t="inlineStr">
        <is>
          <t>Нет</t>
        </is>
      </c>
      <c r="L7047" s="53" t="inlineStr">
        <is>
          <t>Не определено</t>
        </is>
      </c>
      <c r="M7047" s="53" t="inlineStr">
        <is>
          <t>До 25</t>
        </is>
      </c>
      <c r="N7047" s="54" t="n">
        <v>8400</v>
      </c>
      <c r="O7047" s="55" t="inlineStr">
        <is>
          <t>16–30</t>
        </is>
      </c>
      <c r="P7047" s="16" t="inlineStr">
        <is>
          <t>ССЧР обогащена; ОКВЭД не найден/не загружен</t>
        </is>
      </c>
      <c r="Q7047" s="16" t="inlineStr">
        <is>
          <t>ФНС открытые данные ССЧР (ДатаСост 31.12.2025; набор 7707329152-sshr2019)</t>
        </is>
      </c>
      <c r="R7047" s="16">
        <f>HYPERLINK("https://checko.ru/search?query=3801001629","Чекко: проверить")</f>
        <v/>
      </c>
      <c r="S7047" t="n">
        <v>1</v>
      </c>
      <c r="T7047" s="35" t="inlineStr">
        <is>
          <t>4 — Не обогащён</t>
        </is>
      </c>
      <c r="U7047" s="35" t="inlineStr">
        <is>
          <t>Нет ОКВЭД/ССЧР</t>
        </is>
      </c>
      <c r="V7047" s="35" t="inlineStr">
        <is>
          <t>Не определено</t>
        </is>
      </c>
      <c r="W7047" s="35" t="inlineStr">
        <is>
          <t>Нет</t>
        </is>
      </c>
      <c r="X7047" s="35" t="inlineStr"/>
    </row>
    <row r="7048" ht="15" customHeight="1" s="24">
      <c r="A7048" s="13" t="inlineStr">
        <is>
          <t>FR731803</t>
        </is>
      </c>
      <c r="B7048" s="13" t="inlineStr">
        <is>
          <t>ИП Кочнев Никита Игоревич</t>
        </is>
      </c>
      <c r="C7048" s="13" t="n">
        <v>380507629148</v>
      </c>
      <c r="D7048" s="13" t="inlineStr">
        <is>
          <t>380507629148</t>
        </is>
      </c>
      <c r="E7048" s="13" t="inlineStr">
        <is>
          <t>ИП РФ / физлицо</t>
        </is>
      </c>
      <c r="F7048" s="13" t="n"/>
      <c r="G7048" s="14" t="n"/>
      <c r="H7048" s="14" t="n"/>
      <c r="I7048" s="14" t="n"/>
      <c r="J7048" s="14" t="n"/>
      <c r="K7048" s="53" t="inlineStr"/>
      <c r="L7048" s="53" t="inlineStr">
        <is>
          <t>Не определено</t>
        </is>
      </c>
      <c r="M7048" s="53" t="inlineStr"/>
      <c r="N7048" s="54" t="inlineStr"/>
      <c r="O7048" s="55" t="inlineStr"/>
      <c r="P7048" s="16" t="inlineStr">
        <is>
          <t>Требует обогащения</t>
        </is>
      </c>
      <c r="Q7048" s="16">
        <f>HYPERLINK("https://pb.nalog.ru/search.html?query=380507629148","ФНС: проверить")</f>
        <v/>
      </c>
      <c r="R7048" s="16">
        <f>HYPERLINK("https://checko.ru/search?query=3801001629","Чекко: проверить")</f>
        <v/>
      </c>
      <c r="S7048" t="n">
        <v>1</v>
      </c>
      <c r="T7048" s="35" t="inlineStr">
        <is>
          <t>4 — Не обогащён</t>
        </is>
      </c>
      <c r="U7048" s="35" t="inlineStr">
        <is>
          <t>Нет ОКВЭД/ССЧР</t>
        </is>
      </c>
      <c r="V7048" s="35" t="inlineStr">
        <is>
          <t>Не определено</t>
        </is>
      </c>
      <c r="W7048" s="35" t="inlineStr"/>
      <c r="X7048" s="35" t="inlineStr"/>
    </row>
    <row r="7049" ht="27.75" customHeight="1" s="24">
      <c r="A7049" s="13" t="inlineStr">
        <is>
          <t>FR587237</t>
        </is>
      </c>
      <c r="B7049" s="13" t="inlineStr">
        <is>
          <t>Общество с ограниченной ответственностью "ЭКОЗАЩИТА СИБИРИ"</t>
        </is>
      </c>
      <c r="C7049" s="13" t="n">
        <v>3808232463</v>
      </c>
      <c r="D7049" s="13" t="inlineStr">
        <is>
          <t>3808232463</t>
        </is>
      </c>
      <c r="E7049" s="13" t="inlineStr">
        <is>
          <t>ЮЛ РФ</t>
        </is>
      </c>
      <c r="F7049" s="13" t="n"/>
      <c r="G7049" s="52" t="n">
        <v>8</v>
      </c>
      <c r="H7049" s="52" t="n">
        <v>2025</v>
      </c>
      <c r="I7049" s="14" t="n"/>
      <c r="J7049" s="14" t="n"/>
      <c r="K7049" s="53" t="inlineStr">
        <is>
          <t>Нет</t>
        </is>
      </c>
      <c r="L7049" s="53" t="inlineStr">
        <is>
          <t>Не определено</t>
        </is>
      </c>
      <c r="M7049" s="53" t="inlineStr">
        <is>
          <t>До 10</t>
        </is>
      </c>
      <c r="N7049" s="54" t="n">
        <v>3360</v>
      </c>
      <c r="O7049" s="55" t="inlineStr">
        <is>
          <t>1–15</t>
        </is>
      </c>
      <c r="P7049" s="16" t="inlineStr">
        <is>
          <t>ССЧР обогащена; ОКВЭД не найден/не загружен</t>
        </is>
      </c>
      <c r="Q7049" s="16" t="inlineStr">
        <is>
          <t>ФНС открытые данные ССЧР (ДатаСост 31.12.2025; набор 7707329152-sshr2019)</t>
        </is>
      </c>
      <c r="R7049" s="16">
        <f>HYPERLINK("https://checko.ru/search?query=3801001629","Чекко: проверить")</f>
        <v/>
      </c>
      <c r="S7049" t="n">
        <v>1</v>
      </c>
      <c r="T7049" s="35" t="inlineStr">
        <is>
          <t>4 — Не обогащён</t>
        </is>
      </c>
      <c r="U7049" s="35" t="inlineStr">
        <is>
          <t>Нет ОКВЭД/ССЧР</t>
        </is>
      </c>
      <c r="V7049" s="35" t="inlineStr">
        <is>
          <t>Не определено</t>
        </is>
      </c>
      <c r="W7049" s="35" t="inlineStr">
        <is>
          <t>Нет</t>
        </is>
      </c>
      <c r="X7049" s="35" t="inlineStr"/>
    </row>
    <row r="7050" ht="15" customHeight="1" s="24">
      <c r="A7050" s="13" t="inlineStr">
        <is>
          <t>FR732893</t>
        </is>
      </c>
      <c r="B7050" s="13" t="inlineStr">
        <is>
          <t>КРОСС ООО</t>
        </is>
      </c>
      <c r="C7050" s="13" t="n">
        <v>3810076910</v>
      </c>
      <c r="D7050" s="13" t="inlineStr">
        <is>
          <t>3810076910</t>
        </is>
      </c>
      <c r="E7050" s="13" t="inlineStr">
        <is>
          <t>ЮЛ РФ</t>
        </is>
      </c>
      <c r="F7050" s="13" t="n"/>
      <c r="G7050" s="52" t="n">
        <v>1</v>
      </c>
      <c r="H7050" s="52" t="n">
        <v>2025</v>
      </c>
      <c r="I7050" s="14" t="n"/>
      <c r="J7050" s="14" t="n"/>
      <c r="K7050" s="53" t="inlineStr">
        <is>
          <t>Нет</t>
        </is>
      </c>
      <c r="L7050" s="53" t="inlineStr">
        <is>
          <t>Не определено</t>
        </is>
      </c>
      <c r="M7050" s="53" t="inlineStr">
        <is>
          <t>До 10</t>
        </is>
      </c>
      <c r="N7050" s="54" t="n">
        <v>3360</v>
      </c>
      <c r="O7050" s="55" t="inlineStr">
        <is>
          <t>1–15</t>
        </is>
      </c>
      <c r="P7050" s="16" t="inlineStr">
        <is>
          <t>ССЧР обогащена; ОКВЭД не найден/не загружен</t>
        </is>
      </c>
      <c r="Q7050" s="16" t="inlineStr">
        <is>
          <t>ФНС открытые данные ССЧР (ДатаСост 31.12.2025; набор 7707329152-sshr2019)</t>
        </is>
      </c>
      <c r="R7050" s="16">
        <f>HYPERLINK("https://checko.ru/search?query=3801001629","Чекко: проверить")</f>
        <v/>
      </c>
      <c r="S7050" t="n">
        <v>1</v>
      </c>
      <c r="T7050" s="35" t="inlineStr">
        <is>
          <t>4 — Не обогащён</t>
        </is>
      </c>
      <c r="U7050" s="35" t="inlineStr">
        <is>
          <t>Нет ОКВЭД/ССЧР</t>
        </is>
      </c>
      <c r="V7050" s="35" t="inlineStr">
        <is>
          <t>Не определено</t>
        </is>
      </c>
      <c r="W7050" s="35" t="inlineStr">
        <is>
          <t>Нет</t>
        </is>
      </c>
      <c r="X7050" s="35" t="inlineStr"/>
    </row>
    <row r="7051" ht="15" customHeight="1" s="24">
      <c r="A7051" s="13" t="inlineStr">
        <is>
          <t>FR14889</t>
        </is>
      </c>
      <c r="B7051" s="13" t="inlineStr">
        <is>
          <t>ООО "БайкалСтройИнвест"</t>
        </is>
      </c>
      <c r="C7051" s="13" t="n">
        <v>3836003289</v>
      </c>
      <c r="D7051" s="13" t="inlineStr">
        <is>
          <t>3836003289</t>
        </is>
      </c>
      <c r="E7051" s="13" t="inlineStr">
        <is>
          <t>ЮЛ РФ</t>
        </is>
      </c>
      <c r="F7051" s="13" t="n"/>
      <c r="G7051" s="52" t="n">
        <v>5</v>
      </c>
      <c r="H7051" s="52" t="n">
        <v>2025</v>
      </c>
      <c r="I7051" s="14" t="n"/>
      <c r="J7051" s="14" t="n"/>
      <c r="K7051" s="53" t="inlineStr">
        <is>
          <t>Нет</t>
        </is>
      </c>
      <c r="L7051" s="53" t="inlineStr">
        <is>
          <t>Не определено</t>
        </is>
      </c>
      <c r="M7051" s="53" t="inlineStr">
        <is>
          <t>До 10</t>
        </is>
      </c>
      <c r="N7051" s="54" t="n">
        <v>3360</v>
      </c>
      <c r="O7051" s="55" t="inlineStr">
        <is>
          <t>1–15</t>
        </is>
      </c>
      <c r="P7051" s="16" t="inlineStr">
        <is>
          <t>ССЧР обогащена; ОКВЭД не найден/не загружен</t>
        </is>
      </c>
      <c r="Q7051" s="16" t="inlineStr">
        <is>
          <t>ФНС открытые данные ССЧР (ДатаСост 31.12.2025; набор 7707329152-sshr2019)</t>
        </is>
      </c>
      <c r="R7051" s="16">
        <f>HYPERLINK("https://checko.ru/search?query=3801001629","Чекко: проверить")</f>
        <v/>
      </c>
      <c r="S7051" t="n">
        <v>1</v>
      </c>
      <c r="T7051" s="35" t="inlineStr">
        <is>
          <t>4 — Не обогащён</t>
        </is>
      </c>
      <c r="U7051" s="35" t="inlineStr">
        <is>
          <t>Нет ОКВЭД/ССЧР</t>
        </is>
      </c>
      <c r="V7051" s="35" t="inlineStr">
        <is>
          <t>Не определено</t>
        </is>
      </c>
      <c r="W7051" s="35" t="inlineStr">
        <is>
          <t>Нет</t>
        </is>
      </c>
      <c r="X7051" s="35" t="inlineStr"/>
    </row>
    <row r="7052" ht="15" customHeight="1" s="24">
      <c r="A7052" s="13" t="inlineStr">
        <is>
          <t>FR211167</t>
        </is>
      </c>
      <c r="B7052" s="13" t="inlineStr">
        <is>
          <t>НЕБО МАЙНИНГ</t>
        </is>
      </c>
      <c r="C7052" s="13" t="n">
        <v>3810340836</v>
      </c>
      <c r="D7052" s="13" t="inlineStr">
        <is>
          <t>3810340836</t>
        </is>
      </c>
      <c r="E7052" s="13" t="inlineStr">
        <is>
          <t>ЮЛ РФ</t>
        </is>
      </c>
      <c r="F7052" s="13" t="n"/>
      <c r="G7052" s="52" t="n">
        <v>9</v>
      </c>
      <c r="H7052" s="52" t="n">
        <v>2025</v>
      </c>
      <c r="I7052" s="14" t="n"/>
      <c r="J7052" s="14" t="n"/>
      <c r="K7052" s="53" t="inlineStr">
        <is>
          <t>Нет</t>
        </is>
      </c>
      <c r="L7052" s="53" t="inlineStr">
        <is>
          <t>Не определено</t>
        </is>
      </c>
      <c r="M7052" s="53" t="inlineStr">
        <is>
          <t>До 10</t>
        </is>
      </c>
      <c r="N7052" s="54" t="n">
        <v>3360</v>
      </c>
      <c r="O7052" s="55" t="inlineStr">
        <is>
          <t>1–15</t>
        </is>
      </c>
      <c r="P7052" s="16" t="inlineStr">
        <is>
          <t>ССЧР обогащена; ОКВЭД не найден/не загружен</t>
        </is>
      </c>
      <c r="Q7052" s="16" t="inlineStr">
        <is>
          <t>ФНС открытые данные ССЧР (ДатаСост 31.12.2025; набор 7707329152-sshr2019)</t>
        </is>
      </c>
      <c r="R7052" s="16">
        <f>HYPERLINK("https://checko.ru/search?query=3801001629","Чекко: проверить")</f>
        <v/>
      </c>
      <c r="S7052" t="n">
        <v>1</v>
      </c>
      <c r="T7052" s="35" t="inlineStr">
        <is>
          <t>4 — Не обогащён</t>
        </is>
      </c>
      <c r="U7052" s="35" t="inlineStr">
        <is>
          <t>Нет ОКВЭД/ССЧР</t>
        </is>
      </c>
      <c r="V7052" s="35" t="inlineStr">
        <is>
          <t>Не определено</t>
        </is>
      </c>
      <c r="W7052" s="35" t="inlineStr">
        <is>
          <t>Нет</t>
        </is>
      </c>
      <c r="X7052" s="35" t="inlineStr"/>
    </row>
    <row r="7053" ht="41.25" customHeight="1" s="24">
      <c r="A7053" s="13" t="inlineStr">
        <is>
          <t>FR444130</t>
        </is>
      </c>
      <c r="B7053" s="13" t="inlineStr">
        <is>
          <t>ОБЩЕСТВО С ОГРАНИЧЕННОЙ ОТВЕТСТВЕННОСТЬЮ МЕДИЦИНСКИЙ ЦЕНТР "КОНСИЛИУМ"</t>
        </is>
      </c>
      <c r="C7053" s="13" t="n">
        <v>5609089565</v>
      </c>
      <c r="D7053" s="13" t="inlineStr">
        <is>
          <t>5609089565</t>
        </is>
      </c>
      <c r="E7053" s="13" t="inlineStr">
        <is>
          <t>ЮЛ РФ</t>
        </is>
      </c>
      <c r="F7053" s="13" t="n"/>
      <c r="G7053" s="52" t="n">
        <v>8</v>
      </c>
      <c r="H7053" s="52" t="n">
        <v>2025</v>
      </c>
      <c r="I7053" s="14" t="n"/>
      <c r="J7053" s="14" t="n"/>
      <c r="K7053" s="53" t="inlineStr">
        <is>
          <t>Нет</t>
        </is>
      </c>
      <c r="L7053" s="53" t="inlineStr">
        <is>
          <t>Не определено</t>
        </is>
      </c>
      <c r="M7053" s="53" t="inlineStr">
        <is>
          <t>До 10</t>
        </is>
      </c>
      <c r="N7053" s="54" t="n">
        <v>3360</v>
      </c>
      <c r="O7053" s="55" t="inlineStr">
        <is>
          <t>1–15</t>
        </is>
      </c>
      <c r="P7053" s="16" t="inlineStr">
        <is>
          <t>ССЧР обогащена; ОКВЭД не найден/не загружен</t>
        </is>
      </c>
      <c r="Q7053" s="16" t="inlineStr">
        <is>
          <t>ФНС открытые данные ССЧР (ДатаСост 31.12.2025; набор 7707329152-sshr2019)</t>
        </is>
      </c>
      <c r="R7053" s="16">
        <f>HYPERLINK("https://checko.ru/search?query=3801001629","Чекко: проверить")</f>
        <v/>
      </c>
      <c r="S7053" t="n">
        <v>1</v>
      </c>
      <c r="T7053" s="35" t="inlineStr">
        <is>
          <t>4 — Не обогащён</t>
        </is>
      </c>
      <c r="U7053" s="35" t="inlineStr">
        <is>
          <t>Нет ОКВЭД/ССЧР</t>
        </is>
      </c>
      <c r="V7053" s="35" t="inlineStr">
        <is>
          <t>Не определено</t>
        </is>
      </c>
      <c r="W7053" s="35" t="inlineStr">
        <is>
          <t>Нет</t>
        </is>
      </c>
      <c r="X7053" s="35" t="inlineStr"/>
    </row>
    <row r="7054" ht="15" customHeight="1" s="24">
      <c r="A7054" s="13" t="inlineStr">
        <is>
          <t>FR468711</t>
        </is>
      </c>
      <c r="B7054" s="13" t="inlineStr">
        <is>
          <t>ИП Синицын Сергей Николаевич</t>
        </is>
      </c>
      <c r="C7054" s="13" t="n">
        <v>290503881090</v>
      </c>
      <c r="D7054" s="13" t="inlineStr">
        <is>
          <t>290503881090</t>
        </is>
      </c>
      <c r="E7054" s="13" t="inlineStr">
        <is>
          <t>ИП РФ / физлицо</t>
        </is>
      </c>
      <c r="F7054" s="13" t="n"/>
      <c r="G7054" s="14" t="n"/>
      <c r="H7054" s="14" t="n"/>
      <c r="I7054" s="14" t="n"/>
      <c r="J7054" s="14" t="n"/>
      <c r="K7054" s="53" t="inlineStr"/>
      <c r="L7054" s="53" t="inlineStr">
        <is>
          <t>Не определено</t>
        </is>
      </c>
      <c r="M7054" s="53" t="inlineStr"/>
      <c r="N7054" s="54" t="inlineStr"/>
      <c r="O7054" s="55" t="inlineStr"/>
      <c r="P7054" s="16" t="inlineStr">
        <is>
          <t>Требует обогащения</t>
        </is>
      </c>
      <c r="Q7054" s="16">
        <f>HYPERLINK("https://pb.nalog.ru/search.html?query=290503881090","ФНС: проверить")</f>
        <v/>
      </c>
      <c r="R7054" s="16">
        <f>HYPERLINK("https://checko.ru/search?query=3801001629","Чекко: проверить")</f>
        <v/>
      </c>
      <c r="S7054" t="n">
        <v>1</v>
      </c>
      <c r="T7054" s="35" t="inlineStr">
        <is>
          <t>4 — Не обогащён</t>
        </is>
      </c>
      <c r="U7054" s="35" t="inlineStr">
        <is>
          <t>Нет ОКВЭД/ССЧР</t>
        </is>
      </c>
      <c r="V7054" s="35" t="inlineStr">
        <is>
          <t>Не определено</t>
        </is>
      </c>
      <c r="W7054" s="35" t="inlineStr"/>
      <c r="X7054" s="35" t="inlineStr"/>
    </row>
    <row r="7055" ht="27.75" customHeight="1" s="24">
      <c r="A7055" s="13" t="inlineStr">
        <is>
          <t>FR1283910</t>
        </is>
      </c>
      <c r="B7055" s="13" t="inlineStr">
        <is>
          <t>Общество с ограниченной ответственностью "РУСКАМЕНЬ"</t>
        </is>
      </c>
      <c r="C7055" s="13" t="n">
        <v>3816037843</v>
      </c>
      <c r="D7055" s="13" t="inlineStr">
        <is>
          <t>3816037843</t>
        </is>
      </c>
      <c r="E7055" s="13" t="inlineStr">
        <is>
          <t>ЮЛ РФ</t>
        </is>
      </c>
      <c r="F7055" s="13" t="n"/>
      <c r="G7055" s="52" t="n">
        <v>2</v>
      </c>
      <c r="H7055" s="52" t="n">
        <v>2025</v>
      </c>
      <c r="I7055" s="14" t="n"/>
      <c r="J7055" s="14" t="n"/>
      <c r="K7055" s="53" t="inlineStr">
        <is>
          <t>Нет</t>
        </is>
      </c>
      <c r="L7055" s="53" t="inlineStr">
        <is>
          <t>Не определено</t>
        </is>
      </c>
      <c r="M7055" s="53" t="inlineStr">
        <is>
          <t>До 10</t>
        </is>
      </c>
      <c r="N7055" s="54" t="n">
        <v>3360</v>
      </c>
      <c r="O7055" s="55" t="inlineStr">
        <is>
          <t>1–15</t>
        </is>
      </c>
      <c r="P7055" s="16" t="inlineStr">
        <is>
          <t>ССЧР обогащена; ОКВЭД не найден/не загружен</t>
        </is>
      </c>
      <c r="Q7055" s="16" t="inlineStr">
        <is>
          <t>ФНС открытые данные ССЧР (ДатаСост 31.12.2025; набор 7707329152-sshr2019)</t>
        </is>
      </c>
      <c r="R7055" s="16">
        <f>HYPERLINK("https://checko.ru/search?query=3801001629","Чекко: проверить")</f>
        <v/>
      </c>
      <c r="S7055" t="n">
        <v>1</v>
      </c>
      <c r="T7055" s="35" t="inlineStr">
        <is>
          <t>4 — Не обогащён</t>
        </is>
      </c>
      <c r="U7055" s="35" t="inlineStr">
        <is>
          <t>Нет ОКВЭД/ССЧР</t>
        </is>
      </c>
      <c r="V7055" s="35" t="inlineStr">
        <is>
          <t>Не определено</t>
        </is>
      </c>
      <c r="W7055" s="35" t="inlineStr">
        <is>
          <t>Нет</t>
        </is>
      </c>
      <c r="X7055" s="35" t="inlineStr"/>
    </row>
    <row r="7056" ht="27.75" customHeight="1" s="24">
      <c r="A7056" s="13" t="inlineStr">
        <is>
          <t>FR1282419</t>
        </is>
      </c>
      <c r="B7056" s="13" t="inlineStr">
        <is>
          <t>Общество с ограниченной ответственностью "БАЙКАЛБИЗНЕСКОМ"</t>
        </is>
      </c>
      <c r="C7056" s="13" t="n">
        <v>3849110873</v>
      </c>
      <c r="D7056" s="13" t="inlineStr">
        <is>
          <t>3849110873</t>
        </is>
      </c>
      <c r="E7056" s="13" t="inlineStr">
        <is>
          <t>ЮЛ РФ</t>
        </is>
      </c>
      <c r="F7056" s="13" t="n"/>
      <c r="G7056" s="14" t="n"/>
      <c r="H7056" s="14" t="n"/>
      <c r="I7056" s="14" t="n"/>
      <c r="J7056" s="14" t="n"/>
      <c r="K7056" s="53" t="inlineStr"/>
      <c r="L7056" s="53" t="inlineStr">
        <is>
          <t>Не определено</t>
        </is>
      </c>
      <c r="M7056" s="53" t="inlineStr"/>
      <c r="N7056" s="54" t="inlineStr"/>
      <c r="O7056" s="55" t="inlineStr"/>
      <c r="P7056" s="16" t="inlineStr">
        <is>
          <t>Требует обогащения</t>
        </is>
      </c>
      <c r="Q7056" s="16">
        <f>HYPERLINK("https://pb.nalog.ru/search.html?query=3849110873","ФНС: проверить")</f>
        <v/>
      </c>
      <c r="R7056" s="16">
        <f>HYPERLINK("https://checko.ru/search?query=3801001629","Чекко: проверить")</f>
        <v/>
      </c>
      <c r="S7056" t="n">
        <v>1</v>
      </c>
      <c r="T7056" s="35" t="inlineStr">
        <is>
          <t>4 — Не обогащён</t>
        </is>
      </c>
      <c r="U7056" s="35" t="inlineStr">
        <is>
          <t>Нет ОКВЭД/ССЧР</t>
        </is>
      </c>
      <c r="V7056" s="35" t="inlineStr">
        <is>
          <t>Не определено</t>
        </is>
      </c>
      <c r="W7056" s="35" t="inlineStr"/>
      <c r="X7056" s="35" t="inlineStr"/>
    </row>
    <row r="7057" ht="15" customHeight="1" s="24">
      <c r="A7057" s="13" t="inlineStr">
        <is>
          <t>FR4292</t>
        </is>
      </c>
      <c r="B7057" s="13" t="inlineStr">
        <is>
          <t>Центр пожарного оборудования «Пламя»</t>
        </is>
      </c>
      <c r="C7057" s="13" t="n">
        <v>3811166965</v>
      </c>
      <c r="D7057" s="13" t="inlineStr">
        <is>
          <t>3811166965</t>
        </is>
      </c>
      <c r="E7057" s="13" t="inlineStr">
        <is>
          <t>ЮЛ РФ</t>
        </is>
      </c>
      <c r="F7057" s="13" t="n"/>
      <c r="G7057" s="52" t="n">
        <v>4</v>
      </c>
      <c r="H7057" s="52" t="n">
        <v>2025</v>
      </c>
      <c r="I7057" s="14" t="n"/>
      <c r="J7057" s="14" t="n"/>
      <c r="K7057" s="53" t="inlineStr">
        <is>
          <t>Нет</t>
        </is>
      </c>
      <c r="L7057" s="53" t="inlineStr">
        <is>
          <t>Не определено</t>
        </is>
      </c>
      <c r="M7057" s="53" t="inlineStr">
        <is>
          <t>До 10</t>
        </is>
      </c>
      <c r="N7057" s="54" t="n">
        <v>3360</v>
      </c>
      <c r="O7057" s="55" t="inlineStr">
        <is>
          <t>1–15</t>
        </is>
      </c>
      <c r="P7057" s="16" t="inlineStr">
        <is>
          <t>ССЧР обогащена; ОКВЭД не найден/не загружен</t>
        </is>
      </c>
      <c r="Q7057" s="16" t="inlineStr">
        <is>
          <t>ФНС открытые данные ССЧР (ДатаСост 31.12.2025; набор 7707329152-sshr2019)</t>
        </is>
      </c>
      <c r="R7057" s="16">
        <f>HYPERLINK("https://checko.ru/search?query=3801001629","Чекко: проверить")</f>
        <v/>
      </c>
      <c r="S7057" t="n">
        <v>1</v>
      </c>
      <c r="T7057" s="35" t="inlineStr">
        <is>
          <t>4 — Не обогащён</t>
        </is>
      </c>
      <c r="U7057" s="35" t="inlineStr">
        <is>
          <t>Нет ОКВЭД/ССЧР</t>
        </is>
      </c>
      <c r="V7057" s="35" t="inlineStr">
        <is>
          <t>Не определено</t>
        </is>
      </c>
      <c r="W7057" s="35" t="inlineStr">
        <is>
          <t>Нет</t>
        </is>
      </c>
      <c r="X7057" s="35" t="inlineStr"/>
    </row>
    <row r="7058" ht="15" customHeight="1" s="24">
      <c r="A7058" s="13" t="inlineStr">
        <is>
          <t>FR55665</t>
        </is>
      </c>
      <c r="B7058" s="13" t="inlineStr">
        <is>
          <t>ИП Васильев Иван Иванович</t>
        </is>
      </c>
      <c r="C7058" s="13" t="n">
        <v>272012862354</v>
      </c>
      <c r="D7058" s="13" t="inlineStr">
        <is>
          <t>272012862354</t>
        </is>
      </c>
      <c r="E7058" s="13" t="inlineStr">
        <is>
          <t>ИП РФ / физлицо</t>
        </is>
      </c>
      <c r="F7058" s="13" t="n"/>
      <c r="G7058" s="14" t="n"/>
      <c r="H7058" s="14" t="n"/>
      <c r="I7058" s="14" t="n"/>
      <c r="J7058" s="14" t="n"/>
      <c r="K7058" s="53" t="inlineStr"/>
      <c r="L7058" s="53" t="inlineStr">
        <is>
          <t>Не определено</t>
        </is>
      </c>
      <c r="M7058" s="53" t="inlineStr"/>
      <c r="N7058" s="54" t="inlineStr"/>
      <c r="O7058" s="55" t="inlineStr"/>
      <c r="P7058" s="16" t="inlineStr">
        <is>
          <t>Требует обогащения</t>
        </is>
      </c>
      <c r="Q7058" s="16">
        <f>HYPERLINK("https://pb.nalog.ru/search.html?query=272012862354","ФНС: проверить")</f>
        <v/>
      </c>
      <c r="R7058" s="16">
        <f>HYPERLINK("https://checko.ru/search?query=3801001629","Чекко: проверить")</f>
        <v/>
      </c>
      <c r="S7058" t="n">
        <v>1</v>
      </c>
      <c r="T7058" s="35" t="inlineStr">
        <is>
          <t>4 — Не обогащён</t>
        </is>
      </c>
      <c r="U7058" s="35" t="inlineStr">
        <is>
          <t>Нет ОКВЭД/ССЧР</t>
        </is>
      </c>
      <c r="V7058" s="35" t="inlineStr">
        <is>
          <t>Не определено</t>
        </is>
      </c>
      <c r="W7058" s="35" t="inlineStr"/>
      <c r="X7058" s="35" t="inlineStr"/>
    </row>
    <row r="7059" ht="15" customHeight="1" s="24">
      <c r="A7059" s="13" t="inlineStr">
        <is>
          <t>FR892803</t>
        </is>
      </c>
      <c r="B7059" s="13" t="inlineStr">
        <is>
          <t>ИП Кукольщиков Руслан Александрович</t>
        </is>
      </c>
      <c r="C7059" s="13" t="n">
        <v>380431826168</v>
      </c>
      <c r="D7059" s="13" t="inlineStr">
        <is>
          <t>380431826168</t>
        </is>
      </c>
      <c r="E7059" s="13" t="inlineStr">
        <is>
          <t>ИП РФ / физлицо</t>
        </is>
      </c>
      <c r="F7059" s="13" t="n"/>
      <c r="G7059" s="14" t="n"/>
      <c r="H7059" s="14" t="n"/>
      <c r="I7059" s="14" t="n"/>
      <c r="J7059" s="14" t="n"/>
      <c r="K7059" s="53" t="inlineStr"/>
      <c r="L7059" s="53" t="inlineStr">
        <is>
          <t>Не определено</t>
        </is>
      </c>
      <c r="M7059" s="53" t="inlineStr"/>
      <c r="N7059" s="54" t="inlineStr"/>
      <c r="O7059" s="55" t="inlineStr"/>
      <c r="P7059" s="16" t="inlineStr">
        <is>
          <t>Требует обогащения</t>
        </is>
      </c>
      <c r="Q7059" s="16">
        <f>HYPERLINK("https://pb.nalog.ru/search.html?query=380431826168","ФНС: проверить")</f>
        <v/>
      </c>
      <c r="R7059" s="16">
        <f>HYPERLINK("https://checko.ru/search?query=3801001629","Чекко: проверить")</f>
        <v/>
      </c>
      <c r="S7059" t="n">
        <v>1</v>
      </c>
      <c r="T7059" s="35" t="inlineStr">
        <is>
          <t>4 — Не обогащён</t>
        </is>
      </c>
      <c r="U7059" s="35" t="inlineStr">
        <is>
          <t>Нет ОКВЭД/ССЧР</t>
        </is>
      </c>
      <c r="V7059" s="35" t="inlineStr">
        <is>
          <t>Не определено</t>
        </is>
      </c>
      <c r="W7059" s="35" t="inlineStr"/>
      <c r="X7059" s="35" t="inlineStr"/>
    </row>
    <row r="7060" ht="15" customHeight="1" s="24">
      <c r="A7060" s="13" t="inlineStr">
        <is>
          <t>FR894318</t>
        </is>
      </c>
      <c r="B7060" s="13" t="inlineStr">
        <is>
          <t>ИП Михайлов Дмитрий Максимович</t>
        </is>
      </c>
      <c r="C7060" s="13" t="n">
        <v>380416928831</v>
      </c>
      <c r="D7060" s="13" t="inlineStr">
        <is>
          <t>380416928831</t>
        </is>
      </c>
      <c r="E7060" s="13" t="inlineStr">
        <is>
          <t>ИП РФ / физлицо</t>
        </is>
      </c>
      <c r="F7060" s="13" t="n"/>
      <c r="G7060" s="14" t="n"/>
      <c r="H7060" s="14" t="n"/>
      <c r="I7060" s="14" t="n"/>
      <c r="J7060" s="14" t="n"/>
      <c r="K7060" s="53" t="inlineStr"/>
      <c r="L7060" s="53" t="inlineStr">
        <is>
          <t>Не определено</t>
        </is>
      </c>
      <c r="M7060" s="53" t="inlineStr"/>
      <c r="N7060" s="54" t="inlineStr"/>
      <c r="O7060" s="55" t="inlineStr"/>
      <c r="P7060" s="16" t="inlineStr">
        <is>
          <t>Требует обогащения</t>
        </is>
      </c>
      <c r="Q7060" s="16">
        <f>HYPERLINK("https://pb.nalog.ru/search.html?query=380416928831","ФНС: проверить")</f>
        <v/>
      </c>
      <c r="R7060" s="16">
        <f>HYPERLINK("https://checko.ru/search?query=3801001629","Чекко: проверить")</f>
        <v/>
      </c>
      <c r="S7060" t="n">
        <v>1</v>
      </c>
      <c r="T7060" s="35" t="inlineStr">
        <is>
          <t>4 — Не обогащён</t>
        </is>
      </c>
      <c r="U7060" s="35" t="inlineStr">
        <is>
          <t>Нет ОКВЭД/ССЧР</t>
        </is>
      </c>
      <c r="V7060" s="35" t="inlineStr">
        <is>
          <t>Не определено</t>
        </is>
      </c>
      <c r="W7060" s="35" t="inlineStr"/>
      <c r="X7060" s="35" t="inlineStr"/>
    </row>
    <row r="7061" ht="27.75" customHeight="1" s="24">
      <c r="A7061" s="13" t="inlineStr">
        <is>
          <t>FR734060</t>
        </is>
      </c>
      <c r="B7061" s="13" t="inlineStr">
        <is>
          <t>Общество с ограниченной ответственностью "СТРОЙТЕХСИБИРЬ"</t>
        </is>
      </c>
      <c r="C7061" s="13" t="n">
        <v>3812994016</v>
      </c>
      <c r="D7061" s="13" t="inlineStr">
        <is>
          <t>3812994016</t>
        </is>
      </c>
      <c r="E7061" s="13" t="inlineStr">
        <is>
          <t>ЮЛ РФ</t>
        </is>
      </c>
      <c r="F7061" s="13" t="n"/>
      <c r="G7061" s="52" t="n">
        <v>1</v>
      </c>
      <c r="H7061" s="52" t="n">
        <v>2025</v>
      </c>
      <c r="I7061" s="14" t="n"/>
      <c r="J7061" s="14" t="n"/>
      <c r="K7061" s="53" t="inlineStr">
        <is>
          <t>Нет</t>
        </is>
      </c>
      <c r="L7061" s="53" t="inlineStr">
        <is>
          <t>Не определено</t>
        </is>
      </c>
      <c r="M7061" s="53" t="inlineStr">
        <is>
          <t>До 10</t>
        </is>
      </c>
      <c r="N7061" s="54" t="n">
        <v>3360</v>
      </c>
      <c r="O7061" s="55" t="inlineStr">
        <is>
          <t>1–15</t>
        </is>
      </c>
      <c r="P7061" s="16" t="inlineStr">
        <is>
          <t>ССЧР обогащена; ОКВЭД не найден/не загружен</t>
        </is>
      </c>
      <c r="Q7061" s="16" t="inlineStr">
        <is>
          <t>ФНС открытые данные ССЧР (ДатаСост 31.12.2025; набор 7707329152-sshr2019)</t>
        </is>
      </c>
      <c r="R7061" s="16">
        <f>HYPERLINK("https://checko.ru/search?query=3801001629","Чекко: проверить")</f>
        <v/>
      </c>
      <c r="S7061" t="n">
        <v>1</v>
      </c>
      <c r="T7061" s="35" t="inlineStr">
        <is>
          <t>4 — Не обогащён</t>
        </is>
      </c>
      <c r="U7061" s="35" t="inlineStr">
        <is>
          <t>Нет ОКВЭД/ССЧР</t>
        </is>
      </c>
      <c r="V7061" s="35" t="inlineStr">
        <is>
          <t>Не определено</t>
        </is>
      </c>
      <c r="W7061" s="35" t="inlineStr">
        <is>
          <t>Нет</t>
        </is>
      </c>
      <c r="X7061" s="35" t="inlineStr"/>
    </row>
    <row r="7062" ht="15" customHeight="1" s="24">
      <c r="A7062" s="13" t="inlineStr">
        <is>
          <t>FR1088116</t>
        </is>
      </c>
      <c r="B7062" s="13" t="inlineStr">
        <is>
          <t>ИП Зайкова Елизавета Анатольевна</t>
        </is>
      </c>
      <c r="C7062" s="13" t="n">
        <v>383700274410</v>
      </c>
      <c r="D7062" s="13" t="inlineStr">
        <is>
          <t>383700274410</t>
        </is>
      </c>
      <c r="E7062" s="13" t="inlineStr">
        <is>
          <t>ИП РФ / физлицо</t>
        </is>
      </c>
      <c r="F7062" s="13" t="n"/>
      <c r="G7062" s="14" t="n"/>
      <c r="H7062" s="14" t="n"/>
      <c r="I7062" s="14" t="n"/>
      <c r="J7062" s="14" t="n"/>
      <c r="K7062" s="53" t="inlineStr"/>
      <c r="L7062" s="53" t="inlineStr">
        <is>
          <t>Не определено</t>
        </is>
      </c>
      <c r="M7062" s="53" t="inlineStr"/>
      <c r="N7062" s="54" t="inlineStr"/>
      <c r="O7062" s="55" t="inlineStr"/>
      <c r="P7062" s="16" t="inlineStr">
        <is>
          <t>Требует обогащения</t>
        </is>
      </c>
      <c r="Q7062" s="16">
        <f>HYPERLINK("https://pb.nalog.ru/search.html?query=383700274410","ФНС: проверить")</f>
        <v/>
      </c>
      <c r="R7062" s="16">
        <f>HYPERLINK("https://checko.ru/search?query=3801001629","Чекко: проверить")</f>
        <v/>
      </c>
      <c r="S7062" t="n">
        <v>1</v>
      </c>
      <c r="T7062" s="35" t="inlineStr">
        <is>
          <t>4 — Не обогащён</t>
        </is>
      </c>
      <c r="U7062" s="35" t="inlineStr">
        <is>
          <t>Нет ОКВЭД/ССЧР</t>
        </is>
      </c>
      <c r="V7062" s="35" t="inlineStr">
        <is>
          <t>Не определено</t>
        </is>
      </c>
      <c r="W7062" s="35" t="inlineStr"/>
      <c r="X7062" s="35" t="inlineStr"/>
    </row>
    <row r="7063" ht="15" customHeight="1" s="24">
      <c r="A7063" s="13" t="inlineStr">
        <is>
          <t>FR565690</t>
        </is>
      </c>
      <c r="B7063" s="13" t="inlineStr">
        <is>
          <t>ИП Орехов Алан Эдуардович</t>
        </is>
      </c>
      <c r="C7063" s="13" t="n">
        <v>591606595052</v>
      </c>
      <c r="D7063" s="13" t="inlineStr">
        <is>
          <t>591606595052</t>
        </is>
      </c>
      <c r="E7063" s="13" t="inlineStr">
        <is>
          <t>ИП РФ / физлицо</t>
        </is>
      </c>
      <c r="F7063" s="13" t="n"/>
      <c r="G7063" s="14" t="n"/>
      <c r="H7063" s="14" t="n"/>
      <c r="I7063" s="14" t="n"/>
      <c r="J7063" s="14" t="n"/>
      <c r="K7063" s="53" t="inlineStr"/>
      <c r="L7063" s="53" t="inlineStr">
        <is>
          <t>Не определено</t>
        </is>
      </c>
      <c r="M7063" s="53" t="inlineStr"/>
      <c r="N7063" s="54" t="inlineStr"/>
      <c r="O7063" s="55" t="inlineStr"/>
      <c r="P7063" s="16" t="inlineStr">
        <is>
          <t>Требует обогащения</t>
        </is>
      </c>
      <c r="Q7063" s="16">
        <f>HYPERLINK("https://pb.nalog.ru/search.html?query=591606595052","ФНС: проверить")</f>
        <v/>
      </c>
      <c r="R7063" s="16">
        <f>HYPERLINK("https://checko.ru/search?query=3801001629","Чекко: проверить")</f>
        <v/>
      </c>
      <c r="S7063" t="n">
        <v>1</v>
      </c>
      <c r="T7063" s="35" t="inlineStr">
        <is>
          <t>4 — Не обогащён</t>
        </is>
      </c>
      <c r="U7063" s="35" t="inlineStr">
        <is>
          <t>Нет ОКВЭД/ССЧР</t>
        </is>
      </c>
      <c r="V7063" s="35" t="inlineStr">
        <is>
          <t>Не определено</t>
        </is>
      </c>
      <c r="W7063" s="35" t="inlineStr"/>
      <c r="X7063" s="35" t="inlineStr"/>
    </row>
    <row r="7064" ht="15" customHeight="1" s="24">
      <c r="A7064" s="13" t="inlineStr">
        <is>
          <t>FR125100</t>
        </is>
      </c>
      <c r="B7064" s="13" t="inlineStr">
        <is>
          <t>ООО "ЭКСТЕР"</t>
        </is>
      </c>
      <c r="C7064" s="13" t="n">
        <v>7814167033</v>
      </c>
      <c r="D7064" s="13" t="inlineStr">
        <is>
          <t>7814167033</t>
        </is>
      </c>
      <c r="E7064" s="13" t="inlineStr">
        <is>
          <t>ЮЛ РФ</t>
        </is>
      </c>
      <c r="F7064" s="13" t="n"/>
      <c r="G7064" s="52" t="n">
        <v>2</v>
      </c>
      <c r="H7064" s="52" t="n">
        <v>2025</v>
      </c>
      <c r="I7064" s="14" t="n"/>
      <c r="J7064" s="14" t="n"/>
      <c r="K7064" s="53" t="inlineStr">
        <is>
          <t>Нет</t>
        </is>
      </c>
      <c r="L7064" s="53" t="inlineStr">
        <is>
          <t>Не определено</t>
        </is>
      </c>
      <c r="M7064" s="53" t="inlineStr">
        <is>
          <t>До 10</t>
        </is>
      </c>
      <c r="N7064" s="54" t="n">
        <v>3360</v>
      </c>
      <c r="O7064" s="55" t="inlineStr">
        <is>
          <t>1–15</t>
        </is>
      </c>
      <c r="P7064" s="16" t="inlineStr">
        <is>
          <t>ССЧР обогащена; ОКВЭД не найден/не загружен</t>
        </is>
      </c>
      <c r="Q7064" s="16" t="inlineStr">
        <is>
          <t>ФНС открытые данные ССЧР (ДатаСост 31.12.2025; набор 7707329152-sshr2019)</t>
        </is>
      </c>
      <c r="R7064" s="16">
        <f>HYPERLINK("https://checko.ru/search?query=3801001629","Чекко: проверить")</f>
        <v/>
      </c>
      <c r="S7064" t="n">
        <v>1</v>
      </c>
      <c r="T7064" s="35" t="inlineStr">
        <is>
          <t>4 — Не обогащён</t>
        </is>
      </c>
      <c r="U7064" s="35" t="inlineStr">
        <is>
          <t>Нет ОКВЭД/ССЧР</t>
        </is>
      </c>
      <c r="V7064" s="35" t="inlineStr">
        <is>
          <t>Не определено</t>
        </is>
      </c>
      <c r="W7064" s="35" t="inlineStr">
        <is>
          <t>Нет</t>
        </is>
      </c>
      <c r="X7064" s="35" t="inlineStr"/>
    </row>
    <row r="7065" ht="41.25" customHeight="1" s="24">
      <c r="A7065" s="13" t="inlineStr">
        <is>
          <t>FR202308</t>
        </is>
      </c>
      <c r="B7065" s="13" t="inlineStr">
        <is>
          <t>Общество с ограниченной ответственностью "ИРКУТСКАЯ СТРОИТЕЛЬНО-МОНТАЖНАЯ КОМПАНИЯ"</t>
        </is>
      </c>
      <c r="C7065" s="13" t="n">
        <v>3849101597</v>
      </c>
      <c r="D7065" s="13" t="inlineStr">
        <is>
          <t>3849101597</t>
        </is>
      </c>
      <c r="E7065" s="13" t="inlineStr">
        <is>
          <t>ЮЛ РФ</t>
        </is>
      </c>
      <c r="F7065" s="13" t="n"/>
      <c r="G7065" s="52" t="n">
        <v>1</v>
      </c>
      <c r="H7065" s="52" t="n">
        <v>2025</v>
      </c>
      <c r="I7065" s="14" t="n"/>
      <c r="J7065" s="14" t="n"/>
      <c r="K7065" s="53" t="inlineStr">
        <is>
          <t>Нет</t>
        </is>
      </c>
      <c r="L7065" s="53" t="inlineStr">
        <is>
          <t>Не определено</t>
        </is>
      </c>
      <c r="M7065" s="53" t="inlineStr">
        <is>
          <t>До 10</t>
        </is>
      </c>
      <c r="N7065" s="54" t="n">
        <v>3360</v>
      </c>
      <c r="O7065" s="55" t="inlineStr">
        <is>
          <t>1–15</t>
        </is>
      </c>
      <c r="P7065" s="16" t="inlineStr">
        <is>
          <t>ССЧР обогащена; ОКВЭД не найден/не загружен</t>
        </is>
      </c>
      <c r="Q7065" s="16" t="inlineStr">
        <is>
          <t>ФНС открытые данные ССЧР (ДатаСост 31.12.2025; набор 7707329152-sshr2019)</t>
        </is>
      </c>
      <c r="R7065" s="16">
        <f>HYPERLINK("https://checko.ru/search?query=3801001629","Чекко: проверить")</f>
        <v/>
      </c>
      <c r="S7065" t="n">
        <v>1</v>
      </c>
      <c r="T7065" s="35" t="inlineStr">
        <is>
          <t>4 — Не обогащён</t>
        </is>
      </c>
      <c r="U7065" s="35" t="inlineStr">
        <is>
          <t>Нет ОКВЭД/ССЧР</t>
        </is>
      </c>
      <c r="V7065" s="35" t="inlineStr">
        <is>
          <t>Не определено</t>
        </is>
      </c>
      <c r="W7065" s="35" t="inlineStr">
        <is>
          <t>Нет</t>
        </is>
      </c>
      <c r="X7065" s="35" t="inlineStr"/>
    </row>
    <row r="7066" ht="27.75" customHeight="1" s="24">
      <c r="A7066" s="13" t="inlineStr">
        <is>
          <t>FR249587</t>
        </is>
      </c>
      <c r="B7066" s="13" t="inlineStr">
        <is>
          <t>Общество с ограниченной ответственностью "МРАМОРНАЯ РЕКА"</t>
        </is>
      </c>
      <c r="C7066" s="13" t="n">
        <v>9102205194</v>
      </c>
      <c r="D7066" s="13" t="inlineStr">
        <is>
          <t>9102205194</t>
        </is>
      </c>
      <c r="E7066" s="13" t="inlineStr">
        <is>
          <t>ЮЛ РФ</t>
        </is>
      </c>
      <c r="F7066" s="13" t="n"/>
      <c r="G7066" s="52" t="n">
        <v>0</v>
      </c>
      <c r="H7066" s="52" t="n">
        <v>2025</v>
      </c>
      <c r="I7066" s="14" t="n"/>
      <c r="J7066" s="14" t="n"/>
      <c r="K7066" s="53" t="inlineStr">
        <is>
          <t>Нет</t>
        </is>
      </c>
      <c r="L7066" s="53" t="inlineStr">
        <is>
          <t>Не определено</t>
        </is>
      </c>
      <c r="M7066" s="53" t="inlineStr">
        <is>
          <t>До 10</t>
        </is>
      </c>
      <c r="N7066" s="54" t="n">
        <v>3360</v>
      </c>
      <c r="O7066" s="55" t="inlineStr">
        <is>
          <t>1–15</t>
        </is>
      </c>
      <c r="P7066" s="16" t="inlineStr">
        <is>
          <t>ССЧР обогащена; ОКВЭД не найден/не загружен</t>
        </is>
      </c>
      <c r="Q7066" s="16" t="inlineStr">
        <is>
          <t>ФНС открытые данные ССЧР (ДатаСост 31.12.2025; набор 7707329152-sshr2019)</t>
        </is>
      </c>
      <c r="R7066" s="16">
        <f>HYPERLINK("https://checko.ru/search?query=3801001629","Чекко: проверить")</f>
        <v/>
      </c>
      <c r="S7066" t="n">
        <v>1</v>
      </c>
      <c r="T7066" s="35" t="inlineStr">
        <is>
          <t>4 — Не обогащён</t>
        </is>
      </c>
      <c r="U7066" s="35" t="inlineStr">
        <is>
          <t>Нет ОКВЭД/ССЧР</t>
        </is>
      </c>
      <c r="V7066" s="35" t="inlineStr">
        <is>
          <t>Не определено</t>
        </is>
      </c>
      <c r="W7066" s="35" t="inlineStr">
        <is>
          <t>Нет</t>
        </is>
      </c>
      <c r="X7066" s="35" t="inlineStr"/>
    </row>
    <row r="7067" ht="15" customHeight="1" s="24">
      <c r="A7067" s="13" t="inlineStr">
        <is>
          <t>FR39224</t>
        </is>
      </c>
      <c r="B7067" s="13" t="inlineStr">
        <is>
          <t>ИП Михайловская Ирина Сергеевна</t>
        </is>
      </c>
      <c r="C7067" s="13" t="n">
        <v>631506306544</v>
      </c>
      <c r="D7067" s="13" t="inlineStr">
        <is>
          <t>631506306544</t>
        </is>
      </c>
      <c r="E7067" s="13" t="inlineStr">
        <is>
          <t>ИП РФ / физлицо</t>
        </is>
      </c>
      <c r="F7067" s="13" t="n"/>
      <c r="G7067" s="14" t="n"/>
      <c r="H7067" s="14" t="n"/>
      <c r="I7067" s="14" t="n"/>
      <c r="J7067" s="14" t="n"/>
      <c r="K7067" s="53" t="inlineStr"/>
      <c r="L7067" s="53" t="inlineStr">
        <is>
          <t>Не определено</t>
        </is>
      </c>
      <c r="M7067" s="53" t="inlineStr"/>
      <c r="N7067" s="54" t="inlineStr"/>
      <c r="O7067" s="55" t="inlineStr"/>
      <c r="P7067" s="16" t="inlineStr">
        <is>
          <t>Требует обогащения</t>
        </is>
      </c>
      <c r="Q7067" s="16">
        <f>HYPERLINK("https://pb.nalog.ru/search.html?query=631506306544","ФНС: проверить")</f>
        <v/>
      </c>
      <c r="R7067" s="16">
        <f>HYPERLINK("https://checko.ru/search?query=3801001629","Чекко: проверить")</f>
        <v/>
      </c>
      <c r="S7067" t="n">
        <v>1</v>
      </c>
      <c r="T7067" s="35" t="inlineStr">
        <is>
          <t>4 — Не обогащён</t>
        </is>
      </c>
      <c r="U7067" s="35" t="inlineStr">
        <is>
          <t>Нет ОКВЭД/ССЧР</t>
        </is>
      </c>
      <c r="V7067" s="35" t="inlineStr">
        <is>
          <t>Не определено</t>
        </is>
      </c>
      <c r="W7067" s="35" t="inlineStr"/>
      <c r="X7067" s="35" t="inlineStr"/>
    </row>
    <row r="7068" ht="15" customHeight="1" s="24">
      <c r="A7068" s="13" t="inlineStr">
        <is>
          <t>FR1103506</t>
        </is>
      </c>
      <c r="B7068" s="13" t="inlineStr">
        <is>
          <t>ИП Фоминых Татьяна Викторовна</t>
        </is>
      </c>
      <c r="C7068" s="13" t="n">
        <v>222400188013</v>
      </c>
      <c r="D7068" s="13" t="inlineStr">
        <is>
          <t>222400188013</t>
        </is>
      </c>
      <c r="E7068" s="13" t="inlineStr">
        <is>
          <t>ИП РФ / физлицо</t>
        </is>
      </c>
      <c r="F7068" s="13" t="n"/>
      <c r="G7068" s="14" t="n"/>
      <c r="H7068" s="14" t="n"/>
      <c r="I7068" s="14" t="n"/>
      <c r="J7068" s="14" t="n"/>
      <c r="K7068" s="53" t="inlineStr"/>
      <c r="L7068" s="53" t="inlineStr">
        <is>
          <t>Не определено</t>
        </is>
      </c>
      <c r="M7068" s="53" t="inlineStr"/>
      <c r="N7068" s="54" t="inlineStr"/>
      <c r="O7068" s="55" t="inlineStr"/>
      <c r="P7068" s="16" t="inlineStr">
        <is>
          <t>Требует обогащения</t>
        </is>
      </c>
      <c r="Q7068" s="16">
        <f>HYPERLINK("https://pb.nalog.ru/search.html?query=222400188013","ФНС: проверить")</f>
        <v/>
      </c>
      <c r="R7068" s="16">
        <f>HYPERLINK("https://checko.ru/search?query=3801001629","Чекко: проверить")</f>
        <v/>
      </c>
      <c r="S7068" t="n">
        <v>1</v>
      </c>
      <c r="T7068" s="35" t="inlineStr">
        <is>
          <t>4 — Не обогащён</t>
        </is>
      </c>
      <c r="U7068" s="35" t="inlineStr">
        <is>
          <t>Нет ОКВЭД/ССЧР</t>
        </is>
      </c>
      <c r="V7068" s="35" t="inlineStr">
        <is>
          <t>Не определено</t>
        </is>
      </c>
      <c r="W7068" s="35" t="inlineStr"/>
      <c r="X7068" s="35" t="inlineStr"/>
    </row>
    <row r="7069" ht="15" customHeight="1" s="24">
      <c r="A7069" s="13" t="inlineStr">
        <is>
          <t>FR1085281</t>
        </is>
      </c>
      <c r="B7069" s="13" t="inlineStr">
        <is>
          <t>ИП Соломатова Анастасия Борисовна</t>
        </is>
      </c>
      <c r="C7069" s="13" t="n">
        <v>381452604866</v>
      </c>
      <c r="D7069" s="13" t="inlineStr">
        <is>
          <t>381452604866</t>
        </is>
      </c>
      <c r="E7069" s="13" t="inlineStr">
        <is>
          <t>ИП РФ / физлицо</t>
        </is>
      </c>
      <c r="F7069" s="13" t="n"/>
      <c r="G7069" s="14" t="n"/>
      <c r="H7069" s="14" t="n"/>
      <c r="I7069" s="14" t="n"/>
      <c r="J7069" s="14" t="n"/>
      <c r="K7069" s="53" t="inlineStr"/>
      <c r="L7069" s="53" t="inlineStr">
        <is>
          <t>Не определено</t>
        </is>
      </c>
      <c r="M7069" s="53" t="inlineStr"/>
      <c r="N7069" s="54" t="inlineStr"/>
      <c r="O7069" s="55" t="inlineStr"/>
      <c r="P7069" s="16" t="inlineStr">
        <is>
          <t>Требует обогащения</t>
        </is>
      </c>
      <c r="Q7069" s="16">
        <f>HYPERLINK("https://pb.nalog.ru/search.html?query=381452604866","ФНС: проверить")</f>
        <v/>
      </c>
      <c r="R7069" s="16">
        <f>HYPERLINK("https://checko.ru/search?query=3801001629","Чекко: проверить")</f>
        <v/>
      </c>
      <c r="S7069" t="n">
        <v>1</v>
      </c>
      <c r="T7069" s="35" t="inlineStr">
        <is>
          <t>4 — Не обогащён</t>
        </is>
      </c>
      <c r="U7069" s="35" t="inlineStr">
        <is>
          <t>Нет ОКВЭД/ССЧР</t>
        </is>
      </c>
      <c r="V7069" s="35" t="inlineStr">
        <is>
          <t>Не определено</t>
        </is>
      </c>
      <c r="W7069" s="35" t="inlineStr"/>
      <c r="X7069" s="35" t="inlineStr"/>
    </row>
    <row r="7070" ht="27.75" customHeight="1" s="24">
      <c r="A7070" s="13" t="inlineStr">
        <is>
          <t>FR1098322</t>
        </is>
      </c>
      <c r="B7070" s="13" t="inlineStr">
        <is>
          <t>Общество с ограниченной ответственностью "ИВЕНТС ПАРК ИРКУТСК"</t>
        </is>
      </c>
      <c r="C7070" s="13" t="n">
        <v>3812162755</v>
      </c>
      <c r="D7070" s="13" t="inlineStr">
        <is>
          <t>3812162755</t>
        </is>
      </c>
      <c r="E7070" s="13" t="inlineStr">
        <is>
          <t>ЮЛ РФ</t>
        </is>
      </c>
      <c r="F7070" s="13" t="n"/>
      <c r="G7070" s="52" t="n">
        <v>1</v>
      </c>
      <c r="H7070" s="52" t="n">
        <v>2025</v>
      </c>
      <c r="I7070" s="14" t="n"/>
      <c r="J7070" s="14" t="n"/>
      <c r="K7070" s="53" t="inlineStr">
        <is>
          <t>Нет</t>
        </is>
      </c>
      <c r="L7070" s="53" t="inlineStr">
        <is>
          <t>Не определено</t>
        </is>
      </c>
      <c r="M7070" s="53" t="inlineStr">
        <is>
          <t>До 10</t>
        </is>
      </c>
      <c r="N7070" s="54" t="n">
        <v>3360</v>
      </c>
      <c r="O7070" s="55" t="inlineStr">
        <is>
          <t>1–15</t>
        </is>
      </c>
      <c r="P7070" s="16" t="inlineStr">
        <is>
          <t>ССЧР обогащена; ОКВЭД не найден/не загружен</t>
        </is>
      </c>
      <c r="Q7070" s="16" t="inlineStr">
        <is>
          <t>ФНС открытые данные ССЧР (ДатаСост 31.12.2025; набор 7707329152-sshr2019)</t>
        </is>
      </c>
      <c r="R7070" s="16">
        <f>HYPERLINK("https://checko.ru/search?query=3801001629","Чекко: проверить")</f>
        <v/>
      </c>
      <c r="S7070" t="n">
        <v>1</v>
      </c>
      <c r="T7070" s="35" t="inlineStr">
        <is>
          <t>4 — Не обогащён</t>
        </is>
      </c>
      <c r="U7070" s="35" t="inlineStr">
        <is>
          <t>Нет ОКВЭД/ССЧР</t>
        </is>
      </c>
      <c r="V7070" s="35" t="inlineStr">
        <is>
          <t>Не определено</t>
        </is>
      </c>
      <c r="W7070" s="35" t="inlineStr">
        <is>
          <t>Нет</t>
        </is>
      </c>
      <c r="X7070" s="35" t="inlineStr"/>
    </row>
    <row r="7071" ht="41.25" customHeight="1" s="24">
      <c r="A7071" s="13" t="inlineStr">
        <is>
          <t>FR894359</t>
        </is>
      </c>
      <c r="B7071" s="13" t="inlineStr">
        <is>
          <t>Общество с ограниченной ответственностью "НАУЧНО-ПРОИЗВОДСТВЕННОЕ ОБЪЕДИНЕНИЕ "ИНСЕКТОПРОТЕИН"</t>
        </is>
      </c>
      <c r="C7071" s="13" t="n">
        <v>3808272843</v>
      </c>
      <c r="D7071" s="13" t="inlineStr">
        <is>
          <t>3808272843</t>
        </is>
      </c>
      <c r="E7071" s="13" t="inlineStr">
        <is>
          <t>ЮЛ РФ</t>
        </is>
      </c>
      <c r="F7071" s="13" t="n"/>
      <c r="G7071" s="52" t="n">
        <v>5</v>
      </c>
      <c r="H7071" s="52" t="n">
        <v>2025</v>
      </c>
      <c r="I7071" s="14" t="n"/>
      <c r="J7071" s="14" t="n"/>
      <c r="K7071" s="53" t="inlineStr">
        <is>
          <t>Нет</t>
        </is>
      </c>
      <c r="L7071" s="53" t="inlineStr">
        <is>
          <t>Не определено</t>
        </is>
      </c>
      <c r="M7071" s="53" t="inlineStr">
        <is>
          <t>До 10</t>
        </is>
      </c>
      <c r="N7071" s="54" t="n">
        <v>3360</v>
      </c>
      <c r="O7071" s="55" t="inlineStr">
        <is>
          <t>1–15</t>
        </is>
      </c>
      <c r="P7071" s="16" t="inlineStr">
        <is>
          <t>ССЧР обогащена; ОКВЭД не найден/не загружен</t>
        </is>
      </c>
      <c r="Q7071" s="16" t="inlineStr">
        <is>
          <t>ФНС открытые данные ССЧР (ДатаСост 31.12.2025; набор 7707329152-sshr2019)</t>
        </is>
      </c>
      <c r="R7071" s="16">
        <f>HYPERLINK("https://checko.ru/search?query=3801001629","Чекко: проверить")</f>
        <v/>
      </c>
      <c r="S7071" t="n">
        <v>1</v>
      </c>
      <c r="T7071" s="35" t="inlineStr">
        <is>
          <t>4 — Не обогащён</t>
        </is>
      </c>
      <c r="U7071" s="35" t="inlineStr">
        <is>
          <t>Нет ОКВЭД/ССЧР</t>
        </is>
      </c>
      <c r="V7071" s="35" t="inlineStr">
        <is>
          <t>Не определено</t>
        </is>
      </c>
      <c r="W7071" s="35" t="inlineStr">
        <is>
          <t>Нет</t>
        </is>
      </c>
      <c r="X7071" s="35" t="inlineStr"/>
    </row>
    <row r="7072" ht="15" customHeight="1" s="24">
      <c r="A7072" s="13" t="inlineStr">
        <is>
          <t>FR599324</t>
        </is>
      </c>
      <c r="B7072" s="13" t="inlineStr">
        <is>
          <t>ИП Долгушин Максим Сергеевич</t>
        </is>
      </c>
      <c r="C7072" s="13" t="n">
        <v>382009429809</v>
      </c>
      <c r="D7072" s="13" t="inlineStr">
        <is>
          <t>382009429809</t>
        </is>
      </c>
      <c r="E7072" s="13" t="inlineStr">
        <is>
          <t>ИП РФ / физлицо</t>
        </is>
      </c>
      <c r="F7072" s="13" t="n"/>
      <c r="G7072" s="14" t="n"/>
      <c r="H7072" s="14" t="n"/>
      <c r="I7072" s="14" t="n"/>
      <c r="J7072" s="14" t="n"/>
      <c r="K7072" s="53" t="inlineStr"/>
      <c r="L7072" s="53" t="inlineStr">
        <is>
          <t>Не определено</t>
        </is>
      </c>
      <c r="M7072" s="53" t="inlineStr"/>
      <c r="N7072" s="54" t="inlineStr"/>
      <c r="O7072" s="55" t="inlineStr"/>
      <c r="P7072" s="16" t="inlineStr">
        <is>
          <t>Требует обогащения</t>
        </is>
      </c>
      <c r="Q7072" s="16">
        <f>HYPERLINK("https://pb.nalog.ru/search.html?query=382009429809","ФНС: проверить")</f>
        <v/>
      </c>
      <c r="R7072" s="16">
        <f>HYPERLINK("https://checko.ru/search?query=3801001629","Чекко: проверить")</f>
        <v/>
      </c>
      <c r="S7072" t="n">
        <v>1</v>
      </c>
      <c r="T7072" s="35" t="inlineStr">
        <is>
          <t>4 — Не обогащён</t>
        </is>
      </c>
      <c r="U7072" s="35" t="inlineStr">
        <is>
          <t>Нет ОКВЭД/ССЧР</t>
        </is>
      </c>
      <c r="V7072" s="35" t="inlineStr">
        <is>
          <t>Не определено</t>
        </is>
      </c>
      <c r="W7072" s="35" t="inlineStr"/>
      <c r="X7072" s="35" t="inlineStr"/>
    </row>
    <row r="7073" ht="15" customHeight="1" s="24">
      <c r="A7073" s="13" t="inlineStr">
        <is>
          <t>FR448862</t>
        </is>
      </c>
      <c r="B7073" s="13" t="inlineStr">
        <is>
          <t>ИП Разумова Оксана Викторовна</t>
        </is>
      </c>
      <c r="C7073" s="13" t="n">
        <v>561207584162</v>
      </c>
      <c r="D7073" s="13" t="inlineStr">
        <is>
          <t>561207584162</t>
        </is>
      </c>
      <c r="E7073" s="13" t="inlineStr">
        <is>
          <t>ИП РФ / физлицо</t>
        </is>
      </c>
      <c r="F7073" s="13" t="n"/>
      <c r="G7073" s="14" t="n"/>
      <c r="H7073" s="14" t="n"/>
      <c r="I7073" s="14" t="n"/>
      <c r="J7073" s="14" t="n"/>
      <c r="K7073" s="53" t="inlineStr"/>
      <c r="L7073" s="53" t="inlineStr">
        <is>
          <t>Не определено</t>
        </is>
      </c>
      <c r="M7073" s="53" t="inlineStr"/>
      <c r="N7073" s="54" t="inlineStr"/>
      <c r="O7073" s="55" t="inlineStr"/>
      <c r="P7073" s="16" t="inlineStr">
        <is>
          <t>Требует обогащения</t>
        </is>
      </c>
      <c r="Q7073" s="16">
        <f>HYPERLINK("https://pb.nalog.ru/search.html?query=561207584162","ФНС: проверить")</f>
        <v/>
      </c>
      <c r="R7073" s="16">
        <f>HYPERLINK("https://checko.ru/search?query=3801001629","Чекко: проверить")</f>
        <v/>
      </c>
      <c r="S7073" t="n">
        <v>1</v>
      </c>
      <c r="T7073" s="35" t="inlineStr">
        <is>
          <t>4 — Не обогащён</t>
        </is>
      </c>
      <c r="U7073" s="35" t="inlineStr">
        <is>
          <t>Нет ОКВЭД/ССЧР</t>
        </is>
      </c>
      <c r="V7073" s="35" t="inlineStr">
        <is>
          <t>Не определено</t>
        </is>
      </c>
      <c r="W7073" s="35" t="inlineStr"/>
      <c r="X7073" s="35" t="inlineStr"/>
    </row>
    <row r="7074" ht="27.75" customHeight="1" s="24">
      <c r="A7074" s="13" t="inlineStr">
        <is>
          <t>FR518691</t>
        </is>
      </c>
      <c r="B7074" s="13" t="inlineStr">
        <is>
          <t>ОБЩЕСТВО С ОГРАНИЧЕННОЙ ОТВЕТСТВЕННОСТЬЮ "ЮЖУРАЛСНАБ"</t>
        </is>
      </c>
      <c r="C7074" s="13" t="n">
        <v>266019144</v>
      </c>
      <c r="D7074" s="13" t="n"/>
      <c r="E7074" s="13" t="inlineStr">
        <is>
          <t>Не определён</t>
        </is>
      </c>
      <c r="F7074" s="13" t="inlineStr">
        <is>
          <t>266019144</t>
        </is>
      </c>
      <c r="G7074" s="14" t="n"/>
      <c r="H7074" s="14" t="n"/>
      <c r="I7074" s="14" t="n"/>
      <c r="J7074" s="14" t="n"/>
      <c r="K7074" s="13">
        <f>IF(G7074="","",IF(G7074&gt;=22,"Да","Нет"))</f>
        <v/>
      </c>
      <c r="L7074" s="13">
        <f>IF(OR(I7074="",J7074=""),"Не определено",IF(OR(COUNTIF(I7074,"45*")&gt;0,COUNTIF(J7074,"*45*")&gt;0,COUNTIF(I7074,"46*")&gt;0,COUNTIF(J7074,"*46*")&gt;0,COUNTIF(I7074,"47*")&gt;0,COUNTIF(J7074,"*47*")&gt;0,COUNTIF(I7074,"10*")&gt;0,COUNTIF(J7074,"*10*")&gt;0,COUNTIF(I7074,"11*")&gt;0,COUNTIF(J7074,"*11*")&gt;0,COUNTIF(I7074,"12*")&gt;0,COUNTIF(J7074,"*12*")&gt;0,COUNTIF(I7074,"13*")&gt;0,COUNTIF(J7074,"*13*")&gt;0,COUNTIF(I7074,"14*")&gt;0,COUNTIF(J7074,"*14*")&gt;0,COUNTIF(I7074,"15*")&gt;0,COUNTIF(J7074,"*15*")&gt;0,COUNTIF(I7074,"16*")&gt;0,COUNTIF(J7074,"*16*")&gt;0,COUNTIF(I7074,"17*")&gt;0,COUNTIF(J7074,"*17*")&gt;0,COUNTIF(I7074,"18*")&gt;0,COUNTIF(J7074,"*18*")&gt;0,COUNTIF(I7074,"19*")&gt;0,COUNTIF(J7074,"*19*")&gt;0,COUNTIF(I7074,"20*")&gt;0,COUNTIF(J7074,"*20*")&gt;0,COUNTIF(I7074,"21*")&gt;0,COUNTIF(J7074,"*21*")&gt;0,COUNTIF(I7074,"22*")&gt;0,COUNTIF(J7074,"*22*")&gt;0,COUNTIF(I7074,"23*")&gt;0,COUNTIF(J7074,"*23*")&gt;0,COUNTIF(I7074,"24*")&gt;0,COUNTIF(J7074,"*24*")&gt;0,COUNTIF(I7074,"25*")&gt;0,COUNTIF(J7074,"*25*")&gt;0,COUNTIF(I7074,"26*")&gt;0,COUNTIF(J7074,"*26*")&gt;0,COUNTIF(I7074,"27*")&gt;0,COUNTIF(J7074,"*27*")&gt;0,COUNTIF(I7074,"28*")&gt;0,COUNTIF(J7074,"*28*")&gt;0,COUNTIF(I7074,"29*")&gt;0,COUNTIF(J7074,"*29*")&gt;0,COUNTIF(I7074,"30*")&gt;0,COUNTIF(J7074,"*30*")&gt;0,COUNTIF(I7074,"31*")&gt;0,COUNTIF(J7074,"*31*")&gt;0,COUNTIF(I7074,"32*")&gt;0,COUNTIF(J7074,"*32*")&gt;0,COUNTIF(I7074,"33*")&gt;0,COUNTIF(J7074,"*33*")&gt;0,COUNTIF(I7074,"41*")&gt;0,COUNTIF(J7074,"*41*")&gt;0,COUNTIF(I7074,"42*")&gt;0,COUNTIF(J7074,"*42*")&gt;0,COUNTIF(I7074,"43*")&gt;0,COUNTIF(J7074,"*43*")&gt;0,COUNTIF(I7074,"49*")&gt;0,COUNTIF(J7074,"*49*")&gt;0,COUNTIF(I7074,"52*")&gt;0,COUNTIF(J7074,"*52*")&gt;0,COUNTIF(I7074,"55*")&gt;0,COUNTIF(J7074,"*55*")&gt;0,COUNTIF(I7074,"56*")&gt;0,COUNTIF(J7074,"*56*")&gt;0,COUNTIF(I7074,"68*")&gt;0,COUNTIF(J7074,"*68*")&gt;0,COUNTIF(I7074,"78*")&gt;0,COUNTIF(J7074,"*78*")&gt;0,COUNTIF(I7074,"81*")&gt;0,COUNTIF(J7074,"*81*")&gt;0,COUNTIF(I7074,"82*")&gt;0,COUNTIF(J7074,"*82*")&gt;0,COUNTIF(I7074,"64*")&gt;0,COUNTIF(J7074,"*64*")&gt;0,COUNTIF(I7074,"65*")&gt;0,COUNTIF(J7074,"*65*")&gt;0,COUNTIF(I7074,"66*")&gt;0,COUNTIF(J7074,"*66*")&gt;0,COUNTIF(I7074,"61*")&gt;0,COUNTIF(J7074,"*61*")&gt;0,COUNTIF(I7074,"62*")&gt;0,COUNTIF(J7074,"*62*")&gt;0,COUNTIF(I7074,"63*")&gt;0,COUNTIF(J7074,"*63*")&gt;0,COUNTIF(I7074,"85*")&gt;0,COUNTIF(J7074,"*85*")&gt;0,COUNTIF(I7074,"86*")&gt;0,COUNTIF(J7074,"*86*")&gt;0),"Да","Нет"))</f>
        <v/>
      </c>
      <c r="M7074" s="13">
        <f>IF(OR(G7074="",L7074&lt;&gt;"Да"),"",IF(G7074&lt;=100,"До 100",IF(G7074&lt;=200,"До 200",IF(G7074&lt;=500,"До 500","Отдельное КП"))))</f>
        <v/>
      </c>
      <c r="N7074" s="15">
        <f>IF(OR(G7074="",L7074&lt;&gt;"Да"),"",IF(G7074&lt;=100,33600,IF(G7074&lt;=200,62400,IF(G7074&lt;=500,144000,""))))</f>
        <v/>
      </c>
      <c r="O7074" s="16">
        <f>IF(G7074="","",IF(G7074&lt;=15,"1–15",IF(G7074&lt;=30,"16–30",IF(G7074&lt;=50,"31–50",IF(G7074&lt;=100,"51–100",IF(G7074&lt;=150,"101–150",IF(G7074&lt;=200,"151–200",IF(G7074&lt;=500,"201–500","500+"))))))))</f>
        <v/>
      </c>
      <c r="P7074" s="16" t="inlineStr">
        <is>
          <t>Нет совпадения в предоставленной выгрузке ССЧР</t>
        </is>
      </c>
      <c r="Q7074" s="16" t="n"/>
      <c r="R7074" s="16">
        <f>HYPERLINK("https://checko.ru/search?query=3801001629","Чекко: проверить")</f>
        <v/>
      </c>
      <c r="S7074" t="n">
        <v>0</v>
      </c>
    </row>
    <row r="7075" ht="15" customHeight="1" s="24">
      <c r="A7075" s="13" t="inlineStr">
        <is>
          <t>FR589965</t>
        </is>
      </c>
      <c r="B7075" s="13" t="inlineStr">
        <is>
          <t>ИП Салихов Алик Амирович</t>
        </is>
      </c>
      <c r="C7075" s="13" t="n">
        <v>560544409560</v>
      </c>
      <c r="D7075" s="13" t="inlineStr">
        <is>
          <t>560544409560</t>
        </is>
      </c>
      <c r="E7075" s="13" t="inlineStr">
        <is>
          <t>ИП РФ / физлицо</t>
        </is>
      </c>
      <c r="F7075" s="13" t="n"/>
      <c r="G7075" s="14" t="n"/>
      <c r="H7075" s="14" t="n"/>
      <c r="I7075" s="14" t="n"/>
      <c r="J7075" s="14" t="n"/>
      <c r="K7075" s="53" t="inlineStr"/>
      <c r="L7075" s="53" t="inlineStr">
        <is>
          <t>Не определено</t>
        </is>
      </c>
      <c r="M7075" s="53" t="inlineStr"/>
      <c r="N7075" s="54" t="inlineStr"/>
      <c r="O7075" s="55" t="inlineStr"/>
      <c r="P7075" s="16" t="inlineStr">
        <is>
          <t>Требует обогащения</t>
        </is>
      </c>
      <c r="Q7075" s="16">
        <f>HYPERLINK("https://pb.nalog.ru/search.html?query=560544409560","ФНС: проверить")</f>
        <v/>
      </c>
      <c r="R7075" s="16">
        <f>HYPERLINK("https://checko.ru/search?query=3801001629","Чекко: проверить")</f>
        <v/>
      </c>
      <c r="S7075" t="n">
        <v>1</v>
      </c>
      <c r="T7075" s="35" t="inlineStr">
        <is>
          <t>4 — Не обогащён</t>
        </is>
      </c>
      <c r="U7075" s="35" t="inlineStr">
        <is>
          <t>Нет ОКВЭД/ССЧР</t>
        </is>
      </c>
      <c r="V7075" s="35" t="inlineStr">
        <is>
          <t>Не определено</t>
        </is>
      </c>
      <c r="W7075" s="35" t="inlineStr"/>
      <c r="X7075" s="35" t="inlineStr"/>
    </row>
    <row r="7076" ht="15" customHeight="1" s="24">
      <c r="A7076" s="13" t="inlineStr">
        <is>
          <t>FR897405</t>
        </is>
      </c>
      <c r="B7076" s="13" t="inlineStr">
        <is>
          <t>ИП Лапшина Надежда Григорьевна</t>
        </is>
      </c>
      <c r="C7076" s="13" t="n">
        <v>503001408296</v>
      </c>
      <c r="D7076" s="13" t="inlineStr">
        <is>
          <t>503001408296</t>
        </is>
      </c>
      <c r="E7076" s="13" t="inlineStr">
        <is>
          <t>ИП РФ / физлицо</t>
        </is>
      </c>
      <c r="F7076" s="13" t="n"/>
      <c r="G7076" s="14" t="n"/>
      <c r="H7076" s="14" t="n"/>
      <c r="I7076" s="14" t="n"/>
      <c r="J7076" s="14" t="n"/>
      <c r="K7076" s="53" t="inlineStr"/>
      <c r="L7076" s="53" t="inlineStr">
        <is>
          <t>Не определено</t>
        </is>
      </c>
      <c r="M7076" s="53" t="inlineStr"/>
      <c r="N7076" s="54" t="inlineStr"/>
      <c r="O7076" s="55" t="inlineStr"/>
      <c r="P7076" s="16" t="inlineStr">
        <is>
          <t>Требует обогащения</t>
        </is>
      </c>
      <c r="Q7076" s="16">
        <f>HYPERLINK("https://pb.nalog.ru/search.html?query=503001408296","ФНС: проверить")</f>
        <v/>
      </c>
      <c r="R7076" s="16">
        <f>HYPERLINK("https://checko.ru/search?query=3801001629","Чекко: проверить")</f>
        <v/>
      </c>
      <c r="S7076" t="n">
        <v>1</v>
      </c>
      <c r="T7076" s="35" t="inlineStr">
        <is>
          <t>4 — Не обогащён</t>
        </is>
      </c>
      <c r="U7076" s="35" t="inlineStr">
        <is>
          <t>Нет ОКВЭД/ССЧР</t>
        </is>
      </c>
      <c r="V7076" s="35" t="inlineStr">
        <is>
          <t>Не определено</t>
        </is>
      </c>
      <c r="W7076" s="35" t="inlineStr"/>
      <c r="X7076" s="35" t="inlineStr"/>
    </row>
    <row r="7077" ht="27.75" customHeight="1" s="24">
      <c r="A7077" s="13" t="inlineStr">
        <is>
          <t>FR733996</t>
        </is>
      </c>
      <c r="B7077" s="13" t="inlineStr">
        <is>
          <t>БЛАГОТВОРИТЕЛЬНЫЙ ФОНД "БРАТСК - ВСЁ ДЛЯ ПОБЕДЫ"</t>
        </is>
      </c>
      <c r="C7077" s="13" t="n">
        <v>3804117886</v>
      </c>
      <c r="D7077" s="13" t="inlineStr">
        <is>
          <t>3804117886</t>
        </is>
      </c>
      <c r="E7077" s="13" t="inlineStr">
        <is>
          <t>ЮЛ РФ</t>
        </is>
      </c>
      <c r="F7077" s="13" t="n"/>
      <c r="G7077" s="14" t="n"/>
      <c r="H7077" s="14" t="n"/>
      <c r="I7077" s="14" t="n"/>
      <c r="J7077" s="14" t="n"/>
      <c r="K7077" s="53" t="inlineStr"/>
      <c r="L7077" s="53" t="inlineStr">
        <is>
          <t>Не определено</t>
        </is>
      </c>
      <c r="M7077" s="53" t="inlineStr"/>
      <c r="N7077" s="54" t="inlineStr"/>
      <c r="O7077" s="55" t="inlineStr"/>
      <c r="P7077" s="16" t="inlineStr">
        <is>
          <t>Требует обогащения</t>
        </is>
      </c>
      <c r="Q7077" s="16">
        <f>HYPERLINK("https://pb.nalog.ru/search.html?query=3804117886","ФНС: проверить")</f>
        <v/>
      </c>
      <c r="R7077" s="16">
        <f>HYPERLINK("https://checko.ru/search?query=3801001629","Чекко: проверить")</f>
        <v/>
      </c>
      <c r="S7077" t="n">
        <v>1</v>
      </c>
      <c r="T7077" s="35" t="inlineStr">
        <is>
          <t>4 — Не обогащён</t>
        </is>
      </c>
      <c r="U7077" s="35" t="inlineStr">
        <is>
          <t>Нет ОКВЭД/ССЧР</t>
        </is>
      </c>
      <c r="V7077" s="35" t="inlineStr">
        <is>
          <t>Не определено</t>
        </is>
      </c>
      <c r="W7077" s="35" t="inlineStr"/>
      <c r="X7077" s="35" t="inlineStr"/>
    </row>
    <row r="7078" ht="15" customHeight="1" s="24">
      <c r="A7078" s="13" t="inlineStr">
        <is>
          <t>FR1295393</t>
        </is>
      </c>
      <c r="B7078" s="13" t="inlineStr">
        <is>
          <t>ИП Привалов Василий Андреевич</t>
        </is>
      </c>
      <c r="C7078" s="13" t="n">
        <v>380122900583</v>
      </c>
      <c r="D7078" s="13" t="inlineStr">
        <is>
          <t>380122900583</t>
        </is>
      </c>
      <c r="E7078" s="13" t="inlineStr">
        <is>
          <t>ИП РФ / физлицо</t>
        </is>
      </c>
      <c r="F7078" s="13" t="n"/>
      <c r="G7078" s="14" t="n"/>
      <c r="H7078" s="14" t="n"/>
      <c r="I7078" s="14" t="n"/>
      <c r="J7078" s="14" t="n"/>
      <c r="K7078" s="53" t="inlineStr"/>
      <c r="L7078" s="53" t="inlineStr">
        <is>
          <t>Не определено</t>
        </is>
      </c>
      <c r="M7078" s="53" t="inlineStr"/>
      <c r="N7078" s="54" t="inlineStr"/>
      <c r="O7078" s="55" t="inlineStr"/>
      <c r="P7078" s="16" t="inlineStr">
        <is>
          <t>Требует обогащения</t>
        </is>
      </c>
      <c r="Q7078" s="16">
        <f>HYPERLINK("https://pb.nalog.ru/search.html?query=380122900583","ФНС: проверить")</f>
        <v/>
      </c>
      <c r="R7078" s="16">
        <f>HYPERLINK("https://checko.ru/search?query=3801001629","Чекко: проверить")</f>
        <v/>
      </c>
      <c r="S7078" t="n">
        <v>1</v>
      </c>
      <c r="T7078" s="35" t="inlineStr">
        <is>
          <t>4 — Не обогащён</t>
        </is>
      </c>
      <c r="U7078" s="35" t="inlineStr">
        <is>
          <t>Нет ОКВЭД/ССЧР</t>
        </is>
      </c>
      <c r="V7078" s="35" t="inlineStr">
        <is>
          <t>Не определено</t>
        </is>
      </c>
      <c r="W7078" s="35" t="inlineStr"/>
      <c r="X7078" s="35" t="inlineStr"/>
    </row>
    <row r="7079" ht="27.75" customHeight="1" s="24">
      <c r="A7079" s="13" t="inlineStr">
        <is>
          <t>FR1286980</t>
        </is>
      </c>
      <c r="B7079" s="13" t="inlineStr">
        <is>
          <t>Общество с ограниченной ответственностью "АЛТА ТРАНС"</t>
        </is>
      </c>
      <c r="C7079" s="13" t="n">
        <v>3849104686</v>
      </c>
      <c r="D7079" s="13" t="inlineStr">
        <is>
          <t>3849104686</t>
        </is>
      </c>
      <c r="E7079" s="13" t="inlineStr">
        <is>
          <t>ЮЛ РФ</t>
        </is>
      </c>
      <c r="F7079" s="13" t="n"/>
      <c r="G7079" s="52" t="n">
        <v>3</v>
      </c>
      <c r="H7079" s="52" t="n">
        <v>2025</v>
      </c>
      <c r="I7079" s="14" t="n"/>
      <c r="J7079" s="14" t="n"/>
      <c r="K7079" s="53" t="inlineStr">
        <is>
          <t>Нет</t>
        </is>
      </c>
      <c r="L7079" s="53" t="inlineStr">
        <is>
          <t>Не определено</t>
        </is>
      </c>
      <c r="M7079" s="53" t="inlineStr">
        <is>
          <t>До 10</t>
        </is>
      </c>
      <c r="N7079" s="54" t="n">
        <v>3360</v>
      </c>
      <c r="O7079" s="55" t="inlineStr">
        <is>
          <t>1–15</t>
        </is>
      </c>
      <c r="P7079" s="16" t="inlineStr">
        <is>
          <t>ССЧР обогащена; ОКВЭД не найден/не загружен</t>
        </is>
      </c>
      <c r="Q7079" s="16" t="inlineStr">
        <is>
          <t>ФНС открытые данные ССЧР (ДатаСост 31.12.2025; набор 7707329152-sshr2019)</t>
        </is>
      </c>
      <c r="R7079" s="16">
        <f>HYPERLINK("https://checko.ru/search?query=3801001629","Чекко: проверить")</f>
        <v/>
      </c>
      <c r="S7079" t="n">
        <v>1</v>
      </c>
      <c r="T7079" s="35" t="inlineStr">
        <is>
          <t>4 — Не обогащён</t>
        </is>
      </c>
      <c r="U7079" s="35" t="inlineStr">
        <is>
          <t>Нет ОКВЭД/ССЧР</t>
        </is>
      </c>
      <c r="V7079" s="35" t="inlineStr">
        <is>
          <t>Не определено</t>
        </is>
      </c>
      <c r="W7079" s="35" t="inlineStr">
        <is>
          <t>Нет</t>
        </is>
      </c>
      <c r="X7079" s="35" t="inlineStr"/>
    </row>
    <row r="7080" ht="27.75" customHeight="1" s="24">
      <c r="A7080" s="13" t="inlineStr">
        <is>
          <t>FR439949</t>
        </is>
      </c>
      <c r="B7080" s="13" t="inlineStr">
        <is>
          <t>Общество с ограниченной ответственностью "АСВЭТТУ"</t>
        </is>
      </c>
      <c r="C7080" s="13" t="n">
        <v>4345523986</v>
      </c>
      <c r="D7080" s="13" t="inlineStr">
        <is>
          <t>4345523986</t>
        </is>
      </c>
      <c r="E7080" s="13" t="inlineStr">
        <is>
          <t>ЮЛ РФ</t>
        </is>
      </c>
      <c r="F7080" s="13" t="n"/>
      <c r="G7080" s="52" t="n">
        <v>11</v>
      </c>
      <c r="H7080" s="52" t="n">
        <v>2025</v>
      </c>
      <c r="I7080" s="14" t="n"/>
      <c r="J7080" s="14" t="n"/>
      <c r="K7080" s="53" t="inlineStr">
        <is>
          <t>Нет</t>
        </is>
      </c>
      <c r="L7080" s="53" t="inlineStr">
        <is>
          <t>Не определено</t>
        </is>
      </c>
      <c r="M7080" s="53" t="inlineStr">
        <is>
          <t>До 25</t>
        </is>
      </c>
      <c r="N7080" s="54" t="n">
        <v>8400</v>
      </c>
      <c r="O7080" s="55" t="inlineStr">
        <is>
          <t>1–15</t>
        </is>
      </c>
      <c r="P7080" s="16" t="inlineStr">
        <is>
          <t>ССЧР обогащена; ОКВЭД не найден/не загружен</t>
        </is>
      </c>
      <c r="Q7080" s="16" t="inlineStr">
        <is>
          <t>ФНС открытые данные ССЧР (ДатаСост 31.12.2025; набор 7707329152-sshr2019)</t>
        </is>
      </c>
      <c r="R7080" s="16">
        <f>HYPERLINK("https://checko.ru/search?query=3801001629","Чекко: проверить")</f>
        <v/>
      </c>
      <c r="S7080" t="n">
        <v>1</v>
      </c>
      <c r="T7080" s="35" t="inlineStr">
        <is>
          <t>4 — Не обогащён</t>
        </is>
      </c>
      <c r="U7080" s="35" t="inlineStr">
        <is>
          <t>Нет ОКВЭД/ССЧР</t>
        </is>
      </c>
      <c r="V7080" s="35" t="inlineStr">
        <is>
          <t>Не определено</t>
        </is>
      </c>
      <c r="W7080" s="35" t="inlineStr">
        <is>
          <t>Нет</t>
        </is>
      </c>
      <c r="X7080" s="35" t="inlineStr"/>
    </row>
    <row r="7081" ht="15" customHeight="1" s="24">
      <c r="A7081" s="13" t="inlineStr">
        <is>
          <t>FR898362</t>
        </is>
      </c>
      <c r="B7081" s="13" t="inlineStr">
        <is>
          <t>ООО "НМЦ"</t>
        </is>
      </c>
      <c r="C7081" s="13" t="n">
        <v>5609200693</v>
      </c>
      <c r="D7081" s="13" t="inlineStr">
        <is>
          <t>5609200693</t>
        </is>
      </c>
      <c r="E7081" s="13" t="inlineStr">
        <is>
          <t>ЮЛ РФ</t>
        </is>
      </c>
      <c r="F7081" s="13" t="n"/>
      <c r="G7081" s="52" t="n">
        <v>9</v>
      </c>
      <c r="H7081" s="52" t="n">
        <v>2025</v>
      </c>
      <c r="I7081" s="14" t="n"/>
      <c r="J7081" s="14" t="n"/>
      <c r="K7081" s="53" t="inlineStr">
        <is>
          <t>Нет</t>
        </is>
      </c>
      <c r="L7081" s="53" t="inlineStr">
        <is>
          <t>Не определено</t>
        </is>
      </c>
      <c r="M7081" s="53" t="inlineStr">
        <is>
          <t>До 10</t>
        </is>
      </c>
      <c r="N7081" s="54" t="n">
        <v>3360</v>
      </c>
      <c r="O7081" s="55" t="inlineStr">
        <is>
          <t>1–15</t>
        </is>
      </c>
      <c r="P7081" s="16" t="inlineStr">
        <is>
          <t>ССЧР обогащена; ОКВЭД не найден/не загружен</t>
        </is>
      </c>
      <c r="Q7081" s="16" t="inlineStr">
        <is>
          <t>ФНС открытые данные ССЧР (ДатаСост 31.12.2025; набор 7707329152-sshr2019)</t>
        </is>
      </c>
      <c r="R7081" s="16">
        <f>HYPERLINK("https://checko.ru/search?query=3801001629","Чекко: проверить")</f>
        <v/>
      </c>
      <c r="S7081" t="n">
        <v>1</v>
      </c>
      <c r="T7081" s="35" t="inlineStr">
        <is>
          <t>4 — Не обогащён</t>
        </is>
      </c>
      <c r="U7081" s="35" t="inlineStr">
        <is>
          <t>Нет ОКВЭД/ССЧР</t>
        </is>
      </c>
      <c r="V7081" s="35" t="inlineStr">
        <is>
          <t>Не определено</t>
        </is>
      </c>
      <c r="W7081" s="35" t="inlineStr">
        <is>
          <t>Нет</t>
        </is>
      </c>
      <c r="X7081" s="35" t="inlineStr"/>
    </row>
    <row r="7082" ht="27.75" customHeight="1" s="24">
      <c r="A7082" s="13" t="inlineStr">
        <is>
          <t>FR377160</t>
        </is>
      </c>
      <c r="B7082" s="13" t="inlineStr">
        <is>
          <t>ОБЩЕСТВО С ОГРАНИЧЕННОЙ ОТВЕТСТВЕННОСТЬЮ "БИОНАТУРКОСМЕТИК"</t>
        </is>
      </c>
      <c r="C7082" s="13" t="n">
        <v>1659209800</v>
      </c>
      <c r="D7082" s="13" t="inlineStr">
        <is>
          <t>1659209800</t>
        </is>
      </c>
      <c r="E7082" s="13" t="inlineStr">
        <is>
          <t>ЮЛ РФ</t>
        </is>
      </c>
      <c r="F7082" s="13" t="n"/>
      <c r="G7082" s="52" t="n">
        <v>1</v>
      </c>
      <c r="H7082" s="52" t="n">
        <v>2025</v>
      </c>
      <c r="I7082" s="14" t="n"/>
      <c r="J7082" s="14" t="n"/>
      <c r="K7082" s="53" t="inlineStr">
        <is>
          <t>Нет</t>
        </is>
      </c>
      <c r="L7082" s="53" t="inlineStr">
        <is>
          <t>Не определено</t>
        </is>
      </c>
      <c r="M7082" s="53" t="inlineStr">
        <is>
          <t>До 10</t>
        </is>
      </c>
      <c r="N7082" s="54" t="n">
        <v>3360</v>
      </c>
      <c r="O7082" s="55" t="inlineStr">
        <is>
          <t>1–15</t>
        </is>
      </c>
      <c r="P7082" s="16" t="inlineStr">
        <is>
          <t>ССЧР обогащена; ОКВЭД не найден/не загружен</t>
        </is>
      </c>
      <c r="Q7082" s="16" t="inlineStr">
        <is>
          <t>ФНС открытые данные ССЧР (ДатаСост 31.12.2025; набор 7707329152-sshr2019)</t>
        </is>
      </c>
      <c r="R7082" s="16">
        <f>HYPERLINK("https://checko.ru/search?query=3801001629","Чекко: проверить")</f>
        <v/>
      </c>
      <c r="S7082" t="n">
        <v>1</v>
      </c>
      <c r="T7082" s="35" t="inlineStr">
        <is>
          <t>4 — Не обогащён</t>
        </is>
      </c>
      <c r="U7082" s="35" t="inlineStr">
        <is>
          <t>Нет ОКВЭД/ССЧР</t>
        </is>
      </c>
      <c r="V7082" s="35" t="inlineStr">
        <is>
          <t>Не определено</t>
        </is>
      </c>
      <c r="W7082" s="35" t="inlineStr">
        <is>
          <t>Нет</t>
        </is>
      </c>
      <c r="X7082" s="35" t="inlineStr"/>
    </row>
    <row r="7083" ht="15" customHeight="1" s="24">
      <c r="A7083" s="13" t="inlineStr">
        <is>
          <t>FR1287257</t>
        </is>
      </c>
      <c r="B7083" s="13" t="inlineStr">
        <is>
          <t>ИП Аничкина Ольга Владленовна</t>
        </is>
      </c>
      <c r="C7083" s="13" t="n">
        <v>280105535708</v>
      </c>
      <c r="D7083" s="13" t="inlineStr">
        <is>
          <t>280105535708</t>
        </is>
      </c>
      <c r="E7083" s="13" t="inlineStr">
        <is>
          <t>ИП РФ / физлицо</t>
        </is>
      </c>
      <c r="F7083" s="13" t="n"/>
      <c r="G7083" s="14" t="n"/>
      <c r="H7083" s="14" t="n"/>
      <c r="I7083" s="14" t="n"/>
      <c r="J7083" s="14" t="n"/>
      <c r="K7083" s="53" t="inlineStr"/>
      <c r="L7083" s="53" t="inlineStr">
        <is>
          <t>Не определено</t>
        </is>
      </c>
      <c r="M7083" s="53" t="inlineStr"/>
      <c r="N7083" s="54" t="inlineStr"/>
      <c r="O7083" s="55" t="inlineStr"/>
      <c r="P7083" s="16" t="inlineStr">
        <is>
          <t>Требует обогащения</t>
        </is>
      </c>
      <c r="Q7083" s="16">
        <f>HYPERLINK("https://pb.nalog.ru/search.html?query=280105535708","ФНС: проверить")</f>
        <v/>
      </c>
      <c r="R7083" s="16">
        <f>HYPERLINK("https://checko.ru/search?query=3801001629","Чекко: проверить")</f>
        <v/>
      </c>
      <c r="S7083" t="n">
        <v>1</v>
      </c>
      <c r="T7083" s="35" t="inlineStr">
        <is>
          <t>4 — Не обогащён</t>
        </is>
      </c>
      <c r="U7083" s="35" t="inlineStr">
        <is>
          <t>Нет ОКВЭД/ССЧР</t>
        </is>
      </c>
      <c r="V7083" s="35" t="inlineStr">
        <is>
          <t>Не определено</t>
        </is>
      </c>
      <c r="W7083" s="35" t="inlineStr"/>
      <c r="X7083" s="35" t="inlineStr"/>
    </row>
    <row r="7084" ht="15" customHeight="1" s="24">
      <c r="A7084" s="13" t="inlineStr">
        <is>
          <t>FR212819</t>
        </is>
      </c>
      <c r="B7084" s="13" t="inlineStr">
        <is>
          <t>ООО "Фортес"</t>
        </is>
      </c>
      <c r="C7084" s="13" t="n">
        <v>3812119044</v>
      </c>
      <c r="D7084" s="13" t="inlineStr">
        <is>
          <t>3812119044</t>
        </is>
      </c>
      <c r="E7084" s="13" t="inlineStr">
        <is>
          <t>ЮЛ РФ</t>
        </is>
      </c>
      <c r="F7084" s="13" t="n"/>
      <c r="G7084" s="52" t="n">
        <v>1</v>
      </c>
      <c r="H7084" s="52" t="n">
        <v>2025</v>
      </c>
      <c r="I7084" s="14" t="n"/>
      <c r="J7084" s="14" t="n"/>
      <c r="K7084" s="53" t="inlineStr">
        <is>
          <t>Нет</t>
        </is>
      </c>
      <c r="L7084" s="53" t="inlineStr">
        <is>
          <t>Не определено</t>
        </is>
      </c>
      <c r="M7084" s="53" t="inlineStr">
        <is>
          <t>До 10</t>
        </is>
      </c>
      <c r="N7084" s="54" t="n">
        <v>3360</v>
      </c>
      <c r="O7084" s="55" t="inlineStr">
        <is>
          <t>1–15</t>
        </is>
      </c>
      <c r="P7084" s="16" t="inlineStr">
        <is>
          <t>ССЧР обогащена; ОКВЭД не найден/не загружен</t>
        </is>
      </c>
      <c r="Q7084" s="16" t="inlineStr">
        <is>
          <t>ФНС открытые данные ССЧР (ДатаСост 31.12.2025; набор 7707329152-sshr2019)</t>
        </is>
      </c>
      <c r="R7084" s="16">
        <f>HYPERLINK("https://checko.ru/search?query=3801001629","Чекко: проверить")</f>
        <v/>
      </c>
      <c r="S7084" t="n">
        <v>1</v>
      </c>
      <c r="T7084" s="35" t="inlineStr">
        <is>
          <t>4 — Не обогащён</t>
        </is>
      </c>
      <c r="U7084" s="35" t="inlineStr">
        <is>
          <t>Нет ОКВЭД/ССЧР</t>
        </is>
      </c>
      <c r="V7084" s="35" t="inlineStr">
        <is>
          <t>Не определено</t>
        </is>
      </c>
      <c r="W7084" s="35" t="inlineStr">
        <is>
          <t>Нет</t>
        </is>
      </c>
      <c r="X7084" s="35" t="inlineStr"/>
    </row>
    <row r="7085" ht="27.75" customHeight="1" s="24">
      <c r="A7085" s="13" t="inlineStr">
        <is>
          <t>FR442027</t>
        </is>
      </c>
      <c r="B7085" s="13" t="inlineStr">
        <is>
          <t>ОБЩЕСТВО С ОГРАНИЧЕННОЙ ОТВЕТСТВЕННОСТЬЮ "ГК ПАРТНЕР"</t>
        </is>
      </c>
      <c r="C7085" s="13" t="n">
        <v>7722492298</v>
      </c>
      <c r="D7085" s="13" t="inlineStr">
        <is>
          <t>7722492298</t>
        </is>
      </c>
      <c r="E7085" s="13" t="inlineStr">
        <is>
          <t>ЮЛ РФ</t>
        </is>
      </c>
      <c r="F7085" s="13" t="n"/>
      <c r="G7085" s="52" t="n">
        <v>1</v>
      </c>
      <c r="H7085" s="52" t="n">
        <v>2025</v>
      </c>
      <c r="I7085" s="14" t="n"/>
      <c r="J7085" s="14" t="n"/>
      <c r="K7085" s="53" t="inlineStr">
        <is>
          <t>Нет</t>
        </is>
      </c>
      <c r="L7085" s="53" t="inlineStr">
        <is>
          <t>Не определено</t>
        </is>
      </c>
      <c r="M7085" s="53" t="inlineStr">
        <is>
          <t>До 10</t>
        </is>
      </c>
      <c r="N7085" s="54" t="n">
        <v>3360</v>
      </c>
      <c r="O7085" s="55" t="inlineStr">
        <is>
          <t>1–15</t>
        </is>
      </c>
      <c r="P7085" s="16" t="inlineStr">
        <is>
          <t>ССЧР обогащена; ОКВЭД не найден/не загружен</t>
        </is>
      </c>
      <c r="Q7085" s="16" t="inlineStr">
        <is>
          <t>ФНС открытые данные ССЧР (ДатаСост 31.12.2025; набор 7707329152-sshr2019)</t>
        </is>
      </c>
      <c r="R7085" s="16">
        <f>HYPERLINK("https://checko.ru/search?query=3801001629","Чекко: проверить")</f>
        <v/>
      </c>
      <c r="S7085" t="n">
        <v>1</v>
      </c>
      <c r="T7085" s="35" t="inlineStr">
        <is>
          <t>4 — Не обогащён</t>
        </is>
      </c>
      <c r="U7085" s="35" t="inlineStr">
        <is>
          <t>Нет ОКВЭД/ССЧР</t>
        </is>
      </c>
      <c r="V7085" s="35" t="inlineStr">
        <is>
          <t>Не определено</t>
        </is>
      </c>
      <c r="W7085" s="35" t="inlineStr">
        <is>
          <t>Нет</t>
        </is>
      </c>
      <c r="X7085" s="35" t="inlineStr"/>
    </row>
    <row r="7086" ht="27.75" customHeight="1" s="24">
      <c r="A7086" s="13" t="inlineStr">
        <is>
          <t>FR601800</t>
        </is>
      </c>
      <c r="B7086" s="13" t="inlineStr">
        <is>
          <t>Общество с ограниченной ответственностью "ФОТОН"</t>
        </is>
      </c>
      <c r="C7086" s="13" t="n">
        <v>3811173514</v>
      </c>
      <c r="D7086" s="13" t="inlineStr">
        <is>
          <t>3811173514</t>
        </is>
      </c>
      <c r="E7086" s="13" t="inlineStr">
        <is>
          <t>ЮЛ РФ</t>
        </is>
      </c>
      <c r="F7086" s="13" t="n"/>
      <c r="G7086" s="52" t="n">
        <v>3</v>
      </c>
      <c r="H7086" s="52" t="n">
        <v>2025</v>
      </c>
      <c r="I7086" s="14" t="n"/>
      <c r="J7086" s="14" t="n"/>
      <c r="K7086" s="53" t="inlineStr">
        <is>
          <t>Нет</t>
        </is>
      </c>
      <c r="L7086" s="53" t="inlineStr">
        <is>
          <t>Не определено</t>
        </is>
      </c>
      <c r="M7086" s="53" t="inlineStr">
        <is>
          <t>До 10</t>
        </is>
      </c>
      <c r="N7086" s="54" t="n">
        <v>3360</v>
      </c>
      <c r="O7086" s="55" t="inlineStr">
        <is>
          <t>1–15</t>
        </is>
      </c>
      <c r="P7086" s="16" t="inlineStr">
        <is>
          <t>ССЧР обогащена; ОКВЭД не найден/не загружен</t>
        </is>
      </c>
      <c r="Q7086" s="16" t="inlineStr">
        <is>
          <t>ФНС открытые данные ССЧР (ДатаСост 31.12.2025; набор 7707329152-sshr2019)</t>
        </is>
      </c>
      <c r="R7086" s="16">
        <f>HYPERLINK("https://checko.ru/search?query=3801001629","Чекко: проверить")</f>
        <v/>
      </c>
      <c r="S7086" t="n">
        <v>1</v>
      </c>
      <c r="T7086" s="35" t="inlineStr">
        <is>
          <t>4 — Не обогащён</t>
        </is>
      </c>
      <c r="U7086" s="35" t="inlineStr">
        <is>
          <t>Нет ОКВЭД/ССЧР</t>
        </is>
      </c>
      <c r="V7086" s="35" t="inlineStr">
        <is>
          <t>Не определено</t>
        </is>
      </c>
      <c r="W7086" s="35" t="inlineStr">
        <is>
          <t>Нет</t>
        </is>
      </c>
      <c r="X7086" s="35" t="inlineStr"/>
    </row>
    <row r="7087" ht="27.75" customHeight="1" s="24">
      <c r="A7087" s="13" t="inlineStr">
        <is>
          <t>FR1290164</t>
        </is>
      </c>
      <c r="B7087" s="13" t="inlineStr">
        <is>
          <t>Общество с ограниченной ответственностью "ДЖИ ТИ МИНЕРАЛС"</t>
        </is>
      </c>
      <c r="C7087" s="13" t="n">
        <v>3811461470</v>
      </c>
      <c r="D7087" s="13" t="inlineStr">
        <is>
          <t>3811461470</t>
        </is>
      </c>
      <c r="E7087" s="13" t="inlineStr">
        <is>
          <t>ЮЛ РФ</t>
        </is>
      </c>
      <c r="F7087" s="13" t="n"/>
      <c r="G7087" s="52" t="n">
        <v>2</v>
      </c>
      <c r="H7087" s="52" t="n">
        <v>2025</v>
      </c>
      <c r="I7087" s="14" t="n"/>
      <c r="J7087" s="14" t="n"/>
      <c r="K7087" s="53" t="inlineStr">
        <is>
          <t>Нет</t>
        </is>
      </c>
      <c r="L7087" s="53" t="inlineStr">
        <is>
          <t>Не определено</t>
        </is>
      </c>
      <c r="M7087" s="53" t="inlineStr">
        <is>
          <t>До 10</t>
        </is>
      </c>
      <c r="N7087" s="54" t="n">
        <v>3360</v>
      </c>
      <c r="O7087" s="55" t="inlineStr">
        <is>
          <t>1–15</t>
        </is>
      </c>
      <c r="P7087" s="16" t="inlineStr">
        <is>
          <t>ССЧР обогащена; ОКВЭД не найден/не загружен</t>
        </is>
      </c>
      <c r="Q7087" s="16" t="inlineStr">
        <is>
          <t>ФНС открытые данные ССЧР (ДатаСост 31.12.2025; набор 7707329152-sshr2019)</t>
        </is>
      </c>
      <c r="R7087" s="16">
        <f>HYPERLINK("https://checko.ru/search?query=3801001629","Чекко: проверить")</f>
        <v/>
      </c>
      <c r="S7087" t="n">
        <v>1</v>
      </c>
      <c r="T7087" s="35" t="inlineStr">
        <is>
          <t>4 — Не обогащён</t>
        </is>
      </c>
      <c r="U7087" s="35" t="inlineStr">
        <is>
          <t>Нет ОКВЭД/ССЧР</t>
        </is>
      </c>
      <c r="V7087" s="35" t="inlineStr">
        <is>
          <t>Не определено</t>
        </is>
      </c>
      <c r="W7087" s="35" t="inlineStr">
        <is>
          <t>Нет</t>
        </is>
      </c>
      <c r="X7087" s="35" t="inlineStr"/>
    </row>
    <row r="7088" ht="27.75" customHeight="1" s="24">
      <c r="A7088" s="13" t="inlineStr">
        <is>
          <t>FR15158</t>
        </is>
      </c>
      <c r="B7088" s="13" t="inlineStr">
        <is>
          <t>Общество с ограниченной ответственностью "СИБАГРОТРЕЙД"</t>
        </is>
      </c>
      <c r="C7088" s="13" t="n">
        <v>3816031792</v>
      </c>
      <c r="D7088" s="13" t="inlineStr">
        <is>
          <t>3816031792</t>
        </is>
      </c>
      <c r="E7088" s="13" t="inlineStr">
        <is>
          <t>ЮЛ РФ</t>
        </is>
      </c>
      <c r="F7088" s="13" t="n"/>
      <c r="G7088" s="52" t="n">
        <v>1</v>
      </c>
      <c r="H7088" s="52" t="n">
        <v>2025</v>
      </c>
      <c r="I7088" s="14" t="n"/>
      <c r="J7088" s="14" t="n"/>
      <c r="K7088" s="53" t="inlineStr">
        <is>
          <t>Нет</t>
        </is>
      </c>
      <c r="L7088" s="53" t="inlineStr">
        <is>
          <t>Не определено</t>
        </is>
      </c>
      <c r="M7088" s="53" t="inlineStr">
        <is>
          <t>До 10</t>
        </is>
      </c>
      <c r="N7088" s="54" t="n">
        <v>3360</v>
      </c>
      <c r="O7088" s="55" t="inlineStr">
        <is>
          <t>1–15</t>
        </is>
      </c>
      <c r="P7088" s="16" t="inlineStr">
        <is>
          <t>ССЧР обогащена; ОКВЭД не найден/не загружен</t>
        </is>
      </c>
      <c r="Q7088" s="16" t="inlineStr">
        <is>
          <t>ФНС открытые данные ССЧР (ДатаСост 31.12.2025; набор 7707329152-sshr2019)</t>
        </is>
      </c>
      <c r="R7088" s="16">
        <f>HYPERLINK("https://checko.ru/search?query=3801001629","Чекко: проверить")</f>
        <v/>
      </c>
      <c r="S7088" t="n">
        <v>1</v>
      </c>
      <c r="T7088" s="35" t="inlineStr">
        <is>
          <t>4 — Не обогащён</t>
        </is>
      </c>
      <c r="U7088" s="35" t="inlineStr">
        <is>
          <t>Нет ОКВЭД/ССЧР</t>
        </is>
      </c>
      <c r="V7088" s="35" t="inlineStr">
        <is>
          <t>Не определено</t>
        </is>
      </c>
      <c r="W7088" s="35" t="inlineStr">
        <is>
          <t>Нет</t>
        </is>
      </c>
      <c r="X7088" s="35" t="inlineStr"/>
    </row>
    <row r="7089" ht="27.75" customHeight="1" s="24">
      <c r="A7089" s="13" t="inlineStr">
        <is>
          <t>FR593584</t>
        </is>
      </c>
      <c r="B7089" s="13" t="inlineStr">
        <is>
          <t>Общество с ограниченной ответственностью "СЕЙФОРТ"</t>
        </is>
      </c>
      <c r="C7089" s="13" t="n">
        <v>3812988407</v>
      </c>
      <c r="D7089" s="13" t="inlineStr">
        <is>
          <t>3812988407</t>
        </is>
      </c>
      <c r="E7089" s="13" t="inlineStr">
        <is>
          <t>ЮЛ РФ</t>
        </is>
      </c>
      <c r="F7089" s="13" t="n"/>
      <c r="G7089" s="52" t="n">
        <v>1</v>
      </c>
      <c r="H7089" s="52" t="n">
        <v>2025</v>
      </c>
      <c r="I7089" s="14" t="n"/>
      <c r="J7089" s="14" t="n"/>
      <c r="K7089" s="53" t="inlineStr">
        <is>
          <t>Нет</t>
        </is>
      </c>
      <c r="L7089" s="53" t="inlineStr">
        <is>
          <t>Не определено</t>
        </is>
      </c>
      <c r="M7089" s="53" t="inlineStr">
        <is>
          <t>До 10</t>
        </is>
      </c>
      <c r="N7089" s="54" t="n">
        <v>3360</v>
      </c>
      <c r="O7089" s="55" t="inlineStr">
        <is>
          <t>1–15</t>
        </is>
      </c>
      <c r="P7089" s="16" t="inlineStr">
        <is>
          <t>ССЧР обогащена; ОКВЭД не найден/не загружен</t>
        </is>
      </c>
      <c r="Q7089" s="16" t="inlineStr">
        <is>
          <t>ФНС открытые данные ССЧР (ДатаСост 31.12.2025; набор 7707329152-sshr2019)</t>
        </is>
      </c>
      <c r="R7089" s="16">
        <f>HYPERLINK("https://checko.ru/search?query=3801001629","Чекко: проверить")</f>
        <v/>
      </c>
      <c r="S7089" t="n">
        <v>1</v>
      </c>
      <c r="T7089" s="35" t="inlineStr">
        <is>
          <t>4 — Не обогащён</t>
        </is>
      </c>
      <c r="U7089" s="35" t="inlineStr">
        <is>
          <t>Нет ОКВЭД/ССЧР</t>
        </is>
      </c>
      <c r="V7089" s="35" t="inlineStr">
        <is>
          <t>Не определено</t>
        </is>
      </c>
      <c r="W7089" s="35" t="inlineStr">
        <is>
          <t>Нет</t>
        </is>
      </c>
      <c r="X7089" s="35" t="inlineStr"/>
    </row>
    <row r="7090" ht="27.75" customHeight="1" s="24">
      <c r="A7090" s="13" t="inlineStr">
        <is>
          <t>FR697277</t>
        </is>
      </c>
      <c r="B7090" s="13" t="inlineStr">
        <is>
          <t>Общество с ограниченной ответственностью "ТОЧКА ХОЛОДА"</t>
        </is>
      </c>
      <c r="C7090" s="13" t="n">
        <v>3849091540</v>
      </c>
      <c r="D7090" s="13" t="inlineStr">
        <is>
          <t>3849091540</t>
        </is>
      </c>
      <c r="E7090" s="13" t="inlineStr">
        <is>
          <t>ЮЛ РФ</t>
        </is>
      </c>
      <c r="F7090" s="13" t="n"/>
      <c r="G7090" s="52" t="n">
        <v>2</v>
      </c>
      <c r="H7090" s="52" t="n">
        <v>2025</v>
      </c>
      <c r="I7090" s="14" t="n"/>
      <c r="J7090" s="14" t="n"/>
      <c r="K7090" s="53" t="inlineStr">
        <is>
          <t>Нет</t>
        </is>
      </c>
      <c r="L7090" s="53" t="inlineStr">
        <is>
          <t>Не определено</t>
        </is>
      </c>
      <c r="M7090" s="53" t="inlineStr">
        <is>
          <t>До 10</t>
        </is>
      </c>
      <c r="N7090" s="54" t="n">
        <v>3360</v>
      </c>
      <c r="O7090" s="55" t="inlineStr">
        <is>
          <t>1–15</t>
        </is>
      </c>
      <c r="P7090" s="16" t="inlineStr">
        <is>
          <t>ССЧР обогащена; ОКВЭД не найден/не загружен</t>
        </is>
      </c>
      <c r="Q7090" s="16" t="inlineStr">
        <is>
          <t>ФНС открытые данные ССЧР (ДатаСост 31.12.2025; набор 7707329152-sshr2019)</t>
        </is>
      </c>
      <c r="R7090" s="16">
        <f>HYPERLINK("https://checko.ru/search?query=3801001629","Чекко: проверить")</f>
        <v/>
      </c>
      <c r="S7090" t="n">
        <v>1</v>
      </c>
      <c r="T7090" s="35" t="inlineStr">
        <is>
          <t>4 — Не обогащён</t>
        </is>
      </c>
      <c r="U7090" s="35" t="inlineStr">
        <is>
          <t>Нет ОКВЭД/ССЧР</t>
        </is>
      </c>
      <c r="V7090" s="35" t="inlineStr">
        <is>
          <t>Не определено</t>
        </is>
      </c>
      <c r="W7090" s="35" t="inlineStr">
        <is>
          <t>Нет</t>
        </is>
      </c>
      <c r="X7090" s="35" t="inlineStr"/>
    </row>
    <row r="7091" ht="27.75" customHeight="1" s="24">
      <c r="A7091" s="13" t="inlineStr">
        <is>
          <t>FR816472</t>
        </is>
      </c>
      <c r="B7091" s="13" t="inlineStr">
        <is>
          <t>Индивидуальный предприниматель Шулепов Игорь Иннокентьевич</t>
        </is>
      </c>
      <c r="C7091" s="13" t="n">
        <v>380801046704</v>
      </c>
      <c r="D7091" s="13" t="inlineStr">
        <is>
          <t>380801046704</t>
        </is>
      </c>
      <c r="E7091" s="13" t="inlineStr">
        <is>
          <t>ИП РФ / физлицо</t>
        </is>
      </c>
      <c r="F7091" s="13" t="n"/>
      <c r="G7091" s="14" t="n"/>
      <c r="H7091" s="14" t="n"/>
      <c r="I7091" s="14" t="n"/>
      <c r="J7091" s="14" t="n"/>
      <c r="K7091" s="53" t="inlineStr"/>
      <c r="L7091" s="53" t="inlineStr">
        <is>
          <t>Не определено</t>
        </is>
      </c>
      <c r="M7091" s="53" t="inlineStr"/>
      <c r="N7091" s="54" t="inlineStr"/>
      <c r="O7091" s="55" t="inlineStr"/>
      <c r="P7091" s="16" t="inlineStr">
        <is>
          <t>Требует обогащения</t>
        </is>
      </c>
      <c r="Q7091" s="16">
        <f>HYPERLINK("https://pb.nalog.ru/search.html?query=380801046704","ФНС: проверить")</f>
        <v/>
      </c>
      <c r="R7091" s="16">
        <f>HYPERLINK("https://checko.ru/search?query=3801001629","Чекко: проверить")</f>
        <v/>
      </c>
      <c r="S7091" t="n">
        <v>1</v>
      </c>
      <c r="T7091" s="35" t="inlineStr">
        <is>
          <t>4 — Не обогащён</t>
        </is>
      </c>
      <c r="U7091" s="35" t="inlineStr">
        <is>
          <t>Нет ОКВЭД/ССЧР</t>
        </is>
      </c>
      <c r="V7091" s="35" t="inlineStr">
        <is>
          <t>Не определено</t>
        </is>
      </c>
      <c r="W7091" s="35" t="inlineStr"/>
      <c r="X7091" s="35" t="inlineStr"/>
    </row>
    <row r="7092" ht="15" customHeight="1" s="24">
      <c r="A7092" s="13" t="inlineStr">
        <is>
          <t>FR1288557</t>
        </is>
      </c>
      <c r="B7092" s="13" t="inlineStr">
        <is>
          <t>ИП Жданов Владимир Анатольевич</t>
        </is>
      </c>
      <c r="C7092" s="13" t="n">
        <v>381700003304</v>
      </c>
      <c r="D7092" s="13" t="inlineStr">
        <is>
          <t>381700003304</t>
        </is>
      </c>
      <c r="E7092" s="13" t="inlineStr">
        <is>
          <t>ИП РФ / физлицо</t>
        </is>
      </c>
      <c r="F7092" s="13" t="n"/>
      <c r="G7092" s="14" t="n"/>
      <c r="H7092" s="14" t="n"/>
      <c r="I7092" s="14" t="n"/>
      <c r="J7092" s="14" t="n"/>
      <c r="K7092" s="53" t="inlineStr"/>
      <c r="L7092" s="53" t="inlineStr">
        <is>
          <t>Не определено</t>
        </is>
      </c>
      <c r="M7092" s="53" t="inlineStr"/>
      <c r="N7092" s="54" t="inlineStr"/>
      <c r="O7092" s="55" t="inlineStr"/>
      <c r="P7092" s="16" t="inlineStr">
        <is>
          <t>Требует обогащения</t>
        </is>
      </c>
      <c r="Q7092" s="16">
        <f>HYPERLINK("https://pb.nalog.ru/search.html?query=381700003304","ФНС: проверить")</f>
        <v/>
      </c>
      <c r="R7092" s="16">
        <f>HYPERLINK("https://checko.ru/search?query=3801001629","Чекко: проверить")</f>
        <v/>
      </c>
      <c r="S7092" t="n">
        <v>1</v>
      </c>
      <c r="T7092" s="35" t="inlineStr">
        <is>
          <t>4 — Не обогащён</t>
        </is>
      </c>
      <c r="U7092" s="35" t="inlineStr">
        <is>
          <t>Нет ОКВЭД/ССЧР</t>
        </is>
      </c>
      <c r="V7092" s="35" t="inlineStr">
        <is>
          <t>Не определено</t>
        </is>
      </c>
      <c r="W7092" s="35" t="inlineStr"/>
      <c r="X7092" s="35" t="inlineStr"/>
    </row>
    <row r="7093" ht="15" customHeight="1" s="24">
      <c r="A7093" s="13" t="inlineStr">
        <is>
          <t>FR1297365</t>
        </is>
      </c>
      <c r="B7093" s="13" t="inlineStr">
        <is>
          <t>Акционерное общество "СЛАВНОЕ МОРЕ ПОРТ"</t>
        </is>
      </c>
      <c r="C7093" s="13" t="n">
        <v>300006571</v>
      </c>
      <c r="D7093" s="13" t="n"/>
      <c r="E7093" s="13" t="inlineStr">
        <is>
          <t>Не определён</t>
        </is>
      </c>
      <c r="F7093" s="13" t="inlineStr">
        <is>
          <t>300006571</t>
        </is>
      </c>
      <c r="G7093" s="14" t="n"/>
      <c r="H7093" s="14" t="n"/>
      <c r="I7093" s="14" t="n"/>
      <c r="J7093" s="14" t="n"/>
      <c r="K7093" s="13">
        <f>IF(G7093="","",IF(G7093&gt;=22,"Да","Нет"))</f>
        <v/>
      </c>
      <c r="L7093" s="13">
        <f>IF(OR(I7093="",J7093=""),"Не определено",IF(OR(COUNTIF(I7093,"45*")&gt;0,COUNTIF(J7093,"*45*")&gt;0,COUNTIF(I7093,"46*")&gt;0,COUNTIF(J7093,"*46*")&gt;0,COUNTIF(I7093,"47*")&gt;0,COUNTIF(J7093,"*47*")&gt;0,COUNTIF(I7093,"10*")&gt;0,COUNTIF(J7093,"*10*")&gt;0,COUNTIF(I7093,"11*")&gt;0,COUNTIF(J7093,"*11*")&gt;0,COUNTIF(I7093,"12*")&gt;0,COUNTIF(J7093,"*12*")&gt;0,COUNTIF(I7093,"13*")&gt;0,COUNTIF(J7093,"*13*")&gt;0,COUNTIF(I7093,"14*")&gt;0,COUNTIF(J7093,"*14*")&gt;0,COUNTIF(I7093,"15*")&gt;0,COUNTIF(J7093,"*15*")&gt;0,COUNTIF(I7093,"16*")&gt;0,COUNTIF(J7093,"*16*")&gt;0,COUNTIF(I7093,"17*")&gt;0,COUNTIF(J7093,"*17*")&gt;0,COUNTIF(I7093,"18*")&gt;0,COUNTIF(J7093,"*18*")&gt;0,COUNTIF(I7093,"19*")&gt;0,COUNTIF(J7093,"*19*")&gt;0,COUNTIF(I7093,"20*")&gt;0,COUNTIF(J7093,"*20*")&gt;0,COUNTIF(I7093,"21*")&gt;0,COUNTIF(J7093,"*21*")&gt;0,COUNTIF(I7093,"22*")&gt;0,COUNTIF(J7093,"*22*")&gt;0,COUNTIF(I7093,"23*")&gt;0,COUNTIF(J7093,"*23*")&gt;0,COUNTIF(I7093,"24*")&gt;0,COUNTIF(J7093,"*24*")&gt;0,COUNTIF(I7093,"25*")&gt;0,COUNTIF(J7093,"*25*")&gt;0,COUNTIF(I7093,"26*")&gt;0,COUNTIF(J7093,"*26*")&gt;0,COUNTIF(I7093,"27*")&gt;0,COUNTIF(J7093,"*27*")&gt;0,COUNTIF(I7093,"28*")&gt;0,COUNTIF(J7093,"*28*")&gt;0,COUNTIF(I7093,"29*")&gt;0,COUNTIF(J7093,"*29*")&gt;0,COUNTIF(I7093,"30*")&gt;0,COUNTIF(J7093,"*30*")&gt;0,COUNTIF(I7093,"31*")&gt;0,COUNTIF(J7093,"*31*")&gt;0,COUNTIF(I7093,"32*")&gt;0,COUNTIF(J7093,"*32*")&gt;0,COUNTIF(I7093,"33*")&gt;0,COUNTIF(J7093,"*33*")&gt;0,COUNTIF(I7093,"41*")&gt;0,COUNTIF(J7093,"*41*")&gt;0,COUNTIF(I7093,"42*")&gt;0,COUNTIF(J7093,"*42*")&gt;0,COUNTIF(I7093,"43*")&gt;0,COUNTIF(J7093,"*43*")&gt;0,COUNTIF(I7093,"49*")&gt;0,COUNTIF(J7093,"*49*")&gt;0,COUNTIF(I7093,"52*")&gt;0,COUNTIF(J7093,"*52*")&gt;0,COUNTIF(I7093,"55*")&gt;0,COUNTIF(J7093,"*55*")&gt;0,COUNTIF(I7093,"56*")&gt;0,COUNTIF(J7093,"*56*")&gt;0,COUNTIF(I7093,"68*")&gt;0,COUNTIF(J7093,"*68*")&gt;0,COUNTIF(I7093,"78*")&gt;0,COUNTIF(J7093,"*78*")&gt;0,COUNTIF(I7093,"81*")&gt;0,COUNTIF(J7093,"*81*")&gt;0,COUNTIF(I7093,"82*")&gt;0,COUNTIF(J7093,"*82*")&gt;0,COUNTIF(I7093,"64*")&gt;0,COUNTIF(J7093,"*64*")&gt;0,COUNTIF(I7093,"65*")&gt;0,COUNTIF(J7093,"*65*")&gt;0,COUNTIF(I7093,"66*")&gt;0,COUNTIF(J7093,"*66*")&gt;0,COUNTIF(I7093,"61*")&gt;0,COUNTIF(J7093,"*61*")&gt;0,COUNTIF(I7093,"62*")&gt;0,COUNTIF(J7093,"*62*")&gt;0,COUNTIF(I7093,"63*")&gt;0,COUNTIF(J7093,"*63*")&gt;0,COUNTIF(I7093,"85*")&gt;0,COUNTIF(J7093,"*85*")&gt;0,COUNTIF(I7093,"86*")&gt;0,COUNTIF(J7093,"*86*")&gt;0),"Да","Нет"))</f>
        <v/>
      </c>
      <c r="M7093" s="13">
        <f>IF(OR(G7093="",L7093&lt;&gt;"Да"),"",IF(G7093&lt;=100,"До 100",IF(G7093&lt;=200,"До 200",IF(G7093&lt;=500,"До 500","Отдельное КП"))))</f>
        <v/>
      </c>
      <c r="N7093" s="15">
        <f>IF(OR(G7093="",L7093&lt;&gt;"Да"),"",IF(G7093&lt;=100,33600,IF(G7093&lt;=200,62400,IF(G7093&lt;=500,144000,""))))</f>
        <v/>
      </c>
      <c r="O7093" s="16">
        <f>IF(G7093="","",IF(G7093&lt;=15,"1–15",IF(G7093&lt;=30,"16–30",IF(G7093&lt;=50,"31–50",IF(G7093&lt;=100,"51–100",IF(G7093&lt;=150,"101–150",IF(G7093&lt;=200,"151–200",IF(G7093&lt;=500,"201–500","500+"))))))))</f>
        <v/>
      </c>
      <c r="P7093" s="16" t="inlineStr">
        <is>
          <t>Нет совпадения в предоставленной выгрузке ССЧР</t>
        </is>
      </c>
      <c r="Q7093" s="16" t="n"/>
      <c r="R7093" s="16">
        <f>HYPERLINK("https://checko.ru/search?query=3801001629","Чекко: проверить")</f>
        <v/>
      </c>
      <c r="S7093" t="n">
        <v>0</v>
      </c>
    </row>
    <row r="7094" ht="27.75" customHeight="1" s="24">
      <c r="A7094" s="13" t="inlineStr">
        <is>
          <t>FR1091559</t>
        </is>
      </c>
      <c r="B7094" s="13" t="inlineStr">
        <is>
          <t>Общество с ограниченной ответственностью "МИНЕРАЛ 38"</t>
        </is>
      </c>
      <c r="C7094" s="13" t="n">
        <v>3808268621</v>
      </c>
      <c r="D7094" s="13" t="inlineStr">
        <is>
          <t>3808268621</t>
        </is>
      </c>
      <c r="E7094" s="13" t="inlineStr">
        <is>
          <t>ЮЛ РФ</t>
        </is>
      </c>
      <c r="F7094" s="13" t="n"/>
      <c r="G7094" s="52" t="n">
        <v>13</v>
      </c>
      <c r="H7094" s="52" t="n">
        <v>2025</v>
      </c>
      <c r="I7094" s="14" t="n"/>
      <c r="J7094" s="14" t="n"/>
      <c r="K7094" s="53" t="inlineStr">
        <is>
          <t>Нет</t>
        </is>
      </c>
      <c r="L7094" s="53" t="inlineStr">
        <is>
          <t>Не определено</t>
        </is>
      </c>
      <c r="M7094" s="53" t="inlineStr">
        <is>
          <t>До 25</t>
        </is>
      </c>
      <c r="N7094" s="54" t="n">
        <v>8400</v>
      </c>
      <c r="O7094" s="55" t="inlineStr">
        <is>
          <t>1–15</t>
        </is>
      </c>
      <c r="P7094" s="16" t="inlineStr">
        <is>
          <t>ССЧР обогащена; ОКВЭД не найден/не загружен</t>
        </is>
      </c>
      <c r="Q7094" s="16" t="inlineStr">
        <is>
          <t>ФНС открытые данные ССЧР (ДатаСост 31.12.2025; набор 7707329152-sshr2019)</t>
        </is>
      </c>
      <c r="R7094" s="16">
        <f>HYPERLINK("https://checko.ru/search?query=3801001629","Чекко: проверить")</f>
        <v/>
      </c>
      <c r="S7094" t="n">
        <v>1</v>
      </c>
      <c r="T7094" s="35" t="inlineStr">
        <is>
          <t>4 — Не обогащён</t>
        </is>
      </c>
      <c r="U7094" s="35" t="inlineStr">
        <is>
          <t>Нет ОКВЭД/ССЧР</t>
        </is>
      </c>
      <c r="V7094" s="35" t="inlineStr">
        <is>
          <t>Не определено</t>
        </is>
      </c>
      <c r="W7094" s="35" t="inlineStr">
        <is>
          <t>Нет</t>
        </is>
      </c>
      <c r="X7094" s="35" t="inlineStr"/>
    </row>
    <row r="7095" ht="27.75" customHeight="1" s="24">
      <c r="A7095" s="13" t="inlineStr">
        <is>
          <t>FR1093269</t>
        </is>
      </c>
      <c r="B7095" s="13" t="inlineStr">
        <is>
          <t>Общество с ограниченной ответственностью "ГОРНЯК"</t>
        </is>
      </c>
      <c r="C7095" s="13" t="n">
        <v>3812995404</v>
      </c>
      <c r="D7095" s="13" t="inlineStr">
        <is>
          <t>3812995404</t>
        </is>
      </c>
      <c r="E7095" s="13" t="inlineStr">
        <is>
          <t>ЮЛ РФ</t>
        </is>
      </c>
      <c r="F7095" s="13" t="n"/>
      <c r="G7095" s="52" t="n">
        <v>3</v>
      </c>
      <c r="H7095" s="52" t="n">
        <v>2025</v>
      </c>
      <c r="I7095" s="14" t="n"/>
      <c r="J7095" s="14" t="n"/>
      <c r="K7095" s="53" t="inlineStr">
        <is>
          <t>Нет</t>
        </is>
      </c>
      <c r="L7095" s="53" t="inlineStr">
        <is>
          <t>Не определено</t>
        </is>
      </c>
      <c r="M7095" s="53" t="inlineStr">
        <is>
          <t>До 10</t>
        </is>
      </c>
      <c r="N7095" s="54" t="n">
        <v>3360</v>
      </c>
      <c r="O7095" s="55" t="inlineStr">
        <is>
          <t>1–15</t>
        </is>
      </c>
      <c r="P7095" s="16" t="inlineStr">
        <is>
          <t>ССЧР обогащена; ОКВЭД не найден/не загружен</t>
        </is>
      </c>
      <c r="Q7095" s="16" t="inlineStr">
        <is>
          <t>ФНС открытые данные ССЧР (ДатаСост 31.12.2025; набор 7707329152-sshr2019)</t>
        </is>
      </c>
      <c r="R7095" s="16">
        <f>HYPERLINK("https://checko.ru/search?query=3801001629","Чекко: проверить")</f>
        <v/>
      </c>
      <c r="S7095" t="n">
        <v>1</v>
      </c>
      <c r="T7095" s="35" t="inlineStr">
        <is>
          <t>4 — Не обогащён</t>
        </is>
      </c>
      <c r="U7095" s="35" t="inlineStr">
        <is>
          <t>Нет ОКВЭД/ССЧР</t>
        </is>
      </c>
      <c r="V7095" s="35" t="inlineStr">
        <is>
          <t>Не определено</t>
        </is>
      </c>
      <c r="W7095" s="35" t="inlineStr">
        <is>
          <t>Нет</t>
        </is>
      </c>
      <c r="X7095" s="35" t="inlineStr"/>
    </row>
    <row r="7096" ht="27.75" customHeight="1" s="24">
      <c r="A7096" s="13" t="inlineStr">
        <is>
          <t>FR1094019</t>
        </is>
      </c>
      <c r="B7096" s="13" t="inlineStr">
        <is>
          <t>Общество с ограниченной ответственностью "АНГАРАШАРМ"</t>
        </is>
      </c>
      <c r="C7096" s="13" t="n">
        <v>3810073108</v>
      </c>
      <c r="D7096" s="13" t="inlineStr">
        <is>
          <t>3810073108</t>
        </is>
      </c>
      <c r="E7096" s="13" t="inlineStr">
        <is>
          <t>ЮЛ РФ</t>
        </is>
      </c>
      <c r="F7096" s="13" t="n"/>
      <c r="G7096" s="52" t="n">
        <v>1</v>
      </c>
      <c r="H7096" s="52" t="n">
        <v>2025</v>
      </c>
      <c r="I7096" s="14" t="n"/>
      <c r="J7096" s="14" t="n"/>
      <c r="K7096" s="53" t="inlineStr">
        <is>
          <t>Нет</t>
        </is>
      </c>
      <c r="L7096" s="53" t="inlineStr">
        <is>
          <t>Не определено</t>
        </is>
      </c>
      <c r="M7096" s="53" t="inlineStr">
        <is>
          <t>До 10</t>
        </is>
      </c>
      <c r="N7096" s="54" t="n">
        <v>3360</v>
      </c>
      <c r="O7096" s="55" t="inlineStr">
        <is>
          <t>1–15</t>
        </is>
      </c>
      <c r="P7096" s="16" t="inlineStr">
        <is>
          <t>ССЧР обогащена; ОКВЭД не найден/не загружен</t>
        </is>
      </c>
      <c r="Q7096" s="16" t="inlineStr">
        <is>
          <t>ФНС открытые данные ССЧР (ДатаСост 31.12.2025; набор 7707329152-sshr2019)</t>
        </is>
      </c>
      <c r="R7096" s="16">
        <f>HYPERLINK("https://checko.ru/search?query=3801001629","Чекко: проверить")</f>
        <v/>
      </c>
      <c r="S7096" t="n">
        <v>1</v>
      </c>
      <c r="T7096" s="35" t="inlineStr">
        <is>
          <t>4 — Не обогащён</t>
        </is>
      </c>
      <c r="U7096" s="35" t="inlineStr">
        <is>
          <t>Нет ОКВЭД/ССЧР</t>
        </is>
      </c>
      <c r="V7096" s="35" t="inlineStr">
        <is>
          <t>Не определено</t>
        </is>
      </c>
      <c r="W7096" s="35" t="inlineStr">
        <is>
          <t>Нет</t>
        </is>
      </c>
      <c r="X7096" s="35" t="inlineStr"/>
    </row>
    <row r="7097" ht="15" customHeight="1" s="24">
      <c r="A7097" s="13" t="inlineStr">
        <is>
          <t>FR993616</t>
        </is>
      </c>
      <c r="B7097" s="13" t="inlineStr">
        <is>
          <t>ИП Зольникова М.Р.</t>
        </is>
      </c>
      <c r="C7097" s="13" t="n">
        <v>383406148122</v>
      </c>
      <c r="D7097" s="13" t="inlineStr">
        <is>
          <t>383406148122</t>
        </is>
      </c>
      <c r="E7097" s="13" t="inlineStr">
        <is>
          <t>ИП РФ / физлицо</t>
        </is>
      </c>
      <c r="F7097" s="13" t="n"/>
      <c r="G7097" s="14" t="n"/>
      <c r="H7097" s="14" t="n"/>
      <c r="I7097" s="14" t="n"/>
      <c r="J7097" s="14" t="n"/>
      <c r="K7097" s="53" t="inlineStr"/>
      <c r="L7097" s="53" t="inlineStr">
        <is>
          <t>Не определено</t>
        </is>
      </c>
      <c r="M7097" s="53" t="inlineStr"/>
      <c r="N7097" s="54" t="inlineStr"/>
      <c r="O7097" s="55" t="inlineStr"/>
      <c r="P7097" s="16" t="inlineStr">
        <is>
          <t>Требует обогащения</t>
        </is>
      </c>
      <c r="Q7097" s="16">
        <f>HYPERLINK("https://pb.nalog.ru/search.html?query=383406148122","ФНС: проверить")</f>
        <v/>
      </c>
      <c r="R7097" s="16">
        <f>HYPERLINK("https://checko.ru/search?query=3801001629","Чекко: проверить")</f>
        <v/>
      </c>
      <c r="S7097" t="n">
        <v>1</v>
      </c>
      <c r="T7097" s="35" t="inlineStr">
        <is>
          <t>4 — Не обогащён</t>
        </is>
      </c>
      <c r="U7097" s="35" t="inlineStr">
        <is>
          <t>Нет ОКВЭД/ССЧР</t>
        </is>
      </c>
      <c r="V7097" s="35" t="inlineStr">
        <is>
          <t>Не определено</t>
        </is>
      </c>
      <c r="W7097" s="35" t="inlineStr"/>
      <c r="X7097" s="35" t="inlineStr"/>
    </row>
    <row r="7098" ht="27.75" customHeight="1" s="24">
      <c r="A7098" s="13" t="inlineStr">
        <is>
          <t>FR154201</t>
        </is>
      </c>
      <c r="B7098" s="13" t="inlineStr">
        <is>
          <t>Общество с ограниченной ответственностью "ИВАН РАКОВАР ПАРТНЕРС"</t>
        </is>
      </c>
      <c r="C7098" s="13" t="n">
        <v>2308242380</v>
      </c>
      <c r="D7098" s="13" t="inlineStr">
        <is>
          <t>2308242380</t>
        </is>
      </c>
      <c r="E7098" s="13" t="inlineStr">
        <is>
          <t>ЮЛ РФ</t>
        </is>
      </c>
      <c r="F7098" s="13" t="n"/>
      <c r="G7098" s="52" t="n">
        <v>4</v>
      </c>
      <c r="H7098" s="52" t="n">
        <v>2025</v>
      </c>
      <c r="I7098" s="14" t="n"/>
      <c r="J7098" s="14" t="n"/>
      <c r="K7098" s="53" t="inlineStr">
        <is>
          <t>Нет</t>
        </is>
      </c>
      <c r="L7098" s="53" t="inlineStr">
        <is>
          <t>Не определено</t>
        </is>
      </c>
      <c r="M7098" s="53" t="inlineStr">
        <is>
          <t>До 10</t>
        </is>
      </c>
      <c r="N7098" s="54" t="n">
        <v>3360</v>
      </c>
      <c r="O7098" s="55" t="inlineStr">
        <is>
          <t>1–15</t>
        </is>
      </c>
      <c r="P7098" s="16" t="inlineStr">
        <is>
          <t>ССЧР обогащена; ОКВЭД не найден/не загружен</t>
        </is>
      </c>
      <c r="Q7098" s="16" t="inlineStr">
        <is>
          <t>ФНС открытые данные ССЧР (ДатаСост 31.12.2025; набор 7707329152-sshr2019)</t>
        </is>
      </c>
      <c r="R7098" s="16">
        <f>HYPERLINK("https://checko.ru/search?query=3801001629","Чекко: проверить")</f>
        <v/>
      </c>
      <c r="S7098" t="n">
        <v>1</v>
      </c>
      <c r="T7098" s="35" t="inlineStr">
        <is>
          <t>4 — Не обогащён</t>
        </is>
      </c>
      <c r="U7098" s="35" t="inlineStr">
        <is>
          <t>Нет ОКВЭД/ССЧР</t>
        </is>
      </c>
      <c r="V7098" s="35" t="inlineStr">
        <is>
          <t>Не определено</t>
        </is>
      </c>
      <c r="W7098" s="35" t="inlineStr">
        <is>
          <t>Нет</t>
        </is>
      </c>
      <c r="X7098" s="35" t="inlineStr"/>
    </row>
    <row r="7099" ht="15" customHeight="1" s="24">
      <c r="A7099" s="13" t="inlineStr">
        <is>
          <t>FR1289326</t>
        </is>
      </c>
      <c r="B7099" s="13" t="inlineStr">
        <is>
          <t>ИП Щетинин Александр Георгиевич</t>
        </is>
      </c>
      <c r="C7099" s="13" t="n">
        <v>753706982490</v>
      </c>
      <c r="D7099" s="13" t="inlineStr">
        <is>
          <t>753706982490</t>
        </is>
      </c>
      <c r="E7099" s="13" t="inlineStr">
        <is>
          <t>ИП РФ / физлицо</t>
        </is>
      </c>
      <c r="F7099" s="13" t="n"/>
      <c r="G7099" s="14" t="n"/>
      <c r="H7099" s="14" t="n"/>
      <c r="I7099" s="14" t="n"/>
      <c r="J7099" s="14" t="n"/>
      <c r="K7099" s="53" t="inlineStr"/>
      <c r="L7099" s="53" t="inlineStr">
        <is>
          <t>Не определено</t>
        </is>
      </c>
      <c r="M7099" s="53" t="inlineStr"/>
      <c r="N7099" s="54" t="inlineStr"/>
      <c r="O7099" s="55" t="inlineStr"/>
      <c r="P7099" s="16" t="inlineStr">
        <is>
          <t>Требует обогащения</t>
        </is>
      </c>
      <c r="Q7099" s="16">
        <f>HYPERLINK("https://pb.nalog.ru/search.html?query=753706982490","ФНС: проверить")</f>
        <v/>
      </c>
      <c r="R7099" s="16">
        <f>HYPERLINK("https://checko.ru/search?query=3801001629","Чекко: проверить")</f>
        <v/>
      </c>
      <c r="S7099" t="n">
        <v>1</v>
      </c>
      <c r="T7099" s="35" t="inlineStr">
        <is>
          <t>4 — Не обогащён</t>
        </is>
      </c>
      <c r="U7099" s="35" t="inlineStr">
        <is>
          <t>Нет ОКВЭД/ССЧР</t>
        </is>
      </c>
      <c r="V7099" s="35" t="inlineStr">
        <is>
          <t>Не определено</t>
        </is>
      </c>
      <c r="W7099" s="35" t="inlineStr"/>
      <c r="X7099" s="35" t="inlineStr"/>
    </row>
    <row r="7100" ht="15" customHeight="1" s="24">
      <c r="A7100" s="13" t="inlineStr">
        <is>
          <t>FR1289324</t>
        </is>
      </c>
      <c r="B7100" s="13" t="inlineStr">
        <is>
          <t>ИП Глушков Константин Юрьевич</t>
        </is>
      </c>
      <c r="C7100" s="13" t="n">
        <v>280444629238</v>
      </c>
      <c r="D7100" s="13" t="inlineStr">
        <is>
          <t>280444629238</t>
        </is>
      </c>
      <c r="E7100" s="13" t="inlineStr">
        <is>
          <t>ИП РФ / физлицо</t>
        </is>
      </c>
      <c r="F7100" s="13" t="n"/>
      <c r="G7100" s="14" t="n"/>
      <c r="H7100" s="14" t="n"/>
      <c r="I7100" s="14" t="n"/>
      <c r="J7100" s="14" t="n"/>
      <c r="K7100" s="53" t="inlineStr"/>
      <c r="L7100" s="53" t="inlineStr">
        <is>
          <t>Не определено</t>
        </is>
      </c>
      <c r="M7100" s="53" t="inlineStr"/>
      <c r="N7100" s="54" t="inlineStr"/>
      <c r="O7100" s="55" t="inlineStr"/>
      <c r="P7100" s="16" t="inlineStr">
        <is>
          <t>Требует обогащения</t>
        </is>
      </c>
      <c r="Q7100" s="16">
        <f>HYPERLINK("https://pb.nalog.ru/search.html?query=280444629238","ФНС: проверить")</f>
        <v/>
      </c>
      <c r="R7100" s="16">
        <f>HYPERLINK("https://checko.ru/search?query=3801001629","Чекко: проверить")</f>
        <v/>
      </c>
      <c r="S7100" t="n">
        <v>1</v>
      </c>
      <c r="T7100" s="35" t="inlineStr">
        <is>
          <t>4 — Не обогащён</t>
        </is>
      </c>
      <c r="U7100" s="35" t="inlineStr">
        <is>
          <t>Нет ОКВЭД/ССЧР</t>
        </is>
      </c>
      <c r="V7100" s="35" t="inlineStr">
        <is>
          <t>Не определено</t>
        </is>
      </c>
      <c r="W7100" s="35" t="inlineStr"/>
      <c r="X7100" s="35" t="inlineStr"/>
    </row>
    <row r="7101" ht="27.75" customHeight="1" s="24">
      <c r="A7101" s="13" t="inlineStr">
        <is>
          <t>FR1190678</t>
        </is>
      </c>
      <c r="B7101" s="13" t="inlineStr">
        <is>
          <t>Общество с ограниченной ответственностью "СИБИРЬГРАНДСТРОЙ"</t>
        </is>
      </c>
      <c r="C7101" s="13" t="n">
        <v>3808292367</v>
      </c>
      <c r="D7101" s="13" t="inlineStr">
        <is>
          <t>3808292367</t>
        </is>
      </c>
      <c r="E7101" s="13" t="inlineStr">
        <is>
          <t>ЮЛ РФ</t>
        </is>
      </c>
      <c r="F7101" s="13" t="n"/>
      <c r="G7101" s="52" t="n">
        <v>2</v>
      </c>
      <c r="H7101" s="52" t="n">
        <v>2025</v>
      </c>
      <c r="I7101" s="14" t="n"/>
      <c r="J7101" s="14" t="n"/>
      <c r="K7101" s="53" t="inlineStr">
        <is>
          <t>Нет</t>
        </is>
      </c>
      <c r="L7101" s="53" t="inlineStr">
        <is>
          <t>Не определено</t>
        </is>
      </c>
      <c r="M7101" s="53" t="inlineStr">
        <is>
          <t>До 10</t>
        </is>
      </c>
      <c r="N7101" s="54" t="n">
        <v>3360</v>
      </c>
      <c r="O7101" s="55" t="inlineStr">
        <is>
          <t>1–15</t>
        </is>
      </c>
      <c r="P7101" s="16" t="inlineStr">
        <is>
          <t>ССЧР обогащена; ОКВЭД не найден/не загружен</t>
        </is>
      </c>
      <c r="Q7101" s="16" t="inlineStr">
        <is>
          <t>ФНС открытые данные ССЧР (ДатаСост 31.12.2025; набор 7707329152-sshr2019)</t>
        </is>
      </c>
      <c r="R7101" s="16">
        <f>HYPERLINK("https://checko.ru/search?query=3801001629","Чекко: проверить")</f>
        <v/>
      </c>
      <c r="S7101" t="n">
        <v>1</v>
      </c>
      <c r="T7101" s="35" t="inlineStr">
        <is>
          <t>4 — Не обогащён</t>
        </is>
      </c>
      <c r="U7101" s="35" t="inlineStr">
        <is>
          <t>Нет ОКВЭД/ССЧР</t>
        </is>
      </c>
      <c r="V7101" s="35" t="inlineStr">
        <is>
          <t>Не определено</t>
        </is>
      </c>
      <c r="W7101" s="35" t="inlineStr">
        <is>
          <t>Нет</t>
        </is>
      </c>
      <c r="X7101" s="35" t="inlineStr"/>
    </row>
    <row r="7102" ht="15" customHeight="1" s="24">
      <c r="A7102" s="13" t="inlineStr">
        <is>
          <t>FR520952</t>
        </is>
      </c>
      <c r="B7102" s="13" t="inlineStr">
        <is>
          <t>ИП Ерёменко Галина Валерьевна</t>
        </is>
      </c>
      <c r="C7102" s="13" t="n">
        <v>562001368699</v>
      </c>
      <c r="D7102" s="13" t="inlineStr">
        <is>
          <t>562001368699</t>
        </is>
      </c>
      <c r="E7102" s="13" t="inlineStr">
        <is>
          <t>ИП РФ / физлицо</t>
        </is>
      </c>
      <c r="F7102" s="13" t="n"/>
      <c r="G7102" s="14" t="n"/>
      <c r="H7102" s="14" t="n"/>
      <c r="I7102" s="14" t="n"/>
      <c r="J7102" s="14" t="n"/>
      <c r="K7102" s="53" t="inlineStr"/>
      <c r="L7102" s="53" t="inlineStr">
        <is>
          <t>Не определено</t>
        </is>
      </c>
      <c r="M7102" s="53" t="inlineStr"/>
      <c r="N7102" s="54" t="inlineStr"/>
      <c r="O7102" s="55" t="inlineStr"/>
      <c r="P7102" s="16" t="inlineStr">
        <is>
          <t>Требует обогащения</t>
        </is>
      </c>
      <c r="Q7102" s="16">
        <f>HYPERLINK("https://pb.nalog.ru/search.html?query=562001368699","ФНС: проверить")</f>
        <v/>
      </c>
      <c r="R7102" s="16">
        <f>HYPERLINK("https://checko.ru/search?query=3801001629","Чекко: проверить")</f>
        <v/>
      </c>
      <c r="S7102" t="n">
        <v>1</v>
      </c>
      <c r="T7102" s="35" t="inlineStr">
        <is>
          <t>4 — Не обогащён</t>
        </is>
      </c>
      <c r="U7102" s="35" t="inlineStr">
        <is>
          <t>Нет ОКВЭД/ССЧР</t>
        </is>
      </c>
      <c r="V7102" s="35" t="inlineStr">
        <is>
          <t>Не определено</t>
        </is>
      </c>
      <c r="W7102" s="35" t="inlineStr"/>
      <c r="X7102" s="35" t="inlineStr"/>
    </row>
    <row r="7103" ht="27.75" customHeight="1" s="24">
      <c r="A7103" s="13" t="inlineStr">
        <is>
          <t>FR450272</t>
        </is>
      </c>
      <c r="B7103" s="13" t="inlineStr">
        <is>
          <t>ОБЩЕСТВО С ОГРАНИЧЕННОЙ ОТВЕТСТВЕННОСТЬЮ "ДЕНТАСТАР"</t>
        </is>
      </c>
      <c r="C7103" s="13" t="n">
        <v>3812107578</v>
      </c>
      <c r="D7103" s="13" t="inlineStr">
        <is>
          <t>3812107578</t>
        </is>
      </c>
      <c r="E7103" s="13" t="inlineStr">
        <is>
          <t>ЮЛ РФ</t>
        </is>
      </c>
      <c r="F7103" s="13" t="n"/>
      <c r="G7103" s="52" t="n">
        <v>12</v>
      </c>
      <c r="H7103" s="52" t="n">
        <v>2025</v>
      </c>
      <c r="I7103" s="14" t="n"/>
      <c r="J7103" s="14" t="n"/>
      <c r="K7103" s="53" t="inlineStr">
        <is>
          <t>Нет</t>
        </is>
      </c>
      <c r="L7103" s="53" t="inlineStr">
        <is>
          <t>Не определено</t>
        </is>
      </c>
      <c r="M7103" s="53" t="inlineStr">
        <is>
          <t>До 25</t>
        </is>
      </c>
      <c r="N7103" s="54" t="n">
        <v>8400</v>
      </c>
      <c r="O7103" s="55" t="inlineStr">
        <is>
          <t>1–15</t>
        </is>
      </c>
      <c r="P7103" s="16" t="inlineStr">
        <is>
          <t>ССЧР обогащена; ОКВЭД не найден/не загружен</t>
        </is>
      </c>
      <c r="Q7103" s="16" t="inlineStr">
        <is>
          <t>ФНС открытые данные ССЧР (ДатаСост 31.12.2025; набор 7707329152-sshr2019)</t>
        </is>
      </c>
      <c r="R7103" s="16">
        <f>HYPERLINK("https://checko.ru/search?query=3801001629","Чекко: проверить")</f>
        <v/>
      </c>
      <c r="S7103" t="n">
        <v>1</v>
      </c>
      <c r="T7103" s="35" t="inlineStr">
        <is>
          <t>4 — Не обогащён</t>
        </is>
      </c>
      <c r="U7103" s="35" t="inlineStr">
        <is>
          <t>Нет ОКВЭД/ССЧР</t>
        </is>
      </c>
      <c r="V7103" s="35" t="inlineStr">
        <is>
          <t>Не определено</t>
        </is>
      </c>
      <c r="W7103" s="35" t="inlineStr">
        <is>
          <t>Нет</t>
        </is>
      </c>
      <c r="X7103" s="35" t="inlineStr"/>
    </row>
    <row r="7104" ht="27.75" customHeight="1" s="24">
      <c r="A7104" s="13" t="inlineStr">
        <is>
          <t>FR738208</t>
        </is>
      </c>
      <c r="B7104" s="13" t="inlineStr">
        <is>
          <t>Общество с ограниченной ответственностью "РУСБАЙКАЛСТРОЙ"</t>
        </is>
      </c>
      <c r="C7104" s="13" t="n">
        <v>3812526770</v>
      </c>
      <c r="D7104" s="13" t="inlineStr">
        <is>
          <t>3812526770</t>
        </is>
      </c>
      <c r="E7104" s="13" t="inlineStr">
        <is>
          <t>ЮЛ РФ</t>
        </is>
      </c>
      <c r="F7104" s="13" t="n"/>
      <c r="G7104" s="52" t="n">
        <v>9</v>
      </c>
      <c r="H7104" s="52" t="n">
        <v>2025</v>
      </c>
      <c r="I7104" s="14" t="n"/>
      <c r="J7104" s="14" t="n"/>
      <c r="K7104" s="53" t="inlineStr">
        <is>
          <t>Нет</t>
        </is>
      </c>
      <c r="L7104" s="53" t="inlineStr">
        <is>
          <t>Не определено</t>
        </is>
      </c>
      <c r="M7104" s="53" t="inlineStr">
        <is>
          <t>До 10</t>
        </is>
      </c>
      <c r="N7104" s="54" t="n">
        <v>3360</v>
      </c>
      <c r="O7104" s="55" t="inlineStr">
        <is>
          <t>1–15</t>
        </is>
      </c>
      <c r="P7104" s="16" t="inlineStr">
        <is>
          <t>ССЧР обогащена; ОКВЭД не найден/не загружен</t>
        </is>
      </c>
      <c r="Q7104" s="16" t="inlineStr">
        <is>
          <t>ФНС открытые данные ССЧР (ДатаСост 31.12.2025; набор 7707329152-sshr2019)</t>
        </is>
      </c>
      <c r="R7104" s="16">
        <f>HYPERLINK("https://checko.ru/search?query=3801001629","Чекко: проверить")</f>
        <v/>
      </c>
      <c r="S7104" t="n">
        <v>1</v>
      </c>
      <c r="T7104" s="35" t="inlineStr">
        <is>
          <t>4 — Не обогащён</t>
        </is>
      </c>
      <c r="U7104" s="35" t="inlineStr">
        <is>
          <t>Нет ОКВЭД/ССЧР</t>
        </is>
      </c>
      <c r="V7104" s="35" t="inlineStr">
        <is>
          <t>Не определено</t>
        </is>
      </c>
      <c r="W7104" s="35" t="inlineStr">
        <is>
          <t>Нет</t>
        </is>
      </c>
      <c r="X7104" s="35" t="inlineStr"/>
    </row>
    <row r="7105" ht="27.75" customHeight="1" s="24">
      <c r="A7105" s="13" t="inlineStr">
        <is>
          <t>FR1290269</t>
        </is>
      </c>
      <c r="B7105" s="13" t="inlineStr">
        <is>
          <t>Общество с ограниченной ответственностью "ДОКТОР ДЖАЗ"</t>
        </is>
      </c>
      <c r="C7105" s="13" t="n">
        <v>3811106444</v>
      </c>
      <c r="D7105" s="13" t="inlineStr">
        <is>
          <t>3811106444</t>
        </is>
      </c>
      <c r="E7105" s="13" t="inlineStr">
        <is>
          <t>ЮЛ РФ</t>
        </is>
      </c>
      <c r="F7105" s="13" t="n"/>
      <c r="G7105" s="52" t="n">
        <v>1</v>
      </c>
      <c r="H7105" s="52" t="n">
        <v>2025</v>
      </c>
      <c r="I7105" s="14" t="n"/>
      <c r="J7105" s="14" t="n"/>
      <c r="K7105" s="53" t="inlineStr">
        <is>
          <t>Нет</t>
        </is>
      </c>
      <c r="L7105" s="53" t="inlineStr">
        <is>
          <t>Не определено</t>
        </is>
      </c>
      <c r="M7105" s="53" t="inlineStr">
        <is>
          <t>До 10</t>
        </is>
      </c>
      <c r="N7105" s="54" t="n">
        <v>3360</v>
      </c>
      <c r="O7105" s="55" t="inlineStr">
        <is>
          <t>1–15</t>
        </is>
      </c>
      <c r="P7105" s="16" t="inlineStr">
        <is>
          <t>ССЧР обогащена; ОКВЭД не найден/не загружен</t>
        </is>
      </c>
      <c r="Q7105" s="16" t="inlineStr">
        <is>
          <t>ФНС открытые данные ССЧР (ДатаСост 31.12.2025; набор 7707329152-sshr2019)</t>
        </is>
      </c>
      <c r="R7105" s="16">
        <f>HYPERLINK("https://checko.ru/search?query=3801001629","Чекко: проверить")</f>
        <v/>
      </c>
      <c r="S7105" t="n">
        <v>1</v>
      </c>
      <c r="T7105" s="35" t="inlineStr">
        <is>
          <t>4 — Не обогащён</t>
        </is>
      </c>
      <c r="U7105" s="35" t="inlineStr">
        <is>
          <t>Нет ОКВЭД/ССЧР</t>
        </is>
      </c>
      <c r="V7105" s="35" t="inlineStr">
        <is>
          <t>Не определено</t>
        </is>
      </c>
      <c r="W7105" s="35" t="inlineStr">
        <is>
          <t>Нет</t>
        </is>
      </c>
      <c r="X7105" s="35" t="inlineStr"/>
    </row>
    <row r="7106" ht="15" customHeight="1" s="24">
      <c r="A7106" s="13" t="inlineStr">
        <is>
          <t>FR1290084</t>
        </is>
      </c>
      <c r="B7106" s="13" t="inlineStr">
        <is>
          <t>ИП Касымов Ойбек Тахирович</t>
        </is>
      </c>
      <c r="C7106" s="13" t="n">
        <v>761603236862</v>
      </c>
      <c r="D7106" s="13" t="inlineStr">
        <is>
          <t>761603236862</t>
        </is>
      </c>
      <c r="E7106" s="13" t="inlineStr">
        <is>
          <t>ИП РФ / физлицо</t>
        </is>
      </c>
      <c r="F7106" s="13" t="n"/>
      <c r="G7106" s="14" t="n"/>
      <c r="H7106" s="14" t="n"/>
      <c r="I7106" s="14" t="n"/>
      <c r="J7106" s="14" t="n"/>
      <c r="K7106" s="53" t="inlineStr"/>
      <c r="L7106" s="53" t="inlineStr">
        <is>
          <t>Не определено</t>
        </is>
      </c>
      <c r="M7106" s="53" t="inlineStr"/>
      <c r="N7106" s="54" t="inlineStr"/>
      <c r="O7106" s="55" t="inlineStr"/>
      <c r="P7106" s="16" t="inlineStr">
        <is>
          <t>Требует обогащения</t>
        </is>
      </c>
      <c r="Q7106" s="16">
        <f>HYPERLINK("https://pb.nalog.ru/search.html?query=761603236862","ФНС: проверить")</f>
        <v/>
      </c>
      <c r="R7106" s="16">
        <f>HYPERLINK("https://checko.ru/search?query=3801001629","Чекко: проверить")</f>
        <v/>
      </c>
      <c r="S7106" t="n">
        <v>1</v>
      </c>
      <c r="T7106" s="35" t="inlineStr">
        <is>
          <t>4 — Не обогащён</t>
        </is>
      </c>
      <c r="U7106" s="35" t="inlineStr">
        <is>
          <t>Нет ОКВЭД/ССЧР</t>
        </is>
      </c>
      <c r="V7106" s="35" t="inlineStr">
        <is>
          <t>Не определено</t>
        </is>
      </c>
      <c r="W7106" s="35" t="inlineStr"/>
      <c r="X7106" s="35" t="inlineStr"/>
    </row>
    <row r="7107" ht="15" customHeight="1" s="24">
      <c r="A7107" s="13" t="inlineStr">
        <is>
          <t>FR908338</t>
        </is>
      </c>
      <c r="B7107" s="13" t="inlineStr">
        <is>
          <t>ИП Гыргенов Денис Васильевич</t>
        </is>
      </c>
      <c r="C7107" s="13" t="n">
        <v>32315131641</v>
      </c>
      <c r="D7107" s="13" t="n"/>
      <c r="E7107" s="13" t="inlineStr">
        <is>
          <t>Не определён</t>
        </is>
      </c>
      <c r="F7107" s="13" t="n"/>
      <c r="G7107" s="14" t="n"/>
      <c r="H7107" s="14" t="n"/>
      <c r="I7107" s="14" t="n"/>
      <c r="J7107" s="14" t="n"/>
      <c r="K7107" s="13">
        <f>IF(G7107="","",IF(G7107&gt;=22,"Да","Нет"))</f>
        <v/>
      </c>
      <c r="L7107" s="13">
        <f>IF(OR(I7107="",J7107=""),"Не определено",IF(OR(COUNTIF(I7107,"45*")&gt;0,COUNTIF(J7107,"*45*")&gt;0,COUNTIF(I7107,"46*")&gt;0,COUNTIF(J7107,"*46*")&gt;0,COUNTIF(I7107,"47*")&gt;0,COUNTIF(J7107,"*47*")&gt;0,COUNTIF(I7107,"10*")&gt;0,COUNTIF(J7107,"*10*")&gt;0,COUNTIF(I7107,"11*")&gt;0,COUNTIF(J7107,"*11*")&gt;0,COUNTIF(I7107,"12*")&gt;0,COUNTIF(J7107,"*12*")&gt;0,COUNTIF(I7107,"13*")&gt;0,COUNTIF(J7107,"*13*")&gt;0,COUNTIF(I7107,"14*")&gt;0,COUNTIF(J7107,"*14*")&gt;0,COUNTIF(I7107,"15*")&gt;0,COUNTIF(J7107,"*15*")&gt;0,COUNTIF(I7107,"16*")&gt;0,COUNTIF(J7107,"*16*")&gt;0,COUNTIF(I7107,"17*")&gt;0,COUNTIF(J7107,"*17*")&gt;0,COUNTIF(I7107,"18*")&gt;0,COUNTIF(J7107,"*18*")&gt;0,COUNTIF(I7107,"19*")&gt;0,COUNTIF(J7107,"*19*")&gt;0,COUNTIF(I7107,"20*")&gt;0,COUNTIF(J7107,"*20*")&gt;0,COUNTIF(I7107,"21*")&gt;0,COUNTIF(J7107,"*21*")&gt;0,COUNTIF(I7107,"22*")&gt;0,COUNTIF(J7107,"*22*")&gt;0,COUNTIF(I7107,"23*")&gt;0,COUNTIF(J7107,"*23*")&gt;0,COUNTIF(I7107,"24*")&gt;0,COUNTIF(J7107,"*24*")&gt;0,COUNTIF(I7107,"25*")&gt;0,COUNTIF(J7107,"*25*")&gt;0,COUNTIF(I7107,"26*")&gt;0,COUNTIF(J7107,"*26*")&gt;0,COUNTIF(I7107,"27*")&gt;0,COUNTIF(J7107,"*27*")&gt;0,COUNTIF(I7107,"28*")&gt;0,COUNTIF(J7107,"*28*")&gt;0,COUNTIF(I7107,"29*")&gt;0,COUNTIF(J7107,"*29*")&gt;0,COUNTIF(I7107,"30*")&gt;0,COUNTIF(J7107,"*30*")&gt;0,COUNTIF(I7107,"31*")&gt;0,COUNTIF(J7107,"*31*")&gt;0,COUNTIF(I7107,"32*")&gt;0,COUNTIF(J7107,"*32*")&gt;0,COUNTIF(I7107,"33*")&gt;0,COUNTIF(J7107,"*33*")&gt;0,COUNTIF(I7107,"41*")&gt;0,COUNTIF(J7107,"*41*")&gt;0,COUNTIF(I7107,"42*")&gt;0,COUNTIF(J7107,"*42*")&gt;0,COUNTIF(I7107,"43*")&gt;0,COUNTIF(J7107,"*43*")&gt;0,COUNTIF(I7107,"49*")&gt;0,COUNTIF(J7107,"*49*")&gt;0,COUNTIF(I7107,"52*")&gt;0,COUNTIF(J7107,"*52*")&gt;0,COUNTIF(I7107,"55*")&gt;0,COUNTIF(J7107,"*55*")&gt;0,COUNTIF(I7107,"56*")&gt;0,COUNTIF(J7107,"*56*")&gt;0,COUNTIF(I7107,"68*")&gt;0,COUNTIF(J7107,"*68*")&gt;0,COUNTIF(I7107,"78*")&gt;0,COUNTIF(J7107,"*78*")&gt;0,COUNTIF(I7107,"81*")&gt;0,COUNTIF(J7107,"*81*")&gt;0,COUNTIF(I7107,"82*")&gt;0,COUNTIF(J7107,"*82*")&gt;0,COUNTIF(I7107,"64*")&gt;0,COUNTIF(J7107,"*64*")&gt;0,COUNTIF(I7107,"65*")&gt;0,COUNTIF(J7107,"*65*")&gt;0,COUNTIF(I7107,"66*")&gt;0,COUNTIF(J7107,"*66*")&gt;0,COUNTIF(I7107,"61*")&gt;0,COUNTIF(J7107,"*61*")&gt;0,COUNTIF(I7107,"62*")&gt;0,COUNTIF(J7107,"*62*")&gt;0,COUNTIF(I7107,"63*")&gt;0,COUNTIF(J7107,"*63*")&gt;0,COUNTIF(I7107,"85*")&gt;0,COUNTIF(J7107,"*85*")&gt;0,COUNTIF(I7107,"86*")&gt;0,COUNTIF(J7107,"*86*")&gt;0),"Да","Нет"))</f>
        <v/>
      </c>
      <c r="M7107" s="13">
        <f>IF(OR(G7107="",L7107&lt;&gt;"Да"),"",IF(G7107&lt;=100,"До 100",IF(G7107&lt;=200,"До 200",IF(G7107&lt;=500,"До 500","Отдельное КП"))))</f>
        <v/>
      </c>
      <c r="N7107" s="15">
        <f>IF(OR(G7107="",L7107&lt;&gt;"Да"),"",IF(G7107&lt;=100,33600,IF(G7107&lt;=200,62400,IF(G7107&lt;=500,144000,""))))</f>
        <v/>
      </c>
      <c r="O7107" s="16">
        <f>IF(G7107="","",IF(G7107&lt;=15,"1–15",IF(G7107&lt;=30,"16–30",IF(G7107&lt;=50,"31–50",IF(G7107&lt;=100,"51–100",IF(G7107&lt;=150,"101–150",IF(G7107&lt;=200,"151–200",IF(G7107&lt;=500,"201–500","500+"))))))))</f>
        <v/>
      </c>
      <c r="P7107" s="16" t="inlineStr">
        <is>
          <t>Нет совпадения в предоставленной выгрузке ССЧР</t>
        </is>
      </c>
      <c r="Q7107" s="16" t="n"/>
      <c r="R7107" s="16">
        <f>HYPERLINK("https://checko.ru/search?query=3801001629","Чекко: проверить")</f>
        <v/>
      </c>
      <c r="S7107" t="n">
        <v>0</v>
      </c>
    </row>
    <row r="7108" ht="15" customHeight="1" s="24">
      <c r="A7108" s="13" t="inlineStr">
        <is>
          <t>FR447777</t>
        </is>
      </c>
      <c r="B7108" s="13" t="inlineStr">
        <is>
          <t>ИП Викторов Артём Андреевич</t>
        </is>
      </c>
      <c r="C7108" s="13" t="n">
        <v>166015750576</v>
      </c>
      <c r="D7108" s="13" t="inlineStr">
        <is>
          <t>166015750576</t>
        </is>
      </c>
      <c r="E7108" s="13" t="inlineStr">
        <is>
          <t>ИП РФ / физлицо</t>
        </is>
      </c>
      <c r="F7108" s="13" t="n"/>
      <c r="G7108" s="14" t="n"/>
      <c r="H7108" s="14" t="n"/>
      <c r="I7108" s="14" t="n"/>
      <c r="J7108" s="14" t="n"/>
      <c r="K7108" s="53" t="inlineStr"/>
      <c r="L7108" s="53" t="inlineStr">
        <is>
          <t>Не определено</t>
        </is>
      </c>
      <c r="M7108" s="53" t="inlineStr"/>
      <c r="N7108" s="54" t="inlineStr"/>
      <c r="O7108" s="55" t="inlineStr"/>
      <c r="P7108" s="16" t="inlineStr">
        <is>
          <t>Требует обогащения</t>
        </is>
      </c>
      <c r="Q7108" s="16">
        <f>HYPERLINK("https://pb.nalog.ru/search.html?query=166015750576","ФНС: проверить")</f>
        <v/>
      </c>
      <c r="R7108" s="16">
        <f>HYPERLINK("https://checko.ru/search?query=3801001629","Чекко: проверить")</f>
        <v/>
      </c>
      <c r="S7108" t="n">
        <v>1</v>
      </c>
      <c r="T7108" s="35" t="inlineStr">
        <is>
          <t>4 — Не обогащён</t>
        </is>
      </c>
      <c r="U7108" s="35" t="inlineStr">
        <is>
          <t>Нет ОКВЭД/ССЧР</t>
        </is>
      </c>
      <c r="V7108" s="35" t="inlineStr">
        <is>
          <t>Не определено</t>
        </is>
      </c>
      <c r="W7108" s="35" t="inlineStr"/>
      <c r="X7108" s="35" t="inlineStr"/>
    </row>
    <row r="7109" ht="27.75" customHeight="1" s="24">
      <c r="A7109" s="13" t="inlineStr">
        <is>
          <t>FR733333</t>
        </is>
      </c>
      <c r="B7109" s="13" t="inlineStr">
        <is>
          <t>Общество с ограниченной ответственностью "ЛЛАТЕМ"</t>
        </is>
      </c>
      <c r="C7109" s="13" t="n">
        <v>3827059768</v>
      </c>
      <c r="D7109" s="13" t="inlineStr">
        <is>
          <t>3827059768</t>
        </is>
      </c>
      <c r="E7109" s="13" t="inlineStr">
        <is>
          <t>ЮЛ РФ</t>
        </is>
      </c>
      <c r="F7109" s="13" t="n"/>
      <c r="G7109" s="52" t="n">
        <v>4</v>
      </c>
      <c r="H7109" s="52" t="n">
        <v>2025</v>
      </c>
      <c r="I7109" s="14" t="n"/>
      <c r="J7109" s="14" t="n"/>
      <c r="K7109" s="53" t="inlineStr">
        <is>
          <t>Нет</t>
        </is>
      </c>
      <c r="L7109" s="53" t="inlineStr">
        <is>
          <t>Не определено</t>
        </is>
      </c>
      <c r="M7109" s="53" t="inlineStr">
        <is>
          <t>До 10</t>
        </is>
      </c>
      <c r="N7109" s="54" t="n">
        <v>3360</v>
      </c>
      <c r="O7109" s="55" t="inlineStr">
        <is>
          <t>1–15</t>
        </is>
      </c>
      <c r="P7109" s="16" t="inlineStr">
        <is>
          <t>ССЧР обогащена; ОКВЭД не найден/не загружен</t>
        </is>
      </c>
      <c r="Q7109" s="16" t="inlineStr">
        <is>
          <t>ФНС открытые данные ССЧР (ДатаСост 31.12.2025; набор 7707329152-sshr2019)</t>
        </is>
      </c>
      <c r="R7109" s="16">
        <f>HYPERLINK("https://checko.ru/search?query=3801001629","Чекко: проверить")</f>
        <v/>
      </c>
      <c r="S7109" t="n">
        <v>1</v>
      </c>
      <c r="T7109" s="35" t="inlineStr">
        <is>
          <t>4 — Не обогащён</t>
        </is>
      </c>
      <c r="U7109" s="35" t="inlineStr">
        <is>
          <t>Нет ОКВЭД/ССЧР</t>
        </is>
      </c>
      <c r="V7109" s="35" t="inlineStr">
        <is>
          <t>Не определено</t>
        </is>
      </c>
      <c r="W7109" s="35" t="inlineStr">
        <is>
          <t>Нет</t>
        </is>
      </c>
      <c r="X7109" s="35" t="inlineStr"/>
    </row>
    <row r="7110" ht="15" customHeight="1" s="24">
      <c r="A7110" s="13" t="inlineStr">
        <is>
          <t>FR897498</t>
        </is>
      </c>
      <c r="B7110" s="13" t="inlineStr">
        <is>
          <t>ООО "ТОП 24"</t>
        </is>
      </c>
      <c r="C7110" s="13" t="n">
        <v>3849054731</v>
      </c>
      <c r="D7110" s="13" t="inlineStr">
        <is>
          <t>3849054731</t>
        </is>
      </c>
      <c r="E7110" s="13" t="inlineStr">
        <is>
          <t>ЮЛ РФ</t>
        </is>
      </c>
      <c r="F7110" s="13" t="n"/>
      <c r="G7110" s="52" t="n">
        <v>4</v>
      </c>
      <c r="H7110" s="52" t="n">
        <v>2025</v>
      </c>
      <c r="I7110" s="14" t="n"/>
      <c r="J7110" s="14" t="n"/>
      <c r="K7110" s="53" t="inlineStr">
        <is>
          <t>Нет</t>
        </is>
      </c>
      <c r="L7110" s="53" t="inlineStr">
        <is>
          <t>Не определено</t>
        </is>
      </c>
      <c r="M7110" s="53" t="inlineStr">
        <is>
          <t>До 10</t>
        </is>
      </c>
      <c r="N7110" s="54" t="n">
        <v>3360</v>
      </c>
      <c r="O7110" s="55" t="inlineStr">
        <is>
          <t>1–15</t>
        </is>
      </c>
      <c r="P7110" s="16" t="inlineStr">
        <is>
          <t>ССЧР обогащена; ОКВЭД не найден/не загружен</t>
        </is>
      </c>
      <c r="Q7110" s="16" t="inlineStr">
        <is>
          <t>ФНС открытые данные ССЧР (ДатаСост 31.12.2025; набор 7707329152-sshr2019)</t>
        </is>
      </c>
      <c r="R7110" s="16">
        <f>HYPERLINK("https://checko.ru/search?query=3801001629","Чекко: проверить")</f>
        <v/>
      </c>
      <c r="S7110" t="n">
        <v>1</v>
      </c>
      <c r="T7110" s="35" t="inlineStr">
        <is>
          <t>4 — Не обогащён</t>
        </is>
      </c>
      <c r="U7110" s="35" t="inlineStr">
        <is>
          <t>Нет ОКВЭД/ССЧР</t>
        </is>
      </c>
      <c r="V7110" s="35" t="inlineStr">
        <is>
          <t>Не определено</t>
        </is>
      </c>
      <c r="W7110" s="35" t="inlineStr">
        <is>
          <t>Нет</t>
        </is>
      </c>
      <c r="X7110" s="35" t="inlineStr"/>
    </row>
    <row r="7111" ht="15" customHeight="1" s="24">
      <c r="A7111" s="13" t="inlineStr">
        <is>
          <t>FR1094261</t>
        </is>
      </c>
      <c r="B7111" s="13" t="inlineStr">
        <is>
          <t>ИП Дымченко Антон Петрович</t>
        </is>
      </c>
      <c r="C7111" s="13" t="n">
        <v>381260735544</v>
      </c>
      <c r="D7111" s="13" t="inlineStr">
        <is>
          <t>381260735544</t>
        </is>
      </c>
      <c r="E7111" s="13" t="inlineStr">
        <is>
          <t>ИП РФ / физлицо</t>
        </is>
      </c>
      <c r="F7111" s="13" t="n"/>
      <c r="G7111" s="14" t="n"/>
      <c r="H7111" s="14" t="n"/>
      <c r="I7111" s="14" t="n"/>
      <c r="J7111" s="14" t="n"/>
      <c r="K7111" s="53" t="inlineStr"/>
      <c r="L7111" s="53" t="inlineStr">
        <is>
          <t>Не определено</t>
        </is>
      </c>
      <c r="M7111" s="53" t="inlineStr"/>
      <c r="N7111" s="54" t="inlineStr"/>
      <c r="O7111" s="55" t="inlineStr"/>
      <c r="P7111" s="16" t="inlineStr">
        <is>
          <t>Требует обогащения</t>
        </is>
      </c>
      <c r="Q7111" s="16">
        <f>HYPERLINK("https://pb.nalog.ru/search.html?query=381260735544","ФНС: проверить")</f>
        <v/>
      </c>
      <c r="R7111" s="16">
        <f>HYPERLINK("https://checko.ru/search?query=3801001629","Чекко: проверить")</f>
        <v/>
      </c>
      <c r="S7111" t="n">
        <v>1</v>
      </c>
      <c r="T7111" s="35" t="inlineStr">
        <is>
          <t>4 — Не обогащён</t>
        </is>
      </c>
      <c r="U7111" s="35" t="inlineStr">
        <is>
          <t>Нет ОКВЭД/ССЧР</t>
        </is>
      </c>
      <c r="V7111" s="35" t="inlineStr">
        <is>
          <t>Не определено</t>
        </is>
      </c>
      <c r="W7111" s="35" t="inlineStr"/>
      <c r="X7111" s="35" t="inlineStr"/>
    </row>
    <row r="7112" ht="41.25" customHeight="1" s="24">
      <c r="A7112" s="13" t="inlineStr">
        <is>
          <t>FR1081757</t>
        </is>
      </c>
      <c r="B7112" s="13" t="inlineStr">
        <is>
          <t>Общество с ограниченной ответственностью "ИРКУТСКИЙ ЗАВОД СТАТИЧЕСКОГО ОБОРУДОВАНИЯ"</t>
        </is>
      </c>
      <c r="C7112" s="13" t="n">
        <v>3812162219</v>
      </c>
      <c r="D7112" s="13" t="inlineStr">
        <is>
          <t>3812162219</t>
        </is>
      </c>
      <c r="E7112" s="13" t="inlineStr">
        <is>
          <t>ЮЛ РФ</t>
        </is>
      </c>
      <c r="F7112" s="13" t="n"/>
      <c r="G7112" s="52" t="n">
        <v>8</v>
      </c>
      <c r="H7112" s="52" t="n">
        <v>2025</v>
      </c>
      <c r="I7112" s="14" t="n"/>
      <c r="J7112" s="14" t="n"/>
      <c r="K7112" s="53" t="inlineStr">
        <is>
          <t>Нет</t>
        </is>
      </c>
      <c r="L7112" s="53" t="inlineStr">
        <is>
          <t>Не определено</t>
        </is>
      </c>
      <c r="M7112" s="53" t="inlineStr">
        <is>
          <t>До 10</t>
        </is>
      </c>
      <c r="N7112" s="54" t="n">
        <v>3360</v>
      </c>
      <c r="O7112" s="55" t="inlineStr">
        <is>
          <t>1–15</t>
        </is>
      </c>
      <c r="P7112" s="16" t="inlineStr">
        <is>
          <t>ССЧР обогащена; ОКВЭД не найден/не загружен</t>
        </is>
      </c>
      <c r="Q7112" s="16" t="inlineStr">
        <is>
          <t>ФНС открытые данные ССЧР (ДатаСост 31.12.2025; набор 7707329152-sshr2019)</t>
        </is>
      </c>
      <c r="R7112" s="16">
        <f>HYPERLINK("https://checko.ru/search?query=3801001629","Чекко: проверить")</f>
        <v/>
      </c>
      <c r="S7112" t="n">
        <v>0</v>
      </c>
      <c r="T7112" s="35" t="inlineStr">
        <is>
          <t>4 — Не обогащён</t>
        </is>
      </c>
      <c r="U7112" s="35" t="inlineStr">
        <is>
          <t>Нет ОКВЭД/ССЧР</t>
        </is>
      </c>
      <c r="V7112" s="35" t="inlineStr">
        <is>
          <t>Не определено</t>
        </is>
      </c>
      <c r="W7112" s="35" t="inlineStr">
        <is>
          <t>Нет</t>
        </is>
      </c>
      <c r="X7112" s="35" t="inlineStr"/>
    </row>
    <row r="7113" ht="27.75" customHeight="1" s="24">
      <c r="A7113" s="13" t="inlineStr">
        <is>
          <t>FR909295</t>
        </is>
      </c>
      <c r="B7113" s="13" t="inlineStr">
        <is>
          <t>Общество с ограниченной ответственностью "РЕМСТРОЙГРАД"</t>
        </is>
      </c>
      <c r="C7113" s="13" t="n">
        <v>3827055763</v>
      </c>
      <c r="D7113" s="13" t="inlineStr">
        <is>
          <t>3827055763</t>
        </is>
      </c>
      <c r="E7113" s="13" t="inlineStr">
        <is>
          <t>ЮЛ РФ</t>
        </is>
      </c>
      <c r="F7113" s="13" t="n"/>
      <c r="G7113" s="52" t="n">
        <v>2</v>
      </c>
      <c r="H7113" s="52" t="n">
        <v>2025</v>
      </c>
      <c r="I7113" s="14" t="n"/>
      <c r="J7113" s="14" t="n"/>
      <c r="K7113" s="53" t="inlineStr">
        <is>
          <t>Нет</t>
        </is>
      </c>
      <c r="L7113" s="53" t="inlineStr">
        <is>
          <t>Не определено</t>
        </is>
      </c>
      <c r="M7113" s="53" t="inlineStr">
        <is>
          <t>До 10</t>
        </is>
      </c>
      <c r="N7113" s="54" t="n">
        <v>3360</v>
      </c>
      <c r="O7113" s="55" t="inlineStr">
        <is>
          <t>1–15</t>
        </is>
      </c>
      <c r="P7113" s="16" t="inlineStr">
        <is>
          <t>ССЧР обогащена; ОКВЭД не найден/не загружен</t>
        </is>
      </c>
      <c r="Q7113" s="16" t="inlineStr">
        <is>
          <t>ФНС открытые данные ССЧР (ДатаСост 31.12.2025; набор 7707329152-sshr2019)</t>
        </is>
      </c>
      <c r="R7113" s="16">
        <f>HYPERLINK("https://checko.ru/search?query=3801001629","Чекко: проверить")</f>
        <v/>
      </c>
      <c r="S7113" t="n">
        <v>1</v>
      </c>
      <c r="T7113" s="35" t="inlineStr">
        <is>
          <t>4 — Не обогащён</t>
        </is>
      </c>
      <c r="U7113" s="35" t="inlineStr">
        <is>
          <t>Нет ОКВЭД/ССЧР</t>
        </is>
      </c>
      <c r="V7113" s="35" t="inlineStr">
        <is>
          <t>Не определено</t>
        </is>
      </c>
      <c r="W7113" s="35" t="inlineStr">
        <is>
          <t>Нет</t>
        </is>
      </c>
      <c r="X7113" s="35" t="inlineStr"/>
    </row>
    <row r="7114" ht="15" customHeight="1" s="24">
      <c r="A7114" s="13" t="inlineStr">
        <is>
          <t>FR915357</t>
        </is>
      </c>
      <c r="B7114" s="13" t="inlineStr">
        <is>
          <t>ИП Назирова Дарья Игоревна</t>
        </is>
      </c>
      <c r="C7114" s="13" t="n">
        <v>380503965131</v>
      </c>
      <c r="D7114" s="13" t="inlineStr">
        <is>
          <t>380503965131</t>
        </is>
      </c>
      <c r="E7114" s="13" t="inlineStr">
        <is>
          <t>ИП РФ / физлицо</t>
        </is>
      </c>
      <c r="F7114" s="13" t="n"/>
      <c r="G7114" s="14" t="n"/>
      <c r="H7114" s="14" t="n"/>
      <c r="I7114" s="14" t="n"/>
      <c r="J7114" s="14" t="n"/>
      <c r="K7114" s="53" t="inlineStr"/>
      <c r="L7114" s="53" t="inlineStr">
        <is>
          <t>Не определено</t>
        </is>
      </c>
      <c r="M7114" s="53" t="inlineStr"/>
      <c r="N7114" s="54" t="inlineStr"/>
      <c r="O7114" s="55" t="inlineStr"/>
      <c r="P7114" s="16" t="inlineStr">
        <is>
          <t>Требует обогащения</t>
        </is>
      </c>
      <c r="Q7114" s="16">
        <f>HYPERLINK("https://pb.nalog.ru/search.html?query=380503965131","ФНС: проверить")</f>
        <v/>
      </c>
      <c r="R7114" s="16">
        <f>HYPERLINK("https://checko.ru/search?query=3801001629","Чекко: проверить")</f>
        <v/>
      </c>
      <c r="S7114" t="n">
        <v>1</v>
      </c>
      <c r="T7114" s="35" t="inlineStr">
        <is>
          <t>4 — Не обогащён</t>
        </is>
      </c>
      <c r="U7114" s="35" t="inlineStr">
        <is>
          <t>Нет ОКВЭД/ССЧР</t>
        </is>
      </c>
      <c r="V7114" s="35" t="inlineStr">
        <is>
          <t>Не определено</t>
        </is>
      </c>
      <c r="W7114" s="35" t="inlineStr"/>
      <c r="X7114" s="35" t="inlineStr"/>
    </row>
    <row r="7115" ht="27.75" customHeight="1" s="24">
      <c r="A7115" s="13" t="inlineStr">
        <is>
          <t>FR1291690</t>
        </is>
      </c>
      <c r="B7115" s="13" t="inlineStr">
        <is>
          <t>Общество с ограниченной ответственностью "РЕДЭНБЛЮ"</t>
        </is>
      </c>
      <c r="C7115" s="13" t="n">
        <v>3849085560</v>
      </c>
      <c r="D7115" s="13" t="inlineStr">
        <is>
          <t>3849085560</t>
        </is>
      </c>
      <c r="E7115" s="13" t="inlineStr">
        <is>
          <t>ЮЛ РФ</t>
        </is>
      </c>
      <c r="F7115" s="13" t="n"/>
      <c r="G7115" s="52" t="n">
        <v>2</v>
      </c>
      <c r="H7115" s="52" t="n">
        <v>2025</v>
      </c>
      <c r="I7115" s="14" t="n"/>
      <c r="J7115" s="14" t="n"/>
      <c r="K7115" s="53" t="inlineStr">
        <is>
          <t>Нет</t>
        </is>
      </c>
      <c r="L7115" s="53" t="inlineStr">
        <is>
          <t>Не определено</t>
        </is>
      </c>
      <c r="M7115" s="53" t="inlineStr">
        <is>
          <t>До 10</t>
        </is>
      </c>
      <c r="N7115" s="54" t="n">
        <v>3360</v>
      </c>
      <c r="O7115" s="55" t="inlineStr">
        <is>
          <t>1–15</t>
        </is>
      </c>
      <c r="P7115" s="16" t="inlineStr">
        <is>
          <t>ССЧР обогащена; ОКВЭД не найден/не загружен</t>
        </is>
      </c>
      <c r="Q7115" s="16" t="inlineStr">
        <is>
          <t>ФНС открытые данные ССЧР (ДатаСост 31.12.2025; набор 7707329152-sshr2019)</t>
        </is>
      </c>
      <c r="R7115" s="16">
        <f>HYPERLINK("https://checko.ru/search?query=3801001629","Чекко: проверить")</f>
        <v/>
      </c>
      <c r="S7115" t="n">
        <v>1</v>
      </c>
      <c r="T7115" s="35" t="inlineStr">
        <is>
          <t>4 — Не обогащён</t>
        </is>
      </c>
      <c r="U7115" s="35" t="inlineStr">
        <is>
          <t>Нет ОКВЭД/ССЧР</t>
        </is>
      </c>
      <c r="V7115" s="35" t="inlineStr">
        <is>
          <t>Не определено</t>
        </is>
      </c>
      <c r="W7115" s="35" t="inlineStr">
        <is>
          <t>Нет</t>
        </is>
      </c>
      <c r="X7115" s="35" t="inlineStr"/>
    </row>
    <row r="7116" ht="27.75" customHeight="1" s="24">
      <c r="A7116" s="13" t="inlineStr">
        <is>
          <t>FR902220</t>
        </is>
      </c>
      <c r="B7116" s="13" t="inlineStr">
        <is>
          <t>Общество с ограниченной ответственностью "ТОРГОВЫЙ ДОМ АГРОНИКА"</t>
        </is>
      </c>
      <c r="C7116" s="13" t="n">
        <v>3801157425</v>
      </c>
      <c r="D7116" s="13" t="inlineStr">
        <is>
          <t>3801157425</t>
        </is>
      </c>
      <c r="E7116" s="13" t="inlineStr">
        <is>
          <t>ЮЛ РФ</t>
        </is>
      </c>
      <c r="F7116" s="13" t="n"/>
      <c r="G7116" s="52" t="n">
        <v>1</v>
      </c>
      <c r="H7116" s="52" t="n">
        <v>2025</v>
      </c>
      <c r="I7116" s="14" t="n"/>
      <c r="J7116" s="14" t="n"/>
      <c r="K7116" s="53" t="inlineStr">
        <is>
          <t>Нет</t>
        </is>
      </c>
      <c r="L7116" s="53" t="inlineStr">
        <is>
          <t>Не определено</t>
        </is>
      </c>
      <c r="M7116" s="53" t="inlineStr">
        <is>
          <t>До 10</t>
        </is>
      </c>
      <c r="N7116" s="54" t="n">
        <v>3360</v>
      </c>
      <c r="O7116" s="55" t="inlineStr">
        <is>
          <t>1–15</t>
        </is>
      </c>
      <c r="P7116" s="16" t="inlineStr">
        <is>
          <t>ССЧР обогащена; ОКВЭД не найден/не загружен</t>
        </is>
      </c>
      <c r="Q7116" s="16" t="inlineStr">
        <is>
          <t>ФНС открытые данные ССЧР (ДатаСост 31.12.2025; набор 7707329152-sshr2019)</t>
        </is>
      </c>
      <c r="R7116" s="16">
        <f>HYPERLINK("https://checko.ru/search?query=3801001629","Чекко: проверить")</f>
        <v/>
      </c>
      <c r="S7116" t="n">
        <v>1</v>
      </c>
      <c r="T7116" s="35" t="inlineStr">
        <is>
          <t>4 — Не обогащён</t>
        </is>
      </c>
      <c r="U7116" s="35" t="inlineStr">
        <is>
          <t>Нет ОКВЭД/ССЧР</t>
        </is>
      </c>
      <c r="V7116" s="35" t="inlineStr">
        <is>
          <t>Не определено</t>
        </is>
      </c>
      <c r="W7116" s="35" t="inlineStr">
        <is>
          <t>Нет</t>
        </is>
      </c>
      <c r="X7116" s="35" t="inlineStr"/>
    </row>
    <row r="7117" ht="41.25" customHeight="1" s="24">
      <c r="A7117" s="13" t="inlineStr">
        <is>
          <t>FR903567</t>
        </is>
      </c>
      <c r="B7117" s="13" t="inlineStr">
        <is>
          <t>ОБЩЕСТВО С ОГРАНИЧЕННОЙ ОТВЕТСТВЕННОСТЬЮ "ЧАСТНАЯ ОХРАННАЯ ОРГАНИЗАЦИЯ "МЕЧ"</t>
        </is>
      </c>
      <c r="C7117" s="13" t="n">
        <v>3804119379</v>
      </c>
      <c r="D7117" s="13" t="inlineStr">
        <is>
          <t>3804119379</t>
        </is>
      </c>
      <c r="E7117" s="13" t="inlineStr">
        <is>
          <t>ЮЛ РФ</t>
        </is>
      </c>
      <c r="F7117" s="13" t="n"/>
      <c r="G7117" s="52" t="n">
        <v>13</v>
      </c>
      <c r="H7117" s="52" t="n">
        <v>2025</v>
      </c>
      <c r="I7117" s="14" t="n"/>
      <c r="J7117" s="14" t="n"/>
      <c r="K7117" s="53" t="inlineStr">
        <is>
          <t>Нет</t>
        </is>
      </c>
      <c r="L7117" s="53" t="inlineStr">
        <is>
          <t>Не определено</t>
        </is>
      </c>
      <c r="M7117" s="53" t="inlineStr">
        <is>
          <t>До 25</t>
        </is>
      </c>
      <c r="N7117" s="54" t="n">
        <v>8400</v>
      </c>
      <c r="O7117" s="55" t="inlineStr">
        <is>
          <t>1–15</t>
        </is>
      </c>
      <c r="P7117" s="16" t="inlineStr">
        <is>
          <t>ССЧР обогащена; ОКВЭД не найден/не загружен</t>
        </is>
      </c>
      <c r="Q7117" s="16" t="inlineStr">
        <is>
          <t>ФНС открытые данные ССЧР (ДатаСост 31.12.2025; набор 7707329152-sshr2019)</t>
        </is>
      </c>
      <c r="R7117" s="16">
        <f>HYPERLINK("https://checko.ru/search?query=3801001629","Чекко: проверить")</f>
        <v/>
      </c>
      <c r="S7117" t="n">
        <v>1</v>
      </c>
      <c r="T7117" s="35" t="inlineStr">
        <is>
          <t>4 — Не обогащён</t>
        </is>
      </c>
      <c r="U7117" s="35" t="inlineStr">
        <is>
          <t>Нет ОКВЭД/ССЧР</t>
        </is>
      </c>
      <c r="V7117" s="35" t="inlineStr">
        <is>
          <t>Не определено</t>
        </is>
      </c>
      <c r="W7117" s="35" t="inlineStr">
        <is>
          <t>Нет</t>
        </is>
      </c>
      <c r="X7117" s="35" t="inlineStr"/>
    </row>
    <row r="7118" ht="41.25" customHeight="1" s="24">
      <c r="A7118" s="13" t="inlineStr">
        <is>
          <t>FR178131</t>
        </is>
      </c>
      <c r="B7118" s="13" t="inlineStr">
        <is>
          <t>ОБЩЕСТВО С ОГРАНИЧЕННОЙ ОТВЕТСТВЕННОСТЬЮ "ЦЕНТР УСЛУГ, ТОРГОВО-МОНТАЖНАЯ КОМПАНИЯ "ПАРАДИГМА-ПРОФИ"</t>
        </is>
      </c>
      <c r="C7118" s="13" t="n">
        <v>2536280145</v>
      </c>
      <c r="D7118" s="13" t="inlineStr">
        <is>
          <t>2536280145</t>
        </is>
      </c>
      <c r="E7118" s="13" t="inlineStr">
        <is>
          <t>ЮЛ РФ</t>
        </is>
      </c>
      <c r="F7118" s="13" t="n"/>
      <c r="G7118" s="52" t="n">
        <v>6</v>
      </c>
      <c r="H7118" s="52" t="n">
        <v>2025</v>
      </c>
      <c r="I7118" s="14" t="n"/>
      <c r="J7118" s="14" t="n"/>
      <c r="K7118" s="53" t="inlineStr">
        <is>
          <t>Нет</t>
        </is>
      </c>
      <c r="L7118" s="53" t="inlineStr">
        <is>
          <t>Не определено</t>
        </is>
      </c>
      <c r="M7118" s="53" t="inlineStr">
        <is>
          <t>До 10</t>
        </is>
      </c>
      <c r="N7118" s="54" t="n">
        <v>3360</v>
      </c>
      <c r="O7118" s="55" t="inlineStr">
        <is>
          <t>1–15</t>
        </is>
      </c>
      <c r="P7118" s="16" t="inlineStr">
        <is>
          <t>ССЧР обогащена; ОКВЭД не найден/не загружен</t>
        </is>
      </c>
      <c r="Q7118" s="16" t="inlineStr">
        <is>
          <t>ФНС открытые данные ССЧР (ДатаСост 31.12.2025; набор 7707329152-sshr2019)</t>
        </is>
      </c>
      <c r="R7118" s="16">
        <f>HYPERLINK("https://checko.ru/search?query=3801001629","Чекко: проверить")</f>
        <v/>
      </c>
      <c r="S7118" t="n">
        <v>1</v>
      </c>
      <c r="T7118" s="35" t="inlineStr">
        <is>
          <t>4 — Не обогащён</t>
        </is>
      </c>
      <c r="U7118" s="35" t="inlineStr">
        <is>
          <t>Нет ОКВЭД/ССЧР</t>
        </is>
      </c>
      <c r="V7118" s="35" t="inlineStr">
        <is>
          <t>Не определено</t>
        </is>
      </c>
      <c r="W7118" s="35" t="inlineStr">
        <is>
          <t>Нет</t>
        </is>
      </c>
      <c r="X7118" s="35" t="inlineStr"/>
    </row>
    <row r="7119" ht="27.75" customHeight="1" s="24">
      <c r="A7119" s="13" t="inlineStr">
        <is>
          <t>FR902123</t>
        </is>
      </c>
      <c r="B7119" s="13" t="inlineStr">
        <is>
          <t>Общество с ограниченной ответственностью РАЗВИТИЕ</t>
        </is>
      </c>
      <c r="C7119" s="13" t="n">
        <v>2222813593</v>
      </c>
      <c r="D7119" s="13" t="inlineStr">
        <is>
          <t>2222813593</t>
        </is>
      </c>
      <c r="E7119" s="13" t="inlineStr">
        <is>
          <t>ЮЛ РФ</t>
        </is>
      </c>
      <c r="F7119" s="13" t="n"/>
      <c r="G7119" s="52" t="n">
        <v>3</v>
      </c>
      <c r="H7119" s="52" t="n">
        <v>2025</v>
      </c>
      <c r="I7119" s="14" t="n"/>
      <c r="J7119" s="14" t="n"/>
      <c r="K7119" s="53" t="inlineStr">
        <is>
          <t>Нет</t>
        </is>
      </c>
      <c r="L7119" s="53" t="inlineStr">
        <is>
          <t>Не определено</t>
        </is>
      </c>
      <c r="M7119" s="53" t="inlineStr">
        <is>
          <t>До 10</t>
        </is>
      </c>
      <c r="N7119" s="54" t="n">
        <v>3360</v>
      </c>
      <c r="O7119" s="55" t="inlineStr">
        <is>
          <t>1–15</t>
        </is>
      </c>
      <c r="P7119" s="16" t="inlineStr">
        <is>
          <t>ССЧР обогащена; ОКВЭД не найден/не загружен</t>
        </is>
      </c>
      <c r="Q7119" s="16" t="inlineStr">
        <is>
          <t>ФНС открытые данные ССЧР (ДатаСост 31.12.2025; набор 7707329152-sshr2019)</t>
        </is>
      </c>
      <c r="R7119" s="16">
        <f>HYPERLINK("https://checko.ru/search?query=3801001629","Чекко: проверить")</f>
        <v/>
      </c>
      <c r="S7119" t="n">
        <v>1</v>
      </c>
      <c r="T7119" s="35" t="inlineStr">
        <is>
          <t>4 — Не обогащён</t>
        </is>
      </c>
      <c r="U7119" s="35" t="inlineStr">
        <is>
          <t>Нет ОКВЭД/ССЧР</t>
        </is>
      </c>
      <c r="V7119" s="35" t="inlineStr">
        <is>
          <t>Не определено</t>
        </is>
      </c>
      <c r="W7119" s="35" t="inlineStr">
        <is>
          <t>Нет</t>
        </is>
      </c>
      <c r="X7119" s="35" t="inlineStr"/>
    </row>
    <row r="7120" ht="15" customHeight="1" s="24">
      <c r="A7120" s="13" t="inlineStr">
        <is>
          <t>FR1291722</t>
        </is>
      </c>
      <c r="B7120" s="13" t="inlineStr">
        <is>
          <t>ООО АЙВИ ПРОЖЕКТ</t>
        </is>
      </c>
      <c r="C7120" s="13" t="n">
        <v>9701324602</v>
      </c>
      <c r="D7120" s="13" t="inlineStr">
        <is>
          <t>9701324602</t>
        </is>
      </c>
      <c r="E7120" s="13" t="inlineStr">
        <is>
          <t>ЮЛ РФ</t>
        </is>
      </c>
      <c r="F7120" s="13" t="n"/>
      <c r="G7120" s="14" t="n"/>
      <c r="H7120" s="14" t="n"/>
      <c r="I7120" s="14" t="n"/>
      <c r="J7120" s="14" t="n"/>
      <c r="K7120" s="53" t="inlineStr"/>
      <c r="L7120" s="53" t="inlineStr">
        <is>
          <t>Не определено</t>
        </is>
      </c>
      <c r="M7120" s="53" t="inlineStr"/>
      <c r="N7120" s="54" t="inlineStr"/>
      <c r="O7120" s="55" t="inlineStr"/>
      <c r="P7120" s="16" t="inlineStr">
        <is>
          <t>Требует обогащения</t>
        </is>
      </c>
      <c r="Q7120" s="16">
        <f>HYPERLINK("https://pb.nalog.ru/search.html?query=9701324602","ФНС: проверить")</f>
        <v/>
      </c>
      <c r="R7120" s="16">
        <f>HYPERLINK("https://checko.ru/search?query=3801001629","Чекко: проверить")</f>
        <v/>
      </c>
      <c r="S7120" t="n">
        <v>1</v>
      </c>
      <c r="T7120" s="35" t="inlineStr">
        <is>
          <t>4 — Не обогащён</t>
        </is>
      </c>
      <c r="U7120" s="35" t="inlineStr">
        <is>
          <t>Нет ОКВЭД/ССЧР</t>
        </is>
      </c>
      <c r="V7120" s="35" t="inlineStr">
        <is>
          <t>Не определено</t>
        </is>
      </c>
      <c r="W7120" s="35" t="inlineStr"/>
      <c r="X7120" s="35" t="inlineStr"/>
    </row>
    <row r="7121" ht="27.75" customHeight="1" s="24">
      <c r="A7121" s="13" t="inlineStr">
        <is>
          <t>FR902948</t>
        </is>
      </c>
      <c r="B7121" s="13" t="inlineStr">
        <is>
          <t>Общество с ограниченной ответственностью "РУССКАЯ СИБИРЬ"</t>
        </is>
      </c>
      <c r="C7121" s="13" t="n">
        <v>3804120092</v>
      </c>
      <c r="D7121" s="13" t="inlineStr">
        <is>
          <t>3804120092</t>
        </is>
      </c>
      <c r="E7121" s="13" t="inlineStr">
        <is>
          <t>ЮЛ РФ</t>
        </is>
      </c>
      <c r="F7121" s="13" t="n"/>
      <c r="G7121" s="52" t="n">
        <v>4</v>
      </c>
      <c r="H7121" s="52" t="n">
        <v>2025</v>
      </c>
      <c r="I7121" s="14" t="n"/>
      <c r="J7121" s="14" t="n"/>
      <c r="K7121" s="53" t="inlineStr">
        <is>
          <t>Нет</t>
        </is>
      </c>
      <c r="L7121" s="53" t="inlineStr">
        <is>
          <t>Не определено</t>
        </is>
      </c>
      <c r="M7121" s="53" t="inlineStr">
        <is>
          <t>До 10</t>
        </is>
      </c>
      <c r="N7121" s="54" t="n">
        <v>3360</v>
      </c>
      <c r="O7121" s="55" t="inlineStr">
        <is>
          <t>1–15</t>
        </is>
      </c>
      <c r="P7121" s="16" t="inlineStr">
        <is>
          <t>ССЧР обогащена; ОКВЭД не найден/не загружен</t>
        </is>
      </c>
      <c r="Q7121" s="16" t="inlineStr">
        <is>
          <t>ФНС открытые данные ССЧР (ДатаСост 31.12.2025; набор 7707329152-sshr2019)</t>
        </is>
      </c>
      <c r="R7121" s="16">
        <f>HYPERLINK("https://checko.ru/search?query=3801001629","Чекко: проверить")</f>
        <v/>
      </c>
      <c r="S7121" t="n">
        <v>1</v>
      </c>
      <c r="T7121" s="35" t="inlineStr">
        <is>
          <t>4 — Не обогащён</t>
        </is>
      </c>
      <c r="U7121" s="35" t="inlineStr">
        <is>
          <t>Нет ОКВЭД/ССЧР</t>
        </is>
      </c>
      <c r="V7121" s="35" t="inlineStr">
        <is>
          <t>Не определено</t>
        </is>
      </c>
      <c r="W7121" s="35" t="inlineStr">
        <is>
          <t>Нет</t>
        </is>
      </c>
      <c r="X7121" s="35" t="inlineStr"/>
    </row>
    <row r="7122" ht="27.75" customHeight="1" s="24">
      <c r="A7122" s="13" t="inlineStr">
        <is>
          <t>FR899616</t>
        </is>
      </c>
      <c r="B7122" s="13" t="inlineStr">
        <is>
          <t>Общество с ограниченной ответственностью "БАЙКАЛТРАНСГРУПП"</t>
        </is>
      </c>
      <c r="C7122" s="13" t="n">
        <v>3812159953</v>
      </c>
      <c r="D7122" s="13" t="inlineStr">
        <is>
          <t>3812159953</t>
        </is>
      </c>
      <c r="E7122" s="13" t="inlineStr">
        <is>
          <t>ЮЛ РФ</t>
        </is>
      </c>
      <c r="F7122" s="13" t="n"/>
      <c r="G7122" s="52" t="n">
        <v>1</v>
      </c>
      <c r="H7122" s="52" t="n">
        <v>2025</v>
      </c>
      <c r="I7122" s="14" t="n"/>
      <c r="J7122" s="14" t="n"/>
      <c r="K7122" s="53" t="inlineStr">
        <is>
          <t>Нет</t>
        </is>
      </c>
      <c r="L7122" s="53" t="inlineStr">
        <is>
          <t>Не определено</t>
        </is>
      </c>
      <c r="M7122" s="53" t="inlineStr">
        <is>
          <t>До 10</t>
        </is>
      </c>
      <c r="N7122" s="54" t="n">
        <v>3360</v>
      </c>
      <c r="O7122" s="55" t="inlineStr">
        <is>
          <t>1–15</t>
        </is>
      </c>
      <c r="P7122" s="16" t="inlineStr">
        <is>
          <t>ССЧР обогащена; ОКВЭД не найден/не загружен</t>
        </is>
      </c>
      <c r="Q7122" s="16" t="inlineStr">
        <is>
          <t>ФНС открытые данные ССЧР (ДатаСост 31.12.2025; набор 7707329152-sshr2019)</t>
        </is>
      </c>
      <c r="R7122" s="16">
        <f>HYPERLINK("https://checko.ru/search?query=3801001629","Чекко: проверить")</f>
        <v/>
      </c>
      <c r="S7122" t="n">
        <v>1</v>
      </c>
      <c r="T7122" s="35" t="inlineStr">
        <is>
          <t>4 — Не обогащён</t>
        </is>
      </c>
      <c r="U7122" s="35" t="inlineStr">
        <is>
          <t>Нет ОКВЭД/ССЧР</t>
        </is>
      </c>
      <c r="V7122" s="35" t="inlineStr">
        <is>
          <t>Не определено</t>
        </is>
      </c>
      <c r="W7122" s="35" t="inlineStr">
        <is>
          <t>Нет</t>
        </is>
      </c>
      <c r="X7122" s="35" t="inlineStr"/>
    </row>
    <row r="7123" ht="27.75" customHeight="1" s="24">
      <c r="A7123" s="13" t="inlineStr">
        <is>
          <t>FR740646</t>
        </is>
      </c>
      <c r="B7123" s="13" t="inlineStr">
        <is>
          <t>Общество с ограниченной ответственностью "АПРЕЛЬ"</t>
        </is>
      </c>
      <c r="C7123" s="13" t="n">
        <v>3811122076</v>
      </c>
      <c r="D7123" s="13" t="inlineStr">
        <is>
          <t>3811122076</t>
        </is>
      </c>
      <c r="E7123" s="13" t="inlineStr">
        <is>
          <t>ЮЛ РФ</t>
        </is>
      </c>
      <c r="F7123" s="13" t="n"/>
      <c r="G7123" s="52" t="n">
        <v>2</v>
      </c>
      <c r="H7123" s="52" t="n">
        <v>2025</v>
      </c>
      <c r="I7123" s="14" t="n"/>
      <c r="J7123" s="14" t="n"/>
      <c r="K7123" s="53" t="inlineStr">
        <is>
          <t>Нет</t>
        </is>
      </c>
      <c r="L7123" s="53" t="inlineStr">
        <is>
          <t>Не определено</t>
        </is>
      </c>
      <c r="M7123" s="53" t="inlineStr">
        <is>
          <t>До 10</t>
        </is>
      </c>
      <c r="N7123" s="54" t="n">
        <v>3360</v>
      </c>
      <c r="O7123" s="55" t="inlineStr">
        <is>
          <t>1–15</t>
        </is>
      </c>
      <c r="P7123" s="16" t="inlineStr">
        <is>
          <t>ССЧР обогащена; ОКВЭД не найден/не загружен</t>
        </is>
      </c>
      <c r="Q7123" s="16" t="inlineStr">
        <is>
          <t>ФНС открытые данные ССЧР (ДатаСост 31.12.2025; набор 7707329152-sshr2019)</t>
        </is>
      </c>
      <c r="R7123" s="16">
        <f>HYPERLINK("https://checko.ru/search?query=3801001629","Чекко: проверить")</f>
        <v/>
      </c>
      <c r="S7123" t="n">
        <v>1</v>
      </c>
      <c r="T7123" s="35" t="inlineStr">
        <is>
          <t>4 — Не обогащён</t>
        </is>
      </c>
      <c r="U7123" s="35" t="inlineStr">
        <is>
          <t>Нет ОКВЭД/ССЧР</t>
        </is>
      </c>
      <c r="V7123" s="35" t="inlineStr">
        <is>
          <t>Не определено</t>
        </is>
      </c>
      <c r="W7123" s="35" t="inlineStr">
        <is>
          <t>Нет</t>
        </is>
      </c>
      <c r="X7123" s="35" t="inlineStr"/>
    </row>
    <row r="7124" ht="15" customHeight="1" s="24">
      <c r="A7124" s="13" t="inlineStr">
        <is>
          <t>FR984746</t>
        </is>
      </c>
      <c r="B7124" s="13" t="inlineStr">
        <is>
          <t>ИП Казаринов Иван Викторович</t>
        </is>
      </c>
      <c r="C7124" s="13" t="n">
        <v>381905094782</v>
      </c>
      <c r="D7124" s="13" t="inlineStr">
        <is>
          <t>381905094782</t>
        </is>
      </c>
      <c r="E7124" s="13" t="inlineStr">
        <is>
          <t>ИП РФ / физлицо</t>
        </is>
      </c>
      <c r="F7124" s="13" t="n"/>
      <c r="G7124" s="14" t="n"/>
      <c r="H7124" s="14" t="n"/>
      <c r="I7124" s="14" t="n"/>
      <c r="J7124" s="14" t="n"/>
      <c r="K7124" s="53" t="inlineStr"/>
      <c r="L7124" s="53" t="inlineStr">
        <is>
          <t>Не определено</t>
        </is>
      </c>
      <c r="M7124" s="53" t="inlineStr"/>
      <c r="N7124" s="54" t="inlineStr"/>
      <c r="O7124" s="55" t="inlineStr"/>
      <c r="P7124" s="16" t="inlineStr">
        <is>
          <t>Требует обогащения</t>
        </is>
      </c>
      <c r="Q7124" s="16">
        <f>HYPERLINK("https://pb.nalog.ru/search.html?query=381905094782","ФНС: проверить")</f>
        <v/>
      </c>
      <c r="R7124" s="16">
        <f>HYPERLINK("https://checko.ru/search?query=3801001629","Чекко: проверить")</f>
        <v/>
      </c>
      <c r="S7124" t="n">
        <v>1</v>
      </c>
      <c r="T7124" s="35" t="inlineStr">
        <is>
          <t>4 — Не обогащён</t>
        </is>
      </c>
      <c r="U7124" s="35" t="inlineStr">
        <is>
          <t>Нет ОКВЭД/ССЧР</t>
        </is>
      </c>
      <c r="V7124" s="35" t="inlineStr">
        <is>
          <t>Не определено</t>
        </is>
      </c>
      <c r="W7124" s="35" t="inlineStr"/>
      <c r="X7124" s="35" t="inlineStr"/>
    </row>
    <row r="7125" ht="27.75" customHeight="1" s="24">
      <c r="A7125" s="13" t="inlineStr">
        <is>
          <t>FR1105251</t>
        </is>
      </c>
      <c r="B7125" s="13" t="inlineStr">
        <is>
          <t>Общество с ограниченной ответственностью "СЕВЕРТС "</t>
        </is>
      </c>
      <c r="C7125" s="13" t="n">
        <v>3812165555</v>
      </c>
      <c r="D7125" s="13" t="inlineStr">
        <is>
          <t>3812165555</t>
        </is>
      </c>
      <c r="E7125" s="13" t="inlineStr">
        <is>
          <t>ЮЛ РФ</t>
        </is>
      </c>
      <c r="F7125" s="13" t="n"/>
      <c r="G7125" s="52" t="n">
        <v>3</v>
      </c>
      <c r="H7125" s="52" t="n">
        <v>2025</v>
      </c>
      <c r="I7125" s="14" t="n"/>
      <c r="J7125" s="14" t="n"/>
      <c r="K7125" s="53" t="inlineStr">
        <is>
          <t>Нет</t>
        </is>
      </c>
      <c r="L7125" s="53" t="inlineStr">
        <is>
          <t>Не определено</t>
        </is>
      </c>
      <c r="M7125" s="53" t="inlineStr">
        <is>
          <t>До 10</t>
        </is>
      </c>
      <c r="N7125" s="54" t="n">
        <v>3360</v>
      </c>
      <c r="O7125" s="55" t="inlineStr">
        <is>
          <t>1–15</t>
        </is>
      </c>
      <c r="P7125" s="16" t="inlineStr">
        <is>
          <t>ССЧР обогащена; ОКВЭД не найден/не загружен</t>
        </is>
      </c>
      <c r="Q7125" s="16" t="inlineStr">
        <is>
          <t>ФНС открытые данные ССЧР (ДатаСост 31.12.2025; набор 7707329152-sshr2019)</t>
        </is>
      </c>
      <c r="R7125" s="16">
        <f>HYPERLINK("https://checko.ru/search?query=3801001629","Чекко: проверить")</f>
        <v/>
      </c>
      <c r="S7125" t="n">
        <v>1</v>
      </c>
      <c r="T7125" s="35" t="inlineStr">
        <is>
          <t>4 — Не обогащён</t>
        </is>
      </c>
      <c r="U7125" s="35" t="inlineStr">
        <is>
          <t>Нет ОКВЭД/ССЧР</t>
        </is>
      </c>
      <c r="V7125" s="35" t="inlineStr">
        <is>
          <t>Не определено</t>
        </is>
      </c>
      <c r="W7125" s="35" t="inlineStr">
        <is>
          <t>Нет</t>
        </is>
      </c>
      <c r="X7125" s="35" t="inlineStr"/>
    </row>
    <row r="7126" ht="15" customHeight="1" s="24">
      <c r="A7126" s="13" t="inlineStr">
        <is>
          <t>FR424428</t>
        </is>
      </c>
      <c r="B7126" s="13" t="inlineStr">
        <is>
          <t>ИП Четина Анастасия Александровна</t>
        </is>
      </c>
      <c r="C7126" s="13" t="n">
        <v>381100405072</v>
      </c>
      <c r="D7126" s="13" t="inlineStr">
        <is>
          <t>381100405072</t>
        </is>
      </c>
      <c r="E7126" s="13" t="inlineStr">
        <is>
          <t>ИП РФ / физлицо</t>
        </is>
      </c>
      <c r="F7126" s="13" t="n"/>
      <c r="G7126" s="14" t="n"/>
      <c r="H7126" s="14" t="n"/>
      <c r="I7126" s="14" t="n"/>
      <c r="J7126" s="14" t="n"/>
      <c r="K7126" s="53" t="inlineStr"/>
      <c r="L7126" s="53" t="inlineStr">
        <is>
          <t>Не определено</t>
        </is>
      </c>
      <c r="M7126" s="53" t="inlineStr"/>
      <c r="N7126" s="54" t="inlineStr"/>
      <c r="O7126" s="55" t="inlineStr"/>
      <c r="P7126" s="16" t="inlineStr">
        <is>
          <t>Требует обогащения</t>
        </is>
      </c>
      <c r="Q7126" s="16">
        <f>HYPERLINK("https://pb.nalog.ru/search.html?query=381100405072","ФНС: проверить")</f>
        <v/>
      </c>
      <c r="R7126" s="16">
        <f>HYPERLINK("https://checko.ru/search?query=3801001629","Чекко: проверить")</f>
        <v/>
      </c>
      <c r="S7126" t="n">
        <v>1</v>
      </c>
      <c r="T7126" s="35" t="inlineStr">
        <is>
          <t>4 — Не обогащён</t>
        </is>
      </c>
      <c r="U7126" s="35" t="inlineStr">
        <is>
          <t>Нет ОКВЭД/ССЧР</t>
        </is>
      </c>
      <c r="V7126" s="35" t="inlineStr">
        <is>
          <t>Не определено</t>
        </is>
      </c>
      <c r="W7126" s="35" t="inlineStr"/>
      <c r="X7126" s="35" t="inlineStr"/>
    </row>
    <row r="7127" ht="15" customHeight="1" s="24">
      <c r="A7127" s="13" t="inlineStr">
        <is>
          <t>FR593127</t>
        </is>
      </c>
      <c r="B7127" s="13" t="inlineStr">
        <is>
          <t>ИП Бахтина Анна Николаевна</t>
        </is>
      </c>
      <c r="C7127" s="13" t="n">
        <v>381800213601</v>
      </c>
      <c r="D7127" s="13" t="inlineStr">
        <is>
          <t>381800213601</t>
        </is>
      </c>
      <c r="E7127" s="13" t="inlineStr">
        <is>
          <t>ИП РФ / физлицо</t>
        </is>
      </c>
      <c r="F7127" s="13" t="n"/>
      <c r="G7127" s="14" t="n"/>
      <c r="H7127" s="14" t="n"/>
      <c r="I7127" s="14" t="n"/>
      <c r="J7127" s="14" t="n"/>
      <c r="K7127" s="53" t="inlineStr"/>
      <c r="L7127" s="53" t="inlineStr">
        <is>
          <t>Не определено</t>
        </is>
      </c>
      <c r="M7127" s="53" t="inlineStr"/>
      <c r="N7127" s="54" t="inlineStr"/>
      <c r="O7127" s="55" t="inlineStr"/>
      <c r="P7127" s="16" t="inlineStr">
        <is>
          <t>Требует обогащения</t>
        </is>
      </c>
      <c r="Q7127" s="16">
        <f>HYPERLINK("https://pb.nalog.ru/search.html?query=381800213601","ФНС: проверить")</f>
        <v/>
      </c>
      <c r="R7127" s="16">
        <f>HYPERLINK("https://checko.ru/search?query=3801001629","Чекко: проверить")</f>
        <v/>
      </c>
      <c r="S7127" t="n">
        <v>1</v>
      </c>
      <c r="T7127" s="35" t="inlineStr">
        <is>
          <t>4 — Не обогащён</t>
        </is>
      </c>
      <c r="U7127" s="35" t="inlineStr">
        <is>
          <t>Нет ОКВЭД/ССЧР</t>
        </is>
      </c>
      <c r="V7127" s="35" t="inlineStr">
        <is>
          <t>Не определено</t>
        </is>
      </c>
      <c r="W7127" s="35" t="inlineStr"/>
      <c r="X7127" s="35" t="inlineStr"/>
    </row>
    <row r="7128" ht="15" customHeight="1" s="24">
      <c r="A7128" s="13" t="inlineStr">
        <is>
          <t>FR583988</t>
        </is>
      </c>
      <c r="B7128" s="13" t="inlineStr">
        <is>
          <t>ИП Разскащиков Александр Сергеевич</t>
        </is>
      </c>
      <c r="C7128" s="13" t="n">
        <v>380895396902</v>
      </c>
      <c r="D7128" s="13" t="inlineStr">
        <is>
          <t>380895396902</t>
        </is>
      </c>
      <c r="E7128" s="13" t="inlineStr">
        <is>
          <t>ИП РФ / физлицо</t>
        </is>
      </c>
      <c r="F7128" s="13" t="n"/>
      <c r="G7128" s="14" t="n"/>
      <c r="H7128" s="14" t="n"/>
      <c r="I7128" s="14" t="n"/>
      <c r="J7128" s="14" t="n"/>
      <c r="K7128" s="53" t="inlineStr"/>
      <c r="L7128" s="53" t="inlineStr">
        <is>
          <t>Не определено</t>
        </is>
      </c>
      <c r="M7128" s="53" t="inlineStr"/>
      <c r="N7128" s="54" t="inlineStr"/>
      <c r="O7128" s="55" t="inlineStr"/>
      <c r="P7128" s="16" t="inlineStr">
        <is>
          <t>Требует обогащения</t>
        </is>
      </c>
      <c r="Q7128" s="16">
        <f>HYPERLINK("https://pb.nalog.ru/search.html?query=380895396902","ФНС: проверить")</f>
        <v/>
      </c>
      <c r="R7128" s="16">
        <f>HYPERLINK("https://checko.ru/search?query=3801001629","Чекко: проверить")</f>
        <v/>
      </c>
      <c r="S7128" t="n">
        <v>1</v>
      </c>
      <c r="T7128" s="35" t="inlineStr">
        <is>
          <t>4 — Не обогащён</t>
        </is>
      </c>
      <c r="U7128" s="35" t="inlineStr">
        <is>
          <t>Нет ОКВЭД/ССЧР</t>
        </is>
      </c>
      <c r="V7128" s="35" t="inlineStr">
        <is>
          <t>Не определено</t>
        </is>
      </c>
      <c r="W7128" s="35" t="inlineStr"/>
      <c r="X7128" s="35" t="inlineStr"/>
    </row>
    <row r="7129" ht="27.75" customHeight="1" s="24">
      <c r="A7129" s="13" t="inlineStr">
        <is>
          <t>FR1113085</t>
        </is>
      </c>
      <c r="B7129" s="13" t="inlineStr">
        <is>
          <t>Общество с ограниченной ответственностью "БРИК"</t>
        </is>
      </c>
      <c r="C7129" s="13" t="n">
        <v>3801164542</v>
      </c>
      <c r="D7129" s="13" t="inlineStr">
        <is>
          <t>3801164542</t>
        </is>
      </c>
      <c r="E7129" s="13" t="inlineStr">
        <is>
          <t>ЮЛ РФ</t>
        </is>
      </c>
      <c r="F7129" s="13" t="n"/>
      <c r="G7129" s="52" t="n">
        <v>32</v>
      </c>
      <c r="H7129" s="52" t="n">
        <v>2025</v>
      </c>
      <c r="I7129" s="52" t="inlineStr">
        <is>
          <t>41.20</t>
        </is>
      </c>
      <c r="J7129" s="52" t="inlineStr">
        <is>
          <t>41.20; 41.10; 42.13; 42.21; 42.22; 43.11; 43.12; 43.13; 43.21; 43.22; 43.29; 43.31; 43.32; 43.32.1; 43.32.2; 43.32.3; 43.33; 43.34; 43.39; 43.91; 43.99.1; 43.99.2; 43.99.3; 43.99.4; 43.99.5; 43.99.6; 43.99.7; 43.99.9; 46.12; 46.12.1; 46.13; 46.13.1; 46.13.2; 46.14.9; 46.15.1; 46.18.92; 46.18.93; 46.18.99; 49.41.1; 49.41.2; 49.41.3; 49.42; 52.29; 77.32; 77.39.1; 77.39.11; 77.39.23</t>
        </is>
      </c>
      <c r="K7129" s="53" t="inlineStr">
        <is>
          <t>Да</t>
        </is>
      </c>
      <c r="L7129" s="53" t="inlineStr">
        <is>
          <t>Да</t>
        </is>
      </c>
      <c r="M7129" s="53" t="inlineStr">
        <is>
          <t>До 50</t>
        </is>
      </c>
      <c r="N7129" s="54" t="n">
        <v>16800</v>
      </c>
      <c r="O7129" s="55" t="inlineStr">
        <is>
          <t>31–50</t>
        </is>
      </c>
      <c r="P7129" s="16" t="inlineStr">
        <is>
          <t>ССЧР + ОКВЭД обогащены</t>
        </is>
      </c>
      <c r="Q7129" s="16" t="inlineStr">
        <is>
          <t>ФНС открытые данные ССЧР (ДатаСост 31.12.2025; набор 7707329152-sshr2019)</t>
        </is>
      </c>
      <c r="R7129" s="16" t="inlineStr">
        <is>
          <t>ЕГРЮЛ / egrul.nalog.ru (выписка)</t>
        </is>
      </c>
      <c r="S7129" t="n">
        <v>1</v>
      </c>
      <c r="T7129" s="35" t="inlineStr">
        <is>
          <t>1 — Горячий</t>
        </is>
      </c>
      <c r="U7129" s="35" t="inlineStr">
        <is>
          <t>ОКВЭД + 22+</t>
        </is>
      </c>
      <c r="V7129" s="35" t="inlineStr">
        <is>
          <t>Да</t>
        </is>
      </c>
      <c r="W7129" s="35" t="inlineStr">
        <is>
          <t>Да</t>
        </is>
      </c>
      <c r="X7129" s="35" t="inlineStr">
        <is>
          <t>Да</t>
        </is>
      </c>
    </row>
    <row r="7130" ht="27.75" customHeight="1" s="24">
      <c r="A7130" s="13" t="inlineStr">
        <is>
          <t>FR1113085</t>
        </is>
      </c>
      <c r="B7130" s="13" t="inlineStr">
        <is>
          <t>Общество с ограниченной ответственностью "БРИК"</t>
        </is>
      </c>
      <c r="C7130" s="13" t="n">
        <v>3801164542</v>
      </c>
      <c r="D7130" s="13" t="inlineStr">
        <is>
          <t>3801164542</t>
        </is>
      </c>
      <c r="E7130" s="13" t="inlineStr">
        <is>
          <t>ЮЛ РФ</t>
        </is>
      </c>
      <c r="F7130" s="13" t="n"/>
      <c r="G7130" s="52" t="n">
        <v>32</v>
      </c>
      <c r="H7130" s="52" t="n">
        <v>2025</v>
      </c>
      <c r="I7130" s="52" t="inlineStr">
        <is>
          <t>41.20</t>
        </is>
      </c>
      <c r="J7130" s="52" t="inlineStr">
        <is>
          <t>41.20; 41.10; 42.13; 42.21; 42.22; 43.11; 43.12; 43.13; 43.21; 43.22; 43.29; 43.31; 43.32; 43.32.1; 43.32.2; 43.32.3; 43.33; 43.34; 43.39; 43.91; 43.99.1; 43.99.2; 43.99.3; 43.99.4; 43.99.5; 43.99.6; 43.99.7; 43.99.9; 46.12; 46.12.1; 46.13; 46.13.1; 46.13.2; 46.14.9; 46.15.1; 46.18.92; 46.18.93; 46.18.99; 49.41.1; 49.41.2; 49.41.3; 49.42; 52.29; 77.32; 77.39.1; 77.39.11; 77.39.23</t>
        </is>
      </c>
      <c r="K7130" s="53" t="inlineStr">
        <is>
          <t>Да</t>
        </is>
      </c>
      <c r="L7130" s="53" t="inlineStr">
        <is>
          <t>Да</t>
        </is>
      </c>
      <c r="M7130" s="53" t="inlineStr">
        <is>
          <t>До 50</t>
        </is>
      </c>
      <c r="N7130" s="54" t="n">
        <v>16800</v>
      </c>
      <c r="O7130" s="55" t="inlineStr">
        <is>
          <t>31–50</t>
        </is>
      </c>
      <c r="P7130" s="16" t="inlineStr">
        <is>
          <t>ССЧР + ОКВЭД обогащены</t>
        </is>
      </c>
      <c r="Q7130" s="16" t="inlineStr">
        <is>
          <t>ФНС открытые данные ССЧР (ДатаСост 31.12.2025; набор 7707329152-sshr2019)</t>
        </is>
      </c>
      <c r="R7130" s="16" t="inlineStr">
        <is>
          <t>ЕГРЮЛ / egrul.nalog.ru (выписка)</t>
        </is>
      </c>
      <c r="S7130" t="n">
        <v>0</v>
      </c>
      <c r="T7130" s="35" t="inlineStr">
        <is>
          <t>1 — Горячий</t>
        </is>
      </c>
      <c r="U7130" s="35" t="inlineStr">
        <is>
          <t>ОКВЭД + 22+</t>
        </is>
      </c>
      <c r="V7130" s="35" t="inlineStr">
        <is>
          <t>Да</t>
        </is>
      </c>
      <c r="W7130" s="35" t="inlineStr">
        <is>
          <t>Да</t>
        </is>
      </c>
      <c r="X7130" s="35" t="inlineStr">
        <is>
          <t>Да</t>
        </is>
      </c>
    </row>
    <row r="7131" ht="15" customHeight="1" s="24">
      <c r="A7131" s="13" t="inlineStr">
        <is>
          <t>FR1091615</t>
        </is>
      </c>
      <c r="B7131" s="13" t="inlineStr">
        <is>
          <t>ИП Бондарева Анастасия Валерьевна</t>
        </is>
      </c>
      <c r="C7131" s="13" t="n">
        <v>502714636215</v>
      </c>
      <c r="D7131" s="13" t="inlineStr">
        <is>
          <t>502714636215</t>
        </is>
      </c>
      <c r="E7131" s="13" t="inlineStr">
        <is>
          <t>ИП РФ / физлицо</t>
        </is>
      </c>
      <c r="F7131" s="13" t="n"/>
      <c r="G7131" s="14" t="n"/>
      <c r="H7131" s="14" t="n"/>
      <c r="I7131" s="14" t="n"/>
      <c r="J7131" s="14" t="n"/>
      <c r="K7131" s="53" t="inlineStr"/>
      <c r="L7131" s="53" t="inlineStr">
        <is>
          <t>Не определено</t>
        </is>
      </c>
      <c r="M7131" s="53" t="inlineStr"/>
      <c r="N7131" s="54" t="inlineStr"/>
      <c r="O7131" s="55" t="inlineStr"/>
      <c r="P7131" s="16" t="inlineStr">
        <is>
          <t>Требует обогащения</t>
        </is>
      </c>
      <c r="Q7131" s="16">
        <f>HYPERLINK("https://pb.nalog.ru/search.html?query=502714636215","ФНС: проверить")</f>
        <v/>
      </c>
      <c r="R7131" s="16">
        <f>HYPERLINK("https://checko.ru/search?query=3801001629","Чекко: проверить")</f>
        <v/>
      </c>
      <c r="S7131" t="n">
        <v>1</v>
      </c>
      <c r="T7131" s="35" t="inlineStr">
        <is>
          <t>4 — Не обогащён</t>
        </is>
      </c>
      <c r="U7131" s="35" t="inlineStr">
        <is>
          <t>Нет ОКВЭД/ССЧР</t>
        </is>
      </c>
      <c r="V7131" s="35" t="inlineStr">
        <is>
          <t>Не определено</t>
        </is>
      </c>
      <c r="W7131" s="35" t="inlineStr"/>
      <c r="X7131" s="35" t="inlineStr"/>
    </row>
    <row r="7132" ht="15" customHeight="1" s="24">
      <c r="A7132" s="13" t="inlineStr">
        <is>
          <t>FR903814</t>
        </is>
      </c>
      <c r="B7132" s="13" t="inlineStr">
        <is>
          <t>ИП Коренева Инна Борисовна</t>
        </is>
      </c>
      <c r="C7132" s="13" t="n">
        <v>753002780962</v>
      </c>
      <c r="D7132" s="13" t="inlineStr">
        <is>
          <t>753002780962</t>
        </is>
      </c>
      <c r="E7132" s="13" t="inlineStr">
        <is>
          <t>ИП РФ / физлицо</t>
        </is>
      </c>
      <c r="F7132" s="13" t="n"/>
      <c r="G7132" s="14" t="n"/>
      <c r="H7132" s="14" t="n"/>
      <c r="I7132" s="14" t="n"/>
      <c r="J7132" s="14" t="n"/>
      <c r="K7132" s="53" t="inlineStr"/>
      <c r="L7132" s="53" t="inlineStr">
        <is>
          <t>Не определено</t>
        </is>
      </c>
      <c r="M7132" s="53" t="inlineStr"/>
      <c r="N7132" s="54" t="inlineStr"/>
      <c r="O7132" s="55" t="inlineStr"/>
      <c r="P7132" s="16" t="inlineStr">
        <is>
          <t>Требует обогащения</t>
        </is>
      </c>
      <c r="Q7132" s="16">
        <f>HYPERLINK("https://pb.nalog.ru/search.html?query=753002780962","ФНС: проверить")</f>
        <v/>
      </c>
      <c r="R7132" s="16">
        <f>HYPERLINK("https://checko.ru/search?query=3801001629","Чекко: проверить")</f>
        <v/>
      </c>
      <c r="S7132" t="n">
        <v>1</v>
      </c>
      <c r="T7132" s="35" t="inlineStr">
        <is>
          <t>4 — Не обогащён</t>
        </is>
      </c>
      <c r="U7132" s="35" t="inlineStr">
        <is>
          <t>Нет ОКВЭД/ССЧР</t>
        </is>
      </c>
      <c r="V7132" s="35" t="inlineStr">
        <is>
          <t>Не определено</t>
        </is>
      </c>
      <c r="W7132" s="35" t="inlineStr"/>
      <c r="X7132" s="35" t="inlineStr"/>
    </row>
    <row r="7133" ht="15" customHeight="1" s="24">
      <c r="A7133" s="13" t="inlineStr">
        <is>
          <t>FR116463</t>
        </is>
      </c>
      <c r="B7133" s="13" t="inlineStr">
        <is>
          <t>КАССА-ЦЕНТР ООО</t>
        </is>
      </c>
      <c r="C7133" s="13" t="n">
        <v>7536157253</v>
      </c>
      <c r="D7133" s="13" t="inlineStr">
        <is>
          <t>7536157253</t>
        </is>
      </c>
      <c r="E7133" s="13" t="inlineStr">
        <is>
          <t>ЮЛ РФ</t>
        </is>
      </c>
      <c r="F7133" s="13" t="n"/>
      <c r="G7133" s="52" t="n">
        <v>6</v>
      </c>
      <c r="H7133" s="52" t="n">
        <v>2025</v>
      </c>
      <c r="I7133" s="14" t="n"/>
      <c r="J7133" s="14" t="n"/>
      <c r="K7133" s="53" t="inlineStr">
        <is>
          <t>Нет</t>
        </is>
      </c>
      <c r="L7133" s="53" t="inlineStr">
        <is>
          <t>Не определено</t>
        </is>
      </c>
      <c r="M7133" s="53" t="inlineStr">
        <is>
          <t>До 10</t>
        </is>
      </c>
      <c r="N7133" s="54" t="n">
        <v>3360</v>
      </c>
      <c r="O7133" s="55" t="inlineStr">
        <is>
          <t>1–15</t>
        </is>
      </c>
      <c r="P7133" s="16" t="inlineStr">
        <is>
          <t>ССЧР обогащена; ОКВЭД не найден/не загружен</t>
        </is>
      </c>
      <c r="Q7133" s="16" t="inlineStr">
        <is>
          <t>ФНС открытые данные ССЧР (ДатаСост 31.12.2025; набор 7707329152-sshr2019)</t>
        </is>
      </c>
      <c r="R7133" s="16">
        <f>HYPERLINK("https://checko.ru/search?query=3801001629","Чекко: проверить")</f>
        <v/>
      </c>
      <c r="S7133" t="n">
        <v>0</v>
      </c>
      <c r="T7133" s="35" t="inlineStr">
        <is>
          <t>4 — Не обогащён</t>
        </is>
      </c>
      <c r="U7133" s="35" t="inlineStr">
        <is>
          <t>Нет ОКВЭД/ССЧР</t>
        </is>
      </c>
      <c r="V7133" s="35" t="inlineStr">
        <is>
          <t>Не определено</t>
        </is>
      </c>
      <c r="W7133" s="35" t="inlineStr">
        <is>
          <t>Нет</t>
        </is>
      </c>
      <c r="X7133" s="35" t="inlineStr"/>
    </row>
    <row r="7134" ht="27.75" customHeight="1" s="24">
      <c r="A7134" s="13" t="inlineStr">
        <is>
          <t>FR309797</t>
        </is>
      </c>
      <c r="B7134" s="13" t="inlineStr">
        <is>
          <t>ОБЩЕСТВО С ОГРАНИЧЕННОЙ ОТВЕТСТВЕННОСТЬЮ "АВТОСТЕКЛОЭКСПЕРТ"</t>
        </is>
      </c>
      <c r="C7134" s="13" t="n">
        <v>3801130511</v>
      </c>
      <c r="D7134" s="13" t="inlineStr">
        <is>
          <t>3801130511</t>
        </is>
      </c>
      <c r="E7134" s="13" t="inlineStr">
        <is>
          <t>ЮЛ РФ</t>
        </is>
      </c>
      <c r="F7134" s="13" t="n"/>
      <c r="G7134" s="52" t="n">
        <v>0</v>
      </c>
      <c r="H7134" s="52" t="n">
        <v>2025</v>
      </c>
      <c r="I7134" s="14" t="n"/>
      <c r="J7134" s="14" t="n"/>
      <c r="K7134" s="53" t="inlineStr">
        <is>
          <t>Нет</t>
        </is>
      </c>
      <c r="L7134" s="53" t="inlineStr">
        <is>
          <t>Не определено</t>
        </is>
      </c>
      <c r="M7134" s="53" t="inlineStr">
        <is>
          <t>До 10</t>
        </is>
      </c>
      <c r="N7134" s="54" t="n">
        <v>3360</v>
      </c>
      <c r="O7134" s="55" t="inlineStr">
        <is>
          <t>1–15</t>
        </is>
      </c>
      <c r="P7134" s="16" t="inlineStr">
        <is>
          <t>ССЧР обогащена; ОКВЭД не найден/не загружен</t>
        </is>
      </c>
      <c r="Q7134" s="16" t="inlineStr">
        <is>
          <t>ФНС открытые данные ССЧР (ДатаСост 31.12.2025; набор 7707329152-sshr2019)</t>
        </is>
      </c>
      <c r="R7134" s="16">
        <f>HYPERLINK("https://checko.ru/search?query=3801001629","Чекко: проверить")</f>
        <v/>
      </c>
      <c r="S7134" t="n">
        <v>1</v>
      </c>
      <c r="T7134" s="35" t="inlineStr">
        <is>
          <t>4 — Не обогащён</t>
        </is>
      </c>
      <c r="U7134" s="35" t="inlineStr">
        <is>
          <t>Нет ОКВЭД/ССЧР</t>
        </is>
      </c>
      <c r="V7134" s="35" t="inlineStr">
        <is>
          <t>Не определено</t>
        </is>
      </c>
      <c r="W7134" s="35" t="inlineStr">
        <is>
          <t>Нет</t>
        </is>
      </c>
      <c r="X7134" s="35" t="inlineStr"/>
    </row>
    <row r="7135" ht="27.75" customHeight="1" s="24">
      <c r="A7135" s="13" t="inlineStr">
        <is>
          <t>FR315595</t>
        </is>
      </c>
      <c r="B7135" s="13" t="inlineStr">
        <is>
          <t>ОБЩЕСТВО С ОГРАНИЧЕННОЙ ОТВЕТСТВЕННОСТЬЮ "АСТРА"</t>
        </is>
      </c>
      <c r="C7135" s="13" t="n">
        <v>3808199093</v>
      </c>
      <c r="D7135" s="13" t="inlineStr">
        <is>
          <t>3808199093</t>
        </is>
      </c>
      <c r="E7135" s="13" t="inlineStr">
        <is>
          <t>ЮЛ РФ</t>
        </is>
      </c>
      <c r="F7135" s="13" t="n"/>
      <c r="G7135" s="52" t="n">
        <v>13</v>
      </c>
      <c r="H7135" s="52" t="n">
        <v>2025</v>
      </c>
      <c r="I7135" s="14" t="n"/>
      <c r="J7135" s="14" t="n"/>
      <c r="K7135" s="53" t="inlineStr">
        <is>
          <t>Нет</t>
        </is>
      </c>
      <c r="L7135" s="53" t="inlineStr">
        <is>
          <t>Не определено</t>
        </is>
      </c>
      <c r="M7135" s="53" t="inlineStr">
        <is>
          <t>До 25</t>
        </is>
      </c>
      <c r="N7135" s="54" t="n">
        <v>8400</v>
      </c>
      <c r="O7135" s="55" t="inlineStr">
        <is>
          <t>1–15</t>
        </is>
      </c>
      <c r="P7135" s="16" t="inlineStr">
        <is>
          <t>ССЧР обогащена; ОКВЭД не найден/не загружен</t>
        </is>
      </c>
      <c r="Q7135" s="16" t="inlineStr">
        <is>
          <t>ФНС открытые данные ССЧР (ДатаСост 31.12.2025; набор 7707329152-sshr2019)</t>
        </is>
      </c>
      <c r="R7135" s="16">
        <f>HYPERLINK("https://checko.ru/search?query=3801001629","Чекко: проверить")</f>
        <v/>
      </c>
      <c r="S7135" t="n">
        <v>1</v>
      </c>
      <c r="T7135" s="35" t="inlineStr">
        <is>
          <t>4 — Не обогащён</t>
        </is>
      </c>
      <c r="U7135" s="35" t="inlineStr">
        <is>
          <t>Нет ОКВЭД/ССЧР</t>
        </is>
      </c>
      <c r="V7135" s="35" t="inlineStr">
        <is>
          <t>Не определено</t>
        </is>
      </c>
      <c r="W7135" s="35" t="inlineStr">
        <is>
          <t>Нет</t>
        </is>
      </c>
      <c r="X7135" s="35" t="inlineStr"/>
    </row>
    <row r="7136" ht="15" customHeight="1" s="24">
      <c r="A7136" s="13" t="inlineStr">
        <is>
          <t>FR259259</t>
        </is>
      </c>
      <c r="B7136" s="13" t="inlineStr">
        <is>
          <t>Сайфулин Фарид Мухаметгалеевич</t>
        </is>
      </c>
      <c r="C7136" s="13" t="n">
        <v>540125179881</v>
      </c>
      <c r="D7136" s="13" t="inlineStr">
        <is>
          <t>540125179881</t>
        </is>
      </c>
      <c r="E7136" s="13" t="inlineStr">
        <is>
          <t>ИП РФ / физлицо</t>
        </is>
      </c>
      <c r="F7136" s="13" t="n"/>
      <c r="G7136" s="14" t="n"/>
      <c r="H7136" s="14" t="n"/>
      <c r="I7136" s="14" t="n"/>
      <c r="J7136" s="14" t="n"/>
      <c r="K7136" s="53" t="inlineStr"/>
      <c r="L7136" s="53" t="inlineStr">
        <is>
          <t>Не определено</t>
        </is>
      </c>
      <c r="M7136" s="53" t="inlineStr"/>
      <c r="N7136" s="54" t="inlineStr"/>
      <c r="O7136" s="55" t="inlineStr"/>
      <c r="P7136" s="16" t="inlineStr">
        <is>
          <t>Требует обогащения</t>
        </is>
      </c>
      <c r="Q7136" s="16">
        <f>HYPERLINK("https://pb.nalog.ru/search.html?query=540125179881","ФНС: проверить")</f>
        <v/>
      </c>
      <c r="R7136" s="16">
        <f>HYPERLINK("https://checko.ru/search?query=3801001629","Чекко: проверить")</f>
        <v/>
      </c>
      <c r="S7136" t="n">
        <v>1</v>
      </c>
      <c r="T7136" s="35" t="inlineStr">
        <is>
          <t>4 — Не обогащён</t>
        </is>
      </c>
      <c r="U7136" s="35" t="inlineStr">
        <is>
          <t>Нет ОКВЭД/ССЧР</t>
        </is>
      </c>
      <c r="V7136" s="35" t="inlineStr">
        <is>
          <t>Не определено</t>
        </is>
      </c>
      <c r="W7136" s="35" t="inlineStr"/>
      <c r="X7136" s="35" t="inlineStr"/>
    </row>
    <row r="7137" ht="15" customHeight="1" s="24">
      <c r="A7137" s="13" t="inlineStr">
        <is>
          <t>FR1284672</t>
        </is>
      </c>
      <c r="B7137" s="13" t="inlineStr">
        <is>
          <t>ООО "МПС"</t>
        </is>
      </c>
      <c r="C7137" s="13" t="n">
        <v>7453367419</v>
      </c>
      <c r="D7137" s="13" t="inlineStr">
        <is>
          <t>7453367419</t>
        </is>
      </c>
      <c r="E7137" s="13" t="inlineStr">
        <is>
          <t>ЮЛ РФ</t>
        </is>
      </c>
      <c r="F7137" s="13" t="n"/>
      <c r="G7137" s="14" t="n"/>
      <c r="H7137" s="14" t="n"/>
      <c r="I7137" s="14" t="n"/>
      <c r="J7137" s="14" t="n"/>
      <c r="K7137" s="53" t="inlineStr"/>
      <c r="L7137" s="53" t="inlineStr">
        <is>
          <t>Не определено</t>
        </is>
      </c>
      <c r="M7137" s="53" t="inlineStr"/>
      <c r="N7137" s="54" t="inlineStr"/>
      <c r="O7137" s="55" t="inlineStr"/>
      <c r="P7137" s="16" t="inlineStr">
        <is>
          <t>Требует обогащения</t>
        </is>
      </c>
      <c r="Q7137" s="16">
        <f>HYPERLINK("https://pb.nalog.ru/search.html?query=7453367419","ФНС: проверить")</f>
        <v/>
      </c>
      <c r="R7137" s="16">
        <f>HYPERLINK("https://checko.ru/search?query=3801001629","Чекко: проверить")</f>
        <v/>
      </c>
      <c r="S7137" t="n">
        <v>1</v>
      </c>
      <c r="T7137" s="35" t="inlineStr">
        <is>
          <t>4 — Не обогащён</t>
        </is>
      </c>
      <c r="U7137" s="35" t="inlineStr">
        <is>
          <t>Нет ОКВЭД/ССЧР</t>
        </is>
      </c>
      <c r="V7137" s="35" t="inlineStr">
        <is>
          <t>Не определено</t>
        </is>
      </c>
      <c r="W7137" s="35" t="inlineStr"/>
      <c r="X7137" s="35" t="inlineStr"/>
    </row>
    <row r="7138" ht="27.75" customHeight="1" s="24">
      <c r="A7138" s="13" t="inlineStr">
        <is>
          <t>FR1293845</t>
        </is>
      </c>
      <c r="B7138" s="13" t="inlineStr">
        <is>
          <t>Общество с ограниченной ответственностью "БРАТСКАЯ СТРОИТЕЛЬНАЯ КОМПАНИЯ"</t>
        </is>
      </c>
      <c r="C7138" s="13" t="n">
        <v>3804118294</v>
      </c>
      <c r="D7138" s="13" t="inlineStr">
        <is>
          <t>3804118294</t>
        </is>
      </c>
      <c r="E7138" s="13" t="inlineStr">
        <is>
          <t>ЮЛ РФ</t>
        </is>
      </c>
      <c r="F7138" s="13" t="n"/>
      <c r="G7138" s="52" t="n">
        <v>27</v>
      </c>
      <c r="H7138" s="52" t="n">
        <v>2025</v>
      </c>
      <c r="I7138" s="52" t="inlineStr">
        <is>
          <t>41.20</t>
        </is>
      </c>
      <c r="J7138" s="52" t="inlineStr">
        <is>
          <t>41.20; 43.21; 43.22; 43.29; 43.31; 43.32; 43.34; 43.39; 43.99; 43.99.4; 45.20; 49.41; 49.41.1; 49.41.2; 49.41.3; 49.42; 52.24; 52.29; 68.20; 71.11</t>
        </is>
      </c>
      <c r="K7138" s="53" t="inlineStr">
        <is>
          <t>Да</t>
        </is>
      </c>
      <c r="L7138" s="53" t="inlineStr">
        <is>
          <t>Да</t>
        </is>
      </c>
      <c r="M7138" s="53" t="inlineStr">
        <is>
          <t>До 50</t>
        </is>
      </c>
      <c r="N7138" s="54" t="n">
        <v>16800</v>
      </c>
      <c r="O7138" s="55" t="inlineStr">
        <is>
          <t>16–30</t>
        </is>
      </c>
      <c r="P7138" s="16" t="inlineStr">
        <is>
          <t>ССЧР + ОКВЭД обогащены</t>
        </is>
      </c>
      <c r="Q7138" s="16" t="inlineStr">
        <is>
          <t>ФНС открытые данные ССЧР (ДатаСост 31.12.2025; набор 7707329152-sshr2019)</t>
        </is>
      </c>
      <c r="R7138" s="16" t="inlineStr">
        <is>
          <t>ЕГРЮЛ / egrul.nalog.ru (выписка)</t>
        </is>
      </c>
      <c r="S7138" t="n">
        <v>1</v>
      </c>
      <c r="T7138" s="35" t="inlineStr">
        <is>
          <t>1 — Горячий</t>
        </is>
      </c>
      <c r="U7138" s="35" t="inlineStr">
        <is>
          <t>ОКВЭД + 22+</t>
        </is>
      </c>
      <c r="V7138" s="35" t="inlineStr">
        <is>
          <t>Да</t>
        </is>
      </c>
      <c r="W7138" s="35" t="inlineStr">
        <is>
          <t>Да</t>
        </is>
      </c>
      <c r="X7138" s="35" t="inlineStr">
        <is>
          <t>Да</t>
        </is>
      </c>
    </row>
    <row r="7139" ht="41.25" customHeight="1" s="24">
      <c r="A7139" s="13" t="inlineStr">
        <is>
          <t>FR443310</t>
        </is>
      </c>
      <c r="B7139" s="13" t="inlineStr">
        <is>
          <t>ОБЩЕСТВО С ОГРАНИЧЕННОЙ ОТВЕТСТВЕННОСТЬЮ "ТРАНСПОРТНО-ЭКСПЕДИЦИОННЫЙ СЕРВИС"</t>
        </is>
      </c>
      <c r="C7139" s="13" t="n">
        <v>3805731746</v>
      </c>
      <c r="D7139" s="13" t="inlineStr">
        <is>
          <t>3805731746</t>
        </is>
      </c>
      <c r="E7139" s="13" t="inlineStr">
        <is>
          <t>ЮЛ РФ</t>
        </is>
      </c>
      <c r="F7139" s="13" t="n"/>
      <c r="G7139" s="52" t="n">
        <v>0</v>
      </c>
      <c r="H7139" s="52" t="n">
        <v>2025</v>
      </c>
      <c r="I7139" s="14" t="n"/>
      <c r="J7139" s="14" t="n"/>
      <c r="K7139" s="53" t="inlineStr">
        <is>
          <t>Нет</t>
        </is>
      </c>
      <c r="L7139" s="53" t="inlineStr">
        <is>
          <t>Не определено</t>
        </is>
      </c>
      <c r="M7139" s="53" t="inlineStr">
        <is>
          <t>До 10</t>
        </is>
      </c>
      <c r="N7139" s="54" t="n">
        <v>3360</v>
      </c>
      <c r="O7139" s="55" t="inlineStr">
        <is>
          <t>1–15</t>
        </is>
      </c>
      <c r="P7139" s="16" t="inlineStr">
        <is>
          <t>ССЧР обогащена; ОКВЭД не найден/не загружен</t>
        </is>
      </c>
      <c r="Q7139" s="16" t="inlineStr">
        <is>
          <t>ФНС открытые данные ССЧР (ДатаСост 31.12.2025; набор 7707329152-sshr2019)</t>
        </is>
      </c>
      <c r="R7139" s="16">
        <f>HYPERLINK("https://checko.ru/search?query=3801001629","Чекко: проверить")</f>
        <v/>
      </c>
      <c r="S7139" t="n">
        <v>1</v>
      </c>
      <c r="T7139" s="35" t="inlineStr">
        <is>
          <t>4 — Не обогащён</t>
        </is>
      </c>
      <c r="U7139" s="35" t="inlineStr">
        <is>
          <t>Нет ОКВЭД/ССЧР</t>
        </is>
      </c>
      <c r="V7139" s="35" t="inlineStr">
        <is>
          <t>Не определено</t>
        </is>
      </c>
      <c r="W7139" s="35" t="inlineStr">
        <is>
          <t>Нет</t>
        </is>
      </c>
      <c r="X7139" s="35" t="inlineStr"/>
    </row>
    <row r="7140" ht="15" customHeight="1" s="24">
      <c r="A7140" s="13" t="inlineStr">
        <is>
          <t>FR1294609</t>
        </is>
      </c>
      <c r="B7140" s="13" t="inlineStr">
        <is>
          <t>ИП Лапицкая Ольга Михайловна</t>
        </is>
      </c>
      <c r="C7140" s="13" t="n">
        <v>244873289208</v>
      </c>
      <c r="D7140" s="13" t="inlineStr">
        <is>
          <t>244873289208</t>
        </is>
      </c>
      <c r="E7140" s="13" t="inlineStr">
        <is>
          <t>ИП РФ / физлицо</t>
        </is>
      </c>
      <c r="F7140" s="13" t="n"/>
      <c r="G7140" s="14" t="n"/>
      <c r="H7140" s="14" t="n"/>
      <c r="I7140" s="14" t="n"/>
      <c r="J7140" s="14" t="n"/>
      <c r="K7140" s="53" t="inlineStr"/>
      <c r="L7140" s="53" t="inlineStr">
        <is>
          <t>Не определено</t>
        </is>
      </c>
      <c r="M7140" s="53" t="inlineStr"/>
      <c r="N7140" s="54" t="inlineStr"/>
      <c r="O7140" s="55" t="inlineStr"/>
      <c r="P7140" s="16" t="inlineStr">
        <is>
          <t>Требует обогащения</t>
        </is>
      </c>
      <c r="Q7140" s="16">
        <f>HYPERLINK("https://pb.nalog.ru/search.html?query=244873289208","ФНС: проверить")</f>
        <v/>
      </c>
      <c r="R7140" s="16">
        <f>HYPERLINK("https://checko.ru/search?query=3801001629","Чекко: проверить")</f>
        <v/>
      </c>
      <c r="S7140" t="n">
        <v>1</v>
      </c>
      <c r="T7140" s="35" t="inlineStr">
        <is>
          <t>4 — Не обогащён</t>
        </is>
      </c>
      <c r="U7140" s="35" t="inlineStr">
        <is>
          <t>Нет ОКВЭД/ССЧР</t>
        </is>
      </c>
      <c r="V7140" s="35" t="inlineStr">
        <is>
          <t>Не определено</t>
        </is>
      </c>
      <c r="W7140" s="35" t="inlineStr"/>
      <c r="X7140" s="35" t="inlineStr"/>
    </row>
    <row r="7141" ht="15" customHeight="1" s="24">
      <c r="A7141" s="13" t="inlineStr">
        <is>
          <t>FR1294609</t>
        </is>
      </c>
      <c r="B7141" s="13" t="inlineStr">
        <is>
          <t>ИП Лапицкая Ольга Михайловна</t>
        </is>
      </c>
      <c r="C7141" s="13" t="n">
        <v>244873289208</v>
      </c>
      <c r="D7141" s="13" t="inlineStr">
        <is>
          <t>244873289208</t>
        </is>
      </c>
      <c r="E7141" s="13" t="inlineStr">
        <is>
          <t>ИП РФ / физлицо</t>
        </is>
      </c>
      <c r="F7141" s="13" t="n"/>
      <c r="G7141" s="14" t="n"/>
      <c r="H7141" s="14" t="n"/>
      <c r="I7141" s="14" t="n"/>
      <c r="J7141" s="14" t="n"/>
      <c r="K7141" s="53" t="inlineStr"/>
      <c r="L7141" s="53" t="inlineStr">
        <is>
          <t>Не определено</t>
        </is>
      </c>
      <c r="M7141" s="53" t="inlineStr"/>
      <c r="N7141" s="54" t="inlineStr"/>
      <c r="O7141" s="55" t="inlineStr"/>
      <c r="P7141" s="16" t="inlineStr">
        <is>
          <t>Требует обогащения</t>
        </is>
      </c>
      <c r="Q7141" s="16">
        <f>HYPERLINK("https://pb.nalog.ru/search.html?query=244873289208","ФНС: проверить")</f>
        <v/>
      </c>
      <c r="R7141" s="16">
        <f>HYPERLINK("https://checko.ru/search?query=3801001629","Чекко: проверить")</f>
        <v/>
      </c>
      <c r="S7141" t="n">
        <v>0</v>
      </c>
      <c r="T7141" s="35" t="inlineStr">
        <is>
          <t>4 — Не обогащён</t>
        </is>
      </c>
      <c r="U7141" s="35" t="inlineStr">
        <is>
          <t>Нет ОКВЭД/ССЧР</t>
        </is>
      </c>
      <c r="V7141" s="35" t="inlineStr">
        <is>
          <t>Не определено</t>
        </is>
      </c>
      <c r="W7141" s="35" t="inlineStr"/>
      <c r="X7141" s="35" t="inlineStr"/>
    </row>
    <row r="7142" ht="15" customHeight="1" s="24">
      <c r="A7142" s="13" t="inlineStr">
        <is>
          <t>FR1295367</t>
        </is>
      </c>
      <c r="B7142" s="13" t="inlineStr">
        <is>
          <t>ООО "АСК "СИБИРСКИЙ ДОМ"</t>
        </is>
      </c>
      <c r="C7142" s="13" t="n">
        <v>3808201391</v>
      </c>
      <c r="D7142" s="13" t="inlineStr">
        <is>
          <t>3808201391</t>
        </is>
      </c>
      <c r="E7142" s="13" t="inlineStr">
        <is>
          <t>ЮЛ РФ</t>
        </is>
      </c>
      <c r="F7142" s="13" t="n"/>
      <c r="G7142" s="52" t="n">
        <v>4</v>
      </c>
      <c r="H7142" s="52" t="n">
        <v>2025</v>
      </c>
      <c r="I7142" s="14" t="n"/>
      <c r="J7142" s="14" t="n"/>
      <c r="K7142" s="53" t="inlineStr">
        <is>
          <t>Нет</t>
        </is>
      </c>
      <c r="L7142" s="53" t="inlineStr">
        <is>
          <t>Не определено</t>
        </is>
      </c>
      <c r="M7142" s="53" t="inlineStr">
        <is>
          <t>До 10</t>
        </is>
      </c>
      <c r="N7142" s="54" t="n">
        <v>3360</v>
      </c>
      <c r="O7142" s="55" t="inlineStr">
        <is>
          <t>1–15</t>
        </is>
      </c>
      <c r="P7142" s="16" t="inlineStr">
        <is>
          <t>ССЧР обогащена; ОКВЭД не найден/не загружен</t>
        </is>
      </c>
      <c r="Q7142" s="16" t="inlineStr">
        <is>
          <t>ФНС открытые данные ССЧР (ДатаСост 31.12.2025; набор 7707329152-sshr2019)</t>
        </is>
      </c>
      <c r="R7142" s="16">
        <f>HYPERLINK("https://checko.ru/search?query=3801001629","Чекко: проверить")</f>
        <v/>
      </c>
      <c r="S7142" t="n">
        <v>1</v>
      </c>
      <c r="T7142" s="35" t="inlineStr">
        <is>
          <t>4 — Не обогащён</t>
        </is>
      </c>
      <c r="U7142" s="35" t="inlineStr">
        <is>
          <t>Нет ОКВЭД/ССЧР</t>
        </is>
      </c>
      <c r="V7142" s="35" t="inlineStr">
        <is>
          <t>Не определено</t>
        </is>
      </c>
      <c r="W7142" s="35" t="inlineStr">
        <is>
          <t>Нет</t>
        </is>
      </c>
      <c r="X7142" s="35" t="inlineStr"/>
    </row>
    <row r="7143" ht="27.75" customHeight="1" s="24">
      <c r="A7143" s="13" t="inlineStr">
        <is>
          <t>FR37634</t>
        </is>
      </c>
      <c r="B7143" s="13" t="inlineStr">
        <is>
          <t>Общество с ограниченной ответственностью ТД "АВТОМАШ"</t>
        </is>
      </c>
      <c r="C7143" s="13" t="n">
        <v>1650377084</v>
      </c>
      <c r="D7143" s="13" t="inlineStr">
        <is>
          <t>1650377084</t>
        </is>
      </c>
      <c r="E7143" s="13" t="inlineStr">
        <is>
          <t>ЮЛ РФ</t>
        </is>
      </c>
      <c r="F7143" s="13" t="n"/>
      <c r="G7143" s="52" t="n">
        <v>0</v>
      </c>
      <c r="H7143" s="52" t="n">
        <v>2025</v>
      </c>
      <c r="I7143" s="14" t="n"/>
      <c r="J7143" s="14" t="n"/>
      <c r="K7143" s="53" t="inlineStr">
        <is>
          <t>Нет</t>
        </is>
      </c>
      <c r="L7143" s="53" t="inlineStr">
        <is>
          <t>Не определено</t>
        </is>
      </c>
      <c r="M7143" s="53" t="inlineStr">
        <is>
          <t>До 10</t>
        </is>
      </c>
      <c r="N7143" s="54" t="n">
        <v>3360</v>
      </c>
      <c r="O7143" s="55" t="inlineStr">
        <is>
          <t>1–15</t>
        </is>
      </c>
      <c r="P7143" s="16" t="inlineStr">
        <is>
          <t>ССЧР обогащена; ОКВЭД не найден/не загружен</t>
        </is>
      </c>
      <c r="Q7143" s="16" t="inlineStr">
        <is>
          <t>ФНС открытые данные ССЧР (ДатаСост 31.12.2025; набор 7707329152-sshr2019)</t>
        </is>
      </c>
      <c r="R7143" s="16">
        <f>HYPERLINK("https://checko.ru/search?query=3801001629","Чекко: проверить")</f>
        <v/>
      </c>
      <c r="S7143" t="n">
        <v>1</v>
      </c>
      <c r="T7143" s="35" t="inlineStr">
        <is>
          <t>4 — Не обогащён</t>
        </is>
      </c>
      <c r="U7143" s="35" t="inlineStr">
        <is>
          <t>Нет ОКВЭД/ССЧР</t>
        </is>
      </c>
      <c r="V7143" s="35" t="inlineStr">
        <is>
          <t>Не определено</t>
        </is>
      </c>
      <c r="W7143" s="35" t="inlineStr">
        <is>
          <t>Нет</t>
        </is>
      </c>
      <c r="X7143" s="35" t="inlineStr"/>
    </row>
    <row r="7144" ht="15" customHeight="1" s="24">
      <c r="A7144" s="13" t="inlineStr">
        <is>
          <t>FR1098150</t>
        </is>
      </c>
      <c r="B7144" s="13" t="inlineStr">
        <is>
          <t>Беляева Людмила Алексеевна</t>
        </is>
      </c>
      <c r="C7144" s="13" t="n">
        <v>382305272900</v>
      </c>
      <c r="D7144" s="13" t="inlineStr">
        <is>
          <t>382305272900</t>
        </is>
      </c>
      <c r="E7144" s="13" t="inlineStr">
        <is>
          <t>ИП РФ / физлицо</t>
        </is>
      </c>
      <c r="F7144" s="13" t="n"/>
      <c r="G7144" s="14" t="n"/>
      <c r="H7144" s="14" t="n"/>
      <c r="I7144" s="14" t="n"/>
      <c r="J7144" s="14" t="n"/>
      <c r="K7144" s="53" t="inlineStr"/>
      <c r="L7144" s="53" t="inlineStr">
        <is>
          <t>Не определено</t>
        </is>
      </c>
      <c r="M7144" s="53" t="inlineStr"/>
      <c r="N7144" s="54" t="inlineStr"/>
      <c r="O7144" s="55" t="inlineStr"/>
      <c r="P7144" s="16" t="inlineStr">
        <is>
          <t>Требует обогащения</t>
        </is>
      </c>
      <c r="Q7144" s="16">
        <f>HYPERLINK("https://pb.nalog.ru/search.html?query=382305272900","ФНС: проверить")</f>
        <v/>
      </c>
      <c r="R7144" s="16">
        <f>HYPERLINK("https://checko.ru/search?query=3801001629","Чекко: проверить")</f>
        <v/>
      </c>
      <c r="S7144" t="n">
        <v>1</v>
      </c>
      <c r="T7144" s="35" t="inlineStr">
        <is>
          <t>4 — Не обогащён</t>
        </is>
      </c>
      <c r="U7144" s="35" t="inlineStr">
        <is>
          <t>Нет ОКВЭД/ССЧР</t>
        </is>
      </c>
      <c r="V7144" s="35" t="inlineStr">
        <is>
          <t>Не определено</t>
        </is>
      </c>
      <c r="W7144" s="35" t="inlineStr"/>
      <c r="X7144" s="35" t="inlineStr"/>
    </row>
    <row r="7145" ht="15" customHeight="1" s="24">
      <c r="A7145" s="13" t="inlineStr">
        <is>
          <t>FR1100475</t>
        </is>
      </c>
      <c r="B7145" s="13" t="inlineStr">
        <is>
          <t>ИП Мурадян Сиравуш Смбатович</t>
        </is>
      </c>
      <c r="C7145" s="13" t="n">
        <v>420543798354</v>
      </c>
      <c r="D7145" s="13" t="inlineStr">
        <is>
          <t>420543798354</t>
        </is>
      </c>
      <c r="E7145" s="13" t="inlineStr">
        <is>
          <t>ИП РФ / физлицо</t>
        </is>
      </c>
      <c r="F7145" s="13" t="n"/>
      <c r="G7145" s="14" t="n"/>
      <c r="H7145" s="14" t="n"/>
      <c r="I7145" s="14" t="n"/>
      <c r="J7145" s="14" t="n"/>
      <c r="K7145" s="53" t="inlineStr"/>
      <c r="L7145" s="53" t="inlineStr">
        <is>
          <t>Не определено</t>
        </is>
      </c>
      <c r="M7145" s="53" t="inlineStr"/>
      <c r="N7145" s="54" t="inlineStr"/>
      <c r="O7145" s="55" t="inlineStr"/>
      <c r="P7145" s="16" t="inlineStr">
        <is>
          <t>Требует обогащения</t>
        </is>
      </c>
      <c r="Q7145" s="16">
        <f>HYPERLINK("https://pb.nalog.ru/search.html?query=420543798354","ФНС: проверить")</f>
        <v/>
      </c>
      <c r="R7145" s="16">
        <f>HYPERLINK("https://checko.ru/search?query=3801001629","Чекко: проверить")</f>
        <v/>
      </c>
      <c r="S7145" t="n">
        <v>1</v>
      </c>
      <c r="T7145" s="35" t="inlineStr">
        <is>
          <t>4 — Не обогащён</t>
        </is>
      </c>
      <c r="U7145" s="35" t="inlineStr">
        <is>
          <t>Нет ОКВЭД/ССЧР</t>
        </is>
      </c>
      <c r="V7145" s="35" t="inlineStr">
        <is>
          <t>Не определено</t>
        </is>
      </c>
      <c r="W7145" s="35" t="inlineStr"/>
      <c r="X7145" s="35" t="inlineStr"/>
    </row>
    <row r="7146" ht="15" customHeight="1" s="24">
      <c r="A7146" s="13" t="inlineStr">
        <is>
          <t>FR1083770</t>
        </is>
      </c>
      <c r="B7146" s="13" t="inlineStr">
        <is>
          <t>ИП Трофименко Сергей Анатольевич</t>
        </is>
      </c>
      <c r="C7146" s="13" t="n">
        <v>381298230503</v>
      </c>
      <c r="D7146" s="13" t="inlineStr">
        <is>
          <t>381298230503</t>
        </is>
      </c>
      <c r="E7146" s="13" t="inlineStr">
        <is>
          <t>ИП РФ / физлицо</t>
        </is>
      </c>
      <c r="F7146" s="13" t="n"/>
      <c r="G7146" s="14" t="n"/>
      <c r="H7146" s="14" t="n"/>
      <c r="I7146" s="14" t="n"/>
      <c r="J7146" s="14" t="n"/>
      <c r="K7146" s="53" t="inlineStr"/>
      <c r="L7146" s="53" t="inlineStr">
        <is>
          <t>Не определено</t>
        </is>
      </c>
      <c r="M7146" s="53" t="inlineStr"/>
      <c r="N7146" s="54" t="inlineStr"/>
      <c r="O7146" s="55" t="inlineStr"/>
      <c r="P7146" s="16" t="inlineStr">
        <is>
          <t>Требует обогащения</t>
        </is>
      </c>
      <c r="Q7146" s="16">
        <f>HYPERLINK("https://pb.nalog.ru/search.html?query=381298230503","ФНС: проверить")</f>
        <v/>
      </c>
      <c r="R7146" s="16">
        <f>HYPERLINK("https://checko.ru/search?query=3801001629","Чекко: проверить")</f>
        <v/>
      </c>
      <c r="S7146" t="n">
        <v>1</v>
      </c>
      <c r="T7146" s="35" t="inlineStr">
        <is>
          <t>4 — Не обогащён</t>
        </is>
      </c>
      <c r="U7146" s="35" t="inlineStr">
        <is>
          <t>Нет ОКВЭД/ССЧР</t>
        </is>
      </c>
      <c r="V7146" s="35" t="inlineStr">
        <is>
          <t>Не определено</t>
        </is>
      </c>
      <c r="W7146" s="35" t="inlineStr"/>
      <c r="X7146" s="35" t="inlineStr"/>
    </row>
    <row r="7147" ht="15" customHeight="1" s="24">
      <c r="A7147" s="13" t="inlineStr">
        <is>
          <t>FR906070</t>
        </is>
      </c>
      <c r="B7147" s="13" t="inlineStr">
        <is>
          <t>БЕЛЫЙ ТИГР</t>
        </is>
      </c>
      <c r="C7147" s="13" t="n">
        <v>3812112320</v>
      </c>
      <c r="D7147" s="13" t="inlineStr">
        <is>
          <t>3812112320</t>
        </is>
      </c>
      <c r="E7147" s="13" t="inlineStr">
        <is>
          <t>ЮЛ РФ</t>
        </is>
      </c>
      <c r="F7147" s="13" t="n"/>
      <c r="G7147" s="52" t="n">
        <v>52</v>
      </c>
      <c r="H7147" s="52" t="n">
        <v>2025</v>
      </c>
      <c r="I7147" s="52" t="inlineStr">
        <is>
          <t>49.41</t>
        </is>
      </c>
      <c r="J7147" s="52" t="inlineStr">
        <is>
          <t>49.41; 37.00; 43.11; 43.12.3; 43.99; 45.20; 45.31; 46.11; 46.12; 46.13; 46.14; 46.15; 46.16; 46.17; 46.18; 46.22; 46.31; 46.31.11; 46.32; 46.32.3; 46.33; 46.34; 46.35; 46.36; 46.37; 46.38; 46.41; 46.41.2; 46.42; 46.43; 46.44; 46.45; 46.46; 46.49; 46.66; 46.69; 46.71; 46.73; 46.74; 46.75; 46.76; 46.90; 47.30; 47.99; 49.42; 49.50; 52.21.2; 52.29; 77.11; 77.39.11; 81.29.9; 82.99</t>
        </is>
      </c>
      <c r="K7147" s="53" t="inlineStr">
        <is>
          <t>Да</t>
        </is>
      </c>
      <c r="L7147" s="53" t="inlineStr">
        <is>
          <t>Да</t>
        </is>
      </c>
      <c r="M7147" s="53" t="inlineStr">
        <is>
          <t>До 100</t>
        </is>
      </c>
      <c r="N7147" s="54" t="n">
        <v>33600</v>
      </c>
      <c r="O7147" s="55" t="inlineStr">
        <is>
          <t>51–100</t>
        </is>
      </c>
      <c r="P7147" s="16" t="inlineStr">
        <is>
          <t>ССЧР + ОКВЭД обогащены</t>
        </is>
      </c>
      <c r="Q7147" s="16" t="inlineStr">
        <is>
          <t>ФНС открытые данные ССЧР (ДатаСост 31.12.2025; набор 7707329152-sshr2019)</t>
        </is>
      </c>
      <c r="R7147" s="16" t="inlineStr">
        <is>
          <t>ЕГРЮЛ / egrul.nalog.ru (выписка)</t>
        </is>
      </c>
      <c r="S7147" t="n">
        <v>1</v>
      </c>
      <c r="T7147" s="35" t="inlineStr">
        <is>
          <t>1 — Горячий</t>
        </is>
      </c>
      <c r="U7147" s="35" t="inlineStr">
        <is>
          <t>ОКВЭД + 22+</t>
        </is>
      </c>
      <c r="V7147" s="35" t="inlineStr">
        <is>
          <t>Да</t>
        </is>
      </c>
      <c r="W7147" s="35" t="inlineStr">
        <is>
          <t>Да</t>
        </is>
      </c>
      <c r="X7147" s="35" t="inlineStr">
        <is>
          <t>Да</t>
        </is>
      </c>
    </row>
    <row r="7148" ht="27.75" customHeight="1" s="24">
      <c r="A7148" s="13" t="inlineStr">
        <is>
          <t>FR1099679</t>
        </is>
      </c>
      <c r="B7148" s="13" t="inlineStr">
        <is>
          <t>Общество с ограниченной ответственностью "ЮМЕД"</t>
        </is>
      </c>
      <c r="C7148" s="13" t="n">
        <v>3812164640</v>
      </c>
      <c r="D7148" s="13" t="inlineStr">
        <is>
          <t>3812164640</t>
        </is>
      </c>
      <c r="E7148" s="13" t="inlineStr">
        <is>
          <t>ЮЛ РФ</t>
        </is>
      </c>
      <c r="F7148" s="13" t="n"/>
      <c r="G7148" s="52" t="n">
        <v>1</v>
      </c>
      <c r="H7148" s="52" t="n">
        <v>2025</v>
      </c>
      <c r="I7148" s="14" t="n"/>
      <c r="J7148" s="14" t="n"/>
      <c r="K7148" s="53" t="inlineStr">
        <is>
          <t>Нет</t>
        </is>
      </c>
      <c r="L7148" s="53" t="inlineStr">
        <is>
          <t>Не определено</t>
        </is>
      </c>
      <c r="M7148" s="53" t="inlineStr">
        <is>
          <t>До 10</t>
        </is>
      </c>
      <c r="N7148" s="54" t="n">
        <v>3360</v>
      </c>
      <c r="O7148" s="55" t="inlineStr">
        <is>
          <t>1–15</t>
        </is>
      </c>
      <c r="P7148" s="16" t="inlineStr">
        <is>
          <t>ССЧР обогащена; ОКВЭД не найден/не загружен</t>
        </is>
      </c>
      <c r="Q7148" s="16" t="inlineStr">
        <is>
          <t>ФНС открытые данные ССЧР (ДатаСост 31.12.2025; набор 7707329152-sshr2019)</t>
        </is>
      </c>
      <c r="R7148" s="16">
        <f>HYPERLINK("https://checko.ru/search?query=3801001629","Чекко: проверить")</f>
        <v/>
      </c>
      <c r="S7148" t="n">
        <v>1</v>
      </c>
      <c r="T7148" s="35" t="inlineStr">
        <is>
          <t>4 — Не обогащён</t>
        </is>
      </c>
      <c r="U7148" s="35" t="inlineStr">
        <is>
          <t>Нет ОКВЭД/ССЧР</t>
        </is>
      </c>
      <c r="V7148" s="35" t="inlineStr">
        <is>
          <t>Не определено</t>
        </is>
      </c>
      <c r="W7148" s="35" t="inlineStr">
        <is>
          <t>Нет</t>
        </is>
      </c>
      <c r="X7148" s="35" t="inlineStr"/>
    </row>
    <row r="7149" ht="27.75" customHeight="1" s="24">
      <c r="A7149" s="13" t="inlineStr">
        <is>
          <t>FR993723</t>
        </is>
      </c>
      <c r="B7149" s="13" t="inlineStr">
        <is>
          <t>Общество с ограниченной ответственностью "Рэвери"</t>
        </is>
      </c>
      <c r="C7149" s="13" t="n">
        <v>3808169765</v>
      </c>
      <c r="D7149" s="13" t="inlineStr">
        <is>
          <t>3808169765</t>
        </is>
      </c>
      <c r="E7149" s="13" t="inlineStr">
        <is>
          <t>ЮЛ РФ</t>
        </is>
      </c>
      <c r="F7149" s="13" t="n"/>
      <c r="G7149" s="52" t="n">
        <v>1</v>
      </c>
      <c r="H7149" s="52" t="n">
        <v>2025</v>
      </c>
      <c r="I7149" s="14" t="n"/>
      <c r="J7149" s="14" t="n"/>
      <c r="K7149" s="53" t="inlineStr">
        <is>
          <t>Нет</t>
        </is>
      </c>
      <c r="L7149" s="53" t="inlineStr">
        <is>
          <t>Не определено</t>
        </is>
      </c>
      <c r="M7149" s="53" t="inlineStr">
        <is>
          <t>До 10</t>
        </is>
      </c>
      <c r="N7149" s="54" t="n">
        <v>3360</v>
      </c>
      <c r="O7149" s="55" t="inlineStr">
        <is>
          <t>1–15</t>
        </is>
      </c>
      <c r="P7149" s="16" t="inlineStr">
        <is>
          <t>ССЧР обогащена; ОКВЭД не найден/не загружен</t>
        </is>
      </c>
      <c r="Q7149" s="16" t="inlineStr">
        <is>
          <t>ФНС открытые данные ССЧР (ДатаСост 31.12.2025; набор 7707329152-sshr2019)</t>
        </is>
      </c>
      <c r="R7149" s="16">
        <f>HYPERLINK("https://checko.ru/search?query=3801001629","Чекко: проверить")</f>
        <v/>
      </c>
      <c r="S7149" t="n">
        <v>1</v>
      </c>
      <c r="T7149" s="35" t="inlineStr">
        <is>
          <t>4 — Не обогащён</t>
        </is>
      </c>
      <c r="U7149" s="35" t="inlineStr">
        <is>
          <t>Нет ОКВЭД/ССЧР</t>
        </is>
      </c>
      <c r="V7149" s="35" t="inlineStr">
        <is>
          <t>Не определено</t>
        </is>
      </c>
      <c r="W7149" s="35" t="inlineStr">
        <is>
          <t>Нет</t>
        </is>
      </c>
      <c r="X7149" s="35" t="inlineStr"/>
    </row>
    <row r="7150" ht="27.75" customHeight="1" s="24">
      <c r="A7150" s="13" t="inlineStr">
        <is>
          <t>FR752668</t>
        </is>
      </c>
      <c r="B7150" s="13" t="inlineStr">
        <is>
          <t>Общество с ограниченной ответственностью "СК КАПИТАЛСТРОЙ"</t>
        </is>
      </c>
      <c r="C7150" s="13" t="n">
        <v>3812138760</v>
      </c>
      <c r="D7150" s="13" t="inlineStr">
        <is>
          <t>3812138760</t>
        </is>
      </c>
      <c r="E7150" s="13" t="inlineStr">
        <is>
          <t>ЮЛ РФ</t>
        </is>
      </c>
      <c r="F7150" s="13" t="n"/>
      <c r="G7150" s="52" t="n">
        <v>4</v>
      </c>
      <c r="H7150" s="52" t="n">
        <v>2025</v>
      </c>
      <c r="I7150" s="14" t="n"/>
      <c r="J7150" s="14" t="n"/>
      <c r="K7150" s="53" t="inlineStr">
        <is>
          <t>Нет</t>
        </is>
      </c>
      <c r="L7150" s="53" t="inlineStr">
        <is>
          <t>Не определено</t>
        </is>
      </c>
      <c r="M7150" s="53" t="inlineStr">
        <is>
          <t>До 10</t>
        </is>
      </c>
      <c r="N7150" s="54" t="n">
        <v>3360</v>
      </c>
      <c r="O7150" s="55" t="inlineStr">
        <is>
          <t>1–15</t>
        </is>
      </c>
      <c r="P7150" s="16" t="inlineStr">
        <is>
          <t>ССЧР обогащена; ОКВЭД не найден/не загружен</t>
        </is>
      </c>
      <c r="Q7150" s="16" t="inlineStr">
        <is>
          <t>ФНС открытые данные ССЧР (ДатаСост 31.12.2025; набор 7707329152-sshr2019)</t>
        </is>
      </c>
      <c r="R7150" s="16">
        <f>HYPERLINK("https://checko.ru/search?query=3801001629","Чекко: проверить")</f>
        <v/>
      </c>
      <c r="S7150" t="n">
        <v>1</v>
      </c>
      <c r="T7150" s="35" t="inlineStr">
        <is>
          <t>4 — Не обогащён</t>
        </is>
      </c>
      <c r="U7150" s="35" t="inlineStr">
        <is>
          <t>Нет ОКВЭД/ССЧР</t>
        </is>
      </c>
      <c r="V7150" s="35" t="inlineStr">
        <is>
          <t>Не определено</t>
        </is>
      </c>
      <c r="W7150" s="35" t="inlineStr">
        <is>
          <t>Нет</t>
        </is>
      </c>
      <c r="X7150" s="35" t="inlineStr"/>
    </row>
    <row r="7151" ht="27.75" customHeight="1" s="24">
      <c r="A7151" s="13" t="inlineStr">
        <is>
          <t>FR820700</t>
        </is>
      </c>
      <c r="B7151" s="13" t="inlineStr">
        <is>
          <t>Общество с ограниченной ответственностью "ПРОМТЕХДЕТАЛЬ"</t>
        </is>
      </c>
      <c r="C7151" s="13" t="n">
        <v>3812997810</v>
      </c>
      <c r="D7151" s="13" t="inlineStr">
        <is>
          <t>3812997810</t>
        </is>
      </c>
      <c r="E7151" s="13" t="inlineStr">
        <is>
          <t>ЮЛ РФ</t>
        </is>
      </c>
      <c r="F7151" s="13" t="n"/>
      <c r="G7151" s="52" t="n">
        <v>1</v>
      </c>
      <c r="H7151" s="52" t="n">
        <v>2025</v>
      </c>
      <c r="I7151" s="14" t="n"/>
      <c r="J7151" s="14" t="n"/>
      <c r="K7151" s="53" t="inlineStr">
        <is>
          <t>Нет</t>
        </is>
      </c>
      <c r="L7151" s="53" t="inlineStr">
        <is>
          <t>Не определено</t>
        </is>
      </c>
      <c r="M7151" s="53" t="inlineStr">
        <is>
          <t>До 10</t>
        </is>
      </c>
      <c r="N7151" s="54" t="n">
        <v>3360</v>
      </c>
      <c r="O7151" s="55" t="inlineStr">
        <is>
          <t>1–15</t>
        </is>
      </c>
      <c r="P7151" s="16" t="inlineStr">
        <is>
          <t>ССЧР обогащена; ОКВЭД не найден/не загружен</t>
        </is>
      </c>
      <c r="Q7151" s="16" t="inlineStr">
        <is>
          <t>ФНС открытые данные ССЧР (ДатаСост 31.12.2025; набор 7707329152-sshr2019)</t>
        </is>
      </c>
      <c r="R7151" s="16">
        <f>HYPERLINK("https://checko.ru/search?query=3801001629","Чекко: проверить")</f>
        <v/>
      </c>
      <c r="S7151" t="n">
        <v>1</v>
      </c>
      <c r="T7151" s="35" t="inlineStr">
        <is>
          <t>4 — Не обогащён</t>
        </is>
      </c>
      <c r="U7151" s="35" t="inlineStr">
        <is>
          <t>Нет ОКВЭД/ССЧР</t>
        </is>
      </c>
      <c r="V7151" s="35" t="inlineStr">
        <is>
          <t>Не определено</t>
        </is>
      </c>
      <c r="W7151" s="35" t="inlineStr">
        <is>
          <t>Нет</t>
        </is>
      </c>
      <c r="X7151" s="35" t="inlineStr"/>
    </row>
    <row r="7152" ht="41.25" customHeight="1" s="24">
      <c r="A7152" s="13" t="inlineStr">
        <is>
          <t>FR384333</t>
        </is>
      </c>
      <c r="B7152" s="13" t="inlineStr">
        <is>
          <t>ОБЩЕСТВО С ОГРАНИЧЕННОЙ ОТВЕТСТВЕННОСТЬЮ "ГРУППА КОМПАНИЙ "РЕСУРСОСБЕРЕГАЮЩИЕ ТЕХНОЛОГИИ"</t>
        </is>
      </c>
      <c r="C7152" s="13" t="n">
        <v>3812532798</v>
      </c>
      <c r="D7152" s="13" t="inlineStr">
        <is>
          <t>3812532798</t>
        </is>
      </c>
      <c r="E7152" s="13" t="inlineStr">
        <is>
          <t>ЮЛ РФ</t>
        </is>
      </c>
      <c r="F7152" s="13" t="n"/>
      <c r="G7152" s="52" t="n">
        <v>1</v>
      </c>
      <c r="H7152" s="52" t="n">
        <v>2025</v>
      </c>
      <c r="I7152" s="14" t="n"/>
      <c r="J7152" s="14" t="n"/>
      <c r="K7152" s="53" t="inlineStr">
        <is>
          <t>Нет</t>
        </is>
      </c>
      <c r="L7152" s="53" t="inlineStr">
        <is>
          <t>Не определено</t>
        </is>
      </c>
      <c r="M7152" s="53" t="inlineStr">
        <is>
          <t>До 10</t>
        </is>
      </c>
      <c r="N7152" s="54" t="n">
        <v>3360</v>
      </c>
      <c r="O7152" s="55" t="inlineStr">
        <is>
          <t>1–15</t>
        </is>
      </c>
      <c r="P7152" s="16" t="inlineStr">
        <is>
          <t>ССЧР обогащена; ОКВЭД не найден/не загружен</t>
        </is>
      </c>
      <c r="Q7152" s="16" t="inlineStr">
        <is>
          <t>ФНС открытые данные ССЧР (ДатаСост 31.12.2025; набор 7707329152-sshr2019)</t>
        </is>
      </c>
      <c r="R7152" s="16">
        <f>HYPERLINK("https://checko.ru/search?query=3801001629","Чекко: проверить")</f>
        <v/>
      </c>
      <c r="S7152" t="n">
        <v>1</v>
      </c>
      <c r="T7152" s="35" t="inlineStr">
        <is>
          <t>4 — Не обогащён</t>
        </is>
      </c>
      <c r="U7152" s="35" t="inlineStr">
        <is>
          <t>Нет ОКВЭД/ССЧР</t>
        </is>
      </c>
      <c r="V7152" s="35" t="inlineStr">
        <is>
          <t>Не определено</t>
        </is>
      </c>
      <c r="W7152" s="35" t="inlineStr">
        <is>
          <t>Нет</t>
        </is>
      </c>
      <c r="X7152" s="35" t="inlineStr"/>
    </row>
    <row r="7153" ht="41.25" customHeight="1" s="24">
      <c r="A7153" s="13" t="inlineStr">
        <is>
          <t>FR1102197</t>
        </is>
      </c>
      <c r="B7153" s="13" t="inlineStr">
        <is>
          <t>АВТОНОМНАЯ НЕКОММЕРЧЕСКАЯ ОРГАНИЗАЦИЯ ПО ОКАЗАНИЮ СОЦИАЛЬНОЙ ПОМОЩИ ДЕТЯМ-СИРОТАМ, ИНВАЛИДАМ И МАЛОО</t>
        </is>
      </c>
      <c r="C7153" s="13" t="n">
        <v>3812164720</v>
      </c>
      <c r="D7153" s="13" t="inlineStr">
        <is>
          <t>3812164720</t>
        </is>
      </c>
      <c r="E7153" s="13" t="inlineStr">
        <is>
          <t>ЮЛ РФ</t>
        </is>
      </c>
      <c r="F7153" s="13" t="n"/>
      <c r="G7153" s="14" t="n"/>
      <c r="H7153" s="14" t="n"/>
      <c r="I7153" s="14" t="n"/>
      <c r="J7153" s="14" t="n"/>
      <c r="K7153" s="53" t="inlineStr"/>
      <c r="L7153" s="53" t="inlineStr">
        <is>
          <t>Не определено</t>
        </is>
      </c>
      <c r="M7153" s="53" t="inlineStr"/>
      <c r="N7153" s="54" t="inlineStr"/>
      <c r="O7153" s="55" t="inlineStr"/>
      <c r="P7153" s="16" t="inlineStr">
        <is>
          <t>Требует обогащения</t>
        </is>
      </c>
      <c r="Q7153" s="16">
        <f>HYPERLINK("https://pb.nalog.ru/search.html?query=3812164720","ФНС: проверить")</f>
        <v/>
      </c>
      <c r="R7153" s="16">
        <f>HYPERLINK("https://checko.ru/search?query=3801001629","Чекко: проверить")</f>
        <v/>
      </c>
      <c r="S7153" t="n">
        <v>1</v>
      </c>
      <c r="T7153" s="35" t="inlineStr">
        <is>
          <t>4 — Не обогащён</t>
        </is>
      </c>
      <c r="U7153" s="35" t="inlineStr">
        <is>
          <t>Нет ОКВЭД/ССЧР</t>
        </is>
      </c>
      <c r="V7153" s="35" t="inlineStr">
        <is>
          <t>Не определено</t>
        </is>
      </c>
      <c r="W7153" s="35" t="inlineStr"/>
      <c r="X7153" s="35" t="inlineStr"/>
    </row>
    <row r="7154" ht="27.75" customHeight="1" s="24">
      <c r="A7154" s="13" t="inlineStr">
        <is>
          <t>FR736977</t>
        </is>
      </c>
      <c r="B7154" s="13" t="inlineStr">
        <is>
          <t>Общество с ограниченной ответственностью "ПОРТАЛ"</t>
        </is>
      </c>
      <c r="C7154" s="13" t="n">
        <v>3808278281</v>
      </c>
      <c r="D7154" s="13" t="inlineStr">
        <is>
          <t>3808278281</t>
        </is>
      </c>
      <c r="E7154" s="13" t="inlineStr">
        <is>
          <t>ЮЛ РФ</t>
        </is>
      </c>
      <c r="F7154" s="13" t="n"/>
      <c r="G7154" s="52" t="n">
        <v>2</v>
      </c>
      <c r="H7154" s="52" t="n">
        <v>2025</v>
      </c>
      <c r="I7154" s="14" t="n"/>
      <c r="J7154" s="14" t="n"/>
      <c r="K7154" s="53" t="inlineStr">
        <is>
          <t>Нет</t>
        </is>
      </c>
      <c r="L7154" s="53" t="inlineStr">
        <is>
          <t>Не определено</t>
        </is>
      </c>
      <c r="M7154" s="53" t="inlineStr">
        <is>
          <t>До 10</t>
        </is>
      </c>
      <c r="N7154" s="54" t="n">
        <v>3360</v>
      </c>
      <c r="O7154" s="55" t="inlineStr">
        <is>
          <t>1–15</t>
        </is>
      </c>
      <c r="P7154" s="16" t="inlineStr">
        <is>
          <t>ССЧР обогащена; ОКВЭД не найден/не загружен</t>
        </is>
      </c>
      <c r="Q7154" s="16" t="inlineStr">
        <is>
          <t>ФНС открытые данные ССЧР (ДатаСост 31.12.2025; набор 7707329152-sshr2019)</t>
        </is>
      </c>
      <c r="R7154" s="16">
        <f>HYPERLINK("https://checko.ru/search?query=3801001629","Чекко: проверить")</f>
        <v/>
      </c>
      <c r="S7154" t="n">
        <v>1</v>
      </c>
      <c r="T7154" s="35" t="inlineStr">
        <is>
          <t>4 — Не обогащён</t>
        </is>
      </c>
      <c r="U7154" s="35" t="inlineStr">
        <is>
          <t>Нет ОКВЭД/ССЧР</t>
        </is>
      </c>
      <c r="V7154" s="35" t="inlineStr">
        <is>
          <t>Не определено</t>
        </is>
      </c>
      <c r="W7154" s="35" t="inlineStr">
        <is>
          <t>Нет</t>
        </is>
      </c>
      <c r="X7154" s="35" t="inlineStr"/>
    </row>
    <row r="7155" ht="15" customHeight="1" s="24">
      <c r="A7155" s="13" t="inlineStr">
        <is>
          <t>FR744658</t>
        </is>
      </c>
      <c r="B7155" s="13" t="inlineStr">
        <is>
          <t>ИП Герасимович Ирина Валерьевна</t>
        </is>
      </c>
      <c r="C7155" s="13" t="n">
        <v>380807162560</v>
      </c>
      <c r="D7155" s="13" t="inlineStr">
        <is>
          <t>380807162560</t>
        </is>
      </c>
      <c r="E7155" s="13" t="inlineStr">
        <is>
          <t>ИП РФ / физлицо</t>
        </is>
      </c>
      <c r="F7155" s="13" t="n"/>
      <c r="G7155" s="14" t="n"/>
      <c r="H7155" s="14" t="n"/>
      <c r="I7155" s="14" t="n"/>
      <c r="J7155" s="14" t="n"/>
      <c r="K7155" s="53" t="inlineStr"/>
      <c r="L7155" s="53" t="inlineStr">
        <is>
          <t>Не определено</t>
        </is>
      </c>
      <c r="M7155" s="53" t="inlineStr"/>
      <c r="N7155" s="54" t="inlineStr"/>
      <c r="O7155" s="55" t="inlineStr"/>
      <c r="P7155" s="16" t="inlineStr">
        <is>
          <t>Требует обогащения</t>
        </is>
      </c>
      <c r="Q7155" s="16">
        <f>HYPERLINK("https://pb.nalog.ru/search.html?query=380807162560","ФНС: проверить")</f>
        <v/>
      </c>
      <c r="R7155" s="16">
        <f>HYPERLINK("https://checko.ru/search?query=3801001629","Чекко: проверить")</f>
        <v/>
      </c>
      <c r="S7155" t="n">
        <v>1</v>
      </c>
      <c r="T7155" s="35" t="inlineStr">
        <is>
          <t>4 — Не обогащён</t>
        </is>
      </c>
      <c r="U7155" s="35" t="inlineStr">
        <is>
          <t>Нет ОКВЭД/ССЧР</t>
        </is>
      </c>
      <c r="V7155" s="35" t="inlineStr">
        <is>
          <t>Не определено</t>
        </is>
      </c>
      <c r="W7155" s="35" t="inlineStr"/>
      <c r="X7155" s="35" t="inlineStr"/>
    </row>
    <row r="7156" ht="27.75" customHeight="1" s="24">
      <c r="A7156" s="13" t="inlineStr">
        <is>
          <t>FR971591</t>
        </is>
      </c>
      <c r="B7156" s="13" t="inlineStr">
        <is>
          <t>Общество с ограниченной ответственностью "ДИАНА К"</t>
        </is>
      </c>
      <c r="C7156" s="13" t="n">
        <v>3812042313</v>
      </c>
      <c r="D7156" s="13" t="inlineStr">
        <is>
          <t>3812042313</t>
        </is>
      </c>
      <c r="E7156" s="13" t="inlineStr">
        <is>
          <t>ЮЛ РФ</t>
        </is>
      </c>
      <c r="F7156" s="13" t="n"/>
      <c r="G7156" s="52" t="n">
        <v>2</v>
      </c>
      <c r="H7156" s="52" t="n">
        <v>2025</v>
      </c>
      <c r="I7156" s="14" t="n"/>
      <c r="J7156" s="14" t="n"/>
      <c r="K7156" s="53" t="inlineStr">
        <is>
          <t>Нет</t>
        </is>
      </c>
      <c r="L7156" s="53" t="inlineStr">
        <is>
          <t>Не определено</t>
        </is>
      </c>
      <c r="M7156" s="53" t="inlineStr">
        <is>
          <t>До 10</t>
        </is>
      </c>
      <c r="N7156" s="54" t="n">
        <v>3360</v>
      </c>
      <c r="O7156" s="55" t="inlineStr">
        <is>
          <t>1–15</t>
        </is>
      </c>
      <c r="P7156" s="16" t="inlineStr">
        <is>
          <t>ССЧР обогащена; ОКВЭД не найден/не загружен</t>
        </is>
      </c>
      <c r="Q7156" s="16" t="inlineStr">
        <is>
          <t>ФНС открытые данные ССЧР (ДатаСост 31.12.2025; набор 7707329152-sshr2019)</t>
        </is>
      </c>
      <c r="R7156" s="16">
        <f>HYPERLINK("https://checko.ru/search?query=3801001629","Чекко: проверить")</f>
        <v/>
      </c>
      <c r="S7156" t="n">
        <v>1</v>
      </c>
      <c r="T7156" s="35" t="inlineStr">
        <is>
          <t>4 — Не обогащён</t>
        </is>
      </c>
      <c r="U7156" s="35" t="inlineStr">
        <is>
          <t>Нет ОКВЭД/ССЧР</t>
        </is>
      </c>
      <c r="V7156" s="35" t="inlineStr">
        <is>
          <t>Не определено</t>
        </is>
      </c>
      <c r="W7156" s="35" t="inlineStr">
        <is>
          <t>Нет</t>
        </is>
      </c>
      <c r="X7156" s="35" t="inlineStr"/>
    </row>
    <row r="7157" ht="15" customHeight="1" s="24">
      <c r="A7157" s="13" t="inlineStr">
        <is>
          <t>FR162147</t>
        </is>
      </c>
      <c r="B7157" s="13" t="inlineStr">
        <is>
          <t>ООО "ТЕПЛЫЙ ДОМ"</t>
        </is>
      </c>
      <c r="C7157" s="13" t="n">
        <v>3827055724</v>
      </c>
      <c r="D7157" s="13" t="inlineStr">
        <is>
          <t>3827055724</t>
        </is>
      </c>
      <c r="E7157" s="13" t="inlineStr">
        <is>
          <t>ЮЛ РФ</t>
        </is>
      </c>
      <c r="F7157" s="13" t="n"/>
      <c r="G7157" s="52" t="n">
        <v>1</v>
      </c>
      <c r="H7157" s="52" t="n">
        <v>2025</v>
      </c>
      <c r="I7157" s="14" t="n"/>
      <c r="J7157" s="14" t="n"/>
      <c r="K7157" s="53" t="inlineStr">
        <is>
          <t>Нет</t>
        </is>
      </c>
      <c r="L7157" s="53" t="inlineStr">
        <is>
          <t>Не определено</t>
        </is>
      </c>
      <c r="M7157" s="53" t="inlineStr">
        <is>
          <t>До 10</t>
        </is>
      </c>
      <c r="N7157" s="54" t="n">
        <v>3360</v>
      </c>
      <c r="O7157" s="55" t="inlineStr">
        <is>
          <t>1–15</t>
        </is>
      </c>
      <c r="P7157" s="16" t="inlineStr">
        <is>
          <t>ССЧР обогащена; ОКВЭД не найден/не загружен</t>
        </is>
      </c>
      <c r="Q7157" s="16" t="inlineStr">
        <is>
          <t>ФНС открытые данные ССЧР (ДатаСост 31.12.2025; набор 7707329152-sshr2019)</t>
        </is>
      </c>
      <c r="R7157" s="16">
        <f>HYPERLINK("https://checko.ru/search?query=3801001629","Чекко: проверить")</f>
        <v/>
      </c>
      <c r="S7157" t="n">
        <v>1</v>
      </c>
      <c r="T7157" s="35" t="inlineStr">
        <is>
          <t>4 — Не обогащён</t>
        </is>
      </c>
      <c r="U7157" s="35" t="inlineStr">
        <is>
          <t>Нет ОКВЭД/ССЧР</t>
        </is>
      </c>
      <c r="V7157" s="35" t="inlineStr">
        <is>
          <t>Не определено</t>
        </is>
      </c>
      <c r="W7157" s="35" t="inlineStr">
        <is>
          <t>Нет</t>
        </is>
      </c>
      <c r="X7157" s="35" t="inlineStr"/>
    </row>
    <row r="7158" ht="27.75" customHeight="1" s="24">
      <c r="A7158" s="13" t="inlineStr">
        <is>
          <t>FR921688</t>
        </is>
      </c>
      <c r="B7158" s="13" t="inlineStr">
        <is>
          <t>Общество с ограниченной ответственностью "АЛЮРСО"</t>
        </is>
      </c>
      <c r="C7158" s="13" t="n">
        <v>3849100177</v>
      </c>
      <c r="D7158" s="13" t="inlineStr">
        <is>
          <t>3849100177</t>
        </is>
      </c>
      <c r="E7158" s="13" t="inlineStr">
        <is>
          <t>ЮЛ РФ</t>
        </is>
      </c>
      <c r="F7158" s="13" t="n"/>
      <c r="G7158" s="52" t="n">
        <v>0</v>
      </c>
      <c r="H7158" s="52" t="n">
        <v>2025</v>
      </c>
      <c r="I7158" s="14" t="n"/>
      <c r="J7158" s="14" t="n"/>
      <c r="K7158" s="53" t="inlineStr">
        <is>
          <t>Нет</t>
        </is>
      </c>
      <c r="L7158" s="53" t="inlineStr">
        <is>
          <t>Не определено</t>
        </is>
      </c>
      <c r="M7158" s="53" t="inlineStr">
        <is>
          <t>До 10</t>
        </is>
      </c>
      <c r="N7158" s="54" t="n">
        <v>3360</v>
      </c>
      <c r="O7158" s="55" t="inlineStr">
        <is>
          <t>1–15</t>
        </is>
      </c>
      <c r="P7158" s="16" t="inlineStr">
        <is>
          <t>ССЧР обогащена; ОКВЭД не найден/не загружен</t>
        </is>
      </c>
      <c r="Q7158" s="16" t="inlineStr">
        <is>
          <t>ФНС открытые данные ССЧР (ДатаСост 31.12.2025; набор 7707329152-sshr2019)</t>
        </is>
      </c>
      <c r="R7158" s="16">
        <f>HYPERLINK("https://checko.ru/search?query=3801001629","Чекко: проверить")</f>
        <v/>
      </c>
      <c r="S7158" t="n">
        <v>1</v>
      </c>
      <c r="T7158" s="35" t="inlineStr">
        <is>
          <t>4 — Не обогащён</t>
        </is>
      </c>
      <c r="U7158" s="35" t="inlineStr">
        <is>
          <t>Нет ОКВЭД/ССЧР</t>
        </is>
      </c>
      <c r="V7158" s="35" t="inlineStr">
        <is>
          <t>Не определено</t>
        </is>
      </c>
      <c r="W7158" s="35" t="inlineStr">
        <is>
          <t>Нет</t>
        </is>
      </c>
      <c r="X7158" s="35" t="inlineStr"/>
    </row>
    <row r="7159" ht="15" customHeight="1" s="24">
      <c r="A7159" s="13" t="inlineStr">
        <is>
          <t>FR587838</t>
        </is>
      </c>
      <c r="B7159" s="13" t="inlineStr">
        <is>
          <t>ИП Шевченко Максим Николаевич</t>
        </is>
      </c>
      <c r="C7159" s="13" t="n">
        <v>381103550705</v>
      </c>
      <c r="D7159" s="13" t="inlineStr">
        <is>
          <t>381103550705</t>
        </is>
      </c>
      <c r="E7159" s="13" t="inlineStr">
        <is>
          <t>ИП РФ / физлицо</t>
        </is>
      </c>
      <c r="F7159" s="13" t="n"/>
      <c r="G7159" s="14" t="n"/>
      <c r="H7159" s="14" t="n"/>
      <c r="I7159" s="14" t="n"/>
      <c r="J7159" s="14" t="n"/>
      <c r="K7159" s="53" t="inlineStr"/>
      <c r="L7159" s="53" t="inlineStr">
        <is>
          <t>Не определено</t>
        </is>
      </c>
      <c r="M7159" s="53" t="inlineStr"/>
      <c r="N7159" s="54" t="inlineStr"/>
      <c r="O7159" s="55" t="inlineStr"/>
      <c r="P7159" s="16" t="inlineStr">
        <is>
          <t>Требует обогащения</t>
        </is>
      </c>
      <c r="Q7159" s="16">
        <f>HYPERLINK("https://pb.nalog.ru/search.html?query=381103550705","ФНС: проверить")</f>
        <v/>
      </c>
      <c r="R7159" s="16">
        <f>HYPERLINK("https://checko.ru/search?query=3801001629","Чекко: проверить")</f>
        <v/>
      </c>
      <c r="S7159" t="n">
        <v>1</v>
      </c>
      <c r="T7159" s="35" t="inlineStr">
        <is>
          <t>4 — Не обогащён</t>
        </is>
      </c>
      <c r="U7159" s="35" t="inlineStr">
        <is>
          <t>Нет ОКВЭД/ССЧР</t>
        </is>
      </c>
      <c r="V7159" s="35" t="inlineStr">
        <is>
          <t>Не определено</t>
        </is>
      </c>
      <c r="W7159" s="35" t="inlineStr"/>
      <c r="X7159" s="35" t="inlineStr"/>
    </row>
    <row r="7160" ht="27.75" customHeight="1" s="24">
      <c r="A7160" s="13" t="inlineStr">
        <is>
          <t>FR898255</t>
        </is>
      </c>
      <c r="B7160" s="13" t="inlineStr">
        <is>
          <t>ОБЩЕСТВО С ОГРАНИЧЕННОЙ ОТВЕТСТВЕННОСТЬЮ "ИНДУСТРИЯ НАЙМА"</t>
        </is>
      </c>
      <c r="C7160" s="13" t="n">
        <v>3849098270</v>
      </c>
      <c r="D7160" s="13" t="inlineStr">
        <is>
          <t>3849098270</t>
        </is>
      </c>
      <c r="E7160" s="13" t="inlineStr">
        <is>
          <t>ЮЛ РФ</t>
        </is>
      </c>
      <c r="F7160" s="13" t="n"/>
      <c r="G7160" s="14" t="n"/>
      <c r="H7160" s="14" t="n"/>
      <c r="I7160" s="14" t="n"/>
      <c r="J7160" s="14" t="n"/>
      <c r="K7160" s="53" t="inlineStr"/>
      <c r="L7160" s="53" t="inlineStr">
        <is>
          <t>Не определено</t>
        </is>
      </c>
      <c r="M7160" s="53" t="inlineStr"/>
      <c r="N7160" s="54" t="inlineStr"/>
      <c r="O7160" s="55" t="inlineStr"/>
      <c r="P7160" s="16" t="inlineStr">
        <is>
          <t>Требует обогащения</t>
        </is>
      </c>
      <c r="Q7160" s="16">
        <f>HYPERLINK("https://pb.nalog.ru/search.html?query=3849098270","ФНС: проверить")</f>
        <v/>
      </c>
      <c r="R7160" s="16">
        <f>HYPERLINK("https://checko.ru/search?query=3801001629","Чекко: проверить")</f>
        <v/>
      </c>
      <c r="S7160" t="n">
        <v>1</v>
      </c>
      <c r="T7160" s="35" t="inlineStr">
        <is>
          <t>4 — Не обогащён</t>
        </is>
      </c>
      <c r="U7160" s="35" t="inlineStr">
        <is>
          <t>Нет ОКВЭД/ССЧР</t>
        </is>
      </c>
      <c r="V7160" s="35" t="inlineStr">
        <is>
          <t>Не определено</t>
        </is>
      </c>
      <c r="W7160" s="35" t="inlineStr"/>
      <c r="X7160" s="35" t="inlineStr"/>
    </row>
    <row r="7161" ht="15" customHeight="1" s="24">
      <c r="A7161" s="13" t="inlineStr">
        <is>
          <t>FR1068394</t>
        </is>
      </c>
      <c r="B7161" s="13" t="inlineStr">
        <is>
          <t>ИП Андреев Иван Владимирович</t>
        </is>
      </c>
      <c r="C7161" s="13" t="n">
        <v>380803484904</v>
      </c>
      <c r="D7161" s="13" t="inlineStr">
        <is>
          <t>380803484904</t>
        </is>
      </c>
      <c r="E7161" s="13" t="inlineStr">
        <is>
          <t>ИП РФ / физлицо</t>
        </is>
      </c>
      <c r="F7161" s="13" t="n"/>
      <c r="G7161" s="14" t="n"/>
      <c r="H7161" s="14" t="n"/>
      <c r="I7161" s="14" t="n"/>
      <c r="J7161" s="14" t="n"/>
      <c r="K7161" s="53" t="inlineStr"/>
      <c r="L7161" s="53" t="inlineStr">
        <is>
          <t>Не определено</t>
        </is>
      </c>
      <c r="M7161" s="53" t="inlineStr"/>
      <c r="N7161" s="54" t="inlineStr"/>
      <c r="O7161" s="55" t="inlineStr"/>
      <c r="P7161" s="16" t="inlineStr">
        <is>
          <t>Требует обогащения</t>
        </is>
      </c>
      <c r="Q7161" s="16">
        <f>HYPERLINK("https://pb.nalog.ru/search.html?query=380803484904","ФНС: проверить")</f>
        <v/>
      </c>
      <c r="R7161" s="16">
        <f>HYPERLINK("https://checko.ru/search?query=3801001629","Чекко: проверить")</f>
        <v/>
      </c>
      <c r="S7161" t="n">
        <v>1</v>
      </c>
      <c r="T7161" s="35" t="inlineStr">
        <is>
          <t>4 — Не обогащён</t>
        </is>
      </c>
      <c r="U7161" s="35" t="inlineStr">
        <is>
          <t>Нет ОКВЭД/ССЧР</t>
        </is>
      </c>
      <c r="V7161" s="35" t="inlineStr">
        <is>
          <t>Не определено</t>
        </is>
      </c>
      <c r="W7161" s="35" t="inlineStr"/>
      <c r="X7161" s="35" t="inlineStr"/>
    </row>
    <row r="7162" ht="27.75" customHeight="1" s="24">
      <c r="A7162" s="13" t="inlineStr">
        <is>
          <t>FR1034417</t>
        </is>
      </c>
      <c r="B7162" s="13" t="inlineStr">
        <is>
          <t>Общество с ограниченной ответственностью "СИБИРЬ КОФЕ"</t>
        </is>
      </c>
      <c r="C7162" s="13" t="n">
        <v>3808287039</v>
      </c>
      <c r="D7162" s="13" t="inlineStr">
        <is>
          <t>3808287039</t>
        </is>
      </c>
      <c r="E7162" s="13" t="inlineStr">
        <is>
          <t>ЮЛ РФ</t>
        </is>
      </c>
      <c r="F7162" s="13" t="n"/>
      <c r="G7162" s="14" t="n"/>
      <c r="H7162" s="14" t="n"/>
      <c r="I7162" s="14" t="n"/>
      <c r="J7162" s="14" t="n"/>
      <c r="K7162" s="53" t="inlineStr"/>
      <c r="L7162" s="53" t="inlineStr">
        <is>
          <t>Не определено</t>
        </is>
      </c>
      <c r="M7162" s="53" t="inlineStr"/>
      <c r="N7162" s="54" t="inlineStr"/>
      <c r="O7162" s="55" t="inlineStr"/>
      <c r="P7162" s="16" t="inlineStr">
        <is>
          <t>Требует обогащения</t>
        </is>
      </c>
      <c r="Q7162" s="16">
        <f>HYPERLINK("https://pb.nalog.ru/search.html?query=3808287039","ФНС: проверить")</f>
        <v/>
      </c>
      <c r="R7162" s="16">
        <f>HYPERLINK("https://checko.ru/search?query=3801001629","Чекко: проверить")</f>
        <v/>
      </c>
      <c r="S7162" t="n">
        <v>1</v>
      </c>
      <c r="T7162" s="35" t="inlineStr">
        <is>
          <t>4 — Не обогащён</t>
        </is>
      </c>
      <c r="U7162" s="35" t="inlineStr">
        <is>
          <t>Нет ОКВЭД/ССЧР</t>
        </is>
      </c>
      <c r="V7162" s="35" t="inlineStr">
        <is>
          <t>Не определено</t>
        </is>
      </c>
      <c r="W7162" s="35" t="inlineStr"/>
      <c r="X7162" s="35" t="inlineStr"/>
    </row>
    <row r="7163" ht="27.75" customHeight="1" s="24">
      <c r="A7163" s="13" t="inlineStr">
        <is>
          <t>FR1103474</t>
        </is>
      </c>
      <c r="B7163" s="13" t="inlineStr">
        <is>
          <t>Общество с ограниченной ответственностью "ВИКИНГ-ПАРК"</t>
        </is>
      </c>
      <c r="C7163" s="13" t="n">
        <v>3812165379</v>
      </c>
      <c r="D7163" s="13" t="inlineStr">
        <is>
          <t>3812165379</t>
        </is>
      </c>
      <c r="E7163" s="13" t="inlineStr">
        <is>
          <t>ЮЛ РФ</t>
        </is>
      </c>
      <c r="F7163" s="13" t="n"/>
      <c r="G7163" s="52" t="n">
        <v>1</v>
      </c>
      <c r="H7163" s="52" t="n">
        <v>2025</v>
      </c>
      <c r="I7163" s="14" t="n"/>
      <c r="J7163" s="14" t="n"/>
      <c r="K7163" s="53" t="inlineStr">
        <is>
          <t>Нет</t>
        </is>
      </c>
      <c r="L7163" s="53" t="inlineStr">
        <is>
          <t>Не определено</t>
        </is>
      </c>
      <c r="M7163" s="53" t="inlineStr">
        <is>
          <t>До 10</t>
        </is>
      </c>
      <c r="N7163" s="54" t="n">
        <v>3360</v>
      </c>
      <c r="O7163" s="55" t="inlineStr">
        <is>
          <t>1–15</t>
        </is>
      </c>
      <c r="P7163" s="16" t="inlineStr">
        <is>
          <t>ССЧР обогащена; ОКВЭД не найден/не загружен</t>
        </is>
      </c>
      <c r="Q7163" s="16" t="inlineStr">
        <is>
          <t>ФНС открытые данные ССЧР (ДатаСост 31.12.2025; набор 7707329152-sshr2019)</t>
        </is>
      </c>
      <c r="R7163" s="16">
        <f>HYPERLINK("https://checko.ru/search?query=3801001629","Чекко: проверить")</f>
        <v/>
      </c>
      <c r="S7163" t="n">
        <v>1</v>
      </c>
      <c r="T7163" s="35" t="inlineStr">
        <is>
          <t>4 — Не обогащён</t>
        </is>
      </c>
      <c r="U7163" s="35" t="inlineStr">
        <is>
          <t>Нет ОКВЭД/ССЧР</t>
        </is>
      </c>
      <c r="V7163" s="35" t="inlineStr">
        <is>
          <t>Не определено</t>
        </is>
      </c>
      <c r="W7163" s="35" t="inlineStr">
        <is>
          <t>Нет</t>
        </is>
      </c>
      <c r="X7163" s="35" t="inlineStr"/>
    </row>
    <row r="7164" ht="27.75" customHeight="1" s="24">
      <c r="A7164" s="13" t="inlineStr">
        <is>
          <t>FR1100518</t>
        </is>
      </c>
      <c r="B7164" s="13" t="inlineStr">
        <is>
          <t>Общество с ограниченной ответственностью "СТОМАТОЛОГИЧЕСКИЙ ЦЕНТР "ГРАНД ДЕНТ"</t>
        </is>
      </c>
      <c r="C7164" s="13" t="n">
        <v>3808269671</v>
      </c>
      <c r="D7164" s="13" t="inlineStr">
        <is>
          <t>3808269671</t>
        </is>
      </c>
      <c r="E7164" s="13" t="inlineStr">
        <is>
          <t>ЮЛ РФ</t>
        </is>
      </c>
      <c r="F7164" s="13" t="n"/>
      <c r="G7164" s="52" t="n">
        <v>2</v>
      </c>
      <c r="H7164" s="52" t="n">
        <v>2025</v>
      </c>
      <c r="I7164" s="14" t="n"/>
      <c r="J7164" s="14" t="n"/>
      <c r="K7164" s="53" t="inlineStr">
        <is>
          <t>Нет</t>
        </is>
      </c>
      <c r="L7164" s="53" t="inlineStr">
        <is>
          <t>Не определено</t>
        </is>
      </c>
      <c r="M7164" s="53" t="inlineStr">
        <is>
          <t>До 10</t>
        </is>
      </c>
      <c r="N7164" s="54" t="n">
        <v>3360</v>
      </c>
      <c r="O7164" s="55" t="inlineStr">
        <is>
          <t>1–15</t>
        </is>
      </c>
      <c r="P7164" s="16" t="inlineStr">
        <is>
          <t>ССЧР обогащена; ОКВЭД не найден/не загружен</t>
        </is>
      </c>
      <c r="Q7164" s="16" t="inlineStr">
        <is>
          <t>ФНС открытые данные ССЧР (ДатаСост 31.12.2025; набор 7707329152-sshr2019)</t>
        </is>
      </c>
      <c r="R7164" s="16">
        <f>HYPERLINK("https://checko.ru/search?query=3801001629","Чекко: проверить")</f>
        <v/>
      </c>
      <c r="S7164" t="n">
        <v>1</v>
      </c>
      <c r="T7164" s="35" t="inlineStr">
        <is>
          <t>4 — Не обогащён</t>
        </is>
      </c>
      <c r="U7164" s="35" t="inlineStr">
        <is>
          <t>Нет ОКВЭД/ССЧР</t>
        </is>
      </c>
      <c r="V7164" s="35" t="inlineStr">
        <is>
          <t>Не определено</t>
        </is>
      </c>
      <c r="W7164" s="35" t="inlineStr">
        <is>
          <t>Нет</t>
        </is>
      </c>
      <c r="X7164" s="35" t="inlineStr"/>
    </row>
    <row r="7165" ht="15" customHeight="1" s="24">
      <c r="A7165" s="13" t="inlineStr">
        <is>
          <t>FR1297450</t>
        </is>
      </c>
      <c r="B7165" s="13" t="inlineStr">
        <is>
          <t>Садунов Денис Валерьевич</t>
        </is>
      </c>
      <c r="C7165" s="13" t="n">
        <v>525400236711</v>
      </c>
      <c r="D7165" s="13" t="inlineStr">
        <is>
          <t>525400236711</t>
        </is>
      </c>
      <c r="E7165" s="13" t="inlineStr">
        <is>
          <t>ИП РФ / физлицо</t>
        </is>
      </c>
      <c r="F7165" s="13" t="n"/>
      <c r="G7165" s="14" t="n"/>
      <c r="H7165" s="14" t="n"/>
      <c r="I7165" s="14" t="n"/>
      <c r="J7165" s="14" t="n"/>
      <c r="K7165" s="53" t="inlineStr"/>
      <c r="L7165" s="53" t="inlineStr">
        <is>
          <t>Не определено</t>
        </is>
      </c>
      <c r="M7165" s="53" t="inlineStr"/>
      <c r="N7165" s="54" t="inlineStr"/>
      <c r="O7165" s="55" t="inlineStr"/>
      <c r="P7165" s="16" t="inlineStr">
        <is>
          <t>Требует обогащения</t>
        </is>
      </c>
      <c r="Q7165" s="16">
        <f>HYPERLINK("https://pb.nalog.ru/search.html?query=525400236711","ФНС: проверить")</f>
        <v/>
      </c>
      <c r="R7165" s="16">
        <f>HYPERLINK("https://checko.ru/search?query=3801001629","Чекко: проверить")</f>
        <v/>
      </c>
      <c r="S7165" t="n">
        <v>1</v>
      </c>
      <c r="T7165" s="35" t="inlineStr">
        <is>
          <t>4 — Не обогащён</t>
        </is>
      </c>
      <c r="U7165" s="35" t="inlineStr">
        <is>
          <t>Нет ОКВЭД/ССЧР</t>
        </is>
      </c>
      <c r="V7165" s="35" t="inlineStr">
        <is>
          <t>Не определено</t>
        </is>
      </c>
      <c r="W7165" s="35" t="inlineStr"/>
      <c r="X7165" s="35" t="inlineStr"/>
    </row>
    <row r="7166" ht="15" customHeight="1" s="24">
      <c r="A7166" s="13" t="inlineStr">
        <is>
          <t>FR1298116</t>
        </is>
      </c>
      <c r="B7166" s="13" t="inlineStr">
        <is>
          <t>ИП Романенко Валерия Дмитриевна</t>
        </is>
      </c>
      <c r="C7166" s="13" t="n">
        <v>381113852303</v>
      </c>
      <c r="D7166" s="13" t="inlineStr">
        <is>
          <t>381113852303</t>
        </is>
      </c>
      <c r="E7166" s="13" t="inlineStr">
        <is>
          <t>ИП РФ / физлицо</t>
        </is>
      </c>
      <c r="F7166" s="13" t="n"/>
      <c r="G7166" s="14" t="n"/>
      <c r="H7166" s="14" t="n"/>
      <c r="I7166" s="14" t="n"/>
      <c r="J7166" s="14" t="n"/>
      <c r="K7166" s="53" t="inlineStr"/>
      <c r="L7166" s="53" t="inlineStr">
        <is>
          <t>Не определено</t>
        </is>
      </c>
      <c r="M7166" s="53" t="inlineStr"/>
      <c r="N7166" s="54" t="inlineStr"/>
      <c r="O7166" s="55" t="inlineStr"/>
      <c r="P7166" s="16" t="inlineStr">
        <is>
          <t>Требует обогащения</t>
        </is>
      </c>
      <c r="Q7166" s="16">
        <f>HYPERLINK("https://pb.nalog.ru/search.html?query=381113852303","ФНС: проверить")</f>
        <v/>
      </c>
      <c r="R7166" s="16">
        <f>HYPERLINK("https://checko.ru/search?query=3801001629","Чекко: проверить")</f>
        <v/>
      </c>
      <c r="S7166" t="n">
        <v>1</v>
      </c>
      <c r="T7166" s="35" t="inlineStr">
        <is>
          <t>4 — Не обогащён</t>
        </is>
      </c>
      <c r="U7166" s="35" t="inlineStr">
        <is>
          <t>Нет ОКВЭД/ССЧР</t>
        </is>
      </c>
      <c r="V7166" s="35" t="inlineStr">
        <is>
          <t>Не определено</t>
        </is>
      </c>
      <c r="W7166" s="35" t="inlineStr"/>
      <c r="X7166" s="35" t="inlineStr"/>
    </row>
    <row r="7167" ht="41.25" customHeight="1" s="24">
      <c r="A7167" s="13" t="inlineStr">
        <is>
          <t>FR457731</t>
        </is>
      </c>
      <c r="B7167" s="13" t="inlineStr">
        <is>
          <t>ОБЩЕСТВО С ОГРАНИЧЕННОЙ ОТВЕТСТВЕННОСТЬЮ "СТОМАТОЛОГИЧЕСКИЙ ЦЕНТР "ДОКТОР МЕНГ"</t>
        </is>
      </c>
      <c r="C7167" s="13" t="n">
        <v>3827058122</v>
      </c>
      <c r="D7167" s="13" t="inlineStr">
        <is>
          <t>3827058122</t>
        </is>
      </c>
      <c r="E7167" s="13" t="inlineStr">
        <is>
          <t>ЮЛ РФ</t>
        </is>
      </c>
      <c r="F7167" s="13" t="n"/>
      <c r="G7167" s="52" t="n">
        <v>7</v>
      </c>
      <c r="H7167" s="52" t="n">
        <v>2025</v>
      </c>
      <c r="I7167" s="14" t="n"/>
      <c r="J7167" s="14" t="n"/>
      <c r="K7167" s="53" t="inlineStr">
        <is>
          <t>Нет</t>
        </is>
      </c>
      <c r="L7167" s="53" t="inlineStr">
        <is>
          <t>Не определено</t>
        </is>
      </c>
      <c r="M7167" s="53" t="inlineStr">
        <is>
          <t>До 10</t>
        </is>
      </c>
      <c r="N7167" s="54" t="n">
        <v>3360</v>
      </c>
      <c r="O7167" s="55" t="inlineStr">
        <is>
          <t>1–15</t>
        </is>
      </c>
      <c r="P7167" s="16" t="inlineStr">
        <is>
          <t>ССЧР обогащена; ОКВЭД не найден/не загружен</t>
        </is>
      </c>
      <c r="Q7167" s="16" t="inlineStr">
        <is>
          <t>ФНС открытые данные ССЧР (ДатаСост 31.12.2025; набор 7707329152-sshr2019)</t>
        </is>
      </c>
      <c r="R7167" s="16">
        <f>HYPERLINK("https://checko.ru/search?query=3801001629","Чекко: проверить")</f>
        <v/>
      </c>
      <c r="S7167" t="n">
        <v>1</v>
      </c>
      <c r="T7167" s="35" t="inlineStr">
        <is>
          <t>4 — Не обогащён</t>
        </is>
      </c>
      <c r="U7167" s="35" t="inlineStr">
        <is>
          <t>Нет ОКВЭД/ССЧР</t>
        </is>
      </c>
      <c r="V7167" s="35" t="inlineStr">
        <is>
          <t>Не определено</t>
        </is>
      </c>
      <c r="W7167" s="35" t="inlineStr">
        <is>
          <t>Нет</t>
        </is>
      </c>
      <c r="X7167" s="35" t="inlineStr"/>
    </row>
    <row r="7168" ht="27.75" customHeight="1" s="24">
      <c r="A7168" s="13" t="inlineStr">
        <is>
          <t>FR442638</t>
        </is>
      </c>
      <c r="B7168" s="13" t="inlineStr">
        <is>
          <t>ОБЩЕСТВО С ОГРАНИЧЕННОЙ ОТВЕТСТВЕННОСТЬЮ "ИМПЕРИЯ ФЕМИДЫ"</t>
        </is>
      </c>
      <c r="C7168" s="13" t="n">
        <v>3810330108</v>
      </c>
      <c r="D7168" s="13" t="inlineStr">
        <is>
          <t>3810330108</t>
        </is>
      </c>
      <c r="E7168" s="13" t="inlineStr">
        <is>
          <t>ЮЛ РФ</t>
        </is>
      </c>
      <c r="F7168" s="13" t="n"/>
      <c r="G7168" s="52" t="n">
        <v>3</v>
      </c>
      <c r="H7168" s="52" t="n">
        <v>2025</v>
      </c>
      <c r="I7168" s="14" t="n"/>
      <c r="J7168" s="14" t="n"/>
      <c r="K7168" s="53" t="inlineStr">
        <is>
          <t>Нет</t>
        </is>
      </c>
      <c r="L7168" s="53" t="inlineStr">
        <is>
          <t>Не определено</t>
        </is>
      </c>
      <c r="M7168" s="53" t="inlineStr">
        <is>
          <t>До 10</t>
        </is>
      </c>
      <c r="N7168" s="54" t="n">
        <v>3360</v>
      </c>
      <c r="O7168" s="55" t="inlineStr">
        <is>
          <t>1–15</t>
        </is>
      </c>
      <c r="P7168" s="16" t="inlineStr">
        <is>
          <t>ССЧР обогащена; ОКВЭД не найден/не загружен</t>
        </is>
      </c>
      <c r="Q7168" s="16" t="inlineStr">
        <is>
          <t>ФНС открытые данные ССЧР (ДатаСост 31.12.2025; набор 7707329152-sshr2019)</t>
        </is>
      </c>
      <c r="R7168" s="16">
        <f>HYPERLINK("https://checko.ru/search?query=3801001629","Чекко: проверить")</f>
        <v/>
      </c>
      <c r="S7168" t="n">
        <v>1</v>
      </c>
      <c r="T7168" s="35" t="inlineStr">
        <is>
          <t>4 — Не обогащён</t>
        </is>
      </c>
      <c r="U7168" s="35" t="inlineStr">
        <is>
          <t>Нет ОКВЭД/ССЧР</t>
        </is>
      </c>
      <c r="V7168" s="35" t="inlineStr">
        <is>
          <t>Не определено</t>
        </is>
      </c>
      <c r="W7168" s="35" t="inlineStr">
        <is>
          <t>Нет</t>
        </is>
      </c>
      <c r="X7168" s="35" t="inlineStr"/>
    </row>
    <row r="7169" ht="15" customHeight="1" s="24">
      <c r="A7169" s="13" t="inlineStr">
        <is>
          <t>FR1298299</t>
        </is>
      </c>
      <c r="B7169" s="13" t="inlineStr">
        <is>
          <t>ИП Восканян Вартан Самвелович</t>
        </is>
      </c>
      <c r="C7169" s="13" t="n">
        <v>381106645440</v>
      </c>
      <c r="D7169" s="13" t="inlineStr">
        <is>
          <t>381106645440</t>
        </is>
      </c>
      <c r="E7169" s="13" t="inlineStr">
        <is>
          <t>ИП РФ / физлицо</t>
        </is>
      </c>
      <c r="F7169" s="13" t="n"/>
      <c r="G7169" s="14" t="n"/>
      <c r="H7169" s="14" t="n"/>
      <c r="I7169" s="14" t="n"/>
      <c r="J7169" s="14" t="n"/>
      <c r="K7169" s="53" t="inlineStr"/>
      <c r="L7169" s="53" t="inlineStr">
        <is>
          <t>Не определено</t>
        </is>
      </c>
      <c r="M7169" s="53" t="inlineStr"/>
      <c r="N7169" s="54" t="inlineStr"/>
      <c r="O7169" s="55" t="inlineStr"/>
      <c r="P7169" s="16" t="inlineStr">
        <is>
          <t>Требует обогащения</t>
        </is>
      </c>
      <c r="Q7169" s="16">
        <f>HYPERLINK("https://pb.nalog.ru/search.html?query=381106645440","ФНС: проверить")</f>
        <v/>
      </c>
      <c r="R7169" s="16">
        <f>HYPERLINK("https://checko.ru/search?query=3801001629","Чекко: проверить")</f>
        <v/>
      </c>
      <c r="S7169" t="n">
        <v>1</v>
      </c>
      <c r="T7169" s="35" t="inlineStr">
        <is>
          <t>4 — Не обогащён</t>
        </is>
      </c>
      <c r="U7169" s="35" t="inlineStr">
        <is>
          <t>Нет ОКВЭД/ССЧР</t>
        </is>
      </c>
      <c r="V7169" s="35" t="inlineStr">
        <is>
          <t>Не определено</t>
        </is>
      </c>
      <c r="W7169" s="35" t="inlineStr"/>
      <c r="X7169" s="35" t="inlineStr"/>
    </row>
    <row r="7170" ht="15" customHeight="1" s="24">
      <c r="A7170" s="13" t="inlineStr">
        <is>
          <t>FR1102148</t>
        </is>
      </c>
      <c r="B7170" s="13" t="inlineStr">
        <is>
          <t>ООО "ГСМ-Авиасервис"</t>
        </is>
      </c>
      <c r="C7170" s="13" t="n">
        <v>3848001374</v>
      </c>
      <c r="D7170" s="13" t="inlineStr">
        <is>
          <t>3848001374</t>
        </is>
      </c>
      <c r="E7170" s="13" t="inlineStr">
        <is>
          <t>ЮЛ РФ</t>
        </is>
      </c>
      <c r="F7170" s="13" t="n"/>
      <c r="G7170" s="52" t="n">
        <v>14</v>
      </c>
      <c r="H7170" s="52" t="n">
        <v>2025</v>
      </c>
      <c r="I7170" s="14" t="n"/>
      <c r="J7170" s="14" t="n"/>
      <c r="K7170" s="53" t="inlineStr">
        <is>
          <t>Нет</t>
        </is>
      </c>
      <c r="L7170" s="53" t="inlineStr">
        <is>
          <t>Не определено</t>
        </is>
      </c>
      <c r="M7170" s="53" t="inlineStr">
        <is>
          <t>До 25</t>
        </is>
      </c>
      <c r="N7170" s="54" t="n">
        <v>8400</v>
      </c>
      <c r="O7170" s="55" t="inlineStr">
        <is>
          <t>1–15</t>
        </is>
      </c>
      <c r="P7170" s="16" t="inlineStr">
        <is>
          <t>ССЧР обогащена; ОКВЭД не найден/не загружен</t>
        </is>
      </c>
      <c r="Q7170" s="16" t="inlineStr">
        <is>
          <t>ФНС открытые данные ССЧР (ДатаСост 31.12.2025; набор 7707329152-sshr2019)</t>
        </is>
      </c>
      <c r="R7170" s="16">
        <f>HYPERLINK("https://checko.ru/search?query=3801001629","Чекко: проверить")</f>
        <v/>
      </c>
      <c r="S7170" t="n">
        <v>1</v>
      </c>
      <c r="T7170" s="35" t="inlineStr">
        <is>
          <t>4 — Не обогащён</t>
        </is>
      </c>
      <c r="U7170" s="35" t="inlineStr">
        <is>
          <t>Нет ОКВЭД/ССЧР</t>
        </is>
      </c>
      <c r="V7170" s="35" t="inlineStr">
        <is>
          <t>Не определено</t>
        </is>
      </c>
      <c r="W7170" s="35" t="inlineStr">
        <is>
          <t>Нет</t>
        </is>
      </c>
      <c r="X7170" s="35" t="inlineStr"/>
    </row>
    <row r="7171" ht="15" customHeight="1" s="24">
      <c r="A7171" s="13" t="inlineStr">
        <is>
          <t>FR866545</t>
        </is>
      </c>
      <c r="B7171" s="13" t="inlineStr">
        <is>
          <t>ИП Зубенцев Сергей Андреевич</t>
        </is>
      </c>
      <c r="C7171" s="13" t="n">
        <v>381295997935</v>
      </c>
      <c r="D7171" s="13" t="inlineStr">
        <is>
          <t>381295997935</t>
        </is>
      </c>
      <c r="E7171" s="13" t="inlineStr">
        <is>
          <t>ИП РФ / физлицо</t>
        </is>
      </c>
      <c r="F7171" s="13" t="n"/>
      <c r="G7171" s="14" t="n"/>
      <c r="H7171" s="14" t="n"/>
      <c r="I7171" s="14" t="n"/>
      <c r="J7171" s="14" t="n"/>
      <c r="K7171" s="53" t="inlineStr"/>
      <c r="L7171" s="53" t="inlineStr">
        <is>
          <t>Не определено</t>
        </is>
      </c>
      <c r="M7171" s="53" t="inlineStr"/>
      <c r="N7171" s="54" t="inlineStr"/>
      <c r="O7171" s="55" t="inlineStr"/>
      <c r="P7171" s="16" t="inlineStr">
        <is>
          <t>Требует обогащения</t>
        </is>
      </c>
      <c r="Q7171" s="16">
        <f>HYPERLINK("https://pb.nalog.ru/search.html?query=381295997935","ФНС: проверить")</f>
        <v/>
      </c>
      <c r="R7171" s="16">
        <f>HYPERLINK("https://checko.ru/search?query=3801001629","Чекко: проверить")</f>
        <v/>
      </c>
      <c r="S7171" t="n">
        <v>1</v>
      </c>
      <c r="T7171" s="35" t="inlineStr">
        <is>
          <t>4 — Не обогащён</t>
        </is>
      </c>
      <c r="U7171" s="35" t="inlineStr">
        <is>
          <t>Нет ОКВЭД/ССЧР</t>
        </is>
      </c>
      <c r="V7171" s="35" t="inlineStr">
        <is>
          <t>Не определено</t>
        </is>
      </c>
      <c r="W7171" s="35" t="inlineStr"/>
      <c r="X7171" s="35" t="inlineStr"/>
    </row>
    <row r="7172" ht="15" customHeight="1" s="24">
      <c r="A7172" s="13" t="inlineStr">
        <is>
          <t>FR1298179</t>
        </is>
      </c>
      <c r="B7172" s="13" t="inlineStr">
        <is>
          <t>ИП Пшеничникова Александра Расимовна</t>
        </is>
      </c>
      <c r="C7172" s="13" t="n">
        <v>590422972566</v>
      </c>
      <c r="D7172" s="13" t="inlineStr">
        <is>
          <t>590422972566</t>
        </is>
      </c>
      <c r="E7172" s="13" t="inlineStr">
        <is>
          <t>ИП РФ / физлицо</t>
        </is>
      </c>
      <c r="F7172" s="13" t="n"/>
      <c r="G7172" s="14" t="n"/>
      <c r="H7172" s="14" t="n"/>
      <c r="I7172" s="14" t="n"/>
      <c r="J7172" s="14" t="n"/>
      <c r="K7172" s="53" t="inlineStr"/>
      <c r="L7172" s="53" t="inlineStr">
        <is>
          <t>Не определено</t>
        </is>
      </c>
      <c r="M7172" s="53" t="inlineStr"/>
      <c r="N7172" s="54" t="inlineStr"/>
      <c r="O7172" s="55" t="inlineStr"/>
      <c r="P7172" s="16" t="inlineStr">
        <is>
          <t>Требует обогащения</t>
        </is>
      </c>
      <c r="Q7172" s="16">
        <f>HYPERLINK("https://pb.nalog.ru/search.html?query=590422972566","ФНС: проверить")</f>
        <v/>
      </c>
      <c r="R7172" s="16">
        <f>HYPERLINK("https://checko.ru/search?query=3801001629","Чекко: проверить")</f>
        <v/>
      </c>
      <c r="S7172" t="n">
        <v>1</v>
      </c>
      <c r="T7172" s="35" t="inlineStr">
        <is>
          <t>4 — Не обогащён</t>
        </is>
      </c>
      <c r="U7172" s="35" t="inlineStr">
        <is>
          <t>Нет ОКВЭД/ССЧР</t>
        </is>
      </c>
      <c r="V7172" s="35" t="inlineStr">
        <is>
          <t>Не определено</t>
        </is>
      </c>
      <c r="W7172" s="35" t="inlineStr"/>
      <c r="X7172" s="35" t="inlineStr"/>
    </row>
    <row r="7173" ht="15" customHeight="1" s="24">
      <c r="A7173" s="13" t="inlineStr">
        <is>
          <t>FR1069390</t>
        </is>
      </c>
      <c r="B7173" s="13" t="inlineStr">
        <is>
          <t>ИП Кузнецова Олеся Юрьевна</t>
        </is>
      </c>
      <c r="C7173" s="13" t="n">
        <v>420540433387</v>
      </c>
      <c r="D7173" s="13" t="inlineStr">
        <is>
          <t>420540433387</t>
        </is>
      </c>
      <c r="E7173" s="13" t="inlineStr">
        <is>
          <t>ИП РФ / физлицо</t>
        </is>
      </c>
      <c r="F7173" s="13" t="n"/>
      <c r="G7173" s="14" t="n"/>
      <c r="H7173" s="14" t="n"/>
      <c r="I7173" s="14" t="n"/>
      <c r="J7173" s="14" t="n"/>
      <c r="K7173" s="53" t="inlineStr"/>
      <c r="L7173" s="53" t="inlineStr">
        <is>
          <t>Не определено</t>
        </is>
      </c>
      <c r="M7173" s="53" t="inlineStr"/>
      <c r="N7173" s="54" t="inlineStr"/>
      <c r="O7173" s="55" t="inlineStr"/>
      <c r="P7173" s="16" t="inlineStr">
        <is>
          <t>Требует обогащения</t>
        </is>
      </c>
      <c r="Q7173" s="16">
        <f>HYPERLINK("https://pb.nalog.ru/search.html?query=420540433387","ФНС: проверить")</f>
        <v/>
      </c>
      <c r="R7173" s="16">
        <f>HYPERLINK("https://checko.ru/search?query=3801001629","Чекко: проверить")</f>
        <v/>
      </c>
      <c r="S7173" t="n">
        <v>1</v>
      </c>
      <c r="T7173" s="35" t="inlineStr">
        <is>
          <t>4 — Не обогащён</t>
        </is>
      </c>
      <c r="U7173" s="35" t="inlineStr">
        <is>
          <t>Нет ОКВЭД/ССЧР</t>
        </is>
      </c>
      <c r="V7173" s="35" t="inlineStr">
        <is>
          <t>Не определено</t>
        </is>
      </c>
      <c r="W7173" s="35" t="inlineStr"/>
      <c r="X7173" s="35" t="inlineStr"/>
    </row>
    <row r="7174" ht="27.75" customHeight="1" s="24">
      <c r="A7174" s="13" t="inlineStr">
        <is>
          <t>FR1070429</t>
        </is>
      </c>
      <c r="B7174" s="13" t="inlineStr">
        <is>
          <t>Общество с ограниченной ответственностью "АГЕНТСТВО "АВРОРА-ИРКУТСК"</t>
        </is>
      </c>
      <c r="C7174" s="13" t="n">
        <v>3811999558</v>
      </c>
      <c r="D7174" s="13" t="inlineStr">
        <is>
          <t>3811999558</t>
        </is>
      </c>
      <c r="E7174" s="13" t="inlineStr">
        <is>
          <t>ЮЛ РФ</t>
        </is>
      </c>
      <c r="F7174" s="13" t="n"/>
      <c r="G7174" s="52" t="n">
        <v>4</v>
      </c>
      <c r="H7174" s="52" t="n">
        <v>2025</v>
      </c>
      <c r="I7174" s="14" t="n"/>
      <c r="J7174" s="14" t="n"/>
      <c r="K7174" s="53" t="inlineStr">
        <is>
          <t>Нет</t>
        </is>
      </c>
      <c r="L7174" s="53" t="inlineStr">
        <is>
          <t>Не определено</t>
        </is>
      </c>
      <c r="M7174" s="53" t="inlineStr">
        <is>
          <t>До 10</t>
        </is>
      </c>
      <c r="N7174" s="54" t="n">
        <v>3360</v>
      </c>
      <c r="O7174" s="55" t="inlineStr">
        <is>
          <t>1–15</t>
        </is>
      </c>
      <c r="P7174" s="16" t="inlineStr">
        <is>
          <t>ССЧР обогащена; ОКВЭД не найден/не загружен</t>
        </is>
      </c>
      <c r="Q7174" s="16" t="inlineStr">
        <is>
          <t>ФНС открытые данные ССЧР (ДатаСост 31.12.2025; набор 7707329152-sshr2019)</t>
        </is>
      </c>
      <c r="R7174" s="16">
        <f>HYPERLINK("https://checko.ru/search?query=3801001629","Чекко: проверить")</f>
        <v/>
      </c>
      <c r="S7174" t="n">
        <v>1</v>
      </c>
      <c r="T7174" s="35" t="inlineStr">
        <is>
          <t>4 — Не обогащён</t>
        </is>
      </c>
      <c r="U7174" s="35" t="inlineStr">
        <is>
          <t>Нет ОКВЭД/ССЧР</t>
        </is>
      </c>
      <c r="V7174" s="35" t="inlineStr">
        <is>
          <t>Не определено</t>
        </is>
      </c>
      <c r="W7174" s="35" t="inlineStr">
        <is>
          <t>Нет</t>
        </is>
      </c>
      <c r="X7174" s="35" t="inlineStr"/>
    </row>
    <row r="7175" ht="27.75" customHeight="1" s="24">
      <c r="A7175" s="13" t="inlineStr">
        <is>
          <t>FR1118229</t>
        </is>
      </c>
      <c r="B7175" s="13" t="inlineStr">
        <is>
          <t>Общество с ограниченной ответственностью "АРТ-БЕТОН"</t>
        </is>
      </c>
      <c r="C7175" s="13" t="n">
        <v>3827065634</v>
      </c>
      <c r="D7175" s="13" t="inlineStr">
        <is>
          <t>3827065634</t>
        </is>
      </c>
      <c r="E7175" s="13" t="inlineStr">
        <is>
          <t>ЮЛ РФ</t>
        </is>
      </c>
      <c r="F7175" s="13" t="n"/>
      <c r="G7175" s="52" t="n">
        <v>14</v>
      </c>
      <c r="H7175" s="52" t="n">
        <v>2025</v>
      </c>
      <c r="I7175" s="14" t="n"/>
      <c r="J7175" s="14" t="n"/>
      <c r="K7175" s="53" t="inlineStr">
        <is>
          <t>Нет</t>
        </is>
      </c>
      <c r="L7175" s="53" t="inlineStr">
        <is>
          <t>Не определено</t>
        </is>
      </c>
      <c r="M7175" s="53" t="inlineStr">
        <is>
          <t>До 25</t>
        </is>
      </c>
      <c r="N7175" s="54" t="n">
        <v>8400</v>
      </c>
      <c r="O7175" s="55" t="inlineStr">
        <is>
          <t>1–15</t>
        </is>
      </c>
      <c r="P7175" s="16" t="inlineStr">
        <is>
          <t>ССЧР обогащена; ОКВЭД не найден/не загружен</t>
        </is>
      </c>
      <c r="Q7175" s="16" t="inlineStr">
        <is>
          <t>ФНС открытые данные ССЧР (ДатаСост 31.12.2025; набор 7707329152-sshr2019)</t>
        </is>
      </c>
      <c r="R7175" s="16">
        <f>HYPERLINK("https://checko.ru/search?query=3801001629","Чекко: проверить")</f>
        <v/>
      </c>
      <c r="S7175" t="n">
        <v>1</v>
      </c>
      <c r="T7175" s="35" t="inlineStr">
        <is>
          <t>4 — Не обогащён</t>
        </is>
      </c>
      <c r="U7175" s="35" t="inlineStr">
        <is>
          <t>Нет ОКВЭД/ССЧР</t>
        </is>
      </c>
      <c r="V7175" s="35" t="inlineStr">
        <is>
          <t>Не определено</t>
        </is>
      </c>
      <c r="W7175" s="35" t="inlineStr">
        <is>
          <t>Нет</t>
        </is>
      </c>
      <c r="X7175" s="35" t="inlineStr"/>
    </row>
    <row r="7176" ht="27.75" customHeight="1" s="24">
      <c r="A7176" s="13" t="inlineStr">
        <is>
          <t>FR880248</t>
        </is>
      </c>
      <c r="B7176" s="13" t="inlineStr">
        <is>
          <t>Общество с ограниченной ответственностью "БАЙКАЛЭНЕРГОСТРОЙ"</t>
        </is>
      </c>
      <c r="C7176" s="13" t="n">
        <v>3811433988</v>
      </c>
      <c r="D7176" s="13" t="inlineStr">
        <is>
          <t>3811433988</t>
        </is>
      </c>
      <c r="E7176" s="13" t="inlineStr">
        <is>
          <t>ЮЛ РФ</t>
        </is>
      </c>
      <c r="F7176" s="13" t="n"/>
      <c r="G7176" s="52" t="n">
        <v>3</v>
      </c>
      <c r="H7176" s="52" t="n">
        <v>2025</v>
      </c>
      <c r="I7176" s="14" t="n"/>
      <c r="J7176" s="14" t="n"/>
      <c r="K7176" s="53" t="inlineStr">
        <is>
          <t>Нет</t>
        </is>
      </c>
      <c r="L7176" s="53" t="inlineStr">
        <is>
          <t>Не определено</t>
        </is>
      </c>
      <c r="M7176" s="53" t="inlineStr">
        <is>
          <t>До 10</t>
        </is>
      </c>
      <c r="N7176" s="54" t="n">
        <v>3360</v>
      </c>
      <c r="O7176" s="55" t="inlineStr">
        <is>
          <t>1–15</t>
        </is>
      </c>
      <c r="P7176" s="16" t="inlineStr">
        <is>
          <t>ССЧР обогащена; ОКВЭД не найден/не загружен</t>
        </is>
      </c>
      <c r="Q7176" s="16" t="inlineStr">
        <is>
          <t>ФНС открытые данные ССЧР (ДатаСост 31.12.2025; набор 7707329152-sshr2019)</t>
        </is>
      </c>
      <c r="R7176" s="16">
        <f>HYPERLINK("https://checko.ru/search?query=3801001629","Чекко: проверить")</f>
        <v/>
      </c>
      <c r="S7176" t="n">
        <v>1</v>
      </c>
      <c r="T7176" s="35" t="inlineStr">
        <is>
          <t>4 — Не обогащён</t>
        </is>
      </c>
      <c r="U7176" s="35" t="inlineStr">
        <is>
          <t>Нет ОКВЭД/ССЧР</t>
        </is>
      </c>
      <c r="V7176" s="35" t="inlineStr">
        <is>
          <t>Не определено</t>
        </is>
      </c>
      <c r="W7176" s="35" t="inlineStr">
        <is>
          <t>Нет</t>
        </is>
      </c>
      <c r="X7176" s="35" t="inlineStr"/>
    </row>
    <row r="7177" ht="15" customHeight="1" s="24">
      <c r="A7177" s="13" t="inlineStr">
        <is>
          <t>FR1116167</t>
        </is>
      </c>
      <c r="B7177" s="13" t="inlineStr">
        <is>
          <t>ИП Бодерко Павел Николаевич</t>
        </is>
      </c>
      <c r="C7177" s="13" t="n">
        <v>380416726546</v>
      </c>
      <c r="D7177" s="13" t="inlineStr">
        <is>
          <t>380416726546</t>
        </is>
      </c>
      <c r="E7177" s="13" t="inlineStr">
        <is>
          <t>ИП РФ / физлицо</t>
        </is>
      </c>
      <c r="F7177" s="13" t="n"/>
      <c r="G7177" s="14" t="n"/>
      <c r="H7177" s="14" t="n"/>
      <c r="I7177" s="14" t="n"/>
      <c r="J7177" s="14" t="n"/>
      <c r="K7177" s="53" t="inlineStr"/>
      <c r="L7177" s="53" t="inlineStr">
        <is>
          <t>Не определено</t>
        </is>
      </c>
      <c r="M7177" s="53" t="inlineStr"/>
      <c r="N7177" s="54" t="inlineStr"/>
      <c r="O7177" s="55" t="inlineStr"/>
      <c r="P7177" s="16" t="inlineStr">
        <is>
          <t>Требует обогащения</t>
        </is>
      </c>
      <c r="Q7177" s="16">
        <f>HYPERLINK("https://pb.nalog.ru/search.html?query=380416726546","ФНС: проверить")</f>
        <v/>
      </c>
      <c r="R7177" s="16">
        <f>HYPERLINK("https://checko.ru/search?query=3801001629","Чекко: проверить")</f>
        <v/>
      </c>
      <c r="S7177" t="n">
        <v>1</v>
      </c>
      <c r="T7177" s="35" t="inlineStr">
        <is>
          <t>4 — Не обогащён</t>
        </is>
      </c>
      <c r="U7177" s="35" t="inlineStr">
        <is>
          <t>Нет ОКВЭД/ССЧР</t>
        </is>
      </c>
      <c r="V7177" s="35" t="inlineStr">
        <is>
          <t>Не определено</t>
        </is>
      </c>
      <c r="W7177" s="35" t="inlineStr"/>
      <c r="X7177" s="35" t="inlineStr"/>
    </row>
    <row r="7178" ht="27.75" customHeight="1" s="24">
      <c r="A7178" s="13" t="inlineStr">
        <is>
          <t>FR1313016</t>
        </is>
      </c>
      <c r="B7178" s="13" t="inlineStr">
        <is>
          <t>Общество с ограниченной ответственностью "СЭИЛ"</t>
        </is>
      </c>
      <c r="C7178" s="13" t="n">
        <v>5405093965</v>
      </c>
      <c r="D7178" s="13" t="inlineStr">
        <is>
          <t>5405093965</t>
        </is>
      </c>
      <c r="E7178" s="13" t="inlineStr">
        <is>
          <t>ЮЛ РФ</t>
        </is>
      </c>
      <c r="F7178" s="13" t="n"/>
      <c r="G7178" s="52" t="n">
        <v>0</v>
      </c>
      <c r="H7178" s="52" t="n">
        <v>2025</v>
      </c>
      <c r="I7178" s="14" t="n"/>
      <c r="J7178" s="14" t="n"/>
      <c r="K7178" s="53" t="inlineStr">
        <is>
          <t>Нет</t>
        </is>
      </c>
      <c r="L7178" s="53" t="inlineStr">
        <is>
          <t>Не определено</t>
        </is>
      </c>
      <c r="M7178" s="53" t="inlineStr">
        <is>
          <t>До 10</t>
        </is>
      </c>
      <c r="N7178" s="54" t="n">
        <v>3360</v>
      </c>
      <c r="O7178" s="55" t="inlineStr">
        <is>
          <t>1–15</t>
        </is>
      </c>
      <c r="P7178" s="16" t="inlineStr">
        <is>
          <t>ССЧР обогащена; ОКВЭД не найден/не загружен</t>
        </is>
      </c>
      <c r="Q7178" s="16" t="inlineStr">
        <is>
          <t>ФНС открытые данные ССЧР (ДатаСост 31.12.2025; набор 7707329152-sshr2019)</t>
        </is>
      </c>
      <c r="R7178" s="16">
        <f>HYPERLINK("https://checko.ru/search?query=3801001629","Чекко: проверить")</f>
        <v/>
      </c>
      <c r="S7178" t="n">
        <v>1</v>
      </c>
      <c r="T7178" s="35" t="inlineStr">
        <is>
          <t>4 — Не обогащён</t>
        </is>
      </c>
      <c r="U7178" s="35" t="inlineStr">
        <is>
          <t>Нет ОКВЭД/ССЧР</t>
        </is>
      </c>
      <c r="V7178" s="35" t="inlineStr">
        <is>
          <t>Не определено</t>
        </is>
      </c>
      <c r="W7178" s="35" t="inlineStr">
        <is>
          <t>Нет</t>
        </is>
      </c>
      <c r="X7178" s="35" t="inlineStr"/>
    </row>
    <row r="7179" ht="27.75" customHeight="1" s="24">
      <c r="A7179" s="13" t="inlineStr">
        <is>
          <t>FR747594</t>
        </is>
      </c>
      <c r="B7179" s="13" t="inlineStr">
        <is>
          <t>Общество с ограниченной ответственностью "КОМПЛЕКССТРОЙ"</t>
        </is>
      </c>
      <c r="C7179" s="13" t="n">
        <v>3811461463</v>
      </c>
      <c r="D7179" s="13" t="inlineStr">
        <is>
          <t>3811461463</t>
        </is>
      </c>
      <c r="E7179" s="13" t="inlineStr">
        <is>
          <t>ЮЛ РФ</t>
        </is>
      </c>
      <c r="F7179" s="13" t="n"/>
      <c r="G7179" s="52" t="n">
        <v>1</v>
      </c>
      <c r="H7179" s="52" t="n">
        <v>2025</v>
      </c>
      <c r="I7179" s="14" t="n"/>
      <c r="J7179" s="14" t="n"/>
      <c r="K7179" s="53" t="inlineStr">
        <is>
          <t>Нет</t>
        </is>
      </c>
      <c r="L7179" s="53" t="inlineStr">
        <is>
          <t>Не определено</t>
        </is>
      </c>
      <c r="M7179" s="53" t="inlineStr">
        <is>
          <t>До 10</t>
        </is>
      </c>
      <c r="N7179" s="54" t="n">
        <v>3360</v>
      </c>
      <c r="O7179" s="55" t="inlineStr">
        <is>
          <t>1–15</t>
        </is>
      </c>
      <c r="P7179" s="16" t="inlineStr">
        <is>
          <t>ССЧР обогащена; ОКВЭД не найден/не загружен</t>
        </is>
      </c>
      <c r="Q7179" s="16" t="inlineStr">
        <is>
          <t>ФНС открытые данные ССЧР (ДатаСост 31.12.2025; набор 7707329152-sshr2019)</t>
        </is>
      </c>
      <c r="R7179" s="16">
        <f>HYPERLINK("https://checko.ru/search?query=3801001629","Чекко: проверить")</f>
        <v/>
      </c>
      <c r="S7179" t="n">
        <v>1</v>
      </c>
      <c r="T7179" s="35" t="inlineStr">
        <is>
          <t>4 — Не обогащён</t>
        </is>
      </c>
      <c r="U7179" s="35" t="inlineStr">
        <is>
          <t>Нет ОКВЭД/ССЧР</t>
        </is>
      </c>
      <c r="V7179" s="35" t="inlineStr">
        <is>
          <t>Не определено</t>
        </is>
      </c>
      <c r="W7179" s="35" t="inlineStr">
        <is>
          <t>Нет</t>
        </is>
      </c>
      <c r="X7179" s="35" t="inlineStr"/>
    </row>
    <row r="7180" ht="15" customHeight="1" s="24">
      <c r="A7180" s="13" t="inlineStr">
        <is>
          <t>FR1316385</t>
        </is>
      </c>
      <c r="B7180" s="13" t="inlineStr">
        <is>
          <t>ИП Тыхенов Виталий Александрович</t>
        </is>
      </c>
      <c r="C7180" s="13" t="n">
        <v>30802622767</v>
      </c>
      <c r="D7180" s="13" t="n"/>
      <c r="E7180" s="13" t="inlineStr">
        <is>
          <t>Не определён</t>
        </is>
      </c>
      <c r="F7180" s="13" t="n"/>
      <c r="G7180" s="14" t="n"/>
      <c r="H7180" s="14" t="n"/>
      <c r="I7180" s="14" t="n"/>
      <c r="J7180" s="14" t="n"/>
      <c r="K7180" s="13">
        <f>IF(G7180="","",IF(G7180&gt;=22,"Да","Нет"))</f>
        <v/>
      </c>
      <c r="L7180" s="13">
        <f>IF(OR(I7180="",J7180=""),"Не определено",IF(OR(COUNTIF(I7180,"45*")&gt;0,COUNTIF(J7180,"*45*")&gt;0,COUNTIF(I7180,"46*")&gt;0,COUNTIF(J7180,"*46*")&gt;0,COUNTIF(I7180,"47*")&gt;0,COUNTIF(J7180,"*47*")&gt;0,COUNTIF(I7180,"10*")&gt;0,COUNTIF(J7180,"*10*")&gt;0,COUNTIF(I7180,"11*")&gt;0,COUNTIF(J7180,"*11*")&gt;0,COUNTIF(I7180,"12*")&gt;0,COUNTIF(J7180,"*12*")&gt;0,COUNTIF(I7180,"13*")&gt;0,COUNTIF(J7180,"*13*")&gt;0,COUNTIF(I7180,"14*")&gt;0,COUNTIF(J7180,"*14*")&gt;0,COUNTIF(I7180,"15*")&gt;0,COUNTIF(J7180,"*15*")&gt;0,COUNTIF(I7180,"16*")&gt;0,COUNTIF(J7180,"*16*")&gt;0,COUNTIF(I7180,"17*")&gt;0,COUNTIF(J7180,"*17*")&gt;0,COUNTIF(I7180,"18*")&gt;0,COUNTIF(J7180,"*18*")&gt;0,COUNTIF(I7180,"19*")&gt;0,COUNTIF(J7180,"*19*")&gt;0,COUNTIF(I7180,"20*")&gt;0,COUNTIF(J7180,"*20*")&gt;0,COUNTIF(I7180,"21*")&gt;0,COUNTIF(J7180,"*21*")&gt;0,COUNTIF(I7180,"22*")&gt;0,COUNTIF(J7180,"*22*")&gt;0,COUNTIF(I7180,"23*")&gt;0,COUNTIF(J7180,"*23*")&gt;0,COUNTIF(I7180,"24*")&gt;0,COUNTIF(J7180,"*24*")&gt;0,COUNTIF(I7180,"25*")&gt;0,COUNTIF(J7180,"*25*")&gt;0,COUNTIF(I7180,"26*")&gt;0,COUNTIF(J7180,"*26*")&gt;0,COUNTIF(I7180,"27*")&gt;0,COUNTIF(J7180,"*27*")&gt;0,COUNTIF(I7180,"28*")&gt;0,COUNTIF(J7180,"*28*")&gt;0,COUNTIF(I7180,"29*")&gt;0,COUNTIF(J7180,"*29*")&gt;0,COUNTIF(I7180,"30*")&gt;0,COUNTIF(J7180,"*30*")&gt;0,COUNTIF(I7180,"31*")&gt;0,COUNTIF(J7180,"*31*")&gt;0,COUNTIF(I7180,"32*")&gt;0,COUNTIF(J7180,"*32*")&gt;0,COUNTIF(I7180,"33*")&gt;0,COUNTIF(J7180,"*33*")&gt;0,COUNTIF(I7180,"41*")&gt;0,COUNTIF(J7180,"*41*")&gt;0,COUNTIF(I7180,"42*")&gt;0,COUNTIF(J7180,"*42*")&gt;0,COUNTIF(I7180,"43*")&gt;0,COUNTIF(J7180,"*43*")&gt;0,COUNTIF(I7180,"49*")&gt;0,COUNTIF(J7180,"*49*")&gt;0,COUNTIF(I7180,"52*")&gt;0,COUNTIF(J7180,"*52*")&gt;0,COUNTIF(I7180,"55*")&gt;0,COUNTIF(J7180,"*55*")&gt;0,COUNTIF(I7180,"56*")&gt;0,COUNTIF(J7180,"*56*")&gt;0,COUNTIF(I7180,"68*")&gt;0,COUNTIF(J7180,"*68*")&gt;0,COUNTIF(I7180,"78*")&gt;0,COUNTIF(J7180,"*78*")&gt;0,COUNTIF(I7180,"81*")&gt;0,COUNTIF(J7180,"*81*")&gt;0,COUNTIF(I7180,"82*")&gt;0,COUNTIF(J7180,"*82*")&gt;0,COUNTIF(I7180,"64*")&gt;0,COUNTIF(J7180,"*64*")&gt;0,COUNTIF(I7180,"65*")&gt;0,COUNTIF(J7180,"*65*")&gt;0,COUNTIF(I7180,"66*")&gt;0,COUNTIF(J7180,"*66*")&gt;0,COUNTIF(I7180,"61*")&gt;0,COUNTIF(J7180,"*61*")&gt;0,COUNTIF(I7180,"62*")&gt;0,COUNTIF(J7180,"*62*")&gt;0,COUNTIF(I7180,"63*")&gt;0,COUNTIF(J7180,"*63*")&gt;0,COUNTIF(I7180,"85*")&gt;0,COUNTIF(J7180,"*85*")&gt;0,COUNTIF(I7180,"86*")&gt;0,COUNTIF(J7180,"*86*")&gt;0),"Да","Нет"))</f>
        <v/>
      </c>
      <c r="M7180" s="13">
        <f>IF(OR(G7180="",L7180&lt;&gt;"Да"),"",IF(G7180&lt;=100,"До 100",IF(G7180&lt;=200,"До 200",IF(G7180&lt;=500,"До 500","Отдельное КП"))))</f>
        <v/>
      </c>
      <c r="N7180" s="15">
        <f>IF(OR(G7180="",L7180&lt;&gt;"Да"),"",IF(G7180&lt;=100,33600,IF(G7180&lt;=200,62400,IF(G7180&lt;=500,144000,""))))</f>
        <v/>
      </c>
      <c r="O7180" s="16">
        <f>IF(G7180="","",IF(G7180&lt;=15,"1–15",IF(G7180&lt;=30,"16–30",IF(G7180&lt;=50,"31–50",IF(G7180&lt;=100,"51–100",IF(G7180&lt;=150,"101–150",IF(G7180&lt;=200,"151–200",IF(G7180&lt;=500,"201–500","500+"))))))))</f>
        <v/>
      </c>
      <c r="P7180" s="16" t="inlineStr">
        <is>
          <t>Нет совпадения в предоставленной выгрузке ССЧР</t>
        </is>
      </c>
      <c r="Q7180" s="16" t="n"/>
      <c r="R7180" s="16">
        <f>HYPERLINK("https://checko.ru/search?query=3801001629","Чекко: проверить")</f>
        <v/>
      </c>
      <c r="S7180" t="n">
        <v>0</v>
      </c>
    </row>
    <row r="7181" ht="15" customHeight="1" s="24">
      <c r="A7181" s="13" t="inlineStr">
        <is>
          <t>FR65108</t>
        </is>
      </c>
      <c r="B7181" s="13" t="inlineStr">
        <is>
          <t>ИП Клюжин Сергей Олегович</t>
        </is>
      </c>
      <c r="C7181" s="13" t="n">
        <v>381100579343</v>
      </c>
      <c r="D7181" s="13" t="inlineStr">
        <is>
          <t>381100579343</t>
        </is>
      </c>
      <c r="E7181" s="13" t="inlineStr">
        <is>
          <t>ИП РФ / физлицо</t>
        </is>
      </c>
      <c r="F7181" s="13" t="n"/>
      <c r="G7181" s="14" t="n"/>
      <c r="H7181" s="14" t="n"/>
      <c r="I7181" s="14" t="n"/>
      <c r="J7181" s="14" t="n"/>
      <c r="K7181" s="53" t="inlineStr"/>
      <c r="L7181" s="53" t="inlineStr">
        <is>
          <t>Не определено</t>
        </is>
      </c>
      <c r="M7181" s="53" t="inlineStr"/>
      <c r="N7181" s="54" t="inlineStr"/>
      <c r="O7181" s="55" t="inlineStr"/>
      <c r="P7181" s="16" t="inlineStr">
        <is>
          <t>Требует обогащения</t>
        </is>
      </c>
      <c r="Q7181" s="16">
        <f>HYPERLINK("https://pb.nalog.ru/search.html?query=381100579343","ФНС: проверить")</f>
        <v/>
      </c>
      <c r="R7181" s="16">
        <f>HYPERLINK("https://checko.ru/search?query=3801001629","Чекко: проверить")</f>
        <v/>
      </c>
      <c r="S7181" t="n">
        <v>1</v>
      </c>
      <c r="T7181" s="35" t="inlineStr">
        <is>
          <t>4 — Не обогащён</t>
        </is>
      </c>
      <c r="U7181" s="35" t="inlineStr">
        <is>
          <t>Нет ОКВЭД/ССЧР</t>
        </is>
      </c>
      <c r="V7181" s="35" t="inlineStr">
        <is>
          <t>Не определено</t>
        </is>
      </c>
      <c r="W7181" s="35" t="inlineStr"/>
      <c r="X7181" s="35" t="inlineStr"/>
    </row>
    <row r="7182" ht="15" customHeight="1" s="24">
      <c r="A7182" s="13" t="inlineStr">
        <is>
          <t>FR128725</t>
        </is>
      </c>
      <c r="B7182" s="13" t="inlineStr">
        <is>
          <t>Мистер Мурка ООО</t>
        </is>
      </c>
      <c r="C7182" s="13" t="n">
        <v>7840036710</v>
      </c>
      <c r="D7182" s="13" t="inlineStr">
        <is>
          <t>7840036710</t>
        </is>
      </c>
      <c r="E7182" s="13" t="inlineStr">
        <is>
          <t>ЮЛ РФ</t>
        </is>
      </c>
      <c r="F7182" s="13" t="n"/>
      <c r="G7182" s="52" t="n">
        <v>4</v>
      </c>
      <c r="H7182" s="52" t="n">
        <v>2025</v>
      </c>
      <c r="I7182" s="14" t="n"/>
      <c r="J7182" s="14" t="n"/>
      <c r="K7182" s="53" t="inlineStr">
        <is>
          <t>Нет</t>
        </is>
      </c>
      <c r="L7182" s="53" t="inlineStr">
        <is>
          <t>Не определено</t>
        </is>
      </c>
      <c r="M7182" s="53" t="inlineStr">
        <is>
          <t>До 10</t>
        </is>
      </c>
      <c r="N7182" s="54" t="n">
        <v>3360</v>
      </c>
      <c r="O7182" s="55" t="inlineStr">
        <is>
          <t>1–15</t>
        </is>
      </c>
      <c r="P7182" s="16" t="inlineStr">
        <is>
          <t>ССЧР обогащена; ОКВЭД не найден/не загружен</t>
        </is>
      </c>
      <c r="Q7182" s="16" t="inlineStr">
        <is>
          <t>ФНС открытые данные ССЧР (ДатаСост 31.12.2025; набор 7707329152-sshr2019)</t>
        </is>
      </c>
      <c r="R7182" s="16">
        <f>HYPERLINK("https://checko.ru/search?query=3801001629","Чекко: проверить")</f>
        <v/>
      </c>
      <c r="S7182" t="n">
        <v>1</v>
      </c>
      <c r="T7182" s="35" t="inlineStr">
        <is>
          <t>4 — Не обогащён</t>
        </is>
      </c>
      <c r="U7182" s="35" t="inlineStr">
        <is>
          <t>Нет ОКВЭД/ССЧР</t>
        </is>
      </c>
      <c r="V7182" s="35" t="inlineStr">
        <is>
          <t>Не определено</t>
        </is>
      </c>
      <c r="W7182" s="35" t="inlineStr">
        <is>
          <t>Нет</t>
        </is>
      </c>
      <c r="X7182" s="35" t="inlineStr"/>
    </row>
    <row r="7183" ht="15" customHeight="1" s="24">
      <c r="A7183" s="13" t="inlineStr">
        <is>
          <t>FR93101</t>
        </is>
      </c>
      <c r="B7183" s="13" t="inlineStr">
        <is>
          <t>ИП Ушаков Игорь Витальевич</t>
        </is>
      </c>
      <c r="C7183" s="13" t="n">
        <v>370600863259</v>
      </c>
      <c r="D7183" s="13" t="inlineStr">
        <is>
          <t>370600863259</t>
        </is>
      </c>
      <c r="E7183" s="13" t="inlineStr">
        <is>
          <t>ИП РФ / физлицо</t>
        </is>
      </c>
      <c r="F7183" s="13" t="n"/>
      <c r="G7183" s="14" t="n"/>
      <c r="H7183" s="14" t="n"/>
      <c r="I7183" s="14" t="n"/>
      <c r="J7183" s="14" t="n"/>
      <c r="K7183" s="53" t="inlineStr"/>
      <c r="L7183" s="53" t="inlineStr">
        <is>
          <t>Не определено</t>
        </is>
      </c>
      <c r="M7183" s="53" t="inlineStr"/>
      <c r="N7183" s="54" t="inlineStr"/>
      <c r="O7183" s="55" t="inlineStr"/>
      <c r="P7183" s="16" t="inlineStr">
        <is>
          <t>Требует обогащения</t>
        </is>
      </c>
      <c r="Q7183" s="16">
        <f>HYPERLINK("https://pb.nalog.ru/search.html?query=370600863259","ФНС: проверить")</f>
        <v/>
      </c>
      <c r="R7183" s="16">
        <f>HYPERLINK("https://checko.ru/search?query=3801001629","Чекко: проверить")</f>
        <v/>
      </c>
      <c r="S7183" t="n">
        <v>1</v>
      </c>
      <c r="T7183" s="35" t="inlineStr">
        <is>
          <t>4 — Не обогащён</t>
        </is>
      </c>
      <c r="U7183" s="35" t="inlineStr">
        <is>
          <t>Нет ОКВЭД/ССЧР</t>
        </is>
      </c>
      <c r="V7183" s="35" t="inlineStr">
        <is>
          <t>Не определено</t>
        </is>
      </c>
      <c r="W7183" s="35" t="inlineStr"/>
      <c r="X7183" s="35" t="inlineStr"/>
    </row>
    <row r="7184" ht="41.25" customHeight="1" s="24">
      <c r="A7184" s="13" t="inlineStr">
        <is>
          <t>FR2864</t>
        </is>
      </c>
      <c r="B7184" s="13" t="inlineStr">
        <is>
          <t>Общество с ограниченной ответственностью "ВОСТОЧНО-СИБИРСКОЕ УПРАВЛЕНИЕ ПО СТРОИТЕЛЬСТВУ"</t>
        </is>
      </c>
      <c r="C7184" s="13" t="n">
        <v>3818020683</v>
      </c>
      <c r="D7184" s="13" t="inlineStr">
        <is>
          <t>3818020683</t>
        </is>
      </c>
      <c r="E7184" s="13" t="inlineStr">
        <is>
          <t>ЮЛ РФ</t>
        </is>
      </c>
      <c r="F7184" s="13" t="n"/>
      <c r="G7184" s="52" t="n">
        <v>3</v>
      </c>
      <c r="H7184" s="52" t="n">
        <v>2025</v>
      </c>
      <c r="I7184" s="14" t="n"/>
      <c r="J7184" s="14" t="n"/>
      <c r="K7184" s="53" t="inlineStr">
        <is>
          <t>Нет</t>
        </is>
      </c>
      <c r="L7184" s="53" t="inlineStr">
        <is>
          <t>Не определено</t>
        </is>
      </c>
      <c r="M7184" s="53" t="inlineStr">
        <is>
          <t>До 10</t>
        </is>
      </c>
      <c r="N7184" s="54" t="n">
        <v>3360</v>
      </c>
      <c r="O7184" s="55" t="inlineStr">
        <is>
          <t>1–15</t>
        </is>
      </c>
      <c r="P7184" s="16" t="inlineStr">
        <is>
          <t>ССЧР обогащена; ОКВЭД не найден/не загружен</t>
        </is>
      </c>
      <c r="Q7184" s="16" t="inlineStr">
        <is>
          <t>ФНС открытые данные ССЧР (ДатаСост 31.12.2025; набор 7707329152-sshr2019)</t>
        </is>
      </c>
      <c r="R7184" s="16">
        <f>HYPERLINK("https://checko.ru/search?query=3801001629","Чекко: проверить")</f>
        <v/>
      </c>
      <c r="S7184" t="n">
        <v>1</v>
      </c>
      <c r="T7184" s="35" t="inlineStr">
        <is>
          <t>4 — Не обогащён</t>
        </is>
      </c>
      <c r="U7184" s="35" t="inlineStr">
        <is>
          <t>Нет ОКВЭД/ССЧР</t>
        </is>
      </c>
      <c r="V7184" s="35" t="inlineStr">
        <is>
          <t>Не определено</t>
        </is>
      </c>
      <c r="W7184" s="35" t="inlineStr">
        <is>
          <t>Нет</t>
        </is>
      </c>
      <c r="X7184" s="35" t="inlineStr"/>
    </row>
    <row r="7185" ht="15" customHeight="1" s="24">
      <c r="A7185" s="13" t="inlineStr">
        <is>
          <t>FR66583</t>
        </is>
      </c>
      <c r="B7185" s="13" t="inlineStr">
        <is>
          <t>ООО "ХОЛОД"</t>
        </is>
      </c>
      <c r="C7185" s="13" t="n">
        <v>2223608950</v>
      </c>
      <c r="D7185" s="13" t="inlineStr">
        <is>
          <t>2223608950</t>
        </is>
      </c>
      <c r="E7185" s="13" t="inlineStr">
        <is>
          <t>ЮЛ РФ</t>
        </is>
      </c>
      <c r="F7185" s="13" t="n"/>
      <c r="G7185" s="52" t="n">
        <v>6</v>
      </c>
      <c r="H7185" s="52" t="n">
        <v>2025</v>
      </c>
      <c r="I7185" s="14" t="n"/>
      <c r="J7185" s="14" t="n"/>
      <c r="K7185" s="53" t="inlineStr">
        <is>
          <t>Нет</t>
        </is>
      </c>
      <c r="L7185" s="53" t="inlineStr">
        <is>
          <t>Не определено</t>
        </is>
      </c>
      <c r="M7185" s="53" t="inlineStr">
        <is>
          <t>До 10</t>
        </is>
      </c>
      <c r="N7185" s="54" t="n">
        <v>3360</v>
      </c>
      <c r="O7185" s="55" t="inlineStr">
        <is>
          <t>1–15</t>
        </is>
      </c>
      <c r="P7185" s="16" t="inlineStr">
        <is>
          <t>ССЧР обогащена; ОКВЭД не найден/не загружен</t>
        </is>
      </c>
      <c r="Q7185" s="16" t="inlineStr">
        <is>
          <t>ФНС открытые данные ССЧР (ДатаСост 31.12.2025; набор 7707329152-sshr2019)</t>
        </is>
      </c>
      <c r="R7185" s="16">
        <f>HYPERLINK("https://checko.ru/search?query=3801001629","Чекко: проверить")</f>
        <v/>
      </c>
      <c r="S7185" t="n">
        <v>1</v>
      </c>
      <c r="T7185" s="35" t="inlineStr">
        <is>
          <t>4 — Не обогащён</t>
        </is>
      </c>
      <c r="U7185" s="35" t="inlineStr">
        <is>
          <t>Нет ОКВЭД/ССЧР</t>
        </is>
      </c>
      <c r="V7185" s="35" t="inlineStr">
        <is>
          <t>Не определено</t>
        </is>
      </c>
      <c r="W7185" s="35" t="inlineStr">
        <is>
          <t>Нет</t>
        </is>
      </c>
      <c r="X7185" s="35" t="inlineStr"/>
    </row>
    <row r="7186" ht="15" customHeight="1" s="24">
      <c r="A7186" s="13" t="inlineStr">
        <is>
          <t>FR1690</t>
        </is>
      </c>
      <c r="B7186" s="13" t="inlineStr">
        <is>
          <t>Новый Элемент</t>
        </is>
      </c>
      <c r="C7186" s="13" t="n">
        <v>3812126147</v>
      </c>
      <c r="D7186" s="13" t="inlineStr">
        <is>
          <t>3812126147</t>
        </is>
      </c>
      <c r="E7186" s="13" t="inlineStr">
        <is>
          <t>ЮЛ РФ</t>
        </is>
      </c>
      <c r="F7186" s="13" t="n"/>
      <c r="G7186" s="52" t="n">
        <v>3</v>
      </c>
      <c r="H7186" s="52" t="n">
        <v>2025</v>
      </c>
      <c r="I7186" s="14" t="n"/>
      <c r="J7186" s="14" t="n"/>
      <c r="K7186" s="53" t="inlineStr">
        <is>
          <t>Нет</t>
        </is>
      </c>
      <c r="L7186" s="53" t="inlineStr">
        <is>
          <t>Не определено</t>
        </is>
      </c>
      <c r="M7186" s="53" t="inlineStr">
        <is>
          <t>До 10</t>
        </is>
      </c>
      <c r="N7186" s="54" t="n">
        <v>3360</v>
      </c>
      <c r="O7186" s="55" t="inlineStr">
        <is>
          <t>1–15</t>
        </is>
      </c>
      <c r="P7186" s="16" t="inlineStr">
        <is>
          <t>ССЧР обогащена; ОКВЭД не найден/не загружен</t>
        </is>
      </c>
      <c r="Q7186" s="16" t="inlineStr">
        <is>
          <t>ФНС открытые данные ССЧР (ДатаСост 31.12.2025; набор 7707329152-sshr2019)</t>
        </is>
      </c>
      <c r="R7186" s="16">
        <f>HYPERLINK("https://checko.ru/search?query=3801001629","Чекко: проверить")</f>
        <v/>
      </c>
      <c r="S7186" t="n">
        <v>1</v>
      </c>
      <c r="T7186" s="35" t="inlineStr">
        <is>
          <t>4 — Не обогащён</t>
        </is>
      </c>
      <c r="U7186" s="35" t="inlineStr">
        <is>
          <t>Нет ОКВЭД/ССЧР</t>
        </is>
      </c>
      <c r="V7186" s="35" t="inlineStr">
        <is>
          <t>Не определено</t>
        </is>
      </c>
      <c r="W7186" s="35" t="inlineStr">
        <is>
          <t>Нет</t>
        </is>
      </c>
      <c r="X7186" s="35" t="inlineStr"/>
    </row>
    <row r="7187" ht="27.75" customHeight="1" s="24">
      <c r="A7187" s="13" t="inlineStr">
        <is>
          <t>FR1070423</t>
        </is>
      </c>
      <c r="B7187" s="13" t="inlineStr">
        <is>
          <t>Общество с ограниченной ответственностью "КАИР"</t>
        </is>
      </c>
      <c r="C7187" s="13" t="n">
        <v>3828005684</v>
      </c>
      <c r="D7187" s="13" t="inlineStr">
        <is>
          <t>3828005684</t>
        </is>
      </c>
      <c r="E7187" s="13" t="inlineStr">
        <is>
          <t>ЮЛ РФ</t>
        </is>
      </c>
      <c r="F7187" s="13" t="n"/>
      <c r="G7187" s="52" t="n">
        <v>4</v>
      </c>
      <c r="H7187" s="52" t="n">
        <v>2025</v>
      </c>
      <c r="I7187" s="14" t="n"/>
      <c r="J7187" s="14" t="n"/>
      <c r="K7187" s="53" t="inlineStr">
        <is>
          <t>Нет</t>
        </is>
      </c>
      <c r="L7187" s="53" t="inlineStr">
        <is>
          <t>Не определено</t>
        </is>
      </c>
      <c r="M7187" s="53" t="inlineStr">
        <is>
          <t>До 10</t>
        </is>
      </c>
      <c r="N7187" s="54" t="n">
        <v>3360</v>
      </c>
      <c r="O7187" s="55" t="inlineStr">
        <is>
          <t>1–15</t>
        </is>
      </c>
      <c r="P7187" s="16" t="inlineStr">
        <is>
          <t>ССЧР обогащена; ОКВЭД не найден/не загружен</t>
        </is>
      </c>
      <c r="Q7187" s="16" t="inlineStr">
        <is>
          <t>ФНС открытые данные ССЧР (ДатаСост 31.12.2025; набор 7707329152-sshr2019)</t>
        </is>
      </c>
      <c r="R7187" s="16">
        <f>HYPERLINK("https://checko.ru/search?query=3801001629","Чекко: проверить")</f>
        <v/>
      </c>
      <c r="S7187" t="n">
        <v>1</v>
      </c>
      <c r="T7187" s="35" t="inlineStr">
        <is>
          <t>4 — Не обогащён</t>
        </is>
      </c>
      <c r="U7187" s="35" t="inlineStr">
        <is>
          <t>Нет ОКВЭД/ССЧР</t>
        </is>
      </c>
      <c r="V7187" s="35" t="inlineStr">
        <is>
          <t>Не определено</t>
        </is>
      </c>
      <c r="W7187" s="35" t="inlineStr">
        <is>
          <t>Нет</t>
        </is>
      </c>
      <c r="X7187" s="35" t="inlineStr"/>
    </row>
    <row r="7188" ht="15" customHeight="1" s="24">
      <c r="A7188" s="13" t="inlineStr">
        <is>
          <t>FR2911</t>
        </is>
      </c>
      <c r="B7188" s="13" t="inlineStr">
        <is>
          <t>АкваСиб</t>
        </is>
      </c>
      <c r="C7188" s="13" t="n">
        <v>3811998258</v>
      </c>
      <c r="D7188" s="13" t="inlineStr">
        <is>
          <t>3811998258</t>
        </is>
      </c>
      <c r="E7188" s="13" t="inlineStr">
        <is>
          <t>ЮЛ РФ</t>
        </is>
      </c>
      <c r="F7188" s="13" t="n"/>
      <c r="G7188" s="52" t="n">
        <v>6</v>
      </c>
      <c r="H7188" s="52" t="n">
        <v>2025</v>
      </c>
      <c r="I7188" s="14" t="n"/>
      <c r="J7188" s="14" t="n"/>
      <c r="K7188" s="53" t="inlineStr">
        <is>
          <t>Нет</t>
        </is>
      </c>
      <c r="L7188" s="53" t="inlineStr">
        <is>
          <t>Не определено</t>
        </is>
      </c>
      <c r="M7188" s="53" t="inlineStr">
        <is>
          <t>До 10</t>
        </is>
      </c>
      <c r="N7188" s="54" t="n">
        <v>3360</v>
      </c>
      <c r="O7188" s="55" t="inlineStr">
        <is>
          <t>1–15</t>
        </is>
      </c>
      <c r="P7188" s="16" t="inlineStr">
        <is>
          <t>ССЧР обогащена; ОКВЭД не найден/не загружен</t>
        </is>
      </c>
      <c r="Q7188" s="16" t="inlineStr">
        <is>
          <t>ФНС открытые данные ССЧР (ДатаСост 31.12.2025; набор 7707329152-sshr2019)</t>
        </is>
      </c>
      <c r="R7188" s="16">
        <f>HYPERLINK("https://checko.ru/search?query=3801001629","Чекко: проверить")</f>
        <v/>
      </c>
      <c r="S7188" t="n">
        <v>1</v>
      </c>
      <c r="T7188" s="35" t="inlineStr">
        <is>
          <t>4 — Не обогащён</t>
        </is>
      </c>
      <c r="U7188" s="35" t="inlineStr">
        <is>
          <t>Нет ОКВЭД/ССЧР</t>
        </is>
      </c>
      <c r="V7188" s="35" t="inlineStr">
        <is>
          <t>Не определено</t>
        </is>
      </c>
      <c r="W7188" s="35" t="inlineStr">
        <is>
          <t>Нет</t>
        </is>
      </c>
      <c r="X7188" s="35" t="inlineStr"/>
    </row>
    <row r="7189" ht="15" customHeight="1" s="24">
      <c r="A7189" s="13" t="inlineStr">
        <is>
          <t>FR206660</t>
        </is>
      </c>
      <c r="B7189" s="13" t="inlineStr">
        <is>
          <t>ИП Руленков Николай Евгеньевич</t>
        </is>
      </c>
      <c r="C7189" s="13" t="n">
        <v>690141976800</v>
      </c>
      <c r="D7189" s="13" t="inlineStr">
        <is>
          <t>690141976800</t>
        </is>
      </c>
      <c r="E7189" s="13" t="inlineStr">
        <is>
          <t>ИП РФ / физлицо</t>
        </is>
      </c>
      <c r="F7189" s="13" t="n"/>
      <c r="G7189" s="14" t="n"/>
      <c r="H7189" s="14" t="n"/>
      <c r="I7189" s="14" t="n"/>
      <c r="J7189" s="14" t="n"/>
      <c r="K7189" s="53" t="inlineStr"/>
      <c r="L7189" s="53" t="inlineStr">
        <is>
          <t>Не определено</t>
        </is>
      </c>
      <c r="M7189" s="53" t="inlineStr"/>
      <c r="N7189" s="54" t="inlineStr"/>
      <c r="O7189" s="55" t="inlineStr"/>
      <c r="P7189" s="16" t="inlineStr">
        <is>
          <t>Требует обогащения</t>
        </is>
      </c>
      <c r="Q7189" s="16">
        <f>HYPERLINK("https://pb.nalog.ru/search.html?query=690141976800","ФНС: проверить")</f>
        <v/>
      </c>
      <c r="R7189" s="16">
        <f>HYPERLINK("https://checko.ru/search?query=3801001629","Чекко: проверить")</f>
        <v/>
      </c>
      <c r="S7189" t="n">
        <v>1</v>
      </c>
      <c r="T7189" s="35" t="inlineStr">
        <is>
          <t>4 — Не обогащён</t>
        </is>
      </c>
      <c r="U7189" s="35" t="inlineStr">
        <is>
          <t>Нет ОКВЭД/ССЧР</t>
        </is>
      </c>
      <c r="V7189" s="35" t="inlineStr">
        <is>
          <t>Не определено</t>
        </is>
      </c>
      <c r="W7189" s="35" t="inlineStr"/>
      <c r="X7189" s="35" t="inlineStr"/>
    </row>
    <row r="7190" ht="27.75" customHeight="1" s="24">
      <c r="A7190" s="13" t="inlineStr">
        <is>
          <t>FR747038</t>
        </is>
      </c>
      <c r="B7190" s="13" t="inlineStr">
        <is>
          <t>Общество с ограниченной ответственностью "МЕРКУРИЙ"</t>
        </is>
      </c>
      <c r="C7190" s="13" t="n">
        <v>5031060584</v>
      </c>
      <c r="D7190" s="13" t="inlineStr">
        <is>
          <t>5031060584</t>
        </is>
      </c>
      <c r="E7190" s="13" t="inlineStr">
        <is>
          <t>ЮЛ РФ</t>
        </is>
      </c>
      <c r="F7190" s="13" t="n"/>
      <c r="G7190" s="52" t="n">
        <v>0</v>
      </c>
      <c r="H7190" s="52" t="n">
        <v>2025</v>
      </c>
      <c r="I7190" s="14" t="n"/>
      <c r="J7190" s="14" t="n"/>
      <c r="K7190" s="53" t="inlineStr">
        <is>
          <t>Нет</t>
        </is>
      </c>
      <c r="L7190" s="53" t="inlineStr">
        <is>
          <t>Не определено</t>
        </is>
      </c>
      <c r="M7190" s="53" t="inlineStr">
        <is>
          <t>До 10</t>
        </is>
      </c>
      <c r="N7190" s="54" t="n">
        <v>3360</v>
      </c>
      <c r="O7190" s="55" t="inlineStr">
        <is>
          <t>1–15</t>
        </is>
      </c>
      <c r="P7190" s="16" t="inlineStr">
        <is>
          <t>ССЧР обогащена; ОКВЭД не найден/не загружен</t>
        </is>
      </c>
      <c r="Q7190" s="16" t="inlineStr">
        <is>
          <t>ФНС открытые данные ССЧР (ДатаСост 31.12.2025; набор 7707329152-sshr2019)</t>
        </is>
      </c>
      <c r="R7190" s="16">
        <f>HYPERLINK("https://checko.ru/search?query=3801001629","Чекко: проверить")</f>
        <v/>
      </c>
      <c r="S7190" t="n">
        <v>1</v>
      </c>
      <c r="T7190" s="35" t="inlineStr">
        <is>
          <t>4 — Не обогащён</t>
        </is>
      </c>
      <c r="U7190" s="35" t="inlineStr">
        <is>
          <t>Нет ОКВЭД/ССЧР</t>
        </is>
      </c>
      <c r="V7190" s="35" t="inlineStr">
        <is>
          <t>Не определено</t>
        </is>
      </c>
      <c r="W7190" s="35" t="inlineStr">
        <is>
          <t>Нет</t>
        </is>
      </c>
      <c r="X7190" s="35" t="inlineStr"/>
    </row>
    <row r="7191" ht="27.75" customHeight="1" s="24">
      <c r="A7191" s="13" t="inlineStr">
        <is>
          <t>FR741189</t>
        </is>
      </c>
      <c r="B7191" s="13" t="inlineStr">
        <is>
          <t>СЕЛЬСКОХОЗЯЙСТВЕННЫЙ ПЕРЕРАБАТЫВАЮЩИЙ ПОТРЕБИТЕЛЬСКИЙ КООПЕРАТИВ "БОЛХОЙ"</t>
        </is>
      </c>
      <c r="C7191" s="13" t="n">
        <v>3849052325</v>
      </c>
      <c r="D7191" s="13" t="inlineStr">
        <is>
          <t>3849052325</t>
        </is>
      </c>
      <c r="E7191" s="13" t="inlineStr">
        <is>
          <t>ЮЛ РФ</t>
        </is>
      </c>
      <c r="F7191" s="13" t="n"/>
      <c r="G7191" s="14" t="n"/>
      <c r="H7191" s="14" t="n"/>
      <c r="I7191" s="14" t="n"/>
      <c r="J7191" s="14" t="n"/>
      <c r="K7191" s="53" t="inlineStr"/>
      <c r="L7191" s="53" t="inlineStr">
        <is>
          <t>Не определено</t>
        </is>
      </c>
      <c r="M7191" s="53" t="inlineStr"/>
      <c r="N7191" s="54" t="inlineStr"/>
      <c r="O7191" s="55" t="inlineStr"/>
      <c r="P7191" s="16" t="inlineStr">
        <is>
          <t>Требует обогащения</t>
        </is>
      </c>
      <c r="Q7191" s="16">
        <f>HYPERLINK("https://pb.nalog.ru/search.html?query=3849052325","ФНС: проверить")</f>
        <v/>
      </c>
      <c r="R7191" s="16">
        <f>HYPERLINK("https://checko.ru/search?query=3801001629","Чекко: проверить")</f>
        <v/>
      </c>
      <c r="S7191" t="n">
        <v>1</v>
      </c>
      <c r="T7191" s="35" t="inlineStr">
        <is>
          <t>4 — Не обогащён</t>
        </is>
      </c>
      <c r="U7191" s="35" t="inlineStr">
        <is>
          <t>Нет ОКВЭД/ССЧР</t>
        </is>
      </c>
      <c r="V7191" s="35" t="inlineStr">
        <is>
          <t>Не определено</t>
        </is>
      </c>
      <c r="W7191" s="35" t="inlineStr"/>
      <c r="X7191" s="35" t="inlineStr"/>
    </row>
    <row r="7192" ht="15" customHeight="1" s="24">
      <c r="A7192" s="13" t="inlineStr">
        <is>
          <t>FR1301226</t>
        </is>
      </c>
      <c r="B7192" s="13" t="inlineStr">
        <is>
          <t>ИП Быкова Анна Юрьевна</t>
        </is>
      </c>
      <c r="C7192" s="13" t="n">
        <v>381260908490</v>
      </c>
      <c r="D7192" s="13" t="inlineStr">
        <is>
          <t>381260908490</t>
        </is>
      </c>
      <c r="E7192" s="13" t="inlineStr">
        <is>
          <t>ИП РФ / физлицо</t>
        </is>
      </c>
      <c r="F7192" s="13" t="n"/>
      <c r="G7192" s="14" t="n"/>
      <c r="H7192" s="14" t="n"/>
      <c r="I7192" s="14" t="n"/>
      <c r="J7192" s="14" t="n"/>
      <c r="K7192" s="53" t="inlineStr"/>
      <c r="L7192" s="53" t="inlineStr">
        <is>
          <t>Не определено</t>
        </is>
      </c>
      <c r="M7192" s="53" t="inlineStr"/>
      <c r="N7192" s="54" t="inlineStr"/>
      <c r="O7192" s="55" t="inlineStr"/>
      <c r="P7192" s="16" t="inlineStr">
        <is>
          <t>Требует обогащения</t>
        </is>
      </c>
      <c r="Q7192" s="16">
        <f>HYPERLINK("https://pb.nalog.ru/search.html?query=381260908490","ФНС: проверить")</f>
        <v/>
      </c>
      <c r="R7192" s="16">
        <f>HYPERLINK("https://checko.ru/search?query=3801001629","Чекко: проверить")</f>
        <v/>
      </c>
      <c r="S7192" t="n">
        <v>1</v>
      </c>
      <c r="T7192" s="35" t="inlineStr">
        <is>
          <t>4 — Не обогащён</t>
        </is>
      </c>
      <c r="U7192" s="35" t="inlineStr">
        <is>
          <t>Нет ОКВЭД/ССЧР</t>
        </is>
      </c>
      <c r="V7192" s="35" t="inlineStr">
        <is>
          <t>Не определено</t>
        </is>
      </c>
      <c r="W7192" s="35" t="inlineStr"/>
      <c r="X7192" s="35" t="inlineStr"/>
    </row>
    <row r="7193" ht="15" customHeight="1" s="24">
      <c r="A7193" s="13" t="inlineStr">
        <is>
          <t>FR1105237</t>
        </is>
      </c>
      <c r="B7193" s="13" t="inlineStr">
        <is>
          <t>ИП Чижов Анатолий Николаевич</t>
        </is>
      </c>
      <c r="C7193" s="13" t="n">
        <v>32200187535</v>
      </c>
      <c r="D7193" s="13" t="n"/>
      <c r="E7193" s="13" t="inlineStr">
        <is>
          <t>Не определён</t>
        </is>
      </c>
      <c r="F7193" s="13" t="n"/>
      <c r="G7193" s="14" t="n"/>
      <c r="H7193" s="14" t="n"/>
      <c r="I7193" s="14" t="n"/>
      <c r="J7193" s="14" t="n"/>
      <c r="K7193" s="13">
        <f>IF(G7193="","",IF(G7193&gt;=22,"Да","Нет"))</f>
        <v/>
      </c>
      <c r="L7193" s="13">
        <f>IF(OR(I7193="",J7193=""),"Не определено",IF(OR(COUNTIF(I7193,"45*")&gt;0,COUNTIF(J7193,"*45*")&gt;0,COUNTIF(I7193,"46*")&gt;0,COUNTIF(J7193,"*46*")&gt;0,COUNTIF(I7193,"47*")&gt;0,COUNTIF(J7193,"*47*")&gt;0,COUNTIF(I7193,"10*")&gt;0,COUNTIF(J7193,"*10*")&gt;0,COUNTIF(I7193,"11*")&gt;0,COUNTIF(J7193,"*11*")&gt;0,COUNTIF(I7193,"12*")&gt;0,COUNTIF(J7193,"*12*")&gt;0,COUNTIF(I7193,"13*")&gt;0,COUNTIF(J7193,"*13*")&gt;0,COUNTIF(I7193,"14*")&gt;0,COUNTIF(J7193,"*14*")&gt;0,COUNTIF(I7193,"15*")&gt;0,COUNTIF(J7193,"*15*")&gt;0,COUNTIF(I7193,"16*")&gt;0,COUNTIF(J7193,"*16*")&gt;0,COUNTIF(I7193,"17*")&gt;0,COUNTIF(J7193,"*17*")&gt;0,COUNTIF(I7193,"18*")&gt;0,COUNTIF(J7193,"*18*")&gt;0,COUNTIF(I7193,"19*")&gt;0,COUNTIF(J7193,"*19*")&gt;0,COUNTIF(I7193,"20*")&gt;0,COUNTIF(J7193,"*20*")&gt;0,COUNTIF(I7193,"21*")&gt;0,COUNTIF(J7193,"*21*")&gt;0,COUNTIF(I7193,"22*")&gt;0,COUNTIF(J7193,"*22*")&gt;0,COUNTIF(I7193,"23*")&gt;0,COUNTIF(J7193,"*23*")&gt;0,COUNTIF(I7193,"24*")&gt;0,COUNTIF(J7193,"*24*")&gt;0,COUNTIF(I7193,"25*")&gt;0,COUNTIF(J7193,"*25*")&gt;0,COUNTIF(I7193,"26*")&gt;0,COUNTIF(J7193,"*26*")&gt;0,COUNTIF(I7193,"27*")&gt;0,COUNTIF(J7193,"*27*")&gt;0,COUNTIF(I7193,"28*")&gt;0,COUNTIF(J7193,"*28*")&gt;0,COUNTIF(I7193,"29*")&gt;0,COUNTIF(J7193,"*29*")&gt;0,COUNTIF(I7193,"30*")&gt;0,COUNTIF(J7193,"*30*")&gt;0,COUNTIF(I7193,"31*")&gt;0,COUNTIF(J7193,"*31*")&gt;0,COUNTIF(I7193,"32*")&gt;0,COUNTIF(J7193,"*32*")&gt;0,COUNTIF(I7193,"33*")&gt;0,COUNTIF(J7193,"*33*")&gt;0,COUNTIF(I7193,"41*")&gt;0,COUNTIF(J7193,"*41*")&gt;0,COUNTIF(I7193,"42*")&gt;0,COUNTIF(J7193,"*42*")&gt;0,COUNTIF(I7193,"43*")&gt;0,COUNTIF(J7193,"*43*")&gt;0,COUNTIF(I7193,"49*")&gt;0,COUNTIF(J7193,"*49*")&gt;0,COUNTIF(I7193,"52*")&gt;0,COUNTIF(J7193,"*52*")&gt;0,COUNTIF(I7193,"55*")&gt;0,COUNTIF(J7193,"*55*")&gt;0,COUNTIF(I7193,"56*")&gt;0,COUNTIF(J7193,"*56*")&gt;0,COUNTIF(I7193,"68*")&gt;0,COUNTIF(J7193,"*68*")&gt;0,COUNTIF(I7193,"78*")&gt;0,COUNTIF(J7193,"*78*")&gt;0,COUNTIF(I7193,"81*")&gt;0,COUNTIF(J7193,"*81*")&gt;0,COUNTIF(I7193,"82*")&gt;0,COUNTIF(J7193,"*82*")&gt;0,COUNTIF(I7193,"64*")&gt;0,COUNTIF(J7193,"*64*")&gt;0,COUNTIF(I7193,"65*")&gt;0,COUNTIF(J7193,"*65*")&gt;0,COUNTIF(I7193,"66*")&gt;0,COUNTIF(J7193,"*66*")&gt;0,COUNTIF(I7193,"61*")&gt;0,COUNTIF(J7193,"*61*")&gt;0,COUNTIF(I7193,"62*")&gt;0,COUNTIF(J7193,"*62*")&gt;0,COUNTIF(I7193,"63*")&gt;0,COUNTIF(J7193,"*63*")&gt;0,COUNTIF(I7193,"85*")&gt;0,COUNTIF(J7193,"*85*")&gt;0,COUNTIF(I7193,"86*")&gt;0,COUNTIF(J7193,"*86*")&gt;0),"Да","Нет"))</f>
        <v/>
      </c>
      <c r="M7193" s="13">
        <f>IF(OR(G7193="",L7193&lt;&gt;"Да"),"",IF(G7193&lt;=100,"До 100",IF(G7193&lt;=200,"До 200",IF(G7193&lt;=500,"До 500","Отдельное КП"))))</f>
        <v/>
      </c>
      <c r="N7193" s="15">
        <f>IF(OR(G7193="",L7193&lt;&gt;"Да"),"",IF(G7193&lt;=100,33600,IF(G7193&lt;=200,62400,IF(G7193&lt;=500,144000,""))))</f>
        <v/>
      </c>
      <c r="O7193" s="16">
        <f>IF(G7193="","",IF(G7193&lt;=15,"1–15",IF(G7193&lt;=30,"16–30",IF(G7193&lt;=50,"31–50",IF(G7193&lt;=100,"51–100",IF(G7193&lt;=150,"101–150",IF(G7193&lt;=200,"151–200",IF(G7193&lt;=500,"201–500","500+"))))))))</f>
        <v/>
      </c>
      <c r="P7193" s="16" t="inlineStr">
        <is>
          <t>Нет совпадения в предоставленной выгрузке ССЧР</t>
        </is>
      </c>
      <c r="Q7193" s="16" t="n"/>
      <c r="R7193" s="16">
        <f>HYPERLINK("https://checko.ru/search?query=3801001629","Чекко: проверить")</f>
        <v/>
      </c>
      <c r="S7193" t="n">
        <v>0</v>
      </c>
    </row>
    <row r="7194" ht="27.75" customHeight="1" s="24">
      <c r="A7194" s="13" t="inlineStr">
        <is>
          <t>FR1113553</t>
        </is>
      </c>
      <c r="B7194" s="13" t="inlineStr">
        <is>
          <t>Общество с ограниченной ответственностью "БИТ ИНФИНИТИ"</t>
        </is>
      </c>
      <c r="C7194" s="13" t="n">
        <v>3849106740</v>
      </c>
      <c r="D7194" s="13" t="inlineStr">
        <is>
          <t>3849106740</t>
        </is>
      </c>
      <c r="E7194" s="13" t="inlineStr">
        <is>
          <t>ЮЛ РФ</t>
        </is>
      </c>
      <c r="F7194" s="13" t="n"/>
      <c r="G7194" s="52" t="n">
        <v>1</v>
      </c>
      <c r="H7194" s="52" t="n">
        <v>2025</v>
      </c>
      <c r="I7194" s="14" t="n"/>
      <c r="J7194" s="14" t="n"/>
      <c r="K7194" s="53" t="inlineStr">
        <is>
          <t>Нет</t>
        </is>
      </c>
      <c r="L7194" s="53" t="inlineStr">
        <is>
          <t>Не определено</t>
        </is>
      </c>
      <c r="M7194" s="53" t="inlineStr">
        <is>
          <t>До 10</t>
        </is>
      </c>
      <c r="N7194" s="54" t="n">
        <v>3360</v>
      </c>
      <c r="O7194" s="55" t="inlineStr">
        <is>
          <t>1–15</t>
        </is>
      </c>
      <c r="P7194" s="16" t="inlineStr">
        <is>
          <t>ССЧР обогащена; ОКВЭД не найден/не загружен</t>
        </is>
      </c>
      <c r="Q7194" s="16" t="inlineStr">
        <is>
          <t>ФНС открытые данные ССЧР (ДатаСост 31.12.2025; набор 7707329152-sshr2019)</t>
        </is>
      </c>
      <c r="R7194" s="16">
        <f>HYPERLINK("https://checko.ru/search?query=3801001629","Чекко: проверить")</f>
        <v/>
      </c>
      <c r="S7194" t="n">
        <v>1</v>
      </c>
      <c r="T7194" s="35" t="inlineStr">
        <is>
          <t>4 — Не обогащён</t>
        </is>
      </c>
      <c r="U7194" s="35" t="inlineStr">
        <is>
          <t>Нет ОКВЭД/ССЧР</t>
        </is>
      </c>
      <c r="V7194" s="35" t="inlineStr">
        <is>
          <t>Не определено</t>
        </is>
      </c>
      <c r="W7194" s="35" t="inlineStr">
        <is>
          <t>Нет</t>
        </is>
      </c>
      <c r="X7194" s="35" t="inlineStr"/>
    </row>
    <row r="7195" ht="27.75" customHeight="1" s="24">
      <c r="A7195" s="13" t="inlineStr">
        <is>
          <t>FR1081138</t>
        </is>
      </c>
      <c r="B7195" s="13" t="inlineStr">
        <is>
          <t>Общество с ограниченной ответственностью ЧАСТНОЕ ОХРАННОЕ ПРЕДПРИЯТИЕ "БЕРКУТЪ"</t>
        </is>
      </c>
      <c r="C7195" s="13" t="n">
        <v>2723079285</v>
      </c>
      <c r="D7195" s="13" t="inlineStr">
        <is>
          <t>2723079285</t>
        </is>
      </c>
      <c r="E7195" s="13" t="inlineStr">
        <is>
          <t>ЮЛ РФ</t>
        </is>
      </c>
      <c r="F7195" s="13" t="n"/>
      <c r="G7195" s="52" t="n">
        <v>10</v>
      </c>
      <c r="H7195" s="52" t="n">
        <v>2025</v>
      </c>
      <c r="I7195" s="14" t="n"/>
      <c r="J7195" s="14" t="n"/>
      <c r="K7195" s="53" t="inlineStr">
        <is>
          <t>Нет</t>
        </is>
      </c>
      <c r="L7195" s="53" t="inlineStr">
        <is>
          <t>Не определено</t>
        </is>
      </c>
      <c r="M7195" s="53" t="inlineStr">
        <is>
          <t>До 10</t>
        </is>
      </c>
      <c r="N7195" s="54" t="n">
        <v>3360</v>
      </c>
      <c r="O7195" s="55" t="inlineStr">
        <is>
          <t>1–15</t>
        </is>
      </c>
      <c r="P7195" s="16" t="inlineStr">
        <is>
          <t>ССЧР обогащена; ОКВЭД не найден/не загружен</t>
        </is>
      </c>
      <c r="Q7195" s="16" t="inlineStr">
        <is>
          <t>ФНС открытые данные ССЧР (ДатаСост 31.12.2025; набор 7707329152-sshr2019)</t>
        </is>
      </c>
      <c r="R7195" s="16">
        <f>HYPERLINK("https://checko.ru/search?query=3801001629","Чекко: проверить")</f>
        <v/>
      </c>
      <c r="S7195" t="n">
        <v>1</v>
      </c>
      <c r="T7195" s="35" t="inlineStr">
        <is>
          <t>4 — Не обогащён</t>
        </is>
      </c>
      <c r="U7195" s="35" t="inlineStr">
        <is>
          <t>Нет ОКВЭД/ССЧР</t>
        </is>
      </c>
      <c r="V7195" s="35" t="inlineStr">
        <is>
          <t>Не определено</t>
        </is>
      </c>
      <c r="W7195" s="35" t="inlineStr">
        <is>
          <t>Нет</t>
        </is>
      </c>
      <c r="X7195" s="35" t="inlineStr"/>
    </row>
    <row r="7196" ht="27.75" customHeight="1" s="24">
      <c r="A7196" s="13" t="inlineStr">
        <is>
          <t>FR461024</t>
        </is>
      </c>
      <c r="B7196" s="13" t="inlineStr">
        <is>
          <t>ОБЩЕСТВО С ОГРАНИЧЕННОЙ ОТВЕТСТВЕННОСТЬЮ "КАССА-ЦЕНТР"</t>
        </is>
      </c>
      <c r="C7196" s="13" t="n">
        <v>7536157253</v>
      </c>
      <c r="D7196" s="13" t="inlineStr">
        <is>
          <t>7536157253</t>
        </is>
      </c>
      <c r="E7196" s="13" t="inlineStr">
        <is>
          <t>ЮЛ РФ</t>
        </is>
      </c>
      <c r="F7196" s="13" t="n"/>
      <c r="G7196" s="52" t="n">
        <v>6</v>
      </c>
      <c r="H7196" s="52" t="n">
        <v>2025</v>
      </c>
      <c r="I7196" s="14" t="n"/>
      <c r="J7196" s="14" t="n"/>
      <c r="K7196" s="53" t="inlineStr">
        <is>
          <t>Нет</t>
        </is>
      </c>
      <c r="L7196" s="53" t="inlineStr">
        <is>
          <t>Не определено</t>
        </is>
      </c>
      <c r="M7196" s="53" t="inlineStr">
        <is>
          <t>До 10</t>
        </is>
      </c>
      <c r="N7196" s="54" t="n">
        <v>3360</v>
      </c>
      <c r="O7196" s="55" t="inlineStr">
        <is>
          <t>1–15</t>
        </is>
      </c>
      <c r="P7196" s="16" t="inlineStr">
        <is>
          <t>ССЧР обогащена; ОКВЭД не найден/не загружен</t>
        </is>
      </c>
      <c r="Q7196" s="16" t="inlineStr">
        <is>
          <t>ФНС открытые данные ССЧР (ДатаСост 31.12.2025; набор 7707329152-sshr2019)</t>
        </is>
      </c>
      <c r="R7196" s="16">
        <f>HYPERLINK("https://checko.ru/search?query=3801001629","Чекко: проверить")</f>
        <v/>
      </c>
      <c r="S7196" t="n">
        <v>0</v>
      </c>
      <c r="T7196" s="35" t="inlineStr">
        <is>
          <t>4 — Не обогащён</t>
        </is>
      </c>
      <c r="U7196" s="35" t="inlineStr">
        <is>
          <t>Нет ОКВЭД/ССЧР</t>
        </is>
      </c>
      <c r="V7196" s="35" t="inlineStr">
        <is>
          <t>Не определено</t>
        </is>
      </c>
      <c r="W7196" s="35" t="inlineStr">
        <is>
          <t>Нет</t>
        </is>
      </c>
      <c r="X7196" s="35" t="inlineStr"/>
    </row>
    <row r="7197" ht="15" customHeight="1" s="24">
      <c r="A7197" s="13" t="inlineStr">
        <is>
          <t>FR523195</t>
        </is>
      </c>
      <c r="B7197" s="13" t="inlineStr">
        <is>
          <t>ИП Бреус Валерий Сергеевич</t>
        </is>
      </c>
      <c r="C7197" s="13" t="n">
        <v>632511227138</v>
      </c>
      <c r="D7197" s="13" t="inlineStr">
        <is>
          <t>632511227138</t>
        </is>
      </c>
      <c r="E7197" s="13" t="inlineStr">
        <is>
          <t>ИП РФ / физлицо</t>
        </is>
      </c>
      <c r="F7197" s="13" t="n"/>
      <c r="G7197" s="14" t="n"/>
      <c r="H7197" s="14" t="n"/>
      <c r="I7197" s="14" t="n"/>
      <c r="J7197" s="14" t="n"/>
      <c r="K7197" s="53" t="inlineStr"/>
      <c r="L7197" s="53" t="inlineStr">
        <is>
          <t>Не определено</t>
        </is>
      </c>
      <c r="M7197" s="53" t="inlineStr"/>
      <c r="N7197" s="54" t="inlineStr"/>
      <c r="O7197" s="55" t="inlineStr"/>
      <c r="P7197" s="16" t="inlineStr">
        <is>
          <t>Требует обогащения</t>
        </is>
      </c>
      <c r="Q7197" s="16">
        <f>HYPERLINK("https://pb.nalog.ru/search.html?query=632511227138","ФНС: проверить")</f>
        <v/>
      </c>
      <c r="R7197" s="16">
        <f>HYPERLINK("https://checko.ru/search?query=3801001629","Чекко: проверить")</f>
        <v/>
      </c>
      <c r="S7197" t="n">
        <v>1</v>
      </c>
      <c r="T7197" s="35" t="inlineStr">
        <is>
          <t>4 — Не обогащён</t>
        </is>
      </c>
      <c r="U7197" s="35" t="inlineStr">
        <is>
          <t>Нет ОКВЭД/ССЧР</t>
        </is>
      </c>
      <c r="V7197" s="35" t="inlineStr">
        <is>
          <t>Не определено</t>
        </is>
      </c>
      <c r="W7197" s="35" t="inlineStr"/>
      <c r="X7197" s="35" t="inlineStr"/>
    </row>
    <row r="7198" ht="27.75" customHeight="1" s="24">
      <c r="A7198" s="13" t="inlineStr">
        <is>
          <t>FR454879</t>
        </is>
      </c>
      <c r="B7198" s="13" t="inlineStr">
        <is>
          <t>ОБЩЕСТВО С ОГРАНИЧЕННОЙ ОТВЕТСТВЕННОСТЬЮ "АРИСТА"</t>
        </is>
      </c>
      <c r="C7198" s="13" t="n">
        <v>3811458333</v>
      </c>
      <c r="D7198" s="13" t="inlineStr">
        <is>
          <t>3811458333</t>
        </is>
      </c>
      <c r="E7198" s="13" t="inlineStr">
        <is>
          <t>ЮЛ РФ</t>
        </is>
      </c>
      <c r="F7198" s="13" t="n"/>
      <c r="G7198" s="52" t="n">
        <v>2</v>
      </c>
      <c r="H7198" s="52" t="n">
        <v>2025</v>
      </c>
      <c r="I7198" s="14" t="n"/>
      <c r="J7198" s="14" t="n"/>
      <c r="K7198" s="53" t="inlineStr">
        <is>
          <t>Нет</t>
        </is>
      </c>
      <c r="L7198" s="53" t="inlineStr">
        <is>
          <t>Не определено</t>
        </is>
      </c>
      <c r="M7198" s="53" t="inlineStr">
        <is>
          <t>До 10</t>
        </is>
      </c>
      <c r="N7198" s="54" t="n">
        <v>3360</v>
      </c>
      <c r="O7198" s="55" t="inlineStr">
        <is>
          <t>1–15</t>
        </is>
      </c>
      <c r="P7198" s="16" t="inlineStr">
        <is>
          <t>ССЧР обогащена; ОКВЭД не найден/не загружен</t>
        </is>
      </c>
      <c r="Q7198" s="16" t="inlineStr">
        <is>
          <t>ФНС открытые данные ССЧР (ДатаСост 31.12.2025; набор 7707329152-sshr2019)</t>
        </is>
      </c>
      <c r="R7198" s="16">
        <f>HYPERLINK("https://checko.ru/search?query=3801001629","Чекко: проверить")</f>
        <v/>
      </c>
      <c r="S7198" t="n">
        <v>1</v>
      </c>
      <c r="T7198" s="35" t="inlineStr">
        <is>
          <t>4 — Не обогащён</t>
        </is>
      </c>
      <c r="U7198" s="35" t="inlineStr">
        <is>
          <t>Нет ОКВЭД/ССЧР</t>
        </is>
      </c>
      <c r="V7198" s="35" t="inlineStr">
        <is>
          <t>Не определено</t>
        </is>
      </c>
      <c r="W7198" s="35" t="inlineStr">
        <is>
          <t>Нет</t>
        </is>
      </c>
      <c r="X7198" s="35" t="inlineStr"/>
    </row>
    <row r="7199" ht="15" customHeight="1" s="24">
      <c r="A7199" s="13" t="inlineStr">
        <is>
          <t>FR459430</t>
        </is>
      </c>
      <c r="B7199" s="13" t="inlineStr">
        <is>
          <t>ИП Силкина Светлана Юрьевна</t>
        </is>
      </c>
      <c r="C7199" s="13" t="n">
        <v>380202700300</v>
      </c>
      <c r="D7199" s="13" t="inlineStr">
        <is>
          <t>380202700300</t>
        </is>
      </c>
      <c r="E7199" s="13" t="inlineStr">
        <is>
          <t>ИП РФ / физлицо</t>
        </is>
      </c>
      <c r="F7199" s="13" t="n"/>
      <c r="G7199" s="14" t="n"/>
      <c r="H7199" s="14" t="n"/>
      <c r="I7199" s="14" t="n"/>
      <c r="J7199" s="14" t="n"/>
      <c r="K7199" s="53" t="inlineStr"/>
      <c r="L7199" s="53" t="inlineStr">
        <is>
          <t>Не определено</t>
        </is>
      </c>
      <c r="M7199" s="53" t="inlineStr"/>
      <c r="N7199" s="54" t="inlineStr"/>
      <c r="O7199" s="55" t="inlineStr"/>
      <c r="P7199" s="16" t="inlineStr">
        <is>
          <t>Требует обогащения</t>
        </is>
      </c>
      <c r="Q7199" s="16">
        <f>HYPERLINK("https://pb.nalog.ru/search.html?query=380202700300","ФНС: проверить")</f>
        <v/>
      </c>
      <c r="R7199" s="16">
        <f>HYPERLINK("https://checko.ru/search?query=3801001629","Чекко: проверить")</f>
        <v/>
      </c>
      <c r="S7199" t="n">
        <v>1</v>
      </c>
      <c r="T7199" s="35" t="inlineStr">
        <is>
          <t>4 — Не обогащён</t>
        </is>
      </c>
      <c r="U7199" s="35" t="inlineStr">
        <is>
          <t>Нет ОКВЭД/ССЧР</t>
        </is>
      </c>
      <c r="V7199" s="35" t="inlineStr">
        <is>
          <t>Не определено</t>
        </is>
      </c>
      <c r="W7199" s="35" t="inlineStr"/>
      <c r="X7199" s="35" t="inlineStr"/>
    </row>
    <row r="7200" ht="27.75" customHeight="1" s="24">
      <c r="A7200" s="13" t="inlineStr">
        <is>
          <t>FR1014707</t>
        </is>
      </c>
      <c r="B7200" s="13" t="inlineStr">
        <is>
          <t>Общество с ограниченной ответственностью "ВОКСЕЛЬ-БРАТСК"</t>
        </is>
      </c>
      <c r="C7200" s="13" t="n">
        <v>3804113095</v>
      </c>
      <c r="D7200" s="13" t="inlineStr">
        <is>
          <t>3804113095</t>
        </is>
      </c>
      <c r="E7200" s="13" t="inlineStr">
        <is>
          <t>ЮЛ РФ</t>
        </is>
      </c>
      <c r="F7200" s="13" t="n"/>
      <c r="G7200" s="52" t="n">
        <v>6</v>
      </c>
      <c r="H7200" s="52" t="n">
        <v>2025</v>
      </c>
      <c r="I7200" s="14" t="n"/>
      <c r="J7200" s="14" t="n"/>
      <c r="K7200" s="53" t="inlineStr">
        <is>
          <t>Нет</t>
        </is>
      </c>
      <c r="L7200" s="53" t="inlineStr">
        <is>
          <t>Не определено</t>
        </is>
      </c>
      <c r="M7200" s="53" t="inlineStr">
        <is>
          <t>До 10</t>
        </is>
      </c>
      <c r="N7200" s="54" t="n">
        <v>3360</v>
      </c>
      <c r="O7200" s="55" t="inlineStr">
        <is>
          <t>1–15</t>
        </is>
      </c>
      <c r="P7200" s="16" t="inlineStr">
        <is>
          <t>ССЧР обогащена; ОКВЭД не найден/не загружен</t>
        </is>
      </c>
      <c r="Q7200" s="16" t="inlineStr">
        <is>
          <t>ФНС открытые данные ССЧР (ДатаСост 31.12.2025; набор 7707329152-sshr2019)</t>
        </is>
      </c>
      <c r="R7200" s="16">
        <f>HYPERLINK("https://checko.ru/search?query=3801001629","Чекко: проверить")</f>
        <v/>
      </c>
      <c r="S7200" t="n">
        <v>0</v>
      </c>
      <c r="T7200" s="35" t="inlineStr">
        <is>
          <t>4 — Не обогащён</t>
        </is>
      </c>
      <c r="U7200" s="35" t="inlineStr">
        <is>
          <t>Нет ОКВЭД/ССЧР</t>
        </is>
      </c>
      <c r="V7200" s="35" t="inlineStr">
        <is>
          <t>Не определено</t>
        </is>
      </c>
      <c r="W7200" s="35" t="inlineStr">
        <is>
          <t>Нет</t>
        </is>
      </c>
      <c r="X7200" s="35" t="inlineStr"/>
    </row>
    <row r="7201" ht="15" customHeight="1" s="24">
      <c r="A7201" s="13" t="inlineStr">
        <is>
          <t>FR1200497</t>
        </is>
      </c>
      <c r="B7201" s="13" t="inlineStr">
        <is>
          <t>ИП Усков Антон Олегович</t>
        </is>
      </c>
      <c r="C7201" s="13" t="n">
        <v>560500767455</v>
      </c>
      <c r="D7201" s="13" t="inlineStr">
        <is>
          <t>560500767455</t>
        </is>
      </c>
      <c r="E7201" s="13" t="inlineStr">
        <is>
          <t>ИП РФ / физлицо</t>
        </is>
      </c>
      <c r="F7201" s="13" t="n"/>
      <c r="G7201" s="14" t="n"/>
      <c r="H7201" s="14" t="n"/>
      <c r="I7201" s="14" t="n"/>
      <c r="J7201" s="14" t="n"/>
      <c r="K7201" s="53" t="inlineStr"/>
      <c r="L7201" s="53" t="inlineStr">
        <is>
          <t>Не определено</t>
        </is>
      </c>
      <c r="M7201" s="53" t="inlineStr"/>
      <c r="N7201" s="54" t="inlineStr"/>
      <c r="O7201" s="55" t="inlineStr"/>
      <c r="P7201" s="16" t="inlineStr">
        <is>
          <t>Требует обогащения</t>
        </is>
      </c>
      <c r="Q7201" s="16">
        <f>HYPERLINK("https://pb.nalog.ru/search.html?query=560500767455","ФНС: проверить")</f>
        <v/>
      </c>
      <c r="R7201" s="16">
        <f>HYPERLINK("https://checko.ru/search?query=3801001629","Чекко: проверить")</f>
        <v/>
      </c>
      <c r="S7201" t="n">
        <v>1</v>
      </c>
      <c r="T7201" s="35" t="inlineStr">
        <is>
          <t>4 — Не обогащён</t>
        </is>
      </c>
      <c r="U7201" s="35" t="inlineStr">
        <is>
          <t>Нет ОКВЭД/ССЧР</t>
        </is>
      </c>
      <c r="V7201" s="35" t="inlineStr">
        <is>
          <t>Не определено</t>
        </is>
      </c>
      <c r="W7201" s="35" t="inlineStr"/>
      <c r="X7201" s="35" t="inlineStr"/>
    </row>
    <row r="7202" ht="27.75" customHeight="1" s="24">
      <c r="A7202" s="13" t="inlineStr">
        <is>
          <t>FR1302817</t>
        </is>
      </c>
      <c r="B7202" s="13" t="inlineStr">
        <is>
          <t>Общество с ограниченной ответственностью "АЛГОРИТМ"</t>
        </is>
      </c>
      <c r="C7202" s="13" t="n">
        <v>3808267040</v>
      </c>
      <c r="D7202" s="13" t="inlineStr">
        <is>
          <t>3808267040</t>
        </is>
      </c>
      <c r="E7202" s="13" t="inlineStr">
        <is>
          <t>ЮЛ РФ</t>
        </is>
      </c>
      <c r="F7202" s="13" t="n"/>
      <c r="G7202" s="52" t="n">
        <v>2</v>
      </c>
      <c r="H7202" s="52" t="n">
        <v>2025</v>
      </c>
      <c r="I7202" s="14" t="n"/>
      <c r="J7202" s="14" t="n"/>
      <c r="K7202" s="53" t="inlineStr">
        <is>
          <t>Нет</t>
        </is>
      </c>
      <c r="L7202" s="53" t="inlineStr">
        <is>
          <t>Не определено</t>
        </is>
      </c>
      <c r="M7202" s="53" t="inlineStr">
        <is>
          <t>До 10</t>
        </is>
      </c>
      <c r="N7202" s="54" t="n">
        <v>3360</v>
      </c>
      <c r="O7202" s="55" t="inlineStr">
        <is>
          <t>1–15</t>
        </is>
      </c>
      <c r="P7202" s="16" t="inlineStr">
        <is>
          <t>ССЧР обогащена; ОКВЭД не найден/не загружен</t>
        </is>
      </c>
      <c r="Q7202" s="16" t="inlineStr">
        <is>
          <t>ФНС открытые данные ССЧР (ДатаСост 31.12.2025; набор 7707329152-sshr2019)</t>
        </is>
      </c>
      <c r="R7202" s="16">
        <f>HYPERLINK("https://checko.ru/search?query=3801001629","Чекко: проверить")</f>
        <v/>
      </c>
      <c r="S7202" t="n">
        <v>1</v>
      </c>
      <c r="T7202" s="35" t="inlineStr">
        <is>
          <t>4 — Не обогащён</t>
        </is>
      </c>
      <c r="U7202" s="35" t="inlineStr">
        <is>
          <t>Нет ОКВЭД/ССЧР</t>
        </is>
      </c>
      <c r="V7202" s="35" t="inlineStr">
        <is>
          <t>Не определено</t>
        </is>
      </c>
      <c r="W7202" s="35" t="inlineStr">
        <is>
          <t>Нет</t>
        </is>
      </c>
      <c r="X7202" s="35" t="inlineStr"/>
    </row>
    <row r="7203" ht="15" customHeight="1" s="24">
      <c r="A7203" s="13" t="inlineStr">
        <is>
          <t>FR27952</t>
        </is>
      </c>
      <c r="B7203" s="13" t="inlineStr">
        <is>
          <t>ИП Коробко Алексей Анатольевич</t>
        </is>
      </c>
      <c r="C7203" s="13" t="n">
        <v>380404675181</v>
      </c>
      <c r="D7203" s="13" t="inlineStr">
        <is>
          <t>380404675181</t>
        </is>
      </c>
      <c r="E7203" s="13" t="inlineStr">
        <is>
          <t>ИП РФ / физлицо</t>
        </is>
      </c>
      <c r="F7203" s="13" t="n"/>
      <c r="G7203" s="14" t="n"/>
      <c r="H7203" s="14" t="n"/>
      <c r="I7203" s="14" t="n"/>
      <c r="J7203" s="14" t="n"/>
      <c r="K7203" s="53" t="inlineStr"/>
      <c r="L7203" s="53" t="inlineStr">
        <is>
          <t>Не определено</t>
        </is>
      </c>
      <c r="M7203" s="53" t="inlineStr"/>
      <c r="N7203" s="54" t="inlineStr"/>
      <c r="O7203" s="55" t="inlineStr"/>
      <c r="P7203" s="16" t="inlineStr">
        <is>
          <t>Требует обогащения</t>
        </is>
      </c>
      <c r="Q7203" s="16">
        <f>HYPERLINK("https://pb.nalog.ru/search.html?query=380404675181","ФНС: проверить")</f>
        <v/>
      </c>
      <c r="R7203" s="16">
        <f>HYPERLINK("https://checko.ru/search?query=3801001629","Чекко: проверить")</f>
        <v/>
      </c>
      <c r="S7203" t="n">
        <v>0</v>
      </c>
      <c r="T7203" s="35" t="inlineStr">
        <is>
          <t>4 — Не обогащён</t>
        </is>
      </c>
      <c r="U7203" s="35" t="inlineStr">
        <is>
          <t>Нет ОКВЭД/ССЧР</t>
        </is>
      </c>
      <c r="V7203" s="35" t="inlineStr">
        <is>
          <t>Не определено</t>
        </is>
      </c>
      <c r="W7203" s="35" t="inlineStr"/>
      <c r="X7203" s="35" t="inlineStr"/>
    </row>
    <row r="7204" ht="27.75" customHeight="1" s="24">
      <c r="A7204" s="13" t="inlineStr">
        <is>
          <t>FR1302138</t>
        </is>
      </c>
      <c r="B7204" s="13" t="inlineStr">
        <is>
          <t>Общество с ограниченной ответственностью "ТРАНС ЛЕГИОН"</t>
        </is>
      </c>
      <c r="C7204" s="13" t="n">
        <v>3818029936</v>
      </c>
      <c r="D7204" s="13" t="inlineStr">
        <is>
          <t>3818029936</t>
        </is>
      </c>
      <c r="E7204" s="13" t="inlineStr">
        <is>
          <t>ЮЛ РФ</t>
        </is>
      </c>
      <c r="F7204" s="13" t="n"/>
      <c r="G7204" s="52" t="n">
        <v>3</v>
      </c>
      <c r="H7204" s="52" t="n">
        <v>2025</v>
      </c>
      <c r="I7204" s="14" t="n"/>
      <c r="J7204" s="14" t="n"/>
      <c r="K7204" s="53" t="inlineStr">
        <is>
          <t>Нет</t>
        </is>
      </c>
      <c r="L7204" s="53" t="inlineStr">
        <is>
          <t>Не определено</t>
        </is>
      </c>
      <c r="M7204" s="53" t="inlineStr">
        <is>
          <t>До 10</t>
        </is>
      </c>
      <c r="N7204" s="54" t="n">
        <v>3360</v>
      </c>
      <c r="O7204" s="55" t="inlineStr">
        <is>
          <t>1–15</t>
        </is>
      </c>
      <c r="P7204" s="16" t="inlineStr">
        <is>
          <t>ССЧР обогащена; ОКВЭД не найден/не загружен</t>
        </is>
      </c>
      <c r="Q7204" s="16" t="inlineStr">
        <is>
          <t>ФНС открытые данные ССЧР (ДатаСост 31.12.2025; набор 7707329152-sshr2019)</t>
        </is>
      </c>
      <c r="R7204" s="16">
        <f>HYPERLINK("https://checko.ru/search?query=3801001629","Чекко: проверить")</f>
        <v/>
      </c>
      <c r="S7204" t="n">
        <v>1</v>
      </c>
      <c r="T7204" s="35" t="inlineStr">
        <is>
          <t>4 — Не обогащён</t>
        </is>
      </c>
      <c r="U7204" s="35" t="inlineStr">
        <is>
          <t>Нет ОКВЭД/ССЧР</t>
        </is>
      </c>
      <c r="V7204" s="35" t="inlineStr">
        <is>
          <t>Не определено</t>
        </is>
      </c>
      <c r="W7204" s="35" t="inlineStr">
        <is>
          <t>Нет</t>
        </is>
      </c>
      <c r="X7204" s="35" t="inlineStr"/>
    </row>
    <row r="7205" ht="15" customHeight="1" s="24">
      <c r="A7205" s="13" t="inlineStr">
        <is>
          <t>FR323917</t>
        </is>
      </c>
      <c r="B7205" s="13" t="inlineStr">
        <is>
          <t>ООО "ТЕХСЕРВИС"</t>
        </is>
      </c>
      <c r="C7205" s="13" t="n">
        <v>323374885</v>
      </c>
      <c r="D7205" s="13" t="n"/>
      <c r="E7205" s="13" t="inlineStr">
        <is>
          <t>Не определён</t>
        </is>
      </c>
      <c r="F7205" s="13" t="inlineStr">
        <is>
          <t>323374885</t>
        </is>
      </c>
      <c r="G7205" s="14" t="n"/>
      <c r="H7205" s="14" t="n"/>
      <c r="I7205" s="14" t="n"/>
      <c r="J7205" s="14" t="n"/>
      <c r="K7205" s="13">
        <f>IF(G7205="","",IF(G7205&gt;=22,"Да","Нет"))</f>
        <v/>
      </c>
      <c r="L7205" s="13">
        <f>IF(OR(I7205="",J7205=""),"Не определено",IF(OR(COUNTIF(I7205,"45*")&gt;0,COUNTIF(J7205,"*45*")&gt;0,COUNTIF(I7205,"46*")&gt;0,COUNTIF(J7205,"*46*")&gt;0,COUNTIF(I7205,"47*")&gt;0,COUNTIF(J7205,"*47*")&gt;0,COUNTIF(I7205,"10*")&gt;0,COUNTIF(J7205,"*10*")&gt;0,COUNTIF(I7205,"11*")&gt;0,COUNTIF(J7205,"*11*")&gt;0,COUNTIF(I7205,"12*")&gt;0,COUNTIF(J7205,"*12*")&gt;0,COUNTIF(I7205,"13*")&gt;0,COUNTIF(J7205,"*13*")&gt;0,COUNTIF(I7205,"14*")&gt;0,COUNTIF(J7205,"*14*")&gt;0,COUNTIF(I7205,"15*")&gt;0,COUNTIF(J7205,"*15*")&gt;0,COUNTIF(I7205,"16*")&gt;0,COUNTIF(J7205,"*16*")&gt;0,COUNTIF(I7205,"17*")&gt;0,COUNTIF(J7205,"*17*")&gt;0,COUNTIF(I7205,"18*")&gt;0,COUNTIF(J7205,"*18*")&gt;0,COUNTIF(I7205,"19*")&gt;0,COUNTIF(J7205,"*19*")&gt;0,COUNTIF(I7205,"20*")&gt;0,COUNTIF(J7205,"*20*")&gt;0,COUNTIF(I7205,"21*")&gt;0,COUNTIF(J7205,"*21*")&gt;0,COUNTIF(I7205,"22*")&gt;0,COUNTIF(J7205,"*22*")&gt;0,COUNTIF(I7205,"23*")&gt;0,COUNTIF(J7205,"*23*")&gt;0,COUNTIF(I7205,"24*")&gt;0,COUNTIF(J7205,"*24*")&gt;0,COUNTIF(I7205,"25*")&gt;0,COUNTIF(J7205,"*25*")&gt;0,COUNTIF(I7205,"26*")&gt;0,COUNTIF(J7205,"*26*")&gt;0,COUNTIF(I7205,"27*")&gt;0,COUNTIF(J7205,"*27*")&gt;0,COUNTIF(I7205,"28*")&gt;0,COUNTIF(J7205,"*28*")&gt;0,COUNTIF(I7205,"29*")&gt;0,COUNTIF(J7205,"*29*")&gt;0,COUNTIF(I7205,"30*")&gt;0,COUNTIF(J7205,"*30*")&gt;0,COUNTIF(I7205,"31*")&gt;0,COUNTIF(J7205,"*31*")&gt;0,COUNTIF(I7205,"32*")&gt;0,COUNTIF(J7205,"*32*")&gt;0,COUNTIF(I7205,"33*")&gt;0,COUNTIF(J7205,"*33*")&gt;0,COUNTIF(I7205,"41*")&gt;0,COUNTIF(J7205,"*41*")&gt;0,COUNTIF(I7205,"42*")&gt;0,COUNTIF(J7205,"*42*")&gt;0,COUNTIF(I7205,"43*")&gt;0,COUNTIF(J7205,"*43*")&gt;0,COUNTIF(I7205,"49*")&gt;0,COUNTIF(J7205,"*49*")&gt;0,COUNTIF(I7205,"52*")&gt;0,COUNTIF(J7205,"*52*")&gt;0,COUNTIF(I7205,"55*")&gt;0,COUNTIF(J7205,"*55*")&gt;0,COUNTIF(I7205,"56*")&gt;0,COUNTIF(J7205,"*56*")&gt;0,COUNTIF(I7205,"68*")&gt;0,COUNTIF(J7205,"*68*")&gt;0,COUNTIF(I7205,"78*")&gt;0,COUNTIF(J7205,"*78*")&gt;0,COUNTIF(I7205,"81*")&gt;0,COUNTIF(J7205,"*81*")&gt;0,COUNTIF(I7205,"82*")&gt;0,COUNTIF(J7205,"*82*")&gt;0,COUNTIF(I7205,"64*")&gt;0,COUNTIF(J7205,"*64*")&gt;0,COUNTIF(I7205,"65*")&gt;0,COUNTIF(J7205,"*65*")&gt;0,COUNTIF(I7205,"66*")&gt;0,COUNTIF(J7205,"*66*")&gt;0,COUNTIF(I7205,"61*")&gt;0,COUNTIF(J7205,"*61*")&gt;0,COUNTIF(I7205,"62*")&gt;0,COUNTIF(J7205,"*62*")&gt;0,COUNTIF(I7205,"63*")&gt;0,COUNTIF(J7205,"*63*")&gt;0,COUNTIF(I7205,"85*")&gt;0,COUNTIF(J7205,"*85*")&gt;0,COUNTIF(I7205,"86*")&gt;0,COUNTIF(J7205,"*86*")&gt;0),"Да","Нет"))</f>
        <v/>
      </c>
      <c r="M7205" s="13">
        <f>IF(OR(G7205="",L7205&lt;&gt;"Да"),"",IF(G7205&lt;=100,"До 100",IF(G7205&lt;=200,"До 200",IF(G7205&lt;=500,"До 500","Отдельное КП"))))</f>
        <v/>
      </c>
      <c r="N7205" s="15">
        <f>IF(OR(G7205="",L7205&lt;&gt;"Да"),"",IF(G7205&lt;=100,33600,IF(G7205&lt;=200,62400,IF(G7205&lt;=500,144000,""))))</f>
        <v/>
      </c>
      <c r="O7205" s="16">
        <f>IF(G7205="","",IF(G7205&lt;=15,"1–15",IF(G7205&lt;=30,"16–30",IF(G7205&lt;=50,"31–50",IF(G7205&lt;=100,"51–100",IF(G7205&lt;=150,"101–150",IF(G7205&lt;=200,"151–200",IF(G7205&lt;=500,"201–500","500+"))))))))</f>
        <v/>
      </c>
      <c r="P7205" s="16" t="inlineStr">
        <is>
          <t>Нет совпадения в предоставленной выгрузке ССЧР</t>
        </is>
      </c>
      <c r="Q7205" s="16" t="n"/>
      <c r="R7205" s="16">
        <f>HYPERLINK("https://checko.ru/search?query=3801001629","Чекко: проверить")</f>
        <v/>
      </c>
      <c r="S7205" t="n">
        <v>0</v>
      </c>
    </row>
    <row r="7206" ht="27.75" customHeight="1" s="24">
      <c r="A7206" s="13" t="inlineStr">
        <is>
          <t>FR912413</t>
        </is>
      </c>
      <c r="B7206" s="13" t="inlineStr">
        <is>
          <t>Общество с ограниченной ответственностью "ДАКАР+"</t>
        </is>
      </c>
      <c r="C7206" s="13" t="n">
        <v>3812159671</v>
      </c>
      <c r="D7206" s="13" t="inlineStr">
        <is>
          <t>3812159671</t>
        </is>
      </c>
      <c r="E7206" s="13" t="inlineStr">
        <is>
          <t>ЮЛ РФ</t>
        </is>
      </c>
      <c r="F7206" s="13" t="n"/>
      <c r="G7206" s="52" t="n">
        <v>1</v>
      </c>
      <c r="H7206" s="52" t="n">
        <v>2025</v>
      </c>
      <c r="I7206" s="14" t="n"/>
      <c r="J7206" s="14" t="n"/>
      <c r="K7206" s="53" t="inlineStr">
        <is>
          <t>Нет</t>
        </is>
      </c>
      <c r="L7206" s="53" t="inlineStr">
        <is>
          <t>Не определено</t>
        </is>
      </c>
      <c r="M7206" s="53" t="inlineStr">
        <is>
          <t>До 10</t>
        </is>
      </c>
      <c r="N7206" s="54" t="n">
        <v>3360</v>
      </c>
      <c r="O7206" s="55" t="inlineStr">
        <is>
          <t>1–15</t>
        </is>
      </c>
      <c r="P7206" s="16" t="inlineStr">
        <is>
          <t>ССЧР обогащена; ОКВЭД не найден/не загружен</t>
        </is>
      </c>
      <c r="Q7206" s="16" t="inlineStr">
        <is>
          <t>ФНС открытые данные ССЧР (ДатаСост 31.12.2025; набор 7707329152-sshr2019)</t>
        </is>
      </c>
      <c r="R7206" s="16">
        <f>HYPERLINK("https://checko.ru/search?query=3801001629","Чекко: проверить")</f>
        <v/>
      </c>
      <c r="S7206" t="n">
        <v>1</v>
      </c>
      <c r="T7206" s="35" t="inlineStr">
        <is>
          <t>4 — Не обогащён</t>
        </is>
      </c>
      <c r="U7206" s="35" t="inlineStr">
        <is>
          <t>Нет ОКВЭД/ССЧР</t>
        </is>
      </c>
      <c r="V7206" s="35" t="inlineStr">
        <is>
          <t>Не определено</t>
        </is>
      </c>
      <c r="W7206" s="35" t="inlineStr">
        <is>
          <t>Нет</t>
        </is>
      </c>
      <c r="X7206" s="35" t="inlineStr"/>
    </row>
    <row r="7207" ht="15" customHeight="1" s="24">
      <c r="A7207" s="13" t="inlineStr">
        <is>
          <t>FR925649</t>
        </is>
      </c>
      <c r="B7207" s="13" t="inlineStr">
        <is>
          <t>ИП Леонтьев Андрей Юрьевич</t>
        </is>
      </c>
      <c r="C7207" s="13" t="n">
        <v>381102080126</v>
      </c>
      <c r="D7207" s="13" t="inlineStr">
        <is>
          <t>381102080126</t>
        </is>
      </c>
      <c r="E7207" s="13" t="inlineStr">
        <is>
          <t>ИП РФ / физлицо</t>
        </is>
      </c>
      <c r="F7207" s="13" t="n"/>
      <c r="G7207" s="14" t="n"/>
      <c r="H7207" s="14" t="n"/>
      <c r="I7207" s="14" t="n"/>
      <c r="J7207" s="14" t="n"/>
      <c r="K7207" s="53" t="inlineStr"/>
      <c r="L7207" s="53" t="inlineStr">
        <is>
          <t>Не определено</t>
        </is>
      </c>
      <c r="M7207" s="53" t="inlineStr"/>
      <c r="N7207" s="54" t="inlineStr"/>
      <c r="O7207" s="55" t="inlineStr"/>
      <c r="P7207" s="16" t="inlineStr">
        <is>
          <t>Требует обогащения</t>
        </is>
      </c>
      <c r="Q7207" s="16">
        <f>HYPERLINK("https://pb.nalog.ru/search.html?query=381102080126","ФНС: проверить")</f>
        <v/>
      </c>
      <c r="R7207" s="16">
        <f>HYPERLINK("https://checko.ru/search?query=3801001629","Чекко: проверить")</f>
        <v/>
      </c>
      <c r="S7207" t="n">
        <v>1</v>
      </c>
      <c r="T7207" s="35" t="inlineStr">
        <is>
          <t>4 — Не обогащён</t>
        </is>
      </c>
      <c r="U7207" s="35" t="inlineStr">
        <is>
          <t>Нет ОКВЭД/ССЧР</t>
        </is>
      </c>
      <c r="V7207" s="35" t="inlineStr">
        <is>
          <t>Не определено</t>
        </is>
      </c>
      <c r="W7207" s="35" t="inlineStr"/>
      <c r="X7207" s="35" t="inlineStr"/>
    </row>
    <row r="7208" ht="15" customHeight="1" s="24">
      <c r="A7208" s="13" t="inlineStr">
        <is>
          <t>FR1304343</t>
        </is>
      </c>
      <c r="B7208" s="13" t="inlineStr">
        <is>
          <t>ООО "СИБВУД"</t>
        </is>
      </c>
      <c r="C7208" s="13" t="n">
        <v>3827014372</v>
      </c>
      <c r="D7208" s="13" t="inlineStr">
        <is>
          <t>3827014372</t>
        </is>
      </c>
      <c r="E7208" s="13" t="inlineStr">
        <is>
          <t>ЮЛ РФ</t>
        </is>
      </c>
      <c r="F7208" s="13" t="n"/>
      <c r="G7208" s="52" t="n">
        <v>7</v>
      </c>
      <c r="H7208" s="52" t="n">
        <v>2025</v>
      </c>
      <c r="I7208" s="14" t="n"/>
      <c r="J7208" s="14" t="n"/>
      <c r="K7208" s="53" t="inlineStr">
        <is>
          <t>Нет</t>
        </is>
      </c>
      <c r="L7208" s="53" t="inlineStr">
        <is>
          <t>Не определено</t>
        </is>
      </c>
      <c r="M7208" s="53" t="inlineStr">
        <is>
          <t>До 10</t>
        </is>
      </c>
      <c r="N7208" s="54" t="n">
        <v>3360</v>
      </c>
      <c r="O7208" s="55" t="inlineStr">
        <is>
          <t>1–15</t>
        </is>
      </c>
      <c r="P7208" s="16" t="inlineStr">
        <is>
          <t>ССЧР обогащена; ОКВЭД не найден/не загружен</t>
        </is>
      </c>
      <c r="Q7208" s="16" t="inlineStr">
        <is>
          <t>ФНС открытые данные ССЧР (ДатаСост 31.12.2025; набор 7707329152-sshr2019)</t>
        </is>
      </c>
      <c r="R7208" s="16">
        <f>HYPERLINK("https://checko.ru/search?query=3801001629","Чекко: проверить")</f>
        <v/>
      </c>
      <c r="S7208" t="n">
        <v>1</v>
      </c>
      <c r="T7208" s="35" t="inlineStr">
        <is>
          <t>4 — Не обогащён</t>
        </is>
      </c>
      <c r="U7208" s="35" t="inlineStr">
        <is>
          <t>Нет ОКВЭД/ССЧР</t>
        </is>
      </c>
      <c r="V7208" s="35" t="inlineStr">
        <is>
          <t>Не определено</t>
        </is>
      </c>
      <c r="W7208" s="35" t="inlineStr">
        <is>
          <t>Нет</t>
        </is>
      </c>
      <c r="X7208" s="35" t="inlineStr"/>
    </row>
    <row r="7209" ht="27.75" customHeight="1" s="24">
      <c r="A7209" s="13" t="inlineStr">
        <is>
          <t>FR934483</t>
        </is>
      </c>
      <c r="B7209" s="13" t="inlineStr">
        <is>
          <t>Общество с ограниченной ответственностью "ВИТИМ ВЗРЫВ ПРОМ"</t>
        </is>
      </c>
      <c r="C7209" s="13" t="n">
        <v>300009903</v>
      </c>
      <c r="D7209" s="13" t="n"/>
      <c r="E7209" s="13" t="inlineStr">
        <is>
          <t>Не определён</t>
        </is>
      </c>
      <c r="F7209" s="13" t="inlineStr">
        <is>
          <t>300009903</t>
        </is>
      </c>
      <c r="G7209" s="14" t="n"/>
      <c r="H7209" s="14" t="n"/>
      <c r="I7209" s="14" t="n"/>
      <c r="J7209" s="14" t="n"/>
      <c r="K7209" s="13">
        <f>IF(G7209="","",IF(G7209&gt;=22,"Да","Нет"))</f>
        <v/>
      </c>
      <c r="L7209" s="13">
        <f>IF(OR(I7209="",J7209=""),"Не определено",IF(OR(COUNTIF(I7209,"45*")&gt;0,COUNTIF(J7209,"*45*")&gt;0,COUNTIF(I7209,"46*")&gt;0,COUNTIF(J7209,"*46*")&gt;0,COUNTIF(I7209,"47*")&gt;0,COUNTIF(J7209,"*47*")&gt;0,COUNTIF(I7209,"10*")&gt;0,COUNTIF(J7209,"*10*")&gt;0,COUNTIF(I7209,"11*")&gt;0,COUNTIF(J7209,"*11*")&gt;0,COUNTIF(I7209,"12*")&gt;0,COUNTIF(J7209,"*12*")&gt;0,COUNTIF(I7209,"13*")&gt;0,COUNTIF(J7209,"*13*")&gt;0,COUNTIF(I7209,"14*")&gt;0,COUNTIF(J7209,"*14*")&gt;0,COUNTIF(I7209,"15*")&gt;0,COUNTIF(J7209,"*15*")&gt;0,COUNTIF(I7209,"16*")&gt;0,COUNTIF(J7209,"*16*")&gt;0,COUNTIF(I7209,"17*")&gt;0,COUNTIF(J7209,"*17*")&gt;0,COUNTIF(I7209,"18*")&gt;0,COUNTIF(J7209,"*18*")&gt;0,COUNTIF(I7209,"19*")&gt;0,COUNTIF(J7209,"*19*")&gt;0,COUNTIF(I7209,"20*")&gt;0,COUNTIF(J7209,"*20*")&gt;0,COUNTIF(I7209,"21*")&gt;0,COUNTIF(J7209,"*21*")&gt;0,COUNTIF(I7209,"22*")&gt;0,COUNTIF(J7209,"*22*")&gt;0,COUNTIF(I7209,"23*")&gt;0,COUNTIF(J7209,"*23*")&gt;0,COUNTIF(I7209,"24*")&gt;0,COUNTIF(J7209,"*24*")&gt;0,COUNTIF(I7209,"25*")&gt;0,COUNTIF(J7209,"*25*")&gt;0,COUNTIF(I7209,"26*")&gt;0,COUNTIF(J7209,"*26*")&gt;0,COUNTIF(I7209,"27*")&gt;0,COUNTIF(J7209,"*27*")&gt;0,COUNTIF(I7209,"28*")&gt;0,COUNTIF(J7209,"*28*")&gt;0,COUNTIF(I7209,"29*")&gt;0,COUNTIF(J7209,"*29*")&gt;0,COUNTIF(I7209,"30*")&gt;0,COUNTIF(J7209,"*30*")&gt;0,COUNTIF(I7209,"31*")&gt;0,COUNTIF(J7209,"*31*")&gt;0,COUNTIF(I7209,"32*")&gt;0,COUNTIF(J7209,"*32*")&gt;0,COUNTIF(I7209,"33*")&gt;0,COUNTIF(J7209,"*33*")&gt;0,COUNTIF(I7209,"41*")&gt;0,COUNTIF(J7209,"*41*")&gt;0,COUNTIF(I7209,"42*")&gt;0,COUNTIF(J7209,"*42*")&gt;0,COUNTIF(I7209,"43*")&gt;0,COUNTIF(J7209,"*43*")&gt;0,COUNTIF(I7209,"49*")&gt;0,COUNTIF(J7209,"*49*")&gt;0,COUNTIF(I7209,"52*")&gt;0,COUNTIF(J7209,"*52*")&gt;0,COUNTIF(I7209,"55*")&gt;0,COUNTIF(J7209,"*55*")&gt;0,COUNTIF(I7209,"56*")&gt;0,COUNTIF(J7209,"*56*")&gt;0,COUNTIF(I7209,"68*")&gt;0,COUNTIF(J7209,"*68*")&gt;0,COUNTIF(I7209,"78*")&gt;0,COUNTIF(J7209,"*78*")&gt;0,COUNTIF(I7209,"81*")&gt;0,COUNTIF(J7209,"*81*")&gt;0,COUNTIF(I7209,"82*")&gt;0,COUNTIF(J7209,"*82*")&gt;0,COUNTIF(I7209,"64*")&gt;0,COUNTIF(J7209,"*64*")&gt;0,COUNTIF(I7209,"65*")&gt;0,COUNTIF(J7209,"*65*")&gt;0,COUNTIF(I7209,"66*")&gt;0,COUNTIF(J7209,"*66*")&gt;0,COUNTIF(I7209,"61*")&gt;0,COUNTIF(J7209,"*61*")&gt;0,COUNTIF(I7209,"62*")&gt;0,COUNTIF(J7209,"*62*")&gt;0,COUNTIF(I7209,"63*")&gt;0,COUNTIF(J7209,"*63*")&gt;0,COUNTIF(I7209,"85*")&gt;0,COUNTIF(J7209,"*85*")&gt;0,COUNTIF(I7209,"86*")&gt;0,COUNTIF(J7209,"*86*")&gt;0),"Да","Нет"))</f>
        <v/>
      </c>
      <c r="M7209" s="13">
        <f>IF(OR(G7209="",L7209&lt;&gt;"Да"),"",IF(G7209&lt;=100,"До 100",IF(G7209&lt;=200,"До 200",IF(G7209&lt;=500,"До 500","Отдельное КП"))))</f>
        <v/>
      </c>
      <c r="N7209" s="15">
        <f>IF(OR(G7209="",L7209&lt;&gt;"Да"),"",IF(G7209&lt;=100,33600,IF(G7209&lt;=200,62400,IF(G7209&lt;=500,144000,""))))</f>
        <v/>
      </c>
      <c r="O7209" s="16">
        <f>IF(G7209="","",IF(G7209&lt;=15,"1–15",IF(G7209&lt;=30,"16–30",IF(G7209&lt;=50,"31–50",IF(G7209&lt;=100,"51–100",IF(G7209&lt;=150,"101–150",IF(G7209&lt;=200,"151–200",IF(G7209&lt;=500,"201–500","500+"))))))))</f>
        <v/>
      </c>
      <c r="P7209" s="16" t="inlineStr">
        <is>
          <t>Нет совпадения в предоставленной выгрузке ССЧР</t>
        </is>
      </c>
      <c r="Q7209" s="16" t="n"/>
      <c r="R7209" s="16">
        <f>HYPERLINK("https://checko.ru/search?query=3801001629","Чекко: проверить")</f>
        <v/>
      </c>
      <c r="S7209" t="n">
        <v>0</v>
      </c>
    </row>
    <row r="7210" ht="27.75" customHeight="1" s="24">
      <c r="A7210" s="13" t="inlineStr">
        <is>
          <t>FR448774</t>
        </is>
      </c>
      <c r="B7210" s="13" t="inlineStr">
        <is>
          <t>ОБЩЕСТВО С ОГРАНИЧЕННОЙ ОТВЕТСТВЕННОСТЬЮ "ПРОМИНДУСТРИЯ"</t>
        </is>
      </c>
      <c r="C7210" s="13" t="n">
        <v>3812525455</v>
      </c>
      <c r="D7210" s="13" t="inlineStr">
        <is>
          <t>3812525455</t>
        </is>
      </c>
      <c r="E7210" s="13" t="inlineStr">
        <is>
          <t>ЮЛ РФ</t>
        </is>
      </c>
      <c r="F7210" s="13" t="n"/>
      <c r="G7210" s="52" t="n">
        <v>2</v>
      </c>
      <c r="H7210" s="52" t="n">
        <v>2025</v>
      </c>
      <c r="I7210" s="14" t="n"/>
      <c r="J7210" s="14" t="n"/>
      <c r="K7210" s="53" t="inlineStr">
        <is>
          <t>Нет</t>
        </is>
      </c>
      <c r="L7210" s="53" t="inlineStr">
        <is>
          <t>Не определено</t>
        </is>
      </c>
      <c r="M7210" s="53" t="inlineStr">
        <is>
          <t>До 10</t>
        </is>
      </c>
      <c r="N7210" s="54" t="n">
        <v>3360</v>
      </c>
      <c r="O7210" s="55" t="inlineStr">
        <is>
          <t>1–15</t>
        </is>
      </c>
      <c r="P7210" s="16" t="inlineStr">
        <is>
          <t>ССЧР обогащена; ОКВЭД не найден/не загружен</t>
        </is>
      </c>
      <c r="Q7210" s="16" t="inlineStr">
        <is>
          <t>ФНС открытые данные ССЧР (ДатаСост 31.12.2025; набор 7707329152-sshr2019)</t>
        </is>
      </c>
      <c r="R7210" s="16">
        <f>HYPERLINK("https://checko.ru/search?query=3801001629","Чекко: проверить")</f>
        <v/>
      </c>
      <c r="S7210" t="n">
        <v>1</v>
      </c>
      <c r="T7210" s="35" t="inlineStr">
        <is>
          <t>4 — Не обогащён</t>
        </is>
      </c>
      <c r="U7210" s="35" t="inlineStr">
        <is>
          <t>Нет ОКВЭД/ССЧР</t>
        </is>
      </c>
      <c r="V7210" s="35" t="inlineStr">
        <is>
          <t>Не определено</t>
        </is>
      </c>
      <c r="W7210" s="35" t="inlineStr">
        <is>
          <t>Нет</t>
        </is>
      </c>
      <c r="X7210" s="35" t="inlineStr"/>
    </row>
    <row r="7211" ht="15" customHeight="1" s="24">
      <c r="A7211" s="13" t="inlineStr">
        <is>
          <t>FR305918</t>
        </is>
      </c>
      <c r="B7211" s="13" t="inlineStr">
        <is>
          <t>ИП Хамаганов Михаил Анатольевич</t>
        </is>
      </c>
      <c r="C7211" s="13" t="n">
        <v>384900784097</v>
      </c>
      <c r="D7211" s="13" t="inlineStr">
        <is>
          <t>384900784097</t>
        </is>
      </c>
      <c r="E7211" s="13" t="inlineStr">
        <is>
          <t>ИП РФ / физлицо</t>
        </is>
      </c>
      <c r="F7211" s="13" t="n"/>
      <c r="G7211" s="14" t="n"/>
      <c r="H7211" s="14" t="n"/>
      <c r="I7211" s="14" t="n"/>
      <c r="J7211" s="14" t="n"/>
      <c r="K7211" s="53" t="inlineStr"/>
      <c r="L7211" s="53" t="inlineStr">
        <is>
          <t>Не определено</t>
        </is>
      </c>
      <c r="M7211" s="53" t="inlineStr"/>
      <c r="N7211" s="54" t="inlineStr"/>
      <c r="O7211" s="55" t="inlineStr"/>
      <c r="P7211" s="16" t="inlineStr">
        <is>
          <t>Требует обогащения</t>
        </is>
      </c>
      <c r="Q7211" s="16">
        <f>HYPERLINK("https://pb.nalog.ru/search.html?query=384900784097","ФНС: проверить")</f>
        <v/>
      </c>
      <c r="R7211" s="16">
        <f>HYPERLINK("https://checko.ru/search?query=3801001629","Чекко: проверить")</f>
        <v/>
      </c>
      <c r="S7211" t="n">
        <v>1</v>
      </c>
      <c r="T7211" s="35" t="inlineStr">
        <is>
          <t>4 — Не обогащён</t>
        </is>
      </c>
      <c r="U7211" s="35" t="inlineStr">
        <is>
          <t>Нет ОКВЭД/ССЧР</t>
        </is>
      </c>
      <c r="V7211" s="35" t="inlineStr">
        <is>
          <t>Не определено</t>
        </is>
      </c>
      <c r="W7211" s="35" t="inlineStr"/>
      <c r="X7211" s="35" t="inlineStr"/>
    </row>
    <row r="7212" ht="15" customHeight="1" s="24">
      <c r="A7212" s="13" t="inlineStr">
        <is>
          <t>FR609191</t>
        </is>
      </c>
      <c r="B7212" s="13" t="inlineStr">
        <is>
          <t>ИП Тетерин Павел Николаевич</t>
        </is>
      </c>
      <c r="C7212" s="13" t="n">
        <v>381807262333</v>
      </c>
      <c r="D7212" s="13" t="inlineStr">
        <is>
          <t>381807262333</t>
        </is>
      </c>
      <c r="E7212" s="13" t="inlineStr">
        <is>
          <t>ИП РФ / физлицо</t>
        </is>
      </c>
      <c r="F7212" s="13" t="n"/>
      <c r="G7212" s="14" t="n"/>
      <c r="H7212" s="14" t="n"/>
      <c r="I7212" s="14" t="n"/>
      <c r="J7212" s="14" t="n"/>
      <c r="K7212" s="53" t="inlineStr"/>
      <c r="L7212" s="53" t="inlineStr">
        <is>
          <t>Не определено</t>
        </is>
      </c>
      <c r="M7212" s="53" t="inlineStr"/>
      <c r="N7212" s="54" t="inlineStr"/>
      <c r="O7212" s="55" t="inlineStr"/>
      <c r="P7212" s="16" t="inlineStr">
        <is>
          <t>Требует обогащения</t>
        </is>
      </c>
      <c r="Q7212" s="16">
        <f>HYPERLINK("https://pb.nalog.ru/search.html?query=381807262333","ФНС: проверить")</f>
        <v/>
      </c>
      <c r="R7212" s="16">
        <f>HYPERLINK("https://checko.ru/search?query=3801001629","Чекко: проверить")</f>
        <v/>
      </c>
      <c r="S7212" t="n">
        <v>1</v>
      </c>
      <c r="T7212" s="35" t="inlineStr">
        <is>
          <t>4 — Не обогащён</t>
        </is>
      </c>
      <c r="U7212" s="35" t="inlineStr">
        <is>
          <t>Нет ОКВЭД/ССЧР</t>
        </is>
      </c>
      <c r="V7212" s="35" t="inlineStr">
        <is>
          <t>Не определено</t>
        </is>
      </c>
      <c r="W7212" s="35" t="inlineStr"/>
      <c r="X7212" s="35" t="inlineStr"/>
    </row>
    <row r="7213" ht="15" customHeight="1" s="24">
      <c r="A7213" s="13" t="inlineStr">
        <is>
          <t>FR1106919</t>
        </is>
      </c>
      <c r="B7213" s="13" t="inlineStr">
        <is>
          <t>ИП Рыбников Иван Вячеславович</t>
        </is>
      </c>
      <c r="C7213" s="13" t="n">
        <v>381009628552</v>
      </c>
      <c r="D7213" s="13" t="inlineStr">
        <is>
          <t>381009628552</t>
        </is>
      </c>
      <c r="E7213" s="13" t="inlineStr">
        <is>
          <t>ИП РФ / физлицо</t>
        </is>
      </c>
      <c r="F7213" s="13" t="n"/>
      <c r="G7213" s="14" t="n"/>
      <c r="H7213" s="14" t="n"/>
      <c r="I7213" s="14" t="n"/>
      <c r="J7213" s="14" t="n"/>
      <c r="K7213" s="53" t="inlineStr"/>
      <c r="L7213" s="53" t="inlineStr">
        <is>
          <t>Не определено</t>
        </is>
      </c>
      <c r="M7213" s="53" t="inlineStr"/>
      <c r="N7213" s="54" t="inlineStr"/>
      <c r="O7213" s="55" t="inlineStr"/>
      <c r="P7213" s="16" t="inlineStr">
        <is>
          <t>Требует обогащения</t>
        </is>
      </c>
      <c r="Q7213" s="16">
        <f>HYPERLINK("https://pb.nalog.ru/search.html?query=381009628552","ФНС: проверить")</f>
        <v/>
      </c>
      <c r="R7213" s="16">
        <f>HYPERLINK("https://checko.ru/search?query=3801001629","Чекко: проверить")</f>
        <v/>
      </c>
      <c r="S7213" t="n">
        <v>1</v>
      </c>
      <c r="T7213" s="35" t="inlineStr">
        <is>
          <t>4 — Не обогащён</t>
        </is>
      </c>
      <c r="U7213" s="35" t="inlineStr">
        <is>
          <t>Нет ОКВЭД/ССЧР</t>
        </is>
      </c>
      <c r="V7213" s="35" t="inlineStr">
        <is>
          <t>Не определено</t>
        </is>
      </c>
      <c r="W7213" s="35" t="inlineStr"/>
      <c r="X7213" s="35" t="inlineStr"/>
    </row>
    <row r="7214" ht="27.75" customHeight="1" s="24">
      <c r="A7214" s="13" t="inlineStr">
        <is>
          <t>FR1057214</t>
        </is>
      </c>
      <c r="B7214" s="13" t="inlineStr">
        <is>
          <t>Общество с ограниченной ответственностью "СК СИБИРЬ"</t>
        </is>
      </c>
      <c r="C7214" s="13" t="n">
        <v>3812991505</v>
      </c>
      <c r="D7214" s="13" t="inlineStr">
        <is>
          <t>3812991505</t>
        </is>
      </c>
      <c r="E7214" s="13" t="inlineStr">
        <is>
          <t>ЮЛ РФ</t>
        </is>
      </c>
      <c r="F7214" s="13" t="n"/>
      <c r="G7214" s="52" t="n">
        <v>1</v>
      </c>
      <c r="H7214" s="52" t="n">
        <v>2025</v>
      </c>
      <c r="I7214" s="14" t="n"/>
      <c r="J7214" s="14" t="n"/>
      <c r="K7214" s="53" t="inlineStr">
        <is>
          <t>Нет</t>
        </is>
      </c>
      <c r="L7214" s="53" t="inlineStr">
        <is>
          <t>Не определено</t>
        </is>
      </c>
      <c r="M7214" s="53" t="inlineStr">
        <is>
          <t>До 10</t>
        </is>
      </c>
      <c r="N7214" s="54" t="n">
        <v>3360</v>
      </c>
      <c r="O7214" s="55" t="inlineStr">
        <is>
          <t>1–15</t>
        </is>
      </c>
      <c r="P7214" s="16" t="inlineStr">
        <is>
          <t>ССЧР обогащена; ОКВЭД не найден/не загружен</t>
        </is>
      </c>
      <c r="Q7214" s="16" t="inlineStr">
        <is>
          <t>ФНС открытые данные ССЧР (ДатаСост 31.12.2025; набор 7707329152-sshr2019)</t>
        </is>
      </c>
      <c r="R7214" s="16">
        <f>HYPERLINK("https://checko.ru/search?query=3801001629","Чекко: проверить")</f>
        <v/>
      </c>
      <c r="S7214" t="n">
        <v>1</v>
      </c>
      <c r="T7214" s="35" t="inlineStr">
        <is>
          <t>4 — Не обогащён</t>
        </is>
      </c>
      <c r="U7214" s="35" t="inlineStr">
        <is>
          <t>Нет ОКВЭД/ССЧР</t>
        </is>
      </c>
      <c r="V7214" s="35" t="inlineStr">
        <is>
          <t>Не определено</t>
        </is>
      </c>
      <c r="W7214" s="35" t="inlineStr">
        <is>
          <t>Нет</t>
        </is>
      </c>
      <c r="X7214" s="35" t="inlineStr"/>
    </row>
    <row r="7215" ht="27.75" customHeight="1" s="24">
      <c r="A7215" s="13" t="inlineStr">
        <is>
          <t>FR1105987</t>
        </is>
      </c>
      <c r="B7215" s="13" t="inlineStr">
        <is>
          <t>Общество с ограниченной ответственностью "ЗИМА СТРОЙ"</t>
        </is>
      </c>
      <c r="C7215" s="13" t="n">
        <v>3814023637</v>
      </c>
      <c r="D7215" s="13" t="inlineStr">
        <is>
          <t>3814023637</t>
        </is>
      </c>
      <c r="E7215" s="13" t="inlineStr">
        <is>
          <t>ЮЛ РФ</t>
        </is>
      </c>
      <c r="F7215" s="13" t="n"/>
      <c r="G7215" s="52" t="n">
        <v>12</v>
      </c>
      <c r="H7215" s="52" t="n">
        <v>2025</v>
      </c>
      <c r="I7215" s="14" t="n"/>
      <c r="J7215" s="14" t="n"/>
      <c r="K7215" s="53" t="inlineStr">
        <is>
          <t>Нет</t>
        </is>
      </c>
      <c r="L7215" s="53" t="inlineStr">
        <is>
          <t>Не определено</t>
        </is>
      </c>
      <c r="M7215" s="53" t="inlineStr">
        <is>
          <t>До 25</t>
        </is>
      </c>
      <c r="N7215" s="54" t="n">
        <v>8400</v>
      </c>
      <c r="O7215" s="55" t="inlineStr">
        <is>
          <t>1–15</t>
        </is>
      </c>
      <c r="P7215" s="16" t="inlineStr">
        <is>
          <t>ССЧР обогащена; ОКВЭД не найден/не загружен</t>
        </is>
      </c>
      <c r="Q7215" s="16" t="inlineStr">
        <is>
          <t>ФНС открытые данные ССЧР (ДатаСост 31.12.2025; набор 7707329152-sshr2019)</t>
        </is>
      </c>
      <c r="R7215" s="16">
        <f>HYPERLINK("https://checko.ru/search?query=3801001629","Чекко: проверить")</f>
        <v/>
      </c>
      <c r="S7215" t="n">
        <v>1</v>
      </c>
      <c r="T7215" s="35" t="inlineStr">
        <is>
          <t>4 — Не обогащён</t>
        </is>
      </c>
      <c r="U7215" s="35" t="inlineStr">
        <is>
          <t>Нет ОКВЭД/ССЧР</t>
        </is>
      </c>
      <c r="V7215" s="35" t="inlineStr">
        <is>
          <t>Не определено</t>
        </is>
      </c>
      <c r="W7215" s="35" t="inlineStr">
        <is>
          <t>Нет</t>
        </is>
      </c>
      <c r="X7215" s="35" t="inlineStr"/>
    </row>
    <row r="7216" ht="15" customHeight="1" s="24">
      <c r="A7216" s="13" t="inlineStr">
        <is>
          <t>FR911194</t>
        </is>
      </c>
      <c r="B7216" s="13" t="inlineStr">
        <is>
          <t>ИП Тюрюмин Тимофей Федорович</t>
        </is>
      </c>
      <c r="C7216" s="13" t="n">
        <v>382704162434</v>
      </c>
      <c r="D7216" s="13" t="inlineStr">
        <is>
          <t>382704162434</t>
        </is>
      </c>
      <c r="E7216" s="13" t="inlineStr">
        <is>
          <t>ИП РФ / физлицо</t>
        </is>
      </c>
      <c r="F7216" s="13" t="n"/>
      <c r="G7216" s="14" t="n"/>
      <c r="H7216" s="14" t="n"/>
      <c r="I7216" s="14" t="n"/>
      <c r="J7216" s="14" t="n"/>
      <c r="K7216" s="53" t="inlineStr"/>
      <c r="L7216" s="53" t="inlineStr">
        <is>
          <t>Не определено</t>
        </is>
      </c>
      <c r="M7216" s="53" t="inlineStr"/>
      <c r="N7216" s="54" t="inlineStr"/>
      <c r="O7216" s="55" t="inlineStr"/>
      <c r="P7216" s="16" t="inlineStr">
        <is>
          <t>Требует обогащения</t>
        </is>
      </c>
      <c r="Q7216" s="16">
        <f>HYPERLINK("https://pb.nalog.ru/search.html?query=382704162434","ФНС: проверить")</f>
        <v/>
      </c>
      <c r="R7216" s="16">
        <f>HYPERLINK("https://checko.ru/search?query=3801001629","Чекко: проверить")</f>
        <v/>
      </c>
      <c r="S7216" t="n">
        <v>1</v>
      </c>
      <c r="T7216" s="35" t="inlineStr">
        <is>
          <t>4 — Не обогащён</t>
        </is>
      </c>
      <c r="U7216" s="35" t="inlineStr">
        <is>
          <t>Нет ОКВЭД/ССЧР</t>
        </is>
      </c>
      <c r="V7216" s="35" t="inlineStr">
        <is>
          <t>Не определено</t>
        </is>
      </c>
      <c r="W7216" s="35" t="inlineStr"/>
      <c r="X7216" s="35" t="inlineStr"/>
    </row>
    <row r="7217" ht="27.75" customHeight="1" s="24">
      <c r="A7217" s="13" t="inlineStr">
        <is>
          <t>FR824124</t>
        </is>
      </c>
      <c r="B7217" s="13" t="inlineStr">
        <is>
          <t>Общество с ограниченной ответственностью "СЧЕТОВОД"</t>
        </is>
      </c>
      <c r="C7217" s="13" t="n">
        <v>5610247784</v>
      </c>
      <c r="D7217" s="13" t="inlineStr">
        <is>
          <t>5610247784</t>
        </is>
      </c>
      <c r="E7217" s="13" t="inlineStr">
        <is>
          <t>ЮЛ РФ</t>
        </is>
      </c>
      <c r="F7217" s="13" t="n"/>
      <c r="G7217" s="52" t="n">
        <v>1</v>
      </c>
      <c r="H7217" s="52" t="n">
        <v>2025</v>
      </c>
      <c r="I7217" s="14" t="n"/>
      <c r="J7217" s="14" t="n"/>
      <c r="K7217" s="53" t="inlineStr">
        <is>
          <t>Нет</t>
        </is>
      </c>
      <c r="L7217" s="53" t="inlineStr">
        <is>
          <t>Не определено</t>
        </is>
      </c>
      <c r="M7217" s="53" t="inlineStr">
        <is>
          <t>До 10</t>
        </is>
      </c>
      <c r="N7217" s="54" t="n">
        <v>3360</v>
      </c>
      <c r="O7217" s="55" t="inlineStr">
        <is>
          <t>1–15</t>
        </is>
      </c>
      <c r="P7217" s="16" t="inlineStr">
        <is>
          <t>ССЧР обогащена; ОКВЭД не найден/не загружен</t>
        </is>
      </c>
      <c r="Q7217" s="16" t="inlineStr">
        <is>
          <t>ФНС открытые данные ССЧР (ДатаСост 31.12.2025; набор 7707329152-sshr2019)</t>
        </is>
      </c>
      <c r="R7217" s="16">
        <f>HYPERLINK("https://checko.ru/search?query=3801001629","Чекко: проверить")</f>
        <v/>
      </c>
      <c r="S7217" t="n">
        <v>1</v>
      </c>
      <c r="T7217" s="35" t="inlineStr">
        <is>
          <t>4 — Не обогащён</t>
        </is>
      </c>
      <c r="U7217" s="35" t="inlineStr">
        <is>
          <t>Нет ОКВЭД/ССЧР</t>
        </is>
      </c>
      <c r="V7217" s="35" t="inlineStr">
        <is>
          <t>Не определено</t>
        </is>
      </c>
      <c r="W7217" s="35" t="inlineStr">
        <is>
          <t>Нет</t>
        </is>
      </c>
      <c r="X7217" s="35" t="inlineStr"/>
    </row>
    <row r="7218" ht="27.75" customHeight="1" s="24">
      <c r="A7218" s="13" t="inlineStr">
        <is>
          <t>FR753825</t>
        </is>
      </c>
      <c r="B7218" s="13" t="inlineStr">
        <is>
          <t>Общество с ограниченной ответственностью "ОКНА И КОМПАНИЯ"</t>
        </is>
      </c>
      <c r="C7218" s="13" t="n">
        <v>3808280788</v>
      </c>
      <c r="D7218" s="13" t="inlineStr">
        <is>
          <t>3808280788</t>
        </is>
      </c>
      <c r="E7218" s="13" t="inlineStr">
        <is>
          <t>ЮЛ РФ</t>
        </is>
      </c>
      <c r="F7218" s="13" t="n"/>
      <c r="G7218" s="52" t="n">
        <v>2</v>
      </c>
      <c r="H7218" s="52" t="n">
        <v>2025</v>
      </c>
      <c r="I7218" s="14" t="n"/>
      <c r="J7218" s="14" t="n"/>
      <c r="K7218" s="53" t="inlineStr">
        <is>
          <t>Нет</t>
        </is>
      </c>
      <c r="L7218" s="53" t="inlineStr">
        <is>
          <t>Не определено</t>
        </is>
      </c>
      <c r="M7218" s="53" t="inlineStr">
        <is>
          <t>До 10</t>
        </is>
      </c>
      <c r="N7218" s="54" t="n">
        <v>3360</v>
      </c>
      <c r="O7218" s="55" t="inlineStr">
        <is>
          <t>1–15</t>
        </is>
      </c>
      <c r="P7218" s="16" t="inlineStr">
        <is>
          <t>ССЧР обогащена; ОКВЭД не найден/не загружен</t>
        </is>
      </c>
      <c r="Q7218" s="16" t="inlineStr">
        <is>
          <t>ФНС открытые данные ССЧР (ДатаСост 31.12.2025; набор 7707329152-sshr2019)</t>
        </is>
      </c>
      <c r="R7218" s="16">
        <f>HYPERLINK("https://checko.ru/search?query=3801001629","Чекко: проверить")</f>
        <v/>
      </c>
      <c r="S7218" t="n">
        <v>1</v>
      </c>
      <c r="T7218" s="35" t="inlineStr">
        <is>
          <t>4 — Не обогащён</t>
        </is>
      </c>
      <c r="U7218" s="35" t="inlineStr">
        <is>
          <t>Нет ОКВЭД/ССЧР</t>
        </is>
      </c>
      <c r="V7218" s="35" t="inlineStr">
        <is>
          <t>Не определено</t>
        </is>
      </c>
      <c r="W7218" s="35" t="inlineStr">
        <is>
          <t>Нет</t>
        </is>
      </c>
      <c r="X7218" s="35" t="inlineStr"/>
    </row>
    <row r="7219" ht="27.75" customHeight="1" s="24">
      <c r="A7219" s="13" t="inlineStr">
        <is>
          <t>FR807837</t>
        </is>
      </c>
      <c r="B7219" s="13" t="inlineStr">
        <is>
          <t>Общество с ограниченной ответственностью "АЛЮМПОРТАЛ"</t>
        </is>
      </c>
      <c r="C7219" s="13" t="n">
        <v>7814821136</v>
      </c>
      <c r="D7219" s="13" t="inlineStr">
        <is>
          <t>7814821136</t>
        </is>
      </c>
      <c r="E7219" s="13" t="inlineStr">
        <is>
          <t>ЮЛ РФ</t>
        </is>
      </c>
      <c r="F7219" s="13" t="n"/>
      <c r="G7219" s="14" t="n"/>
      <c r="H7219" s="14" t="n"/>
      <c r="I7219" s="14" t="n"/>
      <c r="J7219" s="14" t="n"/>
      <c r="K7219" s="53" t="inlineStr"/>
      <c r="L7219" s="53" t="inlineStr">
        <is>
          <t>Не определено</t>
        </is>
      </c>
      <c r="M7219" s="53" t="inlineStr"/>
      <c r="N7219" s="54" t="inlineStr"/>
      <c r="O7219" s="55" t="inlineStr"/>
      <c r="P7219" s="16" t="inlineStr">
        <is>
          <t>Требует обогащения</t>
        </is>
      </c>
      <c r="Q7219" s="16">
        <f>HYPERLINK("https://pb.nalog.ru/search.html?query=7814821136","ФНС: проверить")</f>
        <v/>
      </c>
      <c r="R7219" s="16">
        <f>HYPERLINK("https://checko.ru/search?query=3801001629","Чекко: проверить")</f>
        <v/>
      </c>
      <c r="S7219" t="n">
        <v>1</v>
      </c>
      <c r="T7219" s="35" t="inlineStr">
        <is>
          <t>4 — Не обогащён</t>
        </is>
      </c>
      <c r="U7219" s="35" t="inlineStr">
        <is>
          <t>Нет ОКВЭД/ССЧР</t>
        </is>
      </c>
      <c r="V7219" s="35" t="inlineStr">
        <is>
          <t>Не определено</t>
        </is>
      </c>
      <c r="W7219" s="35" t="inlineStr"/>
      <c r="X7219" s="35" t="inlineStr"/>
    </row>
    <row r="7220" ht="15" customHeight="1" s="24">
      <c r="A7220" s="13" t="inlineStr">
        <is>
          <t>FR1307503</t>
        </is>
      </c>
      <c r="B7220" s="13" t="inlineStr">
        <is>
          <t>ИП Сакович Александр Владимирович</t>
        </is>
      </c>
      <c r="C7220" s="13" t="n">
        <v>246001570990</v>
      </c>
      <c r="D7220" s="13" t="inlineStr">
        <is>
          <t>246001570990</t>
        </is>
      </c>
      <c r="E7220" s="13" t="inlineStr">
        <is>
          <t>ИП РФ / физлицо</t>
        </is>
      </c>
      <c r="F7220" s="13" t="n"/>
      <c r="G7220" s="14" t="n"/>
      <c r="H7220" s="14" t="n"/>
      <c r="I7220" s="14" t="n"/>
      <c r="J7220" s="14" t="n"/>
      <c r="K7220" s="53" t="inlineStr"/>
      <c r="L7220" s="53" t="inlineStr">
        <is>
          <t>Не определено</t>
        </is>
      </c>
      <c r="M7220" s="53" t="inlineStr"/>
      <c r="N7220" s="54" t="inlineStr"/>
      <c r="O7220" s="55" t="inlineStr"/>
      <c r="P7220" s="16" t="inlineStr">
        <is>
          <t>Требует обогащения</t>
        </is>
      </c>
      <c r="Q7220" s="16">
        <f>HYPERLINK("https://pb.nalog.ru/search.html?query=246001570990","ФНС: проверить")</f>
        <v/>
      </c>
      <c r="R7220" s="16">
        <f>HYPERLINK("https://checko.ru/search?query=3801001629","Чекко: проверить")</f>
        <v/>
      </c>
      <c r="S7220" t="n">
        <v>1</v>
      </c>
      <c r="T7220" s="35" t="inlineStr">
        <is>
          <t>4 — Не обогащён</t>
        </is>
      </c>
      <c r="U7220" s="35" t="inlineStr">
        <is>
          <t>Нет ОКВЭД/ССЧР</t>
        </is>
      </c>
      <c r="V7220" s="35" t="inlineStr">
        <is>
          <t>Не определено</t>
        </is>
      </c>
      <c r="W7220" s="35" t="inlineStr"/>
      <c r="X7220" s="35" t="inlineStr"/>
    </row>
    <row r="7221" ht="27.75" customHeight="1" s="24">
      <c r="A7221" s="13" t="inlineStr">
        <is>
          <t>FR865686</t>
        </is>
      </c>
      <c r="B7221" s="13" t="inlineStr">
        <is>
          <t>Общество с ограниченной ответственностью "УПРАВЛЕНИЕ ОМЗ"</t>
        </is>
      </c>
      <c r="C7221" s="13" t="n">
        <v>3810050848</v>
      </c>
      <c r="D7221" s="13" t="inlineStr">
        <is>
          <t>3810050848</t>
        </is>
      </c>
      <c r="E7221" s="13" t="inlineStr">
        <is>
          <t>ЮЛ РФ</t>
        </is>
      </c>
      <c r="F7221" s="13" t="n"/>
      <c r="G7221" s="52" t="n">
        <v>8</v>
      </c>
      <c r="H7221" s="52" t="n">
        <v>2025</v>
      </c>
      <c r="I7221" s="14" t="n"/>
      <c r="J7221" s="14" t="n"/>
      <c r="K7221" s="53" t="inlineStr">
        <is>
          <t>Нет</t>
        </is>
      </c>
      <c r="L7221" s="53" t="inlineStr">
        <is>
          <t>Не определено</t>
        </is>
      </c>
      <c r="M7221" s="53" t="inlineStr">
        <is>
          <t>До 10</t>
        </is>
      </c>
      <c r="N7221" s="54" t="n">
        <v>3360</v>
      </c>
      <c r="O7221" s="55" t="inlineStr">
        <is>
          <t>1–15</t>
        </is>
      </c>
      <c r="P7221" s="16" t="inlineStr">
        <is>
          <t>ССЧР обогащена; ОКВЭД не найден/не загружен</t>
        </is>
      </c>
      <c r="Q7221" s="16" t="inlineStr">
        <is>
          <t>ФНС открытые данные ССЧР (ДатаСост 31.12.2025; набор 7707329152-sshr2019)</t>
        </is>
      </c>
      <c r="R7221" s="16">
        <f>HYPERLINK("https://checko.ru/search?query=3801001629","Чекко: проверить")</f>
        <v/>
      </c>
      <c r="S7221" t="n">
        <v>1</v>
      </c>
      <c r="T7221" s="35" t="inlineStr">
        <is>
          <t>4 — Не обогащён</t>
        </is>
      </c>
      <c r="U7221" s="35" t="inlineStr">
        <is>
          <t>Нет ОКВЭД/ССЧР</t>
        </is>
      </c>
      <c r="V7221" s="35" t="inlineStr">
        <is>
          <t>Не определено</t>
        </is>
      </c>
      <c r="W7221" s="35" t="inlineStr">
        <is>
          <t>Нет</t>
        </is>
      </c>
      <c r="X7221" s="35" t="inlineStr"/>
    </row>
    <row r="7222" ht="27.75" customHeight="1" s="24">
      <c r="A7222" s="13" t="inlineStr">
        <is>
          <t>FR765432</t>
        </is>
      </c>
      <c r="B7222" s="13" t="inlineStr">
        <is>
          <t>Общество с ограниченной ответственностью "АНГАРА-СТРОЙКОНТРОЛЬ"</t>
        </is>
      </c>
      <c r="C7222" s="13" t="n">
        <v>3811178985</v>
      </c>
      <c r="D7222" s="13" t="inlineStr">
        <is>
          <t>3811178985</t>
        </is>
      </c>
      <c r="E7222" s="13" t="inlineStr">
        <is>
          <t>ЮЛ РФ</t>
        </is>
      </c>
      <c r="F7222" s="13" t="n"/>
      <c r="G7222" s="52" t="n">
        <v>7</v>
      </c>
      <c r="H7222" s="52" t="n">
        <v>2025</v>
      </c>
      <c r="I7222" s="14" t="n"/>
      <c r="J7222" s="14" t="n"/>
      <c r="K7222" s="53" t="inlineStr">
        <is>
          <t>Нет</t>
        </is>
      </c>
      <c r="L7222" s="53" t="inlineStr">
        <is>
          <t>Не определено</t>
        </is>
      </c>
      <c r="M7222" s="53" t="inlineStr">
        <is>
          <t>До 10</t>
        </is>
      </c>
      <c r="N7222" s="54" t="n">
        <v>3360</v>
      </c>
      <c r="O7222" s="55" t="inlineStr">
        <is>
          <t>1–15</t>
        </is>
      </c>
      <c r="P7222" s="16" t="inlineStr">
        <is>
          <t>ССЧР обогащена; ОКВЭД не найден/не загружен</t>
        </is>
      </c>
      <c r="Q7222" s="16" t="inlineStr">
        <is>
          <t>ФНС открытые данные ССЧР (ДатаСост 31.12.2025; набор 7707329152-sshr2019)</t>
        </is>
      </c>
      <c r="R7222" s="16">
        <f>HYPERLINK("https://checko.ru/search?query=3801001629","Чекко: проверить")</f>
        <v/>
      </c>
      <c r="S7222" t="n">
        <v>1</v>
      </c>
      <c r="T7222" s="35" t="inlineStr">
        <is>
          <t>4 — Не обогащён</t>
        </is>
      </c>
      <c r="U7222" s="35" t="inlineStr">
        <is>
          <t>Нет ОКВЭД/ССЧР</t>
        </is>
      </c>
      <c r="V7222" s="35" t="inlineStr">
        <is>
          <t>Не определено</t>
        </is>
      </c>
      <c r="W7222" s="35" t="inlineStr">
        <is>
          <t>Нет</t>
        </is>
      </c>
      <c r="X7222" s="35" t="inlineStr"/>
    </row>
    <row r="7223" ht="15" customHeight="1" s="24">
      <c r="A7223" s="13" t="inlineStr">
        <is>
          <t>FR1111991</t>
        </is>
      </c>
      <c r="B7223" s="13" t="inlineStr">
        <is>
          <t>ИП Ружникова Наталия Сергеевна</t>
        </is>
      </c>
      <c r="C7223" s="13" t="n">
        <v>381206283120</v>
      </c>
      <c r="D7223" s="13" t="inlineStr">
        <is>
          <t>381206283120</t>
        </is>
      </c>
      <c r="E7223" s="13" t="inlineStr">
        <is>
          <t>ИП РФ / физлицо</t>
        </is>
      </c>
      <c r="F7223" s="13" t="n"/>
      <c r="G7223" s="14" t="n"/>
      <c r="H7223" s="14" t="n"/>
      <c r="I7223" s="14" t="n"/>
      <c r="J7223" s="14" t="n"/>
      <c r="K7223" s="53" t="inlineStr"/>
      <c r="L7223" s="53" t="inlineStr">
        <is>
          <t>Не определено</t>
        </is>
      </c>
      <c r="M7223" s="53" t="inlineStr"/>
      <c r="N7223" s="54" t="inlineStr"/>
      <c r="O7223" s="55" t="inlineStr"/>
      <c r="P7223" s="16" t="inlineStr">
        <is>
          <t>Требует обогащения</t>
        </is>
      </c>
      <c r="Q7223" s="16">
        <f>HYPERLINK("https://pb.nalog.ru/search.html?query=381206283120","ФНС: проверить")</f>
        <v/>
      </c>
      <c r="R7223" s="16">
        <f>HYPERLINK("https://checko.ru/search?query=3801001629","Чекко: проверить")</f>
        <v/>
      </c>
      <c r="S7223" t="n">
        <v>1</v>
      </c>
      <c r="T7223" s="35" t="inlineStr">
        <is>
          <t>4 — Не обогащён</t>
        </is>
      </c>
      <c r="U7223" s="35" t="inlineStr">
        <is>
          <t>Нет ОКВЭД/ССЧР</t>
        </is>
      </c>
      <c r="V7223" s="35" t="inlineStr">
        <is>
          <t>Не определено</t>
        </is>
      </c>
      <c r="W7223" s="35" t="inlineStr"/>
      <c r="X7223" s="35" t="inlineStr"/>
    </row>
    <row r="7224" ht="27.75" customHeight="1" s="24">
      <c r="A7224" s="13" t="inlineStr">
        <is>
          <t>FR435327</t>
        </is>
      </c>
      <c r="B7224" s="13" t="inlineStr">
        <is>
          <t>ОБЩЕСТВО С ОГРАНИЧЕННОЙ ОТВЕТСТВЕННОСТЬЮ "ЭЛ-ЭМ"</t>
        </is>
      </c>
      <c r="C7224" s="13" t="n">
        <v>3808110313</v>
      </c>
      <c r="D7224" s="13" t="inlineStr">
        <is>
          <t>3808110313</t>
        </is>
      </c>
      <c r="E7224" s="13" t="inlineStr">
        <is>
          <t>ЮЛ РФ</t>
        </is>
      </c>
      <c r="F7224" s="13" t="n"/>
      <c r="G7224" s="52" t="n">
        <v>6</v>
      </c>
      <c r="H7224" s="52" t="n">
        <v>2025</v>
      </c>
      <c r="I7224" s="14" t="n"/>
      <c r="J7224" s="14" t="n"/>
      <c r="K7224" s="53" t="inlineStr">
        <is>
          <t>Нет</t>
        </is>
      </c>
      <c r="L7224" s="53" t="inlineStr">
        <is>
          <t>Не определено</t>
        </is>
      </c>
      <c r="M7224" s="53" t="inlineStr">
        <is>
          <t>До 10</t>
        </is>
      </c>
      <c r="N7224" s="54" t="n">
        <v>3360</v>
      </c>
      <c r="O7224" s="55" t="inlineStr">
        <is>
          <t>1–15</t>
        </is>
      </c>
      <c r="P7224" s="16" t="inlineStr">
        <is>
          <t>ССЧР обогащена; ОКВЭД не найден/не загружен</t>
        </is>
      </c>
      <c r="Q7224" s="16" t="inlineStr">
        <is>
          <t>ФНС открытые данные ССЧР (ДатаСост 31.12.2025; набор 7707329152-sshr2019)</t>
        </is>
      </c>
      <c r="R7224" s="16">
        <f>HYPERLINK("https://checko.ru/search?query=3801001629","Чекко: проверить")</f>
        <v/>
      </c>
      <c r="S7224" t="n">
        <v>1</v>
      </c>
      <c r="T7224" s="35" t="inlineStr">
        <is>
          <t>4 — Не обогащён</t>
        </is>
      </c>
      <c r="U7224" s="35" t="inlineStr">
        <is>
          <t>Нет ОКВЭД/ССЧР</t>
        </is>
      </c>
      <c r="V7224" s="35" t="inlineStr">
        <is>
          <t>Не определено</t>
        </is>
      </c>
      <c r="W7224" s="35" t="inlineStr">
        <is>
          <t>Нет</t>
        </is>
      </c>
      <c r="X7224" s="35" t="inlineStr"/>
    </row>
    <row r="7225" ht="41.25" customHeight="1" s="24">
      <c r="A7225" s="13" t="inlineStr">
        <is>
          <t>FR933701</t>
        </is>
      </c>
      <c r="B7225" s="13" t="inlineStr">
        <is>
          <t>Общество с ограниченной ответственностью "СПУТНИКОВЫЕ СИСТЕМЫ МОНИТОРИНГА-ИНЖИНИРИНГ"</t>
        </is>
      </c>
      <c r="C7225" s="13" t="n">
        <v>7814762402</v>
      </c>
      <c r="D7225" s="13" t="inlineStr">
        <is>
          <t>7814762402</t>
        </is>
      </c>
      <c r="E7225" s="13" t="inlineStr">
        <is>
          <t>ЮЛ РФ</t>
        </is>
      </c>
      <c r="F7225" s="13" t="n"/>
      <c r="G7225" s="52" t="n">
        <v>3</v>
      </c>
      <c r="H7225" s="52" t="n">
        <v>2025</v>
      </c>
      <c r="I7225" s="14" t="n"/>
      <c r="J7225" s="14" t="n"/>
      <c r="K7225" s="53" t="inlineStr">
        <is>
          <t>Нет</t>
        </is>
      </c>
      <c r="L7225" s="53" t="inlineStr">
        <is>
          <t>Не определено</t>
        </is>
      </c>
      <c r="M7225" s="53" t="inlineStr">
        <is>
          <t>До 10</t>
        </is>
      </c>
      <c r="N7225" s="54" t="n">
        <v>3360</v>
      </c>
      <c r="O7225" s="55" t="inlineStr">
        <is>
          <t>1–15</t>
        </is>
      </c>
      <c r="P7225" s="16" t="inlineStr">
        <is>
          <t>ССЧР обогащена; ОКВЭД не найден/не загружен</t>
        </is>
      </c>
      <c r="Q7225" s="16" t="inlineStr">
        <is>
          <t>ФНС открытые данные ССЧР (ДатаСост 31.12.2025; набор 7707329152-sshr2019)</t>
        </is>
      </c>
      <c r="R7225" s="16">
        <f>HYPERLINK("https://checko.ru/search?query=3801001629","Чекко: проверить")</f>
        <v/>
      </c>
      <c r="S7225" t="n">
        <v>1</v>
      </c>
      <c r="T7225" s="35" t="inlineStr">
        <is>
          <t>4 — Не обогащён</t>
        </is>
      </c>
      <c r="U7225" s="35" t="inlineStr">
        <is>
          <t>Нет ОКВЭД/ССЧР</t>
        </is>
      </c>
      <c r="V7225" s="35" t="inlineStr">
        <is>
          <t>Не определено</t>
        </is>
      </c>
      <c r="W7225" s="35" t="inlineStr">
        <is>
          <t>Нет</t>
        </is>
      </c>
      <c r="X7225" s="35" t="inlineStr"/>
    </row>
    <row r="7226" ht="15" customHeight="1" s="24">
      <c r="A7226" s="13" t="inlineStr">
        <is>
          <t>FR393417</t>
        </is>
      </c>
      <c r="B7226" s="13" t="inlineStr">
        <is>
          <t>ООО "ЭДЕЛЬВЕЙС 96"</t>
        </is>
      </c>
      <c r="C7226" s="13" t="n">
        <v>6679135739</v>
      </c>
      <c r="D7226" s="13" t="inlineStr">
        <is>
          <t>6679135739</t>
        </is>
      </c>
      <c r="E7226" s="13" t="inlineStr">
        <is>
          <t>ЮЛ РФ</t>
        </is>
      </c>
      <c r="F7226" s="13" t="n"/>
      <c r="G7226" s="52" t="n">
        <v>6</v>
      </c>
      <c r="H7226" s="52" t="n">
        <v>2025</v>
      </c>
      <c r="I7226" s="14" t="n"/>
      <c r="J7226" s="14" t="n"/>
      <c r="K7226" s="53" t="inlineStr">
        <is>
          <t>Нет</t>
        </is>
      </c>
      <c r="L7226" s="53" t="inlineStr">
        <is>
          <t>Не определено</t>
        </is>
      </c>
      <c r="M7226" s="53" t="inlineStr">
        <is>
          <t>До 10</t>
        </is>
      </c>
      <c r="N7226" s="54" t="n">
        <v>3360</v>
      </c>
      <c r="O7226" s="55" t="inlineStr">
        <is>
          <t>1–15</t>
        </is>
      </c>
      <c r="P7226" s="16" t="inlineStr">
        <is>
          <t>ССЧР обогащена; ОКВЭД не найден/не загружен</t>
        </is>
      </c>
      <c r="Q7226" s="16" t="inlineStr">
        <is>
          <t>ФНС открытые данные ССЧР (ДатаСост 31.12.2025; набор 7707329152-sshr2019)</t>
        </is>
      </c>
      <c r="R7226" s="16">
        <f>HYPERLINK("https://checko.ru/search?query=3801001629","Чекко: проверить")</f>
        <v/>
      </c>
      <c r="S7226" t="n">
        <v>1</v>
      </c>
      <c r="T7226" s="35" t="inlineStr">
        <is>
          <t>4 — Не обогащён</t>
        </is>
      </c>
      <c r="U7226" s="35" t="inlineStr">
        <is>
          <t>Нет ОКВЭД/ССЧР</t>
        </is>
      </c>
      <c r="V7226" s="35" t="inlineStr">
        <is>
          <t>Не определено</t>
        </is>
      </c>
      <c r="W7226" s="35" t="inlineStr">
        <is>
          <t>Нет</t>
        </is>
      </c>
      <c r="X7226" s="35" t="inlineStr"/>
    </row>
    <row r="7227" ht="27.75" customHeight="1" s="24">
      <c r="A7227" s="13" t="inlineStr">
        <is>
          <t>FR883424</t>
        </is>
      </c>
      <c r="B7227" s="13" t="inlineStr">
        <is>
          <t>Общество с ограниченной ответственностью "БЕНЗОВОЗОФФ"</t>
        </is>
      </c>
      <c r="C7227" s="13" t="n">
        <v>3812532974</v>
      </c>
      <c r="D7227" s="13" t="inlineStr">
        <is>
          <t>3812532974</t>
        </is>
      </c>
      <c r="E7227" s="13" t="inlineStr">
        <is>
          <t>ЮЛ РФ</t>
        </is>
      </c>
      <c r="F7227" s="13" t="n"/>
      <c r="G7227" s="52" t="n">
        <v>3</v>
      </c>
      <c r="H7227" s="52" t="n">
        <v>2025</v>
      </c>
      <c r="I7227" s="14" t="n"/>
      <c r="J7227" s="14" t="n"/>
      <c r="K7227" s="53" t="inlineStr">
        <is>
          <t>Нет</t>
        </is>
      </c>
      <c r="L7227" s="53" t="inlineStr">
        <is>
          <t>Не определено</t>
        </is>
      </c>
      <c r="M7227" s="53" t="inlineStr">
        <is>
          <t>До 10</t>
        </is>
      </c>
      <c r="N7227" s="54" t="n">
        <v>3360</v>
      </c>
      <c r="O7227" s="55" t="inlineStr">
        <is>
          <t>1–15</t>
        </is>
      </c>
      <c r="P7227" s="16" t="inlineStr">
        <is>
          <t>ССЧР обогащена; ОКВЭД не найден/не загружен</t>
        </is>
      </c>
      <c r="Q7227" s="16" t="inlineStr">
        <is>
          <t>ФНС открытые данные ССЧР (ДатаСост 31.12.2025; набор 7707329152-sshr2019)</t>
        </is>
      </c>
      <c r="R7227" s="16">
        <f>HYPERLINK("https://checko.ru/search?query=3801001629","Чекко: проверить")</f>
        <v/>
      </c>
      <c r="S7227" t="n">
        <v>1</v>
      </c>
      <c r="T7227" s="35" t="inlineStr">
        <is>
          <t>4 — Не обогащён</t>
        </is>
      </c>
      <c r="U7227" s="35" t="inlineStr">
        <is>
          <t>Нет ОКВЭД/ССЧР</t>
        </is>
      </c>
      <c r="V7227" s="35" t="inlineStr">
        <is>
          <t>Не определено</t>
        </is>
      </c>
      <c r="W7227" s="35" t="inlineStr">
        <is>
          <t>Нет</t>
        </is>
      </c>
      <c r="X7227" s="35" t="inlineStr"/>
    </row>
    <row r="7228" ht="15" customHeight="1" s="24">
      <c r="A7228" s="13" t="inlineStr">
        <is>
          <t>FR436551</t>
        </is>
      </c>
      <c r="B7228" s="13" t="inlineStr">
        <is>
          <t>ИП Бабинчук Александр Анатольевич</t>
        </is>
      </c>
      <c r="C7228" s="13" t="n">
        <v>421802216151</v>
      </c>
      <c r="D7228" s="13" t="inlineStr">
        <is>
          <t>421802216151</t>
        </is>
      </c>
      <c r="E7228" s="13" t="inlineStr">
        <is>
          <t>ИП РФ / физлицо</t>
        </is>
      </c>
      <c r="F7228" s="13" t="n"/>
      <c r="G7228" s="14" t="n"/>
      <c r="H7228" s="14" t="n"/>
      <c r="I7228" s="14" t="n"/>
      <c r="J7228" s="14" t="n"/>
      <c r="K7228" s="53" t="inlineStr"/>
      <c r="L7228" s="53" t="inlineStr">
        <is>
          <t>Не определено</t>
        </is>
      </c>
      <c r="M7228" s="53" t="inlineStr"/>
      <c r="N7228" s="54" t="inlineStr"/>
      <c r="O7228" s="55" t="inlineStr"/>
      <c r="P7228" s="16" t="inlineStr">
        <is>
          <t>Требует обогащения</t>
        </is>
      </c>
      <c r="Q7228" s="16">
        <f>HYPERLINK("https://pb.nalog.ru/search.html?query=421802216151","ФНС: проверить")</f>
        <v/>
      </c>
      <c r="R7228" s="16">
        <f>HYPERLINK("https://checko.ru/search?query=3801001629","Чекко: проверить")</f>
        <v/>
      </c>
      <c r="S7228" t="n">
        <v>1</v>
      </c>
      <c r="T7228" s="35" t="inlineStr">
        <is>
          <t>4 — Не обогащён</t>
        </is>
      </c>
      <c r="U7228" s="35" t="inlineStr">
        <is>
          <t>Нет ОКВЭД/ССЧР</t>
        </is>
      </c>
      <c r="V7228" s="35" t="inlineStr">
        <is>
          <t>Не определено</t>
        </is>
      </c>
      <c r="W7228" s="35" t="inlineStr"/>
      <c r="X7228" s="35" t="inlineStr"/>
    </row>
    <row r="7229" ht="27.75" customHeight="1" s="24">
      <c r="A7229" s="13" t="inlineStr">
        <is>
          <t>FR601102</t>
        </is>
      </c>
      <c r="B7229" s="13" t="inlineStr">
        <is>
          <t>Общество с ограниченной ответственностью "СЧЕТОВОД"</t>
        </is>
      </c>
      <c r="C7229" s="13" t="n">
        <v>5610247784</v>
      </c>
      <c r="D7229" s="13" t="inlineStr">
        <is>
          <t>5610247784</t>
        </is>
      </c>
      <c r="E7229" s="13" t="inlineStr">
        <is>
          <t>ЮЛ РФ</t>
        </is>
      </c>
      <c r="F7229" s="13" t="n"/>
      <c r="G7229" s="52" t="n">
        <v>1</v>
      </c>
      <c r="H7229" s="52" t="n">
        <v>2025</v>
      </c>
      <c r="I7229" s="14" t="n"/>
      <c r="J7229" s="14" t="n"/>
      <c r="K7229" s="53" t="inlineStr">
        <is>
          <t>Нет</t>
        </is>
      </c>
      <c r="L7229" s="53" t="inlineStr">
        <is>
          <t>Не определено</t>
        </is>
      </c>
      <c r="M7229" s="53" t="inlineStr">
        <is>
          <t>До 10</t>
        </is>
      </c>
      <c r="N7229" s="54" t="n">
        <v>3360</v>
      </c>
      <c r="O7229" s="55" t="inlineStr">
        <is>
          <t>1–15</t>
        </is>
      </c>
      <c r="P7229" s="16" t="inlineStr">
        <is>
          <t>ССЧР обогащена; ОКВЭД не найден/не загружен</t>
        </is>
      </c>
      <c r="Q7229" s="16" t="inlineStr">
        <is>
          <t>ФНС открытые данные ССЧР (ДатаСост 31.12.2025; набор 7707329152-sshr2019)</t>
        </is>
      </c>
      <c r="R7229" s="16">
        <f>HYPERLINK("https://checko.ru/search?query=3801001629","Чекко: проверить")</f>
        <v/>
      </c>
      <c r="S7229" t="n">
        <v>0</v>
      </c>
      <c r="T7229" s="35" t="inlineStr">
        <is>
          <t>4 — Не обогащён</t>
        </is>
      </c>
      <c r="U7229" s="35" t="inlineStr">
        <is>
          <t>Нет ОКВЭД/ССЧР</t>
        </is>
      </c>
      <c r="V7229" s="35" t="inlineStr">
        <is>
          <t>Не определено</t>
        </is>
      </c>
      <c r="W7229" s="35" t="inlineStr">
        <is>
          <t>Нет</t>
        </is>
      </c>
      <c r="X7229" s="35" t="inlineStr"/>
    </row>
    <row r="7230" ht="15" customHeight="1" s="24">
      <c r="A7230" s="13" t="inlineStr">
        <is>
          <t>FR330242</t>
        </is>
      </c>
      <c r="B7230" s="13" t="inlineStr">
        <is>
          <t>ИП Власюк Елена Александровна</t>
        </is>
      </c>
      <c r="C7230" s="13" t="n">
        <v>381109799216</v>
      </c>
      <c r="D7230" s="13" t="inlineStr">
        <is>
          <t>381109799216</t>
        </is>
      </c>
      <c r="E7230" s="13" t="inlineStr">
        <is>
          <t>ИП РФ / физлицо</t>
        </is>
      </c>
      <c r="F7230" s="13" t="n"/>
      <c r="G7230" s="14" t="n"/>
      <c r="H7230" s="14" t="n"/>
      <c r="I7230" s="14" t="n"/>
      <c r="J7230" s="14" t="n"/>
      <c r="K7230" s="53" t="inlineStr"/>
      <c r="L7230" s="53" t="inlineStr">
        <is>
          <t>Не определено</t>
        </is>
      </c>
      <c r="M7230" s="53" t="inlineStr"/>
      <c r="N7230" s="54" t="inlineStr"/>
      <c r="O7230" s="55" t="inlineStr"/>
      <c r="P7230" s="16" t="inlineStr">
        <is>
          <t>Требует обогащения</t>
        </is>
      </c>
      <c r="Q7230" s="16">
        <f>HYPERLINK("https://pb.nalog.ru/search.html?query=381109799216","ФНС: проверить")</f>
        <v/>
      </c>
      <c r="R7230" s="16">
        <f>HYPERLINK("https://checko.ru/search?query=3801001629","Чекко: проверить")</f>
        <v/>
      </c>
      <c r="S7230" t="n">
        <v>1</v>
      </c>
      <c r="T7230" s="35" t="inlineStr">
        <is>
          <t>4 — Не обогащён</t>
        </is>
      </c>
      <c r="U7230" s="35" t="inlineStr">
        <is>
          <t>Нет ОКВЭД/ССЧР</t>
        </is>
      </c>
      <c r="V7230" s="35" t="inlineStr">
        <is>
          <t>Не определено</t>
        </is>
      </c>
      <c r="W7230" s="35" t="inlineStr"/>
      <c r="X7230" s="35" t="inlineStr"/>
    </row>
    <row r="7231" ht="15" customHeight="1" s="24">
      <c r="A7231" s="13" t="inlineStr">
        <is>
          <t>FR1304198</t>
        </is>
      </c>
      <c r="B7231" s="13" t="inlineStr">
        <is>
          <t>ИП Божок Андрей Александрович</t>
        </is>
      </c>
      <c r="C7231" s="13" t="n">
        <v>381258753088</v>
      </c>
      <c r="D7231" s="13" t="inlineStr">
        <is>
          <t>381258753088</t>
        </is>
      </c>
      <c r="E7231" s="13" t="inlineStr">
        <is>
          <t>ИП РФ / физлицо</t>
        </is>
      </c>
      <c r="F7231" s="13" t="n"/>
      <c r="G7231" s="14" t="n"/>
      <c r="H7231" s="14" t="n"/>
      <c r="I7231" s="14" t="n"/>
      <c r="J7231" s="14" t="n"/>
      <c r="K7231" s="53" t="inlineStr"/>
      <c r="L7231" s="53" t="inlineStr">
        <is>
          <t>Не определено</t>
        </is>
      </c>
      <c r="M7231" s="53" t="inlineStr"/>
      <c r="N7231" s="54" t="inlineStr"/>
      <c r="O7231" s="55" t="inlineStr"/>
      <c r="P7231" s="16" t="inlineStr">
        <is>
          <t>Требует обогащения</t>
        </is>
      </c>
      <c r="Q7231" s="16">
        <f>HYPERLINK("https://pb.nalog.ru/search.html?query=381258753088","ФНС: проверить")</f>
        <v/>
      </c>
      <c r="R7231" s="16">
        <f>HYPERLINK("https://checko.ru/search?query=3801001629","Чекко: проверить")</f>
        <v/>
      </c>
      <c r="S7231" t="n">
        <v>1</v>
      </c>
      <c r="T7231" s="35" t="inlineStr">
        <is>
          <t>4 — Не обогащён</t>
        </is>
      </c>
      <c r="U7231" s="35" t="inlineStr">
        <is>
          <t>Нет ОКВЭД/ССЧР</t>
        </is>
      </c>
      <c r="V7231" s="35" t="inlineStr">
        <is>
          <t>Не определено</t>
        </is>
      </c>
      <c r="W7231" s="35" t="inlineStr"/>
      <c r="X7231" s="35" t="inlineStr"/>
    </row>
    <row r="7232" ht="27.75" customHeight="1" s="24">
      <c r="A7232" s="13" t="inlineStr">
        <is>
          <t>FR749904</t>
        </is>
      </c>
      <c r="B7232" s="13" t="inlineStr">
        <is>
          <t>Общество с ограниченной ответственностью "АНГАРА-СЕРВИС"</t>
        </is>
      </c>
      <c r="C7232" s="13" t="n">
        <v>3808273364</v>
      </c>
      <c r="D7232" s="13" t="inlineStr">
        <is>
          <t>3808273364</t>
        </is>
      </c>
      <c r="E7232" s="13" t="inlineStr">
        <is>
          <t>ЮЛ РФ</t>
        </is>
      </c>
      <c r="F7232" s="13" t="n"/>
      <c r="G7232" s="52" t="n">
        <v>1</v>
      </c>
      <c r="H7232" s="52" t="n">
        <v>2025</v>
      </c>
      <c r="I7232" s="14" t="n"/>
      <c r="J7232" s="14" t="n"/>
      <c r="K7232" s="53" t="inlineStr">
        <is>
          <t>Нет</t>
        </is>
      </c>
      <c r="L7232" s="53" t="inlineStr">
        <is>
          <t>Не определено</t>
        </is>
      </c>
      <c r="M7232" s="53" t="inlineStr">
        <is>
          <t>До 10</t>
        </is>
      </c>
      <c r="N7232" s="54" t="n">
        <v>3360</v>
      </c>
      <c r="O7232" s="55" t="inlineStr">
        <is>
          <t>1–15</t>
        </is>
      </c>
      <c r="P7232" s="16" t="inlineStr">
        <is>
          <t>ССЧР обогащена; ОКВЭД не найден/не загружен</t>
        </is>
      </c>
      <c r="Q7232" s="16" t="inlineStr">
        <is>
          <t>ФНС открытые данные ССЧР (ДатаСост 31.12.2025; набор 7707329152-sshr2019)</t>
        </is>
      </c>
      <c r="R7232" s="16">
        <f>HYPERLINK("https://checko.ru/search?query=3801001629","Чекко: проверить")</f>
        <v/>
      </c>
      <c r="S7232" t="n">
        <v>1</v>
      </c>
      <c r="T7232" s="35" t="inlineStr">
        <is>
          <t>4 — Не обогащён</t>
        </is>
      </c>
      <c r="U7232" s="35" t="inlineStr">
        <is>
          <t>Нет ОКВЭД/ССЧР</t>
        </is>
      </c>
      <c r="V7232" s="35" t="inlineStr">
        <is>
          <t>Не определено</t>
        </is>
      </c>
      <c r="W7232" s="35" t="inlineStr">
        <is>
          <t>Нет</t>
        </is>
      </c>
      <c r="X7232" s="35" t="inlineStr"/>
    </row>
    <row r="7233" ht="15" customHeight="1" s="24">
      <c r="A7233" s="13" t="inlineStr">
        <is>
          <t>FR167130</t>
        </is>
      </c>
      <c r="B7233" s="13" t="inlineStr">
        <is>
          <t>ООО "МЕТАЛЛ КОМПЛЕКТ"</t>
        </is>
      </c>
      <c r="C7233" s="13" t="n">
        <v>3849068572</v>
      </c>
      <c r="D7233" s="13" t="inlineStr">
        <is>
          <t>3849068572</t>
        </is>
      </c>
      <c r="E7233" s="13" t="inlineStr">
        <is>
          <t>ЮЛ РФ</t>
        </is>
      </c>
      <c r="F7233" s="13" t="n"/>
      <c r="G7233" s="52" t="n">
        <v>0</v>
      </c>
      <c r="H7233" s="52" t="n">
        <v>2025</v>
      </c>
      <c r="I7233" s="14" t="n"/>
      <c r="J7233" s="14" t="n"/>
      <c r="K7233" s="53" t="inlineStr">
        <is>
          <t>Нет</t>
        </is>
      </c>
      <c r="L7233" s="53" t="inlineStr">
        <is>
          <t>Не определено</t>
        </is>
      </c>
      <c r="M7233" s="53" t="inlineStr">
        <is>
          <t>До 10</t>
        </is>
      </c>
      <c r="N7233" s="54" t="n">
        <v>3360</v>
      </c>
      <c r="O7233" s="55" t="inlineStr">
        <is>
          <t>1–15</t>
        </is>
      </c>
      <c r="P7233" s="16" t="inlineStr">
        <is>
          <t>ССЧР обогащена; ОКВЭД не найден/не загружен</t>
        </is>
      </c>
      <c r="Q7233" s="16" t="inlineStr">
        <is>
          <t>ФНС открытые данные ССЧР (ДатаСост 31.12.2025; набор 7707329152-sshr2019)</t>
        </is>
      </c>
      <c r="R7233" s="16">
        <f>HYPERLINK("https://checko.ru/search?query=3801001629","Чекко: проверить")</f>
        <v/>
      </c>
      <c r="S7233" t="n">
        <v>1</v>
      </c>
      <c r="T7233" s="35" t="inlineStr">
        <is>
          <t>4 — Не обогащён</t>
        </is>
      </c>
      <c r="U7233" s="35" t="inlineStr">
        <is>
          <t>Нет ОКВЭД/ССЧР</t>
        </is>
      </c>
      <c r="V7233" s="35" t="inlineStr">
        <is>
          <t>Не определено</t>
        </is>
      </c>
      <c r="W7233" s="35" t="inlineStr">
        <is>
          <t>Нет</t>
        </is>
      </c>
      <c r="X7233" s="35" t="inlineStr"/>
    </row>
    <row r="7234" ht="27.75" customHeight="1" s="24">
      <c r="A7234" s="13" t="inlineStr">
        <is>
          <t>FR600322</t>
        </is>
      </c>
      <c r="B7234" s="13" t="inlineStr">
        <is>
          <t>Общество с ограниченной ответственностью "ИНСТИТУТ ИННОВАЦИОННЫХ ТЕХНОЛОГИЙ"</t>
        </is>
      </c>
      <c r="C7234" s="13" t="n">
        <v>5609183455</v>
      </c>
      <c r="D7234" s="13" t="inlineStr">
        <is>
          <t>5609183455</t>
        </is>
      </c>
      <c r="E7234" s="13" t="inlineStr">
        <is>
          <t>ЮЛ РФ</t>
        </is>
      </c>
      <c r="F7234" s="13" t="n"/>
      <c r="G7234" s="52" t="n">
        <v>2</v>
      </c>
      <c r="H7234" s="52" t="n">
        <v>2025</v>
      </c>
      <c r="I7234" s="14" t="n"/>
      <c r="J7234" s="14" t="n"/>
      <c r="K7234" s="53" t="inlineStr">
        <is>
          <t>Нет</t>
        </is>
      </c>
      <c r="L7234" s="53" t="inlineStr">
        <is>
          <t>Не определено</t>
        </is>
      </c>
      <c r="M7234" s="53" t="inlineStr">
        <is>
          <t>До 10</t>
        </is>
      </c>
      <c r="N7234" s="54" t="n">
        <v>3360</v>
      </c>
      <c r="O7234" s="55" t="inlineStr">
        <is>
          <t>1–15</t>
        </is>
      </c>
      <c r="P7234" s="16" t="inlineStr">
        <is>
          <t>ССЧР обогащена; ОКВЭД не найден/не загружен</t>
        </is>
      </c>
      <c r="Q7234" s="16" t="inlineStr">
        <is>
          <t>ФНС открытые данные ССЧР (ДатаСост 31.12.2025; набор 7707329152-sshr2019)</t>
        </is>
      </c>
      <c r="R7234" s="16">
        <f>HYPERLINK("https://checko.ru/search?query=3801001629","Чекко: проверить")</f>
        <v/>
      </c>
      <c r="S7234" t="n">
        <v>1</v>
      </c>
      <c r="T7234" s="35" t="inlineStr">
        <is>
          <t>4 — Не обогащён</t>
        </is>
      </c>
      <c r="U7234" s="35" t="inlineStr">
        <is>
          <t>Нет ОКВЭД/ССЧР</t>
        </is>
      </c>
      <c r="V7234" s="35" t="inlineStr">
        <is>
          <t>Не определено</t>
        </is>
      </c>
      <c r="W7234" s="35" t="inlineStr">
        <is>
          <t>Нет</t>
        </is>
      </c>
      <c r="X7234" s="35" t="inlineStr"/>
    </row>
    <row r="7235" ht="15" customHeight="1" s="24">
      <c r="A7235" s="13" t="inlineStr">
        <is>
          <t>FR319550</t>
        </is>
      </c>
      <c r="B7235" s="13" t="inlineStr">
        <is>
          <t>ИНТЕРКОМП, ООО</t>
        </is>
      </c>
      <c r="C7235" s="13" t="n">
        <v>7726421280</v>
      </c>
      <c r="D7235" s="13" t="inlineStr">
        <is>
          <t>7726421280</t>
        </is>
      </c>
      <c r="E7235" s="13" t="inlineStr">
        <is>
          <t>ЮЛ РФ</t>
        </is>
      </c>
      <c r="F7235" s="13" t="n"/>
      <c r="G7235" s="52" t="n">
        <v>1</v>
      </c>
      <c r="H7235" s="52" t="n">
        <v>2025</v>
      </c>
      <c r="I7235" s="14" t="n"/>
      <c r="J7235" s="14" t="n"/>
      <c r="K7235" s="53" t="inlineStr">
        <is>
          <t>Нет</t>
        </is>
      </c>
      <c r="L7235" s="53" t="inlineStr">
        <is>
          <t>Не определено</t>
        </is>
      </c>
      <c r="M7235" s="53" t="inlineStr">
        <is>
          <t>До 10</t>
        </is>
      </c>
      <c r="N7235" s="54" t="n">
        <v>3360</v>
      </c>
      <c r="O7235" s="55" t="inlineStr">
        <is>
          <t>1–15</t>
        </is>
      </c>
      <c r="P7235" s="16" t="inlineStr">
        <is>
          <t>ССЧР обогащена; ОКВЭД не найден/не загружен</t>
        </is>
      </c>
      <c r="Q7235" s="16" t="inlineStr">
        <is>
          <t>ФНС открытые данные ССЧР (ДатаСост 31.12.2025; набор 7707329152-sshr2019)</t>
        </is>
      </c>
      <c r="R7235" s="16">
        <f>HYPERLINK("https://checko.ru/search?query=3801001629","Чекко: проверить")</f>
        <v/>
      </c>
      <c r="S7235" t="n">
        <v>1</v>
      </c>
      <c r="T7235" s="35" t="inlineStr">
        <is>
          <t>4 — Не обогащён</t>
        </is>
      </c>
      <c r="U7235" s="35" t="inlineStr">
        <is>
          <t>Нет ОКВЭД/ССЧР</t>
        </is>
      </c>
      <c r="V7235" s="35" t="inlineStr">
        <is>
          <t>Не определено</t>
        </is>
      </c>
      <c r="W7235" s="35" t="inlineStr">
        <is>
          <t>Нет</t>
        </is>
      </c>
      <c r="X7235" s="35" t="inlineStr"/>
    </row>
    <row r="7236" ht="27.75" customHeight="1" s="24">
      <c r="A7236" s="13" t="inlineStr">
        <is>
          <t>FR1309701</t>
        </is>
      </c>
      <c r="B7236" s="13" t="inlineStr">
        <is>
          <t>Общество с ограниченной ответственностью "АЛЬФАТЭК"</t>
        </is>
      </c>
      <c r="C7236" s="13" t="n">
        <v>3812168041</v>
      </c>
      <c r="D7236" s="13" t="inlineStr">
        <is>
          <t>3812168041</t>
        </is>
      </c>
      <c r="E7236" s="13" t="inlineStr">
        <is>
          <t>ЮЛ РФ</t>
        </is>
      </c>
      <c r="F7236" s="13" t="n"/>
      <c r="G7236" s="52" t="n">
        <v>0</v>
      </c>
      <c r="H7236" s="52" t="n">
        <v>2025</v>
      </c>
      <c r="I7236" s="14" t="n"/>
      <c r="J7236" s="14" t="n"/>
      <c r="K7236" s="53" t="inlineStr">
        <is>
          <t>Нет</t>
        </is>
      </c>
      <c r="L7236" s="53" t="inlineStr">
        <is>
          <t>Не определено</t>
        </is>
      </c>
      <c r="M7236" s="53" t="inlineStr">
        <is>
          <t>До 10</t>
        </is>
      </c>
      <c r="N7236" s="54" t="n">
        <v>3360</v>
      </c>
      <c r="O7236" s="55" t="inlineStr">
        <is>
          <t>1–15</t>
        </is>
      </c>
      <c r="P7236" s="16" t="inlineStr">
        <is>
          <t>ССЧР обогащена; ОКВЭД не найден/не загружен</t>
        </is>
      </c>
      <c r="Q7236" s="16" t="inlineStr">
        <is>
          <t>ФНС открытые данные ССЧР (ДатаСост 31.12.2025; набор 7707329152-sshr2019)</t>
        </is>
      </c>
      <c r="R7236" s="16">
        <f>HYPERLINK("https://checko.ru/search?query=3801001629","Чекко: проверить")</f>
        <v/>
      </c>
      <c r="S7236" t="n">
        <v>1</v>
      </c>
      <c r="T7236" s="35" t="inlineStr">
        <is>
          <t>4 — Не обогащён</t>
        </is>
      </c>
      <c r="U7236" s="35" t="inlineStr">
        <is>
          <t>Нет ОКВЭД/ССЧР</t>
        </is>
      </c>
      <c r="V7236" s="35" t="inlineStr">
        <is>
          <t>Не определено</t>
        </is>
      </c>
      <c r="W7236" s="35" t="inlineStr">
        <is>
          <t>Нет</t>
        </is>
      </c>
      <c r="X7236" s="35" t="inlineStr"/>
    </row>
    <row r="7237" ht="15" customHeight="1" s="24">
      <c r="A7237" s="13" t="inlineStr">
        <is>
          <t>FR592009</t>
        </is>
      </c>
      <c r="B7237" s="13" t="inlineStr">
        <is>
          <t>ИП Недорезова Надежда Александровна</t>
        </is>
      </c>
      <c r="C7237" s="13" t="n">
        <v>30901808723</v>
      </c>
      <c r="D7237" s="13" t="n"/>
      <c r="E7237" s="13" t="inlineStr">
        <is>
          <t>Не определён</t>
        </is>
      </c>
      <c r="F7237" s="13" t="n"/>
      <c r="G7237" s="14" t="n"/>
      <c r="H7237" s="14" t="n"/>
      <c r="I7237" s="14" t="n"/>
      <c r="J7237" s="14" t="n"/>
      <c r="K7237" s="13">
        <f>IF(G7237="","",IF(G7237&gt;=22,"Да","Нет"))</f>
        <v/>
      </c>
      <c r="L7237" s="13">
        <f>IF(OR(I7237="",J7237=""),"Не определено",IF(OR(COUNTIF(I7237,"45*")&gt;0,COUNTIF(J7237,"*45*")&gt;0,COUNTIF(I7237,"46*")&gt;0,COUNTIF(J7237,"*46*")&gt;0,COUNTIF(I7237,"47*")&gt;0,COUNTIF(J7237,"*47*")&gt;0,COUNTIF(I7237,"10*")&gt;0,COUNTIF(J7237,"*10*")&gt;0,COUNTIF(I7237,"11*")&gt;0,COUNTIF(J7237,"*11*")&gt;0,COUNTIF(I7237,"12*")&gt;0,COUNTIF(J7237,"*12*")&gt;0,COUNTIF(I7237,"13*")&gt;0,COUNTIF(J7237,"*13*")&gt;0,COUNTIF(I7237,"14*")&gt;0,COUNTIF(J7237,"*14*")&gt;0,COUNTIF(I7237,"15*")&gt;0,COUNTIF(J7237,"*15*")&gt;0,COUNTIF(I7237,"16*")&gt;0,COUNTIF(J7237,"*16*")&gt;0,COUNTIF(I7237,"17*")&gt;0,COUNTIF(J7237,"*17*")&gt;0,COUNTIF(I7237,"18*")&gt;0,COUNTIF(J7237,"*18*")&gt;0,COUNTIF(I7237,"19*")&gt;0,COUNTIF(J7237,"*19*")&gt;0,COUNTIF(I7237,"20*")&gt;0,COUNTIF(J7237,"*20*")&gt;0,COUNTIF(I7237,"21*")&gt;0,COUNTIF(J7237,"*21*")&gt;0,COUNTIF(I7237,"22*")&gt;0,COUNTIF(J7237,"*22*")&gt;0,COUNTIF(I7237,"23*")&gt;0,COUNTIF(J7237,"*23*")&gt;0,COUNTIF(I7237,"24*")&gt;0,COUNTIF(J7237,"*24*")&gt;0,COUNTIF(I7237,"25*")&gt;0,COUNTIF(J7237,"*25*")&gt;0,COUNTIF(I7237,"26*")&gt;0,COUNTIF(J7237,"*26*")&gt;0,COUNTIF(I7237,"27*")&gt;0,COUNTIF(J7237,"*27*")&gt;0,COUNTIF(I7237,"28*")&gt;0,COUNTIF(J7237,"*28*")&gt;0,COUNTIF(I7237,"29*")&gt;0,COUNTIF(J7237,"*29*")&gt;0,COUNTIF(I7237,"30*")&gt;0,COUNTIF(J7237,"*30*")&gt;0,COUNTIF(I7237,"31*")&gt;0,COUNTIF(J7237,"*31*")&gt;0,COUNTIF(I7237,"32*")&gt;0,COUNTIF(J7237,"*32*")&gt;0,COUNTIF(I7237,"33*")&gt;0,COUNTIF(J7237,"*33*")&gt;0,COUNTIF(I7237,"41*")&gt;0,COUNTIF(J7237,"*41*")&gt;0,COUNTIF(I7237,"42*")&gt;0,COUNTIF(J7237,"*42*")&gt;0,COUNTIF(I7237,"43*")&gt;0,COUNTIF(J7237,"*43*")&gt;0,COUNTIF(I7237,"49*")&gt;0,COUNTIF(J7237,"*49*")&gt;0,COUNTIF(I7237,"52*")&gt;0,COUNTIF(J7237,"*52*")&gt;0,COUNTIF(I7237,"55*")&gt;0,COUNTIF(J7237,"*55*")&gt;0,COUNTIF(I7237,"56*")&gt;0,COUNTIF(J7237,"*56*")&gt;0,COUNTIF(I7237,"68*")&gt;0,COUNTIF(J7237,"*68*")&gt;0,COUNTIF(I7237,"78*")&gt;0,COUNTIF(J7237,"*78*")&gt;0,COUNTIF(I7237,"81*")&gt;0,COUNTIF(J7237,"*81*")&gt;0,COUNTIF(I7237,"82*")&gt;0,COUNTIF(J7237,"*82*")&gt;0,COUNTIF(I7237,"64*")&gt;0,COUNTIF(J7237,"*64*")&gt;0,COUNTIF(I7237,"65*")&gt;0,COUNTIF(J7237,"*65*")&gt;0,COUNTIF(I7237,"66*")&gt;0,COUNTIF(J7237,"*66*")&gt;0,COUNTIF(I7237,"61*")&gt;0,COUNTIF(J7237,"*61*")&gt;0,COUNTIF(I7237,"62*")&gt;0,COUNTIF(J7237,"*62*")&gt;0,COUNTIF(I7237,"63*")&gt;0,COUNTIF(J7237,"*63*")&gt;0,COUNTIF(I7237,"85*")&gt;0,COUNTIF(J7237,"*85*")&gt;0,COUNTIF(I7237,"86*")&gt;0,COUNTIF(J7237,"*86*")&gt;0),"Да","Нет"))</f>
        <v/>
      </c>
      <c r="M7237" s="13">
        <f>IF(OR(G7237="",L7237&lt;&gt;"Да"),"",IF(G7237&lt;=100,"До 100",IF(G7237&lt;=200,"До 200",IF(G7237&lt;=500,"До 500","Отдельное КП"))))</f>
        <v/>
      </c>
      <c r="N7237" s="15">
        <f>IF(OR(G7237="",L7237&lt;&gt;"Да"),"",IF(G7237&lt;=100,33600,IF(G7237&lt;=200,62400,IF(G7237&lt;=500,144000,""))))</f>
        <v/>
      </c>
      <c r="O7237" s="16">
        <f>IF(G7237="","",IF(G7237&lt;=15,"1–15",IF(G7237&lt;=30,"16–30",IF(G7237&lt;=50,"31–50",IF(G7237&lt;=100,"51–100",IF(G7237&lt;=150,"101–150",IF(G7237&lt;=200,"151–200",IF(G7237&lt;=500,"201–500","500+"))))))))</f>
        <v/>
      </c>
      <c r="P7237" s="16" t="inlineStr">
        <is>
          <t>Нет совпадения в предоставленной выгрузке ССЧР</t>
        </is>
      </c>
      <c r="Q7237" s="16" t="n"/>
      <c r="R7237" s="16">
        <f>HYPERLINK("https://checko.ru/search?query=3801001629","Чекко: проверить")</f>
        <v/>
      </c>
      <c r="S7237" t="n">
        <v>0</v>
      </c>
    </row>
    <row r="7238" ht="27.75" customHeight="1" s="24">
      <c r="A7238" s="13" t="inlineStr">
        <is>
          <t>FR904617</t>
        </is>
      </c>
      <c r="B7238" s="13" t="inlineStr">
        <is>
          <t>Общество с ограниченной ответственностью "НК АРИУС"</t>
        </is>
      </c>
      <c r="C7238" s="13" t="n">
        <v>3801156929</v>
      </c>
      <c r="D7238" s="13" t="inlineStr">
        <is>
          <t>3801156929</t>
        </is>
      </c>
      <c r="E7238" s="13" t="inlineStr">
        <is>
          <t>ЮЛ РФ</t>
        </is>
      </c>
      <c r="F7238" s="13" t="n"/>
      <c r="G7238" s="52" t="n">
        <v>1</v>
      </c>
      <c r="H7238" s="52" t="n">
        <v>2025</v>
      </c>
      <c r="I7238" s="14" t="n"/>
      <c r="J7238" s="14" t="n"/>
      <c r="K7238" s="53" t="inlineStr">
        <is>
          <t>Нет</t>
        </is>
      </c>
      <c r="L7238" s="53" t="inlineStr">
        <is>
          <t>Не определено</t>
        </is>
      </c>
      <c r="M7238" s="53" t="inlineStr">
        <is>
          <t>До 10</t>
        </is>
      </c>
      <c r="N7238" s="54" t="n">
        <v>3360</v>
      </c>
      <c r="O7238" s="55" t="inlineStr">
        <is>
          <t>1–15</t>
        </is>
      </c>
      <c r="P7238" s="16" t="inlineStr">
        <is>
          <t>ССЧР обогащена; ОКВЭД не найден/не загружен</t>
        </is>
      </c>
      <c r="Q7238" s="16" t="inlineStr">
        <is>
          <t>ФНС открытые данные ССЧР (ДатаСост 31.12.2025; набор 7707329152-sshr2019)</t>
        </is>
      </c>
      <c r="R7238" s="16">
        <f>HYPERLINK("https://checko.ru/search?query=3801001629","Чекко: проверить")</f>
        <v/>
      </c>
      <c r="S7238" t="n">
        <v>1</v>
      </c>
      <c r="T7238" s="35" t="inlineStr">
        <is>
          <t>4 — Не обогащён</t>
        </is>
      </c>
      <c r="U7238" s="35" t="inlineStr">
        <is>
          <t>Нет ОКВЭД/ССЧР</t>
        </is>
      </c>
      <c r="V7238" s="35" t="inlineStr">
        <is>
          <t>Не определено</t>
        </is>
      </c>
      <c r="W7238" s="35" t="inlineStr">
        <is>
          <t>Нет</t>
        </is>
      </c>
      <c r="X7238" s="35" t="inlineStr"/>
    </row>
    <row r="7239" ht="15" customHeight="1" s="24">
      <c r="A7239" s="13" t="inlineStr">
        <is>
          <t>FR914664</t>
        </is>
      </c>
      <c r="B7239" s="13" t="inlineStr">
        <is>
          <t>ИП Шенцов Степан Андреевич</t>
        </is>
      </c>
      <c r="C7239" s="13" t="n">
        <v>380200660420</v>
      </c>
      <c r="D7239" s="13" t="inlineStr">
        <is>
          <t>380200660420</t>
        </is>
      </c>
      <c r="E7239" s="13" t="inlineStr">
        <is>
          <t>ИП РФ / физлицо</t>
        </is>
      </c>
      <c r="F7239" s="13" t="n"/>
      <c r="G7239" s="14" t="n"/>
      <c r="H7239" s="14" t="n"/>
      <c r="I7239" s="14" t="n"/>
      <c r="J7239" s="14" t="n"/>
      <c r="K7239" s="53" t="inlineStr"/>
      <c r="L7239" s="53" t="inlineStr">
        <is>
          <t>Не определено</t>
        </is>
      </c>
      <c r="M7239" s="53" t="inlineStr"/>
      <c r="N7239" s="54" t="inlineStr"/>
      <c r="O7239" s="55" t="inlineStr"/>
      <c r="P7239" s="16" t="inlineStr">
        <is>
          <t>Требует обогащения</t>
        </is>
      </c>
      <c r="Q7239" s="16">
        <f>HYPERLINK("https://pb.nalog.ru/search.html?query=380200660420","ФНС: проверить")</f>
        <v/>
      </c>
      <c r="R7239" s="16">
        <f>HYPERLINK("https://checko.ru/search?query=3801001629","Чекко: проверить")</f>
        <v/>
      </c>
      <c r="S7239" t="n">
        <v>1</v>
      </c>
      <c r="T7239" s="35" t="inlineStr">
        <is>
          <t>4 — Не обогащён</t>
        </is>
      </c>
      <c r="U7239" s="35" t="inlineStr">
        <is>
          <t>Нет ОКВЭД/ССЧР</t>
        </is>
      </c>
      <c r="V7239" s="35" t="inlineStr">
        <is>
          <t>Не определено</t>
        </is>
      </c>
      <c r="W7239" s="35" t="inlineStr"/>
      <c r="X7239" s="35" t="inlineStr"/>
    </row>
    <row r="7240" ht="27.75" customHeight="1" s="24">
      <c r="A7240" s="13" t="inlineStr">
        <is>
          <t>FR309255</t>
        </is>
      </c>
      <c r="B7240" s="13" t="inlineStr">
        <is>
          <t>ОБЩЕСТВО С ОГРАНИЧЕННОЙ ОТВЕТСТВЕННОСТЬЮ "НКТЭКС"</t>
        </is>
      </c>
      <c r="C7240" s="13" t="n">
        <v>5404098576</v>
      </c>
      <c r="D7240" s="13" t="inlineStr">
        <is>
          <t>5404098576</t>
        </is>
      </c>
      <c r="E7240" s="13" t="inlineStr">
        <is>
          <t>ЮЛ РФ</t>
        </is>
      </c>
      <c r="F7240" s="13" t="n"/>
      <c r="G7240" s="52" t="n">
        <v>1</v>
      </c>
      <c r="H7240" s="52" t="n">
        <v>2025</v>
      </c>
      <c r="I7240" s="14" t="n"/>
      <c r="J7240" s="14" t="n"/>
      <c r="K7240" s="53" t="inlineStr">
        <is>
          <t>Нет</t>
        </is>
      </c>
      <c r="L7240" s="53" t="inlineStr">
        <is>
          <t>Не определено</t>
        </is>
      </c>
      <c r="M7240" s="53" t="inlineStr">
        <is>
          <t>До 10</t>
        </is>
      </c>
      <c r="N7240" s="54" t="n">
        <v>3360</v>
      </c>
      <c r="O7240" s="55" t="inlineStr">
        <is>
          <t>1–15</t>
        </is>
      </c>
      <c r="P7240" s="16" t="inlineStr">
        <is>
          <t>ССЧР обогащена; ОКВЭД не найден/не загружен</t>
        </is>
      </c>
      <c r="Q7240" s="16" t="inlineStr">
        <is>
          <t>ФНС открытые данные ССЧР (ДатаСост 31.12.2025; набор 7707329152-sshr2019)</t>
        </is>
      </c>
      <c r="R7240" s="16">
        <f>HYPERLINK("https://checko.ru/search?query=3801001629","Чекко: проверить")</f>
        <v/>
      </c>
      <c r="S7240" t="n">
        <v>1</v>
      </c>
      <c r="T7240" s="35" t="inlineStr">
        <is>
          <t>4 — Не обогащён</t>
        </is>
      </c>
      <c r="U7240" s="35" t="inlineStr">
        <is>
          <t>Нет ОКВЭД/ССЧР</t>
        </is>
      </c>
      <c r="V7240" s="35" t="inlineStr">
        <is>
          <t>Не определено</t>
        </is>
      </c>
      <c r="W7240" s="35" t="inlineStr">
        <is>
          <t>Нет</t>
        </is>
      </c>
      <c r="X7240" s="35" t="inlineStr"/>
    </row>
    <row r="7241" ht="15" customHeight="1" s="24">
      <c r="A7241" s="13" t="inlineStr">
        <is>
          <t>FR918754</t>
        </is>
      </c>
      <c r="B7241" s="13" t="inlineStr">
        <is>
          <t>ИП Червова Светлана Анатольевна</t>
        </is>
      </c>
      <c r="C7241" s="13" t="n">
        <v>420512546903</v>
      </c>
      <c r="D7241" s="13" t="inlineStr">
        <is>
          <t>420512546903</t>
        </is>
      </c>
      <c r="E7241" s="13" t="inlineStr">
        <is>
          <t>ИП РФ / физлицо</t>
        </is>
      </c>
      <c r="F7241" s="13" t="n"/>
      <c r="G7241" s="14" t="n"/>
      <c r="H7241" s="14" t="n"/>
      <c r="I7241" s="14" t="n"/>
      <c r="J7241" s="14" t="n"/>
      <c r="K7241" s="53" t="inlineStr"/>
      <c r="L7241" s="53" t="inlineStr">
        <is>
          <t>Не определено</t>
        </is>
      </c>
      <c r="M7241" s="53" t="inlineStr"/>
      <c r="N7241" s="54" t="inlineStr"/>
      <c r="O7241" s="55" t="inlineStr"/>
      <c r="P7241" s="16" t="inlineStr">
        <is>
          <t>Требует обогащения</t>
        </is>
      </c>
      <c r="Q7241" s="16">
        <f>HYPERLINK("https://pb.nalog.ru/search.html?query=420512546903","ФНС: проверить")</f>
        <v/>
      </c>
      <c r="R7241" s="16">
        <f>HYPERLINK("https://checko.ru/search?query=3801001629","Чекко: проверить")</f>
        <v/>
      </c>
      <c r="S7241" t="n">
        <v>1</v>
      </c>
      <c r="T7241" s="35" t="inlineStr">
        <is>
          <t>4 — Не обогащён</t>
        </is>
      </c>
      <c r="U7241" s="35" t="inlineStr">
        <is>
          <t>Нет ОКВЭД/ССЧР</t>
        </is>
      </c>
      <c r="V7241" s="35" t="inlineStr">
        <is>
          <t>Не определено</t>
        </is>
      </c>
      <c r="W7241" s="35" t="inlineStr"/>
      <c r="X7241" s="35" t="inlineStr"/>
    </row>
    <row r="7242" ht="27.75" customHeight="1" s="24">
      <c r="A7242" s="13" t="inlineStr">
        <is>
          <t>FR1128231</t>
        </is>
      </c>
      <c r="B7242" s="13" t="inlineStr">
        <is>
          <t>Общество с ограниченной ответственностью "КАСКАД"</t>
        </is>
      </c>
      <c r="C7242" s="13" t="n">
        <v>6168123966</v>
      </c>
      <c r="D7242" s="13" t="inlineStr">
        <is>
          <t>6168123966</t>
        </is>
      </c>
      <c r="E7242" s="13" t="inlineStr">
        <is>
          <t>ЮЛ РФ</t>
        </is>
      </c>
      <c r="F7242" s="13" t="n"/>
      <c r="G7242" s="52" t="n">
        <v>1</v>
      </c>
      <c r="H7242" s="52" t="n">
        <v>2025</v>
      </c>
      <c r="I7242" s="14" t="n"/>
      <c r="J7242" s="14" t="n"/>
      <c r="K7242" s="53" t="inlineStr">
        <is>
          <t>Нет</t>
        </is>
      </c>
      <c r="L7242" s="53" t="inlineStr">
        <is>
          <t>Не определено</t>
        </is>
      </c>
      <c r="M7242" s="53" t="inlineStr">
        <is>
          <t>До 10</t>
        </is>
      </c>
      <c r="N7242" s="54" t="n">
        <v>3360</v>
      </c>
      <c r="O7242" s="55" t="inlineStr">
        <is>
          <t>1–15</t>
        </is>
      </c>
      <c r="P7242" s="16" t="inlineStr">
        <is>
          <t>ССЧР обогащена; ОКВЭД не найден/не загружен</t>
        </is>
      </c>
      <c r="Q7242" s="16" t="inlineStr">
        <is>
          <t>ФНС открытые данные ССЧР (ДатаСост 31.12.2025; набор 7707329152-sshr2019)</t>
        </is>
      </c>
      <c r="R7242" s="16">
        <f>HYPERLINK("https://checko.ru/search?query=3801001629","Чекко: проверить")</f>
        <v/>
      </c>
      <c r="S7242" t="n">
        <v>1</v>
      </c>
      <c r="T7242" s="35" t="inlineStr">
        <is>
          <t>4 — Не обогащён</t>
        </is>
      </c>
      <c r="U7242" s="35" t="inlineStr">
        <is>
          <t>Нет ОКВЭД/ССЧР</t>
        </is>
      </c>
      <c r="V7242" s="35" t="inlineStr">
        <is>
          <t>Не определено</t>
        </is>
      </c>
      <c r="W7242" s="35" t="inlineStr">
        <is>
          <t>Нет</t>
        </is>
      </c>
      <c r="X7242" s="35" t="inlineStr"/>
    </row>
    <row r="7243" ht="15" customHeight="1" s="24">
      <c r="A7243" s="13" t="inlineStr">
        <is>
          <t>FR1310997</t>
        </is>
      </c>
      <c r="B7243" s="13" t="inlineStr">
        <is>
          <t>ПО Мегетское ПОСПО</t>
        </is>
      </c>
      <c r="C7243" s="13" t="n">
        <v>3801007780</v>
      </c>
      <c r="D7243" s="13" t="inlineStr">
        <is>
          <t>3801007780</t>
        </is>
      </c>
      <c r="E7243" s="13" t="inlineStr">
        <is>
          <t>ЮЛ РФ</t>
        </is>
      </c>
      <c r="F7243" s="13" t="n"/>
      <c r="G7243" s="14" t="n"/>
      <c r="H7243" s="14" t="n"/>
      <c r="I7243" s="14" t="n"/>
      <c r="J7243" s="14" t="n"/>
      <c r="K7243" s="53" t="inlineStr"/>
      <c r="L7243" s="53" t="inlineStr">
        <is>
          <t>Не определено</t>
        </is>
      </c>
      <c r="M7243" s="53" t="inlineStr"/>
      <c r="N7243" s="54" t="inlineStr"/>
      <c r="O7243" s="55" t="inlineStr"/>
      <c r="P7243" s="16" t="inlineStr">
        <is>
          <t>Требует обогащения</t>
        </is>
      </c>
      <c r="Q7243" s="16">
        <f>HYPERLINK("https://pb.nalog.ru/search.html?query=3801007780","ФНС: проверить")</f>
        <v/>
      </c>
      <c r="R7243" s="16">
        <f>HYPERLINK("https://checko.ru/search?query=3801001629","Чекко: проверить")</f>
        <v/>
      </c>
      <c r="S7243" t="n">
        <v>1</v>
      </c>
      <c r="T7243" s="35" t="inlineStr">
        <is>
          <t>4 — Не обогащён</t>
        </is>
      </c>
      <c r="U7243" s="35" t="inlineStr">
        <is>
          <t>Нет ОКВЭД/ССЧР</t>
        </is>
      </c>
      <c r="V7243" s="35" t="inlineStr">
        <is>
          <t>Не определено</t>
        </is>
      </c>
      <c r="W7243" s="35" t="inlineStr"/>
      <c r="X7243" s="35" t="inlineStr"/>
    </row>
    <row r="7244" ht="15" customHeight="1" s="24">
      <c r="A7244" s="13" t="inlineStr">
        <is>
          <t>FR1310605</t>
        </is>
      </c>
      <c r="B7244" s="13" t="inlineStr">
        <is>
          <t>ИП Боковиков Андрей Игоревич</t>
        </is>
      </c>
      <c r="C7244" s="13" t="n">
        <v>381007061148</v>
      </c>
      <c r="D7244" s="13" t="inlineStr">
        <is>
          <t>381007061148</t>
        </is>
      </c>
      <c r="E7244" s="13" t="inlineStr">
        <is>
          <t>ИП РФ / физлицо</t>
        </is>
      </c>
      <c r="F7244" s="13" t="n"/>
      <c r="G7244" s="14" t="n"/>
      <c r="H7244" s="14" t="n"/>
      <c r="I7244" s="14" t="n"/>
      <c r="J7244" s="14" t="n"/>
      <c r="K7244" s="53" t="inlineStr"/>
      <c r="L7244" s="53" t="inlineStr">
        <is>
          <t>Не определено</t>
        </is>
      </c>
      <c r="M7244" s="53" t="inlineStr"/>
      <c r="N7244" s="54" t="inlineStr"/>
      <c r="O7244" s="55" t="inlineStr"/>
      <c r="P7244" s="16" t="inlineStr">
        <is>
          <t>Требует обогащения</t>
        </is>
      </c>
      <c r="Q7244" s="16">
        <f>HYPERLINK("https://pb.nalog.ru/search.html?query=381007061148","ФНС: проверить")</f>
        <v/>
      </c>
      <c r="R7244" s="16">
        <f>HYPERLINK("https://checko.ru/search?query=3801001629","Чекко: проверить")</f>
        <v/>
      </c>
      <c r="S7244" t="n">
        <v>1</v>
      </c>
      <c r="T7244" s="35" t="inlineStr">
        <is>
          <t>4 — Не обогащён</t>
        </is>
      </c>
      <c r="U7244" s="35" t="inlineStr">
        <is>
          <t>Нет ОКВЭД/ССЧР</t>
        </is>
      </c>
      <c r="V7244" s="35" t="inlineStr">
        <is>
          <t>Не определено</t>
        </is>
      </c>
      <c r="W7244" s="35" t="inlineStr"/>
      <c r="X7244" s="35" t="inlineStr"/>
    </row>
    <row r="7245" ht="27.75" customHeight="1" s="24">
      <c r="A7245" s="13" t="inlineStr">
        <is>
          <t>FR1115865</t>
        </is>
      </c>
      <c r="B7245" s="13" t="inlineStr">
        <is>
          <t>Общество с ограниченной ответственностью "КРИПТО РЕШЕНИЯ"</t>
        </is>
      </c>
      <c r="C7245" s="13" t="n">
        <v>3849106179</v>
      </c>
      <c r="D7245" s="13" t="inlineStr">
        <is>
          <t>3849106179</t>
        </is>
      </c>
      <c r="E7245" s="13" t="inlineStr">
        <is>
          <t>ЮЛ РФ</t>
        </is>
      </c>
      <c r="F7245" s="13" t="n"/>
      <c r="G7245" s="52" t="n">
        <v>1</v>
      </c>
      <c r="H7245" s="52" t="n">
        <v>2025</v>
      </c>
      <c r="I7245" s="14" t="n"/>
      <c r="J7245" s="14" t="n"/>
      <c r="K7245" s="53" t="inlineStr">
        <is>
          <t>Нет</t>
        </is>
      </c>
      <c r="L7245" s="53" t="inlineStr">
        <is>
          <t>Не определено</t>
        </is>
      </c>
      <c r="M7245" s="53" t="inlineStr">
        <is>
          <t>До 10</t>
        </is>
      </c>
      <c r="N7245" s="54" t="n">
        <v>3360</v>
      </c>
      <c r="O7245" s="55" t="inlineStr">
        <is>
          <t>1–15</t>
        </is>
      </c>
      <c r="P7245" s="16" t="inlineStr">
        <is>
          <t>ССЧР обогащена; ОКВЭД не найден/не загружен</t>
        </is>
      </c>
      <c r="Q7245" s="16" t="inlineStr">
        <is>
          <t>ФНС открытые данные ССЧР (ДатаСост 31.12.2025; набор 7707329152-sshr2019)</t>
        </is>
      </c>
      <c r="R7245" s="16">
        <f>HYPERLINK("https://checko.ru/search?query=3801001629","Чекко: проверить")</f>
        <v/>
      </c>
      <c r="S7245" t="n">
        <v>1</v>
      </c>
      <c r="T7245" s="35" t="inlineStr">
        <is>
          <t>4 — Не обогащён</t>
        </is>
      </c>
      <c r="U7245" s="35" t="inlineStr">
        <is>
          <t>Нет ОКВЭД/ССЧР</t>
        </is>
      </c>
      <c r="V7245" s="35" t="inlineStr">
        <is>
          <t>Не определено</t>
        </is>
      </c>
      <c r="W7245" s="35" t="inlineStr">
        <is>
          <t>Нет</t>
        </is>
      </c>
      <c r="X7245" s="35" t="inlineStr"/>
    </row>
    <row r="7246" ht="27.75" customHeight="1" s="24">
      <c r="A7246" s="13" t="inlineStr">
        <is>
          <t>FR1312027</t>
        </is>
      </c>
      <c r="B7246" s="13" t="inlineStr">
        <is>
          <t>Общество с ограниченной ответственностью "СИБТРАНССНАБ"</t>
        </is>
      </c>
      <c r="C7246" s="13" t="n">
        <v>5407187827</v>
      </c>
      <c r="D7246" s="13" t="inlineStr">
        <is>
          <t>5407187827</t>
        </is>
      </c>
      <c r="E7246" s="13" t="inlineStr">
        <is>
          <t>ЮЛ РФ</t>
        </is>
      </c>
      <c r="F7246" s="13" t="n"/>
      <c r="G7246" s="52" t="n">
        <v>0</v>
      </c>
      <c r="H7246" s="52" t="n">
        <v>2025</v>
      </c>
      <c r="I7246" s="14" t="n"/>
      <c r="J7246" s="14" t="n"/>
      <c r="K7246" s="53" t="inlineStr">
        <is>
          <t>Нет</t>
        </is>
      </c>
      <c r="L7246" s="53" t="inlineStr">
        <is>
          <t>Не определено</t>
        </is>
      </c>
      <c r="M7246" s="53" t="inlineStr">
        <is>
          <t>До 10</t>
        </is>
      </c>
      <c r="N7246" s="54" t="n">
        <v>3360</v>
      </c>
      <c r="O7246" s="55" t="inlineStr">
        <is>
          <t>1–15</t>
        </is>
      </c>
      <c r="P7246" s="16" t="inlineStr">
        <is>
          <t>ССЧР обогащена; ОКВЭД не найден/не загружен</t>
        </is>
      </c>
      <c r="Q7246" s="16" t="inlineStr">
        <is>
          <t>ФНС открытые данные ССЧР (ДатаСост 31.12.2025; набор 7707329152-sshr2019)</t>
        </is>
      </c>
      <c r="R7246" s="16">
        <f>HYPERLINK("https://checko.ru/search?query=3801001629","Чекко: проверить")</f>
        <v/>
      </c>
      <c r="S7246" t="n">
        <v>1</v>
      </c>
      <c r="T7246" s="35" t="inlineStr">
        <is>
          <t>4 — Не обогащён</t>
        </is>
      </c>
      <c r="U7246" s="35" t="inlineStr">
        <is>
          <t>Нет ОКВЭД/ССЧР</t>
        </is>
      </c>
      <c r="V7246" s="35" t="inlineStr">
        <is>
          <t>Не определено</t>
        </is>
      </c>
      <c r="W7246" s="35" t="inlineStr">
        <is>
          <t>Нет</t>
        </is>
      </c>
      <c r="X7246" s="35" t="inlineStr"/>
    </row>
    <row r="7247" ht="15" customHeight="1" s="24">
      <c r="A7247" s="13" t="inlineStr">
        <is>
          <t>FR1312941</t>
        </is>
      </c>
      <c r="B7247" s="13" t="inlineStr">
        <is>
          <t>ИП Зюзин Александр Валерьевич</t>
        </is>
      </c>
      <c r="C7247" s="13" t="n">
        <v>381212950171</v>
      </c>
      <c r="D7247" s="13" t="inlineStr">
        <is>
          <t>381212950171</t>
        </is>
      </c>
      <c r="E7247" s="13" t="inlineStr">
        <is>
          <t>ИП РФ / физлицо</t>
        </is>
      </c>
      <c r="F7247" s="13" t="n"/>
      <c r="G7247" s="14" t="n"/>
      <c r="H7247" s="14" t="n"/>
      <c r="I7247" s="14" t="n"/>
      <c r="J7247" s="14" t="n"/>
      <c r="K7247" s="53" t="inlineStr"/>
      <c r="L7247" s="53" t="inlineStr">
        <is>
          <t>Не определено</t>
        </is>
      </c>
      <c r="M7247" s="53" t="inlineStr"/>
      <c r="N7247" s="54" t="inlineStr"/>
      <c r="O7247" s="55" t="inlineStr"/>
      <c r="P7247" s="16" t="inlineStr">
        <is>
          <t>Требует обогащения</t>
        </is>
      </c>
      <c r="Q7247" s="16">
        <f>HYPERLINK("https://pb.nalog.ru/search.html?query=381212950171","ФНС: проверить")</f>
        <v/>
      </c>
      <c r="R7247" s="16">
        <f>HYPERLINK("https://checko.ru/search?query=3801001629","Чекко: проверить")</f>
        <v/>
      </c>
      <c r="S7247" t="n">
        <v>1</v>
      </c>
      <c r="T7247" s="35" t="inlineStr">
        <is>
          <t>4 — Не обогащён</t>
        </is>
      </c>
      <c r="U7247" s="35" t="inlineStr">
        <is>
          <t>Нет ОКВЭД/ССЧР</t>
        </is>
      </c>
      <c r="V7247" s="35" t="inlineStr">
        <is>
          <t>Не определено</t>
        </is>
      </c>
      <c r="W7247" s="35" t="inlineStr"/>
      <c r="X7247" s="35" t="inlineStr"/>
    </row>
    <row r="7248" ht="27.75" customHeight="1" s="24">
      <c r="A7248" s="13" t="inlineStr">
        <is>
          <t>FR526519</t>
        </is>
      </c>
      <c r="B7248" s="13" t="inlineStr">
        <is>
          <t>Общество с ограниченной ответственностью "АВТОШКОЛА СТАРК 38"</t>
        </is>
      </c>
      <c r="C7248" s="13" t="n">
        <v>3851023593</v>
      </c>
      <c r="D7248" s="13" t="inlineStr">
        <is>
          <t>3851023593</t>
        </is>
      </c>
      <c r="E7248" s="13" t="inlineStr">
        <is>
          <t>ЮЛ РФ</t>
        </is>
      </c>
      <c r="F7248" s="13" t="n"/>
      <c r="G7248" s="52" t="n">
        <v>5</v>
      </c>
      <c r="H7248" s="52" t="n">
        <v>2025</v>
      </c>
      <c r="I7248" s="14" t="n"/>
      <c r="J7248" s="14" t="n"/>
      <c r="K7248" s="53" t="inlineStr">
        <is>
          <t>Нет</t>
        </is>
      </c>
      <c r="L7248" s="53" t="inlineStr">
        <is>
          <t>Не определено</t>
        </is>
      </c>
      <c r="M7248" s="53" t="inlineStr">
        <is>
          <t>До 10</t>
        </is>
      </c>
      <c r="N7248" s="54" t="n">
        <v>3360</v>
      </c>
      <c r="O7248" s="55" t="inlineStr">
        <is>
          <t>1–15</t>
        </is>
      </c>
      <c r="P7248" s="16" t="inlineStr">
        <is>
          <t>ССЧР обогащена; ОКВЭД не найден/не загружен</t>
        </is>
      </c>
      <c r="Q7248" s="16" t="inlineStr">
        <is>
          <t>ФНС открытые данные ССЧР (ДатаСост 31.12.2025; набор 7707329152-sshr2019)</t>
        </is>
      </c>
      <c r="R7248" s="16">
        <f>HYPERLINK("https://checko.ru/search?query=3801001629","Чекко: проверить")</f>
        <v/>
      </c>
      <c r="S7248" t="n">
        <v>1</v>
      </c>
      <c r="T7248" s="35" t="inlineStr">
        <is>
          <t>4 — Не обогащён</t>
        </is>
      </c>
      <c r="U7248" s="35" t="inlineStr">
        <is>
          <t>Нет ОКВЭД/ССЧР</t>
        </is>
      </c>
      <c r="V7248" s="35" t="inlineStr">
        <is>
          <t>Не определено</t>
        </is>
      </c>
      <c r="W7248" s="35" t="inlineStr">
        <is>
          <t>Нет</t>
        </is>
      </c>
      <c r="X7248" s="35" t="inlineStr"/>
    </row>
    <row r="7249" ht="27.75" customHeight="1" s="24">
      <c r="A7249" s="13" t="inlineStr">
        <is>
          <t>FR673717</t>
        </is>
      </c>
      <c r="B7249" s="13" t="inlineStr">
        <is>
          <t>Общество с ограниченной ответственностью "АНКОРДЕТАЛЬ"</t>
        </is>
      </c>
      <c r="C7249" s="13" t="n">
        <v>3812991826</v>
      </c>
      <c r="D7249" s="13" t="inlineStr">
        <is>
          <t>3812991826</t>
        </is>
      </c>
      <c r="E7249" s="13" t="inlineStr">
        <is>
          <t>ЮЛ РФ</t>
        </is>
      </c>
      <c r="F7249" s="13" t="n"/>
      <c r="G7249" s="52" t="n">
        <v>1</v>
      </c>
      <c r="H7249" s="52" t="n">
        <v>2025</v>
      </c>
      <c r="I7249" s="14" t="n"/>
      <c r="J7249" s="14" t="n"/>
      <c r="K7249" s="53" t="inlineStr">
        <is>
          <t>Нет</t>
        </is>
      </c>
      <c r="L7249" s="53" t="inlineStr">
        <is>
          <t>Не определено</t>
        </is>
      </c>
      <c r="M7249" s="53" t="inlineStr">
        <is>
          <t>До 10</t>
        </is>
      </c>
      <c r="N7249" s="54" t="n">
        <v>3360</v>
      </c>
      <c r="O7249" s="55" t="inlineStr">
        <is>
          <t>1–15</t>
        </is>
      </c>
      <c r="P7249" s="16" t="inlineStr">
        <is>
          <t>ССЧР обогащена; ОКВЭД не найден/не загружен</t>
        </is>
      </c>
      <c r="Q7249" s="16" t="inlineStr">
        <is>
          <t>ФНС открытые данные ССЧР (ДатаСост 31.12.2025; набор 7707329152-sshr2019)</t>
        </is>
      </c>
      <c r="R7249" s="16">
        <f>HYPERLINK("https://checko.ru/search?query=3801001629","Чекко: проверить")</f>
        <v/>
      </c>
      <c r="S7249" t="n">
        <v>1</v>
      </c>
      <c r="T7249" s="35" t="inlineStr">
        <is>
          <t>4 — Не обогащён</t>
        </is>
      </c>
      <c r="U7249" s="35" t="inlineStr">
        <is>
          <t>Нет ОКВЭД/ССЧР</t>
        </is>
      </c>
      <c r="V7249" s="35" t="inlineStr">
        <is>
          <t>Не определено</t>
        </is>
      </c>
      <c r="W7249" s="35" t="inlineStr">
        <is>
          <t>Нет</t>
        </is>
      </c>
      <c r="X7249" s="35" t="inlineStr"/>
    </row>
    <row r="7250" ht="27.75" customHeight="1" s="24">
      <c r="A7250" s="13" t="inlineStr">
        <is>
          <t>FR934483</t>
        </is>
      </c>
      <c r="B7250" s="13" t="inlineStr">
        <is>
          <t>Общество с ограниченной ответственностью "ВИТИМ ВЗРЫВ ПРОМ"</t>
        </is>
      </c>
      <c r="C7250" s="13" t="n">
        <v>300009903</v>
      </c>
      <c r="D7250" s="13" t="n"/>
      <c r="E7250" s="13" t="inlineStr">
        <is>
          <t>Не определён</t>
        </is>
      </c>
      <c r="F7250" s="13" t="inlineStr">
        <is>
          <t>300009903</t>
        </is>
      </c>
      <c r="G7250" s="14" t="n"/>
      <c r="H7250" s="14" t="n"/>
      <c r="I7250" s="14" t="n"/>
      <c r="J7250" s="14" t="n"/>
      <c r="K7250" s="13">
        <f>IF(G7250="","",IF(G7250&gt;=22,"Да","Нет"))</f>
        <v/>
      </c>
      <c r="L7250" s="13">
        <f>IF(OR(I7250="",J7250=""),"Не определено",IF(OR(COUNTIF(I7250,"45*")&gt;0,COUNTIF(J7250,"*45*")&gt;0,COUNTIF(I7250,"46*")&gt;0,COUNTIF(J7250,"*46*")&gt;0,COUNTIF(I7250,"47*")&gt;0,COUNTIF(J7250,"*47*")&gt;0,COUNTIF(I7250,"10*")&gt;0,COUNTIF(J7250,"*10*")&gt;0,COUNTIF(I7250,"11*")&gt;0,COUNTIF(J7250,"*11*")&gt;0,COUNTIF(I7250,"12*")&gt;0,COUNTIF(J7250,"*12*")&gt;0,COUNTIF(I7250,"13*")&gt;0,COUNTIF(J7250,"*13*")&gt;0,COUNTIF(I7250,"14*")&gt;0,COUNTIF(J7250,"*14*")&gt;0,COUNTIF(I7250,"15*")&gt;0,COUNTIF(J7250,"*15*")&gt;0,COUNTIF(I7250,"16*")&gt;0,COUNTIF(J7250,"*16*")&gt;0,COUNTIF(I7250,"17*")&gt;0,COUNTIF(J7250,"*17*")&gt;0,COUNTIF(I7250,"18*")&gt;0,COUNTIF(J7250,"*18*")&gt;0,COUNTIF(I7250,"19*")&gt;0,COUNTIF(J7250,"*19*")&gt;0,COUNTIF(I7250,"20*")&gt;0,COUNTIF(J7250,"*20*")&gt;0,COUNTIF(I7250,"21*")&gt;0,COUNTIF(J7250,"*21*")&gt;0,COUNTIF(I7250,"22*")&gt;0,COUNTIF(J7250,"*22*")&gt;0,COUNTIF(I7250,"23*")&gt;0,COUNTIF(J7250,"*23*")&gt;0,COUNTIF(I7250,"24*")&gt;0,COUNTIF(J7250,"*24*")&gt;0,COUNTIF(I7250,"25*")&gt;0,COUNTIF(J7250,"*25*")&gt;0,COUNTIF(I7250,"26*")&gt;0,COUNTIF(J7250,"*26*")&gt;0,COUNTIF(I7250,"27*")&gt;0,COUNTIF(J7250,"*27*")&gt;0,COUNTIF(I7250,"28*")&gt;0,COUNTIF(J7250,"*28*")&gt;0,COUNTIF(I7250,"29*")&gt;0,COUNTIF(J7250,"*29*")&gt;0,COUNTIF(I7250,"30*")&gt;0,COUNTIF(J7250,"*30*")&gt;0,COUNTIF(I7250,"31*")&gt;0,COUNTIF(J7250,"*31*")&gt;0,COUNTIF(I7250,"32*")&gt;0,COUNTIF(J7250,"*32*")&gt;0,COUNTIF(I7250,"33*")&gt;0,COUNTIF(J7250,"*33*")&gt;0,COUNTIF(I7250,"41*")&gt;0,COUNTIF(J7250,"*41*")&gt;0,COUNTIF(I7250,"42*")&gt;0,COUNTIF(J7250,"*42*")&gt;0,COUNTIF(I7250,"43*")&gt;0,COUNTIF(J7250,"*43*")&gt;0,COUNTIF(I7250,"49*")&gt;0,COUNTIF(J7250,"*49*")&gt;0,COUNTIF(I7250,"52*")&gt;0,COUNTIF(J7250,"*52*")&gt;0,COUNTIF(I7250,"55*")&gt;0,COUNTIF(J7250,"*55*")&gt;0,COUNTIF(I7250,"56*")&gt;0,COUNTIF(J7250,"*56*")&gt;0,COUNTIF(I7250,"68*")&gt;0,COUNTIF(J7250,"*68*")&gt;0,COUNTIF(I7250,"78*")&gt;0,COUNTIF(J7250,"*78*")&gt;0,COUNTIF(I7250,"81*")&gt;0,COUNTIF(J7250,"*81*")&gt;0,COUNTIF(I7250,"82*")&gt;0,COUNTIF(J7250,"*82*")&gt;0,COUNTIF(I7250,"64*")&gt;0,COUNTIF(J7250,"*64*")&gt;0,COUNTIF(I7250,"65*")&gt;0,COUNTIF(J7250,"*65*")&gt;0,COUNTIF(I7250,"66*")&gt;0,COUNTIF(J7250,"*66*")&gt;0,COUNTIF(I7250,"61*")&gt;0,COUNTIF(J7250,"*61*")&gt;0,COUNTIF(I7250,"62*")&gt;0,COUNTIF(J7250,"*62*")&gt;0,COUNTIF(I7250,"63*")&gt;0,COUNTIF(J7250,"*63*")&gt;0,COUNTIF(I7250,"85*")&gt;0,COUNTIF(J7250,"*85*")&gt;0,COUNTIF(I7250,"86*")&gt;0,COUNTIF(J7250,"*86*")&gt;0),"Да","Нет"))</f>
        <v/>
      </c>
      <c r="M7250" s="13">
        <f>IF(OR(G7250="",L7250&lt;&gt;"Да"),"",IF(G7250&lt;=100,"До 100",IF(G7250&lt;=200,"До 200",IF(G7250&lt;=500,"До 500","Отдельное КП"))))</f>
        <v/>
      </c>
      <c r="N7250" s="15">
        <f>IF(OR(G7250="",L7250&lt;&gt;"Да"),"",IF(G7250&lt;=100,33600,IF(G7250&lt;=200,62400,IF(G7250&lt;=500,144000,""))))</f>
        <v/>
      </c>
      <c r="O7250" s="16">
        <f>IF(G7250="","",IF(G7250&lt;=15,"1–15",IF(G7250&lt;=30,"16–30",IF(G7250&lt;=50,"31–50",IF(G7250&lt;=100,"51–100",IF(G7250&lt;=150,"101–150",IF(G7250&lt;=200,"151–200",IF(G7250&lt;=500,"201–500","500+"))))))))</f>
        <v/>
      </c>
      <c r="P7250" s="16" t="inlineStr">
        <is>
          <t>Нет совпадения в предоставленной выгрузке ССЧР</t>
        </is>
      </c>
      <c r="Q7250" s="16" t="n"/>
      <c r="R7250" s="16">
        <f>HYPERLINK("https://checko.ru/search?query=3801001629","Чекко: проверить")</f>
        <v/>
      </c>
      <c r="S7250" t="n">
        <v>0</v>
      </c>
    </row>
    <row r="7251" ht="15" customHeight="1" s="24">
      <c r="A7251" s="13" t="inlineStr">
        <is>
          <t>FR1207052</t>
        </is>
      </c>
      <c r="B7251" s="13" t="inlineStr">
        <is>
          <t>ИП Сабирова Эльвира Андреевна</t>
        </is>
      </c>
      <c r="C7251" s="13" t="n">
        <v>381016126384</v>
      </c>
      <c r="D7251" s="13" t="inlineStr">
        <is>
          <t>381016126384</t>
        </is>
      </c>
      <c r="E7251" s="13" t="inlineStr">
        <is>
          <t>ИП РФ / физлицо</t>
        </is>
      </c>
      <c r="F7251" s="13" t="n"/>
      <c r="G7251" s="14" t="n"/>
      <c r="H7251" s="14" t="n"/>
      <c r="I7251" s="14" t="n"/>
      <c r="J7251" s="14" t="n"/>
      <c r="K7251" s="53" t="inlineStr"/>
      <c r="L7251" s="53" t="inlineStr">
        <is>
          <t>Не определено</t>
        </is>
      </c>
      <c r="M7251" s="53" t="inlineStr"/>
      <c r="N7251" s="54" t="inlineStr"/>
      <c r="O7251" s="55" t="inlineStr"/>
      <c r="P7251" s="16" t="inlineStr">
        <is>
          <t>Требует обогащения</t>
        </is>
      </c>
      <c r="Q7251" s="16">
        <f>HYPERLINK("https://pb.nalog.ru/search.html?query=381016126384","ФНС: проверить")</f>
        <v/>
      </c>
      <c r="R7251" s="16">
        <f>HYPERLINK("https://checko.ru/search?query=3801001629","Чекко: проверить")</f>
        <v/>
      </c>
      <c r="S7251" t="n">
        <v>1</v>
      </c>
      <c r="T7251" s="35" t="inlineStr">
        <is>
          <t>4 — Не обогащён</t>
        </is>
      </c>
      <c r="U7251" s="35" t="inlineStr">
        <is>
          <t>Нет ОКВЭД/ССЧР</t>
        </is>
      </c>
      <c r="V7251" s="35" t="inlineStr">
        <is>
          <t>Не определено</t>
        </is>
      </c>
      <c r="W7251" s="35" t="inlineStr"/>
      <c r="X7251" s="35" t="inlineStr"/>
    </row>
    <row r="7252" ht="27.75" customHeight="1" s="24">
      <c r="A7252" s="13" t="inlineStr">
        <is>
          <t>FR762598</t>
        </is>
      </c>
      <c r="B7252" s="13" t="inlineStr">
        <is>
          <t>Общество с ограниченной ответственностью "АЙТИ МАНИ"</t>
        </is>
      </c>
      <c r="C7252" s="13" t="n">
        <v>273920342</v>
      </c>
      <c r="D7252" s="13" t="n"/>
      <c r="E7252" s="13" t="inlineStr">
        <is>
          <t>Не определён</t>
        </is>
      </c>
      <c r="F7252" s="13" t="inlineStr">
        <is>
          <t>273920342</t>
        </is>
      </c>
      <c r="G7252" s="14" t="n"/>
      <c r="H7252" s="14" t="n"/>
      <c r="I7252" s="14" t="n"/>
      <c r="J7252" s="14" t="n"/>
      <c r="K7252" s="13">
        <f>IF(G7252="","",IF(G7252&gt;=22,"Да","Нет"))</f>
        <v/>
      </c>
      <c r="L7252" s="13">
        <f>IF(OR(I7252="",J7252=""),"Не определено",IF(OR(COUNTIF(I7252,"45*")&gt;0,COUNTIF(J7252,"*45*")&gt;0,COUNTIF(I7252,"46*")&gt;0,COUNTIF(J7252,"*46*")&gt;0,COUNTIF(I7252,"47*")&gt;0,COUNTIF(J7252,"*47*")&gt;0,COUNTIF(I7252,"10*")&gt;0,COUNTIF(J7252,"*10*")&gt;0,COUNTIF(I7252,"11*")&gt;0,COUNTIF(J7252,"*11*")&gt;0,COUNTIF(I7252,"12*")&gt;0,COUNTIF(J7252,"*12*")&gt;0,COUNTIF(I7252,"13*")&gt;0,COUNTIF(J7252,"*13*")&gt;0,COUNTIF(I7252,"14*")&gt;0,COUNTIF(J7252,"*14*")&gt;0,COUNTIF(I7252,"15*")&gt;0,COUNTIF(J7252,"*15*")&gt;0,COUNTIF(I7252,"16*")&gt;0,COUNTIF(J7252,"*16*")&gt;0,COUNTIF(I7252,"17*")&gt;0,COUNTIF(J7252,"*17*")&gt;0,COUNTIF(I7252,"18*")&gt;0,COUNTIF(J7252,"*18*")&gt;0,COUNTIF(I7252,"19*")&gt;0,COUNTIF(J7252,"*19*")&gt;0,COUNTIF(I7252,"20*")&gt;0,COUNTIF(J7252,"*20*")&gt;0,COUNTIF(I7252,"21*")&gt;0,COUNTIF(J7252,"*21*")&gt;0,COUNTIF(I7252,"22*")&gt;0,COUNTIF(J7252,"*22*")&gt;0,COUNTIF(I7252,"23*")&gt;0,COUNTIF(J7252,"*23*")&gt;0,COUNTIF(I7252,"24*")&gt;0,COUNTIF(J7252,"*24*")&gt;0,COUNTIF(I7252,"25*")&gt;0,COUNTIF(J7252,"*25*")&gt;0,COUNTIF(I7252,"26*")&gt;0,COUNTIF(J7252,"*26*")&gt;0,COUNTIF(I7252,"27*")&gt;0,COUNTIF(J7252,"*27*")&gt;0,COUNTIF(I7252,"28*")&gt;0,COUNTIF(J7252,"*28*")&gt;0,COUNTIF(I7252,"29*")&gt;0,COUNTIF(J7252,"*29*")&gt;0,COUNTIF(I7252,"30*")&gt;0,COUNTIF(J7252,"*30*")&gt;0,COUNTIF(I7252,"31*")&gt;0,COUNTIF(J7252,"*31*")&gt;0,COUNTIF(I7252,"32*")&gt;0,COUNTIF(J7252,"*32*")&gt;0,COUNTIF(I7252,"33*")&gt;0,COUNTIF(J7252,"*33*")&gt;0,COUNTIF(I7252,"41*")&gt;0,COUNTIF(J7252,"*41*")&gt;0,COUNTIF(I7252,"42*")&gt;0,COUNTIF(J7252,"*42*")&gt;0,COUNTIF(I7252,"43*")&gt;0,COUNTIF(J7252,"*43*")&gt;0,COUNTIF(I7252,"49*")&gt;0,COUNTIF(J7252,"*49*")&gt;0,COUNTIF(I7252,"52*")&gt;0,COUNTIF(J7252,"*52*")&gt;0,COUNTIF(I7252,"55*")&gt;0,COUNTIF(J7252,"*55*")&gt;0,COUNTIF(I7252,"56*")&gt;0,COUNTIF(J7252,"*56*")&gt;0,COUNTIF(I7252,"68*")&gt;0,COUNTIF(J7252,"*68*")&gt;0,COUNTIF(I7252,"78*")&gt;0,COUNTIF(J7252,"*78*")&gt;0,COUNTIF(I7252,"81*")&gt;0,COUNTIF(J7252,"*81*")&gt;0,COUNTIF(I7252,"82*")&gt;0,COUNTIF(J7252,"*82*")&gt;0,COUNTIF(I7252,"64*")&gt;0,COUNTIF(J7252,"*64*")&gt;0,COUNTIF(I7252,"65*")&gt;0,COUNTIF(J7252,"*65*")&gt;0,COUNTIF(I7252,"66*")&gt;0,COUNTIF(J7252,"*66*")&gt;0,COUNTIF(I7252,"61*")&gt;0,COUNTIF(J7252,"*61*")&gt;0,COUNTIF(I7252,"62*")&gt;0,COUNTIF(J7252,"*62*")&gt;0,COUNTIF(I7252,"63*")&gt;0,COUNTIF(J7252,"*63*")&gt;0,COUNTIF(I7252,"85*")&gt;0,COUNTIF(J7252,"*85*")&gt;0,COUNTIF(I7252,"86*")&gt;0,COUNTIF(J7252,"*86*")&gt;0),"Да","Нет"))</f>
        <v/>
      </c>
      <c r="M7252" s="13">
        <f>IF(OR(G7252="",L7252&lt;&gt;"Да"),"",IF(G7252&lt;=100,"До 100",IF(G7252&lt;=200,"До 200",IF(G7252&lt;=500,"До 500","Отдельное КП"))))</f>
        <v/>
      </c>
      <c r="N7252" s="15">
        <f>IF(OR(G7252="",L7252&lt;&gt;"Да"),"",IF(G7252&lt;=100,33600,IF(G7252&lt;=200,62400,IF(G7252&lt;=500,144000,""))))</f>
        <v/>
      </c>
      <c r="O7252" s="16">
        <f>IF(G7252="","",IF(G7252&lt;=15,"1–15",IF(G7252&lt;=30,"16–30",IF(G7252&lt;=50,"31–50",IF(G7252&lt;=100,"51–100",IF(G7252&lt;=150,"101–150",IF(G7252&lt;=200,"151–200",IF(G7252&lt;=500,"201–500","500+"))))))))</f>
        <v/>
      </c>
      <c r="P7252" s="16" t="inlineStr">
        <is>
          <t>Нет совпадения в предоставленной выгрузке ССЧР</t>
        </is>
      </c>
      <c r="Q7252" s="16" t="n"/>
      <c r="R7252" s="16">
        <f>HYPERLINK("https://checko.ru/search?query=3801001629","Чекко: проверить")</f>
        <v/>
      </c>
      <c r="S7252" t="n">
        <v>0</v>
      </c>
    </row>
    <row r="7253" ht="27.75" customHeight="1" s="24">
      <c r="A7253" s="13" t="inlineStr">
        <is>
          <t>FR605043</t>
        </is>
      </c>
      <c r="B7253" s="13" t="inlineStr">
        <is>
          <t>ХУЖИРСКОЕ СЕЛЬСКОЕ ПОТРЕБИТЕЛЬСКОЕ ОБЩЕСТВО</t>
        </is>
      </c>
      <c r="C7253" s="13" t="n">
        <v>3836000087</v>
      </c>
      <c r="D7253" s="13" t="inlineStr">
        <is>
          <t>3836000087</t>
        </is>
      </c>
      <c r="E7253" s="13" t="inlineStr">
        <is>
          <t>ЮЛ РФ</t>
        </is>
      </c>
      <c r="F7253" s="13" t="n"/>
      <c r="G7253" s="14" t="n"/>
      <c r="H7253" s="14" t="n"/>
      <c r="I7253" s="14" t="n"/>
      <c r="J7253" s="14" t="n"/>
      <c r="K7253" s="53" t="inlineStr"/>
      <c r="L7253" s="53" t="inlineStr">
        <is>
          <t>Не определено</t>
        </is>
      </c>
      <c r="M7253" s="53" t="inlineStr"/>
      <c r="N7253" s="54" t="inlineStr"/>
      <c r="O7253" s="55" t="inlineStr"/>
      <c r="P7253" s="16" t="inlineStr">
        <is>
          <t>Требует обогащения</t>
        </is>
      </c>
      <c r="Q7253" s="16">
        <f>HYPERLINK("https://pb.nalog.ru/search.html?query=3836000087","ФНС: проверить")</f>
        <v/>
      </c>
      <c r="R7253" s="16">
        <f>HYPERLINK("https://checko.ru/search?query=3801001629","Чекко: проверить")</f>
        <v/>
      </c>
      <c r="S7253" t="n">
        <v>1</v>
      </c>
      <c r="T7253" s="35" t="inlineStr">
        <is>
          <t>4 — Не обогащён</t>
        </is>
      </c>
      <c r="U7253" s="35" t="inlineStr">
        <is>
          <t>Нет ОКВЭД/ССЧР</t>
        </is>
      </c>
      <c r="V7253" s="35" t="inlineStr">
        <is>
          <t>Не определено</t>
        </is>
      </c>
      <c r="W7253" s="35" t="inlineStr"/>
      <c r="X7253" s="35" t="inlineStr"/>
    </row>
    <row r="7254" ht="15" customHeight="1" s="24">
      <c r="A7254" s="13" t="inlineStr">
        <is>
          <t>FR1125822</t>
        </is>
      </c>
      <c r="B7254" s="13" t="inlineStr">
        <is>
          <t>ИП Антипин Андрей Анатольевич</t>
        </is>
      </c>
      <c r="C7254" s="13" t="n">
        <v>384201345153</v>
      </c>
      <c r="D7254" s="13" t="inlineStr">
        <is>
          <t>384201345153</t>
        </is>
      </c>
      <c r="E7254" s="13" t="inlineStr">
        <is>
          <t>ИП РФ / физлицо</t>
        </is>
      </c>
      <c r="F7254" s="13" t="n"/>
      <c r="G7254" s="14" t="n"/>
      <c r="H7254" s="14" t="n"/>
      <c r="I7254" s="14" t="n"/>
      <c r="J7254" s="14" t="n"/>
      <c r="K7254" s="53" t="inlineStr"/>
      <c r="L7254" s="53" t="inlineStr">
        <is>
          <t>Не определено</t>
        </is>
      </c>
      <c r="M7254" s="53" t="inlineStr"/>
      <c r="N7254" s="54" t="inlineStr"/>
      <c r="O7254" s="55" t="inlineStr"/>
      <c r="P7254" s="16" t="inlineStr">
        <is>
          <t>Требует обогащения</t>
        </is>
      </c>
      <c r="Q7254" s="16">
        <f>HYPERLINK("https://pb.nalog.ru/search.html?query=384201345153","ФНС: проверить")</f>
        <v/>
      </c>
      <c r="R7254" s="16">
        <f>HYPERLINK("https://checko.ru/search?query=3801001629","Чекко: проверить")</f>
        <v/>
      </c>
      <c r="S7254" t="n">
        <v>1</v>
      </c>
      <c r="T7254" s="35" t="inlineStr">
        <is>
          <t>4 — Не обогащён</t>
        </is>
      </c>
      <c r="U7254" s="35" t="inlineStr">
        <is>
          <t>Нет ОКВЭД/ССЧР</t>
        </is>
      </c>
      <c r="V7254" s="35" t="inlineStr">
        <is>
          <t>Не определено</t>
        </is>
      </c>
      <c r="W7254" s="35" t="inlineStr"/>
      <c r="X7254" s="35" t="inlineStr"/>
    </row>
    <row r="7255" ht="15" customHeight="1" s="24">
      <c r="A7255" s="13" t="inlineStr">
        <is>
          <t>FR1120277</t>
        </is>
      </c>
      <c r="B7255" s="13" t="inlineStr">
        <is>
          <t>ИП Колесникова Нина Валерьевна</t>
        </is>
      </c>
      <c r="C7255" s="13" t="n">
        <v>380896155593</v>
      </c>
      <c r="D7255" s="13" t="inlineStr">
        <is>
          <t>380896155593</t>
        </is>
      </c>
      <c r="E7255" s="13" t="inlineStr">
        <is>
          <t>ИП РФ / физлицо</t>
        </is>
      </c>
      <c r="F7255" s="13" t="n"/>
      <c r="G7255" s="14" t="n"/>
      <c r="H7255" s="14" t="n"/>
      <c r="I7255" s="14" t="n"/>
      <c r="J7255" s="14" t="n"/>
      <c r="K7255" s="53" t="inlineStr"/>
      <c r="L7255" s="53" t="inlineStr">
        <is>
          <t>Не определено</t>
        </is>
      </c>
      <c r="M7255" s="53" t="inlineStr"/>
      <c r="N7255" s="54" t="inlineStr"/>
      <c r="O7255" s="55" t="inlineStr"/>
      <c r="P7255" s="16" t="inlineStr">
        <is>
          <t>Требует обогащения</t>
        </is>
      </c>
      <c r="Q7255" s="16">
        <f>HYPERLINK("https://pb.nalog.ru/search.html?query=380896155593","ФНС: проверить")</f>
        <v/>
      </c>
      <c r="R7255" s="16">
        <f>HYPERLINK("https://checko.ru/search?query=3801001629","Чекко: проверить")</f>
        <v/>
      </c>
      <c r="S7255" t="n">
        <v>1</v>
      </c>
      <c r="T7255" s="35" t="inlineStr">
        <is>
          <t>4 — Не обогащён</t>
        </is>
      </c>
      <c r="U7255" s="35" t="inlineStr">
        <is>
          <t>Нет ОКВЭД/ССЧР</t>
        </is>
      </c>
      <c r="V7255" s="35" t="inlineStr">
        <is>
          <t>Не определено</t>
        </is>
      </c>
      <c r="W7255" s="35" t="inlineStr"/>
      <c r="X7255" s="35" t="inlineStr"/>
    </row>
    <row r="7256" ht="15" customHeight="1" s="24">
      <c r="A7256" s="13" t="inlineStr">
        <is>
          <t>FR1093465</t>
        </is>
      </c>
      <c r="B7256" s="13" t="inlineStr">
        <is>
          <t>ИП Бусуёк Екатерина Александровна</t>
        </is>
      </c>
      <c r="C7256" s="13" t="n">
        <v>381901047140</v>
      </c>
      <c r="D7256" s="13" t="inlineStr">
        <is>
          <t>381901047140</t>
        </is>
      </c>
      <c r="E7256" s="13" t="inlineStr">
        <is>
          <t>ИП РФ / физлицо</t>
        </is>
      </c>
      <c r="F7256" s="13" t="n"/>
      <c r="G7256" s="14" t="n"/>
      <c r="H7256" s="14" t="n"/>
      <c r="I7256" s="14" t="n"/>
      <c r="J7256" s="14" t="n"/>
      <c r="K7256" s="53" t="inlineStr"/>
      <c r="L7256" s="53" t="inlineStr">
        <is>
          <t>Не определено</t>
        </is>
      </c>
      <c r="M7256" s="53" t="inlineStr"/>
      <c r="N7256" s="54" t="inlineStr"/>
      <c r="O7256" s="55" t="inlineStr"/>
      <c r="P7256" s="16" t="inlineStr">
        <is>
          <t>Требует обогащения</t>
        </is>
      </c>
      <c r="Q7256" s="16">
        <f>HYPERLINK("https://pb.nalog.ru/search.html?query=381901047140","ФНС: проверить")</f>
        <v/>
      </c>
      <c r="R7256" s="16">
        <f>HYPERLINK("https://checko.ru/search?query=3801001629","Чекко: проверить")</f>
        <v/>
      </c>
      <c r="S7256" t="n">
        <v>1</v>
      </c>
      <c r="T7256" s="35" t="inlineStr">
        <is>
          <t>4 — Не обогащён</t>
        </is>
      </c>
      <c r="U7256" s="35" t="inlineStr">
        <is>
          <t>Нет ОКВЭД/ССЧР</t>
        </is>
      </c>
      <c r="V7256" s="35" t="inlineStr">
        <is>
          <t>Не определено</t>
        </is>
      </c>
      <c r="W7256" s="35" t="inlineStr"/>
      <c r="X7256" s="35" t="inlineStr"/>
    </row>
    <row r="7257" ht="27.75" customHeight="1" s="24">
      <c r="A7257" s="13" t="inlineStr">
        <is>
          <t>FR1314152</t>
        </is>
      </c>
      <c r="B7257" s="13" t="inlineStr">
        <is>
          <t>Общество с ограниченной ответственностью "МЕДИЦИНСКИЙ ЦЕНТР "АРНИКА"</t>
        </is>
      </c>
      <c r="C7257" s="13" t="n">
        <v>3808109075</v>
      </c>
      <c r="D7257" s="13" t="inlineStr">
        <is>
          <t>3808109075</t>
        </is>
      </c>
      <c r="E7257" s="13" t="inlineStr">
        <is>
          <t>ЮЛ РФ</t>
        </is>
      </c>
      <c r="F7257" s="13" t="n"/>
      <c r="G7257" s="52" t="n">
        <v>3</v>
      </c>
      <c r="H7257" s="52" t="n">
        <v>2025</v>
      </c>
      <c r="I7257" s="14" t="n"/>
      <c r="J7257" s="14" t="n"/>
      <c r="K7257" s="53" t="inlineStr">
        <is>
          <t>Нет</t>
        </is>
      </c>
      <c r="L7257" s="53" t="inlineStr">
        <is>
          <t>Не определено</t>
        </is>
      </c>
      <c r="M7257" s="53" t="inlineStr">
        <is>
          <t>До 10</t>
        </is>
      </c>
      <c r="N7257" s="54" t="n">
        <v>3360</v>
      </c>
      <c r="O7257" s="55" t="inlineStr">
        <is>
          <t>1–15</t>
        </is>
      </c>
      <c r="P7257" s="16" t="inlineStr">
        <is>
          <t>ССЧР обогащена; ОКВЭД не найден/не загружен</t>
        </is>
      </c>
      <c r="Q7257" s="16" t="inlineStr">
        <is>
          <t>ФНС открытые данные ССЧР (ДатаСост 31.12.2025; набор 7707329152-sshr2019)</t>
        </is>
      </c>
      <c r="R7257" s="16">
        <f>HYPERLINK("https://checko.ru/search?query=3801001629","Чекко: проверить")</f>
        <v/>
      </c>
      <c r="S7257" t="n">
        <v>1</v>
      </c>
      <c r="T7257" s="35" t="inlineStr">
        <is>
          <t>4 — Не обогащён</t>
        </is>
      </c>
      <c r="U7257" s="35" t="inlineStr">
        <is>
          <t>Нет ОКВЭД/ССЧР</t>
        </is>
      </c>
      <c r="V7257" s="35" t="inlineStr">
        <is>
          <t>Не определено</t>
        </is>
      </c>
      <c r="W7257" s="35" t="inlineStr">
        <is>
          <t>Нет</t>
        </is>
      </c>
      <c r="X7257" s="35" t="inlineStr"/>
    </row>
    <row r="7258" ht="54.75" customHeight="1" s="24">
      <c r="A7258" s="13" t="inlineStr">
        <is>
          <t>FR1317888</t>
        </is>
      </c>
      <c r="B7258" s="13" t="inlineStr">
        <is>
          <t>ПЕРВИЧНАЯ ПРОФСОЮЗНАЯ ОРГАНИЗАЦИЯ ОБЩЕСТВА С ОГРАНИЧЕННОЙ ОТВЕТСТВЕННОСТЬЮ "ИРКУТСКАЯ ЭНЕРГОСБЫТОВАЯ</t>
        </is>
      </c>
      <c r="C7258" s="13" t="n">
        <v>3812106246</v>
      </c>
      <c r="D7258" s="13" t="inlineStr">
        <is>
          <t>3812106246</t>
        </is>
      </c>
      <c r="E7258" s="13" t="inlineStr">
        <is>
          <t>ЮЛ РФ</t>
        </is>
      </c>
      <c r="F7258" s="13" t="n"/>
      <c r="G7258" s="14" t="n"/>
      <c r="H7258" s="14" t="n"/>
      <c r="I7258" s="14" t="n"/>
      <c r="J7258" s="14" t="n"/>
      <c r="K7258" s="53" t="inlineStr"/>
      <c r="L7258" s="53" t="inlineStr">
        <is>
          <t>Не определено</t>
        </is>
      </c>
      <c r="M7258" s="53" t="inlineStr"/>
      <c r="N7258" s="54" t="inlineStr"/>
      <c r="O7258" s="55" t="inlineStr"/>
      <c r="P7258" s="16" t="inlineStr">
        <is>
          <t>Требует обогащения</t>
        </is>
      </c>
      <c r="Q7258" s="16">
        <f>HYPERLINK("https://pb.nalog.ru/search.html?query=3812106246","ФНС: проверить")</f>
        <v/>
      </c>
      <c r="R7258" s="16">
        <f>HYPERLINK("https://checko.ru/search?query=3801001629","Чекко: проверить")</f>
        <v/>
      </c>
      <c r="S7258" t="n">
        <v>1</v>
      </c>
      <c r="T7258" s="35" t="inlineStr">
        <is>
          <t>4 — Не обогащён</t>
        </is>
      </c>
      <c r="U7258" s="35" t="inlineStr">
        <is>
          <t>Нет ОКВЭД/ССЧР</t>
        </is>
      </c>
      <c r="V7258" s="35" t="inlineStr">
        <is>
          <t>Не определено</t>
        </is>
      </c>
      <c r="W7258" s="35" t="inlineStr"/>
      <c r="X7258" s="35" t="inlineStr"/>
    </row>
    <row r="7259" ht="27.75" customHeight="1" s="24">
      <c r="A7259" s="13" t="inlineStr">
        <is>
          <t>FR761967</t>
        </is>
      </c>
      <c r="B7259" s="13" t="inlineStr">
        <is>
          <t>Общество с ограниченной ответственностью "ПРОГРЕСС ПРОЕКТ"</t>
        </is>
      </c>
      <c r="C7259" s="13" t="n">
        <v>4101193268</v>
      </c>
      <c r="D7259" s="13" t="inlineStr">
        <is>
          <t>4101193268</t>
        </is>
      </c>
      <c r="E7259" s="13" t="inlineStr">
        <is>
          <t>ЮЛ РФ</t>
        </is>
      </c>
      <c r="F7259" s="13" t="n"/>
      <c r="G7259" s="52" t="n">
        <v>2</v>
      </c>
      <c r="H7259" s="52" t="n">
        <v>2025</v>
      </c>
      <c r="I7259" s="14" t="n"/>
      <c r="J7259" s="14" t="n"/>
      <c r="K7259" s="53" t="inlineStr">
        <is>
          <t>Нет</t>
        </is>
      </c>
      <c r="L7259" s="53" t="inlineStr">
        <is>
          <t>Не определено</t>
        </is>
      </c>
      <c r="M7259" s="53" t="inlineStr">
        <is>
          <t>До 10</t>
        </is>
      </c>
      <c r="N7259" s="54" t="n">
        <v>3360</v>
      </c>
      <c r="O7259" s="55" t="inlineStr">
        <is>
          <t>1–15</t>
        </is>
      </c>
      <c r="P7259" s="16" t="inlineStr">
        <is>
          <t>ССЧР обогащена; ОКВЭД не найден/не загружен</t>
        </is>
      </c>
      <c r="Q7259" s="16" t="inlineStr">
        <is>
          <t>ФНС открытые данные ССЧР (ДатаСост 31.12.2025; набор 7707329152-sshr2019)</t>
        </is>
      </c>
      <c r="R7259" s="16">
        <f>HYPERLINK("https://checko.ru/search?query=3801001629","Чекко: проверить")</f>
        <v/>
      </c>
      <c r="S7259" t="n">
        <v>1</v>
      </c>
      <c r="T7259" s="35" t="inlineStr">
        <is>
          <t>4 — Не обогащён</t>
        </is>
      </c>
      <c r="U7259" s="35" t="inlineStr">
        <is>
          <t>Нет ОКВЭД/ССЧР</t>
        </is>
      </c>
      <c r="V7259" s="35" t="inlineStr">
        <is>
          <t>Не определено</t>
        </is>
      </c>
      <c r="W7259" s="35" t="inlineStr">
        <is>
          <t>Нет</t>
        </is>
      </c>
      <c r="X7259" s="35" t="inlineStr"/>
    </row>
    <row r="7260" ht="27.75" customHeight="1" s="24">
      <c r="A7260" s="13" t="inlineStr">
        <is>
          <t>FR682281</t>
        </is>
      </c>
      <c r="B7260" s="13" t="inlineStr">
        <is>
          <t>Общество с ограниченной ответственностью "ПАРТНЕР"</t>
        </is>
      </c>
      <c r="C7260" s="13" t="n">
        <v>3816010665</v>
      </c>
      <c r="D7260" s="13" t="inlineStr">
        <is>
          <t>3816010665</t>
        </is>
      </c>
      <c r="E7260" s="13" t="inlineStr">
        <is>
          <t>ЮЛ РФ</t>
        </is>
      </c>
      <c r="F7260" s="13" t="n"/>
      <c r="G7260" s="52" t="n">
        <v>4</v>
      </c>
      <c r="H7260" s="52" t="n">
        <v>2025</v>
      </c>
      <c r="I7260" s="14" t="n"/>
      <c r="J7260" s="14" t="n"/>
      <c r="K7260" s="53" t="inlineStr">
        <is>
          <t>Нет</t>
        </is>
      </c>
      <c r="L7260" s="53" t="inlineStr">
        <is>
          <t>Не определено</t>
        </is>
      </c>
      <c r="M7260" s="53" t="inlineStr">
        <is>
          <t>До 10</t>
        </is>
      </c>
      <c r="N7260" s="54" t="n">
        <v>3360</v>
      </c>
      <c r="O7260" s="55" t="inlineStr">
        <is>
          <t>1–15</t>
        </is>
      </c>
      <c r="P7260" s="16" t="inlineStr">
        <is>
          <t>ССЧР обогащена; ОКВЭД не найден/не загружен</t>
        </is>
      </c>
      <c r="Q7260" s="16" t="inlineStr">
        <is>
          <t>ФНС открытые данные ССЧР (ДатаСост 31.12.2025; набор 7707329152-sshr2019)</t>
        </is>
      </c>
      <c r="R7260" s="16">
        <f>HYPERLINK("https://checko.ru/search?query=3801001629","Чекко: проверить")</f>
        <v/>
      </c>
      <c r="S7260" t="n">
        <v>1</v>
      </c>
      <c r="T7260" s="35" t="inlineStr">
        <is>
          <t>4 — Не обогащён</t>
        </is>
      </c>
      <c r="U7260" s="35" t="inlineStr">
        <is>
          <t>Нет ОКВЭД/ССЧР</t>
        </is>
      </c>
      <c r="V7260" s="35" t="inlineStr">
        <is>
          <t>Не определено</t>
        </is>
      </c>
      <c r="W7260" s="35" t="inlineStr">
        <is>
          <t>Нет</t>
        </is>
      </c>
      <c r="X7260" s="35" t="inlineStr"/>
    </row>
    <row r="7261" ht="15" customHeight="1" s="24">
      <c r="A7261" s="13" t="inlineStr">
        <is>
          <t>FR128382</t>
        </is>
      </c>
      <c r="B7261" s="13" t="inlineStr">
        <is>
          <t>ИП Тугушева Анастасия Александровна</t>
        </is>
      </c>
      <c r="C7261" s="13" t="n">
        <v>642628831404</v>
      </c>
      <c r="D7261" s="13" t="inlineStr">
        <is>
          <t>642628831404</t>
        </is>
      </c>
      <c r="E7261" s="13" t="inlineStr">
        <is>
          <t>ИП РФ / физлицо</t>
        </is>
      </c>
      <c r="F7261" s="13" t="n"/>
      <c r="G7261" s="14" t="n"/>
      <c r="H7261" s="14" t="n"/>
      <c r="I7261" s="14" t="n"/>
      <c r="J7261" s="14" t="n"/>
      <c r="K7261" s="53" t="inlineStr"/>
      <c r="L7261" s="53" t="inlineStr">
        <is>
          <t>Не определено</t>
        </is>
      </c>
      <c r="M7261" s="53" t="inlineStr"/>
      <c r="N7261" s="54" t="inlineStr"/>
      <c r="O7261" s="55" t="inlineStr"/>
      <c r="P7261" s="16" t="inlineStr">
        <is>
          <t>Требует обогащения</t>
        </is>
      </c>
      <c r="Q7261" s="16">
        <f>HYPERLINK("https://pb.nalog.ru/search.html?query=642628831404","ФНС: проверить")</f>
        <v/>
      </c>
      <c r="R7261" s="16">
        <f>HYPERLINK("https://checko.ru/search?query=3801001629","Чекко: проверить")</f>
        <v/>
      </c>
      <c r="S7261" t="n">
        <v>1</v>
      </c>
      <c r="T7261" s="35" t="inlineStr">
        <is>
          <t>4 — Не обогащён</t>
        </is>
      </c>
      <c r="U7261" s="35" t="inlineStr">
        <is>
          <t>Нет ОКВЭД/ССЧР</t>
        </is>
      </c>
      <c r="V7261" s="35" t="inlineStr">
        <is>
          <t>Не определено</t>
        </is>
      </c>
      <c r="W7261" s="35" t="inlineStr"/>
      <c r="X7261" s="35" t="inlineStr"/>
    </row>
    <row r="7262" ht="27.75" customHeight="1" s="24">
      <c r="A7262" s="13" t="inlineStr">
        <is>
          <t>FR918540</t>
        </is>
      </c>
      <c r="B7262" s="13" t="inlineStr">
        <is>
          <t>Общество с ограниченной ответственностью ПРАЧЕЧНЫЙ КОМБИНАТ "ГРИНЕР"</t>
        </is>
      </c>
      <c r="C7262" s="13" t="n">
        <v>3849084221</v>
      </c>
      <c r="D7262" s="13" t="inlineStr">
        <is>
          <t>3849084221</t>
        </is>
      </c>
      <c r="E7262" s="13" t="inlineStr">
        <is>
          <t>ЮЛ РФ</t>
        </is>
      </c>
      <c r="F7262" s="13" t="n"/>
      <c r="G7262" s="52" t="n">
        <v>0</v>
      </c>
      <c r="H7262" s="52" t="n">
        <v>2025</v>
      </c>
      <c r="I7262" s="14" t="n"/>
      <c r="J7262" s="14" t="n"/>
      <c r="K7262" s="53" t="inlineStr">
        <is>
          <t>Нет</t>
        </is>
      </c>
      <c r="L7262" s="53" t="inlineStr">
        <is>
          <t>Не определено</t>
        </is>
      </c>
      <c r="M7262" s="53" t="inlineStr">
        <is>
          <t>До 10</t>
        </is>
      </c>
      <c r="N7262" s="54" t="n">
        <v>3360</v>
      </c>
      <c r="O7262" s="55" t="inlineStr">
        <is>
          <t>1–15</t>
        </is>
      </c>
      <c r="P7262" s="16" t="inlineStr">
        <is>
          <t>ССЧР обогащена; ОКВЭД не найден/не загружен</t>
        </is>
      </c>
      <c r="Q7262" s="16" t="inlineStr">
        <is>
          <t>ФНС открытые данные ССЧР (ДатаСост 31.12.2025; набор 7707329152-sshr2019)</t>
        </is>
      </c>
      <c r="R7262" s="16">
        <f>HYPERLINK("https://checko.ru/search?query=3801001629","Чекко: проверить")</f>
        <v/>
      </c>
      <c r="S7262" t="n">
        <v>1</v>
      </c>
      <c r="T7262" s="35" t="inlineStr">
        <is>
          <t>4 — Не обогащён</t>
        </is>
      </c>
      <c r="U7262" s="35" t="inlineStr">
        <is>
          <t>Нет ОКВЭД/ССЧР</t>
        </is>
      </c>
      <c r="V7262" s="35" t="inlineStr">
        <is>
          <t>Не определено</t>
        </is>
      </c>
      <c r="W7262" s="35" t="inlineStr">
        <is>
          <t>Нет</t>
        </is>
      </c>
      <c r="X7262" s="35" t="inlineStr"/>
    </row>
    <row r="7263" ht="27.75" customHeight="1" s="24">
      <c r="A7263" s="13" t="inlineStr">
        <is>
          <t>FR1315552</t>
        </is>
      </c>
      <c r="B7263" s="13" t="inlineStr">
        <is>
          <t>Общество с ограниченной ответственностью "МЕДРЕМТЕХ"</t>
        </is>
      </c>
      <c r="C7263" s="13" t="n">
        <v>9717117471</v>
      </c>
      <c r="D7263" s="13" t="inlineStr">
        <is>
          <t>9717117471</t>
        </is>
      </c>
      <c r="E7263" s="13" t="inlineStr">
        <is>
          <t>ЮЛ РФ</t>
        </is>
      </c>
      <c r="F7263" s="13" t="n"/>
      <c r="G7263" s="52" t="n">
        <v>2</v>
      </c>
      <c r="H7263" s="52" t="n">
        <v>2025</v>
      </c>
      <c r="I7263" s="14" t="n"/>
      <c r="J7263" s="14" t="n"/>
      <c r="K7263" s="53" t="inlineStr">
        <is>
          <t>Нет</t>
        </is>
      </c>
      <c r="L7263" s="53" t="inlineStr">
        <is>
          <t>Не определено</t>
        </is>
      </c>
      <c r="M7263" s="53" t="inlineStr">
        <is>
          <t>До 10</t>
        </is>
      </c>
      <c r="N7263" s="54" t="n">
        <v>3360</v>
      </c>
      <c r="O7263" s="55" t="inlineStr">
        <is>
          <t>1–15</t>
        </is>
      </c>
      <c r="P7263" s="16" t="inlineStr">
        <is>
          <t>ССЧР обогащена; ОКВЭД не найден/не загружен</t>
        </is>
      </c>
      <c r="Q7263" s="16" t="inlineStr">
        <is>
          <t>ФНС открытые данные ССЧР (ДатаСост 31.12.2025; набор 7707329152-sshr2019)</t>
        </is>
      </c>
      <c r="R7263" s="16">
        <f>HYPERLINK("https://checko.ru/search?query=3801001629","Чекко: проверить")</f>
        <v/>
      </c>
      <c r="S7263" t="n">
        <v>1</v>
      </c>
      <c r="T7263" s="35" t="inlineStr">
        <is>
          <t>4 — Не обогащён</t>
        </is>
      </c>
      <c r="U7263" s="35" t="inlineStr">
        <is>
          <t>Нет ОКВЭД/ССЧР</t>
        </is>
      </c>
      <c r="V7263" s="35" t="inlineStr">
        <is>
          <t>Не определено</t>
        </is>
      </c>
      <c r="W7263" s="35" t="inlineStr">
        <is>
          <t>Нет</t>
        </is>
      </c>
      <c r="X7263" s="35" t="inlineStr"/>
    </row>
    <row r="7264" ht="27.75" customHeight="1" s="24">
      <c r="A7264" s="13" t="inlineStr">
        <is>
          <t>FR1315327</t>
        </is>
      </c>
      <c r="B7264" s="13" t="inlineStr">
        <is>
          <t>Общество с ограниченной ответственностью "ИТФОРС"</t>
        </is>
      </c>
      <c r="C7264" s="13" t="n">
        <v>3849096393</v>
      </c>
      <c r="D7264" s="13" t="inlineStr">
        <is>
          <t>3849096393</t>
        </is>
      </c>
      <c r="E7264" s="13" t="inlineStr">
        <is>
          <t>ЮЛ РФ</t>
        </is>
      </c>
      <c r="F7264" s="13" t="n"/>
      <c r="G7264" s="52" t="n">
        <v>1</v>
      </c>
      <c r="H7264" s="52" t="n">
        <v>2025</v>
      </c>
      <c r="I7264" s="14" t="n"/>
      <c r="J7264" s="14" t="n"/>
      <c r="K7264" s="53" t="inlineStr">
        <is>
          <t>Нет</t>
        </is>
      </c>
      <c r="L7264" s="53" t="inlineStr">
        <is>
          <t>Не определено</t>
        </is>
      </c>
      <c r="M7264" s="53" t="inlineStr">
        <is>
          <t>До 10</t>
        </is>
      </c>
      <c r="N7264" s="54" t="n">
        <v>3360</v>
      </c>
      <c r="O7264" s="55" t="inlineStr">
        <is>
          <t>1–15</t>
        </is>
      </c>
      <c r="P7264" s="16" t="inlineStr">
        <is>
          <t>ССЧР обогащена; ОКВЭД не найден/не загружен</t>
        </is>
      </c>
      <c r="Q7264" s="16" t="inlineStr">
        <is>
          <t>ФНС открытые данные ССЧР (ДатаСост 31.12.2025; набор 7707329152-sshr2019)</t>
        </is>
      </c>
      <c r="R7264" s="16">
        <f>HYPERLINK("https://checko.ru/search?query=3801001629","Чекко: проверить")</f>
        <v/>
      </c>
      <c r="S7264" t="n">
        <v>1</v>
      </c>
      <c r="T7264" s="35" t="inlineStr">
        <is>
          <t>4 — Не обогащён</t>
        </is>
      </c>
      <c r="U7264" s="35" t="inlineStr">
        <is>
          <t>Нет ОКВЭД/ССЧР</t>
        </is>
      </c>
      <c r="V7264" s="35" t="inlineStr">
        <is>
          <t>Не определено</t>
        </is>
      </c>
      <c r="W7264" s="35" t="inlineStr">
        <is>
          <t>Нет</t>
        </is>
      </c>
      <c r="X7264" s="35" t="inlineStr"/>
    </row>
    <row r="7265" ht="15" customHeight="1" s="24">
      <c r="A7265" s="13" t="inlineStr">
        <is>
          <t>FR1335847</t>
        </is>
      </c>
      <c r="B7265" s="13" t="inlineStr">
        <is>
          <t>ИП Анохина Ирина Павловна</t>
        </is>
      </c>
      <c r="C7265" s="13" t="n">
        <v>383406287983</v>
      </c>
      <c r="D7265" s="13" t="inlineStr">
        <is>
          <t>383406287983</t>
        </is>
      </c>
      <c r="E7265" s="13" t="inlineStr">
        <is>
          <t>ИП РФ / физлицо</t>
        </is>
      </c>
      <c r="F7265" s="13" t="n"/>
      <c r="G7265" s="14" t="n"/>
      <c r="H7265" s="14" t="n"/>
      <c r="I7265" s="14" t="n"/>
      <c r="J7265" s="14" t="n"/>
      <c r="K7265" s="53" t="inlineStr"/>
      <c r="L7265" s="53" t="inlineStr">
        <is>
          <t>Не определено</t>
        </is>
      </c>
      <c r="M7265" s="53" t="inlineStr"/>
      <c r="N7265" s="54" t="inlineStr"/>
      <c r="O7265" s="55" t="inlineStr"/>
      <c r="P7265" s="16" t="inlineStr">
        <is>
          <t>Требует обогащения</t>
        </is>
      </c>
      <c r="Q7265" s="16">
        <f>HYPERLINK("https://pb.nalog.ru/search.html?query=383406287983","ФНС: проверить")</f>
        <v/>
      </c>
      <c r="R7265" s="16">
        <f>HYPERLINK("https://checko.ru/search?query=3801001629","Чекко: проверить")</f>
        <v/>
      </c>
      <c r="S7265" t="n">
        <v>1</v>
      </c>
      <c r="T7265" s="35" t="inlineStr">
        <is>
          <t>4 — Не обогащён</t>
        </is>
      </c>
      <c r="U7265" s="35" t="inlineStr">
        <is>
          <t>Нет ОКВЭД/ССЧР</t>
        </is>
      </c>
      <c r="V7265" s="35" t="inlineStr">
        <is>
          <t>Не определено</t>
        </is>
      </c>
      <c r="W7265" s="35" t="inlineStr"/>
      <c r="X7265" s="35" t="inlineStr"/>
    </row>
    <row r="7266" ht="15" customHeight="1" s="24">
      <c r="A7266" s="13" t="inlineStr">
        <is>
          <t>FR1201331</t>
        </is>
      </c>
      <c r="B7266" s="13" t="inlineStr">
        <is>
          <t>ИП Логутов Артём Александрович</t>
        </is>
      </c>
      <c r="C7266" s="13" t="n">
        <v>246607890469</v>
      </c>
      <c r="D7266" s="13" t="inlineStr">
        <is>
          <t>246607890469</t>
        </is>
      </c>
      <c r="E7266" s="13" t="inlineStr">
        <is>
          <t>ИП РФ / физлицо</t>
        </is>
      </c>
      <c r="F7266" s="13" t="n"/>
      <c r="G7266" s="14" t="n"/>
      <c r="H7266" s="14" t="n"/>
      <c r="I7266" s="14" t="n"/>
      <c r="J7266" s="14" t="n"/>
      <c r="K7266" s="53" t="inlineStr"/>
      <c r="L7266" s="53" t="inlineStr">
        <is>
          <t>Не определено</t>
        </is>
      </c>
      <c r="M7266" s="53" t="inlineStr"/>
      <c r="N7266" s="54" t="inlineStr"/>
      <c r="O7266" s="55" t="inlineStr"/>
      <c r="P7266" s="16" t="inlineStr">
        <is>
          <t>Требует обогащения</t>
        </is>
      </c>
      <c r="Q7266" s="16">
        <f>HYPERLINK("https://pb.nalog.ru/search.html?query=246607890469","ФНС: проверить")</f>
        <v/>
      </c>
      <c r="R7266" s="16">
        <f>HYPERLINK("https://checko.ru/search?query=3801001629","Чекко: проверить")</f>
        <v/>
      </c>
      <c r="S7266" t="n">
        <v>1</v>
      </c>
      <c r="T7266" s="35" t="inlineStr">
        <is>
          <t>4 — Не обогащён</t>
        </is>
      </c>
      <c r="U7266" s="35" t="inlineStr">
        <is>
          <t>Нет ОКВЭД/ССЧР</t>
        </is>
      </c>
      <c r="V7266" s="35" t="inlineStr">
        <is>
          <t>Не определено</t>
        </is>
      </c>
      <c r="W7266" s="35" t="inlineStr"/>
      <c r="X7266" s="35" t="inlineStr"/>
    </row>
    <row r="7267" ht="15" customHeight="1" s="24">
      <c r="A7267" s="13" t="inlineStr">
        <is>
          <t>FR1316017</t>
        </is>
      </c>
      <c r="B7267" s="13" t="inlineStr">
        <is>
          <t>СИГМА</t>
        </is>
      </c>
      <c r="C7267" s="13" t="n">
        <v>3810009230</v>
      </c>
      <c r="D7267" s="13" t="inlineStr">
        <is>
          <t>3810009230</t>
        </is>
      </c>
      <c r="E7267" s="13" t="inlineStr">
        <is>
          <t>ЮЛ РФ</t>
        </is>
      </c>
      <c r="F7267" s="13" t="n"/>
      <c r="G7267" s="14" t="n"/>
      <c r="H7267" s="14" t="n"/>
      <c r="I7267" s="14" t="n"/>
      <c r="J7267" s="14" t="n"/>
      <c r="K7267" s="53" t="inlineStr"/>
      <c r="L7267" s="53" t="inlineStr">
        <is>
          <t>Не определено</t>
        </is>
      </c>
      <c r="M7267" s="53" t="inlineStr"/>
      <c r="N7267" s="54" t="inlineStr"/>
      <c r="O7267" s="55" t="inlineStr"/>
      <c r="P7267" s="16" t="inlineStr">
        <is>
          <t>Требует обогащения</t>
        </is>
      </c>
      <c r="Q7267" s="16">
        <f>HYPERLINK("https://pb.nalog.ru/search.html?query=3810009230","ФНС: проверить")</f>
        <v/>
      </c>
      <c r="R7267" s="16">
        <f>HYPERLINK("https://checko.ru/search?query=3801001629","Чекко: проверить")</f>
        <v/>
      </c>
      <c r="S7267" t="n">
        <v>1</v>
      </c>
      <c r="T7267" s="35" t="inlineStr">
        <is>
          <t>4 — Не обогащён</t>
        </is>
      </c>
      <c r="U7267" s="35" t="inlineStr">
        <is>
          <t>Нет ОКВЭД/ССЧР</t>
        </is>
      </c>
      <c r="V7267" s="35" t="inlineStr">
        <is>
          <t>Не определено</t>
        </is>
      </c>
      <c r="W7267" s="35" t="inlineStr"/>
      <c r="X7267" s="35" t="inlineStr"/>
    </row>
    <row r="7268" ht="27.75" customHeight="1" s="24">
      <c r="A7268" s="13" t="inlineStr">
        <is>
          <t>FR1318928</t>
        </is>
      </c>
      <c r="B7268" s="13" t="inlineStr">
        <is>
          <t>Общество с ограниченной ответственностью "ДЕЗИРС НА ШЕВЦОВА"</t>
        </is>
      </c>
      <c r="C7268" s="13" t="n">
        <v>3849091525</v>
      </c>
      <c r="D7268" s="13" t="inlineStr">
        <is>
          <t>3849091525</t>
        </is>
      </c>
      <c r="E7268" s="13" t="inlineStr">
        <is>
          <t>ЮЛ РФ</t>
        </is>
      </c>
      <c r="F7268" s="13" t="n"/>
      <c r="G7268" s="52" t="n">
        <v>0</v>
      </c>
      <c r="H7268" s="52" t="n">
        <v>2025</v>
      </c>
      <c r="I7268" s="14" t="n"/>
      <c r="J7268" s="14" t="n"/>
      <c r="K7268" s="53" t="inlineStr">
        <is>
          <t>Нет</t>
        </is>
      </c>
      <c r="L7268" s="53" t="inlineStr">
        <is>
          <t>Не определено</t>
        </is>
      </c>
      <c r="M7268" s="53" t="inlineStr">
        <is>
          <t>До 10</t>
        </is>
      </c>
      <c r="N7268" s="54" t="n">
        <v>3360</v>
      </c>
      <c r="O7268" s="55" t="inlineStr">
        <is>
          <t>1–15</t>
        </is>
      </c>
      <c r="P7268" s="16" t="inlineStr">
        <is>
          <t>ССЧР обогащена; ОКВЭД не найден/не загружен</t>
        </is>
      </c>
      <c r="Q7268" s="16" t="inlineStr">
        <is>
          <t>ФНС открытые данные ССЧР (ДатаСост 31.12.2025; набор 7707329152-sshr2019)</t>
        </is>
      </c>
      <c r="R7268" s="16">
        <f>HYPERLINK("https://checko.ru/search?query=3801001629","Чекко: проверить")</f>
        <v/>
      </c>
      <c r="S7268" t="n">
        <v>1</v>
      </c>
      <c r="T7268" s="35" t="inlineStr">
        <is>
          <t>4 — Не обогащён</t>
        </is>
      </c>
      <c r="U7268" s="35" t="inlineStr">
        <is>
          <t>Нет ОКВЭД/ССЧР</t>
        </is>
      </c>
      <c r="V7268" s="35" t="inlineStr">
        <is>
          <t>Не определено</t>
        </is>
      </c>
      <c r="W7268" s="35" t="inlineStr">
        <is>
          <t>Нет</t>
        </is>
      </c>
      <c r="X7268" s="35" t="inlineStr"/>
    </row>
    <row r="7269" ht="27.75" customHeight="1" s="24">
      <c r="A7269" s="13" t="inlineStr">
        <is>
          <t>FR1316011</t>
        </is>
      </c>
      <c r="B7269" s="13" t="inlineStr">
        <is>
          <t>Общество с ограниченной ответственностью "ЛИГНА"</t>
        </is>
      </c>
      <c r="C7269" s="13" t="n">
        <v>3811464337</v>
      </c>
      <c r="D7269" s="13" t="inlineStr">
        <is>
          <t>3811464337</t>
        </is>
      </c>
      <c r="E7269" s="13" t="inlineStr">
        <is>
          <t>ЮЛ РФ</t>
        </is>
      </c>
      <c r="F7269" s="13" t="n"/>
      <c r="G7269" s="52" t="n">
        <v>1</v>
      </c>
      <c r="H7269" s="52" t="n">
        <v>2025</v>
      </c>
      <c r="I7269" s="14" t="n"/>
      <c r="J7269" s="14" t="n"/>
      <c r="K7269" s="53" t="inlineStr">
        <is>
          <t>Нет</t>
        </is>
      </c>
      <c r="L7269" s="53" t="inlineStr">
        <is>
          <t>Не определено</t>
        </is>
      </c>
      <c r="M7269" s="53" t="inlineStr">
        <is>
          <t>До 10</t>
        </is>
      </c>
      <c r="N7269" s="54" t="n">
        <v>3360</v>
      </c>
      <c r="O7269" s="55" t="inlineStr">
        <is>
          <t>1–15</t>
        </is>
      </c>
      <c r="P7269" s="16" t="inlineStr">
        <is>
          <t>ССЧР обогащена; ОКВЭД не найден/не загружен</t>
        </is>
      </c>
      <c r="Q7269" s="16" t="inlineStr">
        <is>
          <t>ФНС открытые данные ССЧР (ДатаСост 31.12.2025; набор 7707329152-sshr2019)</t>
        </is>
      </c>
      <c r="R7269" s="16">
        <f>HYPERLINK("https://checko.ru/search?query=3801001629","Чекко: проверить")</f>
        <v/>
      </c>
      <c r="S7269" t="n">
        <v>1</v>
      </c>
      <c r="T7269" s="35" t="inlineStr">
        <is>
          <t>4 — Не обогащён</t>
        </is>
      </c>
      <c r="U7269" s="35" t="inlineStr">
        <is>
          <t>Нет ОКВЭД/ССЧР</t>
        </is>
      </c>
      <c r="V7269" s="35" t="inlineStr">
        <is>
          <t>Не определено</t>
        </is>
      </c>
      <c r="W7269" s="35" t="inlineStr">
        <is>
          <t>Нет</t>
        </is>
      </c>
      <c r="X7269" s="35" t="inlineStr"/>
    </row>
    <row r="7270" ht="15" customHeight="1" s="24">
      <c r="A7270" s="13" t="inlineStr">
        <is>
          <t>FR924507</t>
        </is>
      </c>
      <c r="B7270" s="13" t="inlineStr">
        <is>
          <t>Акционерное общество "АТС СЕРВИС"</t>
        </is>
      </c>
      <c r="C7270" s="13" t="n">
        <v>9723181700</v>
      </c>
      <c r="D7270" s="13" t="inlineStr">
        <is>
          <t>9723181700</t>
        </is>
      </c>
      <c r="E7270" s="13" t="inlineStr">
        <is>
          <t>ЮЛ РФ</t>
        </is>
      </c>
      <c r="F7270" s="13" t="n"/>
      <c r="G7270" s="52" t="n">
        <v>1</v>
      </c>
      <c r="H7270" s="52" t="n">
        <v>2025</v>
      </c>
      <c r="I7270" s="14" t="n"/>
      <c r="J7270" s="14" t="n"/>
      <c r="K7270" s="53" t="inlineStr">
        <is>
          <t>Нет</t>
        </is>
      </c>
      <c r="L7270" s="53" t="inlineStr">
        <is>
          <t>Не определено</t>
        </is>
      </c>
      <c r="M7270" s="53" t="inlineStr">
        <is>
          <t>До 10</t>
        </is>
      </c>
      <c r="N7270" s="54" t="n">
        <v>3360</v>
      </c>
      <c r="O7270" s="55" t="inlineStr">
        <is>
          <t>1–15</t>
        </is>
      </c>
      <c r="P7270" s="16" t="inlineStr">
        <is>
          <t>ССЧР обогащена; ОКВЭД не найден/не загружен</t>
        </is>
      </c>
      <c r="Q7270" s="16" t="inlineStr">
        <is>
          <t>ФНС открытые данные ССЧР (ДатаСост 31.12.2025; набор 7707329152-sshr2019)</t>
        </is>
      </c>
      <c r="R7270" s="16">
        <f>HYPERLINK("https://checko.ru/search?query=3801001629","Чекко: проверить")</f>
        <v/>
      </c>
      <c r="S7270" t="n">
        <v>1</v>
      </c>
      <c r="T7270" s="35" t="inlineStr">
        <is>
          <t>4 — Не обогащён</t>
        </is>
      </c>
      <c r="U7270" s="35" t="inlineStr">
        <is>
          <t>Нет ОКВЭД/ССЧР</t>
        </is>
      </c>
      <c r="V7270" s="35" t="inlineStr">
        <is>
          <t>Не определено</t>
        </is>
      </c>
      <c r="W7270" s="35" t="inlineStr">
        <is>
          <t>Нет</t>
        </is>
      </c>
      <c r="X7270" s="35" t="inlineStr"/>
    </row>
    <row r="7271" ht="15" customHeight="1" s="24">
      <c r="A7271" s="13" t="inlineStr">
        <is>
          <t>FR759055</t>
        </is>
      </c>
      <c r="B7271" s="13" t="inlineStr">
        <is>
          <t>ИП Нарис Ирина Геннадьевна</t>
        </is>
      </c>
      <c r="C7271" s="13" t="n">
        <v>380103999986</v>
      </c>
      <c r="D7271" s="13" t="inlineStr">
        <is>
          <t>380103999986</t>
        </is>
      </c>
      <c r="E7271" s="13" t="inlineStr">
        <is>
          <t>ИП РФ / физлицо</t>
        </is>
      </c>
      <c r="F7271" s="13" t="n"/>
      <c r="G7271" s="14" t="n"/>
      <c r="H7271" s="14" t="n"/>
      <c r="I7271" s="14" t="n"/>
      <c r="J7271" s="14" t="n"/>
      <c r="K7271" s="53" t="inlineStr"/>
      <c r="L7271" s="53" t="inlineStr">
        <is>
          <t>Не определено</t>
        </is>
      </c>
      <c r="M7271" s="53" t="inlineStr"/>
      <c r="N7271" s="54" t="inlineStr"/>
      <c r="O7271" s="55" t="inlineStr"/>
      <c r="P7271" s="16" t="inlineStr">
        <is>
          <t>Требует обогащения</t>
        </is>
      </c>
      <c r="Q7271" s="16">
        <f>HYPERLINK("https://pb.nalog.ru/search.html?query=380103999986","ФНС: проверить")</f>
        <v/>
      </c>
      <c r="R7271" s="16">
        <f>HYPERLINK("https://checko.ru/search?query=3801001629","Чекко: проверить")</f>
        <v/>
      </c>
      <c r="S7271" t="n">
        <v>1</v>
      </c>
      <c r="T7271" s="35" t="inlineStr">
        <is>
          <t>4 — Не обогащён</t>
        </is>
      </c>
      <c r="U7271" s="35" t="inlineStr">
        <is>
          <t>Нет ОКВЭД/ССЧР</t>
        </is>
      </c>
      <c r="V7271" s="35" t="inlineStr">
        <is>
          <t>Не определено</t>
        </is>
      </c>
      <c r="W7271" s="35" t="inlineStr"/>
      <c r="X7271" s="35" t="inlineStr"/>
    </row>
    <row r="7272" ht="15" customHeight="1" s="24">
      <c r="A7272" s="13" t="inlineStr">
        <is>
          <t>FR605008</t>
        </is>
      </c>
      <c r="B7272" s="13" t="inlineStr">
        <is>
          <t>ИП Высоцкая Инна Борисовна</t>
        </is>
      </c>
      <c r="C7272" s="13" t="n">
        <v>263526363849</v>
      </c>
      <c r="D7272" s="13" t="inlineStr">
        <is>
          <t>263526363849</t>
        </is>
      </c>
      <c r="E7272" s="13" t="inlineStr">
        <is>
          <t>ИП РФ / физлицо</t>
        </is>
      </c>
      <c r="F7272" s="13" t="n"/>
      <c r="G7272" s="14" t="n"/>
      <c r="H7272" s="14" t="n"/>
      <c r="I7272" s="14" t="n"/>
      <c r="J7272" s="14" t="n"/>
      <c r="K7272" s="53" t="inlineStr"/>
      <c r="L7272" s="53" t="inlineStr">
        <is>
          <t>Не определено</t>
        </is>
      </c>
      <c r="M7272" s="53" t="inlineStr"/>
      <c r="N7272" s="54" t="inlineStr"/>
      <c r="O7272" s="55" t="inlineStr"/>
      <c r="P7272" s="16" t="inlineStr">
        <is>
          <t>Требует обогащения</t>
        </is>
      </c>
      <c r="Q7272" s="16">
        <f>HYPERLINK("https://pb.nalog.ru/search.html?query=263526363849","ФНС: проверить")</f>
        <v/>
      </c>
      <c r="R7272" s="16">
        <f>HYPERLINK("https://checko.ru/search?query=3801001629","Чекко: проверить")</f>
        <v/>
      </c>
      <c r="S7272" t="n">
        <v>1</v>
      </c>
      <c r="T7272" s="35" t="inlineStr">
        <is>
          <t>4 — Не обогащён</t>
        </is>
      </c>
      <c r="U7272" s="35" t="inlineStr">
        <is>
          <t>Нет ОКВЭД/ССЧР</t>
        </is>
      </c>
      <c r="V7272" s="35" t="inlineStr">
        <is>
          <t>Не определено</t>
        </is>
      </c>
      <c r="W7272" s="35" t="inlineStr"/>
      <c r="X7272" s="35" t="inlineStr"/>
    </row>
    <row r="7273" ht="15" customHeight="1" s="24">
      <c r="A7273" s="13" t="inlineStr">
        <is>
          <t>FR486394</t>
        </is>
      </c>
      <c r="B7273" s="13" t="inlineStr">
        <is>
          <t>РЭС, ООО</t>
        </is>
      </c>
      <c r="C7273" s="13" t="n">
        <v>5257190578</v>
      </c>
      <c r="D7273" s="13" t="inlineStr">
        <is>
          <t>5257190578</t>
        </is>
      </c>
      <c r="E7273" s="13" t="inlineStr">
        <is>
          <t>ЮЛ РФ</t>
        </is>
      </c>
      <c r="F7273" s="13" t="n"/>
      <c r="G7273" s="52" t="n">
        <v>2</v>
      </c>
      <c r="H7273" s="52" t="n">
        <v>2025</v>
      </c>
      <c r="I7273" s="14" t="n"/>
      <c r="J7273" s="14" t="n"/>
      <c r="K7273" s="53" t="inlineStr">
        <is>
          <t>Нет</t>
        </is>
      </c>
      <c r="L7273" s="53" t="inlineStr">
        <is>
          <t>Не определено</t>
        </is>
      </c>
      <c r="M7273" s="53" t="inlineStr">
        <is>
          <t>До 10</t>
        </is>
      </c>
      <c r="N7273" s="54" t="n">
        <v>3360</v>
      </c>
      <c r="O7273" s="55" t="inlineStr">
        <is>
          <t>1–15</t>
        </is>
      </c>
      <c r="P7273" s="16" t="inlineStr">
        <is>
          <t>ССЧР обогащена; ОКВЭД не найден/не загружен</t>
        </is>
      </c>
      <c r="Q7273" s="16" t="inlineStr">
        <is>
          <t>ФНС открытые данные ССЧР (ДатаСост 31.12.2025; набор 7707329152-sshr2019)</t>
        </is>
      </c>
      <c r="R7273" s="16">
        <f>HYPERLINK("https://checko.ru/search?query=3801001629","Чекко: проверить")</f>
        <v/>
      </c>
      <c r="S7273" t="n">
        <v>1</v>
      </c>
      <c r="T7273" s="35" t="inlineStr">
        <is>
          <t>4 — Не обогащён</t>
        </is>
      </c>
      <c r="U7273" s="35" t="inlineStr">
        <is>
          <t>Нет ОКВЭД/ССЧР</t>
        </is>
      </c>
      <c r="V7273" s="35" t="inlineStr">
        <is>
          <t>Не определено</t>
        </is>
      </c>
      <c r="W7273" s="35" t="inlineStr">
        <is>
          <t>Нет</t>
        </is>
      </c>
      <c r="X7273" s="35" t="inlineStr"/>
    </row>
    <row r="7274" ht="41.25" customHeight="1" s="24">
      <c r="A7274" s="13" t="inlineStr">
        <is>
          <t>FR758908</t>
        </is>
      </c>
      <c r="B7274" s="13" t="inlineStr">
        <is>
          <t>Общество с ограниченной ответственностью "ИРКУТСКИЙ ЗАВОД НИЗКОВОЛЬТНЫХ УСТРОЙСТВ"</t>
        </is>
      </c>
      <c r="C7274" s="13" t="n">
        <v>3810337752</v>
      </c>
      <c r="D7274" s="13" t="inlineStr">
        <is>
          <t>3810337752</t>
        </is>
      </c>
      <c r="E7274" s="13" t="inlineStr">
        <is>
          <t>ЮЛ РФ</t>
        </is>
      </c>
      <c r="F7274" s="13" t="n"/>
      <c r="G7274" s="52" t="n">
        <v>3</v>
      </c>
      <c r="H7274" s="52" t="n">
        <v>2025</v>
      </c>
      <c r="I7274" s="14" t="n"/>
      <c r="J7274" s="14" t="n"/>
      <c r="K7274" s="53" t="inlineStr">
        <is>
          <t>Нет</t>
        </is>
      </c>
      <c r="L7274" s="53" t="inlineStr">
        <is>
          <t>Не определено</t>
        </is>
      </c>
      <c r="M7274" s="53" t="inlineStr">
        <is>
          <t>До 10</t>
        </is>
      </c>
      <c r="N7274" s="54" t="n">
        <v>3360</v>
      </c>
      <c r="O7274" s="55" t="inlineStr">
        <is>
          <t>1–15</t>
        </is>
      </c>
      <c r="P7274" s="16" t="inlineStr">
        <is>
          <t>ССЧР обогащена; ОКВЭД не найден/не загружен</t>
        </is>
      </c>
      <c r="Q7274" s="16" t="inlineStr">
        <is>
          <t>ФНС открытые данные ССЧР (ДатаСост 31.12.2025; набор 7707329152-sshr2019)</t>
        </is>
      </c>
      <c r="R7274" s="16">
        <f>HYPERLINK("https://checko.ru/search?query=3801001629","Чекко: проверить")</f>
        <v/>
      </c>
      <c r="S7274" t="n">
        <v>1</v>
      </c>
      <c r="T7274" s="35" t="inlineStr">
        <is>
          <t>4 — Не обогащён</t>
        </is>
      </c>
      <c r="U7274" s="35" t="inlineStr">
        <is>
          <t>Нет ОКВЭД/ССЧР</t>
        </is>
      </c>
      <c r="V7274" s="35" t="inlineStr">
        <is>
          <t>Не определено</t>
        </is>
      </c>
      <c r="W7274" s="35" t="inlineStr">
        <is>
          <t>Нет</t>
        </is>
      </c>
      <c r="X7274" s="35" t="inlineStr"/>
    </row>
    <row r="7275" ht="41.25" customHeight="1" s="24">
      <c r="A7275" s="13" t="inlineStr">
        <is>
          <t>FR679436</t>
        </is>
      </c>
      <c r="B7275" s="13" t="inlineStr">
        <is>
          <t>МУНИЦИПАЛЬНОЕ УНИТАРНОЕ ПРЕДПРИЯТИЕ "ЖКХ МОЛОДЕЖНЫЙ" МУНИЦИПАЛЬНОГО ОБРАЗОВАНИЯ "СРЕДНЕТЫМСКОЕ СЕЛЬС</t>
        </is>
      </c>
      <c r="C7275" s="13" t="n">
        <v>7006006160</v>
      </c>
      <c r="D7275" s="13" t="inlineStr">
        <is>
          <t>7006006160</t>
        </is>
      </c>
      <c r="E7275" s="13" t="inlineStr">
        <is>
          <t>ЮЛ РФ</t>
        </is>
      </c>
      <c r="F7275" s="13" t="n"/>
      <c r="G7275" s="14" t="n"/>
      <c r="H7275" s="14" t="n"/>
      <c r="I7275" s="14" t="n"/>
      <c r="J7275" s="14" t="n"/>
      <c r="K7275" s="53" t="inlineStr"/>
      <c r="L7275" s="53" t="inlineStr">
        <is>
          <t>Не определено</t>
        </is>
      </c>
      <c r="M7275" s="53" t="inlineStr"/>
      <c r="N7275" s="54" t="inlineStr"/>
      <c r="O7275" s="55" t="inlineStr"/>
      <c r="P7275" s="16" t="inlineStr">
        <is>
          <t>Требует обогащения</t>
        </is>
      </c>
      <c r="Q7275" s="16">
        <f>HYPERLINK("https://pb.nalog.ru/search.html?query=7006006160","ФНС: проверить")</f>
        <v/>
      </c>
      <c r="R7275" s="16">
        <f>HYPERLINK("https://checko.ru/search?query=3801001629","Чекко: проверить")</f>
        <v/>
      </c>
      <c r="S7275" t="n">
        <v>1</v>
      </c>
      <c r="T7275" s="35" t="inlineStr">
        <is>
          <t>4 — Не обогащён</t>
        </is>
      </c>
      <c r="U7275" s="35" t="inlineStr">
        <is>
          <t>Нет ОКВЭД/ССЧР</t>
        </is>
      </c>
      <c r="V7275" s="35" t="inlineStr">
        <is>
          <t>Не определено</t>
        </is>
      </c>
      <c r="W7275" s="35" t="inlineStr"/>
      <c r="X7275" s="35" t="inlineStr"/>
    </row>
    <row r="7276" ht="27.75" customHeight="1" s="24">
      <c r="A7276" s="13" t="inlineStr">
        <is>
          <t>FR609351</t>
        </is>
      </c>
      <c r="B7276" s="13" t="inlineStr">
        <is>
          <t>Общество с ограниченной ответственностью "ДИЛТЭК"</t>
        </is>
      </c>
      <c r="C7276" s="13" t="n">
        <v>3849070860</v>
      </c>
      <c r="D7276" s="13" t="inlineStr">
        <is>
          <t>3849070860</t>
        </is>
      </c>
      <c r="E7276" s="13" t="inlineStr">
        <is>
          <t>ЮЛ РФ</t>
        </is>
      </c>
      <c r="F7276" s="13" t="n"/>
      <c r="G7276" s="52" t="n">
        <v>2</v>
      </c>
      <c r="H7276" s="52" t="n">
        <v>2025</v>
      </c>
      <c r="I7276" s="14" t="n"/>
      <c r="J7276" s="14" t="n"/>
      <c r="K7276" s="53" t="inlineStr">
        <is>
          <t>Нет</t>
        </is>
      </c>
      <c r="L7276" s="53" t="inlineStr">
        <is>
          <t>Не определено</t>
        </is>
      </c>
      <c r="M7276" s="53" t="inlineStr">
        <is>
          <t>До 10</t>
        </is>
      </c>
      <c r="N7276" s="54" t="n">
        <v>3360</v>
      </c>
      <c r="O7276" s="55" t="inlineStr">
        <is>
          <t>1–15</t>
        </is>
      </c>
      <c r="P7276" s="16" t="inlineStr">
        <is>
          <t>ССЧР обогащена; ОКВЭД не найден/не загружен</t>
        </is>
      </c>
      <c r="Q7276" s="16" t="inlineStr">
        <is>
          <t>ФНС открытые данные ССЧР (ДатаСост 31.12.2025; набор 7707329152-sshr2019)</t>
        </is>
      </c>
      <c r="R7276" s="16">
        <f>HYPERLINK("https://checko.ru/search?query=3801001629","Чекко: проверить")</f>
        <v/>
      </c>
      <c r="S7276" t="n">
        <v>1</v>
      </c>
      <c r="T7276" s="35" t="inlineStr">
        <is>
          <t>4 — Не обогащён</t>
        </is>
      </c>
      <c r="U7276" s="35" t="inlineStr">
        <is>
          <t>Нет ОКВЭД/ССЧР</t>
        </is>
      </c>
      <c r="V7276" s="35" t="inlineStr">
        <is>
          <t>Не определено</t>
        </is>
      </c>
      <c r="W7276" s="35" t="inlineStr">
        <is>
          <t>Нет</t>
        </is>
      </c>
      <c r="X7276" s="35" t="inlineStr"/>
    </row>
    <row r="7277" ht="15" customHeight="1" s="24">
      <c r="A7277" s="13" t="inlineStr">
        <is>
          <t>FR613554</t>
        </is>
      </c>
      <c r="B7277" s="13" t="inlineStr">
        <is>
          <t>ИП Баранов Евгений Алексеевич</t>
        </is>
      </c>
      <c r="C7277" s="13" t="n">
        <v>381253972819</v>
      </c>
      <c r="D7277" s="13" t="inlineStr">
        <is>
          <t>381253972819</t>
        </is>
      </c>
      <c r="E7277" s="13" t="inlineStr">
        <is>
          <t>ИП РФ / физлицо</t>
        </is>
      </c>
      <c r="F7277" s="13" t="n"/>
      <c r="G7277" s="14" t="n"/>
      <c r="H7277" s="14" t="n"/>
      <c r="I7277" s="14" t="n"/>
      <c r="J7277" s="14" t="n"/>
      <c r="K7277" s="53" t="inlineStr"/>
      <c r="L7277" s="53" t="inlineStr">
        <is>
          <t>Не определено</t>
        </is>
      </c>
      <c r="M7277" s="53" t="inlineStr"/>
      <c r="N7277" s="54" t="inlineStr"/>
      <c r="O7277" s="55" t="inlineStr"/>
      <c r="P7277" s="16" t="inlineStr">
        <is>
          <t>Требует обогащения</t>
        </is>
      </c>
      <c r="Q7277" s="16">
        <f>HYPERLINK("https://pb.nalog.ru/search.html?query=381253972819","ФНС: проверить")</f>
        <v/>
      </c>
      <c r="R7277" s="16">
        <f>HYPERLINK("https://checko.ru/search?query=3801001629","Чекко: проверить")</f>
        <v/>
      </c>
      <c r="S7277" t="n">
        <v>1</v>
      </c>
      <c r="T7277" s="35" t="inlineStr">
        <is>
          <t>4 — Не обогащён</t>
        </is>
      </c>
      <c r="U7277" s="35" t="inlineStr">
        <is>
          <t>Нет ОКВЭД/ССЧР</t>
        </is>
      </c>
      <c r="V7277" s="35" t="inlineStr">
        <is>
          <t>Не определено</t>
        </is>
      </c>
      <c r="W7277" s="35" t="inlineStr"/>
      <c r="X7277" s="35" t="inlineStr"/>
    </row>
    <row r="7278" ht="15" customHeight="1" s="24">
      <c r="A7278" s="13" t="inlineStr">
        <is>
          <t>FR606423</t>
        </is>
      </c>
      <c r="B7278" s="13" t="inlineStr">
        <is>
          <t>СХПССК Валерия</t>
        </is>
      </c>
      <c r="C7278" s="13" t="n">
        <v>3849022289</v>
      </c>
      <c r="D7278" s="13" t="inlineStr">
        <is>
          <t>3849022289</t>
        </is>
      </c>
      <c r="E7278" s="13" t="inlineStr">
        <is>
          <t>ЮЛ РФ</t>
        </is>
      </c>
      <c r="F7278" s="13" t="n"/>
      <c r="G7278" s="14" t="n"/>
      <c r="H7278" s="14" t="n"/>
      <c r="I7278" s="14" t="n"/>
      <c r="J7278" s="14" t="n"/>
      <c r="K7278" s="53" t="inlineStr"/>
      <c r="L7278" s="53" t="inlineStr">
        <is>
          <t>Не определено</t>
        </is>
      </c>
      <c r="M7278" s="53" t="inlineStr"/>
      <c r="N7278" s="54" t="inlineStr"/>
      <c r="O7278" s="55" t="inlineStr"/>
      <c r="P7278" s="16" t="inlineStr">
        <is>
          <t>Требует обогащения</t>
        </is>
      </c>
      <c r="Q7278" s="16">
        <f>HYPERLINK("https://pb.nalog.ru/search.html?query=3849022289","ФНС: проверить")</f>
        <v/>
      </c>
      <c r="R7278" s="16">
        <f>HYPERLINK("https://checko.ru/search?query=3801001629","Чекко: проверить")</f>
        <v/>
      </c>
      <c r="S7278" t="n">
        <v>1</v>
      </c>
      <c r="T7278" s="35" t="inlineStr">
        <is>
          <t>4 — Не обогащён</t>
        </is>
      </c>
      <c r="U7278" s="35" t="inlineStr">
        <is>
          <t>Нет ОКВЭД/ССЧР</t>
        </is>
      </c>
      <c r="V7278" s="35" t="inlineStr">
        <is>
          <t>Не определено</t>
        </is>
      </c>
      <c r="W7278" s="35" t="inlineStr"/>
      <c r="X7278" s="35" t="inlineStr"/>
    </row>
    <row r="7279" ht="27.75" customHeight="1" s="24">
      <c r="A7279" s="13" t="inlineStr">
        <is>
          <t>FR919389</t>
        </is>
      </c>
      <c r="B7279" s="13" t="inlineStr">
        <is>
          <t>Общество с ограниченной ответственностью "МОНТАЖТЕХ-СЕРВИС"</t>
        </is>
      </c>
      <c r="C7279" s="13" t="n">
        <v>3812525744</v>
      </c>
      <c r="D7279" s="13" t="inlineStr">
        <is>
          <t>3812525744</t>
        </is>
      </c>
      <c r="E7279" s="13" t="inlineStr">
        <is>
          <t>ЮЛ РФ</t>
        </is>
      </c>
      <c r="F7279" s="13" t="n"/>
      <c r="G7279" s="52" t="n">
        <v>2</v>
      </c>
      <c r="H7279" s="52" t="n">
        <v>2025</v>
      </c>
      <c r="I7279" s="14" t="n"/>
      <c r="J7279" s="14" t="n"/>
      <c r="K7279" s="53" t="inlineStr">
        <is>
          <t>Нет</t>
        </is>
      </c>
      <c r="L7279" s="53" t="inlineStr">
        <is>
          <t>Не определено</t>
        </is>
      </c>
      <c r="M7279" s="53" t="inlineStr">
        <is>
          <t>До 10</t>
        </is>
      </c>
      <c r="N7279" s="54" t="n">
        <v>3360</v>
      </c>
      <c r="O7279" s="55" t="inlineStr">
        <is>
          <t>1–15</t>
        </is>
      </c>
      <c r="P7279" s="16" t="inlineStr">
        <is>
          <t>ССЧР обогащена; ОКВЭД не найден/не загружен</t>
        </is>
      </c>
      <c r="Q7279" s="16" t="inlineStr">
        <is>
          <t>ФНС открытые данные ССЧР (ДатаСост 31.12.2025; набор 7707329152-sshr2019)</t>
        </is>
      </c>
      <c r="R7279" s="16">
        <f>HYPERLINK("https://checko.ru/search?query=3801001629","Чекко: проверить")</f>
        <v/>
      </c>
      <c r="S7279" t="n">
        <v>1</v>
      </c>
      <c r="T7279" s="35" t="inlineStr">
        <is>
          <t>4 — Не обогащён</t>
        </is>
      </c>
      <c r="U7279" s="35" t="inlineStr">
        <is>
          <t>Нет ОКВЭД/ССЧР</t>
        </is>
      </c>
      <c r="V7279" s="35" t="inlineStr">
        <is>
          <t>Не определено</t>
        </is>
      </c>
      <c r="W7279" s="35" t="inlineStr">
        <is>
          <t>Нет</t>
        </is>
      </c>
      <c r="X7279" s="35" t="inlineStr"/>
    </row>
    <row r="7280" ht="15" customHeight="1" s="24">
      <c r="A7280" s="13" t="inlineStr">
        <is>
          <t>FR394357</t>
        </is>
      </c>
      <c r="B7280" s="13" t="inlineStr">
        <is>
          <t>ИП Карлагин Алексей Георгиевич</t>
        </is>
      </c>
      <c r="C7280" s="13" t="n">
        <v>631209958730</v>
      </c>
      <c r="D7280" s="13" t="inlineStr">
        <is>
          <t>631209958730</t>
        </is>
      </c>
      <c r="E7280" s="13" t="inlineStr">
        <is>
          <t>ИП РФ / физлицо</t>
        </is>
      </c>
      <c r="F7280" s="13" t="n"/>
      <c r="G7280" s="14" t="n"/>
      <c r="H7280" s="14" t="n"/>
      <c r="I7280" s="14" t="n"/>
      <c r="J7280" s="14" t="n"/>
      <c r="K7280" s="53" t="inlineStr"/>
      <c r="L7280" s="53" t="inlineStr">
        <is>
          <t>Не определено</t>
        </is>
      </c>
      <c r="M7280" s="53" t="inlineStr"/>
      <c r="N7280" s="54" t="inlineStr"/>
      <c r="O7280" s="55" t="inlineStr"/>
      <c r="P7280" s="16" t="inlineStr">
        <is>
          <t>Требует обогащения</t>
        </is>
      </c>
      <c r="Q7280" s="16">
        <f>HYPERLINK("https://pb.nalog.ru/search.html?query=631209958730","ФНС: проверить")</f>
        <v/>
      </c>
      <c r="R7280" s="16">
        <f>HYPERLINK("https://checko.ru/search?query=3801001629","Чекко: проверить")</f>
        <v/>
      </c>
      <c r="S7280" t="n">
        <v>1</v>
      </c>
      <c r="T7280" s="35" t="inlineStr">
        <is>
          <t>4 — Не обогащён</t>
        </is>
      </c>
      <c r="U7280" s="35" t="inlineStr">
        <is>
          <t>Нет ОКВЭД/ССЧР</t>
        </is>
      </c>
      <c r="V7280" s="35" t="inlineStr">
        <is>
          <t>Не определено</t>
        </is>
      </c>
      <c r="W7280" s="35" t="inlineStr"/>
      <c r="X7280" s="35" t="inlineStr"/>
    </row>
    <row r="7281" ht="15" customHeight="1" s="24">
      <c r="A7281" s="13" t="inlineStr">
        <is>
          <t>FR1138466</t>
        </is>
      </c>
      <c r="B7281" s="13" t="inlineStr">
        <is>
          <t>ИП Жебулев Глеб Эдуардович</t>
        </is>
      </c>
      <c r="C7281" s="13" t="n">
        <v>381500523088</v>
      </c>
      <c r="D7281" s="13" t="inlineStr">
        <is>
          <t>381500523088</t>
        </is>
      </c>
      <c r="E7281" s="13" t="inlineStr">
        <is>
          <t>ИП РФ / физлицо</t>
        </is>
      </c>
      <c r="F7281" s="13" t="n"/>
      <c r="G7281" s="14" t="n"/>
      <c r="H7281" s="14" t="n"/>
      <c r="I7281" s="14" t="n"/>
      <c r="J7281" s="14" t="n"/>
      <c r="K7281" s="53" t="inlineStr"/>
      <c r="L7281" s="53" t="inlineStr">
        <is>
          <t>Не определено</t>
        </is>
      </c>
      <c r="M7281" s="53" t="inlineStr"/>
      <c r="N7281" s="54" t="inlineStr"/>
      <c r="O7281" s="55" t="inlineStr"/>
      <c r="P7281" s="16" t="inlineStr">
        <is>
          <t>Требует обогащения</t>
        </is>
      </c>
      <c r="Q7281" s="16">
        <f>HYPERLINK("https://pb.nalog.ru/search.html?query=381500523088","ФНС: проверить")</f>
        <v/>
      </c>
      <c r="R7281" s="16">
        <f>HYPERLINK("https://checko.ru/search?query=3801001629","Чекко: проверить")</f>
        <v/>
      </c>
      <c r="S7281" t="n">
        <v>1</v>
      </c>
      <c r="T7281" s="35" t="inlineStr">
        <is>
          <t>4 — Не обогащён</t>
        </is>
      </c>
      <c r="U7281" s="35" t="inlineStr">
        <is>
          <t>Нет ОКВЭД/ССЧР</t>
        </is>
      </c>
      <c r="V7281" s="35" t="inlineStr">
        <is>
          <t>Не определено</t>
        </is>
      </c>
      <c r="W7281" s="35" t="inlineStr"/>
      <c r="X7281" s="35" t="inlineStr"/>
    </row>
    <row r="7282" ht="27.75" customHeight="1" s="24">
      <c r="A7282" s="13" t="inlineStr">
        <is>
          <t>FR1121854</t>
        </is>
      </c>
      <c r="B7282" s="13" t="inlineStr">
        <is>
          <t>Общество с ограниченной ответственностью "АКВА ТРЕЙД"</t>
        </is>
      </c>
      <c r="C7282" s="13" t="n">
        <v>3808291476</v>
      </c>
      <c r="D7282" s="13" t="inlineStr">
        <is>
          <t>3808291476</t>
        </is>
      </c>
      <c r="E7282" s="13" t="inlineStr">
        <is>
          <t>ЮЛ РФ</t>
        </is>
      </c>
      <c r="F7282" s="13" t="n"/>
      <c r="G7282" s="52" t="n">
        <v>0</v>
      </c>
      <c r="H7282" s="52" t="n">
        <v>2025</v>
      </c>
      <c r="I7282" s="14" t="n"/>
      <c r="J7282" s="14" t="n"/>
      <c r="K7282" s="53" t="inlineStr">
        <is>
          <t>Нет</t>
        </is>
      </c>
      <c r="L7282" s="53" t="inlineStr">
        <is>
          <t>Не определено</t>
        </is>
      </c>
      <c r="M7282" s="53" t="inlineStr">
        <is>
          <t>До 10</t>
        </is>
      </c>
      <c r="N7282" s="54" t="n">
        <v>3360</v>
      </c>
      <c r="O7282" s="55" t="inlineStr">
        <is>
          <t>1–15</t>
        </is>
      </c>
      <c r="P7282" s="16" t="inlineStr">
        <is>
          <t>ССЧР обогащена; ОКВЭД не найден/не загружен</t>
        </is>
      </c>
      <c r="Q7282" s="16" t="inlineStr">
        <is>
          <t>ФНС открытые данные ССЧР (ДатаСост 31.12.2025; набор 7707329152-sshr2019)</t>
        </is>
      </c>
      <c r="R7282" s="16">
        <f>HYPERLINK("https://checko.ru/search?query=3801001629","Чекко: проверить")</f>
        <v/>
      </c>
      <c r="S7282" t="n">
        <v>1</v>
      </c>
      <c r="T7282" s="35" t="inlineStr">
        <is>
          <t>4 — Не обогащён</t>
        </is>
      </c>
      <c r="U7282" s="35" t="inlineStr">
        <is>
          <t>Нет ОКВЭД/ССЧР</t>
        </is>
      </c>
      <c r="V7282" s="35" t="inlineStr">
        <is>
          <t>Не определено</t>
        </is>
      </c>
      <c r="W7282" s="35" t="inlineStr">
        <is>
          <t>Нет</t>
        </is>
      </c>
      <c r="X7282" s="35" t="inlineStr"/>
    </row>
    <row r="7283" ht="15" customHeight="1" s="24">
      <c r="A7283" s="13" t="inlineStr">
        <is>
          <t>FR1123158</t>
        </is>
      </c>
      <c r="B7283" s="13" t="inlineStr">
        <is>
          <t>Ли Ольга Витальевна</t>
        </is>
      </c>
      <c r="C7283" s="13" t="n">
        <v>32608032601</v>
      </c>
      <c r="D7283" s="13" t="n"/>
      <c r="E7283" s="13" t="inlineStr">
        <is>
          <t>Не определён</t>
        </is>
      </c>
      <c r="F7283" s="13" t="n"/>
      <c r="G7283" s="14" t="n"/>
      <c r="H7283" s="14" t="n"/>
      <c r="I7283" s="14" t="n"/>
      <c r="J7283" s="14" t="n"/>
      <c r="K7283" s="13">
        <f>IF(G7283="","",IF(G7283&gt;=22,"Да","Нет"))</f>
        <v/>
      </c>
      <c r="L7283" s="13">
        <f>IF(OR(I7283="",J7283=""),"Не определено",IF(OR(COUNTIF(I7283,"45*")&gt;0,COUNTIF(J7283,"*45*")&gt;0,COUNTIF(I7283,"46*")&gt;0,COUNTIF(J7283,"*46*")&gt;0,COUNTIF(I7283,"47*")&gt;0,COUNTIF(J7283,"*47*")&gt;0,COUNTIF(I7283,"10*")&gt;0,COUNTIF(J7283,"*10*")&gt;0,COUNTIF(I7283,"11*")&gt;0,COUNTIF(J7283,"*11*")&gt;0,COUNTIF(I7283,"12*")&gt;0,COUNTIF(J7283,"*12*")&gt;0,COUNTIF(I7283,"13*")&gt;0,COUNTIF(J7283,"*13*")&gt;0,COUNTIF(I7283,"14*")&gt;0,COUNTIF(J7283,"*14*")&gt;0,COUNTIF(I7283,"15*")&gt;0,COUNTIF(J7283,"*15*")&gt;0,COUNTIF(I7283,"16*")&gt;0,COUNTIF(J7283,"*16*")&gt;0,COUNTIF(I7283,"17*")&gt;0,COUNTIF(J7283,"*17*")&gt;0,COUNTIF(I7283,"18*")&gt;0,COUNTIF(J7283,"*18*")&gt;0,COUNTIF(I7283,"19*")&gt;0,COUNTIF(J7283,"*19*")&gt;0,COUNTIF(I7283,"20*")&gt;0,COUNTIF(J7283,"*20*")&gt;0,COUNTIF(I7283,"21*")&gt;0,COUNTIF(J7283,"*21*")&gt;0,COUNTIF(I7283,"22*")&gt;0,COUNTIF(J7283,"*22*")&gt;0,COUNTIF(I7283,"23*")&gt;0,COUNTIF(J7283,"*23*")&gt;0,COUNTIF(I7283,"24*")&gt;0,COUNTIF(J7283,"*24*")&gt;0,COUNTIF(I7283,"25*")&gt;0,COUNTIF(J7283,"*25*")&gt;0,COUNTIF(I7283,"26*")&gt;0,COUNTIF(J7283,"*26*")&gt;0,COUNTIF(I7283,"27*")&gt;0,COUNTIF(J7283,"*27*")&gt;0,COUNTIF(I7283,"28*")&gt;0,COUNTIF(J7283,"*28*")&gt;0,COUNTIF(I7283,"29*")&gt;0,COUNTIF(J7283,"*29*")&gt;0,COUNTIF(I7283,"30*")&gt;0,COUNTIF(J7283,"*30*")&gt;0,COUNTIF(I7283,"31*")&gt;0,COUNTIF(J7283,"*31*")&gt;0,COUNTIF(I7283,"32*")&gt;0,COUNTIF(J7283,"*32*")&gt;0,COUNTIF(I7283,"33*")&gt;0,COUNTIF(J7283,"*33*")&gt;0,COUNTIF(I7283,"41*")&gt;0,COUNTIF(J7283,"*41*")&gt;0,COUNTIF(I7283,"42*")&gt;0,COUNTIF(J7283,"*42*")&gt;0,COUNTIF(I7283,"43*")&gt;0,COUNTIF(J7283,"*43*")&gt;0,COUNTIF(I7283,"49*")&gt;0,COUNTIF(J7283,"*49*")&gt;0,COUNTIF(I7283,"52*")&gt;0,COUNTIF(J7283,"*52*")&gt;0,COUNTIF(I7283,"55*")&gt;0,COUNTIF(J7283,"*55*")&gt;0,COUNTIF(I7283,"56*")&gt;0,COUNTIF(J7283,"*56*")&gt;0,COUNTIF(I7283,"68*")&gt;0,COUNTIF(J7283,"*68*")&gt;0,COUNTIF(I7283,"78*")&gt;0,COUNTIF(J7283,"*78*")&gt;0,COUNTIF(I7283,"81*")&gt;0,COUNTIF(J7283,"*81*")&gt;0,COUNTIF(I7283,"82*")&gt;0,COUNTIF(J7283,"*82*")&gt;0,COUNTIF(I7283,"64*")&gt;0,COUNTIF(J7283,"*64*")&gt;0,COUNTIF(I7283,"65*")&gt;0,COUNTIF(J7283,"*65*")&gt;0,COUNTIF(I7283,"66*")&gt;0,COUNTIF(J7283,"*66*")&gt;0,COUNTIF(I7283,"61*")&gt;0,COUNTIF(J7283,"*61*")&gt;0,COUNTIF(I7283,"62*")&gt;0,COUNTIF(J7283,"*62*")&gt;0,COUNTIF(I7283,"63*")&gt;0,COUNTIF(J7283,"*63*")&gt;0,COUNTIF(I7283,"85*")&gt;0,COUNTIF(J7283,"*85*")&gt;0,COUNTIF(I7283,"86*")&gt;0,COUNTIF(J7283,"*86*")&gt;0),"Да","Нет"))</f>
        <v/>
      </c>
      <c r="M7283" s="13">
        <f>IF(OR(G7283="",L7283&lt;&gt;"Да"),"",IF(G7283&lt;=100,"До 100",IF(G7283&lt;=200,"До 200",IF(G7283&lt;=500,"До 500","Отдельное КП"))))</f>
        <v/>
      </c>
      <c r="N7283" s="15">
        <f>IF(OR(G7283="",L7283&lt;&gt;"Да"),"",IF(G7283&lt;=100,33600,IF(G7283&lt;=200,62400,IF(G7283&lt;=500,144000,""))))</f>
        <v/>
      </c>
      <c r="O7283" s="16">
        <f>IF(G7283="","",IF(G7283&lt;=15,"1–15",IF(G7283&lt;=30,"16–30",IF(G7283&lt;=50,"31–50",IF(G7283&lt;=100,"51–100",IF(G7283&lt;=150,"101–150",IF(G7283&lt;=200,"151–200",IF(G7283&lt;=500,"201–500","500+"))))))))</f>
        <v/>
      </c>
      <c r="P7283" s="16" t="inlineStr">
        <is>
          <t>Нет совпадения в предоставленной выгрузке ССЧР</t>
        </is>
      </c>
      <c r="Q7283" s="16" t="n"/>
      <c r="R7283" s="16">
        <f>HYPERLINK("https://checko.ru/search?query=3801001629","Чекко: проверить")</f>
        <v/>
      </c>
      <c r="S7283" t="n">
        <v>0</v>
      </c>
    </row>
    <row r="7284" ht="41.25" customHeight="1" s="24">
      <c r="A7284" s="13" t="inlineStr">
        <is>
          <t>FR1083320</t>
        </is>
      </c>
      <c r="B7284" s="13" t="inlineStr">
        <is>
          <t>Общество с ограниченной ответственностью "Центр Инновационного Протезирования и Ортопедии "Эталон-Иркутск"</t>
        </is>
      </c>
      <c r="C7284" s="13" t="n">
        <v>3849096690</v>
      </c>
      <c r="D7284" s="13" t="inlineStr">
        <is>
          <t>3849096690</t>
        </is>
      </c>
      <c r="E7284" s="13" t="inlineStr">
        <is>
          <t>ЮЛ РФ</t>
        </is>
      </c>
      <c r="F7284" s="13" t="n"/>
      <c r="G7284" s="52" t="n">
        <v>14</v>
      </c>
      <c r="H7284" s="52" t="n">
        <v>2025</v>
      </c>
      <c r="I7284" s="14" t="n"/>
      <c r="J7284" s="14" t="n"/>
      <c r="K7284" s="53" t="inlineStr">
        <is>
          <t>Нет</t>
        </is>
      </c>
      <c r="L7284" s="53" t="inlineStr">
        <is>
          <t>Не определено</t>
        </is>
      </c>
      <c r="M7284" s="53" t="inlineStr">
        <is>
          <t>До 25</t>
        </is>
      </c>
      <c r="N7284" s="54" t="n">
        <v>8400</v>
      </c>
      <c r="O7284" s="55" t="inlineStr">
        <is>
          <t>1–15</t>
        </is>
      </c>
      <c r="P7284" s="16" t="inlineStr">
        <is>
          <t>ССЧР обогащена; ОКВЭД не найден/не загружен</t>
        </is>
      </c>
      <c r="Q7284" s="16" t="inlineStr">
        <is>
          <t>ФНС открытые данные ССЧР (ДатаСост 31.12.2025; набор 7707329152-sshr2019)</t>
        </is>
      </c>
      <c r="R7284" s="16">
        <f>HYPERLINK("https://checko.ru/search?query=3801001629","Чекко: проверить")</f>
        <v/>
      </c>
      <c r="S7284" t="n">
        <v>0</v>
      </c>
      <c r="T7284" s="35" t="inlineStr">
        <is>
          <t>4 — Не обогащён</t>
        </is>
      </c>
      <c r="U7284" s="35" t="inlineStr">
        <is>
          <t>Нет ОКВЭД/ССЧР</t>
        </is>
      </c>
      <c r="V7284" s="35" t="inlineStr">
        <is>
          <t>Не определено</t>
        </is>
      </c>
      <c r="W7284" s="35" t="inlineStr">
        <is>
          <t>Нет</t>
        </is>
      </c>
      <c r="X7284" s="35" t="inlineStr"/>
    </row>
    <row r="7285" ht="15" customHeight="1" s="24">
      <c r="A7285" s="13" t="inlineStr">
        <is>
          <t>FR530910</t>
        </is>
      </c>
      <c r="B7285" s="13" t="inlineStr">
        <is>
          <t>ИП Анисимов Роман Юрьевич</t>
        </is>
      </c>
      <c r="C7285" s="13" t="n">
        <v>381114811412</v>
      </c>
      <c r="D7285" s="13" t="inlineStr">
        <is>
          <t>381114811412</t>
        </is>
      </c>
      <c r="E7285" s="13" t="inlineStr">
        <is>
          <t>ИП РФ / физлицо</t>
        </is>
      </c>
      <c r="F7285" s="13" t="n"/>
      <c r="G7285" s="14" t="n"/>
      <c r="H7285" s="14" t="n"/>
      <c r="I7285" s="14" t="n"/>
      <c r="J7285" s="14" t="n"/>
      <c r="K7285" s="53" t="inlineStr"/>
      <c r="L7285" s="53" t="inlineStr">
        <is>
          <t>Не определено</t>
        </is>
      </c>
      <c r="M7285" s="53" t="inlineStr"/>
      <c r="N7285" s="54" t="inlineStr"/>
      <c r="O7285" s="55" t="inlineStr"/>
      <c r="P7285" s="16" t="inlineStr">
        <is>
          <t>Требует обогащения</t>
        </is>
      </c>
      <c r="Q7285" s="16">
        <f>HYPERLINK("https://pb.nalog.ru/search.html?query=381114811412","ФНС: проверить")</f>
        <v/>
      </c>
      <c r="R7285" s="16">
        <f>HYPERLINK("https://checko.ru/search?query=3801001629","Чекко: проверить")</f>
        <v/>
      </c>
      <c r="S7285" t="n">
        <v>1</v>
      </c>
      <c r="T7285" s="35" t="inlineStr">
        <is>
          <t>4 — Не обогащён</t>
        </is>
      </c>
      <c r="U7285" s="35" t="inlineStr">
        <is>
          <t>Нет ОКВЭД/ССЧР</t>
        </is>
      </c>
      <c r="V7285" s="35" t="inlineStr">
        <is>
          <t>Не определено</t>
        </is>
      </c>
      <c r="W7285" s="35" t="inlineStr"/>
      <c r="X7285" s="35" t="inlineStr"/>
    </row>
    <row r="7286" ht="15" customHeight="1" s="24">
      <c r="A7286" s="13" t="inlineStr">
        <is>
          <t>FR606402</t>
        </is>
      </c>
      <c r="B7286" s="13" t="inlineStr">
        <is>
          <t>СПССПК Сокол</t>
        </is>
      </c>
      <c r="C7286" s="13" t="n">
        <v>3849081044</v>
      </c>
      <c r="D7286" s="13" t="inlineStr">
        <is>
          <t>3849081044</t>
        </is>
      </c>
      <c r="E7286" s="13" t="inlineStr">
        <is>
          <t>ЮЛ РФ</t>
        </is>
      </c>
      <c r="F7286" s="13" t="n"/>
      <c r="G7286" s="14" t="n"/>
      <c r="H7286" s="14" t="n"/>
      <c r="I7286" s="14" t="n"/>
      <c r="J7286" s="14" t="n"/>
      <c r="K7286" s="53" t="inlineStr"/>
      <c r="L7286" s="53" t="inlineStr">
        <is>
          <t>Не определено</t>
        </is>
      </c>
      <c r="M7286" s="53" t="inlineStr"/>
      <c r="N7286" s="54" t="inlineStr"/>
      <c r="O7286" s="55" t="inlineStr"/>
      <c r="P7286" s="16" t="inlineStr">
        <is>
          <t>Требует обогащения</t>
        </is>
      </c>
      <c r="Q7286" s="16">
        <f>HYPERLINK("https://pb.nalog.ru/search.html?query=3849081044","ФНС: проверить")</f>
        <v/>
      </c>
      <c r="R7286" s="16">
        <f>HYPERLINK("https://checko.ru/search?query=3801001629","Чекко: проверить")</f>
        <v/>
      </c>
      <c r="S7286" t="n">
        <v>1</v>
      </c>
      <c r="T7286" s="35" t="inlineStr">
        <is>
          <t>4 — Не обогащён</t>
        </is>
      </c>
      <c r="U7286" s="35" t="inlineStr">
        <is>
          <t>Нет ОКВЭД/ССЧР</t>
        </is>
      </c>
      <c r="V7286" s="35" t="inlineStr">
        <is>
          <t>Не определено</t>
        </is>
      </c>
      <c r="W7286" s="35" t="inlineStr"/>
      <c r="X7286" s="35" t="inlineStr"/>
    </row>
    <row r="7287" ht="27.75" customHeight="1" s="24">
      <c r="A7287" s="13" t="inlineStr">
        <is>
          <t>FR673273</t>
        </is>
      </c>
      <c r="B7287" s="13" t="inlineStr">
        <is>
          <t>Общество с ограниченной ответственностью "ЧУЛЫМ-АВТО"</t>
        </is>
      </c>
      <c r="C7287" s="13" t="n">
        <v>5442000687</v>
      </c>
      <c r="D7287" s="13" t="inlineStr">
        <is>
          <t>5442000687</t>
        </is>
      </c>
      <c r="E7287" s="13" t="inlineStr">
        <is>
          <t>ЮЛ РФ</t>
        </is>
      </c>
      <c r="F7287" s="13" t="n"/>
      <c r="G7287" s="52" t="n">
        <v>1</v>
      </c>
      <c r="H7287" s="52" t="n">
        <v>2025</v>
      </c>
      <c r="I7287" s="14" t="n"/>
      <c r="J7287" s="14" t="n"/>
      <c r="K7287" s="53" t="inlineStr">
        <is>
          <t>Нет</t>
        </is>
      </c>
      <c r="L7287" s="53" t="inlineStr">
        <is>
          <t>Не определено</t>
        </is>
      </c>
      <c r="M7287" s="53" t="inlineStr">
        <is>
          <t>До 10</t>
        </is>
      </c>
      <c r="N7287" s="54" t="n">
        <v>3360</v>
      </c>
      <c r="O7287" s="55" t="inlineStr">
        <is>
          <t>1–15</t>
        </is>
      </c>
      <c r="P7287" s="16" t="inlineStr">
        <is>
          <t>ССЧР обогащена; ОКВЭД не найден/не загружен</t>
        </is>
      </c>
      <c r="Q7287" s="16" t="inlineStr">
        <is>
          <t>ФНС открытые данные ССЧР (ДатаСост 31.12.2025; набор 7707329152-sshr2019)</t>
        </is>
      </c>
      <c r="R7287" s="16">
        <f>HYPERLINK("https://checko.ru/search?query=3801001629","Чекко: проверить")</f>
        <v/>
      </c>
      <c r="S7287" t="n">
        <v>1</v>
      </c>
      <c r="T7287" s="35" t="inlineStr">
        <is>
          <t>4 — Не обогащён</t>
        </is>
      </c>
      <c r="U7287" s="35" t="inlineStr">
        <is>
          <t>Нет ОКВЭД/ССЧР</t>
        </is>
      </c>
      <c r="V7287" s="35" t="inlineStr">
        <is>
          <t>Не определено</t>
        </is>
      </c>
      <c r="W7287" s="35" t="inlineStr">
        <is>
          <t>Нет</t>
        </is>
      </c>
      <c r="X7287" s="35" t="inlineStr"/>
    </row>
    <row r="7288" ht="27.75" customHeight="1" s="24">
      <c r="A7288" s="13" t="inlineStr">
        <is>
          <t>FR1321011</t>
        </is>
      </c>
      <c r="B7288" s="13" t="inlineStr">
        <is>
          <t>Общество с ограниченной ответственностью "ЛИГА"</t>
        </is>
      </c>
      <c r="C7288" s="13" t="n">
        <v>1900009223</v>
      </c>
      <c r="D7288" s="13" t="inlineStr">
        <is>
          <t>1900009223</t>
        </is>
      </c>
      <c r="E7288" s="13" t="inlineStr">
        <is>
          <t>ЮЛ РФ</t>
        </is>
      </c>
      <c r="F7288" s="13" t="n"/>
      <c r="G7288" s="52" t="n">
        <v>2</v>
      </c>
      <c r="H7288" s="52" t="n">
        <v>2025</v>
      </c>
      <c r="I7288" s="14" t="n"/>
      <c r="J7288" s="14" t="n"/>
      <c r="K7288" s="53" t="inlineStr">
        <is>
          <t>Нет</t>
        </is>
      </c>
      <c r="L7288" s="53" t="inlineStr">
        <is>
          <t>Не определено</t>
        </is>
      </c>
      <c r="M7288" s="53" t="inlineStr">
        <is>
          <t>До 10</t>
        </is>
      </c>
      <c r="N7288" s="54" t="n">
        <v>3360</v>
      </c>
      <c r="O7288" s="55" t="inlineStr">
        <is>
          <t>1–15</t>
        </is>
      </c>
      <c r="P7288" s="16" t="inlineStr">
        <is>
          <t>ССЧР обогащена; ОКВЭД не найден/не загружен</t>
        </is>
      </c>
      <c r="Q7288" s="16" t="inlineStr">
        <is>
          <t>ФНС открытые данные ССЧР (ДатаСост 31.12.2025; набор 7707329152-sshr2019)</t>
        </is>
      </c>
      <c r="R7288" s="16">
        <f>HYPERLINK("https://checko.ru/search?query=3801001629","Чекко: проверить")</f>
        <v/>
      </c>
      <c r="S7288" t="n">
        <v>1</v>
      </c>
      <c r="T7288" s="35" t="inlineStr">
        <is>
          <t>4 — Не обогащён</t>
        </is>
      </c>
      <c r="U7288" s="35" t="inlineStr">
        <is>
          <t>Нет ОКВЭД/ССЧР</t>
        </is>
      </c>
      <c r="V7288" s="35" t="inlineStr">
        <is>
          <t>Не определено</t>
        </is>
      </c>
      <c r="W7288" s="35" t="inlineStr">
        <is>
          <t>Нет</t>
        </is>
      </c>
      <c r="X7288" s="35" t="inlineStr"/>
    </row>
    <row r="7289" ht="27.75" customHeight="1" s="24">
      <c r="A7289" s="13" t="inlineStr">
        <is>
          <t>FR760</t>
        </is>
      </c>
      <c r="B7289" s="13" t="inlineStr">
        <is>
          <t>Иркутская областная общественная организация инвалидов детства «Надежда»</t>
        </is>
      </c>
      <c r="C7289" s="13" t="n">
        <v>3812105500</v>
      </c>
      <c r="D7289" s="13" t="inlineStr">
        <is>
          <t>3812105500</t>
        </is>
      </c>
      <c r="E7289" s="13" t="inlineStr">
        <is>
          <t>ЮЛ РФ</t>
        </is>
      </c>
      <c r="F7289" s="13" t="n"/>
      <c r="G7289" s="14" t="n"/>
      <c r="H7289" s="14" t="n"/>
      <c r="I7289" s="14" t="n"/>
      <c r="J7289" s="14" t="n"/>
      <c r="K7289" s="53" t="inlineStr"/>
      <c r="L7289" s="53" t="inlineStr">
        <is>
          <t>Не определено</t>
        </is>
      </c>
      <c r="M7289" s="53" t="inlineStr"/>
      <c r="N7289" s="54" t="inlineStr"/>
      <c r="O7289" s="55" t="inlineStr"/>
      <c r="P7289" s="16" t="inlineStr">
        <is>
          <t>Требует обогащения</t>
        </is>
      </c>
      <c r="Q7289" s="16">
        <f>HYPERLINK("https://pb.nalog.ru/search.html?query=3812105500","ФНС: проверить")</f>
        <v/>
      </c>
      <c r="R7289" s="16">
        <f>HYPERLINK("https://checko.ru/search?query=3801001629","Чекко: проверить")</f>
        <v/>
      </c>
      <c r="S7289" t="n">
        <v>1</v>
      </c>
      <c r="T7289" s="35" t="inlineStr">
        <is>
          <t>4 — Не обогащён</t>
        </is>
      </c>
      <c r="U7289" s="35" t="inlineStr">
        <is>
          <t>Нет ОКВЭД/ССЧР</t>
        </is>
      </c>
      <c r="V7289" s="35" t="inlineStr">
        <is>
          <t>Не определено</t>
        </is>
      </c>
      <c r="W7289" s="35" t="inlineStr"/>
      <c r="X7289" s="35" t="inlineStr"/>
    </row>
    <row r="7290" ht="27.75" customHeight="1" s="24">
      <c r="A7290" s="13" t="inlineStr">
        <is>
          <t>FR3123</t>
        </is>
      </c>
      <c r="B7290" s="13" t="inlineStr">
        <is>
          <t>Общество с ограниченной ответственностью "СМАЙЛ+"</t>
        </is>
      </c>
      <c r="C7290" s="13" t="n">
        <v>3812534280</v>
      </c>
      <c r="D7290" s="13" t="inlineStr">
        <is>
          <t>3812534280</t>
        </is>
      </c>
      <c r="E7290" s="13" t="inlineStr">
        <is>
          <t>ЮЛ РФ</t>
        </is>
      </c>
      <c r="F7290" s="13" t="n"/>
      <c r="G7290" s="52" t="n">
        <v>13</v>
      </c>
      <c r="H7290" s="52" t="n">
        <v>2025</v>
      </c>
      <c r="I7290" s="14" t="n"/>
      <c r="J7290" s="14" t="n"/>
      <c r="K7290" s="53" t="inlineStr">
        <is>
          <t>Нет</t>
        </is>
      </c>
      <c r="L7290" s="53" t="inlineStr">
        <is>
          <t>Не определено</t>
        </is>
      </c>
      <c r="M7290" s="53" t="inlineStr">
        <is>
          <t>До 25</t>
        </is>
      </c>
      <c r="N7290" s="54" t="n">
        <v>8400</v>
      </c>
      <c r="O7290" s="55" t="inlineStr">
        <is>
          <t>1–15</t>
        </is>
      </c>
      <c r="P7290" s="16" t="inlineStr">
        <is>
          <t>ССЧР обогащена; ОКВЭД не найден/не загружен</t>
        </is>
      </c>
      <c r="Q7290" s="16" t="inlineStr">
        <is>
          <t>ФНС открытые данные ССЧР (ДатаСост 31.12.2025; набор 7707329152-sshr2019)</t>
        </is>
      </c>
      <c r="R7290" s="16">
        <f>HYPERLINK("https://checko.ru/search?query=3801001629","Чекко: проверить")</f>
        <v/>
      </c>
      <c r="S7290" t="n">
        <v>1</v>
      </c>
      <c r="T7290" s="35" t="inlineStr">
        <is>
          <t>4 — Не обогащён</t>
        </is>
      </c>
      <c r="U7290" s="35" t="inlineStr">
        <is>
          <t>Нет ОКВЭД/ССЧР</t>
        </is>
      </c>
      <c r="V7290" s="35" t="inlineStr">
        <is>
          <t>Не определено</t>
        </is>
      </c>
      <c r="W7290" s="35" t="inlineStr">
        <is>
          <t>Нет</t>
        </is>
      </c>
      <c r="X7290" s="35" t="inlineStr"/>
    </row>
    <row r="7291" ht="15" customHeight="1" s="24">
      <c r="A7291" s="13" t="inlineStr">
        <is>
          <t>FR75092</t>
        </is>
      </c>
      <c r="B7291" s="13" t="inlineStr">
        <is>
          <t>ИП Киселев Сергей Александрович</t>
        </is>
      </c>
      <c r="C7291" s="13" t="n">
        <v>380895656117</v>
      </c>
      <c r="D7291" s="13" t="inlineStr">
        <is>
          <t>380895656117</t>
        </is>
      </c>
      <c r="E7291" s="13" t="inlineStr">
        <is>
          <t>ИП РФ / физлицо</t>
        </is>
      </c>
      <c r="F7291" s="13" t="n"/>
      <c r="G7291" s="14" t="n"/>
      <c r="H7291" s="14" t="n"/>
      <c r="I7291" s="14" t="n"/>
      <c r="J7291" s="14" t="n"/>
      <c r="K7291" s="53" t="inlineStr"/>
      <c r="L7291" s="53" t="inlineStr">
        <is>
          <t>Не определено</t>
        </is>
      </c>
      <c r="M7291" s="53" t="inlineStr"/>
      <c r="N7291" s="54" t="inlineStr"/>
      <c r="O7291" s="55" t="inlineStr"/>
      <c r="P7291" s="16" t="inlineStr">
        <is>
          <t>Требует обогащения</t>
        </is>
      </c>
      <c r="Q7291" s="16">
        <f>HYPERLINK("https://pb.nalog.ru/search.html?query=380895656117","ФНС: проверить")</f>
        <v/>
      </c>
      <c r="R7291" s="16">
        <f>HYPERLINK("https://checko.ru/search?query=3801001629","Чекко: проверить")</f>
        <v/>
      </c>
      <c r="S7291" t="n">
        <v>1</v>
      </c>
      <c r="T7291" s="35" t="inlineStr">
        <is>
          <t>4 — Не обогащён</t>
        </is>
      </c>
      <c r="U7291" s="35" t="inlineStr">
        <is>
          <t>Нет ОКВЭД/ССЧР</t>
        </is>
      </c>
      <c r="V7291" s="35" t="inlineStr">
        <is>
          <t>Не определено</t>
        </is>
      </c>
      <c r="W7291" s="35" t="inlineStr"/>
      <c r="X7291" s="35" t="inlineStr"/>
    </row>
    <row r="7292" ht="41.25" customHeight="1" s="24">
      <c r="A7292" s="13" t="inlineStr">
        <is>
          <t>FR20754</t>
        </is>
      </c>
      <c r="B7292" s="13" t="inlineStr">
        <is>
          <t>Общество с ограниченной ответственностью Торгово-монтажная компания "СтройКомплектация"</t>
        </is>
      </c>
      <c r="C7292" s="13" t="n">
        <v>7203352674</v>
      </c>
      <c r="D7292" s="13" t="inlineStr">
        <is>
          <t>7203352674</t>
        </is>
      </c>
      <c r="E7292" s="13" t="inlineStr">
        <is>
          <t>ЮЛ РФ</t>
        </is>
      </c>
      <c r="F7292" s="13" t="n"/>
      <c r="G7292" s="52" t="n">
        <v>0</v>
      </c>
      <c r="H7292" s="52" t="n">
        <v>2025</v>
      </c>
      <c r="I7292" s="14" t="n"/>
      <c r="J7292" s="14" t="n"/>
      <c r="K7292" s="53" t="inlineStr">
        <is>
          <t>Нет</t>
        </is>
      </c>
      <c r="L7292" s="53" t="inlineStr">
        <is>
          <t>Не определено</t>
        </is>
      </c>
      <c r="M7292" s="53" t="inlineStr">
        <is>
          <t>До 10</t>
        </is>
      </c>
      <c r="N7292" s="54" t="n">
        <v>3360</v>
      </c>
      <c r="O7292" s="55" t="inlineStr">
        <is>
          <t>1–15</t>
        </is>
      </c>
      <c r="P7292" s="16" t="inlineStr">
        <is>
          <t>ССЧР обогащена; ОКВЭД не найден/не загружен</t>
        </is>
      </c>
      <c r="Q7292" s="16" t="inlineStr">
        <is>
          <t>ФНС открытые данные ССЧР (ДатаСост 31.12.2025; набор 7707329152-sshr2019)</t>
        </is>
      </c>
      <c r="R7292" s="16">
        <f>HYPERLINK("https://checko.ru/search?query=3801001629","Чекко: проверить")</f>
        <v/>
      </c>
      <c r="S7292" t="n">
        <v>1</v>
      </c>
      <c r="T7292" s="35" t="inlineStr">
        <is>
          <t>4 — Не обогащён</t>
        </is>
      </c>
      <c r="U7292" s="35" t="inlineStr">
        <is>
          <t>Нет ОКВЭД/ССЧР</t>
        </is>
      </c>
      <c r="V7292" s="35" t="inlineStr">
        <is>
          <t>Не определено</t>
        </is>
      </c>
      <c r="W7292" s="35" t="inlineStr">
        <is>
          <t>Нет</t>
        </is>
      </c>
      <c r="X7292" s="35" t="inlineStr"/>
    </row>
    <row r="7293" ht="15" customHeight="1" s="24">
      <c r="A7293" s="13" t="inlineStr">
        <is>
          <t>FR1307</t>
        </is>
      </c>
      <c r="B7293" s="13" t="inlineStr">
        <is>
          <t>ООО "Байкальская Инновационная Компания"</t>
        </is>
      </c>
      <c r="C7293" s="13" t="n">
        <v>3827044183</v>
      </c>
      <c r="D7293" s="13" t="inlineStr">
        <is>
          <t>3827044183</t>
        </is>
      </c>
      <c r="E7293" s="13" t="inlineStr">
        <is>
          <t>ЮЛ РФ</t>
        </is>
      </c>
      <c r="F7293" s="13" t="n"/>
      <c r="G7293" s="52" t="n">
        <v>1</v>
      </c>
      <c r="H7293" s="52" t="n">
        <v>2025</v>
      </c>
      <c r="I7293" s="14" t="n"/>
      <c r="J7293" s="14" t="n"/>
      <c r="K7293" s="53" t="inlineStr">
        <is>
          <t>Нет</t>
        </is>
      </c>
      <c r="L7293" s="53" t="inlineStr">
        <is>
          <t>Не определено</t>
        </is>
      </c>
      <c r="M7293" s="53" t="inlineStr">
        <is>
          <t>До 10</t>
        </is>
      </c>
      <c r="N7293" s="54" t="n">
        <v>3360</v>
      </c>
      <c r="O7293" s="55" t="inlineStr">
        <is>
          <t>1–15</t>
        </is>
      </c>
      <c r="P7293" s="16" t="inlineStr">
        <is>
          <t>ССЧР обогащена; ОКВЭД не найден/не загружен</t>
        </is>
      </c>
      <c r="Q7293" s="16" t="inlineStr">
        <is>
          <t>ФНС открытые данные ССЧР (ДатаСост 31.12.2025; набор 7707329152-sshr2019)</t>
        </is>
      </c>
      <c r="R7293" s="16">
        <f>HYPERLINK("https://checko.ru/search?query=3801001629","Чекко: проверить")</f>
        <v/>
      </c>
      <c r="S7293" t="n">
        <v>1</v>
      </c>
      <c r="T7293" s="35" t="inlineStr">
        <is>
          <t>4 — Не обогащён</t>
        </is>
      </c>
      <c r="U7293" s="35" t="inlineStr">
        <is>
          <t>Нет ОКВЭД/ССЧР</t>
        </is>
      </c>
      <c r="V7293" s="35" t="inlineStr">
        <is>
          <t>Не определено</t>
        </is>
      </c>
      <c r="W7293" s="35" t="inlineStr">
        <is>
          <t>Нет</t>
        </is>
      </c>
      <c r="X7293" s="35" t="inlineStr"/>
    </row>
    <row r="7294" ht="15" customHeight="1" s="24">
      <c r="A7294" s="13" t="inlineStr">
        <is>
          <t>FR1118020</t>
        </is>
      </c>
      <c r="B7294" s="13" t="inlineStr">
        <is>
          <t>Мамская геологоразведочная партия</t>
        </is>
      </c>
      <c r="C7294" s="13" t="n">
        <v>3833001967</v>
      </c>
      <c r="D7294" s="13" t="inlineStr">
        <is>
          <t>3833001967</t>
        </is>
      </c>
      <c r="E7294" s="13" t="inlineStr">
        <is>
          <t>ЮЛ РФ</t>
        </is>
      </c>
      <c r="F7294" s="13" t="n"/>
      <c r="G7294" s="52" t="n">
        <v>44</v>
      </c>
      <c r="H7294" s="52" t="n">
        <v>2025</v>
      </c>
      <c r="I7294" s="52" t="inlineStr">
        <is>
          <t>71.12.3</t>
        </is>
      </c>
      <c r="J7294" s="52" t="inlineStr">
        <is>
          <t>71.12.3; 08.99.33; 52.29</t>
        </is>
      </c>
      <c r="K7294" s="53" t="inlineStr">
        <is>
          <t>Да</t>
        </is>
      </c>
      <c r="L7294" s="53" t="inlineStr">
        <is>
          <t>Да</t>
        </is>
      </c>
      <c r="M7294" s="53" t="inlineStr">
        <is>
          <t>До 50</t>
        </is>
      </c>
      <c r="N7294" s="54" t="n">
        <v>16800</v>
      </c>
      <c r="O7294" s="55" t="inlineStr">
        <is>
          <t>31–50</t>
        </is>
      </c>
      <c r="P7294" s="16" t="inlineStr">
        <is>
          <t>ССЧР + ОКВЭД обогащены</t>
        </is>
      </c>
      <c r="Q7294" s="16" t="inlineStr">
        <is>
          <t>ФНС открытые данные ССЧР (ДатаСост 31.12.2025; набор 7707329152-sshr2019)</t>
        </is>
      </c>
      <c r="R7294" s="16" t="inlineStr">
        <is>
          <t>ЕГРЮЛ / egrul.nalog.ru (выписка)</t>
        </is>
      </c>
      <c r="S7294" t="n">
        <v>1</v>
      </c>
      <c r="T7294" s="35" t="inlineStr">
        <is>
          <t>1 — Горячий</t>
        </is>
      </c>
      <c r="U7294" s="35" t="inlineStr">
        <is>
          <t>ОКВЭД + 22+</t>
        </is>
      </c>
      <c r="V7294" s="35" t="inlineStr">
        <is>
          <t>Да</t>
        </is>
      </c>
      <c r="W7294" s="35" t="inlineStr">
        <is>
          <t>Да</t>
        </is>
      </c>
      <c r="X7294" s="35" t="inlineStr">
        <is>
          <t>Да</t>
        </is>
      </c>
    </row>
    <row r="7295" ht="15" customHeight="1" s="24">
      <c r="A7295" s="13" t="inlineStr">
        <is>
          <t>FR1323005</t>
        </is>
      </c>
      <c r="B7295" s="13" t="inlineStr">
        <is>
          <t>ИП Алексеева Кристина Валерьевна</t>
        </is>
      </c>
      <c r="C7295" s="13" t="n">
        <v>380415787899</v>
      </c>
      <c r="D7295" s="13" t="inlineStr">
        <is>
          <t>380415787899</t>
        </is>
      </c>
      <c r="E7295" s="13" t="inlineStr">
        <is>
          <t>ИП РФ / физлицо</t>
        </is>
      </c>
      <c r="F7295" s="13" t="n"/>
      <c r="G7295" s="14" t="n"/>
      <c r="H7295" s="14" t="n"/>
      <c r="I7295" s="14" t="n"/>
      <c r="J7295" s="14" t="n"/>
      <c r="K7295" s="53" t="inlineStr"/>
      <c r="L7295" s="53" t="inlineStr">
        <is>
          <t>Не определено</t>
        </is>
      </c>
      <c r="M7295" s="53" t="inlineStr"/>
      <c r="N7295" s="54" t="inlineStr"/>
      <c r="O7295" s="55" t="inlineStr"/>
      <c r="P7295" s="16" t="inlineStr">
        <is>
          <t>Требует обогащения</t>
        </is>
      </c>
      <c r="Q7295" s="16">
        <f>HYPERLINK("https://pb.nalog.ru/search.html?query=380415787899","ФНС: проверить")</f>
        <v/>
      </c>
      <c r="R7295" s="16">
        <f>HYPERLINK("https://checko.ru/search?query=3801001629","Чекко: проверить")</f>
        <v/>
      </c>
      <c r="S7295" t="n">
        <v>1</v>
      </c>
      <c r="T7295" s="35" t="inlineStr">
        <is>
          <t>4 — Не обогащён</t>
        </is>
      </c>
      <c r="U7295" s="35" t="inlineStr">
        <is>
          <t>Нет ОКВЭД/ССЧР</t>
        </is>
      </c>
      <c r="V7295" s="35" t="inlineStr">
        <is>
          <t>Не определено</t>
        </is>
      </c>
      <c r="W7295" s="35" t="inlineStr"/>
      <c r="X7295" s="35" t="inlineStr"/>
    </row>
    <row r="7296" ht="15" customHeight="1" s="24">
      <c r="A7296" s="13" t="inlineStr">
        <is>
          <t>FR1330390</t>
        </is>
      </c>
      <c r="B7296" s="13" t="inlineStr">
        <is>
          <t>ИП Гергенова Ирина Олеговна</t>
        </is>
      </c>
      <c r="C7296" s="13" t="n">
        <v>850200845383</v>
      </c>
      <c r="D7296" s="13" t="inlineStr">
        <is>
          <t>850200845383</t>
        </is>
      </c>
      <c r="E7296" s="13" t="inlineStr">
        <is>
          <t>ИП РФ / физлицо</t>
        </is>
      </c>
      <c r="F7296" s="13" t="n"/>
      <c r="G7296" s="14" t="n"/>
      <c r="H7296" s="14" t="n"/>
      <c r="I7296" s="14" t="n"/>
      <c r="J7296" s="14" t="n"/>
      <c r="K7296" s="53" t="inlineStr"/>
      <c r="L7296" s="53" t="inlineStr">
        <is>
          <t>Не определено</t>
        </is>
      </c>
      <c r="M7296" s="53" t="inlineStr"/>
      <c r="N7296" s="54" t="inlineStr"/>
      <c r="O7296" s="55" t="inlineStr"/>
      <c r="P7296" s="16" t="inlineStr">
        <is>
          <t>Требует обогащения</t>
        </is>
      </c>
      <c r="Q7296" s="16">
        <f>HYPERLINK("https://pb.nalog.ru/search.html?query=850200845383","ФНС: проверить")</f>
        <v/>
      </c>
      <c r="R7296" s="16">
        <f>HYPERLINK("https://checko.ru/search?query=3801001629","Чекко: проверить")</f>
        <v/>
      </c>
      <c r="S7296" t="n">
        <v>1</v>
      </c>
      <c r="T7296" s="35" t="inlineStr">
        <is>
          <t>4 — Не обогащён</t>
        </is>
      </c>
      <c r="U7296" s="35" t="inlineStr">
        <is>
          <t>Нет ОКВЭД/ССЧР</t>
        </is>
      </c>
      <c r="V7296" s="35" t="inlineStr">
        <is>
          <t>Не определено</t>
        </is>
      </c>
      <c r="W7296" s="35" t="inlineStr"/>
      <c r="X7296" s="35" t="inlineStr"/>
    </row>
    <row r="7297" ht="15" customHeight="1" s="24">
      <c r="A7297" s="13" t="inlineStr">
        <is>
          <t>FR534881</t>
        </is>
      </c>
      <c r="B7297" s="13" t="inlineStr">
        <is>
          <t>ИП Вяткина Наталья Геннадьевна</t>
        </is>
      </c>
      <c r="C7297" s="13" t="n">
        <v>381258404256</v>
      </c>
      <c r="D7297" s="13" t="inlineStr">
        <is>
          <t>381258404256</t>
        </is>
      </c>
      <c r="E7297" s="13" t="inlineStr">
        <is>
          <t>ИП РФ / физлицо</t>
        </is>
      </c>
      <c r="F7297" s="13" t="n"/>
      <c r="G7297" s="14" t="n"/>
      <c r="H7297" s="14" t="n"/>
      <c r="I7297" s="14" t="n"/>
      <c r="J7297" s="14" t="n"/>
      <c r="K7297" s="53" t="inlineStr"/>
      <c r="L7297" s="53" t="inlineStr">
        <is>
          <t>Не определено</t>
        </is>
      </c>
      <c r="M7297" s="53" t="inlineStr"/>
      <c r="N7297" s="54" t="inlineStr"/>
      <c r="O7297" s="55" t="inlineStr"/>
      <c r="P7297" s="16" t="inlineStr">
        <is>
          <t>Требует обогащения</t>
        </is>
      </c>
      <c r="Q7297" s="16">
        <f>HYPERLINK("https://pb.nalog.ru/search.html?query=381258404256","ФНС: проверить")</f>
        <v/>
      </c>
      <c r="R7297" s="16">
        <f>HYPERLINK("https://checko.ru/search?query=3801001629","Чекко: проверить")</f>
        <v/>
      </c>
      <c r="S7297" t="n">
        <v>1</v>
      </c>
      <c r="T7297" s="35" t="inlineStr">
        <is>
          <t>4 — Не обогащён</t>
        </is>
      </c>
      <c r="U7297" s="35" t="inlineStr">
        <is>
          <t>Нет ОКВЭД/ССЧР</t>
        </is>
      </c>
      <c r="V7297" s="35" t="inlineStr">
        <is>
          <t>Не определено</t>
        </is>
      </c>
      <c r="W7297" s="35" t="inlineStr"/>
      <c r="X7297" s="35" t="inlineStr"/>
    </row>
    <row r="7298" ht="27.75" customHeight="1" s="24">
      <c r="A7298" s="13" t="inlineStr">
        <is>
          <t>FR825131</t>
        </is>
      </c>
      <c r="B7298" s="13" t="inlineStr">
        <is>
          <t>Общество с ограниченной ответственностью "ВЕНЕВСКИЙ"</t>
        </is>
      </c>
      <c r="C7298" s="13" t="n">
        <v>7722466153</v>
      </c>
      <c r="D7298" s="13" t="inlineStr">
        <is>
          <t>7722466153</t>
        </is>
      </c>
      <c r="E7298" s="13" t="inlineStr">
        <is>
          <t>ЮЛ РФ</t>
        </is>
      </c>
      <c r="F7298" s="13" t="n"/>
      <c r="G7298" s="52" t="n">
        <v>1</v>
      </c>
      <c r="H7298" s="52" t="n">
        <v>2025</v>
      </c>
      <c r="I7298" s="14" t="n"/>
      <c r="J7298" s="14" t="n"/>
      <c r="K7298" s="53" t="inlineStr">
        <is>
          <t>Нет</t>
        </is>
      </c>
      <c r="L7298" s="53" t="inlineStr">
        <is>
          <t>Не определено</t>
        </is>
      </c>
      <c r="M7298" s="53" t="inlineStr">
        <is>
          <t>До 10</t>
        </is>
      </c>
      <c r="N7298" s="54" t="n">
        <v>3360</v>
      </c>
      <c r="O7298" s="55" t="inlineStr">
        <is>
          <t>1–15</t>
        </is>
      </c>
      <c r="P7298" s="16" t="inlineStr">
        <is>
          <t>ССЧР обогащена; ОКВЭД не найден/не загружен</t>
        </is>
      </c>
      <c r="Q7298" s="16" t="inlineStr">
        <is>
          <t>ФНС открытые данные ССЧР (ДатаСост 31.12.2025; набор 7707329152-sshr2019)</t>
        </is>
      </c>
      <c r="R7298" s="16">
        <f>HYPERLINK("https://checko.ru/search?query=3801001629","Чекко: проверить")</f>
        <v/>
      </c>
      <c r="S7298" t="n">
        <v>0</v>
      </c>
      <c r="T7298" s="35" t="inlineStr">
        <is>
          <t>4 — Не обогащён</t>
        </is>
      </c>
      <c r="U7298" s="35" t="inlineStr">
        <is>
          <t>Нет ОКВЭД/ССЧР</t>
        </is>
      </c>
      <c r="V7298" s="35" t="inlineStr">
        <is>
          <t>Не определено</t>
        </is>
      </c>
      <c r="W7298" s="35" t="inlineStr">
        <is>
          <t>Нет</t>
        </is>
      </c>
      <c r="X7298" s="35" t="inlineStr"/>
    </row>
    <row r="7299" ht="27.75" customHeight="1" s="24">
      <c r="A7299" s="13" t="inlineStr">
        <is>
          <t>FR830932</t>
        </is>
      </c>
      <c r="B7299" s="13" t="inlineStr">
        <is>
          <t>Общество с ограниченной ответственностью "СИБСТРОЙ38"</t>
        </is>
      </c>
      <c r="C7299" s="13" t="n">
        <v>3812994520</v>
      </c>
      <c r="D7299" s="13" t="inlineStr">
        <is>
          <t>3812994520</t>
        </is>
      </c>
      <c r="E7299" s="13" t="inlineStr">
        <is>
          <t>ЮЛ РФ</t>
        </is>
      </c>
      <c r="F7299" s="13" t="n"/>
      <c r="G7299" s="52" t="n">
        <v>1</v>
      </c>
      <c r="H7299" s="52" t="n">
        <v>2025</v>
      </c>
      <c r="I7299" s="14" t="n"/>
      <c r="J7299" s="14" t="n"/>
      <c r="K7299" s="53" t="inlineStr">
        <is>
          <t>Нет</t>
        </is>
      </c>
      <c r="L7299" s="53" t="inlineStr">
        <is>
          <t>Не определено</t>
        </is>
      </c>
      <c r="M7299" s="53" t="inlineStr">
        <is>
          <t>До 10</t>
        </is>
      </c>
      <c r="N7299" s="54" t="n">
        <v>3360</v>
      </c>
      <c r="O7299" s="55" t="inlineStr">
        <is>
          <t>1–15</t>
        </is>
      </c>
      <c r="P7299" s="16" t="inlineStr">
        <is>
          <t>ССЧР обогащена; ОКВЭД не найден/не загружен</t>
        </is>
      </c>
      <c r="Q7299" s="16" t="inlineStr">
        <is>
          <t>ФНС открытые данные ССЧР (ДатаСост 31.12.2025; набор 7707329152-sshr2019)</t>
        </is>
      </c>
      <c r="R7299" s="16">
        <f>HYPERLINK("https://checko.ru/search?query=3801001629","Чекко: проверить")</f>
        <v/>
      </c>
      <c r="S7299" t="n">
        <v>1</v>
      </c>
      <c r="T7299" s="35" t="inlineStr">
        <is>
          <t>4 — Не обогащён</t>
        </is>
      </c>
      <c r="U7299" s="35" t="inlineStr">
        <is>
          <t>Нет ОКВЭД/ССЧР</t>
        </is>
      </c>
      <c r="V7299" s="35" t="inlineStr">
        <is>
          <t>Не определено</t>
        </is>
      </c>
      <c r="W7299" s="35" t="inlineStr">
        <is>
          <t>Нет</t>
        </is>
      </c>
      <c r="X7299" s="35" t="inlineStr"/>
    </row>
    <row r="7300" ht="41.25" customHeight="1" s="24">
      <c r="A7300" s="13" t="inlineStr">
        <is>
          <t>FR500877</t>
        </is>
      </c>
      <c r="B7300" s="13" t="inlineStr">
        <is>
          <t>ОБЩЕСТВО С ОГРАНИЧЕННОЙ ОТВЕТСТВЕННОСТЬЮ ЧАСТНОЕ ОХРАННОЕ ПРЕДПРИЯТИЕ "КОДЕКС"</t>
        </is>
      </c>
      <c r="C7300" s="13" t="n">
        <v>3827022158</v>
      </c>
      <c r="D7300" s="13" t="inlineStr">
        <is>
          <t>3827022158</t>
        </is>
      </c>
      <c r="E7300" s="13" t="inlineStr">
        <is>
          <t>ЮЛ РФ</t>
        </is>
      </c>
      <c r="F7300" s="13" t="n"/>
      <c r="G7300" s="14" t="n"/>
      <c r="H7300" s="14" t="n"/>
      <c r="I7300" s="14" t="n"/>
      <c r="J7300" s="14" t="n"/>
      <c r="K7300" s="53" t="inlineStr"/>
      <c r="L7300" s="53" t="inlineStr">
        <is>
          <t>Не определено</t>
        </is>
      </c>
      <c r="M7300" s="53" t="inlineStr"/>
      <c r="N7300" s="54" t="inlineStr"/>
      <c r="O7300" s="55" t="inlineStr"/>
      <c r="P7300" s="16" t="inlineStr">
        <is>
          <t>Требует обогащения</t>
        </is>
      </c>
      <c r="Q7300" s="16">
        <f>HYPERLINK("https://pb.nalog.ru/search.html?query=3827022158","ФНС: проверить")</f>
        <v/>
      </c>
      <c r="R7300" s="16">
        <f>HYPERLINK("https://checko.ru/search?query=3801001629","Чекко: проверить")</f>
        <v/>
      </c>
      <c r="S7300" t="n">
        <v>1</v>
      </c>
      <c r="T7300" s="35" t="inlineStr">
        <is>
          <t>4 — Не обогащён</t>
        </is>
      </c>
      <c r="U7300" s="35" t="inlineStr">
        <is>
          <t>Нет ОКВЭД/ССЧР</t>
        </is>
      </c>
      <c r="V7300" s="35" t="inlineStr">
        <is>
          <t>Не определено</t>
        </is>
      </c>
      <c r="W7300" s="35" t="inlineStr"/>
      <c r="X7300" s="35" t="inlineStr"/>
    </row>
    <row r="7301" ht="27.75" customHeight="1" s="24">
      <c r="A7301" s="13" t="inlineStr">
        <is>
          <t>FR274488</t>
        </is>
      </c>
      <c r="B7301" s="13" t="inlineStr">
        <is>
          <t>Общество с ограниченной ответственностью "ЛОДЖИКОМ"</t>
        </is>
      </c>
      <c r="C7301" s="13" t="n">
        <v>2543165320</v>
      </c>
      <c r="D7301" s="13" t="inlineStr">
        <is>
          <t>2543165320</t>
        </is>
      </c>
      <c r="E7301" s="13" t="inlineStr">
        <is>
          <t>ЮЛ РФ</t>
        </is>
      </c>
      <c r="F7301" s="13" t="n"/>
      <c r="G7301" s="52" t="n">
        <v>3</v>
      </c>
      <c r="H7301" s="52" t="n">
        <v>2025</v>
      </c>
      <c r="I7301" s="14" t="n"/>
      <c r="J7301" s="14" t="n"/>
      <c r="K7301" s="53" t="inlineStr">
        <is>
          <t>Нет</t>
        </is>
      </c>
      <c r="L7301" s="53" t="inlineStr">
        <is>
          <t>Не определено</t>
        </is>
      </c>
      <c r="M7301" s="53" t="inlineStr">
        <is>
          <t>До 10</t>
        </is>
      </c>
      <c r="N7301" s="54" t="n">
        <v>3360</v>
      </c>
      <c r="O7301" s="55" t="inlineStr">
        <is>
          <t>1–15</t>
        </is>
      </c>
      <c r="P7301" s="16" t="inlineStr">
        <is>
          <t>ССЧР обогащена; ОКВЭД не найден/не загружен</t>
        </is>
      </c>
      <c r="Q7301" s="16" t="inlineStr">
        <is>
          <t>ФНС открытые данные ССЧР (ДатаСост 31.12.2025; набор 7707329152-sshr2019)</t>
        </is>
      </c>
      <c r="R7301" s="16">
        <f>HYPERLINK("https://checko.ru/search?query=3801001629","Чекко: проверить")</f>
        <v/>
      </c>
      <c r="S7301" t="n">
        <v>1</v>
      </c>
      <c r="T7301" s="35" t="inlineStr">
        <is>
          <t>4 — Не обогащён</t>
        </is>
      </c>
      <c r="U7301" s="35" t="inlineStr">
        <is>
          <t>Нет ОКВЭД/ССЧР</t>
        </is>
      </c>
      <c r="V7301" s="35" t="inlineStr">
        <is>
          <t>Не определено</t>
        </is>
      </c>
      <c r="W7301" s="35" t="inlineStr">
        <is>
          <t>Нет</t>
        </is>
      </c>
      <c r="X7301" s="35" t="inlineStr"/>
    </row>
    <row r="7302" ht="15" customHeight="1" s="24">
      <c r="A7302" s="13" t="inlineStr">
        <is>
          <t>FR124221</t>
        </is>
      </c>
      <c r="B7302" s="13" t="inlineStr">
        <is>
          <t>ИП Богословский Евгений Владимирович</t>
        </is>
      </c>
      <c r="C7302" s="13" t="n">
        <v>410209369277</v>
      </c>
      <c r="D7302" s="13" t="inlineStr">
        <is>
          <t>410209369277</t>
        </is>
      </c>
      <c r="E7302" s="13" t="inlineStr">
        <is>
          <t>ИП РФ / физлицо</t>
        </is>
      </c>
      <c r="F7302" s="13" t="n"/>
      <c r="G7302" s="14" t="n"/>
      <c r="H7302" s="14" t="n"/>
      <c r="I7302" s="14" t="n"/>
      <c r="J7302" s="14" t="n"/>
      <c r="K7302" s="53" t="inlineStr"/>
      <c r="L7302" s="53" t="inlineStr">
        <is>
          <t>Не определено</t>
        </is>
      </c>
      <c r="M7302" s="53" t="inlineStr"/>
      <c r="N7302" s="54" t="inlineStr"/>
      <c r="O7302" s="55" t="inlineStr"/>
      <c r="P7302" s="16" t="inlineStr">
        <is>
          <t>Требует обогащения</t>
        </is>
      </c>
      <c r="Q7302" s="16">
        <f>HYPERLINK("https://pb.nalog.ru/search.html?query=410209369277","ФНС: проверить")</f>
        <v/>
      </c>
      <c r="R7302" s="16">
        <f>HYPERLINK("https://checko.ru/search?query=3801001629","Чекко: проверить")</f>
        <v/>
      </c>
      <c r="S7302" t="n">
        <v>1</v>
      </c>
      <c r="T7302" s="35" t="inlineStr">
        <is>
          <t>4 — Не обогащён</t>
        </is>
      </c>
      <c r="U7302" s="35" t="inlineStr">
        <is>
          <t>Нет ОКВЭД/ССЧР</t>
        </is>
      </c>
      <c r="V7302" s="35" t="inlineStr">
        <is>
          <t>Не определено</t>
        </is>
      </c>
      <c r="W7302" s="35" t="inlineStr"/>
      <c r="X7302" s="35" t="inlineStr"/>
    </row>
    <row r="7303" ht="15" customHeight="1" s="24">
      <c r="A7303" s="13" t="inlineStr">
        <is>
          <t>FR609954</t>
        </is>
      </c>
      <c r="B7303" s="13" t="inlineStr">
        <is>
          <t>ИП Хан Дарир</t>
        </is>
      </c>
      <c r="C7303" s="13" t="n">
        <v>384913624693</v>
      </c>
      <c r="D7303" s="13" t="inlineStr">
        <is>
          <t>384913624693</t>
        </is>
      </c>
      <c r="E7303" s="13" t="inlineStr">
        <is>
          <t>ИП РФ / физлицо</t>
        </is>
      </c>
      <c r="F7303" s="13" t="n"/>
      <c r="G7303" s="14" t="n"/>
      <c r="H7303" s="14" t="n"/>
      <c r="I7303" s="14" t="n"/>
      <c r="J7303" s="14" t="n"/>
      <c r="K7303" s="53" t="inlineStr"/>
      <c r="L7303" s="53" t="inlineStr">
        <is>
          <t>Не определено</t>
        </is>
      </c>
      <c r="M7303" s="53" t="inlineStr"/>
      <c r="N7303" s="54" t="inlineStr"/>
      <c r="O7303" s="55" t="inlineStr"/>
      <c r="P7303" s="16" t="inlineStr">
        <is>
          <t>Требует обогащения</t>
        </is>
      </c>
      <c r="Q7303" s="16">
        <f>HYPERLINK("https://pb.nalog.ru/search.html?query=384913624693","ФНС: проверить")</f>
        <v/>
      </c>
      <c r="R7303" s="16">
        <f>HYPERLINK("https://checko.ru/search?query=3801001629","Чекко: проверить")</f>
        <v/>
      </c>
      <c r="S7303" t="n">
        <v>1</v>
      </c>
      <c r="T7303" s="35" t="inlineStr">
        <is>
          <t>4 — Не обогащён</t>
        </is>
      </c>
      <c r="U7303" s="35" t="inlineStr">
        <is>
          <t>Нет ОКВЭД/ССЧР</t>
        </is>
      </c>
      <c r="V7303" s="35" t="inlineStr">
        <is>
          <t>Не определено</t>
        </is>
      </c>
      <c r="W7303" s="35" t="inlineStr"/>
      <c r="X7303" s="35" t="inlineStr"/>
    </row>
    <row r="7304" ht="15" customHeight="1" s="24">
      <c r="A7304" s="13" t="inlineStr">
        <is>
          <t>FR1329510</t>
        </is>
      </c>
      <c r="B7304" s="13" t="inlineStr">
        <is>
          <t>ИП Елистратова Татьяна Владимировна</t>
        </is>
      </c>
      <c r="C7304" s="13" t="n">
        <v>381808806441</v>
      </c>
      <c r="D7304" s="13" t="inlineStr">
        <is>
          <t>381808806441</t>
        </is>
      </c>
      <c r="E7304" s="13" t="inlineStr">
        <is>
          <t>ИП РФ / физлицо</t>
        </is>
      </c>
      <c r="F7304" s="13" t="n"/>
      <c r="G7304" s="14" t="n"/>
      <c r="H7304" s="14" t="n"/>
      <c r="I7304" s="14" t="n"/>
      <c r="J7304" s="14" t="n"/>
      <c r="K7304" s="53" t="inlineStr"/>
      <c r="L7304" s="53" t="inlineStr">
        <is>
          <t>Не определено</t>
        </is>
      </c>
      <c r="M7304" s="53" t="inlineStr"/>
      <c r="N7304" s="54" t="inlineStr"/>
      <c r="O7304" s="55" t="inlineStr"/>
      <c r="P7304" s="16" t="inlineStr">
        <is>
          <t>Требует обогащения</t>
        </is>
      </c>
      <c r="Q7304" s="16">
        <f>HYPERLINK("https://pb.nalog.ru/search.html?query=381808806441","ФНС: проверить")</f>
        <v/>
      </c>
      <c r="R7304" s="16">
        <f>HYPERLINK("https://checko.ru/search?query=3801001629","Чекко: проверить")</f>
        <v/>
      </c>
      <c r="S7304" t="n">
        <v>1</v>
      </c>
      <c r="T7304" s="35" t="inlineStr">
        <is>
          <t>4 — Не обогащён</t>
        </is>
      </c>
      <c r="U7304" s="35" t="inlineStr">
        <is>
          <t>Нет ОКВЭД/ССЧР</t>
        </is>
      </c>
      <c r="V7304" s="35" t="inlineStr">
        <is>
          <t>Не определено</t>
        </is>
      </c>
      <c r="W7304" s="35" t="inlineStr"/>
      <c r="X7304" s="35" t="inlineStr"/>
    </row>
    <row r="7305" ht="15" customHeight="1" s="24">
      <c r="A7305" s="13" t="inlineStr">
        <is>
          <t>FR126508</t>
        </is>
      </c>
      <c r="B7305" s="13" t="inlineStr">
        <is>
          <t>ИП Щербина Светлана Александровна</t>
        </is>
      </c>
      <c r="C7305" s="13" t="n">
        <v>590708450953</v>
      </c>
      <c r="D7305" s="13" t="inlineStr">
        <is>
          <t>590708450953</t>
        </is>
      </c>
      <c r="E7305" s="13" t="inlineStr">
        <is>
          <t>ИП РФ / физлицо</t>
        </is>
      </c>
      <c r="F7305" s="13" t="n"/>
      <c r="G7305" s="14" t="n"/>
      <c r="H7305" s="14" t="n"/>
      <c r="I7305" s="14" t="n"/>
      <c r="J7305" s="14" t="n"/>
      <c r="K7305" s="53" t="inlineStr"/>
      <c r="L7305" s="53" t="inlineStr">
        <is>
          <t>Не определено</t>
        </is>
      </c>
      <c r="M7305" s="53" t="inlineStr"/>
      <c r="N7305" s="54" t="inlineStr"/>
      <c r="O7305" s="55" t="inlineStr"/>
      <c r="P7305" s="16" t="inlineStr">
        <is>
          <t>Требует обогащения</t>
        </is>
      </c>
      <c r="Q7305" s="16">
        <f>HYPERLINK("https://pb.nalog.ru/search.html?query=590708450953","ФНС: проверить")</f>
        <v/>
      </c>
      <c r="R7305" s="16">
        <f>HYPERLINK("https://checko.ru/search?query=3801001629","Чекко: проверить")</f>
        <v/>
      </c>
      <c r="S7305" t="n">
        <v>1</v>
      </c>
      <c r="T7305" s="35" t="inlineStr">
        <is>
          <t>4 — Не обогащён</t>
        </is>
      </c>
      <c r="U7305" s="35" t="inlineStr">
        <is>
          <t>Нет ОКВЭД/ССЧР</t>
        </is>
      </c>
      <c r="V7305" s="35" t="inlineStr">
        <is>
          <t>Не определено</t>
        </is>
      </c>
      <c r="W7305" s="35" t="inlineStr"/>
      <c r="X7305" s="35" t="inlineStr"/>
    </row>
    <row r="7306" ht="27.75" customHeight="1" s="24">
      <c r="A7306" s="13" t="inlineStr">
        <is>
          <t>FR925973</t>
        </is>
      </c>
      <c r="B7306" s="13" t="inlineStr">
        <is>
          <t>Общество с ограниченной ответственностью "СЛОПЕШНЫЙ"</t>
        </is>
      </c>
      <c r="C7306" s="13" t="n">
        <v>3818021180</v>
      </c>
      <c r="D7306" s="13" t="inlineStr">
        <is>
          <t>3818021180</t>
        </is>
      </c>
      <c r="E7306" s="13" t="inlineStr">
        <is>
          <t>ЮЛ РФ</t>
        </is>
      </c>
      <c r="F7306" s="13" t="n"/>
      <c r="G7306" s="52" t="n">
        <v>1</v>
      </c>
      <c r="H7306" s="52" t="n">
        <v>2025</v>
      </c>
      <c r="I7306" s="14" t="n"/>
      <c r="J7306" s="14" t="n"/>
      <c r="K7306" s="53" t="inlineStr">
        <is>
          <t>Нет</t>
        </is>
      </c>
      <c r="L7306" s="53" t="inlineStr">
        <is>
          <t>Не определено</t>
        </is>
      </c>
      <c r="M7306" s="53" t="inlineStr">
        <is>
          <t>До 10</t>
        </is>
      </c>
      <c r="N7306" s="54" t="n">
        <v>3360</v>
      </c>
      <c r="O7306" s="55" t="inlineStr">
        <is>
          <t>1–15</t>
        </is>
      </c>
      <c r="P7306" s="16" t="inlineStr">
        <is>
          <t>ССЧР обогащена; ОКВЭД не найден/не загружен</t>
        </is>
      </c>
      <c r="Q7306" s="16" t="inlineStr">
        <is>
          <t>ФНС открытые данные ССЧР (ДатаСост 31.12.2025; набор 7707329152-sshr2019)</t>
        </is>
      </c>
      <c r="R7306" s="16">
        <f>HYPERLINK("https://checko.ru/search?query=3801001629","Чекко: проверить")</f>
        <v/>
      </c>
      <c r="S7306" t="n">
        <v>1</v>
      </c>
      <c r="T7306" s="35" t="inlineStr">
        <is>
          <t>4 — Не обогащён</t>
        </is>
      </c>
      <c r="U7306" s="35" t="inlineStr">
        <is>
          <t>Нет ОКВЭД/ССЧР</t>
        </is>
      </c>
      <c r="V7306" s="35" t="inlineStr">
        <is>
          <t>Не определено</t>
        </is>
      </c>
      <c r="W7306" s="35" t="inlineStr">
        <is>
          <t>Нет</t>
        </is>
      </c>
      <c r="X7306" s="35" t="inlineStr"/>
    </row>
    <row r="7307" ht="27.75" customHeight="1" s="24">
      <c r="A7307" s="13" t="inlineStr">
        <is>
          <t>FR52804</t>
        </is>
      </c>
      <c r="B7307" s="13" t="inlineStr">
        <is>
          <t>Общество с ограниченной ответственностью "АТЛАНТ-АГРО"</t>
        </is>
      </c>
      <c r="C7307" s="13" t="n">
        <v>2308266889</v>
      </c>
      <c r="D7307" s="13" t="inlineStr">
        <is>
          <t>2308266889</t>
        </is>
      </c>
      <c r="E7307" s="13" t="inlineStr">
        <is>
          <t>ЮЛ РФ</t>
        </is>
      </c>
      <c r="F7307" s="13" t="n"/>
      <c r="G7307" s="14" t="n"/>
      <c r="H7307" s="14" t="n"/>
      <c r="I7307" s="14" t="n"/>
      <c r="J7307" s="14" t="n"/>
      <c r="K7307" s="53" t="inlineStr"/>
      <c r="L7307" s="53" t="inlineStr">
        <is>
          <t>Не определено</t>
        </is>
      </c>
      <c r="M7307" s="53" t="inlineStr"/>
      <c r="N7307" s="54" t="inlineStr"/>
      <c r="O7307" s="55" t="inlineStr"/>
      <c r="P7307" s="16" t="inlineStr">
        <is>
          <t>Требует обогащения</t>
        </is>
      </c>
      <c r="Q7307" s="16">
        <f>HYPERLINK("https://pb.nalog.ru/search.html?query=2308266889","ФНС: проверить")</f>
        <v/>
      </c>
      <c r="R7307" s="16">
        <f>HYPERLINK("https://checko.ru/search?query=3801001629","Чекко: проверить")</f>
        <v/>
      </c>
      <c r="S7307" t="n">
        <v>1</v>
      </c>
      <c r="T7307" s="35" t="inlineStr">
        <is>
          <t>4 — Не обогащён</t>
        </is>
      </c>
      <c r="U7307" s="35" t="inlineStr">
        <is>
          <t>Нет ОКВЭД/ССЧР</t>
        </is>
      </c>
      <c r="V7307" s="35" t="inlineStr">
        <is>
          <t>Не определено</t>
        </is>
      </c>
      <c r="W7307" s="35" t="inlineStr"/>
      <c r="X7307" s="35" t="inlineStr"/>
    </row>
    <row r="7308" ht="15" customHeight="1" s="24">
      <c r="A7308" s="13" t="inlineStr">
        <is>
          <t>FR504588</t>
        </is>
      </c>
      <c r="B7308" s="13" t="inlineStr">
        <is>
          <t>ДУ ГЛАСС, ООО</t>
        </is>
      </c>
      <c r="C7308" s="13" t="n">
        <v>5256196070</v>
      </c>
      <c r="D7308" s="13" t="inlineStr">
        <is>
          <t>5256196070</t>
        </is>
      </c>
      <c r="E7308" s="13" t="inlineStr">
        <is>
          <t>ЮЛ РФ</t>
        </is>
      </c>
      <c r="F7308" s="13" t="n"/>
      <c r="G7308" s="52" t="n">
        <v>1</v>
      </c>
      <c r="H7308" s="52" t="n">
        <v>2025</v>
      </c>
      <c r="I7308" s="14" t="n"/>
      <c r="J7308" s="14" t="n"/>
      <c r="K7308" s="53" t="inlineStr">
        <is>
          <t>Нет</t>
        </is>
      </c>
      <c r="L7308" s="53" t="inlineStr">
        <is>
          <t>Не определено</t>
        </is>
      </c>
      <c r="M7308" s="53" t="inlineStr">
        <is>
          <t>До 10</t>
        </is>
      </c>
      <c r="N7308" s="54" t="n">
        <v>3360</v>
      </c>
      <c r="O7308" s="55" t="inlineStr">
        <is>
          <t>1–15</t>
        </is>
      </c>
      <c r="P7308" s="16" t="inlineStr">
        <is>
          <t>ССЧР обогащена; ОКВЭД не найден/не загружен</t>
        </is>
      </c>
      <c r="Q7308" s="16" t="inlineStr">
        <is>
          <t>ФНС открытые данные ССЧР (ДатаСост 31.12.2025; набор 7707329152-sshr2019)</t>
        </is>
      </c>
      <c r="R7308" s="16">
        <f>HYPERLINK("https://checko.ru/search?query=3801001629","Чекко: проверить")</f>
        <v/>
      </c>
      <c r="S7308" t="n">
        <v>1</v>
      </c>
      <c r="T7308" s="35" t="inlineStr">
        <is>
          <t>4 — Не обогащён</t>
        </is>
      </c>
      <c r="U7308" s="35" t="inlineStr">
        <is>
          <t>Нет ОКВЭД/ССЧР</t>
        </is>
      </c>
      <c r="V7308" s="35" t="inlineStr">
        <is>
          <t>Не определено</t>
        </is>
      </c>
      <c r="W7308" s="35" t="inlineStr">
        <is>
          <t>Нет</t>
        </is>
      </c>
      <c r="X7308" s="35" t="inlineStr"/>
    </row>
    <row r="7309" ht="41.25" customHeight="1" s="24">
      <c r="A7309" s="13" t="inlineStr">
        <is>
          <t>FR770865</t>
        </is>
      </c>
      <c r="B7309" s="13" t="inlineStr">
        <is>
          <t>МУНИЦИПАЛЬНОЕ УНИТАРНОЕ ПРЕДПРИЯТИЕ МУНИЦИПАЛЬНОГО ОБРАЗОВАНИЯ "БРАТСКИЙ РАЙОН""МОДУЛЬ"</t>
        </is>
      </c>
      <c r="C7309" s="13" t="n">
        <v>3805736046</v>
      </c>
      <c r="D7309" s="13" t="inlineStr">
        <is>
          <t>3805736046</t>
        </is>
      </c>
      <c r="E7309" s="13" t="inlineStr">
        <is>
          <t>ЮЛ РФ</t>
        </is>
      </c>
      <c r="F7309" s="13" t="n"/>
      <c r="G7309" s="14" t="n"/>
      <c r="H7309" s="14" t="n"/>
      <c r="I7309" s="14" t="n"/>
      <c r="J7309" s="14" t="n"/>
      <c r="K7309" s="53" t="inlineStr"/>
      <c r="L7309" s="53" t="inlineStr">
        <is>
          <t>Не определено</t>
        </is>
      </c>
      <c r="M7309" s="53" t="inlineStr"/>
      <c r="N7309" s="54" t="inlineStr"/>
      <c r="O7309" s="55" t="inlineStr"/>
      <c r="P7309" s="16" t="inlineStr">
        <is>
          <t>Требует обогащения</t>
        </is>
      </c>
      <c r="Q7309" s="16">
        <f>HYPERLINK("https://pb.nalog.ru/search.html?query=3805736046","ФНС: проверить")</f>
        <v/>
      </c>
      <c r="R7309" s="16">
        <f>HYPERLINK("https://checko.ru/search?query=3801001629","Чекко: проверить")</f>
        <v/>
      </c>
      <c r="S7309" t="n">
        <v>1</v>
      </c>
      <c r="T7309" s="35" t="inlineStr">
        <is>
          <t>4 — Не обогащён</t>
        </is>
      </c>
      <c r="U7309" s="35" t="inlineStr">
        <is>
          <t>Нет ОКВЭД/ССЧР</t>
        </is>
      </c>
      <c r="V7309" s="35" t="inlineStr">
        <is>
          <t>Не определено</t>
        </is>
      </c>
      <c r="W7309" s="35" t="inlineStr"/>
      <c r="X7309" s="35" t="inlineStr"/>
    </row>
    <row r="7310" ht="27.75" customHeight="1" s="24">
      <c r="A7310" s="13" t="inlineStr">
        <is>
          <t>FR709824</t>
        </is>
      </c>
      <c r="B7310" s="13" t="inlineStr">
        <is>
          <t>Общество с ограниченной ответственностью "СТРОИТЕЛЬНАЯ КОМПАНИЯ СТАНДАРТ"</t>
        </is>
      </c>
      <c r="C7310" s="13" t="n">
        <v>3808275509</v>
      </c>
      <c r="D7310" s="13" t="inlineStr">
        <is>
          <t>3808275509</t>
        </is>
      </c>
      <c r="E7310" s="13" t="inlineStr">
        <is>
          <t>ЮЛ РФ</t>
        </is>
      </c>
      <c r="F7310" s="13" t="n"/>
      <c r="G7310" s="52" t="n">
        <v>0</v>
      </c>
      <c r="H7310" s="52" t="n">
        <v>2025</v>
      </c>
      <c r="I7310" s="14" t="n"/>
      <c r="J7310" s="14" t="n"/>
      <c r="K7310" s="53" t="inlineStr">
        <is>
          <t>Нет</t>
        </is>
      </c>
      <c r="L7310" s="53" t="inlineStr">
        <is>
          <t>Не определено</t>
        </is>
      </c>
      <c r="M7310" s="53" t="inlineStr">
        <is>
          <t>До 10</t>
        </is>
      </c>
      <c r="N7310" s="54" t="n">
        <v>3360</v>
      </c>
      <c r="O7310" s="55" t="inlineStr">
        <is>
          <t>1–15</t>
        </is>
      </c>
      <c r="P7310" s="16" t="inlineStr">
        <is>
          <t>ССЧР обогащена; ОКВЭД не найден/не загружен</t>
        </is>
      </c>
      <c r="Q7310" s="16" t="inlineStr">
        <is>
          <t>ФНС открытые данные ССЧР (ДатаСост 31.12.2025; набор 7707329152-sshr2019)</t>
        </is>
      </c>
      <c r="R7310" s="16">
        <f>HYPERLINK("https://checko.ru/search?query=3801001629","Чекко: проверить")</f>
        <v/>
      </c>
      <c r="S7310" t="n">
        <v>1</v>
      </c>
      <c r="T7310" s="35" t="inlineStr">
        <is>
          <t>4 — Не обогащён</t>
        </is>
      </c>
      <c r="U7310" s="35" t="inlineStr">
        <is>
          <t>Нет ОКВЭД/ССЧР</t>
        </is>
      </c>
      <c r="V7310" s="35" t="inlineStr">
        <is>
          <t>Не определено</t>
        </is>
      </c>
      <c r="W7310" s="35" t="inlineStr">
        <is>
          <t>Нет</t>
        </is>
      </c>
      <c r="X7310" s="35" t="inlineStr"/>
    </row>
    <row r="7311" ht="15" customHeight="1" s="24">
      <c r="A7311" s="13" t="inlineStr">
        <is>
          <t>FR277699</t>
        </is>
      </c>
      <c r="B7311" s="13" t="inlineStr">
        <is>
          <t>Корюкин Евгений Михайлович</t>
        </is>
      </c>
      <c r="C7311" s="13" t="n">
        <v>380501810358</v>
      </c>
      <c r="D7311" s="13" t="inlineStr">
        <is>
          <t>380501810358</t>
        </is>
      </c>
      <c r="E7311" s="13" t="inlineStr">
        <is>
          <t>ИП РФ / физлицо</t>
        </is>
      </c>
      <c r="F7311" s="13" t="n"/>
      <c r="G7311" s="14" t="n"/>
      <c r="H7311" s="14" t="n"/>
      <c r="I7311" s="14" t="n"/>
      <c r="J7311" s="14" t="n"/>
      <c r="K7311" s="53" t="inlineStr"/>
      <c r="L7311" s="53" t="inlineStr">
        <is>
          <t>Не определено</t>
        </is>
      </c>
      <c r="M7311" s="53" t="inlineStr"/>
      <c r="N7311" s="54" t="inlineStr"/>
      <c r="O7311" s="55" t="inlineStr"/>
      <c r="P7311" s="16" t="inlineStr">
        <is>
          <t>Требует обогащения</t>
        </is>
      </c>
      <c r="Q7311" s="16">
        <f>HYPERLINK("https://pb.nalog.ru/search.html?query=380501810358","ФНС: проверить")</f>
        <v/>
      </c>
      <c r="R7311" s="16">
        <f>HYPERLINK("https://checko.ru/search?query=3801001629","Чекко: проверить")</f>
        <v/>
      </c>
      <c r="S7311" t="n">
        <v>1</v>
      </c>
      <c r="T7311" s="35" t="inlineStr">
        <is>
          <t>4 — Не обогащён</t>
        </is>
      </c>
      <c r="U7311" s="35" t="inlineStr">
        <is>
          <t>Нет ОКВЭД/ССЧР</t>
        </is>
      </c>
      <c r="V7311" s="35" t="inlineStr">
        <is>
          <t>Не определено</t>
        </is>
      </c>
      <c r="W7311" s="35" t="inlineStr"/>
      <c r="X7311" s="35" t="inlineStr"/>
    </row>
    <row r="7312" ht="15" customHeight="1" s="24">
      <c r="A7312" s="13" t="inlineStr">
        <is>
          <t>FR140443</t>
        </is>
      </c>
      <c r="B7312" s="13" t="inlineStr">
        <is>
          <t>Такмакова Ольга Петровна</t>
        </is>
      </c>
      <c r="C7312" s="13" t="n">
        <v>561000363632</v>
      </c>
      <c r="D7312" s="13" t="inlineStr">
        <is>
          <t>561000363632</t>
        </is>
      </c>
      <c r="E7312" s="13" t="inlineStr">
        <is>
          <t>ИП РФ / физлицо</t>
        </is>
      </c>
      <c r="F7312" s="13" t="n"/>
      <c r="G7312" s="14" t="n"/>
      <c r="H7312" s="14" t="n"/>
      <c r="I7312" s="14" t="n"/>
      <c r="J7312" s="14" t="n"/>
      <c r="K7312" s="53" t="inlineStr"/>
      <c r="L7312" s="53" t="inlineStr">
        <is>
          <t>Не определено</t>
        </is>
      </c>
      <c r="M7312" s="53" t="inlineStr"/>
      <c r="N7312" s="54" t="inlineStr"/>
      <c r="O7312" s="55" t="inlineStr"/>
      <c r="P7312" s="16" t="inlineStr">
        <is>
          <t>Требует обогащения</t>
        </is>
      </c>
      <c r="Q7312" s="16">
        <f>HYPERLINK("https://pb.nalog.ru/search.html?query=561000363632","ФНС: проверить")</f>
        <v/>
      </c>
      <c r="R7312" s="16">
        <f>HYPERLINK("https://checko.ru/search?query=3801001629","Чекко: проверить")</f>
        <v/>
      </c>
      <c r="S7312" t="n">
        <v>1</v>
      </c>
      <c r="T7312" s="35" t="inlineStr">
        <is>
          <t>4 — Не обогащён</t>
        </is>
      </c>
      <c r="U7312" s="35" t="inlineStr">
        <is>
          <t>Нет ОКВЭД/ССЧР</t>
        </is>
      </c>
      <c r="V7312" s="35" t="inlineStr">
        <is>
          <t>Не определено</t>
        </is>
      </c>
      <c r="W7312" s="35" t="inlineStr"/>
      <c r="X7312" s="35" t="inlineStr"/>
    </row>
    <row r="7313" ht="15" customHeight="1" s="24">
      <c r="A7313" s="13" t="inlineStr">
        <is>
          <t>FR411213</t>
        </is>
      </c>
      <c r="B7313" s="13" t="inlineStr">
        <is>
          <t>ИП Иванов Алексей Петрович</t>
        </is>
      </c>
      <c r="C7313" s="13" t="n">
        <v>381105694678</v>
      </c>
      <c r="D7313" s="13" t="inlineStr">
        <is>
          <t>381105694678</t>
        </is>
      </c>
      <c r="E7313" s="13" t="inlineStr">
        <is>
          <t>ИП РФ / физлицо</t>
        </is>
      </c>
      <c r="F7313" s="13" t="n"/>
      <c r="G7313" s="14" t="n"/>
      <c r="H7313" s="14" t="n"/>
      <c r="I7313" s="14" t="n"/>
      <c r="J7313" s="14" t="n"/>
      <c r="K7313" s="53" t="inlineStr"/>
      <c r="L7313" s="53" t="inlineStr">
        <is>
          <t>Не определено</t>
        </is>
      </c>
      <c r="M7313" s="53" t="inlineStr"/>
      <c r="N7313" s="54" t="inlineStr"/>
      <c r="O7313" s="55" t="inlineStr"/>
      <c r="P7313" s="16" t="inlineStr">
        <is>
          <t>Требует обогащения</t>
        </is>
      </c>
      <c r="Q7313" s="16">
        <f>HYPERLINK("https://pb.nalog.ru/search.html?query=381105694678","ФНС: проверить")</f>
        <v/>
      </c>
      <c r="R7313" s="16">
        <f>HYPERLINK("https://checko.ru/search?query=3801001629","Чекко: проверить")</f>
        <v/>
      </c>
      <c r="S7313" t="n">
        <v>0</v>
      </c>
      <c r="T7313" s="35" t="inlineStr">
        <is>
          <t>4 — Не обогащён</t>
        </is>
      </c>
      <c r="U7313" s="35" t="inlineStr">
        <is>
          <t>Нет ОКВЭД/ССЧР</t>
        </is>
      </c>
      <c r="V7313" s="35" t="inlineStr">
        <is>
          <t>Не определено</t>
        </is>
      </c>
      <c r="W7313" s="35" t="inlineStr"/>
      <c r="X7313" s="35" t="inlineStr"/>
    </row>
    <row r="7314" ht="15" customHeight="1" s="24">
      <c r="A7314" s="13" t="inlineStr">
        <is>
          <t>FR941622</t>
        </is>
      </c>
      <c r="B7314" s="13" t="inlineStr">
        <is>
          <t>ООО "Монолит"</t>
        </is>
      </c>
      <c r="C7314" s="13" t="n">
        <v>3827030303</v>
      </c>
      <c r="D7314" s="13" t="inlineStr">
        <is>
          <t>3827030303</t>
        </is>
      </c>
      <c r="E7314" s="13" t="inlineStr">
        <is>
          <t>ЮЛ РФ</t>
        </is>
      </c>
      <c r="F7314" s="13" t="n"/>
      <c r="G7314" s="52" t="n">
        <v>4</v>
      </c>
      <c r="H7314" s="52" t="n">
        <v>2025</v>
      </c>
      <c r="I7314" s="14" t="n"/>
      <c r="J7314" s="14" t="n"/>
      <c r="K7314" s="53" t="inlineStr">
        <is>
          <t>Нет</t>
        </is>
      </c>
      <c r="L7314" s="53" t="inlineStr">
        <is>
          <t>Не определено</t>
        </is>
      </c>
      <c r="M7314" s="53" t="inlineStr">
        <is>
          <t>До 10</t>
        </is>
      </c>
      <c r="N7314" s="54" t="n">
        <v>3360</v>
      </c>
      <c r="O7314" s="55" t="inlineStr">
        <is>
          <t>1–15</t>
        </is>
      </c>
      <c r="P7314" s="16" t="inlineStr">
        <is>
          <t>ССЧР обогащена; ОКВЭД не найден/не загружен</t>
        </is>
      </c>
      <c r="Q7314" s="16" t="inlineStr">
        <is>
          <t>ФНС открытые данные ССЧР (ДатаСост 31.12.2025; набор 7707329152-sshr2019)</t>
        </is>
      </c>
      <c r="R7314" s="16">
        <f>HYPERLINK("https://checko.ru/search?query=3801001629","Чекко: проверить")</f>
        <v/>
      </c>
      <c r="S7314" t="n">
        <v>1</v>
      </c>
      <c r="T7314" s="35" t="inlineStr">
        <is>
          <t>4 — Не обогащён</t>
        </is>
      </c>
      <c r="U7314" s="35" t="inlineStr">
        <is>
          <t>Нет ОКВЭД/ССЧР</t>
        </is>
      </c>
      <c r="V7314" s="35" t="inlineStr">
        <is>
          <t>Не определено</t>
        </is>
      </c>
      <c r="W7314" s="35" t="inlineStr">
        <is>
          <t>Нет</t>
        </is>
      </c>
      <c r="X7314" s="35" t="inlineStr"/>
    </row>
    <row r="7315" ht="15" customHeight="1" s="24">
      <c r="A7315" s="13" t="inlineStr">
        <is>
          <t>FR3228</t>
        </is>
      </c>
      <c r="B7315" s="13" t="inlineStr">
        <is>
          <t>Альянс</t>
        </is>
      </c>
      <c r="C7315" s="13" t="n">
        <v>3811138510</v>
      </c>
      <c r="D7315" s="13" t="inlineStr">
        <is>
          <t>3811138510</t>
        </is>
      </c>
      <c r="E7315" s="13" t="inlineStr">
        <is>
          <t>ЮЛ РФ</t>
        </is>
      </c>
      <c r="F7315" s="13" t="n"/>
      <c r="G7315" s="52" t="n">
        <v>3</v>
      </c>
      <c r="H7315" s="52" t="n">
        <v>2025</v>
      </c>
      <c r="I7315" s="14" t="n"/>
      <c r="J7315" s="14" t="n"/>
      <c r="K7315" s="53" t="inlineStr">
        <is>
          <t>Нет</t>
        </is>
      </c>
      <c r="L7315" s="53" t="inlineStr">
        <is>
          <t>Не определено</t>
        </is>
      </c>
      <c r="M7315" s="53" t="inlineStr">
        <is>
          <t>До 10</t>
        </is>
      </c>
      <c r="N7315" s="54" t="n">
        <v>3360</v>
      </c>
      <c r="O7315" s="55" t="inlineStr">
        <is>
          <t>1–15</t>
        </is>
      </c>
      <c r="P7315" s="16" t="inlineStr">
        <is>
          <t>ССЧР обогащена; ОКВЭД не найден/не загружен</t>
        </is>
      </c>
      <c r="Q7315" s="16" t="inlineStr">
        <is>
          <t>ФНС открытые данные ССЧР (ДатаСост 31.12.2025; набор 7707329152-sshr2019)</t>
        </is>
      </c>
      <c r="R7315" s="16">
        <f>HYPERLINK("https://checko.ru/search?query=3801001629","Чекко: проверить")</f>
        <v/>
      </c>
      <c r="S7315" t="n">
        <v>1</v>
      </c>
      <c r="T7315" s="35" t="inlineStr">
        <is>
          <t>4 — Не обогащён</t>
        </is>
      </c>
      <c r="U7315" s="35" t="inlineStr">
        <is>
          <t>Нет ОКВЭД/ССЧР</t>
        </is>
      </c>
      <c r="V7315" s="35" t="inlineStr">
        <is>
          <t>Не определено</t>
        </is>
      </c>
      <c r="W7315" s="35" t="inlineStr">
        <is>
          <t>Нет</t>
        </is>
      </c>
      <c r="X7315" s="35" t="inlineStr"/>
    </row>
    <row r="7316" ht="15" customHeight="1" s="24">
      <c r="A7316" s="13" t="inlineStr">
        <is>
          <t>FR24710</t>
        </is>
      </c>
      <c r="B7316" s="13" t="inlineStr">
        <is>
          <t>ИП Губина Наталья Александровна</t>
        </is>
      </c>
      <c r="C7316" s="13" t="n">
        <v>861800267767</v>
      </c>
      <c r="D7316" s="13" t="inlineStr">
        <is>
          <t>861800267767</t>
        </is>
      </c>
      <c r="E7316" s="13" t="inlineStr">
        <is>
          <t>ИП РФ / физлицо</t>
        </is>
      </c>
      <c r="F7316" s="13" t="n"/>
      <c r="G7316" s="14" t="n"/>
      <c r="H7316" s="14" t="n"/>
      <c r="I7316" s="14" t="n"/>
      <c r="J7316" s="14" t="n"/>
      <c r="K7316" s="53" t="inlineStr"/>
      <c r="L7316" s="53" t="inlineStr">
        <is>
          <t>Не определено</t>
        </is>
      </c>
      <c r="M7316" s="53" t="inlineStr"/>
      <c r="N7316" s="54" t="inlineStr"/>
      <c r="O7316" s="55" t="inlineStr"/>
      <c r="P7316" s="16" t="inlineStr">
        <is>
          <t>Требует обогащения</t>
        </is>
      </c>
      <c r="Q7316" s="16">
        <f>HYPERLINK("https://pb.nalog.ru/search.html?query=861800267767","ФНС: проверить")</f>
        <v/>
      </c>
      <c r="R7316" s="16">
        <f>HYPERLINK("https://checko.ru/search?query=3801001629","Чекко: проверить")</f>
        <v/>
      </c>
      <c r="S7316" t="n">
        <v>1</v>
      </c>
      <c r="T7316" s="35" t="inlineStr">
        <is>
          <t>4 — Не обогащён</t>
        </is>
      </c>
      <c r="U7316" s="35" t="inlineStr">
        <is>
          <t>Нет ОКВЭД/ССЧР</t>
        </is>
      </c>
      <c r="V7316" s="35" t="inlineStr">
        <is>
          <t>Не определено</t>
        </is>
      </c>
      <c r="W7316" s="35" t="inlineStr"/>
      <c r="X7316" s="35" t="inlineStr"/>
    </row>
    <row r="7317" ht="15" customHeight="1" s="24">
      <c r="A7317" s="13" t="inlineStr">
        <is>
          <t>FR57266</t>
        </is>
      </c>
      <c r="B7317" s="13" t="inlineStr">
        <is>
          <t>ПРОФИЗЫСКАНИЯ ООО</t>
        </is>
      </c>
      <c r="C7317" s="13" t="n">
        <v>3812152700</v>
      </c>
      <c r="D7317" s="13" t="inlineStr">
        <is>
          <t>3812152700</t>
        </is>
      </c>
      <c r="E7317" s="13" t="inlineStr">
        <is>
          <t>ЮЛ РФ</t>
        </is>
      </c>
      <c r="F7317" s="13" t="n"/>
      <c r="G7317" s="52" t="n">
        <v>11</v>
      </c>
      <c r="H7317" s="52" t="n">
        <v>2025</v>
      </c>
      <c r="I7317" s="14" t="n"/>
      <c r="J7317" s="14" t="n"/>
      <c r="K7317" s="53" t="inlineStr">
        <is>
          <t>Нет</t>
        </is>
      </c>
      <c r="L7317" s="53" t="inlineStr">
        <is>
          <t>Не определено</t>
        </is>
      </c>
      <c r="M7317" s="53" t="inlineStr">
        <is>
          <t>До 25</t>
        </is>
      </c>
      <c r="N7317" s="54" t="n">
        <v>8400</v>
      </c>
      <c r="O7317" s="55" t="inlineStr">
        <is>
          <t>1–15</t>
        </is>
      </c>
      <c r="P7317" s="16" t="inlineStr">
        <is>
          <t>ССЧР обогащена; ОКВЭД не найден/не загружен</t>
        </is>
      </c>
      <c r="Q7317" s="16" t="inlineStr">
        <is>
          <t>ФНС открытые данные ССЧР (ДатаСост 31.12.2025; набор 7707329152-sshr2019)</t>
        </is>
      </c>
      <c r="R7317" s="16">
        <f>HYPERLINK("https://checko.ru/search?query=3801001629","Чекко: проверить")</f>
        <v/>
      </c>
      <c r="S7317" t="n">
        <v>1</v>
      </c>
      <c r="T7317" s="35" t="inlineStr">
        <is>
          <t>4 — Не обогащён</t>
        </is>
      </c>
      <c r="U7317" s="35" t="inlineStr">
        <is>
          <t>Нет ОКВЭД/ССЧР</t>
        </is>
      </c>
      <c r="V7317" s="35" t="inlineStr">
        <is>
          <t>Не определено</t>
        </is>
      </c>
      <c r="W7317" s="35" t="inlineStr">
        <is>
          <t>Нет</t>
        </is>
      </c>
      <c r="X7317" s="35" t="inlineStr"/>
    </row>
    <row r="7318" ht="27.75" customHeight="1" s="24">
      <c r="A7318" s="13" t="inlineStr">
        <is>
          <t>FR124057</t>
        </is>
      </c>
      <c r="B7318" s="13" t="inlineStr">
        <is>
          <t>Общество с ограниченной ответственностью "ТРЕЙДТЕХКОМ"</t>
        </is>
      </c>
      <c r="C7318" s="13" t="n">
        <v>3810065876</v>
      </c>
      <c r="D7318" s="13" t="inlineStr">
        <is>
          <t>3810065876</t>
        </is>
      </c>
      <c r="E7318" s="13" t="inlineStr">
        <is>
          <t>ЮЛ РФ</t>
        </is>
      </c>
      <c r="F7318" s="13" t="n"/>
      <c r="G7318" s="52" t="n">
        <v>20</v>
      </c>
      <c r="H7318" s="52" t="n">
        <v>2025</v>
      </c>
      <c r="I7318" s="14" t="n"/>
      <c r="J7318" s="14" t="n"/>
      <c r="K7318" s="53" t="inlineStr">
        <is>
          <t>Нет</t>
        </is>
      </c>
      <c r="L7318" s="53" t="inlineStr">
        <is>
          <t>Не определено</t>
        </is>
      </c>
      <c r="M7318" s="53" t="inlineStr">
        <is>
          <t>До 25</t>
        </is>
      </c>
      <c r="N7318" s="54" t="n">
        <v>8400</v>
      </c>
      <c r="O7318" s="55" t="inlineStr">
        <is>
          <t>16–30</t>
        </is>
      </c>
      <c r="P7318" s="16" t="inlineStr">
        <is>
          <t>ССЧР обогащена; ОКВЭД не найден/не загружен</t>
        </is>
      </c>
      <c r="Q7318" s="16" t="inlineStr">
        <is>
          <t>ФНС открытые данные ССЧР (ДатаСост 31.12.2025; набор 7707329152-sshr2019)</t>
        </is>
      </c>
      <c r="R7318" s="16">
        <f>HYPERLINK("https://checko.ru/search?query=3801001629","Чекко: проверить")</f>
        <v/>
      </c>
      <c r="S7318" t="n">
        <v>1</v>
      </c>
      <c r="T7318" s="35" t="inlineStr">
        <is>
          <t>4 — Не обогащён</t>
        </is>
      </c>
      <c r="U7318" s="35" t="inlineStr">
        <is>
          <t>Нет ОКВЭД/ССЧР</t>
        </is>
      </c>
      <c r="V7318" s="35" t="inlineStr">
        <is>
          <t>Не определено</t>
        </is>
      </c>
      <c r="W7318" s="35" t="inlineStr">
        <is>
          <t>Нет</t>
        </is>
      </c>
      <c r="X7318" s="35" t="inlineStr"/>
    </row>
    <row r="7319" ht="15" customHeight="1" s="24">
      <c r="A7319" s="13" t="inlineStr">
        <is>
          <t>FR132453</t>
        </is>
      </c>
      <c r="B7319" s="13" t="inlineStr">
        <is>
          <t>ИП Бельская Наталья Юрьевна</t>
        </is>
      </c>
      <c r="C7319" s="13" t="n">
        <v>380400360536</v>
      </c>
      <c r="D7319" s="13" t="inlineStr">
        <is>
          <t>380400360536</t>
        </is>
      </c>
      <c r="E7319" s="13" t="inlineStr">
        <is>
          <t>ИП РФ / физлицо</t>
        </is>
      </c>
      <c r="F7319" s="13" t="n"/>
      <c r="G7319" s="14" t="n"/>
      <c r="H7319" s="14" t="n"/>
      <c r="I7319" s="14" t="n"/>
      <c r="J7319" s="14" t="n"/>
      <c r="K7319" s="53" t="inlineStr"/>
      <c r="L7319" s="53" t="inlineStr">
        <is>
          <t>Не определено</t>
        </is>
      </c>
      <c r="M7319" s="53" t="inlineStr"/>
      <c r="N7319" s="54" t="inlineStr"/>
      <c r="O7319" s="55" t="inlineStr"/>
      <c r="P7319" s="16" t="inlineStr">
        <is>
          <t>Требует обогащения</t>
        </is>
      </c>
      <c r="Q7319" s="16">
        <f>HYPERLINK("https://pb.nalog.ru/search.html?query=380400360536","ФНС: проверить")</f>
        <v/>
      </c>
      <c r="R7319" s="16">
        <f>HYPERLINK("https://checko.ru/search?query=3801001629","Чекко: проверить")</f>
        <v/>
      </c>
      <c r="S7319" t="n">
        <v>1</v>
      </c>
      <c r="T7319" s="35" t="inlineStr">
        <is>
          <t>4 — Не обогащён</t>
        </is>
      </c>
      <c r="U7319" s="35" t="inlineStr">
        <is>
          <t>Нет ОКВЭД/ССЧР</t>
        </is>
      </c>
      <c r="V7319" s="35" t="inlineStr">
        <is>
          <t>Не определено</t>
        </is>
      </c>
      <c r="W7319" s="35" t="inlineStr"/>
      <c r="X7319" s="35" t="inlineStr"/>
    </row>
    <row r="7320" ht="27.75" customHeight="1" s="24">
      <c r="A7320" s="13" t="inlineStr">
        <is>
          <t>FR15858</t>
        </is>
      </c>
      <c r="B7320" s="13" t="inlineStr">
        <is>
          <t>ОБЩЕСТВО С ОГРАНИЧЕННОЙ ОТВЕТСТВЕННОСТЬЮ "АМБ-ТРЕЙД"</t>
        </is>
      </c>
      <c r="C7320" s="13" t="n">
        <v>3812151880</v>
      </c>
      <c r="D7320" s="13" t="inlineStr">
        <is>
          <t>3812151880</t>
        </is>
      </c>
      <c r="E7320" s="13" t="inlineStr">
        <is>
          <t>ЮЛ РФ</t>
        </is>
      </c>
      <c r="F7320" s="13" t="n"/>
      <c r="G7320" s="52" t="n">
        <v>5</v>
      </c>
      <c r="H7320" s="52" t="n">
        <v>2025</v>
      </c>
      <c r="I7320" s="14" t="n"/>
      <c r="J7320" s="14" t="n"/>
      <c r="K7320" s="53" t="inlineStr">
        <is>
          <t>Нет</t>
        </is>
      </c>
      <c r="L7320" s="53" t="inlineStr">
        <is>
          <t>Не определено</t>
        </is>
      </c>
      <c r="M7320" s="53" t="inlineStr">
        <is>
          <t>До 10</t>
        </is>
      </c>
      <c r="N7320" s="54" t="n">
        <v>3360</v>
      </c>
      <c r="O7320" s="55" t="inlineStr">
        <is>
          <t>1–15</t>
        </is>
      </c>
      <c r="P7320" s="16" t="inlineStr">
        <is>
          <t>ССЧР обогащена; ОКВЭД не найден/не загружен</t>
        </is>
      </c>
      <c r="Q7320" s="16" t="inlineStr">
        <is>
          <t>ФНС открытые данные ССЧР (ДатаСост 31.12.2025; набор 7707329152-sshr2019)</t>
        </is>
      </c>
      <c r="R7320" s="16">
        <f>HYPERLINK("https://checko.ru/search?query=3801001629","Чекко: проверить")</f>
        <v/>
      </c>
      <c r="S7320" t="n">
        <v>1</v>
      </c>
      <c r="T7320" s="35" t="inlineStr">
        <is>
          <t>4 — Не обогащён</t>
        </is>
      </c>
      <c r="U7320" s="35" t="inlineStr">
        <is>
          <t>Нет ОКВЭД/ССЧР</t>
        </is>
      </c>
      <c r="V7320" s="35" t="inlineStr">
        <is>
          <t>Не определено</t>
        </is>
      </c>
      <c r="W7320" s="35" t="inlineStr">
        <is>
          <t>Нет</t>
        </is>
      </c>
      <c r="X7320" s="35" t="inlineStr"/>
    </row>
    <row r="7321" ht="15" customHeight="1" s="24">
      <c r="A7321" s="13" t="inlineStr">
        <is>
          <t>FR40555</t>
        </is>
      </c>
      <c r="B7321" s="13" t="inlineStr">
        <is>
          <t>ИРГЕОПОИСК ООО</t>
        </is>
      </c>
      <c r="C7321" s="13" t="n">
        <v>3827048830</v>
      </c>
      <c r="D7321" s="13" t="inlineStr">
        <is>
          <t>3827048830</t>
        </is>
      </c>
      <c r="E7321" s="13" t="inlineStr">
        <is>
          <t>ЮЛ РФ</t>
        </is>
      </c>
      <c r="F7321" s="13" t="n"/>
      <c r="G7321" s="52" t="n">
        <v>9</v>
      </c>
      <c r="H7321" s="52" t="n">
        <v>2025</v>
      </c>
      <c r="I7321" s="14" t="n"/>
      <c r="J7321" s="14" t="n"/>
      <c r="K7321" s="53" t="inlineStr">
        <is>
          <t>Нет</t>
        </is>
      </c>
      <c r="L7321" s="53" t="inlineStr">
        <is>
          <t>Не определено</t>
        </is>
      </c>
      <c r="M7321" s="53" t="inlineStr">
        <is>
          <t>До 10</t>
        </is>
      </c>
      <c r="N7321" s="54" t="n">
        <v>3360</v>
      </c>
      <c r="O7321" s="55" t="inlineStr">
        <is>
          <t>1–15</t>
        </is>
      </c>
      <c r="P7321" s="16" t="inlineStr">
        <is>
          <t>ССЧР обогащена; ОКВЭД не найден/не загружен</t>
        </is>
      </c>
      <c r="Q7321" s="16" t="inlineStr">
        <is>
          <t>ФНС открытые данные ССЧР (ДатаСост 31.12.2025; набор 7707329152-sshr2019)</t>
        </is>
      </c>
      <c r="R7321" s="16">
        <f>HYPERLINK("https://checko.ru/search?query=3801001629","Чекко: проверить")</f>
        <v/>
      </c>
      <c r="S7321" t="n">
        <v>1</v>
      </c>
      <c r="T7321" s="35" t="inlineStr">
        <is>
          <t>4 — Не обогащён</t>
        </is>
      </c>
      <c r="U7321" s="35" t="inlineStr">
        <is>
          <t>Нет ОКВЭД/ССЧР</t>
        </is>
      </c>
      <c r="V7321" s="35" t="inlineStr">
        <is>
          <t>Не определено</t>
        </is>
      </c>
      <c r="W7321" s="35" t="inlineStr">
        <is>
          <t>Нет</t>
        </is>
      </c>
      <c r="X7321" s="35" t="inlineStr"/>
    </row>
    <row r="7322" ht="15" customHeight="1" s="24">
      <c r="A7322" s="13" t="inlineStr">
        <is>
          <t>FR40386</t>
        </is>
      </c>
      <c r="B7322" s="13" t="inlineStr">
        <is>
          <t>ООО "БИРЖИН"</t>
        </is>
      </c>
      <c r="C7322" s="13" t="n">
        <v>7713409215</v>
      </c>
      <c r="D7322" s="13" t="inlineStr">
        <is>
          <t>7713409215</t>
        </is>
      </c>
      <c r="E7322" s="13" t="inlineStr">
        <is>
          <t>ЮЛ РФ</t>
        </is>
      </c>
      <c r="F7322" s="13" t="n"/>
      <c r="G7322" s="52" t="n">
        <v>1</v>
      </c>
      <c r="H7322" s="52" t="n">
        <v>2025</v>
      </c>
      <c r="I7322" s="14" t="n"/>
      <c r="J7322" s="14" t="n"/>
      <c r="K7322" s="53" t="inlineStr">
        <is>
          <t>Нет</t>
        </is>
      </c>
      <c r="L7322" s="53" t="inlineStr">
        <is>
          <t>Не определено</t>
        </is>
      </c>
      <c r="M7322" s="53" t="inlineStr">
        <is>
          <t>До 10</t>
        </is>
      </c>
      <c r="N7322" s="54" t="n">
        <v>3360</v>
      </c>
      <c r="O7322" s="55" t="inlineStr">
        <is>
          <t>1–15</t>
        </is>
      </c>
      <c r="P7322" s="16" t="inlineStr">
        <is>
          <t>ССЧР обогащена; ОКВЭД не найден/не загружен</t>
        </is>
      </c>
      <c r="Q7322" s="16" t="inlineStr">
        <is>
          <t>ФНС открытые данные ССЧР (ДатаСост 31.12.2025; набор 7707329152-sshr2019)</t>
        </is>
      </c>
      <c r="R7322" s="16">
        <f>HYPERLINK("https://checko.ru/search?query=3801001629","Чекко: проверить")</f>
        <v/>
      </c>
      <c r="S7322" t="n">
        <v>1</v>
      </c>
      <c r="T7322" s="35" t="inlineStr">
        <is>
          <t>4 — Не обогащён</t>
        </is>
      </c>
      <c r="U7322" s="35" t="inlineStr">
        <is>
          <t>Нет ОКВЭД/ССЧР</t>
        </is>
      </c>
      <c r="V7322" s="35" t="inlineStr">
        <is>
          <t>Не определено</t>
        </is>
      </c>
      <c r="W7322" s="35" t="inlineStr">
        <is>
          <t>Нет</t>
        </is>
      </c>
      <c r="X7322" s="35" t="inlineStr"/>
    </row>
    <row r="7323" ht="15" customHeight="1" s="24">
      <c r="A7323" s="13" t="inlineStr">
        <is>
          <t>FR92673</t>
        </is>
      </c>
      <c r="B7323" s="13" t="inlineStr">
        <is>
          <t>ООО "Элит-Дент"</t>
        </is>
      </c>
      <c r="C7323" s="13" t="n">
        <v>3801073800</v>
      </c>
      <c r="D7323" s="13" t="inlineStr">
        <is>
          <t>3801073800</t>
        </is>
      </c>
      <c r="E7323" s="13" t="inlineStr">
        <is>
          <t>ЮЛ РФ</t>
        </is>
      </c>
      <c r="F7323" s="13" t="n"/>
      <c r="G7323" s="52" t="n">
        <v>34</v>
      </c>
      <c r="H7323" s="52" t="n">
        <v>2025</v>
      </c>
      <c r="I7323" s="52" t="inlineStr">
        <is>
          <t>86.23</t>
        </is>
      </c>
      <c r="J7323" s="52" t="inlineStr">
        <is>
          <t>86.23; 26.60.1; 86.21; 86.90.9</t>
        </is>
      </c>
      <c r="K7323" s="53" t="inlineStr">
        <is>
          <t>Да</t>
        </is>
      </c>
      <c r="L7323" s="53" t="inlineStr">
        <is>
          <t>Да</t>
        </is>
      </c>
      <c r="M7323" s="53" t="inlineStr">
        <is>
          <t>До 50</t>
        </is>
      </c>
      <c r="N7323" s="54" t="n">
        <v>16800</v>
      </c>
      <c r="O7323" s="55" t="inlineStr">
        <is>
          <t>31–50</t>
        </is>
      </c>
      <c r="P7323" s="16" t="inlineStr">
        <is>
          <t>ССЧР + ОКВЭД обогащены</t>
        </is>
      </c>
      <c r="Q7323" s="16" t="inlineStr">
        <is>
          <t>ФНС открытые данные ССЧР (ДатаСост 31.12.2025; набор 7707329152-sshr2019)</t>
        </is>
      </c>
      <c r="R7323" s="16" t="inlineStr">
        <is>
          <t>ЕГРЮЛ / egrul.nalog.ru (выписка)</t>
        </is>
      </c>
      <c r="S7323" t="n">
        <v>1</v>
      </c>
      <c r="T7323" s="35" t="inlineStr">
        <is>
          <t>1 — Горячий</t>
        </is>
      </c>
      <c r="U7323" s="35" t="inlineStr">
        <is>
          <t>ОКВЭД + 22+</t>
        </is>
      </c>
      <c r="V7323" s="35" t="inlineStr">
        <is>
          <t>Да</t>
        </is>
      </c>
      <c r="W7323" s="35" t="inlineStr">
        <is>
          <t>Да</t>
        </is>
      </c>
      <c r="X7323" s="35" t="inlineStr">
        <is>
          <t>Да</t>
        </is>
      </c>
    </row>
    <row r="7324" ht="27.75" customHeight="1" s="24">
      <c r="A7324" s="13" t="inlineStr">
        <is>
          <t>FR1187086</t>
        </is>
      </c>
      <c r="B7324" s="13" t="inlineStr">
        <is>
          <t>Общество с ограниченной ответственностью "СПЕЦТЕХЛОГИСТИК"</t>
        </is>
      </c>
      <c r="C7324" s="13" t="n">
        <v>3849106570</v>
      </c>
      <c r="D7324" s="13" t="inlineStr">
        <is>
          <t>3849106570</t>
        </is>
      </c>
      <c r="E7324" s="13" t="inlineStr">
        <is>
          <t>ЮЛ РФ</t>
        </is>
      </c>
      <c r="F7324" s="13" t="n"/>
      <c r="G7324" s="52" t="n">
        <v>2</v>
      </c>
      <c r="H7324" s="52" t="n">
        <v>2025</v>
      </c>
      <c r="I7324" s="14" t="n"/>
      <c r="J7324" s="14" t="n"/>
      <c r="K7324" s="53" t="inlineStr">
        <is>
          <t>Нет</t>
        </is>
      </c>
      <c r="L7324" s="53" t="inlineStr">
        <is>
          <t>Не определено</t>
        </is>
      </c>
      <c r="M7324" s="53" t="inlineStr">
        <is>
          <t>До 10</t>
        </is>
      </c>
      <c r="N7324" s="54" t="n">
        <v>3360</v>
      </c>
      <c r="O7324" s="55" t="inlineStr">
        <is>
          <t>1–15</t>
        </is>
      </c>
      <c r="P7324" s="16" t="inlineStr">
        <is>
          <t>ССЧР обогащена; ОКВЭД не найден/не загружен</t>
        </is>
      </c>
      <c r="Q7324" s="16" t="inlineStr">
        <is>
          <t>ФНС открытые данные ССЧР (ДатаСост 31.12.2025; набор 7707329152-sshr2019)</t>
        </is>
      </c>
      <c r="R7324" s="16">
        <f>HYPERLINK("https://checko.ru/search?query=3801001629","Чекко: проверить")</f>
        <v/>
      </c>
      <c r="S7324" t="n">
        <v>1</v>
      </c>
      <c r="T7324" s="35" t="inlineStr">
        <is>
          <t>4 — Не обогащён</t>
        </is>
      </c>
      <c r="U7324" s="35" t="inlineStr">
        <is>
          <t>Нет ОКВЭД/ССЧР</t>
        </is>
      </c>
      <c r="V7324" s="35" t="inlineStr">
        <is>
          <t>Не определено</t>
        </is>
      </c>
      <c r="W7324" s="35" t="inlineStr">
        <is>
          <t>Нет</t>
        </is>
      </c>
      <c r="X7324" s="35" t="inlineStr"/>
    </row>
    <row r="7325" ht="15" customHeight="1" s="24">
      <c r="A7325" s="13" t="inlineStr">
        <is>
          <t>FR1189063</t>
        </is>
      </c>
      <c r="B7325" s="13" t="inlineStr">
        <is>
          <t>ИП Щупель Наталья Анатольевна</t>
        </is>
      </c>
      <c r="C7325" s="13" t="n">
        <v>190112238058</v>
      </c>
      <c r="D7325" s="13" t="inlineStr">
        <is>
          <t>190112238058</t>
        </is>
      </c>
      <c r="E7325" s="13" t="inlineStr">
        <is>
          <t>ИП РФ / физлицо</t>
        </is>
      </c>
      <c r="F7325" s="13" t="n"/>
      <c r="G7325" s="14" t="n"/>
      <c r="H7325" s="14" t="n"/>
      <c r="I7325" s="14" t="n"/>
      <c r="J7325" s="14" t="n"/>
      <c r="K7325" s="53" t="inlineStr"/>
      <c r="L7325" s="53" t="inlineStr">
        <is>
          <t>Не определено</t>
        </is>
      </c>
      <c r="M7325" s="53" t="inlineStr"/>
      <c r="N7325" s="54" t="inlineStr"/>
      <c r="O7325" s="55" t="inlineStr"/>
      <c r="P7325" s="16" t="inlineStr">
        <is>
          <t>Требует обогащения</t>
        </is>
      </c>
      <c r="Q7325" s="16">
        <f>HYPERLINK("https://pb.nalog.ru/search.html?query=190112238058","ФНС: проверить")</f>
        <v/>
      </c>
      <c r="R7325" s="16">
        <f>HYPERLINK("https://checko.ru/search?query=3801001629","Чекко: проверить")</f>
        <v/>
      </c>
      <c r="S7325" t="n">
        <v>1</v>
      </c>
      <c r="T7325" s="35" t="inlineStr">
        <is>
          <t>4 — Не обогащён</t>
        </is>
      </c>
      <c r="U7325" s="35" t="inlineStr">
        <is>
          <t>Нет ОКВЭД/ССЧР</t>
        </is>
      </c>
      <c r="V7325" s="35" t="inlineStr">
        <is>
          <t>Не определено</t>
        </is>
      </c>
      <c r="W7325" s="35" t="inlineStr"/>
      <c r="X7325" s="35" t="inlineStr"/>
    </row>
    <row r="7326" ht="15" customHeight="1" s="24">
      <c r="A7326" s="13" t="inlineStr">
        <is>
          <t>FR1004333</t>
        </is>
      </c>
      <c r="B7326" s="13" t="inlineStr">
        <is>
          <t>ИЦРБТ ООО</t>
        </is>
      </c>
      <c r="C7326" s="13" t="n">
        <v>3812523200</v>
      </c>
      <c r="D7326" s="13" t="inlineStr">
        <is>
          <t>3812523200</t>
        </is>
      </c>
      <c r="E7326" s="13" t="inlineStr">
        <is>
          <t>ЮЛ РФ</t>
        </is>
      </c>
      <c r="F7326" s="13" t="n"/>
      <c r="G7326" s="52" t="n">
        <v>8</v>
      </c>
      <c r="H7326" s="52" t="n">
        <v>2025</v>
      </c>
      <c r="I7326" s="14" t="n"/>
      <c r="J7326" s="14" t="n"/>
      <c r="K7326" s="53" t="inlineStr">
        <is>
          <t>Нет</t>
        </is>
      </c>
      <c r="L7326" s="53" t="inlineStr">
        <is>
          <t>Не определено</t>
        </is>
      </c>
      <c r="M7326" s="53" t="inlineStr">
        <is>
          <t>До 10</t>
        </is>
      </c>
      <c r="N7326" s="54" t="n">
        <v>3360</v>
      </c>
      <c r="O7326" s="55" t="inlineStr">
        <is>
          <t>1–15</t>
        </is>
      </c>
      <c r="P7326" s="16" t="inlineStr">
        <is>
          <t>ССЧР обогащена; ОКВЭД не найден/не загружен</t>
        </is>
      </c>
      <c r="Q7326" s="16" t="inlineStr">
        <is>
          <t>ФНС открытые данные ССЧР (ДатаСост 31.12.2025; набор 7707329152-sshr2019)</t>
        </is>
      </c>
      <c r="R7326" s="16">
        <f>HYPERLINK("https://checko.ru/search?query=3801001629","Чекко: проверить")</f>
        <v/>
      </c>
      <c r="S7326" t="n">
        <v>1</v>
      </c>
      <c r="T7326" s="35" t="inlineStr">
        <is>
          <t>4 — Не обогащён</t>
        </is>
      </c>
      <c r="U7326" s="35" t="inlineStr">
        <is>
          <t>Нет ОКВЭД/ССЧР</t>
        </is>
      </c>
      <c r="V7326" s="35" t="inlineStr">
        <is>
          <t>Не определено</t>
        </is>
      </c>
      <c r="W7326" s="35" t="inlineStr">
        <is>
          <t>Нет</t>
        </is>
      </c>
      <c r="X7326" s="35" t="inlineStr"/>
    </row>
    <row r="7327" ht="27.75" customHeight="1" s="24">
      <c r="A7327" s="13" t="inlineStr">
        <is>
          <t>FR378197</t>
        </is>
      </c>
      <c r="B7327" s="13" t="inlineStr">
        <is>
          <t>ОБЩЕСТВО С ОГРАНИЧЕННОЙ ОТВЕТСТВЕННОСТЬЮ "РАЗУМНЫЕ РЕШЕНИЯ"</t>
        </is>
      </c>
      <c r="C7327" s="13" t="n">
        <v>1655412222</v>
      </c>
      <c r="D7327" s="13" t="inlineStr">
        <is>
          <t>1655412222</t>
        </is>
      </c>
      <c r="E7327" s="13" t="inlineStr">
        <is>
          <t>ЮЛ РФ</t>
        </is>
      </c>
      <c r="F7327" s="13" t="n"/>
      <c r="G7327" s="52" t="n">
        <v>72</v>
      </c>
      <c r="H7327" s="52" t="n">
        <v>2025</v>
      </c>
      <c r="I7327" s="52" t="inlineStr">
        <is>
          <t>33.13</t>
        </is>
      </c>
      <c r="J7327" s="52" t="inlineStr">
        <is>
          <t>33.13; 26.20; 26.30; 26.40; 28.23; 33.14; 33.20; 43.21; 46.14; 46.15; 46.18; 46.19; 46.43; 46.51; 46.52; 46.69; 46.90; 61.10; 62.01; 62.02.1; 62.02.2; 62.02.3; 62.02.9; 62.03; 62.03.11; 62.03.12; 62.03.13; 62.03.19; 62.09; 63.11; 63.11.1; 63.99.1; 63.99.11; 70.22; 73.11; 74.90; 82.99; 95.11</t>
        </is>
      </c>
      <c r="K7327" s="53" t="inlineStr">
        <is>
          <t>Да</t>
        </is>
      </c>
      <c r="L7327" s="53" t="inlineStr">
        <is>
          <t>Да</t>
        </is>
      </c>
      <c r="M7327" s="53" t="inlineStr">
        <is>
          <t>До 100</t>
        </is>
      </c>
      <c r="N7327" s="54" t="n">
        <v>33600</v>
      </c>
      <c r="O7327" s="55" t="inlineStr">
        <is>
          <t>51–100</t>
        </is>
      </c>
      <c r="P7327" s="16" t="inlineStr">
        <is>
          <t>ССЧР + ОКВЭД обогащены</t>
        </is>
      </c>
      <c r="Q7327" s="16" t="inlineStr">
        <is>
          <t>ФНС открытые данные ССЧР (ДатаСост 31.12.2025; набор 7707329152-sshr2019)</t>
        </is>
      </c>
      <c r="R7327" s="16" t="inlineStr">
        <is>
          <t>ЕГРЮЛ / egrul.nalog.ru (выписка)</t>
        </is>
      </c>
      <c r="S7327" t="n">
        <v>1</v>
      </c>
      <c r="T7327" s="35" t="inlineStr">
        <is>
          <t>1 — Горячий</t>
        </is>
      </c>
      <c r="U7327" s="35" t="inlineStr">
        <is>
          <t>ОКВЭД + 22+</t>
        </is>
      </c>
      <c r="V7327" s="35" t="inlineStr">
        <is>
          <t>Да</t>
        </is>
      </c>
      <c r="W7327" s="35" t="inlineStr">
        <is>
          <t>Да</t>
        </is>
      </c>
      <c r="X7327" s="35" t="inlineStr">
        <is>
          <t>Да</t>
        </is>
      </c>
    </row>
    <row r="7328" ht="15" customHeight="1" s="24">
      <c r="A7328" s="13" t="inlineStr">
        <is>
          <t>FR164569</t>
        </is>
      </c>
      <c r="B7328" s="13" t="inlineStr">
        <is>
          <t>Сибирская технологическая компания</t>
        </is>
      </c>
      <c r="C7328" s="13" t="n">
        <v>3811185654</v>
      </c>
      <c r="D7328" s="13" t="inlineStr">
        <is>
          <t>3811185654</t>
        </is>
      </c>
      <c r="E7328" s="13" t="inlineStr">
        <is>
          <t>ЮЛ РФ</t>
        </is>
      </c>
      <c r="F7328" s="13" t="n"/>
      <c r="G7328" s="52" t="n">
        <v>4</v>
      </c>
      <c r="H7328" s="52" t="n">
        <v>2025</v>
      </c>
      <c r="I7328" s="14" t="n"/>
      <c r="J7328" s="14" t="n"/>
      <c r="K7328" s="53" t="inlineStr">
        <is>
          <t>Нет</t>
        </is>
      </c>
      <c r="L7328" s="53" t="inlineStr">
        <is>
          <t>Не определено</t>
        </is>
      </c>
      <c r="M7328" s="53" t="inlineStr">
        <is>
          <t>До 10</t>
        </is>
      </c>
      <c r="N7328" s="54" t="n">
        <v>3360</v>
      </c>
      <c r="O7328" s="55" t="inlineStr">
        <is>
          <t>1–15</t>
        </is>
      </c>
      <c r="P7328" s="16" t="inlineStr">
        <is>
          <t>ССЧР обогащена; ОКВЭД не найден/не загружен</t>
        </is>
      </c>
      <c r="Q7328" s="16" t="inlineStr">
        <is>
          <t>ФНС открытые данные ССЧР (ДатаСост 31.12.2025; набор 7707329152-sshr2019)</t>
        </is>
      </c>
      <c r="R7328" s="16">
        <f>HYPERLINK("https://checko.ru/search?query=3801001629","Чекко: проверить")</f>
        <v/>
      </c>
      <c r="S7328" t="n">
        <v>1</v>
      </c>
      <c r="T7328" s="35" t="inlineStr">
        <is>
          <t>4 — Не обогащён</t>
        </is>
      </c>
      <c r="U7328" s="35" t="inlineStr">
        <is>
          <t>Нет ОКВЭД/ССЧР</t>
        </is>
      </c>
      <c r="V7328" s="35" t="inlineStr">
        <is>
          <t>Не определено</t>
        </is>
      </c>
      <c r="W7328" s="35" t="inlineStr">
        <is>
          <t>Нет</t>
        </is>
      </c>
      <c r="X7328" s="35" t="inlineStr"/>
    </row>
    <row r="7329" ht="15" customHeight="1" s="24">
      <c r="A7329" s="13" t="inlineStr">
        <is>
          <t>FR529101</t>
        </is>
      </c>
      <c r="B7329" s="13" t="inlineStr">
        <is>
          <t>ООО «ТКЗ»</t>
        </is>
      </c>
      <c r="C7329" s="13" t="n">
        <v>3805712359</v>
      </c>
      <c r="D7329" s="13" t="inlineStr">
        <is>
          <t>3805712359</t>
        </is>
      </c>
      <c r="E7329" s="13" t="inlineStr">
        <is>
          <t>ЮЛ РФ</t>
        </is>
      </c>
      <c r="F7329" s="13" t="n"/>
      <c r="G7329" s="14" t="n"/>
      <c r="H7329" s="14" t="n"/>
      <c r="I7329" s="14" t="n"/>
      <c r="J7329" s="14" t="n"/>
      <c r="K7329" s="53" t="inlineStr"/>
      <c r="L7329" s="53" t="inlineStr">
        <is>
          <t>Не определено</t>
        </is>
      </c>
      <c r="M7329" s="53" t="inlineStr"/>
      <c r="N7329" s="54" t="inlineStr"/>
      <c r="O7329" s="55" t="inlineStr"/>
      <c r="P7329" s="16" t="inlineStr">
        <is>
          <t>Требует обогащения</t>
        </is>
      </c>
      <c r="Q7329" s="16">
        <f>HYPERLINK("https://pb.nalog.ru/search.html?query=3805712359","ФНС: проверить")</f>
        <v/>
      </c>
      <c r="R7329" s="16">
        <f>HYPERLINK("https://checko.ru/search?query=3801001629","Чекко: проверить")</f>
        <v/>
      </c>
      <c r="S7329" t="n">
        <v>1</v>
      </c>
      <c r="T7329" s="35" t="inlineStr">
        <is>
          <t>4 — Не обогащён</t>
        </is>
      </c>
      <c r="U7329" s="35" t="inlineStr">
        <is>
          <t>Нет ОКВЭД/ССЧР</t>
        </is>
      </c>
      <c r="V7329" s="35" t="inlineStr">
        <is>
          <t>Не определено</t>
        </is>
      </c>
      <c r="W7329" s="35" t="inlineStr"/>
      <c r="X7329" s="35" t="inlineStr"/>
    </row>
    <row r="7330" ht="27.75" customHeight="1" s="24">
      <c r="A7330" s="13" t="inlineStr">
        <is>
          <t>FR198014</t>
        </is>
      </c>
      <c r="B7330" s="13" t="inlineStr">
        <is>
          <t>Общество с ограниченной ответственностью "МАЯКАВТО"</t>
        </is>
      </c>
      <c r="C7330" s="13" t="n">
        <v>3810059216</v>
      </c>
      <c r="D7330" s="13" t="inlineStr">
        <is>
          <t>3810059216</t>
        </is>
      </c>
      <c r="E7330" s="13" t="inlineStr">
        <is>
          <t>ЮЛ РФ</t>
        </is>
      </c>
      <c r="F7330" s="13" t="n"/>
      <c r="G7330" s="52" t="n">
        <v>7</v>
      </c>
      <c r="H7330" s="52" t="n">
        <v>2025</v>
      </c>
      <c r="I7330" s="14" t="n"/>
      <c r="J7330" s="14" t="n"/>
      <c r="K7330" s="53" t="inlineStr">
        <is>
          <t>Нет</t>
        </is>
      </c>
      <c r="L7330" s="53" t="inlineStr">
        <is>
          <t>Не определено</t>
        </is>
      </c>
      <c r="M7330" s="53" t="inlineStr">
        <is>
          <t>До 10</t>
        </is>
      </c>
      <c r="N7330" s="54" t="n">
        <v>3360</v>
      </c>
      <c r="O7330" s="55" t="inlineStr">
        <is>
          <t>1–15</t>
        </is>
      </c>
      <c r="P7330" s="16" t="inlineStr">
        <is>
          <t>ССЧР обогащена; ОКВЭД не найден/не загружен</t>
        </is>
      </c>
      <c r="Q7330" s="16" t="inlineStr">
        <is>
          <t>ФНС открытые данные ССЧР (ДатаСост 31.12.2025; набор 7707329152-sshr2019)</t>
        </is>
      </c>
      <c r="R7330" s="16">
        <f>HYPERLINK("https://checko.ru/search?query=3801001629","Чекко: проверить")</f>
        <v/>
      </c>
      <c r="S7330" t="n">
        <v>1</v>
      </c>
      <c r="T7330" s="35" t="inlineStr">
        <is>
          <t>4 — Не обогащён</t>
        </is>
      </c>
      <c r="U7330" s="35" t="inlineStr">
        <is>
          <t>Нет ОКВЭД/ССЧР</t>
        </is>
      </c>
      <c r="V7330" s="35" t="inlineStr">
        <is>
          <t>Не определено</t>
        </is>
      </c>
      <c r="W7330" s="35" t="inlineStr">
        <is>
          <t>Нет</t>
        </is>
      </c>
      <c r="X7330" s="35" t="inlineStr"/>
    </row>
    <row r="7331" ht="41.25" customHeight="1" s="24">
      <c r="A7331" s="13" t="inlineStr">
        <is>
          <t>FR668647</t>
        </is>
      </c>
      <c r="B7331" s="13" t="inlineStr">
        <is>
          <t>МУНИЦИПАЛЬНОЕ УНИТАРНОЕ ПРЕДПРИЯТИЕ МУНИЦИПАЛЬНОГО ОБРАЗОВАНИЯ "БРАТСКИЙ РАЙОН" "ТЕПЛОСЕРВИС"</t>
        </is>
      </c>
      <c r="C7331" s="13" t="n">
        <v>3804116995</v>
      </c>
      <c r="D7331" s="13" t="inlineStr">
        <is>
          <t>3804116995</t>
        </is>
      </c>
      <c r="E7331" s="13" t="inlineStr">
        <is>
          <t>ЮЛ РФ</t>
        </is>
      </c>
      <c r="F7331" s="13" t="n"/>
      <c r="G7331" s="14" t="n"/>
      <c r="H7331" s="14" t="n"/>
      <c r="I7331" s="14" t="n"/>
      <c r="J7331" s="14" t="n"/>
      <c r="K7331" s="53" t="inlineStr"/>
      <c r="L7331" s="53" t="inlineStr">
        <is>
          <t>Не определено</t>
        </is>
      </c>
      <c r="M7331" s="53" t="inlineStr"/>
      <c r="N7331" s="54" t="inlineStr"/>
      <c r="O7331" s="55" t="inlineStr"/>
      <c r="P7331" s="16" t="inlineStr">
        <is>
          <t>Требует обогащения</t>
        </is>
      </c>
      <c r="Q7331" s="16">
        <f>HYPERLINK("https://pb.nalog.ru/search.html?query=3804116995","ФНС: проверить")</f>
        <v/>
      </c>
      <c r="R7331" s="16">
        <f>HYPERLINK("https://checko.ru/search?query=3801001629","Чекко: проверить")</f>
        <v/>
      </c>
      <c r="S7331" t="n">
        <v>1</v>
      </c>
      <c r="T7331" s="35" t="inlineStr">
        <is>
          <t>4 — Не обогащён</t>
        </is>
      </c>
      <c r="U7331" s="35" t="inlineStr">
        <is>
          <t>Нет ОКВЭД/ССЧР</t>
        </is>
      </c>
      <c r="V7331" s="35" t="inlineStr">
        <is>
          <t>Не определено</t>
        </is>
      </c>
      <c r="W7331" s="35" t="inlineStr"/>
      <c r="X7331" s="35" t="inlineStr"/>
    </row>
    <row r="7332" ht="15" customHeight="1" s="24">
      <c r="A7332" s="13" t="inlineStr">
        <is>
          <t>FR812839</t>
        </is>
      </c>
      <c r="B7332" s="13" t="inlineStr">
        <is>
          <t>ООО АТЦ ВЭМ</t>
        </is>
      </c>
      <c r="C7332" s="13" t="n">
        <v>3811126930</v>
      </c>
      <c r="D7332" s="13" t="inlineStr">
        <is>
          <t>3811126930</t>
        </is>
      </c>
      <c r="E7332" s="13" t="inlineStr">
        <is>
          <t>ЮЛ РФ</t>
        </is>
      </c>
      <c r="F7332" s="13" t="n"/>
      <c r="G7332" s="52" t="n">
        <v>16</v>
      </c>
      <c r="H7332" s="52" t="n">
        <v>2025</v>
      </c>
      <c r="I7332" s="14" t="n"/>
      <c r="J7332" s="14" t="n"/>
      <c r="K7332" s="53" t="inlineStr">
        <is>
          <t>Нет</t>
        </is>
      </c>
      <c r="L7332" s="53" t="inlineStr">
        <is>
          <t>Не определено</t>
        </is>
      </c>
      <c r="M7332" s="53" t="inlineStr">
        <is>
          <t>До 25</t>
        </is>
      </c>
      <c r="N7332" s="54" t="n">
        <v>8400</v>
      </c>
      <c r="O7332" s="55" t="inlineStr">
        <is>
          <t>16–30</t>
        </is>
      </c>
      <c r="P7332" s="16" t="inlineStr">
        <is>
          <t>ССЧР обогащена; ОКВЭД не найден/не загружен</t>
        </is>
      </c>
      <c r="Q7332" s="16" t="inlineStr">
        <is>
          <t>ФНС открытые данные ССЧР (ДатаСост 31.12.2025; набор 7707329152-sshr2019)</t>
        </is>
      </c>
      <c r="R7332" s="16">
        <f>HYPERLINK("https://checko.ru/search?query=3801001629","Чекко: проверить")</f>
        <v/>
      </c>
      <c r="S7332" t="n">
        <v>1</v>
      </c>
      <c r="T7332" s="35" t="inlineStr">
        <is>
          <t>4 — Не обогащён</t>
        </is>
      </c>
      <c r="U7332" s="35" t="inlineStr">
        <is>
          <t>Нет ОКВЭД/ССЧР</t>
        </is>
      </c>
      <c r="V7332" s="35" t="inlineStr">
        <is>
          <t>Не определено</t>
        </is>
      </c>
      <c r="W7332" s="35" t="inlineStr">
        <is>
          <t>Нет</t>
        </is>
      </c>
      <c r="X7332" s="35" t="inlineStr"/>
    </row>
    <row r="7333" ht="27.75" customHeight="1" s="24">
      <c r="A7333" s="13" t="inlineStr">
        <is>
          <t>FR379644</t>
        </is>
      </c>
      <c r="B7333" s="13" t="inlineStr">
        <is>
          <t>Общество с ограниченной ответственностью "АНТА"</t>
        </is>
      </c>
      <c r="C7333" s="13" t="n">
        <v>3827064140</v>
      </c>
      <c r="D7333" s="13" t="inlineStr">
        <is>
          <t>3827064140</t>
        </is>
      </c>
      <c r="E7333" s="13" t="inlineStr">
        <is>
          <t>ЮЛ РФ</t>
        </is>
      </c>
      <c r="F7333" s="13" t="n"/>
      <c r="G7333" s="52" t="n">
        <v>1</v>
      </c>
      <c r="H7333" s="52" t="n">
        <v>2025</v>
      </c>
      <c r="I7333" s="14" t="n"/>
      <c r="J7333" s="14" t="n"/>
      <c r="K7333" s="53" t="inlineStr">
        <is>
          <t>Нет</t>
        </is>
      </c>
      <c r="L7333" s="53" t="inlineStr">
        <is>
          <t>Не определено</t>
        </is>
      </c>
      <c r="M7333" s="53" t="inlineStr">
        <is>
          <t>До 10</t>
        </is>
      </c>
      <c r="N7333" s="54" t="n">
        <v>3360</v>
      </c>
      <c r="O7333" s="55" t="inlineStr">
        <is>
          <t>1–15</t>
        </is>
      </c>
      <c r="P7333" s="16" t="inlineStr">
        <is>
          <t>ССЧР обогащена; ОКВЭД не найден/не загружен</t>
        </is>
      </c>
      <c r="Q7333" s="16" t="inlineStr">
        <is>
          <t>ФНС открытые данные ССЧР (ДатаСост 31.12.2025; набор 7707329152-sshr2019)</t>
        </is>
      </c>
      <c r="R7333" s="16">
        <f>HYPERLINK("https://checko.ru/search?query=3801001629","Чекко: проверить")</f>
        <v/>
      </c>
      <c r="S7333" t="n">
        <v>1</v>
      </c>
      <c r="T7333" s="35" t="inlineStr">
        <is>
          <t>4 — Не обогащён</t>
        </is>
      </c>
      <c r="U7333" s="35" t="inlineStr">
        <is>
          <t>Нет ОКВЭД/ССЧР</t>
        </is>
      </c>
      <c r="V7333" s="35" t="inlineStr">
        <is>
          <t>Не определено</t>
        </is>
      </c>
      <c r="W7333" s="35" t="inlineStr">
        <is>
          <t>Нет</t>
        </is>
      </c>
      <c r="X7333" s="35" t="inlineStr"/>
    </row>
    <row r="7334" ht="41.25" customHeight="1" s="24">
      <c r="A7334" s="13" t="inlineStr">
        <is>
          <t>FR1189403</t>
        </is>
      </c>
      <c r="B7334" s="13" t="inlineStr">
        <is>
          <t>АВТОНОМНАЯ СОЦИАЛЬНО-КУЛЬТУРНАЯ ЭКОЛОГИЧЕСКАЯ НЕКОММЕРЧЕСКАЯ ОРГАНИЗАЦИЯ "СИЛА БАЙКАЛА"</t>
        </is>
      </c>
      <c r="C7334" s="13" t="n">
        <v>3812533921</v>
      </c>
      <c r="D7334" s="13" t="inlineStr">
        <is>
          <t>3812533921</t>
        </is>
      </c>
      <c r="E7334" s="13" t="inlineStr">
        <is>
          <t>ЮЛ РФ</t>
        </is>
      </c>
      <c r="F7334" s="13" t="n"/>
      <c r="G7334" s="14" t="n"/>
      <c r="H7334" s="14" t="n"/>
      <c r="I7334" s="14" t="n"/>
      <c r="J7334" s="14" t="n"/>
      <c r="K7334" s="53" t="inlineStr"/>
      <c r="L7334" s="53" t="inlineStr">
        <is>
          <t>Не определено</t>
        </is>
      </c>
      <c r="M7334" s="53" t="inlineStr"/>
      <c r="N7334" s="54" t="inlineStr"/>
      <c r="O7334" s="55" t="inlineStr"/>
      <c r="P7334" s="16" t="inlineStr">
        <is>
          <t>Требует обогащения</t>
        </is>
      </c>
      <c r="Q7334" s="16">
        <f>HYPERLINK("https://pb.nalog.ru/search.html?query=3812533921","ФНС: проверить")</f>
        <v/>
      </c>
      <c r="R7334" s="16">
        <f>HYPERLINK("https://checko.ru/search?query=3801001629","Чекко: проверить")</f>
        <v/>
      </c>
      <c r="S7334" t="n">
        <v>1</v>
      </c>
      <c r="T7334" s="35" t="inlineStr">
        <is>
          <t>4 — Не обогащён</t>
        </is>
      </c>
      <c r="U7334" s="35" t="inlineStr">
        <is>
          <t>Нет ОКВЭД/ССЧР</t>
        </is>
      </c>
      <c r="V7334" s="35" t="inlineStr">
        <is>
          <t>Не определено</t>
        </is>
      </c>
      <c r="W7334" s="35" t="inlineStr"/>
      <c r="X7334" s="35" t="inlineStr"/>
    </row>
    <row r="7335" ht="15" customHeight="1" s="24">
      <c r="A7335" s="13" t="inlineStr">
        <is>
          <t>FR1204563</t>
        </is>
      </c>
      <c r="B7335" s="13" t="inlineStr">
        <is>
          <t>ИП Шеховцев Денис Владимирович</t>
        </is>
      </c>
      <c r="C7335" s="13" t="n">
        <v>381109943734</v>
      </c>
      <c r="D7335" s="13" t="inlineStr">
        <is>
          <t>381109943734</t>
        </is>
      </c>
      <c r="E7335" s="13" t="inlineStr">
        <is>
          <t>ИП РФ / физлицо</t>
        </is>
      </c>
      <c r="F7335" s="13" t="n"/>
      <c r="G7335" s="14" t="n"/>
      <c r="H7335" s="14" t="n"/>
      <c r="I7335" s="14" t="n"/>
      <c r="J7335" s="14" t="n"/>
      <c r="K7335" s="53" t="inlineStr"/>
      <c r="L7335" s="53" t="inlineStr">
        <is>
          <t>Не определено</t>
        </is>
      </c>
      <c r="M7335" s="53" t="inlineStr"/>
      <c r="N7335" s="54" t="inlineStr"/>
      <c r="O7335" s="55" t="inlineStr"/>
      <c r="P7335" s="16" t="inlineStr">
        <is>
          <t>Требует обогащения</t>
        </is>
      </c>
      <c r="Q7335" s="16">
        <f>HYPERLINK("https://pb.nalog.ru/search.html?query=381109943734","ФНС: проверить")</f>
        <v/>
      </c>
      <c r="R7335" s="16">
        <f>HYPERLINK("https://checko.ru/search?query=3801001629","Чекко: проверить")</f>
        <v/>
      </c>
      <c r="S7335" t="n">
        <v>1</v>
      </c>
      <c r="T7335" s="35" t="inlineStr">
        <is>
          <t>4 — Не обогащён</t>
        </is>
      </c>
      <c r="U7335" s="35" t="inlineStr">
        <is>
          <t>Нет ОКВЭД/ССЧР</t>
        </is>
      </c>
      <c r="V7335" s="35" t="inlineStr">
        <is>
          <t>Не определено</t>
        </is>
      </c>
      <c r="W7335" s="35" t="inlineStr"/>
      <c r="X7335" s="35" t="inlineStr"/>
    </row>
    <row r="7336" ht="15" customHeight="1" s="24">
      <c r="A7336" s="13" t="inlineStr">
        <is>
          <t>FR258137</t>
        </is>
      </c>
      <c r="B7336" s="13" t="inlineStr">
        <is>
          <t>ООО "АСБ ГРУПП"</t>
        </is>
      </c>
      <c r="C7336" s="13" t="n">
        <v>3804113031</v>
      </c>
      <c r="D7336" s="13" t="inlineStr">
        <is>
          <t>3804113031</t>
        </is>
      </c>
      <c r="E7336" s="13" t="inlineStr">
        <is>
          <t>ЮЛ РФ</t>
        </is>
      </c>
      <c r="F7336" s="13" t="n"/>
      <c r="G7336" s="52" t="n">
        <v>13</v>
      </c>
      <c r="H7336" s="52" t="n">
        <v>2025</v>
      </c>
      <c r="I7336" s="14" t="n"/>
      <c r="J7336" s="14" t="n"/>
      <c r="K7336" s="53" t="inlineStr">
        <is>
          <t>Нет</t>
        </is>
      </c>
      <c r="L7336" s="53" t="inlineStr">
        <is>
          <t>Не определено</t>
        </is>
      </c>
      <c r="M7336" s="53" t="inlineStr">
        <is>
          <t>До 25</t>
        </is>
      </c>
      <c r="N7336" s="54" t="n">
        <v>8400</v>
      </c>
      <c r="O7336" s="55" t="inlineStr">
        <is>
          <t>1–15</t>
        </is>
      </c>
      <c r="P7336" s="16" t="inlineStr">
        <is>
          <t>ССЧР обогащена; ОКВЭД не найден/не загружен</t>
        </is>
      </c>
      <c r="Q7336" s="16" t="inlineStr">
        <is>
          <t>ФНС открытые данные ССЧР (ДатаСост 31.12.2025; набор 7707329152-sshr2019)</t>
        </is>
      </c>
      <c r="R7336" s="16">
        <f>HYPERLINK("https://checko.ru/search?query=3801001629","Чекко: проверить")</f>
        <v/>
      </c>
      <c r="S7336" t="n">
        <v>1</v>
      </c>
      <c r="T7336" s="35" t="inlineStr">
        <is>
          <t>4 — Не обогащён</t>
        </is>
      </c>
      <c r="U7336" s="35" t="inlineStr">
        <is>
          <t>Нет ОКВЭД/ССЧР</t>
        </is>
      </c>
      <c r="V7336" s="35" t="inlineStr">
        <is>
          <t>Не определено</t>
        </is>
      </c>
      <c r="W7336" s="35" t="inlineStr">
        <is>
          <t>Нет</t>
        </is>
      </c>
      <c r="X7336" s="35" t="inlineStr"/>
    </row>
    <row r="7337" ht="15" customHeight="1" s="24">
      <c r="A7337" s="13" t="inlineStr">
        <is>
          <t>FR258934</t>
        </is>
      </c>
      <c r="B7337" s="13" t="inlineStr">
        <is>
          <t>ООО "УСМР-1"</t>
        </is>
      </c>
      <c r="C7337" s="13" t="n">
        <v>3805111380</v>
      </c>
      <c r="D7337" s="13" t="inlineStr">
        <is>
          <t>3805111380</t>
        </is>
      </c>
      <c r="E7337" s="13" t="inlineStr">
        <is>
          <t>ЮЛ РФ</t>
        </is>
      </c>
      <c r="F7337" s="13" t="n"/>
      <c r="G7337" s="52" t="n">
        <v>35</v>
      </c>
      <c r="H7337" s="52" t="n">
        <v>2025</v>
      </c>
      <c r="I7337" s="52" t="inlineStr">
        <is>
          <t>43.21</t>
        </is>
      </c>
      <c r="J7337" s="52" t="inlineStr">
        <is>
          <t>43.21; 25.11; 25.12; 33.12; 35.12; 37.00; 42.21; 43.11; 43.12; 43.12.1; 43.12.3; 43.22; 43.29; 43.31; 43.32; 43.33; 43.34; 43.34.1; 43.34.2; 43.39; 43.91; 43.99.1; 43.99.3; 43.99.4; 43.99.5; 43.99.6; 43.99.7; 49.41.2; 68.10; 68.32.1; 68.32.2; 81.22; 81.29.9</t>
        </is>
      </c>
      <c r="K7337" s="53" t="inlineStr">
        <is>
          <t>Да</t>
        </is>
      </c>
      <c r="L7337" s="53" t="inlineStr">
        <is>
          <t>Да</t>
        </is>
      </c>
      <c r="M7337" s="53" t="inlineStr">
        <is>
          <t>До 50</t>
        </is>
      </c>
      <c r="N7337" s="54" t="n">
        <v>16800</v>
      </c>
      <c r="O7337" s="55" t="inlineStr">
        <is>
          <t>31–50</t>
        </is>
      </c>
      <c r="P7337" s="16" t="inlineStr">
        <is>
          <t>ССЧР + ОКВЭД обогащены</t>
        </is>
      </c>
      <c r="Q7337" s="16" t="inlineStr">
        <is>
          <t>ФНС открытые данные ССЧР (ДатаСост 31.12.2025; набор 7707329152-sshr2019)</t>
        </is>
      </c>
      <c r="R7337" s="16" t="inlineStr">
        <is>
          <t>ЕГРЮЛ / egrul.nalog.ru (выписка)</t>
        </is>
      </c>
      <c r="S7337" t="n">
        <v>1</v>
      </c>
      <c r="T7337" s="35" t="inlineStr">
        <is>
          <t>1 — Горячий</t>
        </is>
      </c>
      <c r="U7337" s="35" t="inlineStr">
        <is>
          <t>ОКВЭД + 22+</t>
        </is>
      </c>
      <c r="V7337" s="35" t="inlineStr">
        <is>
          <t>Да</t>
        </is>
      </c>
      <c r="W7337" s="35" t="inlineStr">
        <is>
          <t>Да</t>
        </is>
      </c>
      <c r="X7337" s="35" t="inlineStr">
        <is>
          <t>Да</t>
        </is>
      </c>
    </row>
    <row r="7338" ht="15" customHeight="1" s="24">
      <c r="A7338" s="13" t="inlineStr">
        <is>
          <t>FR1203843</t>
        </is>
      </c>
      <c r="B7338" s="13" t="inlineStr">
        <is>
          <t>ИП Курсеков Виктор Александрович</t>
        </is>
      </c>
      <c r="C7338" s="13" t="n">
        <v>343601065918</v>
      </c>
      <c r="D7338" s="13" t="inlineStr">
        <is>
          <t>343601065918</t>
        </is>
      </c>
      <c r="E7338" s="13" t="inlineStr">
        <is>
          <t>ИП РФ / физлицо</t>
        </is>
      </c>
      <c r="F7338" s="13" t="n"/>
      <c r="G7338" s="14" t="n"/>
      <c r="H7338" s="14" t="n"/>
      <c r="I7338" s="14" t="n"/>
      <c r="J7338" s="14" t="n"/>
      <c r="K7338" s="53" t="inlineStr"/>
      <c r="L7338" s="53" t="inlineStr">
        <is>
          <t>Не определено</t>
        </is>
      </c>
      <c r="M7338" s="53" t="inlineStr"/>
      <c r="N7338" s="54" t="inlineStr"/>
      <c r="O7338" s="55" t="inlineStr"/>
      <c r="P7338" s="16" t="inlineStr">
        <is>
          <t>Требует обогащения</t>
        </is>
      </c>
      <c r="Q7338" s="16">
        <f>HYPERLINK("https://pb.nalog.ru/search.html?query=343601065918","ФНС: проверить")</f>
        <v/>
      </c>
      <c r="R7338" s="16">
        <f>HYPERLINK("https://checko.ru/search?query=3801001629","Чекко: проверить")</f>
        <v/>
      </c>
      <c r="S7338" t="n">
        <v>1</v>
      </c>
      <c r="T7338" s="35" t="inlineStr">
        <is>
          <t>4 — Не обогащён</t>
        </is>
      </c>
      <c r="U7338" s="35" t="inlineStr">
        <is>
          <t>Нет ОКВЭД/ССЧР</t>
        </is>
      </c>
      <c r="V7338" s="35" t="inlineStr">
        <is>
          <t>Не определено</t>
        </is>
      </c>
      <c r="W7338" s="35" t="inlineStr"/>
      <c r="X7338" s="35" t="inlineStr"/>
    </row>
    <row r="7339" ht="15" customHeight="1" s="24">
      <c r="A7339" s="13" t="inlineStr">
        <is>
          <t>FR523700</t>
        </is>
      </c>
      <c r="B7339" s="13" t="inlineStr">
        <is>
          <t>ИП Бородич Илья Владимирович</t>
        </is>
      </c>
      <c r="C7339" s="13" t="n">
        <v>380802225390</v>
      </c>
      <c r="D7339" s="13" t="inlineStr">
        <is>
          <t>380802225390</t>
        </is>
      </c>
      <c r="E7339" s="13" t="inlineStr">
        <is>
          <t>ИП РФ / физлицо</t>
        </is>
      </c>
      <c r="F7339" s="13" t="n"/>
      <c r="G7339" s="14" t="n"/>
      <c r="H7339" s="14" t="n"/>
      <c r="I7339" s="14" t="n"/>
      <c r="J7339" s="14" t="n"/>
      <c r="K7339" s="53" t="inlineStr"/>
      <c r="L7339" s="53" t="inlineStr">
        <is>
          <t>Не определено</t>
        </is>
      </c>
      <c r="M7339" s="53" t="inlineStr"/>
      <c r="N7339" s="54" t="inlineStr"/>
      <c r="O7339" s="55" t="inlineStr"/>
      <c r="P7339" s="16" t="inlineStr">
        <is>
          <t>Требует обогащения</t>
        </is>
      </c>
      <c r="Q7339" s="16">
        <f>HYPERLINK("https://pb.nalog.ru/search.html?query=380802225390","ФНС: проверить")</f>
        <v/>
      </c>
      <c r="R7339" s="16">
        <f>HYPERLINK("https://checko.ru/search?query=3801001629","Чекко: проверить")</f>
        <v/>
      </c>
      <c r="S7339" t="n">
        <v>1</v>
      </c>
      <c r="T7339" s="35" t="inlineStr">
        <is>
          <t>4 — Не обогащён</t>
        </is>
      </c>
      <c r="U7339" s="35" t="inlineStr">
        <is>
          <t>Нет ОКВЭД/ССЧР</t>
        </is>
      </c>
      <c r="V7339" s="35" t="inlineStr">
        <is>
          <t>Не определено</t>
        </is>
      </c>
      <c r="W7339" s="35" t="inlineStr"/>
      <c r="X7339" s="35" t="inlineStr"/>
    </row>
    <row r="7340" ht="41.25" customHeight="1" s="24">
      <c r="A7340" s="13" t="inlineStr">
        <is>
          <t>FR1194048</t>
        </is>
      </c>
      <c r="B7340" s="13" t="inlineStr">
        <is>
          <t>НЕКОММЕРЧЕСКАЯ ОРГАНИЗАЦИЯ "ФОНД ПОДДЕРЖКИ НАУЧНОЙ И НАУЧНО-ТЕХНИЧЕСКОЙ ДЕЯТЕЛЬНОСТИ ХАБАРОВСКОГО КР</t>
        </is>
      </c>
      <c r="C7340" s="13" t="n">
        <v>2700047054</v>
      </c>
      <c r="D7340" s="13" t="inlineStr">
        <is>
          <t>2700047054</t>
        </is>
      </c>
      <c r="E7340" s="13" t="inlineStr">
        <is>
          <t>ЮЛ РФ</t>
        </is>
      </c>
      <c r="F7340" s="13" t="n"/>
      <c r="G7340" s="14" t="n"/>
      <c r="H7340" s="14" t="n"/>
      <c r="I7340" s="14" t="n"/>
      <c r="J7340" s="14" t="n"/>
      <c r="K7340" s="53" t="inlineStr"/>
      <c r="L7340" s="53" t="inlineStr">
        <is>
          <t>Не определено</t>
        </is>
      </c>
      <c r="M7340" s="53" t="inlineStr"/>
      <c r="N7340" s="54" t="inlineStr"/>
      <c r="O7340" s="55" t="inlineStr"/>
      <c r="P7340" s="16" t="inlineStr">
        <is>
          <t>Требует обогащения</t>
        </is>
      </c>
      <c r="Q7340" s="16">
        <f>HYPERLINK("https://pb.nalog.ru/search.html?query=2700047054","ФНС: проверить")</f>
        <v/>
      </c>
      <c r="R7340" s="16">
        <f>HYPERLINK("https://checko.ru/search?query=3801001629","Чекко: проверить")</f>
        <v/>
      </c>
      <c r="S7340" t="n">
        <v>1</v>
      </c>
      <c r="T7340" s="35" t="inlineStr">
        <is>
          <t>4 — Не обогащён</t>
        </is>
      </c>
      <c r="U7340" s="35" t="inlineStr">
        <is>
          <t>Нет ОКВЭД/ССЧР</t>
        </is>
      </c>
      <c r="V7340" s="35" t="inlineStr">
        <is>
          <t>Не определено</t>
        </is>
      </c>
      <c r="W7340" s="35" t="inlineStr"/>
      <c r="X7340" s="35" t="inlineStr"/>
    </row>
    <row r="7341" ht="27.75" customHeight="1" s="24">
      <c r="A7341" s="13" t="inlineStr">
        <is>
          <t>FR1198279</t>
        </is>
      </c>
      <c r="B7341" s="13" t="inlineStr">
        <is>
          <t>Общество с ограниченной ответственностью "ДИОН"</t>
        </is>
      </c>
      <c r="C7341" s="13" t="n">
        <v>3811182043</v>
      </c>
      <c r="D7341" s="13" t="inlineStr">
        <is>
          <t>3811182043</t>
        </is>
      </c>
      <c r="E7341" s="13" t="inlineStr">
        <is>
          <t>ЮЛ РФ</t>
        </is>
      </c>
      <c r="F7341" s="13" t="n"/>
      <c r="G7341" s="52" t="n">
        <v>26</v>
      </c>
      <c r="H7341" s="52" t="n">
        <v>2025</v>
      </c>
      <c r="I7341" s="52" t="inlineStr">
        <is>
          <t>71.12</t>
        </is>
      </c>
      <c r="J7341" s="52" t="inlineStr">
        <is>
          <t>71.12; 02.10; 02.20; 02.40; 43.31; 43.39; 43.99; 46.73.6; 46.90; 47.52.7; 49.41; 49.41.1; 49.41.2; 49.41.3; 49.42; 52.24; 55.10; 56.10; 56.29; 68.20; 71.11; 71.12.9; 73.11</t>
        </is>
      </c>
      <c r="K7341" s="53" t="inlineStr">
        <is>
          <t>Да</t>
        </is>
      </c>
      <c r="L7341" s="53" t="inlineStr">
        <is>
          <t>Да</t>
        </is>
      </c>
      <c r="M7341" s="53" t="inlineStr">
        <is>
          <t>До 50</t>
        </is>
      </c>
      <c r="N7341" s="54" t="n">
        <v>16800</v>
      </c>
      <c r="O7341" s="55" t="inlineStr">
        <is>
          <t>16–30</t>
        </is>
      </c>
      <c r="P7341" s="16" t="inlineStr">
        <is>
          <t>ССЧР + ОКВЭД обогащены</t>
        </is>
      </c>
      <c r="Q7341" s="16" t="inlineStr">
        <is>
          <t>ФНС открытые данные ССЧР (ДатаСост 31.12.2025; набор 7707329152-sshr2019)</t>
        </is>
      </c>
      <c r="R7341" s="16" t="inlineStr">
        <is>
          <t>ЕГРЮЛ / egrul.nalog.ru (выписка)</t>
        </is>
      </c>
      <c r="S7341" t="n">
        <v>1</v>
      </c>
      <c r="T7341" s="35" t="inlineStr">
        <is>
          <t>1 — Горячий</t>
        </is>
      </c>
      <c r="U7341" s="35" t="inlineStr">
        <is>
          <t>ОКВЭД + 22+</t>
        </is>
      </c>
      <c r="V7341" s="35" t="inlineStr">
        <is>
          <t>Да</t>
        </is>
      </c>
      <c r="W7341" s="35" t="inlineStr">
        <is>
          <t>Да</t>
        </is>
      </c>
      <c r="X7341" s="35" t="inlineStr">
        <is>
          <t>Да</t>
        </is>
      </c>
    </row>
    <row r="7342" ht="15" customHeight="1" s="24">
      <c r="A7342" s="13" t="inlineStr">
        <is>
          <t>FR1172771</t>
        </is>
      </c>
      <c r="B7342" s="13" t="inlineStr">
        <is>
          <t>ИП Багушев Артур Ильгимович</t>
        </is>
      </c>
      <c r="C7342" s="13" t="n">
        <v>27404096952</v>
      </c>
      <c r="D7342" s="13" t="n"/>
      <c r="E7342" s="13" t="inlineStr">
        <is>
          <t>Не определён</t>
        </is>
      </c>
      <c r="F7342" s="13" t="n"/>
      <c r="G7342" s="14" t="n"/>
      <c r="H7342" s="14" t="n"/>
      <c r="I7342" s="14" t="n"/>
      <c r="J7342" s="14" t="n"/>
      <c r="K7342" s="13">
        <f>IF(G7342="","",IF(G7342&gt;=22,"Да","Нет"))</f>
        <v/>
      </c>
      <c r="L7342" s="13">
        <f>IF(OR(I7342="",J7342=""),"Не определено",IF(OR(COUNTIF(I7342,"45*")&gt;0,COUNTIF(J7342,"*45*")&gt;0,COUNTIF(I7342,"46*")&gt;0,COUNTIF(J7342,"*46*")&gt;0,COUNTIF(I7342,"47*")&gt;0,COUNTIF(J7342,"*47*")&gt;0,COUNTIF(I7342,"10*")&gt;0,COUNTIF(J7342,"*10*")&gt;0,COUNTIF(I7342,"11*")&gt;0,COUNTIF(J7342,"*11*")&gt;0,COUNTIF(I7342,"12*")&gt;0,COUNTIF(J7342,"*12*")&gt;0,COUNTIF(I7342,"13*")&gt;0,COUNTIF(J7342,"*13*")&gt;0,COUNTIF(I7342,"14*")&gt;0,COUNTIF(J7342,"*14*")&gt;0,COUNTIF(I7342,"15*")&gt;0,COUNTIF(J7342,"*15*")&gt;0,COUNTIF(I7342,"16*")&gt;0,COUNTIF(J7342,"*16*")&gt;0,COUNTIF(I7342,"17*")&gt;0,COUNTIF(J7342,"*17*")&gt;0,COUNTIF(I7342,"18*")&gt;0,COUNTIF(J7342,"*18*")&gt;0,COUNTIF(I7342,"19*")&gt;0,COUNTIF(J7342,"*19*")&gt;0,COUNTIF(I7342,"20*")&gt;0,COUNTIF(J7342,"*20*")&gt;0,COUNTIF(I7342,"21*")&gt;0,COUNTIF(J7342,"*21*")&gt;0,COUNTIF(I7342,"22*")&gt;0,COUNTIF(J7342,"*22*")&gt;0,COUNTIF(I7342,"23*")&gt;0,COUNTIF(J7342,"*23*")&gt;0,COUNTIF(I7342,"24*")&gt;0,COUNTIF(J7342,"*24*")&gt;0,COUNTIF(I7342,"25*")&gt;0,COUNTIF(J7342,"*25*")&gt;0,COUNTIF(I7342,"26*")&gt;0,COUNTIF(J7342,"*26*")&gt;0,COUNTIF(I7342,"27*")&gt;0,COUNTIF(J7342,"*27*")&gt;0,COUNTIF(I7342,"28*")&gt;0,COUNTIF(J7342,"*28*")&gt;0,COUNTIF(I7342,"29*")&gt;0,COUNTIF(J7342,"*29*")&gt;0,COUNTIF(I7342,"30*")&gt;0,COUNTIF(J7342,"*30*")&gt;0,COUNTIF(I7342,"31*")&gt;0,COUNTIF(J7342,"*31*")&gt;0,COUNTIF(I7342,"32*")&gt;0,COUNTIF(J7342,"*32*")&gt;0,COUNTIF(I7342,"33*")&gt;0,COUNTIF(J7342,"*33*")&gt;0,COUNTIF(I7342,"41*")&gt;0,COUNTIF(J7342,"*41*")&gt;0,COUNTIF(I7342,"42*")&gt;0,COUNTIF(J7342,"*42*")&gt;0,COUNTIF(I7342,"43*")&gt;0,COUNTIF(J7342,"*43*")&gt;0,COUNTIF(I7342,"49*")&gt;0,COUNTIF(J7342,"*49*")&gt;0,COUNTIF(I7342,"52*")&gt;0,COUNTIF(J7342,"*52*")&gt;0,COUNTIF(I7342,"55*")&gt;0,COUNTIF(J7342,"*55*")&gt;0,COUNTIF(I7342,"56*")&gt;0,COUNTIF(J7342,"*56*")&gt;0,COUNTIF(I7342,"68*")&gt;0,COUNTIF(J7342,"*68*")&gt;0,COUNTIF(I7342,"78*")&gt;0,COUNTIF(J7342,"*78*")&gt;0,COUNTIF(I7342,"81*")&gt;0,COUNTIF(J7342,"*81*")&gt;0,COUNTIF(I7342,"82*")&gt;0,COUNTIF(J7342,"*82*")&gt;0,COUNTIF(I7342,"64*")&gt;0,COUNTIF(J7342,"*64*")&gt;0,COUNTIF(I7342,"65*")&gt;0,COUNTIF(J7342,"*65*")&gt;0,COUNTIF(I7342,"66*")&gt;0,COUNTIF(J7342,"*66*")&gt;0,COUNTIF(I7342,"61*")&gt;0,COUNTIF(J7342,"*61*")&gt;0,COUNTIF(I7342,"62*")&gt;0,COUNTIF(J7342,"*62*")&gt;0,COUNTIF(I7342,"63*")&gt;0,COUNTIF(J7342,"*63*")&gt;0,COUNTIF(I7342,"85*")&gt;0,COUNTIF(J7342,"*85*")&gt;0,COUNTIF(I7342,"86*")&gt;0,COUNTIF(J7342,"*86*")&gt;0),"Да","Нет"))</f>
        <v/>
      </c>
      <c r="M7342" s="13">
        <f>IF(OR(G7342="",L7342&lt;&gt;"Да"),"",IF(G7342&lt;=100,"До 100",IF(G7342&lt;=200,"До 200",IF(G7342&lt;=500,"До 500","Отдельное КП"))))</f>
        <v/>
      </c>
      <c r="N7342" s="15">
        <f>IF(OR(G7342="",L7342&lt;&gt;"Да"),"",IF(G7342&lt;=100,33600,IF(G7342&lt;=200,62400,IF(G7342&lt;=500,144000,""))))</f>
        <v/>
      </c>
      <c r="O7342" s="16">
        <f>IF(G7342="","",IF(G7342&lt;=15,"1–15",IF(G7342&lt;=30,"16–30",IF(G7342&lt;=50,"31–50",IF(G7342&lt;=100,"51–100",IF(G7342&lt;=150,"101–150",IF(G7342&lt;=200,"151–200",IF(G7342&lt;=500,"201–500","500+"))))))))</f>
        <v/>
      </c>
      <c r="P7342" s="16" t="inlineStr">
        <is>
          <t>Нет совпадения в предоставленной выгрузке ССЧР</t>
        </is>
      </c>
      <c r="Q7342" s="16" t="n"/>
      <c r="R7342" s="16">
        <f>HYPERLINK("https://checko.ru/search?query=3801001629","Чекко: проверить")</f>
        <v/>
      </c>
      <c r="S7342" t="n">
        <v>0</v>
      </c>
    </row>
    <row r="7343" ht="27.75" customHeight="1" s="24">
      <c r="A7343" s="13" t="inlineStr">
        <is>
          <t>FR522836</t>
        </is>
      </c>
      <c r="B7343" s="13" t="inlineStr">
        <is>
          <t>ОБЩЕСТВО С ОГРАНИЧЕННОЙ ОТВЕТСТВЕННОСТЬЮ "БУОН ГУСТО"</t>
        </is>
      </c>
      <c r="C7343" s="13" t="n">
        <v>3811475071</v>
      </c>
      <c r="D7343" s="13" t="inlineStr">
        <is>
          <t>3811475071</t>
        </is>
      </c>
      <c r="E7343" s="13" t="inlineStr">
        <is>
          <t>ЮЛ РФ</t>
        </is>
      </c>
      <c r="F7343" s="13" t="n"/>
      <c r="G7343" s="52" t="n">
        <v>3</v>
      </c>
      <c r="H7343" s="52" t="n">
        <v>2025</v>
      </c>
      <c r="I7343" s="14" t="n"/>
      <c r="J7343" s="14" t="n"/>
      <c r="K7343" s="53" t="inlineStr">
        <is>
          <t>Нет</t>
        </is>
      </c>
      <c r="L7343" s="53" t="inlineStr">
        <is>
          <t>Не определено</t>
        </is>
      </c>
      <c r="M7343" s="53" t="inlineStr">
        <is>
          <t>До 10</t>
        </is>
      </c>
      <c r="N7343" s="54" t="n">
        <v>3360</v>
      </c>
      <c r="O7343" s="55" t="inlineStr">
        <is>
          <t>1–15</t>
        </is>
      </c>
      <c r="P7343" s="16" t="inlineStr">
        <is>
          <t>ССЧР обогащена; ОКВЭД не найден/не загружен</t>
        </is>
      </c>
      <c r="Q7343" s="16" t="inlineStr">
        <is>
          <t>ФНС открытые данные ССЧР (ДатаСост 31.12.2025; набор 7707329152-sshr2019)</t>
        </is>
      </c>
      <c r="R7343" s="16">
        <f>HYPERLINK("https://checko.ru/search?query=3801001629","Чекко: проверить")</f>
        <v/>
      </c>
      <c r="S7343" t="n">
        <v>1</v>
      </c>
      <c r="T7343" s="35" t="inlineStr">
        <is>
          <t>4 — Не обогащён</t>
        </is>
      </c>
      <c r="U7343" s="35" t="inlineStr">
        <is>
          <t>Нет ОКВЭД/ССЧР</t>
        </is>
      </c>
      <c r="V7343" s="35" t="inlineStr">
        <is>
          <t>Не определено</t>
        </is>
      </c>
      <c r="W7343" s="35" t="inlineStr">
        <is>
          <t>Нет</t>
        </is>
      </c>
      <c r="X7343" s="35" t="inlineStr"/>
    </row>
    <row r="7344" ht="15" customHeight="1" s="24">
      <c r="A7344" s="13" t="inlineStr">
        <is>
          <t>FR1194148</t>
        </is>
      </c>
      <c r="B7344" s="13" t="inlineStr">
        <is>
          <t>ООО "Автоматика Сервис"</t>
        </is>
      </c>
      <c r="C7344" s="13" t="n">
        <v>3804042817</v>
      </c>
      <c r="D7344" s="13" t="inlineStr">
        <is>
          <t>3804042817</t>
        </is>
      </c>
      <c r="E7344" s="13" t="inlineStr">
        <is>
          <t>ЮЛ РФ</t>
        </is>
      </c>
      <c r="F7344" s="13" t="n"/>
      <c r="G7344" s="52" t="n">
        <v>42</v>
      </c>
      <c r="H7344" s="52" t="n">
        <v>2025</v>
      </c>
      <c r="I7344" s="52" t="inlineStr">
        <is>
          <t>33.13</t>
        </is>
      </c>
      <c r="J7344" s="52" t="inlineStr">
        <is>
          <t>33.13; 33.12; 33.20; 43.21; 43.22; 43.29; 62.01; 62.02; 62.09; 63.11.1; 71.12.62</t>
        </is>
      </c>
      <c r="K7344" s="53" t="inlineStr">
        <is>
          <t>Да</t>
        </is>
      </c>
      <c r="L7344" s="53" t="inlineStr">
        <is>
          <t>Да</t>
        </is>
      </c>
      <c r="M7344" s="53" t="inlineStr">
        <is>
          <t>До 50</t>
        </is>
      </c>
      <c r="N7344" s="54" t="n">
        <v>16800</v>
      </c>
      <c r="O7344" s="55" t="inlineStr">
        <is>
          <t>31–50</t>
        </is>
      </c>
      <c r="P7344" s="16" t="inlineStr">
        <is>
          <t>ССЧР + ОКВЭД обогащены</t>
        </is>
      </c>
      <c r="Q7344" s="16" t="inlineStr">
        <is>
          <t>ФНС открытые данные ССЧР (ДатаСост 31.12.2025; набор 7707329152-sshr2019)</t>
        </is>
      </c>
      <c r="R7344" s="16" t="inlineStr">
        <is>
          <t>ЕГРЮЛ / egrul.nalog.ru (выписка)</t>
        </is>
      </c>
      <c r="S7344" t="n">
        <v>1</v>
      </c>
      <c r="T7344" s="35" t="inlineStr">
        <is>
          <t>1 — Горячий</t>
        </is>
      </c>
      <c r="U7344" s="35" t="inlineStr">
        <is>
          <t>ОКВЭД + 22+</t>
        </is>
      </c>
      <c r="V7344" s="35" t="inlineStr">
        <is>
          <t>Да</t>
        </is>
      </c>
      <c r="W7344" s="35" t="inlineStr">
        <is>
          <t>Да</t>
        </is>
      </c>
      <c r="X7344" s="35" t="inlineStr">
        <is>
          <t>Да</t>
        </is>
      </c>
    </row>
    <row r="7345" ht="27.75" customHeight="1" s="24">
      <c r="A7345" s="13" t="inlineStr">
        <is>
          <t>FR676222</t>
        </is>
      </c>
      <c r="B7345" s="13" t="inlineStr">
        <is>
          <t>Общество с ограниченной ответственностью "АГНИЯ"</t>
        </is>
      </c>
      <c r="C7345" s="13" t="n">
        <v>3811469102</v>
      </c>
      <c r="D7345" s="13" t="inlineStr">
        <is>
          <t>3811469102</t>
        </is>
      </c>
      <c r="E7345" s="13" t="inlineStr">
        <is>
          <t>ЮЛ РФ</t>
        </is>
      </c>
      <c r="F7345" s="13" t="n"/>
      <c r="G7345" s="52" t="n">
        <v>4</v>
      </c>
      <c r="H7345" s="52" t="n">
        <v>2025</v>
      </c>
      <c r="I7345" s="14" t="n"/>
      <c r="J7345" s="14" t="n"/>
      <c r="K7345" s="53" t="inlineStr">
        <is>
          <t>Нет</t>
        </is>
      </c>
      <c r="L7345" s="53" t="inlineStr">
        <is>
          <t>Не определено</t>
        </is>
      </c>
      <c r="M7345" s="53" t="inlineStr">
        <is>
          <t>До 10</t>
        </is>
      </c>
      <c r="N7345" s="54" t="n">
        <v>3360</v>
      </c>
      <c r="O7345" s="55" t="inlineStr">
        <is>
          <t>1–15</t>
        </is>
      </c>
      <c r="P7345" s="16" t="inlineStr">
        <is>
          <t>ССЧР обогащена; ОКВЭД не найден/не загружен</t>
        </is>
      </c>
      <c r="Q7345" s="16" t="inlineStr">
        <is>
          <t>ФНС открытые данные ССЧР (ДатаСост 31.12.2025; набор 7707329152-sshr2019)</t>
        </is>
      </c>
      <c r="R7345" s="16">
        <f>HYPERLINK("https://checko.ru/search?query=3801001629","Чекко: проверить")</f>
        <v/>
      </c>
      <c r="S7345" t="n">
        <v>1</v>
      </c>
      <c r="T7345" s="35" t="inlineStr">
        <is>
          <t>4 — Не обогащён</t>
        </is>
      </c>
      <c r="U7345" s="35" t="inlineStr">
        <is>
          <t>Нет ОКВЭД/ССЧР</t>
        </is>
      </c>
      <c r="V7345" s="35" t="inlineStr">
        <is>
          <t>Не определено</t>
        </is>
      </c>
      <c r="W7345" s="35" t="inlineStr">
        <is>
          <t>Нет</t>
        </is>
      </c>
      <c r="X7345" s="35" t="inlineStr"/>
    </row>
    <row r="7346" ht="15" customHeight="1" s="24">
      <c r="A7346" s="13" t="inlineStr">
        <is>
          <t>FR1195141</t>
        </is>
      </c>
      <c r="B7346" s="13" t="inlineStr">
        <is>
          <t>ООО "АВТОРИО"</t>
        </is>
      </c>
      <c r="C7346" s="13" t="n">
        <v>3810061864</v>
      </c>
      <c r="D7346" s="13" t="inlineStr">
        <is>
          <t>3810061864</t>
        </is>
      </c>
      <c r="E7346" s="13" t="inlineStr">
        <is>
          <t>ЮЛ РФ</t>
        </is>
      </c>
      <c r="F7346" s="13" t="n"/>
      <c r="G7346" s="52" t="n">
        <v>4</v>
      </c>
      <c r="H7346" s="52" t="n">
        <v>2025</v>
      </c>
      <c r="I7346" s="14" t="n"/>
      <c r="J7346" s="14" t="n"/>
      <c r="K7346" s="53" t="inlineStr">
        <is>
          <t>Нет</t>
        </is>
      </c>
      <c r="L7346" s="53" t="inlineStr">
        <is>
          <t>Не определено</t>
        </is>
      </c>
      <c r="M7346" s="53" t="inlineStr">
        <is>
          <t>До 10</t>
        </is>
      </c>
      <c r="N7346" s="54" t="n">
        <v>3360</v>
      </c>
      <c r="O7346" s="55" t="inlineStr">
        <is>
          <t>1–15</t>
        </is>
      </c>
      <c r="P7346" s="16" t="inlineStr">
        <is>
          <t>ССЧР обогащена; ОКВЭД не найден/не загружен</t>
        </is>
      </c>
      <c r="Q7346" s="16" t="inlineStr">
        <is>
          <t>ФНС открытые данные ССЧР (ДатаСост 31.12.2025; набор 7707329152-sshr2019)</t>
        </is>
      </c>
      <c r="R7346" s="16">
        <f>HYPERLINK("https://checko.ru/search?query=3801001629","Чекко: проверить")</f>
        <v/>
      </c>
      <c r="S7346" t="n">
        <v>1</v>
      </c>
      <c r="T7346" s="35" t="inlineStr">
        <is>
          <t>4 — Не обогащён</t>
        </is>
      </c>
      <c r="U7346" s="35" t="inlineStr">
        <is>
          <t>Нет ОКВЭД/ССЧР</t>
        </is>
      </c>
      <c r="V7346" s="35" t="inlineStr">
        <is>
          <t>Не определено</t>
        </is>
      </c>
      <c r="W7346" s="35" t="inlineStr">
        <is>
          <t>Нет</t>
        </is>
      </c>
      <c r="X7346" s="35" t="inlineStr"/>
    </row>
    <row r="7347" ht="27.75" customHeight="1" s="24">
      <c r="A7347" s="13" t="inlineStr">
        <is>
          <t>FR525736</t>
        </is>
      </c>
      <c r="B7347" s="13" t="inlineStr">
        <is>
          <t>ОБЩЕСТВО С ОГРАНИЧЕННОЙ ОТВЕТСТВЕННОСТЬЮ "ВЕРНЫЙ КОД"</t>
        </is>
      </c>
      <c r="C7347" s="13" t="n">
        <v>3811076486</v>
      </c>
      <c r="D7347" s="13" t="inlineStr">
        <is>
          <t>3811076486</t>
        </is>
      </c>
      <c r="E7347" s="13" t="inlineStr">
        <is>
          <t>ЮЛ РФ</t>
        </is>
      </c>
      <c r="F7347" s="13" t="n"/>
      <c r="G7347" s="52" t="n">
        <v>8</v>
      </c>
      <c r="H7347" s="52" t="n">
        <v>2025</v>
      </c>
      <c r="I7347" s="14" t="n"/>
      <c r="J7347" s="14" t="n"/>
      <c r="K7347" s="53" t="inlineStr">
        <is>
          <t>Нет</t>
        </is>
      </c>
      <c r="L7347" s="53" t="inlineStr">
        <is>
          <t>Не определено</t>
        </is>
      </c>
      <c r="M7347" s="53" t="inlineStr">
        <is>
          <t>До 10</t>
        </is>
      </c>
      <c r="N7347" s="54" t="n">
        <v>3360</v>
      </c>
      <c r="O7347" s="55" t="inlineStr">
        <is>
          <t>1–15</t>
        </is>
      </c>
      <c r="P7347" s="16" t="inlineStr">
        <is>
          <t>ССЧР обогащена; ОКВЭД не найден/не загружен</t>
        </is>
      </c>
      <c r="Q7347" s="16" t="inlineStr">
        <is>
          <t>ФНС открытые данные ССЧР (ДатаСост 31.12.2025; набор 7707329152-sshr2019)</t>
        </is>
      </c>
      <c r="R7347" s="16">
        <f>HYPERLINK("https://checko.ru/search?query=3801001629","Чекко: проверить")</f>
        <v/>
      </c>
      <c r="S7347" t="n">
        <v>1</v>
      </c>
      <c r="T7347" s="35" t="inlineStr">
        <is>
          <t>4 — Не обогащён</t>
        </is>
      </c>
      <c r="U7347" s="35" t="inlineStr">
        <is>
          <t>Нет ОКВЭД/ССЧР</t>
        </is>
      </c>
      <c r="V7347" s="35" t="inlineStr">
        <is>
          <t>Не определено</t>
        </is>
      </c>
      <c r="W7347" s="35" t="inlineStr">
        <is>
          <t>Нет</t>
        </is>
      </c>
      <c r="X7347" s="35" t="inlineStr"/>
    </row>
    <row r="7348" ht="27.75" customHeight="1" s="24">
      <c r="A7348" s="13" t="inlineStr">
        <is>
          <t>FR377779</t>
        </is>
      </c>
      <c r="B7348" s="13" t="inlineStr">
        <is>
          <t>ОБЩЕСТВО С ОГРАНИЧЕННОЙ ОТВЕТСТВЕННОСТЬЮ "АРТУЛ"</t>
        </is>
      </c>
      <c r="C7348" s="13" t="n">
        <v>7718826011</v>
      </c>
      <c r="D7348" s="13" t="inlineStr">
        <is>
          <t>7718826011</t>
        </is>
      </c>
      <c r="E7348" s="13" t="inlineStr">
        <is>
          <t>ЮЛ РФ</t>
        </is>
      </c>
      <c r="F7348" s="13" t="n"/>
      <c r="G7348" s="52" t="n">
        <v>5</v>
      </c>
      <c r="H7348" s="52" t="n">
        <v>2025</v>
      </c>
      <c r="I7348" s="14" t="n"/>
      <c r="J7348" s="14" t="n"/>
      <c r="K7348" s="53" t="inlineStr">
        <is>
          <t>Нет</t>
        </is>
      </c>
      <c r="L7348" s="53" t="inlineStr">
        <is>
          <t>Не определено</t>
        </is>
      </c>
      <c r="M7348" s="53" t="inlineStr">
        <is>
          <t>До 10</t>
        </is>
      </c>
      <c r="N7348" s="54" t="n">
        <v>3360</v>
      </c>
      <c r="O7348" s="55" t="inlineStr">
        <is>
          <t>1–15</t>
        </is>
      </c>
      <c r="P7348" s="16" t="inlineStr">
        <is>
          <t>ССЧР обогащена; ОКВЭД не найден/не загружен</t>
        </is>
      </c>
      <c r="Q7348" s="16" t="inlineStr">
        <is>
          <t>ФНС открытые данные ССЧР (ДатаСост 31.12.2025; набор 7707329152-sshr2019)</t>
        </is>
      </c>
      <c r="R7348" s="16">
        <f>HYPERLINK("https://checko.ru/search?query=3801001629","Чекко: проверить")</f>
        <v/>
      </c>
      <c r="S7348" t="n">
        <v>1</v>
      </c>
      <c r="T7348" s="35" t="inlineStr">
        <is>
          <t>4 — Не обогащён</t>
        </is>
      </c>
      <c r="U7348" s="35" t="inlineStr">
        <is>
          <t>Нет ОКВЭД/ССЧР</t>
        </is>
      </c>
      <c r="V7348" s="35" t="inlineStr">
        <is>
          <t>Не определено</t>
        </is>
      </c>
      <c r="W7348" s="35" t="inlineStr">
        <is>
          <t>Нет</t>
        </is>
      </c>
      <c r="X7348" s="35" t="inlineStr"/>
    </row>
    <row r="7349" ht="27.75" customHeight="1" s="24">
      <c r="A7349" s="13" t="inlineStr">
        <is>
          <t>FR1016411</t>
        </is>
      </c>
      <c r="B7349" s="13" t="inlineStr">
        <is>
          <t>Общество с ограниченной ответственностью "АВТОТАЙМ"</t>
        </is>
      </c>
      <c r="C7349" s="13" t="n">
        <v>3810074091</v>
      </c>
      <c r="D7349" s="13" t="inlineStr">
        <is>
          <t>3810074091</t>
        </is>
      </c>
      <c r="E7349" s="13" t="inlineStr">
        <is>
          <t>ЮЛ РФ</t>
        </is>
      </c>
      <c r="F7349" s="13" t="n"/>
      <c r="G7349" s="52" t="n">
        <v>38</v>
      </c>
      <c r="H7349" s="52" t="n">
        <v>2025</v>
      </c>
      <c r="I7349" s="52" t="inlineStr">
        <is>
          <t>66.19</t>
        </is>
      </c>
      <c r="J7349" s="52" t="inlineStr">
        <is>
          <t>66.19; 45.11.4; 45.19.4; 46.69; 46.90; 47.91.2; 66.11; 66.11.1; 66.11.2; 66.11.3; 66.11.4; 66.11.5; 66.12; 66.12.1; 66.12.2; 66.12.3; 66.19.1; 66.19.3; 66.19.4; 66.19.5; 66.21; 66.22; 66.29; 66.29.1; 66.29.2; 66.29.9; 68.20; 68.31; 69.10; 70.22; 96.09</t>
        </is>
      </c>
      <c r="K7349" s="53" t="inlineStr">
        <is>
          <t>Да</t>
        </is>
      </c>
      <c r="L7349" s="53" t="inlineStr">
        <is>
          <t>Да</t>
        </is>
      </c>
      <c r="M7349" s="53" t="inlineStr">
        <is>
          <t>До 50</t>
        </is>
      </c>
      <c r="N7349" s="54" t="n">
        <v>16800</v>
      </c>
      <c r="O7349" s="55" t="inlineStr">
        <is>
          <t>31–50</t>
        </is>
      </c>
      <c r="P7349" s="16" t="inlineStr">
        <is>
          <t>ССЧР + ОКВЭД обогащены</t>
        </is>
      </c>
      <c r="Q7349" s="16" t="inlineStr">
        <is>
          <t>ФНС открытые данные ССЧР (ДатаСост 31.12.2025; набор 7707329152-sshr2019)</t>
        </is>
      </c>
      <c r="R7349" s="16" t="inlineStr">
        <is>
          <t>ЕГРЮЛ / egrul.nalog.ru (выписка)</t>
        </is>
      </c>
      <c r="S7349" t="n">
        <v>1</v>
      </c>
      <c r="T7349" s="35" t="inlineStr">
        <is>
          <t>1 — Горячий</t>
        </is>
      </c>
      <c r="U7349" s="35" t="inlineStr">
        <is>
          <t>ОКВЭД + 22+</t>
        </is>
      </c>
      <c r="V7349" s="35" t="inlineStr">
        <is>
          <t>Да</t>
        </is>
      </c>
      <c r="W7349" s="35" t="inlineStr">
        <is>
          <t>Да</t>
        </is>
      </c>
      <c r="X7349" s="35" t="inlineStr">
        <is>
          <t>Да</t>
        </is>
      </c>
    </row>
    <row r="7350" ht="27.75" customHeight="1" s="24">
      <c r="A7350" s="13" t="inlineStr">
        <is>
          <t>FR679480</t>
        </is>
      </c>
      <c r="B7350" s="13" t="inlineStr">
        <is>
          <t>Общество с ограниченной ответственностью "СПОРТ ПАРК"</t>
        </is>
      </c>
      <c r="C7350" s="13" t="n">
        <v>3811167341</v>
      </c>
      <c r="D7350" s="13" t="inlineStr">
        <is>
          <t>3811167341</t>
        </is>
      </c>
      <c r="E7350" s="13" t="inlineStr">
        <is>
          <t>ЮЛ РФ</t>
        </is>
      </c>
      <c r="F7350" s="13" t="n"/>
      <c r="G7350" s="52" t="n">
        <v>10</v>
      </c>
      <c r="H7350" s="52" t="n">
        <v>2025</v>
      </c>
      <c r="I7350" s="14" t="n"/>
      <c r="J7350" s="14" t="n"/>
      <c r="K7350" s="53" t="inlineStr">
        <is>
          <t>Нет</t>
        </is>
      </c>
      <c r="L7350" s="53" t="inlineStr">
        <is>
          <t>Не определено</t>
        </is>
      </c>
      <c r="M7350" s="53" t="inlineStr">
        <is>
          <t>До 10</t>
        </is>
      </c>
      <c r="N7350" s="54" t="n">
        <v>3360</v>
      </c>
      <c r="O7350" s="55" t="inlineStr">
        <is>
          <t>1–15</t>
        </is>
      </c>
      <c r="P7350" s="16" t="inlineStr">
        <is>
          <t>ССЧР обогащена; ОКВЭД не найден/не загружен</t>
        </is>
      </c>
      <c r="Q7350" s="16" t="inlineStr">
        <is>
          <t>ФНС открытые данные ССЧР (ДатаСост 31.12.2025; набор 7707329152-sshr2019)</t>
        </is>
      </c>
      <c r="R7350" s="16">
        <f>HYPERLINK("https://checko.ru/search?query=3801001629","Чекко: проверить")</f>
        <v/>
      </c>
      <c r="S7350" t="n">
        <v>1</v>
      </c>
      <c r="T7350" s="35" t="inlineStr">
        <is>
          <t>4 — Не обогащён</t>
        </is>
      </c>
      <c r="U7350" s="35" t="inlineStr">
        <is>
          <t>Нет ОКВЭД/ССЧР</t>
        </is>
      </c>
      <c r="V7350" s="35" t="inlineStr">
        <is>
          <t>Не определено</t>
        </is>
      </c>
      <c r="W7350" s="35" t="inlineStr">
        <is>
          <t>Нет</t>
        </is>
      </c>
      <c r="X7350" s="35" t="inlineStr"/>
    </row>
    <row r="7351" ht="15" customHeight="1" s="24">
      <c r="A7351" s="13" t="inlineStr">
        <is>
          <t>FR32301</t>
        </is>
      </c>
      <c r="B7351" s="13" t="inlineStr">
        <is>
          <t>ТРИФЛИК ООО</t>
        </is>
      </c>
      <c r="C7351" s="13" t="n">
        <v>3849035827</v>
      </c>
      <c r="D7351" s="13" t="inlineStr">
        <is>
          <t>3849035827</t>
        </is>
      </c>
      <c r="E7351" s="13" t="inlineStr">
        <is>
          <t>ЮЛ РФ</t>
        </is>
      </c>
      <c r="F7351" s="13" t="n"/>
      <c r="G7351" s="52" t="n">
        <v>4</v>
      </c>
      <c r="H7351" s="52" t="n">
        <v>2025</v>
      </c>
      <c r="I7351" s="14" t="n"/>
      <c r="J7351" s="14" t="n"/>
      <c r="K7351" s="53" t="inlineStr">
        <is>
          <t>Нет</t>
        </is>
      </c>
      <c r="L7351" s="53" t="inlineStr">
        <is>
          <t>Не определено</t>
        </is>
      </c>
      <c r="M7351" s="53" t="inlineStr">
        <is>
          <t>До 10</t>
        </is>
      </c>
      <c r="N7351" s="54" t="n">
        <v>3360</v>
      </c>
      <c r="O7351" s="55" t="inlineStr">
        <is>
          <t>1–15</t>
        </is>
      </c>
      <c r="P7351" s="16" t="inlineStr">
        <is>
          <t>ССЧР обогащена; ОКВЭД не найден/не загружен</t>
        </is>
      </c>
      <c r="Q7351" s="16" t="inlineStr">
        <is>
          <t>ФНС открытые данные ССЧР (ДатаСост 31.12.2025; набор 7707329152-sshr2019)</t>
        </is>
      </c>
      <c r="R7351" s="16">
        <f>HYPERLINK("https://checko.ru/search?query=3801001629","Чекко: проверить")</f>
        <v/>
      </c>
      <c r="S7351" t="n">
        <v>1</v>
      </c>
      <c r="T7351" s="35" t="inlineStr">
        <is>
          <t>4 — Не обогащён</t>
        </is>
      </c>
      <c r="U7351" s="35" t="inlineStr">
        <is>
          <t>Нет ОКВЭД/ССЧР</t>
        </is>
      </c>
      <c r="V7351" s="35" t="inlineStr">
        <is>
          <t>Не определено</t>
        </is>
      </c>
      <c r="W7351" s="35" t="inlineStr">
        <is>
          <t>Нет</t>
        </is>
      </c>
      <c r="X7351" s="35" t="inlineStr"/>
    </row>
    <row r="7352" ht="15" customHeight="1" s="24">
      <c r="A7352" s="13" t="inlineStr">
        <is>
          <t>FR4450</t>
        </is>
      </c>
      <c r="B7352" s="13" t="inlineStr">
        <is>
          <t>ООО "Интертехторг"</t>
        </is>
      </c>
      <c r="C7352" s="13" t="n">
        <v>8602123847</v>
      </c>
      <c r="D7352" s="13" t="inlineStr">
        <is>
          <t>8602123847</t>
        </is>
      </c>
      <c r="E7352" s="13" t="inlineStr">
        <is>
          <t>ЮЛ РФ</t>
        </is>
      </c>
      <c r="F7352" s="13" t="n"/>
      <c r="G7352" s="52" t="n">
        <v>4</v>
      </c>
      <c r="H7352" s="52" t="n">
        <v>2025</v>
      </c>
      <c r="I7352" s="14" t="n"/>
      <c r="J7352" s="14" t="n"/>
      <c r="K7352" s="53" t="inlineStr">
        <is>
          <t>Нет</t>
        </is>
      </c>
      <c r="L7352" s="53" t="inlineStr">
        <is>
          <t>Не определено</t>
        </is>
      </c>
      <c r="M7352" s="53" t="inlineStr">
        <is>
          <t>До 10</t>
        </is>
      </c>
      <c r="N7352" s="54" t="n">
        <v>3360</v>
      </c>
      <c r="O7352" s="55" t="inlineStr">
        <is>
          <t>1–15</t>
        </is>
      </c>
      <c r="P7352" s="16" t="inlineStr">
        <is>
          <t>ССЧР обогащена; ОКВЭД не найден/не загружен</t>
        </is>
      </c>
      <c r="Q7352" s="16" t="inlineStr">
        <is>
          <t>ФНС открытые данные ССЧР (ДатаСост 31.12.2025; набор 7707329152-sshr2019)</t>
        </is>
      </c>
      <c r="R7352" s="16">
        <f>HYPERLINK("https://checko.ru/search?query=3801001629","Чекко: проверить")</f>
        <v/>
      </c>
      <c r="S7352" t="n">
        <v>1</v>
      </c>
      <c r="T7352" s="35" t="inlineStr">
        <is>
          <t>4 — Не обогащён</t>
        </is>
      </c>
      <c r="U7352" s="35" t="inlineStr">
        <is>
          <t>Нет ОКВЭД/ССЧР</t>
        </is>
      </c>
      <c r="V7352" s="35" t="inlineStr">
        <is>
          <t>Не определено</t>
        </is>
      </c>
      <c r="W7352" s="35" t="inlineStr">
        <is>
          <t>Нет</t>
        </is>
      </c>
      <c r="X7352" s="35" t="inlineStr"/>
    </row>
    <row r="7353" ht="15" customHeight="1" s="24">
      <c r="A7353" s="13" t="inlineStr">
        <is>
          <t>FR19568</t>
        </is>
      </c>
      <c r="B7353" s="13" t="inlineStr">
        <is>
          <t>ИП Сливняк Павел Геннадьевич</t>
        </is>
      </c>
      <c r="C7353" s="13" t="n">
        <v>140210079566</v>
      </c>
      <c r="D7353" s="13" t="inlineStr">
        <is>
          <t>140210079566</t>
        </is>
      </c>
      <c r="E7353" s="13" t="inlineStr">
        <is>
          <t>ИП РФ / физлицо</t>
        </is>
      </c>
      <c r="F7353" s="13" t="n"/>
      <c r="G7353" s="14" t="n"/>
      <c r="H7353" s="14" t="n"/>
      <c r="I7353" s="14" t="n"/>
      <c r="J7353" s="14" t="n"/>
      <c r="K7353" s="53" t="inlineStr"/>
      <c r="L7353" s="53" t="inlineStr">
        <is>
          <t>Не определено</t>
        </is>
      </c>
      <c r="M7353" s="53" t="inlineStr"/>
      <c r="N7353" s="54" t="inlineStr"/>
      <c r="O7353" s="55" t="inlineStr"/>
      <c r="P7353" s="16" t="inlineStr">
        <is>
          <t>Требует обогащения</t>
        </is>
      </c>
      <c r="Q7353" s="16">
        <f>HYPERLINK("https://pb.nalog.ru/search.html?query=140210079566","ФНС: проверить")</f>
        <v/>
      </c>
      <c r="R7353" s="16">
        <f>HYPERLINK("https://checko.ru/search?query=3801001629","Чекко: проверить")</f>
        <v/>
      </c>
      <c r="S7353" t="n">
        <v>1</v>
      </c>
      <c r="T7353" s="35" t="inlineStr">
        <is>
          <t>4 — Не обогащён</t>
        </is>
      </c>
      <c r="U7353" s="35" t="inlineStr">
        <is>
          <t>Нет ОКВЭД/ССЧР</t>
        </is>
      </c>
      <c r="V7353" s="35" t="inlineStr">
        <is>
          <t>Не определено</t>
        </is>
      </c>
      <c r="W7353" s="35" t="inlineStr"/>
      <c r="X7353" s="35" t="inlineStr"/>
    </row>
    <row r="7354" ht="15" customHeight="1" s="24">
      <c r="A7354" s="13" t="inlineStr">
        <is>
          <t>FR31911</t>
        </is>
      </c>
      <c r="B7354" s="13" t="inlineStr">
        <is>
          <t>ИП Васильев Дмитрий Сергеевич</t>
        </is>
      </c>
      <c r="C7354" s="13" t="n">
        <v>381712344757</v>
      </c>
      <c r="D7354" s="13" t="inlineStr">
        <is>
          <t>381712344757</t>
        </is>
      </c>
      <c r="E7354" s="13" t="inlineStr">
        <is>
          <t>ИП РФ / физлицо</t>
        </is>
      </c>
      <c r="F7354" s="13" t="n"/>
      <c r="G7354" s="14" t="n"/>
      <c r="H7354" s="14" t="n"/>
      <c r="I7354" s="14" t="n"/>
      <c r="J7354" s="14" t="n"/>
      <c r="K7354" s="53" t="inlineStr"/>
      <c r="L7354" s="53" t="inlineStr">
        <is>
          <t>Не определено</t>
        </is>
      </c>
      <c r="M7354" s="53" t="inlineStr"/>
      <c r="N7354" s="54" t="inlineStr"/>
      <c r="O7354" s="55" t="inlineStr"/>
      <c r="P7354" s="16" t="inlineStr">
        <is>
          <t>Требует обогащения</t>
        </is>
      </c>
      <c r="Q7354" s="16">
        <f>HYPERLINK("https://pb.nalog.ru/search.html?query=381712344757","ФНС: проверить")</f>
        <v/>
      </c>
      <c r="R7354" s="16">
        <f>HYPERLINK("https://checko.ru/search?query=3801001629","Чекко: проверить")</f>
        <v/>
      </c>
      <c r="S7354" t="n">
        <v>1</v>
      </c>
      <c r="T7354" s="35" t="inlineStr">
        <is>
          <t>4 — Не обогащён</t>
        </is>
      </c>
      <c r="U7354" s="35" t="inlineStr">
        <is>
          <t>Нет ОКВЭД/ССЧР</t>
        </is>
      </c>
      <c r="V7354" s="35" t="inlineStr">
        <is>
          <t>Не определено</t>
        </is>
      </c>
      <c r="W7354" s="35" t="inlineStr"/>
      <c r="X7354" s="35" t="inlineStr"/>
    </row>
    <row r="7355" ht="15" customHeight="1" s="24">
      <c r="A7355" s="13" t="inlineStr">
        <is>
          <t>FR98513</t>
        </is>
      </c>
      <c r="B7355" s="13" t="inlineStr">
        <is>
          <t>БАСТИОН ООО</t>
        </is>
      </c>
      <c r="C7355" s="13" t="n">
        <v>3811448254</v>
      </c>
      <c r="D7355" s="13" t="inlineStr">
        <is>
          <t>3811448254</t>
        </is>
      </c>
      <c r="E7355" s="13" t="inlineStr">
        <is>
          <t>ЮЛ РФ</t>
        </is>
      </c>
      <c r="F7355" s="13" t="n"/>
      <c r="G7355" s="52" t="n">
        <v>3</v>
      </c>
      <c r="H7355" s="52" t="n">
        <v>2025</v>
      </c>
      <c r="I7355" s="14" t="n"/>
      <c r="J7355" s="14" t="n"/>
      <c r="K7355" s="53" t="inlineStr">
        <is>
          <t>Нет</t>
        </is>
      </c>
      <c r="L7355" s="53" t="inlineStr">
        <is>
          <t>Не определено</t>
        </is>
      </c>
      <c r="M7355" s="53" t="inlineStr">
        <is>
          <t>До 10</t>
        </is>
      </c>
      <c r="N7355" s="54" t="n">
        <v>3360</v>
      </c>
      <c r="O7355" s="55" t="inlineStr">
        <is>
          <t>1–15</t>
        </is>
      </c>
      <c r="P7355" s="16" t="inlineStr">
        <is>
          <t>ССЧР обогащена; ОКВЭД не найден/не загружен</t>
        </is>
      </c>
      <c r="Q7355" s="16" t="inlineStr">
        <is>
          <t>ФНС открытые данные ССЧР (ДатаСост 31.12.2025; набор 7707329152-sshr2019)</t>
        </is>
      </c>
      <c r="R7355" s="16">
        <f>HYPERLINK("https://checko.ru/search?query=3801001629","Чекко: проверить")</f>
        <v/>
      </c>
      <c r="S7355" t="n">
        <v>1</v>
      </c>
      <c r="T7355" s="35" t="inlineStr">
        <is>
          <t>4 — Не обогащён</t>
        </is>
      </c>
      <c r="U7355" s="35" t="inlineStr">
        <is>
          <t>Нет ОКВЭД/ССЧР</t>
        </is>
      </c>
      <c r="V7355" s="35" t="inlineStr">
        <is>
          <t>Не определено</t>
        </is>
      </c>
      <c r="W7355" s="35" t="inlineStr">
        <is>
          <t>Нет</t>
        </is>
      </c>
      <c r="X7355" s="35" t="inlineStr"/>
    </row>
    <row r="7356" ht="41.25" customHeight="1" s="24">
      <c r="A7356" s="13" t="inlineStr">
        <is>
          <t>FR98061</t>
        </is>
      </c>
      <c r="B7356" s="13" t="inlineStr">
        <is>
          <t>Общество с ограниченной ответственностью "БАЙКАЛЬСКАЯ СТРОИТЕЛЬНО-ТРАНСПОРТНАЯ КОМПАНИЯ"</t>
        </is>
      </c>
      <c r="C7356" s="13" t="n">
        <v>3812988950</v>
      </c>
      <c r="D7356" s="13" t="inlineStr">
        <is>
          <t>3812988950</t>
        </is>
      </c>
      <c r="E7356" s="13" t="inlineStr">
        <is>
          <t>ЮЛ РФ</t>
        </is>
      </c>
      <c r="F7356" s="13" t="n"/>
      <c r="G7356" s="52" t="n">
        <v>17</v>
      </c>
      <c r="H7356" s="52" t="n">
        <v>2025</v>
      </c>
      <c r="I7356" s="14" t="n"/>
      <c r="J7356" s="14" t="n"/>
      <c r="K7356" s="53" t="inlineStr">
        <is>
          <t>Нет</t>
        </is>
      </c>
      <c r="L7356" s="53" t="inlineStr">
        <is>
          <t>Не определено</t>
        </is>
      </c>
      <c r="M7356" s="53" t="inlineStr">
        <is>
          <t>До 25</t>
        </is>
      </c>
      <c r="N7356" s="54" t="n">
        <v>8400</v>
      </c>
      <c r="O7356" s="55" t="inlineStr">
        <is>
          <t>16–30</t>
        </is>
      </c>
      <c r="P7356" s="16" t="inlineStr">
        <is>
          <t>ССЧР обогащена; ОКВЭД не найден/не загружен</t>
        </is>
      </c>
      <c r="Q7356" s="16" t="inlineStr">
        <is>
          <t>ФНС открытые данные ССЧР (ДатаСост 31.12.2025; набор 7707329152-sshr2019)</t>
        </is>
      </c>
      <c r="R7356" s="16">
        <f>HYPERLINK("https://checko.ru/search?query=3801001629","Чекко: проверить")</f>
        <v/>
      </c>
      <c r="S7356" t="n">
        <v>1</v>
      </c>
      <c r="T7356" s="35" t="inlineStr">
        <is>
          <t>4 — Не обогащён</t>
        </is>
      </c>
      <c r="U7356" s="35" t="inlineStr">
        <is>
          <t>Нет ОКВЭД/ССЧР</t>
        </is>
      </c>
      <c r="V7356" s="35" t="inlineStr">
        <is>
          <t>Не определено</t>
        </is>
      </c>
      <c r="W7356" s="35" t="inlineStr">
        <is>
          <t>Нет</t>
        </is>
      </c>
      <c r="X7356" s="35" t="inlineStr"/>
    </row>
    <row r="7357" ht="27.75" customHeight="1" s="24">
      <c r="A7357" s="13" t="inlineStr">
        <is>
          <t>FR20814</t>
        </is>
      </c>
      <c r="B7357" s="13" t="inlineStr">
        <is>
          <t>Индивидуальный предприниматель Максимова Наталья Николаевна</t>
        </is>
      </c>
      <c r="C7357" s="13" t="n">
        <v>272497596417</v>
      </c>
      <c r="D7357" s="13" t="inlineStr">
        <is>
          <t>272497596417</t>
        </is>
      </c>
      <c r="E7357" s="13" t="inlineStr">
        <is>
          <t>ИП РФ / физлицо</t>
        </is>
      </c>
      <c r="F7357" s="13" t="n"/>
      <c r="G7357" s="14" t="n"/>
      <c r="H7357" s="14" t="n"/>
      <c r="I7357" s="14" t="n"/>
      <c r="J7357" s="14" t="n"/>
      <c r="K7357" s="53" t="inlineStr"/>
      <c r="L7357" s="53" t="inlineStr">
        <is>
          <t>Не определено</t>
        </is>
      </c>
      <c r="M7357" s="53" t="inlineStr"/>
      <c r="N7357" s="54" t="inlineStr"/>
      <c r="O7357" s="55" t="inlineStr"/>
      <c r="P7357" s="16" t="inlineStr">
        <is>
          <t>Требует обогащения</t>
        </is>
      </c>
      <c r="Q7357" s="16">
        <f>HYPERLINK("https://pb.nalog.ru/search.html?query=272497596417","ФНС: проверить")</f>
        <v/>
      </c>
      <c r="R7357" s="16">
        <f>HYPERLINK("https://checko.ru/search?query=3801001629","Чекко: проверить")</f>
        <v/>
      </c>
      <c r="S7357" t="n">
        <v>1</v>
      </c>
      <c r="T7357" s="35" t="inlineStr">
        <is>
          <t>4 — Не обогащён</t>
        </is>
      </c>
      <c r="U7357" s="35" t="inlineStr">
        <is>
          <t>Нет ОКВЭД/ССЧР</t>
        </is>
      </c>
      <c r="V7357" s="35" t="inlineStr">
        <is>
          <t>Не определено</t>
        </is>
      </c>
      <c r="W7357" s="35" t="inlineStr"/>
      <c r="X7357" s="35" t="inlineStr"/>
    </row>
    <row r="7358" ht="27.75" customHeight="1" s="24">
      <c r="A7358" s="13" t="inlineStr">
        <is>
          <t>FR1213750</t>
        </is>
      </c>
      <c r="B7358" s="13" t="inlineStr">
        <is>
          <t>Общество с ограниченной ответственностью "СТАЛЬПРО"</t>
        </is>
      </c>
      <c r="C7358" s="13" t="n">
        <v>7203596984</v>
      </c>
      <c r="D7358" s="13" t="inlineStr">
        <is>
          <t>7203596984</t>
        </is>
      </c>
      <c r="E7358" s="13" t="inlineStr">
        <is>
          <t>ЮЛ РФ</t>
        </is>
      </c>
      <c r="F7358" s="13" t="n"/>
      <c r="G7358" s="52" t="n">
        <v>2</v>
      </c>
      <c r="H7358" s="52" t="n">
        <v>2025</v>
      </c>
      <c r="I7358" s="14" t="n"/>
      <c r="J7358" s="14" t="n"/>
      <c r="K7358" s="53" t="inlineStr">
        <is>
          <t>Нет</t>
        </is>
      </c>
      <c r="L7358" s="53" t="inlineStr">
        <is>
          <t>Не определено</t>
        </is>
      </c>
      <c r="M7358" s="53" t="inlineStr">
        <is>
          <t>До 10</t>
        </is>
      </c>
      <c r="N7358" s="54" t="n">
        <v>3360</v>
      </c>
      <c r="O7358" s="55" t="inlineStr">
        <is>
          <t>1–15</t>
        </is>
      </c>
      <c r="P7358" s="16" t="inlineStr">
        <is>
          <t>ССЧР обогащена; ОКВЭД не найден/не загружен</t>
        </is>
      </c>
      <c r="Q7358" s="16" t="inlineStr">
        <is>
          <t>ФНС открытые данные ССЧР (ДатаСост 31.12.2025; набор 7707329152-sshr2019)</t>
        </is>
      </c>
      <c r="R7358" s="16">
        <f>HYPERLINK("https://checko.ru/search?query=3801001629","Чекко: проверить")</f>
        <v/>
      </c>
      <c r="S7358" t="n">
        <v>1</v>
      </c>
      <c r="T7358" s="35" t="inlineStr">
        <is>
          <t>4 — Не обогащён</t>
        </is>
      </c>
      <c r="U7358" s="35" t="inlineStr">
        <is>
          <t>Нет ОКВЭД/ССЧР</t>
        </is>
      </c>
      <c r="V7358" s="35" t="inlineStr">
        <is>
          <t>Не определено</t>
        </is>
      </c>
      <c r="W7358" s="35" t="inlineStr">
        <is>
          <t>Нет</t>
        </is>
      </c>
      <c r="X7358" s="35" t="inlineStr"/>
    </row>
    <row r="7359" ht="27.75" customHeight="1" s="24">
      <c r="A7359" s="13" t="inlineStr">
        <is>
          <t>FR262803</t>
        </is>
      </c>
      <c r="B7359" s="13" t="inlineStr">
        <is>
          <t>Общество с ограниченной ответственностью "ПРОМСТРОЙ"</t>
        </is>
      </c>
      <c r="C7359" s="13" t="n">
        <v>7838069740</v>
      </c>
      <c r="D7359" s="13" t="inlineStr">
        <is>
          <t>7838069740</t>
        </is>
      </c>
      <c r="E7359" s="13" t="inlineStr">
        <is>
          <t>ЮЛ РФ</t>
        </is>
      </c>
      <c r="F7359" s="13" t="n"/>
      <c r="G7359" s="52" t="n">
        <v>0</v>
      </c>
      <c r="H7359" s="52" t="n">
        <v>2025</v>
      </c>
      <c r="I7359" s="14" t="n"/>
      <c r="J7359" s="14" t="n"/>
      <c r="K7359" s="53" t="inlineStr">
        <is>
          <t>Нет</t>
        </is>
      </c>
      <c r="L7359" s="53" t="inlineStr">
        <is>
          <t>Не определено</t>
        </is>
      </c>
      <c r="M7359" s="53" t="inlineStr">
        <is>
          <t>До 10</t>
        </is>
      </c>
      <c r="N7359" s="54" t="n">
        <v>3360</v>
      </c>
      <c r="O7359" s="55" t="inlineStr">
        <is>
          <t>1–15</t>
        </is>
      </c>
      <c r="P7359" s="16" t="inlineStr">
        <is>
          <t>ССЧР обогащена; ОКВЭД не найден/не загружен</t>
        </is>
      </c>
      <c r="Q7359" s="16" t="inlineStr">
        <is>
          <t>ФНС открытые данные ССЧР (ДатаСост 31.12.2025; набор 7707329152-sshr2019)</t>
        </is>
      </c>
      <c r="R7359" s="16">
        <f>HYPERLINK("https://checko.ru/search?query=3801001629","Чекко: проверить")</f>
        <v/>
      </c>
      <c r="S7359" t="n">
        <v>1</v>
      </c>
      <c r="T7359" s="35" t="inlineStr">
        <is>
          <t>4 — Не обогащён</t>
        </is>
      </c>
      <c r="U7359" s="35" t="inlineStr">
        <is>
          <t>Нет ОКВЭД/ССЧР</t>
        </is>
      </c>
      <c r="V7359" s="35" t="inlineStr">
        <is>
          <t>Не определено</t>
        </is>
      </c>
      <c r="W7359" s="35" t="inlineStr">
        <is>
          <t>Нет</t>
        </is>
      </c>
      <c r="X7359" s="35" t="inlineStr"/>
    </row>
    <row r="7360" ht="15" customHeight="1" s="24">
      <c r="A7360" s="13" t="inlineStr">
        <is>
          <t>FR824763</t>
        </is>
      </c>
      <c r="B7360" s="13" t="inlineStr">
        <is>
          <t>ИП Докучаева Людмила Владимировна</t>
        </is>
      </c>
      <c r="C7360" s="13" t="n">
        <v>381079998934</v>
      </c>
      <c r="D7360" s="13" t="inlineStr">
        <is>
          <t>381079998934</t>
        </is>
      </c>
      <c r="E7360" s="13" t="inlineStr">
        <is>
          <t>ИП РФ / физлицо</t>
        </is>
      </c>
      <c r="F7360" s="13" t="n"/>
      <c r="G7360" s="14" t="n"/>
      <c r="H7360" s="14" t="n"/>
      <c r="I7360" s="14" t="n"/>
      <c r="J7360" s="14" t="n"/>
      <c r="K7360" s="53" t="inlineStr"/>
      <c r="L7360" s="53" t="inlineStr">
        <is>
          <t>Не определено</t>
        </is>
      </c>
      <c r="M7360" s="53" t="inlineStr"/>
      <c r="N7360" s="54" t="inlineStr"/>
      <c r="O7360" s="55" t="inlineStr"/>
      <c r="P7360" s="16" t="inlineStr">
        <is>
          <t>Требует обогащения</t>
        </is>
      </c>
      <c r="Q7360" s="16">
        <f>HYPERLINK("https://pb.nalog.ru/search.html?query=381079998934","ФНС: проверить")</f>
        <v/>
      </c>
      <c r="R7360" s="16">
        <f>HYPERLINK("https://checko.ru/search?query=3801001629","Чекко: проверить")</f>
        <v/>
      </c>
      <c r="S7360" t="n">
        <v>1</v>
      </c>
      <c r="T7360" s="35" t="inlineStr">
        <is>
          <t>4 — Не обогащён</t>
        </is>
      </c>
      <c r="U7360" s="35" t="inlineStr">
        <is>
          <t>Нет ОКВЭД/ССЧР</t>
        </is>
      </c>
      <c r="V7360" s="35" t="inlineStr">
        <is>
          <t>Не определено</t>
        </is>
      </c>
      <c r="W7360" s="35" t="inlineStr"/>
      <c r="X7360" s="35" t="inlineStr"/>
    </row>
    <row r="7361" ht="27.75" customHeight="1" s="24">
      <c r="A7361" s="13" t="inlineStr">
        <is>
          <t>FR607354</t>
        </is>
      </c>
      <c r="B7361" s="13" t="inlineStr">
        <is>
          <t>Общество с ограниченной ответственностью "ТРАНСПРОЕКТ - МОНТАЖ"</t>
        </is>
      </c>
      <c r="C7361" s="13" t="n">
        <v>3849083620</v>
      </c>
      <c r="D7361" s="13" t="inlineStr">
        <is>
          <t>3849083620</t>
        </is>
      </c>
      <c r="E7361" s="13" t="inlineStr">
        <is>
          <t>ЮЛ РФ</t>
        </is>
      </c>
      <c r="F7361" s="13" t="n"/>
      <c r="G7361" s="52" t="n">
        <v>8</v>
      </c>
      <c r="H7361" s="52" t="n">
        <v>2025</v>
      </c>
      <c r="I7361" s="14" t="n"/>
      <c r="J7361" s="14" t="n"/>
      <c r="K7361" s="53" t="inlineStr">
        <is>
          <t>Нет</t>
        </is>
      </c>
      <c r="L7361" s="53" t="inlineStr">
        <is>
          <t>Не определено</t>
        </is>
      </c>
      <c r="M7361" s="53" t="inlineStr">
        <is>
          <t>До 10</t>
        </is>
      </c>
      <c r="N7361" s="54" t="n">
        <v>3360</v>
      </c>
      <c r="O7361" s="55" t="inlineStr">
        <is>
          <t>1–15</t>
        </is>
      </c>
      <c r="P7361" s="16" t="inlineStr">
        <is>
          <t>ССЧР обогащена; ОКВЭД не найден/не загружен</t>
        </is>
      </c>
      <c r="Q7361" s="16" t="inlineStr">
        <is>
          <t>ФНС открытые данные ССЧР (ДатаСост 31.12.2025; набор 7707329152-sshr2019)</t>
        </is>
      </c>
      <c r="R7361" s="16">
        <f>HYPERLINK("https://checko.ru/search?query=3801001629","Чекко: проверить")</f>
        <v/>
      </c>
      <c r="S7361" t="n">
        <v>1</v>
      </c>
      <c r="T7361" s="35" t="inlineStr">
        <is>
          <t>4 — Не обогащён</t>
        </is>
      </c>
      <c r="U7361" s="35" t="inlineStr">
        <is>
          <t>Нет ОКВЭД/ССЧР</t>
        </is>
      </c>
      <c r="V7361" s="35" t="inlineStr">
        <is>
          <t>Не определено</t>
        </is>
      </c>
      <c r="W7361" s="35" t="inlineStr">
        <is>
          <t>Нет</t>
        </is>
      </c>
      <c r="X7361" s="35" t="inlineStr"/>
    </row>
    <row r="7362" ht="27.75" customHeight="1" s="24">
      <c r="A7362" s="13" t="inlineStr">
        <is>
          <t>FR1020744</t>
        </is>
      </c>
      <c r="B7362" s="13" t="inlineStr">
        <is>
          <t>Общество с ограниченной ответственностью "ИМАН"</t>
        </is>
      </c>
      <c r="C7362" s="13" t="n">
        <v>3804116378</v>
      </c>
      <c r="D7362" s="13" t="inlineStr">
        <is>
          <t>3804116378</t>
        </is>
      </c>
      <c r="E7362" s="13" t="inlineStr">
        <is>
          <t>ЮЛ РФ</t>
        </is>
      </c>
      <c r="F7362" s="13" t="n"/>
      <c r="G7362" s="52" t="n">
        <v>9</v>
      </c>
      <c r="H7362" s="52" t="n">
        <v>2025</v>
      </c>
      <c r="I7362" s="14" t="n"/>
      <c r="J7362" s="14" t="n"/>
      <c r="K7362" s="53" t="inlineStr">
        <is>
          <t>Нет</t>
        </is>
      </c>
      <c r="L7362" s="53" t="inlineStr">
        <is>
          <t>Не определено</t>
        </is>
      </c>
      <c r="M7362" s="53" t="inlineStr">
        <is>
          <t>До 10</t>
        </is>
      </c>
      <c r="N7362" s="54" t="n">
        <v>3360</v>
      </c>
      <c r="O7362" s="55" t="inlineStr">
        <is>
          <t>1–15</t>
        </is>
      </c>
      <c r="P7362" s="16" t="inlineStr">
        <is>
          <t>ССЧР обогащена; ОКВЭД не найден/не загружен</t>
        </is>
      </c>
      <c r="Q7362" s="16" t="inlineStr">
        <is>
          <t>ФНС открытые данные ССЧР (ДатаСост 31.12.2025; набор 7707329152-sshr2019)</t>
        </is>
      </c>
      <c r="R7362" s="16">
        <f>HYPERLINK("https://checko.ru/search?query=3801001629","Чекко: проверить")</f>
        <v/>
      </c>
      <c r="S7362" t="n">
        <v>1</v>
      </c>
      <c r="T7362" s="35" t="inlineStr">
        <is>
          <t>4 — Не обогащён</t>
        </is>
      </c>
      <c r="U7362" s="35" t="inlineStr">
        <is>
          <t>Нет ОКВЭД/ССЧР</t>
        </is>
      </c>
      <c r="V7362" s="35" t="inlineStr">
        <is>
          <t>Не определено</t>
        </is>
      </c>
      <c r="W7362" s="35" t="inlineStr">
        <is>
          <t>Нет</t>
        </is>
      </c>
      <c r="X7362" s="35" t="inlineStr"/>
    </row>
    <row r="7363" ht="27.75" customHeight="1" s="24">
      <c r="A7363" s="13" t="inlineStr">
        <is>
          <t>FR387565</t>
        </is>
      </c>
      <c r="B7363" s="13" t="inlineStr">
        <is>
          <t>Общество с ограниченной ответственностью "КАЧУГСКОЕ АТП"</t>
        </is>
      </c>
      <c r="C7363" s="13" t="n">
        <v>3808289766</v>
      </c>
      <c r="D7363" s="13" t="inlineStr">
        <is>
          <t>3808289766</t>
        </is>
      </c>
      <c r="E7363" s="13" t="inlineStr">
        <is>
          <t>ЮЛ РФ</t>
        </is>
      </c>
      <c r="F7363" s="13" t="n"/>
      <c r="G7363" s="52" t="n">
        <v>19</v>
      </c>
      <c r="H7363" s="52" t="n">
        <v>2025</v>
      </c>
      <c r="I7363" s="14" t="n"/>
      <c r="J7363" s="14" t="n"/>
      <c r="K7363" s="53" t="inlineStr">
        <is>
          <t>Нет</t>
        </is>
      </c>
      <c r="L7363" s="53" t="inlineStr">
        <is>
          <t>Не определено</t>
        </is>
      </c>
      <c r="M7363" s="53" t="inlineStr">
        <is>
          <t>До 25</t>
        </is>
      </c>
      <c r="N7363" s="54" t="n">
        <v>8400</v>
      </c>
      <c r="O7363" s="55" t="inlineStr">
        <is>
          <t>16–30</t>
        </is>
      </c>
      <c r="P7363" s="16" t="inlineStr">
        <is>
          <t>ССЧР обогащена; ОКВЭД не найден/не загружен</t>
        </is>
      </c>
      <c r="Q7363" s="16" t="inlineStr">
        <is>
          <t>ФНС открытые данные ССЧР (ДатаСост 31.12.2025; набор 7707329152-sshr2019)</t>
        </is>
      </c>
      <c r="R7363" s="16">
        <f>HYPERLINK("https://checko.ru/search?query=3801001629","Чекко: проверить")</f>
        <v/>
      </c>
      <c r="S7363" t="n">
        <v>1</v>
      </c>
      <c r="T7363" s="35" t="inlineStr">
        <is>
          <t>4 — Не обогащён</t>
        </is>
      </c>
      <c r="U7363" s="35" t="inlineStr">
        <is>
          <t>Нет ОКВЭД/ССЧР</t>
        </is>
      </c>
      <c r="V7363" s="35" t="inlineStr">
        <is>
          <t>Не определено</t>
        </is>
      </c>
      <c r="W7363" s="35" t="inlineStr">
        <is>
          <t>Нет</t>
        </is>
      </c>
      <c r="X7363" s="35" t="inlineStr"/>
    </row>
    <row r="7364" ht="27.75" customHeight="1" s="24">
      <c r="A7364" s="13" t="inlineStr">
        <is>
          <t>FR672008</t>
        </is>
      </c>
      <c r="B7364" s="13" t="inlineStr">
        <is>
          <t>Общество с ограниченной ответственностью "СПЕЦСТРОЙ"</t>
        </is>
      </c>
      <c r="C7364" s="13" t="n">
        <v>3804112863</v>
      </c>
      <c r="D7364" s="13" t="inlineStr">
        <is>
          <t>3804112863</t>
        </is>
      </c>
      <c r="E7364" s="13" t="inlineStr">
        <is>
          <t>ЮЛ РФ</t>
        </is>
      </c>
      <c r="F7364" s="13" t="n"/>
      <c r="G7364" s="52" t="n">
        <v>1</v>
      </c>
      <c r="H7364" s="52" t="n">
        <v>2025</v>
      </c>
      <c r="I7364" s="14" t="n"/>
      <c r="J7364" s="14" t="n"/>
      <c r="K7364" s="53" t="inlineStr">
        <is>
          <t>Нет</t>
        </is>
      </c>
      <c r="L7364" s="53" t="inlineStr">
        <is>
          <t>Не определено</t>
        </is>
      </c>
      <c r="M7364" s="53" t="inlineStr">
        <is>
          <t>До 10</t>
        </is>
      </c>
      <c r="N7364" s="54" t="n">
        <v>3360</v>
      </c>
      <c r="O7364" s="55" t="inlineStr">
        <is>
          <t>1–15</t>
        </is>
      </c>
      <c r="P7364" s="16" t="inlineStr">
        <is>
          <t>ССЧР обогащена; ОКВЭД не найден/не загружен</t>
        </is>
      </c>
      <c r="Q7364" s="16" t="inlineStr">
        <is>
          <t>ФНС открытые данные ССЧР (ДатаСост 31.12.2025; набор 7707329152-sshr2019)</t>
        </is>
      </c>
      <c r="R7364" s="16">
        <f>HYPERLINK("https://checko.ru/search?query=3801001629","Чекко: проверить")</f>
        <v/>
      </c>
      <c r="S7364" t="n">
        <v>1</v>
      </c>
      <c r="T7364" s="35" t="inlineStr">
        <is>
          <t>4 — Не обогащён</t>
        </is>
      </c>
      <c r="U7364" s="35" t="inlineStr">
        <is>
          <t>Нет ОКВЭД/ССЧР</t>
        </is>
      </c>
      <c r="V7364" s="35" t="inlineStr">
        <is>
          <t>Не определено</t>
        </is>
      </c>
      <c r="W7364" s="35" t="inlineStr">
        <is>
          <t>Нет</t>
        </is>
      </c>
      <c r="X7364" s="35" t="inlineStr"/>
    </row>
    <row r="7365" ht="27.75" customHeight="1" s="24">
      <c r="A7365" s="13" t="inlineStr">
        <is>
          <t>FR387629</t>
        </is>
      </c>
      <c r="B7365" s="13" t="inlineStr">
        <is>
          <t>ОБЩЕСТВО С ОГРАНИЧЕННОЙ ОТВЕТСТВЕННОСТЬЮ "ИНВЕСТ-М"</t>
        </is>
      </c>
      <c r="C7365" s="13" t="n">
        <v>3812058715</v>
      </c>
      <c r="D7365" s="13" t="inlineStr">
        <is>
          <t>3812058715</t>
        </is>
      </c>
      <c r="E7365" s="13" t="inlineStr">
        <is>
          <t>ЮЛ РФ</t>
        </is>
      </c>
      <c r="F7365" s="13" t="n"/>
      <c r="G7365" s="52" t="n">
        <v>2</v>
      </c>
      <c r="H7365" s="52" t="n">
        <v>2025</v>
      </c>
      <c r="I7365" s="14" t="n"/>
      <c r="J7365" s="14" t="n"/>
      <c r="K7365" s="53" t="inlineStr">
        <is>
          <t>Нет</t>
        </is>
      </c>
      <c r="L7365" s="53" t="inlineStr">
        <is>
          <t>Не определено</t>
        </is>
      </c>
      <c r="M7365" s="53" t="inlineStr">
        <is>
          <t>До 10</t>
        </is>
      </c>
      <c r="N7365" s="54" t="n">
        <v>3360</v>
      </c>
      <c r="O7365" s="55" t="inlineStr">
        <is>
          <t>1–15</t>
        </is>
      </c>
      <c r="P7365" s="16" t="inlineStr">
        <is>
          <t>ССЧР обогащена; ОКВЭД не найден/не загружен</t>
        </is>
      </c>
      <c r="Q7365" s="16" t="inlineStr">
        <is>
          <t>ФНС открытые данные ССЧР (ДатаСост 31.12.2025; набор 7707329152-sshr2019)</t>
        </is>
      </c>
      <c r="R7365" s="16">
        <f>HYPERLINK("https://checko.ru/search?query=3801001629","Чекко: проверить")</f>
        <v/>
      </c>
      <c r="S7365" t="n">
        <v>1</v>
      </c>
      <c r="T7365" s="35" t="inlineStr">
        <is>
          <t>4 — Не обогащён</t>
        </is>
      </c>
      <c r="U7365" s="35" t="inlineStr">
        <is>
          <t>Нет ОКВЭД/ССЧР</t>
        </is>
      </c>
      <c r="V7365" s="35" t="inlineStr">
        <is>
          <t>Не определено</t>
        </is>
      </c>
      <c r="W7365" s="35" t="inlineStr">
        <is>
          <t>Нет</t>
        </is>
      </c>
      <c r="X7365" s="35" t="inlineStr"/>
    </row>
    <row r="7366" ht="27.75" customHeight="1" s="24">
      <c r="A7366" s="13" t="inlineStr">
        <is>
          <t>FR1205803</t>
        </is>
      </c>
      <c r="B7366" s="13" t="inlineStr">
        <is>
          <t>Общество с ограниченной ответственностью "АТЛАС"</t>
        </is>
      </c>
      <c r="C7366" s="13" t="n">
        <v>3817050124</v>
      </c>
      <c r="D7366" s="13" t="inlineStr">
        <is>
          <t>3817050124</t>
        </is>
      </c>
      <c r="E7366" s="13" t="inlineStr">
        <is>
          <t>ЮЛ РФ</t>
        </is>
      </c>
      <c r="F7366" s="13" t="n"/>
      <c r="G7366" s="52" t="n">
        <v>5</v>
      </c>
      <c r="H7366" s="52" t="n">
        <v>2025</v>
      </c>
      <c r="I7366" s="14" t="n"/>
      <c r="J7366" s="14" t="n"/>
      <c r="K7366" s="53" t="inlineStr">
        <is>
          <t>Нет</t>
        </is>
      </c>
      <c r="L7366" s="53" t="inlineStr">
        <is>
          <t>Не определено</t>
        </is>
      </c>
      <c r="M7366" s="53" t="inlineStr">
        <is>
          <t>До 10</t>
        </is>
      </c>
      <c r="N7366" s="54" t="n">
        <v>3360</v>
      </c>
      <c r="O7366" s="55" t="inlineStr">
        <is>
          <t>1–15</t>
        </is>
      </c>
      <c r="P7366" s="16" t="inlineStr">
        <is>
          <t>ССЧР обогащена; ОКВЭД не найден/не загружен</t>
        </is>
      </c>
      <c r="Q7366" s="16" t="inlineStr">
        <is>
          <t>ФНС открытые данные ССЧР (ДатаСост 31.12.2025; набор 7707329152-sshr2019)</t>
        </is>
      </c>
      <c r="R7366" s="16">
        <f>HYPERLINK("https://checko.ru/search?query=3801001629","Чекко: проверить")</f>
        <v/>
      </c>
      <c r="S7366" t="n">
        <v>1</v>
      </c>
      <c r="T7366" s="35" t="inlineStr">
        <is>
          <t>4 — Не обогащён</t>
        </is>
      </c>
      <c r="U7366" s="35" t="inlineStr">
        <is>
          <t>Нет ОКВЭД/ССЧР</t>
        </is>
      </c>
      <c r="V7366" s="35" t="inlineStr">
        <is>
          <t>Не определено</t>
        </is>
      </c>
      <c r="W7366" s="35" t="inlineStr">
        <is>
          <t>Нет</t>
        </is>
      </c>
      <c r="X7366" s="35" t="inlineStr"/>
    </row>
    <row r="7367" ht="15" customHeight="1" s="24">
      <c r="A7367" s="13" t="inlineStr">
        <is>
          <t>FR1024640</t>
        </is>
      </c>
      <c r="B7367" s="13" t="inlineStr">
        <is>
          <t>ИП Шиханов Владимир Иванович</t>
        </is>
      </c>
      <c r="C7367" s="13" t="n">
        <v>381911506184</v>
      </c>
      <c r="D7367" s="13" t="inlineStr">
        <is>
          <t>381911506184</t>
        </is>
      </c>
      <c r="E7367" s="13" t="inlineStr">
        <is>
          <t>ИП РФ / физлицо</t>
        </is>
      </c>
      <c r="F7367" s="13" t="n"/>
      <c r="G7367" s="14" t="n"/>
      <c r="H7367" s="14" t="n"/>
      <c r="I7367" s="14" t="n"/>
      <c r="J7367" s="14" t="n"/>
      <c r="K7367" s="53" t="inlineStr"/>
      <c r="L7367" s="53" t="inlineStr">
        <is>
          <t>Не определено</t>
        </is>
      </c>
      <c r="M7367" s="53" t="inlineStr"/>
      <c r="N7367" s="54" t="inlineStr"/>
      <c r="O7367" s="55" t="inlineStr"/>
      <c r="P7367" s="16" t="inlineStr">
        <is>
          <t>Требует обогащения</t>
        </is>
      </c>
      <c r="Q7367" s="16">
        <f>HYPERLINK("https://pb.nalog.ru/search.html?query=381911506184","ФНС: проверить")</f>
        <v/>
      </c>
      <c r="R7367" s="16">
        <f>HYPERLINK("https://checko.ru/search?query=3801001629","Чекко: проверить")</f>
        <v/>
      </c>
      <c r="S7367" t="n">
        <v>1</v>
      </c>
      <c r="T7367" s="35" t="inlineStr">
        <is>
          <t>4 — Не обогащён</t>
        </is>
      </c>
      <c r="U7367" s="35" t="inlineStr">
        <is>
          <t>Нет ОКВЭД/ССЧР</t>
        </is>
      </c>
      <c r="V7367" s="35" t="inlineStr">
        <is>
          <t>Не определено</t>
        </is>
      </c>
      <c r="W7367" s="35" t="inlineStr"/>
      <c r="X7367" s="35" t="inlineStr"/>
    </row>
    <row r="7368" ht="27.75" customHeight="1" s="24">
      <c r="A7368" s="13" t="inlineStr">
        <is>
          <t>FR882792</t>
        </is>
      </c>
      <c r="B7368" s="13" t="inlineStr">
        <is>
          <t>Общество с ограниченной ответственностью "МОЕМГОРОД"</t>
        </is>
      </c>
      <c r="C7368" s="13" t="n">
        <v>2222888729</v>
      </c>
      <c r="D7368" s="13" t="inlineStr">
        <is>
          <t>2222888729</t>
        </is>
      </c>
      <c r="E7368" s="13" t="inlineStr">
        <is>
          <t>ЮЛ РФ</t>
        </is>
      </c>
      <c r="F7368" s="13" t="n"/>
      <c r="G7368" s="52" t="n">
        <v>13</v>
      </c>
      <c r="H7368" s="52" t="n">
        <v>2025</v>
      </c>
      <c r="I7368" s="14" t="n"/>
      <c r="J7368" s="14" t="n"/>
      <c r="K7368" s="53" t="inlineStr">
        <is>
          <t>Нет</t>
        </is>
      </c>
      <c r="L7368" s="53" t="inlineStr">
        <is>
          <t>Не определено</t>
        </is>
      </c>
      <c r="M7368" s="53" t="inlineStr">
        <is>
          <t>До 25</t>
        </is>
      </c>
      <c r="N7368" s="54" t="n">
        <v>8400</v>
      </c>
      <c r="O7368" s="55" t="inlineStr">
        <is>
          <t>1–15</t>
        </is>
      </c>
      <c r="P7368" s="16" t="inlineStr">
        <is>
          <t>ССЧР обогащена; ОКВЭД не найден/не загружен</t>
        </is>
      </c>
      <c r="Q7368" s="16" t="inlineStr">
        <is>
          <t>ФНС открытые данные ССЧР (ДатаСост 31.12.2025; набор 7707329152-sshr2019)</t>
        </is>
      </c>
      <c r="R7368" s="16">
        <f>HYPERLINK("https://checko.ru/search?query=3801001629","Чекко: проверить")</f>
        <v/>
      </c>
      <c r="S7368" t="n">
        <v>1</v>
      </c>
      <c r="T7368" s="35" t="inlineStr">
        <is>
          <t>4 — Не обогащён</t>
        </is>
      </c>
      <c r="U7368" s="35" t="inlineStr">
        <is>
          <t>Нет ОКВЭД/ССЧР</t>
        </is>
      </c>
      <c r="V7368" s="35" t="inlineStr">
        <is>
          <t>Не определено</t>
        </is>
      </c>
      <c r="W7368" s="35" t="inlineStr">
        <is>
          <t>Нет</t>
        </is>
      </c>
      <c r="X7368" s="35" t="inlineStr"/>
    </row>
    <row r="7369" ht="27.75" customHeight="1" s="24">
      <c r="A7369" s="13" t="inlineStr">
        <is>
          <t>FR842661</t>
        </is>
      </c>
      <c r="B7369" s="13" t="inlineStr">
        <is>
          <t>ОБЩЕСТВО С ОГРАНИЧЕННОЙ ОТВЕТСТВЕННОСТЬЮ "ФАВОРИТРАК"</t>
        </is>
      </c>
      <c r="C7369" s="13" t="n">
        <v>3804118142</v>
      </c>
      <c r="D7369" s="13" t="inlineStr">
        <is>
          <t>3804118142</t>
        </is>
      </c>
      <c r="E7369" s="13" t="inlineStr">
        <is>
          <t>ЮЛ РФ</t>
        </is>
      </c>
      <c r="F7369" s="13" t="n"/>
      <c r="G7369" s="52" t="n">
        <v>9</v>
      </c>
      <c r="H7369" s="52" t="n">
        <v>2025</v>
      </c>
      <c r="I7369" s="14" t="n"/>
      <c r="J7369" s="14" t="n"/>
      <c r="K7369" s="53" t="inlineStr">
        <is>
          <t>Нет</t>
        </is>
      </c>
      <c r="L7369" s="53" t="inlineStr">
        <is>
          <t>Не определено</t>
        </is>
      </c>
      <c r="M7369" s="53" t="inlineStr">
        <is>
          <t>До 10</t>
        </is>
      </c>
      <c r="N7369" s="54" t="n">
        <v>3360</v>
      </c>
      <c r="O7369" s="55" t="inlineStr">
        <is>
          <t>1–15</t>
        </is>
      </c>
      <c r="P7369" s="16" t="inlineStr">
        <is>
          <t>ССЧР обогащена; ОКВЭД не найден/не загружен</t>
        </is>
      </c>
      <c r="Q7369" s="16" t="inlineStr">
        <is>
          <t>ФНС открытые данные ССЧР (ДатаСост 31.12.2025; набор 7707329152-sshr2019)</t>
        </is>
      </c>
      <c r="R7369" s="16">
        <f>HYPERLINK("https://checko.ru/search?query=3801001629","Чекко: проверить")</f>
        <v/>
      </c>
      <c r="S7369" t="n">
        <v>1</v>
      </c>
      <c r="T7369" s="35" t="inlineStr">
        <is>
          <t>4 — Не обогащён</t>
        </is>
      </c>
      <c r="U7369" s="35" t="inlineStr">
        <is>
          <t>Нет ОКВЭД/ССЧР</t>
        </is>
      </c>
      <c r="V7369" s="35" t="inlineStr">
        <is>
          <t>Не определено</t>
        </is>
      </c>
      <c r="W7369" s="35" t="inlineStr">
        <is>
          <t>Нет</t>
        </is>
      </c>
      <c r="X7369" s="35" t="inlineStr"/>
    </row>
    <row r="7370" ht="41.25" customHeight="1" s="24">
      <c r="A7370" s="13" t="inlineStr">
        <is>
          <t>FR392490</t>
        </is>
      </c>
      <c r="B7370" s="13" t="inlineStr">
        <is>
          <t>АВТОНОМНАЯ НЕКОММЕРЧЕСКАЯ ОРГАНИЗАЦИЯ "АДАПТАЦИОННО-ПЕДАГОГИЧЕСКИЙ ЦЕНТР РАССВЕТ"</t>
        </is>
      </c>
      <c r="C7370" s="13" t="n">
        <v>3849068491</v>
      </c>
      <c r="D7370" s="13" t="inlineStr">
        <is>
          <t>3849068491</t>
        </is>
      </c>
      <c r="E7370" s="13" t="inlineStr">
        <is>
          <t>ЮЛ РФ</t>
        </is>
      </c>
      <c r="F7370" s="13" t="n"/>
      <c r="G7370" s="14" t="n"/>
      <c r="H7370" s="14" t="n"/>
      <c r="I7370" s="14" t="n"/>
      <c r="J7370" s="14" t="n"/>
      <c r="K7370" s="53" t="inlineStr"/>
      <c r="L7370" s="53" t="inlineStr">
        <is>
          <t>Не определено</t>
        </is>
      </c>
      <c r="M7370" s="53" t="inlineStr"/>
      <c r="N7370" s="54" t="inlineStr"/>
      <c r="O7370" s="55" t="inlineStr"/>
      <c r="P7370" s="16" t="inlineStr">
        <is>
          <t>Требует обогащения</t>
        </is>
      </c>
      <c r="Q7370" s="16">
        <f>HYPERLINK("https://pb.nalog.ru/search.html?query=3849068491","ФНС: проверить")</f>
        <v/>
      </c>
      <c r="R7370" s="16">
        <f>HYPERLINK("https://checko.ru/search?query=3801001629","Чекко: проверить")</f>
        <v/>
      </c>
      <c r="S7370" t="n">
        <v>1</v>
      </c>
      <c r="T7370" s="35" t="inlineStr">
        <is>
          <t>4 — Не обогащён</t>
        </is>
      </c>
      <c r="U7370" s="35" t="inlineStr">
        <is>
          <t>Нет ОКВЭД/ССЧР</t>
        </is>
      </c>
      <c r="V7370" s="35" t="inlineStr">
        <is>
          <t>Не определено</t>
        </is>
      </c>
      <c r="W7370" s="35" t="inlineStr"/>
      <c r="X7370" s="35" t="inlineStr"/>
    </row>
    <row r="7371" ht="15" customHeight="1" s="24">
      <c r="A7371" s="13" t="inlineStr">
        <is>
          <t>FR534541</t>
        </is>
      </c>
      <c r="B7371" s="13" t="inlineStr">
        <is>
          <t>ИП Циома Алексей Павлович</t>
        </is>
      </c>
      <c r="C7371" s="13" t="n">
        <v>380507343149</v>
      </c>
      <c r="D7371" s="13" t="inlineStr">
        <is>
          <t>380507343149</t>
        </is>
      </c>
      <c r="E7371" s="13" t="inlineStr">
        <is>
          <t>ИП РФ / физлицо</t>
        </is>
      </c>
      <c r="F7371" s="13" t="n"/>
      <c r="G7371" s="14" t="n"/>
      <c r="H7371" s="14" t="n"/>
      <c r="I7371" s="14" t="n"/>
      <c r="J7371" s="14" t="n"/>
      <c r="K7371" s="53" t="inlineStr"/>
      <c r="L7371" s="53" t="inlineStr">
        <is>
          <t>Не определено</t>
        </is>
      </c>
      <c r="M7371" s="53" t="inlineStr"/>
      <c r="N7371" s="54" t="inlineStr"/>
      <c r="O7371" s="55" t="inlineStr"/>
      <c r="P7371" s="16" t="inlineStr">
        <is>
          <t>Требует обогащения</t>
        </is>
      </c>
      <c r="Q7371" s="16">
        <f>HYPERLINK("https://pb.nalog.ru/search.html?query=380507343149","ФНС: проверить")</f>
        <v/>
      </c>
      <c r="R7371" s="16">
        <f>HYPERLINK("https://checko.ru/search?query=3801001629","Чекко: проверить")</f>
        <v/>
      </c>
      <c r="S7371" t="n">
        <v>1</v>
      </c>
      <c r="T7371" s="35" t="inlineStr">
        <is>
          <t>4 — Не обогащён</t>
        </is>
      </c>
      <c r="U7371" s="35" t="inlineStr">
        <is>
          <t>Нет ОКВЭД/ССЧР</t>
        </is>
      </c>
      <c r="V7371" s="35" t="inlineStr">
        <is>
          <t>Не определено</t>
        </is>
      </c>
      <c r="W7371" s="35" t="inlineStr"/>
      <c r="X7371" s="35" t="inlineStr"/>
    </row>
    <row r="7372" ht="15" customHeight="1" s="24">
      <c r="A7372" s="13" t="inlineStr">
        <is>
          <t>FR1209070</t>
        </is>
      </c>
      <c r="B7372" s="13" t="inlineStr">
        <is>
          <t>ООО "ПОЖСЕРВИС"</t>
        </is>
      </c>
      <c r="C7372" s="13" t="n">
        <v>3827062993</v>
      </c>
      <c r="D7372" s="13" t="inlineStr">
        <is>
          <t>3827062993</t>
        </is>
      </c>
      <c r="E7372" s="13" t="inlineStr">
        <is>
          <t>ЮЛ РФ</t>
        </is>
      </c>
      <c r="F7372" s="13" t="n"/>
      <c r="G7372" s="52" t="n">
        <v>2</v>
      </c>
      <c r="H7372" s="52" t="n">
        <v>2025</v>
      </c>
      <c r="I7372" s="14" t="n"/>
      <c r="J7372" s="14" t="n"/>
      <c r="K7372" s="53" t="inlineStr">
        <is>
          <t>Нет</t>
        </is>
      </c>
      <c r="L7372" s="53" t="inlineStr">
        <is>
          <t>Не определено</t>
        </is>
      </c>
      <c r="M7372" s="53" t="inlineStr">
        <is>
          <t>До 10</t>
        </is>
      </c>
      <c r="N7372" s="54" t="n">
        <v>3360</v>
      </c>
      <c r="O7372" s="55" t="inlineStr">
        <is>
          <t>1–15</t>
        </is>
      </c>
      <c r="P7372" s="16" t="inlineStr">
        <is>
          <t>ССЧР обогащена; ОКВЭД не найден/не загружен</t>
        </is>
      </c>
      <c r="Q7372" s="16" t="inlineStr">
        <is>
          <t>ФНС открытые данные ССЧР (ДатаСост 31.12.2025; набор 7707329152-sshr2019)</t>
        </is>
      </c>
      <c r="R7372" s="16">
        <f>HYPERLINK("https://checko.ru/search?query=3801001629","Чекко: проверить")</f>
        <v/>
      </c>
      <c r="S7372" t="n">
        <v>1</v>
      </c>
      <c r="T7372" s="35" t="inlineStr">
        <is>
          <t>4 — Не обогащён</t>
        </is>
      </c>
      <c r="U7372" s="35" t="inlineStr">
        <is>
          <t>Нет ОКВЭД/ССЧР</t>
        </is>
      </c>
      <c r="V7372" s="35" t="inlineStr">
        <is>
          <t>Не определено</t>
        </is>
      </c>
      <c r="W7372" s="35" t="inlineStr">
        <is>
          <t>Нет</t>
        </is>
      </c>
      <c r="X7372" s="35" t="inlineStr"/>
    </row>
    <row r="7373" ht="15" customHeight="1" s="24">
      <c r="A7373" s="13" t="inlineStr">
        <is>
          <t>FR1209233</t>
        </is>
      </c>
      <c r="B7373" s="13" t="inlineStr">
        <is>
          <t>ООО "СтройЭкспресс"</t>
        </is>
      </c>
      <c r="C7373" s="13" t="n">
        <v>1709006244</v>
      </c>
      <c r="D7373" s="13" t="inlineStr">
        <is>
          <t>1709006244</t>
        </is>
      </c>
      <c r="E7373" s="13" t="inlineStr">
        <is>
          <t>ЮЛ РФ</t>
        </is>
      </c>
      <c r="F7373" s="13" t="n"/>
      <c r="G7373" s="52" t="n">
        <v>88</v>
      </c>
      <c r="H7373" s="52" t="n">
        <v>2025</v>
      </c>
      <c r="I7373" s="52" t="inlineStr">
        <is>
          <t>41.20.1</t>
        </is>
      </c>
      <c r="J7373" s="52" t="inlineStr">
        <is>
          <t>41.20.1; 42.11; 02.20; 41.20; 42.12; 42.13; 42.91.2; 43.11; 43.12; 43.12.1; 43.12.3; 43.99; 43.99.4; 46.21; 46.71.2; 47.30; 49.41; 71.11.1</t>
        </is>
      </c>
      <c r="K7373" s="53" t="inlineStr">
        <is>
          <t>Да</t>
        </is>
      </c>
      <c r="L7373" s="53" t="inlineStr">
        <is>
          <t>Да</t>
        </is>
      </c>
      <c r="M7373" s="53" t="inlineStr">
        <is>
          <t>До 100</t>
        </is>
      </c>
      <c r="N7373" s="54" t="n">
        <v>33600</v>
      </c>
      <c r="O7373" s="55" t="inlineStr">
        <is>
          <t>51–100</t>
        </is>
      </c>
      <c r="P7373" s="16" t="inlineStr">
        <is>
          <t>ССЧР + ОКВЭД обогащены</t>
        </is>
      </c>
      <c r="Q7373" s="16" t="inlineStr">
        <is>
          <t>ФНС открытые данные ССЧР (ДатаСост 31.12.2025; набор 7707329152-sshr2019)</t>
        </is>
      </c>
      <c r="R7373" s="16" t="inlineStr">
        <is>
          <t>ЕГРЮЛ / egrul.nalog.ru (выписка)</t>
        </is>
      </c>
      <c r="S7373" t="n">
        <v>1</v>
      </c>
      <c r="T7373" s="35" t="inlineStr">
        <is>
          <t>1 — Горячий</t>
        </is>
      </c>
      <c r="U7373" s="35" t="inlineStr">
        <is>
          <t>ОКВЭД + 22+</t>
        </is>
      </c>
      <c r="V7373" s="35" t="inlineStr">
        <is>
          <t>Да</t>
        </is>
      </c>
      <c r="W7373" s="35" t="inlineStr">
        <is>
          <t>Да</t>
        </is>
      </c>
      <c r="X7373" s="35" t="inlineStr">
        <is>
          <t>Да</t>
        </is>
      </c>
    </row>
    <row r="7374" ht="27.75" customHeight="1" s="24">
      <c r="A7374" s="13" t="inlineStr">
        <is>
          <t>FR828666</t>
        </is>
      </c>
      <c r="B7374" s="13" t="inlineStr">
        <is>
          <t>Общество с ограниченной ответственностью "АНГАРА ИНТЕРНЕШНЛ"</t>
        </is>
      </c>
      <c r="C7374" s="13" t="n">
        <v>3812997867</v>
      </c>
      <c r="D7374" s="13" t="inlineStr">
        <is>
          <t>3812997867</t>
        </is>
      </c>
      <c r="E7374" s="13" t="inlineStr">
        <is>
          <t>ЮЛ РФ</t>
        </is>
      </c>
      <c r="F7374" s="13" t="n"/>
      <c r="G7374" s="52" t="n">
        <v>1</v>
      </c>
      <c r="H7374" s="52" t="n">
        <v>2025</v>
      </c>
      <c r="I7374" s="14" t="n"/>
      <c r="J7374" s="14" t="n"/>
      <c r="K7374" s="53" t="inlineStr">
        <is>
          <t>Нет</t>
        </is>
      </c>
      <c r="L7374" s="53" t="inlineStr">
        <is>
          <t>Не определено</t>
        </is>
      </c>
      <c r="M7374" s="53" t="inlineStr">
        <is>
          <t>До 10</t>
        </is>
      </c>
      <c r="N7374" s="54" t="n">
        <v>3360</v>
      </c>
      <c r="O7374" s="55" t="inlineStr">
        <is>
          <t>1–15</t>
        </is>
      </c>
      <c r="P7374" s="16" t="inlineStr">
        <is>
          <t>ССЧР обогащена; ОКВЭД не найден/не загружен</t>
        </is>
      </c>
      <c r="Q7374" s="16" t="inlineStr">
        <is>
          <t>ФНС открытые данные ССЧР (ДатаСост 31.12.2025; набор 7707329152-sshr2019)</t>
        </is>
      </c>
      <c r="R7374" s="16">
        <f>HYPERLINK("https://checko.ru/search?query=3801001629","Чекко: проверить")</f>
        <v/>
      </c>
      <c r="S7374" t="n">
        <v>1</v>
      </c>
      <c r="T7374" s="35" t="inlineStr">
        <is>
          <t>4 — Не обогащён</t>
        </is>
      </c>
      <c r="U7374" s="35" t="inlineStr">
        <is>
          <t>Нет ОКВЭД/ССЧР</t>
        </is>
      </c>
      <c r="V7374" s="35" t="inlineStr">
        <is>
          <t>Не определено</t>
        </is>
      </c>
      <c r="W7374" s="35" t="inlineStr">
        <is>
          <t>Нет</t>
        </is>
      </c>
      <c r="X7374" s="35" t="inlineStr"/>
    </row>
    <row r="7375" ht="27.75" customHeight="1" s="24">
      <c r="A7375" s="13" t="inlineStr">
        <is>
          <t>FR24080</t>
        </is>
      </c>
      <c r="B7375" s="13" t="inlineStr">
        <is>
          <t>ОБЩЕСТВО С ОГРАНИЧЕННОЙ ОТВЕТСТВЕННОСТЬЮ "СДМ ДЕТАЛЬ"</t>
        </is>
      </c>
      <c r="C7375" s="13" t="n">
        <v>2465131218</v>
      </c>
      <c r="D7375" s="13" t="inlineStr">
        <is>
          <t>2465131218</t>
        </is>
      </c>
      <c r="E7375" s="13" t="inlineStr">
        <is>
          <t>ЮЛ РФ</t>
        </is>
      </c>
      <c r="F7375" s="13" t="n"/>
      <c r="G7375" s="52" t="n">
        <v>2</v>
      </c>
      <c r="H7375" s="52" t="n">
        <v>2025</v>
      </c>
      <c r="I7375" s="14" t="n"/>
      <c r="J7375" s="14" t="n"/>
      <c r="K7375" s="53" t="inlineStr">
        <is>
          <t>Нет</t>
        </is>
      </c>
      <c r="L7375" s="53" t="inlineStr">
        <is>
          <t>Не определено</t>
        </is>
      </c>
      <c r="M7375" s="53" t="inlineStr">
        <is>
          <t>До 10</t>
        </is>
      </c>
      <c r="N7375" s="54" t="n">
        <v>3360</v>
      </c>
      <c r="O7375" s="55" t="inlineStr">
        <is>
          <t>1–15</t>
        </is>
      </c>
      <c r="P7375" s="16" t="inlineStr">
        <is>
          <t>ССЧР обогащена; ОКВЭД не найден/не загружен</t>
        </is>
      </c>
      <c r="Q7375" s="16" t="inlineStr">
        <is>
          <t>ФНС открытые данные ССЧР (ДатаСост 31.12.2025; набор 7707329152-sshr2019)</t>
        </is>
      </c>
      <c r="R7375" s="16">
        <f>HYPERLINK("https://checko.ru/search?query=3801001629","Чекко: проверить")</f>
        <v/>
      </c>
      <c r="S7375" t="n">
        <v>1</v>
      </c>
      <c r="T7375" s="35" t="inlineStr">
        <is>
          <t>4 — Не обогащён</t>
        </is>
      </c>
      <c r="U7375" s="35" t="inlineStr">
        <is>
          <t>Нет ОКВЭД/ССЧР</t>
        </is>
      </c>
      <c r="V7375" s="35" t="inlineStr">
        <is>
          <t>Не определено</t>
        </is>
      </c>
      <c r="W7375" s="35" t="inlineStr">
        <is>
          <t>Нет</t>
        </is>
      </c>
      <c r="X7375" s="35" t="inlineStr"/>
    </row>
    <row r="7376" ht="27.75" customHeight="1" s="24">
      <c r="A7376" s="13" t="inlineStr">
        <is>
          <t>FR608570</t>
        </is>
      </c>
      <c r="B7376" s="13" t="inlineStr">
        <is>
          <t>Общество с ограниченной ответственностью "МОЙФИНДИР"</t>
        </is>
      </c>
      <c r="C7376" s="13" t="n">
        <v>3812992121</v>
      </c>
      <c r="D7376" s="13" t="inlineStr">
        <is>
          <t>3812992121</t>
        </is>
      </c>
      <c r="E7376" s="13" t="inlineStr">
        <is>
          <t>ЮЛ РФ</t>
        </is>
      </c>
      <c r="F7376" s="13" t="n"/>
      <c r="G7376" s="52" t="n">
        <v>1</v>
      </c>
      <c r="H7376" s="52" t="n">
        <v>2025</v>
      </c>
      <c r="I7376" s="14" t="n"/>
      <c r="J7376" s="14" t="n"/>
      <c r="K7376" s="53" t="inlineStr">
        <is>
          <t>Нет</t>
        </is>
      </c>
      <c r="L7376" s="53" t="inlineStr">
        <is>
          <t>Не определено</t>
        </is>
      </c>
      <c r="M7376" s="53" t="inlineStr">
        <is>
          <t>До 10</t>
        </is>
      </c>
      <c r="N7376" s="54" t="n">
        <v>3360</v>
      </c>
      <c r="O7376" s="55" t="inlineStr">
        <is>
          <t>1–15</t>
        </is>
      </c>
      <c r="P7376" s="16" t="inlineStr">
        <is>
          <t>ССЧР обогащена; ОКВЭД не найден/не загружен</t>
        </is>
      </c>
      <c r="Q7376" s="16" t="inlineStr">
        <is>
          <t>ФНС открытые данные ССЧР (ДатаСост 31.12.2025; набор 7707329152-sshr2019)</t>
        </is>
      </c>
      <c r="R7376" s="16">
        <f>HYPERLINK("https://checko.ru/search?query=3801001629","Чекко: проверить")</f>
        <v/>
      </c>
      <c r="S7376" t="n">
        <v>1</v>
      </c>
      <c r="T7376" s="35" t="inlineStr">
        <is>
          <t>4 — Не обогащён</t>
        </is>
      </c>
      <c r="U7376" s="35" t="inlineStr">
        <is>
          <t>Нет ОКВЭД/ССЧР</t>
        </is>
      </c>
      <c r="V7376" s="35" t="inlineStr">
        <is>
          <t>Не определено</t>
        </is>
      </c>
      <c r="W7376" s="35" t="inlineStr">
        <is>
          <t>Нет</t>
        </is>
      </c>
      <c r="X7376" s="35" t="inlineStr"/>
    </row>
    <row r="7377" ht="15" customHeight="1" s="24">
      <c r="A7377" s="13" t="inlineStr">
        <is>
          <t>FR92272</t>
        </is>
      </c>
      <c r="B7377" s="13" t="inlineStr">
        <is>
          <t>СИТАМ ООО</t>
        </is>
      </c>
      <c r="C7377" s="13" t="n">
        <v>2460248075</v>
      </c>
      <c r="D7377" s="13" t="inlineStr">
        <is>
          <t>2460248075</t>
        </is>
      </c>
      <c r="E7377" s="13" t="inlineStr">
        <is>
          <t>ЮЛ РФ</t>
        </is>
      </c>
      <c r="F7377" s="13" t="n"/>
      <c r="G7377" s="52" t="n">
        <v>2</v>
      </c>
      <c r="H7377" s="52" t="n">
        <v>2025</v>
      </c>
      <c r="I7377" s="14" t="n"/>
      <c r="J7377" s="14" t="n"/>
      <c r="K7377" s="53" t="inlineStr">
        <is>
          <t>Нет</t>
        </is>
      </c>
      <c r="L7377" s="53" t="inlineStr">
        <is>
          <t>Не определено</t>
        </is>
      </c>
      <c r="M7377" s="53" t="inlineStr">
        <is>
          <t>До 10</t>
        </is>
      </c>
      <c r="N7377" s="54" t="n">
        <v>3360</v>
      </c>
      <c r="O7377" s="55" t="inlineStr">
        <is>
          <t>1–15</t>
        </is>
      </c>
      <c r="P7377" s="16" t="inlineStr">
        <is>
          <t>ССЧР обогащена; ОКВЭД не найден/не загружен</t>
        </is>
      </c>
      <c r="Q7377" s="16" t="inlineStr">
        <is>
          <t>ФНС открытые данные ССЧР (ДатаСост 31.12.2025; набор 7707329152-sshr2019)</t>
        </is>
      </c>
      <c r="R7377" s="16">
        <f>HYPERLINK("https://checko.ru/search?query=3801001629","Чекко: проверить")</f>
        <v/>
      </c>
      <c r="S7377" t="n">
        <v>1</v>
      </c>
      <c r="T7377" s="35" t="inlineStr">
        <is>
          <t>4 — Не обогащён</t>
        </is>
      </c>
      <c r="U7377" s="35" t="inlineStr">
        <is>
          <t>Нет ОКВЭД/ССЧР</t>
        </is>
      </c>
      <c r="V7377" s="35" t="inlineStr">
        <is>
          <t>Не определено</t>
        </is>
      </c>
      <c r="W7377" s="35" t="inlineStr">
        <is>
          <t>Нет</t>
        </is>
      </c>
      <c r="X7377" s="35" t="inlineStr"/>
    </row>
    <row r="7378" ht="41.25" customHeight="1" s="24">
      <c r="A7378" s="13" t="inlineStr">
        <is>
          <t>FR275062</t>
        </is>
      </c>
      <c r="B7378" s="13" t="inlineStr">
        <is>
          <t>ОБЩЕСТВО С ОГРАНИЧЕННОЙ ОТВЕТСТВЕННОСТЬЮ "СТРОИТЕЛЬНЫЕ ТЕХНОЛОГИИ"</t>
        </is>
      </c>
      <c r="C7378" s="13" t="n">
        <v>3827054270</v>
      </c>
      <c r="D7378" s="13" t="inlineStr">
        <is>
          <t>3827054270</t>
        </is>
      </c>
      <c r="E7378" s="13" t="inlineStr">
        <is>
          <t>ЮЛ РФ</t>
        </is>
      </c>
      <c r="F7378" s="13" t="n"/>
      <c r="G7378" s="52" t="n">
        <v>1</v>
      </c>
      <c r="H7378" s="52" t="n">
        <v>2025</v>
      </c>
      <c r="I7378" s="14" t="n"/>
      <c r="J7378" s="14" t="n"/>
      <c r="K7378" s="53" t="inlineStr">
        <is>
          <t>Нет</t>
        </is>
      </c>
      <c r="L7378" s="53" t="inlineStr">
        <is>
          <t>Не определено</t>
        </is>
      </c>
      <c r="M7378" s="53" t="inlineStr">
        <is>
          <t>До 10</t>
        </is>
      </c>
      <c r="N7378" s="54" t="n">
        <v>3360</v>
      </c>
      <c r="O7378" s="55" t="inlineStr">
        <is>
          <t>1–15</t>
        </is>
      </c>
      <c r="P7378" s="16" t="inlineStr">
        <is>
          <t>ССЧР обогащена; ОКВЭД не найден/не загружен</t>
        </is>
      </c>
      <c r="Q7378" s="16" t="inlineStr">
        <is>
          <t>ФНС открытые данные ССЧР (ДатаСост 31.12.2025; набор 7707329152-sshr2019)</t>
        </is>
      </c>
      <c r="R7378" s="16">
        <f>HYPERLINK("https://checko.ru/search?query=3801001629","Чекко: проверить")</f>
        <v/>
      </c>
      <c r="S7378" t="n">
        <v>1</v>
      </c>
      <c r="T7378" s="35" t="inlineStr">
        <is>
          <t>4 — Не обогащён</t>
        </is>
      </c>
      <c r="U7378" s="35" t="inlineStr">
        <is>
          <t>Нет ОКВЭД/ССЧР</t>
        </is>
      </c>
      <c r="V7378" s="35" t="inlineStr">
        <is>
          <t>Не определено</t>
        </is>
      </c>
      <c r="W7378" s="35" t="inlineStr">
        <is>
          <t>Нет</t>
        </is>
      </c>
      <c r="X7378" s="35" t="inlineStr"/>
    </row>
    <row r="7379" ht="15" customHeight="1" s="24">
      <c r="A7379" s="13" t="inlineStr">
        <is>
          <t>FR1212904</t>
        </is>
      </c>
      <c r="B7379" s="13" t="inlineStr">
        <is>
          <t>ФЛ Ермолаева Дина Владимировна</t>
        </is>
      </c>
      <c r="C7379" s="13" t="n">
        <v>112104506789</v>
      </c>
      <c r="D7379" s="13" t="inlineStr">
        <is>
          <t>112104506789</t>
        </is>
      </c>
      <c r="E7379" s="13" t="inlineStr">
        <is>
          <t>ИП РФ / физлицо</t>
        </is>
      </c>
      <c r="F7379" s="13" t="n"/>
      <c r="G7379" s="14" t="n"/>
      <c r="H7379" s="14" t="n"/>
      <c r="I7379" s="14" t="n"/>
      <c r="J7379" s="14" t="n"/>
      <c r="K7379" s="53" t="inlineStr"/>
      <c r="L7379" s="53" t="inlineStr">
        <is>
          <t>Не определено</t>
        </is>
      </c>
      <c r="M7379" s="53" t="inlineStr"/>
      <c r="N7379" s="54" t="inlineStr"/>
      <c r="O7379" s="55" t="inlineStr"/>
      <c r="P7379" s="16" t="inlineStr">
        <is>
          <t>Требует обогащения</t>
        </is>
      </c>
      <c r="Q7379" s="16">
        <f>HYPERLINK("https://pb.nalog.ru/search.html?query=112104506789","ФНС: проверить")</f>
        <v/>
      </c>
      <c r="R7379" s="16">
        <f>HYPERLINK("https://checko.ru/search?query=3801001629","Чекко: проверить")</f>
        <v/>
      </c>
      <c r="S7379" t="n">
        <v>1</v>
      </c>
      <c r="T7379" s="35" t="inlineStr">
        <is>
          <t>4 — Не обогащён</t>
        </is>
      </c>
      <c r="U7379" s="35" t="inlineStr">
        <is>
          <t>Нет ОКВЭД/ССЧР</t>
        </is>
      </c>
      <c r="V7379" s="35" t="inlineStr">
        <is>
          <t>Не определено</t>
        </is>
      </c>
      <c r="W7379" s="35" t="inlineStr"/>
      <c r="X7379" s="35" t="inlineStr"/>
    </row>
    <row r="7380" ht="27.75" customHeight="1" s="24">
      <c r="A7380" s="13" t="inlineStr">
        <is>
          <t>FR1216037</t>
        </is>
      </c>
      <c r="B7380" s="13" t="inlineStr">
        <is>
          <t>Общество с ограниченной ответственностью "КЛИНИКА СОВРЕМЕННОЙ СТОМАТОЛОГИИ"</t>
        </is>
      </c>
      <c r="C7380" s="13" t="n">
        <v>3808222401</v>
      </c>
      <c r="D7380" s="13" t="inlineStr">
        <is>
          <t>3808222401</t>
        </is>
      </c>
      <c r="E7380" s="13" t="inlineStr">
        <is>
          <t>ЮЛ РФ</t>
        </is>
      </c>
      <c r="F7380" s="13" t="n"/>
      <c r="G7380" s="52" t="n">
        <v>27</v>
      </c>
      <c r="H7380" s="52" t="n">
        <v>2025</v>
      </c>
      <c r="I7380" s="52" t="inlineStr">
        <is>
          <t>86.23</t>
        </is>
      </c>
      <c r="J7380" s="52" t="inlineStr">
        <is>
          <t>86.23; 47.74; 47.75; 47.75.3; 86.21; 86.90.9</t>
        </is>
      </c>
      <c r="K7380" s="53" t="inlineStr">
        <is>
          <t>Да</t>
        </is>
      </c>
      <c r="L7380" s="53" t="inlineStr">
        <is>
          <t>Да</t>
        </is>
      </c>
      <c r="M7380" s="53" t="inlineStr">
        <is>
          <t>До 50</t>
        </is>
      </c>
      <c r="N7380" s="54" t="n">
        <v>16800</v>
      </c>
      <c r="O7380" s="55" t="inlineStr">
        <is>
          <t>16–30</t>
        </is>
      </c>
      <c r="P7380" s="16" t="inlineStr">
        <is>
          <t>ССЧР + ОКВЭД обогащены</t>
        </is>
      </c>
      <c r="Q7380" s="16" t="inlineStr">
        <is>
          <t>ФНС открытые данные ССЧР (ДатаСост 31.12.2025; набор 7707329152-sshr2019)</t>
        </is>
      </c>
      <c r="R7380" s="16" t="inlineStr">
        <is>
          <t>ЕГРЮЛ / egrul.nalog.ru (выписка)</t>
        </is>
      </c>
      <c r="S7380" t="n">
        <v>1</v>
      </c>
      <c r="T7380" s="35" t="inlineStr">
        <is>
          <t>1 — Горячий</t>
        </is>
      </c>
      <c r="U7380" s="35" t="inlineStr">
        <is>
          <t>ОКВЭД + 22+</t>
        </is>
      </c>
      <c r="V7380" s="35" t="inlineStr">
        <is>
          <t>Да</t>
        </is>
      </c>
      <c r="W7380" s="35" t="inlineStr">
        <is>
          <t>Да</t>
        </is>
      </c>
      <c r="X7380" s="35" t="inlineStr">
        <is>
          <t>Да</t>
        </is>
      </c>
    </row>
    <row r="7381" ht="27.75" customHeight="1" s="24">
      <c r="A7381" s="13" t="inlineStr">
        <is>
          <t>FR400742</t>
        </is>
      </c>
      <c r="B7381" s="13" t="inlineStr">
        <is>
          <t>ОБЩЕСТВО С ОГРАНИЧЕННОЙ ОТВЕТСТВЕННОСТЬЮ "ФИНГРУПП"</t>
        </is>
      </c>
      <c r="C7381" s="13" t="n">
        <v>6623128521</v>
      </c>
      <c r="D7381" s="13" t="inlineStr">
        <is>
          <t>6623128521</t>
        </is>
      </c>
      <c r="E7381" s="13" t="inlineStr">
        <is>
          <t>ЮЛ РФ</t>
        </is>
      </c>
      <c r="F7381" s="13" t="n"/>
      <c r="G7381" s="52" t="n">
        <v>3</v>
      </c>
      <c r="H7381" s="52" t="n">
        <v>2025</v>
      </c>
      <c r="I7381" s="14" t="n"/>
      <c r="J7381" s="14" t="n"/>
      <c r="K7381" s="53" t="inlineStr">
        <is>
          <t>Нет</t>
        </is>
      </c>
      <c r="L7381" s="53" t="inlineStr">
        <is>
          <t>Не определено</t>
        </is>
      </c>
      <c r="M7381" s="53" t="inlineStr">
        <is>
          <t>До 10</t>
        </is>
      </c>
      <c r="N7381" s="54" t="n">
        <v>3360</v>
      </c>
      <c r="O7381" s="55" t="inlineStr">
        <is>
          <t>1–15</t>
        </is>
      </c>
      <c r="P7381" s="16" t="inlineStr">
        <is>
          <t>ССЧР обогащена; ОКВЭД не найден/не загружен</t>
        </is>
      </c>
      <c r="Q7381" s="16" t="inlineStr">
        <is>
          <t>ФНС открытые данные ССЧР (ДатаСост 31.12.2025; набор 7707329152-sshr2019)</t>
        </is>
      </c>
      <c r="R7381" s="16">
        <f>HYPERLINK("https://checko.ru/search?query=3801001629","Чекко: проверить")</f>
        <v/>
      </c>
      <c r="S7381" t="n">
        <v>1</v>
      </c>
      <c r="T7381" s="35" t="inlineStr">
        <is>
          <t>4 — Не обогащён</t>
        </is>
      </c>
      <c r="U7381" s="35" t="inlineStr">
        <is>
          <t>Нет ОКВЭД/ССЧР</t>
        </is>
      </c>
      <c r="V7381" s="35" t="inlineStr">
        <is>
          <t>Не определено</t>
        </is>
      </c>
      <c r="W7381" s="35" t="inlineStr">
        <is>
          <t>Нет</t>
        </is>
      </c>
      <c r="X7381" s="35" t="inlineStr"/>
    </row>
    <row r="7382" ht="15" customHeight="1" s="24">
      <c r="A7382" s="13" t="inlineStr">
        <is>
          <t>FR271202</t>
        </is>
      </c>
      <c r="B7382" s="13" t="inlineStr">
        <is>
          <t>ООО "Фирма Гранит-Ритуал"</t>
        </is>
      </c>
      <c r="C7382" s="13" t="n">
        <v>3827035510</v>
      </c>
      <c r="D7382" s="13" t="inlineStr">
        <is>
          <t>3827035510</t>
        </is>
      </c>
      <c r="E7382" s="13" t="inlineStr">
        <is>
          <t>ЮЛ РФ</t>
        </is>
      </c>
      <c r="F7382" s="13" t="n"/>
      <c r="G7382" s="52" t="n">
        <v>4</v>
      </c>
      <c r="H7382" s="52" t="n">
        <v>2025</v>
      </c>
      <c r="I7382" s="14" t="n"/>
      <c r="J7382" s="14" t="n"/>
      <c r="K7382" s="53" t="inlineStr">
        <is>
          <t>Нет</t>
        </is>
      </c>
      <c r="L7382" s="53" t="inlineStr">
        <is>
          <t>Не определено</t>
        </is>
      </c>
      <c r="M7382" s="53" t="inlineStr">
        <is>
          <t>До 10</t>
        </is>
      </c>
      <c r="N7382" s="54" t="n">
        <v>3360</v>
      </c>
      <c r="O7382" s="55" t="inlineStr">
        <is>
          <t>1–15</t>
        </is>
      </c>
      <c r="P7382" s="16" t="inlineStr">
        <is>
          <t>ССЧР обогащена; ОКВЭД не найден/не загружен</t>
        </is>
      </c>
      <c r="Q7382" s="16" t="inlineStr">
        <is>
          <t>ФНС открытые данные ССЧР (ДатаСост 31.12.2025; набор 7707329152-sshr2019)</t>
        </is>
      </c>
      <c r="R7382" s="16">
        <f>HYPERLINK("https://checko.ru/search?query=3801001629","Чекко: проверить")</f>
        <v/>
      </c>
      <c r="S7382" t="n">
        <v>1</v>
      </c>
      <c r="T7382" s="35" t="inlineStr">
        <is>
          <t>4 — Не обогащён</t>
        </is>
      </c>
      <c r="U7382" s="35" t="inlineStr">
        <is>
          <t>Нет ОКВЭД/ССЧР</t>
        </is>
      </c>
      <c r="V7382" s="35" t="inlineStr">
        <is>
          <t>Не определено</t>
        </is>
      </c>
      <c r="W7382" s="35" t="inlineStr">
        <is>
          <t>Нет</t>
        </is>
      </c>
      <c r="X7382" s="35" t="inlineStr"/>
    </row>
    <row r="7383" ht="27.75" customHeight="1" s="24">
      <c r="A7383" s="13" t="inlineStr">
        <is>
          <t>FR397130</t>
        </is>
      </c>
      <c r="B7383" s="13" t="inlineStr">
        <is>
          <t>ОБЩЕСТВО С ОГРАНИЧЕННОЙ ОТВЕТСТВЕННОСТЬЮ "СНАБ38"</t>
        </is>
      </c>
      <c r="C7383" s="13" t="n">
        <v>3810085760</v>
      </c>
      <c r="D7383" s="13" t="inlineStr">
        <is>
          <t>3810085760</t>
        </is>
      </c>
      <c r="E7383" s="13" t="inlineStr">
        <is>
          <t>ЮЛ РФ</t>
        </is>
      </c>
      <c r="F7383" s="13" t="n"/>
      <c r="G7383" s="52" t="n">
        <v>2</v>
      </c>
      <c r="H7383" s="52" t="n">
        <v>2025</v>
      </c>
      <c r="I7383" s="14" t="n"/>
      <c r="J7383" s="14" t="n"/>
      <c r="K7383" s="53" t="inlineStr">
        <is>
          <t>Нет</t>
        </is>
      </c>
      <c r="L7383" s="53" t="inlineStr">
        <is>
          <t>Не определено</t>
        </is>
      </c>
      <c r="M7383" s="53" t="inlineStr">
        <is>
          <t>До 10</t>
        </is>
      </c>
      <c r="N7383" s="54" t="n">
        <v>3360</v>
      </c>
      <c r="O7383" s="55" t="inlineStr">
        <is>
          <t>1–15</t>
        </is>
      </c>
      <c r="P7383" s="16" t="inlineStr">
        <is>
          <t>ССЧР обогащена; ОКВЭД не найден/не загружен</t>
        </is>
      </c>
      <c r="Q7383" s="16" t="inlineStr">
        <is>
          <t>ФНС открытые данные ССЧР (ДатаСост 31.12.2025; набор 7707329152-sshr2019)</t>
        </is>
      </c>
      <c r="R7383" s="16">
        <f>HYPERLINK("https://checko.ru/search?query=3801001629","Чекко: проверить")</f>
        <v/>
      </c>
      <c r="S7383" t="n">
        <v>1</v>
      </c>
      <c r="T7383" s="35" t="inlineStr">
        <is>
          <t>4 — Не обогащён</t>
        </is>
      </c>
      <c r="U7383" s="35" t="inlineStr">
        <is>
          <t>Нет ОКВЭД/ССЧР</t>
        </is>
      </c>
      <c r="V7383" s="35" t="inlineStr">
        <is>
          <t>Не определено</t>
        </is>
      </c>
      <c r="W7383" s="35" t="inlineStr">
        <is>
          <t>Нет</t>
        </is>
      </c>
      <c r="X7383" s="35" t="inlineStr"/>
    </row>
    <row r="7384" ht="27.75" customHeight="1" s="24">
      <c r="A7384" s="13" t="inlineStr">
        <is>
          <t>FR532070</t>
        </is>
      </c>
      <c r="B7384" s="13" t="inlineStr">
        <is>
          <t>Общество с ограниченной ответственностью "ГОЛД ГРУПП"</t>
        </is>
      </c>
      <c r="C7384" s="13" t="n">
        <v>3812063056</v>
      </c>
      <c r="D7384" s="13" t="inlineStr">
        <is>
          <t>3812063056</t>
        </is>
      </c>
      <c r="E7384" s="13" t="inlineStr">
        <is>
          <t>ЮЛ РФ</t>
        </is>
      </c>
      <c r="F7384" s="13" t="n"/>
      <c r="G7384" s="52" t="n">
        <v>112</v>
      </c>
      <c r="H7384" s="52" t="n">
        <v>2025</v>
      </c>
      <c r="I7384" s="52" t="inlineStr">
        <is>
          <t>33.12</t>
        </is>
      </c>
      <c r="J7384" s="52" t="inlineStr">
        <is>
          <t>33.12; 25.11; 41.20; 42.11; 42.21; 42.22.2; 42.91; 42.99; 43.13; 43.21; 43.22; 46.62; 46.63; 46.69; 46.73; 46.90; 49.20; 49.41; 52.10; 68.20; 71.12.5; 77.12; 77.32</t>
        </is>
      </c>
      <c r="K7384" s="53" t="inlineStr">
        <is>
          <t>Да</t>
        </is>
      </c>
      <c r="L7384" s="53" t="inlineStr">
        <is>
          <t>Да</t>
        </is>
      </c>
      <c r="M7384" s="53" t="inlineStr">
        <is>
          <t>До 200</t>
        </is>
      </c>
      <c r="N7384" s="54" t="n">
        <v>62400</v>
      </c>
      <c r="O7384" s="55" t="inlineStr">
        <is>
          <t>101–200</t>
        </is>
      </c>
      <c r="P7384" s="16" t="inlineStr">
        <is>
          <t>ССЧР + ОКВЭД обогащены</t>
        </is>
      </c>
      <c r="Q7384" s="16" t="inlineStr">
        <is>
          <t>ФНС открытые данные ССЧР (ДатаСост 31.12.2025; набор 7707329152-sshr2019)</t>
        </is>
      </c>
      <c r="R7384" s="16" t="inlineStr">
        <is>
          <t>ЕГРЮЛ / egrul.nalog.ru (выписка)</t>
        </is>
      </c>
      <c r="S7384" t="n">
        <v>1</v>
      </c>
      <c r="T7384" s="35" t="inlineStr">
        <is>
          <t>1 — Горячий</t>
        </is>
      </c>
      <c r="U7384" s="35" t="inlineStr">
        <is>
          <t>ОКВЭД + 22+</t>
        </is>
      </c>
      <c r="V7384" s="35" t="inlineStr">
        <is>
          <t>Да</t>
        </is>
      </c>
      <c r="W7384" s="35" t="inlineStr">
        <is>
          <t>Да</t>
        </is>
      </c>
      <c r="X7384" s="35" t="inlineStr">
        <is>
          <t>Да</t>
        </is>
      </c>
    </row>
    <row r="7385" ht="27.75" customHeight="1" s="24">
      <c r="A7385" s="13" t="inlineStr">
        <is>
          <t>FR1224340</t>
        </is>
      </c>
      <c r="B7385" s="13" t="inlineStr">
        <is>
          <t>Общество с ограниченной ответственностью "ФИНАНСОВАЯ ЗАЩИТА"</t>
        </is>
      </c>
      <c r="C7385" s="13" t="n">
        <v>3849088716</v>
      </c>
      <c r="D7385" s="13" t="inlineStr">
        <is>
          <t>3849088716</t>
        </is>
      </c>
      <c r="E7385" s="13" t="inlineStr">
        <is>
          <t>ЮЛ РФ</t>
        </is>
      </c>
      <c r="F7385" s="13" t="n"/>
      <c r="G7385" s="52" t="n">
        <v>6</v>
      </c>
      <c r="H7385" s="52" t="n">
        <v>2025</v>
      </c>
      <c r="I7385" s="14" t="n"/>
      <c r="J7385" s="14" t="n"/>
      <c r="K7385" s="53" t="inlineStr">
        <is>
          <t>Нет</t>
        </is>
      </c>
      <c r="L7385" s="53" t="inlineStr">
        <is>
          <t>Не определено</t>
        </is>
      </c>
      <c r="M7385" s="53" t="inlineStr">
        <is>
          <t>До 10</t>
        </is>
      </c>
      <c r="N7385" s="54" t="n">
        <v>3360</v>
      </c>
      <c r="O7385" s="55" t="inlineStr">
        <is>
          <t>1–15</t>
        </is>
      </c>
      <c r="P7385" s="16" t="inlineStr">
        <is>
          <t>ССЧР обогащена; ОКВЭД не найден/не загружен</t>
        </is>
      </c>
      <c r="Q7385" s="16" t="inlineStr">
        <is>
          <t>ФНС открытые данные ССЧР (ДатаСост 31.12.2025; набор 7707329152-sshr2019)</t>
        </is>
      </c>
      <c r="R7385" s="16">
        <f>HYPERLINK("https://checko.ru/search?query=3801001629","Чекко: проверить")</f>
        <v/>
      </c>
      <c r="S7385" t="n">
        <v>1</v>
      </c>
      <c r="T7385" s="35" t="inlineStr">
        <is>
          <t>4 — Не обогащён</t>
        </is>
      </c>
      <c r="U7385" s="35" t="inlineStr">
        <is>
          <t>Нет ОКВЭД/ССЧР</t>
        </is>
      </c>
      <c r="V7385" s="35" t="inlineStr">
        <is>
          <t>Не определено</t>
        </is>
      </c>
      <c r="W7385" s="35" t="inlineStr">
        <is>
          <t>Нет</t>
        </is>
      </c>
      <c r="X7385" s="35" t="inlineStr"/>
    </row>
    <row r="7386" ht="27.75" customHeight="1" s="24">
      <c r="A7386" s="13" t="inlineStr">
        <is>
          <t>FR1019347</t>
        </is>
      </c>
      <c r="B7386" s="13" t="inlineStr">
        <is>
          <t>Общество с ограниченной ответственностью "ОФИС-СЕРВИС"</t>
        </is>
      </c>
      <c r="C7386" s="13" t="n">
        <v>3818018606</v>
      </c>
      <c r="D7386" s="13" t="inlineStr">
        <is>
          <t>3818018606</t>
        </is>
      </c>
      <c r="E7386" s="13" t="inlineStr">
        <is>
          <t>ЮЛ РФ</t>
        </is>
      </c>
      <c r="F7386" s="13" t="n"/>
      <c r="G7386" s="52" t="n">
        <v>7</v>
      </c>
      <c r="H7386" s="52" t="n">
        <v>2025</v>
      </c>
      <c r="I7386" s="14" t="n"/>
      <c r="J7386" s="14" t="n"/>
      <c r="K7386" s="53" t="inlineStr">
        <is>
          <t>Нет</t>
        </is>
      </c>
      <c r="L7386" s="53" t="inlineStr">
        <is>
          <t>Не определено</t>
        </is>
      </c>
      <c r="M7386" s="53" t="inlineStr">
        <is>
          <t>До 10</t>
        </is>
      </c>
      <c r="N7386" s="54" t="n">
        <v>3360</v>
      </c>
      <c r="O7386" s="55" t="inlineStr">
        <is>
          <t>1–15</t>
        </is>
      </c>
      <c r="P7386" s="16" t="inlineStr">
        <is>
          <t>ССЧР обогащена; ОКВЭД не найден/не загружен</t>
        </is>
      </c>
      <c r="Q7386" s="16" t="inlineStr">
        <is>
          <t>ФНС открытые данные ССЧР (ДатаСост 31.12.2025; набор 7707329152-sshr2019)</t>
        </is>
      </c>
      <c r="R7386" s="16">
        <f>HYPERLINK("https://checko.ru/search?query=3801001629","Чекко: проверить")</f>
        <v/>
      </c>
      <c r="S7386" t="n">
        <v>1</v>
      </c>
      <c r="T7386" s="35" t="inlineStr">
        <is>
          <t>4 — Не обогащён</t>
        </is>
      </c>
      <c r="U7386" s="35" t="inlineStr">
        <is>
          <t>Нет ОКВЭД/ССЧР</t>
        </is>
      </c>
      <c r="V7386" s="35" t="inlineStr">
        <is>
          <t>Не определено</t>
        </is>
      </c>
      <c r="W7386" s="35" t="inlineStr">
        <is>
          <t>Нет</t>
        </is>
      </c>
      <c r="X7386" s="35" t="inlineStr"/>
    </row>
    <row r="7387" ht="15" customHeight="1" s="24">
      <c r="A7387" s="13" t="inlineStr">
        <is>
          <t>FR256717</t>
        </is>
      </c>
      <c r="B7387" s="13" t="inlineStr">
        <is>
          <t>АВТОРСКИЙ ПРОЕКТ ООО</t>
        </is>
      </c>
      <c r="C7387" s="13" t="n">
        <v>7729583755</v>
      </c>
      <c r="D7387" s="13" t="inlineStr">
        <is>
          <t>7729583755</t>
        </is>
      </c>
      <c r="E7387" s="13" t="inlineStr">
        <is>
          <t>ЮЛ РФ</t>
        </is>
      </c>
      <c r="F7387" s="13" t="n"/>
      <c r="G7387" s="52" t="n">
        <v>3</v>
      </c>
      <c r="H7387" s="52" t="n">
        <v>2025</v>
      </c>
      <c r="I7387" s="14" t="n"/>
      <c r="J7387" s="14" t="n"/>
      <c r="K7387" s="53" t="inlineStr">
        <is>
          <t>Нет</t>
        </is>
      </c>
      <c r="L7387" s="53" t="inlineStr">
        <is>
          <t>Не определено</t>
        </is>
      </c>
      <c r="M7387" s="53" t="inlineStr">
        <is>
          <t>До 10</t>
        </is>
      </c>
      <c r="N7387" s="54" t="n">
        <v>3360</v>
      </c>
      <c r="O7387" s="55" t="inlineStr">
        <is>
          <t>1–15</t>
        </is>
      </c>
      <c r="P7387" s="16" t="inlineStr">
        <is>
          <t>ССЧР обогащена; ОКВЭД не найден/не загружен</t>
        </is>
      </c>
      <c r="Q7387" s="16" t="inlineStr">
        <is>
          <t>ФНС открытые данные ССЧР (ДатаСост 31.12.2025; набор 7707329152-sshr2019)</t>
        </is>
      </c>
      <c r="R7387" s="16">
        <f>HYPERLINK("https://checko.ru/search?query=3801001629","Чекко: проверить")</f>
        <v/>
      </c>
      <c r="S7387" t="n">
        <v>1</v>
      </c>
      <c r="T7387" s="35" t="inlineStr">
        <is>
          <t>4 — Не обогащён</t>
        </is>
      </c>
      <c r="U7387" s="35" t="inlineStr">
        <is>
          <t>Нет ОКВЭД/ССЧР</t>
        </is>
      </c>
      <c r="V7387" s="35" t="inlineStr">
        <is>
          <t>Не определено</t>
        </is>
      </c>
      <c r="W7387" s="35" t="inlineStr">
        <is>
          <t>Нет</t>
        </is>
      </c>
      <c r="X7387" s="35" t="inlineStr"/>
    </row>
    <row r="7388" ht="27.75" customHeight="1" s="24">
      <c r="A7388" s="13" t="inlineStr">
        <is>
          <t>FR170619</t>
        </is>
      </c>
      <c r="B7388" s="13" t="inlineStr">
        <is>
          <t>ООО "КИЗИЛЮРТОВСКИЙ ЗАВОД СТРОЙМАТЕРИАЛОВ</t>
        </is>
      </c>
      <c r="C7388" s="13" t="n">
        <v>546021178</v>
      </c>
      <c r="D7388" s="13" t="n"/>
      <c r="E7388" s="13" t="inlineStr">
        <is>
          <t>Не определён</t>
        </is>
      </c>
      <c r="F7388" s="13" t="inlineStr">
        <is>
          <t>546021178</t>
        </is>
      </c>
      <c r="G7388" s="14" t="n"/>
      <c r="H7388" s="14" t="n"/>
      <c r="I7388" s="14" t="n"/>
      <c r="J7388" s="14" t="n"/>
      <c r="K7388" s="13">
        <f>IF(G7388="","",IF(G7388&gt;=22,"Да","Нет"))</f>
        <v/>
      </c>
      <c r="L7388" s="13">
        <f>IF(OR(I7388="",J7388=""),"Не определено",IF(OR(COUNTIF(I7388,"45*")&gt;0,COUNTIF(J7388,"*45*")&gt;0,COUNTIF(I7388,"46*")&gt;0,COUNTIF(J7388,"*46*")&gt;0,COUNTIF(I7388,"47*")&gt;0,COUNTIF(J7388,"*47*")&gt;0,COUNTIF(I7388,"10*")&gt;0,COUNTIF(J7388,"*10*")&gt;0,COUNTIF(I7388,"11*")&gt;0,COUNTIF(J7388,"*11*")&gt;0,COUNTIF(I7388,"12*")&gt;0,COUNTIF(J7388,"*12*")&gt;0,COUNTIF(I7388,"13*")&gt;0,COUNTIF(J7388,"*13*")&gt;0,COUNTIF(I7388,"14*")&gt;0,COUNTIF(J7388,"*14*")&gt;0,COUNTIF(I7388,"15*")&gt;0,COUNTIF(J7388,"*15*")&gt;0,COUNTIF(I7388,"16*")&gt;0,COUNTIF(J7388,"*16*")&gt;0,COUNTIF(I7388,"17*")&gt;0,COUNTIF(J7388,"*17*")&gt;0,COUNTIF(I7388,"18*")&gt;0,COUNTIF(J7388,"*18*")&gt;0,COUNTIF(I7388,"19*")&gt;0,COUNTIF(J7388,"*19*")&gt;0,COUNTIF(I7388,"20*")&gt;0,COUNTIF(J7388,"*20*")&gt;0,COUNTIF(I7388,"21*")&gt;0,COUNTIF(J7388,"*21*")&gt;0,COUNTIF(I7388,"22*")&gt;0,COUNTIF(J7388,"*22*")&gt;0,COUNTIF(I7388,"23*")&gt;0,COUNTIF(J7388,"*23*")&gt;0,COUNTIF(I7388,"24*")&gt;0,COUNTIF(J7388,"*24*")&gt;0,COUNTIF(I7388,"25*")&gt;0,COUNTIF(J7388,"*25*")&gt;0,COUNTIF(I7388,"26*")&gt;0,COUNTIF(J7388,"*26*")&gt;0,COUNTIF(I7388,"27*")&gt;0,COUNTIF(J7388,"*27*")&gt;0,COUNTIF(I7388,"28*")&gt;0,COUNTIF(J7388,"*28*")&gt;0,COUNTIF(I7388,"29*")&gt;0,COUNTIF(J7388,"*29*")&gt;0,COUNTIF(I7388,"30*")&gt;0,COUNTIF(J7388,"*30*")&gt;0,COUNTIF(I7388,"31*")&gt;0,COUNTIF(J7388,"*31*")&gt;0,COUNTIF(I7388,"32*")&gt;0,COUNTIF(J7388,"*32*")&gt;0,COUNTIF(I7388,"33*")&gt;0,COUNTIF(J7388,"*33*")&gt;0,COUNTIF(I7388,"41*")&gt;0,COUNTIF(J7388,"*41*")&gt;0,COUNTIF(I7388,"42*")&gt;0,COUNTIF(J7388,"*42*")&gt;0,COUNTIF(I7388,"43*")&gt;0,COUNTIF(J7388,"*43*")&gt;0,COUNTIF(I7388,"49*")&gt;0,COUNTIF(J7388,"*49*")&gt;0,COUNTIF(I7388,"52*")&gt;0,COUNTIF(J7388,"*52*")&gt;0,COUNTIF(I7388,"55*")&gt;0,COUNTIF(J7388,"*55*")&gt;0,COUNTIF(I7388,"56*")&gt;0,COUNTIF(J7388,"*56*")&gt;0,COUNTIF(I7388,"68*")&gt;0,COUNTIF(J7388,"*68*")&gt;0,COUNTIF(I7388,"78*")&gt;0,COUNTIF(J7388,"*78*")&gt;0,COUNTIF(I7388,"81*")&gt;0,COUNTIF(J7388,"*81*")&gt;0,COUNTIF(I7388,"82*")&gt;0,COUNTIF(J7388,"*82*")&gt;0,COUNTIF(I7388,"64*")&gt;0,COUNTIF(J7388,"*64*")&gt;0,COUNTIF(I7388,"65*")&gt;0,COUNTIF(J7388,"*65*")&gt;0,COUNTIF(I7388,"66*")&gt;0,COUNTIF(J7388,"*66*")&gt;0,COUNTIF(I7388,"61*")&gt;0,COUNTIF(J7388,"*61*")&gt;0,COUNTIF(I7388,"62*")&gt;0,COUNTIF(J7388,"*62*")&gt;0,COUNTIF(I7388,"63*")&gt;0,COUNTIF(J7388,"*63*")&gt;0,COUNTIF(I7388,"85*")&gt;0,COUNTIF(J7388,"*85*")&gt;0,COUNTIF(I7388,"86*")&gt;0,COUNTIF(J7388,"*86*")&gt;0),"Да","Нет"))</f>
        <v/>
      </c>
      <c r="M7388" s="13">
        <f>IF(OR(G7388="",L7388&lt;&gt;"Да"),"",IF(G7388&lt;=100,"До 100",IF(G7388&lt;=200,"До 200",IF(G7388&lt;=500,"До 500","Отдельное КП"))))</f>
        <v/>
      </c>
      <c r="N7388" s="15">
        <f>IF(OR(G7388="",L7388&lt;&gt;"Да"),"",IF(G7388&lt;=100,33600,IF(G7388&lt;=200,62400,IF(G7388&lt;=500,144000,""))))</f>
        <v/>
      </c>
      <c r="O7388" s="16">
        <f>IF(G7388="","",IF(G7388&lt;=15,"1–15",IF(G7388&lt;=30,"16–30",IF(G7388&lt;=50,"31–50",IF(G7388&lt;=100,"51–100",IF(G7388&lt;=150,"101–150",IF(G7388&lt;=200,"151–200",IF(G7388&lt;=500,"201–500","500+"))))))))</f>
        <v/>
      </c>
      <c r="P7388" s="16" t="inlineStr">
        <is>
          <t>Нет совпадения в предоставленной выгрузке ССЧР</t>
        </is>
      </c>
      <c r="Q7388" s="16" t="n"/>
      <c r="R7388" s="16">
        <f>HYPERLINK("https://checko.ru/search?query=3801001629","Чекко: проверить")</f>
        <v/>
      </c>
      <c r="S7388" t="n">
        <v>0</v>
      </c>
    </row>
    <row r="7389" ht="15" customHeight="1" s="24">
      <c r="A7389" s="13" t="inlineStr">
        <is>
          <t>FR280819</t>
        </is>
      </c>
      <c r="B7389" s="13" t="inlineStr">
        <is>
          <t>ИП Гриценко Татьяна Николаевна</t>
        </is>
      </c>
      <c r="C7389" s="13" t="n">
        <v>383400598703</v>
      </c>
      <c r="D7389" s="13" t="inlineStr">
        <is>
          <t>383400598703</t>
        </is>
      </c>
      <c r="E7389" s="13" t="inlineStr">
        <is>
          <t>ИП РФ / физлицо</t>
        </is>
      </c>
      <c r="F7389" s="13" t="n"/>
      <c r="G7389" s="14" t="n"/>
      <c r="H7389" s="14" t="n"/>
      <c r="I7389" s="14" t="n"/>
      <c r="J7389" s="14" t="n"/>
      <c r="K7389" s="53" t="inlineStr"/>
      <c r="L7389" s="53" t="inlineStr">
        <is>
          <t>Не определено</t>
        </is>
      </c>
      <c r="M7389" s="53" t="inlineStr"/>
      <c r="N7389" s="54" t="inlineStr"/>
      <c r="O7389" s="55" t="inlineStr"/>
      <c r="P7389" s="16" t="inlineStr">
        <is>
          <t>Требует обогащения</t>
        </is>
      </c>
      <c r="Q7389" s="16">
        <f>HYPERLINK("https://pb.nalog.ru/search.html?query=383400598703","ФНС: проверить")</f>
        <v/>
      </c>
      <c r="R7389" s="16">
        <f>HYPERLINK("https://checko.ru/search?query=3801001629","Чекко: проверить")</f>
        <v/>
      </c>
      <c r="S7389" t="n">
        <v>1</v>
      </c>
      <c r="T7389" s="35" t="inlineStr">
        <is>
          <t>4 — Не обогащён</t>
        </is>
      </c>
      <c r="U7389" s="35" t="inlineStr">
        <is>
          <t>Нет ОКВЭД/ССЧР</t>
        </is>
      </c>
      <c r="V7389" s="35" t="inlineStr">
        <is>
          <t>Не определено</t>
        </is>
      </c>
      <c r="W7389" s="35" t="inlineStr"/>
      <c r="X7389" s="35" t="inlineStr"/>
    </row>
    <row r="7390" ht="15" customHeight="1" s="24">
      <c r="A7390" s="13" t="inlineStr">
        <is>
          <t>FR23097</t>
        </is>
      </c>
      <c r="B7390" s="13" t="inlineStr">
        <is>
          <t>ООО "Кёнигзи-Сибирь"</t>
        </is>
      </c>
      <c r="C7390" s="13" t="n">
        <v>7536103723</v>
      </c>
      <c r="D7390" s="13" t="inlineStr">
        <is>
          <t>7536103723</t>
        </is>
      </c>
      <c r="E7390" s="13" t="inlineStr">
        <is>
          <t>ЮЛ РФ</t>
        </is>
      </c>
      <c r="F7390" s="13" t="n"/>
      <c r="G7390" s="52" t="n">
        <v>25</v>
      </c>
      <c r="H7390" s="52" t="n">
        <v>2025</v>
      </c>
      <c r="I7390" s="52" t="inlineStr">
        <is>
          <t>46.46</t>
        </is>
      </c>
      <c r="J7390" s="52" t="inlineStr">
        <is>
          <t>46.46; 33.13; 46.90; 47.74; 52.29; 64.91; 86.10; 86.21; 86.90.9</t>
        </is>
      </c>
      <c r="K7390" s="53" t="inlineStr">
        <is>
          <t>Да</t>
        </is>
      </c>
      <c r="L7390" s="53" t="inlineStr">
        <is>
          <t>Да</t>
        </is>
      </c>
      <c r="M7390" s="53" t="inlineStr">
        <is>
          <t>До 25</t>
        </is>
      </c>
      <c r="N7390" s="54" t="n">
        <v>8400</v>
      </c>
      <c r="O7390" s="55" t="inlineStr">
        <is>
          <t>16–30</t>
        </is>
      </c>
      <c r="P7390" s="16" t="inlineStr">
        <is>
          <t>ССЧР + ОКВЭД обогащены</t>
        </is>
      </c>
      <c r="Q7390" s="16" t="inlineStr">
        <is>
          <t>ФНС открытые данные ССЧР (ДатаСост 31.12.2025; набор 7707329152-sshr2019)</t>
        </is>
      </c>
      <c r="R7390" s="16" t="inlineStr">
        <is>
          <t>ЕГРЮЛ / egrul.nalog.ru (выписка)</t>
        </is>
      </c>
      <c r="S7390" t="n">
        <v>1</v>
      </c>
      <c r="T7390" s="35" t="inlineStr">
        <is>
          <t>1 — Горячий</t>
        </is>
      </c>
      <c r="U7390" s="35" t="inlineStr">
        <is>
          <t>ОКВЭД + 22+</t>
        </is>
      </c>
      <c r="V7390" s="35" t="inlineStr">
        <is>
          <t>Да</t>
        </is>
      </c>
      <c r="W7390" s="35" t="inlineStr">
        <is>
          <t>Да</t>
        </is>
      </c>
      <c r="X7390" s="35" t="inlineStr">
        <is>
          <t>Да</t>
        </is>
      </c>
    </row>
    <row r="7391" ht="15" customHeight="1" s="24">
      <c r="A7391" s="13" t="inlineStr">
        <is>
          <t>FR1020064</t>
        </is>
      </c>
      <c r="B7391" s="13" t="inlineStr">
        <is>
          <t>ИП Стефанова Ольга Александровна</t>
        </is>
      </c>
      <c r="C7391" s="13" t="n">
        <v>381102126116</v>
      </c>
      <c r="D7391" s="13" t="inlineStr">
        <is>
          <t>381102126116</t>
        </is>
      </c>
      <c r="E7391" s="13" t="inlineStr">
        <is>
          <t>ИП РФ / физлицо</t>
        </is>
      </c>
      <c r="F7391" s="13" t="n"/>
      <c r="G7391" s="14" t="n"/>
      <c r="H7391" s="14" t="n"/>
      <c r="I7391" s="14" t="n"/>
      <c r="J7391" s="14" t="n"/>
      <c r="K7391" s="53" t="inlineStr"/>
      <c r="L7391" s="53" t="inlineStr">
        <is>
          <t>Не определено</t>
        </is>
      </c>
      <c r="M7391" s="53" t="inlineStr"/>
      <c r="N7391" s="54" t="inlineStr"/>
      <c r="O7391" s="55" t="inlineStr"/>
      <c r="P7391" s="16" t="inlineStr">
        <is>
          <t>Требует обогащения</t>
        </is>
      </c>
      <c r="Q7391" s="16">
        <f>HYPERLINK("https://pb.nalog.ru/search.html?query=381102126116","ФНС: проверить")</f>
        <v/>
      </c>
      <c r="R7391" s="16">
        <f>HYPERLINK("https://checko.ru/search?query=3801001629","Чекко: проверить")</f>
        <v/>
      </c>
      <c r="S7391" t="n">
        <v>1</v>
      </c>
      <c r="T7391" s="35" t="inlineStr">
        <is>
          <t>4 — Не обогащён</t>
        </is>
      </c>
      <c r="U7391" s="35" t="inlineStr">
        <is>
          <t>Нет ОКВЭД/ССЧР</t>
        </is>
      </c>
      <c r="V7391" s="35" t="inlineStr">
        <is>
          <t>Не определено</t>
        </is>
      </c>
      <c r="W7391" s="35" t="inlineStr"/>
      <c r="X7391" s="35" t="inlineStr"/>
    </row>
    <row r="7392" ht="27.75" customHeight="1" s="24">
      <c r="A7392" s="13" t="inlineStr">
        <is>
          <t>FR681721</t>
        </is>
      </c>
      <c r="B7392" s="13" t="inlineStr">
        <is>
          <t>Общество с ограниченной ответственностью "ВИЖУАЛ"</t>
        </is>
      </c>
      <c r="C7392" s="13" t="n">
        <v>3811182420</v>
      </c>
      <c r="D7392" s="13" t="inlineStr">
        <is>
          <t>3811182420</t>
        </is>
      </c>
      <c r="E7392" s="13" t="inlineStr">
        <is>
          <t>ЮЛ РФ</t>
        </is>
      </c>
      <c r="F7392" s="13" t="n"/>
      <c r="G7392" s="52" t="n">
        <v>3</v>
      </c>
      <c r="H7392" s="52" t="n">
        <v>2025</v>
      </c>
      <c r="I7392" s="14" t="n"/>
      <c r="J7392" s="14" t="n"/>
      <c r="K7392" s="53" t="inlineStr">
        <is>
          <t>Нет</t>
        </is>
      </c>
      <c r="L7392" s="53" t="inlineStr">
        <is>
          <t>Не определено</t>
        </is>
      </c>
      <c r="M7392" s="53" t="inlineStr">
        <is>
          <t>До 10</t>
        </is>
      </c>
      <c r="N7392" s="54" t="n">
        <v>3360</v>
      </c>
      <c r="O7392" s="55" t="inlineStr">
        <is>
          <t>1–15</t>
        </is>
      </c>
      <c r="P7392" s="16" t="inlineStr">
        <is>
          <t>ССЧР обогащена; ОКВЭД не найден/не загружен</t>
        </is>
      </c>
      <c r="Q7392" s="16" t="inlineStr">
        <is>
          <t>ФНС открытые данные ССЧР (ДатаСост 31.12.2025; набор 7707329152-sshr2019)</t>
        </is>
      </c>
      <c r="R7392" s="16">
        <f>HYPERLINK("https://checko.ru/search?query=3801001629","Чекко: проверить")</f>
        <v/>
      </c>
      <c r="S7392" t="n">
        <v>1</v>
      </c>
      <c r="T7392" s="35" t="inlineStr">
        <is>
          <t>4 — Не обогащён</t>
        </is>
      </c>
      <c r="U7392" s="35" t="inlineStr">
        <is>
          <t>Нет ОКВЭД/ССЧР</t>
        </is>
      </c>
      <c r="V7392" s="35" t="inlineStr">
        <is>
          <t>Не определено</t>
        </is>
      </c>
      <c r="W7392" s="35" t="inlineStr">
        <is>
          <t>Нет</t>
        </is>
      </c>
      <c r="X7392" s="35" t="inlineStr"/>
    </row>
    <row r="7393" ht="27.75" customHeight="1" s="24">
      <c r="A7393" s="13" t="inlineStr">
        <is>
          <t>FR836595</t>
        </is>
      </c>
      <c r="B7393" s="13" t="inlineStr">
        <is>
          <t>Общество с ограниченной ответственностью "ИРКУТСКГЕОПРОЕКТ"</t>
        </is>
      </c>
      <c r="C7393" s="13" t="n">
        <v>3811185742</v>
      </c>
      <c r="D7393" s="13" t="inlineStr">
        <is>
          <t>3811185742</t>
        </is>
      </c>
      <c r="E7393" s="13" t="inlineStr">
        <is>
          <t>ЮЛ РФ</t>
        </is>
      </c>
      <c r="F7393" s="13" t="n"/>
      <c r="G7393" s="52" t="n">
        <v>47</v>
      </c>
      <c r="H7393" s="52" t="n">
        <v>2025</v>
      </c>
      <c r="I7393" s="52" t="inlineStr">
        <is>
          <t>71.12.45</t>
        </is>
      </c>
      <c r="J7393" s="52" t="inlineStr">
        <is>
          <t>71.12.45; 68.10; 68.20; 71.12.5; 71.12.6; 71.20</t>
        </is>
      </c>
      <c r="K7393" s="53" t="inlineStr">
        <is>
          <t>Да</t>
        </is>
      </c>
      <c r="L7393" s="53" t="inlineStr">
        <is>
          <t>Да</t>
        </is>
      </c>
      <c r="M7393" s="53" t="inlineStr">
        <is>
          <t>До 50</t>
        </is>
      </c>
      <c r="N7393" s="54" t="n">
        <v>16800</v>
      </c>
      <c r="O7393" s="55" t="inlineStr">
        <is>
          <t>31–50</t>
        </is>
      </c>
      <c r="P7393" s="16" t="inlineStr">
        <is>
          <t>ССЧР + ОКВЭД обогащены</t>
        </is>
      </c>
      <c r="Q7393" s="16" t="inlineStr">
        <is>
          <t>ФНС открытые данные ССЧР (ДатаСост 31.12.2025; набор 7707329152-sshr2019)</t>
        </is>
      </c>
      <c r="R7393" s="16" t="inlineStr">
        <is>
          <t>ЕГРЮЛ / egrul.nalog.ru (выписка)</t>
        </is>
      </c>
      <c r="S7393" t="n">
        <v>1</v>
      </c>
      <c r="T7393" s="35" t="inlineStr">
        <is>
          <t>1 — Горячий</t>
        </is>
      </c>
      <c r="U7393" s="35" t="inlineStr">
        <is>
          <t>ОКВЭД + 22+</t>
        </is>
      </c>
      <c r="V7393" s="35" t="inlineStr">
        <is>
          <t>Да</t>
        </is>
      </c>
      <c r="W7393" s="35" t="inlineStr">
        <is>
          <t>Да</t>
        </is>
      </c>
      <c r="X7393" s="35" t="inlineStr">
        <is>
          <t>Да</t>
        </is>
      </c>
    </row>
    <row r="7394" ht="15" customHeight="1" s="24">
      <c r="A7394" s="13" t="inlineStr">
        <is>
          <t>FR3138</t>
        </is>
      </c>
      <c r="B7394" s="13" t="inlineStr">
        <is>
          <t>ООО "ИЗОДОМ-БАЙКАЛ ПЛЮС"</t>
        </is>
      </c>
      <c r="C7394" s="13" t="n">
        <v>326518310</v>
      </c>
      <c r="D7394" s="13" t="n"/>
      <c r="E7394" s="13" t="inlineStr">
        <is>
          <t>Не определён</t>
        </is>
      </c>
      <c r="F7394" s="13" t="inlineStr">
        <is>
          <t>326518310</t>
        </is>
      </c>
      <c r="G7394" s="14" t="n"/>
      <c r="H7394" s="14" t="n"/>
      <c r="I7394" s="14" t="n"/>
      <c r="J7394" s="14" t="n"/>
      <c r="K7394" s="13">
        <f>IF(G7394="","",IF(G7394&gt;=22,"Да","Нет"))</f>
        <v/>
      </c>
      <c r="L7394" s="13">
        <f>IF(OR(I7394="",J7394=""),"Не определено",IF(OR(COUNTIF(I7394,"45*")&gt;0,COUNTIF(J7394,"*45*")&gt;0,COUNTIF(I7394,"46*")&gt;0,COUNTIF(J7394,"*46*")&gt;0,COUNTIF(I7394,"47*")&gt;0,COUNTIF(J7394,"*47*")&gt;0,COUNTIF(I7394,"10*")&gt;0,COUNTIF(J7394,"*10*")&gt;0,COUNTIF(I7394,"11*")&gt;0,COUNTIF(J7394,"*11*")&gt;0,COUNTIF(I7394,"12*")&gt;0,COUNTIF(J7394,"*12*")&gt;0,COUNTIF(I7394,"13*")&gt;0,COUNTIF(J7394,"*13*")&gt;0,COUNTIF(I7394,"14*")&gt;0,COUNTIF(J7394,"*14*")&gt;0,COUNTIF(I7394,"15*")&gt;0,COUNTIF(J7394,"*15*")&gt;0,COUNTIF(I7394,"16*")&gt;0,COUNTIF(J7394,"*16*")&gt;0,COUNTIF(I7394,"17*")&gt;0,COUNTIF(J7394,"*17*")&gt;0,COUNTIF(I7394,"18*")&gt;0,COUNTIF(J7394,"*18*")&gt;0,COUNTIF(I7394,"19*")&gt;0,COUNTIF(J7394,"*19*")&gt;0,COUNTIF(I7394,"20*")&gt;0,COUNTIF(J7394,"*20*")&gt;0,COUNTIF(I7394,"21*")&gt;0,COUNTIF(J7394,"*21*")&gt;0,COUNTIF(I7394,"22*")&gt;0,COUNTIF(J7394,"*22*")&gt;0,COUNTIF(I7394,"23*")&gt;0,COUNTIF(J7394,"*23*")&gt;0,COUNTIF(I7394,"24*")&gt;0,COUNTIF(J7394,"*24*")&gt;0,COUNTIF(I7394,"25*")&gt;0,COUNTIF(J7394,"*25*")&gt;0,COUNTIF(I7394,"26*")&gt;0,COUNTIF(J7394,"*26*")&gt;0,COUNTIF(I7394,"27*")&gt;0,COUNTIF(J7394,"*27*")&gt;0,COUNTIF(I7394,"28*")&gt;0,COUNTIF(J7394,"*28*")&gt;0,COUNTIF(I7394,"29*")&gt;0,COUNTIF(J7394,"*29*")&gt;0,COUNTIF(I7394,"30*")&gt;0,COUNTIF(J7394,"*30*")&gt;0,COUNTIF(I7394,"31*")&gt;0,COUNTIF(J7394,"*31*")&gt;0,COUNTIF(I7394,"32*")&gt;0,COUNTIF(J7394,"*32*")&gt;0,COUNTIF(I7394,"33*")&gt;0,COUNTIF(J7394,"*33*")&gt;0,COUNTIF(I7394,"41*")&gt;0,COUNTIF(J7394,"*41*")&gt;0,COUNTIF(I7394,"42*")&gt;0,COUNTIF(J7394,"*42*")&gt;0,COUNTIF(I7394,"43*")&gt;0,COUNTIF(J7394,"*43*")&gt;0,COUNTIF(I7394,"49*")&gt;0,COUNTIF(J7394,"*49*")&gt;0,COUNTIF(I7394,"52*")&gt;0,COUNTIF(J7394,"*52*")&gt;0,COUNTIF(I7394,"55*")&gt;0,COUNTIF(J7394,"*55*")&gt;0,COUNTIF(I7394,"56*")&gt;0,COUNTIF(J7394,"*56*")&gt;0,COUNTIF(I7394,"68*")&gt;0,COUNTIF(J7394,"*68*")&gt;0,COUNTIF(I7394,"78*")&gt;0,COUNTIF(J7394,"*78*")&gt;0,COUNTIF(I7394,"81*")&gt;0,COUNTIF(J7394,"*81*")&gt;0,COUNTIF(I7394,"82*")&gt;0,COUNTIF(J7394,"*82*")&gt;0,COUNTIF(I7394,"64*")&gt;0,COUNTIF(J7394,"*64*")&gt;0,COUNTIF(I7394,"65*")&gt;0,COUNTIF(J7394,"*65*")&gt;0,COUNTIF(I7394,"66*")&gt;0,COUNTIF(J7394,"*66*")&gt;0,COUNTIF(I7394,"61*")&gt;0,COUNTIF(J7394,"*61*")&gt;0,COUNTIF(I7394,"62*")&gt;0,COUNTIF(J7394,"*62*")&gt;0,COUNTIF(I7394,"63*")&gt;0,COUNTIF(J7394,"*63*")&gt;0,COUNTIF(I7394,"85*")&gt;0,COUNTIF(J7394,"*85*")&gt;0,COUNTIF(I7394,"86*")&gt;0,COUNTIF(J7394,"*86*")&gt;0),"Да","Нет"))</f>
        <v/>
      </c>
      <c r="M7394" s="13">
        <f>IF(OR(G7394="",L7394&lt;&gt;"Да"),"",IF(G7394&lt;=100,"До 100",IF(G7394&lt;=200,"До 200",IF(G7394&lt;=500,"До 500","Отдельное КП"))))</f>
        <v/>
      </c>
      <c r="N7394" s="15">
        <f>IF(OR(G7394="",L7394&lt;&gt;"Да"),"",IF(G7394&lt;=100,33600,IF(G7394&lt;=200,62400,IF(G7394&lt;=500,144000,""))))</f>
        <v/>
      </c>
      <c r="O7394" s="16">
        <f>IF(G7394="","",IF(G7394&lt;=15,"1–15",IF(G7394&lt;=30,"16–30",IF(G7394&lt;=50,"31–50",IF(G7394&lt;=100,"51–100",IF(G7394&lt;=150,"101–150",IF(G7394&lt;=200,"151–200",IF(G7394&lt;=500,"201–500","500+"))))))))</f>
        <v/>
      </c>
      <c r="P7394" s="16" t="inlineStr">
        <is>
          <t>Нет совпадения в предоставленной выгрузке ССЧР</t>
        </is>
      </c>
      <c r="Q7394" s="16" t="n"/>
      <c r="R7394" s="16">
        <f>HYPERLINK("https://checko.ru/search?query=3801001629","Чекко: проверить")</f>
        <v/>
      </c>
      <c r="S7394" t="n">
        <v>0</v>
      </c>
    </row>
    <row r="7395" ht="15" customHeight="1" s="24">
      <c r="A7395" s="13" t="inlineStr">
        <is>
          <t>FR1023958</t>
        </is>
      </c>
      <c r="B7395" s="13" t="inlineStr">
        <is>
          <t>ИП Костромина Юлия Михайловна</t>
        </is>
      </c>
      <c r="C7395" s="13" t="n">
        <v>383703930149</v>
      </c>
      <c r="D7395" s="13" t="inlineStr">
        <is>
          <t>383703930149</t>
        </is>
      </c>
      <c r="E7395" s="13" t="inlineStr">
        <is>
          <t>ИП РФ / физлицо</t>
        </is>
      </c>
      <c r="F7395" s="13" t="n"/>
      <c r="G7395" s="14" t="n"/>
      <c r="H7395" s="14" t="n"/>
      <c r="I7395" s="14" t="n"/>
      <c r="J7395" s="14" t="n"/>
      <c r="K7395" s="53" t="inlineStr"/>
      <c r="L7395" s="53" t="inlineStr">
        <is>
          <t>Не определено</t>
        </is>
      </c>
      <c r="M7395" s="53" t="inlineStr"/>
      <c r="N7395" s="54" t="inlineStr"/>
      <c r="O7395" s="55" t="inlineStr"/>
      <c r="P7395" s="16" t="inlineStr">
        <is>
          <t>Требует обогащения</t>
        </is>
      </c>
      <c r="Q7395" s="16">
        <f>HYPERLINK("https://pb.nalog.ru/search.html?query=383703930149","ФНС: проверить")</f>
        <v/>
      </c>
      <c r="R7395" s="16">
        <f>HYPERLINK("https://checko.ru/search?query=3801001629","Чекко: проверить")</f>
        <v/>
      </c>
      <c r="S7395" t="n">
        <v>1</v>
      </c>
      <c r="T7395" s="35" t="inlineStr">
        <is>
          <t>4 — Не обогащён</t>
        </is>
      </c>
      <c r="U7395" s="35" t="inlineStr">
        <is>
          <t>Нет ОКВЭД/ССЧР</t>
        </is>
      </c>
      <c r="V7395" s="35" t="inlineStr">
        <is>
          <t>Не определено</t>
        </is>
      </c>
      <c r="W7395" s="35" t="inlineStr"/>
      <c r="X7395" s="35" t="inlineStr"/>
    </row>
    <row r="7396" ht="15" customHeight="1" s="24">
      <c r="A7396" s="13" t="inlineStr">
        <is>
          <t>FR484132</t>
        </is>
      </c>
      <c r="B7396" s="13" t="inlineStr">
        <is>
          <t>Новый Крепнер, ООО</t>
        </is>
      </c>
      <c r="C7396" s="13" t="n">
        <v>7802276856</v>
      </c>
      <c r="D7396" s="13" t="inlineStr">
        <is>
          <t>7802276856</t>
        </is>
      </c>
      <c r="E7396" s="13" t="inlineStr">
        <is>
          <t>ЮЛ РФ</t>
        </is>
      </c>
      <c r="F7396" s="13" t="n"/>
      <c r="G7396" s="52" t="n">
        <v>2</v>
      </c>
      <c r="H7396" s="52" t="n">
        <v>2025</v>
      </c>
      <c r="I7396" s="14" t="n"/>
      <c r="J7396" s="14" t="n"/>
      <c r="K7396" s="53" t="inlineStr">
        <is>
          <t>Нет</t>
        </is>
      </c>
      <c r="L7396" s="53" t="inlineStr">
        <is>
          <t>Не определено</t>
        </is>
      </c>
      <c r="M7396" s="53" t="inlineStr">
        <is>
          <t>До 10</t>
        </is>
      </c>
      <c r="N7396" s="54" t="n">
        <v>3360</v>
      </c>
      <c r="O7396" s="55" t="inlineStr">
        <is>
          <t>1–15</t>
        </is>
      </c>
      <c r="P7396" s="16" t="inlineStr">
        <is>
          <t>ССЧР обогащена; ОКВЭД не найден/не загружен</t>
        </is>
      </c>
      <c r="Q7396" s="16" t="inlineStr">
        <is>
          <t>ФНС открытые данные ССЧР (ДатаСост 31.12.2025; набор 7707329152-sshr2019)</t>
        </is>
      </c>
      <c r="R7396" s="16">
        <f>HYPERLINK("https://checko.ru/search?query=3801001629","Чекко: проверить")</f>
        <v/>
      </c>
      <c r="S7396" t="n">
        <v>1</v>
      </c>
      <c r="T7396" s="35" t="inlineStr">
        <is>
          <t>4 — Не обогащён</t>
        </is>
      </c>
      <c r="U7396" s="35" t="inlineStr">
        <is>
          <t>Нет ОКВЭД/ССЧР</t>
        </is>
      </c>
      <c r="V7396" s="35" t="inlineStr">
        <is>
          <t>Не определено</t>
        </is>
      </c>
      <c r="W7396" s="35" t="inlineStr">
        <is>
          <t>Нет</t>
        </is>
      </c>
      <c r="X7396" s="35" t="inlineStr"/>
    </row>
    <row r="7397" ht="15" customHeight="1" s="24">
      <c r="A7397" s="13" t="inlineStr">
        <is>
          <t>FR399039</t>
        </is>
      </c>
      <c r="B7397" s="13" t="inlineStr">
        <is>
          <t>ИП Иванов Виталий Юрьевич</t>
        </is>
      </c>
      <c r="C7397" s="13" t="n">
        <v>380413121158</v>
      </c>
      <c r="D7397" s="13" t="inlineStr">
        <is>
          <t>380413121158</t>
        </is>
      </c>
      <c r="E7397" s="13" t="inlineStr">
        <is>
          <t>ИП РФ / физлицо</t>
        </is>
      </c>
      <c r="F7397" s="13" t="n"/>
      <c r="G7397" s="14" t="n"/>
      <c r="H7397" s="14" t="n"/>
      <c r="I7397" s="14" t="n"/>
      <c r="J7397" s="14" t="n"/>
      <c r="K7397" s="53" t="inlineStr"/>
      <c r="L7397" s="53" t="inlineStr">
        <is>
          <t>Не определено</t>
        </is>
      </c>
      <c r="M7397" s="53" t="inlineStr"/>
      <c r="N7397" s="54" t="inlineStr"/>
      <c r="O7397" s="55" t="inlineStr"/>
      <c r="P7397" s="16" t="inlineStr">
        <is>
          <t>Требует обогащения</t>
        </is>
      </c>
      <c r="Q7397" s="16">
        <f>HYPERLINK("https://pb.nalog.ru/search.html?query=380413121158","ФНС: проверить")</f>
        <v/>
      </c>
      <c r="R7397" s="16">
        <f>HYPERLINK("https://checko.ru/search?query=3801001629","Чекко: проверить")</f>
        <v/>
      </c>
      <c r="S7397" t="n">
        <v>1</v>
      </c>
      <c r="T7397" s="35" t="inlineStr">
        <is>
          <t>4 — Не обогащён</t>
        </is>
      </c>
      <c r="U7397" s="35" t="inlineStr">
        <is>
          <t>Нет ОКВЭД/ССЧР</t>
        </is>
      </c>
      <c r="V7397" s="35" t="inlineStr">
        <is>
          <t>Не определено</t>
        </is>
      </c>
      <c r="W7397" s="35" t="inlineStr"/>
      <c r="X7397" s="35" t="inlineStr"/>
    </row>
    <row r="7398" ht="41.25" customHeight="1" s="24">
      <c r="A7398" s="13" t="inlineStr">
        <is>
          <t>FR839215</t>
        </is>
      </c>
      <c r="B7398" s="13" t="inlineStr">
        <is>
          <t>Муниципальное казенное учреждение «Обслуживание социальной сферы Нижнеудинского района»</t>
        </is>
      </c>
      <c r="C7398" s="13" t="n">
        <v>3835060823</v>
      </c>
      <c r="D7398" s="13" t="inlineStr">
        <is>
          <t>3835060823</t>
        </is>
      </c>
      <c r="E7398" s="13" t="inlineStr">
        <is>
          <t>ЮЛ РФ</t>
        </is>
      </c>
      <c r="F7398" s="13" t="n"/>
      <c r="G7398" s="14" t="n"/>
      <c r="H7398" s="14" t="n"/>
      <c r="I7398" s="14" t="n"/>
      <c r="J7398" s="14" t="n"/>
      <c r="K7398" s="53" t="inlineStr"/>
      <c r="L7398" s="53" t="inlineStr">
        <is>
          <t>Не определено</t>
        </is>
      </c>
      <c r="M7398" s="53" t="inlineStr"/>
      <c r="N7398" s="54" t="inlineStr"/>
      <c r="O7398" s="55" t="inlineStr"/>
      <c r="P7398" s="16" t="inlineStr">
        <is>
          <t>Требует обогащения</t>
        </is>
      </c>
      <c r="Q7398" s="16">
        <f>HYPERLINK("https://pb.nalog.ru/search.html?query=3835060823","ФНС: проверить")</f>
        <v/>
      </c>
      <c r="R7398" s="16">
        <f>HYPERLINK("https://checko.ru/search?query=3801001629","Чекко: проверить")</f>
        <v/>
      </c>
      <c r="S7398" t="n">
        <v>1</v>
      </c>
      <c r="T7398" s="35" t="inlineStr">
        <is>
          <t>4 — Не обогащён</t>
        </is>
      </c>
      <c r="U7398" s="35" t="inlineStr">
        <is>
          <t>Нет ОКВЭД/ССЧР</t>
        </is>
      </c>
      <c r="V7398" s="35" t="inlineStr">
        <is>
          <t>Не определено</t>
        </is>
      </c>
      <c r="W7398" s="35" t="inlineStr"/>
      <c r="X7398" s="35" t="inlineStr"/>
    </row>
    <row r="7399" ht="15" customHeight="1" s="24">
      <c r="A7399" s="13" t="inlineStr">
        <is>
          <t>FR812776</t>
        </is>
      </c>
      <c r="B7399" s="13" t="inlineStr">
        <is>
          <t>ИП Кирш Артём Анатольевич</t>
        </is>
      </c>
      <c r="C7399" s="13" t="n">
        <v>383702894610</v>
      </c>
      <c r="D7399" s="13" t="inlineStr">
        <is>
          <t>383702894610</t>
        </is>
      </c>
      <c r="E7399" s="13" t="inlineStr">
        <is>
          <t>ИП РФ / физлицо</t>
        </is>
      </c>
      <c r="F7399" s="13" t="n"/>
      <c r="G7399" s="14" t="n"/>
      <c r="H7399" s="14" t="n"/>
      <c r="I7399" s="14" t="n"/>
      <c r="J7399" s="14" t="n"/>
      <c r="K7399" s="53" t="inlineStr"/>
      <c r="L7399" s="53" t="inlineStr">
        <is>
          <t>Не определено</t>
        </is>
      </c>
      <c r="M7399" s="53" t="inlineStr"/>
      <c r="N7399" s="54" t="inlineStr"/>
      <c r="O7399" s="55" t="inlineStr"/>
      <c r="P7399" s="16" t="inlineStr">
        <is>
          <t>Требует обогащения</t>
        </is>
      </c>
      <c r="Q7399" s="16">
        <f>HYPERLINK("https://pb.nalog.ru/search.html?query=383702894610","ФНС: проверить")</f>
        <v/>
      </c>
      <c r="R7399" s="16">
        <f>HYPERLINK("https://checko.ru/search?query=3801001629","Чекко: проверить")</f>
        <v/>
      </c>
      <c r="S7399" t="n">
        <v>1</v>
      </c>
      <c r="T7399" s="35" t="inlineStr">
        <is>
          <t>4 — Не обогащён</t>
        </is>
      </c>
      <c r="U7399" s="35" t="inlineStr">
        <is>
          <t>Нет ОКВЭД/ССЧР</t>
        </is>
      </c>
      <c r="V7399" s="35" t="inlineStr">
        <is>
          <t>Не определено</t>
        </is>
      </c>
      <c r="W7399" s="35" t="inlineStr"/>
      <c r="X7399" s="35" t="inlineStr"/>
    </row>
    <row r="7400" ht="41.25" customHeight="1" s="24">
      <c r="A7400" s="13" t="inlineStr">
        <is>
          <t>FR504242</t>
        </is>
      </c>
      <c r="B7400" s="13" t="inlineStr">
        <is>
          <t>ОБЩЕСТВО С ОГРАНИЧЕННОЙ ОТВЕТСТВЕННОСТЬЮ "УПРАВЛЯЮЩАЯ КОМПАНИЯ ЖИЛИЩНЫЙ ТРЕСТ Г.БРАТСКА"</t>
        </is>
      </c>
      <c r="C7400" s="13" t="n">
        <v>3804049202</v>
      </c>
      <c r="D7400" s="13" t="inlineStr">
        <is>
          <t>3804049202</t>
        </is>
      </c>
      <c r="E7400" s="13" t="inlineStr">
        <is>
          <t>ЮЛ РФ</t>
        </is>
      </c>
      <c r="F7400" s="13" t="n"/>
      <c r="G7400" s="52" t="n">
        <v>2</v>
      </c>
      <c r="H7400" s="52" t="n">
        <v>2025</v>
      </c>
      <c r="I7400" s="14" t="n"/>
      <c r="J7400" s="14" t="n"/>
      <c r="K7400" s="53" t="inlineStr">
        <is>
          <t>Нет</t>
        </is>
      </c>
      <c r="L7400" s="53" t="inlineStr">
        <is>
          <t>Не определено</t>
        </is>
      </c>
      <c r="M7400" s="53" t="inlineStr">
        <is>
          <t>До 10</t>
        </is>
      </c>
      <c r="N7400" s="54" t="n">
        <v>3360</v>
      </c>
      <c r="O7400" s="55" t="inlineStr">
        <is>
          <t>1–15</t>
        </is>
      </c>
      <c r="P7400" s="16" t="inlineStr">
        <is>
          <t>ССЧР обогащена; ОКВЭД не найден/не загружен</t>
        </is>
      </c>
      <c r="Q7400" s="16" t="inlineStr">
        <is>
          <t>ФНС открытые данные ССЧР (ДатаСост 31.12.2025; набор 7707329152-sshr2019)</t>
        </is>
      </c>
      <c r="R7400" s="16">
        <f>HYPERLINK("https://checko.ru/search?query=3801001629","Чекко: проверить")</f>
        <v/>
      </c>
      <c r="S7400" t="n">
        <v>1</v>
      </c>
      <c r="T7400" s="35" t="inlineStr">
        <is>
          <t>4 — Не обогащён</t>
        </is>
      </c>
      <c r="U7400" s="35" t="inlineStr">
        <is>
          <t>Нет ОКВЭД/ССЧР</t>
        </is>
      </c>
      <c r="V7400" s="35" t="inlineStr">
        <is>
          <t>Не определено</t>
        </is>
      </c>
      <c r="W7400" s="35" t="inlineStr">
        <is>
          <t>Нет</t>
        </is>
      </c>
      <c r="X7400" s="35" t="inlineStr"/>
    </row>
    <row r="7401" ht="27.75" customHeight="1" s="24">
      <c r="A7401" s="13" t="inlineStr">
        <is>
          <t>FR987944</t>
        </is>
      </c>
      <c r="B7401" s="13" t="inlineStr">
        <is>
          <t>Общество с ограниченной ответственностью "ВИВТАР"</t>
        </is>
      </c>
      <c r="C7401" s="13" t="n">
        <v>3808268068</v>
      </c>
      <c r="D7401" s="13" t="inlineStr">
        <is>
          <t>3808268068</t>
        </is>
      </c>
      <c r="E7401" s="13" t="inlineStr">
        <is>
          <t>ЮЛ РФ</t>
        </is>
      </c>
      <c r="F7401" s="13" t="n"/>
      <c r="G7401" s="52" t="n">
        <v>41</v>
      </c>
      <c r="H7401" s="52" t="n">
        <v>2025</v>
      </c>
      <c r="I7401" s="52" t="inlineStr">
        <is>
          <t>49.41</t>
        </is>
      </c>
      <c r="J7401" s="52" t="inlineStr">
        <is>
          <t>49.41; 23.61; 23.69; 25.11; 41.20; 42.11; 42.21; 42.22; 43.11; 43.12; 43.21; 43.22; 43.29; 43.31; 43.32; 43.33; 43.34; 43.39; 43.91; 43.99; 45.20; 46.73; 47.30; 52.24; 68.20</t>
        </is>
      </c>
      <c r="K7401" s="53" t="inlineStr">
        <is>
          <t>Да</t>
        </is>
      </c>
      <c r="L7401" s="53" t="inlineStr">
        <is>
          <t>Да</t>
        </is>
      </c>
      <c r="M7401" s="53" t="inlineStr">
        <is>
          <t>До 50</t>
        </is>
      </c>
      <c r="N7401" s="54" t="n">
        <v>16800</v>
      </c>
      <c r="O7401" s="55" t="inlineStr">
        <is>
          <t>31–50</t>
        </is>
      </c>
      <c r="P7401" s="16" t="inlineStr">
        <is>
          <t>ССЧР + ОКВЭД обогащены</t>
        </is>
      </c>
      <c r="Q7401" s="16" t="inlineStr">
        <is>
          <t>ФНС открытые данные ССЧР (ДатаСост 31.12.2025; набор 7707329152-sshr2019)</t>
        </is>
      </c>
      <c r="R7401" s="16" t="inlineStr">
        <is>
          <t>ЕГРЮЛ / egrul.nalog.ru (выписка)</t>
        </is>
      </c>
      <c r="S7401" t="n">
        <v>1</v>
      </c>
      <c r="T7401" s="35" t="inlineStr">
        <is>
          <t>1 — Горячий</t>
        </is>
      </c>
      <c r="U7401" s="35" t="inlineStr">
        <is>
          <t>ОКВЭД + 22+</t>
        </is>
      </c>
      <c r="V7401" s="35" t="inlineStr">
        <is>
          <t>Да</t>
        </is>
      </c>
      <c r="W7401" s="35" t="inlineStr">
        <is>
          <t>Да</t>
        </is>
      </c>
      <c r="X7401" s="35" t="inlineStr">
        <is>
          <t>Да</t>
        </is>
      </c>
    </row>
    <row r="7402" ht="27.75" customHeight="1" s="24">
      <c r="A7402" s="13" t="inlineStr">
        <is>
          <t>FR1220364</t>
        </is>
      </c>
      <c r="B7402" s="13" t="inlineStr">
        <is>
          <t>Общество с ограниченной ответственностью "МАЯК"</t>
        </is>
      </c>
      <c r="C7402" s="13" t="n">
        <v>3849106651</v>
      </c>
      <c r="D7402" s="13" t="inlineStr">
        <is>
          <t>3849106651</t>
        </is>
      </c>
      <c r="E7402" s="13" t="inlineStr">
        <is>
          <t>ЮЛ РФ</t>
        </is>
      </c>
      <c r="F7402" s="13" t="n"/>
      <c r="G7402" s="52" t="n">
        <v>2</v>
      </c>
      <c r="H7402" s="52" t="n">
        <v>2025</v>
      </c>
      <c r="I7402" s="14" t="n"/>
      <c r="J7402" s="14" t="n"/>
      <c r="K7402" s="53" t="inlineStr">
        <is>
          <t>Нет</t>
        </is>
      </c>
      <c r="L7402" s="53" t="inlineStr">
        <is>
          <t>Не определено</t>
        </is>
      </c>
      <c r="M7402" s="53" t="inlineStr">
        <is>
          <t>До 10</t>
        </is>
      </c>
      <c r="N7402" s="54" t="n">
        <v>3360</v>
      </c>
      <c r="O7402" s="55" t="inlineStr">
        <is>
          <t>1–15</t>
        </is>
      </c>
      <c r="P7402" s="16" t="inlineStr">
        <is>
          <t>ССЧР обогащена; ОКВЭД не найден/не загружен</t>
        </is>
      </c>
      <c r="Q7402" s="16" t="inlineStr">
        <is>
          <t>ФНС открытые данные ССЧР (ДатаСост 31.12.2025; набор 7707329152-sshr2019)</t>
        </is>
      </c>
      <c r="R7402" s="16">
        <f>HYPERLINK("https://checko.ru/search?query=3801001629","Чекко: проверить")</f>
        <v/>
      </c>
      <c r="S7402" t="n">
        <v>1</v>
      </c>
      <c r="T7402" s="35" t="inlineStr">
        <is>
          <t>4 — Не обогащён</t>
        </is>
      </c>
      <c r="U7402" s="35" t="inlineStr">
        <is>
          <t>Нет ОКВЭД/ССЧР</t>
        </is>
      </c>
      <c r="V7402" s="35" t="inlineStr">
        <is>
          <t>Не определено</t>
        </is>
      </c>
      <c r="W7402" s="35" t="inlineStr">
        <is>
          <t>Нет</t>
        </is>
      </c>
      <c r="X7402" s="35" t="inlineStr"/>
    </row>
    <row r="7403" ht="41.25" customHeight="1" s="24">
      <c r="A7403" s="13" t="inlineStr">
        <is>
          <t>FR273683</t>
        </is>
      </c>
      <c r="B7403" s="13" t="inlineStr">
        <is>
          <t>ОБЩЕСТВО С ОГРАНИЧЕННОЙ ОТВЕТСТВЕННОСТЬЮ ОХРАННОЕ АГЕНТСТВО "СТАТУС"</t>
        </is>
      </c>
      <c r="C7403" s="13" t="n">
        <v>3808267949</v>
      </c>
      <c r="D7403" s="13" t="inlineStr">
        <is>
          <t>3808267949</t>
        </is>
      </c>
      <c r="E7403" s="13" t="inlineStr">
        <is>
          <t>ЮЛ РФ</t>
        </is>
      </c>
      <c r="F7403" s="13" t="n"/>
      <c r="G7403" s="52" t="n">
        <v>17</v>
      </c>
      <c r="H7403" s="52" t="n">
        <v>2025</v>
      </c>
      <c r="I7403" s="14" t="n"/>
      <c r="J7403" s="14" t="n"/>
      <c r="K7403" s="53" t="inlineStr">
        <is>
          <t>Нет</t>
        </is>
      </c>
      <c r="L7403" s="53" t="inlineStr">
        <is>
          <t>Не определено</t>
        </is>
      </c>
      <c r="M7403" s="53" t="inlineStr">
        <is>
          <t>До 25</t>
        </is>
      </c>
      <c r="N7403" s="54" t="n">
        <v>8400</v>
      </c>
      <c r="O7403" s="55" t="inlineStr">
        <is>
          <t>16–30</t>
        </is>
      </c>
      <c r="P7403" s="16" t="inlineStr">
        <is>
          <t>ССЧР обогащена; ОКВЭД не найден/не загружен</t>
        </is>
      </c>
      <c r="Q7403" s="16" t="inlineStr">
        <is>
          <t>ФНС открытые данные ССЧР (ДатаСост 31.12.2025; набор 7707329152-sshr2019)</t>
        </is>
      </c>
      <c r="R7403" s="16">
        <f>HYPERLINK("https://checko.ru/search?query=3801001629","Чекко: проверить")</f>
        <v/>
      </c>
      <c r="S7403" t="n">
        <v>1</v>
      </c>
      <c r="T7403" s="35" t="inlineStr">
        <is>
          <t>4 — Не обогащён</t>
        </is>
      </c>
      <c r="U7403" s="35" t="inlineStr">
        <is>
          <t>Нет ОКВЭД/ССЧР</t>
        </is>
      </c>
      <c r="V7403" s="35" t="inlineStr">
        <is>
          <t>Не определено</t>
        </is>
      </c>
      <c r="W7403" s="35" t="inlineStr">
        <is>
          <t>Нет</t>
        </is>
      </c>
      <c r="X7403" s="35" t="inlineStr"/>
    </row>
    <row r="7404" ht="15" customHeight="1" s="24">
      <c r="A7404" s="13" t="inlineStr">
        <is>
          <t>FR1233393</t>
        </is>
      </c>
      <c r="B7404" s="13" t="inlineStr">
        <is>
          <t>ИП Исрафилов Азад Наджафович</t>
        </is>
      </c>
      <c r="C7404" s="13" t="n">
        <v>381809341774</v>
      </c>
      <c r="D7404" s="13" t="inlineStr">
        <is>
          <t>381809341774</t>
        </is>
      </c>
      <c r="E7404" s="13" t="inlineStr">
        <is>
          <t>ИП РФ / физлицо</t>
        </is>
      </c>
      <c r="F7404" s="13" t="n"/>
      <c r="G7404" s="14" t="n"/>
      <c r="H7404" s="14" t="n"/>
      <c r="I7404" s="14" t="n"/>
      <c r="J7404" s="14" t="n"/>
      <c r="K7404" s="53" t="inlineStr"/>
      <c r="L7404" s="53" t="inlineStr">
        <is>
          <t>Не определено</t>
        </is>
      </c>
      <c r="M7404" s="53" t="inlineStr"/>
      <c r="N7404" s="54" t="inlineStr"/>
      <c r="O7404" s="55" t="inlineStr"/>
      <c r="P7404" s="16" t="inlineStr">
        <is>
          <t>Требует обогащения</t>
        </is>
      </c>
      <c r="Q7404" s="16">
        <f>HYPERLINK("https://pb.nalog.ru/search.html?query=381809341774","ФНС: проверить")</f>
        <v/>
      </c>
      <c r="R7404" s="16">
        <f>HYPERLINK("https://checko.ru/search?query=3801001629","Чекко: проверить")</f>
        <v/>
      </c>
      <c r="S7404" t="n">
        <v>1</v>
      </c>
      <c r="T7404" s="35" t="inlineStr">
        <is>
          <t>4 — Не обогащён</t>
        </is>
      </c>
      <c r="U7404" s="35" t="inlineStr">
        <is>
          <t>Нет ОКВЭД/ССЧР</t>
        </is>
      </c>
      <c r="V7404" s="35" t="inlineStr">
        <is>
          <t>Не определено</t>
        </is>
      </c>
      <c r="W7404" s="35" t="inlineStr"/>
      <c r="X7404" s="35" t="inlineStr"/>
    </row>
    <row r="7405" ht="15" customHeight="1" s="24">
      <c r="A7405" s="13" t="inlineStr">
        <is>
          <t>FR1222151</t>
        </is>
      </c>
      <c r="B7405" s="13" t="inlineStr">
        <is>
          <t>ООО "БАЛАНС"</t>
        </is>
      </c>
      <c r="C7405" s="13" t="n">
        <v>3849109941</v>
      </c>
      <c r="D7405" s="13" t="inlineStr">
        <is>
          <t>3849109941</t>
        </is>
      </c>
      <c r="E7405" s="13" t="inlineStr">
        <is>
          <t>ЮЛ РФ</t>
        </is>
      </c>
      <c r="F7405" s="13" t="n"/>
      <c r="G7405" s="52" t="n">
        <v>0</v>
      </c>
      <c r="H7405" s="52" t="n">
        <v>2025</v>
      </c>
      <c r="I7405" s="14" t="n"/>
      <c r="J7405" s="14" t="n"/>
      <c r="K7405" s="53" t="inlineStr">
        <is>
          <t>Нет</t>
        </is>
      </c>
      <c r="L7405" s="53" t="inlineStr">
        <is>
          <t>Не определено</t>
        </is>
      </c>
      <c r="M7405" s="53" t="inlineStr">
        <is>
          <t>До 10</t>
        </is>
      </c>
      <c r="N7405" s="54" t="n">
        <v>3360</v>
      </c>
      <c r="O7405" s="55" t="inlineStr">
        <is>
          <t>1–15</t>
        </is>
      </c>
      <c r="P7405" s="16" t="inlineStr">
        <is>
          <t>ССЧР обогащена; ОКВЭД не найден/не загружен</t>
        </is>
      </c>
      <c r="Q7405" s="16" t="inlineStr">
        <is>
          <t>ФНС открытые данные ССЧР (ДатаСост 31.12.2025; набор 7707329152-sshr2019)</t>
        </is>
      </c>
      <c r="R7405" s="16">
        <f>HYPERLINK("https://checko.ru/search?query=3801001629","Чекко: проверить")</f>
        <v/>
      </c>
      <c r="S7405" t="n">
        <v>1</v>
      </c>
      <c r="T7405" s="35" t="inlineStr">
        <is>
          <t>4 — Не обогащён</t>
        </is>
      </c>
      <c r="U7405" s="35" t="inlineStr">
        <is>
          <t>Нет ОКВЭД/ССЧР</t>
        </is>
      </c>
      <c r="V7405" s="35" t="inlineStr">
        <is>
          <t>Не определено</t>
        </is>
      </c>
      <c r="W7405" s="35" t="inlineStr">
        <is>
          <t>Нет</t>
        </is>
      </c>
      <c r="X7405" s="35" t="inlineStr"/>
    </row>
    <row r="7406" ht="41.25" customHeight="1" s="24">
      <c r="A7406" s="13" t="inlineStr">
        <is>
          <t>FR1027138</t>
        </is>
      </c>
      <c r="B7406" s="13" t="inlineStr">
        <is>
          <t>МУНИЦИПАЛЬНОЕ БЮДЖЕТНОЕ УЧРЕЖДЕНИЕ "МОЛОДЕЖНЫЙ ЦЕНТР БАМ" УСТЬ-КУТСКОГО МУНИЦИПАЛЬНОГО ОБРАЗОВАНИЯ</t>
        </is>
      </c>
      <c r="C7406" s="13" t="n">
        <v>3808289205</v>
      </c>
      <c r="D7406" s="13" t="inlineStr">
        <is>
          <t>3808289205</t>
        </is>
      </c>
      <c r="E7406" s="13" t="inlineStr">
        <is>
          <t>ЮЛ РФ</t>
        </is>
      </c>
      <c r="F7406" s="13" t="n"/>
      <c r="G7406" s="14" t="n"/>
      <c r="H7406" s="14" t="n"/>
      <c r="I7406" s="14" t="n"/>
      <c r="J7406" s="14" t="n"/>
      <c r="K7406" s="53" t="inlineStr"/>
      <c r="L7406" s="53" t="inlineStr">
        <is>
          <t>Не определено</t>
        </is>
      </c>
      <c r="M7406" s="53" t="inlineStr"/>
      <c r="N7406" s="54" t="inlineStr"/>
      <c r="O7406" s="55" t="inlineStr"/>
      <c r="P7406" s="16" t="inlineStr">
        <is>
          <t>Требует обогащения</t>
        </is>
      </c>
      <c r="Q7406" s="16">
        <f>HYPERLINK("https://pb.nalog.ru/search.html?query=3808289205","ФНС: проверить")</f>
        <v/>
      </c>
      <c r="R7406" s="16">
        <f>HYPERLINK("https://checko.ru/search?query=3801001629","Чекко: проверить")</f>
        <v/>
      </c>
      <c r="S7406" t="n">
        <v>1</v>
      </c>
      <c r="T7406" s="35" t="inlineStr">
        <is>
          <t>4 — Не обогащён</t>
        </is>
      </c>
      <c r="U7406" s="35" t="inlineStr">
        <is>
          <t>Нет ОКВЭД/ССЧР</t>
        </is>
      </c>
      <c r="V7406" s="35" t="inlineStr">
        <is>
          <t>Не определено</t>
        </is>
      </c>
      <c r="W7406" s="35" t="inlineStr"/>
      <c r="X7406" s="35" t="inlineStr"/>
    </row>
    <row r="7407" ht="41.25" customHeight="1" s="24">
      <c r="A7407" s="13" t="inlineStr">
        <is>
          <t>FR1236739</t>
        </is>
      </c>
      <c r="B7407" s="13" t="inlineStr">
        <is>
          <t>Общество с ограниченной ответственностью НАУЧНО-ИССЛЕДОВАТЕЛЬСКАЯ ПРОЕКТНАЯ РЕСТАВРАЦИОННАЯ КОМПАНИЯ</t>
        </is>
      </c>
      <c r="C7407" s="13" t="n">
        <v>3849110753</v>
      </c>
      <c r="D7407" s="13" t="inlineStr">
        <is>
          <t>3849110753</t>
        </is>
      </c>
      <c r="E7407" s="13" t="inlineStr">
        <is>
          <t>ЮЛ РФ</t>
        </is>
      </c>
      <c r="F7407" s="13" t="n"/>
      <c r="G7407" s="52" t="n">
        <v>1</v>
      </c>
      <c r="H7407" s="52" t="n">
        <v>2025</v>
      </c>
      <c r="I7407" s="14" t="n"/>
      <c r="J7407" s="14" t="n"/>
      <c r="K7407" s="53" t="inlineStr">
        <is>
          <t>Нет</t>
        </is>
      </c>
      <c r="L7407" s="53" t="inlineStr">
        <is>
          <t>Не определено</t>
        </is>
      </c>
      <c r="M7407" s="53" t="inlineStr">
        <is>
          <t>До 10</t>
        </is>
      </c>
      <c r="N7407" s="54" t="n">
        <v>3360</v>
      </c>
      <c r="O7407" s="55" t="inlineStr">
        <is>
          <t>1–15</t>
        </is>
      </c>
      <c r="P7407" s="16" t="inlineStr">
        <is>
          <t>ССЧР обогащена; ОКВЭД не найден/не загружен</t>
        </is>
      </c>
      <c r="Q7407" s="16" t="inlineStr">
        <is>
          <t>ФНС открытые данные ССЧР (ДатаСост 31.12.2025; набор 7707329152-sshr2019)</t>
        </is>
      </c>
      <c r="R7407" s="16">
        <f>HYPERLINK("https://checko.ru/search?query=3801001629","Чекко: проверить")</f>
        <v/>
      </c>
      <c r="S7407" t="n">
        <v>1</v>
      </c>
      <c r="T7407" s="35" t="inlineStr">
        <is>
          <t>4 — Не обогащён</t>
        </is>
      </c>
      <c r="U7407" s="35" t="inlineStr">
        <is>
          <t>Нет ОКВЭД/ССЧР</t>
        </is>
      </c>
      <c r="V7407" s="35" t="inlineStr">
        <is>
          <t>Не определено</t>
        </is>
      </c>
      <c r="W7407" s="35" t="inlineStr">
        <is>
          <t>Нет</t>
        </is>
      </c>
      <c r="X7407" s="35" t="inlineStr"/>
    </row>
    <row r="7408" ht="27.75" customHeight="1" s="24">
      <c r="A7408" s="13" t="inlineStr">
        <is>
          <t>FR532595</t>
        </is>
      </c>
      <c r="B7408" s="13" t="inlineStr">
        <is>
          <t>ОБЩЕСТВО С ОГРАНИЧЕННОЙ ОТВЕТСТВЕННОСТЬЮ ТПК "ИРКСНАБ"</t>
        </is>
      </c>
      <c r="C7408" s="13" t="n">
        <v>3827066525</v>
      </c>
      <c r="D7408" s="13" t="inlineStr">
        <is>
          <t>3827066525</t>
        </is>
      </c>
      <c r="E7408" s="13" t="inlineStr">
        <is>
          <t>ЮЛ РФ</t>
        </is>
      </c>
      <c r="F7408" s="13" t="n"/>
      <c r="G7408" s="52" t="n">
        <v>3</v>
      </c>
      <c r="H7408" s="52" t="n">
        <v>2025</v>
      </c>
      <c r="I7408" s="14" t="n"/>
      <c r="J7408" s="14" t="n"/>
      <c r="K7408" s="53" t="inlineStr">
        <is>
          <t>Нет</t>
        </is>
      </c>
      <c r="L7408" s="53" t="inlineStr">
        <is>
          <t>Не определено</t>
        </is>
      </c>
      <c r="M7408" s="53" t="inlineStr">
        <is>
          <t>До 10</t>
        </is>
      </c>
      <c r="N7408" s="54" t="n">
        <v>3360</v>
      </c>
      <c r="O7408" s="55" t="inlineStr">
        <is>
          <t>1–15</t>
        </is>
      </c>
      <c r="P7408" s="16" t="inlineStr">
        <is>
          <t>ССЧР обогащена; ОКВЭД не найден/не загружен</t>
        </is>
      </c>
      <c r="Q7408" s="16" t="inlineStr">
        <is>
          <t>ФНС открытые данные ССЧР (ДатаСост 31.12.2025; набор 7707329152-sshr2019)</t>
        </is>
      </c>
      <c r="R7408" s="16">
        <f>HYPERLINK("https://checko.ru/search?query=3801001629","Чекко: проверить")</f>
        <v/>
      </c>
      <c r="S7408" t="n">
        <v>1</v>
      </c>
      <c r="T7408" s="35" t="inlineStr">
        <is>
          <t>4 — Не обогащён</t>
        </is>
      </c>
      <c r="U7408" s="35" t="inlineStr">
        <is>
          <t>Нет ОКВЭД/ССЧР</t>
        </is>
      </c>
      <c r="V7408" s="35" t="inlineStr">
        <is>
          <t>Не определено</t>
        </is>
      </c>
      <c r="W7408" s="35" t="inlineStr">
        <is>
          <t>Нет</t>
        </is>
      </c>
      <c r="X7408" s="35" t="inlineStr"/>
    </row>
    <row r="7409" ht="15" customHeight="1" s="24">
      <c r="A7409" s="13" t="inlineStr">
        <is>
          <t>FR771020</t>
        </is>
      </c>
      <c r="B7409" s="13" t="inlineStr">
        <is>
          <t>ИП Кушнарева Татьяна Александровна</t>
        </is>
      </c>
      <c r="C7409" s="13" t="n">
        <v>381100129400</v>
      </c>
      <c r="D7409" s="13" t="inlineStr">
        <is>
          <t>381100129400</t>
        </is>
      </c>
      <c r="E7409" s="13" t="inlineStr">
        <is>
          <t>ИП РФ / физлицо</t>
        </is>
      </c>
      <c r="F7409" s="13" t="n"/>
      <c r="G7409" s="14" t="n"/>
      <c r="H7409" s="14" t="n"/>
      <c r="I7409" s="14" t="n"/>
      <c r="J7409" s="14" t="n"/>
      <c r="K7409" s="53" t="inlineStr"/>
      <c r="L7409" s="53" t="inlineStr">
        <is>
          <t>Не определено</t>
        </is>
      </c>
      <c r="M7409" s="53" t="inlineStr"/>
      <c r="N7409" s="54" t="inlineStr"/>
      <c r="O7409" s="55" t="inlineStr"/>
      <c r="P7409" s="16" t="inlineStr">
        <is>
          <t>Требует обогащения</t>
        </is>
      </c>
      <c r="Q7409" s="16">
        <f>HYPERLINK("https://pb.nalog.ru/search.html?query=381100129400","ФНС: проверить")</f>
        <v/>
      </c>
      <c r="R7409" s="16">
        <f>HYPERLINK("https://checko.ru/search?query=3801001629","Чекко: проверить")</f>
        <v/>
      </c>
      <c r="S7409" t="n">
        <v>1</v>
      </c>
      <c r="T7409" s="35" t="inlineStr">
        <is>
          <t>4 — Не обогащён</t>
        </is>
      </c>
      <c r="U7409" s="35" t="inlineStr">
        <is>
          <t>Нет ОКВЭД/ССЧР</t>
        </is>
      </c>
      <c r="V7409" s="35" t="inlineStr">
        <is>
          <t>Не определено</t>
        </is>
      </c>
      <c r="W7409" s="35" t="inlineStr"/>
      <c r="X7409" s="35" t="inlineStr"/>
    </row>
    <row r="7410" ht="15" customHeight="1" s="24">
      <c r="A7410" s="13" t="inlineStr">
        <is>
          <t>FR771020</t>
        </is>
      </c>
      <c r="B7410" s="13" t="inlineStr">
        <is>
          <t>ИП Кушнарева Татьяна Александровна</t>
        </is>
      </c>
      <c r="C7410" s="13" t="n">
        <v>381100129400</v>
      </c>
      <c r="D7410" s="13" t="inlineStr">
        <is>
          <t>381100129400</t>
        </is>
      </c>
      <c r="E7410" s="13" t="inlineStr">
        <is>
          <t>ИП РФ / физлицо</t>
        </is>
      </c>
      <c r="F7410" s="13" t="n"/>
      <c r="G7410" s="14" t="n"/>
      <c r="H7410" s="14" t="n"/>
      <c r="I7410" s="14" t="n"/>
      <c r="J7410" s="14" t="n"/>
      <c r="K7410" s="53" t="inlineStr"/>
      <c r="L7410" s="53" t="inlineStr">
        <is>
          <t>Не определено</t>
        </is>
      </c>
      <c r="M7410" s="53" t="inlineStr"/>
      <c r="N7410" s="54" t="inlineStr"/>
      <c r="O7410" s="55" t="inlineStr"/>
      <c r="P7410" s="16" t="inlineStr">
        <is>
          <t>Требует обогащения</t>
        </is>
      </c>
      <c r="Q7410" s="16">
        <f>HYPERLINK("https://pb.nalog.ru/search.html?query=381100129400","ФНС: проверить")</f>
        <v/>
      </c>
      <c r="R7410" s="16">
        <f>HYPERLINK("https://checko.ru/search?query=3801001629","Чекко: проверить")</f>
        <v/>
      </c>
      <c r="S7410" t="n">
        <v>0</v>
      </c>
      <c r="T7410" s="35" t="inlineStr">
        <is>
          <t>4 — Не обогащён</t>
        </is>
      </c>
      <c r="U7410" s="35" t="inlineStr">
        <is>
          <t>Нет ОКВЭД/ССЧР</t>
        </is>
      </c>
      <c r="V7410" s="35" t="inlineStr">
        <is>
          <t>Не определено</t>
        </is>
      </c>
      <c r="W7410" s="35" t="inlineStr"/>
      <c r="X7410" s="35" t="inlineStr"/>
    </row>
    <row r="7411" ht="15" customHeight="1" s="24">
      <c r="A7411" s="13" t="inlineStr">
        <is>
          <t>FR1035283</t>
        </is>
      </c>
      <c r="B7411" s="13" t="inlineStr">
        <is>
          <t>ООО "МЕХАНИЗИРОВАННАЯ КОЛОННА №1"</t>
        </is>
      </c>
      <c r="C7411" s="13" t="n">
        <v>3810060162</v>
      </c>
      <c r="D7411" s="13" t="inlineStr">
        <is>
          <t>3810060162</t>
        </is>
      </c>
      <c r="E7411" s="13" t="inlineStr">
        <is>
          <t>ЮЛ РФ</t>
        </is>
      </c>
      <c r="F7411" s="13" t="n"/>
      <c r="G7411" s="52" t="n">
        <v>129</v>
      </c>
      <c r="H7411" s="52" t="n">
        <v>2025</v>
      </c>
      <c r="I7411" s="52" t="inlineStr">
        <is>
          <t>41.20</t>
        </is>
      </c>
      <c r="J7411" s="52" t="inlineStr">
        <is>
          <t>41.20; 05.10.11; 05.10.12; 05.10.13; 05.20.11; 08.11; 08.12; 23.61; 23.63; 23.99; 23.99.2; 32.12.4; 42.11; 42.21; 42.22.3; 42.91; 42.91.2; 42.91.4; 42.99; 43.11; 43.12.1; 43.12.3; 43.12.4; 43.13; 43.29; 43.31; 43.33; 43.34; 43.34.1; 43.39; 43.91; 43.99; 43.99.1; 43.99.2; 43.99.3; 43.99.4; 43.99.5; 43.99.6; 43.99.7; 45.20; 45.40; 46.63; 46.71; 46.73.6; 47.30</t>
        </is>
      </c>
      <c r="K7411" s="53" t="inlineStr">
        <is>
          <t>Да</t>
        </is>
      </c>
      <c r="L7411" s="53" t="inlineStr">
        <is>
          <t>Да</t>
        </is>
      </c>
      <c r="M7411" s="53" t="inlineStr">
        <is>
          <t>До 200</t>
        </is>
      </c>
      <c r="N7411" s="54" t="n">
        <v>62400</v>
      </c>
      <c r="O7411" s="55" t="inlineStr">
        <is>
          <t>101–200</t>
        </is>
      </c>
      <c r="P7411" s="16" t="inlineStr">
        <is>
          <t>ССЧР + ОКВЭД обогащены</t>
        </is>
      </c>
      <c r="Q7411" s="16" t="inlineStr">
        <is>
          <t>ФНС открытые данные ССЧР (ДатаСост 31.12.2025; набор 7707329152-sshr2019)</t>
        </is>
      </c>
      <c r="R7411" s="16" t="inlineStr">
        <is>
          <t>ЕГРЮЛ / egrul.nalog.ru (выписка)</t>
        </is>
      </c>
      <c r="S7411" t="n">
        <v>0</v>
      </c>
      <c r="T7411" s="35" t="inlineStr">
        <is>
          <t>1 — Горячий</t>
        </is>
      </c>
      <c r="U7411" s="35" t="inlineStr">
        <is>
          <t>ОКВЭД + 22+</t>
        </is>
      </c>
      <c r="V7411" s="35" t="inlineStr">
        <is>
          <t>Да</t>
        </is>
      </c>
      <c r="W7411" s="35" t="inlineStr">
        <is>
          <t>Да</t>
        </is>
      </c>
      <c r="X7411" s="35" t="inlineStr">
        <is>
          <t>Да</t>
        </is>
      </c>
    </row>
    <row r="7412" ht="15" customHeight="1" s="24">
      <c r="A7412" s="13" t="inlineStr">
        <is>
          <t>FR403901</t>
        </is>
      </c>
      <c r="B7412" s="13" t="inlineStr">
        <is>
          <t>ИП Шер Наталья Владимировна</t>
        </is>
      </c>
      <c r="C7412" s="13" t="n">
        <v>383100029400</v>
      </c>
      <c r="D7412" s="13" t="inlineStr">
        <is>
          <t>383100029400</t>
        </is>
      </c>
      <c r="E7412" s="13" t="inlineStr">
        <is>
          <t>ИП РФ / физлицо</t>
        </is>
      </c>
      <c r="F7412" s="13" t="n"/>
      <c r="G7412" s="14" t="n"/>
      <c r="H7412" s="14" t="n"/>
      <c r="I7412" s="14" t="n"/>
      <c r="J7412" s="14" t="n"/>
      <c r="K7412" s="53" t="inlineStr"/>
      <c r="L7412" s="53" t="inlineStr">
        <is>
          <t>Не определено</t>
        </is>
      </c>
      <c r="M7412" s="53" t="inlineStr"/>
      <c r="N7412" s="54" t="inlineStr"/>
      <c r="O7412" s="55" t="inlineStr"/>
      <c r="P7412" s="16" t="inlineStr">
        <is>
          <t>Требует обогащения</t>
        </is>
      </c>
      <c r="Q7412" s="16">
        <f>HYPERLINK("https://pb.nalog.ru/search.html?query=383100029400","ФНС: проверить")</f>
        <v/>
      </c>
      <c r="R7412" s="16">
        <f>HYPERLINK("https://checko.ru/search?query=3801001629","Чекко: проверить")</f>
        <v/>
      </c>
      <c r="S7412" t="n">
        <v>1</v>
      </c>
      <c r="T7412" s="35" t="inlineStr">
        <is>
          <t>4 — Не обогащён</t>
        </is>
      </c>
      <c r="U7412" s="35" t="inlineStr">
        <is>
          <t>Нет ОКВЭД/ССЧР</t>
        </is>
      </c>
      <c r="V7412" s="35" t="inlineStr">
        <is>
          <t>Не определено</t>
        </is>
      </c>
      <c r="W7412" s="35" t="inlineStr"/>
      <c r="X7412" s="35" t="inlineStr"/>
    </row>
    <row r="7413" ht="15" customHeight="1" s="24">
      <c r="A7413" s="13" t="inlineStr">
        <is>
          <t>FR1226513</t>
        </is>
      </c>
      <c r="B7413" s="13" t="inlineStr">
        <is>
          <t>ООО "ВС ТЭК"</t>
        </is>
      </c>
      <c r="C7413" s="13" t="n">
        <v>3849079528</v>
      </c>
      <c r="D7413" s="13" t="inlineStr">
        <is>
          <t>3849079528</t>
        </is>
      </c>
      <c r="E7413" s="13" t="inlineStr">
        <is>
          <t>ЮЛ РФ</t>
        </is>
      </c>
      <c r="F7413" s="13" t="n"/>
      <c r="G7413" s="14" t="n"/>
      <c r="H7413" s="14" t="n"/>
      <c r="I7413" s="14" t="n"/>
      <c r="J7413" s="14" t="n"/>
      <c r="K7413" s="53" t="inlineStr"/>
      <c r="L7413" s="53" t="inlineStr">
        <is>
          <t>Не определено</t>
        </is>
      </c>
      <c r="M7413" s="53" t="inlineStr"/>
      <c r="N7413" s="54" t="inlineStr"/>
      <c r="O7413" s="55" t="inlineStr"/>
      <c r="P7413" s="16" t="inlineStr">
        <is>
          <t>Требует обогащения</t>
        </is>
      </c>
      <c r="Q7413" s="16">
        <f>HYPERLINK("https://pb.nalog.ru/search.html?query=3849079528","ФНС: проверить")</f>
        <v/>
      </c>
      <c r="R7413" s="16">
        <f>HYPERLINK("https://checko.ru/search?query=3801001629","Чекко: проверить")</f>
        <v/>
      </c>
      <c r="S7413" t="n">
        <v>1</v>
      </c>
      <c r="T7413" s="35" t="inlineStr">
        <is>
          <t>4 — Не обогащён</t>
        </is>
      </c>
      <c r="U7413" s="35" t="inlineStr">
        <is>
          <t>Нет ОКВЭД/ССЧР</t>
        </is>
      </c>
      <c r="V7413" s="35" t="inlineStr">
        <is>
          <t>Не определено</t>
        </is>
      </c>
      <c r="W7413" s="35" t="inlineStr"/>
      <c r="X7413" s="35" t="inlineStr"/>
    </row>
    <row r="7414" ht="27.75" customHeight="1" s="24">
      <c r="A7414" s="13" t="inlineStr">
        <is>
          <t>FR1226648</t>
        </is>
      </c>
      <c r="B7414" s="13" t="inlineStr">
        <is>
          <t>Общество с ограниченной ответственностью "АМИТА"</t>
        </is>
      </c>
      <c r="C7414" s="13" t="n">
        <v>3849085480</v>
      </c>
      <c r="D7414" s="13" t="inlineStr">
        <is>
          <t>3849085480</t>
        </is>
      </c>
      <c r="E7414" s="13" t="inlineStr">
        <is>
          <t>ЮЛ РФ</t>
        </is>
      </c>
      <c r="F7414" s="13" t="n"/>
      <c r="G7414" s="52" t="n">
        <v>4</v>
      </c>
      <c r="H7414" s="52" t="n">
        <v>2025</v>
      </c>
      <c r="I7414" s="14" t="n"/>
      <c r="J7414" s="14" t="n"/>
      <c r="K7414" s="53" t="inlineStr">
        <is>
          <t>Нет</t>
        </is>
      </c>
      <c r="L7414" s="53" t="inlineStr">
        <is>
          <t>Не определено</t>
        </is>
      </c>
      <c r="M7414" s="53" t="inlineStr">
        <is>
          <t>До 10</t>
        </is>
      </c>
      <c r="N7414" s="54" t="n">
        <v>3360</v>
      </c>
      <c r="O7414" s="55" t="inlineStr">
        <is>
          <t>1–15</t>
        </is>
      </c>
      <c r="P7414" s="16" t="inlineStr">
        <is>
          <t>ССЧР обогащена; ОКВЭД не найден/не загружен</t>
        </is>
      </c>
      <c r="Q7414" s="16" t="inlineStr">
        <is>
          <t>ФНС открытые данные ССЧР (ДатаСост 31.12.2025; набор 7707329152-sshr2019)</t>
        </is>
      </c>
      <c r="R7414" s="16">
        <f>HYPERLINK("https://checko.ru/search?query=3801001629","Чекко: проверить")</f>
        <v/>
      </c>
      <c r="S7414" t="n">
        <v>1</v>
      </c>
      <c r="T7414" s="35" t="inlineStr">
        <is>
          <t>4 — Не обогащён</t>
        </is>
      </c>
      <c r="U7414" s="35" t="inlineStr">
        <is>
          <t>Нет ОКВЭД/ССЧР</t>
        </is>
      </c>
      <c r="V7414" s="35" t="inlineStr">
        <is>
          <t>Не определено</t>
        </is>
      </c>
      <c r="W7414" s="35" t="inlineStr">
        <is>
          <t>Нет</t>
        </is>
      </c>
      <c r="X7414" s="35" t="inlineStr"/>
    </row>
    <row r="7415" ht="15" customHeight="1" s="24">
      <c r="A7415" s="13" t="inlineStr">
        <is>
          <t>FR1031983</t>
        </is>
      </c>
      <c r="B7415" s="13" t="inlineStr">
        <is>
          <t>СИБИРЬ ТЕХНОЛОДЖИ ООО</t>
        </is>
      </c>
      <c r="C7415" s="13" t="n">
        <v>3811137403</v>
      </c>
      <c r="D7415" s="13" t="inlineStr">
        <is>
          <t>3811137403</t>
        </is>
      </c>
      <c r="E7415" s="13" t="inlineStr">
        <is>
          <t>ЮЛ РФ</t>
        </is>
      </c>
      <c r="F7415" s="13" t="n"/>
      <c r="G7415" s="52" t="n">
        <v>2</v>
      </c>
      <c r="H7415" s="52" t="n">
        <v>2025</v>
      </c>
      <c r="I7415" s="14" t="n"/>
      <c r="J7415" s="14" t="n"/>
      <c r="K7415" s="53" t="inlineStr">
        <is>
          <t>Нет</t>
        </is>
      </c>
      <c r="L7415" s="53" t="inlineStr">
        <is>
          <t>Не определено</t>
        </is>
      </c>
      <c r="M7415" s="53" t="inlineStr">
        <is>
          <t>До 10</t>
        </is>
      </c>
      <c r="N7415" s="54" t="n">
        <v>3360</v>
      </c>
      <c r="O7415" s="55" t="inlineStr">
        <is>
          <t>1–15</t>
        </is>
      </c>
      <c r="P7415" s="16" t="inlineStr">
        <is>
          <t>ССЧР обогащена; ОКВЭД не найден/не загружен</t>
        </is>
      </c>
      <c r="Q7415" s="16" t="inlineStr">
        <is>
          <t>ФНС открытые данные ССЧР (ДатаСост 31.12.2025; набор 7707329152-sshr2019)</t>
        </is>
      </c>
      <c r="R7415" s="16">
        <f>HYPERLINK("https://checko.ru/search?query=3801001629","Чекко: проверить")</f>
        <v/>
      </c>
      <c r="S7415" t="n">
        <v>1</v>
      </c>
      <c r="T7415" s="35" t="inlineStr">
        <is>
          <t>4 — Не обогащён</t>
        </is>
      </c>
      <c r="U7415" s="35" t="inlineStr">
        <is>
          <t>Нет ОКВЭД/ССЧР</t>
        </is>
      </c>
      <c r="V7415" s="35" t="inlineStr">
        <is>
          <t>Не определено</t>
        </is>
      </c>
      <c r="W7415" s="35" t="inlineStr">
        <is>
          <t>Нет</t>
        </is>
      </c>
      <c r="X7415" s="35" t="inlineStr"/>
    </row>
    <row r="7416" ht="15" customHeight="1" s="24">
      <c r="A7416" s="13" t="inlineStr">
        <is>
          <t>FR286754</t>
        </is>
      </c>
      <c r="B7416" s="13" t="inlineStr">
        <is>
          <t>Хабаровский логистический центр ООО</t>
        </is>
      </c>
      <c r="C7416" s="13" t="n">
        <v>2724235890</v>
      </c>
      <c r="D7416" s="13" t="inlineStr">
        <is>
          <t>2724235890</t>
        </is>
      </c>
      <c r="E7416" s="13" t="inlineStr">
        <is>
          <t>ЮЛ РФ</t>
        </is>
      </c>
      <c r="F7416" s="13" t="n"/>
      <c r="G7416" s="52" t="n">
        <v>15</v>
      </c>
      <c r="H7416" s="52" t="n">
        <v>2025</v>
      </c>
      <c r="I7416" s="14" t="n"/>
      <c r="J7416" s="14" t="n"/>
      <c r="K7416" s="53" t="inlineStr">
        <is>
          <t>Нет</t>
        </is>
      </c>
      <c r="L7416" s="53" t="inlineStr">
        <is>
          <t>Не определено</t>
        </is>
      </c>
      <c r="M7416" s="53" t="inlineStr">
        <is>
          <t>До 25</t>
        </is>
      </c>
      <c r="N7416" s="54" t="n">
        <v>8400</v>
      </c>
      <c r="O7416" s="55" t="inlineStr">
        <is>
          <t>1–15</t>
        </is>
      </c>
      <c r="P7416" s="16" t="inlineStr">
        <is>
          <t>ССЧР обогащена; ОКВЭД не найден/не загружен</t>
        </is>
      </c>
      <c r="Q7416" s="16" t="inlineStr">
        <is>
          <t>ФНС открытые данные ССЧР (ДатаСост 31.12.2025; набор 7707329152-sshr2019)</t>
        </is>
      </c>
      <c r="R7416" s="16">
        <f>HYPERLINK("https://checko.ru/search?query=3801001629","Чекко: проверить")</f>
        <v/>
      </c>
      <c r="S7416" t="n">
        <v>1</v>
      </c>
      <c r="T7416" s="35" t="inlineStr">
        <is>
          <t>4 — Не обогащён</t>
        </is>
      </c>
      <c r="U7416" s="35" t="inlineStr">
        <is>
          <t>Нет ОКВЭД/ССЧР</t>
        </is>
      </c>
      <c r="V7416" s="35" t="inlineStr">
        <is>
          <t>Не определено</t>
        </is>
      </c>
      <c r="W7416" s="35" t="inlineStr">
        <is>
          <t>Нет</t>
        </is>
      </c>
      <c r="X7416" s="35" t="inlineStr"/>
    </row>
    <row r="7417" ht="15" customHeight="1" s="24">
      <c r="A7417" s="13" t="inlineStr">
        <is>
          <t>FR277838</t>
        </is>
      </c>
      <c r="B7417" s="13" t="inlineStr">
        <is>
          <t>АКЦ ПРОФИ ООО</t>
        </is>
      </c>
      <c r="C7417" s="13" t="n">
        <v>5038126266</v>
      </c>
      <c r="D7417" s="13" t="inlineStr">
        <is>
          <t>5038126266</t>
        </is>
      </c>
      <c r="E7417" s="13" t="inlineStr">
        <is>
          <t>ЮЛ РФ</t>
        </is>
      </c>
      <c r="F7417" s="13" t="n"/>
      <c r="G7417" s="52" t="n">
        <v>3</v>
      </c>
      <c r="H7417" s="52" t="n">
        <v>2025</v>
      </c>
      <c r="I7417" s="14" t="n"/>
      <c r="J7417" s="14" t="n"/>
      <c r="K7417" s="53" t="inlineStr">
        <is>
          <t>Нет</t>
        </is>
      </c>
      <c r="L7417" s="53" t="inlineStr">
        <is>
          <t>Не определено</t>
        </is>
      </c>
      <c r="M7417" s="53" t="inlineStr">
        <is>
          <t>До 10</t>
        </is>
      </c>
      <c r="N7417" s="54" t="n">
        <v>3360</v>
      </c>
      <c r="O7417" s="55" t="inlineStr">
        <is>
          <t>1–15</t>
        </is>
      </c>
      <c r="P7417" s="16" t="inlineStr">
        <is>
          <t>ССЧР обогащена; ОКВЭД не найден/не загружен</t>
        </is>
      </c>
      <c r="Q7417" s="16" t="inlineStr">
        <is>
          <t>ФНС открытые данные ССЧР (ДатаСост 31.12.2025; набор 7707329152-sshr2019)</t>
        </is>
      </c>
      <c r="R7417" s="16">
        <f>HYPERLINK("https://checko.ru/search?query=3801001629","Чекко: проверить")</f>
        <v/>
      </c>
      <c r="S7417" t="n">
        <v>1</v>
      </c>
      <c r="T7417" s="35" t="inlineStr">
        <is>
          <t>4 — Не обогащён</t>
        </is>
      </c>
      <c r="U7417" s="35" t="inlineStr">
        <is>
          <t>Нет ОКВЭД/ССЧР</t>
        </is>
      </c>
      <c r="V7417" s="35" t="inlineStr">
        <is>
          <t>Не определено</t>
        </is>
      </c>
      <c r="W7417" s="35" t="inlineStr">
        <is>
          <t>Нет</t>
        </is>
      </c>
      <c r="X7417" s="35" t="inlineStr"/>
    </row>
    <row r="7418" ht="15" customHeight="1" s="24">
      <c r="A7418" s="13" t="inlineStr">
        <is>
          <t>FR406174</t>
        </is>
      </c>
      <c r="B7418" s="13" t="inlineStr">
        <is>
          <t>Михалева Елена Петровна</t>
        </is>
      </c>
      <c r="C7418" s="13" t="n">
        <v>384903014240</v>
      </c>
      <c r="D7418" s="13" t="inlineStr">
        <is>
          <t>384903014240</t>
        </is>
      </c>
      <c r="E7418" s="13" t="inlineStr">
        <is>
          <t>ИП РФ / физлицо</t>
        </is>
      </c>
      <c r="F7418" s="13" t="n"/>
      <c r="G7418" s="14" t="n"/>
      <c r="H7418" s="14" t="n"/>
      <c r="I7418" s="14" t="n"/>
      <c r="J7418" s="14" t="n"/>
      <c r="K7418" s="53" t="inlineStr"/>
      <c r="L7418" s="53" t="inlineStr">
        <is>
          <t>Не определено</t>
        </is>
      </c>
      <c r="M7418" s="53" t="inlineStr"/>
      <c r="N7418" s="54" t="inlineStr"/>
      <c r="O7418" s="55" t="inlineStr"/>
      <c r="P7418" s="16" t="inlineStr">
        <is>
          <t>Требует обогащения</t>
        </is>
      </c>
      <c r="Q7418" s="16">
        <f>HYPERLINK("https://pb.nalog.ru/search.html?query=384903014240","ФНС: проверить")</f>
        <v/>
      </c>
      <c r="R7418" s="16">
        <f>HYPERLINK("https://checko.ru/search?query=3801001629","Чекко: проверить")</f>
        <v/>
      </c>
      <c r="S7418" t="n">
        <v>1</v>
      </c>
      <c r="T7418" s="35" t="inlineStr">
        <is>
          <t>4 — Не обогащён</t>
        </is>
      </c>
      <c r="U7418" s="35" t="inlineStr">
        <is>
          <t>Нет ОКВЭД/ССЧР</t>
        </is>
      </c>
      <c r="V7418" s="35" t="inlineStr">
        <is>
          <t>Не определено</t>
        </is>
      </c>
      <c r="W7418" s="35" t="inlineStr"/>
      <c r="X7418" s="35" t="inlineStr"/>
    </row>
    <row r="7419" ht="27.75" customHeight="1" s="24">
      <c r="A7419" s="13" t="inlineStr">
        <is>
          <t>FR856083</t>
        </is>
      </c>
      <c r="B7419" s="13" t="inlineStr">
        <is>
          <t>Общество с ограниченной ответственностью СТРОИТЕЛЬНАЯ КОМПАНИЯ "ГРАНИТ"</t>
        </is>
      </c>
      <c r="C7419" s="13" t="n">
        <v>3811118753</v>
      </c>
      <c r="D7419" s="13" t="inlineStr">
        <is>
          <t>3811118753</t>
        </is>
      </c>
      <c r="E7419" s="13" t="inlineStr">
        <is>
          <t>ЮЛ РФ</t>
        </is>
      </c>
      <c r="F7419" s="13" t="n"/>
      <c r="G7419" s="52" t="n">
        <v>8</v>
      </c>
      <c r="H7419" s="52" t="n">
        <v>2025</v>
      </c>
      <c r="I7419" s="14" t="n"/>
      <c r="J7419" s="14" t="n"/>
      <c r="K7419" s="53" t="inlineStr">
        <is>
          <t>Нет</t>
        </is>
      </c>
      <c r="L7419" s="53" t="inlineStr">
        <is>
          <t>Не определено</t>
        </is>
      </c>
      <c r="M7419" s="53" t="inlineStr">
        <is>
          <t>До 10</t>
        </is>
      </c>
      <c r="N7419" s="54" t="n">
        <v>3360</v>
      </c>
      <c r="O7419" s="55" t="inlineStr">
        <is>
          <t>1–15</t>
        </is>
      </c>
      <c r="P7419" s="16" t="inlineStr">
        <is>
          <t>ССЧР обогащена; ОКВЭД не найден/не загружен</t>
        </is>
      </c>
      <c r="Q7419" s="16" t="inlineStr">
        <is>
          <t>ФНС открытые данные ССЧР (ДатаСост 31.12.2025; набор 7707329152-sshr2019)</t>
        </is>
      </c>
      <c r="R7419" s="16">
        <f>HYPERLINK("https://checko.ru/search?query=3801001629","Чекко: проверить")</f>
        <v/>
      </c>
      <c r="S7419" t="n">
        <v>1</v>
      </c>
      <c r="T7419" s="35" t="inlineStr">
        <is>
          <t>4 — Не обогащён</t>
        </is>
      </c>
      <c r="U7419" s="35" t="inlineStr">
        <is>
          <t>Нет ОКВЭД/ССЧР</t>
        </is>
      </c>
      <c r="V7419" s="35" t="inlineStr">
        <is>
          <t>Не определено</t>
        </is>
      </c>
      <c r="W7419" s="35" t="inlineStr">
        <is>
          <t>Нет</t>
        </is>
      </c>
      <c r="X7419" s="35" t="inlineStr"/>
    </row>
    <row r="7420" ht="27.75" customHeight="1" s="24">
      <c r="A7420" s="13" t="inlineStr">
        <is>
          <t>FR846944</t>
        </is>
      </c>
      <c r="B7420" s="13" t="inlineStr">
        <is>
          <t>Общество с ограниченной ответственностью "ПРОМЫШЛЕННЫЙ ДИЗАЙН"</t>
        </is>
      </c>
      <c r="C7420" s="13" t="n">
        <v>3849087430</v>
      </c>
      <c r="D7420" s="13" t="inlineStr">
        <is>
          <t>3849087430</t>
        </is>
      </c>
      <c r="E7420" s="13" t="inlineStr">
        <is>
          <t>ЮЛ РФ</t>
        </is>
      </c>
      <c r="F7420" s="13" t="n"/>
      <c r="G7420" s="52" t="n">
        <v>3</v>
      </c>
      <c r="H7420" s="52" t="n">
        <v>2025</v>
      </c>
      <c r="I7420" s="14" t="n"/>
      <c r="J7420" s="14" t="n"/>
      <c r="K7420" s="53" t="inlineStr">
        <is>
          <t>Нет</t>
        </is>
      </c>
      <c r="L7420" s="53" t="inlineStr">
        <is>
          <t>Не определено</t>
        </is>
      </c>
      <c r="M7420" s="53" t="inlineStr">
        <is>
          <t>До 10</t>
        </is>
      </c>
      <c r="N7420" s="54" t="n">
        <v>3360</v>
      </c>
      <c r="O7420" s="55" t="inlineStr">
        <is>
          <t>1–15</t>
        </is>
      </c>
      <c r="P7420" s="16" t="inlineStr">
        <is>
          <t>ССЧР обогащена; ОКВЭД не найден/не загружен</t>
        </is>
      </c>
      <c r="Q7420" s="16" t="inlineStr">
        <is>
          <t>ФНС открытые данные ССЧР (ДатаСост 31.12.2025; набор 7707329152-sshr2019)</t>
        </is>
      </c>
      <c r="R7420" s="16">
        <f>HYPERLINK("https://checko.ru/search?query=3801001629","Чекко: проверить")</f>
        <v/>
      </c>
      <c r="S7420" t="n">
        <v>1</v>
      </c>
      <c r="T7420" s="35" t="inlineStr">
        <is>
          <t>4 — Не обогащён</t>
        </is>
      </c>
      <c r="U7420" s="35" t="inlineStr">
        <is>
          <t>Нет ОКВЭД/ССЧР</t>
        </is>
      </c>
      <c r="V7420" s="35" t="inlineStr">
        <is>
          <t>Не определено</t>
        </is>
      </c>
      <c r="W7420" s="35" t="inlineStr">
        <is>
          <t>Нет</t>
        </is>
      </c>
      <c r="X7420" s="35" t="inlineStr"/>
    </row>
    <row r="7421" ht="15" customHeight="1" s="24">
      <c r="A7421" s="13" t="inlineStr">
        <is>
          <t>FR1227988</t>
        </is>
      </c>
      <c r="B7421" s="13" t="inlineStr">
        <is>
          <t>Григорюк Андрей Игоревич</t>
        </is>
      </c>
      <c r="C7421" s="13" t="n">
        <v>381602659472</v>
      </c>
      <c r="D7421" s="13" t="inlineStr">
        <is>
          <t>381602659472</t>
        </is>
      </c>
      <c r="E7421" s="13" t="inlineStr">
        <is>
          <t>ИП РФ / физлицо</t>
        </is>
      </c>
      <c r="F7421" s="13" t="n"/>
      <c r="G7421" s="14" t="n"/>
      <c r="H7421" s="14" t="n"/>
      <c r="I7421" s="14" t="n"/>
      <c r="J7421" s="14" t="n"/>
      <c r="K7421" s="53" t="inlineStr"/>
      <c r="L7421" s="53" t="inlineStr">
        <is>
          <t>Не определено</t>
        </is>
      </c>
      <c r="M7421" s="53" t="inlineStr"/>
      <c r="N7421" s="54" t="inlineStr"/>
      <c r="O7421" s="55" t="inlineStr"/>
      <c r="P7421" s="16" t="inlineStr">
        <is>
          <t>Требует обогащения</t>
        </is>
      </c>
      <c r="Q7421" s="16">
        <f>HYPERLINK("https://pb.nalog.ru/search.html?query=381602659472","ФНС: проверить")</f>
        <v/>
      </c>
      <c r="R7421" s="16">
        <f>HYPERLINK("https://checko.ru/search?query=3801001629","Чекко: проверить")</f>
        <v/>
      </c>
      <c r="S7421" t="n">
        <v>1</v>
      </c>
      <c r="T7421" s="35" t="inlineStr">
        <is>
          <t>4 — Не обогащён</t>
        </is>
      </c>
      <c r="U7421" s="35" t="inlineStr">
        <is>
          <t>Нет ОКВЭД/ССЧР</t>
        </is>
      </c>
      <c r="V7421" s="35" t="inlineStr">
        <is>
          <t>Не определено</t>
        </is>
      </c>
      <c r="W7421" s="35" t="inlineStr"/>
      <c r="X7421" s="35" t="inlineStr"/>
    </row>
    <row r="7422" ht="15" customHeight="1" s="24">
      <c r="A7422" s="13" t="inlineStr">
        <is>
          <t>FR275900</t>
        </is>
      </c>
      <c r="B7422" s="13" t="inlineStr">
        <is>
          <t>ТД Стименоксгрупп</t>
        </is>
      </c>
      <c r="C7422" s="13" t="n">
        <v>6670486122</v>
      </c>
      <c r="D7422" s="13" t="inlineStr">
        <is>
          <t>6670486122</t>
        </is>
      </c>
      <c r="E7422" s="13" t="inlineStr">
        <is>
          <t>ЮЛ РФ</t>
        </is>
      </c>
      <c r="F7422" s="13" t="n"/>
      <c r="G7422" s="52" t="n">
        <v>5</v>
      </c>
      <c r="H7422" s="52" t="n">
        <v>2025</v>
      </c>
      <c r="I7422" s="14" t="n"/>
      <c r="J7422" s="14" t="n"/>
      <c r="K7422" s="53" t="inlineStr">
        <is>
          <t>Нет</t>
        </is>
      </c>
      <c r="L7422" s="53" t="inlineStr">
        <is>
          <t>Не определено</t>
        </is>
      </c>
      <c r="M7422" s="53" t="inlineStr">
        <is>
          <t>До 10</t>
        </is>
      </c>
      <c r="N7422" s="54" t="n">
        <v>3360</v>
      </c>
      <c r="O7422" s="55" t="inlineStr">
        <is>
          <t>1–15</t>
        </is>
      </c>
      <c r="P7422" s="16" t="inlineStr">
        <is>
          <t>ССЧР обогащена; ОКВЭД не найден/не загружен</t>
        </is>
      </c>
      <c r="Q7422" s="16" t="inlineStr">
        <is>
          <t>ФНС открытые данные ССЧР (ДатаСост 31.12.2025; набор 7707329152-sshr2019)</t>
        </is>
      </c>
      <c r="R7422" s="16">
        <f>HYPERLINK("https://checko.ru/search?query=3801001629","Чекко: проверить")</f>
        <v/>
      </c>
      <c r="S7422" t="n">
        <v>1</v>
      </c>
      <c r="T7422" s="35" t="inlineStr">
        <is>
          <t>4 — Не обогащён</t>
        </is>
      </c>
      <c r="U7422" s="35" t="inlineStr">
        <is>
          <t>Нет ОКВЭД/ССЧР</t>
        </is>
      </c>
      <c r="V7422" s="35" t="inlineStr">
        <is>
          <t>Не определено</t>
        </is>
      </c>
      <c r="W7422" s="35" t="inlineStr">
        <is>
          <t>Нет</t>
        </is>
      </c>
      <c r="X7422" s="35" t="inlineStr"/>
    </row>
    <row r="7423" ht="27.75" customHeight="1" s="24">
      <c r="A7423" s="13" t="inlineStr">
        <is>
          <t>FR231258</t>
        </is>
      </c>
      <c r="B7423" s="13" t="inlineStr">
        <is>
          <t>Общество с ограниченной ответственностью "ШБ-МОТО"</t>
        </is>
      </c>
      <c r="C7423" s="13" t="n">
        <v>3100005248</v>
      </c>
      <c r="D7423" s="13" t="inlineStr">
        <is>
          <t>3100005248</t>
        </is>
      </c>
      <c r="E7423" s="13" t="inlineStr">
        <is>
          <t>ЮЛ РФ</t>
        </is>
      </c>
      <c r="F7423" s="13" t="n"/>
      <c r="G7423" s="52" t="n">
        <v>2</v>
      </c>
      <c r="H7423" s="52" t="n">
        <v>2025</v>
      </c>
      <c r="I7423" s="14" t="n"/>
      <c r="J7423" s="14" t="n"/>
      <c r="K7423" s="53" t="inlineStr">
        <is>
          <t>Нет</t>
        </is>
      </c>
      <c r="L7423" s="53" t="inlineStr">
        <is>
          <t>Не определено</t>
        </is>
      </c>
      <c r="M7423" s="53" t="inlineStr">
        <is>
          <t>До 10</t>
        </is>
      </c>
      <c r="N7423" s="54" t="n">
        <v>3360</v>
      </c>
      <c r="O7423" s="55" t="inlineStr">
        <is>
          <t>1–15</t>
        </is>
      </c>
      <c r="P7423" s="16" t="inlineStr">
        <is>
          <t>ССЧР обогащена; ОКВЭД не найден/не загружен</t>
        </is>
      </c>
      <c r="Q7423" s="16" t="inlineStr">
        <is>
          <t>ФНС открытые данные ССЧР (ДатаСост 31.12.2025; набор 7707329152-sshr2019)</t>
        </is>
      </c>
      <c r="R7423" s="16">
        <f>HYPERLINK("https://checko.ru/search?query=3801001629","Чекко: проверить")</f>
        <v/>
      </c>
      <c r="S7423" t="n">
        <v>1</v>
      </c>
      <c r="T7423" s="35" t="inlineStr">
        <is>
          <t>4 — Не обогащён</t>
        </is>
      </c>
      <c r="U7423" s="35" t="inlineStr">
        <is>
          <t>Нет ОКВЭД/ССЧР</t>
        </is>
      </c>
      <c r="V7423" s="35" t="inlineStr">
        <is>
          <t>Не определено</t>
        </is>
      </c>
      <c r="W7423" s="35" t="inlineStr">
        <is>
          <t>Нет</t>
        </is>
      </c>
      <c r="X7423" s="35" t="inlineStr"/>
    </row>
    <row r="7424" ht="15" customHeight="1" s="24">
      <c r="A7424" s="13" t="inlineStr">
        <is>
          <t>FR856704</t>
        </is>
      </c>
      <c r="B7424" s="13" t="inlineStr">
        <is>
          <t>ИП Мозголов Павел Сергеевич</t>
        </is>
      </c>
      <c r="C7424" s="13" t="n">
        <v>380410478696</v>
      </c>
      <c r="D7424" s="13" t="inlineStr">
        <is>
          <t>380410478696</t>
        </is>
      </c>
      <c r="E7424" s="13" t="inlineStr">
        <is>
          <t>ИП РФ / физлицо</t>
        </is>
      </c>
      <c r="F7424" s="13" t="n"/>
      <c r="G7424" s="14" t="n"/>
      <c r="H7424" s="14" t="n"/>
      <c r="I7424" s="14" t="n"/>
      <c r="J7424" s="14" t="n"/>
      <c r="K7424" s="53" t="inlineStr"/>
      <c r="L7424" s="53" t="inlineStr">
        <is>
          <t>Не определено</t>
        </is>
      </c>
      <c r="M7424" s="53" t="inlineStr"/>
      <c r="N7424" s="54" t="inlineStr"/>
      <c r="O7424" s="55" t="inlineStr"/>
      <c r="P7424" s="16" t="inlineStr">
        <is>
          <t>Требует обогащения</t>
        </is>
      </c>
      <c r="Q7424" s="16">
        <f>HYPERLINK("https://pb.nalog.ru/search.html?query=380410478696","ФНС: проверить")</f>
        <v/>
      </c>
      <c r="R7424" s="16">
        <f>HYPERLINK("https://checko.ru/search?query=3801001629","Чекко: проверить")</f>
        <v/>
      </c>
      <c r="S7424" t="n">
        <v>1</v>
      </c>
      <c r="T7424" s="35" t="inlineStr">
        <is>
          <t>4 — Не обогащён</t>
        </is>
      </c>
      <c r="U7424" s="35" t="inlineStr">
        <is>
          <t>Нет ОКВЭД/ССЧР</t>
        </is>
      </c>
      <c r="V7424" s="35" t="inlineStr">
        <is>
          <t>Не определено</t>
        </is>
      </c>
      <c r="W7424" s="35" t="inlineStr"/>
      <c r="X7424" s="35" t="inlineStr"/>
    </row>
    <row r="7425" ht="27.75" customHeight="1" s="24">
      <c r="A7425" s="13" t="inlineStr">
        <is>
          <t>FR345733</t>
        </is>
      </c>
      <c r="B7425" s="13" t="inlineStr">
        <is>
          <t>ОБЩЕСТВО С ОГРАНИЧЕННОЙ ОТВЕТСТВЕННОСТЬЮ "СИТИКАР"</t>
        </is>
      </c>
      <c r="C7425" s="13" t="n">
        <v>5260469523</v>
      </c>
      <c r="D7425" s="13" t="inlineStr">
        <is>
          <t>5260469523</t>
        </is>
      </c>
      <c r="E7425" s="13" t="inlineStr">
        <is>
          <t>ЮЛ РФ</t>
        </is>
      </c>
      <c r="F7425" s="13" t="n"/>
      <c r="G7425" s="52" t="n">
        <v>2</v>
      </c>
      <c r="H7425" s="52" t="n">
        <v>2025</v>
      </c>
      <c r="I7425" s="14" t="n"/>
      <c r="J7425" s="14" t="n"/>
      <c r="K7425" s="53" t="inlineStr">
        <is>
          <t>Нет</t>
        </is>
      </c>
      <c r="L7425" s="53" t="inlineStr">
        <is>
          <t>Не определено</t>
        </is>
      </c>
      <c r="M7425" s="53" t="inlineStr">
        <is>
          <t>До 10</t>
        </is>
      </c>
      <c r="N7425" s="54" t="n">
        <v>3360</v>
      </c>
      <c r="O7425" s="55" t="inlineStr">
        <is>
          <t>1–15</t>
        </is>
      </c>
      <c r="P7425" s="16" t="inlineStr">
        <is>
          <t>ССЧР обогащена; ОКВЭД не найден/не загружен</t>
        </is>
      </c>
      <c r="Q7425" s="16" t="inlineStr">
        <is>
          <t>ФНС открытые данные ССЧР (ДатаСост 31.12.2025; набор 7707329152-sshr2019)</t>
        </is>
      </c>
      <c r="R7425" s="16">
        <f>HYPERLINK("https://checko.ru/search?query=3801001629","Чекко: проверить")</f>
        <v/>
      </c>
      <c r="S7425" t="n">
        <v>1</v>
      </c>
      <c r="T7425" s="35" t="inlineStr">
        <is>
          <t>4 — Не обогащён</t>
        </is>
      </c>
      <c r="U7425" s="35" t="inlineStr">
        <is>
          <t>Нет ОКВЭД/ССЧР</t>
        </is>
      </c>
      <c r="V7425" s="35" t="inlineStr">
        <is>
          <t>Не определено</t>
        </is>
      </c>
      <c r="W7425" s="35" t="inlineStr">
        <is>
          <t>Нет</t>
        </is>
      </c>
      <c r="X7425" s="35" t="inlineStr"/>
    </row>
    <row r="7426" ht="15" customHeight="1" s="24">
      <c r="A7426" s="13" t="inlineStr">
        <is>
          <t>FR101437</t>
        </is>
      </c>
      <c r="B7426" s="13" t="inlineStr">
        <is>
          <t>ООО "ИСТС АРЕНДА"</t>
        </is>
      </c>
      <c r="C7426" s="13" t="n">
        <v>5044092512</v>
      </c>
      <c r="D7426" s="13" t="inlineStr">
        <is>
          <t>5044092512</t>
        </is>
      </c>
      <c r="E7426" s="13" t="inlineStr">
        <is>
          <t>ЮЛ РФ</t>
        </is>
      </c>
      <c r="F7426" s="13" t="n"/>
      <c r="G7426" s="52" t="n">
        <v>4</v>
      </c>
      <c r="H7426" s="52" t="n">
        <v>2025</v>
      </c>
      <c r="I7426" s="14" t="n"/>
      <c r="J7426" s="14" t="n"/>
      <c r="K7426" s="53" t="inlineStr">
        <is>
          <t>Нет</t>
        </is>
      </c>
      <c r="L7426" s="53" t="inlineStr">
        <is>
          <t>Не определено</t>
        </is>
      </c>
      <c r="M7426" s="53" t="inlineStr">
        <is>
          <t>До 10</t>
        </is>
      </c>
      <c r="N7426" s="54" t="n">
        <v>3360</v>
      </c>
      <c r="O7426" s="55" t="inlineStr">
        <is>
          <t>1–15</t>
        </is>
      </c>
      <c r="P7426" s="16" t="inlineStr">
        <is>
          <t>ССЧР обогащена; ОКВЭД не найден/не загружен</t>
        </is>
      </c>
      <c r="Q7426" s="16" t="inlineStr">
        <is>
          <t>ФНС открытые данные ССЧР (ДатаСост 31.12.2025; набор 7707329152-sshr2019)</t>
        </is>
      </c>
      <c r="R7426" s="16">
        <f>HYPERLINK("https://checko.ru/search?query=3801001629","Чекко: проверить")</f>
        <v/>
      </c>
      <c r="S7426" t="n">
        <v>1</v>
      </c>
      <c r="T7426" s="35" t="inlineStr">
        <is>
          <t>4 — Не обогащён</t>
        </is>
      </c>
      <c r="U7426" s="35" t="inlineStr">
        <is>
          <t>Нет ОКВЭД/ССЧР</t>
        </is>
      </c>
      <c r="V7426" s="35" t="inlineStr">
        <is>
          <t>Не определено</t>
        </is>
      </c>
      <c r="W7426" s="35" t="inlineStr">
        <is>
          <t>Нет</t>
        </is>
      </c>
      <c r="X7426" s="35" t="inlineStr"/>
    </row>
    <row r="7427" ht="15" customHeight="1" s="24">
      <c r="A7427" s="13" t="inlineStr">
        <is>
          <t>FR1036519</t>
        </is>
      </c>
      <c r="B7427" s="13" t="inlineStr">
        <is>
          <t>ООО «Панорама»</t>
        </is>
      </c>
      <c r="C7427" s="13" t="n">
        <v>3805705457</v>
      </c>
      <c r="D7427" s="13" t="inlineStr">
        <is>
          <t>3805705457</t>
        </is>
      </c>
      <c r="E7427" s="13" t="inlineStr">
        <is>
          <t>ЮЛ РФ</t>
        </is>
      </c>
      <c r="F7427" s="13" t="n"/>
      <c r="G7427" s="52" t="n">
        <v>3</v>
      </c>
      <c r="H7427" s="52" t="n">
        <v>2025</v>
      </c>
      <c r="I7427" s="14" t="n"/>
      <c r="J7427" s="14" t="n"/>
      <c r="K7427" s="53" t="inlineStr">
        <is>
          <t>Нет</t>
        </is>
      </c>
      <c r="L7427" s="53" t="inlineStr">
        <is>
          <t>Не определено</t>
        </is>
      </c>
      <c r="M7427" s="53" t="inlineStr">
        <is>
          <t>До 10</t>
        </is>
      </c>
      <c r="N7427" s="54" t="n">
        <v>3360</v>
      </c>
      <c r="O7427" s="55" t="inlineStr">
        <is>
          <t>1–15</t>
        </is>
      </c>
      <c r="P7427" s="16" t="inlineStr">
        <is>
          <t>ССЧР обогащена; ОКВЭД не найден/не загружен</t>
        </is>
      </c>
      <c r="Q7427" s="16" t="inlineStr">
        <is>
          <t>ФНС открытые данные ССЧР (ДатаСост 31.12.2025; набор 7707329152-sshr2019)</t>
        </is>
      </c>
      <c r="R7427" s="16">
        <f>HYPERLINK("https://checko.ru/search?query=3801001629","Чекко: проверить")</f>
        <v/>
      </c>
      <c r="S7427" t="n">
        <v>1</v>
      </c>
      <c r="T7427" s="35" t="inlineStr">
        <is>
          <t>4 — Не обогащён</t>
        </is>
      </c>
      <c r="U7427" s="35" t="inlineStr">
        <is>
          <t>Нет ОКВЭД/ССЧР</t>
        </is>
      </c>
      <c r="V7427" s="35" t="inlineStr">
        <is>
          <t>Не определено</t>
        </is>
      </c>
      <c r="W7427" s="35" t="inlineStr">
        <is>
          <t>Нет</t>
        </is>
      </c>
      <c r="X7427" s="35" t="inlineStr"/>
    </row>
    <row r="7428" ht="15" customHeight="1" s="24">
      <c r="A7428" s="13" t="inlineStr">
        <is>
          <t>FR703406</t>
        </is>
      </c>
      <c r="B7428" s="13" t="inlineStr">
        <is>
          <t>ИП Пронин Иван Валерьевич</t>
        </is>
      </c>
      <c r="C7428" s="13" t="n">
        <v>381115465290</v>
      </c>
      <c r="D7428" s="13" t="inlineStr">
        <is>
          <t>381115465290</t>
        </is>
      </c>
      <c r="E7428" s="13" t="inlineStr">
        <is>
          <t>ИП РФ / физлицо</t>
        </is>
      </c>
      <c r="F7428" s="13" t="n"/>
      <c r="G7428" s="14" t="n"/>
      <c r="H7428" s="14" t="n"/>
      <c r="I7428" s="14" t="n"/>
      <c r="J7428" s="14" t="n"/>
      <c r="K7428" s="53" t="inlineStr"/>
      <c r="L7428" s="53" t="inlineStr">
        <is>
          <t>Не определено</t>
        </is>
      </c>
      <c r="M7428" s="53" t="inlineStr"/>
      <c r="N7428" s="54" t="inlineStr"/>
      <c r="O7428" s="55" t="inlineStr"/>
      <c r="P7428" s="16" t="inlineStr">
        <is>
          <t>Требует обогащения</t>
        </is>
      </c>
      <c r="Q7428" s="16">
        <f>HYPERLINK("https://pb.nalog.ru/search.html?query=381115465290","ФНС: проверить")</f>
        <v/>
      </c>
      <c r="R7428" s="16">
        <f>HYPERLINK("https://checko.ru/search?query=3801001629","Чекко: проверить")</f>
        <v/>
      </c>
      <c r="S7428" t="n">
        <v>1</v>
      </c>
      <c r="T7428" s="35" t="inlineStr">
        <is>
          <t>4 — Не обогащён</t>
        </is>
      </c>
      <c r="U7428" s="35" t="inlineStr">
        <is>
          <t>Нет ОКВЭД/ССЧР</t>
        </is>
      </c>
      <c r="V7428" s="35" t="inlineStr">
        <is>
          <t>Не определено</t>
        </is>
      </c>
      <c r="W7428" s="35" t="inlineStr"/>
      <c r="X7428" s="35" t="inlineStr"/>
    </row>
    <row r="7429" ht="15" customHeight="1" s="24">
      <c r="A7429" s="13" t="inlineStr">
        <is>
          <t>FR144126</t>
        </is>
      </c>
      <c r="B7429" s="13" t="inlineStr">
        <is>
          <t>ИП Соляник Валентина Сергеевна</t>
        </is>
      </c>
      <c r="C7429" s="13" t="n">
        <v>771602582778</v>
      </c>
      <c r="D7429" s="13" t="inlineStr">
        <is>
          <t>771602582778</t>
        </is>
      </c>
      <c r="E7429" s="13" t="inlineStr">
        <is>
          <t>ИП РФ / физлицо</t>
        </is>
      </c>
      <c r="F7429" s="13" t="n"/>
      <c r="G7429" s="14" t="n"/>
      <c r="H7429" s="14" t="n"/>
      <c r="I7429" s="14" t="n"/>
      <c r="J7429" s="14" t="n"/>
      <c r="K7429" s="53" t="inlineStr"/>
      <c r="L7429" s="53" t="inlineStr">
        <is>
          <t>Не определено</t>
        </is>
      </c>
      <c r="M7429" s="53" t="inlineStr"/>
      <c r="N7429" s="54" t="inlineStr"/>
      <c r="O7429" s="55" t="inlineStr"/>
      <c r="P7429" s="16" t="inlineStr">
        <is>
          <t>Требует обогащения</t>
        </is>
      </c>
      <c r="Q7429" s="16">
        <f>HYPERLINK("https://pb.nalog.ru/search.html?query=771602582778","ФНС: проверить")</f>
        <v/>
      </c>
      <c r="R7429" s="16">
        <f>HYPERLINK("https://checko.ru/search?query=3801001629","Чекко: проверить")</f>
        <v/>
      </c>
      <c r="S7429" t="n">
        <v>1</v>
      </c>
      <c r="T7429" s="35" t="inlineStr">
        <is>
          <t>4 — Не обогащён</t>
        </is>
      </c>
      <c r="U7429" s="35" t="inlineStr">
        <is>
          <t>Нет ОКВЭД/ССЧР</t>
        </is>
      </c>
      <c r="V7429" s="35" t="inlineStr">
        <is>
          <t>Не определено</t>
        </is>
      </c>
      <c r="W7429" s="35" t="inlineStr"/>
      <c r="X7429" s="35" t="inlineStr"/>
    </row>
    <row r="7430" ht="15" customHeight="1" s="24">
      <c r="A7430" s="13" t="inlineStr">
        <is>
          <t>FR142236</t>
        </is>
      </c>
      <c r="B7430" s="13" t="inlineStr">
        <is>
          <t>ООО "МЕГА"</t>
        </is>
      </c>
      <c r="C7430" s="13" t="n">
        <v>3849081446</v>
      </c>
      <c r="D7430" s="13" t="inlineStr">
        <is>
          <t>3849081446</t>
        </is>
      </c>
      <c r="E7430" s="13" t="inlineStr">
        <is>
          <t>ЮЛ РФ</t>
        </is>
      </c>
      <c r="F7430" s="13" t="n"/>
      <c r="G7430" s="52" t="n">
        <v>12</v>
      </c>
      <c r="H7430" s="52" t="n">
        <v>2025</v>
      </c>
      <c r="I7430" s="14" t="n"/>
      <c r="J7430" s="14" t="n"/>
      <c r="K7430" s="53" t="inlineStr">
        <is>
          <t>Нет</t>
        </is>
      </c>
      <c r="L7430" s="53" t="inlineStr">
        <is>
          <t>Не определено</t>
        </is>
      </c>
      <c r="M7430" s="53" t="inlineStr">
        <is>
          <t>До 25</t>
        </is>
      </c>
      <c r="N7430" s="54" t="n">
        <v>8400</v>
      </c>
      <c r="O7430" s="55" t="inlineStr">
        <is>
          <t>1–15</t>
        </is>
      </c>
      <c r="P7430" s="16" t="inlineStr">
        <is>
          <t>ССЧР обогащена; ОКВЭД не найден/не загружен</t>
        </is>
      </c>
      <c r="Q7430" s="16" t="inlineStr">
        <is>
          <t>ФНС открытые данные ССЧР (ДатаСост 31.12.2025; набор 7707329152-sshr2019)</t>
        </is>
      </c>
      <c r="R7430" s="16">
        <f>HYPERLINK("https://checko.ru/search?query=3801001629","Чекко: проверить")</f>
        <v/>
      </c>
      <c r="S7430" t="n">
        <v>1</v>
      </c>
      <c r="T7430" s="35" t="inlineStr">
        <is>
          <t>4 — Не обогащён</t>
        </is>
      </c>
      <c r="U7430" s="35" t="inlineStr">
        <is>
          <t>Нет ОКВЭД/ССЧР</t>
        </is>
      </c>
      <c r="V7430" s="35" t="inlineStr">
        <is>
          <t>Не определено</t>
        </is>
      </c>
      <c r="W7430" s="35" t="inlineStr">
        <is>
          <t>Нет</t>
        </is>
      </c>
      <c r="X7430" s="35" t="inlineStr"/>
    </row>
    <row r="7431" ht="15" customHeight="1" s="24">
      <c r="A7431" s="13" t="inlineStr">
        <is>
          <t>FR143235</t>
        </is>
      </c>
      <c r="B7431" s="13" t="inlineStr">
        <is>
          <t>ООО "АКТИВ-КОНСАЛТИНГ"</t>
        </is>
      </c>
      <c r="C7431" s="13" t="n">
        <v>5503144128</v>
      </c>
      <c r="D7431" s="13" t="inlineStr">
        <is>
          <t>5503144128</t>
        </is>
      </c>
      <c r="E7431" s="13" t="inlineStr">
        <is>
          <t>ЮЛ РФ</t>
        </is>
      </c>
      <c r="F7431" s="13" t="n"/>
      <c r="G7431" s="52" t="n">
        <v>3</v>
      </c>
      <c r="H7431" s="52" t="n">
        <v>2025</v>
      </c>
      <c r="I7431" s="14" t="n"/>
      <c r="J7431" s="14" t="n"/>
      <c r="K7431" s="53" t="inlineStr">
        <is>
          <t>Нет</t>
        </is>
      </c>
      <c r="L7431" s="53" t="inlineStr">
        <is>
          <t>Не определено</t>
        </is>
      </c>
      <c r="M7431" s="53" t="inlineStr">
        <is>
          <t>До 10</t>
        </is>
      </c>
      <c r="N7431" s="54" t="n">
        <v>3360</v>
      </c>
      <c r="O7431" s="55" t="inlineStr">
        <is>
          <t>1–15</t>
        </is>
      </c>
      <c r="P7431" s="16" t="inlineStr">
        <is>
          <t>ССЧР обогащена; ОКВЭД не найден/не загружен</t>
        </is>
      </c>
      <c r="Q7431" s="16" t="inlineStr">
        <is>
          <t>ФНС открытые данные ССЧР (ДатаСост 31.12.2025; набор 7707329152-sshr2019)</t>
        </is>
      </c>
      <c r="R7431" s="16">
        <f>HYPERLINK("https://checko.ru/search?query=3801001629","Чекко: проверить")</f>
        <v/>
      </c>
      <c r="S7431" t="n">
        <v>1</v>
      </c>
      <c r="T7431" s="35" t="inlineStr">
        <is>
          <t>4 — Не обогащён</t>
        </is>
      </c>
      <c r="U7431" s="35" t="inlineStr">
        <is>
          <t>Нет ОКВЭД/ССЧР</t>
        </is>
      </c>
      <c r="V7431" s="35" t="inlineStr">
        <is>
          <t>Не определено</t>
        </is>
      </c>
      <c r="W7431" s="35" t="inlineStr">
        <is>
          <t>Нет</t>
        </is>
      </c>
      <c r="X7431" s="35" t="inlineStr"/>
    </row>
    <row r="7432" ht="15" customHeight="1" s="24">
      <c r="A7432" s="13" t="inlineStr">
        <is>
          <t>FR25401</t>
        </is>
      </c>
      <c r="B7432" s="13" t="inlineStr">
        <is>
          <t>ООО "СтройЭнергоИнжиниринг"</t>
        </is>
      </c>
      <c r="C7432" s="13" t="n">
        <v>3849029855</v>
      </c>
      <c r="D7432" s="13" t="inlineStr">
        <is>
          <t>3849029855</t>
        </is>
      </c>
      <c r="E7432" s="13" t="inlineStr">
        <is>
          <t>ЮЛ РФ</t>
        </is>
      </c>
      <c r="F7432" s="13" t="n"/>
      <c r="G7432" s="52" t="n">
        <v>39</v>
      </c>
      <c r="H7432" s="52" t="n">
        <v>2025</v>
      </c>
      <c r="I7432" s="52" t="inlineStr">
        <is>
          <t>41.20</t>
        </is>
      </c>
      <c r="J7432" s="52" t="inlineStr">
        <is>
          <t>41.20; 43.11; 43.12; 43.12.3; 43.21; 43.22; 43.29; 43.31; 43.32; 43.33; 43.34; 43.39; 43.91; 43.99; 43.99.1; 46.69; 46.73; 46.74; 71.12.5; 71.12.6</t>
        </is>
      </c>
      <c r="K7432" s="53" t="inlineStr">
        <is>
          <t>Да</t>
        </is>
      </c>
      <c r="L7432" s="53" t="inlineStr">
        <is>
          <t>Да</t>
        </is>
      </c>
      <c r="M7432" s="53" t="inlineStr">
        <is>
          <t>До 50</t>
        </is>
      </c>
      <c r="N7432" s="54" t="n">
        <v>16800</v>
      </c>
      <c r="O7432" s="55" t="inlineStr">
        <is>
          <t>31–50</t>
        </is>
      </c>
      <c r="P7432" s="16" t="inlineStr">
        <is>
          <t>ССЧР + ОКВЭД обогащены</t>
        </is>
      </c>
      <c r="Q7432" s="16" t="inlineStr">
        <is>
          <t>ФНС открытые данные ССЧР (ДатаСост 31.12.2025; набор 7707329152-sshr2019)</t>
        </is>
      </c>
      <c r="R7432" s="16" t="inlineStr">
        <is>
          <t>ЕГРЮЛ / egrul.nalog.ru (выписка)</t>
        </is>
      </c>
      <c r="S7432" t="n">
        <v>1</v>
      </c>
      <c r="T7432" s="35" t="inlineStr">
        <is>
          <t>1 — Горячий</t>
        </is>
      </c>
      <c r="U7432" s="35" t="inlineStr">
        <is>
          <t>ОКВЭД + 22+</t>
        </is>
      </c>
      <c r="V7432" s="35" t="inlineStr">
        <is>
          <t>Да</t>
        </is>
      </c>
      <c r="W7432" s="35" t="inlineStr">
        <is>
          <t>Да</t>
        </is>
      </c>
      <c r="X7432" s="35" t="inlineStr">
        <is>
          <t>Да</t>
        </is>
      </c>
    </row>
    <row r="7433" ht="27.75" customHeight="1" s="24">
      <c r="A7433" s="13" t="inlineStr">
        <is>
          <t>FR405617</t>
        </is>
      </c>
      <c r="B7433" s="13" t="inlineStr">
        <is>
          <t>ОБЩЕСТВО С ОГРАНИЧЕННОЙ ОТВЕТСТВЕННОСТЬЮ "УРБАН ФОРМС"</t>
        </is>
      </c>
      <c r="C7433" s="13" t="n">
        <v>2463122313</v>
      </c>
      <c r="D7433" s="13" t="inlineStr">
        <is>
          <t>2463122313</t>
        </is>
      </c>
      <c r="E7433" s="13" t="inlineStr">
        <is>
          <t>ЮЛ РФ</t>
        </is>
      </c>
      <c r="F7433" s="13" t="n"/>
      <c r="G7433" s="52" t="n">
        <v>29</v>
      </c>
      <c r="H7433" s="52" t="n">
        <v>2025</v>
      </c>
      <c r="I7433" s="52" t="inlineStr">
        <is>
          <t>25.11</t>
        </is>
      </c>
      <c r="J7433" s="52" t="inlineStr">
        <is>
          <t>25.11; 46.15; 46.47; 46.51; 46.65; 46.69; 47.59; 47.64; 62.01; 62.09; 63.11; 71.12; 74.10</t>
        </is>
      </c>
      <c r="K7433" s="53" t="inlineStr">
        <is>
          <t>Да</t>
        </is>
      </c>
      <c r="L7433" s="53" t="inlineStr">
        <is>
          <t>Да</t>
        </is>
      </c>
      <c r="M7433" s="53" t="inlineStr">
        <is>
          <t>До 50</t>
        </is>
      </c>
      <c r="N7433" s="54" t="n">
        <v>16800</v>
      </c>
      <c r="O7433" s="55" t="inlineStr">
        <is>
          <t>16–30</t>
        </is>
      </c>
      <c r="P7433" s="16" t="inlineStr">
        <is>
          <t>ССЧР + ОКВЭД обогащены</t>
        </is>
      </c>
      <c r="Q7433" s="16" t="inlineStr">
        <is>
          <t>ФНС открытые данные ССЧР (ДатаСост 31.12.2025; набор 7707329152-sshr2019)</t>
        </is>
      </c>
      <c r="R7433" s="16" t="inlineStr">
        <is>
          <t>ЕГРЮЛ / egrul.nalog.ru (выписка)</t>
        </is>
      </c>
      <c r="S7433" t="n">
        <v>1</v>
      </c>
      <c r="T7433" s="35" t="inlineStr">
        <is>
          <t>1 — Горячий</t>
        </is>
      </c>
      <c r="U7433" s="35" t="inlineStr">
        <is>
          <t>ОКВЭД + 22+</t>
        </is>
      </c>
      <c r="V7433" s="35" t="inlineStr">
        <is>
          <t>Да</t>
        </is>
      </c>
      <c r="W7433" s="35" t="inlineStr">
        <is>
          <t>Да</t>
        </is>
      </c>
      <c r="X7433" s="35" t="inlineStr">
        <is>
          <t>Да</t>
        </is>
      </c>
    </row>
    <row r="7434" ht="15" customHeight="1" s="24">
      <c r="A7434" s="13" t="inlineStr">
        <is>
          <t>FR15979</t>
        </is>
      </c>
      <c r="B7434" s="13" t="inlineStr">
        <is>
          <t>ООО ГазСнабУрал</t>
        </is>
      </c>
      <c r="C7434" s="13" t="n">
        <v>6685082838</v>
      </c>
      <c r="D7434" s="13" t="inlineStr">
        <is>
          <t>6685082838</t>
        </is>
      </c>
      <c r="E7434" s="13" t="inlineStr">
        <is>
          <t>ЮЛ РФ</t>
        </is>
      </c>
      <c r="F7434" s="13" t="n"/>
      <c r="G7434" s="52" t="n">
        <v>2</v>
      </c>
      <c r="H7434" s="52" t="n">
        <v>2025</v>
      </c>
      <c r="I7434" s="14" t="n"/>
      <c r="J7434" s="14" t="n"/>
      <c r="K7434" s="53" t="inlineStr">
        <is>
          <t>Нет</t>
        </is>
      </c>
      <c r="L7434" s="53" t="inlineStr">
        <is>
          <t>Не определено</t>
        </is>
      </c>
      <c r="M7434" s="53" t="inlineStr">
        <is>
          <t>До 10</t>
        </is>
      </c>
      <c r="N7434" s="54" t="n">
        <v>3360</v>
      </c>
      <c r="O7434" s="55" t="inlineStr">
        <is>
          <t>1–15</t>
        </is>
      </c>
      <c r="P7434" s="16" t="inlineStr">
        <is>
          <t>ССЧР обогащена; ОКВЭД не найден/не загружен</t>
        </is>
      </c>
      <c r="Q7434" s="16" t="inlineStr">
        <is>
          <t>ФНС открытые данные ССЧР (ДатаСост 31.12.2025; набор 7707329152-sshr2019)</t>
        </is>
      </c>
      <c r="R7434" s="16">
        <f>HYPERLINK("https://checko.ru/search?query=3801001629","Чекко: проверить")</f>
        <v/>
      </c>
      <c r="S7434" t="n">
        <v>1</v>
      </c>
      <c r="T7434" s="35" t="inlineStr">
        <is>
          <t>4 — Не обогащён</t>
        </is>
      </c>
      <c r="U7434" s="35" t="inlineStr">
        <is>
          <t>Нет ОКВЭД/ССЧР</t>
        </is>
      </c>
      <c r="V7434" s="35" t="inlineStr">
        <is>
          <t>Не определено</t>
        </is>
      </c>
      <c r="W7434" s="35" t="inlineStr">
        <is>
          <t>Нет</t>
        </is>
      </c>
      <c r="X7434" s="35" t="inlineStr"/>
    </row>
    <row r="7435" ht="15" customHeight="1" s="24">
      <c r="A7435" s="13" t="inlineStr">
        <is>
          <t>FR281382</t>
        </is>
      </c>
      <c r="B7435" s="13" t="inlineStr">
        <is>
          <t>ПРАЙДИЭС ООО</t>
        </is>
      </c>
      <c r="C7435" s="13" t="n">
        <v>3801144970</v>
      </c>
      <c r="D7435" s="13" t="inlineStr">
        <is>
          <t>3801144970</t>
        </is>
      </c>
      <c r="E7435" s="13" t="inlineStr">
        <is>
          <t>ЮЛ РФ</t>
        </is>
      </c>
      <c r="F7435" s="13" t="n"/>
      <c r="G7435" s="52" t="n">
        <v>9</v>
      </c>
      <c r="H7435" s="52" t="n">
        <v>2025</v>
      </c>
      <c r="I7435" s="14" t="n"/>
      <c r="J7435" s="14" t="n"/>
      <c r="K7435" s="53" t="inlineStr">
        <is>
          <t>Нет</t>
        </is>
      </c>
      <c r="L7435" s="53" t="inlineStr">
        <is>
          <t>Не определено</t>
        </is>
      </c>
      <c r="M7435" s="53" t="inlineStr">
        <is>
          <t>До 10</t>
        </is>
      </c>
      <c r="N7435" s="54" t="n">
        <v>3360</v>
      </c>
      <c r="O7435" s="55" t="inlineStr">
        <is>
          <t>1–15</t>
        </is>
      </c>
      <c r="P7435" s="16" t="inlineStr">
        <is>
          <t>ССЧР обогащена; ОКВЭД не найден/не загружен</t>
        </is>
      </c>
      <c r="Q7435" s="16" t="inlineStr">
        <is>
          <t>ФНС открытые данные ССЧР (ДатаСост 31.12.2025; набор 7707329152-sshr2019)</t>
        </is>
      </c>
      <c r="R7435" s="16">
        <f>HYPERLINK("https://checko.ru/search?query=3801001629","Чекко: проверить")</f>
        <v/>
      </c>
      <c r="S7435" t="n">
        <v>1</v>
      </c>
      <c r="T7435" s="35" t="inlineStr">
        <is>
          <t>4 — Не обогащён</t>
        </is>
      </c>
      <c r="U7435" s="35" t="inlineStr">
        <is>
          <t>Нет ОКВЭД/ССЧР</t>
        </is>
      </c>
      <c r="V7435" s="35" t="inlineStr">
        <is>
          <t>Не определено</t>
        </is>
      </c>
      <c r="W7435" s="35" t="inlineStr">
        <is>
          <t>Нет</t>
        </is>
      </c>
      <c r="X7435" s="35" t="inlineStr"/>
    </row>
    <row r="7436" ht="15" customHeight="1" s="24">
      <c r="A7436" s="13" t="inlineStr">
        <is>
          <t>FR79138</t>
        </is>
      </c>
      <c r="B7436" s="13" t="inlineStr">
        <is>
          <t>ИП Кадацкая Ирина Сергеевна</t>
        </is>
      </c>
      <c r="C7436" s="13" t="n">
        <v>231801347466</v>
      </c>
      <c r="D7436" s="13" t="inlineStr">
        <is>
          <t>231801347466</t>
        </is>
      </c>
      <c r="E7436" s="13" t="inlineStr">
        <is>
          <t>ИП РФ / физлицо</t>
        </is>
      </c>
      <c r="F7436" s="13" t="n"/>
      <c r="G7436" s="14" t="n"/>
      <c r="H7436" s="14" t="n"/>
      <c r="I7436" s="14" t="n"/>
      <c r="J7436" s="14" t="n"/>
      <c r="K7436" s="53" t="inlineStr"/>
      <c r="L7436" s="53" t="inlineStr">
        <is>
          <t>Не определено</t>
        </is>
      </c>
      <c r="M7436" s="53" t="inlineStr"/>
      <c r="N7436" s="54" t="inlineStr"/>
      <c r="O7436" s="55" t="inlineStr"/>
      <c r="P7436" s="16" t="inlineStr">
        <is>
          <t>Требует обогащения</t>
        </is>
      </c>
      <c r="Q7436" s="16">
        <f>HYPERLINK("https://pb.nalog.ru/search.html?query=231801347466","ФНС: проверить")</f>
        <v/>
      </c>
      <c r="R7436" s="16">
        <f>HYPERLINK("https://checko.ru/search?query=3801001629","Чекко: проверить")</f>
        <v/>
      </c>
      <c r="S7436" t="n">
        <v>1</v>
      </c>
      <c r="T7436" s="35" t="inlineStr">
        <is>
          <t>4 — Не обогащён</t>
        </is>
      </c>
      <c r="U7436" s="35" t="inlineStr">
        <is>
          <t>Нет ОКВЭД/ССЧР</t>
        </is>
      </c>
      <c r="V7436" s="35" t="inlineStr">
        <is>
          <t>Не определено</t>
        </is>
      </c>
      <c r="W7436" s="35" t="inlineStr"/>
      <c r="X7436" s="35" t="inlineStr"/>
    </row>
    <row r="7437" ht="15" customHeight="1" s="24">
      <c r="A7437" s="13" t="inlineStr">
        <is>
          <t>FR290013</t>
        </is>
      </c>
      <c r="B7437" s="13" t="inlineStr">
        <is>
          <t>ООО "СКС"</t>
        </is>
      </c>
      <c r="C7437" s="13" t="n">
        <v>3811091572</v>
      </c>
      <c r="D7437" s="13" t="inlineStr">
        <is>
          <t>3811091572</t>
        </is>
      </c>
      <c r="E7437" s="13" t="inlineStr">
        <is>
          <t>ЮЛ РФ</t>
        </is>
      </c>
      <c r="F7437" s="13" t="n"/>
      <c r="G7437" s="52" t="n">
        <v>3</v>
      </c>
      <c r="H7437" s="52" t="n">
        <v>2025</v>
      </c>
      <c r="I7437" s="14" t="n"/>
      <c r="J7437" s="14" t="n"/>
      <c r="K7437" s="53" t="inlineStr">
        <is>
          <t>Нет</t>
        </is>
      </c>
      <c r="L7437" s="53" t="inlineStr">
        <is>
          <t>Не определено</t>
        </is>
      </c>
      <c r="M7437" s="53" t="inlineStr">
        <is>
          <t>До 10</t>
        </is>
      </c>
      <c r="N7437" s="54" t="n">
        <v>3360</v>
      </c>
      <c r="O7437" s="55" t="inlineStr">
        <is>
          <t>1–15</t>
        </is>
      </c>
      <c r="P7437" s="16" t="inlineStr">
        <is>
          <t>ССЧР обогащена; ОКВЭД не найден/не загружен</t>
        </is>
      </c>
      <c r="Q7437" s="16" t="inlineStr">
        <is>
          <t>ФНС открытые данные ССЧР (ДатаСост 31.12.2025; набор 7707329152-sshr2019)</t>
        </is>
      </c>
      <c r="R7437" s="16">
        <f>HYPERLINK("https://checko.ru/search?query=3801001629","Чекко: проверить")</f>
        <v/>
      </c>
      <c r="S7437" t="n">
        <v>1</v>
      </c>
      <c r="T7437" s="35" t="inlineStr">
        <is>
          <t>4 — Не обогащён</t>
        </is>
      </c>
      <c r="U7437" s="35" t="inlineStr">
        <is>
          <t>Нет ОКВЭД/ССЧР</t>
        </is>
      </c>
      <c r="V7437" s="35" t="inlineStr">
        <is>
          <t>Не определено</t>
        </is>
      </c>
      <c r="W7437" s="35" t="inlineStr">
        <is>
          <t>Нет</t>
        </is>
      </c>
      <c r="X7437" s="35" t="inlineStr"/>
    </row>
    <row r="7438" ht="27.75" customHeight="1" s="24">
      <c r="A7438" s="13" t="inlineStr">
        <is>
          <t>FR853636</t>
        </is>
      </c>
      <c r="B7438" s="13" t="inlineStr">
        <is>
          <t>Общество с ограниченной ответственностью "ИРКУТСКСТРОЙАУТСОРСИНГ"</t>
        </is>
      </c>
      <c r="C7438" s="13" t="n">
        <v>3849090458</v>
      </c>
      <c r="D7438" s="13" t="inlineStr">
        <is>
          <t>3849090458</t>
        </is>
      </c>
      <c r="E7438" s="13" t="inlineStr">
        <is>
          <t>ЮЛ РФ</t>
        </is>
      </c>
      <c r="F7438" s="13" t="n"/>
      <c r="G7438" s="52" t="n">
        <v>31</v>
      </c>
      <c r="H7438" s="52" t="n">
        <v>2025</v>
      </c>
      <c r="I7438" s="52" t="inlineStr">
        <is>
          <t>71.12</t>
        </is>
      </c>
      <c r="J7438" s="52" t="inlineStr">
        <is>
          <t>71.12; 41.20; 43.11; 43.12; 43.21; 43.29; 43.31; 43.32; 43.33; 43.34; 43.39; 43.91; 43.99; 49.31; 49.32; 49.41; 52.10; 52.21; 71.11; 71.20; 77.11; 77.39; 82.99</t>
        </is>
      </c>
      <c r="K7438" s="53" t="inlineStr">
        <is>
          <t>Да</t>
        </is>
      </c>
      <c r="L7438" s="53" t="inlineStr">
        <is>
          <t>Да</t>
        </is>
      </c>
      <c r="M7438" s="53" t="inlineStr">
        <is>
          <t>До 50</t>
        </is>
      </c>
      <c r="N7438" s="54" t="n">
        <v>16800</v>
      </c>
      <c r="O7438" s="55" t="inlineStr">
        <is>
          <t>31–50</t>
        </is>
      </c>
      <c r="P7438" s="16" t="inlineStr">
        <is>
          <t>ССЧР + ОКВЭД обогащены</t>
        </is>
      </c>
      <c r="Q7438" s="16" t="inlineStr">
        <is>
          <t>ФНС открытые данные ССЧР (ДатаСост 31.12.2025; набор 7707329152-sshr2019)</t>
        </is>
      </c>
      <c r="R7438" s="16" t="inlineStr">
        <is>
          <t>ЕГРЮЛ / egrul.nalog.ru (выписка)</t>
        </is>
      </c>
      <c r="S7438" t="n">
        <v>1</v>
      </c>
      <c r="T7438" s="35" t="inlineStr">
        <is>
          <t>1 — Горячий</t>
        </is>
      </c>
      <c r="U7438" s="35" t="inlineStr">
        <is>
          <t>ОКВЭД + 22+</t>
        </is>
      </c>
      <c r="V7438" s="35" t="inlineStr">
        <is>
          <t>Да</t>
        </is>
      </c>
      <c r="W7438" s="35" t="inlineStr">
        <is>
          <t>Да</t>
        </is>
      </c>
      <c r="X7438" s="35" t="inlineStr">
        <is>
          <t>Да</t>
        </is>
      </c>
    </row>
    <row r="7439" ht="27.75" customHeight="1" s="24">
      <c r="A7439" s="13" t="inlineStr">
        <is>
          <t>FR696118</t>
        </is>
      </c>
      <c r="B7439" s="13" t="inlineStr">
        <is>
          <t>Общество с ограниченной ответственностью "ПОЛЮС-НТ"</t>
        </is>
      </c>
      <c r="C7439" s="13" t="n">
        <v>3812151337</v>
      </c>
      <c r="D7439" s="13" t="inlineStr">
        <is>
          <t>3812151337</t>
        </is>
      </c>
      <c r="E7439" s="13" t="inlineStr">
        <is>
          <t>ЮЛ РФ</t>
        </is>
      </c>
      <c r="F7439" s="13" t="n"/>
      <c r="G7439" s="52" t="n">
        <v>14</v>
      </c>
      <c r="H7439" s="52" t="n">
        <v>2025</v>
      </c>
      <c r="I7439" s="14" t="n"/>
      <c r="J7439" s="14" t="n"/>
      <c r="K7439" s="53" t="inlineStr">
        <is>
          <t>Нет</t>
        </is>
      </c>
      <c r="L7439" s="53" t="inlineStr">
        <is>
          <t>Не определено</t>
        </is>
      </c>
      <c r="M7439" s="53" t="inlineStr">
        <is>
          <t>До 25</t>
        </is>
      </c>
      <c r="N7439" s="54" t="n">
        <v>8400</v>
      </c>
      <c r="O7439" s="55" t="inlineStr">
        <is>
          <t>1–15</t>
        </is>
      </c>
      <c r="P7439" s="16" t="inlineStr">
        <is>
          <t>ССЧР обогащена; ОКВЭД не найден/не загружен</t>
        </is>
      </c>
      <c r="Q7439" s="16" t="inlineStr">
        <is>
          <t>ФНС открытые данные ССЧР (ДатаСост 31.12.2025; набор 7707329152-sshr2019)</t>
        </is>
      </c>
      <c r="R7439" s="16">
        <f>HYPERLINK("https://checko.ru/search?query=3801001629","Чекко: проверить")</f>
        <v/>
      </c>
      <c r="S7439" t="n">
        <v>1</v>
      </c>
      <c r="T7439" s="35" t="inlineStr">
        <is>
          <t>4 — Не обогащён</t>
        </is>
      </c>
      <c r="U7439" s="35" t="inlineStr">
        <is>
          <t>Нет ОКВЭД/ССЧР</t>
        </is>
      </c>
      <c r="V7439" s="35" t="inlineStr">
        <is>
          <t>Не определено</t>
        </is>
      </c>
      <c r="W7439" s="35" t="inlineStr">
        <is>
          <t>Нет</t>
        </is>
      </c>
      <c r="X7439" s="35" t="inlineStr"/>
    </row>
    <row r="7440" ht="27.75" customHeight="1" s="24">
      <c r="A7440" s="13" t="inlineStr">
        <is>
          <t>FR1248040</t>
        </is>
      </c>
      <c r="B7440" s="13" t="inlineStr">
        <is>
          <t>Общество с ограниченной ответственностью "ЭНТЭК"</t>
        </is>
      </c>
      <c r="C7440" s="13" t="n">
        <v>3808294798</v>
      </c>
      <c r="D7440" s="13" t="inlineStr">
        <is>
          <t>3808294798</t>
        </is>
      </c>
      <c r="E7440" s="13" t="inlineStr">
        <is>
          <t>ЮЛ РФ</t>
        </is>
      </c>
      <c r="F7440" s="13" t="n"/>
      <c r="G7440" s="52" t="n">
        <v>0</v>
      </c>
      <c r="H7440" s="52" t="n">
        <v>2025</v>
      </c>
      <c r="I7440" s="14" t="n"/>
      <c r="J7440" s="14" t="n"/>
      <c r="K7440" s="53" t="inlineStr">
        <is>
          <t>Нет</t>
        </is>
      </c>
      <c r="L7440" s="53" t="inlineStr">
        <is>
          <t>Не определено</t>
        </is>
      </c>
      <c r="M7440" s="53" t="inlineStr">
        <is>
          <t>До 10</t>
        </is>
      </c>
      <c r="N7440" s="54" t="n">
        <v>3360</v>
      </c>
      <c r="O7440" s="55" t="inlineStr">
        <is>
          <t>1–15</t>
        </is>
      </c>
      <c r="P7440" s="16" t="inlineStr">
        <is>
          <t>ССЧР обогащена; ОКВЭД не найден/не загружен</t>
        </is>
      </c>
      <c r="Q7440" s="16" t="inlineStr">
        <is>
          <t>ФНС открытые данные ССЧР (ДатаСост 31.12.2025; набор 7707329152-sshr2019)</t>
        </is>
      </c>
      <c r="R7440" s="16">
        <f>HYPERLINK("https://checko.ru/search?query=3801001629","Чекко: проверить")</f>
        <v/>
      </c>
      <c r="S7440" t="n">
        <v>1</v>
      </c>
      <c r="T7440" s="35" t="inlineStr">
        <is>
          <t>4 — Не обогащён</t>
        </is>
      </c>
      <c r="U7440" s="35" t="inlineStr">
        <is>
          <t>Нет ОКВЭД/ССЧР</t>
        </is>
      </c>
      <c r="V7440" s="35" t="inlineStr">
        <is>
          <t>Не определено</t>
        </is>
      </c>
      <c r="W7440" s="35" t="inlineStr">
        <is>
          <t>Нет</t>
        </is>
      </c>
      <c r="X7440" s="35" t="inlineStr"/>
    </row>
    <row r="7441" ht="15" customHeight="1" s="24">
      <c r="A7441" s="13" t="inlineStr">
        <is>
          <t>FR734634</t>
        </is>
      </c>
      <c r="B7441" s="13" t="inlineStr">
        <is>
          <t>ООО "Инженерные технологии ИНТЕГРА"</t>
        </is>
      </c>
      <c r="C7441" s="13" t="n">
        <v>3811434276</v>
      </c>
      <c r="D7441" s="13" t="inlineStr">
        <is>
          <t>3811434276</t>
        </is>
      </c>
      <c r="E7441" s="13" t="inlineStr">
        <is>
          <t>ЮЛ РФ</t>
        </is>
      </c>
      <c r="F7441" s="13" t="n"/>
      <c r="G7441" s="52" t="n">
        <v>2</v>
      </c>
      <c r="H7441" s="52" t="n">
        <v>2025</v>
      </c>
      <c r="I7441" s="14" t="n"/>
      <c r="J7441" s="14" t="n"/>
      <c r="K7441" s="53" t="inlineStr">
        <is>
          <t>Нет</t>
        </is>
      </c>
      <c r="L7441" s="53" t="inlineStr">
        <is>
          <t>Не определено</t>
        </is>
      </c>
      <c r="M7441" s="53" t="inlineStr">
        <is>
          <t>До 10</t>
        </is>
      </c>
      <c r="N7441" s="54" t="n">
        <v>3360</v>
      </c>
      <c r="O7441" s="55" t="inlineStr">
        <is>
          <t>1–15</t>
        </is>
      </c>
      <c r="P7441" s="16" t="inlineStr">
        <is>
          <t>ССЧР обогащена; ОКВЭД не найден/не загружен</t>
        </is>
      </c>
      <c r="Q7441" s="16" t="inlineStr">
        <is>
          <t>ФНС открытые данные ССЧР (ДатаСост 31.12.2025; набор 7707329152-sshr2019)</t>
        </is>
      </c>
      <c r="R7441" s="16">
        <f>HYPERLINK("https://checko.ru/search?query=3801001629","Чекко: проверить")</f>
        <v/>
      </c>
      <c r="S7441" t="n">
        <v>1</v>
      </c>
      <c r="T7441" s="35" t="inlineStr">
        <is>
          <t>4 — Не обогащён</t>
        </is>
      </c>
      <c r="U7441" s="35" t="inlineStr">
        <is>
          <t>Нет ОКВЭД/ССЧР</t>
        </is>
      </c>
      <c r="V7441" s="35" t="inlineStr">
        <is>
          <t>Не определено</t>
        </is>
      </c>
      <c r="W7441" s="35" t="inlineStr">
        <is>
          <t>Нет</t>
        </is>
      </c>
      <c r="X7441" s="35" t="inlineStr"/>
    </row>
    <row r="7442" ht="27.75" customHeight="1" s="24">
      <c r="A7442" s="13" t="inlineStr">
        <is>
          <t>FR1203723</t>
        </is>
      </c>
      <c r="B7442" s="13" t="inlineStr">
        <is>
          <t>Общество с ограниченной ответственностью "МОСПРОММАШ"</t>
        </is>
      </c>
      <c r="C7442" s="13" t="n">
        <v>7751371555</v>
      </c>
      <c r="D7442" s="13" t="inlineStr">
        <is>
          <t>7751371555</t>
        </is>
      </c>
      <c r="E7442" s="13" t="inlineStr">
        <is>
          <t>ЮЛ РФ</t>
        </is>
      </c>
      <c r="F7442" s="13" t="n"/>
      <c r="G7442" s="52" t="n">
        <v>0</v>
      </c>
      <c r="H7442" s="52" t="n">
        <v>2025</v>
      </c>
      <c r="I7442" s="14" t="n"/>
      <c r="J7442" s="14" t="n"/>
      <c r="K7442" s="53" t="inlineStr">
        <is>
          <t>Нет</t>
        </is>
      </c>
      <c r="L7442" s="53" t="inlineStr">
        <is>
          <t>Не определено</t>
        </is>
      </c>
      <c r="M7442" s="53" t="inlineStr">
        <is>
          <t>До 10</t>
        </is>
      </c>
      <c r="N7442" s="54" t="n">
        <v>3360</v>
      </c>
      <c r="O7442" s="55" t="inlineStr">
        <is>
          <t>1–15</t>
        </is>
      </c>
      <c r="P7442" s="16" t="inlineStr">
        <is>
          <t>ССЧР обогащена; ОКВЭД не найден/не загружен</t>
        </is>
      </c>
      <c r="Q7442" s="16" t="inlineStr">
        <is>
          <t>ФНС открытые данные ССЧР (ДатаСост 31.12.2025; набор 7707329152-sshr2019)</t>
        </is>
      </c>
      <c r="R7442" s="16">
        <f>HYPERLINK("https://checko.ru/search?query=3801001629","Чекко: проверить")</f>
        <v/>
      </c>
      <c r="S7442" t="n">
        <v>1</v>
      </c>
      <c r="T7442" s="35" t="inlineStr">
        <is>
          <t>4 — Не обогащён</t>
        </is>
      </c>
      <c r="U7442" s="35" t="inlineStr">
        <is>
          <t>Нет ОКВЭД/ССЧР</t>
        </is>
      </c>
      <c r="V7442" s="35" t="inlineStr">
        <is>
          <t>Не определено</t>
        </is>
      </c>
      <c r="W7442" s="35" t="inlineStr">
        <is>
          <t>Нет</t>
        </is>
      </c>
      <c r="X7442" s="35" t="inlineStr"/>
    </row>
    <row r="7443" ht="27.75" customHeight="1" s="24">
      <c r="A7443" s="13" t="inlineStr">
        <is>
          <t>FR554334</t>
        </is>
      </c>
      <c r="B7443" s="13" t="inlineStr">
        <is>
          <t>ОБЩЕСТВО С ОГРАНИЧЕННОЙ ОТВЕТСТВЕННОСТЬЮ "БЭСТ"</t>
        </is>
      </c>
      <c r="C7443" s="13" t="n">
        <v>7802895013</v>
      </c>
      <c r="D7443" s="13" t="inlineStr">
        <is>
          <t>7802895013</t>
        </is>
      </c>
      <c r="E7443" s="13" t="inlineStr">
        <is>
          <t>ЮЛ РФ</t>
        </is>
      </c>
      <c r="F7443" s="13" t="n"/>
      <c r="G7443" s="52" t="n">
        <v>1</v>
      </c>
      <c r="H7443" s="52" t="n">
        <v>2025</v>
      </c>
      <c r="I7443" s="14" t="n"/>
      <c r="J7443" s="14" t="n"/>
      <c r="K7443" s="53" t="inlineStr">
        <is>
          <t>Нет</t>
        </is>
      </c>
      <c r="L7443" s="53" t="inlineStr">
        <is>
          <t>Не определено</t>
        </is>
      </c>
      <c r="M7443" s="53" t="inlineStr">
        <is>
          <t>До 10</t>
        </is>
      </c>
      <c r="N7443" s="54" t="n">
        <v>3360</v>
      </c>
      <c r="O7443" s="55" t="inlineStr">
        <is>
          <t>1–15</t>
        </is>
      </c>
      <c r="P7443" s="16" t="inlineStr">
        <is>
          <t>ССЧР обогащена; ОКВЭД не найден/не загружен</t>
        </is>
      </c>
      <c r="Q7443" s="16" t="inlineStr">
        <is>
          <t>ФНС открытые данные ССЧР (ДатаСост 31.12.2025; набор 7707329152-sshr2019)</t>
        </is>
      </c>
      <c r="R7443" s="16">
        <f>HYPERLINK("https://checko.ru/search?query=3801001629","Чекко: проверить")</f>
        <v/>
      </c>
      <c r="S7443" t="n">
        <v>1</v>
      </c>
      <c r="T7443" s="35" t="inlineStr">
        <is>
          <t>4 — Не обогащён</t>
        </is>
      </c>
      <c r="U7443" s="35" t="inlineStr">
        <is>
          <t>Нет ОКВЭД/ССЧР</t>
        </is>
      </c>
      <c r="V7443" s="35" t="inlineStr">
        <is>
          <t>Не определено</t>
        </is>
      </c>
      <c r="W7443" s="35" t="inlineStr">
        <is>
          <t>Нет</t>
        </is>
      </c>
      <c r="X7443" s="35" t="inlineStr"/>
    </row>
    <row r="7444" ht="15" customHeight="1" s="24">
      <c r="A7444" s="13" t="inlineStr">
        <is>
          <t>FR283254</t>
        </is>
      </c>
      <c r="B7444" s="13" t="inlineStr">
        <is>
          <t>ООО "ЛЯНЬХЭНЕФТЕТЕХСЕРВИС"</t>
        </is>
      </c>
      <c r="C7444" s="13" t="n">
        <v>3849068036</v>
      </c>
      <c r="D7444" s="13" t="inlineStr">
        <is>
          <t>3849068036</t>
        </is>
      </c>
      <c r="E7444" s="13" t="inlineStr">
        <is>
          <t>ЮЛ РФ</t>
        </is>
      </c>
      <c r="F7444" s="13" t="n"/>
      <c r="G7444" s="52" t="n">
        <v>17</v>
      </c>
      <c r="H7444" s="52" t="n">
        <v>2025</v>
      </c>
      <c r="I7444" s="14" t="n"/>
      <c r="J7444" s="14" t="n"/>
      <c r="K7444" s="53" t="inlineStr">
        <is>
          <t>Нет</t>
        </is>
      </c>
      <c r="L7444" s="53" t="inlineStr">
        <is>
          <t>Не определено</t>
        </is>
      </c>
      <c r="M7444" s="53" t="inlineStr">
        <is>
          <t>До 25</t>
        </is>
      </c>
      <c r="N7444" s="54" t="n">
        <v>8400</v>
      </c>
      <c r="O7444" s="55" t="inlineStr">
        <is>
          <t>16–30</t>
        </is>
      </c>
      <c r="P7444" s="16" t="inlineStr">
        <is>
          <t>ССЧР обогащена; ОКВЭД не найден/не загружен</t>
        </is>
      </c>
      <c r="Q7444" s="16" t="inlineStr">
        <is>
          <t>ФНС открытые данные ССЧР (ДатаСост 31.12.2025; набор 7707329152-sshr2019)</t>
        </is>
      </c>
      <c r="R7444" s="16">
        <f>HYPERLINK("https://checko.ru/search?query=3801001629","Чекко: проверить")</f>
        <v/>
      </c>
      <c r="S7444" t="n">
        <v>1</v>
      </c>
      <c r="T7444" s="35" t="inlineStr">
        <is>
          <t>4 — Не обогащён</t>
        </is>
      </c>
      <c r="U7444" s="35" t="inlineStr">
        <is>
          <t>Нет ОКВЭД/ССЧР</t>
        </is>
      </c>
      <c r="V7444" s="35" t="inlineStr">
        <is>
          <t>Не определено</t>
        </is>
      </c>
      <c r="W7444" s="35" t="inlineStr">
        <is>
          <t>Нет</t>
        </is>
      </c>
      <c r="X7444" s="35" t="inlineStr"/>
    </row>
    <row r="7445" ht="15" customHeight="1" s="24">
      <c r="A7445" s="13" t="inlineStr">
        <is>
          <t>FR18857</t>
        </is>
      </c>
      <c r="B7445" s="13" t="inlineStr">
        <is>
          <t>ООО "ФОРТА"</t>
        </is>
      </c>
      <c r="C7445" s="13" t="n">
        <v>7203337637</v>
      </c>
      <c r="D7445" s="13" t="inlineStr">
        <is>
          <t>7203337637</t>
        </is>
      </c>
      <c r="E7445" s="13" t="inlineStr">
        <is>
          <t>ЮЛ РФ</t>
        </is>
      </c>
      <c r="F7445" s="13" t="n"/>
      <c r="G7445" s="52" t="n">
        <v>2</v>
      </c>
      <c r="H7445" s="52" t="n">
        <v>2025</v>
      </c>
      <c r="I7445" s="14" t="n"/>
      <c r="J7445" s="14" t="n"/>
      <c r="K7445" s="53" t="inlineStr">
        <is>
          <t>Нет</t>
        </is>
      </c>
      <c r="L7445" s="53" t="inlineStr">
        <is>
          <t>Не определено</t>
        </is>
      </c>
      <c r="M7445" s="53" t="inlineStr">
        <is>
          <t>До 10</t>
        </is>
      </c>
      <c r="N7445" s="54" t="n">
        <v>3360</v>
      </c>
      <c r="O7445" s="55" t="inlineStr">
        <is>
          <t>1–15</t>
        </is>
      </c>
      <c r="P7445" s="16" t="inlineStr">
        <is>
          <t>ССЧР обогащена; ОКВЭД не найден/не загружен</t>
        </is>
      </c>
      <c r="Q7445" s="16" t="inlineStr">
        <is>
          <t>ФНС открытые данные ССЧР (ДатаСост 31.12.2025; набор 7707329152-sshr2019)</t>
        </is>
      </c>
      <c r="R7445" s="16">
        <f>HYPERLINK("https://checko.ru/search?query=3801001629","Чекко: проверить")</f>
        <v/>
      </c>
      <c r="S7445" t="n">
        <v>1</v>
      </c>
      <c r="T7445" s="35" t="inlineStr">
        <is>
          <t>4 — Не обогащён</t>
        </is>
      </c>
      <c r="U7445" s="35" t="inlineStr">
        <is>
          <t>Нет ОКВЭД/ССЧР</t>
        </is>
      </c>
      <c r="V7445" s="35" t="inlineStr">
        <is>
          <t>Не определено</t>
        </is>
      </c>
      <c r="W7445" s="35" t="inlineStr">
        <is>
          <t>Нет</t>
        </is>
      </c>
      <c r="X7445" s="35" t="inlineStr"/>
    </row>
    <row r="7446" ht="41.25" customHeight="1" s="24">
      <c r="A7446" s="13" t="inlineStr">
        <is>
          <t>FR525285</t>
        </is>
      </c>
      <c r="B7446" s="13" t="inlineStr">
        <is>
          <t>ОБЩЕСТВО С ОГРАНИЧЕННОЙ ОТВЕТСТВЕННОСТЬЮ "САМСУНГ ХЭВИ ИНДАСТРИС РУС"</t>
        </is>
      </c>
      <c r="C7446" s="13" t="n">
        <v>2503037850</v>
      </c>
      <c r="D7446" s="13" t="inlineStr">
        <is>
          <t>2503037850</t>
        </is>
      </c>
      <c r="E7446" s="13" t="inlineStr">
        <is>
          <t>ЮЛ РФ</t>
        </is>
      </c>
      <c r="F7446" s="13" t="n"/>
      <c r="G7446" s="52" t="n">
        <v>1</v>
      </c>
      <c r="H7446" s="52" t="n">
        <v>2025</v>
      </c>
      <c r="I7446" s="14" t="n"/>
      <c r="J7446" s="14" t="n"/>
      <c r="K7446" s="53" t="inlineStr">
        <is>
          <t>Нет</t>
        </is>
      </c>
      <c r="L7446" s="53" t="inlineStr">
        <is>
          <t>Не определено</t>
        </is>
      </c>
      <c r="M7446" s="53" t="inlineStr">
        <is>
          <t>До 10</t>
        </is>
      </c>
      <c r="N7446" s="54" t="n">
        <v>3360</v>
      </c>
      <c r="O7446" s="55" t="inlineStr">
        <is>
          <t>1–15</t>
        </is>
      </c>
      <c r="P7446" s="16" t="inlineStr">
        <is>
          <t>ССЧР обогащена; ОКВЭД не найден/не загружен</t>
        </is>
      </c>
      <c r="Q7446" s="16" t="inlineStr">
        <is>
          <t>ФНС открытые данные ССЧР (ДатаСост 31.12.2025; набор 7707329152-sshr2019)</t>
        </is>
      </c>
      <c r="R7446" s="16">
        <f>HYPERLINK("https://checko.ru/search?query=3801001629","Чекко: проверить")</f>
        <v/>
      </c>
      <c r="S7446" t="n">
        <v>1</v>
      </c>
      <c r="T7446" s="35" t="inlineStr">
        <is>
          <t>4 — Не обогащён</t>
        </is>
      </c>
      <c r="U7446" s="35" t="inlineStr">
        <is>
          <t>Нет ОКВЭД/ССЧР</t>
        </is>
      </c>
      <c r="V7446" s="35" t="inlineStr">
        <is>
          <t>Не определено</t>
        </is>
      </c>
      <c r="W7446" s="35" t="inlineStr">
        <is>
          <t>Нет</t>
        </is>
      </c>
      <c r="X7446" s="35" t="inlineStr"/>
    </row>
    <row r="7447" ht="41.25" customHeight="1" s="24">
      <c r="A7447" s="13" t="inlineStr">
        <is>
          <t>FR408807</t>
        </is>
      </c>
      <c r="B7447" s="13" t="inlineStr">
        <is>
          <t>ОБЩЕСТВО С ОГРАНИЧЕННОЙ ОТВЕТСТВЕННОСТЬЮ "ПРОИЗВОДСТВЕННАЯ ГРУППА КАЙМАН"</t>
        </is>
      </c>
      <c r="C7447" s="13" t="n">
        <v>4024014320</v>
      </c>
      <c r="D7447" s="13" t="inlineStr">
        <is>
          <t>4024014320</t>
        </is>
      </c>
      <c r="E7447" s="13" t="inlineStr">
        <is>
          <t>ЮЛ РФ</t>
        </is>
      </c>
      <c r="F7447" s="13" t="n"/>
      <c r="G7447" s="52" t="n">
        <v>26</v>
      </c>
      <c r="H7447" s="52" t="n">
        <v>2025</v>
      </c>
      <c r="I7447" s="52" t="inlineStr">
        <is>
          <t>25.93</t>
        </is>
      </c>
      <c r="J7447" s="52" t="inlineStr">
        <is>
          <t>25.93; 25.11; 25.12; 25.50.1; 25.61; 25.62; 25.73; 25.94; 41.20; 43.21; 43.29; 43.91; 43.99.7; 46.18; 46.49.49; 46.62.2; 46.62.3; 46.90</t>
        </is>
      </c>
      <c r="K7447" s="53" t="inlineStr">
        <is>
          <t>Да</t>
        </is>
      </c>
      <c r="L7447" s="53" t="inlineStr">
        <is>
          <t>Да</t>
        </is>
      </c>
      <c r="M7447" s="53" t="inlineStr">
        <is>
          <t>До 50</t>
        </is>
      </c>
      <c r="N7447" s="54" t="n">
        <v>16800</v>
      </c>
      <c r="O7447" s="55" t="inlineStr">
        <is>
          <t>16–30</t>
        </is>
      </c>
      <c r="P7447" s="16" t="inlineStr">
        <is>
          <t>ССЧР + ОКВЭД обогащены</t>
        </is>
      </c>
      <c r="Q7447" s="16" t="inlineStr">
        <is>
          <t>ФНС открытые данные ССЧР (ДатаСост 31.12.2025; набор 7707329152-sshr2019)</t>
        </is>
      </c>
      <c r="R7447" s="16" t="inlineStr">
        <is>
          <t>ЕГРЮЛ / egrul.nalog.ru (выписка)</t>
        </is>
      </c>
      <c r="S7447" t="n">
        <v>1</v>
      </c>
      <c r="T7447" s="35" t="inlineStr">
        <is>
          <t>1 — Горячий</t>
        </is>
      </c>
      <c r="U7447" s="35" t="inlineStr">
        <is>
          <t>ОКВЭД + 22+</t>
        </is>
      </c>
      <c r="V7447" s="35" t="inlineStr">
        <is>
          <t>Да</t>
        </is>
      </c>
      <c r="W7447" s="35" t="inlineStr">
        <is>
          <t>Да</t>
        </is>
      </c>
      <c r="X7447" s="35" t="inlineStr">
        <is>
          <t>Да</t>
        </is>
      </c>
    </row>
    <row r="7448" ht="27.75" customHeight="1" s="24">
      <c r="A7448" s="13" t="inlineStr">
        <is>
          <t>FR855863</t>
        </is>
      </c>
      <c r="B7448" s="13" t="inlineStr">
        <is>
          <t>Общество с ограниченной ответственностью "БАЙКАЛ-БРИЗ"</t>
        </is>
      </c>
      <c r="C7448" s="13" t="n">
        <v>3811113360</v>
      </c>
      <c r="D7448" s="13" t="inlineStr">
        <is>
          <t>3811113360</t>
        </is>
      </c>
      <c r="E7448" s="13" t="inlineStr">
        <is>
          <t>ЮЛ РФ</t>
        </is>
      </c>
      <c r="F7448" s="13" t="n"/>
      <c r="G7448" s="52" t="n">
        <v>5</v>
      </c>
      <c r="H7448" s="52" t="n">
        <v>2025</v>
      </c>
      <c r="I7448" s="14" t="n"/>
      <c r="J7448" s="14" t="n"/>
      <c r="K7448" s="53" t="inlineStr">
        <is>
          <t>Нет</t>
        </is>
      </c>
      <c r="L7448" s="53" t="inlineStr">
        <is>
          <t>Не определено</t>
        </is>
      </c>
      <c r="M7448" s="53" t="inlineStr">
        <is>
          <t>До 10</t>
        </is>
      </c>
      <c r="N7448" s="54" t="n">
        <v>3360</v>
      </c>
      <c r="O7448" s="55" t="inlineStr">
        <is>
          <t>1–15</t>
        </is>
      </c>
      <c r="P7448" s="16" t="inlineStr">
        <is>
          <t>ССЧР обогащена; ОКВЭД не найден/не загружен</t>
        </is>
      </c>
      <c r="Q7448" s="16" t="inlineStr">
        <is>
          <t>ФНС открытые данные ССЧР (ДатаСост 31.12.2025; набор 7707329152-sshr2019)</t>
        </is>
      </c>
      <c r="R7448" s="16">
        <f>HYPERLINK("https://checko.ru/search?query=3801001629","Чекко: проверить")</f>
        <v/>
      </c>
      <c r="S7448" t="n">
        <v>1</v>
      </c>
      <c r="T7448" s="35" t="inlineStr">
        <is>
          <t>4 — Не обогащён</t>
        </is>
      </c>
      <c r="U7448" s="35" t="inlineStr">
        <is>
          <t>Нет ОКВЭД/ССЧР</t>
        </is>
      </c>
      <c r="V7448" s="35" t="inlineStr">
        <is>
          <t>Не определено</t>
        </is>
      </c>
      <c r="W7448" s="35" t="inlineStr">
        <is>
          <t>Нет</t>
        </is>
      </c>
      <c r="X7448" s="35" t="inlineStr"/>
    </row>
    <row r="7449" ht="27.75" customHeight="1" s="24">
      <c r="A7449" s="13" t="inlineStr">
        <is>
          <t>FR696716</t>
        </is>
      </c>
      <c r="B7449" s="13" t="inlineStr">
        <is>
          <t>Общество с ограниченной ответственностью "ЗАВОД ГИГАНТ"</t>
        </is>
      </c>
      <c r="C7449" s="13" t="n">
        <v>3812996782</v>
      </c>
      <c r="D7449" s="13" t="inlineStr">
        <is>
          <t>3812996782</t>
        </is>
      </c>
      <c r="E7449" s="13" t="inlineStr">
        <is>
          <t>ЮЛ РФ</t>
        </is>
      </c>
      <c r="F7449" s="13" t="n"/>
      <c r="G7449" s="52" t="n">
        <v>11</v>
      </c>
      <c r="H7449" s="52" t="n">
        <v>2025</v>
      </c>
      <c r="I7449" s="14" t="n"/>
      <c r="J7449" s="14" t="n"/>
      <c r="K7449" s="53" t="inlineStr">
        <is>
          <t>Нет</t>
        </is>
      </c>
      <c r="L7449" s="53" t="inlineStr">
        <is>
          <t>Не определено</t>
        </is>
      </c>
      <c r="M7449" s="53" t="inlineStr">
        <is>
          <t>До 25</t>
        </is>
      </c>
      <c r="N7449" s="54" t="n">
        <v>8400</v>
      </c>
      <c r="O7449" s="55" t="inlineStr">
        <is>
          <t>1–15</t>
        </is>
      </c>
      <c r="P7449" s="16" t="inlineStr">
        <is>
          <t>ССЧР обогащена; ОКВЭД не найден/не загружен</t>
        </is>
      </c>
      <c r="Q7449" s="16" t="inlineStr">
        <is>
          <t>ФНС открытые данные ССЧР (ДатаСост 31.12.2025; набор 7707329152-sshr2019)</t>
        </is>
      </c>
      <c r="R7449" s="16">
        <f>HYPERLINK("https://checko.ru/search?query=3801001629","Чекко: проверить")</f>
        <v/>
      </c>
      <c r="S7449" t="n">
        <v>1</v>
      </c>
      <c r="T7449" s="35" t="inlineStr">
        <is>
          <t>4 — Не обогащён</t>
        </is>
      </c>
      <c r="U7449" s="35" t="inlineStr">
        <is>
          <t>Нет ОКВЭД/ССЧР</t>
        </is>
      </c>
      <c r="V7449" s="35" t="inlineStr">
        <is>
          <t>Не определено</t>
        </is>
      </c>
      <c r="W7449" s="35" t="inlineStr">
        <is>
          <t>Нет</t>
        </is>
      </c>
      <c r="X7449" s="35" t="inlineStr"/>
    </row>
    <row r="7450" ht="27.75" customHeight="1" s="24">
      <c r="A7450" s="13" t="inlineStr">
        <is>
          <t>FR554824</t>
        </is>
      </c>
      <c r="B7450" s="13" t="inlineStr">
        <is>
          <t>ОБЩЕСТВО С ОГРАНИЧЕННОЙ ОТВЕТСТВЕННОСТЬЮ "ОРИОН РЕГИОН"</t>
        </is>
      </c>
      <c r="C7450" s="13" t="n">
        <v>6679144388</v>
      </c>
      <c r="D7450" s="13" t="inlineStr">
        <is>
          <t>6679144388</t>
        </is>
      </c>
      <c r="E7450" s="13" t="inlineStr">
        <is>
          <t>ЮЛ РФ</t>
        </is>
      </c>
      <c r="F7450" s="13" t="n"/>
      <c r="G7450" s="52" t="n">
        <v>19</v>
      </c>
      <c r="H7450" s="52" t="n">
        <v>2025</v>
      </c>
      <c r="I7450" s="14" t="n"/>
      <c r="J7450" s="14" t="n"/>
      <c r="K7450" s="53" t="inlineStr">
        <is>
          <t>Нет</t>
        </is>
      </c>
      <c r="L7450" s="53" t="inlineStr">
        <is>
          <t>Не определено</t>
        </is>
      </c>
      <c r="M7450" s="53" t="inlineStr">
        <is>
          <t>До 25</t>
        </is>
      </c>
      <c r="N7450" s="54" t="n">
        <v>8400</v>
      </c>
      <c r="O7450" s="55" t="inlineStr">
        <is>
          <t>16–30</t>
        </is>
      </c>
      <c r="P7450" s="16" t="inlineStr">
        <is>
          <t>ССЧР обогащена; ОКВЭД не найден/не загружен</t>
        </is>
      </c>
      <c r="Q7450" s="16" t="inlineStr">
        <is>
          <t>ФНС открытые данные ССЧР (ДатаСост 31.12.2025; набор 7707329152-sshr2019)</t>
        </is>
      </c>
      <c r="R7450" s="16">
        <f>HYPERLINK("https://checko.ru/search?query=3801001629","Чекко: проверить")</f>
        <v/>
      </c>
      <c r="S7450" t="n">
        <v>1</v>
      </c>
      <c r="T7450" s="35" t="inlineStr">
        <is>
          <t>4 — Не обогащён</t>
        </is>
      </c>
      <c r="U7450" s="35" t="inlineStr">
        <is>
          <t>Нет ОКВЭД/ССЧР</t>
        </is>
      </c>
      <c r="V7450" s="35" t="inlineStr">
        <is>
          <t>Не определено</t>
        </is>
      </c>
      <c r="W7450" s="35" t="inlineStr">
        <is>
          <t>Нет</t>
        </is>
      </c>
      <c r="X7450" s="35" t="inlineStr"/>
    </row>
    <row r="7451" ht="27.75" customHeight="1" s="24">
      <c r="A7451" s="13" t="inlineStr">
        <is>
          <t>FR5425</t>
        </is>
      </c>
      <c r="B7451" s="13" t="inlineStr">
        <is>
          <t>ЗАКРЫТОЕ АКЦИОНЕРНОЕ ОБЩЕСТВО "ДОРМЕНЕДЖМЕНТ"</t>
        </is>
      </c>
      <c r="C7451" s="13" t="n">
        <v>3811171443</v>
      </c>
      <c r="D7451" s="13" t="inlineStr">
        <is>
          <t>3811171443</t>
        </is>
      </c>
      <c r="E7451" s="13" t="inlineStr">
        <is>
          <t>ЮЛ РФ</t>
        </is>
      </c>
      <c r="F7451" s="13" t="n"/>
      <c r="G7451" s="52" t="n">
        <v>3</v>
      </c>
      <c r="H7451" s="52" t="n">
        <v>2025</v>
      </c>
      <c r="I7451" s="14" t="n"/>
      <c r="J7451" s="14" t="n"/>
      <c r="K7451" s="53" t="inlineStr">
        <is>
          <t>Нет</t>
        </is>
      </c>
      <c r="L7451" s="53" t="inlineStr">
        <is>
          <t>Не определено</t>
        </is>
      </c>
      <c r="M7451" s="53" t="inlineStr">
        <is>
          <t>До 10</t>
        </is>
      </c>
      <c r="N7451" s="54" t="n">
        <v>3360</v>
      </c>
      <c r="O7451" s="55" t="inlineStr">
        <is>
          <t>1–15</t>
        </is>
      </c>
      <c r="P7451" s="16" t="inlineStr">
        <is>
          <t>ССЧР обогащена; ОКВЭД не найден/не загружен</t>
        </is>
      </c>
      <c r="Q7451" s="16" t="inlineStr">
        <is>
          <t>ФНС открытые данные ССЧР (ДатаСост 31.12.2025; набор 7707329152-sshr2019)</t>
        </is>
      </c>
      <c r="R7451" s="16">
        <f>HYPERLINK("https://checko.ru/search?query=3801001629","Чекко: проверить")</f>
        <v/>
      </c>
      <c r="S7451" t="n">
        <v>1</v>
      </c>
      <c r="T7451" s="35" t="inlineStr">
        <is>
          <t>4 — Не обогащён</t>
        </is>
      </c>
      <c r="U7451" s="35" t="inlineStr">
        <is>
          <t>Нет ОКВЭД/ССЧР</t>
        </is>
      </c>
      <c r="V7451" s="35" t="inlineStr">
        <is>
          <t>Не определено</t>
        </is>
      </c>
      <c r="W7451" s="35" t="inlineStr">
        <is>
          <t>Нет</t>
        </is>
      </c>
      <c r="X7451" s="35" t="inlineStr"/>
    </row>
    <row r="7452" ht="15" customHeight="1" s="24">
      <c r="A7452" s="13" t="inlineStr">
        <is>
          <t>FR237133</t>
        </is>
      </c>
      <c r="B7452" s="13" t="inlineStr">
        <is>
          <t>ИП Кутимский Олег Геннадьевич</t>
        </is>
      </c>
      <c r="C7452" s="13" t="n">
        <v>141400550288</v>
      </c>
      <c r="D7452" s="13" t="inlineStr">
        <is>
          <t>141400550288</t>
        </is>
      </c>
      <c r="E7452" s="13" t="inlineStr">
        <is>
          <t>ИП РФ / физлицо</t>
        </is>
      </c>
      <c r="F7452" s="13" t="n"/>
      <c r="G7452" s="14" t="n"/>
      <c r="H7452" s="14" t="n"/>
      <c r="I7452" s="14" t="n"/>
      <c r="J7452" s="14" t="n"/>
      <c r="K7452" s="53" t="inlineStr"/>
      <c r="L7452" s="53" t="inlineStr">
        <is>
          <t>Не определено</t>
        </is>
      </c>
      <c r="M7452" s="53" t="inlineStr"/>
      <c r="N7452" s="54" t="inlineStr"/>
      <c r="O7452" s="55" t="inlineStr"/>
      <c r="P7452" s="16" t="inlineStr">
        <is>
          <t>Требует обогащения</t>
        </is>
      </c>
      <c r="Q7452" s="16">
        <f>HYPERLINK("https://pb.nalog.ru/search.html?query=141400550288","ФНС: проверить")</f>
        <v/>
      </c>
      <c r="R7452" s="16">
        <f>HYPERLINK("https://checko.ru/search?query=3801001629","Чекко: проверить")</f>
        <v/>
      </c>
      <c r="S7452" t="n">
        <v>1</v>
      </c>
      <c r="T7452" s="35" t="inlineStr">
        <is>
          <t>4 — Не обогащён</t>
        </is>
      </c>
      <c r="U7452" s="35" t="inlineStr">
        <is>
          <t>Нет ОКВЭД/ССЧР</t>
        </is>
      </c>
      <c r="V7452" s="35" t="inlineStr">
        <is>
          <t>Не определено</t>
        </is>
      </c>
      <c r="W7452" s="35" t="inlineStr"/>
      <c r="X7452" s="35" t="inlineStr"/>
    </row>
    <row r="7453" ht="15" customHeight="1" s="24">
      <c r="A7453" s="13" t="inlineStr">
        <is>
          <t>FR148307</t>
        </is>
      </c>
      <c r="B7453" s="13" t="inlineStr">
        <is>
          <t>ИП Байкова Лилия Газинуровна</t>
        </is>
      </c>
      <c r="C7453" s="13" t="n">
        <v>165126704855</v>
      </c>
      <c r="D7453" s="13" t="inlineStr">
        <is>
          <t>165126704855</t>
        </is>
      </c>
      <c r="E7453" s="13" t="inlineStr">
        <is>
          <t>ИП РФ / физлицо</t>
        </is>
      </c>
      <c r="F7453" s="13" t="n"/>
      <c r="G7453" s="14" t="n"/>
      <c r="H7453" s="14" t="n"/>
      <c r="I7453" s="14" t="n"/>
      <c r="J7453" s="14" t="n"/>
      <c r="K7453" s="53" t="inlineStr"/>
      <c r="L7453" s="53" t="inlineStr">
        <is>
          <t>Не определено</t>
        </is>
      </c>
      <c r="M7453" s="53" t="inlineStr"/>
      <c r="N7453" s="54" t="inlineStr"/>
      <c r="O7453" s="55" t="inlineStr"/>
      <c r="P7453" s="16" t="inlineStr">
        <is>
          <t>Требует обогащения</t>
        </is>
      </c>
      <c r="Q7453" s="16">
        <f>HYPERLINK("https://pb.nalog.ru/search.html?query=165126704855","ФНС: проверить")</f>
        <v/>
      </c>
      <c r="R7453" s="16">
        <f>HYPERLINK("https://checko.ru/search?query=3801001629","Чекко: проверить")</f>
        <v/>
      </c>
      <c r="S7453" t="n">
        <v>1</v>
      </c>
      <c r="T7453" s="35" t="inlineStr">
        <is>
          <t>4 — Не обогащён</t>
        </is>
      </c>
      <c r="U7453" s="35" t="inlineStr">
        <is>
          <t>Нет ОКВЭД/ССЧР</t>
        </is>
      </c>
      <c r="V7453" s="35" t="inlineStr">
        <is>
          <t>Не определено</t>
        </is>
      </c>
      <c r="W7453" s="35" t="inlineStr"/>
      <c r="X7453" s="35" t="inlineStr"/>
    </row>
    <row r="7454" ht="15" customHeight="1" s="24">
      <c r="A7454" s="13" t="inlineStr">
        <is>
          <t>FR294833</t>
        </is>
      </c>
      <c r="B7454" s="13" t="inlineStr">
        <is>
          <t>ИП Редько Роман Николаевич</t>
        </is>
      </c>
      <c r="C7454" s="13" t="n">
        <v>381105792185</v>
      </c>
      <c r="D7454" s="13" t="inlineStr">
        <is>
          <t>381105792185</t>
        </is>
      </c>
      <c r="E7454" s="13" t="inlineStr">
        <is>
          <t>ИП РФ / физлицо</t>
        </is>
      </c>
      <c r="F7454" s="13" t="n"/>
      <c r="G7454" s="14" t="n"/>
      <c r="H7454" s="14" t="n"/>
      <c r="I7454" s="14" t="n"/>
      <c r="J7454" s="14" t="n"/>
      <c r="K7454" s="53" t="inlineStr"/>
      <c r="L7454" s="53" t="inlineStr">
        <is>
          <t>Не определено</t>
        </is>
      </c>
      <c r="M7454" s="53" t="inlineStr"/>
      <c r="N7454" s="54" t="inlineStr"/>
      <c r="O7454" s="55" t="inlineStr"/>
      <c r="P7454" s="16" t="inlineStr">
        <is>
          <t>Требует обогащения</t>
        </is>
      </c>
      <c r="Q7454" s="16">
        <f>HYPERLINK("https://pb.nalog.ru/search.html?query=381105792185","ФНС: проверить")</f>
        <v/>
      </c>
      <c r="R7454" s="16">
        <f>HYPERLINK("https://checko.ru/search?query=3801001629","Чекко: проверить")</f>
        <v/>
      </c>
      <c r="S7454" t="n">
        <v>1</v>
      </c>
      <c r="T7454" s="35" t="inlineStr">
        <is>
          <t>4 — Не обогащён</t>
        </is>
      </c>
      <c r="U7454" s="35" t="inlineStr">
        <is>
          <t>Нет ОКВЭД/ССЧР</t>
        </is>
      </c>
      <c r="V7454" s="35" t="inlineStr">
        <is>
          <t>Не определено</t>
        </is>
      </c>
      <c r="W7454" s="35" t="inlineStr"/>
      <c r="X7454" s="35" t="inlineStr"/>
    </row>
    <row r="7455" ht="27.75" customHeight="1" s="24">
      <c r="A7455" s="13" t="inlineStr">
        <is>
          <t>FR701453</t>
        </is>
      </c>
      <c r="B7455" s="13" t="inlineStr">
        <is>
          <t>Общество с ограниченной ответственностью "АЛЕРТ"</t>
        </is>
      </c>
      <c r="C7455" s="13" t="n">
        <v>7604333277</v>
      </c>
      <c r="D7455" s="13" t="inlineStr">
        <is>
          <t>7604333277</t>
        </is>
      </c>
      <c r="E7455" s="13" t="inlineStr">
        <is>
          <t>ЮЛ РФ</t>
        </is>
      </c>
      <c r="F7455" s="13" t="n"/>
      <c r="G7455" s="52" t="n">
        <v>7</v>
      </c>
      <c r="H7455" s="52" t="n">
        <v>2025</v>
      </c>
      <c r="I7455" s="14" t="n"/>
      <c r="J7455" s="14" t="n"/>
      <c r="K7455" s="53" t="inlineStr">
        <is>
          <t>Нет</t>
        </is>
      </c>
      <c r="L7455" s="53" t="inlineStr">
        <is>
          <t>Не определено</t>
        </is>
      </c>
      <c r="M7455" s="53" t="inlineStr">
        <is>
          <t>До 10</t>
        </is>
      </c>
      <c r="N7455" s="54" t="n">
        <v>3360</v>
      </c>
      <c r="O7455" s="55" t="inlineStr">
        <is>
          <t>1–15</t>
        </is>
      </c>
      <c r="P7455" s="16" t="inlineStr">
        <is>
          <t>ССЧР обогащена; ОКВЭД не найден/не загружен</t>
        </is>
      </c>
      <c r="Q7455" s="16" t="inlineStr">
        <is>
          <t>ФНС открытые данные ССЧР (ДатаСост 31.12.2025; набор 7707329152-sshr2019)</t>
        </is>
      </c>
      <c r="R7455" s="16">
        <f>HYPERLINK("https://checko.ru/search?query=3801001629","Чекко: проверить")</f>
        <v/>
      </c>
      <c r="S7455" t="n">
        <v>1</v>
      </c>
      <c r="T7455" s="35" t="inlineStr">
        <is>
          <t>4 — Не обогащён</t>
        </is>
      </c>
      <c r="U7455" s="35" t="inlineStr">
        <is>
          <t>Нет ОКВЭД/ССЧР</t>
        </is>
      </c>
      <c r="V7455" s="35" t="inlineStr">
        <is>
          <t>Не определено</t>
        </is>
      </c>
      <c r="W7455" s="35" t="inlineStr">
        <is>
          <t>Нет</t>
        </is>
      </c>
      <c r="X7455" s="35" t="inlineStr"/>
    </row>
    <row r="7456" ht="27.75" customHeight="1" s="24">
      <c r="A7456" s="13" t="inlineStr">
        <is>
          <t>FR1064730</t>
        </is>
      </c>
      <c r="B7456" s="13" t="inlineStr">
        <is>
          <t>Общество с ограниченной ответственностью "АФИНА"</t>
        </is>
      </c>
      <c r="C7456" s="13" t="n">
        <v>3804054393</v>
      </c>
      <c r="D7456" s="13" t="inlineStr">
        <is>
          <t>3804054393</t>
        </is>
      </c>
      <c r="E7456" s="13" t="inlineStr">
        <is>
          <t>ЮЛ РФ</t>
        </is>
      </c>
      <c r="F7456" s="13" t="n"/>
      <c r="G7456" s="52" t="n">
        <v>12</v>
      </c>
      <c r="H7456" s="52" t="n">
        <v>2025</v>
      </c>
      <c r="I7456" s="14" t="n"/>
      <c r="J7456" s="14" t="n"/>
      <c r="K7456" s="53" t="inlineStr">
        <is>
          <t>Нет</t>
        </is>
      </c>
      <c r="L7456" s="53" t="inlineStr">
        <is>
          <t>Не определено</t>
        </is>
      </c>
      <c r="M7456" s="53" t="inlineStr">
        <is>
          <t>До 25</t>
        </is>
      </c>
      <c r="N7456" s="54" t="n">
        <v>8400</v>
      </c>
      <c r="O7456" s="55" t="inlineStr">
        <is>
          <t>1–15</t>
        </is>
      </c>
      <c r="P7456" s="16" t="inlineStr">
        <is>
          <t>ССЧР обогащена; ОКВЭД не найден/не загружен</t>
        </is>
      </c>
      <c r="Q7456" s="16" t="inlineStr">
        <is>
          <t>ФНС открытые данные ССЧР (ДатаСост 31.12.2025; набор 7707329152-sshr2019)</t>
        </is>
      </c>
      <c r="R7456" s="16">
        <f>HYPERLINK("https://checko.ru/search?query=3801001629","Чекко: проверить")</f>
        <v/>
      </c>
      <c r="S7456" t="n">
        <v>1</v>
      </c>
      <c r="T7456" s="35" t="inlineStr">
        <is>
          <t>4 — Не обогащён</t>
        </is>
      </c>
      <c r="U7456" s="35" t="inlineStr">
        <is>
          <t>Нет ОКВЭД/ССЧР</t>
        </is>
      </c>
      <c r="V7456" s="35" t="inlineStr">
        <is>
          <t>Не определено</t>
        </is>
      </c>
      <c r="W7456" s="35" t="inlineStr">
        <is>
          <t>Нет</t>
        </is>
      </c>
      <c r="X7456" s="35" t="inlineStr"/>
    </row>
    <row r="7457" ht="15" customHeight="1" s="24">
      <c r="A7457" s="13" t="inlineStr">
        <is>
          <t>FR1240470</t>
        </is>
      </c>
      <c r="B7457" s="13" t="inlineStr">
        <is>
          <t>ООО "ЦИФЕРБЛАТ- Ы"</t>
        </is>
      </c>
      <c r="C7457" s="13" t="n">
        <v>7813588127</v>
      </c>
      <c r="D7457" s="13" t="inlineStr">
        <is>
          <t>7813588127</t>
        </is>
      </c>
      <c r="E7457" s="13" t="inlineStr">
        <is>
          <t>ЮЛ РФ</t>
        </is>
      </c>
      <c r="F7457" s="13" t="n"/>
      <c r="G7457" s="52" t="n">
        <v>9</v>
      </c>
      <c r="H7457" s="52" t="n">
        <v>2025</v>
      </c>
      <c r="I7457" s="14" t="n"/>
      <c r="J7457" s="14" t="n"/>
      <c r="K7457" s="53" t="inlineStr">
        <is>
          <t>Нет</t>
        </is>
      </c>
      <c r="L7457" s="53" t="inlineStr">
        <is>
          <t>Не определено</t>
        </is>
      </c>
      <c r="M7457" s="53" t="inlineStr">
        <is>
          <t>До 10</t>
        </is>
      </c>
      <c r="N7457" s="54" t="n">
        <v>3360</v>
      </c>
      <c r="O7457" s="55" t="inlineStr">
        <is>
          <t>1–15</t>
        </is>
      </c>
      <c r="P7457" s="16" t="inlineStr">
        <is>
          <t>ССЧР обогащена; ОКВЭД не найден/не загружен</t>
        </is>
      </c>
      <c r="Q7457" s="16" t="inlineStr">
        <is>
          <t>ФНС открытые данные ССЧР (ДатаСост 31.12.2025; набор 7707329152-sshr2019)</t>
        </is>
      </c>
      <c r="R7457" s="16">
        <f>HYPERLINK("https://checko.ru/search?query=3801001629","Чекко: проверить")</f>
        <v/>
      </c>
      <c r="S7457" t="n">
        <v>1</v>
      </c>
      <c r="T7457" s="35" t="inlineStr">
        <is>
          <t>4 — Не обогащён</t>
        </is>
      </c>
      <c r="U7457" s="35" t="inlineStr">
        <is>
          <t>Нет ОКВЭД/ССЧР</t>
        </is>
      </c>
      <c r="V7457" s="35" t="inlineStr">
        <is>
          <t>Не определено</t>
        </is>
      </c>
      <c r="W7457" s="35" t="inlineStr">
        <is>
          <t>Нет</t>
        </is>
      </c>
      <c r="X7457" s="35" t="inlineStr"/>
    </row>
    <row r="7458" ht="15" customHeight="1" s="24">
      <c r="A7458" s="13" t="inlineStr">
        <is>
          <t>FR1258056</t>
        </is>
      </c>
      <c r="B7458" s="13" t="inlineStr">
        <is>
          <t>ИП Губарев Евгений Юрьевич</t>
        </is>
      </c>
      <c r="C7458" s="13" t="n">
        <v>381700010767</v>
      </c>
      <c r="D7458" s="13" t="inlineStr">
        <is>
          <t>381700010767</t>
        </is>
      </c>
      <c r="E7458" s="13" t="inlineStr">
        <is>
          <t>ИП РФ / физлицо</t>
        </is>
      </c>
      <c r="F7458" s="13" t="n"/>
      <c r="G7458" s="14" t="n"/>
      <c r="H7458" s="14" t="n"/>
      <c r="I7458" s="14" t="n"/>
      <c r="J7458" s="14" t="n"/>
      <c r="K7458" s="53" t="inlineStr"/>
      <c r="L7458" s="53" t="inlineStr">
        <is>
          <t>Не определено</t>
        </is>
      </c>
      <c r="M7458" s="53" t="inlineStr"/>
      <c r="N7458" s="54" t="inlineStr"/>
      <c r="O7458" s="55" t="inlineStr"/>
      <c r="P7458" s="16" t="inlineStr">
        <is>
          <t>Требует обогащения</t>
        </is>
      </c>
      <c r="Q7458" s="16">
        <f>HYPERLINK("https://pb.nalog.ru/search.html?query=381700010767","ФНС: проверить")</f>
        <v/>
      </c>
      <c r="R7458" s="16">
        <f>HYPERLINK("https://checko.ru/search?query=3801001629","Чекко: проверить")</f>
        <v/>
      </c>
      <c r="S7458" t="n">
        <v>1</v>
      </c>
      <c r="T7458" s="35" t="inlineStr">
        <is>
          <t>4 — Не обогащён</t>
        </is>
      </c>
      <c r="U7458" s="35" t="inlineStr">
        <is>
          <t>Нет ОКВЭД/ССЧР</t>
        </is>
      </c>
      <c r="V7458" s="35" t="inlineStr">
        <is>
          <t>Не определено</t>
        </is>
      </c>
      <c r="W7458" s="35" t="inlineStr"/>
      <c r="X7458" s="35" t="inlineStr"/>
    </row>
    <row r="7459" ht="15" customHeight="1" s="24">
      <c r="A7459" s="13" t="inlineStr">
        <is>
          <t>FR12721</t>
        </is>
      </c>
      <c r="B7459" s="13" t="inlineStr">
        <is>
          <t>ЛИНГВИСТИЧЕСКИЙ ЦЕНТР "NEW SIGHT"</t>
        </is>
      </c>
      <c r="C7459" s="13" t="n">
        <v>8601020140</v>
      </c>
      <c r="D7459" s="13" t="inlineStr">
        <is>
          <t>8601020140</t>
        </is>
      </c>
      <c r="E7459" s="13" t="inlineStr">
        <is>
          <t>ЮЛ РФ</t>
        </is>
      </c>
      <c r="F7459" s="13" t="n"/>
      <c r="G7459" s="14" t="n"/>
      <c r="H7459" s="14" t="n"/>
      <c r="I7459" s="14" t="n"/>
      <c r="J7459" s="14" t="n"/>
      <c r="K7459" s="53" t="inlineStr"/>
      <c r="L7459" s="53" t="inlineStr">
        <is>
          <t>Не определено</t>
        </is>
      </c>
      <c r="M7459" s="53" t="inlineStr"/>
      <c r="N7459" s="54" t="inlineStr"/>
      <c r="O7459" s="55" t="inlineStr"/>
      <c r="P7459" s="16" t="inlineStr">
        <is>
          <t>Требует обогащения</t>
        </is>
      </c>
      <c r="Q7459" s="16">
        <f>HYPERLINK("https://pb.nalog.ru/search.html?query=8601020140","ФНС: проверить")</f>
        <v/>
      </c>
      <c r="R7459" s="16">
        <f>HYPERLINK("https://checko.ru/search?query=3801001629","Чекко: проверить")</f>
        <v/>
      </c>
      <c r="S7459" t="n">
        <v>1</v>
      </c>
      <c r="T7459" s="35" t="inlineStr">
        <is>
          <t>4 — Не обогащён</t>
        </is>
      </c>
      <c r="U7459" s="35" t="inlineStr">
        <is>
          <t>Нет ОКВЭД/ССЧР</t>
        </is>
      </c>
      <c r="V7459" s="35" t="inlineStr">
        <is>
          <t>Не определено</t>
        </is>
      </c>
      <c r="W7459" s="35" t="inlineStr"/>
      <c r="X7459" s="35" t="inlineStr"/>
    </row>
    <row r="7460" ht="27.75" customHeight="1" s="24">
      <c r="A7460" s="13" t="inlineStr">
        <is>
          <t>FR871727</t>
        </is>
      </c>
      <c r="B7460" s="13" t="inlineStr">
        <is>
          <t>Общество с ограниченной ответственностью "СПЕКТР-СТРОЙ"</t>
        </is>
      </c>
      <c r="C7460" s="13" t="n">
        <v>3816033630</v>
      </c>
      <c r="D7460" s="13" t="inlineStr">
        <is>
          <t>3816033630</t>
        </is>
      </c>
      <c r="E7460" s="13" t="inlineStr">
        <is>
          <t>ЮЛ РФ</t>
        </is>
      </c>
      <c r="F7460" s="13" t="n"/>
      <c r="G7460" s="52" t="n">
        <v>2</v>
      </c>
      <c r="H7460" s="52" t="n">
        <v>2025</v>
      </c>
      <c r="I7460" s="14" t="n"/>
      <c r="J7460" s="14" t="n"/>
      <c r="K7460" s="53" t="inlineStr">
        <is>
          <t>Нет</t>
        </is>
      </c>
      <c r="L7460" s="53" t="inlineStr">
        <is>
          <t>Не определено</t>
        </is>
      </c>
      <c r="M7460" s="53" t="inlineStr">
        <is>
          <t>До 10</t>
        </is>
      </c>
      <c r="N7460" s="54" t="n">
        <v>3360</v>
      </c>
      <c r="O7460" s="55" t="inlineStr">
        <is>
          <t>1–15</t>
        </is>
      </c>
      <c r="P7460" s="16" t="inlineStr">
        <is>
          <t>ССЧР обогащена; ОКВЭД не найден/не загружен</t>
        </is>
      </c>
      <c r="Q7460" s="16" t="inlineStr">
        <is>
          <t>ФНС открытые данные ССЧР (ДатаСост 31.12.2025; набор 7707329152-sshr2019)</t>
        </is>
      </c>
      <c r="R7460" s="16">
        <f>HYPERLINK("https://checko.ru/search?query=3801001629","Чекко: проверить")</f>
        <v/>
      </c>
      <c r="S7460" t="n">
        <v>1</v>
      </c>
      <c r="T7460" s="35" t="inlineStr">
        <is>
          <t>4 — Не обогащён</t>
        </is>
      </c>
      <c r="U7460" s="35" t="inlineStr">
        <is>
          <t>Нет ОКВЭД/ССЧР</t>
        </is>
      </c>
      <c r="V7460" s="35" t="inlineStr">
        <is>
          <t>Не определено</t>
        </is>
      </c>
      <c r="W7460" s="35" t="inlineStr">
        <is>
          <t>Нет</t>
        </is>
      </c>
      <c r="X7460" s="35" t="inlineStr"/>
    </row>
    <row r="7461" ht="27.75" customHeight="1" s="24">
      <c r="A7461" s="13" t="inlineStr">
        <is>
          <t>FR1012647</t>
        </is>
      </c>
      <c r="B7461" s="13" t="inlineStr">
        <is>
          <t>Общество с ограниченной ответственностью "СЛК СИБИРЬ"</t>
        </is>
      </c>
      <c r="C7461" s="13" t="n">
        <v>3818051410</v>
      </c>
      <c r="D7461" s="13" t="inlineStr">
        <is>
          <t>3818051410</t>
        </is>
      </c>
      <c r="E7461" s="13" t="inlineStr">
        <is>
          <t>ЮЛ РФ</t>
        </is>
      </c>
      <c r="F7461" s="13" t="n"/>
      <c r="G7461" s="52" t="n">
        <v>10</v>
      </c>
      <c r="H7461" s="52" t="n">
        <v>2025</v>
      </c>
      <c r="I7461" s="14" t="n"/>
      <c r="J7461" s="14" t="n"/>
      <c r="K7461" s="53" t="inlineStr">
        <is>
          <t>Нет</t>
        </is>
      </c>
      <c r="L7461" s="53" t="inlineStr">
        <is>
          <t>Не определено</t>
        </is>
      </c>
      <c r="M7461" s="53" t="inlineStr">
        <is>
          <t>До 10</t>
        </is>
      </c>
      <c r="N7461" s="54" t="n">
        <v>3360</v>
      </c>
      <c r="O7461" s="55" t="inlineStr">
        <is>
          <t>1–15</t>
        </is>
      </c>
      <c r="P7461" s="16" t="inlineStr">
        <is>
          <t>ССЧР обогащена; ОКВЭД не найден/не загружен</t>
        </is>
      </c>
      <c r="Q7461" s="16" t="inlineStr">
        <is>
          <t>ФНС открытые данные ССЧР (ДатаСост 31.12.2025; набор 7707329152-sshr2019)</t>
        </is>
      </c>
      <c r="R7461" s="16">
        <f>HYPERLINK("https://checko.ru/search?query=3801001629","Чекко: проверить")</f>
        <v/>
      </c>
      <c r="S7461" t="n">
        <v>1</v>
      </c>
      <c r="T7461" s="35" t="inlineStr">
        <is>
          <t>4 — Не обогащён</t>
        </is>
      </c>
      <c r="U7461" s="35" t="inlineStr">
        <is>
          <t>Нет ОКВЭД/ССЧР</t>
        </is>
      </c>
      <c r="V7461" s="35" t="inlineStr">
        <is>
          <t>Не определено</t>
        </is>
      </c>
      <c r="W7461" s="35" t="inlineStr">
        <is>
          <t>Нет</t>
        </is>
      </c>
      <c r="X7461" s="35" t="inlineStr"/>
    </row>
    <row r="7462" ht="27.75" customHeight="1" s="24">
      <c r="A7462" s="13" t="inlineStr">
        <is>
          <t>FR177670</t>
        </is>
      </c>
      <c r="B7462" s="13" t="inlineStr">
        <is>
          <t>Общество с ограниченной ответственностью "ПРЕСТИЖ-АВТО"</t>
        </is>
      </c>
      <c r="C7462" s="13" t="n">
        <v>3811135999</v>
      </c>
      <c r="D7462" s="13" t="inlineStr">
        <is>
          <t>3811135999</t>
        </is>
      </c>
      <c r="E7462" s="13" t="inlineStr">
        <is>
          <t>ЮЛ РФ</t>
        </is>
      </c>
      <c r="F7462" s="13" t="n"/>
      <c r="G7462" s="52" t="n">
        <v>19</v>
      </c>
      <c r="H7462" s="52" t="n">
        <v>2025</v>
      </c>
      <c r="I7462" s="14" t="n"/>
      <c r="J7462" s="14" t="n"/>
      <c r="K7462" s="53" t="inlineStr">
        <is>
          <t>Нет</t>
        </is>
      </c>
      <c r="L7462" s="53" t="inlineStr">
        <is>
          <t>Не определено</t>
        </is>
      </c>
      <c r="M7462" s="53" t="inlineStr">
        <is>
          <t>До 25</t>
        </is>
      </c>
      <c r="N7462" s="54" t="n">
        <v>8400</v>
      </c>
      <c r="O7462" s="55" t="inlineStr">
        <is>
          <t>16–30</t>
        </is>
      </c>
      <c r="P7462" s="16" t="inlineStr">
        <is>
          <t>ССЧР обогащена; ОКВЭД не найден/не загружен</t>
        </is>
      </c>
      <c r="Q7462" s="16" t="inlineStr">
        <is>
          <t>ФНС открытые данные ССЧР (ДатаСост 31.12.2025; набор 7707329152-sshr2019)</t>
        </is>
      </c>
      <c r="R7462" s="16">
        <f>HYPERLINK("https://checko.ru/search?query=3801001629","Чекко: проверить")</f>
        <v/>
      </c>
      <c r="S7462" t="n">
        <v>1</v>
      </c>
      <c r="T7462" s="35" t="inlineStr">
        <is>
          <t>4 — Не обогащён</t>
        </is>
      </c>
      <c r="U7462" s="35" t="inlineStr">
        <is>
          <t>Нет ОКВЭД/ССЧР</t>
        </is>
      </c>
      <c r="V7462" s="35" t="inlineStr">
        <is>
          <t>Не определено</t>
        </is>
      </c>
      <c r="W7462" s="35" t="inlineStr">
        <is>
          <t>Нет</t>
        </is>
      </c>
      <c r="X7462" s="35" t="inlineStr"/>
    </row>
    <row r="7463" ht="41.25" customHeight="1" s="24">
      <c r="A7463" s="13" t="inlineStr">
        <is>
          <t>FR414371</t>
        </is>
      </c>
      <c r="B7463" s="13" t="inlineStr">
        <is>
          <t>ОБЩЕСТВО С ОГРАНИЧЕННОЙ ОТВЕТСТВЕННОСТЬЮ "УПРАВЛЯЮЩАЯ КОМПАНИЯ ПОТЕНЦИАЛ"</t>
        </is>
      </c>
      <c r="C7463" s="13" t="n">
        <v>3805735236</v>
      </c>
      <c r="D7463" s="13" t="inlineStr">
        <is>
          <t>3805735236</t>
        </is>
      </c>
      <c r="E7463" s="13" t="inlineStr">
        <is>
          <t>ЮЛ РФ</t>
        </is>
      </c>
      <c r="F7463" s="13" t="n"/>
      <c r="G7463" s="52" t="n">
        <v>491</v>
      </c>
      <c r="H7463" s="52" t="n">
        <v>2025</v>
      </c>
      <c r="I7463" s="52" t="inlineStr">
        <is>
          <t>68.32.1</t>
        </is>
      </c>
      <c r="J7463" s="52" t="inlineStr">
        <is>
          <t>68.32.1; 25.11; 25.12; 33.12; 35.12; 37.00; 38.11; 38.12; 38.21; 38.22; 41.20; 42.21; 43.11; 43.12; 43.12.1; 43.12.3; 43.21; 43.22; 43.29; 43.31; 43.32; 43.33; 43.34; 43.34.1; 43.34.2; 43.39; 43.91; 43.99.1; 43.99.2; 43.99.3; 43.99.4; 43.99.6; 43.99.7; 58.13; 68.32; 68.32.2; 81.22; 81.29.9; 96.09</t>
        </is>
      </c>
      <c r="K7463" s="53" t="inlineStr">
        <is>
          <t>Да</t>
        </is>
      </c>
      <c r="L7463" s="53" t="inlineStr">
        <is>
          <t>Да</t>
        </is>
      </c>
      <c r="M7463" s="53" t="inlineStr">
        <is>
          <t>До 500</t>
        </is>
      </c>
      <c r="N7463" s="54" t="n">
        <v>144000</v>
      </c>
      <c r="O7463" s="55" t="inlineStr">
        <is>
          <t>201–500</t>
        </is>
      </c>
      <c r="P7463" s="16" t="inlineStr">
        <is>
          <t>ССЧР + ОКВЭД обогащены</t>
        </is>
      </c>
      <c r="Q7463" s="16" t="inlineStr">
        <is>
          <t>ФНС открытые данные ССЧР (ДатаСост 31.12.2025; набор 7707329152-sshr2019)</t>
        </is>
      </c>
      <c r="R7463" s="16" t="inlineStr">
        <is>
          <t>ЕГРЮЛ / egrul.nalog.ru (выписка)</t>
        </is>
      </c>
      <c r="S7463" t="n">
        <v>1</v>
      </c>
      <c r="T7463" s="35" t="inlineStr">
        <is>
          <t>1 — Горячий</t>
        </is>
      </c>
      <c r="U7463" s="35" t="inlineStr">
        <is>
          <t>ОКВЭД + 22+</t>
        </is>
      </c>
      <c r="V7463" s="35" t="inlineStr">
        <is>
          <t>Да</t>
        </is>
      </c>
      <c r="W7463" s="35" t="inlineStr">
        <is>
          <t>Да</t>
        </is>
      </c>
      <c r="X7463" s="35" t="inlineStr">
        <is>
          <t>Да</t>
        </is>
      </c>
    </row>
    <row r="7464" ht="27.75" customHeight="1" s="24">
      <c r="A7464" s="13" t="inlineStr">
        <is>
          <t>FR875152</t>
        </is>
      </c>
      <c r="B7464" s="13" t="inlineStr">
        <is>
          <t>Общество с ограниченной ответственностью "АВТОМАТИЧЕСКИЕ ПОЖАРНЫЕ СИСТЕМЫ"</t>
        </is>
      </c>
      <c r="C7464" s="13" t="n">
        <v>7743790249</v>
      </c>
      <c r="D7464" s="13" t="inlineStr">
        <is>
          <t>7743790249</t>
        </is>
      </c>
      <c r="E7464" s="13" t="inlineStr">
        <is>
          <t>ЮЛ РФ</t>
        </is>
      </c>
      <c r="F7464" s="13" t="n"/>
      <c r="G7464" s="52" t="n">
        <v>25</v>
      </c>
      <c r="H7464" s="52" t="n">
        <v>2025</v>
      </c>
      <c r="I7464" s="52" t="inlineStr">
        <is>
          <t>28.99</t>
        </is>
      </c>
      <c r="J7464" s="52" t="inlineStr">
        <is>
          <t>28.99; 20.41.2; 20.59; 25.11; 25.29; 25.62; 25.91; 25.92; 25.93; 25.94; 25.99; 25.99.2; 28.14; 28.29; 33.20; 43.21; 43.29; 43.99; 46.69; 46.69.9; 46.90; 71.11; 71.12; 71.12.5; 71.12.6; 71.12.12; 71.12.45; 71.20</t>
        </is>
      </c>
      <c r="K7464" s="53" t="inlineStr">
        <is>
          <t>Да</t>
        </is>
      </c>
      <c r="L7464" s="53" t="inlineStr">
        <is>
          <t>Да</t>
        </is>
      </c>
      <c r="M7464" s="53" t="inlineStr">
        <is>
          <t>До 25</t>
        </is>
      </c>
      <c r="N7464" s="54" t="n">
        <v>8400</v>
      </c>
      <c r="O7464" s="55" t="inlineStr">
        <is>
          <t>16–30</t>
        </is>
      </c>
      <c r="P7464" s="16" t="inlineStr">
        <is>
          <t>ССЧР + ОКВЭД обогащены</t>
        </is>
      </c>
      <c r="Q7464" s="16" t="inlineStr">
        <is>
          <t>ФНС открытые данные ССЧР (ДатаСост 31.12.2025; набор 7707329152-sshr2019)</t>
        </is>
      </c>
      <c r="R7464" s="16" t="inlineStr">
        <is>
          <t>ЕГРЮЛ / egrul.nalog.ru (выписка)</t>
        </is>
      </c>
      <c r="S7464" t="n">
        <v>1</v>
      </c>
      <c r="T7464" s="35" t="inlineStr">
        <is>
          <t>1 — Горячий</t>
        </is>
      </c>
      <c r="U7464" s="35" t="inlineStr">
        <is>
          <t>ОКВЭД + 22+</t>
        </is>
      </c>
      <c r="V7464" s="35" t="inlineStr">
        <is>
          <t>Да</t>
        </is>
      </c>
      <c r="W7464" s="35" t="inlineStr">
        <is>
          <t>Да</t>
        </is>
      </c>
      <c r="X7464" s="35" t="inlineStr">
        <is>
          <t>Да</t>
        </is>
      </c>
    </row>
    <row r="7465" ht="15" customHeight="1" s="24">
      <c r="A7465" s="13" t="inlineStr">
        <is>
          <t>FR341155</t>
        </is>
      </c>
      <c r="B7465" s="13" t="inlineStr">
        <is>
          <t>ИП Шаманаева Наталья Викторовна</t>
        </is>
      </c>
      <c r="C7465" s="13" t="n">
        <v>660102175237</v>
      </c>
      <c r="D7465" s="13" t="inlineStr">
        <is>
          <t>660102175237</t>
        </is>
      </c>
      <c r="E7465" s="13" t="inlineStr">
        <is>
          <t>ИП РФ / физлицо</t>
        </is>
      </c>
      <c r="F7465" s="13" t="n"/>
      <c r="G7465" s="14" t="n"/>
      <c r="H7465" s="14" t="n"/>
      <c r="I7465" s="14" t="n"/>
      <c r="J7465" s="14" t="n"/>
      <c r="K7465" s="53" t="inlineStr"/>
      <c r="L7465" s="53" t="inlineStr">
        <is>
          <t>Не определено</t>
        </is>
      </c>
      <c r="M7465" s="53" t="inlineStr"/>
      <c r="N7465" s="54" t="inlineStr"/>
      <c r="O7465" s="55" t="inlineStr"/>
      <c r="P7465" s="16" t="inlineStr">
        <is>
          <t>Требует обогащения</t>
        </is>
      </c>
      <c r="Q7465" s="16">
        <f>HYPERLINK("https://pb.nalog.ru/search.html?query=660102175237","ФНС: проверить")</f>
        <v/>
      </c>
      <c r="R7465" s="16">
        <f>HYPERLINK("https://checko.ru/search?query=3801001629","Чекко: проверить")</f>
        <v/>
      </c>
      <c r="S7465" t="n">
        <v>1</v>
      </c>
      <c r="T7465" s="35" t="inlineStr">
        <is>
          <t>4 — Не обогащён</t>
        </is>
      </c>
      <c r="U7465" s="35" t="inlineStr">
        <is>
          <t>Нет ОКВЭД/ССЧР</t>
        </is>
      </c>
      <c r="V7465" s="35" t="inlineStr">
        <is>
          <t>Не определено</t>
        </is>
      </c>
      <c r="W7465" s="35" t="inlineStr"/>
      <c r="X7465" s="35" t="inlineStr"/>
    </row>
    <row r="7466" ht="15" customHeight="1" s="24">
      <c r="A7466" s="13" t="inlineStr">
        <is>
          <t>FR1241338</t>
        </is>
      </c>
      <c r="B7466" s="13" t="inlineStr">
        <is>
          <t>ИП Позднякова Инна Михайловна</t>
        </is>
      </c>
      <c r="C7466" s="13" t="n">
        <v>773378011960</v>
      </c>
      <c r="D7466" s="13" t="inlineStr">
        <is>
          <t>773378011960</t>
        </is>
      </c>
      <c r="E7466" s="13" t="inlineStr">
        <is>
          <t>ИП РФ / физлицо</t>
        </is>
      </c>
      <c r="F7466" s="13" t="n"/>
      <c r="G7466" s="14" t="n"/>
      <c r="H7466" s="14" t="n"/>
      <c r="I7466" s="14" t="n"/>
      <c r="J7466" s="14" t="n"/>
      <c r="K7466" s="53" t="inlineStr"/>
      <c r="L7466" s="53" t="inlineStr">
        <is>
          <t>Не определено</t>
        </is>
      </c>
      <c r="M7466" s="53" t="inlineStr"/>
      <c r="N7466" s="54" t="inlineStr"/>
      <c r="O7466" s="55" t="inlineStr"/>
      <c r="P7466" s="16" t="inlineStr">
        <is>
          <t>Требует обогащения</t>
        </is>
      </c>
      <c r="Q7466" s="16">
        <f>HYPERLINK("https://pb.nalog.ru/search.html?query=773378011960","ФНС: проверить")</f>
        <v/>
      </c>
      <c r="R7466" s="16">
        <f>HYPERLINK("https://checko.ru/search?query=3801001629","Чекко: проверить")</f>
        <v/>
      </c>
      <c r="S7466" t="n">
        <v>1</v>
      </c>
      <c r="T7466" s="35" t="inlineStr">
        <is>
          <t>4 — Не обогащён</t>
        </is>
      </c>
      <c r="U7466" s="35" t="inlineStr">
        <is>
          <t>Нет ОКВЭД/ССЧР</t>
        </is>
      </c>
      <c r="V7466" s="35" t="inlineStr">
        <is>
          <t>Не определено</t>
        </is>
      </c>
      <c r="W7466" s="35" t="inlineStr"/>
      <c r="X7466" s="35" t="inlineStr"/>
    </row>
    <row r="7467" ht="15" customHeight="1" s="24">
      <c r="A7467" s="13" t="inlineStr">
        <is>
          <t>FR1241217</t>
        </is>
      </c>
      <c r="B7467" s="13" t="inlineStr">
        <is>
          <t>ИП Дьяченко Павел Александрович</t>
        </is>
      </c>
      <c r="C7467" s="13" t="n">
        <v>272510516558</v>
      </c>
      <c r="D7467" s="13" t="inlineStr">
        <is>
          <t>272510516558</t>
        </is>
      </c>
      <c r="E7467" s="13" t="inlineStr">
        <is>
          <t>ИП РФ / физлицо</t>
        </is>
      </c>
      <c r="F7467" s="13" t="n"/>
      <c r="G7467" s="14" t="n"/>
      <c r="H7467" s="14" t="n"/>
      <c r="I7467" s="14" t="n"/>
      <c r="J7467" s="14" t="n"/>
      <c r="K7467" s="53" t="inlineStr"/>
      <c r="L7467" s="53" t="inlineStr">
        <is>
          <t>Не определено</t>
        </is>
      </c>
      <c r="M7467" s="53" t="inlineStr"/>
      <c r="N7467" s="54" t="inlineStr"/>
      <c r="O7467" s="55" t="inlineStr"/>
      <c r="P7467" s="16" t="inlineStr">
        <is>
          <t>Требует обогащения</t>
        </is>
      </c>
      <c r="Q7467" s="16">
        <f>HYPERLINK("https://pb.nalog.ru/search.html?query=272510516558","ФНС: проверить")</f>
        <v/>
      </c>
      <c r="R7467" s="16">
        <f>HYPERLINK("https://checko.ru/search?query=3801001629","Чекко: проверить")</f>
        <v/>
      </c>
      <c r="S7467" t="n">
        <v>1</v>
      </c>
      <c r="T7467" s="35" t="inlineStr">
        <is>
          <t>4 — Не обогащён</t>
        </is>
      </c>
      <c r="U7467" s="35" t="inlineStr">
        <is>
          <t>Нет ОКВЭД/ССЧР</t>
        </is>
      </c>
      <c r="V7467" s="35" t="inlineStr">
        <is>
          <t>Не определено</t>
        </is>
      </c>
      <c r="W7467" s="35" t="inlineStr"/>
      <c r="X7467" s="35" t="inlineStr"/>
    </row>
    <row r="7468" ht="27.75" customHeight="1" s="24">
      <c r="A7468" s="13" t="inlineStr">
        <is>
          <t>FR1257603</t>
        </is>
      </c>
      <c r="B7468" s="13" t="inlineStr">
        <is>
          <t>Общество с ограниченной ответственностью "ТРИКОТАЖ+"</t>
        </is>
      </c>
      <c r="C7468" s="13" t="n">
        <v>3819021633</v>
      </c>
      <c r="D7468" s="13" t="inlineStr">
        <is>
          <t>3819021633</t>
        </is>
      </c>
      <c r="E7468" s="13" t="inlineStr">
        <is>
          <t>ЮЛ РФ</t>
        </is>
      </c>
      <c r="F7468" s="13" t="n"/>
      <c r="G7468" s="52" t="n">
        <v>0</v>
      </c>
      <c r="H7468" s="52" t="n">
        <v>2025</v>
      </c>
      <c r="I7468" s="14" t="n"/>
      <c r="J7468" s="14" t="n"/>
      <c r="K7468" s="53" t="inlineStr">
        <is>
          <t>Нет</t>
        </is>
      </c>
      <c r="L7468" s="53" t="inlineStr">
        <is>
          <t>Не определено</t>
        </is>
      </c>
      <c r="M7468" s="53" t="inlineStr">
        <is>
          <t>До 10</t>
        </is>
      </c>
      <c r="N7468" s="54" t="n">
        <v>3360</v>
      </c>
      <c r="O7468" s="55" t="inlineStr">
        <is>
          <t>1–15</t>
        </is>
      </c>
      <c r="P7468" s="16" t="inlineStr">
        <is>
          <t>ССЧР обогащена; ОКВЭД не найден/не загружен</t>
        </is>
      </c>
      <c r="Q7468" s="16" t="inlineStr">
        <is>
          <t>ФНС открытые данные ССЧР (ДатаСост 31.12.2025; набор 7707329152-sshr2019)</t>
        </is>
      </c>
      <c r="R7468" s="16">
        <f>HYPERLINK("https://checko.ru/search?query=3801001629","Чекко: проверить")</f>
        <v/>
      </c>
      <c r="S7468" t="n">
        <v>1</v>
      </c>
      <c r="T7468" s="35" t="inlineStr">
        <is>
          <t>4 — Не обогащён</t>
        </is>
      </c>
      <c r="U7468" s="35" t="inlineStr">
        <is>
          <t>Нет ОКВЭД/ССЧР</t>
        </is>
      </c>
      <c r="V7468" s="35" t="inlineStr">
        <is>
          <t>Не определено</t>
        </is>
      </c>
      <c r="W7468" s="35" t="inlineStr">
        <is>
          <t>Нет</t>
        </is>
      </c>
      <c r="X7468" s="35" t="inlineStr"/>
    </row>
    <row r="7469" ht="15" customHeight="1" s="24">
      <c r="A7469" s="13" t="inlineStr">
        <is>
          <t>FR713338</t>
        </is>
      </c>
      <c r="B7469" s="13" t="inlineStr">
        <is>
          <t>ИП Личман Веста Олеговна</t>
        </is>
      </c>
      <c r="C7469" s="13" t="n">
        <v>381297369301</v>
      </c>
      <c r="D7469" s="13" t="inlineStr">
        <is>
          <t>381297369301</t>
        </is>
      </c>
      <c r="E7469" s="13" t="inlineStr">
        <is>
          <t>ИП РФ / физлицо</t>
        </is>
      </c>
      <c r="F7469" s="13" t="n"/>
      <c r="G7469" s="14" t="n"/>
      <c r="H7469" s="14" t="n"/>
      <c r="I7469" s="14" t="n"/>
      <c r="J7469" s="14" t="n"/>
      <c r="K7469" s="53" t="inlineStr"/>
      <c r="L7469" s="53" t="inlineStr">
        <is>
          <t>Не определено</t>
        </is>
      </c>
      <c r="M7469" s="53" t="inlineStr"/>
      <c r="N7469" s="54" t="inlineStr"/>
      <c r="O7469" s="55" t="inlineStr"/>
      <c r="P7469" s="16" t="inlineStr">
        <is>
          <t>Требует обогащения</t>
        </is>
      </c>
      <c r="Q7469" s="16">
        <f>HYPERLINK("https://pb.nalog.ru/search.html?query=381297369301","ФНС: проверить")</f>
        <v/>
      </c>
      <c r="R7469" s="16">
        <f>HYPERLINK("https://checko.ru/search?query=3801001629","Чекко: проверить")</f>
        <v/>
      </c>
      <c r="S7469" t="n">
        <v>1</v>
      </c>
      <c r="T7469" s="35" t="inlineStr">
        <is>
          <t>4 — Не обогащён</t>
        </is>
      </c>
      <c r="U7469" s="35" t="inlineStr">
        <is>
          <t>Нет ОКВЭД/ССЧР</t>
        </is>
      </c>
      <c r="V7469" s="35" t="inlineStr">
        <is>
          <t>Не определено</t>
        </is>
      </c>
      <c r="W7469" s="35" t="inlineStr"/>
      <c r="X7469" s="35" t="inlineStr"/>
    </row>
    <row r="7470" ht="27.75" customHeight="1" s="24">
      <c r="A7470" s="13" t="inlineStr">
        <is>
          <t>FR1260075</t>
        </is>
      </c>
      <c r="B7470" s="13" t="inlineStr">
        <is>
          <t>Общество с ограниченной ответственностью "МИРАДИМ"</t>
        </is>
      </c>
      <c r="C7470" s="13" t="n">
        <v>3812168901</v>
      </c>
      <c r="D7470" s="13" t="inlineStr">
        <is>
          <t>3812168901</t>
        </is>
      </c>
      <c r="E7470" s="13" t="inlineStr">
        <is>
          <t>ЮЛ РФ</t>
        </is>
      </c>
      <c r="F7470" s="13" t="n"/>
      <c r="G7470" s="52" t="n">
        <v>0</v>
      </c>
      <c r="H7470" s="52" t="n">
        <v>2025</v>
      </c>
      <c r="I7470" s="14" t="n"/>
      <c r="J7470" s="14" t="n"/>
      <c r="K7470" s="53" t="inlineStr">
        <is>
          <t>Нет</t>
        </is>
      </c>
      <c r="L7470" s="53" t="inlineStr">
        <is>
          <t>Не определено</t>
        </is>
      </c>
      <c r="M7470" s="53" t="inlineStr">
        <is>
          <t>До 10</t>
        </is>
      </c>
      <c r="N7470" s="54" t="n">
        <v>3360</v>
      </c>
      <c r="O7470" s="55" t="inlineStr">
        <is>
          <t>1–15</t>
        </is>
      </c>
      <c r="P7470" s="16" t="inlineStr">
        <is>
          <t>ССЧР обогащена; ОКВЭД не найден/не загружен</t>
        </is>
      </c>
      <c r="Q7470" s="16" t="inlineStr">
        <is>
          <t>ФНС открытые данные ССЧР (ДатаСост 31.12.2025; набор 7707329152-sshr2019)</t>
        </is>
      </c>
      <c r="R7470" s="16">
        <f>HYPERLINK("https://checko.ru/search?query=3801001629","Чекко: проверить")</f>
        <v/>
      </c>
      <c r="S7470" t="n">
        <v>1</v>
      </c>
      <c r="T7470" s="35" t="inlineStr">
        <is>
          <t>4 — Не обогащён</t>
        </is>
      </c>
      <c r="U7470" s="35" t="inlineStr">
        <is>
          <t>Нет ОКВЭД/ССЧР</t>
        </is>
      </c>
      <c r="V7470" s="35" t="inlineStr">
        <is>
          <t>Не определено</t>
        </is>
      </c>
      <c r="W7470" s="35" t="inlineStr">
        <is>
          <t>Нет</t>
        </is>
      </c>
      <c r="X7470" s="35" t="inlineStr"/>
    </row>
    <row r="7471" ht="15" customHeight="1" s="24">
      <c r="A7471" s="13" t="inlineStr">
        <is>
          <t>FR415921</t>
        </is>
      </c>
      <c r="B7471" s="13" t="inlineStr">
        <is>
          <t>ИП Лавричев Денис Андреевич</t>
        </is>
      </c>
      <c r="C7471" s="13" t="n">
        <v>525711583972</v>
      </c>
      <c r="D7471" s="13" t="inlineStr">
        <is>
          <t>525711583972</t>
        </is>
      </c>
      <c r="E7471" s="13" t="inlineStr">
        <is>
          <t>ИП РФ / физлицо</t>
        </is>
      </c>
      <c r="F7471" s="13" t="n"/>
      <c r="G7471" s="14" t="n"/>
      <c r="H7471" s="14" t="n"/>
      <c r="I7471" s="14" t="n"/>
      <c r="J7471" s="14" t="n"/>
      <c r="K7471" s="53" t="inlineStr"/>
      <c r="L7471" s="53" t="inlineStr">
        <is>
          <t>Не определено</t>
        </is>
      </c>
      <c r="M7471" s="53" t="inlineStr"/>
      <c r="N7471" s="54" t="inlineStr"/>
      <c r="O7471" s="55" t="inlineStr"/>
      <c r="P7471" s="16" t="inlineStr">
        <is>
          <t>Требует обогащения</t>
        </is>
      </c>
      <c r="Q7471" s="16">
        <f>HYPERLINK("https://pb.nalog.ru/search.html?query=525711583972","ФНС: проверить")</f>
        <v/>
      </c>
      <c r="R7471" s="16">
        <f>HYPERLINK("https://checko.ru/search?query=3801001629","Чекко: проверить")</f>
        <v/>
      </c>
      <c r="S7471" t="n">
        <v>1</v>
      </c>
      <c r="T7471" s="35" t="inlineStr">
        <is>
          <t>4 — Не обогащён</t>
        </is>
      </c>
      <c r="U7471" s="35" t="inlineStr">
        <is>
          <t>Нет ОКВЭД/ССЧР</t>
        </is>
      </c>
      <c r="V7471" s="35" t="inlineStr">
        <is>
          <t>Не определено</t>
        </is>
      </c>
      <c r="W7471" s="35" t="inlineStr"/>
      <c r="X7471" s="35" t="inlineStr"/>
    </row>
    <row r="7472" ht="27.75" customHeight="1" s="24">
      <c r="A7472" s="13" t="inlineStr">
        <is>
          <t>FR862479</t>
        </is>
      </c>
      <c r="B7472" s="13" t="inlineStr">
        <is>
          <t>Общество с ограниченной ответственностью "ДЭБАЙЦЗЯ"</t>
        </is>
      </c>
      <c r="C7472" s="13" t="n">
        <v>3812999293</v>
      </c>
      <c r="D7472" s="13" t="inlineStr">
        <is>
          <t>3812999293</t>
        </is>
      </c>
      <c r="E7472" s="13" t="inlineStr">
        <is>
          <t>ЮЛ РФ</t>
        </is>
      </c>
      <c r="F7472" s="13" t="n"/>
      <c r="G7472" s="52" t="n">
        <v>5</v>
      </c>
      <c r="H7472" s="52" t="n">
        <v>2025</v>
      </c>
      <c r="I7472" s="14" t="n"/>
      <c r="J7472" s="14" t="n"/>
      <c r="K7472" s="53" t="inlineStr">
        <is>
          <t>Нет</t>
        </is>
      </c>
      <c r="L7472" s="53" t="inlineStr">
        <is>
          <t>Не определено</t>
        </is>
      </c>
      <c r="M7472" s="53" t="inlineStr">
        <is>
          <t>До 10</t>
        </is>
      </c>
      <c r="N7472" s="54" t="n">
        <v>3360</v>
      </c>
      <c r="O7472" s="55" t="inlineStr">
        <is>
          <t>1–15</t>
        </is>
      </c>
      <c r="P7472" s="16" t="inlineStr">
        <is>
          <t>ССЧР обогащена; ОКВЭД не найден/не загружен</t>
        </is>
      </c>
      <c r="Q7472" s="16" t="inlineStr">
        <is>
          <t>ФНС открытые данные ССЧР (ДатаСост 31.12.2025; набор 7707329152-sshr2019)</t>
        </is>
      </c>
      <c r="R7472" s="16">
        <f>HYPERLINK("https://checko.ru/search?query=3801001629","Чекко: проверить")</f>
        <v/>
      </c>
      <c r="S7472" t="n">
        <v>1</v>
      </c>
      <c r="T7472" s="35" t="inlineStr">
        <is>
          <t>4 — Не обогащён</t>
        </is>
      </c>
      <c r="U7472" s="35" t="inlineStr">
        <is>
          <t>Нет ОКВЭД/ССЧР</t>
        </is>
      </c>
      <c r="V7472" s="35" t="inlineStr">
        <is>
          <t>Не определено</t>
        </is>
      </c>
      <c r="W7472" s="35" t="inlineStr">
        <is>
          <t>Нет</t>
        </is>
      </c>
      <c r="X7472" s="35" t="inlineStr"/>
    </row>
    <row r="7473" ht="27.75" customHeight="1" s="24">
      <c r="A7473" s="13" t="inlineStr">
        <is>
          <t>FR1248773</t>
        </is>
      </c>
      <c r="B7473" s="13" t="inlineStr">
        <is>
          <t>Общество с ограниченной ответственностью "АВАЛОН"</t>
        </is>
      </c>
      <c r="C7473" s="13" t="n">
        <v>4345434253</v>
      </c>
      <c r="D7473" s="13" t="inlineStr">
        <is>
          <t>4345434253</t>
        </is>
      </c>
      <c r="E7473" s="13" t="inlineStr">
        <is>
          <t>ЮЛ РФ</t>
        </is>
      </c>
      <c r="F7473" s="13" t="n"/>
      <c r="G7473" s="52" t="n">
        <v>19</v>
      </c>
      <c r="H7473" s="52" t="n">
        <v>2025</v>
      </c>
      <c r="I7473" s="14" t="n"/>
      <c r="J7473" s="14" t="n"/>
      <c r="K7473" s="53" t="inlineStr">
        <is>
          <t>Нет</t>
        </is>
      </c>
      <c r="L7473" s="53" t="inlineStr">
        <is>
          <t>Не определено</t>
        </is>
      </c>
      <c r="M7473" s="53" t="inlineStr">
        <is>
          <t>До 25</t>
        </is>
      </c>
      <c r="N7473" s="54" t="n">
        <v>8400</v>
      </c>
      <c r="O7473" s="55" t="inlineStr">
        <is>
          <t>16–30</t>
        </is>
      </c>
      <c r="P7473" s="16" t="inlineStr">
        <is>
          <t>ССЧР обогащена; ОКВЭД не найден/не загружен</t>
        </is>
      </c>
      <c r="Q7473" s="16" t="inlineStr">
        <is>
          <t>ФНС открытые данные ССЧР (ДатаСост 31.12.2025; набор 7707329152-sshr2019)</t>
        </is>
      </c>
      <c r="R7473" s="16">
        <f>HYPERLINK("https://checko.ru/search?query=3801001629","Чекко: проверить")</f>
        <v/>
      </c>
      <c r="S7473" t="n">
        <v>1</v>
      </c>
      <c r="T7473" s="35" t="inlineStr">
        <is>
          <t>4 — Не обогащён</t>
        </is>
      </c>
      <c r="U7473" s="35" t="inlineStr">
        <is>
          <t>Нет ОКВЭД/ССЧР</t>
        </is>
      </c>
      <c r="V7473" s="35" t="inlineStr">
        <is>
          <t>Не определено</t>
        </is>
      </c>
      <c r="W7473" s="35" t="inlineStr">
        <is>
          <t>Нет</t>
        </is>
      </c>
      <c r="X7473" s="35" t="inlineStr"/>
    </row>
    <row r="7474" ht="15" customHeight="1" s="24">
      <c r="A7474" s="13" t="inlineStr">
        <is>
          <t>FR877865</t>
        </is>
      </c>
      <c r="B7474" s="13" t="inlineStr">
        <is>
          <t>ООО "Иркутский хладокомбинат"</t>
        </is>
      </c>
      <c r="C7474" s="13" t="n">
        <v>3812070920</v>
      </c>
      <c r="D7474" s="13" t="inlineStr">
        <is>
          <t>3812070920</t>
        </is>
      </c>
      <c r="E7474" s="13" t="inlineStr">
        <is>
          <t>ЮЛ РФ</t>
        </is>
      </c>
      <c r="F7474" s="13" t="n"/>
      <c r="G7474" s="52" t="n">
        <v>20</v>
      </c>
      <c r="H7474" s="52" t="n">
        <v>2025</v>
      </c>
      <c r="I7474" s="14" t="n"/>
      <c r="J7474" s="14" t="n"/>
      <c r="K7474" s="53" t="inlineStr">
        <is>
          <t>Нет</t>
        </is>
      </c>
      <c r="L7474" s="53" t="inlineStr">
        <is>
          <t>Не определено</t>
        </is>
      </c>
      <c r="M7474" s="53" t="inlineStr">
        <is>
          <t>До 25</t>
        </is>
      </c>
      <c r="N7474" s="54" t="n">
        <v>8400</v>
      </c>
      <c r="O7474" s="55" t="inlineStr">
        <is>
          <t>16–30</t>
        </is>
      </c>
      <c r="P7474" s="16" t="inlineStr">
        <is>
          <t>ССЧР обогащена; ОКВЭД не найден/не загружен</t>
        </is>
      </c>
      <c r="Q7474" s="16" t="inlineStr">
        <is>
          <t>ФНС открытые данные ССЧР (ДатаСост 31.12.2025; набор 7707329152-sshr2019)</t>
        </is>
      </c>
      <c r="R7474" s="16">
        <f>HYPERLINK("https://checko.ru/search?query=3801001629","Чекко: проверить")</f>
        <v/>
      </c>
      <c r="S7474" t="n">
        <v>1</v>
      </c>
      <c r="T7474" s="35" t="inlineStr">
        <is>
          <t>4 — Не обогащён</t>
        </is>
      </c>
      <c r="U7474" s="35" t="inlineStr">
        <is>
          <t>Нет ОКВЭД/ССЧР</t>
        </is>
      </c>
      <c r="V7474" s="35" t="inlineStr">
        <is>
          <t>Не определено</t>
        </is>
      </c>
      <c r="W7474" s="35" t="inlineStr">
        <is>
          <t>Нет</t>
        </is>
      </c>
      <c r="X7474" s="35" t="inlineStr"/>
    </row>
    <row r="7475" ht="27.75" customHeight="1" s="24">
      <c r="A7475" s="13" t="inlineStr">
        <is>
          <t>FR1067359</t>
        </is>
      </c>
      <c r="B7475" s="13" t="inlineStr">
        <is>
          <t>Общество с ограниченной ответственностью БУХГАЛТЕРСКАЯ ФИРМА "КОНСАЛТ-АС"</t>
        </is>
      </c>
      <c r="C7475" s="13" t="n">
        <v>3812138248</v>
      </c>
      <c r="D7475" s="13" t="inlineStr">
        <is>
          <t>3812138248</t>
        </is>
      </c>
      <c r="E7475" s="13" t="inlineStr">
        <is>
          <t>ЮЛ РФ</t>
        </is>
      </c>
      <c r="F7475" s="13" t="n"/>
      <c r="G7475" s="52" t="n">
        <v>2</v>
      </c>
      <c r="H7475" s="52" t="n">
        <v>2025</v>
      </c>
      <c r="I7475" s="14" t="n"/>
      <c r="J7475" s="14" t="n"/>
      <c r="K7475" s="53" t="inlineStr">
        <is>
          <t>Нет</t>
        </is>
      </c>
      <c r="L7475" s="53" t="inlineStr">
        <is>
          <t>Не определено</t>
        </is>
      </c>
      <c r="M7475" s="53" t="inlineStr">
        <is>
          <t>До 10</t>
        </is>
      </c>
      <c r="N7475" s="54" t="n">
        <v>3360</v>
      </c>
      <c r="O7475" s="55" t="inlineStr">
        <is>
          <t>1–15</t>
        </is>
      </c>
      <c r="P7475" s="16" t="inlineStr">
        <is>
          <t>ССЧР обогащена; ОКВЭД не найден/не загружен</t>
        </is>
      </c>
      <c r="Q7475" s="16" t="inlineStr">
        <is>
          <t>ФНС открытые данные ССЧР (ДатаСост 31.12.2025; набор 7707329152-sshr2019)</t>
        </is>
      </c>
      <c r="R7475" s="16">
        <f>HYPERLINK("https://checko.ru/search?query=3801001629","Чекко: проверить")</f>
        <v/>
      </c>
      <c r="S7475" t="n">
        <v>1</v>
      </c>
      <c r="T7475" s="35" t="inlineStr">
        <is>
          <t>4 — Не обогащён</t>
        </is>
      </c>
      <c r="U7475" s="35" t="inlineStr">
        <is>
          <t>Нет ОКВЭД/ССЧР</t>
        </is>
      </c>
      <c r="V7475" s="35" t="inlineStr">
        <is>
          <t>Не определено</t>
        </is>
      </c>
      <c r="W7475" s="35" t="inlineStr">
        <is>
          <t>Нет</t>
        </is>
      </c>
      <c r="X7475" s="35" t="inlineStr"/>
    </row>
    <row r="7476" ht="27.75" customHeight="1" s="24">
      <c r="A7476" s="13" t="inlineStr">
        <is>
          <t>FR429138</t>
        </is>
      </c>
      <c r="B7476" s="13" t="inlineStr">
        <is>
          <t>ОБЩЕСТВО С ОГРАНИЧЕННОЙ ОТВЕТСТВЕННОСТЬЮ "ПАССАЖ НА БАСНИНСКОЙ"</t>
        </is>
      </c>
      <c r="C7476" s="13" t="n">
        <v>3808067210</v>
      </c>
      <c r="D7476" s="13" t="inlineStr">
        <is>
          <t>3808067210</t>
        </is>
      </c>
      <c r="E7476" s="13" t="inlineStr">
        <is>
          <t>ЮЛ РФ</t>
        </is>
      </c>
      <c r="F7476" s="13" t="n"/>
      <c r="G7476" s="52" t="n">
        <v>10</v>
      </c>
      <c r="H7476" s="52" t="n">
        <v>2025</v>
      </c>
      <c r="I7476" s="14" t="n"/>
      <c r="J7476" s="14" t="n"/>
      <c r="K7476" s="53" t="inlineStr">
        <is>
          <t>Нет</t>
        </is>
      </c>
      <c r="L7476" s="53" t="inlineStr">
        <is>
          <t>Не определено</t>
        </is>
      </c>
      <c r="M7476" s="53" t="inlineStr">
        <is>
          <t>До 10</t>
        </is>
      </c>
      <c r="N7476" s="54" t="n">
        <v>3360</v>
      </c>
      <c r="O7476" s="55" t="inlineStr">
        <is>
          <t>1–15</t>
        </is>
      </c>
      <c r="P7476" s="16" t="inlineStr">
        <is>
          <t>ССЧР обогащена; ОКВЭД не найден/не загружен</t>
        </is>
      </c>
      <c r="Q7476" s="16" t="inlineStr">
        <is>
          <t>ФНС открытые данные ССЧР (ДатаСост 31.12.2025; набор 7707329152-sshr2019)</t>
        </is>
      </c>
      <c r="R7476" s="16">
        <f>HYPERLINK("https://checko.ru/search?query=3801001629","Чекко: проверить")</f>
        <v/>
      </c>
      <c r="S7476" t="n">
        <v>1</v>
      </c>
      <c r="T7476" s="35" t="inlineStr">
        <is>
          <t>4 — Не обогащён</t>
        </is>
      </c>
      <c r="U7476" s="35" t="inlineStr">
        <is>
          <t>Нет ОКВЭД/ССЧР</t>
        </is>
      </c>
      <c r="V7476" s="35" t="inlineStr">
        <is>
          <t>Не определено</t>
        </is>
      </c>
      <c r="W7476" s="35" t="inlineStr">
        <is>
          <t>Нет</t>
        </is>
      </c>
      <c r="X7476" s="35" t="inlineStr"/>
    </row>
    <row r="7477" ht="27.75" customHeight="1" s="24">
      <c r="A7477" s="13" t="inlineStr">
        <is>
          <t>FR560936</t>
        </is>
      </c>
      <c r="B7477" s="13" t="inlineStr">
        <is>
          <t>ОБЩЕСТВО С ОГРАНИЧЕННОЙ ОТВЕТСТВЕННОСТЬЮ "СЕРВИС ТЕХНОПРОМ"</t>
        </is>
      </c>
      <c r="C7477" s="13" t="n">
        <v>3849053294</v>
      </c>
      <c r="D7477" s="13" t="inlineStr">
        <is>
          <t>3849053294</t>
        </is>
      </c>
      <c r="E7477" s="13" t="inlineStr">
        <is>
          <t>ЮЛ РФ</t>
        </is>
      </c>
      <c r="F7477" s="13" t="n"/>
      <c r="G7477" s="52" t="n">
        <v>16</v>
      </c>
      <c r="H7477" s="52" t="n">
        <v>2025</v>
      </c>
      <c r="I7477" s="14" t="n"/>
      <c r="J7477" s="14" t="n"/>
      <c r="K7477" s="53" t="inlineStr">
        <is>
          <t>Нет</t>
        </is>
      </c>
      <c r="L7477" s="53" t="inlineStr">
        <is>
          <t>Не определено</t>
        </is>
      </c>
      <c r="M7477" s="53" t="inlineStr">
        <is>
          <t>До 25</t>
        </is>
      </c>
      <c r="N7477" s="54" t="n">
        <v>8400</v>
      </c>
      <c r="O7477" s="55" t="inlineStr">
        <is>
          <t>16–30</t>
        </is>
      </c>
      <c r="P7477" s="16" t="inlineStr">
        <is>
          <t>ССЧР обогащена; ОКВЭД не найден/не загружен</t>
        </is>
      </c>
      <c r="Q7477" s="16" t="inlineStr">
        <is>
          <t>ФНС открытые данные ССЧР (ДатаСост 31.12.2025; набор 7707329152-sshr2019)</t>
        </is>
      </c>
      <c r="R7477" s="16">
        <f>HYPERLINK("https://checko.ru/search?query=3801001629","Чекко: проверить")</f>
        <v/>
      </c>
      <c r="S7477" t="n">
        <v>1</v>
      </c>
      <c r="T7477" s="35" t="inlineStr">
        <is>
          <t>4 — Не обогащён</t>
        </is>
      </c>
      <c r="U7477" s="35" t="inlineStr">
        <is>
          <t>Нет ОКВЭД/ССЧР</t>
        </is>
      </c>
      <c r="V7477" s="35" t="inlineStr">
        <is>
          <t>Не определено</t>
        </is>
      </c>
      <c r="W7477" s="35" t="inlineStr">
        <is>
          <t>Нет</t>
        </is>
      </c>
      <c r="X7477" s="35" t="inlineStr"/>
    </row>
    <row r="7478" ht="15" customHeight="1" s="24">
      <c r="A7478" s="13" t="inlineStr">
        <is>
          <t>FR287768</t>
        </is>
      </c>
      <c r="B7478" s="13" t="inlineStr">
        <is>
          <t>ООО "СТРОЙПАЛИТРА"</t>
        </is>
      </c>
      <c r="C7478" s="13" t="n">
        <v>3804024303</v>
      </c>
      <c r="D7478" s="13" t="inlineStr">
        <is>
          <t>3804024303</t>
        </is>
      </c>
      <c r="E7478" s="13" t="inlineStr">
        <is>
          <t>ЮЛ РФ</t>
        </is>
      </c>
      <c r="F7478" s="13" t="n"/>
      <c r="G7478" s="52" t="n">
        <v>5</v>
      </c>
      <c r="H7478" s="52" t="n">
        <v>2025</v>
      </c>
      <c r="I7478" s="14" t="n"/>
      <c r="J7478" s="14" t="n"/>
      <c r="K7478" s="53" t="inlineStr">
        <is>
          <t>Нет</t>
        </is>
      </c>
      <c r="L7478" s="53" t="inlineStr">
        <is>
          <t>Не определено</t>
        </is>
      </c>
      <c r="M7478" s="53" t="inlineStr">
        <is>
          <t>До 10</t>
        </is>
      </c>
      <c r="N7478" s="54" t="n">
        <v>3360</v>
      </c>
      <c r="O7478" s="55" t="inlineStr">
        <is>
          <t>1–15</t>
        </is>
      </c>
      <c r="P7478" s="16" t="inlineStr">
        <is>
          <t>ССЧР обогащена; ОКВЭД не найден/не загружен</t>
        </is>
      </c>
      <c r="Q7478" s="16" t="inlineStr">
        <is>
          <t>ФНС открытые данные ССЧР (ДатаСост 31.12.2025; набор 7707329152-sshr2019)</t>
        </is>
      </c>
      <c r="R7478" s="16">
        <f>HYPERLINK("https://checko.ru/search?query=3801001629","Чекко: проверить")</f>
        <v/>
      </c>
      <c r="S7478" t="n">
        <v>1</v>
      </c>
      <c r="T7478" s="35" t="inlineStr">
        <is>
          <t>4 — Не обогащён</t>
        </is>
      </c>
      <c r="U7478" s="35" t="inlineStr">
        <is>
          <t>Нет ОКВЭД/ССЧР</t>
        </is>
      </c>
      <c r="V7478" s="35" t="inlineStr">
        <is>
          <t>Не определено</t>
        </is>
      </c>
      <c r="W7478" s="35" t="inlineStr">
        <is>
          <t>Нет</t>
        </is>
      </c>
      <c r="X7478" s="35" t="inlineStr"/>
    </row>
    <row r="7479" ht="15" customHeight="1" s="24">
      <c r="A7479" s="13" t="inlineStr">
        <is>
          <t>FR863381</t>
        </is>
      </c>
      <c r="B7479" s="13" t="inlineStr">
        <is>
          <t>ИП Фарбитник Демьян Юрьевич</t>
        </is>
      </c>
      <c r="C7479" s="13" t="n">
        <v>380202495436</v>
      </c>
      <c r="D7479" s="13" t="inlineStr">
        <is>
          <t>380202495436</t>
        </is>
      </c>
      <c r="E7479" s="13" t="inlineStr">
        <is>
          <t>ИП РФ / физлицо</t>
        </is>
      </c>
      <c r="F7479" s="13" t="n"/>
      <c r="G7479" s="14" t="n"/>
      <c r="H7479" s="14" t="n"/>
      <c r="I7479" s="14" t="n"/>
      <c r="J7479" s="14" t="n"/>
      <c r="K7479" s="53" t="inlineStr"/>
      <c r="L7479" s="53" t="inlineStr">
        <is>
          <t>Не определено</t>
        </is>
      </c>
      <c r="M7479" s="53" t="inlineStr"/>
      <c r="N7479" s="54" t="inlineStr"/>
      <c r="O7479" s="55" t="inlineStr"/>
      <c r="P7479" s="16" t="inlineStr">
        <is>
          <t>Требует обогащения</t>
        </is>
      </c>
      <c r="Q7479" s="16">
        <f>HYPERLINK("https://pb.nalog.ru/search.html?query=380202495436","ФНС: проверить")</f>
        <v/>
      </c>
      <c r="R7479" s="16">
        <f>HYPERLINK("https://checko.ru/search?query=3801001629","Чекко: проверить")</f>
        <v/>
      </c>
      <c r="S7479" t="n">
        <v>1</v>
      </c>
      <c r="T7479" s="35" t="inlineStr">
        <is>
          <t>4 — Не обогащён</t>
        </is>
      </c>
      <c r="U7479" s="35" t="inlineStr">
        <is>
          <t>Нет ОКВЭД/ССЧР</t>
        </is>
      </c>
      <c r="V7479" s="35" t="inlineStr">
        <is>
          <t>Не определено</t>
        </is>
      </c>
      <c r="W7479" s="35" t="inlineStr"/>
      <c r="X7479" s="35" t="inlineStr"/>
    </row>
    <row r="7480" ht="15" customHeight="1" s="24">
      <c r="A7480" s="13" t="inlineStr">
        <is>
          <t>FR192979</t>
        </is>
      </c>
      <c r="B7480" s="13" t="inlineStr">
        <is>
          <t>ООО СМК "ЭНЕРГИЯ"</t>
        </is>
      </c>
      <c r="C7480" s="13" t="n">
        <v>3808204603</v>
      </c>
      <c r="D7480" s="13" t="inlineStr">
        <is>
          <t>3808204603</t>
        </is>
      </c>
      <c r="E7480" s="13" t="inlineStr">
        <is>
          <t>ЮЛ РФ</t>
        </is>
      </c>
      <c r="F7480" s="13" t="n"/>
      <c r="G7480" s="52" t="n">
        <v>0</v>
      </c>
      <c r="H7480" s="52" t="n">
        <v>2025</v>
      </c>
      <c r="I7480" s="14" t="n"/>
      <c r="J7480" s="14" t="n"/>
      <c r="K7480" s="53" t="inlineStr">
        <is>
          <t>Нет</t>
        </is>
      </c>
      <c r="L7480" s="53" t="inlineStr">
        <is>
          <t>Не определено</t>
        </is>
      </c>
      <c r="M7480" s="53" t="inlineStr">
        <is>
          <t>До 10</t>
        </is>
      </c>
      <c r="N7480" s="54" t="n">
        <v>3360</v>
      </c>
      <c r="O7480" s="55" t="inlineStr">
        <is>
          <t>1–15</t>
        </is>
      </c>
      <c r="P7480" s="16" t="inlineStr">
        <is>
          <t>ССЧР обогащена; ОКВЭД не найден/не загружен</t>
        </is>
      </c>
      <c r="Q7480" s="16" t="inlineStr">
        <is>
          <t>ФНС открытые данные ССЧР (ДатаСост 31.12.2025; набор 7707329152-sshr2019)</t>
        </is>
      </c>
      <c r="R7480" s="16">
        <f>HYPERLINK("https://checko.ru/search?query=3801001629","Чекко: проверить")</f>
        <v/>
      </c>
      <c r="S7480" t="n">
        <v>1</v>
      </c>
      <c r="T7480" s="35" t="inlineStr">
        <is>
          <t>4 — Не обогащён</t>
        </is>
      </c>
      <c r="U7480" s="35" t="inlineStr">
        <is>
          <t>Нет ОКВЭД/ССЧР</t>
        </is>
      </c>
      <c r="V7480" s="35" t="inlineStr">
        <is>
          <t>Не определено</t>
        </is>
      </c>
      <c r="W7480" s="35" t="inlineStr">
        <is>
          <t>Нет</t>
        </is>
      </c>
      <c r="X7480" s="35" t="inlineStr"/>
    </row>
    <row r="7481" ht="27.75" customHeight="1" s="24">
      <c r="A7481" s="13" t="inlineStr">
        <is>
          <t>FR1053027</t>
        </is>
      </c>
      <c r="B7481" s="13" t="inlineStr">
        <is>
          <t>Общество с ограниченной ответственностью "ОХРАННОЕ АГЕНТСТВО "БАЙКАЛ-ОХРАНА"</t>
        </is>
      </c>
      <c r="C7481" s="13" t="n">
        <v>3823017894</v>
      </c>
      <c r="D7481" s="13" t="inlineStr">
        <is>
          <t>3823017894</t>
        </is>
      </c>
      <c r="E7481" s="13" t="inlineStr">
        <is>
          <t>ЮЛ РФ</t>
        </is>
      </c>
      <c r="F7481" s="13" t="n"/>
      <c r="G7481" s="52" t="n">
        <v>27</v>
      </c>
      <c r="H7481" s="52" t="n">
        <v>2025</v>
      </c>
      <c r="I7481" s="52" t="inlineStr">
        <is>
          <t>80.10</t>
        </is>
      </c>
      <c r="J7481" s="52" t="inlineStr">
        <is>
          <t>80.10; 80.20</t>
        </is>
      </c>
      <c r="K7481" s="53" t="inlineStr">
        <is>
          <t>Да</t>
        </is>
      </c>
      <c r="L7481" s="53" t="inlineStr">
        <is>
          <t>Да</t>
        </is>
      </c>
      <c r="M7481" s="53" t="inlineStr">
        <is>
          <t>До 50</t>
        </is>
      </c>
      <c r="N7481" s="54" t="n">
        <v>16800</v>
      </c>
      <c r="O7481" s="55" t="inlineStr">
        <is>
          <t>16–30</t>
        </is>
      </c>
      <c r="P7481" s="16" t="inlineStr">
        <is>
          <t>ССЧР + ОКВЭД обогащены</t>
        </is>
      </c>
      <c r="Q7481" s="16" t="inlineStr">
        <is>
          <t>ФНС открытые данные ССЧР (ДатаСост 31.12.2025; набор 7707329152-sshr2019)</t>
        </is>
      </c>
      <c r="R7481" s="16" t="inlineStr">
        <is>
          <t>ЕГРЮЛ / egrul.nalog.ru (выписка)</t>
        </is>
      </c>
      <c r="S7481" t="n">
        <v>1</v>
      </c>
      <c r="T7481" s="35" t="inlineStr">
        <is>
          <t>1 — Горячий</t>
        </is>
      </c>
      <c r="U7481" s="35" t="inlineStr">
        <is>
          <t>ОКВЭД + 22+</t>
        </is>
      </c>
      <c r="V7481" s="35" t="inlineStr">
        <is>
          <t>Да</t>
        </is>
      </c>
      <c r="W7481" s="35" t="inlineStr">
        <is>
          <t>Да</t>
        </is>
      </c>
      <c r="X7481" s="35" t="inlineStr">
        <is>
          <t>Да</t>
        </is>
      </c>
    </row>
    <row r="7482" ht="15" customHeight="1" s="24">
      <c r="A7482" s="13" t="inlineStr">
        <is>
          <t>FR430822</t>
        </is>
      </c>
      <c r="B7482" s="13" t="inlineStr">
        <is>
          <t>ИП Отрешко Алексей Владимирович</t>
        </is>
      </c>
      <c r="C7482" s="13" t="n">
        <v>890410759337</v>
      </c>
      <c r="D7482" s="13" t="inlineStr">
        <is>
          <t>890410759337</t>
        </is>
      </c>
      <c r="E7482" s="13" t="inlineStr">
        <is>
          <t>ИП РФ / физлицо</t>
        </is>
      </c>
      <c r="F7482" s="13" t="n"/>
      <c r="G7482" s="14" t="n"/>
      <c r="H7482" s="14" t="n"/>
      <c r="I7482" s="14" t="n"/>
      <c r="J7482" s="14" t="n"/>
      <c r="K7482" s="53" t="inlineStr"/>
      <c r="L7482" s="53" t="inlineStr">
        <is>
          <t>Не определено</t>
        </is>
      </c>
      <c r="M7482" s="53" t="inlineStr"/>
      <c r="N7482" s="54" t="inlineStr"/>
      <c r="O7482" s="55" t="inlineStr"/>
      <c r="P7482" s="16" t="inlineStr">
        <is>
          <t>Требует обогащения</t>
        </is>
      </c>
      <c r="Q7482" s="16">
        <f>HYPERLINK("https://pb.nalog.ru/search.html?query=890410759337","ФНС: проверить")</f>
        <v/>
      </c>
      <c r="R7482" s="16">
        <f>HYPERLINK("https://checko.ru/search?query=3801001629","Чекко: проверить")</f>
        <v/>
      </c>
      <c r="S7482" t="n">
        <v>1</v>
      </c>
      <c r="T7482" s="35" t="inlineStr">
        <is>
          <t>4 — Не обогащён</t>
        </is>
      </c>
      <c r="U7482" s="35" t="inlineStr">
        <is>
          <t>Нет ОКВЭД/ССЧР</t>
        </is>
      </c>
      <c r="V7482" s="35" t="inlineStr">
        <is>
          <t>Не определено</t>
        </is>
      </c>
      <c r="W7482" s="35" t="inlineStr"/>
      <c r="X7482" s="35" t="inlineStr"/>
    </row>
    <row r="7483" ht="15" customHeight="1" s="24">
      <c r="A7483" s="13" t="inlineStr">
        <is>
          <t>FR1160952</t>
        </is>
      </c>
      <c r="B7483" s="13" t="inlineStr">
        <is>
          <t>ООО "ЛТС"</t>
        </is>
      </c>
      <c r="C7483" s="13" t="n">
        <v>2724084055</v>
      </c>
      <c r="D7483" s="13" t="inlineStr">
        <is>
          <t>2724084055</t>
        </is>
      </c>
      <c r="E7483" s="13" t="inlineStr">
        <is>
          <t>ЮЛ РФ</t>
        </is>
      </c>
      <c r="F7483" s="13" t="n"/>
      <c r="G7483" s="52" t="n">
        <v>3</v>
      </c>
      <c r="H7483" s="52" t="n">
        <v>2025</v>
      </c>
      <c r="I7483" s="14" t="n"/>
      <c r="J7483" s="14" t="n"/>
      <c r="K7483" s="53" t="inlineStr">
        <is>
          <t>Нет</t>
        </is>
      </c>
      <c r="L7483" s="53" t="inlineStr">
        <is>
          <t>Не определено</t>
        </is>
      </c>
      <c r="M7483" s="53" t="inlineStr">
        <is>
          <t>До 10</t>
        </is>
      </c>
      <c r="N7483" s="54" t="n">
        <v>3360</v>
      </c>
      <c r="O7483" s="55" t="inlineStr">
        <is>
          <t>1–15</t>
        </is>
      </c>
      <c r="P7483" s="16" t="inlineStr">
        <is>
          <t>ССЧР обогащена; ОКВЭД не найден/не загружен</t>
        </is>
      </c>
      <c r="Q7483" s="16" t="inlineStr">
        <is>
          <t>ФНС открытые данные ССЧР (ДатаСост 31.12.2025; набор 7707329152-sshr2019)</t>
        </is>
      </c>
      <c r="R7483" s="16">
        <f>HYPERLINK("https://checko.ru/search?query=3801001629","Чекко: проверить")</f>
        <v/>
      </c>
      <c r="S7483" t="n">
        <v>1</v>
      </c>
      <c r="T7483" s="35" t="inlineStr">
        <is>
          <t>4 — Не обогащён</t>
        </is>
      </c>
      <c r="U7483" s="35" t="inlineStr">
        <is>
          <t>Нет ОКВЭД/ССЧР</t>
        </is>
      </c>
      <c r="V7483" s="35" t="inlineStr">
        <is>
          <t>Не определено</t>
        </is>
      </c>
      <c r="W7483" s="35" t="inlineStr">
        <is>
          <t>Нет</t>
        </is>
      </c>
      <c r="X7483" s="35" t="inlineStr"/>
    </row>
    <row r="7484" ht="27.75" customHeight="1" s="24">
      <c r="A7484" s="13" t="inlineStr">
        <is>
          <t>FR570597</t>
        </is>
      </c>
      <c r="B7484" s="13" t="inlineStr">
        <is>
          <t>ОБЩЕСТВО С ОГРАНИЧЕННОЙ ОТВЕТСТВЕННОСТЬЮ "АВАНГАРД-ДИЗЕЛЬ"</t>
        </is>
      </c>
      <c r="C7484" s="13" t="n">
        <v>3827055668</v>
      </c>
      <c r="D7484" s="13" t="inlineStr">
        <is>
          <t>3827055668</t>
        </is>
      </c>
      <c r="E7484" s="13" t="inlineStr">
        <is>
          <t>ЮЛ РФ</t>
        </is>
      </c>
      <c r="F7484" s="13" t="n"/>
      <c r="G7484" s="52" t="n">
        <v>8</v>
      </c>
      <c r="H7484" s="52" t="n">
        <v>2025</v>
      </c>
      <c r="I7484" s="14" t="n"/>
      <c r="J7484" s="14" t="n"/>
      <c r="K7484" s="53" t="inlineStr">
        <is>
          <t>Нет</t>
        </is>
      </c>
      <c r="L7484" s="53" t="inlineStr">
        <is>
          <t>Не определено</t>
        </is>
      </c>
      <c r="M7484" s="53" t="inlineStr">
        <is>
          <t>До 10</t>
        </is>
      </c>
      <c r="N7484" s="54" t="n">
        <v>3360</v>
      </c>
      <c r="O7484" s="55" t="inlineStr">
        <is>
          <t>1–15</t>
        </is>
      </c>
      <c r="P7484" s="16" t="inlineStr">
        <is>
          <t>ССЧР обогащена; ОКВЭД не найден/не загружен</t>
        </is>
      </c>
      <c r="Q7484" s="16" t="inlineStr">
        <is>
          <t>ФНС открытые данные ССЧР (ДатаСост 31.12.2025; набор 7707329152-sshr2019)</t>
        </is>
      </c>
      <c r="R7484" s="16">
        <f>HYPERLINK("https://checko.ru/search?query=3801001629","Чекко: проверить")</f>
        <v/>
      </c>
      <c r="S7484" t="n">
        <v>1</v>
      </c>
      <c r="T7484" s="35" t="inlineStr">
        <is>
          <t>4 — Не обогащён</t>
        </is>
      </c>
      <c r="U7484" s="35" t="inlineStr">
        <is>
          <t>Нет ОКВЭД/ССЧР</t>
        </is>
      </c>
      <c r="V7484" s="35" t="inlineStr">
        <is>
          <t>Не определено</t>
        </is>
      </c>
      <c r="W7484" s="35" t="inlineStr">
        <is>
          <t>Нет</t>
        </is>
      </c>
      <c r="X7484" s="35" t="inlineStr"/>
    </row>
    <row r="7485" ht="15" customHeight="1" s="24">
      <c r="A7485" s="13" t="inlineStr">
        <is>
          <t>FR880332</t>
        </is>
      </c>
      <c r="B7485" s="13" t="inlineStr">
        <is>
          <t>ИП Данилов Павел Сергеевич</t>
        </is>
      </c>
      <c r="C7485" s="13" t="n">
        <v>381201148858</v>
      </c>
      <c r="D7485" s="13" t="inlineStr">
        <is>
          <t>381201148858</t>
        </is>
      </c>
      <c r="E7485" s="13" t="inlineStr">
        <is>
          <t>ИП РФ / физлицо</t>
        </is>
      </c>
      <c r="F7485" s="13" t="n"/>
      <c r="G7485" s="14" t="n"/>
      <c r="H7485" s="14" t="n"/>
      <c r="I7485" s="14" t="n"/>
      <c r="J7485" s="14" t="n"/>
      <c r="K7485" s="53" t="inlineStr"/>
      <c r="L7485" s="53" t="inlineStr">
        <is>
          <t>Не определено</t>
        </is>
      </c>
      <c r="M7485" s="53" t="inlineStr"/>
      <c r="N7485" s="54" t="inlineStr"/>
      <c r="O7485" s="55" t="inlineStr"/>
      <c r="P7485" s="16" t="inlineStr">
        <is>
          <t>Требует обогащения</t>
        </is>
      </c>
      <c r="Q7485" s="16">
        <f>HYPERLINK("https://pb.nalog.ru/search.html?query=381201148858","ФНС: проверить")</f>
        <v/>
      </c>
      <c r="R7485" s="16">
        <f>HYPERLINK("https://checko.ru/search?query=3801001629","Чекко: проверить")</f>
        <v/>
      </c>
      <c r="S7485" t="n">
        <v>1</v>
      </c>
      <c r="T7485" s="35" t="inlineStr">
        <is>
          <t>4 — Не обогащён</t>
        </is>
      </c>
      <c r="U7485" s="35" t="inlineStr">
        <is>
          <t>Нет ОКВЭД/ССЧР</t>
        </is>
      </c>
      <c r="V7485" s="35" t="inlineStr">
        <is>
          <t>Не определено</t>
        </is>
      </c>
      <c r="W7485" s="35" t="inlineStr"/>
      <c r="X7485" s="35" t="inlineStr"/>
    </row>
    <row r="7486" ht="27.75" customHeight="1" s="24">
      <c r="A7486" s="13" t="inlineStr">
        <is>
          <t>FR285791</t>
        </is>
      </c>
      <c r="B7486" s="13" t="inlineStr">
        <is>
          <t>ОБЩЕСТВО С ОГРАНИЧЕННОЙ ОТВЕТСТВЕННОСТЬЮ "РЕФРЭШ"</t>
        </is>
      </c>
      <c r="C7486" s="13" t="n">
        <v>5902043717</v>
      </c>
      <c r="D7486" s="13" t="inlineStr">
        <is>
          <t>5902043717</t>
        </is>
      </c>
      <c r="E7486" s="13" t="inlineStr">
        <is>
          <t>ЮЛ РФ</t>
        </is>
      </c>
      <c r="F7486" s="13" t="n"/>
      <c r="G7486" s="52" t="n">
        <v>73</v>
      </c>
      <c r="H7486" s="52" t="n">
        <v>2025</v>
      </c>
      <c r="I7486" s="52" t="inlineStr">
        <is>
          <t>63.11</t>
        </is>
      </c>
      <c r="J7486" s="52" t="inlineStr">
        <is>
          <t>63.11; 62.01; 62.02; 62.09; 63.11.1; 72.19</t>
        </is>
      </c>
      <c r="K7486" s="53" t="inlineStr">
        <is>
          <t>Да</t>
        </is>
      </c>
      <c r="L7486" s="53" t="inlineStr">
        <is>
          <t>Да</t>
        </is>
      </c>
      <c r="M7486" s="53" t="inlineStr">
        <is>
          <t>До 100</t>
        </is>
      </c>
      <c r="N7486" s="54" t="n">
        <v>33600</v>
      </c>
      <c r="O7486" s="55" t="inlineStr">
        <is>
          <t>51–100</t>
        </is>
      </c>
      <c r="P7486" s="16" t="inlineStr">
        <is>
          <t>ССЧР + ОКВЭД обогащены</t>
        </is>
      </c>
      <c r="Q7486" s="16" t="inlineStr">
        <is>
          <t>ФНС открытые данные ССЧР (ДатаСост 31.12.2025; набор 7707329152-sshr2019)</t>
        </is>
      </c>
      <c r="R7486" s="16" t="inlineStr">
        <is>
          <t>ЕГРЮЛ / egrul.nalog.ru (выписка)</t>
        </is>
      </c>
      <c r="S7486" t="n">
        <v>1</v>
      </c>
      <c r="T7486" s="35" t="inlineStr">
        <is>
          <t>1 — Горячий</t>
        </is>
      </c>
      <c r="U7486" s="35" t="inlineStr">
        <is>
          <t>ОКВЭД + 22+</t>
        </is>
      </c>
      <c r="V7486" s="35" t="inlineStr">
        <is>
          <t>Да</t>
        </is>
      </c>
      <c r="W7486" s="35" t="inlineStr">
        <is>
          <t>Да</t>
        </is>
      </c>
      <c r="X7486" s="35" t="inlineStr">
        <is>
          <t>Да</t>
        </is>
      </c>
    </row>
    <row r="7487" ht="27.75" customHeight="1" s="24">
      <c r="A7487" s="13" t="inlineStr">
        <is>
          <t>FR1264063</t>
        </is>
      </c>
      <c r="B7487" s="13" t="inlineStr">
        <is>
          <t>Индивидуальный Предприниматель Березянский Никита Владимирович</t>
        </is>
      </c>
      <c r="C7487" s="13" t="n">
        <v>380127393827</v>
      </c>
      <c r="D7487" s="13" t="inlineStr">
        <is>
          <t>380127393827</t>
        </is>
      </c>
      <c r="E7487" s="13" t="inlineStr">
        <is>
          <t>ИП РФ / физлицо</t>
        </is>
      </c>
      <c r="F7487" s="13" t="n"/>
      <c r="G7487" s="14" t="n"/>
      <c r="H7487" s="14" t="n"/>
      <c r="I7487" s="14" t="n"/>
      <c r="J7487" s="14" t="n"/>
      <c r="K7487" s="53" t="inlineStr"/>
      <c r="L7487" s="53" t="inlineStr">
        <is>
          <t>Не определено</t>
        </is>
      </c>
      <c r="M7487" s="53" t="inlineStr"/>
      <c r="N7487" s="54" t="inlineStr"/>
      <c r="O7487" s="55" t="inlineStr"/>
      <c r="P7487" s="16" t="inlineStr">
        <is>
          <t>Требует обогащения</t>
        </is>
      </c>
      <c r="Q7487" s="16">
        <f>HYPERLINK("https://pb.nalog.ru/search.html?query=380127393827","ФНС: проверить")</f>
        <v/>
      </c>
      <c r="R7487" s="16">
        <f>HYPERLINK("https://checko.ru/search?query=3801001629","Чекко: проверить")</f>
        <v/>
      </c>
      <c r="S7487" t="n">
        <v>1</v>
      </c>
      <c r="T7487" s="35" t="inlineStr">
        <is>
          <t>4 — Не обогащён</t>
        </is>
      </c>
      <c r="U7487" s="35" t="inlineStr">
        <is>
          <t>Нет ОКВЭД/ССЧР</t>
        </is>
      </c>
      <c r="V7487" s="35" t="inlineStr">
        <is>
          <t>Не определено</t>
        </is>
      </c>
      <c r="W7487" s="35" t="inlineStr"/>
      <c r="X7487" s="35" t="inlineStr"/>
    </row>
    <row r="7488" ht="27.75" customHeight="1" s="24">
      <c r="A7488" s="13" t="inlineStr">
        <is>
          <t>FR1265095</t>
        </is>
      </c>
      <c r="B7488" s="13" t="inlineStr">
        <is>
          <t>Общество с ограниченной ответственностью "ВЕБТРИ"</t>
        </is>
      </c>
      <c r="C7488" s="13" t="n">
        <v>3662298200</v>
      </c>
      <c r="D7488" s="13" t="inlineStr">
        <is>
          <t>3662298200</t>
        </is>
      </c>
      <c r="E7488" s="13" t="inlineStr">
        <is>
          <t>ЮЛ РФ</t>
        </is>
      </c>
      <c r="F7488" s="13" t="n"/>
      <c r="G7488" s="52" t="n">
        <v>59</v>
      </c>
      <c r="H7488" s="52" t="n">
        <v>2025</v>
      </c>
      <c r="I7488" s="52" t="inlineStr">
        <is>
          <t>62.01</t>
        </is>
      </c>
      <c r="J7488" s="52" t="inlineStr">
        <is>
          <t>62.01; 18.12; 62.02; 62.09; 63.11.1; 73.11; 82.99</t>
        </is>
      </c>
      <c r="K7488" s="53" t="inlineStr">
        <is>
          <t>Да</t>
        </is>
      </c>
      <c r="L7488" s="53" t="inlineStr">
        <is>
          <t>Да</t>
        </is>
      </c>
      <c r="M7488" s="53" t="inlineStr">
        <is>
          <t>До 100</t>
        </is>
      </c>
      <c r="N7488" s="54" t="n">
        <v>33600</v>
      </c>
      <c r="O7488" s="55" t="inlineStr">
        <is>
          <t>51–100</t>
        </is>
      </c>
      <c r="P7488" s="16" t="inlineStr">
        <is>
          <t>ССЧР + ОКВЭД обогащены</t>
        </is>
      </c>
      <c r="Q7488" s="16" t="inlineStr">
        <is>
          <t>ФНС открытые данные ССЧР (ДатаСост 31.12.2025; набор 7707329152-sshr2019)</t>
        </is>
      </c>
      <c r="R7488" s="16" t="inlineStr">
        <is>
          <t>ЕГРЮЛ / egrul.nalog.ru (выписка)</t>
        </is>
      </c>
      <c r="S7488" t="n">
        <v>1</v>
      </c>
      <c r="T7488" s="35" t="inlineStr">
        <is>
          <t>1 — Горячий</t>
        </is>
      </c>
      <c r="U7488" s="35" t="inlineStr">
        <is>
          <t>ОКВЭД + 22+</t>
        </is>
      </c>
      <c r="V7488" s="35" t="inlineStr">
        <is>
          <t>Да</t>
        </is>
      </c>
      <c r="W7488" s="35" t="inlineStr">
        <is>
          <t>Да</t>
        </is>
      </c>
      <c r="X7488" s="35" t="inlineStr">
        <is>
          <t>Да</t>
        </is>
      </c>
    </row>
    <row r="7489" ht="15" customHeight="1" s="24">
      <c r="A7489" s="13" t="inlineStr">
        <is>
          <t>FR719557</t>
        </is>
      </c>
      <c r="B7489" s="13" t="inlineStr">
        <is>
          <t>ИП Новицкая Наталья Кузьминична</t>
        </is>
      </c>
      <c r="C7489" s="13" t="n">
        <v>381401561212</v>
      </c>
      <c r="D7489" s="13" t="inlineStr">
        <is>
          <t>381401561212</t>
        </is>
      </c>
      <c r="E7489" s="13" t="inlineStr">
        <is>
          <t>ИП РФ / физлицо</t>
        </is>
      </c>
      <c r="F7489" s="13" t="n"/>
      <c r="G7489" s="14" t="n"/>
      <c r="H7489" s="14" t="n"/>
      <c r="I7489" s="14" t="n"/>
      <c r="J7489" s="14" t="n"/>
      <c r="K7489" s="53" t="inlineStr"/>
      <c r="L7489" s="53" t="inlineStr">
        <is>
          <t>Не определено</t>
        </is>
      </c>
      <c r="M7489" s="53" t="inlineStr"/>
      <c r="N7489" s="54" t="inlineStr"/>
      <c r="O7489" s="55" t="inlineStr"/>
      <c r="P7489" s="16" t="inlineStr">
        <is>
          <t>Требует обогащения</t>
        </is>
      </c>
      <c r="Q7489" s="16">
        <f>HYPERLINK("https://pb.nalog.ru/search.html?query=381401561212","ФНС: проверить")</f>
        <v/>
      </c>
      <c r="R7489" s="16">
        <f>HYPERLINK("https://checko.ru/search?query=3801001629","Чекко: проверить")</f>
        <v/>
      </c>
      <c r="S7489" t="n">
        <v>1</v>
      </c>
      <c r="T7489" s="35" t="inlineStr">
        <is>
          <t>4 — Не обогащён</t>
        </is>
      </c>
      <c r="U7489" s="35" t="inlineStr">
        <is>
          <t>Нет ОКВЭД/ССЧР</t>
        </is>
      </c>
      <c r="V7489" s="35" t="inlineStr">
        <is>
          <t>Не определено</t>
        </is>
      </c>
      <c r="W7489" s="35" t="inlineStr"/>
      <c r="X7489" s="35" t="inlineStr"/>
    </row>
    <row r="7490" ht="27.75" customHeight="1" s="24">
      <c r="A7490" s="13" t="inlineStr">
        <is>
          <t>FR870565</t>
        </is>
      </c>
      <c r="B7490" s="13" t="inlineStr">
        <is>
          <t>Общество с ограниченной ответственностью "ОКОННЫЙ СЕРВИС"</t>
        </is>
      </c>
      <c r="C7490" s="13" t="n">
        <v>3808153003</v>
      </c>
      <c r="D7490" s="13" t="inlineStr">
        <is>
          <t>3808153003</t>
        </is>
      </c>
      <c r="E7490" s="13" t="inlineStr">
        <is>
          <t>ЮЛ РФ</t>
        </is>
      </c>
      <c r="F7490" s="13" t="n"/>
      <c r="G7490" s="52" t="n">
        <v>15</v>
      </c>
      <c r="H7490" s="52" t="n">
        <v>2025</v>
      </c>
      <c r="I7490" s="14" t="n"/>
      <c r="J7490" s="14" t="n"/>
      <c r="K7490" s="53" t="inlineStr">
        <is>
          <t>Нет</t>
        </is>
      </c>
      <c r="L7490" s="53" t="inlineStr">
        <is>
          <t>Не определено</t>
        </is>
      </c>
      <c r="M7490" s="53" t="inlineStr">
        <is>
          <t>До 25</t>
        </is>
      </c>
      <c r="N7490" s="54" t="n">
        <v>8400</v>
      </c>
      <c r="O7490" s="55" t="inlineStr">
        <is>
          <t>1–15</t>
        </is>
      </c>
      <c r="P7490" s="16" t="inlineStr">
        <is>
          <t>ССЧР обогащена; ОКВЭД не найден/не загружен</t>
        </is>
      </c>
      <c r="Q7490" s="16" t="inlineStr">
        <is>
          <t>ФНС открытые данные ССЧР (ДатаСост 31.12.2025; набор 7707329152-sshr2019)</t>
        </is>
      </c>
      <c r="R7490" s="16">
        <f>HYPERLINK("https://checko.ru/search?query=3801001629","Чекко: проверить")</f>
        <v/>
      </c>
      <c r="S7490" t="n">
        <v>1</v>
      </c>
      <c r="T7490" s="35" t="inlineStr">
        <is>
          <t>4 — Не обогащён</t>
        </is>
      </c>
      <c r="U7490" s="35" t="inlineStr">
        <is>
          <t>Нет ОКВЭД/ССЧР</t>
        </is>
      </c>
      <c r="V7490" s="35" t="inlineStr">
        <is>
          <t>Не определено</t>
        </is>
      </c>
      <c r="W7490" s="35" t="inlineStr">
        <is>
          <t>Нет</t>
        </is>
      </c>
      <c r="X7490" s="35" t="inlineStr"/>
    </row>
    <row r="7491" ht="27.75" customHeight="1" s="24">
      <c r="A7491" s="13" t="inlineStr">
        <is>
          <t>FR870791</t>
        </is>
      </c>
      <c r="B7491" s="13" t="inlineStr">
        <is>
          <t>Общество с ограниченной ответственностью "ВОРОТА ЦЕНТР"</t>
        </is>
      </c>
      <c r="C7491" s="13" t="n">
        <v>3808214048</v>
      </c>
      <c r="D7491" s="13" t="inlineStr">
        <is>
          <t>3808214048</t>
        </is>
      </c>
      <c r="E7491" s="13" t="inlineStr">
        <is>
          <t>ЮЛ РФ</t>
        </is>
      </c>
      <c r="F7491" s="13" t="n"/>
      <c r="G7491" s="52" t="n">
        <v>19</v>
      </c>
      <c r="H7491" s="52" t="n">
        <v>2025</v>
      </c>
      <c r="I7491" s="14" t="n"/>
      <c r="J7491" s="14" t="n"/>
      <c r="K7491" s="53" t="inlineStr">
        <is>
          <t>Нет</t>
        </is>
      </c>
      <c r="L7491" s="53" t="inlineStr">
        <is>
          <t>Не определено</t>
        </is>
      </c>
      <c r="M7491" s="53" t="inlineStr">
        <is>
          <t>До 25</t>
        </is>
      </c>
      <c r="N7491" s="54" t="n">
        <v>8400</v>
      </c>
      <c r="O7491" s="55" t="inlineStr">
        <is>
          <t>16–30</t>
        </is>
      </c>
      <c r="P7491" s="16" t="inlineStr">
        <is>
          <t>ССЧР обогащена; ОКВЭД не найден/не загружен</t>
        </is>
      </c>
      <c r="Q7491" s="16" t="inlineStr">
        <is>
          <t>ФНС открытые данные ССЧР (ДатаСост 31.12.2025; набор 7707329152-sshr2019)</t>
        </is>
      </c>
      <c r="R7491" s="16">
        <f>HYPERLINK("https://checko.ru/search?query=3801001629","Чекко: проверить")</f>
        <v/>
      </c>
      <c r="S7491" t="n">
        <v>1</v>
      </c>
      <c r="T7491" s="35" t="inlineStr">
        <is>
          <t>4 — Не обогащён</t>
        </is>
      </c>
      <c r="U7491" s="35" t="inlineStr">
        <is>
          <t>Нет ОКВЭД/ССЧР</t>
        </is>
      </c>
      <c r="V7491" s="35" t="inlineStr">
        <is>
          <t>Не определено</t>
        </is>
      </c>
      <c r="W7491" s="35" t="inlineStr">
        <is>
          <t>Нет</t>
        </is>
      </c>
      <c r="X7491" s="35" t="inlineStr"/>
    </row>
    <row r="7492" ht="27.75" customHeight="1" s="24">
      <c r="A7492" s="13" t="inlineStr">
        <is>
          <t>FR873587</t>
        </is>
      </c>
      <c r="B7492" s="13" t="inlineStr">
        <is>
          <t>Общество с ограниченной ответственностью "СМП-38"</t>
        </is>
      </c>
      <c r="C7492" s="13" t="n">
        <v>3808285360</v>
      </c>
      <c r="D7492" s="13" t="inlineStr">
        <is>
          <t>3808285360</t>
        </is>
      </c>
      <c r="E7492" s="13" t="inlineStr">
        <is>
          <t>ЮЛ РФ</t>
        </is>
      </c>
      <c r="F7492" s="13" t="n"/>
      <c r="G7492" s="52" t="n">
        <v>2</v>
      </c>
      <c r="H7492" s="52" t="n">
        <v>2025</v>
      </c>
      <c r="I7492" s="14" t="n"/>
      <c r="J7492" s="14" t="n"/>
      <c r="K7492" s="53" t="inlineStr">
        <is>
          <t>Нет</t>
        </is>
      </c>
      <c r="L7492" s="53" t="inlineStr">
        <is>
          <t>Не определено</t>
        </is>
      </c>
      <c r="M7492" s="53" t="inlineStr">
        <is>
          <t>До 10</t>
        </is>
      </c>
      <c r="N7492" s="54" t="n">
        <v>3360</v>
      </c>
      <c r="O7492" s="55" t="inlineStr">
        <is>
          <t>1–15</t>
        </is>
      </c>
      <c r="P7492" s="16" t="inlineStr">
        <is>
          <t>ССЧР обогащена; ОКВЭД не найден/не загружен</t>
        </is>
      </c>
      <c r="Q7492" s="16" t="inlineStr">
        <is>
          <t>ФНС открытые данные ССЧР (ДатаСост 31.12.2025; набор 7707329152-sshr2019)</t>
        </is>
      </c>
      <c r="R7492" s="16">
        <f>HYPERLINK("https://checko.ru/search?query=3801001629","Чекко: проверить")</f>
        <v/>
      </c>
      <c r="S7492" t="n">
        <v>1</v>
      </c>
      <c r="T7492" s="35" t="inlineStr">
        <is>
          <t>4 — Не обогащён</t>
        </is>
      </c>
      <c r="U7492" s="35" t="inlineStr">
        <is>
          <t>Нет ОКВЭД/ССЧР</t>
        </is>
      </c>
      <c r="V7492" s="35" t="inlineStr">
        <is>
          <t>Не определено</t>
        </is>
      </c>
      <c r="W7492" s="35" t="inlineStr">
        <is>
          <t>Нет</t>
        </is>
      </c>
      <c r="X7492" s="35" t="inlineStr"/>
    </row>
    <row r="7493" ht="27.75" customHeight="1" s="24">
      <c r="A7493" s="13" t="inlineStr">
        <is>
          <t>FR870794</t>
        </is>
      </c>
      <c r="B7493" s="13" t="inlineStr">
        <is>
          <t>Общество с ограниченной ответственностью ТОРГОВЫЙ ДОМ "ПРОСТОР ГРУПП"</t>
        </is>
      </c>
      <c r="C7493" s="13" t="n">
        <v>3810034540</v>
      </c>
      <c r="D7493" s="13" t="inlineStr">
        <is>
          <t>3810034540</t>
        </is>
      </c>
      <c r="E7493" s="13" t="inlineStr">
        <is>
          <t>ЮЛ РФ</t>
        </is>
      </c>
      <c r="F7493" s="13" t="n"/>
      <c r="G7493" s="52" t="n">
        <v>5</v>
      </c>
      <c r="H7493" s="52" t="n">
        <v>2025</v>
      </c>
      <c r="I7493" s="14" t="n"/>
      <c r="J7493" s="14" t="n"/>
      <c r="K7493" s="53" t="inlineStr">
        <is>
          <t>Нет</t>
        </is>
      </c>
      <c r="L7493" s="53" t="inlineStr">
        <is>
          <t>Не определено</t>
        </is>
      </c>
      <c r="M7493" s="53" t="inlineStr">
        <is>
          <t>До 10</t>
        </is>
      </c>
      <c r="N7493" s="54" t="n">
        <v>3360</v>
      </c>
      <c r="O7493" s="55" t="inlineStr">
        <is>
          <t>1–15</t>
        </is>
      </c>
      <c r="P7493" s="16" t="inlineStr">
        <is>
          <t>ССЧР обогащена; ОКВЭД не найден/не загружен</t>
        </is>
      </c>
      <c r="Q7493" s="16" t="inlineStr">
        <is>
          <t>ФНС открытые данные ССЧР (ДатаСост 31.12.2025; набор 7707329152-sshr2019)</t>
        </is>
      </c>
      <c r="R7493" s="16">
        <f>HYPERLINK("https://checko.ru/search?query=3801001629","Чекко: проверить")</f>
        <v/>
      </c>
      <c r="S7493" t="n">
        <v>1</v>
      </c>
      <c r="T7493" s="35" t="inlineStr">
        <is>
          <t>4 — Не обогащён</t>
        </is>
      </c>
      <c r="U7493" s="35" t="inlineStr">
        <is>
          <t>Нет ОКВЭД/ССЧР</t>
        </is>
      </c>
      <c r="V7493" s="35" t="inlineStr">
        <is>
          <t>Не определено</t>
        </is>
      </c>
      <c r="W7493" s="35" t="inlineStr">
        <is>
          <t>Нет</t>
        </is>
      </c>
      <c r="X7493" s="35" t="inlineStr"/>
    </row>
    <row r="7494" ht="15" customHeight="1" s="24">
      <c r="A7494" s="13" t="inlineStr">
        <is>
          <t>FR185579</t>
        </is>
      </c>
      <c r="B7494" s="13" t="inlineStr">
        <is>
          <t>ООО "ПРО-МИНЕРАЛС ИНЖИНИРИНГ"</t>
        </is>
      </c>
      <c r="C7494" s="13" t="n">
        <v>3812134780</v>
      </c>
      <c r="D7494" s="13" t="inlineStr">
        <is>
          <t>3812134780</t>
        </is>
      </c>
      <c r="E7494" s="13" t="inlineStr">
        <is>
          <t>ЮЛ РФ</t>
        </is>
      </c>
      <c r="F7494" s="13" t="n"/>
      <c r="G7494" s="52" t="n">
        <v>14</v>
      </c>
      <c r="H7494" s="52" t="n">
        <v>2025</v>
      </c>
      <c r="I7494" s="14" t="n"/>
      <c r="J7494" s="14" t="n"/>
      <c r="K7494" s="53" t="inlineStr">
        <is>
          <t>Нет</t>
        </is>
      </c>
      <c r="L7494" s="53" t="inlineStr">
        <is>
          <t>Не определено</t>
        </is>
      </c>
      <c r="M7494" s="53" t="inlineStr">
        <is>
          <t>До 25</t>
        </is>
      </c>
      <c r="N7494" s="54" t="n">
        <v>8400</v>
      </c>
      <c r="O7494" s="55" t="inlineStr">
        <is>
          <t>1–15</t>
        </is>
      </c>
      <c r="P7494" s="16" t="inlineStr">
        <is>
          <t>ССЧР обогащена; ОКВЭД не найден/не загружен</t>
        </is>
      </c>
      <c r="Q7494" s="16" t="inlineStr">
        <is>
          <t>ФНС открытые данные ССЧР (ДатаСост 31.12.2025; набор 7707329152-sshr2019)</t>
        </is>
      </c>
      <c r="R7494" s="16">
        <f>HYPERLINK("https://checko.ru/search?query=3801001629","Чекко: проверить")</f>
        <v/>
      </c>
      <c r="S7494" t="n">
        <v>1</v>
      </c>
      <c r="T7494" s="35" t="inlineStr">
        <is>
          <t>4 — Не обогащён</t>
        </is>
      </c>
      <c r="U7494" s="35" t="inlineStr">
        <is>
          <t>Нет ОКВЭД/ССЧР</t>
        </is>
      </c>
      <c r="V7494" s="35" t="inlineStr">
        <is>
          <t>Не определено</t>
        </is>
      </c>
      <c r="W7494" s="35" t="inlineStr">
        <is>
          <t>Нет</t>
        </is>
      </c>
      <c r="X7494" s="35" t="inlineStr"/>
    </row>
    <row r="7495" ht="15" customHeight="1" s="24">
      <c r="A7495" s="13" t="inlineStr">
        <is>
          <t>FR161789</t>
        </is>
      </c>
      <c r="B7495" s="13" t="inlineStr">
        <is>
          <t>ИП Ионеску Валентина Анатольевна</t>
        </is>
      </c>
      <c r="C7495" s="13" t="n">
        <v>667414243566</v>
      </c>
      <c r="D7495" s="13" t="inlineStr">
        <is>
          <t>667414243566</t>
        </is>
      </c>
      <c r="E7495" s="13" t="inlineStr">
        <is>
          <t>ИП РФ / физлицо</t>
        </is>
      </c>
      <c r="F7495" s="13" t="n"/>
      <c r="G7495" s="14" t="n"/>
      <c r="H7495" s="14" t="n"/>
      <c r="I7495" s="14" t="n"/>
      <c r="J7495" s="14" t="n"/>
      <c r="K7495" s="53" t="inlineStr"/>
      <c r="L7495" s="53" t="inlineStr">
        <is>
          <t>Не определено</t>
        </is>
      </c>
      <c r="M7495" s="53" t="inlineStr"/>
      <c r="N7495" s="54" t="inlineStr"/>
      <c r="O7495" s="55" t="inlineStr"/>
      <c r="P7495" s="16" t="inlineStr">
        <is>
          <t>Требует обогащения</t>
        </is>
      </c>
      <c r="Q7495" s="16">
        <f>HYPERLINK("https://pb.nalog.ru/search.html?query=667414243566","ФНС: проверить")</f>
        <v/>
      </c>
      <c r="R7495" s="16">
        <f>HYPERLINK("https://checko.ru/search?query=3801001629","Чекко: проверить")</f>
        <v/>
      </c>
      <c r="S7495" t="n">
        <v>1</v>
      </c>
      <c r="T7495" s="35" t="inlineStr">
        <is>
          <t>4 — Не обогащён</t>
        </is>
      </c>
      <c r="U7495" s="35" t="inlineStr">
        <is>
          <t>Нет ОКВЭД/ССЧР</t>
        </is>
      </c>
      <c r="V7495" s="35" t="inlineStr">
        <is>
          <t>Не определено</t>
        </is>
      </c>
      <c r="W7495" s="35" t="inlineStr"/>
      <c r="X7495" s="35" t="inlineStr"/>
    </row>
    <row r="7496" ht="15" customHeight="1" s="24">
      <c r="A7496" s="13" t="inlineStr">
        <is>
          <t>FR2158</t>
        </is>
      </c>
      <c r="B7496" s="13" t="inlineStr">
        <is>
          <t>ЛИНКОМ</t>
        </is>
      </c>
      <c r="C7496" s="13" t="n">
        <v>2536010300</v>
      </c>
      <c r="D7496" s="13" t="inlineStr">
        <is>
          <t>2536010300</t>
        </is>
      </c>
      <c r="E7496" s="13" t="inlineStr">
        <is>
          <t>ЮЛ РФ</t>
        </is>
      </c>
      <c r="F7496" s="13" t="n"/>
      <c r="G7496" s="52" t="n">
        <v>24</v>
      </c>
      <c r="H7496" s="52" t="n">
        <v>2025</v>
      </c>
      <c r="I7496" s="52" t="inlineStr">
        <is>
          <t>68.20.1</t>
        </is>
      </c>
      <c r="J7496" s="52" t="inlineStr">
        <is>
          <t>68.20.1; 33.12; 33.20; 42.21; 42.22; 43.31; 43.32; 43.33; 43.34; 43.39; 64.99.3; 68.20.2; 68.32.1; 68.32.2</t>
        </is>
      </c>
      <c r="K7496" s="53" t="inlineStr">
        <is>
          <t>Да</t>
        </is>
      </c>
      <c r="L7496" s="53" t="inlineStr">
        <is>
          <t>Да</t>
        </is>
      </c>
      <c r="M7496" s="53" t="inlineStr">
        <is>
          <t>До 25</t>
        </is>
      </c>
      <c r="N7496" s="54" t="n">
        <v>8400</v>
      </c>
      <c r="O7496" s="55" t="inlineStr">
        <is>
          <t>16–30</t>
        </is>
      </c>
      <c r="P7496" s="16" t="inlineStr">
        <is>
          <t>ССЧР + ОКВЭД обогащены</t>
        </is>
      </c>
      <c r="Q7496" s="16" t="inlineStr">
        <is>
          <t>ФНС открытые данные ССЧР (ДатаСост 31.12.2025; набор 7707329152-sshr2019)</t>
        </is>
      </c>
      <c r="R7496" s="16" t="inlineStr">
        <is>
          <t>ЕГРЮЛ / egrul.nalog.ru (выписка)</t>
        </is>
      </c>
      <c r="S7496" t="n">
        <v>1</v>
      </c>
      <c r="T7496" s="35" t="inlineStr">
        <is>
          <t>1 — Горячий</t>
        </is>
      </c>
      <c r="U7496" s="35" t="inlineStr">
        <is>
          <t>ОКВЭД + 22+</t>
        </is>
      </c>
      <c r="V7496" s="35" t="inlineStr">
        <is>
          <t>Да</t>
        </is>
      </c>
      <c r="W7496" s="35" t="inlineStr">
        <is>
          <t>Да</t>
        </is>
      </c>
      <c r="X7496" s="35" t="inlineStr">
        <is>
          <t>Да</t>
        </is>
      </c>
    </row>
    <row r="7497" ht="15" customHeight="1" s="24">
      <c r="A7497" s="13" t="inlineStr">
        <is>
          <t>FR187774</t>
        </is>
      </c>
      <c r="B7497" s="13" t="inlineStr">
        <is>
          <t>ИП Вязовой Андрей Анатольевич</t>
        </is>
      </c>
      <c r="C7497" s="13" t="n">
        <v>253911208983</v>
      </c>
      <c r="D7497" s="13" t="inlineStr">
        <is>
          <t>253911208983</t>
        </is>
      </c>
      <c r="E7497" s="13" t="inlineStr">
        <is>
          <t>ИП РФ / физлицо</t>
        </is>
      </c>
      <c r="F7497" s="13" t="n"/>
      <c r="G7497" s="14" t="n"/>
      <c r="H7497" s="14" t="n"/>
      <c r="I7497" s="14" t="n"/>
      <c r="J7497" s="14" t="n"/>
      <c r="K7497" s="53" t="inlineStr"/>
      <c r="L7497" s="53" t="inlineStr">
        <is>
          <t>Не определено</t>
        </is>
      </c>
      <c r="M7497" s="53" t="inlineStr"/>
      <c r="N7497" s="54" t="inlineStr"/>
      <c r="O7497" s="55" t="inlineStr"/>
      <c r="P7497" s="16" t="inlineStr">
        <is>
          <t>Требует обогащения</t>
        </is>
      </c>
      <c r="Q7497" s="16">
        <f>HYPERLINK("https://pb.nalog.ru/search.html?query=253911208983","ФНС: проверить")</f>
        <v/>
      </c>
      <c r="R7497" s="16">
        <f>HYPERLINK("https://checko.ru/search?query=3801001629","Чекко: проверить")</f>
        <v/>
      </c>
      <c r="S7497" t="n">
        <v>1</v>
      </c>
      <c r="T7497" s="35" t="inlineStr">
        <is>
          <t>4 — Не обогащён</t>
        </is>
      </c>
      <c r="U7497" s="35" t="inlineStr">
        <is>
          <t>Нет ОКВЭД/ССЧР</t>
        </is>
      </c>
      <c r="V7497" s="35" t="inlineStr">
        <is>
          <t>Не определено</t>
        </is>
      </c>
      <c r="W7497" s="35" t="inlineStr"/>
      <c r="X7497" s="35" t="inlineStr"/>
    </row>
    <row r="7498" ht="15" customHeight="1" s="24">
      <c r="A7498" s="13" t="inlineStr">
        <is>
          <t>FR165405</t>
        </is>
      </c>
      <c r="B7498" s="13" t="inlineStr">
        <is>
          <t>ООО КЦ "РЕСПЕКТ"</t>
        </is>
      </c>
      <c r="C7498" s="13" t="n">
        <v>6312064360</v>
      </c>
      <c r="D7498" s="13" t="inlineStr">
        <is>
          <t>6312064360</t>
        </is>
      </c>
      <c r="E7498" s="13" t="inlineStr">
        <is>
          <t>ЮЛ РФ</t>
        </is>
      </c>
      <c r="F7498" s="13" t="n"/>
      <c r="G7498" s="52" t="n">
        <v>2</v>
      </c>
      <c r="H7498" s="52" t="n">
        <v>2025</v>
      </c>
      <c r="I7498" s="14" t="n"/>
      <c r="J7498" s="14" t="n"/>
      <c r="K7498" s="53" t="inlineStr">
        <is>
          <t>Нет</t>
        </is>
      </c>
      <c r="L7498" s="53" t="inlineStr">
        <is>
          <t>Не определено</t>
        </is>
      </c>
      <c r="M7498" s="53" t="inlineStr">
        <is>
          <t>До 10</t>
        </is>
      </c>
      <c r="N7498" s="54" t="n">
        <v>3360</v>
      </c>
      <c r="O7498" s="55" t="inlineStr">
        <is>
          <t>1–15</t>
        </is>
      </c>
      <c r="P7498" s="16" t="inlineStr">
        <is>
          <t>ССЧР обогащена; ОКВЭД не найден/не загружен</t>
        </is>
      </c>
      <c r="Q7498" s="16" t="inlineStr">
        <is>
          <t>ФНС открытые данные ССЧР (ДатаСост 31.12.2025; набор 7707329152-sshr2019)</t>
        </is>
      </c>
      <c r="R7498" s="16">
        <f>HYPERLINK("https://checko.ru/search?query=3801001629","Чекко: проверить")</f>
        <v/>
      </c>
      <c r="S7498" t="n">
        <v>1</v>
      </c>
      <c r="T7498" s="35" t="inlineStr">
        <is>
          <t>4 — Не обогащён</t>
        </is>
      </c>
      <c r="U7498" s="35" t="inlineStr">
        <is>
          <t>Нет ОКВЭД/ССЧР</t>
        </is>
      </c>
      <c r="V7498" s="35" t="inlineStr">
        <is>
          <t>Не определено</t>
        </is>
      </c>
      <c r="W7498" s="35" t="inlineStr">
        <is>
          <t>Нет</t>
        </is>
      </c>
      <c r="X7498" s="35" t="inlineStr"/>
    </row>
    <row r="7499" ht="15" customHeight="1" s="24">
      <c r="A7499" s="13" t="inlineStr">
        <is>
          <t>FR23591</t>
        </is>
      </c>
      <c r="B7499" s="13" t="inlineStr">
        <is>
          <t>СБС ГРУПП ООО</t>
        </is>
      </c>
      <c r="C7499" s="13" t="n">
        <v>3666170346</v>
      </c>
      <c r="D7499" s="13" t="inlineStr">
        <is>
          <t>3666170346</t>
        </is>
      </c>
      <c r="E7499" s="13" t="inlineStr">
        <is>
          <t>ЮЛ РФ</t>
        </is>
      </c>
      <c r="F7499" s="13" t="n"/>
      <c r="G7499" s="52" t="n">
        <v>4</v>
      </c>
      <c r="H7499" s="52" t="n">
        <v>2025</v>
      </c>
      <c r="I7499" s="14" t="n"/>
      <c r="J7499" s="14" t="n"/>
      <c r="K7499" s="53" t="inlineStr">
        <is>
          <t>Нет</t>
        </is>
      </c>
      <c r="L7499" s="53" t="inlineStr">
        <is>
          <t>Не определено</t>
        </is>
      </c>
      <c r="M7499" s="53" t="inlineStr">
        <is>
          <t>До 10</t>
        </is>
      </c>
      <c r="N7499" s="54" t="n">
        <v>3360</v>
      </c>
      <c r="O7499" s="55" t="inlineStr">
        <is>
          <t>1–15</t>
        </is>
      </c>
      <c r="P7499" s="16" t="inlineStr">
        <is>
          <t>ССЧР обогащена; ОКВЭД не найден/не загружен</t>
        </is>
      </c>
      <c r="Q7499" s="16" t="inlineStr">
        <is>
          <t>ФНС открытые данные ССЧР (ДатаСост 31.12.2025; набор 7707329152-sshr2019)</t>
        </is>
      </c>
      <c r="R7499" s="16">
        <f>HYPERLINK("https://checko.ru/search?query=3801001629","Чекко: проверить")</f>
        <v/>
      </c>
      <c r="S7499" t="n">
        <v>1</v>
      </c>
      <c r="T7499" s="35" t="inlineStr">
        <is>
          <t>4 — Не обогащён</t>
        </is>
      </c>
      <c r="U7499" s="35" t="inlineStr">
        <is>
          <t>Нет ОКВЭД/ССЧР</t>
        </is>
      </c>
      <c r="V7499" s="35" t="inlineStr">
        <is>
          <t>Не определено</t>
        </is>
      </c>
      <c r="W7499" s="35" t="inlineStr">
        <is>
          <t>Нет</t>
        </is>
      </c>
      <c r="X7499" s="35" t="inlineStr"/>
    </row>
    <row r="7500" ht="15" customHeight="1" s="24">
      <c r="A7500" s="13" t="inlineStr">
        <is>
          <t>FR1686</t>
        </is>
      </c>
      <c r="B7500" s="13" t="inlineStr">
        <is>
          <t>ООО "Автокомфорт"</t>
        </is>
      </c>
      <c r="C7500" s="13" t="n">
        <v>3808185767</v>
      </c>
      <c r="D7500" s="13" t="inlineStr">
        <is>
          <t>3808185767</t>
        </is>
      </c>
      <c r="E7500" s="13" t="inlineStr">
        <is>
          <t>ЮЛ РФ</t>
        </is>
      </c>
      <c r="F7500" s="13" t="n"/>
      <c r="G7500" s="52" t="n">
        <v>18</v>
      </c>
      <c r="H7500" s="52" t="n">
        <v>2025</v>
      </c>
      <c r="I7500" s="14" t="n"/>
      <c r="J7500" s="14" t="n"/>
      <c r="K7500" s="53" t="inlineStr">
        <is>
          <t>Нет</t>
        </is>
      </c>
      <c r="L7500" s="53" t="inlineStr">
        <is>
          <t>Не определено</t>
        </is>
      </c>
      <c r="M7500" s="53" t="inlineStr">
        <is>
          <t>До 25</t>
        </is>
      </c>
      <c r="N7500" s="54" t="n">
        <v>8400</v>
      </c>
      <c r="O7500" s="55" t="inlineStr">
        <is>
          <t>16–30</t>
        </is>
      </c>
      <c r="P7500" s="16" t="inlineStr">
        <is>
          <t>ССЧР обогащена; ОКВЭД не найден/не загружен</t>
        </is>
      </c>
      <c r="Q7500" s="16" t="inlineStr">
        <is>
          <t>ФНС открытые данные ССЧР (ДатаСост 31.12.2025; набор 7707329152-sshr2019)</t>
        </is>
      </c>
      <c r="R7500" s="16">
        <f>HYPERLINK("https://checko.ru/search?query=3801001629","Чекко: проверить")</f>
        <v/>
      </c>
      <c r="S7500" t="n">
        <v>1</v>
      </c>
      <c r="T7500" s="35" t="inlineStr">
        <is>
          <t>4 — Не обогащён</t>
        </is>
      </c>
      <c r="U7500" s="35" t="inlineStr">
        <is>
          <t>Нет ОКВЭД/ССЧР</t>
        </is>
      </c>
      <c r="V7500" s="35" t="inlineStr">
        <is>
          <t>Не определено</t>
        </is>
      </c>
      <c r="W7500" s="35" t="inlineStr">
        <is>
          <t>Нет</t>
        </is>
      </c>
      <c r="X7500" s="35" t="inlineStr"/>
    </row>
    <row r="7501" ht="15" customHeight="1" s="24">
      <c r="A7501" s="13" t="inlineStr">
        <is>
          <t>FR5</t>
        </is>
      </c>
      <c r="B7501" s="13" t="inlineStr">
        <is>
          <t>ИП Битаева Екатерина Станиславовна</t>
        </is>
      </c>
      <c r="C7501" s="13" t="n">
        <v>151310759299</v>
      </c>
      <c r="D7501" s="13" t="inlineStr">
        <is>
          <t>151310759299</t>
        </is>
      </c>
      <c r="E7501" s="13" t="inlineStr">
        <is>
          <t>ИП РФ / физлицо</t>
        </is>
      </c>
      <c r="F7501" s="13" t="n"/>
      <c r="G7501" s="14" t="n"/>
      <c r="H7501" s="14" t="n"/>
      <c r="I7501" s="14" t="n"/>
      <c r="J7501" s="14" t="n"/>
      <c r="K7501" s="53" t="inlineStr"/>
      <c r="L7501" s="53" t="inlineStr">
        <is>
          <t>Не определено</t>
        </is>
      </c>
      <c r="M7501" s="53" t="inlineStr"/>
      <c r="N7501" s="54" t="inlineStr"/>
      <c r="O7501" s="55" t="inlineStr"/>
      <c r="P7501" s="16" t="inlineStr">
        <is>
          <t>Требует обогащения</t>
        </is>
      </c>
      <c r="Q7501" s="16">
        <f>HYPERLINK("https://pb.nalog.ru/search.html?query=151310759299","ФНС: проверить")</f>
        <v/>
      </c>
      <c r="R7501" s="16">
        <f>HYPERLINK("https://checko.ru/search?query=3801001629","Чекко: проверить")</f>
        <v/>
      </c>
      <c r="S7501" t="n">
        <v>1</v>
      </c>
      <c r="T7501" s="35" t="inlineStr">
        <is>
          <t>4 — Не обогащён</t>
        </is>
      </c>
      <c r="U7501" s="35" t="inlineStr">
        <is>
          <t>Нет ОКВЭД/ССЧР</t>
        </is>
      </c>
      <c r="V7501" s="35" t="inlineStr">
        <is>
          <t>Не определено</t>
        </is>
      </c>
      <c r="W7501" s="35" t="inlineStr"/>
      <c r="X7501" s="35" t="inlineStr"/>
    </row>
    <row r="7502" ht="15" customHeight="1" s="24">
      <c r="A7502" s="13" t="inlineStr">
        <is>
          <t>FR31055</t>
        </is>
      </c>
      <c r="B7502" s="13" t="inlineStr">
        <is>
          <t>ИП Райковская Татьяна Михайловна</t>
        </is>
      </c>
      <c r="C7502" s="13" t="n">
        <v>246513389602</v>
      </c>
      <c r="D7502" s="13" t="inlineStr">
        <is>
          <t>246513389602</t>
        </is>
      </c>
      <c r="E7502" s="13" t="inlineStr">
        <is>
          <t>ИП РФ / физлицо</t>
        </is>
      </c>
      <c r="F7502" s="13" t="n"/>
      <c r="G7502" s="14" t="n"/>
      <c r="H7502" s="14" t="n"/>
      <c r="I7502" s="14" t="n"/>
      <c r="J7502" s="14" t="n"/>
      <c r="K7502" s="53" t="inlineStr"/>
      <c r="L7502" s="53" t="inlineStr">
        <is>
          <t>Не определено</t>
        </is>
      </c>
      <c r="M7502" s="53" t="inlineStr"/>
      <c r="N7502" s="54" t="inlineStr"/>
      <c r="O7502" s="55" t="inlineStr"/>
      <c r="P7502" s="16" t="inlineStr">
        <is>
          <t>Требует обогащения</t>
        </is>
      </c>
      <c r="Q7502" s="16">
        <f>HYPERLINK("https://pb.nalog.ru/search.html?query=246513389602","ФНС: проверить")</f>
        <v/>
      </c>
      <c r="R7502" s="16">
        <f>HYPERLINK("https://checko.ru/search?query=3801001629","Чекко: проверить")</f>
        <v/>
      </c>
      <c r="S7502" t="n">
        <v>1</v>
      </c>
      <c r="T7502" s="35" t="inlineStr">
        <is>
          <t>4 — Не обогащён</t>
        </is>
      </c>
      <c r="U7502" s="35" t="inlineStr">
        <is>
          <t>Нет ОКВЭД/ССЧР</t>
        </is>
      </c>
      <c r="V7502" s="35" t="inlineStr">
        <is>
          <t>Не определено</t>
        </is>
      </c>
      <c r="W7502" s="35" t="inlineStr"/>
      <c r="X7502" s="35" t="inlineStr"/>
    </row>
    <row r="7503" ht="15" customHeight="1" s="24">
      <c r="A7503" s="13" t="inlineStr">
        <is>
          <t>FR1024635</t>
        </is>
      </c>
      <c r="B7503" s="13" t="inlineStr">
        <is>
          <t>ЗАО "Ориент-Телеком"</t>
        </is>
      </c>
      <c r="C7503" s="13" t="n">
        <v>3808047630</v>
      </c>
      <c r="D7503" s="13" t="inlineStr">
        <is>
          <t>3808047630</t>
        </is>
      </c>
      <c r="E7503" s="13" t="inlineStr">
        <is>
          <t>ЮЛ РФ</t>
        </is>
      </c>
      <c r="F7503" s="13" t="n"/>
      <c r="G7503" s="52" t="n">
        <v>10</v>
      </c>
      <c r="H7503" s="52" t="n">
        <v>2025</v>
      </c>
      <c r="I7503" s="14" t="n"/>
      <c r="J7503" s="14" t="n"/>
      <c r="K7503" s="53" t="inlineStr">
        <is>
          <t>Нет</t>
        </is>
      </c>
      <c r="L7503" s="53" t="inlineStr">
        <is>
          <t>Не определено</t>
        </is>
      </c>
      <c r="M7503" s="53" t="inlineStr">
        <is>
          <t>До 10</t>
        </is>
      </c>
      <c r="N7503" s="54" t="n">
        <v>3360</v>
      </c>
      <c r="O7503" s="55" t="inlineStr">
        <is>
          <t>1–15</t>
        </is>
      </c>
      <c r="P7503" s="16" t="inlineStr">
        <is>
          <t>ССЧР обогащена; ОКВЭД не найден/не загружен</t>
        </is>
      </c>
      <c r="Q7503" s="16" t="inlineStr">
        <is>
          <t>ФНС открытые данные ССЧР (ДатаСост 31.12.2025; набор 7707329152-sshr2019)</t>
        </is>
      </c>
      <c r="R7503" s="16">
        <f>HYPERLINK("https://checko.ru/search?query=3801001629","Чекко: проверить")</f>
        <v/>
      </c>
      <c r="S7503" t="n">
        <v>1</v>
      </c>
      <c r="T7503" s="35" t="inlineStr">
        <is>
          <t>4 — Не обогащён</t>
        </is>
      </c>
      <c r="U7503" s="35" t="inlineStr">
        <is>
          <t>Нет ОКВЭД/ССЧР</t>
        </is>
      </c>
      <c r="V7503" s="35" t="inlineStr">
        <is>
          <t>Не определено</t>
        </is>
      </c>
      <c r="W7503" s="35" t="inlineStr">
        <is>
          <t>Нет</t>
        </is>
      </c>
      <c r="X7503" s="35" t="inlineStr"/>
    </row>
    <row r="7504" ht="15" customHeight="1" s="24">
      <c r="A7504" s="13" t="inlineStr">
        <is>
          <t>FR299382</t>
        </is>
      </c>
      <c r="B7504" s="13" t="inlineStr">
        <is>
          <t>ИП Галяутдинов Алексей Сагитович</t>
        </is>
      </c>
      <c r="C7504" s="13" t="n">
        <v>661206256845</v>
      </c>
      <c r="D7504" s="13" t="inlineStr">
        <is>
          <t>661206256845</t>
        </is>
      </c>
      <c r="E7504" s="13" t="inlineStr">
        <is>
          <t>ИП РФ / физлицо</t>
        </is>
      </c>
      <c r="F7504" s="13" t="n"/>
      <c r="G7504" s="14" t="n"/>
      <c r="H7504" s="14" t="n"/>
      <c r="I7504" s="14" t="n"/>
      <c r="J7504" s="14" t="n"/>
      <c r="K7504" s="53" t="inlineStr"/>
      <c r="L7504" s="53" t="inlineStr">
        <is>
          <t>Не определено</t>
        </is>
      </c>
      <c r="M7504" s="53" t="inlineStr"/>
      <c r="N7504" s="54" t="inlineStr"/>
      <c r="O7504" s="55" t="inlineStr"/>
      <c r="P7504" s="16" t="inlineStr">
        <is>
          <t>Требует обогащения</t>
        </is>
      </c>
      <c r="Q7504" s="16">
        <f>HYPERLINK("https://pb.nalog.ru/search.html?query=661206256845","ФНС: проверить")</f>
        <v/>
      </c>
      <c r="R7504" s="16">
        <f>HYPERLINK("https://checko.ru/search?query=3801001629","Чекко: проверить")</f>
        <v/>
      </c>
      <c r="S7504" t="n">
        <v>1</v>
      </c>
      <c r="T7504" s="35" t="inlineStr">
        <is>
          <t>4 — Не обогащён</t>
        </is>
      </c>
      <c r="U7504" s="35" t="inlineStr">
        <is>
          <t>Нет ОКВЭД/ССЧР</t>
        </is>
      </c>
      <c r="V7504" s="35" t="inlineStr">
        <is>
          <t>Не определено</t>
        </is>
      </c>
      <c r="W7504" s="35" t="inlineStr"/>
      <c r="X7504" s="35" t="inlineStr"/>
    </row>
    <row r="7505" ht="15" customHeight="1" s="24">
      <c r="A7505" s="13" t="inlineStr">
        <is>
          <t>FR184910</t>
        </is>
      </c>
      <c r="B7505" s="13" t="inlineStr">
        <is>
          <t>ПМР ГРУПП ООО</t>
        </is>
      </c>
      <c r="C7505" s="13" t="n">
        <v>7814746753</v>
      </c>
      <c r="D7505" s="13" t="inlineStr">
        <is>
          <t>7814746753</t>
        </is>
      </c>
      <c r="E7505" s="13" t="inlineStr">
        <is>
          <t>ЮЛ РФ</t>
        </is>
      </c>
      <c r="F7505" s="13" t="n"/>
      <c r="G7505" s="52" t="n">
        <v>10</v>
      </c>
      <c r="H7505" s="52" t="n">
        <v>2025</v>
      </c>
      <c r="I7505" s="14" t="n"/>
      <c r="J7505" s="14" t="n"/>
      <c r="K7505" s="53" t="inlineStr">
        <is>
          <t>Нет</t>
        </is>
      </c>
      <c r="L7505" s="53" t="inlineStr">
        <is>
          <t>Не определено</t>
        </is>
      </c>
      <c r="M7505" s="53" t="inlineStr">
        <is>
          <t>До 10</t>
        </is>
      </c>
      <c r="N7505" s="54" t="n">
        <v>3360</v>
      </c>
      <c r="O7505" s="55" t="inlineStr">
        <is>
          <t>1–15</t>
        </is>
      </c>
      <c r="P7505" s="16" t="inlineStr">
        <is>
          <t>ССЧР обогащена; ОКВЭД не найден/не загружен</t>
        </is>
      </c>
      <c r="Q7505" s="16" t="inlineStr">
        <is>
          <t>ФНС открытые данные ССЧР (ДатаСост 31.12.2025; набор 7707329152-sshr2019)</t>
        </is>
      </c>
      <c r="R7505" s="16">
        <f>HYPERLINK("https://checko.ru/search?query=3801001629","Чекко: проверить")</f>
        <v/>
      </c>
      <c r="S7505" t="n">
        <v>1</v>
      </c>
      <c r="T7505" s="35" t="inlineStr">
        <is>
          <t>4 — Не обогащён</t>
        </is>
      </c>
      <c r="U7505" s="35" t="inlineStr">
        <is>
          <t>Нет ОКВЭД/ССЧР</t>
        </is>
      </c>
      <c r="V7505" s="35" t="inlineStr">
        <is>
          <t>Не определено</t>
        </is>
      </c>
      <c r="W7505" s="35" t="inlineStr">
        <is>
          <t>Нет</t>
        </is>
      </c>
      <c r="X7505" s="35" t="inlineStr"/>
    </row>
    <row r="7506" ht="15" customHeight="1" s="24">
      <c r="A7506" s="13" t="inlineStr">
        <is>
          <t>FR448920</t>
        </is>
      </c>
      <c r="B7506" s="13" t="inlineStr">
        <is>
          <t>ООО «КОНСТАНТА-ГРУПП»</t>
        </is>
      </c>
      <c r="C7506" s="13" t="n">
        <v>6673157969</v>
      </c>
      <c r="D7506" s="13" t="inlineStr">
        <is>
          <t>6673157969</t>
        </is>
      </c>
      <c r="E7506" s="13" t="inlineStr">
        <is>
          <t>ЮЛ РФ</t>
        </is>
      </c>
      <c r="F7506" s="13" t="n"/>
      <c r="G7506" s="14" t="n"/>
      <c r="H7506" s="14" t="n"/>
      <c r="I7506" s="14" t="n"/>
      <c r="J7506" s="14" t="n"/>
      <c r="K7506" s="53" t="inlineStr"/>
      <c r="L7506" s="53" t="inlineStr">
        <is>
          <t>Не определено</t>
        </is>
      </c>
      <c r="M7506" s="53" t="inlineStr"/>
      <c r="N7506" s="54" t="inlineStr"/>
      <c r="O7506" s="55" t="inlineStr"/>
      <c r="P7506" s="16" t="inlineStr">
        <is>
          <t>Требует обогащения</t>
        </is>
      </c>
      <c r="Q7506" s="16">
        <f>HYPERLINK("https://pb.nalog.ru/search.html?query=6673157969","ФНС: проверить")</f>
        <v/>
      </c>
      <c r="R7506" s="16">
        <f>HYPERLINK("https://checko.ru/search?query=3801001629","Чекко: проверить")</f>
        <v/>
      </c>
      <c r="S7506" t="n">
        <v>1</v>
      </c>
      <c r="T7506" s="35" t="inlineStr">
        <is>
          <t>4 — Не обогащён</t>
        </is>
      </c>
      <c r="U7506" s="35" t="inlineStr">
        <is>
          <t>Нет ОКВЭД/ССЧР</t>
        </is>
      </c>
      <c r="V7506" s="35" t="inlineStr">
        <is>
          <t>Не определено</t>
        </is>
      </c>
      <c r="W7506" s="35" t="inlineStr"/>
      <c r="X7506" s="35" t="inlineStr"/>
    </row>
    <row r="7507" ht="15" customHeight="1" s="24">
      <c r="A7507" s="13" t="inlineStr">
        <is>
          <t>FR486548</t>
        </is>
      </c>
      <c r="B7507" s="13" t="inlineStr">
        <is>
          <t>ИП Мостакова Екатерина Николаевна</t>
        </is>
      </c>
      <c r="C7507" s="13" t="n">
        <v>502503989645</v>
      </c>
      <c r="D7507" s="13" t="inlineStr">
        <is>
          <t>502503989645</t>
        </is>
      </c>
      <c r="E7507" s="13" t="inlineStr">
        <is>
          <t>ИП РФ / физлицо</t>
        </is>
      </c>
      <c r="F7507" s="13" t="n"/>
      <c r="G7507" s="14" t="n"/>
      <c r="H7507" s="14" t="n"/>
      <c r="I7507" s="14" t="n"/>
      <c r="J7507" s="14" t="n"/>
      <c r="K7507" s="53" t="inlineStr"/>
      <c r="L7507" s="53" t="inlineStr">
        <is>
          <t>Не определено</t>
        </is>
      </c>
      <c r="M7507" s="53" t="inlineStr"/>
      <c r="N7507" s="54" t="inlineStr"/>
      <c r="O7507" s="55" t="inlineStr"/>
      <c r="P7507" s="16" t="inlineStr">
        <is>
          <t>Требует обогащения</t>
        </is>
      </c>
      <c r="Q7507" s="16">
        <f>HYPERLINK("https://pb.nalog.ru/search.html?query=502503989645","ФНС: проверить")</f>
        <v/>
      </c>
      <c r="R7507" s="16">
        <f>HYPERLINK("https://checko.ru/search?query=3801001629","Чекко: проверить")</f>
        <v/>
      </c>
      <c r="S7507" t="n">
        <v>1</v>
      </c>
      <c r="T7507" s="35" t="inlineStr">
        <is>
          <t>4 — Не обогащён</t>
        </is>
      </c>
      <c r="U7507" s="35" t="inlineStr">
        <is>
          <t>Нет ОКВЭД/ССЧР</t>
        </is>
      </c>
      <c r="V7507" s="35" t="inlineStr">
        <is>
          <t>Не определено</t>
        </is>
      </c>
      <c r="W7507" s="35" t="inlineStr"/>
      <c r="X7507" s="35" t="inlineStr"/>
    </row>
    <row r="7508" ht="15" customHeight="1" s="24">
      <c r="A7508" s="13" t="inlineStr">
        <is>
          <t>FR57568</t>
        </is>
      </c>
      <c r="B7508" s="13" t="inlineStr">
        <is>
          <t>ЭСТРА ООО НПП</t>
        </is>
      </c>
      <c r="C7508" s="13" t="n">
        <v>5404479684</v>
      </c>
      <c r="D7508" s="13" t="inlineStr">
        <is>
          <t>5404479684</t>
        </is>
      </c>
      <c r="E7508" s="13" t="inlineStr">
        <is>
          <t>ЮЛ РФ</t>
        </is>
      </c>
      <c r="F7508" s="13" t="n"/>
      <c r="G7508" s="52" t="n">
        <v>22</v>
      </c>
      <c r="H7508" s="52" t="n">
        <v>2025</v>
      </c>
      <c r="I7508" s="52" t="inlineStr">
        <is>
          <t>27.12</t>
        </is>
      </c>
      <c r="J7508" s="52" t="inlineStr">
        <is>
          <t>27.12</t>
        </is>
      </c>
      <c r="K7508" s="53" t="inlineStr">
        <is>
          <t>Да</t>
        </is>
      </c>
      <c r="L7508" s="53" t="inlineStr">
        <is>
          <t>Да</t>
        </is>
      </c>
      <c r="M7508" s="53" t="inlineStr">
        <is>
          <t>До 25</t>
        </is>
      </c>
      <c r="N7508" s="54" t="n">
        <v>8400</v>
      </c>
      <c r="O7508" s="55" t="inlineStr">
        <is>
          <t>16–30</t>
        </is>
      </c>
      <c r="P7508" s="16" t="inlineStr">
        <is>
          <t>ССЧР + ОКВЭД обогащены</t>
        </is>
      </c>
      <c r="Q7508" s="16" t="inlineStr">
        <is>
          <t>ФНС открытые данные ССЧР (ДатаСост 31.12.2025; набор 7707329152-sshr2019)</t>
        </is>
      </c>
      <c r="R7508" s="16" t="inlineStr">
        <is>
          <t>ЕГРЮЛ / egrul.nalog.ru (выписка)</t>
        </is>
      </c>
      <c r="S7508" t="n">
        <v>1</v>
      </c>
      <c r="T7508" s="35" t="inlineStr">
        <is>
          <t>1 — Горячий</t>
        </is>
      </c>
      <c r="U7508" s="35" t="inlineStr">
        <is>
          <t>ОКВЭД + 22+</t>
        </is>
      </c>
      <c r="V7508" s="35" t="inlineStr">
        <is>
          <t>Да</t>
        </is>
      </c>
      <c r="W7508" s="35" t="inlineStr">
        <is>
          <t>Да</t>
        </is>
      </c>
      <c r="X7508" s="35" t="inlineStr">
        <is>
          <t>Да</t>
        </is>
      </c>
    </row>
    <row r="7509" ht="27.75" customHeight="1" s="24">
      <c r="A7509" s="13" t="inlineStr">
        <is>
          <t>FR421286</t>
        </is>
      </c>
      <c r="B7509" s="13" t="inlineStr">
        <is>
          <t>ОБЩЕСТВО С ОГРАНИЧЕННОЙ ОТВЕТСТВЕННОСТЬЮ "БИН ДЕВЕЛОП"</t>
        </is>
      </c>
      <c r="C7509" s="13" t="n">
        <v>7805772490</v>
      </c>
      <c r="D7509" s="13" t="inlineStr">
        <is>
          <t>7805772490</t>
        </is>
      </c>
      <c r="E7509" s="13" t="inlineStr">
        <is>
          <t>ЮЛ РФ</t>
        </is>
      </c>
      <c r="F7509" s="13" t="n"/>
      <c r="G7509" s="52" t="n">
        <v>3</v>
      </c>
      <c r="H7509" s="52" t="n">
        <v>2025</v>
      </c>
      <c r="I7509" s="14" t="n"/>
      <c r="J7509" s="14" t="n"/>
      <c r="K7509" s="53" t="inlineStr">
        <is>
          <t>Нет</t>
        </is>
      </c>
      <c r="L7509" s="53" t="inlineStr">
        <is>
          <t>Не определено</t>
        </is>
      </c>
      <c r="M7509" s="53" t="inlineStr">
        <is>
          <t>До 10</t>
        </is>
      </c>
      <c r="N7509" s="54" t="n">
        <v>3360</v>
      </c>
      <c r="O7509" s="55" t="inlineStr">
        <is>
          <t>1–15</t>
        </is>
      </c>
      <c r="P7509" s="16" t="inlineStr">
        <is>
          <t>ССЧР обогащена; ОКВЭД не найден/не загружен</t>
        </is>
      </c>
      <c r="Q7509" s="16" t="inlineStr">
        <is>
          <t>ФНС открытые данные ССЧР (ДатаСост 31.12.2025; набор 7707329152-sshr2019)</t>
        </is>
      </c>
      <c r="R7509" s="16">
        <f>HYPERLINK("https://checko.ru/search?query=3801001629","Чекко: проверить")</f>
        <v/>
      </c>
      <c r="S7509" t="n">
        <v>1</v>
      </c>
      <c r="T7509" s="35" t="inlineStr">
        <is>
          <t>4 — Не обогащён</t>
        </is>
      </c>
      <c r="U7509" s="35" t="inlineStr">
        <is>
          <t>Нет ОКВЭД/ССЧР</t>
        </is>
      </c>
      <c r="V7509" s="35" t="inlineStr">
        <is>
          <t>Не определено</t>
        </is>
      </c>
      <c r="W7509" s="35" t="inlineStr">
        <is>
          <t>Нет</t>
        </is>
      </c>
      <c r="X7509" s="35" t="inlineStr"/>
    </row>
    <row r="7510" ht="15" customHeight="1" s="24">
      <c r="A7510" s="13" t="inlineStr">
        <is>
          <t>FR1251113</t>
        </is>
      </c>
      <c r="B7510" s="13" t="inlineStr">
        <is>
          <t>ЗАО "ТРВ-Авиа"</t>
        </is>
      </c>
      <c r="C7510" s="13" t="n">
        <v>7709921043</v>
      </c>
      <c r="D7510" s="13" t="inlineStr">
        <is>
          <t>7709921043</t>
        </is>
      </c>
      <c r="E7510" s="13" t="inlineStr">
        <is>
          <t>ЮЛ РФ</t>
        </is>
      </c>
      <c r="F7510" s="13" t="n"/>
      <c r="G7510" s="52" t="n">
        <v>1</v>
      </c>
      <c r="H7510" s="52" t="n">
        <v>2025</v>
      </c>
      <c r="I7510" s="14" t="n"/>
      <c r="J7510" s="14" t="n"/>
      <c r="K7510" s="53" t="inlineStr">
        <is>
          <t>Нет</t>
        </is>
      </c>
      <c r="L7510" s="53" t="inlineStr">
        <is>
          <t>Не определено</t>
        </is>
      </c>
      <c r="M7510" s="53" t="inlineStr">
        <is>
          <t>До 10</t>
        </is>
      </c>
      <c r="N7510" s="54" t="n">
        <v>3360</v>
      </c>
      <c r="O7510" s="55" t="inlineStr">
        <is>
          <t>1–15</t>
        </is>
      </c>
      <c r="P7510" s="16" t="inlineStr">
        <is>
          <t>ССЧР обогащена; ОКВЭД не найден/не загружен</t>
        </is>
      </c>
      <c r="Q7510" s="16" t="inlineStr">
        <is>
          <t>ФНС открытые данные ССЧР (ДатаСост 31.12.2025; набор 7707329152-sshr2019)</t>
        </is>
      </c>
      <c r="R7510" s="16">
        <f>HYPERLINK("https://checko.ru/search?query=3801001629","Чекко: проверить")</f>
        <v/>
      </c>
      <c r="S7510" t="n">
        <v>1</v>
      </c>
      <c r="T7510" s="35" t="inlineStr">
        <is>
          <t>4 — Не обогащён</t>
        </is>
      </c>
      <c r="U7510" s="35" t="inlineStr">
        <is>
          <t>Нет ОКВЭД/ССЧР</t>
        </is>
      </c>
      <c r="V7510" s="35" t="inlineStr">
        <is>
          <t>Не определено</t>
        </is>
      </c>
      <c r="W7510" s="35" t="inlineStr">
        <is>
          <t>Нет</t>
        </is>
      </c>
      <c r="X7510" s="35" t="inlineStr"/>
    </row>
    <row r="7511" ht="15" customHeight="1" s="24">
      <c r="A7511" s="13" t="inlineStr">
        <is>
          <t>FR710440</t>
        </is>
      </c>
      <c r="B7511" s="13" t="inlineStr">
        <is>
          <t>ИП Маилян Ирина Юрьевна</t>
        </is>
      </c>
      <c r="C7511" s="13" t="n">
        <v>380891359794</v>
      </c>
      <c r="D7511" s="13" t="inlineStr">
        <is>
          <t>380891359794</t>
        </is>
      </c>
      <c r="E7511" s="13" t="inlineStr">
        <is>
          <t>ИП РФ / физлицо</t>
        </is>
      </c>
      <c r="F7511" s="13" t="n"/>
      <c r="G7511" s="14" t="n"/>
      <c r="H7511" s="14" t="n"/>
      <c r="I7511" s="14" t="n"/>
      <c r="J7511" s="14" t="n"/>
      <c r="K7511" s="53" t="inlineStr"/>
      <c r="L7511" s="53" t="inlineStr">
        <is>
          <t>Не определено</t>
        </is>
      </c>
      <c r="M7511" s="53" t="inlineStr"/>
      <c r="N7511" s="54" t="inlineStr"/>
      <c r="O7511" s="55" t="inlineStr"/>
      <c r="P7511" s="16" t="inlineStr">
        <is>
          <t>Требует обогащения</t>
        </is>
      </c>
      <c r="Q7511" s="16">
        <f>HYPERLINK("https://pb.nalog.ru/search.html?query=380891359794","ФНС: проверить")</f>
        <v/>
      </c>
      <c r="R7511" s="16">
        <f>HYPERLINK("https://checko.ru/search?query=3801001629","Чекко: проверить")</f>
        <v/>
      </c>
      <c r="S7511" t="n">
        <v>1</v>
      </c>
      <c r="T7511" s="35" t="inlineStr">
        <is>
          <t>4 — Не обогащён</t>
        </is>
      </c>
      <c r="U7511" s="35" t="inlineStr">
        <is>
          <t>Нет ОКВЭД/ССЧР</t>
        </is>
      </c>
      <c r="V7511" s="35" t="inlineStr">
        <is>
          <t>Не определено</t>
        </is>
      </c>
      <c r="W7511" s="35" t="inlineStr"/>
      <c r="X7511" s="35" t="inlineStr"/>
    </row>
    <row r="7512" ht="15" customHeight="1" s="24">
      <c r="A7512" s="13" t="inlineStr">
        <is>
          <t>FR109741</t>
        </is>
      </c>
      <c r="B7512" s="13" t="inlineStr">
        <is>
          <t>ООО "МОНТАЖНИК"</t>
        </is>
      </c>
      <c r="C7512" s="13" t="n">
        <v>4025439012</v>
      </c>
      <c r="D7512" s="13" t="inlineStr">
        <is>
          <t>4025439012</t>
        </is>
      </c>
      <c r="E7512" s="13" t="inlineStr">
        <is>
          <t>ЮЛ РФ</t>
        </is>
      </c>
      <c r="F7512" s="13" t="n"/>
      <c r="G7512" s="52" t="n">
        <v>3</v>
      </c>
      <c r="H7512" s="52" t="n">
        <v>2025</v>
      </c>
      <c r="I7512" s="14" t="n"/>
      <c r="J7512" s="14" t="n"/>
      <c r="K7512" s="53" t="inlineStr">
        <is>
          <t>Нет</t>
        </is>
      </c>
      <c r="L7512" s="53" t="inlineStr">
        <is>
          <t>Не определено</t>
        </is>
      </c>
      <c r="M7512" s="53" t="inlineStr">
        <is>
          <t>До 10</t>
        </is>
      </c>
      <c r="N7512" s="54" t="n">
        <v>3360</v>
      </c>
      <c r="O7512" s="55" t="inlineStr">
        <is>
          <t>1–15</t>
        </is>
      </c>
      <c r="P7512" s="16" t="inlineStr">
        <is>
          <t>ССЧР обогащена; ОКВЭД не найден/не загружен</t>
        </is>
      </c>
      <c r="Q7512" s="16" t="inlineStr">
        <is>
          <t>ФНС открытые данные ССЧР (ДатаСост 31.12.2025; набор 7707329152-sshr2019)</t>
        </is>
      </c>
      <c r="R7512" s="16">
        <f>HYPERLINK("https://checko.ru/search?query=3801001629","Чекко: проверить")</f>
        <v/>
      </c>
      <c r="S7512" t="n">
        <v>1</v>
      </c>
      <c r="T7512" s="35" t="inlineStr">
        <is>
          <t>4 — Не обогащён</t>
        </is>
      </c>
      <c r="U7512" s="35" t="inlineStr">
        <is>
          <t>Нет ОКВЭД/ССЧР</t>
        </is>
      </c>
      <c r="V7512" s="35" t="inlineStr">
        <is>
          <t>Не определено</t>
        </is>
      </c>
      <c r="W7512" s="35" t="inlineStr">
        <is>
          <t>Нет</t>
        </is>
      </c>
      <c r="X7512" s="35" t="inlineStr"/>
    </row>
    <row r="7513" ht="15" customHeight="1" s="24">
      <c r="A7513" s="13" t="inlineStr">
        <is>
          <t>FR120289</t>
        </is>
      </c>
      <c r="B7513" s="13" t="inlineStr">
        <is>
          <t>БМТ-ИНТЕР, ООО</t>
        </is>
      </c>
      <c r="C7513" s="13" t="n">
        <v>7728450368</v>
      </c>
      <c r="D7513" s="13" t="inlineStr">
        <is>
          <t>7728450368</t>
        </is>
      </c>
      <c r="E7513" s="13" t="inlineStr">
        <is>
          <t>ЮЛ РФ</t>
        </is>
      </c>
      <c r="F7513" s="13" t="n"/>
      <c r="G7513" s="52" t="n">
        <v>3</v>
      </c>
      <c r="H7513" s="52" t="n">
        <v>2025</v>
      </c>
      <c r="I7513" s="14" t="n"/>
      <c r="J7513" s="14" t="n"/>
      <c r="K7513" s="53" t="inlineStr">
        <is>
          <t>Нет</t>
        </is>
      </c>
      <c r="L7513" s="53" t="inlineStr">
        <is>
          <t>Не определено</t>
        </is>
      </c>
      <c r="M7513" s="53" t="inlineStr">
        <is>
          <t>До 10</t>
        </is>
      </c>
      <c r="N7513" s="54" t="n">
        <v>3360</v>
      </c>
      <c r="O7513" s="55" t="inlineStr">
        <is>
          <t>1–15</t>
        </is>
      </c>
      <c r="P7513" s="16" t="inlineStr">
        <is>
          <t>ССЧР обогащена; ОКВЭД не найден/не загружен</t>
        </is>
      </c>
      <c r="Q7513" s="16" t="inlineStr">
        <is>
          <t>ФНС открытые данные ССЧР (ДатаСост 31.12.2025; набор 7707329152-sshr2019)</t>
        </is>
      </c>
      <c r="R7513" s="16">
        <f>HYPERLINK("https://checko.ru/search?query=3801001629","Чекко: проверить")</f>
        <v/>
      </c>
      <c r="S7513" t="n">
        <v>1</v>
      </c>
      <c r="T7513" s="35" t="inlineStr">
        <is>
          <t>4 — Не обогащён</t>
        </is>
      </c>
      <c r="U7513" s="35" t="inlineStr">
        <is>
          <t>Нет ОКВЭД/ССЧР</t>
        </is>
      </c>
      <c r="V7513" s="35" t="inlineStr">
        <is>
          <t>Не определено</t>
        </is>
      </c>
      <c r="W7513" s="35" t="inlineStr">
        <is>
          <t>Нет</t>
        </is>
      </c>
      <c r="X7513" s="35" t="inlineStr"/>
    </row>
    <row r="7514" ht="15" customHeight="1" s="24">
      <c r="A7514" s="13" t="inlineStr">
        <is>
          <t>FR115167</t>
        </is>
      </c>
      <c r="B7514" s="13" t="inlineStr">
        <is>
          <t>ИП Грибов Сергей Владимирович</t>
        </is>
      </c>
      <c r="C7514" s="13" t="n">
        <v>381256813736</v>
      </c>
      <c r="D7514" s="13" t="inlineStr">
        <is>
          <t>381256813736</t>
        </is>
      </c>
      <c r="E7514" s="13" t="inlineStr">
        <is>
          <t>ИП РФ / физлицо</t>
        </is>
      </c>
      <c r="F7514" s="13" t="n"/>
      <c r="G7514" s="14" t="n"/>
      <c r="H7514" s="14" t="n"/>
      <c r="I7514" s="14" t="n"/>
      <c r="J7514" s="14" t="n"/>
      <c r="K7514" s="53" t="inlineStr"/>
      <c r="L7514" s="53" t="inlineStr">
        <is>
          <t>Не определено</t>
        </is>
      </c>
      <c r="M7514" s="53" t="inlineStr"/>
      <c r="N7514" s="54" t="inlineStr"/>
      <c r="O7514" s="55" t="inlineStr"/>
      <c r="P7514" s="16" t="inlineStr">
        <is>
          <t>Требует обогащения</t>
        </is>
      </c>
      <c r="Q7514" s="16">
        <f>HYPERLINK("https://pb.nalog.ru/search.html?query=381256813736","ФНС: проверить")</f>
        <v/>
      </c>
      <c r="R7514" s="16">
        <f>HYPERLINK("https://checko.ru/search?query=3801001629","Чекко: проверить")</f>
        <v/>
      </c>
      <c r="S7514" t="n">
        <v>1</v>
      </c>
      <c r="T7514" s="35" t="inlineStr">
        <is>
          <t>4 — Не обогащён</t>
        </is>
      </c>
      <c r="U7514" s="35" t="inlineStr">
        <is>
          <t>Нет ОКВЭД/ССЧР</t>
        </is>
      </c>
      <c r="V7514" s="35" t="inlineStr">
        <is>
          <t>Не определено</t>
        </is>
      </c>
      <c r="W7514" s="35" t="inlineStr"/>
      <c r="X7514" s="35" t="inlineStr"/>
    </row>
    <row r="7515" ht="15" customHeight="1" s="24">
      <c r="A7515" s="13" t="inlineStr">
        <is>
          <t>FR1160694</t>
        </is>
      </c>
      <c r="B7515" s="13" t="inlineStr">
        <is>
          <t>ИП Дмитриева Виктория Викторовна</t>
        </is>
      </c>
      <c r="C7515" s="13" t="n">
        <v>381110794195</v>
      </c>
      <c r="D7515" s="13" t="inlineStr">
        <is>
          <t>381110794195</t>
        </is>
      </c>
      <c r="E7515" s="13" t="inlineStr">
        <is>
          <t>ИП РФ / физлицо</t>
        </is>
      </c>
      <c r="F7515" s="13" t="n"/>
      <c r="G7515" s="14" t="n"/>
      <c r="H7515" s="14" t="n"/>
      <c r="I7515" s="14" t="n"/>
      <c r="J7515" s="14" t="n"/>
      <c r="K7515" s="53" t="inlineStr"/>
      <c r="L7515" s="53" t="inlineStr">
        <is>
          <t>Не определено</t>
        </is>
      </c>
      <c r="M7515" s="53" t="inlineStr"/>
      <c r="N7515" s="54" t="inlineStr"/>
      <c r="O7515" s="55" t="inlineStr"/>
      <c r="P7515" s="16" t="inlineStr">
        <is>
          <t>Требует обогащения</t>
        </is>
      </c>
      <c r="Q7515" s="16">
        <f>HYPERLINK("https://pb.nalog.ru/search.html?query=381110794195","ФНС: проверить")</f>
        <v/>
      </c>
      <c r="R7515" s="16">
        <f>HYPERLINK("https://checko.ru/search?query=3801001629","Чекко: проверить")</f>
        <v/>
      </c>
      <c r="S7515" t="n">
        <v>1</v>
      </c>
      <c r="T7515" s="35" t="inlineStr">
        <is>
          <t>4 — Не обогащён</t>
        </is>
      </c>
      <c r="U7515" s="35" t="inlineStr">
        <is>
          <t>Нет ОКВЭД/ССЧР</t>
        </is>
      </c>
      <c r="V7515" s="35" t="inlineStr">
        <is>
          <t>Не определено</t>
        </is>
      </c>
      <c r="W7515" s="35" t="inlineStr"/>
      <c r="X7515" s="35" t="inlineStr"/>
    </row>
    <row r="7516" ht="27.75" customHeight="1" s="24">
      <c r="A7516" s="13" t="inlineStr">
        <is>
          <t>FR50552</t>
        </is>
      </c>
      <c r="B7516" s="13" t="inlineStr">
        <is>
          <t>Общество с ограниченной ответственностью "СТИЛЬ ПЛЮС"</t>
        </is>
      </c>
      <c r="C7516" s="13" t="n">
        <v>5503076492</v>
      </c>
      <c r="D7516" s="13" t="inlineStr">
        <is>
          <t>5503076492</t>
        </is>
      </c>
      <c r="E7516" s="13" t="inlineStr">
        <is>
          <t>ЮЛ РФ</t>
        </is>
      </c>
      <c r="F7516" s="13" t="n"/>
      <c r="G7516" s="52" t="n">
        <v>3</v>
      </c>
      <c r="H7516" s="52" t="n">
        <v>2025</v>
      </c>
      <c r="I7516" s="14" t="n"/>
      <c r="J7516" s="14" t="n"/>
      <c r="K7516" s="53" t="inlineStr">
        <is>
          <t>Нет</t>
        </is>
      </c>
      <c r="L7516" s="53" t="inlineStr">
        <is>
          <t>Не определено</t>
        </is>
      </c>
      <c r="M7516" s="53" t="inlineStr">
        <is>
          <t>До 10</t>
        </is>
      </c>
      <c r="N7516" s="54" t="n">
        <v>3360</v>
      </c>
      <c r="O7516" s="55" t="inlineStr">
        <is>
          <t>1–15</t>
        </is>
      </c>
      <c r="P7516" s="16" t="inlineStr">
        <is>
          <t>ССЧР обогащена; ОКВЭД не найден/не загружен</t>
        </is>
      </c>
      <c r="Q7516" s="16" t="inlineStr">
        <is>
          <t>ФНС открытые данные ССЧР (ДатаСост 31.12.2025; набор 7707329152-sshr2019)</t>
        </is>
      </c>
      <c r="R7516" s="16">
        <f>HYPERLINK("https://checko.ru/search?query=3801001629","Чекко: проверить")</f>
        <v/>
      </c>
      <c r="S7516" t="n">
        <v>1</v>
      </c>
      <c r="T7516" s="35" t="inlineStr">
        <is>
          <t>4 — Не обогащён</t>
        </is>
      </c>
      <c r="U7516" s="35" t="inlineStr">
        <is>
          <t>Нет ОКВЭД/ССЧР</t>
        </is>
      </c>
      <c r="V7516" s="35" t="inlineStr">
        <is>
          <t>Не определено</t>
        </is>
      </c>
      <c r="W7516" s="35" t="inlineStr">
        <is>
          <t>Нет</t>
        </is>
      </c>
      <c r="X7516" s="35" t="inlineStr"/>
    </row>
    <row r="7517" ht="27.75" customHeight="1" s="24">
      <c r="A7517" s="13" t="inlineStr">
        <is>
          <t>FR707894</t>
        </is>
      </c>
      <c r="B7517" s="13" t="inlineStr">
        <is>
          <t>Общество с ограниченной ответственностью "СПЕЦСНАБ"</t>
        </is>
      </c>
      <c r="C7517" s="13" t="n">
        <v>3808215549</v>
      </c>
      <c r="D7517" s="13" t="inlineStr">
        <is>
          <t>3808215549</t>
        </is>
      </c>
      <c r="E7517" s="13" t="inlineStr">
        <is>
          <t>ЮЛ РФ</t>
        </is>
      </c>
      <c r="F7517" s="13" t="n"/>
      <c r="G7517" s="52" t="n">
        <v>9</v>
      </c>
      <c r="H7517" s="52" t="n">
        <v>2025</v>
      </c>
      <c r="I7517" s="14" t="n"/>
      <c r="J7517" s="14" t="n"/>
      <c r="K7517" s="53" t="inlineStr">
        <is>
          <t>Нет</t>
        </is>
      </c>
      <c r="L7517" s="53" t="inlineStr">
        <is>
          <t>Не определено</t>
        </is>
      </c>
      <c r="M7517" s="53" t="inlineStr">
        <is>
          <t>До 10</t>
        </is>
      </c>
      <c r="N7517" s="54" t="n">
        <v>3360</v>
      </c>
      <c r="O7517" s="55" t="inlineStr">
        <is>
          <t>1–15</t>
        </is>
      </c>
      <c r="P7517" s="16" t="inlineStr">
        <is>
          <t>ССЧР обогащена; ОКВЭД не найден/не загружен</t>
        </is>
      </c>
      <c r="Q7517" s="16" t="inlineStr">
        <is>
          <t>ФНС открытые данные ССЧР (ДатаСост 31.12.2025; набор 7707329152-sshr2019)</t>
        </is>
      </c>
      <c r="R7517" s="16">
        <f>HYPERLINK("https://checko.ru/search?query=3801001629","Чекко: проверить")</f>
        <v/>
      </c>
      <c r="S7517" t="n">
        <v>1</v>
      </c>
      <c r="T7517" s="35" t="inlineStr">
        <is>
          <t>4 — Не обогащён</t>
        </is>
      </c>
      <c r="U7517" s="35" t="inlineStr">
        <is>
          <t>Нет ОКВЭД/ССЧР</t>
        </is>
      </c>
      <c r="V7517" s="35" t="inlineStr">
        <is>
          <t>Не определено</t>
        </is>
      </c>
      <c r="W7517" s="35" t="inlineStr">
        <is>
          <t>Нет</t>
        </is>
      </c>
      <c r="X7517" s="35" t="inlineStr"/>
    </row>
    <row r="7518" ht="15" customHeight="1" s="24">
      <c r="A7518" s="13" t="inlineStr">
        <is>
          <t>FR146410</t>
        </is>
      </c>
      <c r="B7518" s="13" t="inlineStr">
        <is>
          <t>АКВАСТРОЙ ООО</t>
        </is>
      </c>
      <c r="C7518" s="13" t="n">
        <v>2502046362</v>
      </c>
      <c r="D7518" s="13" t="inlineStr">
        <is>
          <t>2502046362</t>
        </is>
      </c>
      <c r="E7518" s="13" t="inlineStr">
        <is>
          <t>ЮЛ РФ</t>
        </is>
      </c>
      <c r="F7518" s="13" t="n"/>
      <c r="G7518" s="52" t="n">
        <v>8</v>
      </c>
      <c r="H7518" s="52" t="n">
        <v>2025</v>
      </c>
      <c r="I7518" s="14" t="n"/>
      <c r="J7518" s="14" t="n"/>
      <c r="K7518" s="53" t="inlineStr">
        <is>
          <t>Нет</t>
        </is>
      </c>
      <c r="L7518" s="53" t="inlineStr">
        <is>
          <t>Не определено</t>
        </is>
      </c>
      <c r="M7518" s="53" t="inlineStr">
        <is>
          <t>До 10</t>
        </is>
      </c>
      <c r="N7518" s="54" t="n">
        <v>3360</v>
      </c>
      <c r="O7518" s="55" t="inlineStr">
        <is>
          <t>1–15</t>
        </is>
      </c>
      <c r="P7518" s="16" t="inlineStr">
        <is>
          <t>ССЧР обогащена; ОКВЭД не найден/не загружен</t>
        </is>
      </c>
      <c r="Q7518" s="16" t="inlineStr">
        <is>
          <t>ФНС открытые данные ССЧР (ДатаСост 31.12.2025; набор 7707329152-sshr2019)</t>
        </is>
      </c>
      <c r="R7518" s="16">
        <f>HYPERLINK("https://checko.ru/search?query=3801001629","Чекко: проверить")</f>
        <v/>
      </c>
      <c r="S7518" t="n">
        <v>1</v>
      </c>
      <c r="T7518" s="35" t="inlineStr">
        <is>
          <t>4 — Не обогащён</t>
        </is>
      </c>
      <c r="U7518" s="35" t="inlineStr">
        <is>
          <t>Нет ОКВЭД/ССЧР</t>
        </is>
      </c>
      <c r="V7518" s="35" t="inlineStr">
        <is>
          <t>Не определено</t>
        </is>
      </c>
      <c r="W7518" s="35" t="inlineStr">
        <is>
          <t>Нет</t>
        </is>
      </c>
      <c r="X7518" s="35" t="inlineStr"/>
    </row>
    <row r="7519" ht="15" customHeight="1" s="24">
      <c r="A7519" s="13" t="inlineStr">
        <is>
          <t>FR1070520</t>
        </is>
      </c>
      <c r="B7519" s="13" t="inlineStr">
        <is>
          <t>ИП Рустамов Уктамали Рустамович</t>
        </is>
      </c>
      <c r="C7519" s="13" t="n">
        <v>384904065865</v>
      </c>
      <c r="D7519" s="13" t="inlineStr">
        <is>
          <t>384904065865</t>
        </is>
      </c>
      <c r="E7519" s="13" t="inlineStr">
        <is>
          <t>ИП РФ / физлицо</t>
        </is>
      </c>
      <c r="F7519" s="13" t="n"/>
      <c r="G7519" s="14" t="n"/>
      <c r="H7519" s="14" t="n"/>
      <c r="I7519" s="14" t="n"/>
      <c r="J7519" s="14" t="n"/>
      <c r="K7519" s="53" t="inlineStr"/>
      <c r="L7519" s="53" t="inlineStr">
        <is>
          <t>Не определено</t>
        </is>
      </c>
      <c r="M7519" s="53" t="inlineStr"/>
      <c r="N7519" s="54" t="inlineStr"/>
      <c r="O7519" s="55" t="inlineStr"/>
      <c r="P7519" s="16" t="inlineStr">
        <is>
          <t>Требует обогащения</t>
        </is>
      </c>
      <c r="Q7519" s="16">
        <f>HYPERLINK("https://pb.nalog.ru/search.html?query=384904065865","ФНС: проверить")</f>
        <v/>
      </c>
      <c r="R7519" s="16">
        <f>HYPERLINK("https://checko.ru/search?query=3801001629","Чекко: проверить")</f>
        <v/>
      </c>
      <c r="S7519" t="n">
        <v>1</v>
      </c>
      <c r="T7519" s="35" t="inlineStr">
        <is>
          <t>4 — Не обогащён</t>
        </is>
      </c>
      <c r="U7519" s="35" t="inlineStr">
        <is>
          <t>Нет ОКВЭД/ССЧР</t>
        </is>
      </c>
      <c r="V7519" s="35" t="inlineStr">
        <is>
          <t>Не определено</t>
        </is>
      </c>
      <c r="W7519" s="35" t="inlineStr"/>
      <c r="X7519" s="35" t="inlineStr"/>
    </row>
    <row r="7520" ht="15" customHeight="1" s="24">
      <c r="A7520" s="13" t="inlineStr">
        <is>
          <t>FR1254674</t>
        </is>
      </c>
      <c r="B7520" s="13" t="inlineStr">
        <is>
          <t>ИП Кравченко Виталий Евгеньевич</t>
        </is>
      </c>
      <c r="C7520" s="13" t="n">
        <v>381452321681</v>
      </c>
      <c r="D7520" s="13" t="inlineStr">
        <is>
          <t>381452321681</t>
        </is>
      </c>
      <c r="E7520" s="13" t="inlineStr">
        <is>
          <t>ИП РФ / физлицо</t>
        </is>
      </c>
      <c r="F7520" s="13" t="n"/>
      <c r="G7520" s="14" t="n"/>
      <c r="H7520" s="14" t="n"/>
      <c r="I7520" s="14" t="n"/>
      <c r="J7520" s="14" t="n"/>
      <c r="K7520" s="53" t="inlineStr"/>
      <c r="L7520" s="53" t="inlineStr">
        <is>
          <t>Не определено</t>
        </is>
      </c>
      <c r="M7520" s="53" t="inlineStr"/>
      <c r="N7520" s="54" t="inlineStr"/>
      <c r="O7520" s="55" t="inlineStr"/>
      <c r="P7520" s="16" t="inlineStr">
        <is>
          <t>Требует обогащения</t>
        </is>
      </c>
      <c r="Q7520" s="16">
        <f>HYPERLINK("https://pb.nalog.ru/search.html?query=381452321681","ФНС: проверить")</f>
        <v/>
      </c>
      <c r="R7520" s="16">
        <f>HYPERLINK("https://checko.ru/search?query=3801001629","Чекко: проверить")</f>
        <v/>
      </c>
      <c r="S7520" t="n">
        <v>1</v>
      </c>
      <c r="T7520" s="35" t="inlineStr">
        <is>
          <t>4 — Не обогащён</t>
        </is>
      </c>
      <c r="U7520" s="35" t="inlineStr">
        <is>
          <t>Нет ОКВЭД/ССЧР</t>
        </is>
      </c>
      <c r="V7520" s="35" t="inlineStr">
        <is>
          <t>Не определено</t>
        </is>
      </c>
      <c r="W7520" s="35" t="inlineStr"/>
      <c r="X7520" s="35" t="inlineStr"/>
    </row>
    <row r="7521" ht="15" customHeight="1" s="24">
      <c r="A7521" s="13" t="inlineStr">
        <is>
          <t>FR449660</t>
        </is>
      </c>
      <c r="B7521" s="13" t="inlineStr">
        <is>
          <t>ИП Николаева Анна Александровна</t>
        </is>
      </c>
      <c r="C7521" s="13" t="n">
        <v>381108860965</v>
      </c>
      <c r="D7521" s="13" t="inlineStr">
        <is>
          <t>381108860965</t>
        </is>
      </c>
      <c r="E7521" s="13" t="inlineStr">
        <is>
          <t>ИП РФ / физлицо</t>
        </is>
      </c>
      <c r="F7521" s="13" t="n"/>
      <c r="G7521" s="14" t="n"/>
      <c r="H7521" s="14" t="n"/>
      <c r="I7521" s="14" t="n"/>
      <c r="J7521" s="14" t="n"/>
      <c r="K7521" s="53" t="inlineStr"/>
      <c r="L7521" s="53" t="inlineStr">
        <is>
          <t>Не определено</t>
        </is>
      </c>
      <c r="M7521" s="53" t="inlineStr"/>
      <c r="N7521" s="54" t="inlineStr"/>
      <c r="O7521" s="55" t="inlineStr"/>
      <c r="P7521" s="16" t="inlineStr">
        <is>
          <t>Требует обогащения</t>
        </is>
      </c>
      <c r="Q7521" s="16">
        <f>HYPERLINK("https://pb.nalog.ru/search.html?query=381108860965","ФНС: проверить")</f>
        <v/>
      </c>
      <c r="R7521" s="16">
        <f>HYPERLINK("https://checko.ru/search?query=3801001629","Чекко: проверить")</f>
        <v/>
      </c>
      <c r="S7521" t="n">
        <v>1</v>
      </c>
      <c r="T7521" s="35" t="inlineStr">
        <is>
          <t>4 — Не обогащён</t>
        </is>
      </c>
      <c r="U7521" s="35" t="inlineStr">
        <is>
          <t>Нет ОКВЭД/ССЧР</t>
        </is>
      </c>
      <c r="V7521" s="35" t="inlineStr">
        <is>
          <t>Не определено</t>
        </is>
      </c>
      <c r="W7521" s="35" t="inlineStr"/>
      <c r="X7521" s="35" t="inlineStr"/>
    </row>
    <row r="7522" ht="15" customHeight="1" s="24">
      <c r="A7522" s="13" t="inlineStr">
        <is>
          <t>FR452456</t>
        </is>
      </c>
      <c r="B7522" s="13" t="inlineStr">
        <is>
          <t>ЗЕТ-АЛЬЯНС, ООО</t>
        </is>
      </c>
      <c r="C7522" s="13" t="n">
        <v>7733248189</v>
      </c>
      <c r="D7522" s="13" t="inlineStr">
        <is>
          <t>7733248189</t>
        </is>
      </c>
      <c r="E7522" s="13" t="inlineStr">
        <is>
          <t>ЮЛ РФ</t>
        </is>
      </c>
      <c r="F7522" s="13" t="n"/>
      <c r="G7522" s="52" t="n">
        <v>0</v>
      </c>
      <c r="H7522" s="52" t="n">
        <v>2025</v>
      </c>
      <c r="I7522" s="14" t="n"/>
      <c r="J7522" s="14" t="n"/>
      <c r="K7522" s="53" t="inlineStr">
        <is>
          <t>Нет</t>
        </is>
      </c>
      <c r="L7522" s="53" t="inlineStr">
        <is>
          <t>Не определено</t>
        </is>
      </c>
      <c r="M7522" s="53" t="inlineStr">
        <is>
          <t>До 10</t>
        </is>
      </c>
      <c r="N7522" s="54" t="n">
        <v>3360</v>
      </c>
      <c r="O7522" s="55" t="inlineStr">
        <is>
          <t>1–15</t>
        </is>
      </c>
      <c r="P7522" s="16" t="inlineStr">
        <is>
          <t>ССЧР обогащена; ОКВЭД не найден/не загружен</t>
        </is>
      </c>
      <c r="Q7522" s="16" t="inlineStr">
        <is>
          <t>ФНС открытые данные ССЧР (ДатаСост 31.12.2025; набор 7707329152-sshr2019)</t>
        </is>
      </c>
      <c r="R7522" s="16">
        <f>HYPERLINK("https://checko.ru/search?query=3801001629","Чекко: проверить")</f>
        <v/>
      </c>
      <c r="S7522" t="n">
        <v>1</v>
      </c>
      <c r="T7522" s="35" t="inlineStr">
        <is>
          <t>4 — Не обогащён</t>
        </is>
      </c>
      <c r="U7522" s="35" t="inlineStr">
        <is>
          <t>Нет ОКВЭД/ССЧР</t>
        </is>
      </c>
      <c r="V7522" s="35" t="inlineStr">
        <is>
          <t>Не определено</t>
        </is>
      </c>
      <c r="W7522" s="35" t="inlineStr">
        <is>
          <t>Нет</t>
        </is>
      </c>
      <c r="X7522" s="35" t="inlineStr"/>
    </row>
    <row r="7523" ht="27.75" customHeight="1" s="24">
      <c r="A7523" s="13" t="inlineStr">
        <is>
          <t>FR567999</t>
        </is>
      </c>
      <c r="B7523" s="13" t="inlineStr">
        <is>
          <t>Общество с ограниченной ответственностью "АРФАЭЛ"</t>
        </is>
      </c>
      <c r="C7523" s="13" t="n">
        <v>3818020644</v>
      </c>
      <c r="D7523" s="13" t="inlineStr">
        <is>
          <t>3818020644</t>
        </is>
      </c>
      <c r="E7523" s="13" t="inlineStr">
        <is>
          <t>ЮЛ РФ</t>
        </is>
      </c>
      <c r="F7523" s="13" t="n"/>
      <c r="G7523" s="52" t="n">
        <v>17</v>
      </c>
      <c r="H7523" s="52" t="n">
        <v>2025</v>
      </c>
      <c r="I7523" s="14" t="n"/>
      <c r="J7523" s="14" t="n"/>
      <c r="K7523" s="53" t="inlineStr">
        <is>
          <t>Нет</t>
        </is>
      </c>
      <c r="L7523" s="53" t="inlineStr">
        <is>
          <t>Не определено</t>
        </is>
      </c>
      <c r="M7523" s="53" t="inlineStr">
        <is>
          <t>До 25</t>
        </is>
      </c>
      <c r="N7523" s="54" t="n">
        <v>8400</v>
      </c>
      <c r="O7523" s="55" t="inlineStr">
        <is>
          <t>16–30</t>
        </is>
      </c>
      <c r="P7523" s="16" t="inlineStr">
        <is>
          <t>ССЧР обогащена; ОКВЭД не найден/не загружен</t>
        </is>
      </c>
      <c r="Q7523" s="16" t="inlineStr">
        <is>
          <t>ФНС открытые данные ССЧР (ДатаСост 31.12.2025; набор 7707329152-sshr2019)</t>
        </is>
      </c>
      <c r="R7523" s="16">
        <f>HYPERLINK("https://checko.ru/search?query=3801001629","Чекко: проверить")</f>
        <v/>
      </c>
      <c r="S7523" t="n">
        <v>0</v>
      </c>
      <c r="T7523" s="35" t="inlineStr">
        <is>
          <t>4 — Не обогащён</t>
        </is>
      </c>
      <c r="U7523" s="35" t="inlineStr">
        <is>
          <t>Нет ОКВЭД/ССЧР</t>
        </is>
      </c>
      <c r="V7523" s="35" t="inlineStr">
        <is>
          <t>Не определено</t>
        </is>
      </c>
      <c r="W7523" s="35" t="inlineStr">
        <is>
          <t>Нет</t>
        </is>
      </c>
      <c r="X7523" s="35" t="inlineStr"/>
    </row>
    <row r="7524" ht="27.75" customHeight="1" s="24">
      <c r="A7524" s="13" t="inlineStr">
        <is>
          <t>FR1269288</t>
        </is>
      </c>
      <c r="B7524" s="13" t="inlineStr">
        <is>
          <t>Общество с ограниченной ответственностью "КРЮГЕР ПРО"</t>
        </is>
      </c>
      <c r="C7524" s="13" t="n">
        <v>7726400361</v>
      </c>
      <c r="D7524" s="13" t="inlineStr">
        <is>
          <t>7726400361</t>
        </is>
      </c>
      <c r="E7524" s="13" t="inlineStr">
        <is>
          <t>ЮЛ РФ</t>
        </is>
      </c>
      <c r="F7524" s="13" t="n"/>
      <c r="G7524" s="52" t="n">
        <v>3</v>
      </c>
      <c r="H7524" s="52" t="n">
        <v>2025</v>
      </c>
      <c r="I7524" s="14" t="n"/>
      <c r="J7524" s="14" t="n"/>
      <c r="K7524" s="53" t="inlineStr">
        <is>
          <t>Нет</t>
        </is>
      </c>
      <c r="L7524" s="53" t="inlineStr">
        <is>
          <t>Не определено</t>
        </is>
      </c>
      <c r="M7524" s="53" t="inlineStr">
        <is>
          <t>До 10</t>
        </is>
      </c>
      <c r="N7524" s="54" t="n">
        <v>3360</v>
      </c>
      <c r="O7524" s="55" t="inlineStr">
        <is>
          <t>1–15</t>
        </is>
      </c>
      <c r="P7524" s="16" t="inlineStr">
        <is>
          <t>ССЧР обогащена; ОКВЭД не найден/не загружен</t>
        </is>
      </c>
      <c r="Q7524" s="16" t="inlineStr">
        <is>
          <t>ФНС открытые данные ССЧР (ДатаСост 31.12.2025; набор 7707329152-sshr2019)</t>
        </is>
      </c>
      <c r="R7524" s="16">
        <f>HYPERLINK("https://checko.ru/search?query=3801001629","Чекко: проверить")</f>
        <v/>
      </c>
      <c r="S7524" t="n">
        <v>1</v>
      </c>
      <c r="T7524" s="35" t="inlineStr">
        <is>
          <t>4 — Не обогащён</t>
        </is>
      </c>
      <c r="U7524" s="35" t="inlineStr">
        <is>
          <t>Нет ОКВЭД/ССЧР</t>
        </is>
      </c>
      <c r="V7524" s="35" t="inlineStr">
        <is>
          <t>Не определено</t>
        </is>
      </c>
      <c r="W7524" s="35" t="inlineStr">
        <is>
          <t>Нет</t>
        </is>
      </c>
      <c r="X7524" s="35" t="inlineStr"/>
    </row>
    <row r="7525" ht="15" customHeight="1" s="24">
      <c r="A7525" s="13" t="inlineStr">
        <is>
          <t>FR568590</t>
        </is>
      </c>
      <c r="B7525" s="13" t="inlineStr">
        <is>
          <t>ИП Разуваев Сергей Петрович</t>
        </is>
      </c>
      <c r="C7525" s="13" t="n">
        <v>380507493673</v>
      </c>
      <c r="D7525" s="13" t="inlineStr">
        <is>
          <t>380507493673</t>
        </is>
      </c>
      <c r="E7525" s="13" t="inlineStr">
        <is>
          <t>ИП РФ / физлицо</t>
        </is>
      </c>
      <c r="F7525" s="13" t="n"/>
      <c r="G7525" s="14" t="n"/>
      <c r="H7525" s="14" t="n"/>
      <c r="I7525" s="14" t="n"/>
      <c r="J7525" s="14" t="n"/>
      <c r="K7525" s="53" t="inlineStr"/>
      <c r="L7525" s="53" t="inlineStr">
        <is>
          <t>Не определено</t>
        </is>
      </c>
      <c r="M7525" s="53" t="inlineStr"/>
      <c r="N7525" s="54" t="inlineStr"/>
      <c r="O7525" s="55" t="inlineStr"/>
      <c r="P7525" s="16" t="inlineStr">
        <is>
          <t>Требует обогащения</t>
        </is>
      </c>
      <c r="Q7525" s="16">
        <f>HYPERLINK("https://pb.nalog.ru/search.html?query=380507493673","ФНС: проверить")</f>
        <v/>
      </c>
      <c r="R7525" s="16">
        <f>HYPERLINK("https://checko.ru/search?query=3801001629","Чекко: проверить")</f>
        <v/>
      </c>
      <c r="S7525" t="n">
        <v>1</v>
      </c>
      <c r="T7525" s="35" t="inlineStr">
        <is>
          <t>4 — Не обогащён</t>
        </is>
      </c>
      <c r="U7525" s="35" t="inlineStr">
        <is>
          <t>Нет ОКВЭД/ССЧР</t>
        </is>
      </c>
      <c r="V7525" s="35" t="inlineStr">
        <is>
          <t>Не определено</t>
        </is>
      </c>
      <c r="W7525" s="35" t="inlineStr"/>
      <c r="X7525" s="35" t="inlineStr"/>
    </row>
    <row r="7526" ht="15" customHeight="1" s="24">
      <c r="A7526" s="13" t="inlineStr">
        <is>
          <t>FR426034</t>
        </is>
      </c>
      <c r="B7526" s="13" t="inlineStr">
        <is>
          <t>ИП Киселев Виктор Петрович</t>
        </is>
      </c>
      <c r="C7526" s="13" t="n">
        <v>742402728670</v>
      </c>
      <c r="D7526" s="13" t="inlineStr">
        <is>
          <t>742402728670</t>
        </is>
      </c>
      <c r="E7526" s="13" t="inlineStr">
        <is>
          <t>ИП РФ / физлицо</t>
        </is>
      </c>
      <c r="F7526" s="13" t="n"/>
      <c r="G7526" s="14" t="n"/>
      <c r="H7526" s="14" t="n"/>
      <c r="I7526" s="14" t="n"/>
      <c r="J7526" s="14" t="n"/>
      <c r="K7526" s="53" t="inlineStr"/>
      <c r="L7526" s="53" t="inlineStr">
        <is>
          <t>Не определено</t>
        </is>
      </c>
      <c r="M7526" s="53" t="inlineStr"/>
      <c r="N7526" s="54" t="inlineStr"/>
      <c r="O7526" s="55" t="inlineStr"/>
      <c r="P7526" s="16" t="inlineStr">
        <is>
          <t>Требует обогащения</t>
        </is>
      </c>
      <c r="Q7526" s="16">
        <f>HYPERLINK("https://pb.nalog.ru/search.html?query=742402728670","ФНС: проверить")</f>
        <v/>
      </c>
      <c r="R7526" s="16">
        <f>HYPERLINK("https://checko.ru/search?query=3801001629","Чекко: проверить")</f>
        <v/>
      </c>
      <c r="S7526" t="n">
        <v>1</v>
      </c>
      <c r="T7526" s="35" t="inlineStr">
        <is>
          <t>4 — Не обогащён</t>
        </is>
      </c>
      <c r="U7526" s="35" t="inlineStr">
        <is>
          <t>Нет ОКВЭД/ССЧР</t>
        </is>
      </c>
      <c r="V7526" s="35" t="inlineStr">
        <is>
          <t>Не определено</t>
        </is>
      </c>
      <c r="W7526" s="35" t="inlineStr"/>
      <c r="X7526" s="35" t="inlineStr"/>
    </row>
    <row r="7527" ht="15" customHeight="1" s="24">
      <c r="A7527" s="13" t="inlineStr">
        <is>
          <t>FR243440</t>
        </is>
      </c>
      <c r="B7527" s="13" t="inlineStr">
        <is>
          <t>СКАТ СПБ, ООО</t>
        </is>
      </c>
      <c r="C7527" s="13" t="n">
        <v>7806524355</v>
      </c>
      <c r="D7527" s="13" t="inlineStr">
        <is>
          <t>7806524355</t>
        </is>
      </c>
      <c r="E7527" s="13" t="inlineStr">
        <is>
          <t>ЮЛ РФ</t>
        </is>
      </c>
      <c r="F7527" s="13" t="n"/>
      <c r="G7527" s="52" t="n">
        <v>2</v>
      </c>
      <c r="H7527" s="52" t="n">
        <v>2025</v>
      </c>
      <c r="I7527" s="14" t="n"/>
      <c r="J7527" s="14" t="n"/>
      <c r="K7527" s="53" t="inlineStr">
        <is>
          <t>Нет</t>
        </is>
      </c>
      <c r="L7527" s="53" t="inlineStr">
        <is>
          <t>Не определено</t>
        </is>
      </c>
      <c r="M7527" s="53" t="inlineStr">
        <is>
          <t>До 10</t>
        </is>
      </c>
      <c r="N7527" s="54" t="n">
        <v>3360</v>
      </c>
      <c r="O7527" s="55" t="inlineStr">
        <is>
          <t>1–15</t>
        </is>
      </c>
      <c r="P7527" s="16" t="inlineStr">
        <is>
          <t>ССЧР обогащена; ОКВЭД не найден/не загружен</t>
        </is>
      </c>
      <c r="Q7527" s="16" t="inlineStr">
        <is>
          <t>ФНС открытые данные ССЧР (ДатаСост 31.12.2025; набор 7707329152-sshr2019)</t>
        </is>
      </c>
      <c r="R7527" s="16">
        <f>HYPERLINK("https://checko.ru/search?query=3801001629","Чекко: проверить")</f>
        <v/>
      </c>
      <c r="S7527" t="n">
        <v>1</v>
      </c>
      <c r="T7527" s="35" t="inlineStr">
        <is>
          <t>4 — Не обогащён</t>
        </is>
      </c>
      <c r="U7527" s="35" t="inlineStr">
        <is>
          <t>Нет ОКВЭД/ССЧР</t>
        </is>
      </c>
      <c r="V7527" s="35" t="inlineStr">
        <is>
          <t>Не определено</t>
        </is>
      </c>
      <c r="W7527" s="35" t="inlineStr">
        <is>
          <t>Нет</t>
        </is>
      </c>
      <c r="X7527" s="35" t="inlineStr"/>
    </row>
    <row r="7528" ht="15" customHeight="1" s="24">
      <c r="A7528" s="13" t="inlineStr">
        <is>
          <t>FR65992</t>
        </is>
      </c>
      <c r="B7528" s="13" t="inlineStr">
        <is>
          <t>Центр Труда</t>
        </is>
      </c>
      <c r="C7528" s="13" t="n">
        <v>3810035173</v>
      </c>
      <c r="D7528" s="13" t="inlineStr">
        <is>
          <t>3810035173</t>
        </is>
      </c>
      <c r="E7528" s="13" t="inlineStr">
        <is>
          <t>ЮЛ РФ</t>
        </is>
      </c>
      <c r="F7528" s="13" t="n"/>
      <c r="G7528" s="52" t="n">
        <v>7</v>
      </c>
      <c r="H7528" s="52" t="n">
        <v>2025</v>
      </c>
      <c r="I7528" s="14" t="n"/>
      <c r="J7528" s="14" t="n"/>
      <c r="K7528" s="53" t="inlineStr">
        <is>
          <t>Нет</t>
        </is>
      </c>
      <c r="L7528" s="53" t="inlineStr">
        <is>
          <t>Не определено</t>
        </is>
      </c>
      <c r="M7528" s="53" t="inlineStr">
        <is>
          <t>До 10</t>
        </is>
      </c>
      <c r="N7528" s="54" t="n">
        <v>3360</v>
      </c>
      <c r="O7528" s="55" t="inlineStr">
        <is>
          <t>1–15</t>
        </is>
      </c>
      <c r="P7528" s="16" t="inlineStr">
        <is>
          <t>ССЧР обогащена; ОКВЭД не найден/не загружен</t>
        </is>
      </c>
      <c r="Q7528" s="16" t="inlineStr">
        <is>
          <t>ФНС открытые данные ССЧР (ДатаСост 31.12.2025; набор 7707329152-sshr2019)</t>
        </is>
      </c>
      <c r="R7528" s="16">
        <f>HYPERLINK("https://checko.ru/search?query=3801001629","Чекко: проверить")</f>
        <v/>
      </c>
      <c r="S7528" t="n">
        <v>1</v>
      </c>
      <c r="T7528" s="35" t="inlineStr">
        <is>
          <t>4 — Не обогащён</t>
        </is>
      </c>
      <c r="U7528" s="35" t="inlineStr">
        <is>
          <t>Нет ОКВЭД/ССЧР</t>
        </is>
      </c>
      <c r="V7528" s="35" t="inlineStr">
        <is>
          <t>Не определено</t>
        </is>
      </c>
      <c r="W7528" s="35" t="inlineStr">
        <is>
          <t>Нет</t>
        </is>
      </c>
      <c r="X7528" s="35" t="inlineStr"/>
    </row>
    <row r="7529" ht="27.75" customHeight="1" s="24">
      <c r="A7529" s="13" t="inlineStr">
        <is>
          <t>FR571112</t>
        </is>
      </c>
      <c r="B7529" s="13" t="inlineStr">
        <is>
          <t>Общество с ограниченной ответственностью "СЕГМЕНТ"</t>
        </is>
      </c>
      <c r="C7529" s="13" t="n">
        <v>5905051410</v>
      </c>
      <c r="D7529" s="13" t="inlineStr">
        <is>
          <t>5905051410</t>
        </is>
      </c>
      <c r="E7529" s="13" t="inlineStr">
        <is>
          <t>ЮЛ РФ</t>
        </is>
      </c>
      <c r="F7529" s="13" t="n"/>
      <c r="G7529" s="52" t="n">
        <v>6</v>
      </c>
      <c r="H7529" s="52" t="n">
        <v>2025</v>
      </c>
      <c r="I7529" s="14" t="n"/>
      <c r="J7529" s="14" t="n"/>
      <c r="K7529" s="53" t="inlineStr">
        <is>
          <t>Нет</t>
        </is>
      </c>
      <c r="L7529" s="53" t="inlineStr">
        <is>
          <t>Не определено</t>
        </is>
      </c>
      <c r="M7529" s="53" t="inlineStr">
        <is>
          <t>До 10</t>
        </is>
      </c>
      <c r="N7529" s="54" t="n">
        <v>3360</v>
      </c>
      <c r="O7529" s="55" t="inlineStr">
        <is>
          <t>1–15</t>
        </is>
      </c>
      <c r="P7529" s="16" t="inlineStr">
        <is>
          <t>ССЧР обогащена; ОКВЭД не найден/не загружен</t>
        </is>
      </c>
      <c r="Q7529" s="16" t="inlineStr">
        <is>
          <t>ФНС открытые данные ССЧР (ДатаСост 31.12.2025; набор 7707329152-sshr2019)</t>
        </is>
      </c>
      <c r="R7529" s="16">
        <f>HYPERLINK("https://checko.ru/search?query=3801001629","Чекко: проверить")</f>
        <v/>
      </c>
      <c r="S7529" t="n">
        <v>1</v>
      </c>
      <c r="T7529" s="35" t="inlineStr">
        <is>
          <t>4 — Не обогащён</t>
        </is>
      </c>
      <c r="U7529" s="35" t="inlineStr">
        <is>
          <t>Нет ОКВЭД/ССЧР</t>
        </is>
      </c>
      <c r="V7529" s="35" t="inlineStr">
        <is>
          <t>Не определено</t>
        </is>
      </c>
      <c r="W7529" s="35" t="inlineStr">
        <is>
          <t>Нет</t>
        </is>
      </c>
      <c r="X7529" s="35" t="inlineStr"/>
    </row>
    <row r="7530" ht="15" customHeight="1" s="24">
      <c r="A7530" s="13" t="inlineStr">
        <is>
          <t>FR881998</t>
        </is>
      </c>
      <c r="B7530" s="13" t="inlineStr">
        <is>
          <t>АННОО "Иркутская Вальдорфская школа"</t>
        </is>
      </c>
      <c r="C7530" s="13" t="n">
        <v>3808155970</v>
      </c>
      <c r="D7530" s="13" t="inlineStr">
        <is>
          <t>3808155970</t>
        </is>
      </c>
      <c r="E7530" s="13" t="inlineStr">
        <is>
          <t>ЮЛ РФ</t>
        </is>
      </c>
      <c r="F7530" s="13" t="n"/>
      <c r="G7530" s="14" t="n"/>
      <c r="H7530" s="14" t="n"/>
      <c r="I7530" s="14" t="n"/>
      <c r="J7530" s="14" t="n"/>
      <c r="K7530" s="53" t="inlineStr"/>
      <c r="L7530" s="53" t="inlineStr">
        <is>
          <t>Не определено</t>
        </is>
      </c>
      <c r="M7530" s="53" t="inlineStr"/>
      <c r="N7530" s="54" t="inlineStr"/>
      <c r="O7530" s="55" t="inlineStr"/>
      <c r="P7530" s="16" t="inlineStr">
        <is>
          <t>Требует обогащения</t>
        </is>
      </c>
      <c r="Q7530" s="16">
        <f>HYPERLINK("https://pb.nalog.ru/search.html?query=3808155970","ФНС: проверить")</f>
        <v/>
      </c>
      <c r="R7530" s="16">
        <f>HYPERLINK("https://checko.ru/search?query=3801001629","Чекко: проверить")</f>
        <v/>
      </c>
      <c r="S7530" t="n">
        <v>1</v>
      </c>
      <c r="T7530" s="35" t="inlineStr">
        <is>
          <t>4 — Не обогащён</t>
        </is>
      </c>
      <c r="U7530" s="35" t="inlineStr">
        <is>
          <t>Нет ОКВЭД/ССЧР</t>
        </is>
      </c>
      <c r="V7530" s="35" t="inlineStr">
        <is>
          <t>Не определено</t>
        </is>
      </c>
      <c r="W7530" s="35" t="inlineStr"/>
      <c r="X7530" s="35" t="inlineStr"/>
    </row>
    <row r="7531" ht="27.75" customHeight="1" s="24">
      <c r="A7531" s="13" t="inlineStr">
        <is>
          <t>FR19406</t>
        </is>
      </c>
      <c r="B7531" s="13" t="inlineStr">
        <is>
          <t>Общество с ограниченной ответственностью "1С:БО ФОРУС"</t>
        </is>
      </c>
      <c r="C7531" s="13" t="n">
        <v>3811168176</v>
      </c>
      <c r="D7531" s="13" t="inlineStr">
        <is>
          <t>3811168176</t>
        </is>
      </c>
      <c r="E7531" s="13" t="inlineStr">
        <is>
          <t>ЮЛ РФ</t>
        </is>
      </c>
      <c r="F7531" s="13" t="n"/>
      <c r="G7531" s="52" t="n">
        <v>77</v>
      </c>
      <c r="H7531" s="52" t="n">
        <v>2025</v>
      </c>
      <c r="I7531" s="52" t="inlineStr">
        <is>
          <t>69.20.2</t>
        </is>
      </c>
      <c r="J7531" s="52" t="inlineStr">
        <is>
          <t>69.20.2; 18.12; 18.13; 22.19; 46.51; 62.02; 63.11; 63.11.1; 68.20; 69.10; 69.20; 69.20.1; 70.22; 73.11; 82.99; 85.42.9</t>
        </is>
      </c>
      <c r="K7531" s="53" t="inlineStr">
        <is>
          <t>Да</t>
        </is>
      </c>
      <c r="L7531" s="53" t="inlineStr">
        <is>
          <t>Да</t>
        </is>
      </c>
      <c r="M7531" s="53" t="inlineStr">
        <is>
          <t>До 100</t>
        </is>
      </c>
      <c r="N7531" s="54" t="n">
        <v>33600</v>
      </c>
      <c r="O7531" s="55" t="inlineStr">
        <is>
          <t>51–100</t>
        </is>
      </c>
      <c r="P7531" s="16" t="inlineStr">
        <is>
          <t>ССЧР + ОКВЭД обогащены</t>
        </is>
      </c>
      <c r="Q7531" s="16" t="inlineStr">
        <is>
          <t>ФНС открытые данные ССЧР (ДатаСост 31.12.2025; набор 7707329152-sshr2019)</t>
        </is>
      </c>
      <c r="R7531" s="16" t="inlineStr">
        <is>
          <t>ЕГРЮЛ / egrul.nalog.ru (выписка)</t>
        </is>
      </c>
      <c r="S7531" t="n">
        <v>1</v>
      </c>
      <c r="T7531" s="35" t="inlineStr">
        <is>
          <t>1 — Горячий</t>
        </is>
      </c>
      <c r="U7531" s="35" t="inlineStr">
        <is>
          <t>ОКВЭД + 22+</t>
        </is>
      </c>
      <c r="V7531" s="35" t="inlineStr">
        <is>
          <t>Да</t>
        </is>
      </c>
      <c r="W7531" s="35" t="inlineStr">
        <is>
          <t>Да</t>
        </is>
      </c>
      <c r="X7531" s="35" t="inlineStr">
        <is>
          <t>Да</t>
        </is>
      </c>
    </row>
    <row r="7532" ht="15" customHeight="1" s="24">
      <c r="A7532" s="13" t="inlineStr">
        <is>
          <t>FR427644</t>
        </is>
      </c>
      <c r="B7532" s="13" t="inlineStr">
        <is>
          <t>ИП Волков Евгений Дмитриевич</t>
        </is>
      </c>
      <c r="C7532" s="13" t="n">
        <v>381001058822</v>
      </c>
      <c r="D7532" s="13" t="inlineStr">
        <is>
          <t>381001058822</t>
        </is>
      </c>
      <c r="E7532" s="13" t="inlineStr">
        <is>
          <t>ИП РФ / физлицо</t>
        </is>
      </c>
      <c r="F7532" s="13" t="n"/>
      <c r="G7532" s="14" t="n"/>
      <c r="H7532" s="14" t="n"/>
      <c r="I7532" s="14" t="n"/>
      <c r="J7532" s="14" t="n"/>
      <c r="K7532" s="53" t="inlineStr"/>
      <c r="L7532" s="53" t="inlineStr">
        <is>
          <t>Не определено</t>
        </is>
      </c>
      <c r="M7532" s="53" t="inlineStr"/>
      <c r="N7532" s="54" t="inlineStr"/>
      <c r="O7532" s="55" t="inlineStr"/>
      <c r="P7532" s="16" t="inlineStr">
        <is>
          <t>Требует обогащения</t>
        </is>
      </c>
      <c r="Q7532" s="16">
        <f>HYPERLINK("https://pb.nalog.ru/search.html?query=381001058822","ФНС: проверить")</f>
        <v/>
      </c>
      <c r="R7532" s="16">
        <f>HYPERLINK("https://checko.ru/search?query=3801001629","Чекко: проверить")</f>
        <v/>
      </c>
      <c r="S7532" t="n">
        <v>1</v>
      </c>
      <c r="T7532" s="35" t="inlineStr">
        <is>
          <t>4 — Не обогащён</t>
        </is>
      </c>
      <c r="U7532" s="35" t="inlineStr">
        <is>
          <t>Нет ОКВЭД/ССЧР</t>
        </is>
      </c>
      <c r="V7532" s="35" t="inlineStr">
        <is>
          <t>Не определено</t>
        </is>
      </c>
      <c r="W7532" s="35" t="inlineStr"/>
      <c r="X7532" s="35" t="inlineStr"/>
    </row>
    <row r="7533" ht="27.75" customHeight="1" s="24">
      <c r="A7533" s="13" t="inlineStr">
        <is>
          <t>FR1261110</t>
        </is>
      </c>
      <c r="B7533" s="13" t="inlineStr">
        <is>
          <t>ТОРГОВЫЙ-ПОТРЕБИТЕЛЬСКИЙ КООПЕРАТИВ "ГОРОХОВСКИЙ СОВХОЗРАБКООП"</t>
        </is>
      </c>
      <c r="C7533" s="13" t="n">
        <v>3827000010</v>
      </c>
      <c r="D7533" s="13" t="inlineStr">
        <is>
          <t>3827000010</t>
        </is>
      </c>
      <c r="E7533" s="13" t="inlineStr">
        <is>
          <t>ЮЛ РФ</t>
        </is>
      </c>
      <c r="F7533" s="13" t="n"/>
      <c r="G7533" s="14" t="n"/>
      <c r="H7533" s="14" t="n"/>
      <c r="I7533" s="14" t="n"/>
      <c r="J7533" s="14" t="n"/>
      <c r="K7533" s="53" t="inlineStr"/>
      <c r="L7533" s="53" t="inlineStr">
        <is>
          <t>Не определено</t>
        </is>
      </c>
      <c r="M7533" s="53" t="inlineStr"/>
      <c r="N7533" s="54" t="inlineStr"/>
      <c r="O7533" s="55" t="inlineStr"/>
      <c r="P7533" s="16" t="inlineStr">
        <is>
          <t>Требует обогащения</t>
        </is>
      </c>
      <c r="Q7533" s="16">
        <f>HYPERLINK("https://pb.nalog.ru/search.html?query=3827000010","ФНС: проверить")</f>
        <v/>
      </c>
      <c r="R7533" s="16">
        <f>HYPERLINK("https://checko.ru/search?query=3801001629","Чекко: проверить")</f>
        <v/>
      </c>
      <c r="S7533" t="n">
        <v>1</v>
      </c>
      <c r="T7533" s="35" t="inlineStr">
        <is>
          <t>4 — Не обогащён</t>
        </is>
      </c>
      <c r="U7533" s="35" t="inlineStr">
        <is>
          <t>Нет ОКВЭД/ССЧР</t>
        </is>
      </c>
      <c r="V7533" s="35" t="inlineStr">
        <is>
          <t>Не определено</t>
        </is>
      </c>
      <c r="W7533" s="35" t="inlineStr"/>
      <c r="X7533" s="35" t="inlineStr"/>
    </row>
    <row r="7534" ht="15" customHeight="1" s="24">
      <c r="A7534" s="13" t="inlineStr">
        <is>
          <t>FR208553</t>
        </is>
      </c>
      <c r="B7534" s="13" t="inlineStr">
        <is>
          <t>НОВА ИНЖИНИРИНГ, ООО</t>
        </is>
      </c>
      <c r="C7534" s="13" t="n">
        <v>5401958791</v>
      </c>
      <c r="D7534" s="13" t="inlineStr">
        <is>
          <t>5401958791</t>
        </is>
      </c>
      <c r="E7534" s="13" t="inlineStr">
        <is>
          <t>ЮЛ РФ</t>
        </is>
      </c>
      <c r="F7534" s="13" t="n"/>
      <c r="G7534" s="52" t="n">
        <v>18</v>
      </c>
      <c r="H7534" s="52" t="n">
        <v>2025</v>
      </c>
      <c r="I7534" s="14" t="n"/>
      <c r="J7534" s="14" t="n"/>
      <c r="K7534" s="53" t="inlineStr">
        <is>
          <t>Нет</t>
        </is>
      </c>
      <c r="L7534" s="53" t="inlineStr">
        <is>
          <t>Не определено</t>
        </is>
      </c>
      <c r="M7534" s="53" t="inlineStr">
        <is>
          <t>До 25</t>
        </is>
      </c>
      <c r="N7534" s="54" t="n">
        <v>8400</v>
      </c>
      <c r="O7534" s="55" t="inlineStr">
        <is>
          <t>16–30</t>
        </is>
      </c>
      <c r="P7534" s="16" t="inlineStr">
        <is>
          <t>ССЧР обогащена; ОКВЭД не найден/не загружен</t>
        </is>
      </c>
      <c r="Q7534" s="16" t="inlineStr">
        <is>
          <t>ФНС открытые данные ССЧР (ДатаСост 31.12.2025; набор 7707329152-sshr2019)</t>
        </is>
      </c>
      <c r="R7534" s="16">
        <f>HYPERLINK("https://checko.ru/search?query=3801001629","Чекко: проверить")</f>
        <v/>
      </c>
      <c r="S7534" t="n">
        <v>1</v>
      </c>
      <c r="T7534" s="35" t="inlineStr">
        <is>
          <t>4 — Не обогащён</t>
        </is>
      </c>
      <c r="U7534" s="35" t="inlineStr">
        <is>
          <t>Нет ОКВЭД/ССЧР</t>
        </is>
      </c>
      <c r="V7534" s="35" t="inlineStr">
        <is>
          <t>Не определено</t>
        </is>
      </c>
      <c r="W7534" s="35" t="inlineStr">
        <is>
          <t>Нет</t>
        </is>
      </c>
      <c r="X7534" s="35" t="inlineStr"/>
    </row>
    <row r="7535" ht="27.75" customHeight="1" s="24">
      <c r="A7535" s="13" t="inlineStr">
        <is>
          <t>FR1067259</t>
        </is>
      </c>
      <c r="B7535" s="13" t="inlineStr">
        <is>
          <t>Общество с ограниченной ответственностью "ДАЛЬНЕВОСТОЧНЫЙ ЭКСКЛЮЗИВ"</t>
        </is>
      </c>
      <c r="C7535" s="13" t="n">
        <v>2700025004</v>
      </c>
      <c r="D7535" s="13" t="inlineStr">
        <is>
          <t>2700025004</t>
        </is>
      </c>
      <c r="E7535" s="13" t="inlineStr">
        <is>
          <t>ЮЛ РФ</t>
        </is>
      </c>
      <c r="F7535" s="13" t="n"/>
      <c r="G7535" s="52" t="n">
        <v>2</v>
      </c>
      <c r="H7535" s="52" t="n">
        <v>2025</v>
      </c>
      <c r="I7535" s="14" t="n"/>
      <c r="J7535" s="14" t="n"/>
      <c r="K7535" s="53" t="inlineStr">
        <is>
          <t>Нет</t>
        </is>
      </c>
      <c r="L7535" s="53" t="inlineStr">
        <is>
          <t>Не определено</t>
        </is>
      </c>
      <c r="M7535" s="53" t="inlineStr">
        <is>
          <t>До 10</t>
        </is>
      </c>
      <c r="N7535" s="54" t="n">
        <v>3360</v>
      </c>
      <c r="O7535" s="55" t="inlineStr">
        <is>
          <t>1–15</t>
        </is>
      </c>
      <c r="P7535" s="16" t="inlineStr">
        <is>
          <t>ССЧР обогащена; ОКВЭД не найден/не загружен</t>
        </is>
      </c>
      <c r="Q7535" s="16" t="inlineStr">
        <is>
          <t>ФНС открытые данные ССЧР (ДатаСост 31.12.2025; набор 7707329152-sshr2019)</t>
        </is>
      </c>
      <c r="R7535" s="16">
        <f>HYPERLINK("https://checko.ru/search?query=3801001629","Чекко: проверить")</f>
        <v/>
      </c>
      <c r="S7535" t="n">
        <v>1</v>
      </c>
      <c r="T7535" s="35" t="inlineStr">
        <is>
          <t>4 — Не обогащён</t>
        </is>
      </c>
      <c r="U7535" s="35" t="inlineStr">
        <is>
          <t>Нет ОКВЭД/ССЧР</t>
        </is>
      </c>
      <c r="V7535" s="35" t="inlineStr">
        <is>
          <t>Не определено</t>
        </is>
      </c>
      <c r="W7535" s="35" t="inlineStr">
        <is>
          <t>Нет</t>
        </is>
      </c>
      <c r="X7535" s="35" t="inlineStr"/>
    </row>
    <row r="7536" ht="27.75" customHeight="1" s="24">
      <c r="A7536" s="13" t="inlineStr">
        <is>
          <t>FR1262800</t>
        </is>
      </c>
      <c r="B7536" s="13" t="inlineStr">
        <is>
          <t>Общество с ограниченной ответственностью "ЗОЛОТАЯ РЫБКА"</t>
        </is>
      </c>
      <c r="C7536" s="13" t="n">
        <v>3849037729</v>
      </c>
      <c r="D7536" s="13" t="inlineStr">
        <is>
          <t>3849037729</t>
        </is>
      </c>
      <c r="E7536" s="13" t="inlineStr">
        <is>
          <t>ЮЛ РФ</t>
        </is>
      </c>
      <c r="F7536" s="13" t="n"/>
      <c r="G7536" s="52" t="n">
        <v>1</v>
      </c>
      <c r="H7536" s="52" t="n">
        <v>2025</v>
      </c>
      <c r="I7536" s="14" t="n"/>
      <c r="J7536" s="14" t="n"/>
      <c r="K7536" s="53" t="inlineStr">
        <is>
          <t>Нет</t>
        </is>
      </c>
      <c r="L7536" s="53" t="inlineStr">
        <is>
          <t>Не определено</t>
        </is>
      </c>
      <c r="M7536" s="53" t="inlineStr">
        <is>
          <t>До 10</t>
        </is>
      </c>
      <c r="N7536" s="54" t="n">
        <v>3360</v>
      </c>
      <c r="O7536" s="55" t="inlineStr">
        <is>
          <t>1–15</t>
        </is>
      </c>
      <c r="P7536" s="16" t="inlineStr">
        <is>
          <t>ССЧР обогащена; ОКВЭД не найден/не загружен</t>
        </is>
      </c>
      <c r="Q7536" s="16" t="inlineStr">
        <is>
          <t>ФНС открытые данные ССЧР (ДатаСост 31.12.2025; набор 7707329152-sshr2019)</t>
        </is>
      </c>
      <c r="R7536" s="16">
        <f>HYPERLINK("https://checko.ru/search?query=3801001629","Чекко: проверить")</f>
        <v/>
      </c>
      <c r="S7536" t="n">
        <v>1</v>
      </c>
      <c r="T7536" s="35" t="inlineStr">
        <is>
          <t>4 — Не обогащён</t>
        </is>
      </c>
      <c r="U7536" s="35" t="inlineStr">
        <is>
          <t>Нет ОКВЭД/ССЧР</t>
        </is>
      </c>
      <c r="V7536" s="35" t="inlineStr">
        <is>
          <t>Не определено</t>
        </is>
      </c>
      <c r="W7536" s="35" t="inlineStr">
        <is>
          <t>Нет</t>
        </is>
      </c>
      <c r="X7536" s="35" t="inlineStr"/>
    </row>
    <row r="7537" ht="15" customHeight="1" s="24">
      <c r="A7537" s="13" t="inlineStr">
        <is>
          <t>FR692416</t>
        </is>
      </c>
      <c r="B7537" s="13" t="inlineStr">
        <is>
          <t>ИП Палихова Ирина Ивановна</t>
        </is>
      </c>
      <c r="C7537" s="13" t="n">
        <v>380600909333</v>
      </c>
      <c r="D7537" s="13" t="inlineStr">
        <is>
          <t>380600909333</t>
        </is>
      </c>
      <c r="E7537" s="13" t="inlineStr">
        <is>
          <t>ИП РФ / физлицо</t>
        </is>
      </c>
      <c r="F7537" s="13" t="n"/>
      <c r="G7537" s="14" t="n"/>
      <c r="H7537" s="14" t="n"/>
      <c r="I7537" s="14" t="n"/>
      <c r="J7537" s="14" t="n"/>
      <c r="K7537" s="53" t="inlineStr"/>
      <c r="L7537" s="53" t="inlineStr">
        <is>
          <t>Не определено</t>
        </is>
      </c>
      <c r="M7537" s="53" t="inlineStr"/>
      <c r="N7537" s="54" t="inlineStr"/>
      <c r="O7537" s="55" t="inlineStr"/>
      <c r="P7537" s="16" t="inlineStr">
        <is>
          <t>Требует обогащения</t>
        </is>
      </c>
      <c r="Q7537" s="16">
        <f>HYPERLINK("https://pb.nalog.ru/search.html?query=380600909333","ФНС: проверить")</f>
        <v/>
      </c>
      <c r="R7537" s="16">
        <f>HYPERLINK("https://checko.ru/search?query=3801001629","Чекко: проверить")</f>
        <v/>
      </c>
      <c r="S7537" t="n">
        <v>1</v>
      </c>
      <c r="T7537" s="35" t="inlineStr">
        <is>
          <t>4 — Не обогащён</t>
        </is>
      </c>
      <c r="U7537" s="35" t="inlineStr">
        <is>
          <t>Нет ОКВЭД/ССЧР</t>
        </is>
      </c>
      <c r="V7537" s="35" t="inlineStr">
        <is>
          <t>Не определено</t>
        </is>
      </c>
      <c r="W7537" s="35" t="inlineStr"/>
      <c r="X7537" s="35" t="inlineStr"/>
    </row>
    <row r="7538" ht="27.75" customHeight="1" s="24">
      <c r="A7538" s="13" t="inlineStr">
        <is>
          <t>FR1261826</t>
        </is>
      </c>
      <c r="B7538" s="13" t="inlineStr">
        <is>
          <t>Общество с ограниченной ответственностью "ВЕГА+"</t>
        </is>
      </c>
      <c r="C7538" s="13" t="n">
        <v>3808205170</v>
      </c>
      <c r="D7538" s="13" t="inlineStr">
        <is>
          <t>3808205170</t>
        </is>
      </c>
      <c r="E7538" s="13" t="inlineStr">
        <is>
          <t>ЮЛ РФ</t>
        </is>
      </c>
      <c r="F7538" s="13" t="n"/>
      <c r="G7538" s="52" t="n">
        <v>2</v>
      </c>
      <c r="H7538" s="52" t="n">
        <v>2025</v>
      </c>
      <c r="I7538" s="14" t="n"/>
      <c r="J7538" s="14" t="n"/>
      <c r="K7538" s="53" t="inlineStr">
        <is>
          <t>Нет</t>
        </is>
      </c>
      <c r="L7538" s="53" t="inlineStr">
        <is>
          <t>Не определено</t>
        </is>
      </c>
      <c r="M7538" s="53" t="inlineStr">
        <is>
          <t>До 10</t>
        </is>
      </c>
      <c r="N7538" s="54" t="n">
        <v>3360</v>
      </c>
      <c r="O7538" s="55" t="inlineStr">
        <is>
          <t>1–15</t>
        </is>
      </c>
      <c r="P7538" s="16" t="inlineStr">
        <is>
          <t>ССЧР обогащена; ОКВЭД не найден/не загружен</t>
        </is>
      </c>
      <c r="Q7538" s="16" t="inlineStr">
        <is>
          <t>ФНС открытые данные ССЧР (ДатаСост 31.12.2025; набор 7707329152-sshr2019)</t>
        </is>
      </c>
      <c r="R7538" s="16">
        <f>HYPERLINK("https://checko.ru/search?query=3801001629","Чекко: проверить")</f>
        <v/>
      </c>
      <c r="S7538" t="n">
        <v>1</v>
      </c>
      <c r="T7538" s="35" t="inlineStr">
        <is>
          <t>4 — Не обогащён</t>
        </is>
      </c>
      <c r="U7538" s="35" t="inlineStr">
        <is>
          <t>Нет ОКВЭД/ССЧР</t>
        </is>
      </c>
      <c r="V7538" s="35" t="inlineStr">
        <is>
          <t>Не определено</t>
        </is>
      </c>
      <c r="W7538" s="35" t="inlineStr">
        <is>
          <t>Нет</t>
        </is>
      </c>
      <c r="X7538" s="35" t="inlineStr"/>
    </row>
    <row r="7539" ht="27.75" customHeight="1" s="24">
      <c r="A7539" s="13" t="inlineStr">
        <is>
          <t>FR573776</t>
        </is>
      </c>
      <c r="B7539" s="13" t="inlineStr">
        <is>
          <t>ОБЩЕСТВО С ОГРАНИЧЕННОЙ ОТВЕТСТВЕННОСТЬЮ "ЭКСИ-ГРУПП"</t>
        </is>
      </c>
      <c r="C7539" s="13" t="n">
        <v>4217195440</v>
      </c>
      <c r="D7539" s="13" t="inlineStr">
        <is>
          <t>4217195440</t>
        </is>
      </c>
      <c r="E7539" s="13" t="inlineStr">
        <is>
          <t>ЮЛ РФ</t>
        </is>
      </c>
      <c r="F7539" s="13" t="n"/>
      <c r="G7539" s="52" t="n">
        <v>6</v>
      </c>
      <c r="H7539" s="52" t="n">
        <v>2025</v>
      </c>
      <c r="I7539" s="14" t="n"/>
      <c r="J7539" s="14" t="n"/>
      <c r="K7539" s="53" t="inlineStr">
        <is>
          <t>Нет</t>
        </is>
      </c>
      <c r="L7539" s="53" t="inlineStr">
        <is>
          <t>Не определено</t>
        </is>
      </c>
      <c r="M7539" s="53" t="inlineStr">
        <is>
          <t>До 10</t>
        </is>
      </c>
      <c r="N7539" s="54" t="n">
        <v>3360</v>
      </c>
      <c r="O7539" s="55" t="inlineStr">
        <is>
          <t>1–15</t>
        </is>
      </c>
      <c r="P7539" s="16" t="inlineStr">
        <is>
          <t>ССЧР обогащена; ОКВЭД не найден/не загружен</t>
        </is>
      </c>
      <c r="Q7539" s="16" t="inlineStr">
        <is>
          <t>ФНС открытые данные ССЧР (ДатаСост 31.12.2025; набор 7707329152-sshr2019)</t>
        </is>
      </c>
      <c r="R7539" s="16">
        <f>HYPERLINK("https://checko.ru/search?query=3801001629","Чекко: проверить")</f>
        <v/>
      </c>
      <c r="S7539" t="n">
        <v>1</v>
      </c>
      <c r="T7539" s="35" t="inlineStr">
        <is>
          <t>4 — Не обогащён</t>
        </is>
      </c>
      <c r="U7539" s="35" t="inlineStr">
        <is>
          <t>Нет ОКВЭД/ССЧР</t>
        </is>
      </c>
      <c r="V7539" s="35" t="inlineStr">
        <is>
          <t>Не определено</t>
        </is>
      </c>
      <c r="W7539" s="35" t="inlineStr">
        <is>
          <t>Нет</t>
        </is>
      </c>
      <c r="X7539" s="35" t="inlineStr"/>
    </row>
    <row r="7540" ht="27.75" customHeight="1" s="24">
      <c r="A7540" s="13" t="inlineStr">
        <is>
          <t>FR573710</t>
        </is>
      </c>
      <c r="B7540" s="13" t="inlineStr">
        <is>
          <t>ОБЩЕСТВО С ОГРАНИЧЕННОЙ ОТВЕТСТВЕННОСТЬЮ "АВТО-СИБИРЬ 38"</t>
        </is>
      </c>
      <c r="C7540" s="13" t="n">
        <v>3817049930</v>
      </c>
      <c r="D7540" s="13" t="inlineStr">
        <is>
          <t>3817049930</t>
        </is>
      </c>
      <c r="E7540" s="13" t="inlineStr">
        <is>
          <t>ЮЛ РФ</t>
        </is>
      </c>
      <c r="F7540" s="13" t="n"/>
      <c r="G7540" s="52" t="n">
        <v>14</v>
      </c>
      <c r="H7540" s="52" t="n">
        <v>2025</v>
      </c>
      <c r="I7540" s="14" t="n"/>
      <c r="J7540" s="14" t="n"/>
      <c r="K7540" s="53" t="inlineStr">
        <is>
          <t>Нет</t>
        </is>
      </c>
      <c r="L7540" s="53" t="inlineStr">
        <is>
          <t>Не определено</t>
        </is>
      </c>
      <c r="M7540" s="53" t="inlineStr">
        <is>
          <t>До 25</t>
        </is>
      </c>
      <c r="N7540" s="54" t="n">
        <v>8400</v>
      </c>
      <c r="O7540" s="55" t="inlineStr">
        <is>
          <t>1–15</t>
        </is>
      </c>
      <c r="P7540" s="16" t="inlineStr">
        <is>
          <t>ССЧР обогащена; ОКВЭД не найден/не загружен</t>
        </is>
      </c>
      <c r="Q7540" s="16" t="inlineStr">
        <is>
          <t>ФНС открытые данные ССЧР (ДатаСост 31.12.2025; набор 7707329152-sshr2019)</t>
        </is>
      </c>
      <c r="R7540" s="16">
        <f>HYPERLINK("https://checko.ru/search?query=3801001629","Чекко: проверить")</f>
        <v/>
      </c>
      <c r="S7540" t="n">
        <v>1</v>
      </c>
      <c r="T7540" s="35" t="inlineStr">
        <is>
          <t>4 — Не обогащён</t>
        </is>
      </c>
      <c r="U7540" s="35" t="inlineStr">
        <is>
          <t>Нет ОКВЭД/ССЧР</t>
        </is>
      </c>
      <c r="V7540" s="35" t="inlineStr">
        <is>
          <t>Не определено</t>
        </is>
      </c>
      <c r="W7540" s="35" t="inlineStr">
        <is>
          <t>Нет</t>
        </is>
      </c>
      <c r="X7540" s="35" t="inlineStr"/>
    </row>
    <row r="7541" ht="15" customHeight="1" s="24">
      <c r="A7541" s="13" t="inlineStr">
        <is>
          <t>FR880150</t>
        </is>
      </c>
      <c r="B7541" s="13" t="inlineStr">
        <is>
          <t>ИП Анохин Анатолий Анатольевич</t>
        </is>
      </c>
      <c r="C7541" s="13" t="n">
        <v>850600036482</v>
      </c>
      <c r="D7541" s="13" t="inlineStr">
        <is>
          <t>850600036482</t>
        </is>
      </c>
      <c r="E7541" s="13" t="inlineStr">
        <is>
          <t>ИП РФ / физлицо</t>
        </is>
      </c>
      <c r="F7541" s="13" t="n"/>
      <c r="G7541" s="14" t="n"/>
      <c r="H7541" s="14" t="n"/>
      <c r="I7541" s="14" t="n"/>
      <c r="J7541" s="14" t="n"/>
      <c r="K7541" s="53" t="inlineStr"/>
      <c r="L7541" s="53" t="inlineStr">
        <is>
          <t>Не определено</t>
        </is>
      </c>
      <c r="M7541" s="53" t="inlineStr"/>
      <c r="N7541" s="54" t="inlineStr"/>
      <c r="O7541" s="55" t="inlineStr"/>
      <c r="P7541" s="16" t="inlineStr">
        <is>
          <t>Требует обогащения</t>
        </is>
      </c>
      <c r="Q7541" s="16">
        <f>HYPERLINK("https://pb.nalog.ru/search.html?query=850600036482","ФНС: проверить")</f>
        <v/>
      </c>
      <c r="R7541" s="16">
        <f>HYPERLINK("https://checko.ru/search?query=3801001629","Чекко: проверить")</f>
        <v/>
      </c>
      <c r="S7541" t="n">
        <v>1</v>
      </c>
      <c r="T7541" s="35" t="inlineStr">
        <is>
          <t>4 — Не обогащён</t>
        </is>
      </c>
      <c r="U7541" s="35" t="inlineStr">
        <is>
          <t>Нет ОКВЭД/ССЧР</t>
        </is>
      </c>
      <c r="V7541" s="35" t="inlineStr">
        <is>
          <t>Не определено</t>
        </is>
      </c>
      <c r="W7541" s="35" t="inlineStr"/>
      <c r="X7541" s="35" t="inlineStr"/>
    </row>
    <row r="7542" ht="15" customHeight="1" s="24">
      <c r="A7542" s="13" t="inlineStr">
        <is>
          <t>FR199839</t>
        </is>
      </c>
      <c r="B7542" s="13" t="inlineStr">
        <is>
          <t>ИП Катилин Александр Николаевич</t>
        </is>
      </c>
      <c r="C7542" s="13" t="n">
        <v>772704990288</v>
      </c>
      <c r="D7542" s="13" t="inlineStr">
        <is>
          <t>772704990288</t>
        </is>
      </c>
      <c r="E7542" s="13" t="inlineStr">
        <is>
          <t>ИП РФ / физлицо</t>
        </is>
      </c>
      <c r="F7542" s="13" t="n"/>
      <c r="G7542" s="14" t="n"/>
      <c r="H7542" s="14" t="n"/>
      <c r="I7542" s="14" t="n"/>
      <c r="J7542" s="14" t="n"/>
      <c r="K7542" s="53" t="inlineStr"/>
      <c r="L7542" s="53" t="inlineStr">
        <is>
          <t>Не определено</t>
        </is>
      </c>
      <c r="M7542" s="53" t="inlineStr"/>
      <c r="N7542" s="54" t="inlineStr"/>
      <c r="O7542" s="55" t="inlineStr"/>
      <c r="P7542" s="16" t="inlineStr">
        <is>
          <t>Требует обогащения</t>
        </is>
      </c>
      <c r="Q7542" s="16">
        <f>HYPERLINK("https://pb.nalog.ru/search.html?query=772704990288","ФНС: проверить")</f>
        <v/>
      </c>
      <c r="R7542" s="16">
        <f>HYPERLINK("https://checko.ru/search?query=3801001629","Чекко: проверить")</f>
        <v/>
      </c>
      <c r="S7542" t="n">
        <v>1</v>
      </c>
      <c r="T7542" s="35" t="inlineStr">
        <is>
          <t>4 — Не обогащён</t>
        </is>
      </c>
      <c r="U7542" s="35" t="inlineStr">
        <is>
          <t>Нет ОКВЭД/ССЧР</t>
        </is>
      </c>
      <c r="V7542" s="35" t="inlineStr">
        <is>
          <t>Не определено</t>
        </is>
      </c>
      <c r="W7542" s="35" t="inlineStr"/>
      <c r="X7542" s="35" t="inlineStr"/>
    </row>
    <row r="7543" ht="27.75" customHeight="1" s="24">
      <c r="A7543" s="13" t="inlineStr">
        <is>
          <t>FR443231</t>
        </is>
      </c>
      <c r="B7543" s="13" t="inlineStr">
        <is>
          <t>ОБЩЕСТВО С ОГРАНИЧЕННОЙ ОТВЕТСТВЕННОСТЬЮ "ЭНЕРГОТЕХСЕРВИС"</t>
        </is>
      </c>
      <c r="C7543" s="13" t="n">
        <v>3811157897</v>
      </c>
      <c r="D7543" s="13" t="inlineStr">
        <is>
          <t>3811157897</t>
        </is>
      </c>
      <c r="E7543" s="13" t="inlineStr">
        <is>
          <t>ЮЛ РФ</t>
        </is>
      </c>
      <c r="F7543" s="13" t="n"/>
      <c r="G7543" s="52" t="n">
        <v>19</v>
      </c>
      <c r="H7543" s="52" t="n">
        <v>2025</v>
      </c>
      <c r="I7543" s="14" t="n"/>
      <c r="J7543" s="14" t="n"/>
      <c r="K7543" s="53" t="inlineStr">
        <is>
          <t>Нет</t>
        </is>
      </c>
      <c r="L7543" s="53" t="inlineStr">
        <is>
          <t>Не определено</t>
        </is>
      </c>
      <c r="M7543" s="53" t="inlineStr">
        <is>
          <t>До 25</t>
        </is>
      </c>
      <c r="N7543" s="54" t="n">
        <v>8400</v>
      </c>
      <c r="O7543" s="55" t="inlineStr">
        <is>
          <t>16–30</t>
        </is>
      </c>
      <c r="P7543" s="16" t="inlineStr">
        <is>
          <t>ССЧР обогащена; ОКВЭД не найден/не загружен</t>
        </is>
      </c>
      <c r="Q7543" s="16" t="inlineStr">
        <is>
          <t>ФНС открытые данные ССЧР (ДатаСост 31.12.2025; набор 7707329152-sshr2019)</t>
        </is>
      </c>
      <c r="R7543" s="16">
        <f>HYPERLINK("https://checko.ru/search?query=3801001629","Чекко: проверить")</f>
        <v/>
      </c>
      <c r="S7543" t="n">
        <v>1</v>
      </c>
      <c r="T7543" s="35" t="inlineStr">
        <is>
          <t>4 — Не обогащён</t>
        </is>
      </c>
      <c r="U7543" s="35" t="inlineStr">
        <is>
          <t>Нет ОКВЭД/ССЧР</t>
        </is>
      </c>
      <c r="V7543" s="35" t="inlineStr">
        <is>
          <t>Не определено</t>
        </is>
      </c>
      <c r="W7543" s="35" t="inlineStr">
        <is>
          <t>Нет</t>
        </is>
      </c>
      <c r="X7543" s="35" t="inlineStr"/>
    </row>
    <row r="7544" ht="27.75" customHeight="1" s="24">
      <c r="A7544" s="13" t="inlineStr">
        <is>
          <t>FR1281678</t>
        </is>
      </c>
      <c r="B7544" s="13" t="inlineStr">
        <is>
          <t>Общество с ограниченной ответственностью "СТРОЙМЕХ"</t>
        </is>
      </c>
      <c r="C7544" s="13" t="n">
        <v>3811998995</v>
      </c>
      <c r="D7544" s="13" t="inlineStr">
        <is>
          <t>3811998995</t>
        </is>
      </c>
      <c r="E7544" s="13" t="inlineStr">
        <is>
          <t>ЮЛ РФ</t>
        </is>
      </c>
      <c r="F7544" s="13" t="n"/>
      <c r="G7544" s="52" t="n">
        <v>49</v>
      </c>
      <c r="H7544" s="52" t="n">
        <v>2025</v>
      </c>
      <c r="I7544" s="52" t="inlineStr">
        <is>
          <t>43.12</t>
        </is>
      </c>
      <c r="J7544" s="52" t="inlineStr">
        <is>
          <t>43.12; 06.10; 41.20; 42.11; 42.12; 43.12.3; 43.99; 43.99.6; 46.46; 46.71; 46.73; 64.92</t>
        </is>
      </c>
      <c r="K7544" s="53" t="inlineStr">
        <is>
          <t>Да</t>
        </is>
      </c>
      <c r="L7544" s="53" t="inlineStr">
        <is>
          <t>Да</t>
        </is>
      </c>
      <c r="M7544" s="53" t="inlineStr">
        <is>
          <t>До 50</t>
        </is>
      </c>
      <c r="N7544" s="54" t="n">
        <v>16800</v>
      </c>
      <c r="O7544" s="55" t="inlineStr">
        <is>
          <t>31–50</t>
        </is>
      </c>
      <c r="P7544" s="16" t="inlineStr">
        <is>
          <t>ССЧР + ОКВЭД обогащены</t>
        </is>
      </c>
      <c r="Q7544" s="16" t="inlineStr">
        <is>
          <t>ФНС открытые данные ССЧР (ДатаСост 31.12.2025; набор 7707329152-sshr2019)</t>
        </is>
      </c>
      <c r="R7544" s="16" t="inlineStr">
        <is>
          <t>ЕГРЮЛ / egrul.nalog.ru (выписка)</t>
        </is>
      </c>
      <c r="S7544" t="n">
        <v>1</v>
      </c>
      <c r="T7544" s="35" t="inlineStr">
        <is>
          <t>1 — Горячий</t>
        </is>
      </c>
      <c r="U7544" s="35" t="inlineStr">
        <is>
          <t>ОКВЭД + 22+</t>
        </is>
      </c>
      <c r="V7544" s="35" t="inlineStr">
        <is>
          <t>Да</t>
        </is>
      </c>
      <c r="W7544" s="35" t="inlineStr">
        <is>
          <t>Да</t>
        </is>
      </c>
      <c r="X7544" s="35" t="inlineStr">
        <is>
          <t>Да</t>
        </is>
      </c>
    </row>
    <row r="7545" ht="27.75" customHeight="1" s="24">
      <c r="A7545" s="13" t="inlineStr">
        <is>
          <t>FR323866</t>
        </is>
      </c>
      <c r="B7545" s="13" t="inlineStr">
        <is>
          <t>ОБЩЕСТВО С ОГРАНИЧЕННОЙ ОТВЕТСТВЕННОСТЬЮ "СЕВЕР СТРОЙ"</t>
        </is>
      </c>
      <c r="C7545" s="13" t="n">
        <v>3808219134</v>
      </c>
      <c r="D7545" s="13" t="inlineStr">
        <is>
          <t>3808219134</t>
        </is>
      </c>
      <c r="E7545" s="13" t="inlineStr">
        <is>
          <t>ЮЛ РФ</t>
        </is>
      </c>
      <c r="F7545" s="13" t="n"/>
      <c r="G7545" s="52" t="n">
        <v>31</v>
      </c>
      <c r="H7545" s="52" t="n">
        <v>2025</v>
      </c>
      <c r="I7545" s="52" t="inlineStr">
        <is>
          <t>07.29.41</t>
        </is>
      </c>
      <c r="J7545" s="52" t="inlineStr">
        <is>
          <t>07.29.41; 16.10.9; 43.11; 43.12; 43.99; 45.11; 45.19; 45.20; 45.31; 46.32; 46.33; 46.34; 46.35; 46.36; 46.37; 46.38; 46.39; 46.41; 46.42; 46.43; 46.44; 46.45; 46.46; 46.47; 46.48; 46.49; 46.61; 46.62; 46.63; 46.64; 46.65; 46.66; 46.69; 46.71; 46.72; 46.72.23; 46.73; 46.74; 46.75; 46.76; 46.77; 46.90; 47.25.1; 47.26; 47.52.7; 49.31; 49.32; 49.39; 71.12.3</t>
        </is>
      </c>
      <c r="K7545" s="53" t="inlineStr">
        <is>
          <t>Да</t>
        </is>
      </c>
      <c r="L7545" s="53" t="inlineStr">
        <is>
          <t>Да</t>
        </is>
      </c>
      <c r="M7545" s="53" t="inlineStr">
        <is>
          <t>До 50</t>
        </is>
      </c>
      <c r="N7545" s="54" t="n">
        <v>16800</v>
      </c>
      <c r="O7545" s="55" t="inlineStr">
        <is>
          <t>31–50</t>
        </is>
      </c>
      <c r="P7545" s="16" t="inlineStr">
        <is>
          <t>ССЧР + ОКВЭД обогащены</t>
        </is>
      </c>
      <c r="Q7545" s="16" t="inlineStr">
        <is>
          <t>ФНС открытые данные ССЧР (ДатаСост 31.12.2025; набор 7707329152-sshr2019)</t>
        </is>
      </c>
      <c r="R7545" s="16" t="inlineStr">
        <is>
          <t>ЕГРЮЛ / egrul.nalog.ru (выписка)</t>
        </is>
      </c>
      <c r="S7545" t="n">
        <v>1</v>
      </c>
      <c r="T7545" s="35" t="inlineStr">
        <is>
          <t>1 — Горячий</t>
        </is>
      </c>
      <c r="U7545" s="35" t="inlineStr">
        <is>
          <t>ОКВЭД + 22+</t>
        </is>
      </c>
      <c r="V7545" s="35" t="inlineStr">
        <is>
          <t>Да</t>
        </is>
      </c>
      <c r="W7545" s="35" t="inlineStr">
        <is>
          <t>Да</t>
        </is>
      </c>
      <c r="X7545" s="35" t="inlineStr">
        <is>
          <t>Да</t>
        </is>
      </c>
    </row>
    <row r="7546" ht="27.75" customHeight="1" s="24">
      <c r="A7546" s="13" t="inlineStr">
        <is>
          <t>FR730196</t>
        </is>
      </c>
      <c r="B7546" s="13" t="inlineStr">
        <is>
          <t>Общество с ограниченной ответственностью "ВАРИАНТ"</t>
        </is>
      </c>
      <c r="C7546" s="13" t="n">
        <v>2315101133</v>
      </c>
      <c r="D7546" s="13" t="inlineStr">
        <is>
          <t>2315101133</t>
        </is>
      </c>
      <c r="E7546" s="13" t="inlineStr">
        <is>
          <t>ЮЛ РФ</t>
        </is>
      </c>
      <c r="F7546" s="13" t="n"/>
      <c r="G7546" s="52" t="n">
        <v>9</v>
      </c>
      <c r="H7546" s="52" t="n">
        <v>2025</v>
      </c>
      <c r="I7546" s="14" t="n"/>
      <c r="J7546" s="14" t="n"/>
      <c r="K7546" s="53" t="inlineStr">
        <is>
          <t>Нет</t>
        </is>
      </c>
      <c r="L7546" s="53" t="inlineStr">
        <is>
          <t>Не определено</t>
        </is>
      </c>
      <c r="M7546" s="53" t="inlineStr">
        <is>
          <t>До 10</t>
        </is>
      </c>
      <c r="N7546" s="54" t="n">
        <v>3360</v>
      </c>
      <c r="O7546" s="55" t="inlineStr">
        <is>
          <t>1–15</t>
        </is>
      </c>
      <c r="P7546" s="16" t="inlineStr">
        <is>
          <t>ССЧР обогащена; ОКВЭД не найден/не загружен</t>
        </is>
      </c>
      <c r="Q7546" s="16" t="inlineStr">
        <is>
          <t>ФНС открытые данные ССЧР (ДатаСост 31.12.2025; набор 7707329152-sshr2019)</t>
        </is>
      </c>
      <c r="R7546" s="16">
        <f>HYPERLINK("https://checko.ru/search?query=3801001629","Чекко: проверить")</f>
        <v/>
      </c>
      <c r="S7546" t="n">
        <v>1</v>
      </c>
      <c r="T7546" s="35" t="inlineStr">
        <is>
          <t>4 — Не обогащён</t>
        </is>
      </c>
      <c r="U7546" s="35" t="inlineStr">
        <is>
          <t>Нет ОКВЭД/ССЧР</t>
        </is>
      </c>
      <c r="V7546" s="35" t="inlineStr">
        <is>
          <t>Не определено</t>
        </is>
      </c>
      <c r="W7546" s="35" t="inlineStr">
        <is>
          <t>Нет</t>
        </is>
      </c>
      <c r="X7546" s="35" t="inlineStr"/>
    </row>
    <row r="7547" ht="27.75" customHeight="1" s="24">
      <c r="A7547" s="13" t="inlineStr">
        <is>
          <t>FR191996</t>
        </is>
      </c>
      <c r="B7547" s="13" t="inlineStr">
        <is>
          <t>Акционерное общество "ЦЕНТР ИНФРАСТРУКТУРНОГО РАЗВИТИЯ"</t>
        </is>
      </c>
      <c r="C7547" s="13" t="n">
        <v>2462036284</v>
      </c>
      <c r="D7547" s="13" t="inlineStr">
        <is>
          <t>2462036284</t>
        </is>
      </c>
      <c r="E7547" s="13" t="inlineStr">
        <is>
          <t>ЮЛ РФ</t>
        </is>
      </c>
      <c r="F7547" s="13" t="n"/>
      <c r="G7547" s="52" t="n">
        <v>0</v>
      </c>
      <c r="H7547" s="52" t="n">
        <v>2025</v>
      </c>
      <c r="I7547" s="14" t="n"/>
      <c r="J7547" s="14" t="n"/>
      <c r="K7547" s="53" t="inlineStr">
        <is>
          <t>Нет</t>
        </is>
      </c>
      <c r="L7547" s="53" t="inlineStr">
        <is>
          <t>Не определено</t>
        </is>
      </c>
      <c r="M7547" s="53" t="inlineStr">
        <is>
          <t>До 10</t>
        </is>
      </c>
      <c r="N7547" s="54" t="n">
        <v>3360</v>
      </c>
      <c r="O7547" s="55" t="inlineStr">
        <is>
          <t>1–15</t>
        </is>
      </c>
      <c r="P7547" s="16" t="inlineStr">
        <is>
          <t>ССЧР обогащена; ОКВЭД не найден/не загружен</t>
        </is>
      </c>
      <c r="Q7547" s="16" t="inlineStr">
        <is>
          <t>ФНС открытые данные ССЧР (ДатаСост 31.12.2025; набор 7707329152-sshr2019)</t>
        </is>
      </c>
      <c r="R7547" s="16">
        <f>HYPERLINK("https://checko.ru/search?query=3801001629","Чекко: проверить")</f>
        <v/>
      </c>
      <c r="S7547" t="n">
        <v>1</v>
      </c>
      <c r="T7547" s="35" t="inlineStr">
        <is>
          <t>4 — Не обогащён</t>
        </is>
      </c>
      <c r="U7547" s="35" t="inlineStr">
        <is>
          <t>Нет ОКВЭД/ССЧР</t>
        </is>
      </c>
      <c r="V7547" s="35" t="inlineStr">
        <is>
          <t>Не определено</t>
        </is>
      </c>
      <c r="W7547" s="35" t="inlineStr">
        <is>
          <t>Нет</t>
        </is>
      </c>
      <c r="X7547" s="35" t="inlineStr"/>
    </row>
    <row r="7548" ht="41.25" customHeight="1" s="24">
      <c r="A7548" s="13" t="inlineStr">
        <is>
          <t>FR7206</t>
        </is>
      </c>
      <c r="B7548" s="13" t="inlineStr">
        <is>
          <t>Общество с ограниченной ответственностью "ЦЕНТР ПРОТЕЗИРОВАНИЯ, ОРТОПЕДИИ И РЕАБИЛИТАЦИИ "БАЙКАЛ-ОРТ</t>
        </is>
      </c>
      <c r="C7548" s="13" t="n">
        <v>3849102840</v>
      </c>
      <c r="D7548" s="13" t="inlineStr">
        <is>
          <t>3849102840</t>
        </is>
      </c>
      <c r="E7548" s="13" t="inlineStr">
        <is>
          <t>ЮЛ РФ</t>
        </is>
      </c>
      <c r="F7548" s="13" t="n"/>
      <c r="G7548" s="52" t="n">
        <v>2</v>
      </c>
      <c r="H7548" s="52" t="n">
        <v>2025</v>
      </c>
      <c r="I7548" s="14" t="n"/>
      <c r="J7548" s="14" t="n"/>
      <c r="K7548" s="53" t="inlineStr">
        <is>
          <t>Нет</t>
        </is>
      </c>
      <c r="L7548" s="53" t="inlineStr">
        <is>
          <t>Не определено</t>
        </is>
      </c>
      <c r="M7548" s="53" t="inlineStr">
        <is>
          <t>До 10</t>
        </is>
      </c>
      <c r="N7548" s="54" t="n">
        <v>3360</v>
      </c>
      <c r="O7548" s="55" t="inlineStr">
        <is>
          <t>1–15</t>
        </is>
      </c>
      <c r="P7548" s="16" t="inlineStr">
        <is>
          <t>ССЧР обогащена; ОКВЭД не найден/не загружен</t>
        </is>
      </c>
      <c r="Q7548" s="16" t="inlineStr">
        <is>
          <t>ФНС открытые данные ССЧР (ДатаСост 31.12.2025; набор 7707329152-sshr2019)</t>
        </is>
      </c>
      <c r="R7548" s="16">
        <f>HYPERLINK("https://checko.ru/search?query=3801001629","Чекко: проверить")</f>
        <v/>
      </c>
      <c r="S7548" t="n">
        <v>1</v>
      </c>
      <c r="T7548" s="35" t="inlineStr">
        <is>
          <t>4 — Не обогащён</t>
        </is>
      </c>
      <c r="U7548" s="35" t="inlineStr">
        <is>
          <t>Нет ОКВЭД/ССЧР</t>
        </is>
      </c>
      <c r="V7548" s="35" t="inlineStr">
        <is>
          <t>Не определено</t>
        </is>
      </c>
      <c r="W7548" s="35" t="inlineStr">
        <is>
          <t>Нет</t>
        </is>
      </c>
      <c r="X7548" s="35" t="inlineStr"/>
    </row>
    <row r="7549" ht="15" customHeight="1" s="24">
      <c r="A7549" s="13" t="inlineStr">
        <is>
          <t>FR57200</t>
        </is>
      </c>
      <c r="B7549" s="13" t="inlineStr">
        <is>
          <t>ООО "АЛЬЯНС РЕГИОН ТРЕЙД"</t>
        </is>
      </c>
      <c r="C7549" s="13" t="n">
        <v>7329014546</v>
      </c>
      <c r="D7549" s="13" t="inlineStr">
        <is>
          <t>7329014546</t>
        </is>
      </c>
      <c r="E7549" s="13" t="inlineStr">
        <is>
          <t>ЮЛ РФ</t>
        </is>
      </c>
      <c r="F7549" s="13" t="n"/>
      <c r="G7549" s="52" t="n">
        <v>13</v>
      </c>
      <c r="H7549" s="52" t="n">
        <v>2025</v>
      </c>
      <c r="I7549" s="14" t="n"/>
      <c r="J7549" s="14" t="n"/>
      <c r="K7549" s="53" t="inlineStr">
        <is>
          <t>Нет</t>
        </is>
      </c>
      <c r="L7549" s="53" t="inlineStr">
        <is>
          <t>Не определено</t>
        </is>
      </c>
      <c r="M7549" s="53" t="inlineStr">
        <is>
          <t>До 25</t>
        </is>
      </c>
      <c r="N7549" s="54" t="n">
        <v>8400</v>
      </c>
      <c r="O7549" s="55" t="inlineStr">
        <is>
          <t>1–15</t>
        </is>
      </c>
      <c r="P7549" s="16" t="inlineStr">
        <is>
          <t>ССЧР обогащена; ОКВЭД не найден/не загружен</t>
        </is>
      </c>
      <c r="Q7549" s="16" t="inlineStr">
        <is>
          <t>ФНС открытые данные ССЧР (ДатаСост 31.12.2025; набор 7707329152-sshr2019)</t>
        </is>
      </c>
      <c r="R7549" s="16">
        <f>HYPERLINK("https://checko.ru/search?query=3801001629","Чекко: проверить")</f>
        <v/>
      </c>
      <c r="S7549" t="n">
        <v>1</v>
      </c>
      <c r="T7549" s="35" t="inlineStr">
        <is>
          <t>4 — Не обогащён</t>
        </is>
      </c>
      <c r="U7549" s="35" t="inlineStr">
        <is>
          <t>Нет ОКВЭД/ССЧР</t>
        </is>
      </c>
      <c r="V7549" s="35" t="inlineStr">
        <is>
          <t>Не определено</t>
        </is>
      </c>
      <c r="W7549" s="35" t="inlineStr">
        <is>
          <t>Нет</t>
        </is>
      </c>
      <c r="X7549" s="35" t="inlineStr"/>
    </row>
    <row r="7550" ht="15" customHeight="1" s="24">
      <c r="A7550" s="13" t="inlineStr">
        <is>
          <t>FR5957</t>
        </is>
      </c>
      <c r="B7550" s="13" t="inlineStr">
        <is>
          <t>ЭлСиб-Иркутск</t>
        </is>
      </c>
      <c r="C7550" s="13" t="n">
        <v>3810328613</v>
      </c>
      <c r="D7550" s="13" t="inlineStr">
        <is>
          <t>3810328613</t>
        </is>
      </c>
      <c r="E7550" s="13" t="inlineStr">
        <is>
          <t>ЮЛ РФ</t>
        </is>
      </c>
      <c r="F7550" s="13" t="n"/>
      <c r="G7550" s="52" t="n">
        <v>1</v>
      </c>
      <c r="H7550" s="52" t="n">
        <v>2025</v>
      </c>
      <c r="I7550" s="14" t="n"/>
      <c r="J7550" s="14" t="n"/>
      <c r="K7550" s="53" t="inlineStr">
        <is>
          <t>Нет</t>
        </is>
      </c>
      <c r="L7550" s="53" t="inlineStr">
        <is>
          <t>Не определено</t>
        </is>
      </c>
      <c r="M7550" s="53" t="inlineStr">
        <is>
          <t>До 10</t>
        </is>
      </c>
      <c r="N7550" s="54" t="n">
        <v>3360</v>
      </c>
      <c r="O7550" s="55" t="inlineStr">
        <is>
          <t>1–15</t>
        </is>
      </c>
      <c r="P7550" s="16" t="inlineStr">
        <is>
          <t>ССЧР обогащена; ОКВЭД не найден/не загружен</t>
        </is>
      </c>
      <c r="Q7550" s="16" t="inlineStr">
        <is>
          <t>ФНС открытые данные ССЧР (ДатаСост 31.12.2025; набор 7707329152-sshr2019)</t>
        </is>
      </c>
      <c r="R7550" s="16">
        <f>HYPERLINK("https://checko.ru/search?query=3801001629","Чекко: проверить")</f>
        <v/>
      </c>
      <c r="S7550" t="n">
        <v>1</v>
      </c>
      <c r="T7550" s="35" t="inlineStr">
        <is>
          <t>4 — Не обогащён</t>
        </is>
      </c>
      <c r="U7550" s="35" t="inlineStr">
        <is>
          <t>Нет ОКВЭД/ССЧР</t>
        </is>
      </c>
      <c r="V7550" s="35" t="inlineStr">
        <is>
          <t>Не определено</t>
        </is>
      </c>
      <c r="W7550" s="35" t="inlineStr">
        <is>
          <t>Нет</t>
        </is>
      </c>
      <c r="X7550" s="35" t="inlineStr"/>
    </row>
    <row r="7551" ht="15" customHeight="1" s="24">
      <c r="A7551" s="13" t="inlineStr">
        <is>
          <t>FR14603</t>
        </is>
      </c>
      <c r="B7551" s="13" t="inlineStr">
        <is>
          <t>ИП Висневская Светлана Викторовна</t>
        </is>
      </c>
      <c r="C7551" s="13" t="n">
        <v>380800408038</v>
      </c>
      <c r="D7551" s="13" t="inlineStr">
        <is>
          <t>380800408038</t>
        </is>
      </c>
      <c r="E7551" s="13" t="inlineStr">
        <is>
          <t>ИП РФ / физлицо</t>
        </is>
      </c>
      <c r="F7551" s="13" t="n"/>
      <c r="G7551" s="14" t="n"/>
      <c r="H7551" s="14" t="n"/>
      <c r="I7551" s="14" t="n"/>
      <c r="J7551" s="14" t="n"/>
      <c r="K7551" s="53" t="inlineStr"/>
      <c r="L7551" s="53" t="inlineStr">
        <is>
          <t>Не определено</t>
        </is>
      </c>
      <c r="M7551" s="53" t="inlineStr"/>
      <c r="N7551" s="54" t="inlineStr"/>
      <c r="O7551" s="55" t="inlineStr"/>
      <c r="P7551" s="16" t="inlineStr">
        <is>
          <t>Требует обогащения</t>
        </is>
      </c>
      <c r="Q7551" s="16">
        <f>HYPERLINK("https://pb.nalog.ru/search.html?query=380800408038","ФНС: проверить")</f>
        <v/>
      </c>
      <c r="R7551" s="16">
        <f>HYPERLINK("https://checko.ru/search?query=3801001629","Чекко: проверить")</f>
        <v/>
      </c>
      <c r="S7551" t="n">
        <v>1</v>
      </c>
      <c r="T7551" s="35" t="inlineStr">
        <is>
          <t>4 — Не обогащён</t>
        </is>
      </c>
      <c r="U7551" s="35" t="inlineStr">
        <is>
          <t>Нет ОКВЭД/ССЧР</t>
        </is>
      </c>
      <c r="V7551" s="35" t="inlineStr">
        <is>
          <t>Не определено</t>
        </is>
      </c>
      <c r="W7551" s="35" t="inlineStr"/>
      <c r="X7551" s="35" t="inlineStr"/>
    </row>
    <row r="7552" ht="15" customHeight="1" s="24">
      <c r="A7552" s="13" t="inlineStr">
        <is>
          <t>FR120385</t>
        </is>
      </c>
      <c r="B7552" s="13" t="inlineStr">
        <is>
          <t>ИП Лунюшкин Евгений Сергеевич</t>
        </is>
      </c>
      <c r="C7552" s="13" t="n">
        <v>381296437703</v>
      </c>
      <c r="D7552" s="13" t="inlineStr">
        <is>
          <t>381296437703</t>
        </is>
      </c>
      <c r="E7552" s="13" t="inlineStr">
        <is>
          <t>ИП РФ / физлицо</t>
        </is>
      </c>
      <c r="F7552" s="13" t="n"/>
      <c r="G7552" s="14" t="n"/>
      <c r="H7552" s="14" t="n"/>
      <c r="I7552" s="14" t="n"/>
      <c r="J7552" s="14" t="n"/>
      <c r="K7552" s="53" t="inlineStr"/>
      <c r="L7552" s="53" t="inlineStr">
        <is>
          <t>Не определено</t>
        </is>
      </c>
      <c r="M7552" s="53" t="inlineStr"/>
      <c r="N7552" s="54" t="inlineStr"/>
      <c r="O7552" s="55" t="inlineStr"/>
      <c r="P7552" s="16" t="inlineStr">
        <is>
          <t>Требует обогащения</t>
        </is>
      </c>
      <c r="Q7552" s="16">
        <f>HYPERLINK("https://pb.nalog.ru/search.html?query=381296437703","ФНС: проверить")</f>
        <v/>
      </c>
      <c r="R7552" s="16">
        <f>HYPERLINK("https://checko.ru/search?query=3801001629","Чекко: проверить")</f>
        <v/>
      </c>
      <c r="S7552" t="n">
        <v>1</v>
      </c>
      <c r="T7552" s="35" t="inlineStr">
        <is>
          <t>4 — Не обогащён</t>
        </is>
      </c>
      <c r="U7552" s="35" t="inlineStr">
        <is>
          <t>Нет ОКВЭД/ССЧР</t>
        </is>
      </c>
      <c r="V7552" s="35" t="inlineStr">
        <is>
          <t>Не определено</t>
        </is>
      </c>
      <c r="W7552" s="35" t="inlineStr"/>
      <c r="X7552" s="35" t="inlineStr"/>
    </row>
    <row r="7553" ht="27.75" customHeight="1" s="24">
      <c r="A7553" s="13" t="inlineStr">
        <is>
          <t>FR203831</t>
        </is>
      </c>
      <c r="B7553" s="13" t="inlineStr">
        <is>
          <t>Общество с ограниченной ответственностью "ТрансИндустрия"</t>
        </is>
      </c>
      <c r="C7553" s="13" t="n">
        <v>3811098955</v>
      </c>
      <c r="D7553" s="13" t="inlineStr">
        <is>
          <t>3811098955</t>
        </is>
      </c>
      <c r="E7553" s="13" t="inlineStr">
        <is>
          <t>ЮЛ РФ</t>
        </is>
      </c>
      <c r="F7553" s="13" t="n"/>
      <c r="G7553" s="52" t="n">
        <v>4</v>
      </c>
      <c r="H7553" s="52" t="n">
        <v>2025</v>
      </c>
      <c r="I7553" s="14" t="n"/>
      <c r="J7553" s="14" t="n"/>
      <c r="K7553" s="53" t="inlineStr">
        <is>
          <t>Нет</t>
        </is>
      </c>
      <c r="L7553" s="53" t="inlineStr">
        <is>
          <t>Не определено</t>
        </is>
      </c>
      <c r="M7553" s="53" t="inlineStr">
        <is>
          <t>До 10</t>
        </is>
      </c>
      <c r="N7553" s="54" t="n">
        <v>3360</v>
      </c>
      <c r="O7553" s="55" t="inlineStr">
        <is>
          <t>1–15</t>
        </is>
      </c>
      <c r="P7553" s="16" t="inlineStr">
        <is>
          <t>ССЧР обогащена; ОКВЭД не найден/не загружен</t>
        </is>
      </c>
      <c r="Q7553" s="16" t="inlineStr">
        <is>
          <t>ФНС открытые данные ССЧР (ДатаСост 31.12.2025; набор 7707329152-sshr2019)</t>
        </is>
      </c>
      <c r="R7553" s="16">
        <f>HYPERLINK("https://checko.ru/search?query=3801001629","Чекко: проверить")</f>
        <v/>
      </c>
      <c r="S7553" t="n">
        <v>1</v>
      </c>
      <c r="T7553" s="35" t="inlineStr">
        <is>
          <t>4 — Не обогащён</t>
        </is>
      </c>
      <c r="U7553" s="35" t="inlineStr">
        <is>
          <t>Нет ОКВЭД/ССЧР</t>
        </is>
      </c>
      <c r="V7553" s="35" t="inlineStr">
        <is>
          <t>Не определено</t>
        </is>
      </c>
      <c r="W7553" s="35" t="inlineStr">
        <is>
          <t>Нет</t>
        </is>
      </c>
      <c r="X7553" s="35" t="inlineStr"/>
    </row>
    <row r="7554" ht="15" customHeight="1" s="24">
      <c r="A7554" s="13" t="inlineStr">
        <is>
          <t>FR273931</t>
        </is>
      </c>
      <c r="B7554" s="13" t="inlineStr">
        <is>
          <t>ИП Белоусов Иван Владимирович</t>
        </is>
      </c>
      <c r="C7554" s="13" t="n">
        <v>660705596980</v>
      </c>
      <c r="D7554" s="13" t="inlineStr">
        <is>
          <t>660705596980</t>
        </is>
      </c>
      <c r="E7554" s="13" t="inlineStr">
        <is>
          <t>ИП РФ / физлицо</t>
        </is>
      </c>
      <c r="F7554" s="13" t="n"/>
      <c r="G7554" s="14" t="n"/>
      <c r="H7554" s="14" t="n"/>
      <c r="I7554" s="14" t="n"/>
      <c r="J7554" s="14" t="n"/>
      <c r="K7554" s="53" t="inlineStr"/>
      <c r="L7554" s="53" t="inlineStr">
        <is>
          <t>Не определено</t>
        </is>
      </c>
      <c r="M7554" s="53" t="inlineStr"/>
      <c r="N7554" s="54" t="inlineStr"/>
      <c r="O7554" s="55" t="inlineStr"/>
      <c r="P7554" s="16" t="inlineStr">
        <is>
          <t>Требует обогащения</t>
        </is>
      </c>
      <c r="Q7554" s="16">
        <f>HYPERLINK("https://pb.nalog.ru/search.html?query=660705596980","ФНС: проверить")</f>
        <v/>
      </c>
      <c r="R7554" s="16">
        <f>HYPERLINK("https://checko.ru/search?query=3801001629","Чекко: проверить")</f>
        <v/>
      </c>
      <c r="S7554" t="n">
        <v>1</v>
      </c>
      <c r="T7554" s="35" t="inlineStr">
        <is>
          <t>4 — Не обогащён</t>
        </is>
      </c>
      <c r="U7554" s="35" t="inlineStr">
        <is>
          <t>Нет ОКВЭД/ССЧР</t>
        </is>
      </c>
      <c r="V7554" s="35" t="inlineStr">
        <is>
          <t>Не определено</t>
        </is>
      </c>
      <c r="W7554" s="35" t="inlineStr"/>
      <c r="X7554" s="35" t="inlineStr"/>
    </row>
    <row r="7555" ht="15" customHeight="1" s="24">
      <c r="A7555" s="13" t="inlineStr">
        <is>
          <t>FR236258</t>
        </is>
      </c>
      <c r="B7555" s="13" t="inlineStr">
        <is>
          <t>ФАНФАН, ООО</t>
        </is>
      </c>
      <c r="C7555" s="13" t="n">
        <v>7715818580</v>
      </c>
      <c r="D7555" s="13" t="inlineStr">
        <is>
          <t>7715818580</t>
        </is>
      </c>
      <c r="E7555" s="13" t="inlineStr">
        <is>
          <t>ЮЛ РФ</t>
        </is>
      </c>
      <c r="F7555" s="13" t="n"/>
      <c r="G7555" s="52" t="n">
        <v>9</v>
      </c>
      <c r="H7555" s="52" t="n">
        <v>2025</v>
      </c>
      <c r="I7555" s="14" t="n"/>
      <c r="J7555" s="14" t="n"/>
      <c r="K7555" s="53" t="inlineStr">
        <is>
          <t>Нет</t>
        </is>
      </c>
      <c r="L7555" s="53" t="inlineStr">
        <is>
          <t>Не определено</t>
        </is>
      </c>
      <c r="M7555" s="53" t="inlineStr">
        <is>
          <t>До 10</t>
        </is>
      </c>
      <c r="N7555" s="54" t="n">
        <v>3360</v>
      </c>
      <c r="O7555" s="55" t="inlineStr">
        <is>
          <t>1–15</t>
        </is>
      </c>
      <c r="P7555" s="16" t="inlineStr">
        <is>
          <t>ССЧР обогащена; ОКВЭД не найден/не загружен</t>
        </is>
      </c>
      <c r="Q7555" s="16" t="inlineStr">
        <is>
          <t>ФНС открытые данные ССЧР (ДатаСост 31.12.2025; набор 7707329152-sshr2019)</t>
        </is>
      </c>
      <c r="R7555" s="16">
        <f>HYPERLINK("https://checko.ru/search?query=3801001629","Чекко: проверить")</f>
        <v/>
      </c>
      <c r="S7555" t="n">
        <v>1</v>
      </c>
      <c r="T7555" s="35" t="inlineStr">
        <is>
          <t>4 — Не обогащён</t>
        </is>
      </c>
      <c r="U7555" s="35" t="inlineStr">
        <is>
          <t>Нет ОКВЭД/ССЧР</t>
        </is>
      </c>
      <c r="V7555" s="35" t="inlineStr">
        <is>
          <t>Не определено</t>
        </is>
      </c>
      <c r="W7555" s="35" t="inlineStr">
        <is>
          <t>Нет</t>
        </is>
      </c>
      <c r="X7555" s="35" t="inlineStr"/>
    </row>
    <row r="7556" ht="27.75" customHeight="1" s="24">
      <c r="A7556" s="13" t="inlineStr">
        <is>
          <t>FR273258</t>
        </is>
      </c>
      <c r="B7556" s="13" t="inlineStr">
        <is>
          <t>Общество с ограниченной ответственностью "СИБИРСКИЙ ПОСТАВЩИК"</t>
        </is>
      </c>
      <c r="C7556" s="13" t="n">
        <v>3810080384</v>
      </c>
      <c r="D7556" s="13" t="inlineStr">
        <is>
          <t>3810080384</t>
        </is>
      </c>
      <c r="E7556" s="13" t="inlineStr">
        <is>
          <t>ЮЛ РФ</t>
        </is>
      </c>
      <c r="F7556" s="13" t="n"/>
      <c r="G7556" s="52" t="n">
        <v>6</v>
      </c>
      <c r="H7556" s="52" t="n">
        <v>2025</v>
      </c>
      <c r="I7556" s="14" t="n"/>
      <c r="J7556" s="14" t="n"/>
      <c r="K7556" s="53" t="inlineStr">
        <is>
          <t>Нет</t>
        </is>
      </c>
      <c r="L7556" s="53" t="inlineStr">
        <is>
          <t>Не определено</t>
        </is>
      </c>
      <c r="M7556" s="53" t="inlineStr">
        <is>
          <t>До 10</t>
        </is>
      </c>
      <c r="N7556" s="54" t="n">
        <v>3360</v>
      </c>
      <c r="O7556" s="55" t="inlineStr">
        <is>
          <t>1–15</t>
        </is>
      </c>
      <c r="P7556" s="16" t="inlineStr">
        <is>
          <t>ССЧР обогащена; ОКВЭД не найден/не загружен</t>
        </is>
      </c>
      <c r="Q7556" s="16" t="inlineStr">
        <is>
          <t>ФНС открытые данные ССЧР (ДатаСост 31.12.2025; набор 7707329152-sshr2019)</t>
        </is>
      </c>
      <c r="R7556" s="16">
        <f>HYPERLINK("https://checko.ru/search?query=3801001629","Чекко: проверить")</f>
        <v/>
      </c>
      <c r="S7556" t="n">
        <v>1</v>
      </c>
      <c r="T7556" s="35" t="inlineStr">
        <is>
          <t>4 — Не обогащён</t>
        </is>
      </c>
      <c r="U7556" s="35" t="inlineStr">
        <is>
          <t>Нет ОКВЭД/ССЧР</t>
        </is>
      </c>
      <c r="V7556" s="35" t="inlineStr">
        <is>
          <t>Не определено</t>
        </is>
      </c>
      <c r="W7556" s="35" t="inlineStr">
        <is>
          <t>Нет</t>
        </is>
      </c>
      <c r="X7556" s="35" t="inlineStr"/>
    </row>
    <row r="7557" ht="15" customHeight="1" s="24">
      <c r="A7557" s="13" t="inlineStr">
        <is>
          <t>FR1073118</t>
        </is>
      </c>
      <c r="B7557" s="13" t="inlineStr">
        <is>
          <t>Общество с ограниченной ответственностью "ДВТ"</t>
        </is>
      </c>
      <c r="C7557" s="13" t="n">
        <v>6685218905</v>
      </c>
      <c r="D7557" s="13" t="inlineStr">
        <is>
          <t>6685218905</t>
        </is>
      </c>
      <c r="E7557" s="13" t="inlineStr">
        <is>
          <t>ЮЛ РФ</t>
        </is>
      </c>
      <c r="F7557" s="13" t="n"/>
      <c r="G7557" s="52" t="n">
        <v>2</v>
      </c>
      <c r="H7557" s="52" t="n">
        <v>2025</v>
      </c>
      <c r="I7557" s="14" t="n"/>
      <c r="J7557" s="14" t="n"/>
      <c r="K7557" s="53" t="inlineStr">
        <is>
          <t>Нет</t>
        </is>
      </c>
      <c r="L7557" s="53" t="inlineStr">
        <is>
          <t>Не определено</t>
        </is>
      </c>
      <c r="M7557" s="53" t="inlineStr">
        <is>
          <t>До 10</t>
        </is>
      </c>
      <c r="N7557" s="54" t="n">
        <v>3360</v>
      </c>
      <c r="O7557" s="55" t="inlineStr">
        <is>
          <t>1–15</t>
        </is>
      </c>
      <c r="P7557" s="16" t="inlineStr">
        <is>
          <t>ССЧР обогащена; ОКВЭД не найден/не загружен</t>
        </is>
      </c>
      <c r="Q7557" s="16" t="inlineStr">
        <is>
          <t>ФНС открытые данные ССЧР (ДатаСост 31.12.2025; набор 7707329152-sshr2019)</t>
        </is>
      </c>
      <c r="R7557" s="16">
        <f>HYPERLINK("https://checko.ru/search?query=3801001629","Чекко: проверить")</f>
        <v/>
      </c>
      <c r="S7557" t="n">
        <v>1</v>
      </c>
      <c r="T7557" s="35" t="inlineStr">
        <is>
          <t>4 — Не обогащён</t>
        </is>
      </c>
      <c r="U7557" s="35" t="inlineStr">
        <is>
          <t>Нет ОКВЭД/ССЧР</t>
        </is>
      </c>
      <c r="V7557" s="35" t="inlineStr">
        <is>
          <t>Не определено</t>
        </is>
      </c>
      <c r="W7557" s="35" t="inlineStr">
        <is>
          <t>Нет</t>
        </is>
      </c>
      <c r="X7557" s="35" t="inlineStr"/>
    </row>
    <row r="7558" ht="27.75" customHeight="1" s="24">
      <c r="A7558" s="13" t="inlineStr">
        <is>
          <t>FR508488</t>
        </is>
      </c>
      <c r="B7558" s="13" t="inlineStr">
        <is>
          <t>ОБЩЕСТВО С ОГРАНИЧЕННОЙ ОТВЕТСТВЕННОСТЬЮ "ДИЛСИС"</t>
        </is>
      </c>
      <c r="C7558" s="13" t="n">
        <v>7838057907</v>
      </c>
      <c r="D7558" s="13" t="inlineStr">
        <is>
          <t>7838057907</t>
        </is>
      </c>
      <c r="E7558" s="13" t="inlineStr">
        <is>
          <t>ЮЛ РФ</t>
        </is>
      </c>
      <c r="F7558" s="13" t="n"/>
      <c r="G7558" s="52" t="n">
        <v>12</v>
      </c>
      <c r="H7558" s="52" t="n">
        <v>2025</v>
      </c>
      <c r="I7558" s="14" t="n"/>
      <c r="J7558" s="14" t="n"/>
      <c r="K7558" s="53" t="inlineStr">
        <is>
          <t>Нет</t>
        </is>
      </c>
      <c r="L7558" s="53" t="inlineStr">
        <is>
          <t>Не определено</t>
        </is>
      </c>
      <c r="M7558" s="53" t="inlineStr">
        <is>
          <t>До 25</t>
        </is>
      </c>
      <c r="N7558" s="54" t="n">
        <v>8400</v>
      </c>
      <c r="O7558" s="55" t="inlineStr">
        <is>
          <t>1–15</t>
        </is>
      </c>
      <c r="P7558" s="16" t="inlineStr">
        <is>
          <t>ССЧР обогащена; ОКВЭД не найден/не загружен</t>
        </is>
      </c>
      <c r="Q7558" s="16" t="inlineStr">
        <is>
          <t>ФНС открытые данные ССЧР (ДатаСост 31.12.2025; набор 7707329152-sshr2019)</t>
        </is>
      </c>
      <c r="R7558" s="16">
        <f>HYPERLINK("https://checko.ru/search?query=3801001629","Чекко: проверить")</f>
        <v/>
      </c>
      <c r="S7558" t="n">
        <v>1</v>
      </c>
      <c r="T7558" s="35" t="inlineStr">
        <is>
          <t>4 — Не обогащён</t>
        </is>
      </c>
      <c r="U7558" s="35" t="inlineStr">
        <is>
          <t>Нет ОКВЭД/ССЧР</t>
        </is>
      </c>
      <c r="V7558" s="35" t="inlineStr">
        <is>
          <t>Не определено</t>
        </is>
      </c>
      <c r="W7558" s="35" t="inlineStr">
        <is>
          <t>Нет</t>
        </is>
      </c>
      <c r="X7558" s="35" t="inlineStr"/>
    </row>
    <row r="7559" ht="41.25" customHeight="1" s="24">
      <c r="A7559" s="13" t="inlineStr">
        <is>
          <t>FR1282674</t>
        </is>
      </c>
      <c r="B7559" s="13" t="inlineStr">
        <is>
          <t>Общество с ограниченной ответственностью "ТРАНСПОРТНО-ЭКСПЕДИЦИОННАЯ КОМПАНИЯ "СЛУЖБА ДОСТАВКИ"</t>
        </is>
      </c>
      <c r="C7559" s="13" t="n">
        <v>3805729842</v>
      </c>
      <c r="D7559" s="13" t="inlineStr">
        <is>
          <t>3805729842</t>
        </is>
      </c>
      <c r="E7559" s="13" t="inlineStr">
        <is>
          <t>ЮЛ РФ</t>
        </is>
      </c>
      <c r="F7559" s="13" t="n"/>
      <c r="G7559" s="52" t="n">
        <v>7</v>
      </c>
      <c r="H7559" s="52" t="n">
        <v>2025</v>
      </c>
      <c r="I7559" s="14" t="n"/>
      <c r="J7559" s="14" t="n"/>
      <c r="K7559" s="53" t="inlineStr">
        <is>
          <t>Нет</t>
        </is>
      </c>
      <c r="L7559" s="53" t="inlineStr">
        <is>
          <t>Не определено</t>
        </is>
      </c>
      <c r="M7559" s="53" t="inlineStr">
        <is>
          <t>До 10</t>
        </is>
      </c>
      <c r="N7559" s="54" t="n">
        <v>3360</v>
      </c>
      <c r="O7559" s="55" t="inlineStr">
        <is>
          <t>1–15</t>
        </is>
      </c>
      <c r="P7559" s="16" t="inlineStr">
        <is>
          <t>ССЧР обогащена; ОКВЭД не найден/не загружен</t>
        </is>
      </c>
      <c r="Q7559" s="16" t="inlineStr">
        <is>
          <t>ФНС открытые данные ССЧР (ДатаСост 31.12.2025; набор 7707329152-sshr2019)</t>
        </is>
      </c>
      <c r="R7559" s="16">
        <f>HYPERLINK("https://checko.ru/search?query=3801001629","Чекко: проверить")</f>
        <v/>
      </c>
      <c r="S7559" t="n">
        <v>1</v>
      </c>
      <c r="T7559" s="35" t="inlineStr">
        <is>
          <t>4 — Не обогащён</t>
        </is>
      </c>
      <c r="U7559" s="35" t="inlineStr">
        <is>
          <t>Нет ОКВЭД/ССЧР</t>
        </is>
      </c>
      <c r="V7559" s="35" t="inlineStr">
        <is>
          <t>Не определено</t>
        </is>
      </c>
      <c r="W7559" s="35" t="inlineStr">
        <is>
          <t>Нет</t>
        </is>
      </c>
      <c r="X7559" s="35" t="inlineStr"/>
    </row>
    <row r="7560" ht="15" customHeight="1" s="24">
      <c r="A7560" s="13" t="inlineStr">
        <is>
          <t>FR303188</t>
        </is>
      </c>
      <c r="B7560" s="13" t="inlineStr">
        <is>
          <t>ИП Долгих Анжелика Андреевна</t>
        </is>
      </c>
      <c r="C7560" s="13" t="n">
        <v>381504916192</v>
      </c>
      <c r="D7560" s="13" t="inlineStr">
        <is>
          <t>381504916192</t>
        </is>
      </c>
      <c r="E7560" s="13" t="inlineStr">
        <is>
          <t>ИП РФ / физлицо</t>
        </is>
      </c>
      <c r="F7560" s="13" t="n"/>
      <c r="G7560" s="14" t="n"/>
      <c r="H7560" s="14" t="n"/>
      <c r="I7560" s="14" t="n"/>
      <c r="J7560" s="14" t="n"/>
      <c r="K7560" s="53" t="inlineStr"/>
      <c r="L7560" s="53" t="inlineStr">
        <is>
          <t>Не определено</t>
        </is>
      </c>
      <c r="M7560" s="53" t="inlineStr"/>
      <c r="N7560" s="54" t="inlineStr"/>
      <c r="O7560" s="55" t="inlineStr"/>
      <c r="P7560" s="16" t="inlineStr">
        <is>
          <t>Требует обогащения</t>
        </is>
      </c>
      <c r="Q7560" s="16">
        <f>HYPERLINK("https://pb.nalog.ru/search.html?query=381504916192","ФНС: проверить")</f>
        <v/>
      </c>
      <c r="R7560" s="16">
        <f>HYPERLINK("https://checko.ru/search?query=3801001629","Чекко: проверить")</f>
        <v/>
      </c>
      <c r="S7560" t="n">
        <v>1</v>
      </c>
      <c r="T7560" s="35" t="inlineStr">
        <is>
          <t>4 — Не обогащён</t>
        </is>
      </c>
      <c r="U7560" s="35" t="inlineStr">
        <is>
          <t>Нет ОКВЭД/ССЧР</t>
        </is>
      </c>
      <c r="V7560" s="35" t="inlineStr">
        <is>
          <t>Не определено</t>
        </is>
      </c>
      <c r="W7560" s="35" t="inlineStr"/>
      <c r="X7560" s="35" t="inlineStr"/>
    </row>
    <row r="7561" ht="15" customHeight="1" s="24">
      <c r="A7561" s="13" t="inlineStr">
        <is>
          <t>FR1093287</t>
        </is>
      </c>
      <c r="B7561" s="13" t="inlineStr">
        <is>
          <t>ИП Антипин Иван Анатольевич</t>
        </is>
      </c>
      <c r="C7561" s="13" t="n">
        <v>380502203652</v>
      </c>
      <c r="D7561" s="13" t="inlineStr">
        <is>
          <t>380502203652</t>
        </is>
      </c>
      <c r="E7561" s="13" t="inlineStr">
        <is>
          <t>ИП РФ / физлицо</t>
        </is>
      </c>
      <c r="F7561" s="13" t="n"/>
      <c r="G7561" s="14" t="n"/>
      <c r="H7561" s="14" t="n"/>
      <c r="I7561" s="14" t="n"/>
      <c r="J7561" s="14" t="n"/>
      <c r="K7561" s="53" t="inlineStr"/>
      <c r="L7561" s="53" t="inlineStr">
        <is>
          <t>Не определено</t>
        </is>
      </c>
      <c r="M7561" s="53" t="inlineStr"/>
      <c r="N7561" s="54" t="inlineStr"/>
      <c r="O7561" s="55" t="inlineStr"/>
      <c r="P7561" s="16" t="inlineStr">
        <is>
          <t>Требует обогащения</t>
        </is>
      </c>
      <c r="Q7561" s="16">
        <f>HYPERLINK("https://pb.nalog.ru/search.html?query=380502203652","ФНС: проверить")</f>
        <v/>
      </c>
      <c r="R7561" s="16">
        <f>HYPERLINK("https://checko.ru/search?query=3801001629","Чекко: проверить")</f>
        <v/>
      </c>
      <c r="S7561" t="n">
        <v>1</v>
      </c>
      <c r="T7561" s="35" t="inlineStr">
        <is>
          <t>4 — Не обогащён</t>
        </is>
      </c>
      <c r="U7561" s="35" t="inlineStr">
        <is>
          <t>Нет ОКВЭД/ССЧР</t>
        </is>
      </c>
      <c r="V7561" s="35" t="inlineStr">
        <is>
          <t>Не определено</t>
        </is>
      </c>
      <c r="W7561" s="35" t="inlineStr"/>
      <c r="X7561" s="35" t="inlineStr"/>
    </row>
    <row r="7562" ht="15" customHeight="1" s="24">
      <c r="A7562" s="13" t="inlineStr">
        <is>
          <t>FR721715</t>
        </is>
      </c>
      <c r="B7562" s="13" t="inlineStr">
        <is>
          <t>ИП Мамурков Сергей Витальевич</t>
        </is>
      </c>
      <c r="C7562" s="13" t="n">
        <v>383401675799</v>
      </c>
      <c r="D7562" s="13" t="inlineStr">
        <is>
          <t>383401675799</t>
        </is>
      </c>
      <c r="E7562" s="13" t="inlineStr">
        <is>
          <t>ИП РФ / физлицо</t>
        </is>
      </c>
      <c r="F7562" s="13" t="n"/>
      <c r="G7562" s="14" t="n"/>
      <c r="H7562" s="14" t="n"/>
      <c r="I7562" s="14" t="n"/>
      <c r="J7562" s="14" t="n"/>
      <c r="K7562" s="53" t="inlineStr"/>
      <c r="L7562" s="53" t="inlineStr">
        <is>
          <t>Не определено</t>
        </is>
      </c>
      <c r="M7562" s="53" t="inlineStr"/>
      <c r="N7562" s="54" t="inlineStr"/>
      <c r="O7562" s="55" t="inlineStr"/>
      <c r="P7562" s="16" t="inlineStr">
        <is>
          <t>Требует обогащения</t>
        </is>
      </c>
      <c r="Q7562" s="16">
        <f>HYPERLINK("https://pb.nalog.ru/search.html?query=383401675799","ФНС: проверить")</f>
        <v/>
      </c>
      <c r="R7562" s="16">
        <f>HYPERLINK("https://checko.ru/search?query=3801001629","Чекко: проверить")</f>
        <v/>
      </c>
      <c r="S7562" t="n">
        <v>1</v>
      </c>
      <c r="T7562" s="35" t="inlineStr">
        <is>
          <t>4 — Не обогащён</t>
        </is>
      </c>
      <c r="U7562" s="35" t="inlineStr">
        <is>
          <t>Нет ОКВЭД/ССЧР</t>
        </is>
      </c>
      <c r="V7562" s="35" t="inlineStr">
        <is>
          <t>Не определено</t>
        </is>
      </c>
      <c r="W7562" s="35" t="inlineStr"/>
      <c r="X7562" s="35" t="inlineStr"/>
    </row>
    <row r="7563" ht="41.25" customHeight="1" s="24">
      <c r="A7563" s="13" t="inlineStr">
        <is>
          <t>FR576645</t>
        </is>
      </c>
      <c r="B7563" s="13" t="inlineStr">
        <is>
          <t>ОБЩЕСТВО С ОГРАНИЧЕННОЙ ОТВЕТСТВЕННОСТЬЮ "БРАТСКИЕ ТЕХНОЛОГИИ СВАРКИ"</t>
        </is>
      </c>
      <c r="C7563" s="13" t="n">
        <v>3804114596</v>
      </c>
      <c r="D7563" s="13" t="inlineStr">
        <is>
          <t>3804114596</t>
        </is>
      </c>
      <c r="E7563" s="13" t="inlineStr">
        <is>
          <t>ЮЛ РФ</t>
        </is>
      </c>
      <c r="F7563" s="13" t="n"/>
      <c r="G7563" s="52" t="n">
        <v>12</v>
      </c>
      <c r="H7563" s="52" t="n">
        <v>2025</v>
      </c>
      <c r="I7563" s="14" t="n"/>
      <c r="J7563" s="14" t="n"/>
      <c r="K7563" s="53" t="inlineStr">
        <is>
          <t>Нет</t>
        </is>
      </c>
      <c r="L7563" s="53" t="inlineStr">
        <is>
          <t>Не определено</t>
        </is>
      </c>
      <c r="M7563" s="53" t="inlineStr">
        <is>
          <t>До 25</t>
        </is>
      </c>
      <c r="N7563" s="54" t="n">
        <v>8400</v>
      </c>
      <c r="O7563" s="55" t="inlineStr">
        <is>
          <t>1–15</t>
        </is>
      </c>
      <c r="P7563" s="16" t="inlineStr">
        <is>
          <t>ССЧР обогащена; ОКВЭД не найден/не загружен</t>
        </is>
      </c>
      <c r="Q7563" s="16" t="inlineStr">
        <is>
          <t>ФНС открытые данные ССЧР (ДатаСост 31.12.2025; набор 7707329152-sshr2019)</t>
        </is>
      </c>
      <c r="R7563" s="16">
        <f>HYPERLINK("https://checko.ru/search?query=3801001629","Чекко: проверить")</f>
        <v/>
      </c>
      <c r="S7563" t="n">
        <v>1</v>
      </c>
      <c r="T7563" s="35" t="inlineStr">
        <is>
          <t>4 — Не обогащён</t>
        </is>
      </c>
      <c r="U7563" s="35" t="inlineStr">
        <is>
          <t>Нет ОКВЭД/ССЧР</t>
        </is>
      </c>
      <c r="V7563" s="35" t="inlineStr">
        <is>
          <t>Не определено</t>
        </is>
      </c>
      <c r="W7563" s="35" t="inlineStr">
        <is>
          <t>Нет</t>
        </is>
      </c>
      <c r="X7563" s="35" t="inlineStr"/>
    </row>
    <row r="7564" ht="27.75" customHeight="1" s="24">
      <c r="A7564" s="13" t="inlineStr">
        <is>
          <t>FR885036</t>
        </is>
      </c>
      <c r="B7564" s="13" t="inlineStr">
        <is>
          <t>Общество с ограниченной ответственностью "ТЕХНОЛОГИИ РОСТА"</t>
        </is>
      </c>
      <c r="C7564" s="13" t="n">
        <v>3808284077</v>
      </c>
      <c r="D7564" s="13" t="inlineStr">
        <is>
          <t>3808284077</t>
        </is>
      </c>
      <c r="E7564" s="13" t="inlineStr">
        <is>
          <t>ЮЛ РФ</t>
        </is>
      </c>
      <c r="F7564" s="13" t="n"/>
      <c r="G7564" s="52" t="n">
        <v>9</v>
      </c>
      <c r="H7564" s="52" t="n">
        <v>2025</v>
      </c>
      <c r="I7564" s="14" t="n"/>
      <c r="J7564" s="14" t="n"/>
      <c r="K7564" s="53" t="inlineStr">
        <is>
          <t>Нет</t>
        </is>
      </c>
      <c r="L7564" s="53" t="inlineStr">
        <is>
          <t>Не определено</t>
        </is>
      </c>
      <c r="M7564" s="53" t="inlineStr">
        <is>
          <t>До 10</t>
        </is>
      </c>
      <c r="N7564" s="54" t="n">
        <v>3360</v>
      </c>
      <c r="O7564" s="55" t="inlineStr">
        <is>
          <t>1–15</t>
        </is>
      </c>
      <c r="P7564" s="16" t="inlineStr">
        <is>
          <t>ССЧР обогащена; ОКВЭД не найден/не загружен</t>
        </is>
      </c>
      <c r="Q7564" s="16" t="inlineStr">
        <is>
          <t>ФНС открытые данные ССЧР (ДатаСост 31.12.2025; набор 7707329152-sshr2019)</t>
        </is>
      </c>
      <c r="R7564" s="16">
        <f>HYPERLINK("https://checko.ru/search?query=3801001629","Чекко: проверить")</f>
        <v/>
      </c>
      <c r="S7564" t="n">
        <v>1</v>
      </c>
      <c r="T7564" s="35" t="inlineStr">
        <is>
          <t>4 — Не обогащён</t>
        </is>
      </c>
      <c r="U7564" s="35" t="inlineStr">
        <is>
          <t>Нет ОКВЭД/ССЧР</t>
        </is>
      </c>
      <c r="V7564" s="35" t="inlineStr">
        <is>
          <t>Не определено</t>
        </is>
      </c>
      <c r="W7564" s="35" t="inlineStr">
        <is>
          <t>Нет</t>
        </is>
      </c>
      <c r="X7564" s="35" t="inlineStr"/>
    </row>
    <row r="7565" ht="27.75" customHeight="1" s="24">
      <c r="A7565" s="13" t="inlineStr">
        <is>
          <t>FR437447</t>
        </is>
      </c>
      <c r="B7565" s="13" t="inlineStr">
        <is>
          <t>Общество с ограниченной ответственностью "ФЕНИКС УЧЕТ"</t>
        </is>
      </c>
      <c r="C7565" s="13" t="n">
        <v>7719898594</v>
      </c>
      <c r="D7565" s="13" t="inlineStr">
        <is>
          <t>7719898594</t>
        </is>
      </c>
      <c r="E7565" s="13" t="inlineStr">
        <is>
          <t>ЮЛ РФ</t>
        </is>
      </c>
      <c r="F7565" s="13" t="n"/>
      <c r="G7565" s="52" t="n">
        <v>1</v>
      </c>
      <c r="H7565" s="52" t="n">
        <v>2025</v>
      </c>
      <c r="I7565" s="14" t="n"/>
      <c r="J7565" s="14" t="n"/>
      <c r="K7565" s="53" t="inlineStr">
        <is>
          <t>Нет</t>
        </is>
      </c>
      <c r="L7565" s="53" t="inlineStr">
        <is>
          <t>Не определено</t>
        </is>
      </c>
      <c r="M7565" s="53" t="inlineStr">
        <is>
          <t>До 10</t>
        </is>
      </c>
      <c r="N7565" s="54" t="n">
        <v>3360</v>
      </c>
      <c r="O7565" s="55" t="inlineStr">
        <is>
          <t>1–15</t>
        </is>
      </c>
      <c r="P7565" s="16" t="inlineStr">
        <is>
          <t>ССЧР обогащена; ОКВЭД не найден/не загружен</t>
        </is>
      </c>
      <c r="Q7565" s="16" t="inlineStr">
        <is>
          <t>ФНС открытые данные ССЧР (ДатаСост 31.12.2025; набор 7707329152-sshr2019)</t>
        </is>
      </c>
      <c r="R7565" s="16">
        <f>HYPERLINK("https://checko.ru/search?query=3801001629","Чекко: проверить")</f>
        <v/>
      </c>
      <c r="S7565" t="n">
        <v>1</v>
      </c>
      <c r="T7565" s="35" t="inlineStr">
        <is>
          <t>4 — Не обогащён</t>
        </is>
      </c>
      <c r="U7565" s="35" t="inlineStr">
        <is>
          <t>Нет ОКВЭД/ССЧР</t>
        </is>
      </c>
      <c r="V7565" s="35" t="inlineStr">
        <is>
          <t>Не определено</t>
        </is>
      </c>
      <c r="W7565" s="35" t="inlineStr">
        <is>
          <t>Нет</t>
        </is>
      </c>
      <c r="X7565" s="35" t="inlineStr"/>
    </row>
    <row r="7566" ht="27.75" customHeight="1" s="24">
      <c r="A7566" s="13" t="inlineStr">
        <is>
          <t>FR302607</t>
        </is>
      </c>
      <c r="B7566" s="13" t="inlineStr">
        <is>
          <t>ОБЩЕСТВО С ОГРАНИЧЕННОЙ ОТВЕТСТВЕННОСТЬЮ "КРЕПКО-СТРОЙ"</t>
        </is>
      </c>
      <c r="C7566" s="13" t="n">
        <v>3851005516</v>
      </c>
      <c r="D7566" s="13" t="inlineStr">
        <is>
          <t>3851005516</t>
        </is>
      </c>
      <c r="E7566" s="13" t="inlineStr">
        <is>
          <t>ЮЛ РФ</t>
        </is>
      </c>
      <c r="F7566" s="13" t="n"/>
      <c r="G7566" s="52" t="n">
        <v>21</v>
      </c>
      <c r="H7566" s="52" t="n">
        <v>2025</v>
      </c>
      <c r="I7566" s="14" t="n"/>
      <c r="J7566" s="14" t="n"/>
      <c r="K7566" s="53" t="inlineStr">
        <is>
          <t>Нет</t>
        </is>
      </c>
      <c r="L7566" s="53" t="inlineStr">
        <is>
          <t>Не определено</t>
        </is>
      </c>
      <c r="M7566" s="53" t="inlineStr">
        <is>
          <t>До 25</t>
        </is>
      </c>
      <c r="N7566" s="54" t="n">
        <v>8400</v>
      </c>
      <c r="O7566" s="55" t="inlineStr">
        <is>
          <t>16–30</t>
        </is>
      </c>
      <c r="P7566" s="16" t="inlineStr">
        <is>
          <t>ССЧР обогащена; ОКВЭД не найден/не загружен</t>
        </is>
      </c>
      <c r="Q7566" s="16" t="inlineStr">
        <is>
          <t>ФНС открытые данные ССЧР (ДатаСост 31.12.2025; набор 7707329152-sshr2019)</t>
        </is>
      </c>
      <c r="R7566" s="16">
        <f>HYPERLINK("https://checko.ru/search?query=3801001629","Чекко: проверить")</f>
        <v/>
      </c>
      <c r="S7566" t="n">
        <v>1</v>
      </c>
      <c r="T7566" s="35" t="inlineStr">
        <is>
          <t>4 — Не обогащён</t>
        </is>
      </c>
      <c r="U7566" s="35" t="inlineStr">
        <is>
          <t>Нет ОКВЭД/ССЧР</t>
        </is>
      </c>
      <c r="V7566" s="35" t="inlineStr">
        <is>
          <t>Не определено</t>
        </is>
      </c>
      <c r="W7566" s="35" t="inlineStr">
        <is>
          <t>Нет</t>
        </is>
      </c>
      <c r="X7566" s="35" t="inlineStr"/>
    </row>
    <row r="7567" ht="27.75" customHeight="1" s="24">
      <c r="A7567" s="13" t="inlineStr">
        <is>
          <t>FR568338</t>
        </is>
      </c>
      <c r="B7567" s="13" t="inlineStr">
        <is>
          <t>ОБЩЕСТВО С ОГРАНИЧЕННОЙ ОТВЕТСТВЕННОСТЬЮ "РЕД КОЛЛАР"</t>
        </is>
      </c>
      <c r="C7567" s="13" t="n">
        <v>3663116703</v>
      </c>
      <c r="D7567" s="13" t="inlineStr">
        <is>
          <t>3663116703</t>
        </is>
      </c>
      <c r="E7567" s="13" t="inlineStr">
        <is>
          <t>ЮЛ РФ</t>
        </is>
      </c>
      <c r="F7567" s="13" t="n"/>
      <c r="G7567" s="52" t="n">
        <v>87</v>
      </c>
      <c r="H7567" s="52" t="n">
        <v>2025</v>
      </c>
      <c r="I7567" s="52" t="inlineStr">
        <is>
          <t>62.01</t>
        </is>
      </c>
      <c r="J7567" s="52" t="inlineStr">
        <is>
          <t>62.01; 18.12; 62.02; 62.09; 63.11.1; 72.19; 73.11; 82.99</t>
        </is>
      </c>
      <c r="K7567" s="53" t="inlineStr">
        <is>
          <t>Да</t>
        </is>
      </c>
      <c r="L7567" s="53" t="inlineStr">
        <is>
          <t>Да</t>
        </is>
      </c>
      <c r="M7567" s="53" t="inlineStr">
        <is>
          <t>До 100</t>
        </is>
      </c>
      <c r="N7567" s="54" t="n">
        <v>33600</v>
      </c>
      <c r="O7567" s="55" t="inlineStr">
        <is>
          <t>51–100</t>
        </is>
      </c>
      <c r="P7567" s="16" t="inlineStr">
        <is>
          <t>ССЧР + ОКВЭД обогащены</t>
        </is>
      </c>
      <c r="Q7567" s="16" t="inlineStr">
        <is>
          <t>ФНС открытые данные ССЧР (ДатаСост 31.12.2025; набор 7707329152-sshr2019)</t>
        </is>
      </c>
      <c r="R7567" s="16" t="inlineStr">
        <is>
          <t>ЕГРЮЛ / egrul.nalog.ru (выписка)</t>
        </is>
      </c>
      <c r="S7567" t="n">
        <v>1</v>
      </c>
      <c r="T7567" s="35" t="inlineStr">
        <is>
          <t>1 — Горячий</t>
        </is>
      </c>
      <c r="U7567" s="35" t="inlineStr">
        <is>
          <t>ОКВЭД + 22+</t>
        </is>
      </c>
      <c r="V7567" s="35" t="inlineStr">
        <is>
          <t>Да</t>
        </is>
      </c>
      <c r="W7567" s="35" t="inlineStr">
        <is>
          <t>Да</t>
        </is>
      </c>
      <c r="X7567" s="35" t="inlineStr">
        <is>
          <t>Да</t>
        </is>
      </c>
    </row>
    <row r="7568" ht="41.25" customHeight="1" s="24">
      <c r="A7568" s="13" t="inlineStr">
        <is>
          <t>FR436885</t>
        </is>
      </c>
      <c r="B7568" s="13" t="inlineStr">
        <is>
          <t>ОБЩЕСТВО С ОГРАНИЧЕННОЙ ОТВЕТСТВЕННОСТЬЮ "СИБИРСКАЯ ОТРАСЛЕВАЯ КОМПАНИЯ"</t>
        </is>
      </c>
      <c r="C7568" s="13" t="n">
        <v>3805712670</v>
      </c>
      <c r="D7568" s="13" t="inlineStr">
        <is>
          <t>3805712670</t>
        </is>
      </c>
      <c r="E7568" s="13" t="inlineStr">
        <is>
          <t>ЮЛ РФ</t>
        </is>
      </c>
      <c r="F7568" s="13" t="n"/>
      <c r="G7568" s="52" t="n">
        <v>3</v>
      </c>
      <c r="H7568" s="52" t="n">
        <v>2025</v>
      </c>
      <c r="I7568" s="14" t="n"/>
      <c r="J7568" s="14" t="n"/>
      <c r="K7568" s="53" t="inlineStr">
        <is>
          <t>Нет</t>
        </is>
      </c>
      <c r="L7568" s="53" t="inlineStr">
        <is>
          <t>Не определено</t>
        </is>
      </c>
      <c r="M7568" s="53" t="inlineStr">
        <is>
          <t>До 10</t>
        </is>
      </c>
      <c r="N7568" s="54" t="n">
        <v>3360</v>
      </c>
      <c r="O7568" s="55" t="inlineStr">
        <is>
          <t>1–15</t>
        </is>
      </c>
      <c r="P7568" s="16" t="inlineStr">
        <is>
          <t>ССЧР обогащена; ОКВЭД не найден/не загружен</t>
        </is>
      </c>
      <c r="Q7568" s="16" t="inlineStr">
        <is>
          <t>ФНС открытые данные ССЧР (ДатаСост 31.12.2025; набор 7707329152-sshr2019)</t>
        </is>
      </c>
      <c r="R7568" s="16">
        <f>HYPERLINK("https://checko.ru/search?query=3801001629","Чекко: проверить")</f>
        <v/>
      </c>
      <c r="S7568" t="n">
        <v>1</v>
      </c>
      <c r="T7568" s="35" t="inlineStr">
        <is>
          <t>4 — Не обогащён</t>
        </is>
      </c>
      <c r="U7568" s="35" t="inlineStr">
        <is>
          <t>Нет ОКВЭД/ССЧР</t>
        </is>
      </c>
      <c r="V7568" s="35" t="inlineStr">
        <is>
          <t>Не определено</t>
        </is>
      </c>
      <c r="W7568" s="35" t="inlineStr">
        <is>
          <t>Нет</t>
        </is>
      </c>
      <c r="X7568" s="35" t="inlineStr"/>
    </row>
    <row r="7569" ht="27.75" customHeight="1" s="24">
      <c r="A7569" s="13" t="inlineStr">
        <is>
          <t>FR1095018</t>
        </is>
      </c>
      <c r="B7569" s="13" t="inlineStr">
        <is>
          <t>Общество с ограниченной ответственностью "БИОМЕДТЕХ"</t>
        </is>
      </c>
      <c r="C7569" s="13" t="n">
        <v>9728140539</v>
      </c>
      <c r="D7569" s="13" t="inlineStr">
        <is>
          <t>9728140539</t>
        </is>
      </c>
      <c r="E7569" s="13" t="inlineStr">
        <is>
          <t>ЮЛ РФ</t>
        </is>
      </c>
      <c r="F7569" s="13" t="n"/>
      <c r="G7569" s="52" t="n">
        <v>1</v>
      </c>
      <c r="H7569" s="52" t="n">
        <v>2025</v>
      </c>
      <c r="I7569" s="14" t="n"/>
      <c r="J7569" s="14" t="n"/>
      <c r="K7569" s="53" t="inlineStr">
        <is>
          <t>Нет</t>
        </is>
      </c>
      <c r="L7569" s="53" t="inlineStr">
        <is>
          <t>Не определено</t>
        </is>
      </c>
      <c r="M7569" s="53" t="inlineStr">
        <is>
          <t>До 10</t>
        </is>
      </c>
      <c r="N7569" s="54" t="n">
        <v>3360</v>
      </c>
      <c r="O7569" s="55" t="inlineStr">
        <is>
          <t>1–15</t>
        </is>
      </c>
      <c r="P7569" s="16" t="inlineStr">
        <is>
          <t>ССЧР обогащена; ОКВЭД не найден/не загружен</t>
        </is>
      </c>
      <c r="Q7569" s="16" t="inlineStr">
        <is>
          <t>ФНС открытые данные ССЧР (ДатаСост 31.12.2025; набор 7707329152-sshr2019)</t>
        </is>
      </c>
      <c r="R7569" s="16">
        <f>HYPERLINK("https://checko.ru/search?query=3801001629","Чекко: проверить")</f>
        <v/>
      </c>
      <c r="S7569" t="n">
        <v>1</v>
      </c>
      <c r="T7569" s="35" t="inlineStr">
        <is>
          <t>4 — Не обогащён</t>
        </is>
      </c>
      <c r="U7569" s="35" t="inlineStr">
        <is>
          <t>Нет ОКВЭД/ССЧР</t>
        </is>
      </c>
      <c r="V7569" s="35" t="inlineStr">
        <is>
          <t>Не определено</t>
        </is>
      </c>
      <c r="W7569" s="35" t="inlineStr">
        <is>
          <t>Нет</t>
        </is>
      </c>
      <c r="X7569" s="35" t="inlineStr"/>
    </row>
    <row r="7570" ht="15" customHeight="1" s="24">
      <c r="A7570" s="13" t="inlineStr">
        <is>
          <t>FR1270838</t>
        </is>
      </c>
      <c r="B7570" s="13" t="inlineStr">
        <is>
          <t>ФЛ Платонова Евгения Ивановна</t>
        </is>
      </c>
      <c r="C7570" s="13" t="n">
        <v>380400082409</v>
      </c>
      <c r="D7570" s="13" t="inlineStr">
        <is>
          <t>380400082409</t>
        </is>
      </c>
      <c r="E7570" s="13" t="inlineStr">
        <is>
          <t>ИП РФ / физлицо</t>
        </is>
      </c>
      <c r="F7570" s="13" t="n"/>
      <c r="G7570" s="14" t="n"/>
      <c r="H7570" s="14" t="n"/>
      <c r="I7570" s="14" t="n"/>
      <c r="J7570" s="14" t="n"/>
      <c r="K7570" s="53" t="inlineStr"/>
      <c r="L7570" s="53" t="inlineStr">
        <is>
          <t>Не определено</t>
        </is>
      </c>
      <c r="M7570" s="53" t="inlineStr"/>
      <c r="N7570" s="54" t="inlineStr"/>
      <c r="O7570" s="55" t="inlineStr"/>
      <c r="P7570" s="16" t="inlineStr">
        <is>
          <t>Требует обогащения</t>
        </is>
      </c>
      <c r="Q7570" s="16">
        <f>HYPERLINK("https://pb.nalog.ru/search.html?query=380400082409","ФНС: проверить")</f>
        <v/>
      </c>
      <c r="R7570" s="16">
        <f>HYPERLINK("https://checko.ru/search?query=3801001629","Чекко: проверить")</f>
        <v/>
      </c>
      <c r="S7570" t="n">
        <v>1</v>
      </c>
      <c r="T7570" s="35" t="inlineStr">
        <is>
          <t>4 — Не обогащён</t>
        </is>
      </c>
      <c r="U7570" s="35" t="inlineStr">
        <is>
          <t>Нет ОКВЭД/ССЧР</t>
        </is>
      </c>
      <c r="V7570" s="35" t="inlineStr">
        <is>
          <t>Не определено</t>
        </is>
      </c>
      <c r="W7570" s="35" t="inlineStr"/>
      <c r="X7570" s="35" t="inlineStr"/>
    </row>
    <row r="7571" ht="27.75" customHeight="1" s="24">
      <c r="A7571" s="13" t="inlineStr">
        <is>
          <t>FR724656</t>
        </is>
      </c>
      <c r="B7571" s="13" t="inlineStr">
        <is>
          <t>Общество с ограниченной ответственностью СТРОИТЕЛЬНАЯ КОМПАНИЯ "БАЙКАЛ"</t>
        </is>
      </c>
      <c r="C7571" s="13" t="n">
        <v>3812130552</v>
      </c>
      <c r="D7571" s="13" t="inlineStr">
        <is>
          <t>3812130552</t>
        </is>
      </c>
      <c r="E7571" s="13" t="inlineStr">
        <is>
          <t>ЮЛ РФ</t>
        </is>
      </c>
      <c r="F7571" s="13" t="n"/>
      <c r="G7571" s="52" t="n">
        <v>14</v>
      </c>
      <c r="H7571" s="52" t="n">
        <v>2025</v>
      </c>
      <c r="I7571" s="14" t="n"/>
      <c r="J7571" s="14" t="n"/>
      <c r="K7571" s="53" t="inlineStr">
        <is>
          <t>Нет</t>
        </is>
      </c>
      <c r="L7571" s="53" t="inlineStr">
        <is>
          <t>Не определено</t>
        </is>
      </c>
      <c r="M7571" s="53" t="inlineStr">
        <is>
          <t>До 25</t>
        </is>
      </c>
      <c r="N7571" s="54" t="n">
        <v>8400</v>
      </c>
      <c r="O7571" s="55" t="inlineStr">
        <is>
          <t>1–15</t>
        </is>
      </c>
      <c r="P7571" s="16" t="inlineStr">
        <is>
          <t>ССЧР обогащена; ОКВЭД не найден/не загружен</t>
        </is>
      </c>
      <c r="Q7571" s="16" t="inlineStr">
        <is>
          <t>ФНС открытые данные ССЧР (ДатаСост 31.12.2025; набор 7707329152-sshr2019)</t>
        </is>
      </c>
      <c r="R7571" s="16">
        <f>HYPERLINK("https://checko.ru/search?query=3801001629","Чекко: проверить")</f>
        <v/>
      </c>
      <c r="S7571" t="n">
        <v>1</v>
      </c>
      <c r="T7571" s="35" t="inlineStr">
        <is>
          <t>4 — Не обогащён</t>
        </is>
      </c>
      <c r="U7571" s="35" t="inlineStr">
        <is>
          <t>Нет ОКВЭД/ССЧР</t>
        </is>
      </c>
      <c r="V7571" s="35" t="inlineStr">
        <is>
          <t>Не определено</t>
        </is>
      </c>
      <c r="W7571" s="35" t="inlineStr">
        <is>
          <t>Нет</t>
        </is>
      </c>
      <c r="X7571" s="35" t="inlineStr"/>
    </row>
    <row r="7572" ht="27.75" customHeight="1" s="24">
      <c r="A7572" s="13" t="inlineStr">
        <is>
          <t>FR729594</t>
        </is>
      </c>
      <c r="B7572" s="13" t="inlineStr">
        <is>
          <t>Общество с ограниченной ответственностью "ПОДВОДРЕМСТРОЙ"</t>
        </is>
      </c>
      <c r="C7572" s="13" t="n">
        <v>3812137678</v>
      </c>
      <c r="D7572" s="13" t="inlineStr">
        <is>
          <t>3812137678</t>
        </is>
      </c>
      <c r="E7572" s="13" t="inlineStr">
        <is>
          <t>ЮЛ РФ</t>
        </is>
      </c>
      <c r="F7572" s="13" t="n"/>
      <c r="G7572" s="52" t="n">
        <v>7</v>
      </c>
      <c r="H7572" s="52" t="n">
        <v>2025</v>
      </c>
      <c r="I7572" s="14" t="n"/>
      <c r="J7572" s="14" t="n"/>
      <c r="K7572" s="53" t="inlineStr">
        <is>
          <t>Нет</t>
        </is>
      </c>
      <c r="L7572" s="53" t="inlineStr">
        <is>
          <t>Не определено</t>
        </is>
      </c>
      <c r="M7572" s="53" t="inlineStr">
        <is>
          <t>До 10</t>
        </is>
      </c>
      <c r="N7572" s="54" t="n">
        <v>3360</v>
      </c>
      <c r="O7572" s="55" t="inlineStr">
        <is>
          <t>1–15</t>
        </is>
      </c>
      <c r="P7572" s="16" t="inlineStr">
        <is>
          <t>ССЧР обогащена; ОКВЭД не найден/не загружен</t>
        </is>
      </c>
      <c r="Q7572" s="16" t="inlineStr">
        <is>
          <t>ФНС открытые данные ССЧР (ДатаСост 31.12.2025; набор 7707329152-sshr2019)</t>
        </is>
      </c>
      <c r="R7572" s="16">
        <f>HYPERLINK("https://checko.ru/search?query=3801001629","Чекко: проверить")</f>
        <v/>
      </c>
      <c r="S7572" t="n">
        <v>1</v>
      </c>
      <c r="T7572" s="35" t="inlineStr">
        <is>
          <t>4 — Не обогащён</t>
        </is>
      </c>
      <c r="U7572" s="35" t="inlineStr">
        <is>
          <t>Нет ОКВЭД/ССЧР</t>
        </is>
      </c>
      <c r="V7572" s="35" t="inlineStr">
        <is>
          <t>Не определено</t>
        </is>
      </c>
      <c r="W7572" s="35" t="inlineStr">
        <is>
          <t>Нет</t>
        </is>
      </c>
      <c r="X7572" s="35" t="inlineStr"/>
    </row>
    <row r="7573" ht="27.75" customHeight="1" s="24">
      <c r="A7573" s="13" t="inlineStr">
        <is>
          <t>FR885847</t>
        </is>
      </c>
      <c r="B7573" s="13" t="inlineStr">
        <is>
          <t>Общество с ограниченной ответственностью "РЕКЛАМА-СИТИ"</t>
        </is>
      </c>
      <c r="C7573" s="13" t="n">
        <v>3812094720</v>
      </c>
      <c r="D7573" s="13" t="inlineStr">
        <is>
          <t>3812094720</t>
        </is>
      </c>
      <c r="E7573" s="13" t="inlineStr">
        <is>
          <t>ЮЛ РФ</t>
        </is>
      </c>
      <c r="F7573" s="13" t="n"/>
      <c r="G7573" s="52" t="n">
        <v>4</v>
      </c>
      <c r="H7573" s="52" t="n">
        <v>2025</v>
      </c>
      <c r="I7573" s="14" t="n"/>
      <c r="J7573" s="14" t="n"/>
      <c r="K7573" s="53" t="inlineStr">
        <is>
          <t>Нет</t>
        </is>
      </c>
      <c r="L7573" s="53" t="inlineStr">
        <is>
          <t>Не определено</t>
        </is>
      </c>
      <c r="M7573" s="53" t="inlineStr">
        <is>
          <t>До 10</t>
        </is>
      </c>
      <c r="N7573" s="54" t="n">
        <v>3360</v>
      </c>
      <c r="O7573" s="55" t="inlineStr">
        <is>
          <t>1–15</t>
        </is>
      </c>
      <c r="P7573" s="16" t="inlineStr">
        <is>
          <t>ССЧР обогащена; ОКВЭД не найден/не загружен</t>
        </is>
      </c>
      <c r="Q7573" s="16" t="inlineStr">
        <is>
          <t>ФНС открытые данные ССЧР (ДатаСост 31.12.2025; набор 7707329152-sshr2019)</t>
        </is>
      </c>
      <c r="R7573" s="16">
        <f>HYPERLINK("https://checko.ru/search?query=3801001629","Чекко: проверить")</f>
        <v/>
      </c>
      <c r="S7573" t="n">
        <v>1</v>
      </c>
      <c r="T7573" s="35" t="inlineStr">
        <is>
          <t>4 — Не обогащён</t>
        </is>
      </c>
      <c r="U7573" s="35" t="inlineStr">
        <is>
          <t>Нет ОКВЭД/ССЧР</t>
        </is>
      </c>
      <c r="V7573" s="35" t="inlineStr">
        <is>
          <t>Не определено</t>
        </is>
      </c>
      <c r="W7573" s="35" t="inlineStr">
        <is>
          <t>Нет</t>
        </is>
      </c>
      <c r="X7573" s="35" t="inlineStr"/>
    </row>
    <row r="7574" ht="15" customHeight="1" s="24">
      <c r="A7574" s="13" t="inlineStr">
        <is>
          <t>FR1266423</t>
        </is>
      </c>
      <c r="B7574" s="13" t="inlineStr">
        <is>
          <t>ИП Эбзеев Канамат Камилович</t>
        </is>
      </c>
      <c r="C7574" s="13" t="n">
        <v>92000169287</v>
      </c>
      <c r="D7574" s="13" t="n"/>
      <c r="E7574" s="13" t="inlineStr">
        <is>
          <t>Не определён</t>
        </is>
      </c>
      <c r="F7574" s="13" t="n"/>
      <c r="G7574" s="14" t="n"/>
      <c r="H7574" s="14" t="n"/>
      <c r="I7574" s="14" t="n"/>
      <c r="J7574" s="14" t="n"/>
      <c r="K7574" s="13">
        <f>IF(G7574="","",IF(G7574&gt;=22,"Да","Нет"))</f>
        <v/>
      </c>
      <c r="L7574" s="13">
        <f>IF(OR(I7574="",J7574=""),"Не определено",IF(OR(COUNTIF(I7574,"45*")&gt;0,COUNTIF(J7574,"*45*")&gt;0,COUNTIF(I7574,"46*")&gt;0,COUNTIF(J7574,"*46*")&gt;0,COUNTIF(I7574,"47*")&gt;0,COUNTIF(J7574,"*47*")&gt;0,COUNTIF(I7574,"10*")&gt;0,COUNTIF(J7574,"*10*")&gt;0,COUNTIF(I7574,"11*")&gt;0,COUNTIF(J7574,"*11*")&gt;0,COUNTIF(I7574,"12*")&gt;0,COUNTIF(J7574,"*12*")&gt;0,COUNTIF(I7574,"13*")&gt;0,COUNTIF(J7574,"*13*")&gt;0,COUNTIF(I7574,"14*")&gt;0,COUNTIF(J7574,"*14*")&gt;0,COUNTIF(I7574,"15*")&gt;0,COUNTIF(J7574,"*15*")&gt;0,COUNTIF(I7574,"16*")&gt;0,COUNTIF(J7574,"*16*")&gt;0,COUNTIF(I7574,"17*")&gt;0,COUNTIF(J7574,"*17*")&gt;0,COUNTIF(I7574,"18*")&gt;0,COUNTIF(J7574,"*18*")&gt;0,COUNTIF(I7574,"19*")&gt;0,COUNTIF(J7574,"*19*")&gt;0,COUNTIF(I7574,"20*")&gt;0,COUNTIF(J7574,"*20*")&gt;0,COUNTIF(I7574,"21*")&gt;0,COUNTIF(J7574,"*21*")&gt;0,COUNTIF(I7574,"22*")&gt;0,COUNTIF(J7574,"*22*")&gt;0,COUNTIF(I7574,"23*")&gt;0,COUNTIF(J7574,"*23*")&gt;0,COUNTIF(I7574,"24*")&gt;0,COUNTIF(J7574,"*24*")&gt;0,COUNTIF(I7574,"25*")&gt;0,COUNTIF(J7574,"*25*")&gt;0,COUNTIF(I7574,"26*")&gt;0,COUNTIF(J7574,"*26*")&gt;0,COUNTIF(I7574,"27*")&gt;0,COUNTIF(J7574,"*27*")&gt;0,COUNTIF(I7574,"28*")&gt;0,COUNTIF(J7574,"*28*")&gt;0,COUNTIF(I7574,"29*")&gt;0,COUNTIF(J7574,"*29*")&gt;0,COUNTIF(I7574,"30*")&gt;0,COUNTIF(J7574,"*30*")&gt;0,COUNTIF(I7574,"31*")&gt;0,COUNTIF(J7574,"*31*")&gt;0,COUNTIF(I7574,"32*")&gt;0,COUNTIF(J7574,"*32*")&gt;0,COUNTIF(I7574,"33*")&gt;0,COUNTIF(J7574,"*33*")&gt;0,COUNTIF(I7574,"41*")&gt;0,COUNTIF(J7574,"*41*")&gt;0,COUNTIF(I7574,"42*")&gt;0,COUNTIF(J7574,"*42*")&gt;0,COUNTIF(I7574,"43*")&gt;0,COUNTIF(J7574,"*43*")&gt;0,COUNTIF(I7574,"49*")&gt;0,COUNTIF(J7574,"*49*")&gt;0,COUNTIF(I7574,"52*")&gt;0,COUNTIF(J7574,"*52*")&gt;0,COUNTIF(I7574,"55*")&gt;0,COUNTIF(J7574,"*55*")&gt;0,COUNTIF(I7574,"56*")&gt;0,COUNTIF(J7574,"*56*")&gt;0,COUNTIF(I7574,"68*")&gt;0,COUNTIF(J7574,"*68*")&gt;0,COUNTIF(I7574,"78*")&gt;0,COUNTIF(J7574,"*78*")&gt;0,COUNTIF(I7574,"81*")&gt;0,COUNTIF(J7574,"*81*")&gt;0,COUNTIF(I7574,"82*")&gt;0,COUNTIF(J7574,"*82*")&gt;0,COUNTIF(I7574,"64*")&gt;0,COUNTIF(J7574,"*64*")&gt;0,COUNTIF(I7574,"65*")&gt;0,COUNTIF(J7574,"*65*")&gt;0,COUNTIF(I7574,"66*")&gt;0,COUNTIF(J7574,"*66*")&gt;0,COUNTIF(I7574,"61*")&gt;0,COUNTIF(J7574,"*61*")&gt;0,COUNTIF(I7574,"62*")&gt;0,COUNTIF(J7574,"*62*")&gt;0,COUNTIF(I7574,"63*")&gt;0,COUNTIF(J7574,"*63*")&gt;0,COUNTIF(I7574,"85*")&gt;0,COUNTIF(J7574,"*85*")&gt;0,COUNTIF(I7574,"86*")&gt;0,COUNTIF(J7574,"*86*")&gt;0),"Да","Нет"))</f>
        <v/>
      </c>
      <c r="M7574" s="13">
        <f>IF(OR(G7574="",L7574&lt;&gt;"Да"),"",IF(G7574&lt;=100,"До 100",IF(G7574&lt;=200,"До 200",IF(G7574&lt;=500,"До 500","Отдельное КП"))))</f>
        <v/>
      </c>
      <c r="N7574" s="15">
        <f>IF(OR(G7574="",L7574&lt;&gt;"Да"),"",IF(G7574&lt;=100,33600,IF(G7574&lt;=200,62400,IF(G7574&lt;=500,144000,""))))</f>
        <v/>
      </c>
      <c r="O7574" s="16">
        <f>IF(G7574="","",IF(G7574&lt;=15,"1–15",IF(G7574&lt;=30,"16–30",IF(G7574&lt;=50,"31–50",IF(G7574&lt;=100,"51–100",IF(G7574&lt;=150,"101–150",IF(G7574&lt;=200,"151–200",IF(G7574&lt;=500,"201–500","500+"))))))))</f>
        <v/>
      </c>
      <c r="P7574" s="16" t="inlineStr">
        <is>
          <t>Нет совпадения в предоставленной выгрузке ССЧР</t>
        </is>
      </c>
      <c r="Q7574" s="16" t="n"/>
      <c r="R7574" s="16">
        <f>HYPERLINK("https://checko.ru/search?query=3801001629","Чекко: проверить")</f>
        <v/>
      </c>
      <c r="S7574" t="n">
        <v>0</v>
      </c>
    </row>
    <row r="7575" ht="15" customHeight="1" s="24">
      <c r="A7575" s="13" t="inlineStr">
        <is>
          <t>FR727251</t>
        </is>
      </c>
      <c r="B7575" s="13" t="inlineStr">
        <is>
          <t>ФЛ Петрова Галина Николаевна</t>
        </is>
      </c>
      <c r="C7575" s="13" t="n">
        <v>381254374635</v>
      </c>
      <c r="D7575" s="13" t="inlineStr">
        <is>
          <t>381254374635</t>
        </is>
      </c>
      <c r="E7575" s="13" t="inlineStr">
        <is>
          <t>ИП РФ / физлицо</t>
        </is>
      </c>
      <c r="F7575" s="13" t="n"/>
      <c r="G7575" s="14" t="n"/>
      <c r="H7575" s="14" t="n"/>
      <c r="I7575" s="14" t="n"/>
      <c r="J7575" s="14" t="n"/>
      <c r="K7575" s="53" t="inlineStr"/>
      <c r="L7575" s="53" t="inlineStr">
        <is>
          <t>Не определено</t>
        </is>
      </c>
      <c r="M7575" s="53" t="inlineStr"/>
      <c r="N7575" s="54" t="inlineStr"/>
      <c r="O7575" s="55" t="inlineStr"/>
      <c r="P7575" s="16" t="inlineStr">
        <is>
          <t>Требует обогащения</t>
        </is>
      </c>
      <c r="Q7575" s="16">
        <f>HYPERLINK("https://pb.nalog.ru/search.html?query=381254374635","ФНС: проверить")</f>
        <v/>
      </c>
      <c r="R7575" s="16">
        <f>HYPERLINK("https://checko.ru/search?query=3801001629","Чекко: проверить")</f>
        <v/>
      </c>
      <c r="S7575" t="n">
        <v>1</v>
      </c>
      <c r="T7575" s="35" t="inlineStr">
        <is>
          <t>4 — Не обогащён</t>
        </is>
      </c>
      <c r="U7575" s="35" t="inlineStr">
        <is>
          <t>Нет ОКВЭД/ССЧР</t>
        </is>
      </c>
      <c r="V7575" s="35" t="inlineStr">
        <is>
          <t>Не определено</t>
        </is>
      </c>
      <c r="W7575" s="35" t="inlineStr"/>
      <c r="X7575" s="35" t="inlineStr"/>
    </row>
    <row r="7576" ht="27.75" customHeight="1" s="24">
      <c r="A7576" s="13" t="inlineStr">
        <is>
          <t>FR887260</t>
        </is>
      </c>
      <c r="B7576" s="13" t="inlineStr">
        <is>
          <t>Общество с ограниченной ответственностью "ТЕХНИКА СИБИРИ"</t>
        </is>
      </c>
      <c r="C7576" s="13" t="n">
        <v>3849069801</v>
      </c>
      <c r="D7576" s="13" t="inlineStr">
        <is>
          <t>3849069801</t>
        </is>
      </c>
      <c r="E7576" s="13" t="inlineStr">
        <is>
          <t>ЮЛ РФ</t>
        </is>
      </c>
      <c r="F7576" s="13" t="n"/>
      <c r="G7576" s="52" t="n">
        <v>8</v>
      </c>
      <c r="H7576" s="52" t="n">
        <v>2025</v>
      </c>
      <c r="I7576" s="14" t="n"/>
      <c r="J7576" s="14" t="n"/>
      <c r="K7576" s="53" t="inlineStr">
        <is>
          <t>Нет</t>
        </is>
      </c>
      <c r="L7576" s="53" t="inlineStr">
        <is>
          <t>Не определено</t>
        </is>
      </c>
      <c r="M7576" s="53" t="inlineStr">
        <is>
          <t>До 10</t>
        </is>
      </c>
      <c r="N7576" s="54" t="n">
        <v>3360</v>
      </c>
      <c r="O7576" s="55" t="inlineStr">
        <is>
          <t>1–15</t>
        </is>
      </c>
      <c r="P7576" s="16" t="inlineStr">
        <is>
          <t>ССЧР обогащена; ОКВЭД не найден/не загружен</t>
        </is>
      </c>
      <c r="Q7576" s="16" t="inlineStr">
        <is>
          <t>ФНС открытые данные ССЧР (ДатаСост 31.12.2025; набор 7707329152-sshr2019)</t>
        </is>
      </c>
      <c r="R7576" s="16">
        <f>HYPERLINK("https://checko.ru/search?query=3801001629","Чекко: проверить")</f>
        <v/>
      </c>
      <c r="S7576" t="n">
        <v>1</v>
      </c>
      <c r="T7576" s="35" t="inlineStr">
        <is>
          <t>4 — Не обогащён</t>
        </is>
      </c>
      <c r="U7576" s="35" t="inlineStr">
        <is>
          <t>Нет ОКВЭД/ССЧР</t>
        </is>
      </c>
      <c r="V7576" s="35" t="inlineStr">
        <is>
          <t>Не определено</t>
        </is>
      </c>
      <c r="W7576" s="35" t="inlineStr">
        <is>
          <t>Нет</t>
        </is>
      </c>
      <c r="X7576" s="35" t="inlineStr"/>
    </row>
    <row r="7577" ht="27.75" customHeight="1" s="24">
      <c r="A7577" s="13" t="inlineStr">
        <is>
          <t>FR887235</t>
        </is>
      </c>
      <c r="B7577" s="13" t="inlineStr">
        <is>
          <t>Общество с ограниченной ответственностью "ГЕОСЕРВИС"</t>
        </is>
      </c>
      <c r="C7577" s="13" t="n">
        <v>3811180818</v>
      </c>
      <c r="D7577" s="13" t="inlineStr">
        <is>
          <t>3811180818</t>
        </is>
      </c>
      <c r="E7577" s="13" t="inlineStr">
        <is>
          <t>ЮЛ РФ</t>
        </is>
      </c>
      <c r="F7577" s="13" t="n"/>
      <c r="G7577" s="52" t="n">
        <v>24</v>
      </c>
      <c r="H7577" s="52" t="n">
        <v>2025</v>
      </c>
      <c r="I7577" s="52" t="inlineStr">
        <is>
          <t>71.12.45</t>
        </is>
      </c>
      <c r="J7577" s="52" t="inlineStr">
        <is>
          <t>71.12.45; 41.20; 42.11; 42.91; 42.99; 43.11; 43.12.3; 43.13; 43.21; 43.22; 43.29; 43.31; 43.32; 43.33; 43.34; 43.39; 43.91; 43.99; 43.99.1; 71.12.3; 71.12.4; 71.12.9; 71.12.41; 71.12.42; 71.12.43; 71.12.44; 71.12.53; 71.12.54; 71.12.55</t>
        </is>
      </c>
      <c r="K7577" s="53" t="inlineStr">
        <is>
          <t>Да</t>
        </is>
      </c>
      <c r="L7577" s="53" t="inlineStr">
        <is>
          <t>Да</t>
        </is>
      </c>
      <c r="M7577" s="53" t="inlineStr">
        <is>
          <t>До 25</t>
        </is>
      </c>
      <c r="N7577" s="54" t="n">
        <v>8400</v>
      </c>
      <c r="O7577" s="55" t="inlineStr">
        <is>
          <t>16–30</t>
        </is>
      </c>
      <c r="P7577" s="16" t="inlineStr">
        <is>
          <t>ССЧР + ОКВЭД обогащены</t>
        </is>
      </c>
      <c r="Q7577" s="16" t="inlineStr">
        <is>
          <t>ФНС открытые данные ССЧР (ДатаСост 31.12.2025; набор 7707329152-sshr2019)</t>
        </is>
      </c>
      <c r="R7577" s="16" t="inlineStr">
        <is>
          <t>ЕГРЮЛ / egrul.nalog.ru (выписка)</t>
        </is>
      </c>
      <c r="S7577" t="n">
        <v>1</v>
      </c>
      <c r="T7577" s="35" t="inlineStr">
        <is>
          <t>1 — Горячий</t>
        </is>
      </c>
      <c r="U7577" s="35" t="inlineStr">
        <is>
          <t>ОКВЭД + 22+</t>
        </is>
      </c>
      <c r="V7577" s="35" t="inlineStr">
        <is>
          <t>Да</t>
        </is>
      </c>
      <c r="W7577" s="35" t="inlineStr">
        <is>
          <t>Да</t>
        </is>
      </c>
      <c r="X7577" s="35" t="inlineStr">
        <is>
          <t>Да</t>
        </is>
      </c>
    </row>
    <row r="7578" ht="27.75" customHeight="1" s="24">
      <c r="A7578" s="13" t="inlineStr">
        <is>
          <t>FR1003172</t>
        </is>
      </c>
      <c r="B7578" s="13" t="inlineStr">
        <is>
          <t>Общество с ограниченной ответственностью "МОРСКАЯ РАДИОТЕХНИКА"</t>
        </is>
      </c>
      <c r="C7578" s="13" t="n">
        <v>2536321137</v>
      </c>
      <c r="D7578" s="13" t="inlineStr">
        <is>
          <t>2536321137</t>
        </is>
      </c>
      <c r="E7578" s="13" t="inlineStr">
        <is>
          <t>ЮЛ РФ</t>
        </is>
      </c>
      <c r="F7578" s="13" t="n"/>
      <c r="G7578" s="52" t="n">
        <v>2</v>
      </c>
      <c r="H7578" s="52" t="n">
        <v>2025</v>
      </c>
      <c r="I7578" s="14" t="n"/>
      <c r="J7578" s="14" t="n"/>
      <c r="K7578" s="53" t="inlineStr">
        <is>
          <t>Нет</t>
        </is>
      </c>
      <c r="L7578" s="53" t="inlineStr">
        <is>
          <t>Не определено</t>
        </is>
      </c>
      <c r="M7578" s="53" t="inlineStr">
        <is>
          <t>До 10</t>
        </is>
      </c>
      <c r="N7578" s="54" t="n">
        <v>3360</v>
      </c>
      <c r="O7578" s="55" t="inlineStr">
        <is>
          <t>1–15</t>
        </is>
      </c>
      <c r="P7578" s="16" t="inlineStr">
        <is>
          <t>ССЧР обогащена; ОКВЭД не найден/не загружен</t>
        </is>
      </c>
      <c r="Q7578" s="16" t="inlineStr">
        <is>
          <t>ФНС открытые данные ССЧР (ДатаСост 31.12.2025; набор 7707329152-sshr2019)</t>
        </is>
      </c>
      <c r="R7578" s="16">
        <f>HYPERLINK("https://checko.ru/search?query=3801001629","Чекко: проверить")</f>
        <v/>
      </c>
      <c r="S7578" t="n">
        <v>1</v>
      </c>
      <c r="T7578" s="35" t="inlineStr">
        <is>
          <t>4 — Не обогащён</t>
        </is>
      </c>
      <c r="U7578" s="35" t="inlineStr">
        <is>
          <t>Нет ОКВЭД/ССЧР</t>
        </is>
      </c>
      <c r="V7578" s="35" t="inlineStr">
        <is>
          <t>Не определено</t>
        </is>
      </c>
      <c r="W7578" s="35" t="inlineStr">
        <is>
          <t>Нет</t>
        </is>
      </c>
      <c r="X7578" s="35" t="inlineStr"/>
    </row>
    <row r="7579" ht="15" customHeight="1" s="24">
      <c r="A7579" s="13" t="inlineStr">
        <is>
          <t>FR504298</t>
        </is>
      </c>
      <c r="B7579" s="13" t="inlineStr">
        <is>
          <t>ЭЛЕМЕНТ, ООО</t>
        </is>
      </c>
      <c r="C7579" s="13" t="n">
        <v>3102038390</v>
      </c>
      <c r="D7579" s="13" t="inlineStr">
        <is>
          <t>3102038390</t>
        </is>
      </c>
      <c r="E7579" s="13" t="inlineStr">
        <is>
          <t>ЮЛ РФ</t>
        </is>
      </c>
      <c r="F7579" s="13" t="n"/>
      <c r="G7579" s="52" t="n">
        <v>4</v>
      </c>
      <c r="H7579" s="52" t="n">
        <v>2025</v>
      </c>
      <c r="I7579" s="14" t="n"/>
      <c r="J7579" s="14" t="n"/>
      <c r="K7579" s="53" t="inlineStr">
        <is>
          <t>Нет</t>
        </is>
      </c>
      <c r="L7579" s="53" t="inlineStr">
        <is>
          <t>Не определено</t>
        </is>
      </c>
      <c r="M7579" s="53" t="inlineStr">
        <is>
          <t>До 10</t>
        </is>
      </c>
      <c r="N7579" s="54" t="n">
        <v>3360</v>
      </c>
      <c r="O7579" s="55" t="inlineStr">
        <is>
          <t>1–15</t>
        </is>
      </c>
      <c r="P7579" s="16" t="inlineStr">
        <is>
          <t>ССЧР обогащена; ОКВЭД не найден/не загружен</t>
        </is>
      </c>
      <c r="Q7579" s="16" t="inlineStr">
        <is>
          <t>ФНС открытые данные ССЧР (ДатаСост 31.12.2025; набор 7707329152-sshr2019)</t>
        </is>
      </c>
      <c r="R7579" s="16">
        <f>HYPERLINK("https://checko.ru/search?query=3801001629","Чекко: проверить")</f>
        <v/>
      </c>
      <c r="S7579" t="n">
        <v>1</v>
      </c>
      <c r="T7579" s="35" t="inlineStr">
        <is>
          <t>4 — Не обогащён</t>
        </is>
      </c>
      <c r="U7579" s="35" t="inlineStr">
        <is>
          <t>Нет ОКВЭД/ССЧР</t>
        </is>
      </c>
      <c r="V7579" s="35" t="inlineStr">
        <is>
          <t>Не определено</t>
        </is>
      </c>
      <c r="W7579" s="35" t="inlineStr">
        <is>
          <t>Нет</t>
        </is>
      </c>
      <c r="X7579" s="35" t="inlineStr"/>
    </row>
    <row r="7580" ht="27.75" customHeight="1" s="24">
      <c r="A7580" s="13" t="inlineStr">
        <is>
          <t>FR1275210</t>
        </is>
      </c>
      <c r="B7580" s="13" t="inlineStr">
        <is>
          <t>Общество с ограниченной ответственностью "ОХРАННОЕ АГЕНТСТВО "ВОСХОД"</t>
        </is>
      </c>
      <c r="C7580" s="13" t="n">
        <v>3808179890</v>
      </c>
      <c r="D7580" s="13" t="inlineStr">
        <is>
          <t>3808179890</t>
        </is>
      </c>
      <c r="E7580" s="13" t="inlineStr">
        <is>
          <t>ЮЛ РФ</t>
        </is>
      </c>
      <c r="F7580" s="13" t="n"/>
      <c r="G7580" s="52" t="n">
        <v>48</v>
      </c>
      <c r="H7580" s="52" t="n">
        <v>2025</v>
      </c>
      <c r="I7580" s="52" t="inlineStr">
        <is>
          <t>80.10</t>
        </is>
      </c>
      <c r="J7580" s="52" t="inlineStr">
        <is>
          <t>80.10; 80.20</t>
        </is>
      </c>
      <c r="K7580" s="53" t="inlineStr">
        <is>
          <t>Да</t>
        </is>
      </c>
      <c r="L7580" s="53" t="inlineStr">
        <is>
          <t>Да</t>
        </is>
      </c>
      <c r="M7580" s="53" t="inlineStr">
        <is>
          <t>До 50</t>
        </is>
      </c>
      <c r="N7580" s="54" t="n">
        <v>16800</v>
      </c>
      <c r="O7580" s="55" t="inlineStr">
        <is>
          <t>31–50</t>
        </is>
      </c>
      <c r="P7580" s="16" t="inlineStr">
        <is>
          <t>ССЧР + ОКВЭД обогащены</t>
        </is>
      </c>
      <c r="Q7580" s="16" t="inlineStr">
        <is>
          <t>ФНС открытые данные ССЧР (ДатаСост 31.12.2025; набор 7707329152-sshr2019)</t>
        </is>
      </c>
      <c r="R7580" s="16" t="inlineStr">
        <is>
          <t>ЕГРЮЛ / egrul.nalog.ru (выписка)</t>
        </is>
      </c>
      <c r="S7580" t="n">
        <v>1</v>
      </c>
      <c r="T7580" s="35" t="inlineStr">
        <is>
          <t>1 — Горячий</t>
        </is>
      </c>
      <c r="U7580" s="35" t="inlineStr">
        <is>
          <t>ОКВЭД + 22+</t>
        </is>
      </c>
      <c r="V7580" s="35" t="inlineStr">
        <is>
          <t>Да</t>
        </is>
      </c>
      <c r="W7580" s="35" t="inlineStr">
        <is>
          <t>Да</t>
        </is>
      </c>
      <c r="X7580" s="35" t="inlineStr">
        <is>
          <t>Да</t>
        </is>
      </c>
    </row>
    <row r="7581" ht="15" customHeight="1" s="24">
      <c r="A7581" s="13" t="inlineStr">
        <is>
          <t>FR726944</t>
        </is>
      </c>
      <c r="B7581" s="13" t="inlineStr">
        <is>
          <t>ИП Верхотуров Сергей Викторович</t>
        </is>
      </c>
      <c r="C7581" s="13" t="n">
        <v>434542015413</v>
      </c>
      <c r="D7581" s="13" t="inlineStr">
        <is>
          <t>434542015413</t>
        </is>
      </c>
      <c r="E7581" s="13" t="inlineStr">
        <is>
          <t>ИП РФ / физлицо</t>
        </is>
      </c>
      <c r="F7581" s="13" t="n"/>
      <c r="G7581" s="14" t="n"/>
      <c r="H7581" s="14" t="n"/>
      <c r="I7581" s="14" t="n"/>
      <c r="J7581" s="14" t="n"/>
      <c r="K7581" s="53" t="inlineStr"/>
      <c r="L7581" s="53" t="inlineStr">
        <is>
          <t>Не определено</t>
        </is>
      </c>
      <c r="M7581" s="53" t="inlineStr"/>
      <c r="N7581" s="54" t="inlineStr"/>
      <c r="O7581" s="55" t="inlineStr"/>
      <c r="P7581" s="16" t="inlineStr">
        <is>
          <t>Требует обогащения</t>
        </is>
      </c>
      <c r="Q7581" s="16">
        <f>HYPERLINK("https://pb.nalog.ru/search.html?query=434542015413","ФНС: проверить")</f>
        <v/>
      </c>
      <c r="R7581" s="16">
        <f>HYPERLINK("https://checko.ru/search?query=3801001629","Чекко: проверить")</f>
        <v/>
      </c>
      <c r="S7581" t="n">
        <v>1</v>
      </c>
      <c r="T7581" s="35" t="inlineStr">
        <is>
          <t>4 — Не обогащён</t>
        </is>
      </c>
      <c r="U7581" s="35" t="inlineStr">
        <is>
          <t>Нет ОКВЭД/ССЧР</t>
        </is>
      </c>
      <c r="V7581" s="35" t="inlineStr">
        <is>
          <t>Не определено</t>
        </is>
      </c>
      <c r="W7581" s="35" t="inlineStr"/>
      <c r="X7581" s="35" t="inlineStr"/>
    </row>
    <row r="7582" ht="27.75" customHeight="1" s="24">
      <c r="A7582" s="13" t="inlineStr">
        <is>
          <t>FR1082526</t>
        </is>
      </c>
      <c r="B7582" s="13" t="inlineStr">
        <is>
          <t>Общество с ограниченной ответственностью "БАЙКАЛАВТОТРАНС"</t>
        </is>
      </c>
      <c r="C7582" s="13" t="n">
        <v>3810077487</v>
      </c>
      <c r="D7582" s="13" t="inlineStr">
        <is>
          <t>3810077487</t>
        </is>
      </c>
      <c r="E7582" s="13" t="inlineStr">
        <is>
          <t>ЮЛ РФ</t>
        </is>
      </c>
      <c r="F7582" s="13" t="n"/>
      <c r="G7582" s="52" t="n">
        <v>52</v>
      </c>
      <c r="H7582" s="52" t="n">
        <v>2025</v>
      </c>
      <c r="I7582" s="52" t="inlineStr">
        <is>
          <t>52.29</t>
        </is>
      </c>
      <c r="J7582" s="52" t="inlineStr">
        <is>
          <t>52.29; 09.10.1; 09.10.9; 35.11; 35.14; 42.21; 42.22.2; 42.22.3; 42.99; 43.11; 43.12.3; 43.21; 43.22; 43.29; 43.31; 43.32; 43.33; 43.34; 43.39; 43.99; 43.99.1; 46.18; 46.49; 46.62; 46.63; 46.66; 46.69; 46.90; 49.39; 49.41; 49.42; 52.10; 52.24; 68.20; 69.10; 69.20; 70.22; 73.11; 73.20</t>
        </is>
      </c>
      <c r="K7582" s="53" t="inlineStr">
        <is>
          <t>Да</t>
        </is>
      </c>
      <c r="L7582" s="53" t="inlineStr">
        <is>
          <t>Да</t>
        </is>
      </c>
      <c r="M7582" s="53" t="inlineStr">
        <is>
          <t>До 100</t>
        </is>
      </c>
      <c r="N7582" s="54" t="n">
        <v>33600</v>
      </c>
      <c r="O7582" s="55" t="inlineStr">
        <is>
          <t>51–100</t>
        </is>
      </c>
      <c r="P7582" s="16" t="inlineStr">
        <is>
          <t>ССЧР + ОКВЭД обогащены</t>
        </is>
      </c>
      <c r="Q7582" s="16" t="inlineStr">
        <is>
          <t>ФНС открытые данные ССЧР (ДатаСост 31.12.2025; набор 7707329152-sshr2019)</t>
        </is>
      </c>
      <c r="R7582" s="16" t="inlineStr">
        <is>
          <t>ЕГРЮЛ / egrul.nalog.ru (выписка)</t>
        </is>
      </c>
      <c r="S7582" t="n">
        <v>1</v>
      </c>
      <c r="T7582" s="35" t="inlineStr">
        <is>
          <t>1 — Горячий</t>
        </is>
      </c>
      <c r="U7582" s="35" t="inlineStr">
        <is>
          <t>ОКВЭД + 22+</t>
        </is>
      </c>
      <c r="V7582" s="35" t="inlineStr">
        <is>
          <t>Да</t>
        </is>
      </c>
      <c r="W7582" s="35" t="inlineStr">
        <is>
          <t>Да</t>
        </is>
      </c>
      <c r="X7582" s="35" t="inlineStr">
        <is>
          <t>Да</t>
        </is>
      </c>
    </row>
    <row r="7583" ht="27.75" customHeight="1" s="24">
      <c r="A7583" s="13" t="inlineStr">
        <is>
          <t>FR1277142</t>
        </is>
      </c>
      <c r="B7583" s="13" t="inlineStr">
        <is>
          <t>Общество с ограниченной ответственностью "ТЕПЛОСЕРВИС"</t>
        </is>
      </c>
      <c r="C7583" s="13" t="n">
        <v>3816007359</v>
      </c>
      <c r="D7583" s="13" t="inlineStr">
        <is>
          <t>3816007359</t>
        </is>
      </c>
      <c r="E7583" s="13" t="inlineStr">
        <is>
          <t>ЮЛ РФ</t>
        </is>
      </c>
      <c r="F7583" s="13" t="n"/>
      <c r="G7583" s="52" t="n">
        <v>8</v>
      </c>
      <c r="H7583" s="52" t="n">
        <v>2025</v>
      </c>
      <c r="I7583" s="14" t="n"/>
      <c r="J7583" s="14" t="n"/>
      <c r="K7583" s="53" t="inlineStr">
        <is>
          <t>Нет</t>
        </is>
      </c>
      <c r="L7583" s="53" t="inlineStr">
        <is>
          <t>Не определено</t>
        </is>
      </c>
      <c r="M7583" s="53" t="inlineStr">
        <is>
          <t>До 10</t>
        </is>
      </c>
      <c r="N7583" s="54" t="n">
        <v>3360</v>
      </c>
      <c r="O7583" s="55" t="inlineStr">
        <is>
          <t>1–15</t>
        </is>
      </c>
      <c r="P7583" s="16" t="inlineStr">
        <is>
          <t>ССЧР обогащена; ОКВЭД не найден/не загружен</t>
        </is>
      </c>
      <c r="Q7583" s="16" t="inlineStr">
        <is>
          <t>ФНС открытые данные ССЧР (ДатаСост 31.12.2025; набор 7707329152-sshr2019)</t>
        </is>
      </c>
      <c r="R7583" s="16">
        <f>HYPERLINK("https://checko.ru/search?query=3801001629","Чекко: проверить")</f>
        <v/>
      </c>
      <c r="S7583" t="n">
        <v>1</v>
      </c>
      <c r="T7583" s="35" t="inlineStr">
        <is>
          <t>4 — Не обогащён</t>
        </is>
      </c>
      <c r="U7583" s="35" t="inlineStr">
        <is>
          <t>Нет ОКВЭД/ССЧР</t>
        </is>
      </c>
      <c r="V7583" s="35" t="inlineStr">
        <is>
          <t>Не определено</t>
        </is>
      </c>
      <c r="W7583" s="35" t="inlineStr">
        <is>
          <t>Нет</t>
        </is>
      </c>
      <c r="X7583" s="35" t="inlineStr"/>
    </row>
    <row r="7584" ht="15" customHeight="1" s="24">
      <c r="A7584" s="13" t="inlineStr">
        <is>
          <t>FR7790</t>
        </is>
      </c>
      <c r="B7584" s="13" t="inlineStr">
        <is>
          <t>ИП Демонова Марина Евгеньевна</t>
        </is>
      </c>
      <c r="C7584" s="13" t="n">
        <v>381103978748</v>
      </c>
      <c r="D7584" s="13" t="inlineStr">
        <is>
          <t>381103978748</t>
        </is>
      </c>
      <c r="E7584" s="13" t="inlineStr">
        <is>
          <t>ИП РФ / физлицо</t>
        </is>
      </c>
      <c r="F7584" s="13" t="n"/>
      <c r="G7584" s="14" t="n"/>
      <c r="H7584" s="14" t="n"/>
      <c r="I7584" s="14" t="n"/>
      <c r="J7584" s="14" t="n"/>
      <c r="K7584" s="53" t="inlineStr"/>
      <c r="L7584" s="53" t="inlineStr">
        <is>
          <t>Не определено</t>
        </is>
      </c>
      <c r="M7584" s="53" t="inlineStr"/>
      <c r="N7584" s="54" t="inlineStr"/>
      <c r="O7584" s="55" t="inlineStr"/>
      <c r="P7584" s="16" t="inlineStr">
        <is>
          <t>Требует обогащения</t>
        </is>
      </c>
      <c r="Q7584" s="16">
        <f>HYPERLINK("https://pb.nalog.ru/search.html?query=381103978748","ФНС: проверить")</f>
        <v/>
      </c>
      <c r="R7584" s="16">
        <f>HYPERLINK("https://checko.ru/search?query=3801001629","Чекко: проверить")</f>
        <v/>
      </c>
      <c r="S7584" t="n">
        <v>1</v>
      </c>
      <c r="T7584" s="35" t="inlineStr">
        <is>
          <t>4 — Не обогащён</t>
        </is>
      </c>
      <c r="U7584" s="35" t="inlineStr">
        <is>
          <t>Нет ОКВЭД/ССЧР</t>
        </is>
      </c>
      <c r="V7584" s="35" t="inlineStr">
        <is>
          <t>Не определено</t>
        </is>
      </c>
      <c r="W7584" s="35" t="inlineStr"/>
      <c r="X7584" s="35" t="inlineStr"/>
    </row>
    <row r="7585" ht="15" customHeight="1" s="24">
      <c r="A7585" s="13" t="inlineStr">
        <is>
          <t>FR375392</t>
        </is>
      </c>
      <c r="B7585" s="13" t="inlineStr">
        <is>
          <t>КИНГ КАВИАР, ООО</t>
        </is>
      </c>
      <c r="C7585" s="13" t="n">
        <v>9715385725</v>
      </c>
      <c r="D7585" s="13" t="inlineStr">
        <is>
          <t>9715385725</t>
        </is>
      </c>
      <c r="E7585" s="13" t="inlineStr">
        <is>
          <t>ЮЛ РФ</t>
        </is>
      </c>
      <c r="F7585" s="13" t="n"/>
      <c r="G7585" s="52" t="n">
        <v>1</v>
      </c>
      <c r="H7585" s="52" t="n">
        <v>2025</v>
      </c>
      <c r="I7585" s="14" t="n"/>
      <c r="J7585" s="14" t="n"/>
      <c r="K7585" s="53" t="inlineStr">
        <is>
          <t>Нет</t>
        </is>
      </c>
      <c r="L7585" s="53" t="inlineStr">
        <is>
          <t>Не определено</t>
        </is>
      </c>
      <c r="M7585" s="53" t="inlineStr">
        <is>
          <t>До 10</t>
        </is>
      </c>
      <c r="N7585" s="54" t="n">
        <v>3360</v>
      </c>
      <c r="O7585" s="55" t="inlineStr">
        <is>
          <t>1–15</t>
        </is>
      </c>
      <c r="P7585" s="16" t="inlineStr">
        <is>
          <t>ССЧР обогащена; ОКВЭД не найден/не загружен</t>
        </is>
      </c>
      <c r="Q7585" s="16" t="inlineStr">
        <is>
          <t>ФНС открытые данные ССЧР (ДатаСост 31.12.2025; набор 7707329152-sshr2019)</t>
        </is>
      </c>
      <c r="R7585" s="16">
        <f>HYPERLINK("https://checko.ru/search?query=3801001629","Чекко: проверить")</f>
        <v/>
      </c>
      <c r="S7585" t="n">
        <v>1</v>
      </c>
      <c r="T7585" s="35" t="inlineStr">
        <is>
          <t>4 — Не обогащён</t>
        </is>
      </c>
      <c r="U7585" s="35" t="inlineStr">
        <is>
          <t>Нет ОКВЭД/ССЧР</t>
        </is>
      </c>
      <c r="V7585" s="35" t="inlineStr">
        <is>
          <t>Не определено</t>
        </is>
      </c>
      <c r="W7585" s="35" t="inlineStr">
        <is>
          <t>Нет</t>
        </is>
      </c>
      <c r="X7585" s="35" t="inlineStr"/>
    </row>
    <row r="7586" ht="27.75" customHeight="1" s="24">
      <c r="A7586" s="13" t="inlineStr">
        <is>
          <t>FR447106</t>
        </is>
      </c>
      <c r="B7586" s="13" t="inlineStr">
        <is>
          <t>Общество с ограниченной ответственностью "С-ГРУПП"</t>
        </is>
      </c>
      <c r="C7586" s="13" t="n">
        <v>3804055132</v>
      </c>
      <c r="D7586" s="13" t="inlineStr">
        <is>
          <t>3804055132</t>
        </is>
      </c>
      <c r="E7586" s="13" t="inlineStr">
        <is>
          <t>ЮЛ РФ</t>
        </is>
      </c>
      <c r="F7586" s="13" t="n"/>
      <c r="G7586" s="52" t="n">
        <v>2</v>
      </c>
      <c r="H7586" s="52" t="n">
        <v>2025</v>
      </c>
      <c r="I7586" s="14" t="n"/>
      <c r="J7586" s="14" t="n"/>
      <c r="K7586" s="53" t="inlineStr">
        <is>
          <t>Нет</t>
        </is>
      </c>
      <c r="L7586" s="53" t="inlineStr">
        <is>
          <t>Не определено</t>
        </is>
      </c>
      <c r="M7586" s="53" t="inlineStr">
        <is>
          <t>До 10</t>
        </is>
      </c>
      <c r="N7586" s="54" t="n">
        <v>3360</v>
      </c>
      <c r="O7586" s="55" t="inlineStr">
        <is>
          <t>1–15</t>
        </is>
      </c>
      <c r="P7586" s="16" t="inlineStr">
        <is>
          <t>ССЧР обогащена; ОКВЭД не найден/не загружен</t>
        </is>
      </c>
      <c r="Q7586" s="16" t="inlineStr">
        <is>
          <t>ФНС открытые данные ССЧР (ДатаСост 31.12.2025; набор 7707329152-sshr2019)</t>
        </is>
      </c>
      <c r="R7586" s="16">
        <f>HYPERLINK("https://checko.ru/search?query=3801001629","Чекко: проверить")</f>
        <v/>
      </c>
      <c r="S7586" t="n">
        <v>1</v>
      </c>
      <c r="T7586" s="35" t="inlineStr">
        <is>
          <t>4 — Не обогащён</t>
        </is>
      </c>
      <c r="U7586" s="35" t="inlineStr">
        <is>
          <t>Нет ОКВЭД/ССЧР</t>
        </is>
      </c>
      <c r="V7586" s="35" t="inlineStr">
        <is>
          <t>Не определено</t>
        </is>
      </c>
      <c r="W7586" s="35" t="inlineStr">
        <is>
          <t>Нет</t>
        </is>
      </c>
      <c r="X7586" s="35" t="inlineStr"/>
    </row>
    <row r="7587" ht="27.75" customHeight="1" s="24">
      <c r="A7587" s="13" t="inlineStr">
        <is>
          <t>FR1241377</t>
        </is>
      </c>
      <c r="B7587" s="13" t="inlineStr">
        <is>
          <t>Общество с ограниченной ответственностью "СПЕЦТРЕЙДСЕРВИС"</t>
        </is>
      </c>
      <c r="C7587" s="13" t="n">
        <v>2100029261</v>
      </c>
      <c r="D7587" s="13" t="inlineStr">
        <is>
          <t>2100029261</t>
        </is>
      </c>
      <c r="E7587" s="13" t="inlineStr">
        <is>
          <t>ЮЛ РФ</t>
        </is>
      </c>
      <c r="F7587" s="13" t="n"/>
      <c r="G7587" s="52" t="n">
        <v>0</v>
      </c>
      <c r="H7587" s="52" t="n">
        <v>2025</v>
      </c>
      <c r="I7587" s="14" t="n"/>
      <c r="J7587" s="14" t="n"/>
      <c r="K7587" s="53" t="inlineStr">
        <is>
          <t>Нет</t>
        </is>
      </c>
      <c r="L7587" s="53" t="inlineStr">
        <is>
          <t>Не определено</t>
        </is>
      </c>
      <c r="M7587" s="53" t="inlineStr">
        <is>
          <t>До 10</t>
        </is>
      </c>
      <c r="N7587" s="54" t="n">
        <v>3360</v>
      </c>
      <c r="O7587" s="55" t="inlineStr">
        <is>
          <t>1–15</t>
        </is>
      </c>
      <c r="P7587" s="16" t="inlineStr">
        <is>
          <t>ССЧР обогащена; ОКВЭД не найден/не загружен</t>
        </is>
      </c>
      <c r="Q7587" s="16" t="inlineStr">
        <is>
          <t>ФНС открытые данные ССЧР (ДатаСост 31.12.2025; набор 7707329152-sshr2019)</t>
        </is>
      </c>
      <c r="R7587" s="16">
        <f>HYPERLINK("https://checko.ru/search?query=3801001629","Чекко: проверить")</f>
        <v/>
      </c>
      <c r="S7587" t="n">
        <v>1</v>
      </c>
      <c r="T7587" s="35" t="inlineStr">
        <is>
          <t>4 — Не обогащён</t>
        </is>
      </c>
      <c r="U7587" s="35" t="inlineStr">
        <is>
          <t>Нет ОКВЭД/ССЧР</t>
        </is>
      </c>
      <c r="V7587" s="35" t="inlineStr">
        <is>
          <t>Не определено</t>
        </is>
      </c>
      <c r="W7587" s="35" t="inlineStr">
        <is>
          <t>Нет</t>
        </is>
      </c>
      <c r="X7587" s="35" t="inlineStr"/>
    </row>
    <row r="7588" ht="27.75" customHeight="1" s="24">
      <c r="A7588" s="13" t="inlineStr">
        <is>
          <t>FR1096296</t>
        </is>
      </c>
      <c r="B7588" s="13" t="inlineStr">
        <is>
          <t>Общество с ограниченной ответственностью "ТК БАЙКАЛ"</t>
        </is>
      </c>
      <c r="C7588" s="13" t="n">
        <v>3812118428</v>
      </c>
      <c r="D7588" s="13" t="inlineStr">
        <is>
          <t>3812118428</t>
        </is>
      </c>
      <c r="E7588" s="13" t="inlineStr">
        <is>
          <t>ЮЛ РФ</t>
        </is>
      </c>
      <c r="F7588" s="13" t="n"/>
      <c r="G7588" s="52" t="n">
        <v>6</v>
      </c>
      <c r="H7588" s="52" t="n">
        <v>2025</v>
      </c>
      <c r="I7588" s="14" t="n"/>
      <c r="J7588" s="14" t="n"/>
      <c r="K7588" s="53" t="inlineStr">
        <is>
          <t>Нет</t>
        </is>
      </c>
      <c r="L7588" s="53" t="inlineStr">
        <is>
          <t>Не определено</t>
        </is>
      </c>
      <c r="M7588" s="53" t="inlineStr">
        <is>
          <t>До 10</t>
        </is>
      </c>
      <c r="N7588" s="54" t="n">
        <v>3360</v>
      </c>
      <c r="O7588" s="55" t="inlineStr">
        <is>
          <t>1–15</t>
        </is>
      </c>
      <c r="P7588" s="16" t="inlineStr">
        <is>
          <t>ССЧР обогащена; ОКВЭД не найден/не загружен</t>
        </is>
      </c>
      <c r="Q7588" s="16" t="inlineStr">
        <is>
          <t>ФНС открытые данные ССЧР (ДатаСост 31.12.2025; набор 7707329152-sshr2019)</t>
        </is>
      </c>
      <c r="R7588" s="16">
        <f>HYPERLINK("https://checko.ru/search?query=3801001629","Чекко: проверить")</f>
        <v/>
      </c>
      <c r="S7588" t="n">
        <v>1</v>
      </c>
      <c r="T7588" s="35" t="inlineStr">
        <is>
          <t>4 — Не обогащён</t>
        </is>
      </c>
      <c r="U7588" s="35" t="inlineStr">
        <is>
          <t>Нет ОКВЭД/ССЧР</t>
        </is>
      </c>
      <c r="V7588" s="35" t="inlineStr">
        <is>
          <t>Не определено</t>
        </is>
      </c>
      <c r="W7588" s="35" t="inlineStr">
        <is>
          <t>Нет</t>
        </is>
      </c>
      <c r="X7588" s="35" t="inlineStr"/>
    </row>
    <row r="7589" ht="27.75" customHeight="1" s="24">
      <c r="A7589" s="13" t="inlineStr">
        <is>
          <t>FR745170</t>
        </is>
      </c>
      <c r="B7589" s="13" t="inlineStr">
        <is>
          <t>Общество с ограниченной ответственностью "РГ ИРКУТСКГЕОФИЗИКА 3"</t>
        </is>
      </c>
      <c r="C7589" s="13" t="n">
        <v>3812525085</v>
      </c>
      <c r="D7589" s="13" t="inlineStr">
        <is>
          <t>3812525085</t>
        </is>
      </c>
      <c r="E7589" s="13" t="inlineStr">
        <is>
          <t>ЮЛ РФ</t>
        </is>
      </c>
      <c r="F7589" s="13" t="n"/>
      <c r="G7589" s="52" t="n">
        <v>50</v>
      </c>
      <c r="H7589" s="52" t="n">
        <v>2025</v>
      </c>
      <c r="I7589" s="52" t="inlineStr">
        <is>
          <t>07.29</t>
        </is>
      </c>
      <c r="J7589" s="52" t="inlineStr">
        <is>
          <t>07.29; 07.29.4; 24.41; 43.13; 46.72.23; 71.12; 71.12.41; 72.19</t>
        </is>
      </c>
      <c r="K7589" s="53" t="inlineStr">
        <is>
          <t>Да</t>
        </is>
      </c>
      <c r="L7589" s="53" t="inlineStr">
        <is>
          <t>Да</t>
        </is>
      </c>
      <c r="M7589" s="53" t="inlineStr">
        <is>
          <t>До 50</t>
        </is>
      </c>
      <c r="N7589" s="54" t="n">
        <v>16800</v>
      </c>
      <c r="O7589" s="55" t="inlineStr">
        <is>
          <t>31–50</t>
        </is>
      </c>
      <c r="P7589" s="16" t="inlineStr">
        <is>
          <t>ССЧР + ОКВЭД обогащены</t>
        </is>
      </c>
      <c r="Q7589" s="16" t="inlineStr">
        <is>
          <t>ФНС открытые данные ССЧР (ДатаСост 31.12.2025; набор 7707329152-sshr2019)</t>
        </is>
      </c>
      <c r="R7589" s="16" t="inlineStr">
        <is>
          <t>ЕГРЮЛ / egrul.nalog.ru (выписка)</t>
        </is>
      </c>
      <c r="S7589" t="n">
        <v>1</v>
      </c>
      <c r="T7589" s="35" t="inlineStr">
        <is>
          <t>1 — Горячий</t>
        </is>
      </c>
      <c r="U7589" s="35" t="inlineStr">
        <is>
          <t>ОКВЭД + 22+</t>
        </is>
      </c>
      <c r="V7589" s="35" t="inlineStr">
        <is>
          <t>Да</t>
        </is>
      </c>
      <c r="W7589" s="35" t="inlineStr">
        <is>
          <t>Да</t>
        </is>
      </c>
      <c r="X7589" s="35" t="inlineStr">
        <is>
          <t>Да</t>
        </is>
      </c>
    </row>
    <row r="7590" ht="15" customHeight="1" s="24">
      <c r="A7590" s="13" t="inlineStr">
        <is>
          <t>FR745809</t>
        </is>
      </c>
      <c r="B7590" s="13" t="inlineStr">
        <is>
          <t>ИП Сабиргалиев Эрик Раисович</t>
        </is>
      </c>
      <c r="C7590" s="13" t="n">
        <v>165002792200</v>
      </c>
      <c r="D7590" s="13" t="inlineStr">
        <is>
          <t>165002792200</t>
        </is>
      </c>
      <c r="E7590" s="13" t="inlineStr">
        <is>
          <t>ИП РФ / физлицо</t>
        </is>
      </c>
      <c r="F7590" s="13" t="n"/>
      <c r="G7590" s="14" t="n"/>
      <c r="H7590" s="14" t="n"/>
      <c r="I7590" s="14" t="n"/>
      <c r="J7590" s="14" t="n"/>
      <c r="K7590" s="53" t="inlineStr"/>
      <c r="L7590" s="53" t="inlineStr">
        <is>
          <t>Не определено</t>
        </is>
      </c>
      <c r="M7590" s="53" t="inlineStr"/>
      <c r="N7590" s="54" t="inlineStr"/>
      <c r="O7590" s="55" t="inlineStr"/>
      <c r="P7590" s="16" t="inlineStr">
        <is>
          <t>Требует обогащения</t>
        </is>
      </c>
      <c r="Q7590" s="16">
        <f>HYPERLINK("https://pb.nalog.ru/search.html?query=165002792200","ФНС: проверить")</f>
        <v/>
      </c>
      <c r="R7590" s="16">
        <f>HYPERLINK("https://checko.ru/search?query=3801001629","Чекко: проверить")</f>
        <v/>
      </c>
      <c r="S7590" t="n">
        <v>1</v>
      </c>
      <c r="T7590" s="35" t="inlineStr">
        <is>
          <t>4 — Не обогащён</t>
        </is>
      </c>
      <c r="U7590" s="35" t="inlineStr">
        <is>
          <t>Нет ОКВЭД/ССЧР</t>
        </is>
      </c>
      <c r="V7590" s="35" t="inlineStr">
        <is>
          <t>Не определено</t>
        </is>
      </c>
      <c r="W7590" s="35" t="inlineStr"/>
      <c r="X7590" s="35" t="inlineStr"/>
    </row>
    <row r="7591" ht="15" customHeight="1" s="24">
      <c r="A7591" s="13" t="inlineStr">
        <is>
          <t>FR1281525</t>
        </is>
      </c>
      <c r="B7591" s="13" t="inlineStr">
        <is>
          <t>ИП Ващенко Андрей Витальевич</t>
        </is>
      </c>
      <c r="C7591" s="13" t="n">
        <v>381115077138</v>
      </c>
      <c r="D7591" s="13" t="inlineStr">
        <is>
          <t>381115077138</t>
        </is>
      </c>
      <c r="E7591" s="13" t="inlineStr">
        <is>
          <t>ИП РФ / физлицо</t>
        </is>
      </c>
      <c r="F7591" s="13" t="n"/>
      <c r="G7591" s="14" t="n"/>
      <c r="H7591" s="14" t="n"/>
      <c r="I7591" s="14" t="n"/>
      <c r="J7591" s="14" t="n"/>
      <c r="K7591" s="53" t="inlineStr"/>
      <c r="L7591" s="53" t="inlineStr">
        <is>
          <t>Не определено</t>
        </is>
      </c>
      <c r="M7591" s="53" t="inlineStr"/>
      <c r="N7591" s="54" t="inlineStr"/>
      <c r="O7591" s="55" t="inlineStr"/>
      <c r="P7591" s="16" t="inlineStr">
        <is>
          <t>Требует обогащения</t>
        </is>
      </c>
      <c r="Q7591" s="16">
        <f>HYPERLINK("https://pb.nalog.ru/search.html?query=381115077138","ФНС: проверить")</f>
        <v/>
      </c>
      <c r="R7591" s="16">
        <f>HYPERLINK("https://checko.ru/search?query=3801001629","Чекко: проверить")</f>
        <v/>
      </c>
      <c r="S7591" t="n">
        <v>1</v>
      </c>
      <c r="T7591" s="35" t="inlineStr">
        <is>
          <t>4 — Не обогащён</t>
        </is>
      </c>
      <c r="U7591" s="35" t="inlineStr">
        <is>
          <t>Нет ОКВЭД/ССЧР</t>
        </is>
      </c>
      <c r="V7591" s="35" t="inlineStr">
        <is>
          <t>Не определено</t>
        </is>
      </c>
      <c r="W7591" s="35" t="inlineStr"/>
      <c r="X7591" s="35" t="inlineStr"/>
    </row>
    <row r="7592" ht="15" customHeight="1" s="24">
      <c r="A7592" s="13" t="inlineStr">
        <is>
          <t>FR1281538</t>
        </is>
      </c>
      <c r="B7592" s="13" t="inlineStr">
        <is>
          <t>ИП Имихеева Анна Георгиевна</t>
        </is>
      </c>
      <c r="C7592" s="13" t="n">
        <v>380807489565</v>
      </c>
      <c r="D7592" s="13" t="inlineStr">
        <is>
          <t>380807489565</t>
        </is>
      </c>
      <c r="E7592" s="13" t="inlineStr">
        <is>
          <t>ИП РФ / физлицо</t>
        </is>
      </c>
      <c r="F7592" s="13" t="n"/>
      <c r="G7592" s="14" t="n"/>
      <c r="H7592" s="14" t="n"/>
      <c r="I7592" s="14" t="n"/>
      <c r="J7592" s="14" t="n"/>
      <c r="K7592" s="53" t="inlineStr"/>
      <c r="L7592" s="53" t="inlineStr">
        <is>
          <t>Не определено</t>
        </is>
      </c>
      <c r="M7592" s="53" t="inlineStr"/>
      <c r="N7592" s="54" t="inlineStr"/>
      <c r="O7592" s="55" t="inlineStr"/>
      <c r="P7592" s="16" t="inlineStr">
        <is>
          <t>Требует обогащения</t>
        </is>
      </c>
      <c r="Q7592" s="16">
        <f>HYPERLINK("https://pb.nalog.ru/search.html?query=380807489565","ФНС: проверить")</f>
        <v/>
      </c>
      <c r="R7592" s="16">
        <f>HYPERLINK("https://checko.ru/search?query=3801001629","Чекко: проверить")</f>
        <v/>
      </c>
      <c r="S7592" t="n">
        <v>1</v>
      </c>
      <c r="T7592" s="35" t="inlineStr">
        <is>
          <t>4 — Не обогащён</t>
        </is>
      </c>
      <c r="U7592" s="35" t="inlineStr">
        <is>
          <t>Нет ОКВЭД/ССЧР</t>
        </is>
      </c>
      <c r="V7592" s="35" t="inlineStr">
        <is>
          <t>Не определено</t>
        </is>
      </c>
      <c r="W7592" s="35" t="inlineStr"/>
      <c r="X7592" s="35" t="inlineStr"/>
    </row>
    <row r="7593" ht="15" customHeight="1" s="24">
      <c r="A7593" s="13" t="inlineStr">
        <is>
          <t>FR328195</t>
        </is>
      </c>
      <c r="B7593" s="13" t="inlineStr">
        <is>
          <t>Пашков Дмитрий Анатольевич</t>
        </is>
      </c>
      <c r="C7593" s="13" t="n">
        <v>850300013300</v>
      </c>
      <c r="D7593" s="13" t="inlineStr">
        <is>
          <t>850300013300</t>
        </is>
      </c>
      <c r="E7593" s="13" t="inlineStr">
        <is>
          <t>ИП РФ / физлицо</t>
        </is>
      </c>
      <c r="F7593" s="13" t="n"/>
      <c r="G7593" s="14" t="n"/>
      <c r="H7593" s="14" t="n"/>
      <c r="I7593" s="14" t="n"/>
      <c r="J7593" s="14" t="n"/>
      <c r="K7593" s="53" t="inlineStr"/>
      <c r="L7593" s="53" t="inlineStr">
        <is>
          <t>Не определено</t>
        </is>
      </c>
      <c r="M7593" s="53" t="inlineStr"/>
      <c r="N7593" s="54" t="inlineStr"/>
      <c r="O7593" s="55" t="inlineStr"/>
      <c r="P7593" s="16" t="inlineStr">
        <is>
          <t>Требует обогащения</t>
        </is>
      </c>
      <c r="Q7593" s="16">
        <f>HYPERLINK("https://pb.nalog.ru/search.html?query=850300013300","ФНС: проверить")</f>
        <v/>
      </c>
      <c r="R7593" s="16">
        <f>HYPERLINK("https://checko.ru/search?query=3801001629","Чекко: проверить")</f>
        <v/>
      </c>
      <c r="S7593" t="n">
        <v>1</v>
      </c>
      <c r="T7593" s="35" t="inlineStr">
        <is>
          <t>4 — Не обогащён</t>
        </is>
      </c>
      <c r="U7593" s="35" t="inlineStr">
        <is>
          <t>Нет ОКВЭД/ССЧР</t>
        </is>
      </c>
      <c r="V7593" s="35" t="inlineStr">
        <is>
          <t>Не определено</t>
        </is>
      </c>
      <c r="W7593" s="35" t="inlineStr"/>
      <c r="X7593" s="35" t="inlineStr"/>
    </row>
    <row r="7594" ht="15" customHeight="1" s="24">
      <c r="A7594" s="13" t="inlineStr">
        <is>
          <t>FR31976</t>
        </is>
      </c>
      <c r="B7594" s="13" t="inlineStr">
        <is>
          <t>ТРАНС ПРОЕКТ МОНИТОРИНГ, ООО</t>
        </is>
      </c>
      <c r="C7594" s="13" t="n">
        <v>3812114141</v>
      </c>
      <c r="D7594" s="13" t="inlineStr">
        <is>
          <t>3812114141</t>
        </is>
      </c>
      <c r="E7594" s="13" t="inlineStr">
        <is>
          <t>ЮЛ РФ</t>
        </is>
      </c>
      <c r="F7594" s="13" t="n"/>
      <c r="G7594" s="52" t="n">
        <v>21</v>
      </c>
      <c r="H7594" s="52" t="n">
        <v>2025</v>
      </c>
      <c r="I7594" s="14" t="n"/>
      <c r="J7594" s="14" t="n"/>
      <c r="K7594" s="53" t="inlineStr">
        <is>
          <t>Нет</t>
        </is>
      </c>
      <c r="L7594" s="53" t="inlineStr">
        <is>
          <t>Не определено</t>
        </is>
      </c>
      <c r="M7594" s="53" t="inlineStr">
        <is>
          <t>До 25</t>
        </is>
      </c>
      <c r="N7594" s="54" t="n">
        <v>8400</v>
      </c>
      <c r="O7594" s="55" t="inlineStr">
        <is>
          <t>16–30</t>
        </is>
      </c>
      <c r="P7594" s="16" t="inlineStr">
        <is>
          <t>ССЧР обогащена; ОКВЭД не найден/не загружен</t>
        </is>
      </c>
      <c r="Q7594" s="16" t="inlineStr">
        <is>
          <t>ФНС открытые данные ССЧР (ДатаСост 31.12.2025; набор 7707329152-sshr2019)</t>
        </is>
      </c>
      <c r="R7594" s="16">
        <f>HYPERLINK("https://checko.ru/search?query=3801001629","Чекко: проверить")</f>
        <v/>
      </c>
      <c r="S7594" t="n">
        <v>1</v>
      </c>
      <c r="T7594" s="35" t="inlineStr">
        <is>
          <t>4 — Не обогащён</t>
        </is>
      </c>
      <c r="U7594" s="35" t="inlineStr">
        <is>
          <t>Нет ОКВЭД/ССЧР</t>
        </is>
      </c>
      <c r="V7594" s="35" t="inlineStr">
        <is>
          <t>Не определено</t>
        </is>
      </c>
      <c r="W7594" s="35" t="inlineStr">
        <is>
          <t>Нет</t>
        </is>
      </c>
      <c r="X7594" s="35" t="inlineStr"/>
    </row>
    <row r="7595" ht="41.25" customHeight="1" s="24">
      <c r="A7595" s="13" t="inlineStr">
        <is>
          <t>FR7864</t>
        </is>
      </c>
      <c r="B7595" s="13" t="inlineStr">
        <is>
          <t>Общество с ограниченной ответственностью "ПРОИЗВОДСТВЕННОЕ МОНТАЖНОЕ ПРЕДПРИЯТИЕ "РАДИАН"</t>
        </is>
      </c>
      <c r="C7595" s="13" t="n">
        <v>5029145287</v>
      </c>
      <c r="D7595" s="13" t="inlineStr">
        <is>
          <t>5029145287</t>
        </is>
      </c>
      <c r="E7595" s="13" t="inlineStr">
        <is>
          <t>ЮЛ РФ</t>
        </is>
      </c>
      <c r="F7595" s="13" t="n"/>
      <c r="G7595" s="52" t="n">
        <v>17</v>
      </c>
      <c r="H7595" s="52" t="n">
        <v>2025</v>
      </c>
      <c r="I7595" s="14" t="n"/>
      <c r="J7595" s="14" t="n"/>
      <c r="K7595" s="53" t="inlineStr">
        <is>
          <t>Нет</t>
        </is>
      </c>
      <c r="L7595" s="53" t="inlineStr">
        <is>
          <t>Не определено</t>
        </is>
      </c>
      <c r="M7595" s="53" t="inlineStr">
        <is>
          <t>До 25</t>
        </is>
      </c>
      <c r="N7595" s="54" t="n">
        <v>8400</v>
      </c>
      <c r="O7595" s="55" t="inlineStr">
        <is>
          <t>16–30</t>
        </is>
      </c>
      <c r="P7595" s="16" t="inlineStr">
        <is>
          <t>ССЧР обогащена; ОКВЭД не найден/не загружен</t>
        </is>
      </c>
      <c r="Q7595" s="16" t="inlineStr">
        <is>
          <t>ФНС открытые данные ССЧР (ДатаСост 31.12.2025; набор 7707329152-sshr2019)</t>
        </is>
      </c>
      <c r="R7595" s="16">
        <f>HYPERLINK("https://checko.ru/search?query=3801001629","Чекко: проверить")</f>
        <v/>
      </c>
      <c r="S7595" t="n">
        <v>1</v>
      </c>
      <c r="T7595" s="35" t="inlineStr">
        <is>
          <t>4 — Не обогащён</t>
        </is>
      </c>
      <c r="U7595" s="35" t="inlineStr">
        <is>
          <t>Нет ОКВЭД/ССЧР</t>
        </is>
      </c>
      <c r="V7595" s="35" t="inlineStr">
        <is>
          <t>Не определено</t>
        </is>
      </c>
      <c r="W7595" s="35" t="inlineStr">
        <is>
          <t>Нет</t>
        </is>
      </c>
      <c r="X7595" s="35" t="inlineStr"/>
    </row>
    <row r="7596" ht="15" customHeight="1" s="24">
      <c r="A7596" s="13" t="inlineStr">
        <is>
          <t>FR53056</t>
        </is>
      </c>
      <c r="B7596" s="13" t="inlineStr">
        <is>
          <t>ИНОВА ООО</t>
        </is>
      </c>
      <c r="C7596" s="13" t="n">
        <v>5905296674</v>
      </c>
      <c r="D7596" s="13" t="inlineStr">
        <is>
          <t>5905296674</t>
        </is>
      </c>
      <c r="E7596" s="13" t="inlineStr">
        <is>
          <t>ЮЛ РФ</t>
        </is>
      </c>
      <c r="F7596" s="13" t="n"/>
      <c r="G7596" s="52" t="n">
        <v>5</v>
      </c>
      <c r="H7596" s="52" t="n">
        <v>2025</v>
      </c>
      <c r="I7596" s="14" t="n"/>
      <c r="J7596" s="14" t="n"/>
      <c r="K7596" s="53" t="inlineStr">
        <is>
          <t>Нет</t>
        </is>
      </c>
      <c r="L7596" s="53" t="inlineStr">
        <is>
          <t>Не определено</t>
        </is>
      </c>
      <c r="M7596" s="53" t="inlineStr">
        <is>
          <t>До 10</t>
        </is>
      </c>
      <c r="N7596" s="54" t="n">
        <v>3360</v>
      </c>
      <c r="O7596" s="55" t="inlineStr">
        <is>
          <t>1–15</t>
        </is>
      </c>
      <c r="P7596" s="16" t="inlineStr">
        <is>
          <t>ССЧР обогащена; ОКВЭД не найден/не загружен</t>
        </is>
      </c>
      <c r="Q7596" s="16" t="inlineStr">
        <is>
          <t>ФНС открытые данные ССЧР (ДатаСост 31.12.2025; набор 7707329152-sshr2019)</t>
        </is>
      </c>
      <c r="R7596" s="16">
        <f>HYPERLINK("https://checko.ru/search?query=3801001629","Чекко: проверить")</f>
        <v/>
      </c>
      <c r="S7596" t="n">
        <v>1</v>
      </c>
      <c r="T7596" s="35" t="inlineStr">
        <is>
          <t>4 — Не обогащён</t>
        </is>
      </c>
      <c r="U7596" s="35" t="inlineStr">
        <is>
          <t>Нет ОКВЭД/ССЧР</t>
        </is>
      </c>
      <c r="V7596" s="35" t="inlineStr">
        <is>
          <t>Не определено</t>
        </is>
      </c>
      <c r="W7596" s="35" t="inlineStr">
        <is>
          <t>Нет</t>
        </is>
      </c>
      <c r="X7596" s="35" t="inlineStr"/>
    </row>
    <row r="7597" ht="15" customHeight="1" s="24">
      <c r="A7597" s="13" t="inlineStr">
        <is>
          <t>FR164593</t>
        </is>
      </c>
      <c r="B7597" s="13" t="inlineStr">
        <is>
          <t>ИП Каныгина Анна Сергеевна</t>
        </is>
      </c>
      <c r="C7597" s="13" t="n">
        <v>381910712360</v>
      </c>
      <c r="D7597" s="13" t="inlineStr">
        <is>
          <t>381910712360</t>
        </is>
      </c>
      <c r="E7597" s="13" t="inlineStr">
        <is>
          <t>ИП РФ / физлицо</t>
        </is>
      </c>
      <c r="F7597" s="13" t="n"/>
      <c r="G7597" s="14" t="n"/>
      <c r="H7597" s="14" t="n"/>
      <c r="I7597" s="14" t="n"/>
      <c r="J7597" s="14" t="n"/>
      <c r="K7597" s="53" t="inlineStr"/>
      <c r="L7597" s="53" t="inlineStr">
        <is>
          <t>Не определено</t>
        </is>
      </c>
      <c r="M7597" s="53" t="inlineStr"/>
      <c r="N7597" s="54" t="inlineStr"/>
      <c r="O7597" s="55" t="inlineStr"/>
      <c r="P7597" s="16" t="inlineStr">
        <is>
          <t>Требует обогащения</t>
        </is>
      </c>
      <c r="Q7597" s="16">
        <f>HYPERLINK("https://pb.nalog.ru/search.html?query=381910712360","ФНС: проверить")</f>
        <v/>
      </c>
      <c r="R7597" s="16">
        <f>HYPERLINK("https://checko.ru/search?query=3801001629","Чекко: проверить")</f>
        <v/>
      </c>
      <c r="S7597" t="n">
        <v>1</v>
      </c>
      <c r="T7597" s="35" t="inlineStr">
        <is>
          <t>4 — Не обогащён</t>
        </is>
      </c>
      <c r="U7597" s="35" t="inlineStr">
        <is>
          <t>Нет ОКВЭД/ССЧР</t>
        </is>
      </c>
      <c r="V7597" s="35" t="inlineStr">
        <is>
          <t>Не определено</t>
        </is>
      </c>
      <c r="W7597" s="35" t="inlineStr"/>
      <c r="X7597" s="35" t="inlineStr"/>
    </row>
    <row r="7598" ht="15" customHeight="1" s="24">
      <c r="A7598" s="13" t="inlineStr">
        <is>
          <t>FR309824</t>
        </is>
      </c>
      <c r="B7598" s="13" t="inlineStr">
        <is>
          <t>ИП Шарифулин Халил Ярдысович</t>
        </is>
      </c>
      <c r="C7598" s="13" t="n">
        <v>381299540392</v>
      </c>
      <c r="D7598" s="13" t="inlineStr">
        <is>
          <t>381299540392</t>
        </is>
      </c>
      <c r="E7598" s="13" t="inlineStr">
        <is>
          <t>ИП РФ / физлицо</t>
        </is>
      </c>
      <c r="F7598" s="13" t="n"/>
      <c r="G7598" s="14" t="n"/>
      <c r="H7598" s="14" t="n"/>
      <c r="I7598" s="14" t="n"/>
      <c r="J7598" s="14" t="n"/>
      <c r="K7598" s="53" t="inlineStr"/>
      <c r="L7598" s="53" t="inlineStr">
        <is>
          <t>Не определено</t>
        </is>
      </c>
      <c r="M7598" s="53" t="inlineStr"/>
      <c r="N7598" s="54" t="inlineStr"/>
      <c r="O7598" s="55" t="inlineStr"/>
      <c r="P7598" s="16" t="inlineStr">
        <is>
          <t>Требует обогащения</t>
        </is>
      </c>
      <c r="Q7598" s="16">
        <f>HYPERLINK("https://pb.nalog.ru/search.html?query=381299540392","ФНС: проверить")</f>
        <v/>
      </c>
      <c r="R7598" s="16">
        <f>HYPERLINK("https://checko.ru/search?query=3801001629","Чекко: проверить")</f>
        <v/>
      </c>
      <c r="S7598" t="n">
        <v>1</v>
      </c>
      <c r="T7598" s="35" t="inlineStr">
        <is>
          <t>4 — Не обогащён</t>
        </is>
      </c>
      <c r="U7598" s="35" t="inlineStr">
        <is>
          <t>Нет ОКВЭД/ССЧР</t>
        </is>
      </c>
      <c r="V7598" s="35" t="inlineStr">
        <is>
          <t>Не определено</t>
        </is>
      </c>
      <c r="W7598" s="35" t="inlineStr"/>
      <c r="X7598" s="35" t="inlineStr"/>
    </row>
    <row r="7599" ht="27.75" customHeight="1" s="24">
      <c r="A7599" s="13" t="inlineStr">
        <is>
          <t>FR733973</t>
        </is>
      </c>
      <c r="B7599" s="13" t="inlineStr">
        <is>
          <t>Общество с ограниченной ответственностью "СИГНАЛСТРОЙСЕРВИС"</t>
        </is>
      </c>
      <c r="C7599" s="13" t="n">
        <v>3812527011</v>
      </c>
      <c r="D7599" s="13" t="inlineStr">
        <is>
          <t>3812527011</t>
        </is>
      </c>
      <c r="E7599" s="13" t="inlineStr">
        <is>
          <t>ЮЛ РФ</t>
        </is>
      </c>
      <c r="F7599" s="13" t="n"/>
      <c r="G7599" s="52" t="n">
        <v>95</v>
      </c>
      <c r="H7599" s="52" t="n">
        <v>2025</v>
      </c>
      <c r="I7599" s="52" t="inlineStr">
        <is>
          <t>52.21.1</t>
        </is>
      </c>
      <c r="J7599" s="52" t="inlineStr">
        <is>
          <t>52.21.1; 33.14; 33.20; 42.11; 42.12; 47.41; 47.42; 61.10; 61.20; 62.01; 62.02; 62.03; 62.09; 63.11; 72.19; 95.11; 95.12</t>
        </is>
      </c>
      <c r="K7599" s="53" t="inlineStr">
        <is>
          <t>Да</t>
        </is>
      </c>
      <c r="L7599" s="53" t="inlineStr">
        <is>
          <t>Да</t>
        </is>
      </c>
      <c r="M7599" s="53" t="inlineStr">
        <is>
          <t>До 100</t>
        </is>
      </c>
      <c r="N7599" s="54" t="n">
        <v>33600</v>
      </c>
      <c r="O7599" s="55" t="inlineStr">
        <is>
          <t>51–100</t>
        </is>
      </c>
      <c r="P7599" s="16" t="inlineStr">
        <is>
          <t>ССЧР + ОКВЭД обогащены</t>
        </is>
      </c>
      <c r="Q7599" s="16" t="inlineStr">
        <is>
          <t>ФНС открытые данные ССЧР (ДатаСост 31.12.2025; набор 7707329152-sshr2019)</t>
        </is>
      </c>
      <c r="R7599" s="16" t="inlineStr">
        <is>
          <t>ЕГРЮЛ / egrul.nalog.ru (выписка)</t>
        </is>
      </c>
      <c r="S7599" t="n">
        <v>1</v>
      </c>
      <c r="T7599" s="35" t="inlineStr">
        <is>
          <t>1 — Горячий</t>
        </is>
      </c>
      <c r="U7599" s="35" t="inlineStr">
        <is>
          <t>ОКВЭД + 22+</t>
        </is>
      </c>
      <c r="V7599" s="35" t="inlineStr">
        <is>
          <t>Да</t>
        </is>
      </c>
      <c r="W7599" s="35" t="inlineStr">
        <is>
          <t>Да</t>
        </is>
      </c>
      <c r="X7599" s="35" t="inlineStr">
        <is>
          <t>Да</t>
        </is>
      </c>
    </row>
    <row r="7600" ht="15" customHeight="1" s="24">
      <c r="A7600" s="13" t="inlineStr">
        <is>
          <t>FR3527</t>
        </is>
      </c>
      <c r="B7600" s="13" t="inlineStr">
        <is>
          <t>ИП Черняев К.Г.</t>
        </is>
      </c>
      <c r="C7600" s="13" t="n">
        <v>280114564102</v>
      </c>
      <c r="D7600" s="13" t="inlineStr">
        <is>
          <t>280114564102</t>
        </is>
      </c>
      <c r="E7600" s="13" t="inlineStr">
        <is>
          <t>ИП РФ / физлицо</t>
        </is>
      </c>
      <c r="F7600" s="13" t="n"/>
      <c r="G7600" s="14" t="n"/>
      <c r="H7600" s="14" t="n"/>
      <c r="I7600" s="14" t="n"/>
      <c r="J7600" s="14" t="n"/>
      <c r="K7600" s="53" t="inlineStr"/>
      <c r="L7600" s="53" t="inlineStr">
        <is>
          <t>Не определено</t>
        </is>
      </c>
      <c r="M7600" s="53" t="inlineStr"/>
      <c r="N7600" s="54" t="inlineStr"/>
      <c r="O7600" s="55" t="inlineStr"/>
      <c r="P7600" s="16" t="inlineStr">
        <is>
          <t>Требует обогащения</t>
        </is>
      </c>
      <c r="Q7600" s="16">
        <f>HYPERLINK("https://pb.nalog.ru/search.html?query=280114564102","ФНС: проверить")</f>
        <v/>
      </c>
      <c r="R7600" s="16">
        <f>HYPERLINK("https://checko.ru/search?query=3801001629","Чекко: проверить")</f>
        <v/>
      </c>
      <c r="S7600" t="n">
        <v>1</v>
      </c>
      <c r="T7600" s="35" t="inlineStr">
        <is>
          <t>4 — Не обогащён</t>
        </is>
      </c>
      <c r="U7600" s="35" t="inlineStr">
        <is>
          <t>Нет ОКВЭД/ССЧР</t>
        </is>
      </c>
      <c r="V7600" s="35" t="inlineStr">
        <is>
          <t>Не определено</t>
        </is>
      </c>
      <c r="W7600" s="35" t="inlineStr"/>
      <c r="X7600" s="35" t="inlineStr"/>
    </row>
    <row r="7601" ht="27.75" customHeight="1" s="24">
      <c r="A7601" s="13" t="inlineStr">
        <is>
          <t>FR14664</t>
        </is>
      </c>
      <c r="B7601" s="13" t="inlineStr">
        <is>
          <t>ОБЩЕСТВО С ОГРАНИЧЕННОЙ ОТВЕТСТВЕННОСТЬЮ "МЕГАПОЛИС"</t>
        </is>
      </c>
      <c r="C7601" s="13" t="n">
        <v>3818032463</v>
      </c>
      <c r="D7601" s="13" t="inlineStr">
        <is>
          <t>3818032463</t>
        </is>
      </c>
      <c r="E7601" s="13" t="inlineStr">
        <is>
          <t>ЮЛ РФ</t>
        </is>
      </c>
      <c r="F7601" s="13" t="n"/>
      <c r="G7601" s="52" t="n">
        <v>1</v>
      </c>
      <c r="H7601" s="52" t="n">
        <v>2025</v>
      </c>
      <c r="I7601" s="14" t="n"/>
      <c r="J7601" s="14" t="n"/>
      <c r="K7601" s="53" t="inlineStr">
        <is>
          <t>Нет</t>
        </is>
      </c>
      <c r="L7601" s="53" t="inlineStr">
        <is>
          <t>Не определено</t>
        </is>
      </c>
      <c r="M7601" s="53" t="inlineStr">
        <is>
          <t>До 10</t>
        </is>
      </c>
      <c r="N7601" s="54" t="n">
        <v>3360</v>
      </c>
      <c r="O7601" s="55" t="inlineStr">
        <is>
          <t>1–15</t>
        </is>
      </c>
      <c r="P7601" s="16" t="inlineStr">
        <is>
          <t>ССЧР обогащена; ОКВЭД не найден/не загружен</t>
        </is>
      </c>
      <c r="Q7601" s="16" t="inlineStr">
        <is>
          <t>ФНС открытые данные ССЧР (ДатаСост 31.12.2025; набор 7707329152-sshr2019)</t>
        </is>
      </c>
      <c r="R7601" s="16">
        <f>HYPERLINK("https://checko.ru/search?query=3801001629","Чекко: проверить")</f>
        <v/>
      </c>
      <c r="S7601" t="n">
        <v>1</v>
      </c>
      <c r="T7601" s="35" t="inlineStr">
        <is>
          <t>4 — Не обогащён</t>
        </is>
      </c>
      <c r="U7601" s="35" t="inlineStr">
        <is>
          <t>Нет ОКВЭД/ССЧР</t>
        </is>
      </c>
      <c r="V7601" s="35" t="inlineStr">
        <is>
          <t>Не определено</t>
        </is>
      </c>
      <c r="W7601" s="35" t="inlineStr">
        <is>
          <t>Нет</t>
        </is>
      </c>
      <c r="X7601" s="35" t="inlineStr"/>
    </row>
    <row r="7602" ht="15" customHeight="1" s="24">
      <c r="A7602" s="13" t="inlineStr">
        <is>
          <t>FR1283891</t>
        </is>
      </c>
      <c r="B7602" s="13" t="inlineStr">
        <is>
          <t>ИП Некрасова Любовь Владимировна</t>
        </is>
      </c>
      <c r="C7602" s="13" t="n">
        <v>381017815098</v>
      </c>
      <c r="D7602" s="13" t="inlineStr">
        <is>
          <t>381017815098</t>
        </is>
      </c>
      <c r="E7602" s="13" t="inlineStr">
        <is>
          <t>ИП РФ / физлицо</t>
        </is>
      </c>
      <c r="F7602" s="13" t="n"/>
      <c r="G7602" s="14" t="n"/>
      <c r="H7602" s="14" t="n"/>
      <c r="I7602" s="14" t="n"/>
      <c r="J7602" s="14" t="n"/>
      <c r="K7602" s="53" t="inlineStr"/>
      <c r="L7602" s="53" t="inlineStr">
        <is>
          <t>Не определено</t>
        </is>
      </c>
      <c r="M7602" s="53" t="inlineStr"/>
      <c r="N7602" s="54" t="inlineStr"/>
      <c r="O7602" s="55" t="inlineStr"/>
      <c r="P7602" s="16" t="inlineStr">
        <is>
          <t>Требует обогащения</t>
        </is>
      </c>
      <c r="Q7602" s="16">
        <f>HYPERLINK("https://pb.nalog.ru/search.html?query=381017815098","ФНС: проверить")</f>
        <v/>
      </c>
      <c r="R7602" s="16">
        <f>HYPERLINK("https://checko.ru/search?query=3801001629","Чекко: проверить")</f>
        <v/>
      </c>
      <c r="S7602" t="n">
        <v>1</v>
      </c>
      <c r="T7602" s="35" t="inlineStr">
        <is>
          <t>4 — Не обогащён</t>
        </is>
      </c>
      <c r="U7602" s="35" t="inlineStr">
        <is>
          <t>Нет ОКВЭД/ССЧР</t>
        </is>
      </c>
      <c r="V7602" s="35" t="inlineStr">
        <is>
          <t>Не определено</t>
        </is>
      </c>
      <c r="W7602" s="35" t="inlineStr"/>
      <c r="X7602" s="35" t="inlineStr"/>
    </row>
    <row r="7603" ht="15" customHeight="1" s="24">
      <c r="A7603" s="13" t="inlineStr">
        <is>
          <t>FR103555</t>
        </is>
      </c>
      <c r="B7603" s="13" t="inlineStr">
        <is>
          <t>ООО "ИНДУСТРИЯ ДВИЖЕНИЯ"</t>
        </is>
      </c>
      <c r="C7603" s="13" t="n">
        <v>5003122782</v>
      </c>
      <c r="D7603" s="13" t="inlineStr">
        <is>
          <t>5003122782</t>
        </is>
      </c>
      <c r="E7603" s="13" t="inlineStr">
        <is>
          <t>ЮЛ РФ</t>
        </is>
      </c>
      <c r="F7603" s="13" t="n"/>
      <c r="G7603" s="52" t="n">
        <v>1</v>
      </c>
      <c r="H7603" s="52" t="n">
        <v>2025</v>
      </c>
      <c r="I7603" s="14" t="n"/>
      <c r="J7603" s="14" t="n"/>
      <c r="K7603" s="53" t="inlineStr">
        <is>
          <t>Нет</t>
        </is>
      </c>
      <c r="L7603" s="53" t="inlineStr">
        <is>
          <t>Не определено</t>
        </is>
      </c>
      <c r="M7603" s="53" t="inlineStr">
        <is>
          <t>До 10</t>
        </is>
      </c>
      <c r="N7603" s="54" t="n">
        <v>3360</v>
      </c>
      <c r="O7603" s="55" t="inlineStr">
        <is>
          <t>1–15</t>
        </is>
      </c>
      <c r="P7603" s="16" t="inlineStr">
        <is>
          <t>ССЧР обогащена; ОКВЭД не найден/не загружен</t>
        </is>
      </c>
      <c r="Q7603" s="16" t="inlineStr">
        <is>
          <t>ФНС открытые данные ССЧР (ДатаСост 31.12.2025; набор 7707329152-sshr2019)</t>
        </is>
      </c>
      <c r="R7603" s="16">
        <f>HYPERLINK("https://checko.ru/search?query=3801001629","Чекко: проверить")</f>
        <v/>
      </c>
      <c r="S7603" t="n">
        <v>1</v>
      </c>
      <c r="T7603" s="35" t="inlineStr">
        <is>
          <t>4 — Не обогащён</t>
        </is>
      </c>
      <c r="U7603" s="35" t="inlineStr">
        <is>
          <t>Нет ОКВЭД/ССЧР</t>
        </is>
      </c>
      <c r="V7603" s="35" t="inlineStr">
        <is>
          <t>Не определено</t>
        </is>
      </c>
      <c r="W7603" s="35" t="inlineStr">
        <is>
          <t>Нет</t>
        </is>
      </c>
      <c r="X7603" s="35" t="inlineStr"/>
    </row>
    <row r="7604" ht="15" customHeight="1" s="24">
      <c r="A7604" s="13" t="inlineStr">
        <is>
          <t>FR725157</t>
        </is>
      </c>
      <c r="B7604" s="13" t="inlineStr">
        <is>
          <t>ИП Алеев Альберт Ваильевич</t>
        </is>
      </c>
      <c r="C7604" s="13" t="n">
        <v>381019582667</v>
      </c>
      <c r="D7604" s="13" t="inlineStr">
        <is>
          <t>381019582667</t>
        </is>
      </c>
      <c r="E7604" s="13" t="inlineStr">
        <is>
          <t>ИП РФ / физлицо</t>
        </is>
      </c>
      <c r="F7604" s="13" t="n"/>
      <c r="G7604" s="14" t="n"/>
      <c r="H7604" s="14" t="n"/>
      <c r="I7604" s="14" t="n"/>
      <c r="J7604" s="14" t="n"/>
      <c r="K7604" s="53" t="inlineStr"/>
      <c r="L7604" s="53" t="inlineStr">
        <is>
          <t>Не определено</t>
        </is>
      </c>
      <c r="M7604" s="53" t="inlineStr"/>
      <c r="N7604" s="54" t="inlineStr"/>
      <c r="O7604" s="55" t="inlineStr"/>
      <c r="P7604" s="16" t="inlineStr">
        <is>
          <t>Требует обогащения</t>
        </is>
      </c>
      <c r="Q7604" s="16">
        <f>HYPERLINK("https://pb.nalog.ru/search.html?query=381019582667","ФНС: проверить")</f>
        <v/>
      </c>
      <c r="R7604" s="16">
        <f>HYPERLINK("https://checko.ru/search?query=3801001629","Чекко: проверить")</f>
        <v/>
      </c>
      <c r="S7604" t="n">
        <v>1</v>
      </c>
      <c r="T7604" s="35" t="inlineStr">
        <is>
          <t>4 — Не обогащён</t>
        </is>
      </c>
      <c r="U7604" s="35" t="inlineStr">
        <is>
          <t>Нет ОКВЭД/ССЧР</t>
        </is>
      </c>
      <c r="V7604" s="35" t="inlineStr">
        <is>
          <t>Не определено</t>
        </is>
      </c>
      <c r="W7604" s="35" t="inlineStr"/>
      <c r="X7604" s="35" t="inlineStr"/>
    </row>
    <row r="7605" ht="41.25" customHeight="1" s="24">
      <c r="A7605" s="13" t="inlineStr">
        <is>
          <t>FR894836</t>
        </is>
      </c>
      <c r="B7605" s="13" t="inlineStr">
        <is>
          <t>Общество с ограниченной ответственностью МНОГОПРОФИЛЬНАЯ МЕДИЦИНСКАЯ КЛИНИКА "СОЮЗ"</t>
        </is>
      </c>
      <c r="C7605" s="13" t="n">
        <v>3808193285</v>
      </c>
      <c r="D7605" s="13" t="inlineStr">
        <is>
          <t>3808193285</t>
        </is>
      </c>
      <c r="E7605" s="13" t="inlineStr">
        <is>
          <t>ЮЛ РФ</t>
        </is>
      </c>
      <c r="F7605" s="13" t="n"/>
      <c r="G7605" s="52" t="n">
        <v>71</v>
      </c>
      <c r="H7605" s="52" t="n">
        <v>2025</v>
      </c>
      <c r="I7605" s="52" t="inlineStr">
        <is>
          <t>86.10</t>
        </is>
      </c>
      <c r="J7605" s="52" t="inlineStr">
        <is>
          <t>86.10; 68.10; 68.20; 86.21; 86.22; 86.90</t>
        </is>
      </c>
      <c r="K7605" s="53" t="inlineStr">
        <is>
          <t>Да</t>
        </is>
      </c>
      <c r="L7605" s="53" t="inlineStr">
        <is>
          <t>Да</t>
        </is>
      </c>
      <c r="M7605" s="53" t="inlineStr">
        <is>
          <t>До 100</t>
        </is>
      </c>
      <c r="N7605" s="54" t="n">
        <v>33600</v>
      </c>
      <c r="O7605" s="55" t="inlineStr">
        <is>
          <t>51–100</t>
        </is>
      </c>
      <c r="P7605" s="16" t="inlineStr">
        <is>
          <t>ССЧР + ОКВЭД обогащены</t>
        </is>
      </c>
      <c r="Q7605" s="16" t="inlineStr">
        <is>
          <t>ФНС открытые данные ССЧР (ДатаСост 31.12.2025; набор 7707329152-sshr2019)</t>
        </is>
      </c>
      <c r="R7605" s="16" t="inlineStr">
        <is>
          <t>ЕГРЮЛ / egrul.nalog.ru (выписка)</t>
        </is>
      </c>
      <c r="S7605" t="n">
        <v>1</v>
      </c>
      <c r="T7605" s="35" t="inlineStr">
        <is>
          <t>1 — Горячий</t>
        </is>
      </c>
      <c r="U7605" s="35" t="inlineStr">
        <is>
          <t>ОКВЭД + 22+</t>
        </is>
      </c>
      <c r="V7605" s="35" t="inlineStr">
        <is>
          <t>Да</t>
        </is>
      </c>
      <c r="W7605" s="35" t="inlineStr">
        <is>
          <t>Да</t>
        </is>
      </c>
      <c r="X7605" s="35" t="inlineStr">
        <is>
          <t>Да</t>
        </is>
      </c>
    </row>
    <row r="7606" ht="27.75" customHeight="1" s="24">
      <c r="A7606" s="13" t="inlineStr">
        <is>
          <t>FR738331</t>
        </is>
      </c>
      <c r="B7606" s="13" t="inlineStr">
        <is>
          <t>Общество с ограниченной ответственностью "ЭНЕРГОБУМПРОМ"</t>
        </is>
      </c>
      <c r="C7606" s="13" t="n">
        <v>309012153</v>
      </c>
      <c r="D7606" s="13" t="n"/>
      <c r="E7606" s="13" t="inlineStr">
        <is>
          <t>Не определён</t>
        </is>
      </c>
      <c r="F7606" s="13" t="inlineStr">
        <is>
          <t>309012153</t>
        </is>
      </c>
      <c r="G7606" s="14" t="n"/>
      <c r="H7606" s="14" t="n"/>
      <c r="I7606" s="14" t="n"/>
      <c r="J7606" s="14" t="n"/>
      <c r="K7606" s="13">
        <f>IF(G7606="","",IF(G7606&gt;=22,"Да","Нет"))</f>
        <v/>
      </c>
      <c r="L7606" s="13">
        <f>IF(OR(I7606="",J7606=""),"Не определено",IF(OR(COUNTIF(I7606,"45*")&gt;0,COUNTIF(J7606,"*45*")&gt;0,COUNTIF(I7606,"46*")&gt;0,COUNTIF(J7606,"*46*")&gt;0,COUNTIF(I7606,"47*")&gt;0,COUNTIF(J7606,"*47*")&gt;0,COUNTIF(I7606,"10*")&gt;0,COUNTIF(J7606,"*10*")&gt;0,COUNTIF(I7606,"11*")&gt;0,COUNTIF(J7606,"*11*")&gt;0,COUNTIF(I7606,"12*")&gt;0,COUNTIF(J7606,"*12*")&gt;0,COUNTIF(I7606,"13*")&gt;0,COUNTIF(J7606,"*13*")&gt;0,COUNTIF(I7606,"14*")&gt;0,COUNTIF(J7606,"*14*")&gt;0,COUNTIF(I7606,"15*")&gt;0,COUNTIF(J7606,"*15*")&gt;0,COUNTIF(I7606,"16*")&gt;0,COUNTIF(J7606,"*16*")&gt;0,COUNTIF(I7606,"17*")&gt;0,COUNTIF(J7606,"*17*")&gt;0,COUNTIF(I7606,"18*")&gt;0,COUNTIF(J7606,"*18*")&gt;0,COUNTIF(I7606,"19*")&gt;0,COUNTIF(J7606,"*19*")&gt;0,COUNTIF(I7606,"20*")&gt;0,COUNTIF(J7606,"*20*")&gt;0,COUNTIF(I7606,"21*")&gt;0,COUNTIF(J7606,"*21*")&gt;0,COUNTIF(I7606,"22*")&gt;0,COUNTIF(J7606,"*22*")&gt;0,COUNTIF(I7606,"23*")&gt;0,COUNTIF(J7606,"*23*")&gt;0,COUNTIF(I7606,"24*")&gt;0,COUNTIF(J7606,"*24*")&gt;0,COUNTIF(I7606,"25*")&gt;0,COUNTIF(J7606,"*25*")&gt;0,COUNTIF(I7606,"26*")&gt;0,COUNTIF(J7606,"*26*")&gt;0,COUNTIF(I7606,"27*")&gt;0,COUNTIF(J7606,"*27*")&gt;0,COUNTIF(I7606,"28*")&gt;0,COUNTIF(J7606,"*28*")&gt;0,COUNTIF(I7606,"29*")&gt;0,COUNTIF(J7606,"*29*")&gt;0,COUNTIF(I7606,"30*")&gt;0,COUNTIF(J7606,"*30*")&gt;0,COUNTIF(I7606,"31*")&gt;0,COUNTIF(J7606,"*31*")&gt;0,COUNTIF(I7606,"32*")&gt;0,COUNTIF(J7606,"*32*")&gt;0,COUNTIF(I7606,"33*")&gt;0,COUNTIF(J7606,"*33*")&gt;0,COUNTIF(I7606,"41*")&gt;0,COUNTIF(J7606,"*41*")&gt;0,COUNTIF(I7606,"42*")&gt;0,COUNTIF(J7606,"*42*")&gt;0,COUNTIF(I7606,"43*")&gt;0,COUNTIF(J7606,"*43*")&gt;0,COUNTIF(I7606,"49*")&gt;0,COUNTIF(J7606,"*49*")&gt;0,COUNTIF(I7606,"52*")&gt;0,COUNTIF(J7606,"*52*")&gt;0,COUNTIF(I7606,"55*")&gt;0,COUNTIF(J7606,"*55*")&gt;0,COUNTIF(I7606,"56*")&gt;0,COUNTIF(J7606,"*56*")&gt;0,COUNTIF(I7606,"68*")&gt;0,COUNTIF(J7606,"*68*")&gt;0,COUNTIF(I7606,"78*")&gt;0,COUNTIF(J7606,"*78*")&gt;0,COUNTIF(I7606,"81*")&gt;0,COUNTIF(J7606,"*81*")&gt;0,COUNTIF(I7606,"82*")&gt;0,COUNTIF(J7606,"*82*")&gt;0,COUNTIF(I7606,"64*")&gt;0,COUNTIF(J7606,"*64*")&gt;0,COUNTIF(I7606,"65*")&gt;0,COUNTIF(J7606,"*65*")&gt;0,COUNTIF(I7606,"66*")&gt;0,COUNTIF(J7606,"*66*")&gt;0,COUNTIF(I7606,"61*")&gt;0,COUNTIF(J7606,"*61*")&gt;0,COUNTIF(I7606,"62*")&gt;0,COUNTIF(J7606,"*62*")&gt;0,COUNTIF(I7606,"63*")&gt;0,COUNTIF(J7606,"*63*")&gt;0,COUNTIF(I7606,"85*")&gt;0,COUNTIF(J7606,"*85*")&gt;0,COUNTIF(I7606,"86*")&gt;0,COUNTIF(J7606,"*86*")&gt;0),"Да","Нет"))</f>
        <v/>
      </c>
      <c r="M7606" s="13">
        <f>IF(OR(G7606="",L7606&lt;&gt;"Да"),"",IF(G7606&lt;=100,"До 100",IF(G7606&lt;=200,"До 200",IF(G7606&lt;=500,"До 500","Отдельное КП"))))</f>
        <v/>
      </c>
      <c r="N7606" s="15">
        <f>IF(OR(G7606="",L7606&lt;&gt;"Да"),"",IF(G7606&lt;=100,33600,IF(G7606&lt;=200,62400,IF(G7606&lt;=500,144000,""))))</f>
        <v/>
      </c>
      <c r="O7606" s="16">
        <f>IF(G7606="","",IF(G7606&lt;=15,"1–15",IF(G7606&lt;=30,"16–30",IF(G7606&lt;=50,"31–50",IF(G7606&lt;=100,"51–100",IF(G7606&lt;=150,"101–150",IF(G7606&lt;=200,"151–200",IF(G7606&lt;=500,"201–500","500+"))))))))</f>
        <v/>
      </c>
      <c r="P7606" s="16" t="inlineStr">
        <is>
          <t>Нет совпадения в предоставленной выгрузке ССЧР</t>
        </is>
      </c>
      <c r="Q7606" s="16" t="n"/>
      <c r="R7606" s="16">
        <f>HYPERLINK("https://checko.ru/search?query=3801001629","Чекко: проверить")</f>
        <v/>
      </c>
      <c r="S7606" t="n">
        <v>0</v>
      </c>
    </row>
    <row r="7607" ht="27.75" customHeight="1" s="24">
      <c r="A7607" s="13" t="inlineStr">
        <is>
          <t>FR738331</t>
        </is>
      </c>
      <c r="B7607" s="13" t="inlineStr">
        <is>
          <t>Общество с ограниченной ответственностью "ЭНЕРГОБУМПРОМ"</t>
        </is>
      </c>
      <c r="C7607" s="13" t="n">
        <v>309012153</v>
      </c>
      <c r="D7607" s="13" t="n"/>
      <c r="E7607" s="13" t="inlineStr">
        <is>
          <t>Не определён</t>
        </is>
      </c>
      <c r="F7607" s="13" t="inlineStr">
        <is>
          <t>309012153</t>
        </is>
      </c>
      <c r="G7607" s="14" t="n"/>
      <c r="H7607" s="14" t="n"/>
      <c r="I7607" s="14" t="n"/>
      <c r="J7607" s="14" t="n"/>
      <c r="K7607" s="13">
        <f>IF(G7607="","",IF(G7607&gt;=22,"Да","Нет"))</f>
        <v/>
      </c>
      <c r="L7607" s="13">
        <f>IF(OR(I7607="",J7607=""),"Не определено",IF(OR(COUNTIF(I7607,"45*")&gt;0,COUNTIF(J7607,"*45*")&gt;0,COUNTIF(I7607,"46*")&gt;0,COUNTIF(J7607,"*46*")&gt;0,COUNTIF(I7607,"47*")&gt;0,COUNTIF(J7607,"*47*")&gt;0,COUNTIF(I7607,"10*")&gt;0,COUNTIF(J7607,"*10*")&gt;0,COUNTIF(I7607,"11*")&gt;0,COUNTIF(J7607,"*11*")&gt;0,COUNTIF(I7607,"12*")&gt;0,COUNTIF(J7607,"*12*")&gt;0,COUNTIF(I7607,"13*")&gt;0,COUNTIF(J7607,"*13*")&gt;0,COUNTIF(I7607,"14*")&gt;0,COUNTIF(J7607,"*14*")&gt;0,COUNTIF(I7607,"15*")&gt;0,COUNTIF(J7607,"*15*")&gt;0,COUNTIF(I7607,"16*")&gt;0,COUNTIF(J7607,"*16*")&gt;0,COUNTIF(I7607,"17*")&gt;0,COUNTIF(J7607,"*17*")&gt;0,COUNTIF(I7607,"18*")&gt;0,COUNTIF(J7607,"*18*")&gt;0,COUNTIF(I7607,"19*")&gt;0,COUNTIF(J7607,"*19*")&gt;0,COUNTIF(I7607,"20*")&gt;0,COUNTIF(J7607,"*20*")&gt;0,COUNTIF(I7607,"21*")&gt;0,COUNTIF(J7607,"*21*")&gt;0,COUNTIF(I7607,"22*")&gt;0,COUNTIF(J7607,"*22*")&gt;0,COUNTIF(I7607,"23*")&gt;0,COUNTIF(J7607,"*23*")&gt;0,COUNTIF(I7607,"24*")&gt;0,COUNTIF(J7607,"*24*")&gt;0,COUNTIF(I7607,"25*")&gt;0,COUNTIF(J7607,"*25*")&gt;0,COUNTIF(I7607,"26*")&gt;0,COUNTIF(J7607,"*26*")&gt;0,COUNTIF(I7607,"27*")&gt;0,COUNTIF(J7607,"*27*")&gt;0,COUNTIF(I7607,"28*")&gt;0,COUNTIF(J7607,"*28*")&gt;0,COUNTIF(I7607,"29*")&gt;0,COUNTIF(J7607,"*29*")&gt;0,COUNTIF(I7607,"30*")&gt;0,COUNTIF(J7607,"*30*")&gt;0,COUNTIF(I7607,"31*")&gt;0,COUNTIF(J7607,"*31*")&gt;0,COUNTIF(I7607,"32*")&gt;0,COUNTIF(J7607,"*32*")&gt;0,COUNTIF(I7607,"33*")&gt;0,COUNTIF(J7607,"*33*")&gt;0,COUNTIF(I7607,"41*")&gt;0,COUNTIF(J7607,"*41*")&gt;0,COUNTIF(I7607,"42*")&gt;0,COUNTIF(J7607,"*42*")&gt;0,COUNTIF(I7607,"43*")&gt;0,COUNTIF(J7607,"*43*")&gt;0,COUNTIF(I7607,"49*")&gt;0,COUNTIF(J7607,"*49*")&gt;0,COUNTIF(I7607,"52*")&gt;0,COUNTIF(J7607,"*52*")&gt;0,COUNTIF(I7607,"55*")&gt;0,COUNTIF(J7607,"*55*")&gt;0,COUNTIF(I7607,"56*")&gt;0,COUNTIF(J7607,"*56*")&gt;0,COUNTIF(I7607,"68*")&gt;0,COUNTIF(J7607,"*68*")&gt;0,COUNTIF(I7607,"78*")&gt;0,COUNTIF(J7607,"*78*")&gt;0,COUNTIF(I7607,"81*")&gt;0,COUNTIF(J7607,"*81*")&gt;0,COUNTIF(I7607,"82*")&gt;0,COUNTIF(J7607,"*82*")&gt;0,COUNTIF(I7607,"64*")&gt;0,COUNTIF(J7607,"*64*")&gt;0,COUNTIF(I7607,"65*")&gt;0,COUNTIF(J7607,"*65*")&gt;0,COUNTIF(I7607,"66*")&gt;0,COUNTIF(J7607,"*66*")&gt;0,COUNTIF(I7607,"61*")&gt;0,COUNTIF(J7607,"*61*")&gt;0,COUNTIF(I7607,"62*")&gt;0,COUNTIF(J7607,"*62*")&gt;0,COUNTIF(I7607,"63*")&gt;0,COUNTIF(J7607,"*63*")&gt;0,COUNTIF(I7607,"85*")&gt;0,COUNTIF(J7607,"*85*")&gt;0,COUNTIF(I7607,"86*")&gt;0,COUNTIF(J7607,"*86*")&gt;0),"Да","Нет"))</f>
        <v/>
      </c>
      <c r="M7607" s="13">
        <f>IF(OR(G7607="",L7607&lt;&gt;"Да"),"",IF(G7607&lt;=100,"До 100",IF(G7607&lt;=200,"До 200",IF(G7607&lt;=500,"До 500","Отдельное КП"))))</f>
        <v/>
      </c>
      <c r="N7607" s="15">
        <f>IF(OR(G7607="",L7607&lt;&gt;"Да"),"",IF(G7607&lt;=100,33600,IF(G7607&lt;=200,62400,IF(G7607&lt;=500,144000,""))))</f>
        <v/>
      </c>
      <c r="O7607" s="16">
        <f>IF(G7607="","",IF(G7607&lt;=15,"1–15",IF(G7607&lt;=30,"16–30",IF(G7607&lt;=50,"31–50",IF(G7607&lt;=100,"51–100",IF(G7607&lt;=150,"101–150",IF(G7607&lt;=200,"151–200",IF(G7607&lt;=500,"201–500","500+"))))))))</f>
        <v/>
      </c>
      <c r="P7607" s="16" t="inlineStr">
        <is>
          <t>Нет совпадения в предоставленной выгрузке ССЧР</t>
        </is>
      </c>
      <c r="Q7607" s="16" t="n"/>
      <c r="R7607" s="16">
        <f>HYPERLINK("https://checko.ru/search?query=3801001629","Чекко: проверить")</f>
        <v/>
      </c>
      <c r="S7607" t="n">
        <v>0</v>
      </c>
    </row>
    <row r="7608" ht="27.75" customHeight="1" s="24">
      <c r="A7608" s="13" t="inlineStr">
        <is>
          <t>FR1085287</t>
        </is>
      </c>
      <c r="B7608" s="13" t="inlineStr">
        <is>
          <t>Общество с ограниченной ответственностью "ВОДОТЕПЛОТЕХ"</t>
        </is>
      </c>
      <c r="C7608" s="13" t="n">
        <v>3810313600</v>
      </c>
      <c r="D7608" s="13" t="inlineStr">
        <is>
          <t>3810313600</t>
        </is>
      </c>
      <c r="E7608" s="13" t="inlineStr">
        <is>
          <t>ЮЛ РФ</t>
        </is>
      </c>
      <c r="F7608" s="13" t="n"/>
      <c r="G7608" s="52" t="n">
        <v>5</v>
      </c>
      <c r="H7608" s="52" t="n">
        <v>2025</v>
      </c>
      <c r="I7608" s="14" t="n"/>
      <c r="J7608" s="14" t="n"/>
      <c r="K7608" s="53" t="inlineStr">
        <is>
          <t>Нет</t>
        </is>
      </c>
      <c r="L7608" s="53" t="inlineStr">
        <is>
          <t>Не определено</t>
        </is>
      </c>
      <c r="M7608" s="53" t="inlineStr">
        <is>
          <t>До 10</t>
        </is>
      </c>
      <c r="N7608" s="54" t="n">
        <v>3360</v>
      </c>
      <c r="O7608" s="55" t="inlineStr">
        <is>
          <t>1–15</t>
        </is>
      </c>
      <c r="P7608" s="16" t="inlineStr">
        <is>
          <t>ССЧР обогащена; ОКВЭД не найден/не загружен</t>
        </is>
      </c>
      <c r="Q7608" s="16" t="inlineStr">
        <is>
          <t>ФНС открытые данные ССЧР (ДатаСост 31.12.2025; набор 7707329152-sshr2019)</t>
        </is>
      </c>
      <c r="R7608" s="16">
        <f>HYPERLINK("https://checko.ru/search?query=3801001629","Чекко: проверить")</f>
        <v/>
      </c>
      <c r="S7608" t="n">
        <v>1</v>
      </c>
      <c r="T7608" s="35" t="inlineStr">
        <is>
          <t>4 — Не обогащён</t>
        </is>
      </c>
      <c r="U7608" s="35" t="inlineStr">
        <is>
          <t>Нет ОКВЭД/ССЧР</t>
        </is>
      </c>
      <c r="V7608" s="35" t="inlineStr">
        <is>
          <t>Не определено</t>
        </is>
      </c>
      <c r="W7608" s="35" t="inlineStr">
        <is>
          <t>Нет</t>
        </is>
      </c>
      <c r="X7608" s="35" t="inlineStr"/>
    </row>
    <row r="7609" ht="27.75" customHeight="1" s="24">
      <c r="A7609" s="13" t="inlineStr">
        <is>
          <t>FR1080392</t>
        </is>
      </c>
      <c r="B7609" s="13" t="inlineStr">
        <is>
          <t>Общество с ограниченной ответственностью "МЕЖРЕГИОНАЛЬНАЯ КОМПАНИЯ "ФЕНИКС"</t>
        </is>
      </c>
      <c r="C7609" s="13" t="n">
        <v>3849102953</v>
      </c>
      <c r="D7609" s="13" t="inlineStr">
        <is>
          <t>3849102953</t>
        </is>
      </c>
      <c r="E7609" s="13" t="inlineStr">
        <is>
          <t>ЮЛ РФ</t>
        </is>
      </c>
      <c r="F7609" s="13" t="n"/>
      <c r="G7609" s="52" t="n">
        <v>4</v>
      </c>
      <c r="H7609" s="52" t="n">
        <v>2025</v>
      </c>
      <c r="I7609" s="14" t="n"/>
      <c r="J7609" s="14" t="n"/>
      <c r="K7609" s="53" t="inlineStr">
        <is>
          <t>Нет</t>
        </is>
      </c>
      <c r="L7609" s="53" t="inlineStr">
        <is>
          <t>Не определено</t>
        </is>
      </c>
      <c r="M7609" s="53" t="inlineStr">
        <is>
          <t>До 10</t>
        </is>
      </c>
      <c r="N7609" s="54" t="n">
        <v>3360</v>
      </c>
      <c r="O7609" s="55" t="inlineStr">
        <is>
          <t>1–15</t>
        </is>
      </c>
      <c r="P7609" s="16" t="inlineStr">
        <is>
          <t>ССЧР обогащена; ОКВЭД не найден/не загружен</t>
        </is>
      </c>
      <c r="Q7609" s="16" t="inlineStr">
        <is>
          <t>ФНС открытые данные ССЧР (ДатаСост 31.12.2025; набор 7707329152-sshr2019)</t>
        </is>
      </c>
      <c r="R7609" s="16">
        <f>HYPERLINK("https://checko.ru/search?query=3801001629","Чекко: проверить")</f>
        <v/>
      </c>
      <c r="S7609" t="n">
        <v>1</v>
      </c>
      <c r="T7609" s="35" t="inlineStr">
        <is>
          <t>4 — Не обогащён</t>
        </is>
      </c>
      <c r="U7609" s="35" t="inlineStr">
        <is>
          <t>Нет ОКВЭД/ССЧР</t>
        </is>
      </c>
      <c r="V7609" s="35" t="inlineStr">
        <is>
          <t>Не определено</t>
        </is>
      </c>
      <c r="W7609" s="35" t="inlineStr">
        <is>
          <t>Нет</t>
        </is>
      </c>
      <c r="X7609" s="35" t="inlineStr"/>
    </row>
    <row r="7610" ht="27.75" customHeight="1" s="24">
      <c r="A7610" s="13" t="inlineStr">
        <is>
          <t>FR444997</t>
        </is>
      </c>
      <c r="B7610" s="13" t="inlineStr">
        <is>
          <t>ОБЩЕСТВО С ОГРАНИЧЕННОЙ ОТВЕТСТВЕННОСТЬЮ "СИБМЕДКОМ"</t>
        </is>
      </c>
      <c r="C7610" s="13" t="n">
        <v>3811443062</v>
      </c>
      <c r="D7610" s="13" t="inlineStr">
        <is>
          <t>3811443062</t>
        </is>
      </c>
      <c r="E7610" s="13" t="inlineStr">
        <is>
          <t>ЮЛ РФ</t>
        </is>
      </c>
      <c r="F7610" s="13" t="n"/>
      <c r="G7610" s="52" t="n">
        <v>3</v>
      </c>
      <c r="H7610" s="52" t="n">
        <v>2025</v>
      </c>
      <c r="I7610" s="14" t="n"/>
      <c r="J7610" s="14" t="n"/>
      <c r="K7610" s="53" t="inlineStr">
        <is>
          <t>Нет</t>
        </is>
      </c>
      <c r="L7610" s="53" t="inlineStr">
        <is>
          <t>Не определено</t>
        </is>
      </c>
      <c r="M7610" s="53" t="inlineStr">
        <is>
          <t>До 10</t>
        </is>
      </c>
      <c r="N7610" s="54" t="n">
        <v>3360</v>
      </c>
      <c r="O7610" s="55" t="inlineStr">
        <is>
          <t>1–15</t>
        </is>
      </c>
      <c r="P7610" s="16" t="inlineStr">
        <is>
          <t>ССЧР обогащена; ОКВЭД не найден/не загружен</t>
        </is>
      </c>
      <c r="Q7610" s="16" t="inlineStr">
        <is>
          <t>ФНС открытые данные ССЧР (ДатаСост 31.12.2025; набор 7707329152-sshr2019)</t>
        </is>
      </c>
      <c r="R7610" s="16">
        <f>HYPERLINK("https://checko.ru/search?query=3801001629","Чекко: проверить")</f>
        <v/>
      </c>
      <c r="S7610" t="n">
        <v>1</v>
      </c>
      <c r="T7610" s="35" t="inlineStr">
        <is>
          <t>4 — Не обогащён</t>
        </is>
      </c>
      <c r="U7610" s="35" t="inlineStr">
        <is>
          <t>Нет ОКВЭД/ССЧР</t>
        </is>
      </c>
      <c r="V7610" s="35" t="inlineStr">
        <is>
          <t>Не определено</t>
        </is>
      </c>
      <c r="W7610" s="35" t="inlineStr">
        <is>
          <t>Нет</t>
        </is>
      </c>
      <c r="X7610" s="35" t="inlineStr"/>
    </row>
    <row r="7611" ht="15" customHeight="1" s="24">
      <c r="A7611" s="13" t="inlineStr">
        <is>
          <t>FR1283475</t>
        </is>
      </c>
      <c r="B7611" s="13" t="inlineStr">
        <is>
          <t>ИП Блинова Татьяна Николаевна</t>
        </is>
      </c>
      <c r="C7611" s="13" t="n">
        <v>381111591744</v>
      </c>
      <c r="D7611" s="13" t="inlineStr">
        <is>
          <t>381111591744</t>
        </is>
      </c>
      <c r="E7611" s="13" t="inlineStr">
        <is>
          <t>ИП РФ / физлицо</t>
        </is>
      </c>
      <c r="F7611" s="13" t="n"/>
      <c r="G7611" s="14" t="n"/>
      <c r="H7611" s="14" t="n"/>
      <c r="I7611" s="14" t="n"/>
      <c r="J7611" s="14" t="n"/>
      <c r="K7611" s="53" t="inlineStr"/>
      <c r="L7611" s="53" t="inlineStr">
        <is>
          <t>Не определено</t>
        </is>
      </c>
      <c r="M7611" s="53" t="inlineStr"/>
      <c r="N7611" s="54" t="inlineStr"/>
      <c r="O7611" s="55" t="inlineStr"/>
      <c r="P7611" s="16" t="inlineStr">
        <is>
          <t>Требует обогащения</t>
        </is>
      </c>
      <c r="Q7611" s="16">
        <f>HYPERLINK("https://pb.nalog.ru/search.html?query=381111591744","ФНС: проверить")</f>
        <v/>
      </c>
      <c r="R7611" s="16">
        <f>HYPERLINK("https://checko.ru/search?query=3801001629","Чекко: проверить")</f>
        <v/>
      </c>
      <c r="S7611" t="n">
        <v>1</v>
      </c>
      <c r="T7611" s="35" t="inlineStr">
        <is>
          <t>4 — Не обогащён</t>
        </is>
      </c>
      <c r="U7611" s="35" t="inlineStr">
        <is>
          <t>Нет ОКВЭД/ССЧР</t>
        </is>
      </c>
      <c r="V7611" s="35" t="inlineStr">
        <is>
          <t>Не определено</t>
        </is>
      </c>
      <c r="W7611" s="35" t="inlineStr"/>
      <c r="X7611" s="35" t="inlineStr"/>
    </row>
    <row r="7612" ht="27.75" customHeight="1" s="24">
      <c r="A7612" s="13" t="inlineStr">
        <is>
          <t>FR1090627</t>
        </is>
      </c>
      <c r="B7612" s="13" t="inlineStr">
        <is>
          <t>Общество с ограниченной ответственностью "ТАХТЫГА"</t>
        </is>
      </c>
      <c r="C7612" s="13" t="n">
        <v>3808204579</v>
      </c>
      <c r="D7612" s="13" t="inlineStr">
        <is>
          <t>3808204579</t>
        </is>
      </c>
      <c r="E7612" s="13" t="inlineStr">
        <is>
          <t>ЮЛ РФ</t>
        </is>
      </c>
      <c r="F7612" s="13" t="n"/>
      <c r="G7612" s="52" t="n">
        <v>4</v>
      </c>
      <c r="H7612" s="52" t="n">
        <v>2025</v>
      </c>
      <c r="I7612" s="14" t="n"/>
      <c r="J7612" s="14" t="n"/>
      <c r="K7612" s="53" t="inlineStr">
        <is>
          <t>Нет</t>
        </is>
      </c>
      <c r="L7612" s="53" t="inlineStr">
        <is>
          <t>Не определено</t>
        </is>
      </c>
      <c r="M7612" s="53" t="inlineStr">
        <is>
          <t>До 10</t>
        </is>
      </c>
      <c r="N7612" s="54" t="n">
        <v>3360</v>
      </c>
      <c r="O7612" s="55" t="inlineStr">
        <is>
          <t>1–15</t>
        </is>
      </c>
      <c r="P7612" s="16" t="inlineStr">
        <is>
          <t>ССЧР обогащена; ОКВЭД не найден/не загружен</t>
        </is>
      </c>
      <c r="Q7612" s="16" t="inlineStr">
        <is>
          <t>ФНС открытые данные ССЧР (ДатаСост 31.12.2025; набор 7707329152-sshr2019)</t>
        </is>
      </c>
      <c r="R7612" s="16">
        <f>HYPERLINK("https://checko.ru/search?query=3801001629","Чекко: проверить")</f>
        <v/>
      </c>
      <c r="S7612" t="n">
        <v>1</v>
      </c>
      <c r="T7612" s="35" t="inlineStr">
        <is>
          <t>4 — Не обогащён</t>
        </is>
      </c>
      <c r="U7612" s="35" t="inlineStr">
        <is>
          <t>Нет ОКВЭД/ССЧР</t>
        </is>
      </c>
      <c r="V7612" s="35" t="inlineStr">
        <is>
          <t>Не определено</t>
        </is>
      </c>
      <c r="W7612" s="35" t="inlineStr">
        <is>
          <t>Нет</t>
        </is>
      </c>
      <c r="X7612" s="35" t="inlineStr"/>
    </row>
    <row r="7613" ht="27.75" customHeight="1" s="24">
      <c r="A7613" s="13" t="inlineStr">
        <is>
          <t>FR212120</t>
        </is>
      </c>
      <c r="B7613" s="13" t="inlineStr">
        <is>
          <t>Общество с ограниченной ответственностью "КАМАЛЕС"</t>
        </is>
      </c>
      <c r="C7613" s="13" t="n">
        <v>3811460766</v>
      </c>
      <c r="D7613" s="13" t="inlineStr">
        <is>
          <t>3811460766</t>
        </is>
      </c>
      <c r="E7613" s="13" t="inlineStr">
        <is>
          <t>ЮЛ РФ</t>
        </is>
      </c>
      <c r="F7613" s="13" t="n"/>
      <c r="G7613" s="52" t="n">
        <v>1</v>
      </c>
      <c r="H7613" s="52" t="n">
        <v>2025</v>
      </c>
      <c r="I7613" s="14" t="n"/>
      <c r="J7613" s="14" t="n"/>
      <c r="K7613" s="53" t="inlineStr">
        <is>
          <t>Нет</t>
        </is>
      </c>
      <c r="L7613" s="53" t="inlineStr">
        <is>
          <t>Не определено</t>
        </is>
      </c>
      <c r="M7613" s="53" t="inlineStr">
        <is>
          <t>До 10</t>
        </is>
      </c>
      <c r="N7613" s="54" t="n">
        <v>3360</v>
      </c>
      <c r="O7613" s="55" t="inlineStr">
        <is>
          <t>1–15</t>
        </is>
      </c>
      <c r="P7613" s="16" t="inlineStr">
        <is>
          <t>ССЧР обогащена; ОКВЭД не найден/не загружен</t>
        </is>
      </c>
      <c r="Q7613" s="16" t="inlineStr">
        <is>
          <t>ФНС открытые данные ССЧР (ДатаСост 31.12.2025; набор 7707329152-sshr2019)</t>
        </is>
      </c>
      <c r="R7613" s="16">
        <f>HYPERLINK("https://checko.ru/search?query=3801001629","Чекко: проверить")</f>
        <v/>
      </c>
      <c r="S7613" t="n">
        <v>1</v>
      </c>
      <c r="T7613" s="35" t="inlineStr">
        <is>
          <t>4 — Не обогащён</t>
        </is>
      </c>
      <c r="U7613" s="35" t="inlineStr">
        <is>
          <t>Нет ОКВЭД/ССЧР</t>
        </is>
      </c>
      <c r="V7613" s="35" t="inlineStr">
        <is>
          <t>Не определено</t>
        </is>
      </c>
      <c r="W7613" s="35" t="inlineStr">
        <is>
          <t>Нет</t>
        </is>
      </c>
      <c r="X7613" s="35" t="inlineStr"/>
    </row>
    <row r="7614" ht="15" customHeight="1" s="24">
      <c r="A7614" s="13" t="inlineStr">
        <is>
          <t>FR1089685</t>
        </is>
      </c>
      <c r="B7614" s="13" t="inlineStr">
        <is>
          <t>ИП Титов ВА</t>
        </is>
      </c>
      <c r="C7614" s="13" t="n">
        <v>272318146051</v>
      </c>
      <c r="D7614" s="13" t="inlineStr">
        <is>
          <t>272318146051</t>
        </is>
      </c>
      <c r="E7614" s="13" t="inlineStr">
        <is>
          <t>ИП РФ / физлицо</t>
        </is>
      </c>
      <c r="F7614" s="13" t="n"/>
      <c r="G7614" s="14" t="n"/>
      <c r="H7614" s="14" t="n"/>
      <c r="I7614" s="14" t="n"/>
      <c r="J7614" s="14" t="n"/>
      <c r="K7614" s="53" t="inlineStr"/>
      <c r="L7614" s="53" t="inlineStr">
        <is>
          <t>Не определено</t>
        </is>
      </c>
      <c r="M7614" s="53" t="inlineStr"/>
      <c r="N7614" s="54" t="inlineStr"/>
      <c r="O7614" s="55" t="inlineStr"/>
      <c r="P7614" s="16" t="inlineStr">
        <is>
          <t>Требует обогащения</t>
        </is>
      </c>
      <c r="Q7614" s="16">
        <f>HYPERLINK("https://pb.nalog.ru/search.html?query=272318146051","ФНС: проверить")</f>
        <v/>
      </c>
      <c r="R7614" s="16">
        <f>HYPERLINK("https://checko.ru/search?query=3801001629","Чекко: проверить")</f>
        <v/>
      </c>
      <c r="S7614" t="n">
        <v>1</v>
      </c>
      <c r="T7614" s="35" t="inlineStr">
        <is>
          <t>4 — Не обогащён</t>
        </is>
      </c>
      <c r="U7614" s="35" t="inlineStr">
        <is>
          <t>Нет ОКВЭД/ССЧР</t>
        </is>
      </c>
      <c r="V7614" s="35" t="inlineStr">
        <is>
          <t>Не определено</t>
        </is>
      </c>
      <c r="W7614" s="35" t="inlineStr"/>
      <c r="X7614" s="35" t="inlineStr"/>
    </row>
    <row r="7615" ht="15" customHeight="1" s="24">
      <c r="A7615" s="13" t="inlineStr">
        <is>
          <t>FR309328</t>
        </is>
      </c>
      <c r="B7615" s="13" t="inlineStr">
        <is>
          <t>ООО "ГО МОТОРС"</t>
        </is>
      </c>
      <c r="C7615" s="13" t="n">
        <v>3811160321</v>
      </c>
      <c r="D7615" s="13" t="inlineStr">
        <is>
          <t>3811160321</t>
        </is>
      </c>
      <c r="E7615" s="13" t="inlineStr">
        <is>
          <t>ЮЛ РФ</t>
        </is>
      </c>
      <c r="F7615" s="13" t="n"/>
      <c r="G7615" s="52" t="n">
        <v>5</v>
      </c>
      <c r="H7615" s="52" t="n">
        <v>2025</v>
      </c>
      <c r="I7615" s="14" t="n"/>
      <c r="J7615" s="14" t="n"/>
      <c r="K7615" s="53" t="inlineStr">
        <is>
          <t>Нет</t>
        </is>
      </c>
      <c r="L7615" s="53" t="inlineStr">
        <is>
          <t>Не определено</t>
        </is>
      </c>
      <c r="M7615" s="53" t="inlineStr">
        <is>
          <t>До 10</t>
        </is>
      </c>
      <c r="N7615" s="54" t="n">
        <v>3360</v>
      </c>
      <c r="O7615" s="55" t="inlineStr">
        <is>
          <t>1–15</t>
        </is>
      </c>
      <c r="P7615" s="16" t="inlineStr">
        <is>
          <t>ССЧР обогащена; ОКВЭД не найден/не загружен</t>
        </is>
      </c>
      <c r="Q7615" s="16" t="inlineStr">
        <is>
          <t>ФНС открытые данные ССЧР (ДатаСост 31.12.2025; набор 7707329152-sshr2019)</t>
        </is>
      </c>
      <c r="R7615" s="16">
        <f>HYPERLINK("https://checko.ru/search?query=3801001629","Чекко: проверить")</f>
        <v/>
      </c>
      <c r="S7615" t="n">
        <v>1</v>
      </c>
      <c r="T7615" s="35" t="inlineStr">
        <is>
          <t>4 — Не обогащён</t>
        </is>
      </c>
      <c r="U7615" s="35" t="inlineStr">
        <is>
          <t>Нет ОКВЭД/ССЧР</t>
        </is>
      </c>
      <c r="V7615" s="35" t="inlineStr">
        <is>
          <t>Не определено</t>
        </is>
      </c>
      <c r="W7615" s="35" t="inlineStr">
        <is>
          <t>Нет</t>
        </is>
      </c>
      <c r="X7615" s="35" t="inlineStr"/>
    </row>
    <row r="7616" ht="41.25" customHeight="1" s="24">
      <c r="A7616" s="13" t="inlineStr">
        <is>
          <t>FR1286807</t>
        </is>
      </c>
      <c r="B7616" s="13" t="inlineStr">
        <is>
          <t>Акционерное общество "УПРАВЛЯЮЩАЯ КОМПАНИЯ "ЦЕНТР РАЗВИТИЯ ПРОМЫШЛЕННЫХ ТЕРРИТОРИЙ"</t>
        </is>
      </c>
      <c r="C7616" s="13" t="n">
        <v>2466298964</v>
      </c>
      <c r="D7616" s="13" t="inlineStr">
        <is>
          <t>2466298964</t>
        </is>
      </c>
      <c r="E7616" s="13" t="inlineStr">
        <is>
          <t>ЮЛ РФ</t>
        </is>
      </c>
      <c r="F7616" s="13" t="n"/>
      <c r="G7616" s="52" t="n">
        <v>0</v>
      </c>
      <c r="H7616" s="52" t="n">
        <v>2025</v>
      </c>
      <c r="I7616" s="14" t="n"/>
      <c r="J7616" s="14" t="n"/>
      <c r="K7616" s="53" t="inlineStr">
        <is>
          <t>Нет</t>
        </is>
      </c>
      <c r="L7616" s="53" t="inlineStr">
        <is>
          <t>Не определено</t>
        </is>
      </c>
      <c r="M7616" s="53" t="inlineStr">
        <is>
          <t>До 10</t>
        </is>
      </c>
      <c r="N7616" s="54" t="n">
        <v>3360</v>
      </c>
      <c r="O7616" s="55" t="inlineStr">
        <is>
          <t>1–15</t>
        </is>
      </c>
      <c r="P7616" s="16" t="inlineStr">
        <is>
          <t>ССЧР обогащена; ОКВЭД не найден/не загружен</t>
        </is>
      </c>
      <c r="Q7616" s="16" t="inlineStr">
        <is>
          <t>ФНС открытые данные ССЧР (ДатаСост 31.12.2025; набор 7707329152-sshr2019)</t>
        </is>
      </c>
      <c r="R7616" s="16">
        <f>HYPERLINK("https://checko.ru/search?query=3801001629","Чекко: проверить")</f>
        <v/>
      </c>
      <c r="S7616" t="n">
        <v>1</v>
      </c>
      <c r="T7616" s="35" t="inlineStr">
        <is>
          <t>4 — Не обогащён</t>
        </is>
      </c>
      <c r="U7616" s="35" t="inlineStr">
        <is>
          <t>Нет ОКВЭД/ССЧР</t>
        </is>
      </c>
      <c r="V7616" s="35" t="inlineStr">
        <is>
          <t>Не определено</t>
        </is>
      </c>
      <c r="W7616" s="35" t="inlineStr">
        <is>
          <t>Нет</t>
        </is>
      </c>
      <c r="X7616" s="35" t="inlineStr"/>
    </row>
    <row r="7617" ht="27.75" customHeight="1" s="24">
      <c r="A7617" s="13" t="inlineStr">
        <is>
          <t>FR739894</t>
        </is>
      </c>
      <c r="B7617" s="13" t="inlineStr">
        <is>
          <t>Общество с ограниченной ответственностью "АЛИОТ"</t>
        </is>
      </c>
      <c r="C7617" s="13" t="n">
        <v>3808280587</v>
      </c>
      <c r="D7617" s="13" t="inlineStr">
        <is>
          <t>3808280587</t>
        </is>
      </c>
      <c r="E7617" s="13" t="inlineStr">
        <is>
          <t>ЮЛ РФ</t>
        </is>
      </c>
      <c r="F7617" s="13" t="n"/>
      <c r="G7617" s="52" t="n">
        <v>32</v>
      </c>
      <c r="H7617" s="52" t="n">
        <v>2025</v>
      </c>
      <c r="I7617" s="52" t="inlineStr">
        <is>
          <t>46.73</t>
        </is>
      </c>
      <c r="J7617" s="52" t="inlineStr">
        <is>
          <t>46.73; 02.10; 02.20; 02.40; 16.10; 16.10.9; 16.21; 16.23; 16.24; 16.29; 46.73.1; 47.52.71; 49.41; 52.10; 52.21; 52.24; 52.29</t>
        </is>
      </c>
      <c r="K7617" s="53" t="inlineStr">
        <is>
          <t>Да</t>
        </is>
      </c>
      <c r="L7617" s="53" t="inlineStr">
        <is>
          <t>Да</t>
        </is>
      </c>
      <c r="M7617" s="53" t="inlineStr">
        <is>
          <t>До 50</t>
        </is>
      </c>
      <c r="N7617" s="54" t="n">
        <v>16800</v>
      </c>
      <c r="O7617" s="55" t="inlineStr">
        <is>
          <t>31–50</t>
        </is>
      </c>
      <c r="P7617" s="16" t="inlineStr">
        <is>
          <t>ССЧР + ОКВЭД обогащены</t>
        </is>
      </c>
      <c r="Q7617" s="16" t="inlineStr">
        <is>
          <t>ФНС открытые данные ССЧР (ДатаСост 31.12.2025; набор 7707329152-sshr2019)</t>
        </is>
      </c>
      <c r="R7617" s="16" t="inlineStr">
        <is>
          <t>ЕГРЮЛ / egrul.nalog.ru (выписка)</t>
        </is>
      </c>
      <c r="S7617" t="n">
        <v>1</v>
      </c>
      <c r="T7617" s="35" t="inlineStr">
        <is>
          <t>1 — Горячий</t>
        </is>
      </c>
      <c r="U7617" s="35" t="inlineStr">
        <is>
          <t>ОКВЭД + 22+</t>
        </is>
      </c>
      <c r="V7617" s="35" t="inlineStr">
        <is>
          <t>Да</t>
        </is>
      </c>
      <c r="W7617" s="35" t="inlineStr">
        <is>
          <t>Да</t>
        </is>
      </c>
      <c r="X7617" s="35" t="inlineStr">
        <is>
          <t>Да</t>
        </is>
      </c>
    </row>
    <row r="7618" ht="27.75" customHeight="1" s="24">
      <c r="A7618" s="13" t="inlineStr">
        <is>
          <t>FR736392</t>
        </is>
      </c>
      <c r="B7618" s="13" t="inlineStr">
        <is>
          <t>Общество с ограниченной ответственностью "БУХГАЛТЕРСКОЕ ДЕЛО"</t>
        </is>
      </c>
      <c r="C7618" s="13" t="n">
        <v>3810332761</v>
      </c>
      <c r="D7618" s="13" t="inlineStr">
        <is>
          <t>3810332761</t>
        </is>
      </c>
      <c r="E7618" s="13" t="inlineStr">
        <is>
          <t>ЮЛ РФ</t>
        </is>
      </c>
      <c r="F7618" s="13" t="n"/>
      <c r="G7618" s="52" t="n">
        <v>2</v>
      </c>
      <c r="H7618" s="52" t="n">
        <v>2025</v>
      </c>
      <c r="I7618" s="14" t="n"/>
      <c r="J7618" s="14" t="n"/>
      <c r="K7618" s="53" t="inlineStr">
        <is>
          <t>Нет</t>
        </is>
      </c>
      <c r="L7618" s="53" t="inlineStr">
        <is>
          <t>Не определено</t>
        </is>
      </c>
      <c r="M7618" s="53" t="inlineStr">
        <is>
          <t>До 10</t>
        </is>
      </c>
      <c r="N7618" s="54" t="n">
        <v>3360</v>
      </c>
      <c r="O7618" s="55" t="inlineStr">
        <is>
          <t>1–15</t>
        </is>
      </c>
      <c r="P7618" s="16" t="inlineStr">
        <is>
          <t>ССЧР обогащена; ОКВЭД не найден/не загружен</t>
        </is>
      </c>
      <c r="Q7618" s="16" t="inlineStr">
        <is>
          <t>ФНС открытые данные ССЧР (ДатаСост 31.12.2025; набор 7707329152-sshr2019)</t>
        </is>
      </c>
      <c r="R7618" s="16">
        <f>HYPERLINK("https://checko.ru/search?query=3801001629","Чекко: проверить")</f>
        <v/>
      </c>
      <c r="S7618" t="n">
        <v>1</v>
      </c>
      <c r="T7618" s="35" t="inlineStr">
        <is>
          <t>4 — Не обогащён</t>
        </is>
      </c>
      <c r="U7618" s="35" t="inlineStr">
        <is>
          <t>Нет ОКВЭД/ССЧР</t>
        </is>
      </c>
      <c r="V7618" s="35" t="inlineStr">
        <is>
          <t>Не определено</t>
        </is>
      </c>
      <c r="W7618" s="35" t="inlineStr">
        <is>
          <t>Нет</t>
        </is>
      </c>
      <c r="X7618" s="35" t="inlineStr"/>
    </row>
    <row r="7619" ht="27.75" customHeight="1" s="24">
      <c r="A7619" s="13" t="inlineStr">
        <is>
          <t>FR44498</t>
        </is>
      </c>
      <c r="B7619" s="13" t="inlineStr">
        <is>
          <t>Эхирит-Булагатская станция по борьбе с болезнями животных</t>
        </is>
      </c>
      <c r="C7619" s="13" t="n">
        <v>8506009010</v>
      </c>
      <c r="D7619" s="13" t="inlineStr">
        <is>
          <t>8506009010</t>
        </is>
      </c>
      <c r="E7619" s="13" t="inlineStr">
        <is>
          <t>ЮЛ РФ</t>
        </is>
      </c>
      <c r="F7619" s="13" t="n"/>
      <c r="G7619" s="14" t="n"/>
      <c r="H7619" s="14" t="n"/>
      <c r="I7619" s="14" t="n"/>
      <c r="J7619" s="14" t="n"/>
      <c r="K7619" s="53" t="inlineStr"/>
      <c r="L7619" s="53" t="inlineStr">
        <is>
          <t>Не определено</t>
        </is>
      </c>
      <c r="M7619" s="53" t="inlineStr"/>
      <c r="N7619" s="54" t="inlineStr"/>
      <c r="O7619" s="55" t="inlineStr"/>
      <c r="P7619" s="16" t="inlineStr">
        <is>
          <t>Требует обогащения</t>
        </is>
      </c>
      <c r="Q7619" s="16">
        <f>HYPERLINK("https://pb.nalog.ru/search.html?query=8506009010","ФНС: проверить")</f>
        <v/>
      </c>
      <c r="R7619" s="16">
        <f>HYPERLINK("https://checko.ru/search?query=3801001629","Чекко: проверить")</f>
        <v/>
      </c>
      <c r="S7619" t="n">
        <v>0</v>
      </c>
      <c r="T7619" s="35" t="inlineStr">
        <is>
          <t>4 — Не обогащён</t>
        </is>
      </c>
      <c r="U7619" s="35" t="inlineStr">
        <is>
          <t>Нет ОКВЭД/ССЧР</t>
        </is>
      </c>
      <c r="V7619" s="35" t="inlineStr">
        <is>
          <t>Не определено</t>
        </is>
      </c>
      <c r="W7619" s="35" t="inlineStr"/>
      <c r="X7619" s="35" t="inlineStr"/>
    </row>
    <row r="7620" ht="15" customHeight="1" s="24">
      <c r="A7620" s="13" t="inlineStr">
        <is>
          <t>FR161440</t>
        </is>
      </c>
      <c r="B7620" s="13" t="inlineStr">
        <is>
          <t>ООО "ДИАГНОСТИКА 2010"</t>
        </is>
      </c>
      <c r="C7620" s="13" t="n">
        <v>3448050842</v>
      </c>
      <c r="D7620" s="13" t="inlineStr">
        <is>
          <t>3448050842</t>
        </is>
      </c>
      <c r="E7620" s="13" t="inlineStr">
        <is>
          <t>ЮЛ РФ</t>
        </is>
      </c>
      <c r="F7620" s="13" t="n"/>
      <c r="G7620" s="52" t="n">
        <v>4</v>
      </c>
      <c r="H7620" s="52" t="n">
        <v>2025</v>
      </c>
      <c r="I7620" s="14" t="n"/>
      <c r="J7620" s="14" t="n"/>
      <c r="K7620" s="53" t="inlineStr">
        <is>
          <t>Нет</t>
        </is>
      </c>
      <c r="L7620" s="53" t="inlineStr">
        <is>
          <t>Не определено</t>
        </is>
      </c>
      <c r="M7620" s="53" t="inlineStr">
        <is>
          <t>До 10</t>
        </is>
      </c>
      <c r="N7620" s="54" t="n">
        <v>3360</v>
      </c>
      <c r="O7620" s="55" t="inlineStr">
        <is>
          <t>1–15</t>
        </is>
      </c>
      <c r="P7620" s="16" t="inlineStr">
        <is>
          <t>ССЧР обогащена; ОКВЭД не найден/не загружен</t>
        </is>
      </c>
      <c r="Q7620" s="16" t="inlineStr">
        <is>
          <t>ФНС открытые данные ССЧР (ДатаСост 31.12.2025; набор 7707329152-sshr2019)</t>
        </is>
      </c>
      <c r="R7620" s="16">
        <f>HYPERLINK("https://checko.ru/search?query=3801001629","Чекко: проверить")</f>
        <v/>
      </c>
      <c r="S7620" t="n">
        <v>1</v>
      </c>
      <c r="T7620" s="35" t="inlineStr">
        <is>
          <t>4 — Не обогащён</t>
        </is>
      </c>
      <c r="U7620" s="35" t="inlineStr">
        <is>
          <t>Нет ОКВЭД/ССЧР</t>
        </is>
      </c>
      <c r="V7620" s="35" t="inlineStr">
        <is>
          <t>Не определено</t>
        </is>
      </c>
      <c r="W7620" s="35" t="inlineStr">
        <is>
          <t>Нет</t>
        </is>
      </c>
      <c r="X7620" s="35" t="inlineStr"/>
    </row>
    <row r="7621" ht="27.75" customHeight="1" s="24">
      <c r="A7621" s="13" t="inlineStr">
        <is>
          <t>FR314218</t>
        </is>
      </c>
      <c r="B7621" s="13" t="inlineStr">
        <is>
          <t>ОБЩЕСТВО С ОГРАНИЧЕННОЙ ОТВЕТСТВЕННОСТЬЮ "ЖИЛКОМТРАНС"</t>
        </is>
      </c>
      <c r="C7621" s="13" t="n">
        <v>3805713602</v>
      </c>
      <c r="D7621" s="13" t="inlineStr">
        <is>
          <t>3805713602</t>
        </is>
      </c>
      <c r="E7621" s="13" t="inlineStr">
        <is>
          <t>ЮЛ РФ</t>
        </is>
      </c>
      <c r="F7621" s="13" t="n"/>
      <c r="G7621" s="52" t="n">
        <v>43</v>
      </c>
      <c r="H7621" s="52" t="n">
        <v>2025</v>
      </c>
      <c r="I7621" s="52" t="inlineStr">
        <is>
          <t>49.41.1</t>
        </is>
      </c>
      <c r="J7621" s="52" t="inlineStr">
        <is>
          <t>49.41.1; 49.41.2; 49.41.3; 52.21.24; 86.90.9</t>
        </is>
      </c>
      <c r="K7621" s="53" t="inlineStr">
        <is>
          <t>Да</t>
        </is>
      </c>
      <c r="L7621" s="53" t="inlineStr">
        <is>
          <t>Да</t>
        </is>
      </c>
      <c r="M7621" s="53" t="inlineStr">
        <is>
          <t>До 50</t>
        </is>
      </c>
      <c r="N7621" s="54" t="n">
        <v>16800</v>
      </c>
      <c r="O7621" s="55" t="inlineStr">
        <is>
          <t>31–50</t>
        </is>
      </c>
      <c r="P7621" s="16" t="inlineStr">
        <is>
          <t>ССЧР + ОКВЭД обогащены</t>
        </is>
      </c>
      <c r="Q7621" s="16" t="inlineStr">
        <is>
          <t>ФНС открытые данные ССЧР (ДатаСост 31.12.2025; набор 7707329152-sshr2019)</t>
        </is>
      </c>
      <c r="R7621" s="16" t="inlineStr">
        <is>
          <t>ЕГРЮЛ / egrul.nalog.ru (выписка)</t>
        </is>
      </c>
      <c r="S7621" t="n">
        <v>1</v>
      </c>
      <c r="T7621" s="35" t="inlineStr">
        <is>
          <t>1 — Горячий</t>
        </is>
      </c>
      <c r="U7621" s="35" t="inlineStr">
        <is>
          <t>ОКВЭД + 22+</t>
        </is>
      </c>
      <c r="V7621" s="35" t="inlineStr">
        <is>
          <t>Да</t>
        </is>
      </c>
      <c r="W7621" s="35" t="inlineStr">
        <is>
          <t>Да</t>
        </is>
      </c>
      <c r="X7621" s="35" t="inlineStr">
        <is>
          <t>Да</t>
        </is>
      </c>
    </row>
    <row r="7622" ht="15" customHeight="1" s="24">
      <c r="A7622" s="13" t="inlineStr">
        <is>
          <t>FR307980</t>
        </is>
      </c>
      <c r="B7622" s="13" t="inlineStr">
        <is>
          <t>ЦЕНТР АНАЛИТИЧЕСКИХ СИСТЕМ, ООО</t>
        </is>
      </c>
      <c r="C7622" s="13" t="n">
        <v>7723927008</v>
      </c>
      <c r="D7622" s="13" t="inlineStr">
        <is>
          <t>7723927008</t>
        </is>
      </c>
      <c r="E7622" s="13" t="inlineStr">
        <is>
          <t>ЮЛ РФ</t>
        </is>
      </c>
      <c r="F7622" s="13" t="n"/>
      <c r="G7622" s="52" t="n">
        <v>3</v>
      </c>
      <c r="H7622" s="52" t="n">
        <v>2025</v>
      </c>
      <c r="I7622" s="14" t="n"/>
      <c r="J7622" s="14" t="n"/>
      <c r="K7622" s="53" t="inlineStr">
        <is>
          <t>Нет</t>
        </is>
      </c>
      <c r="L7622" s="53" t="inlineStr">
        <is>
          <t>Не определено</t>
        </is>
      </c>
      <c r="M7622" s="53" t="inlineStr">
        <is>
          <t>До 10</t>
        </is>
      </c>
      <c r="N7622" s="54" t="n">
        <v>3360</v>
      </c>
      <c r="O7622" s="55" t="inlineStr">
        <is>
          <t>1–15</t>
        </is>
      </c>
      <c r="P7622" s="16" t="inlineStr">
        <is>
          <t>ССЧР обогащена; ОКВЭД не найден/не загружен</t>
        </is>
      </c>
      <c r="Q7622" s="16" t="inlineStr">
        <is>
          <t>ФНС открытые данные ССЧР (ДатаСост 31.12.2025; набор 7707329152-sshr2019)</t>
        </is>
      </c>
      <c r="R7622" s="16">
        <f>HYPERLINK("https://checko.ru/search?query=3801001629","Чекко: проверить")</f>
        <v/>
      </c>
      <c r="S7622" t="n">
        <v>1</v>
      </c>
      <c r="T7622" s="35" t="inlineStr">
        <is>
          <t>4 — Не обогащён</t>
        </is>
      </c>
      <c r="U7622" s="35" t="inlineStr">
        <is>
          <t>Нет ОКВЭД/ССЧР</t>
        </is>
      </c>
      <c r="V7622" s="35" t="inlineStr">
        <is>
          <t>Не определено</t>
        </is>
      </c>
      <c r="W7622" s="35" t="inlineStr">
        <is>
          <t>Нет</t>
        </is>
      </c>
      <c r="X7622" s="35" t="inlineStr"/>
    </row>
    <row r="7623" ht="15" customHeight="1" s="24">
      <c r="A7623" s="13" t="inlineStr">
        <is>
          <t>FR166236</t>
        </is>
      </c>
      <c r="B7623" s="13" t="inlineStr">
        <is>
          <t>ИП Лелекова Дарья Владимировна</t>
        </is>
      </c>
      <c r="C7623" s="13" t="n">
        <v>381112673492</v>
      </c>
      <c r="D7623" s="13" t="inlineStr">
        <is>
          <t>381112673492</t>
        </is>
      </c>
      <c r="E7623" s="13" t="inlineStr">
        <is>
          <t>ИП РФ / физлицо</t>
        </is>
      </c>
      <c r="F7623" s="13" t="n"/>
      <c r="G7623" s="14" t="n"/>
      <c r="H7623" s="14" t="n"/>
      <c r="I7623" s="14" t="n"/>
      <c r="J7623" s="14" t="n"/>
      <c r="K7623" s="53" t="inlineStr"/>
      <c r="L7623" s="53" t="inlineStr">
        <is>
          <t>Не определено</t>
        </is>
      </c>
      <c r="M7623" s="53" t="inlineStr"/>
      <c r="N7623" s="54" t="inlineStr"/>
      <c r="O7623" s="55" t="inlineStr"/>
      <c r="P7623" s="16" t="inlineStr">
        <is>
          <t>Требует обогащения</t>
        </is>
      </c>
      <c r="Q7623" s="16">
        <f>HYPERLINK("https://pb.nalog.ru/search.html?query=381112673492","ФНС: проверить")</f>
        <v/>
      </c>
      <c r="R7623" s="16">
        <f>HYPERLINK("https://checko.ru/search?query=3801001629","Чекко: проверить")</f>
        <v/>
      </c>
      <c r="S7623" t="n">
        <v>1</v>
      </c>
      <c r="T7623" s="35" t="inlineStr">
        <is>
          <t>4 — Не обогащён</t>
        </is>
      </c>
      <c r="U7623" s="35" t="inlineStr">
        <is>
          <t>Нет ОКВЭД/ССЧР</t>
        </is>
      </c>
      <c r="V7623" s="35" t="inlineStr">
        <is>
          <t>Не определено</t>
        </is>
      </c>
      <c r="W7623" s="35" t="inlineStr"/>
      <c r="X7623" s="35" t="inlineStr"/>
    </row>
    <row r="7624" ht="27.75" customHeight="1" s="24">
      <c r="A7624" s="13" t="inlineStr">
        <is>
          <t>FR739378</t>
        </is>
      </c>
      <c r="B7624" s="13" t="inlineStr">
        <is>
          <t>Общество с ограниченной ответственностью "РЕЦЕНТР"</t>
        </is>
      </c>
      <c r="C7624" s="13" t="n">
        <v>3804042905</v>
      </c>
      <c r="D7624" s="13" t="inlineStr">
        <is>
          <t>3804042905</t>
        </is>
      </c>
      <c r="E7624" s="13" t="inlineStr">
        <is>
          <t>ЮЛ РФ</t>
        </is>
      </c>
      <c r="F7624" s="13" t="n"/>
      <c r="G7624" s="52" t="n">
        <v>1</v>
      </c>
      <c r="H7624" s="52" t="n">
        <v>2025</v>
      </c>
      <c r="I7624" s="14" t="n"/>
      <c r="J7624" s="14" t="n"/>
      <c r="K7624" s="53" t="inlineStr">
        <is>
          <t>Нет</t>
        </is>
      </c>
      <c r="L7624" s="53" t="inlineStr">
        <is>
          <t>Не определено</t>
        </is>
      </c>
      <c r="M7624" s="53" t="inlineStr">
        <is>
          <t>До 10</t>
        </is>
      </c>
      <c r="N7624" s="54" t="n">
        <v>3360</v>
      </c>
      <c r="O7624" s="55" t="inlineStr">
        <is>
          <t>1–15</t>
        </is>
      </c>
      <c r="P7624" s="16" t="inlineStr">
        <is>
          <t>ССЧР обогащена; ОКВЭД не найден/не загружен</t>
        </is>
      </c>
      <c r="Q7624" s="16" t="inlineStr">
        <is>
          <t>ФНС открытые данные ССЧР (ДатаСост 31.12.2025; набор 7707329152-sshr2019)</t>
        </is>
      </c>
      <c r="R7624" s="16">
        <f>HYPERLINK("https://checko.ru/search?query=3801001629","Чекко: проверить")</f>
        <v/>
      </c>
      <c r="S7624" t="n">
        <v>1</v>
      </c>
      <c r="T7624" s="35" t="inlineStr">
        <is>
          <t>4 — Не обогащён</t>
        </is>
      </c>
      <c r="U7624" s="35" t="inlineStr">
        <is>
          <t>Нет ОКВЭД/ССЧР</t>
        </is>
      </c>
      <c r="V7624" s="35" t="inlineStr">
        <is>
          <t>Не определено</t>
        </is>
      </c>
      <c r="W7624" s="35" t="inlineStr">
        <is>
          <t>Нет</t>
        </is>
      </c>
      <c r="X7624" s="35" t="inlineStr"/>
    </row>
    <row r="7625" ht="27.75" customHeight="1" s="24">
      <c r="A7625" s="13" t="inlineStr">
        <is>
          <t>FR594501</t>
        </is>
      </c>
      <c r="B7625" s="13" t="inlineStr">
        <is>
          <t>Общество с ограниченной ответственностью "ДИЗЕЛЬ"</t>
        </is>
      </c>
      <c r="C7625" s="13" t="n">
        <v>3811089301</v>
      </c>
      <c r="D7625" s="13" t="inlineStr">
        <is>
          <t>3811089301</t>
        </is>
      </c>
      <c r="E7625" s="13" t="inlineStr">
        <is>
          <t>ЮЛ РФ</t>
        </is>
      </c>
      <c r="F7625" s="13" t="n"/>
      <c r="G7625" s="52" t="n">
        <v>15</v>
      </c>
      <c r="H7625" s="52" t="n">
        <v>2025</v>
      </c>
      <c r="I7625" s="14" t="n"/>
      <c r="J7625" s="14" t="n"/>
      <c r="K7625" s="53" t="inlineStr">
        <is>
          <t>Нет</t>
        </is>
      </c>
      <c r="L7625" s="53" t="inlineStr">
        <is>
          <t>Не определено</t>
        </is>
      </c>
      <c r="M7625" s="53" t="inlineStr">
        <is>
          <t>До 25</t>
        </is>
      </c>
      <c r="N7625" s="54" t="n">
        <v>8400</v>
      </c>
      <c r="O7625" s="55" t="inlineStr">
        <is>
          <t>1–15</t>
        </is>
      </c>
      <c r="P7625" s="16" t="inlineStr">
        <is>
          <t>ССЧР обогащена; ОКВЭД не найден/не загружен</t>
        </is>
      </c>
      <c r="Q7625" s="16" t="inlineStr">
        <is>
          <t>ФНС открытые данные ССЧР (ДатаСост 31.12.2025; набор 7707329152-sshr2019)</t>
        </is>
      </c>
      <c r="R7625" s="16">
        <f>HYPERLINK("https://checko.ru/search?query=3801001629","Чекко: проверить")</f>
        <v/>
      </c>
      <c r="S7625" t="n">
        <v>1</v>
      </c>
      <c r="T7625" s="35" t="inlineStr">
        <is>
          <t>4 — Не обогащён</t>
        </is>
      </c>
      <c r="U7625" s="35" t="inlineStr">
        <is>
          <t>Нет ОКВЭД/ССЧР</t>
        </is>
      </c>
      <c r="V7625" s="35" t="inlineStr">
        <is>
          <t>Не определено</t>
        </is>
      </c>
      <c r="W7625" s="35" t="inlineStr">
        <is>
          <t>Нет</t>
        </is>
      </c>
      <c r="X7625" s="35" t="inlineStr"/>
    </row>
    <row r="7626" ht="15" customHeight="1" s="24">
      <c r="A7626" s="13" t="inlineStr">
        <is>
          <t>FR817089</t>
        </is>
      </c>
      <c r="B7626" s="13" t="inlineStr">
        <is>
          <t>ИП Табиханова Ирина Константиновна</t>
        </is>
      </c>
      <c r="C7626" s="13" t="n">
        <v>381080000565</v>
      </c>
      <c r="D7626" s="13" t="inlineStr">
        <is>
          <t>381080000565</t>
        </is>
      </c>
      <c r="E7626" s="13" t="inlineStr">
        <is>
          <t>ИП РФ / физлицо</t>
        </is>
      </c>
      <c r="F7626" s="13" t="n"/>
      <c r="G7626" s="14" t="n"/>
      <c r="H7626" s="14" t="n"/>
      <c r="I7626" s="14" t="n"/>
      <c r="J7626" s="14" t="n"/>
      <c r="K7626" s="53" t="inlineStr"/>
      <c r="L7626" s="53" t="inlineStr">
        <is>
          <t>Не определено</t>
        </is>
      </c>
      <c r="M7626" s="53" t="inlineStr"/>
      <c r="N7626" s="54" t="inlineStr"/>
      <c r="O7626" s="55" t="inlineStr"/>
      <c r="P7626" s="16" t="inlineStr">
        <is>
          <t>Требует обогащения</t>
        </is>
      </c>
      <c r="Q7626" s="16">
        <f>HYPERLINK("https://pb.nalog.ru/search.html?query=381080000565","ФНС: проверить")</f>
        <v/>
      </c>
      <c r="R7626" s="16">
        <f>HYPERLINK("https://checko.ru/search?query=3801001629","Чекко: проверить")</f>
        <v/>
      </c>
      <c r="S7626" t="n">
        <v>1</v>
      </c>
      <c r="T7626" s="35" t="inlineStr">
        <is>
          <t>4 — Не обогащён</t>
        </is>
      </c>
      <c r="U7626" s="35" t="inlineStr">
        <is>
          <t>Нет ОКВЭД/ССЧР</t>
        </is>
      </c>
      <c r="V7626" s="35" t="inlineStr">
        <is>
          <t>Не определено</t>
        </is>
      </c>
      <c r="W7626" s="35" t="inlineStr"/>
      <c r="X7626" s="35" t="inlineStr"/>
    </row>
    <row r="7627" ht="15" customHeight="1" s="24">
      <c r="A7627" s="13" t="inlineStr">
        <is>
          <t>FR1060966</t>
        </is>
      </c>
      <c r="B7627" s="13" t="inlineStr">
        <is>
          <t>ФЛ Кокорина Марина Леонидовна</t>
        </is>
      </c>
      <c r="C7627" s="13" t="n">
        <v>381457697889</v>
      </c>
      <c r="D7627" s="13" t="inlineStr">
        <is>
          <t>381457697889</t>
        </is>
      </c>
      <c r="E7627" s="13" t="inlineStr">
        <is>
          <t>ИП РФ / физлицо</t>
        </is>
      </c>
      <c r="F7627" s="13" t="n"/>
      <c r="G7627" s="14" t="n"/>
      <c r="H7627" s="14" t="n"/>
      <c r="I7627" s="14" t="n"/>
      <c r="J7627" s="14" t="n"/>
      <c r="K7627" s="53" t="inlineStr"/>
      <c r="L7627" s="53" t="inlineStr">
        <is>
          <t>Не определено</t>
        </is>
      </c>
      <c r="M7627" s="53" t="inlineStr"/>
      <c r="N7627" s="54" t="inlineStr"/>
      <c r="O7627" s="55" t="inlineStr"/>
      <c r="P7627" s="16" t="inlineStr">
        <is>
          <t>Требует обогащения</t>
        </is>
      </c>
      <c r="Q7627" s="16">
        <f>HYPERLINK("https://pb.nalog.ru/search.html?query=381457697889","ФНС: проверить")</f>
        <v/>
      </c>
      <c r="R7627" s="16">
        <f>HYPERLINK("https://checko.ru/search?query=3801001629","Чекко: проверить")</f>
        <v/>
      </c>
      <c r="S7627" t="n">
        <v>1</v>
      </c>
      <c r="T7627" s="35" t="inlineStr">
        <is>
          <t>4 — Не обогащён</t>
        </is>
      </c>
      <c r="U7627" s="35" t="inlineStr">
        <is>
          <t>Нет ОКВЭД/ССЧР</t>
        </is>
      </c>
      <c r="V7627" s="35" t="inlineStr">
        <is>
          <t>Не определено</t>
        </is>
      </c>
      <c r="W7627" s="35" t="inlineStr"/>
      <c r="X7627" s="35" t="inlineStr"/>
    </row>
    <row r="7628" ht="15" customHeight="1" s="24">
      <c r="A7628" s="13" t="inlineStr">
        <is>
          <t>FR216189</t>
        </is>
      </c>
      <c r="B7628" s="13" t="inlineStr">
        <is>
          <t>ООО УК "ГОРОД"</t>
        </is>
      </c>
      <c r="C7628" s="13" t="n">
        <v>3818030882</v>
      </c>
      <c r="D7628" s="13" t="inlineStr">
        <is>
          <t>3818030882</t>
        </is>
      </c>
      <c r="E7628" s="13" t="inlineStr">
        <is>
          <t>ЮЛ РФ</t>
        </is>
      </c>
      <c r="F7628" s="13" t="n"/>
      <c r="G7628" s="52" t="n">
        <v>1</v>
      </c>
      <c r="H7628" s="52" t="n">
        <v>2025</v>
      </c>
      <c r="I7628" s="14" t="n"/>
      <c r="J7628" s="14" t="n"/>
      <c r="K7628" s="53" t="inlineStr">
        <is>
          <t>Нет</t>
        </is>
      </c>
      <c r="L7628" s="53" t="inlineStr">
        <is>
          <t>Не определено</t>
        </is>
      </c>
      <c r="M7628" s="53" t="inlineStr">
        <is>
          <t>До 10</t>
        </is>
      </c>
      <c r="N7628" s="54" t="n">
        <v>3360</v>
      </c>
      <c r="O7628" s="55" t="inlineStr">
        <is>
          <t>1–15</t>
        </is>
      </c>
      <c r="P7628" s="16" t="inlineStr">
        <is>
          <t>ССЧР обогащена; ОКВЭД не найден/не загружен</t>
        </is>
      </c>
      <c r="Q7628" s="16" t="inlineStr">
        <is>
          <t>ФНС открытые данные ССЧР (ДатаСост 31.12.2025; набор 7707329152-sshr2019)</t>
        </is>
      </c>
      <c r="R7628" s="16">
        <f>HYPERLINK("https://checko.ru/search?query=3801001629","Чекко: проверить")</f>
        <v/>
      </c>
      <c r="S7628" t="n">
        <v>1</v>
      </c>
      <c r="T7628" s="35" t="inlineStr">
        <is>
          <t>4 — Не обогащён</t>
        </is>
      </c>
      <c r="U7628" s="35" t="inlineStr">
        <is>
          <t>Нет ОКВЭД/ССЧР</t>
        </is>
      </c>
      <c r="V7628" s="35" t="inlineStr">
        <is>
          <t>Не определено</t>
        </is>
      </c>
      <c r="W7628" s="35" t="inlineStr">
        <is>
          <t>Нет</t>
        </is>
      </c>
      <c r="X7628" s="35" t="inlineStr"/>
    </row>
    <row r="7629" ht="15" customHeight="1" s="24">
      <c r="A7629" s="13" t="inlineStr">
        <is>
          <t>FR211243</t>
        </is>
      </c>
      <c r="B7629" s="13" t="inlineStr">
        <is>
          <t>ДОРТРЭЙД, ООО</t>
        </is>
      </c>
      <c r="C7629" s="13" t="n">
        <v>7203405090</v>
      </c>
      <c r="D7629" s="13" t="inlineStr">
        <is>
          <t>7203405090</t>
        </is>
      </c>
      <c r="E7629" s="13" t="inlineStr">
        <is>
          <t>ЮЛ РФ</t>
        </is>
      </c>
      <c r="F7629" s="13" t="n"/>
      <c r="G7629" s="52" t="n">
        <v>16</v>
      </c>
      <c r="H7629" s="52" t="n">
        <v>2025</v>
      </c>
      <c r="I7629" s="14" t="n"/>
      <c r="J7629" s="14" t="n"/>
      <c r="K7629" s="53" t="inlineStr">
        <is>
          <t>Нет</t>
        </is>
      </c>
      <c r="L7629" s="53" t="inlineStr">
        <is>
          <t>Не определено</t>
        </is>
      </c>
      <c r="M7629" s="53" t="inlineStr">
        <is>
          <t>До 25</t>
        </is>
      </c>
      <c r="N7629" s="54" t="n">
        <v>8400</v>
      </c>
      <c r="O7629" s="55" t="inlineStr">
        <is>
          <t>16–30</t>
        </is>
      </c>
      <c r="P7629" s="16" t="inlineStr">
        <is>
          <t>ССЧР обогащена; ОКВЭД не найден/не загружен</t>
        </is>
      </c>
      <c r="Q7629" s="16" t="inlineStr">
        <is>
          <t>ФНС открытые данные ССЧР (ДатаСост 31.12.2025; набор 7707329152-sshr2019)</t>
        </is>
      </c>
      <c r="R7629" s="16">
        <f>HYPERLINK("https://checko.ru/search?query=3801001629","Чекко: проверить")</f>
        <v/>
      </c>
      <c r="S7629" t="n">
        <v>1</v>
      </c>
      <c r="T7629" s="35" t="inlineStr">
        <is>
          <t>4 — Не обогащён</t>
        </is>
      </c>
      <c r="U7629" s="35" t="inlineStr">
        <is>
          <t>Нет ОКВЭД/ССЧР</t>
        </is>
      </c>
      <c r="V7629" s="35" t="inlineStr">
        <is>
          <t>Не определено</t>
        </is>
      </c>
      <c r="W7629" s="35" t="inlineStr">
        <is>
          <t>Нет</t>
        </is>
      </c>
      <c r="X7629" s="35" t="inlineStr"/>
    </row>
    <row r="7630" ht="15" customHeight="1" s="24">
      <c r="A7630" s="13" t="inlineStr">
        <is>
          <t>FR905357</t>
        </is>
      </c>
      <c r="B7630" s="13" t="inlineStr">
        <is>
          <t>ООО "Транспортная компания "Родник"</t>
        </is>
      </c>
      <c r="C7630" s="13" t="n">
        <v>3804047396</v>
      </c>
      <c r="D7630" s="13" t="inlineStr">
        <is>
          <t>3804047396</t>
        </is>
      </c>
      <c r="E7630" s="13" t="inlineStr">
        <is>
          <t>ЮЛ РФ</t>
        </is>
      </c>
      <c r="F7630" s="13" t="n"/>
      <c r="G7630" s="52" t="n">
        <v>6</v>
      </c>
      <c r="H7630" s="52" t="n">
        <v>2025</v>
      </c>
      <c r="I7630" s="14" t="n"/>
      <c r="J7630" s="14" t="n"/>
      <c r="K7630" s="53" t="inlineStr">
        <is>
          <t>Нет</t>
        </is>
      </c>
      <c r="L7630" s="53" t="inlineStr">
        <is>
          <t>Не определено</t>
        </is>
      </c>
      <c r="M7630" s="53" t="inlineStr">
        <is>
          <t>До 10</t>
        </is>
      </c>
      <c r="N7630" s="54" t="n">
        <v>3360</v>
      </c>
      <c r="O7630" s="55" t="inlineStr">
        <is>
          <t>1–15</t>
        </is>
      </c>
      <c r="P7630" s="16" t="inlineStr">
        <is>
          <t>ССЧР обогащена; ОКВЭД не найден/не загружен</t>
        </is>
      </c>
      <c r="Q7630" s="16" t="inlineStr">
        <is>
          <t>ФНС открытые данные ССЧР (ДатаСост 31.12.2025; набор 7707329152-sshr2019)</t>
        </is>
      </c>
      <c r="R7630" s="16">
        <f>HYPERLINK("https://checko.ru/search?query=3801001629","Чекко: проверить")</f>
        <v/>
      </c>
      <c r="S7630" t="n">
        <v>1</v>
      </c>
      <c r="T7630" s="35" t="inlineStr">
        <is>
          <t>4 — Не обогащён</t>
        </is>
      </c>
      <c r="U7630" s="35" t="inlineStr">
        <is>
          <t>Нет ОКВЭД/ССЧР</t>
        </is>
      </c>
      <c r="V7630" s="35" t="inlineStr">
        <is>
          <t>Не определено</t>
        </is>
      </c>
      <c r="W7630" s="35" t="inlineStr">
        <is>
          <t>Нет</t>
        </is>
      </c>
      <c r="X7630" s="35" t="inlineStr"/>
    </row>
    <row r="7631" ht="27.75" customHeight="1" s="24">
      <c r="A7631" s="13" t="inlineStr">
        <is>
          <t>FR904760</t>
        </is>
      </c>
      <c r="B7631" s="13" t="inlineStr">
        <is>
          <t>Общество с ограниченной ответственностью "СЕТЬ ИСТОРИЧЕСКИХ ОТЕЛЕЙ"</t>
        </is>
      </c>
      <c r="C7631" s="13" t="n">
        <v>3808203215</v>
      </c>
      <c r="D7631" s="13" t="inlineStr">
        <is>
          <t>3808203215</t>
        </is>
      </c>
      <c r="E7631" s="13" t="inlineStr">
        <is>
          <t>ЮЛ РФ</t>
        </is>
      </c>
      <c r="F7631" s="13" t="n"/>
      <c r="G7631" s="52" t="n">
        <v>12</v>
      </c>
      <c r="H7631" s="52" t="n">
        <v>2025</v>
      </c>
      <c r="I7631" s="14" t="n"/>
      <c r="J7631" s="14" t="n"/>
      <c r="K7631" s="53" t="inlineStr">
        <is>
          <t>Нет</t>
        </is>
      </c>
      <c r="L7631" s="53" t="inlineStr">
        <is>
          <t>Не определено</t>
        </is>
      </c>
      <c r="M7631" s="53" t="inlineStr">
        <is>
          <t>До 25</t>
        </is>
      </c>
      <c r="N7631" s="54" t="n">
        <v>8400</v>
      </c>
      <c r="O7631" s="55" t="inlineStr">
        <is>
          <t>1–15</t>
        </is>
      </c>
      <c r="P7631" s="16" t="inlineStr">
        <is>
          <t>ССЧР обогащена; ОКВЭД не найден/не загружен</t>
        </is>
      </c>
      <c r="Q7631" s="16" t="inlineStr">
        <is>
          <t>ФНС открытые данные ССЧР (ДатаСост 31.12.2025; набор 7707329152-sshr2019)</t>
        </is>
      </c>
      <c r="R7631" s="16">
        <f>HYPERLINK("https://checko.ru/search?query=3801001629","Чекко: проверить")</f>
        <v/>
      </c>
      <c r="S7631" t="n">
        <v>1</v>
      </c>
      <c r="T7631" s="35" t="inlineStr">
        <is>
          <t>4 — Не обогащён</t>
        </is>
      </c>
      <c r="U7631" s="35" t="inlineStr">
        <is>
          <t>Нет ОКВЭД/ССЧР</t>
        </is>
      </c>
      <c r="V7631" s="35" t="inlineStr">
        <is>
          <t>Не определено</t>
        </is>
      </c>
      <c r="W7631" s="35" t="inlineStr">
        <is>
          <t>Нет</t>
        </is>
      </c>
      <c r="X7631" s="35" t="inlineStr"/>
    </row>
    <row r="7632" ht="27.75" customHeight="1" s="24">
      <c r="A7632" s="13" t="inlineStr">
        <is>
          <t>FR830094</t>
        </is>
      </c>
      <c r="B7632" s="13" t="inlineStr">
        <is>
          <t>Общество с ограниченной ответственностью ГК "АВРОРА"</t>
        </is>
      </c>
      <c r="C7632" s="13" t="n">
        <v>3808271575</v>
      </c>
      <c r="D7632" s="13" t="inlineStr">
        <is>
          <t>3808271575</t>
        </is>
      </c>
      <c r="E7632" s="13" t="inlineStr">
        <is>
          <t>ЮЛ РФ</t>
        </is>
      </c>
      <c r="F7632" s="13" t="n"/>
      <c r="G7632" s="52" t="n">
        <v>24</v>
      </c>
      <c r="H7632" s="52" t="n">
        <v>2025</v>
      </c>
      <c r="I7632" s="52" t="inlineStr">
        <is>
          <t>25.29</t>
        </is>
      </c>
      <c r="J7632" s="52" t="inlineStr">
        <is>
          <t>25.29; 25.11; 25.30; 25.50; 25.62; 25.91; 25.99; 28.29; 32.99; 33.11; 33.12; 33.20; 37.00; 41.10; 41.20; 42.21; 42.91; 42.99; 43.11; 43.12; 43.13; 43.21; 43.22; 43.29; 43.99; 46.13; 46.18; 46.42; 46.62; 46.63; 46.69; 46.74; 46.90; 71.11; 71.12; 71.20</t>
        </is>
      </c>
      <c r="K7632" s="53" t="inlineStr">
        <is>
          <t>Да</t>
        </is>
      </c>
      <c r="L7632" s="53" t="inlineStr">
        <is>
          <t>Да</t>
        </is>
      </c>
      <c r="M7632" s="53" t="inlineStr">
        <is>
          <t>До 25</t>
        </is>
      </c>
      <c r="N7632" s="54" t="n">
        <v>8400</v>
      </c>
      <c r="O7632" s="55" t="inlineStr">
        <is>
          <t>16–30</t>
        </is>
      </c>
      <c r="P7632" s="16" t="inlineStr">
        <is>
          <t>ССЧР + ОКВЭД обогащены</t>
        </is>
      </c>
      <c r="Q7632" s="16" t="inlineStr">
        <is>
          <t>ФНС открытые данные ССЧР (ДатаСост 31.12.2025; набор 7707329152-sshr2019)</t>
        </is>
      </c>
      <c r="R7632" s="16" t="inlineStr">
        <is>
          <t>ЕГРЮЛ / egrul.nalog.ru (выписка)</t>
        </is>
      </c>
      <c r="S7632" t="n">
        <v>1</v>
      </c>
      <c r="T7632" s="35" t="inlineStr">
        <is>
          <t>1 — Горячий</t>
        </is>
      </c>
      <c r="U7632" s="35" t="inlineStr">
        <is>
          <t>ОКВЭД + 22+</t>
        </is>
      </c>
      <c r="V7632" s="35" t="inlineStr">
        <is>
          <t>Да</t>
        </is>
      </c>
      <c r="W7632" s="35" t="inlineStr">
        <is>
          <t>Да</t>
        </is>
      </c>
      <c r="X7632" s="35" t="inlineStr">
        <is>
          <t>Да</t>
        </is>
      </c>
    </row>
    <row r="7633" ht="27.75" customHeight="1" s="24">
      <c r="A7633" s="13" t="inlineStr">
        <is>
          <t>FR1312803</t>
        </is>
      </c>
      <c r="B7633" s="13" t="inlineStr">
        <is>
          <t>Общество с ограниченной ответственностью "ОМЕГА"</t>
        </is>
      </c>
      <c r="C7633" s="13" t="n">
        <v>3849112447</v>
      </c>
      <c r="D7633" s="13" t="inlineStr">
        <is>
          <t>3849112447</t>
        </is>
      </c>
      <c r="E7633" s="13" t="inlineStr">
        <is>
          <t>ЮЛ РФ</t>
        </is>
      </c>
      <c r="F7633" s="13" t="n"/>
      <c r="G7633" s="14" t="n"/>
      <c r="H7633" s="14" t="n"/>
      <c r="I7633" s="14" t="n"/>
      <c r="J7633" s="14" t="n"/>
      <c r="K7633" s="53" t="inlineStr"/>
      <c r="L7633" s="53" t="inlineStr">
        <is>
          <t>Не определено</t>
        </is>
      </c>
      <c r="M7633" s="53" t="inlineStr"/>
      <c r="N7633" s="54" t="inlineStr"/>
      <c r="O7633" s="55" t="inlineStr"/>
      <c r="P7633" s="16" t="inlineStr">
        <is>
          <t>Требует обогащения</t>
        </is>
      </c>
      <c r="Q7633" s="16">
        <f>HYPERLINK("https://pb.nalog.ru/search.html?query=3849112447","ФНС: проверить")</f>
        <v/>
      </c>
      <c r="R7633" s="16">
        <f>HYPERLINK("https://checko.ru/search?query=3801001629","Чекко: проверить")</f>
        <v/>
      </c>
      <c r="S7633" t="n">
        <v>1</v>
      </c>
      <c r="T7633" s="35" t="inlineStr">
        <is>
          <t>4 — Не обогащён</t>
        </is>
      </c>
      <c r="U7633" s="35" t="inlineStr">
        <is>
          <t>Нет ОКВЭД/ССЧР</t>
        </is>
      </c>
      <c r="V7633" s="35" t="inlineStr">
        <is>
          <t>Не определено</t>
        </is>
      </c>
      <c r="W7633" s="35" t="inlineStr"/>
      <c r="X7633" s="35" t="inlineStr"/>
    </row>
    <row r="7634" ht="27.75" customHeight="1" s="24">
      <c r="A7634" s="13" t="inlineStr">
        <is>
          <t>FR463596</t>
        </is>
      </c>
      <c r="B7634" s="13" t="inlineStr">
        <is>
          <t>ОБЩЕСТВО С ОГРАНИЧЕННОЙ ОТВЕТСТВЕННОСТЬЮ "БАЙКАЛПРОФГРУП"</t>
        </is>
      </c>
      <c r="C7634" s="13" t="n">
        <v>3812535118</v>
      </c>
      <c r="D7634" s="13" t="inlineStr">
        <is>
          <t>3812535118</t>
        </is>
      </c>
      <c r="E7634" s="13" t="inlineStr">
        <is>
          <t>ЮЛ РФ</t>
        </is>
      </c>
      <c r="F7634" s="13" t="n"/>
      <c r="G7634" s="52" t="n">
        <v>1</v>
      </c>
      <c r="H7634" s="52" t="n">
        <v>2025</v>
      </c>
      <c r="I7634" s="14" t="n"/>
      <c r="J7634" s="14" t="n"/>
      <c r="K7634" s="53" t="inlineStr">
        <is>
          <t>Нет</t>
        </is>
      </c>
      <c r="L7634" s="53" t="inlineStr">
        <is>
          <t>Не определено</t>
        </is>
      </c>
      <c r="M7634" s="53" t="inlineStr">
        <is>
          <t>До 10</t>
        </is>
      </c>
      <c r="N7634" s="54" t="n">
        <v>3360</v>
      </c>
      <c r="O7634" s="55" t="inlineStr">
        <is>
          <t>1–15</t>
        </is>
      </c>
      <c r="P7634" s="16" t="inlineStr">
        <is>
          <t>ССЧР обогащена; ОКВЭД не найден/не загружен</t>
        </is>
      </c>
      <c r="Q7634" s="16" t="inlineStr">
        <is>
          <t>ФНС открытые данные ССЧР (ДатаСост 31.12.2025; набор 7707329152-sshr2019)</t>
        </is>
      </c>
      <c r="R7634" s="16">
        <f>HYPERLINK("https://checko.ru/search?query=3801001629","Чекко: проверить")</f>
        <v/>
      </c>
      <c r="S7634" t="n">
        <v>1</v>
      </c>
      <c r="T7634" s="35" t="inlineStr">
        <is>
          <t>4 — Не обогащён</t>
        </is>
      </c>
      <c r="U7634" s="35" t="inlineStr">
        <is>
          <t>Нет ОКВЭД/ССЧР</t>
        </is>
      </c>
      <c r="V7634" s="35" t="inlineStr">
        <is>
          <t>Не определено</t>
        </is>
      </c>
      <c r="W7634" s="35" t="inlineStr">
        <is>
          <t>Нет</t>
        </is>
      </c>
      <c r="X7634" s="35" t="inlineStr"/>
    </row>
    <row r="7635" ht="15" customHeight="1" s="24">
      <c r="A7635" s="13" t="inlineStr">
        <is>
          <t>FR559863</t>
        </is>
      </c>
      <c r="B7635" s="13" t="inlineStr">
        <is>
          <t>ИП Хонгодорова Людмила Лазаревна</t>
        </is>
      </c>
      <c r="C7635" s="13" t="n">
        <v>381106206281</v>
      </c>
      <c r="D7635" s="13" t="inlineStr">
        <is>
          <t>381106206281</t>
        </is>
      </c>
      <c r="E7635" s="13" t="inlineStr">
        <is>
          <t>ИП РФ / физлицо</t>
        </is>
      </c>
      <c r="F7635" s="13" t="n"/>
      <c r="G7635" s="14" t="n"/>
      <c r="H7635" s="14" t="n"/>
      <c r="I7635" s="14" t="n"/>
      <c r="J7635" s="14" t="n"/>
      <c r="K7635" s="53" t="inlineStr"/>
      <c r="L7635" s="53" t="inlineStr">
        <is>
          <t>Не определено</t>
        </is>
      </c>
      <c r="M7635" s="53" t="inlineStr"/>
      <c r="N7635" s="54" t="inlineStr"/>
      <c r="O7635" s="55" t="inlineStr"/>
      <c r="P7635" s="16" t="inlineStr">
        <is>
          <t>Требует обогащения</t>
        </is>
      </c>
      <c r="Q7635" s="16">
        <f>HYPERLINK("https://pb.nalog.ru/search.html?query=381106206281","ФНС: проверить")</f>
        <v/>
      </c>
      <c r="R7635" s="16">
        <f>HYPERLINK("https://checko.ru/search?query=3801001629","Чекко: проверить")</f>
        <v/>
      </c>
      <c r="S7635" t="n">
        <v>1</v>
      </c>
      <c r="T7635" s="35" t="inlineStr">
        <is>
          <t>4 — Не обогащён</t>
        </is>
      </c>
      <c r="U7635" s="35" t="inlineStr">
        <is>
          <t>Нет ОКВЭД/ССЧР</t>
        </is>
      </c>
      <c r="V7635" s="35" t="inlineStr">
        <is>
          <t>Не определено</t>
        </is>
      </c>
      <c r="W7635" s="35" t="inlineStr"/>
      <c r="X7635" s="35" t="inlineStr"/>
    </row>
    <row r="7636" ht="15" customHeight="1" s="24">
      <c r="A7636" s="13" t="inlineStr">
        <is>
          <t>FR1117504</t>
        </is>
      </c>
      <c r="B7636" s="13" t="inlineStr">
        <is>
          <t>ИП Лебедева Галина Николаевна</t>
        </is>
      </c>
      <c r="C7636" s="13" t="n">
        <v>381252433701</v>
      </c>
      <c r="D7636" s="13" t="inlineStr">
        <is>
          <t>381252433701</t>
        </is>
      </c>
      <c r="E7636" s="13" t="inlineStr">
        <is>
          <t>ИП РФ / физлицо</t>
        </is>
      </c>
      <c r="F7636" s="13" t="n"/>
      <c r="G7636" s="14" t="n"/>
      <c r="H7636" s="14" t="n"/>
      <c r="I7636" s="14" t="n"/>
      <c r="J7636" s="14" t="n"/>
      <c r="K7636" s="53" t="inlineStr"/>
      <c r="L7636" s="53" t="inlineStr">
        <is>
          <t>Не определено</t>
        </is>
      </c>
      <c r="M7636" s="53" t="inlineStr"/>
      <c r="N7636" s="54" t="inlineStr"/>
      <c r="O7636" s="55" t="inlineStr"/>
      <c r="P7636" s="16" t="inlineStr">
        <is>
          <t>Требует обогащения</t>
        </is>
      </c>
      <c r="Q7636" s="16">
        <f>HYPERLINK("https://pb.nalog.ru/search.html?query=381252433701","ФНС: проверить")</f>
        <v/>
      </c>
      <c r="R7636" s="16">
        <f>HYPERLINK("https://checko.ru/search?query=3801001629","Чекко: проверить")</f>
        <v/>
      </c>
      <c r="S7636" t="n">
        <v>1</v>
      </c>
      <c r="T7636" s="35" t="inlineStr">
        <is>
          <t>4 — Не обогащён</t>
        </is>
      </c>
      <c r="U7636" s="35" t="inlineStr">
        <is>
          <t>Нет ОКВЭД/ССЧР</t>
        </is>
      </c>
      <c r="V7636" s="35" t="inlineStr">
        <is>
          <t>Не определено</t>
        </is>
      </c>
      <c r="W7636" s="35" t="inlineStr"/>
      <c r="X7636" s="35" t="inlineStr"/>
    </row>
    <row r="7637" ht="41.25" customHeight="1" s="24">
      <c r="A7637" s="13" t="inlineStr">
        <is>
          <t>FR758307</t>
        </is>
      </c>
      <c r="B7637" s="13" t="inlineStr">
        <is>
          <t>НАУЧНО-ТЕХНИЧЕСКАЯ ФИРМА ОБЩЕСТВО С ОГРАНИЧЕННОЙ ОТВЕТСТВЕННОСТЬЮ "СТЕПСТРОЙ"</t>
        </is>
      </c>
      <c r="C7637" s="13" t="n">
        <v>3810051506</v>
      </c>
      <c r="D7637" s="13" t="inlineStr">
        <is>
          <t>3810051506</t>
        </is>
      </c>
      <c r="E7637" s="13" t="inlineStr">
        <is>
          <t>ЮЛ РФ</t>
        </is>
      </c>
      <c r="F7637" s="13" t="n"/>
      <c r="G7637" s="52" t="n">
        <v>3</v>
      </c>
      <c r="H7637" s="52" t="n">
        <v>2025</v>
      </c>
      <c r="I7637" s="14" t="n"/>
      <c r="J7637" s="14" t="n"/>
      <c r="K7637" s="53" t="inlineStr">
        <is>
          <t>Нет</t>
        </is>
      </c>
      <c r="L7637" s="53" t="inlineStr">
        <is>
          <t>Не определено</t>
        </is>
      </c>
      <c r="M7637" s="53" t="inlineStr">
        <is>
          <t>До 10</t>
        </is>
      </c>
      <c r="N7637" s="54" t="n">
        <v>3360</v>
      </c>
      <c r="O7637" s="55" t="inlineStr">
        <is>
          <t>1–15</t>
        </is>
      </c>
      <c r="P7637" s="16" t="inlineStr">
        <is>
          <t>ССЧР обогащена; ОКВЭД не найден/не загружен</t>
        </is>
      </c>
      <c r="Q7637" s="16" t="inlineStr">
        <is>
          <t>ФНС открытые данные ССЧР (ДатаСост 31.12.2025; набор 7707329152-sshr2019)</t>
        </is>
      </c>
      <c r="R7637" s="16">
        <f>HYPERLINK("https://checko.ru/search?query=3801001629","Чекко: проверить")</f>
        <v/>
      </c>
      <c r="S7637" t="n">
        <v>1</v>
      </c>
      <c r="T7637" s="35" t="inlineStr">
        <is>
          <t>4 — Не обогащён</t>
        </is>
      </c>
      <c r="U7637" s="35" t="inlineStr">
        <is>
          <t>Нет ОКВЭД/ССЧР</t>
        </is>
      </c>
      <c r="V7637" s="35" t="inlineStr">
        <is>
          <t>Не определено</t>
        </is>
      </c>
      <c r="W7637" s="35" t="inlineStr">
        <is>
          <t>Нет</t>
        </is>
      </c>
      <c r="X7637" s="35" t="inlineStr"/>
    </row>
    <row r="7638" ht="27.75" customHeight="1" s="24">
      <c r="A7638" s="13" t="inlineStr">
        <is>
          <t>FR909243</t>
        </is>
      </c>
      <c r="B7638" s="13" t="inlineStr">
        <is>
          <t>Общество с ограниченной ответственностью "ИНМЕДТЕХНОЛОГИИ"</t>
        </is>
      </c>
      <c r="C7638" s="13" t="n">
        <v>3849091035</v>
      </c>
      <c r="D7638" s="13" t="inlineStr">
        <is>
          <t>3849091035</t>
        </is>
      </c>
      <c r="E7638" s="13" t="inlineStr">
        <is>
          <t>ЮЛ РФ</t>
        </is>
      </c>
      <c r="F7638" s="13" t="n"/>
      <c r="G7638" s="14" t="n"/>
      <c r="H7638" s="14" t="n"/>
      <c r="I7638" s="14" t="n"/>
      <c r="J7638" s="14" t="n"/>
      <c r="K7638" s="53" t="inlineStr"/>
      <c r="L7638" s="53" t="inlineStr">
        <is>
          <t>Не определено</t>
        </is>
      </c>
      <c r="M7638" s="53" t="inlineStr"/>
      <c r="N7638" s="54" t="inlineStr"/>
      <c r="O7638" s="55" t="inlineStr"/>
      <c r="P7638" s="16" t="inlineStr">
        <is>
          <t>Требует обогащения</t>
        </is>
      </c>
      <c r="Q7638" s="16">
        <f>HYPERLINK("https://pb.nalog.ru/search.html?query=3849091035","ФНС: проверить")</f>
        <v/>
      </c>
      <c r="R7638" s="16">
        <f>HYPERLINK("https://checko.ru/search?query=3801001629","Чекко: проверить")</f>
        <v/>
      </c>
      <c r="S7638" t="n">
        <v>1</v>
      </c>
      <c r="T7638" s="35" t="inlineStr">
        <is>
          <t>4 — Не обогащён</t>
        </is>
      </c>
      <c r="U7638" s="35" t="inlineStr">
        <is>
          <t>Нет ОКВЭД/ССЧР</t>
        </is>
      </c>
      <c r="V7638" s="35" t="inlineStr">
        <is>
          <t>Не определено</t>
        </is>
      </c>
      <c r="W7638" s="35" t="inlineStr"/>
      <c r="X7638" s="35" t="inlineStr"/>
    </row>
    <row r="7639" ht="27.75" customHeight="1" s="24">
      <c r="A7639" s="13" t="inlineStr">
        <is>
          <t>FR525299</t>
        </is>
      </c>
      <c r="B7639" s="13" t="inlineStr">
        <is>
          <t>ОБЩЕСТВО С ОГРАНИЧЕННОЙ ОТВЕТСТВЕННОСТЬЮ "АВИАЛЬ"</t>
        </is>
      </c>
      <c r="C7639" s="13" t="n">
        <v>3808148821</v>
      </c>
      <c r="D7639" s="13" t="inlineStr">
        <is>
          <t>3808148821</t>
        </is>
      </c>
      <c r="E7639" s="13" t="inlineStr">
        <is>
          <t>ЮЛ РФ</t>
        </is>
      </c>
      <c r="F7639" s="13" t="n"/>
      <c r="G7639" s="52" t="n">
        <v>7</v>
      </c>
      <c r="H7639" s="52" t="n">
        <v>2025</v>
      </c>
      <c r="I7639" s="14" t="n"/>
      <c r="J7639" s="14" t="n"/>
      <c r="K7639" s="53" t="inlineStr">
        <is>
          <t>Нет</t>
        </is>
      </c>
      <c r="L7639" s="53" t="inlineStr">
        <is>
          <t>Не определено</t>
        </is>
      </c>
      <c r="M7639" s="53" t="inlineStr">
        <is>
          <t>До 10</t>
        </is>
      </c>
      <c r="N7639" s="54" t="n">
        <v>3360</v>
      </c>
      <c r="O7639" s="55" t="inlineStr">
        <is>
          <t>1–15</t>
        </is>
      </c>
      <c r="P7639" s="16" t="inlineStr">
        <is>
          <t>ССЧР обогащена; ОКВЭД не найден/не загружен</t>
        </is>
      </c>
      <c r="Q7639" s="16" t="inlineStr">
        <is>
          <t>ФНС открытые данные ССЧР (ДатаСост 31.12.2025; набор 7707329152-sshr2019)</t>
        </is>
      </c>
      <c r="R7639" s="16">
        <f>HYPERLINK("https://checko.ru/search?query=3801001629","Чекко: проверить")</f>
        <v/>
      </c>
      <c r="S7639" t="n">
        <v>1</v>
      </c>
      <c r="T7639" s="35" t="inlineStr">
        <is>
          <t>4 — Не обогащён</t>
        </is>
      </c>
      <c r="U7639" s="35" t="inlineStr">
        <is>
          <t>Нет ОКВЭД/ССЧР</t>
        </is>
      </c>
      <c r="V7639" s="35" t="inlineStr">
        <is>
          <t>Не определено</t>
        </is>
      </c>
      <c r="W7639" s="35" t="inlineStr">
        <is>
          <t>Нет</t>
        </is>
      </c>
      <c r="X7639" s="35" t="inlineStr"/>
    </row>
    <row r="7640" ht="27.75" customHeight="1" s="24">
      <c r="A7640" s="13" t="inlineStr">
        <is>
          <t>FR759571</t>
        </is>
      </c>
      <c r="B7640" s="13" t="inlineStr">
        <is>
          <t>Общество с ограниченной ответственностью"АВТОЛИТ"</t>
        </is>
      </c>
      <c r="C7640" s="13" t="n">
        <v>3811083701</v>
      </c>
      <c r="D7640" s="13" t="inlineStr">
        <is>
          <t>3811083701</t>
        </is>
      </c>
      <c r="E7640" s="13" t="inlineStr">
        <is>
          <t>ЮЛ РФ</t>
        </is>
      </c>
      <c r="F7640" s="13" t="n"/>
      <c r="G7640" s="52" t="n">
        <v>16</v>
      </c>
      <c r="H7640" s="52" t="n">
        <v>2025</v>
      </c>
      <c r="I7640" s="14" t="n"/>
      <c r="J7640" s="14" t="n"/>
      <c r="K7640" s="53" t="inlineStr">
        <is>
          <t>Нет</t>
        </is>
      </c>
      <c r="L7640" s="53" t="inlineStr">
        <is>
          <t>Не определено</t>
        </is>
      </c>
      <c r="M7640" s="53" t="inlineStr">
        <is>
          <t>До 25</t>
        </is>
      </c>
      <c r="N7640" s="54" t="n">
        <v>8400</v>
      </c>
      <c r="O7640" s="55" t="inlineStr">
        <is>
          <t>16–30</t>
        </is>
      </c>
      <c r="P7640" s="16" t="inlineStr">
        <is>
          <t>ССЧР обогащена; ОКВЭД не найден/не загружен</t>
        </is>
      </c>
      <c r="Q7640" s="16" t="inlineStr">
        <is>
          <t>ФНС открытые данные ССЧР (ДатаСост 31.12.2025; набор 7707329152-sshr2019)</t>
        </is>
      </c>
      <c r="R7640" s="16">
        <f>HYPERLINK("https://checko.ru/search?query=3801001629","Чекко: проверить")</f>
        <v/>
      </c>
      <c r="S7640" t="n">
        <v>1</v>
      </c>
      <c r="T7640" s="35" t="inlineStr">
        <is>
          <t>4 — Не обогащён</t>
        </is>
      </c>
      <c r="U7640" s="35" t="inlineStr">
        <is>
          <t>Нет ОКВЭД/ССЧР</t>
        </is>
      </c>
      <c r="V7640" s="35" t="inlineStr">
        <is>
          <t>Не определено</t>
        </is>
      </c>
      <c r="W7640" s="35" t="inlineStr">
        <is>
          <t>Нет</t>
        </is>
      </c>
      <c r="X7640" s="35" t="inlineStr"/>
    </row>
    <row r="7641" ht="27.75" customHeight="1" s="24">
      <c r="A7641" s="13" t="inlineStr">
        <is>
          <t>FR908633</t>
        </is>
      </c>
      <c r="B7641" s="13" t="inlineStr">
        <is>
          <t>Общество с ограниченной ответственностью "СЛАВИА"</t>
        </is>
      </c>
      <c r="C7641" s="13" t="n">
        <v>3812998645</v>
      </c>
      <c r="D7641" s="13" t="inlineStr">
        <is>
          <t>3812998645</t>
        </is>
      </c>
      <c r="E7641" s="13" t="inlineStr">
        <is>
          <t>ЮЛ РФ</t>
        </is>
      </c>
      <c r="F7641" s="13" t="n"/>
      <c r="G7641" s="52" t="n">
        <v>1</v>
      </c>
      <c r="H7641" s="52" t="n">
        <v>2025</v>
      </c>
      <c r="I7641" s="14" t="n"/>
      <c r="J7641" s="14" t="n"/>
      <c r="K7641" s="53" t="inlineStr">
        <is>
          <t>Нет</t>
        </is>
      </c>
      <c r="L7641" s="53" t="inlineStr">
        <is>
          <t>Не определено</t>
        </is>
      </c>
      <c r="M7641" s="53" t="inlineStr">
        <is>
          <t>До 10</t>
        </is>
      </c>
      <c r="N7641" s="54" t="n">
        <v>3360</v>
      </c>
      <c r="O7641" s="55" t="inlineStr">
        <is>
          <t>1–15</t>
        </is>
      </c>
      <c r="P7641" s="16" t="inlineStr">
        <is>
          <t>ССЧР обогащена; ОКВЭД не найден/не загружен</t>
        </is>
      </c>
      <c r="Q7641" s="16" t="inlineStr">
        <is>
          <t>ФНС открытые данные ССЧР (ДатаСост 31.12.2025; набор 7707329152-sshr2019)</t>
        </is>
      </c>
      <c r="R7641" s="16">
        <f>HYPERLINK("https://checko.ru/search?query=3801001629","Чекко: проверить")</f>
        <v/>
      </c>
      <c r="S7641" t="n">
        <v>1</v>
      </c>
      <c r="T7641" s="35" t="inlineStr">
        <is>
          <t>4 — Не обогащён</t>
        </is>
      </c>
      <c r="U7641" s="35" t="inlineStr">
        <is>
          <t>Нет ОКВЭД/ССЧР</t>
        </is>
      </c>
      <c r="V7641" s="35" t="inlineStr">
        <is>
          <t>Не определено</t>
        </is>
      </c>
      <c r="W7641" s="35" t="inlineStr">
        <is>
          <t>Нет</t>
        </is>
      </c>
      <c r="X7641" s="35" t="inlineStr"/>
    </row>
    <row r="7642" ht="15" customHeight="1" s="24">
      <c r="A7642" s="13" t="inlineStr">
        <is>
          <t>FR171544</t>
        </is>
      </c>
      <c r="B7642" s="13" t="inlineStr">
        <is>
          <t>ИООООО Российский красный крест</t>
        </is>
      </c>
      <c r="C7642" s="13" t="n">
        <v>3808016470</v>
      </c>
      <c r="D7642" s="13" t="inlineStr">
        <is>
          <t>3808016470</t>
        </is>
      </c>
      <c r="E7642" s="13" t="inlineStr">
        <is>
          <t>ЮЛ РФ</t>
        </is>
      </c>
      <c r="F7642" s="13" t="n"/>
      <c r="G7642" s="14" t="n"/>
      <c r="H7642" s="14" t="n"/>
      <c r="I7642" s="14" t="n"/>
      <c r="J7642" s="14" t="n"/>
      <c r="K7642" s="53" t="inlineStr"/>
      <c r="L7642" s="53" t="inlineStr">
        <is>
          <t>Не определено</t>
        </is>
      </c>
      <c r="M7642" s="53" t="inlineStr"/>
      <c r="N7642" s="54" t="inlineStr"/>
      <c r="O7642" s="55" t="inlineStr"/>
      <c r="P7642" s="16" t="inlineStr">
        <is>
          <t>Требует обогащения</t>
        </is>
      </c>
      <c r="Q7642" s="16">
        <f>HYPERLINK("https://pb.nalog.ru/search.html?query=3808016470","ФНС: проверить")</f>
        <v/>
      </c>
      <c r="R7642" s="16">
        <f>HYPERLINK("https://checko.ru/search?query=3801001629","Чекко: проверить")</f>
        <v/>
      </c>
      <c r="S7642" t="n">
        <v>1</v>
      </c>
      <c r="T7642" s="35" t="inlineStr">
        <is>
          <t>4 — Не обогащён</t>
        </is>
      </c>
      <c r="U7642" s="35" t="inlineStr">
        <is>
          <t>Нет ОКВЭД/ССЧР</t>
        </is>
      </c>
      <c r="V7642" s="35" t="inlineStr">
        <is>
          <t>Не определено</t>
        </is>
      </c>
      <c r="W7642" s="35" t="inlineStr"/>
      <c r="X7642" s="35" t="inlineStr"/>
    </row>
    <row r="7643" ht="27.75" customHeight="1" s="24">
      <c r="A7643" s="13" t="inlineStr">
        <is>
          <t>FR599245</t>
        </is>
      </c>
      <c r="B7643" s="13" t="inlineStr">
        <is>
          <t>Общество с ограниченной ответственностью "БАЙКАЛСИБСТРОЙ"</t>
        </is>
      </c>
      <c r="C7643" s="13" t="n">
        <v>3804113352</v>
      </c>
      <c r="D7643" s="13" t="inlineStr">
        <is>
          <t>3804113352</t>
        </is>
      </c>
      <c r="E7643" s="13" t="inlineStr">
        <is>
          <t>ЮЛ РФ</t>
        </is>
      </c>
      <c r="F7643" s="13" t="n"/>
      <c r="G7643" s="52" t="n">
        <v>4</v>
      </c>
      <c r="H7643" s="52" t="n">
        <v>2025</v>
      </c>
      <c r="I7643" s="14" t="n"/>
      <c r="J7643" s="14" t="n"/>
      <c r="K7643" s="53" t="inlineStr">
        <is>
          <t>Нет</t>
        </is>
      </c>
      <c r="L7643" s="53" t="inlineStr">
        <is>
          <t>Не определено</t>
        </is>
      </c>
      <c r="M7643" s="53" t="inlineStr">
        <is>
          <t>До 10</t>
        </is>
      </c>
      <c r="N7643" s="54" t="n">
        <v>3360</v>
      </c>
      <c r="O7643" s="55" t="inlineStr">
        <is>
          <t>1–15</t>
        </is>
      </c>
      <c r="P7643" s="16" t="inlineStr">
        <is>
          <t>ССЧР обогащена; ОКВЭД не найден/не загружен</t>
        </is>
      </c>
      <c r="Q7643" s="16" t="inlineStr">
        <is>
          <t>ФНС открытые данные ССЧР (ДатаСост 31.12.2025; набор 7707329152-sshr2019)</t>
        </is>
      </c>
      <c r="R7643" s="16">
        <f>HYPERLINK("https://checko.ru/search?query=3801001629","Чекко: проверить")</f>
        <v/>
      </c>
      <c r="S7643" t="n">
        <v>1</v>
      </c>
      <c r="T7643" s="35" t="inlineStr">
        <is>
          <t>4 — Не обогащён</t>
        </is>
      </c>
      <c r="U7643" s="35" t="inlineStr">
        <is>
          <t>Нет ОКВЭД/ССЧР</t>
        </is>
      </c>
      <c r="V7643" s="35" t="inlineStr">
        <is>
          <t>Не определено</t>
        </is>
      </c>
      <c r="W7643" s="35" t="inlineStr">
        <is>
          <t>Нет</t>
        </is>
      </c>
      <c r="X7643" s="35" t="inlineStr"/>
    </row>
    <row r="7644" ht="15" customHeight="1" s="24">
      <c r="A7644" s="13" t="inlineStr">
        <is>
          <t>FR1115385</t>
        </is>
      </c>
      <c r="B7644" s="13" t="inlineStr">
        <is>
          <t>ИП Вязовая Александра Алексеевна</t>
        </is>
      </c>
      <c r="C7644" s="13" t="n">
        <v>251002479980</v>
      </c>
      <c r="D7644" s="13" t="inlineStr">
        <is>
          <t>251002479980</t>
        </is>
      </c>
      <c r="E7644" s="13" t="inlineStr">
        <is>
          <t>ИП РФ / физлицо</t>
        </is>
      </c>
      <c r="F7644" s="13" t="n"/>
      <c r="G7644" s="14" t="n"/>
      <c r="H7644" s="14" t="n"/>
      <c r="I7644" s="14" t="n"/>
      <c r="J7644" s="14" t="n"/>
      <c r="K7644" s="53" t="inlineStr"/>
      <c r="L7644" s="53" t="inlineStr">
        <is>
          <t>Не определено</t>
        </is>
      </c>
      <c r="M7644" s="53" t="inlineStr"/>
      <c r="N7644" s="54" t="inlineStr"/>
      <c r="O7644" s="55" t="inlineStr"/>
      <c r="P7644" s="16" t="inlineStr">
        <is>
          <t>Требует обогащения</t>
        </is>
      </c>
      <c r="Q7644" s="16">
        <f>HYPERLINK("https://pb.nalog.ru/search.html?query=251002479980","ФНС: проверить")</f>
        <v/>
      </c>
      <c r="R7644" s="16">
        <f>HYPERLINK("https://checko.ru/search?query=3801001629","Чекко: проверить")</f>
        <v/>
      </c>
      <c r="S7644" t="n">
        <v>1</v>
      </c>
      <c r="T7644" s="35" t="inlineStr">
        <is>
          <t>4 — Не обогащён</t>
        </is>
      </c>
      <c r="U7644" s="35" t="inlineStr">
        <is>
          <t>Нет ОКВЭД/ССЧР</t>
        </is>
      </c>
      <c r="V7644" s="35" t="inlineStr">
        <is>
          <t>Не определено</t>
        </is>
      </c>
      <c r="W7644" s="35" t="inlineStr"/>
      <c r="X7644" s="35" t="inlineStr"/>
    </row>
    <row r="7645" ht="41.25" customHeight="1" s="24">
      <c r="A7645" s="13" t="inlineStr">
        <is>
          <t>FR1092199</t>
        </is>
      </c>
      <c r="B7645" s="13" t="inlineStr">
        <is>
          <t>Общество с ограниченной ответственностью "ОБЩЕСТВО С ОГРАНИЧЕННОЙ ОТВЕТСТВЕННОСТЬЮ "ИНФРАКС""</t>
        </is>
      </c>
      <c r="C7645" s="13" t="n">
        <v>2404022885</v>
      </c>
      <c r="D7645" s="13" t="inlineStr">
        <is>
          <t>2404022885</t>
        </is>
      </c>
      <c r="E7645" s="13" t="inlineStr">
        <is>
          <t>ЮЛ РФ</t>
        </is>
      </c>
      <c r="F7645" s="13" t="n"/>
      <c r="G7645" s="52" t="n">
        <v>1</v>
      </c>
      <c r="H7645" s="52" t="n">
        <v>2025</v>
      </c>
      <c r="I7645" s="14" t="n"/>
      <c r="J7645" s="14" t="n"/>
      <c r="K7645" s="53" t="inlineStr">
        <is>
          <t>Нет</t>
        </is>
      </c>
      <c r="L7645" s="53" t="inlineStr">
        <is>
          <t>Не определено</t>
        </is>
      </c>
      <c r="M7645" s="53" t="inlineStr">
        <is>
          <t>До 10</t>
        </is>
      </c>
      <c r="N7645" s="54" t="n">
        <v>3360</v>
      </c>
      <c r="O7645" s="55" t="inlineStr">
        <is>
          <t>1–15</t>
        </is>
      </c>
      <c r="P7645" s="16" t="inlineStr">
        <is>
          <t>ССЧР обогащена; ОКВЭД не найден/не загружен</t>
        </is>
      </c>
      <c r="Q7645" s="16" t="inlineStr">
        <is>
          <t>ФНС открытые данные ССЧР (ДатаСост 31.12.2025; набор 7707329152-sshr2019)</t>
        </is>
      </c>
      <c r="R7645" s="16">
        <f>HYPERLINK("https://checko.ru/search?query=3801001629","Чекко: проверить")</f>
        <v/>
      </c>
      <c r="S7645" t="n">
        <v>1</v>
      </c>
      <c r="T7645" s="35" t="inlineStr">
        <is>
          <t>4 — Не обогащён</t>
        </is>
      </c>
      <c r="U7645" s="35" t="inlineStr">
        <is>
          <t>Нет ОКВЭД/ССЧР</t>
        </is>
      </c>
      <c r="V7645" s="35" t="inlineStr">
        <is>
          <t>Не определено</t>
        </is>
      </c>
      <c r="W7645" s="35" t="inlineStr">
        <is>
          <t>Нет</t>
        </is>
      </c>
      <c r="X7645" s="35" t="inlineStr"/>
    </row>
    <row r="7646" ht="27.75" customHeight="1" s="24">
      <c r="A7646" s="13" t="inlineStr">
        <is>
          <t>FR1271878</t>
        </is>
      </c>
      <c r="B7646" s="13" t="inlineStr">
        <is>
          <t>Индивидуальный предприниматель Лещев Владислав Вячеславович</t>
        </is>
      </c>
      <c r="C7646" s="13" t="n">
        <v>220453987721</v>
      </c>
      <c r="D7646" s="13" t="inlineStr">
        <is>
          <t>220453987721</t>
        </is>
      </c>
      <c r="E7646" s="13" t="inlineStr">
        <is>
          <t>ИП РФ / физлицо</t>
        </is>
      </c>
      <c r="F7646" s="13" t="n"/>
      <c r="G7646" s="14" t="n"/>
      <c r="H7646" s="14" t="n"/>
      <c r="I7646" s="14" t="n"/>
      <c r="J7646" s="14" t="n"/>
      <c r="K7646" s="53" t="inlineStr"/>
      <c r="L7646" s="53" t="inlineStr">
        <is>
          <t>Не определено</t>
        </is>
      </c>
      <c r="M7646" s="53" t="inlineStr"/>
      <c r="N7646" s="54" t="inlineStr"/>
      <c r="O7646" s="55" t="inlineStr"/>
      <c r="P7646" s="16" t="inlineStr">
        <is>
          <t>Требует обогащения</t>
        </is>
      </c>
      <c r="Q7646" s="16">
        <f>HYPERLINK("https://pb.nalog.ru/search.html?query=220453987721","ФНС: проверить")</f>
        <v/>
      </c>
      <c r="R7646" s="16">
        <f>HYPERLINK("https://checko.ru/search?query=3801001629","Чекко: проверить")</f>
        <v/>
      </c>
      <c r="S7646" t="n">
        <v>1</v>
      </c>
      <c r="T7646" s="35" t="inlineStr">
        <is>
          <t>4 — Не обогащён</t>
        </is>
      </c>
      <c r="U7646" s="35" t="inlineStr">
        <is>
          <t>Нет ОКВЭД/ССЧР</t>
        </is>
      </c>
      <c r="V7646" s="35" t="inlineStr">
        <is>
          <t>Не определено</t>
        </is>
      </c>
      <c r="W7646" s="35" t="inlineStr"/>
      <c r="X7646" s="35" t="inlineStr"/>
    </row>
    <row r="7647" ht="15" customHeight="1" s="24">
      <c r="A7647" s="13" t="inlineStr">
        <is>
          <t>FR64938</t>
        </is>
      </c>
      <c r="B7647" s="13" t="inlineStr">
        <is>
          <t>ООО "Перспектива"</t>
        </is>
      </c>
      <c r="C7647" s="13" t="n">
        <v>3827032364</v>
      </c>
      <c r="D7647" s="13" t="inlineStr">
        <is>
          <t>3827032364</t>
        </is>
      </c>
      <c r="E7647" s="13" t="inlineStr">
        <is>
          <t>ЮЛ РФ</t>
        </is>
      </c>
      <c r="F7647" s="13" t="n"/>
      <c r="G7647" s="52" t="n">
        <v>12</v>
      </c>
      <c r="H7647" s="52" t="n">
        <v>2025</v>
      </c>
      <c r="I7647" s="14" t="n"/>
      <c r="J7647" s="14" t="n"/>
      <c r="K7647" s="53" t="inlineStr">
        <is>
          <t>Нет</t>
        </is>
      </c>
      <c r="L7647" s="53" t="inlineStr">
        <is>
          <t>Не определено</t>
        </is>
      </c>
      <c r="M7647" s="53" t="inlineStr">
        <is>
          <t>До 25</t>
        </is>
      </c>
      <c r="N7647" s="54" t="n">
        <v>8400</v>
      </c>
      <c r="O7647" s="55" t="inlineStr">
        <is>
          <t>1–15</t>
        </is>
      </c>
      <c r="P7647" s="16" t="inlineStr">
        <is>
          <t>ССЧР обогащена; ОКВЭД не найден/не загружен</t>
        </is>
      </c>
      <c r="Q7647" s="16" t="inlineStr">
        <is>
          <t>ФНС открытые данные ССЧР (ДатаСост 31.12.2025; набор 7707329152-sshr2019)</t>
        </is>
      </c>
      <c r="R7647" s="16">
        <f>HYPERLINK("https://checko.ru/search?query=3801001629","Чекко: проверить")</f>
        <v/>
      </c>
      <c r="S7647" t="n">
        <v>1</v>
      </c>
      <c r="T7647" s="35" t="inlineStr">
        <is>
          <t>4 — Не обогащён</t>
        </is>
      </c>
      <c r="U7647" s="35" t="inlineStr">
        <is>
          <t>Нет ОКВЭД/ССЧР</t>
        </is>
      </c>
      <c r="V7647" s="35" t="inlineStr">
        <is>
          <t>Не определено</t>
        </is>
      </c>
      <c r="W7647" s="35" t="inlineStr">
        <is>
          <t>Нет</t>
        </is>
      </c>
      <c r="X7647" s="35" t="inlineStr"/>
    </row>
    <row r="7648" ht="15" customHeight="1" s="24">
      <c r="A7648" s="13" t="inlineStr">
        <is>
          <t>FR2646</t>
        </is>
      </c>
      <c r="B7648" s="13" t="inlineStr">
        <is>
          <t>ИП Белых Евгения Алексеевна</t>
        </is>
      </c>
      <c r="C7648" s="13" t="n">
        <v>30302120303</v>
      </c>
      <c r="D7648" s="13" t="n"/>
      <c r="E7648" s="13" t="inlineStr">
        <is>
          <t>Не определён</t>
        </is>
      </c>
      <c r="F7648" s="13" t="n"/>
      <c r="G7648" s="14" t="n"/>
      <c r="H7648" s="14" t="n"/>
      <c r="I7648" s="14" t="n"/>
      <c r="J7648" s="14" t="n"/>
      <c r="K7648" s="13">
        <f>IF(G7648="","",IF(G7648&gt;=22,"Да","Нет"))</f>
        <v/>
      </c>
      <c r="L7648" s="13">
        <f>IF(OR(I7648="",J7648=""),"Не определено",IF(OR(COUNTIF(I7648,"45*")&gt;0,COUNTIF(J7648,"*45*")&gt;0,COUNTIF(I7648,"46*")&gt;0,COUNTIF(J7648,"*46*")&gt;0,COUNTIF(I7648,"47*")&gt;0,COUNTIF(J7648,"*47*")&gt;0,COUNTIF(I7648,"10*")&gt;0,COUNTIF(J7648,"*10*")&gt;0,COUNTIF(I7648,"11*")&gt;0,COUNTIF(J7648,"*11*")&gt;0,COUNTIF(I7648,"12*")&gt;0,COUNTIF(J7648,"*12*")&gt;0,COUNTIF(I7648,"13*")&gt;0,COUNTIF(J7648,"*13*")&gt;0,COUNTIF(I7648,"14*")&gt;0,COUNTIF(J7648,"*14*")&gt;0,COUNTIF(I7648,"15*")&gt;0,COUNTIF(J7648,"*15*")&gt;0,COUNTIF(I7648,"16*")&gt;0,COUNTIF(J7648,"*16*")&gt;0,COUNTIF(I7648,"17*")&gt;0,COUNTIF(J7648,"*17*")&gt;0,COUNTIF(I7648,"18*")&gt;0,COUNTIF(J7648,"*18*")&gt;0,COUNTIF(I7648,"19*")&gt;0,COUNTIF(J7648,"*19*")&gt;0,COUNTIF(I7648,"20*")&gt;0,COUNTIF(J7648,"*20*")&gt;0,COUNTIF(I7648,"21*")&gt;0,COUNTIF(J7648,"*21*")&gt;0,COUNTIF(I7648,"22*")&gt;0,COUNTIF(J7648,"*22*")&gt;0,COUNTIF(I7648,"23*")&gt;0,COUNTIF(J7648,"*23*")&gt;0,COUNTIF(I7648,"24*")&gt;0,COUNTIF(J7648,"*24*")&gt;0,COUNTIF(I7648,"25*")&gt;0,COUNTIF(J7648,"*25*")&gt;0,COUNTIF(I7648,"26*")&gt;0,COUNTIF(J7648,"*26*")&gt;0,COUNTIF(I7648,"27*")&gt;0,COUNTIF(J7648,"*27*")&gt;0,COUNTIF(I7648,"28*")&gt;0,COUNTIF(J7648,"*28*")&gt;0,COUNTIF(I7648,"29*")&gt;0,COUNTIF(J7648,"*29*")&gt;0,COUNTIF(I7648,"30*")&gt;0,COUNTIF(J7648,"*30*")&gt;0,COUNTIF(I7648,"31*")&gt;0,COUNTIF(J7648,"*31*")&gt;0,COUNTIF(I7648,"32*")&gt;0,COUNTIF(J7648,"*32*")&gt;0,COUNTIF(I7648,"33*")&gt;0,COUNTIF(J7648,"*33*")&gt;0,COUNTIF(I7648,"41*")&gt;0,COUNTIF(J7648,"*41*")&gt;0,COUNTIF(I7648,"42*")&gt;0,COUNTIF(J7648,"*42*")&gt;0,COUNTIF(I7648,"43*")&gt;0,COUNTIF(J7648,"*43*")&gt;0,COUNTIF(I7648,"49*")&gt;0,COUNTIF(J7648,"*49*")&gt;0,COUNTIF(I7648,"52*")&gt;0,COUNTIF(J7648,"*52*")&gt;0,COUNTIF(I7648,"55*")&gt;0,COUNTIF(J7648,"*55*")&gt;0,COUNTIF(I7648,"56*")&gt;0,COUNTIF(J7648,"*56*")&gt;0,COUNTIF(I7648,"68*")&gt;0,COUNTIF(J7648,"*68*")&gt;0,COUNTIF(I7648,"78*")&gt;0,COUNTIF(J7648,"*78*")&gt;0,COUNTIF(I7648,"81*")&gt;0,COUNTIF(J7648,"*81*")&gt;0,COUNTIF(I7648,"82*")&gt;0,COUNTIF(J7648,"*82*")&gt;0,COUNTIF(I7648,"64*")&gt;0,COUNTIF(J7648,"*64*")&gt;0,COUNTIF(I7648,"65*")&gt;0,COUNTIF(J7648,"*65*")&gt;0,COUNTIF(I7648,"66*")&gt;0,COUNTIF(J7648,"*66*")&gt;0,COUNTIF(I7648,"61*")&gt;0,COUNTIF(J7648,"*61*")&gt;0,COUNTIF(I7648,"62*")&gt;0,COUNTIF(J7648,"*62*")&gt;0,COUNTIF(I7648,"63*")&gt;0,COUNTIF(J7648,"*63*")&gt;0,COUNTIF(I7648,"85*")&gt;0,COUNTIF(J7648,"*85*")&gt;0,COUNTIF(I7648,"86*")&gt;0,COUNTIF(J7648,"*86*")&gt;0),"Да","Нет"))</f>
        <v/>
      </c>
      <c r="M7648" s="13">
        <f>IF(OR(G7648="",L7648&lt;&gt;"Да"),"",IF(G7648&lt;=100,"До 100",IF(G7648&lt;=200,"До 200",IF(G7648&lt;=500,"До 500","Отдельное КП"))))</f>
        <v/>
      </c>
      <c r="N7648" s="15">
        <f>IF(OR(G7648="",L7648&lt;&gt;"Да"),"",IF(G7648&lt;=100,33600,IF(G7648&lt;=200,62400,IF(G7648&lt;=500,144000,""))))</f>
        <v/>
      </c>
      <c r="O7648" s="16">
        <f>IF(G7648="","",IF(G7648&lt;=15,"1–15",IF(G7648&lt;=30,"16–30",IF(G7648&lt;=50,"31–50",IF(G7648&lt;=100,"51–100",IF(G7648&lt;=150,"101–150",IF(G7648&lt;=200,"151–200",IF(G7648&lt;=500,"201–500","500+"))))))))</f>
        <v/>
      </c>
      <c r="P7648" s="16" t="inlineStr">
        <is>
          <t>Нет совпадения в предоставленной выгрузке ССЧР</t>
        </is>
      </c>
      <c r="Q7648" s="16" t="n"/>
      <c r="R7648" s="16">
        <f>HYPERLINK("https://checko.ru/search?query=3801001629","Чекко: проверить")</f>
        <v/>
      </c>
      <c r="S7648" t="n">
        <v>0</v>
      </c>
    </row>
    <row r="7649" ht="15" customHeight="1" s="24">
      <c r="A7649" s="13" t="inlineStr">
        <is>
          <t>FR46492</t>
        </is>
      </c>
      <c r="B7649" s="13" t="inlineStr">
        <is>
          <t>АКЦЕНТ-СБ</t>
        </is>
      </c>
      <c r="C7649" s="13" t="n">
        <v>3808219984</v>
      </c>
      <c r="D7649" s="13" t="inlineStr">
        <is>
          <t>3808219984</t>
        </is>
      </c>
      <c r="E7649" s="13" t="inlineStr">
        <is>
          <t>ЮЛ РФ</t>
        </is>
      </c>
      <c r="F7649" s="13" t="n"/>
      <c r="G7649" s="52" t="n">
        <v>6</v>
      </c>
      <c r="H7649" s="52" t="n">
        <v>2025</v>
      </c>
      <c r="I7649" s="14" t="n"/>
      <c r="J7649" s="14" t="n"/>
      <c r="K7649" s="53" t="inlineStr">
        <is>
          <t>Нет</t>
        </is>
      </c>
      <c r="L7649" s="53" t="inlineStr">
        <is>
          <t>Не определено</t>
        </is>
      </c>
      <c r="M7649" s="53" t="inlineStr">
        <is>
          <t>До 10</t>
        </is>
      </c>
      <c r="N7649" s="54" t="n">
        <v>3360</v>
      </c>
      <c r="O7649" s="55" t="inlineStr">
        <is>
          <t>1–15</t>
        </is>
      </c>
      <c r="P7649" s="16" t="inlineStr">
        <is>
          <t>ССЧР обогащена; ОКВЭД не найден/не загружен</t>
        </is>
      </c>
      <c r="Q7649" s="16" t="inlineStr">
        <is>
          <t>ФНС открытые данные ССЧР (ДатаСост 31.12.2025; набор 7707329152-sshr2019)</t>
        </is>
      </c>
      <c r="R7649" s="16">
        <f>HYPERLINK("https://checko.ru/search?query=3801001629","Чекко: проверить")</f>
        <v/>
      </c>
      <c r="S7649" t="n">
        <v>1</v>
      </c>
      <c r="T7649" s="35" t="inlineStr">
        <is>
          <t>4 — Не обогащён</t>
        </is>
      </c>
      <c r="U7649" s="35" t="inlineStr">
        <is>
          <t>Нет ОКВЭД/ССЧР</t>
        </is>
      </c>
      <c r="V7649" s="35" t="inlineStr">
        <is>
          <t>Не определено</t>
        </is>
      </c>
      <c r="W7649" s="35" t="inlineStr">
        <is>
          <t>Нет</t>
        </is>
      </c>
      <c r="X7649" s="35" t="inlineStr"/>
    </row>
    <row r="7650" ht="15" customHeight="1" s="24">
      <c r="A7650" s="13" t="inlineStr">
        <is>
          <t>FR63493</t>
        </is>
      </c>
      <c r="B7650" s="13" t="inlineStr">
        <is>
          <t>ИП Шмонин Дмитрий Игоревич</t>
        </is>
      </c>
      <c r="C7650" s="13" t="n">
        <v>381257049760</v>
      </c>
      <c r="D7650" s="13" t="inlineStr">
        <is>
          <t>381257049760</t>
        </is>
      </c>
      <c r="E7650" s="13" t="inlineStr">
        <is>
          <t>ИП РФ / физлицо</t>
        </is>
      </c>
      <c r="F7650" s="13" t="n"/>
      <c r="G7650" s="14" t="n"/>
      <c r="H7650" s="14" t="n"/>
      <c r="I7650" s="14" t="n"/>
      <c r="J7650" s="14" t="n"/>
      <c r="K7650" s="53" t="inlineStr"/>
      <c r="L7650" s="53" t="inlineStr">
        <is>
          <t>Не определено</t>
        </is>
      </c>
      <c r="M7650" s="53" t="inlineStr"/>
      <c r="N7650" s="54" t="inlineStr"/>
      <c r="O7650" s="55" t="inlineStr"/>
      <c r="P7650" s="16" t="inlineStr">
        <is>
          <t>Требует обогащения</t>
        </is>
      </c>
      <c r="Q7650" s="16">
        <f>HYPERLINK("https://pb.nalog.ru/search.html?query=381257049760","ФНС: проверить")</f>
        <v/>
      </c>
      <c r="R7650" s="16">
        <f>HYPERLINK("https://checko.ru/search?query=3801001629","Чекко: проверить")</f>
        <v/>
      </c>
      <c r="S7650" t="n">
        <v>1</v>
      </c>
      <c r="T7650" s="35" t="inlineStr">
        <is>
          <t>4 — Не обогащён</t>
        </is>
      </c>
      <c r="U7650" s="35" t="inlineStr">
        <is>
          <t>Нет ОКВЭД/ССЧР</t>
        </is>
      </c>
      <c r="V7650" s="35" t="inlineStr">
        <is>
          <t>Не определено</t>
        </is>
      </c>
      <c r="W7650" s="35" t="inlineStr"/>
      <c r="X7650" s="35" t="inlineStr"/>
    </row>
    <row r="7651" ht="27.75" customHeight="1" s="24">
      <c r="A7651" s="13" t="inlineStr">
        <is>
          <t>FR4244</t>
        </is>
      </c>
      <c r="B7651" s="13" t="inlineStr">
        <is>
          <t>Общество с ограниченной ответственностью ТРАНСПОРТНАЯ КОМПАНИЯ "ПРОГРЕСС"</t>
        </is>
      </c>
      <c r="C7651" s="13" t="n">
        <v>1901140164</v>
      </c>
      <c r="D7651" s="13" t="inlineStr">
        <is>
          <t>1901140164</t>
        </is>
      </c>
      <c r="E7651" s="13" t="inlineStr">
        <is>
          <t>ЮЛ РФ</t>
        </is>
      </c>
      <c r="F7651" s="13" t="n"/>
      <c r="G7651" s="52" t="n">
        <v>31</v>
      </c>
      <c r="H7651" s="52" t="n">
        <v>2025</v>
      </c>
      <c r="I7651" s="52" t="inlineStr">
        <is>
          <t>49.41</t>
        </is>
      </c>
      <c r="J7651" s="52" t="inlineStr">
        <is>
          <t>49.41; 33.12; 45.19; 45.20; 45.31; 46.61; 46.63; 46.69; 49.41.1; 49.41.2</t>
        </is>
      </c>
      <c r="K7651" s="53" t="inlineStr">
        <is>
          <t>Да</t>
        </is>
      </c>
      <c r="L7651" s="53" t="inlineStr">
        <is>
          <t>Да</t>
        </is>
      </c>
      <c r="M7651" s="53" t="inlineStr">
        <is>
          <t>До 50</t>
        </is>
      </c>
      <c r="N7651" s="54" t="n">
        <v>16800</v>
      </c>
      <c r="O7651" s="55" t="inlineStr">
        <is>
          <t>31–50</t>
        </is>
      </c>
      <c r="P7651" s="16" t="inlineStr">
        <is>
          <t>ССЧР + ОКВЭД обогащены</t>
        </is>
      </c>
      <c r="Q7651" s="16" t="inlineStr">
        <is>
          <t>ФНС открытые данные ССЧР (ДатаСост 31.12.2025; набор 7707329152-sshr2019)</t>
        </is>
      </c>
      <c r="R7651" s="16" t="inlineStr">
        <is>
          <t>ЕГРЮЛ / egrul.nalog.ru (выписка)</t>
        </is>
      </c>
      <c r="S7651" t="n">
        <v>1</v>
      </c>
      <c r="T7651" s="35" t="inlineStr">
        <is>
          <t>1 — Горячий</t>
        </is>
      </c>
      <c r="U7651" s="35" t="inlineStr">
        <is>
          <t>ОКВЭД + 22+</t>
        </is>
      </c>
      <c r="V7651" s="35" t="inlineStr">
        <is>
          <t>Да</t>
        </is>
      </c>
      <c r="W7651" s="35" t="inlineStr">
        <is>
          <t>Да</t>
        </is>
      </c>
      <c r="X7651" s="35" t="inlineStr">
        <is>
          <t>Да</t>
        </is>
      </c>
    </row>
    <row r="7652" ht="15" customHeight="1" s="24">
      <c r="A7652" s="13" t="inlineStr">
        <is>
          <t>FR220058</t>
        </is>
      </c>
      <c r="B7652" s="13" t="inlineStr">
        <is>
          <t>ООО СМК "ИРКСИТИ"</t>
        </is>
      </c>
      <c r="C7652" s="13" t="n">
        <v>3811460692</v>
      </c>
      <c r="D7652" s="13" t="inlineStr">
        <is>
          <t>3811460692</t>
        </is>
      </c>
      <c r="E7652" s="13" t="inlineStr">
        <is>
          <t>ЮЛ РФ</t>
        </is>
      </c>
      <c r="F7652" s="13" t="n"/>
      <c r="G7652" s="52" t="n">
        <v>4</v>
      </c>
      <c r="H7652" s="52" t="n">
        <v>2025</v>
      </c>
      <c r="I7652" s="14" t="n"/>
      <c r="J7652" s="14" t="n"/>
      <c r="K7652" s="53" t="inlineStr">
        <is>
          <t>Нет</t>
        </is>
      </c>
      <c r="L7652" s="53" t="inlineStr">
        <is>
          <t>Не определено</t>
        </is>
      </c>
      <c r="M7652" s="53" t="inlineStr">
        <is>
          <t>До 10</t>
        </is>
      </c>
      <c r="N7652" s="54" t="n">
        <v>3360</v>
      </c>
      <c r="O7652" s="55" t="inlineStr">
        <is>
          <t>1–15</t>
        </is>
      </c>
      <c r="P7652" s="16" t="inlineStr">
        <is>
          <t>ССЧР обогащена; ОКВЭД не найден/не загружен</t>
        </is>
      </c>
      <c r="Q7652" s="16" t="inlineStr">
        <is>
          <t>ФНС открытые данные ССЧР (ДатаСост 31.12.2025; набор 7707329152-sshr2019)</t>
        </is>
      </c>
      <c r="R7652" s="16">
        <f>HYPERLINK("https://checko.ru/search?query=3801001629","Чекко: проверить")</f>
        <v/>
      </c>
      <c r="S7652" t="n">
        <v>1</v>
      </c>
      <c r="T7652" s="35" t="inlineStr">
        <is>
          <t>4 — Не обогащён</t>
        </is>
      </c>
      <c r="U7652" s="35" t="inlineStr">
        <is>
          <t>Нет ОКВЭД/ССЧР</t>
        </is>
      </c>
      <c r="V7652" s="35" t="inlineStr">
        <is>
          <t>Не определено</t>
        </is>
      </c>
      <c r="W7652" s="35" t="inlineStr">
        <is>
          <t>Нет</t>
        </is>
      </c>
      <c r="X7652" s="35" t="inlineStr"/>
    </row>
    <row r="7653" ht="15" customHeight="1" s="24">
      <c r="A7653" s="13" t="inlineStr">
        <is>
          <t>FR336553</t>
        </is>
      </c>
      <c r="B7653" s="13" t="inlineStr">
        <is>
          <t>ИП Тиханов Александр Викторович</t>
        </is>
      </c>
      <c r="C7653" s="13" t="n">
        <v>298303276439</v>
      </c>
      <c r="D7653" s="13" t="inlineStr">
        <is>
          <t>298303276439</t>
        </is>
      </c>
      <c r="E7653" s="13" t="inlineStr">
        <is>
          <t>ИП РФ / физлицо</t>
        </is>
      </c>
      <c r="F7653" s="13" t="n"/>
      <c r="G7653" s="14" t="n"/>
      <c r="H7653" s="14" t="n"/>
      <c r="I7653" s="14" t="n"/>
      <c r="J7653" s="14" t="n"/>
      <c r="K7653" s="53" t="inlineStr"/>
      <c r="L7653" s="53" t="inlineStr">
        <is>
          <t>Не определено</t>
        </is>
      </c>
      <c r="M7653" s="53" t="inlineStr"/>
      <c r="N7653" s="54" t="inlineStr"/>
      <c r="O7653" s="55" t="inlineStr"/>
      <c r="P7653" s="16" t="inlineStr">
        <is>
          <t>Требует обогащения</t>
        </is>
      </c>
      <c r="Q7653" s="16">
        <f>HYPERLINK("https://pb.nalog.ru/search.html?query=298303276439","ФНС: проверить")</f>
        <v/>
      </c>
      <c r="R7653" s="16">
        <f>HYPERLINK("https://checko.ru/search?query=3801001629","Чекко: проверить")</f>
        <v/>
      </c>
      <c r="S7653" t="n">
        <v>1</v>
      </c>
      <c r="T7653" s="35" t="inlineStr">
        <is>
          <t>4 — Не обогащён</t>
        </is>
      </c>
      <c r="U7653" s="35" t="inlineStr">
        <is>
          <t>Нет ОКВЭД/ССЧР</t>
        </is>
      </c>
      <c r="V7653" s="35" t="inlineStr">
        <is>
          <t>Не определено</t>
        </is>
      </c>
      <c r="W7653" s="35" t="inlineStr"/>
      <c r="X7653" s="35" t="inlineStr"/>
    </row>
    <row r="7654" ht="15" customHeight="1" s="24">
      <c r="A7654" s="13" t="inlineStr">
        <is>
          <t>FR1301998</t>
        </is>
      </c>
      <c r="B7654" s="13" t="inlineStr">
        <is>
          <t>ООО "ГОРНОКЛЮЧЕВСКОЙ ВОДОКАНАЛ"</t>
        </is>
      </c>
      <c r="C7654" s="13" t="n">
        <v>2511126800</v>
      </c>
      <c r="D7654" s="13" t="inlineStr">
        <is>
          <t>2511126800</t>
        </is>
      </c>
      <c r="E7654" s="13" t="inlineStr">
        <is>
          <t>ЮЛ РФ</t>
        </is>
      </c>
      <c r="F7654" s="13" t="n"/>
      <c r="G7654" s="52" t="n">
        <v>25</v>
      </c>
      <c r="H7654" s="52" t="n">
        <v>2025</v>
      </c>
      <c r="I7654" s="52" t="inlineStr">
        <is>
          <t>36.00</t>
        </is>
      </c>
      <c r="J7654" s="52" t="inlineStr">
        <is>
          <t>36.00; 02.20; 02.40; 16.10; 16.10.9; 35.30.2; 35.30.14; 37.00; 38.11; 38.32; 41.20; 42.21; 42.22.1; 42.91; 42.99; 43.11; 43.12.3; 43.13; 43.21; 43.22; 43.29; 43.31; 43.32; 43.33; 43.34; 43.39; 43.91; 43.99.1; 45.20; 46.71; 46.90; 47.11; 49.31; 49.41; 49.41.1; 49.41.2; 49.41.3; 49.42; 52.10; 52.10.4; 52.21.24; 52.21.29; 52.29; 63.11; 68.20; 68.20.1; 68.20.2; 68.31.3; 68.31.4; 68.31.31; 68.31.32; 68.31.41; 68.31.42; 68.32; 68.32.1; 68.32.2; 69.10; 81.10; 81.21; 81.22; 81.29; 81.29.1; 81.29.2; 81.29.9; 81.30; 82.91; 82.99; 84.25; 96.03</t>
        </is>
      </c>
      <c r="K7654" s="53" t="inlineStr">
        <is>
          <t>Да</t>
        </is>
      </c>
      <c r="L7654" s="53" t="inlineStr">
        <is>
          <t>Да</t>
        </is>
      </c>
      <c r="M7654" s="53" t="inlineStr">
        <is>
          <t>До 25</t>
        </is>
      </c>
      <c r="N7654" s="54" t="n">
        <v>8400</v>
      </c>
      <c r="O7654" s="55" t="inlineStr">
        <is>
          <t>16–30</t>
        </is>
      </c>
      <c r="P7654" s="16" t="inlineStr">
        <is>
          <t>ССЧР + ОКВЭД обогащены</t>
        </is>
      </c>
      <c r="Q7654" s="16" t="inlineStr">
        <is>
          <t>ФНС открытые данные ССЧР (ДатаСост 31.12.2025; набор 7707329152-sshr2019)</t>
        </is>
      </c>
      <c r="R7654" s="16" t="inlineStr">
        <is>
          <t>ЕГРЮЛ / egrul.nalog.ru (выписка)</t>
        </is>
      </c>
      <c r="S7654" t="n">
        <v>1</v>
      </c>
      <c r="T7654" s="35" t="inlineStr">
        <is>
          <t>1 — Горячий</t>
        </is>
      </c>
      <c r="U7654" s="35" t="inlineStr">
        <is>
          <t>ОКВЭД + 22+</t>
        </is>
      </c>
      <c r="V7654" s="35" t="inlineStr">
        <is>
          <t>Да</t>
        </is>
      </c>
      <c r="W7654" s="35" t="inlineStr">
        <is>
          <t>Да</t>
        </is>
      </c>
      <c r="X7654" s="35" t="inlineStr">
        <is>
          <t>Да</t>
        </is>
      </c>
    </row>
    <row r="7655" ht="15" customHeight="1" s="24">
      <c r="A7655" s="13" t="inlineStr">
        <is>
          <t>FR58643</t>
        </is>
      </c>
      <c r="B7655" s="13" t="inlineStr">
        <is>
          <t>ИП Бабученко Елена Александровна</t>
        </is>
      </c>
      <c r="C7655" s="13" t="n">
        <v>383701463361</v>
      </c>
      <c r="D7655" s="13" t="inlineStr">
        <is>
          <t>383701463361</t>
        </is>
      </c>
      <c r="E7655" s="13" t="inlineStr">
        <is>
          <t>ИП РФ / физлицо</t>
        </is>
      </c>
      <c r="F7655" s="13" t="n"/>
      <c r="G7655" s="14" t="n"/>
      <c r="H7655" s="14" t="n"/>
      <c r="I7655" s="14" t="n"/>
      <c r="J7655" s="14" t="n"/>
      <c r="K7655" s="53" t="inlineStr"/>
      <c r="L7655" s="53" t="inlineStr">
        <is>
          <t>Не определено</t>
        </is>
      </c>
      <c r="M7655" s="53" t="inlineStr"/>
      <c r="N7655" s="54" t="inlineStr"/>
      <c r="O7655" s="55" t="inlineStr"/>
      <c r="P7655" s="16" t="inlineStr">
        <is>
          <t>Требует обогащения</t>
        </is>
      </c>
      <c r="Q7655" s="16">
        <f>HYPERLINK("https://pb.nalog.ru/search.html?query=383701463361","ФНС: проверить")</f>
        <v/>
      </c>
      <c r="R7655" s="16">
        <f>HYPERLINK("https://checko.ru/search?query=3801001629","Чекко: проверить")</f>
        <v/>
      </c>
      <c r="S7655" t="n">
        <v>1</v>
      </c>
      <c r="T7655" s="35" t="inlineStr">
        <is>
          <t>4 — Не обогащён</t>
        </is>
      </c>
      <c r="U7655" s="35" t="inlineStr">
        <is>
          <t>Нет ОКВЭД/ССЧР</t>
        </is>
      </c>
      <c r="V7655" s="35" t="inlineStr">
        <is>
          <t>Не определено</t>
        </is>
      </c>
      <c r="W7655" s="35" t="inlineStr"/>
      <c r="X7655" s="35" t="inlineStr"/>
    </row>
    <row r="7656" ht="27.75" customHeight="1" s="24">
      <c r="A7656" s="13" t="inlineStr">
        <is>
          <t>FR911744</t>
        </is>
      </c>
      <c r="B7656" s="13" t="inlineStr">
        <is>
          <t>Общество с ограниченной ответственностью "ПОВЕР"</t>
        </is>
      </c>
      <c r="C7656" s="13" t="n">
        <v>3817010210</v>
      </c>
      <c r="D7656" s="13" t="inlineStr">
        <is>
          <t>3817010210</t>
        </is>
      </c>
      <c r="E7656" s="13" t="inlineStr">
        <is>
          <t>ЮЛ РФ</t>
        </is>
      </c>
      <c r="F7656" s="13" t="n"/>
      <c r="G7656" s="52" t="n">
        <v>10</v>
      </c>
      <c r="H7656" s="52" t="n">
        <v>2025</v>
      </c>
      <c r="I7656" s="14" t="n"/>
      <c r="J7656" s="14" t="n"/>
      <c r="K7656" s="53" t="inlineStr">
        <is>
          <t>Нет</t>
        </is>
      </c>
      <c r="L7656" s="53" t="inlineStr">
        <is>
          <t>Не определено</t>
        </is>
      </c>
      <c r="M7656" s="53" t="inlineStr">
        <is>
          <t>До 10</t>
        </is>
      </c>
      <c r="N7656" s="54" t="n">
        <v>3360</v>
      </c>
      <c r="O7656" s="55" t="inlineStr">
        <is>
          <t>1–15</t>
        </is>
      </c>
      <c r="P7656" s="16" t="inlineStr">
        <is>
          <t>ССЧР обогащена; ОКВЭД не найден/не загружен</t>
        </is>
      </c>
      <c r="Q7656" s="16" t="inlineStr">
        <is>
          <t>ФНС открытые данные ССЧР (ДатаСост 31.12.2025; набор 7707329152-sshr2019)</t>
        </is>
      </c>
      <c r="R7656" s="16">
        <f>HYPERLINK("https://checko.ru/search?query=3801001629","Чекко: проверить")</f>
        <v/>
      </c>
      <c r="S7656" t="n">
        <v>1</v>
      </c>
      <c r="T7656" s="35" t="inlineStr">
        <is>
          <t>4 — Не обогащён</t>
        </is>
      </c>
      <c r="U7656" s="35" t="inlineStr">
        <is>
          <t>Нет ОКВЭД/ССЧР</t>
        </is>
      </c>
      <c r="V7656" s="35" t="inlineStr">
        <is>
          <t>Не определено</t>
        </is>
      </c>
      <c r="W7656" s="35" t="inlineStr">
        <is>
          <t>Нет</t>
        </is>
      </c>
      <c r="X7656" s="35" t="inlineStr"/>
    </row>
    <row r="7657" ht="15" customHeight="1" s="24">
      <c r="A7657" s="13" t="inlineStr">
        <is>
          <t>FR105934</t>
        </is>
      </c>
      <c r="B7657" s="13" t="inlineStr">
        <is>
          <t>ИП Коровин Иван Олегович</t>
        </is>
      </c>
      <c r="C7657" s="13" t="n">
        <v>384902923606</v>
      </c>
      <c r="D7657" s="13" t="inlineStr">
        <is>
          <t>384902923606</t>
        </is>
      </c>
      <c r="E7657" s="13" t="inlineStr">
        <is>
          <t>ИП РФ / физлицо</t>
        </is>
      </c>
      <c r="F7657" s="13" t="n"/>
      <c r="G7657" s="14" t="n"/>
      <c r="H7657" s="14" t="n"/>
      <c r="I7657" s="14" t="n"/>
      <c r="J7657" s="14" t="n"/>
      <c r="K7657" s="53" t="inlineStr"/>
      <c r="L7657" s="53" t="inlineStr">
        <is>
          <t>Не определено</t>
        </is>
      </c>
      <c r="M7657" s="53" t="inlineStr"/>
      <c r="N7657" s="54" t="inlineStr"/>
      <c r="O7657" s="55" t="inlineStr"/>
      <c r="P7657" s="16" t="inlineStr">
        <is>
          <t>Требует обогащения</t>
        </is>
      </c>
      <c r="Q7657" s="16">
        <f>HYPERLINK("https://pb.nalog.ru/search.html?query=384902923606","ФНС: проверить")</f>
        <v/>
      </c>
      <c r="R7657" s="16">
        <f>HYPERLINK("https://checko.ru/search?query=3801001629","Чекко: проверить")</f>
        <v/>
      </c>
      <c r="S7657" t="n">
        <v>1</v>
      </c>
      <c r="T7657" s="35" t="inlineStr">
        <is>
          <t>4 — Не обогащён</t>
        </is>
      </c>
      <c r="U7657" s="35" t="inlineStr">
        <is>
          <t>Нет ОКВЭД/ССЧР</t>
        </is>
      </c>
      <c r="V7657" s="35" t="inlineStr">
        <is>
          <t>Не определено</t>
        </is>
      </c>
      <c r="W7657" s="35" t="inlineStr"/>
      <c r="X7657" s="35" t="inlineStr"/>
    </row>
    <row r="7658" ht="15" customHeight="1" s="24">
      <c r="A7658" s="13" t="inlineStr">
        <is>
          <t>FR748677</t>
        </is>
      </c>
      <c r="B7658" s="13" t="inlineStr">
        <is>
          <t>ИП Страхова Ирина Олеговна</t>
        </is>
      </c>
      <c r="C7658" s="13" t="n">
        <v>382711215567</v>
      </c>
      <c r="D7658" s="13" t="inlineStr">
        <is>
          <t>382711215567</t>
        </is>
      </c>
      <c r="E7658" s="13" t="inlineStr">
        <is>
          <t>ИП РФ / физлицо</t>
        </is>
      </c>
      <c r="F7658" s="13" t="n"/>
      <c r="G7658" s="14" t="n"/>
      <c r="H7658" s="14" t="n"/>
      <c r="I7658" s="14" t="n"/>
      <c r="J7658" s="14" t="n"/>
      <c r="K7658" s="53" t="inlineStr"/>
      <c r="L7658" s="53" t="inlineStr">
        <is>
          <t>Не определено</t>
        </is>
      </c>
      <c r="M7658" s="53" t="inlineStr"/>
      <c r="N7658" s="54" t="inlineStr"/>
      <c r="O7658" s="55" t="inlineStr"/>
      <c r="P7658" s="16" t="inlineStr">
        <is>
          <t>Требует обогащения</t>
        </is>
      </c>
      <c r="Q7658" s="16">
        <f>HYPERLINK("https://pb.nalog.ru/search.html?query=382711215567","ФНС: проверить")</f>
        <v/>
      </c>
      <c r="R7658" s="16">
        <f>HYPERLINK("https://checko.ru/search?query=3801001629","Чекко: проверить")</f>
        <v/>
      </c>
      <c r="S7658" t="n">
        <v>1</v>
      </c>
      <c r="T7658" s="35" t="inlineStr">
        <is>
          <t>4 — Не обогащён</t>
        </is>
      </c>
      <c r="U7658" s="35" t="inlineStr">
        <is>
          <t>Нет ОКВЭД/ССЧР</t>
        </is>
      </c>
      <c r="V7658" s="35" t="inlineStr">
        <is>
          <t>Не определено</t>
        </is>
      </c>
      <c r="W7658" s="35" t="inlineStr"/>
      <c r="X7658" s="35" t="inlineStr"/>
    </row>
    <row r="7659" ht="15" customHeight="1" s="24">
      <c r="A7659" s="13" t="inlineStr">
        <is>
          <t>FR748623</t>
        </is>
      </c>
      <c r="B7659" s="13" t="inlineStr">
        <is>
          <t>ИП Смицкая Наталья Геннадьевна</t>
        </is>
      </c>
      <c r="C7659" s="13" t="n">
        <v>380101075185</v>
      </c>
      <c r="D7659" s="13" t="inlineStr">
        <is>
          <t>380101075185</t>
        </is>
      </c>
      <c r="E7659" s="13" t="inlineStr">
        <is>
          <t>ИП РФ / физлицо</t>
        </is>
      </c>
      <c r="F7659" s="13" t="n"/>
      <c r="G7659" s="14" t="n"/>
      <c r="H7659" s="14" t="n"/>
      <c r="I7659" s="14" t="n"/>
      <c r="J7659" s="14" t="n"/>
      <c r="K7659" s="53" t="inlineStr"/>
      <c r="L7659" s="53" t="inlineStr">
        <is>
          <t>Не определено</t>
        </is>
      </c>
      <c r="M7659" s="53" t="inlineStr"/>
      <c r="N7659" s="54" t="inlineStr"/>
      <c r="O7659" s="55" t="inlineStr"/>
      <c r="P7659" s="16" t="inlineStr">
        <is>
          <t>Требует обогащения</t>
        </is>
      </c>
      <c r="Q7659" s="16">
        <f>HYPERLINK("https://pb.nalog.ru/search.html?query=380101075185","ФНС: проверить")</f>
        <v/>
      </c>
      <c r="R7659" s="16">
        <f>HYPERLINK("https://checko.ru/search?query=3801001629","Чекко: проверить")</f>
        <v/>
      </c>
      <c r="S7659" t="n">
        <v>1</v>
      </c>
      <c r="T7659" s="35" t="inlineStr">
        <is>
          <t>4 — Не обогащён</t>
        </is>
      </c>
      <c r="U7659" s="35" t="inlineStr">
        <is>
          <t>Нет ОКВЭД/ССЧР</t>
        </is>
      </c>
      <c r="V7659" s="35" t="inlineStr">
        <is>
          <t>Не определено</t>
        </is>
      </c>
      <c r="W7659" s="35" t="inlineStr"/>
      <c r="X7659" s="35" t="inlineStr"/>
    </row>
    <row r="7660" ht="15" customHeight="1" s="24">
      <c r="A7660" s="13" t="inlineStr">
        <is>
          <t>FR524061</t>
        </is>
      </c>
      <c r="B7660" s="13" t="inlineStr">
        <is>
          <t>ИП Лучечко Максим Алексеевич</t>
        </is>
      </c>
      <c r="C7660" s="13" t="n">
        <v>246405160011</v>
      </c>
      <c r="D7660" s="13" t="inlineStr">
        <is>
          <t>246405160011</t>
        </is>
      </c>
      <c r="E7660" s="13" t="inlineStr">
        <is>
          <t>ИП РФ / физлицо</t>
        </is>
      </c>
      <c r="F7660" s="13" t="n"/>
      <c r="G7660" s="14" t="n"/>
      <c r="H7660" s="14" t="n"/>
      <c r="I7660" s="14" t="n"/>
      <c r="J7660" s="14" t="n"/>
      <c r="K7660" s="53" t="inlineStr"/>
      <c r="L7660" s="53" t="inlineStr">
        <is>
          <t>Не определено</t>
        </is>
      </c>
      <c r="M7660" s="53" t="inlineStr"/>
      <c r="N7660" s="54" t="inlineStr"/>
      <c r="O7660" s="55" t="inlineStr"/>
      <c r="P7660" s="16" t="inlineStr">
        <is>
          <t>Требует обогащения</t>
        </is>
      </c>
      <c r="Q7660" s="16">
        <f>HYPERLINK("https://pb.nalog.ru/search.html?query=246405160011","ФНС: проверить")</f>
        <v/>
      </c>
      <c r="R7660" s="16">
        <f>HYPERLINK("https://checko.ru/search?query=3801001629","Чекко: проверить")</f>
        <v/>
      </c>
      <c r="S7660" t="n">
        <v>1</v>
      </c>
      <c r="T7660" s="35" t="inlineStr">
        <is>
          <t>4 — Не обогащён</t>
        </is>
      </c>
      <c r="U7660" s="35" t="inlineStr">
        <is>
          <t>Нет ОКВЭД/ССЧР</t>
        </is>
      </c>
      <c r="V7660" s="35" t="inlineStr">
        <is>
          <t>Не определено</t>
        </is>
      </c>
      <c r="W7660" s="35" t="inlineStr"/>
      <c r="X7660" s="35" t="inlineStr"/>
    </row>
    <row r="7661" ht="27.75" customHeight="1" s="24">
      <c r="A7661" s="13" t="inlineStr">
        <is>
          <t>FR931288</t>
        </is>
      </c>
      <c r="B7661" s="13" t="inlineStr">
        <is>
          <t>Общество с ограниченной ответственностью "МОСПРОММАШ"</t>
        </is>
      </c>
      <c r="C7661" s="13" t="n">
        <v>7751306362</v>
      </c>
      <c r="D7661" s="13" t="inlineStr">
        <is>
          <t>7751306362</t>
        </is>
      </c>
      <c r="E7661" s="13" t="inlineStr">
        <is>
          <t>ЮЛ РФ</t>
        </is>
      </c>
      <c r="F7661" s="13" t="n"/>
      <c r="G7661" s="52" t="n">
        <v>0</v>
      </c>
      <c r="H7661" s="52" t="n">
        <v>2025</v>
      </c>
      <c r="I7661" s="14" t="n"/>
      <c r="J7661" s="14" t="n"/>
      <c r="K7661" s="53" t="inlineStr">
        <is>
          <t>Нет</t>
        </is>
      </c>
      <c r="L7661" s="53" t="inlineStr">
        <is>
          <t>Не определено</t>
        </is>
      </c>
      <c r="M7661" s="53" t="inlineStr">
        <is>
          <t>До 10</t>
        </is>
      </c>
      <c r="N7661" s="54" t="n">
        <v>3360</v>
      </c>
      <c r="O7661" s="55" t="inlineStr">
        <is>
          <t>1–15</t>
        </is>
      </c>
      <c r="P7661" s="16" t="inlineStr">
        <is>
          <t>ССЧР обогащена; ОКВЭД не найден/не загружен</t>
        </is>
      </c>
      <c r="Q7661" s="16" t="inlineStr">
        <is>
          <t>ФНС открытые данные ССЧР (ДатаСост 31.12.2025; набор 7707329152-sshr2019)</t>
        </is>
      </c>
      <c r="R7661" s="16">
        <f>HYPERLINK("https://checko.ru/search?query=3801001629","Чекко: проверить")</f>
        <v/>
      </c>
      <c r="S7661" t="n">
        <v>1</v>
      </c>
      <c r="T7661" s="35" t="inlineStr">
        <is>
          <t>4 — Не обогащён</t>
        </is>
      </c>
      <c r="U7661" s="35" t="inlineStr">
        <is>
          <t>Нет ОКВЭД/ССЧР</t>
        </is>
      </c>
      <c r="V7661" s="35" t="inlineStr">
        <is>
          <t>Не определено</t>
        </is>
      </c>
      <c r="W7661" s="35" t="inlineStr">
        <is>
          <t>Нет</t>
        </is>
      </c>
      <c r="X7661" s="35" t="inlineStr"/>
    </row>
    <row r="7662" ht="15" customHeight="1" s="24">
      <c r="A7662" s="13" t="inlineStr">
        <is>
          <t>FR325176</t>
        </is>
      </c>
      <c r="B7662" s="13" t="inlineStr">
        <is>
          <t>ИП Филончик Ольга Сергеевна</t>
        </is>
      </c>
      <c r="C7662" s="13" t="n">
        <v>381605505819</v>
      </c>
      <c r="D7662" s="13" t="inlineStr">
        <is>
          <t>381605505819</t>
        </is>
      </c>
      <c r="E7662" s="13" t="inlineStr">
        <is>
          <t>ИП РФ / физлицо</t>
        </is>
      </c>
      <c r="F7662" s="13" t="n"/>
      <c r="G7662" s="14" t="n"/>
      <c r="H7662" s="14" t="n"/>
      <c r="I7662" s="14" t="n"/>
      <c r="J7662" s="14" t="n"/>
      <c r="K7662" s="53" t="inlineStr"/>
      <c r="L7662" s="53" t="inlineStr">
        <is>
          <t>Не определено</t>
        </is>
      </c>
      <c r="M7662" s="53" t="inlineStr"/>
      <c r="N7662" s="54" t="inlineStr"/>
      <c r="O7662" s="55" t="inlineStr"/>
      <c r="P7662" s="16" t="inlineStr">
        <is>
          <t>Требует обогащения</t>
        </is>
      </c>
      <c r="Q7662" s="16">
        <f>HYPERLINK("https://pb.nalog.ru/search.html?query=381605505819","ФНС: проверить")</f>
        <v/>
      </c>
      <c r="R7662" s="16">
        <f>HYPERLINK("https://checko.ru/search?query=3801001629","Чекко: проверить")</f>
        <v/>
      </c>
      <c r="S7662" t="n">
        <v>1</v>
      </c>
      <c r="T7662" s="35" t="inlineStr">
        <is>
          <t>4 — Не обогащён</t>
        </is>
      </c>
      <c r="U7662" s="35" t="inlineStr">
        <is>
          <t>Нет ОКВЭД/ССЧР</t>
        </is>
      </c>
      <c r="V7662" s="35" t="inlineStr">
        <is>
          <t>Не определено</t>
        </is>
      </c>
      <c r="W7662" s="35" t="inlineStr"/>
      <c r="X7662" s="35" t="inlineStr"/>
    </row>
    <row r="7663" ht="15" customHeight="1" s="24">
      <c r="A7663" s="13" t="inlineStr">
        <is>
          <t>FR393384</t>
        </is>
      </c>
      <c r="B7663" s="13" t="inlineStr">
        <is>
          <t>ООО "ТСК"</t>
        </is>
      </c>
      <c r="C7663" s="13" t="n">
        <v>6143085081</v>
      </c>
      <c r="D7663" s="13" t="inlineStr">
        <is>
          <t>6143085081</t>
        </is>
      </c>
      <c r="E7663" s="13" t="inlineStr">
        <is>
          <t>ЮЛ РФ</t>
        </is>
      </c>
      <c r="F7663" s="13" t="n"/>
      <c r="G7663" s="52" t="n">
        <v>1</v>
      </c>
      <c r="H7663" s="52" t="n">
        <v>2025</v>
      </c>
      <c r="I7663" s="14" t="n"/>
      <c r="J7663" s="14" t="n"/>
      <c r="K7663" s="53" t="inlineStr">
        <is>
          <t>Нет</t>
        </is>
      </c>
      <c r="L7663" s="53" t="inlineStr">
        <is>
          <t>Не определено</t>
        </is>
      </c>
      <c r="M7663" s="53" t="inlineStr">
        <is>
          <t>До 10</t>
        </is>
      </c>
      <c r="N7663" s="54" t="n">
        <v>3360</v>
      </c>
      <c r="O7663" s="55" t="inlineStr">
        <is>
          <t>1–15</t>
        </is>
      </c>
      <c r="P7663" s="16" t="inlineStr">
        <is>
          <t>ССЧР обогащена; ОКВЭД не найден/не загружен</t>
        </is>
      </c>
      <c r="Q7663" s="16" t="inlineStr">
        <is>
          <t>ФНС открытые данные ССЧР (ДатаСост 31.12.2025; набор 7707329152-sshr2019)</t>
        </is>
      </c>
      <c r="R7663" s="16">
        <f>HYPERLINK("https://checko.ru/search?query=3801001629","Чекко: проверить")</f>
        <v/>
      </c>
      <c r="S7663" t="n">
        <v>1</v>
      </c>
      <c r="T7663" s="35" t="inlineStr">
        <is>
          <t>4 — Не обогащён</t>
        </is>
      </c>
      <c r="U7663" s="35" t="inlineStr">
        <is>
          <t>Нет ОКВЭД/ССЧР</t>
        </is>
      </c>
      <c r="V7663" s="35" t="inlineStr">
        <is>
          <t>Не определено</t>
        </is>
      </c>
      <c r="W7663" s="35" t="inlineStr">
        <is>
          <t>Нет</t>
        </is>
      </c>
      <c r="X7663" s="35" t="inlineStr"/>
    </row>
    <row r="7664" ht="27.75" customHeight="1" s="24">
      <c r="A7664" s="13" t="inlineStr">
        <is>
          <t>FR1328645</t>
        </is>
      </c>
      <c r="B7664" s="13" t="inlineStr">
        <is>
          <t>Общество с ограниченной ответственностью "МЕГАПОЛИС-СТРОЙ"</t>
        </is>
      </c>
      <c r="C7664" s="13" t="n">
        <v>3810037766</v>
      </c>
      <c r="D7664" s="13" t="inlineStr">
        <is>
          <t>3810037766</t>
        </is>
      </c>
      <c r="E7664" s="13" t="inlineStr">
        <is>
          <t>ЮЛ РФ</t>
        </is>
      </c>
      <c r="F7664" s="13" t="n"/>
      <c r="G7664" s="52" t="n">
        <v>11</v>
      </c>
      <c r="H7664" s="52" t="n">
        <v>2025</v>
      </c>
      <c r="I7664" s="14" t="n"/>
      <c r="J7664" s="14" t="n"/>
      <c r="K7664" s="53" t="inlineStr">
        <is>
          <t>Нет</t>
        </is>
      </c>
      <c r="L7664" s="53" t="inlineStr">
        <is>
          <t>Не определено</t>
        </is>
      </c>
      <c r="M7664" s="53" t="inlineStr">
        <is>
          <t>До 25</t>
        </is>
      </c>
      <c r="N7664" s="54" t="n">
        <v>8400</v>
      </c>
      <c r="O7664" s="55" t="inlineStr">
        <is>
          <t>1–15</t>
        </is>
      </c>
      <c r="P7664" s="16" t="inlineStr">
        <is>
          <t>ССЧР обогащена; ОКВЭД не найден/не загружен</t>
        </is>
      </c>
      <c r="Q7664" s="16" t="inlineStr">
        <is>
          <t>ФНС открытые данные ССЧР (ДатаСост 31.12.2025; набор 7707329152-sshr2019)</t>
        </is>
      </c>
      <c r="R7664" s="16">
        <f>HYPERLINK("https://checko.ru/search?query=3801001629","Чекко: проверить")</f>
        <v/>
      </c>
      <c r="S7664" t="n">
        <v>1</v>
      </c>
      <c r="T7664" s="35" t="inlineStr">
        <is>
          <t>4 — Не обогащён</t>
        </is>
      </c>
      <c r="U7664" s="35" t="inlineStr">
        <is>
          <t>Нет ОКВЭД/ССЧР</t>
        </is>
      </c>
      <c r="V7664" s="35" t="inlineStr">
        <is>
          <t>Не определено</t>
        </is>
      </c>
      <c r="W7664" s="35" t="inlineStr">
        <is>
          <t>Нет</t>
        </is>
      </c>
      <c r="X7664" s="35" t="inlineStr"/>
    </row>
    <row r="7665" ht="15" customHeight="1" s="24">
      <c r="A7665" s="13" t="inlineStr">
        <is>
          <t>FR476048</t>
        </is>
      </c>
      <c r="B7665" s="13" t="inlineStr">
        <is>
          <t>ИП Ипполитова Дарья Сергеевна</t>
        </is>
      </c>
      <c r="C7665" s="13" t="n">
        <v>380411769916</v>
      </c>
      <c r="D7665" s="13" t="inlineStr">
        <is>
          <t>380411769916</t>
        </is>
      </c>
      <c r="E7665" s="13" t="inlineStr">
        <is>
          <t>ИП РФ / физлицо</t>
        </is>
      </c>
      <c r="F7665" s="13" t="n"/>
      <c r="G7665" s="14" t="n"/>
      <c r="H7665" s="14" t="n"/>
      <c r="I7665" s="14" t="n"/>
      <c r="J7665" s="14" t="n"/>
      <c r="K7665" s="53" t="inlineStr"/>
      <c r="L7665" s="53" t="inlineStr">
        <is>
          <t>Не определено</t>
        </is>
      </c>
      <c r="M7665" s="53" t="inlineStr"/>
      <c r="N7665" s="54" t="inlineStr"/>
      <c r="O7665" s="55" t="inlineStr"/>
      <c r="P7665" s="16" t="inlineStr">
        <is>
          <t>Требует обогащения</t>
        </is>
      </c>
      <c r="Q7665" s="16">
        <f>HYPERLINK("https://pb.nalog.ru/search.html?query=380411769916","ФНС: проверить")</f>
        <v/>
      </c>
      <c r="R7665" s="16">
        <f>HYPERLINK("https://checko.ru/search?query=3801001629","Чекко: проверить")</f>
        <v/>
      </c>
      <c r="S7665" t="n">
        <v>1</v>
      </c>
      <c r="T7665" s="35" t="inlineStr">
        <is>
          <t>4 — Не обогащён</t>
        </is>
      </c>
      <c r="U7665" s="35" t="inlineStr">
        <is>
          <t>Нет ОКВЭД/ССЧР</t>
        </is>
      </c>
      <c r="V7665" s="35" t="inlineStr">
        <is>
          <t>Не определено</t>
        </is>
      </c>
      <c r="W7665" s="35" t="inlineStr"/>
      <c r="X7665" s="35" t="inlineStr"/>
    </row>
    <row r="7666" ht="27.75" customHeight="1" s="24">
      <c r="A7666" s="13" t="inlineStr">
        <is>
          <t>FR1114732</t>
        </is>
      </c>
      <c r="B7666" s="13" t="inlineStr">
        <is>
          <t>Общество с ограниченной ответственностью "ВИТРИНА ТВО"</t>
        </is>
      </c>
      <c r="C7666" s="13" t="n">
        <v>5403007618</v>
      </c>
      <c r="D7666" s="13" t="inlineStr">
        <is>
          <t>5403007618</t>
        </is>
      </c>
      <c r="E7666" s="13" t="inlineStr">
        <is>
          <t>ЮЛ РФ</t>
        </is>
      </c>
      <c r="F7666" s="13" t="n"/>
      <c r="G7666" s="52" t="n">
        <v>4</v>
      </c>
      <c r="H7666" s="52" t="n">
        <v>2025</v>
      </c>
      <c r="I7666" s="14" t="n"/>
      <c r="J7666" s="14" t="n"/>
      <c r="K7666" s="53" t="inlineStr">
        <is>
          <t>Нет</t>
        </is>
      </c>
      <c r="L7666" s="53" t="inlineStr">
        <is>
          <t>Не определено</t>
        </is>
      </c>
      <c r="M7666" s="53" t="inlineStr">
        <is>
          <t>До 10</t>
        </is>
      </c>
      <c r="N7666" s="54" t="n">
        <v>3360</v>
      </c>
      <c r="O7666" s="55" t="inlineStr">
        <is>
          <t>1–15</t>
        </is>
      </c>
      <c r="P7666" s="16" t="inlineStr">
        <is>
          <t>ССЧР обогащена; ОКВЭД не найден/не загружен</t>
        </is>
      </c>
      <c r="Q7666" s="16" t="inlineStr">
        <is>
          <t>ФНС открытые данные ССЧР (ДатаСост 31.12.2025; набор 7707329152-sshr2019)</t>
        </is>
      </c>
      <c r="R7666" s="16">
        <f>HYPERLINK("https://checko.ru/search?query=3801001629","Чекко: проверить")</f>
        <v/>
      </c>
      <c r="S7666" t="n">
        <v>1</v>
      </c>
      <c r="T7666" s="35" t="inlineStr">
        <is>
          <t>4 — Не обогащён</t>
        </is>
      </c>
      <c r="U7666" s="35" t="inlineStr">
        <is>
          <t>Нет ОКВЭД/ССЧР</t>
        </is>
      </c>
      <c r="V7666" s="35" t="inlineStr">
        <is>
          <t>Не определено</t>
        </is>
      </c>
      <c r="W7666" s="35" t="inlineStr">
        <is>
          <t>Нет</t>
        </is>
      </c>
      <c r="X7666" s="35" t="inlineStr"/>
    </row>
    <row r="7667" ht="27.75" customHeight="1" s="24">
      <c r="A7667" s="13" t="inlineStr">
        <is>
          <t>FR1241932</t>
        </is>
      </c>
      <c r="B7667" s="13" t="inlineStr">
        <is>
          <t>Общество с ограниченной ответственностью "ВЕКТОРТЕХ"</t>
        </is>
      </c>
      <c r="C7667" s="13" t="n">
        <v>4705127116</v>
      </c>
      <c r="D7667" s="13" t="inlineStr">
        <is>
          <t>4705127116</t>
        </is>
      </c>
      <c r="E7667" s="13" t="inlineStr">
        <is>
          <t>ЮЛ РФ</t>
        </is>
      </c>
      <c r="F7667" s="13" t="n"/>
      <c r="G7667" s="52" t="n">
        <v>0</v>
      </c>
      <c r="H7667" s="52" t="n">
        <v>2025</v>
      </c>
      <c r="I7667" s="14" t="n"/>
      <c r="J7667" s="14" t="n"/>
      <c r="K7667" s="53" t="inlineStr">
        <is>
          <t>Нет</t>
        </is>
      </c>
      <c r="L7667" s="53" t="inlineStr">
        <is>
          <t>Не определено</t>
        </is>
      </c>
      <c r="M7667" s="53" t="inlineStr">
        <is>
          <t>До 10</t>
        </is>
      </c>
      <c r="N7667" s="54" t="n">
        <v>3360</v>
      </c>
      <c r="O7667" s="55" t="inlineStr">
        <is>
          <t>1–15</t>
        </is>
      </c>
      <c r="P7667" s="16" t="inlineStr">
        <is>
          <t>ССЧР обогащена; ОКВЭД не найден/не загружен</t>
        </is>
      </c>
      <c r="Q7667" s="16" t="inlineStr">
        <is>
          <t>ФНС открытые данные ССЧР (ДатаСост 31.12.2025; набор 7707329152-sshr2019)</t>
        </is>
      </c>
      <c r="R7667" s="16">
        <f>HYPERLINK("https://checko.ru/search?query=3801001629","Чекко: проверить")</f>
        <v/>
      </c>
      <c r="S7667" t="n">
        <v>1</v>
      </c>
      <c r="T7667" s="35" t="inlineStr">
        <is>
          <t>4 — Не обогащён</t>
        </is>
      </c>
      <c r="U7667" s="35" t="inlineStr">
        <is>
          <t>Нет ОКВЭД/ССЧР</t>
        </is>
      </c>
      <c r="V7667" s="35" t="inlineStr">
        <is>
          <t>Не определено</t>
        </is>
      </c>
      <c r="W7667" s="35" t="inlineStr">
        <is>
          <t>Нет</t>
        </is>
      </c>
      <c r="X7667" s="35" t="inlineStr"/>
    </row>
    <row r="7668" ht="15" customHeight="1" s="24">
      <c r="A7668" s="13" t="inlineStr">
        <is>
          <t>FR211509</t>
        </is>
      </c>
      <c r="B7668" s="13" t="inlineStr">
        <is>
          <t>ООО "ТЕХНИЧЕСКАЯ БЕЗОПАСНОСТЬ"</t>
        </is>
      </c>
      <c r="C7668" s="13" t="n">
        <v>4345489319</v>
      </c>
      <c r="D7668" s="13" t="inlineStr">
        <is>
          <t>4345489319</t>
        </is>
      </c>
      <c r="E7668" s="13" t="inlineStr">
        <is>
          <t>ЮЛ РФ</t>
        </is>
      </c>
      <c r="F7668" s="13" t="n"/>
      <c r="G7668" s="52" t="n">
        <v>7</v>
      </c>
      <c r="H7668" s="52" t="n">
        <v>2025</v>
      </c>
      <c r="I7668" s="14" t="n"/>
      <c r="J7668" s="14" t="n"/>
      <c r="K7668" s="53" t="inlineStr">
        <is>
          <t>Нет</t>
        </is>
      </c>
      <c r="L7668" s="53" t="inlineStr">
        <is>
          <t>Не определено</t>
        </is>
      </c>
      <c r="M7668" s="53" t="inlineStr">
        <is>
          <t>До 10</t>
        </is>
      </c>
      <c r="N7668" s="54" t="n">
        <v>3360</v>
      </c>
      <c r="O7668" s="55" t="inlineStr">
        <is>
          <t>1–15</t>
        </is>
      </c>
      <c r="P7668" s="16" t="inlineStr">
        <is>
          <t>ССЧР обогащена; ОКВЭД не найден/не загружен</t>
        </is>
      </c>
      <c r="Q7668" s="16" t="inlineStr">
        <is>
          <t>ФНС открытые данные ССЧР (ДатаСост 31.12.2025; набор 7707329152-sshr2019)</t>
        </is>
      </c>
      <c r="R7668" s="16">
        <f>HYPERLINK("https://checko.ru/search?query=3801001629","Чекко: проверить")</f>
        <v/>
      </c>
      <c r="S7668" t="n">
        <v>1</v>
      </c>
      <c r="T7668" s="35" t="inlineStr">
        <is>
          <t>4 — Не обогащён</t>
        </is>
      </c>
      <c r="U7668" s="35" t="inlineStr">
        <is>
          <t>Нет ОКВЭД/ССЧР</t>
        </is>
      </c>
      <c r="V7668" s="35" t="inlineStr">
        <is>
          <t>Не определено</t>
        </is>
      </c>
      <c r="W7668" s="35" t="inlineStr">
        <is>
          <t>Нет</t>
        </is>
      </c>
      <c r="X7668" s="35" t="inlineStr"/>
    </row>
    <row r="7669" ht="27.75" customHeight="1" s="24">
      <c r="A7669" s="13" t="inlineStr">
        <is>
          <t>FR600619</t>
        </is>
      </c>
      <c r="B7669" s="13" t="inlineStr">
        <is>
          <t>АДМИНИСТРАЦИЯ МУНИЦИПАЛЬНОГО ОБРАЗОВАНИЯ "ОСА"</t>
        </is>
      </c>
      <c r="C7669" s="13" t="n">
        <v>8505006087</v>
      </c>
      <c r="D7669" s="13" t="inlineStr">
        <is>
          <t>8505006087</t>
        </is>
      </c>
      <c r="E7669" s="13" t="inlineStr">
        <is>
          <t>ЮЛ РФ</t>
        </is>
      </c>
      <c r="F7669" s="13" t="n"/>
      <c r="G7669" s="14" t="n"/>
      <c r="H7669" s="14" t="n"/>
      <c r="I7669" s="14" t="n"/>
      <c r="J7669" s="14" t="n"/>
      <c r="K7669" s="53" t="inlineStr"/>
      <c r="L7669" s="53" t="inlineStr">
        <is>
          <t>Не определено</t>
        </is>
      </c>
      <c r="M7669" s="53" t="inlineStr"/>
      <c r="N7669" s="54" t="inlineStr"/>
      <c r="O7669" s="55" t="inlineStr"/>
      <c r="P7669" s="16" t="inlineStr">
        <is>
          <t>Требует обогащения</t>
        </is>
      </c>
      <c r="Q7669" s="16">
        <f>HYPERLINK("https://pb.nalog.ru/search.html?query=8505006087","ФНС: проверить")</f>
        <v/>
      </c>
      <c r="R7669" s="16">
        <f>HYPERLINK("https://checko.ru/search?query=3801001629","Чекко: проверить")</f>
        <v/>
      </c>
      <c r="S7669" t="n">
        <v>1</v>
      </c>
      <c r="T7669" s="35" t="inlineStr">
        <is>
          <t>4 — Не обогащён</t>
        </is>
      </c>
      <c r="U7669" s="35" t="inlineStr">
        <is>
          <t>Нет ОКВЭД/ССЧР</t>
        </is>
      </c>
      <c r="V7669" s="35" t="inlineStr">
        <is>
          <t>Не определено</t>
        </is>
      </c>
      <c r="W7669" s="35" t="inlineStr"/>
      <c r="X7669" s="35" t="inlineStr"/>
    </row>
    <row r="7670" ht="15" customHeight="1" s="24">
      <c r="A7670" s="13" t="inlineStr">
        <is>
          <t>FR820634</t>
        </is>
      </c>
      <c r="B7670" s="13" t="inlineStr">
        <is>
          <t>ИП Конашевич Ирина Леонидовна</t>
        </is>
      </c>
      <c r="C7670" s="13" t="n">
        <v>382000098479</v>
      </c>
      <c r="D7670" s="13" t="inlineStr">
        <is>
          <t>382000098479</t>
        </is>
      </c>
      <c r="E7670" s="13" t="inlineStr">
        <is>
          <t>ИП РФ / физлицо</t>
        </is>
      </c>
      <c r="F7670" s="13" t="n"/>
      <c r="G7670" s="14" t="n"/>
      <c r="H7670" s="14" t="n"/>
      <c r="I7670" s="14" t="n"/>
      <c r="J7670" s="14" t="n"/>
      <c r="K7670" s="53" t="inlineStr"/>
      <c r="L7670" s="53" t="inlineStr">
        <is>
          <t>Не определено</t>
        </is>
      </c>
      <c r="M7670" s="53" t="inlineStr"/>
      <c r="N7670" s="54" t="inlineStr"/>
      <c r="O7670" s="55" t="inlineStr"/>
      <c r="P7670" s="16" t="inlineStr">
        <is>
          <t>Требует обогащения</t>
        </is>
      </c>
      <c r="Q7670" s="16">
        <f>HYPERLINK("https://pb.nalog.ru/search.html?query=382000098479","ФНС: проверить")</f>
        <v/>
      </c>
      <c r="R7670" s="16">
        <f>HYPERLINK("https://checko.ru/search?query=3801001629","Чекко: проверить")</f>
        <v/>
      </c>
      <c r="S7670" t="n">
        <v>1</v>
      </c>
      <c r="T7670" s="35" t="inlineStr">
        <is>
          <t>4 — Не обогащён</t>
        </is>
      </c>
      <c r="U7670" s="35" t="inlineStr">
        <is>
          <t>Нет ОКВЭД/ССЧР</t>
        </is>
      </c>
      <c r="V7670" s="35" t="inlineStr">
        <is>
          <t>Не определено</t>
        </is>
      </c>
      <c r="W7670" s="35" t="inlineStr"/>
      <c r="X7670" s="35" t="inlineStr"/>
    </row>
    <row r="7671" ht="15" customHeight="1" s="24">
      <c r="A7671" s="13" t="inlineStr">
        <is>
          <t>FR475908</t>
        </is>
      </c>
      <c r="B7671" s="13" t="inlineStr">
        <is>
          <t>НОВЫЕ КОММУНАЛЬНЫЕ ТЕХНОЛОГИИ</t>
        </is>
      </c>
      <c r="C7671" s="13" t="n">
        <v>5903018978</v>
      </c>
      <c r="D7671" s="13" t="inlineStr">
        <is>
          <t>5903018978</t>
        </is>
      </c>
      <c r="E7671" s="13" t="inlineStr">
        <is>
          <t>ЮЛ РФ</t>
        </is>
      </c>
      <c r="F7671" s="13" t="n"/>
      <c r="G7671" s="52" t="n">
        <v>24</v>
      </c>
      <c r="H7671" s="52" t="n">
        <v>2025</v>
      </c>
      <c r="I7671" s="52" t="inlineStr">
        <is>
          <t>41.20</t>
        </is>
      </c>
      <c r="J7671" s="52" t="inlineStr">
        <is>
          <t>41.20; 35.11.4; 43.21; 47.19; 71.12.1</t>
        </is>
      </c>
      <c r="K7671" s="53" t="inlineStr">
        <is>
          <t>Да</t>
        </is>
      </c>
      <c r="L7671" s="53" t="inlineStr">
        <is>
          <t>Да</t>
        </is>
      </c>
      <c r="M7671" s="53" t="inlineStr">
        <is>
          <t>До 25</t>
        </is>
      </c>
      <c r="N7671" s="54" t="n">
        <v>8400</v>
      </c>
      <c r="O7671" s="55" t="inlineStr">
        <is>
          <t>16–30</t>
        </is>
      </c>
      <c r="P7671" s="16" t="inlineStr">
        <is>
          <t>ССЧР + ОКВЭД обогащены</t>
        </is>
      </c>
      <c r="Q7671" s="16" t="inlineStr">
        <is>
          <t>ФНС открытые данные ССЧР (ДатаСост 31.12.2025; набор 7707329152-sshr2019)</t>
        </is>
      </c>
      <c r="R7671" s="16" t="inlineStr">
        <is>
          <t>ЕГРЮЛ / egrul.nalog.ru (выписка)</t>
        </is>
      </c>
      <c r="S7671" t="n">
        <v>1</v>
      </c>
      <c r="T7671" s="35" t="inlineStr">
        <is>
          <t>1 — Горячий</t>
        </is>
      </c>
      <c r="U7671" s="35" t="inlineStr">
        <is>
          <t>ОКВЭД + 22+</t>
        </is>
      </c>
      <c r="V7671" s="35" t="inlineStr">
        <is>
          <t>Да</t>
        </is>
      </c>
      <c r="W7671" s="35" t="inlineStr">
        <is>
          <t>Да</t>
        </is>
      </c>
      <c r="X7671" s="35" t="inlineStr">
        <is>
          <t>Да</t>
        </is>
      </c>
    </row>
    <row r="7672" ht="15" customHeight="1" s="24">
      <c r="A7672" s="13" t="inlineStr">
        <is>
          <t>FR466331</t>
        </is>
      </c>
      <c r="B7672" s="13" t="inlineStr">
        <is>
          <t>АЙФОРС ООО</t>
        </is>
      </c>
      <c r="C7672" s="13" t="n">
        <v>3849069819</v>
      </c>
      <c r="D7672" s="13" t="inlineStr">
        <is>
          <t>3849069819</t>
        </is>
      </c>
      <c r="E7672" s="13" t="inlineStr">
        <is>
          <t>ЮЛ РФ</t>
        </is>
      </c>
      <c r="F7672" s="13" t="n"/>
      <c r="G7672" s="52" t="n">
        <v>9</v>
      </c>
      <c r="H7672" s="52" t="n">
        <v>2025</v>
      </c>
      <c r="I7672" s="14" t="n"/>
      <c r="J7672" s="14" t="n"/>
      <c r="K7672" s="53" t="inlineStr">
        <is>
          <t>Нет</t>
        </is>
      </c>
      <c r="L7672" s="53" t="inlineStr">
        <is>
          <t>Не определено</t>
        </is>
      </c>
      <c r="M7672" s="53" t="inlineStr">
        <is>
          <t>До 10</t>
        </is>
      </c>
      <c r="N7672" s="54" t="n">
        <v>3360</v>
      </c>
      <c r="O7672" s="55" t="inlineStr">
        <is>
          <t>1–15</t>
        </is>
      </c>
      <c r="P7672" s="16" t="inlineStr">
        <is>
          <t>ССЧР обогащена; ОКВЭД не найден/не загружен</t>
        </is>
      </c>
      <c r="Q7672" s="16" t="inlineStr">
        <is>
          <t>ФНС открытые данные ССЧР (ДатаСост 31.12.2025; набор 7707329152-sshr2019)</t>
        </is>
      </c>
      <c r="R7672" s="16">
        <f>HYPERLINK("https://checko.ru/search?query=3801001629","Чекко: проверить")</f>
        <v/>
      </c>
      <c r="S7672" t="n">
        <v>1</v>
      </c>
      <c r="T7672" s="35" t="inlineStr">
        <is>
          <t>4 — Не обогащён</t>
        </is>
      </c>
      <c r="U7672" s="35" t="inlineStr">
        <is>
          <t>Нет ОКВЭД/ССЧР</t>
        </is>
      </c>
      <c r="V7672" s="35" t="inlineStr">
        <is>
          <t>Не определено</t>
        </is>
      </c>
      <c r="W7672" s="35" t="inlineStr">
        <is>
          <t>Нет</t>
        </is>
      </c>
      <c r="X7672" s="35" t="inlineStr"/>
    </row>
    <row r="7673" ht="15" customHeight="1" s="24">
      <c r="A7673" s="13" t="inlineStr">
        <is>
          <t>FR919540</t>
        </is>
      </c>
      <c r="B7673" s="13" t="inlineStr">
        <is>
          <t>ИП Моролёв Александр Михайлович</t>
        </is>
      </c>
      <c r="C7673" s="13" t="n">
        <v>380894868574</v>
      </c>
      <c r="D7673" s="13" t="inlineStr">
        <is>
          <t>380894868574</t>
        </is>
      </c>
      <c r="E7673" s="13" t="inlineStr">
        <is>
          <t>ИП РФ / физлицо</t>
        </is>
      </c>
      <c r="F7673" s="13" t="n"/>
      <c r="G7673" s="14" t="n"/>
      <c r="H7673" s="14" t="n"/>
      <c r="I7673" s="14" t="n"/>
      <c r="J7673" s="14" t="n"/>
      <c r="K7673" s="53" t="inlineStr"/>
      <c r="L7673" s="53" t="inlineStr">
        <is>
          <t>Не определено</t>
        </is>
      </c>
      <c r="M7673" s="53" t="inlineStr"/>
      <c r="N7673" s="54" t="inlineStr"/>
      <c r="O7673" s="55" t="inlineStr"/>
      <c r="P7673" s="16" t="inlineStr">
        <is>
          <t>Требует обогащения</t>
        </is>
      </c>
      <c r="Q7673" s="16">
        <f>HYPERLINK("https://pb.nalog.ru/search.html?query=380894868574","ФНС: проверить")</f>
        <v/>
      </c>
      <c r="R7673" s="16">
        <f>HYPERLINK("https://checko.ru/search?query=3801001629","Чекко: проверить")</f>
        <v/>
      </c>
      <c r="S7673" t="n">
        <v>1</v>
      </c>
      <c r="T7673" s="35" t="inlineStr">
        <is>
          <t>4 — Не обогащён</t>
        </is>
      </c>
      <c r="U7673" s="35" t="inlineStr">
        <is>
          <t>Нет ОКВЭД/ССЧР</t>
        </is>
      </c>
      <c r="V7673" s="35" t="inlineStr">
        <is>
          <t>Не определено</t>
        </is>
      </c>
      <c r="W7673" s="35" t="inlineStr"/>
      <c r="X7673" s="35" t="inlineStr"/>
    </row>
    <row r="7674" ht="15" customHeight="1" s="24">
      <c r="A7674" s="13" t="inlineStr">
        <is>
          <t>FR1331255</t>
        </is>
      </c>
      <c r="B7674" s="13" t="inlineStr">
        <is>
          <t>ООО "Альфа-дент"</t>
        </is>
      </c>
      <c r="C7674" s="13" t="n">
        <v>2703018580</v>
      </c>
      <c r="D7674" s="13" t="inlineStr">
        <is>
          <t>2703018580</t>
        </is>
      </c>
      <c r="E7674" s="13" t="inlineStr">
        <is>
          <t>ЮЛ РФ</t>
        </is>
      </c>
      <c r="F7674" s="13" t="n"/>
      <c r="G7674" s="52" t="n">
        <v>38</v>
      </c>
      <c r="H7674" s="52" t="n">
        <v>2025</v>
      </c>
      <c r="I7674" s="52" t="inlineStr">
        <is>
          <t>86.23</t>
        </is>
      </c>
      <c r="J7674" s="52" t="inlineStr">
        <is>
          <t>86.23; 46.18.1; 46.46.1; 47.74; 68.20; 77.39.26</t>
        </is>
      </c>
      <c r="K7674" s="53" t="inlineStr">
        <is>
          <t>Да</t>
        </is>
      </c>
      <c r="L7674" s="53" t="inlineStr">
        <is>
          <t>Да</t>
        </is>
      </c>
      <c r="M7674" s="53" t="inlineStr">
        <is>
          <t>До 50</t>
        </is>
      </c>
      <c r="N7674" s="54" t="n">
        <v>16800</v>
      </c>
      <c r="O7674" s="55" t="inlineStr">
        <is>
          <t>31–50</t>
        </is>
      </c>
      <c r="P7674" s="16" t="inlineStr">
        <is>
          <t>ССЧР + ОКВЭД обогащены</t>
        </is>
      </c>
      <c r="Q7674" s="16" t="inlineStr">
        <is>
          <t>ФНС открытые данные ССЧР (ДатаСост 31.12.2025; набор 7707329152-sshr2019)</t>
        </is>
      </c>
      <c r="R7674" s="16" t="inlineStr">
        <is>
          <t>ЕГРЮЛ / egrul.nalog.ru (выписка)</t>
        </is>
      </c>
      <c r="S7674" t="n">
        <v>1</v>
      </c>
      <c r="T7674" s="35" t="inlineStr">
        <is>
          <t>1 — Горячий</t>
        </is>
      </c>
      <c r="U7674" s="35" t="inlineStr">
        <is>
          <t>ОКВЭД + 22+</t>
        </is>
      </c>
      <c r="V7674" s="35" t="inlineStr">
        <is>
          <t>Да</t>
        </is>
      </c>
      <c r="W7674" s="35" t="inlineStr">
        <is>
          <t>Да</t>
        </is>
      </c>
      <c r="X7674" s="35" t="inlineStr">
        <is>
          <t>Да</t>
        </is>
      </c>
    </row>
    <row r="7675" ht="15" customHeight="1" s="24">
      <c r="A7675" s="13" t="inlineStr">
        <is>
          <t>FR1014212</t>
        </is>
      </c>
      <c r="B7675" s="13" t="inlineStr">
        <is>
          <t>ИП Гинзбург Анна Владимировна</t>
        </is>
      </c>
      <c r="C7675" s="13" t="n">
        <v>380806813498</v>
      </c>
      <c r="D7675" s="13" t="inlineStr">
        <is>
          <t>380806813498</t>
        </is>
      </c>
      <c r="E7675" s="13" t="inlineStr">
        <is>
          <t>ИП РФ / физлицо</t>
        </is>
      </c>
      <c r="F7675" s="13" t="n"/>
      <c r="G7675" s="14" t="n"/>
      <c r="H7675" s="14" t="n"/>
      <c r="I7675" s="14" t="n"/>
      <c r="J7675" s="14" t="n"/>
      <c r="K7675" s="53" t="inlineStr"/>
      <c r="L7675" s="53" t="inlineStr">
        <is>
          <t>Не определено</t>
        </is>
      </c>
      <c r="M7675" s="53" t="inlineStr"/>
      <c r="N7675" s="54" t="inlineStr"/>
      <c r="O7675" s="55" t="inlineStr"/>
      <c r="P7675" s="16" t="inlineStr">
        <is>
          <t>Требует обогащения</t>
        </is>
      </c>
      <c r="Q7675" s="16">
        <f>HYPERLINK("https://pb.nalog.ru/search.html?query=380806813498","ФНС: проверить")</f>
        <v/>
      </c>
      <c r="R7675" s="16">
        <f>HYPERLINK("https://checko.ru/search?query=3801001629","Чекко: проверить")</f>
        <v/>
      </c>
      <c r="S7675" t="n">
        <v>1</v>
      </c>
      <c r="T7675" s="35" t="inlineStr">
        <is>
          <t>4 — Не обогащён</t>
        </is>
      </c>
      <c r="U7675" s="35" t="inlineStr">
        <is>
          <t>Нет ОКВЭД/ССЧР</t>
        </is>
      </c>
      <c r="V7675" s="35" t="inlineStr">
        <is>
          <t>Не определено</t>
        </is>
      </c>
      <c r="W7675" s="35" t="inlineStr"/>
      <c r="X7675" s="35" t="inlineStr"/>
    </row>
    <row r="7676" ht="41.25" customHeight="1" s="24">
      <c r="A7676" s="13" t="inlineStr">
        <is>
          <t>FR931418</t>
        </is>
      </c>
      <c r="B7676" s="13" t="inlineStr">
        <is>
          <t>Общество с ограниченной ответственностью "КЛИНИКА КОНСЕРВАТИВНОЙ ГИНЕКОЛОГИИ И РЕПРОДУКЦИИ"</t>
        </is>
      </c>
      <c r="C7676" s="13" t="n">
        <v>3811455090</v>
      </c>
      <c r="D7676" s="13" t="inlineStr">
        <is>
          <t>3811455090</t>
        </is>
      </c>
      <c r="E7676" s="13" t="inlineStr">
        <is>
          <t>ЮЛ РФ</t>
        </is>
      </c>
      <c r="F7676" s="13" t="n"/>
      <c r="G7676" s="52" t="n">
        <v>8</v>
      </c>
      <c r="H7676" s="52" t="n">
        <v>2025</v>
      </c>
      <c r="I7676" s="14" t="n"/>
      <c r="J7676" s="14" t="n"/>
      <c r="K7676" s="53" t="inlineStr">
        <is>
          <t>Нет</t>
        </is>
      </c>
      <c r="L7676" s="53" t="inlineStr">
        <is>
          <t>Не определено</t>
        </is>
      </c>
      <c r="M7676" s="53" t="inlineStr">
        <is>
          <t>До 10</t>
        </is>
      </c>
      <c r="N7676" s="54" t="n">
        <v>3360</v>
      </c>
      <c r="O7676" s="55" t="inlineStr">
        <is>
          <t>1–15</t>
        </is>
      </c>
      <c r="P7676" s="16" t="inlineStr">
        <is>
          <t>ССЧР обогащена; ОКВЭД не найден/не загружен</t>
        </is>
      </c>
      <c r="Q7676" s="16" t="inlineStr">
        <is>
          <t>ФНС открытые данные ССЧР (ДатаСост 31.12.2025; набор 7707329152-sshr2019)</t>
        </is>
      </c>
      <c r="R7676" s="16">
        <f>HYPERLINK("https://checko.ru/search?query=3801001629","Чекко: проверить")</f>
        <v/>
      </c>
      <c r="S7676" t="n">
        <v>1</v>
      </c>
      <c r="T7676" s="35" t="inlineStr">
        <is>
          <t>4 — Не обогащён</t>
        </is>
      </c>
      <c r="U7676" s="35" t="inlineStr">
        <is>
          <t>Нет ОКВЭД/ССЧР</t>
        </is>
      </c>
      <c r="V7676" s="35" t="inlineStr">
        <is>
          <t>Не определено</t>
        </is>
      </c>
      <c r="W7676" s="35" t="inlineStr">
        <is>
          <t>Нет</t>
        </is>
      </c>
      <c r="X7676" s="35" t="inlineStr"/>
    </row>
    <row r="7677" ht="15" customHeight="1" s="24">
      <c r="A7677" s="13" t="inlineStr">
        <is>
          <t>FR622046</t>
        </is>
      </c>
      <c r="B7677" s="13" t="inlineStr">
        <is>
          <t>ИП Можаровский Игорь Октайевич</t>
        </is>
      </c>
      <c r="C7677" s="13" t="n">
        <v>380502326284</v>
      </c>
      <c r="D7677" s="13" t="inlineStr">
        <is>
          <t>380502326284</t>
        </is>
      </c>
      <c r="E7677" s="13" t="inlineStr">
        <is>
          <t>ИП РФ / физлицо</t>
        </is>
      </c>
      <c r="F7677" s="13" t="n"/>
      <c r="G7677" s="14" t="n"/>
      <c r="H7677" s="14" t="n"/>
      <c r="I7677" s="14" t="n"/>
      <c r="J7677" s="14" t="n"/>
      <c r="K7677" s="53" t="inlineStr"/>
      <c r="L7677" s="53" t="inlineStr">
        <is>
          <t>Не определено</t>
        </is>
      </c>
      <c r="M7677" s="53" t="inlineStr"/>
      <c r="N7677" s="54" t="inlineStr"/>
      <c r="O7677" s="55" t="inlineStr"/>
      <c r="P7677" s="16" t="inlineStr">
        <is>
          <t>Требует обогащения</t>
        </is>
      </c>
      <c r="Q7677" s="16">
        <f>HYPERLINK("https://pb.nalog.ru/search.html?query=380502326284","ФНС: проверить")</f>
        <v/>
      </c>
      <c r="R7677" s="16">
        <f>HYPERLINK("https://checko.ru/search?query=3801001629","Чекко: проверить")</f>
        <v/>
      </c>
      <c r="S7677" t="n">
        <v>1</v>
      </c>
      <c r="T7677" s="35" t="inlineStr">
        <is>
          <t>4 — Не обогащён</t>
        </is>
      </c>
      <c r="U7677" s="35" t="inlineStr">
        <is>
          <t>Нет ОКВЭД/ССЧР</t>
        </is>
      </c>
      <c r="V7677" s="35" t="inlineStr">
        <is>
          <t>Не определено</t>
        </is>
      </c>
      <c r="W7677" s="35" t="inlineStr"/>
      <c r="X7677" s="35" t="inlineStr"/>
    </row>
    <row r="7678" ht="27.75" customHeight="1" s="24">
      <c r="A7678" s="13" t="inlineStr">
        <is>
          <t>FR622530</t>
        </is>
      </c>
      <c r="B7678" s="13" t="inlineStr">
        <is>
          <t>Общество с ограниченной ответственностью "СКАЙ СЕРВИС ПЛЮС"</t>
        </is>
      </c>
      <c r="C7678" s="13" t="n">
        <v>3811022931</v>
      </c>
      <c r="D7678" s="13" t="inlineStr">
        <is>
          <t>3811022931</t>
        </is>
      </c>
      <c r="E7678" s="13" t="inlineStr">
        <is>
          <t>ЮЛ РФ</t>
        </is>
      </c>
      <c r="F7678" s="13" t="n"/>
      <c r="G7678" s="52" t="n">
        <v>17</v>
      </c>
      <c r="H7678" s="52" t="n">
        <v>2025</v>
      </c>
      <c r="I7678" s="14" t="n"/>
      <c r="J7678" s="14" t="n"/>
      <c r="K7678" s="53" t="inlineStr">
        <is>
          <t>Нет</t>
        </is>
      </c>
      <c r="L7678" s="53" t="inlineStr">
        <is>
          <t>Не определено</t>
        </is>
      </c>
      <c r="M7678" s="53" t="inlineStr">
        <is>
          <t>До 25</t>
        </is>
      </c>
      <c r="N7678" s="54" t="n">
        <v>8400</v>
      </c>
      <c r="O7678" s="55" t="inlineStr">
        <is>
          <t>16–30</t>
        </is>
      </c>
      <c r="P7678" s="16" t="inlineStr">
        <is>
          <t>ССЧР обогащена; ОКВЭД не найден/не загружен</t>
        </is>
      </c>
      <c r="Q7678" s="16" t="inlineStr">
        <is>
          <t>ФНС открытые данные ССЧР (ДатаСост 31.12.2025; набор 7707329152-sshr2019)</t>
        </is>
      </c>
      <c r="R7678" s="16">
        <f>HYPERLINK("https://checko.ru/search?query=3801001629","Чекко: проверить")</f>
        <v/>
      </c>
      <c r="S7678" t="n">
        <v>1</v>
      </c>
      <c r="T7678" s="35" t="inlineStr">
        <is>
          <t>4 — Не обогащён</t>
        </is>
      </c>
      <c r="U7678" s="35" t="inlineStr">
        <is>
          <t>Нет ОКВЭД/ССЧР</t>
        </is>
      </c>
      <c r="V7678" s="35" t="inlineStr">
        <is>
          <t>Не определено</t>
        </is>
      </c>
      <c r="W7678" s="35" t="inlineStr">
        <is>
          <t>Нет</t>
        </is>
      </c>
      <c r="X7678" s="35" t="inlineStr"/>
    </row>
    <row r="7679" ht="27.75" customHeight="1" s="24">
      <c r="A7679" s="13" t="inlineStr">
        <is>
          <t>FR620951</t>
        </is>
      </c>
      <c r="B7679" s="13" t="inlineStr">
        <is>
          <t>Общество с ограниченной ответственностью "СИБИРЬ НЕДРА"</t>
        </is>
      </c>
      <c r="C7679" s="13" t="n">
        <v>3802013306</v>
      </c>
      <c r="D7679" s="13" t="inlineStr">
        <is>
          <t>3802013306</t>
        </is>
      </c>
      <c r="E7679" s="13" t="inlineStr">
        <is>
          <t>ЮЛ РФ</t>
        </is>
      </c>
      <c r="F7679" s="13" t="n"/>
      <c r="G7679" s="52" t="n">
        <v>11</v>
      </c>
      <c r="H7679" s="52" t="n">
        <v>2025</v>
      </c>
      <c r="I7679" s="14" t="n"/>
      <c r="J7679" s="14" t="n"/>
      <c r="K7679" s="53" t="inlineStr">
        <is>
          <t>Нет</t>
        </is>
      </c>
      <c r="L7679" s="53" t="inlineStr">
        <is>
          <t>Не определено</t>
        </is>
      </c>
      <c r="M7679" s="53" t="inlineStr">
        <is>
          <t>До 25</t>
        </is>
      </c>
      <c r="N7679" s="54" t="n">
        <v>8400</v>
      </c>
      <c r="O7679" s="55" t="inlineStr">
        <is>
          <t>1–15</t>
        </is>
      </c>
      <c r="P7679" s="16" t="inlineStr">
        <is>
          <t>ССЧР обогащена; ОКВЭД не найден/не загружен</t>
        </is>
      </c>
      <c r="Q7679" s="16" t="inlineStr">
        <is>
          <t>ФНС открытые данные ССЧР (ДатаСост 31.12.2025; набор 7707329152-sshr2019)</t>
        </is>
      </c>
      <c r="R7679" s="16">
        <f>HYPERLINK("https://checko.ru/search?query=3801001629","Чекко: проверить")</f>
        <v/>
      </c>
      <c r="S7679" t="n">
        <v>1</v>
      </c>
      <c r="T7679" s="35" t="inlineStr">
        <is>
          <t>4 — Не обогащён</t>
        </is>
      </c>
      <c r="U7679" s="35" t="inlineStr">
        <is>
          <t>Нет ОКВЭД/ССЧР</t>
        </is>
      </c>
      <c r="V7679" s="35" t="inlineStr">
        <is>
          <t>Не определено</t>
        </is>
      </c>
      <c r="W7679" s="35" t="inlineStr">
        <is>
          <t>Нет</t>
        </is>
      </c>
      <c r="X7679" s="35" t="inlineStr"/>
    </row>
    <row r="7680" ht="41.25" customHeight="1" s="24">
      <c r="A7680" s="13" t="inlineStr">
        <is>
          <t>FR471904</t>
        </is>
      </c>
      <c r="B7680" s="13" t="inlineStr">
        <is>
          <t>ОБЩЕСТВО С ОГРАНИЧЕННОЙ ОТВЕТСТВЕННОСТЬЮ "ЦЕНТР НОРМАТИВНО-ТЕХНИЧЕСКОЙ ДОКУМЕНТАЦИИ"</t>
        </is>
      </c>
      <c r="C7680" s="13" t="n">
        <v>3808158932</v>
      </c>
      <c r="D7680" s="13" t="inlineStr">
        <is>
          <t>3808158932</t>
        </is>
      </c>
      <c r="E7680" s="13" t="inlineStr">
        <is>
          <t>ЮЛ РФ</t>
        </is>
      </c>
      <c r="F7680" s="13" t="n"/>
      <c r="G7680" s="52" t="n">
        <v>24</v>
      </c>
      <c r="H7680" s="52" t="n">
        <v>2025</v>
      </c>
      <c r="I7680" s="52" t="inlineStr">
        <is>
          <t>62.02</t>
        </is>
      </c>
      <c r="J7680" s="52" t="inlineStr">
        <is>
          <t>62.02; 46.49.4; 62.09</t>
        </is>
      </c>
      <c r="K7680" s="53" t="inlineStr">
        <is>
          <t>Да</t>
        </is>
      </c>
      <c r="L7680" s="53" t="inlineStr">
        <is>
          <t>Да</t>
        </is>
      </c>
      <c r="M7680" s="53" t="inlineStr">
        <is>
          <t>До 25</t>
        </is>
      </c>
      <c r="N7680" s="54" t="n">
        <v>8400</v>
      </c>
      <c r="O7680" s="55" t="inlineStr">
        <is>
          <t>16–30</t>
        </is>
      </c>
      <c r="P7680" s="16" t="inlineStr">
        <is>
          <t>ССЧР + ОКВЭД обогащены</t>
        </is>
      </c>
      <c r="Q7680" s="16" t="inlineStr">
        <is>
          <t>ФНС открытые данные ССЧР (ДатаСост 31.12.2025; набор 7707329152-sshr2019)</t>
        </is>
      </c>
      <c r="R7680" s="16" t="inlineStr">
        <is>
          <t>ЕГРЮЛ / egrul.nalog.ru (выписка)</t>
        </is>
      </c>
      <c r="S7680" t="n">
        <v>1</v>
      </c>
      <c r="T7680" s="35" t="inlineStr">
        <is>
          <t>1 — Горячий</t>
        </is>
      </c>
      <c r="U7680" s="35" t="inlineStr">
        <is>
          <t>ОКВЭД + 22+</t>
        </is>
      </c>
      <c r="V7680" s="35" t="inlineStr">
        <is>
          <t>Да</t>
        </is>
      </c>
      <c r="W7680" s="35" t="inlineStr">
        <is>
          <t>Да</t>
        </is>
      </c>
      <c r="X7680" s="35" t="inlineStr">
        <is>
          <t>Да</t>
        </is>
      </c>
    </row>
    <row r="7681" ht="15" customHeight="1" s="24">
      <c r="A7681" s="13" t="inlineStr">
        <is>
          <t>FR1121275</t>
        </is>
      </c>
      <c r="B7681" s="13" t="inlineStr">
        <is>
          <t>ИП Рязанова Анжелика Николаевна</t>
        </is>
      </c>
      <c r="C7681" s="13" t="n">
        <v>433802656755</v>
      </c>
      <c r="D7681" s="13" t="inlineStr">
        <is>
          <t>433802656755</t>
        </is>
      </c>
      <c r="E7681" s="13" t="inlineStr">
        <is>
          <t>ИП РФ / физлицо</t>
        </is>
      </c>
      <c r="F7681" s="13" t="n"/>
      <c r="G7681" s="14" t="n"/>
      <c r="H7681" s="14" t="n"/>
      <c r="I7681" s="14" t="n"/>
      <c r="J7681" s="14" t="n"/>
      <c r="K7681" s="53" t="inlineStr"/>
      <c r="L7681" s="53" t="inlineStr">
        <is>
          <t>Не определено</t>
        </is>
      </c>
      <c r="M7681" s="53" t="inlineStr"/>
      <c r="N7681" s="54" t="inlineStr"/>
      <c r="O7681" s="55" t="inlineStr"/>
      <c r="P7681" s="16" t="inlineStr">
        <is>
          <t>Требует обогащения</t>
        </is>
      </c>
      <c r="Q7681" s="16">
        <f>HYPERLINK("https://pb.nalog.ru/search.html?query=433802656755","ФНС: проверить")</f>
        <v/>
      </c>
      <c r="R7681" s="16">
        <f>HYPERLINK("https://checko.ru/search?query=3801001629","Чекко: проверить")</f>
        <v/>
      </c>
      <c r="S7681" t="n">
        <v>1</v>
      </c>
      <c r="T7681" s="35" t="inlineStr">
        <is>
          <t>4 — Не обогащён</t>
        </is>
      </c>
      <c r="U7681" s="35" t="inlineStr">
        <is>
          <t>Нет ОКВЭД/ССЧР</t>
        </is>
      </c>
      <c r="V7681" s="35" t="inlineStr">
        <is>
          <t>Не определено</t>
        </is>
      </c>
      <c r="W7681" s="35" t="inlineStr"/>
      <c r="X7681" s="35" t="inlineStr"/>
    </row>
    <row r="7682" ht="15" customHeight="1" s="24">
      <c r="A7682" s="13" t="inlineStr">
        <is>
          <t>FR472735</t>
        </is>
      </c>
      <c r="B7682" s="13" t="inlineStr">
        <is>
          <t>ИП Семененко Виктория Ивановна</t>
        </is>
      </c>
      <c r="C7682" s="13" t="n">
        <v>380412784258</v>
      </c>
      <c r="D7682" s="13" t="inlineStr">
        <is>
          <t>380412784258</t>
        </is>
      </c>
      <c r="E7682" s="13" t="inlineStr">
        <is>
          <t>ИП РФ / физлицо</t>
        </is>
      </c>
      <c r="F7682" s="13" t="n"/>
      <c r="G7682" s="14" t="n"/>
      <c r="H7682" s="14" t="n"/>
      <c r="I7682" s="14" t="n"/>
      <c r="J7682" s="14" t="n"/>
      <c r="K7682" s="53" t="inlineStr"/>
      <c r="L7682" s="53" t="inlineStr">
        <is>
          <t>Не определено</t>
        </is>
      </c>
      <c r="M7682" s="53" t="inlineStr"/>
      <c r="N7682" s="54" t="inlineStr"/>
      <c r="O7682" s="55" t="inlineStr"/>
      <c r="P7682" s="16" t="inlineStr">
        <is>
          <t>Требует обогащения</t>
        </is>
      </c>
      <c r="Q7682" s="16">
        <f>HYPERLINK("https://pb.nalog.ru/search.html?query=380412784258","ФНС: проверить")</f>
        <v/>
      </c>
      <c r="R7682" s="16">
        <f>HYPERLINK("https://checko.ru/search?query=3801001629","Чекко: проверить")</f>
        <v/>
      </c>
      <c r="S7682" t="n">
        <v>1</v>
      </c>
      <c r="T7682" s="35" t="inlineStr">
        <is>
          <t>4 — Не обогащён</t>
        </is>
      </c>
      <c r="U7682" s="35" t="inlineStr">
        <is>
          <t>Нет ОКВЭД/ССЧР</t>
        </is>
      </c>
      <c r="V7682" s="35" t="inlineStr">
        <is>
          <t>Не определено</t>
        </is>
      </c>
      <c r="W7682" s="35" t="inlineStr"/>
      <c r="X7682" s="35" t="inlineStr"/>
    </row>
    <row r="7683" ht="27.75" customHeight="1" s="24">
      <c r="A7683" s="13" t="inlineStr">
        <is>
          <t>FR1122884</t>
        </is>
      </c>
      <c r="B7683" s="13" t="inlineStr">
        <is>
          <t>Общество с ограниченной ответственностью "ТЕХНОЛОГИИ ЭНЕРГОСИСТЕМ"</t>
        </is>
      </c>
      <c r="C7683" s="13" t="n">
        <v>3827059207</v>
      </c>
      <c r="D7683" s="13" t="inlineStr">
        <is>
          <t>3827059207</t>
        </is>
      </c>
      <c r="E7683" s="13" t="inlineStr">
        <is>
          <t>ЮЛ РФ</t>
        </is>
      </c>
      <c r="F7683" s="13" t="n"/>
      <c r="G7683" s="52" t="n">
        <v>6</v>
      </c>
      <c r="H7683" s="52" t="n">
        <v>2025</v>
      </c>
      <c r="I7683" s="14" t="n"/>
      <c r="J7683" s="14" t="n"/>
      <c r="K7683" s="53" t="inlineStr">
        <is>
          <t>Нет</t>
        </is>
      </c>
      <c r="L7683" s="53" t="inlineStr">
        <is>
          <t>Не определено</t>
        </is>
      </c>
      <c r="M7683" s="53" t="inlineStr">
        <is>
          <t>До 10</t>
        </is>
      </c>
      <c r="N7683" s="54" t="n">
        <v>3360</v>
      </c>
      <c r="O7683" s="55" t="inlineStr">
        <is>
          <t>1–15</t>
        </is>
      </c>
      <c r="P7683" s="16" t="inlineStr">
        <is>
          <t>ССЧР обогащена; ОКВЭД не найден/не загружен</t>
        </is>
      </c>
      <c r="Q7683" s="16" t="inlineStr">
        <is>
          <t>ФНС открытые данные ССЧР (ДатаСост 31.12.2025; набор 7707329152-sshr2019)</t>
        </is>
      </c>
      <c r="R7683" s="16">
        <f>HYPERLINK("https://checko.ru/search?query=3801001629","Чекко: проверить")</f>
        <v/>
      </c>
      <c r="S7683" t="n">
        <v>1</v>
      </c>
      <c r="T7683" s="35" t="inlineStr">
        <is>
          <t>4 — Не обогащён</t>
        </is>
      </c>
      <c r="U7683" s="35" t="inlineStr">
        <is>
          <t>Нет ОКВЭД/ССЧР</t>
        </is>
      </c>
      <c r="V7683" s="35" t="inlineStr">
        <is>
          <t>Не определено</t>
        </is>
      </c>
      <c r="W7683" s="35" t="inlineStr">
        <is>
          <t>Нет</t>
        </is>
      </c>
      <c r="X7683" s="35" t="inlineStr"/>
    </row>
    <row r="7684" ht="15" customHeight="1" s="24">
      <c r="A7684" s="13" t="inlineStr">
        <is>
          <t>FR1320470</t>
        </is>
      </c>
      <c r="B7684" s="13" t="inlineStr">
        <is>
          <t>ИП Крепкая Мария Сергеевна</t>
        </is>
      </c>
      <c r="C7684" s="13" t="n">
        <v>381205662969</v>
      </c>
      <c r="D7684" s="13" t="inlineStr">
        <is>
          <t>381205662969</t>
        </is>
      </c>
      <c r="E7684" s="13" t="inlineStr">
        <is>
          <t>ИП РФ / физлицо</t>
        </is>
      </c>
      <c r="F7684" s="13" t="n"/>
      <c r="G7684" s="14" t="n"/>
      <c r="H7684" s="14" t="n"/>
      <c r="I7684" s="14" t="n"/>
      <c r="J7684" s="14" t="n"/>
      <c r="K7684" s="53" t="inlineStr"/>
      <c r="L7684" s="53" t="inlineStr">
        <is>
          <t>Не определено</t>
        </is>
      </c>
      <c r="M7684" s="53" t="inlineStr"/>
      <c r="N7684" s="54" t="inlineStr"/>
      <c r="O7684" s="55" t="inlineStr"/>
      <c r="P7684" s="16" t="inlineStr">
        <is>
          <t>Требует обогащения</t>
        </is>
      </c>
      <c r="Q7684" s="16">
        <f>HYPERLINK("https://pb.nalog.ru/search.html?query=381205662969","ФНС: проверить")</f>
        <v/>
      </c>
      <c r="R7684" s="16">
        <f>HYPERLINK("https://checko.ru/search?query=3801001629","Чекко: проверить")</f>
        <v/>
      </c>
      <c r="S7684" t="n">
        <v>1</v>
      </c>
      <c r="T7684" s="35" t="inlineStr">
        <is>
          <t>4 — Не обогащён</t>
        </is>
      </c>
      <c r="U7684" s="35" t="inlineStr">
        <is>
          <t>Нет ОКВЭД/ССЧР</t>
        </is>
      </c>
      <c r="V7684" s="35" t="inlineStr">
        <is>
          <t>Не определено</t>
        </is>
      </c>
      <c r="W7684" s="35" t="inlineStr"/>
      <c r="X7684" s="35" t="inlineStr"/>
    </row>
    <row r="7685" ht="15" customHeight="1" s="24">
      <c r="A7685" s="13" t="inlineStr">
        <is>
          <t>FR137858</t>
        </is>
      </c>
      <c r="B7685" s="13" t="inlineStr">
        <is>
          <t>ИП Егиазарян Александр Дживанович</t>
        </is>
      </c>
      <c r="C7685" s="13" t="n">
        <v>381710853903</v>
      </c>
      <c r="D7685" s="13" t="inlineStr">
        <is>
          <t>381710853903</t>
        </is>
      </c>
      <c r="E7685" s="13" t="inlineStr">
        <is>
          <t>ИП РФ / физлицо</t>
        </is>
      </c>
      <c r="F7685" s="13" t="n"/>
      <c r="G7685" s="14" t="n"/>
      <c r="H7685" s="14" t="n"/>
      <c r="I7685" s="14" t="n"/>
      <c r="J7685" s="14" t="n"/>
      <c r="K7685" s="53" t="inlineStr"/>
      <c r="L7685" s="53" t="inlineStr">
        <is>
          <t>Не определено</t>
        </is>
      </c>
      <c r="M7685" s="53" t="inlineStr"/>
      <c r="N7685" s="54" t="inlineStr"/>
      <c r="O7685" s="55" t="inlineStr"/>
      <c r="P7685" s="16" t="inlineStr">
        <is>
          <t>Требует обогащения</t>
        </is>
      </c>
      <c r="Q7685" s="16">
        <f>HYPERLINK("https://pb.nalog.ru/search.html?query=381710853903","ФНС: проверить")</f>
        <v/>
      </c>
      <c r="R7685" s="16">
        <f>HYPERLINK("https://checko.ru/search?query=3801001629","Чекко: проверить")</f>
        <v/>
      </c>
      <c r="S7685" t="n">
        <v>1</v>
      </c>
      <c r="T7685" s="35" t="inlineStr">
        <is>
          <t>4 — Не обогащён</t>
        </is>
      </c>
      <c r="U7685" s="35" t="inlineStr">
        <is>
          <t>Нет ОКВЭД/ССЧР</t>
        </is>
      </c>
      <c r="V7685" s="35" t="inlineStr">
        <is>
          <t>Не определено</t>
        </is>
      </c>
      <c r="W7685" s="35" t="inlineStr"/>
      <c r="X7685" s="35" t="inlineStr"/>
    </row>
    <row r="7686" ht="15" customHeight="1" s="24">
      <c r="A7686" s="13" t="inlineStr">
        <is>
          <t>FR50</t>
        </is>
      </c>
      <c r="B7686" s="13" t="inlineStr">
        <is>
          <t>Альфа центр</t>
        </is>
      </c>
      <c r="C7686" s="13" t="n">
        <v>3811154046</v>
      </c>
      <c r="D7686" s="13" t="inlineStr">
        <is>
          <t>3811154046</t>
        </is>
      </c>
      <c r="E7686" s="13" t="inlineStr">
        <is>
          <t>ЮЛ РФ</t>
        </is>
      </c>
      <c r="F7686" s="13" t="n"/>
      <c r="G7686" s="52" t="n">
        <v>10</v>
      </c>
      <c r="H7686" s="52" t="n">
        <v>2025</v>
      </c>
      <c r="I7686" s="14" t="n"/>
      <c r="J7686" s="14" t="n"/>
      <c r="K7686" s="53" t="inlineStr">
        <is>
          <t>Нет</t>
        </is>
      </c>
      <c r="L7686" s="53" t="inlineStr">
        <is>
          <t>Не определено</t>
        </is>
      </c>
      <c r="M7686" s="53" t="inlineStr">
        <is>
          <t>До 10</t>
        </is>
      </c>
      <c r="N7686" s="54" t="n">
        <v>3360</v>
      </c>
      <c r="O7686" s="55" t="inlineStr">
        <is>
          <t>1–15</t>
        </is>
      </c>
      <c r="P7686" s="16" t="inlineStr">
        <is>
          <t>ССЧР обогащена; ОКВЭД не найден/не загружен</t>
        </is>
      </c>
      <c r="Q7686" s="16" t="inlineStr">
        <is>
          <t>ФНС открытые данные ССЧР (ДатаСост 31.12.2025; набор 7707329152-sshr2019)</t>
        </is>
      </c>
      <c r="R7686" s="16">
        <f>HYPERLINK("https://checko.ru/search?query=3801001629","Чекко: проверить")</f>
        <v/>
      </c>
      <c r="S7686" t="n">
        <v>1</v>
      </c>
      <c r="T7686" s="35" t="inlineStr">
        <is>
          <t>4 — Не обогащён</t>
        </is>
      </c>
      <c r="U7686" s="35" t="inlineStr">
        <is>
          <t>Нет ОКВЭД/ССЧР</t>
        </is>
      </c>
      <c r="V7686" s="35" t="inlineStr">
        <is>
          <t>Не определено</t>
        </is>
      </c>
      <c r="W7686" s="35" t="inlineStr">
        <is>
          <t>Нет</t>
        </is>
      </c>
      <c r="X7686" s="35" t="inlineStr"/>
    </row>
    <row r="7687" ht="15" customHeight="1" s="24">
      <c r="A7687" s="13" t="inlineStr">
        <is>
          <t>FR741</t>
        </is>
      </c>
      <c r="B7687" s="13" t="inlineStr">
        <is>
          <t>ООО "ГРУППА КОМПАНИЙ "ГЛОБАЛ"</t>
        </is>
      </c>
      <c r="C7687" s="13" t="n">
        <v>2724212211</v>
      </c>
      <c r="D7687" s="13" t="inlineStr">
        <is>
          <t>2724212211</t>
        </is>
      </c>
      <c r="E7687" s="13" t="inlineStr">
        <is>
          <t>ЮЛ РФ</t>
        </is>
      </c>
      <c r="F7687" s="13" t="n"/>
      <c r="G7687" s="52" t="n">
        <v>677</v>
      </c>
      <c r="H7687" s="52" t="n">
        <v>2025</v>
      </c>
      <c r="I7687" s="52" t="inlineStr">
        <is>
          <t>49.41.1</t>
        </is>
      </c>
      <c r="J7687" s="52" t="inlineStr">
        <is>
          <t>49.41.1; 41.20; 42.11; 42.12; 42.13; 43.11; 43.12.1; 43.13; 43.99.5; 43.99.7; 46.13; 46.13.1; 46.13.2; 46.19; 46.49; 46.71; 46.73.6; 46.90; 47.91.2; 47.91.3; 47.91.4; 49.31.25; 49.32; 49.41.2; 49.41.3; 52.29; 53.20.3; 62.01; 62.02; 68.10; 71.12.3; 73.11; 79.11; 82.99</t>
        </is>
      </c>
      <c r="K7687" s="53" t="inlineStr">
        <is>
          <t>Да</t>
        </is>
      </c>
      <c r="L7687" s="53" t="inlineStr">
        <is>
          <t>Да</t>
        </is>
      </c>
      <c r="M7687" s="53" t="inlineStr">
        <is>
          <t>До 2000</t>
        </is>
      </c>
      <c r="N7687" s="54" t="n">
        <v>528000</v>
      </c>
      <c r="O7687" s="55" t="inlineStr">
        <is>
          <t>500+</t>
        </is>
      </c>
      <c r="P7687" s="16" t="inlineStr">
        <is>
          <t>ССЧР + ОКВЭД обогащены</t>
        </is>
      </c>
      <c r="Q7687" s="16" t="inlineStr">
        <is>
          <t>ФНС открытые данные ССЧР (ДатаСост 31.12.2025; набор 7707329152-sshr2019)</t>
        </is>
      </c>
      <c r="R7687" s="16" t="inlineStr">
        <is>
          <t>ЕГРЮЛ / egrul.nalog.ru (выписка)</t>
        </is>
      </c>
      <c r="S7687" t="n">
        <v>1</v>
      </c>
      <c r="T7687" s="35" t="inlineStr">
        <is>
          <t>1 — Горячий</t>
        </is>
      </c>
      <c r="U7687" s="35" t="inlineStr">
        <is>
          <t>ОКВЭД + 22+</t>
        </is>
      </c>
      <c r="V7687" s="35" t="inlineStr">
        <is>
          <t>Да</t>
        </is>
      </c>
      <c r="W7687" s="35" t="inlineStr">
        <is>
          <t>Да</t>
        </is>
      </c>
      <c r="X7687" s="35" t="inlineStr">
        <is>
          <t>Да</t>
        </is>
      </c>
    </row>
    <row r="7688" ht="15" customHeight="1" s="24">
      <c r="A7688" s="13" t="inlineStr">
        <is>
          <t>FR47427</t>
        </is>
      </c>
      <c r="B7688" s="13" t="inlineStr">
        <is>
          <t>ВЕЗУ СВЕТ ООО</t>
        </is>
      </c>
      <c r="C7688" s="13" t="n">
        <v>5050127330</v>
      </c>
      <c r="D7688" s="13" t="inlineStr">
        <is>
          <t>5050127330</t>
        </is>
      </c>
      <c r="E7688" s="13" t="inlineStr">
        <is>
          <t>ЮЛ РФ</t>
        </is>
      </c>
      <c r="F7688" s="13" t="n"/>
      <c r="G7688" s="52" t="n">
        <v>3</v>
      </c>
      <c r="H7688" s="52" t="n">
        <v>2025</v>
      </c>
      <c r="I7688" s="14" t="n"/>
      <c r="J7688" s="14" t="n"/>
      <c r="K7688" s="53" t="inlineStr">
        <is>
          <t>Нет</t>
        </is>
      </c>
      <c r="L7688" s="53" t="inlineStr">
        <is>
          <t>Не определено</t>
        </is>
      </c>
      <c r="M7688" s="53" t="inlineStr">
        <is>
          <t>До 10</t>
        </is>
      </c>
      <c r="N7688" s="54" t="n">
        <v>3360</v>
      </c>
      <c r="O7688" s="55" t="inlineStr">
        <is>
          <t>1–15</t>
        </is>
      </c>
      <c r="P7688" s="16" t="inlineStr">
        <is>
          <t>ССЧР обогащена; ОКВЭД не найден/не загружен</t>
        </is>
      </c>
      <c r="Q7688" s="16" t="inlineStr">
        <is>
          <t>ФНС открытые данные ССЧР (ДатаСост 31.12.2025; набор 7707329152-sshr2019)</t>
        </is>
      </c>
      <c r="R7688" s="16">
        <f>HYPERLINK("https://checko.ru/search?query=3801001629","Чекко: проверить")</f>
        <v/>
      </c>
      <c r="S7688" t="n">
        <v>1</v>
      </c>
      <c r="T7688" s="35" t="inlineStr">
        <is>
          <t>4 — Не обогащён</t>
        </is>
      </c>
      <c r="U7688" s="35" t="inlineStr">
        <is>
          <t>Нет ОКВЭД/ССЧР</t>
        </is>
      </c>
      <c r="V7688" s="35" t="inlineStr">
        <is>
          <t>Не определено</t>
        </is>
      </c>
      <c r="W7688" s="35" t="inlineStr">
        <is>
          <t>Нет</t>
        </is>
      </c>
      <c r="X7688" s="35" t="inlineStr"/>
    </row>
    <row r="7689" ht="27.75" customHeight="1" s="24">
      <c r="A7689" s="13" t="inlineStr">
        <is>
          <t>FR69947</t>
        </is>
      </c>
      <c r="B7689" s="13" t="inlineStr">
        <is>
          <t>Общество с ограниченной ответственностью "ИНБРОТЭК"</t>
        </is>
      </c>
      <c r="C7689" s="13" t="n">
        <v>3811169067</v>
      </c>
      <c r="D7689" s="13" t="inlineStr">
        <is>
          <t>3811169067</t>
        </is>
      </c>
      <c r="E7689" s="13" t="inlineStr">
        <is>
          <t>ЮЛ РФ</t>
        </is>
      </c>
      <c r="F7689" s="13" t="n"/>
      <c r="G7689" s="52" t="n">
        <v>1</v>
      </c>
      <c r="H7689" s="52" t="n">
        <v>2025</v>
      </c>
      <c r="I7689" s="14" t="n"/>
      <c r="J7689" s="14" t="n"/>
      <c r="K7689" s="53" t="inlineStr">
        <is>
          <t>Нет</t>
        </is>
      </c>
      <c r="L7689" s="53" t="inlineStr">
        <is>
          <t>Не определено</t>
        </is>
      </c>
      <c r="M7689" s="53" t="inlineStr">
        <is>
          <t>До 10</t>
        </is>
      </c>
      <c r="N7689" s="54" t="n">
        <v>3360</v>
      </c>
      <c r="O7689" s="55" t="inlineStr">
        <is>
          <t>1–15</t>
        </is>
      </c>
      <c r="P7689" s="16" t="inlineStr">
        <is>
          <t>ССЧР обогащена; ОКВЭД не найден/не загружен</t>
        </is>
      </c>
      <c r="Q7689" s="16" t="inlineStr">
        <is>
          <t>ФНС открытые данные ССЧР (ДатаСост 31.12.2025; набор 7707329152-sshr2019)</t>
        </is>
      </c>
      <c r="R7689" s="16">
        <f>HYPERLINK("https://checko.ru/search?query=3801001629","Чекко: проверить")</f>
        <v/>
      </c>
      <c r="S7689" t="n">
        <v>1</v>
      </c>
      <c r="T7689" s="35" t="inlineStr">
        <is>
          <t>4 — Не обогащён</t>
        </is>
      </c>
      <c r="U7689" s="35" t="inlineStr">
        <is>
          <t>Нет ОКВЭД/ССЧР</t>
        </is>
      </c>
      <c r="V7689" s="35" t="inlineStr">
        <is>
          <t>Не определено</t>
        </is>
      </c>
      <c r="W7689" s="35" t="inlineStr">
        <is>
          <t>Нет</t>
        </is>
      </c>
      <c r="X7689" s="35" t="inlineStr"/>
    </row>
    <row r="7690" ht="15" customHeight="1" s="24">
      <c r="A7690" s="13" t="inlineStr">
        <is>
          <t>FR142733</t>
        </is>
      </c>
      <c r="B7690" s="13" t="inlineStr">
        <is>
          <t>ООО "ОПП "СТАРКОМ-БРИЗ"</t>
        </is>
      </c>
      <c r="C7690" s="13" t="n">
        <v>3818016430</v>
      </c>
      <c r="D7690" s="13" t="inlineStr">
        <is>
          <t>3818016430</t>
        </is>
      </c>
      <c r="E7690" s="13" t="inlineStr">
        <is>
          <t>ЮЛ РФ</t>
        </is>
      </c>
      <c r="F7690" s="13" t="n"/>
      <c r="G7690" s="52" t="n">
        <v>14</v>
      </c>
      <c r="H7690" s="52" t="n">
        <v>2025</v>
      </c>
      <c r="I7690" s="14" t="n"/>
      <c r="J7690" s="14" t="n"/>
      <c r="K7690" s="53" t="inlineStr">
        <is>
          <t>Нет</t>
        </is>
      </c>
      <c r="L7690" s="53" t="inlineStr">
        <is>
          <t>Не определено</t>
        </is>
      </c>
      <c r="M7690" s="53" t="inlineStr">
        <is>
          <t>До 25</t>
        </is>
      </c>
      <c r="N7690" s="54" t="n">
        <v>8400</v>
      </c>
      <c r="O7690" s="55" t="inlineStr">
        <is>
          <t>1–15</t>
        </is>
      </c>
      <c r="P7690" s="16" t="inlineStr">
        <is>
          <t>ССЧР обогащена; ОКВЭД не найден/не загружен</t>
        </is>
      </c>
      <c r="Q7690" s="16" t="inlineStr">
        <is>
          <t>ФНС открытые данные ССЧР (ДатаСост 31.12.2025; набор 7707329152-sshr2019)</t>
        </is>
      </c>
      <c r="R7690" s="16">
        <f>HYPERLINK("https://checko.ru/search?query=3801001629","Чекко: проверить")</f>
        <v/>
      </c>
      <c r="S7690" t="n">
        <v>1</v>
      </c>
      <c r="T7690" s="35" t="inlineStr">
        <is>
          <t>4 — Не обогащён</t>
        </is>
      </c>
      <c r="U7690" s="35" t="inlineStr">
        <is>
          <t>Нет ОКВЭД/ССЧР</t>
        </is>
      </c>
      <c r="V7690" s="35" t="inlineStr">
        <is>
          <t>Не определено</t>
        </is>
      </c>
      <c r="W7690" s="35" t="inlineStr">
        <is>
          <t>Нет</t>
        </is>
      </c>
      <c r="X7690" s="35" t="inlineStr"/>
    </row>
    <row r="7691" ht="27.75" customHeight="1" s="24">
      <c r="A7691" s="13" t="inlineStr">
        <is>
          <t>FR16166</t>
        </is>
      </c>
      <c r="B7691" s="13" t="inlineStr">
        <is>
          <t>Общество с ограниченной ответственностью "ДЕТАЛЬНОЕ ДЕЛО"</t>
        </is>
      </c>
      <c r="C7691" s="13" t="n">
        <v>3811473451</v>
      </c>
      <c r="D7691" s="13" t="inlineStr">
        <is>
          <t>3811473451</t>
        </is>
      </c>
      <c r="E7691" s="13" t="inlineStr">
        <is>
          <t>ЮЛ РФ</t>
        </is>
      </c>
      <c r="F7691" s="13" t="n"/>
      <c r="G7691" s="52" t="n">
        <v>1</v>
      </c>
      <c r="H7691" s="52" t="n">
        <v>2025</v>
      </c>
      <c r="I7691" s="14" t="n"/>
      <c r="J7691" s="14" t="n"/>
      <c r="K7691" s="53" t="inlineStr">
        <is>
          <t>Нет</t>
        </is>
      </c>
      <c r="L7691" s="53" t="inlineStr">
        <is>
          <t>Не определено</t>
        </is>
      </c>
      <c r="M7691" s="53" t="inlineStr">
        <is>
          <t>До 10</t>
        </is>
      </c>
      <c r="N7691" s="54" t="n">
        <v>3360</v>
      </c>
      <c r="O7691" s="55" t="inlineStr">
        <is>
          <t>1–15</t>
        </is>
      </c>
      <c r="P7691" s="16" t="inlineStr">
        <is>
          <t>ССЧР обогащена; ОКВЭД не найден/не загружен</t>
        </is>
      </c>
      <c r="Q7691" s="16" t="inlineStr">
        <is>
          <t>ФНС открытые данные ССЧР (ДатаСост 31.12.2025; набор 7707329152-sshr2019)</t>
        </is>
      </c>
      <c r="R7691" s="16">
        <f>HYPERLINK("https://checko.ru/search?query=3801001629","Чекко: проверить")</f>
        <v/>
      </c>
      <c r="S7691" t="n">
        <v>1</v>
      </c>
      <c r="T7691" s="35" t="inlineStr">
        <is>
          <t>4 — Не обогащён</t>
        </is>
      </c>
      <c r="U7691" s="35" t="inlineStr">
        <is>
          <t>Нет ОКВЭД/ССЧР</t>
        </is>
      </c>
      <c r="V7691" s="35" t="inlineStr">
        <is>
          <t>Не определено</t>
        </is>
      </c>
      <c r="W7691" s="35" t="inlineStr">
        <is>
          <t>Нет</t>
        </is>
      </c>
      <c r="X7691" s="35" t="inlineStr"/>
    </row>
    <row r="7692" ht="27.75" customHeight="1" s="24">
      <c r="A7692" s="13" t="inlineStr">
        <is>
          <t>FR134856</t>
        </is>
      </c>
      <c r="B7692" s="13" t="inlineStr">
        <is>
          <t>Общество с ограниченной ответственностью "СК СТЕКЛОНИКА"</t>
        </is>
      </c>
      <c r="C7692" s="13" t="n">
        <v>7814730150</v>
      </c>
      <c r="D7692" s="13" t="inlineStr">
        <is>
          <t>7814730150</t>
        </is>
      </c>
      <c r="E7692" s="13" t="inlineStr">
        <is>
          <t>ЮЛ РФ</t>
        </is>
      </c>
      <c r="F7692" s="13" t="n"/>
      <c r="G7692" s="52" t="n">
        <v>7</v>
      </c>
      <c r="H7692" s="52" t="n">
        <v>2025</v>
      </c>
      <c r="I7692" s="14" t="n"/>
      <c r="J7692" s="14" t="n"/>
      <c r="K7692" s="53" t="inlineStr">
        <is>
          <t>Нет</t>
        </is>
      </c>
      <c r="L7692" s="53" t="inlineStr">
        <is>
          <t>Не определено</t>
        </is>
      </c>
      <c r="M7692" s="53" t="inlineStr">
        <is>
          <t>До 10</t>
        </is>
      </c>
      <c r="N7692" s="54" t="n">
        <v>3360</v>
      </c>
      <c r="O7692" s="55" t="inlineStr">
        <is>
          <t>1–15</t>
        </is>
      </c>
      <c r="P7692" s="16" t="inlineStr">
        <is>
          <t>ССЧР обогащена; ОКВЭД не найден/не загружен</t>
        </is>
      </c>
      <c r="Q7692" s="16" t="inlineStr">
        <is>
          <t>ФНС открытые данные ССЧР (ДатаСост 31.12.2025; набор 7707329152-sshr2019)</t>
        </is>
      </c>
      <c r="R7692" s="16">
        <f>HYPERLINK("https://checko.ru/search?query=3801001629","Чекко: проверить")</f>
        <v/>
      </c>
      <c r="S7692" t="n">
        <v>1</v>
      </c>
      <c r="T7692" s="35" t="inlineStr">
        <is>
          <t>4 — Не обогащён</t>
        </is>
      </c>
      <c r="U7692" s="35" t="inlineStr">
        <is>
          <t>Нет ОКВЭД/ССЧР</t>
        </is>
      </c>
      <c r="V7692" s="35" t="inlineStr">
        <is>
          <t>Не определено</t>
        </is>
      </c>
      <c r="W7692" s="35" t="inlineStr">
        <is>
          <t>Нет</t>
        </is>
      </c>
      <c r="X7692" s="35" t="inlineStr"/>
    </row>
    <row r="7693" ht="15" customHeight="1" s="24">
      <c r="A7693" s="13" t="inlineStr">
        <is>
          <t>FR96610</t>
        </is>
      </c>
      <c r="B7693" s="13" t="inlineStr">
        <is>
          <t>Усачева Наталья Михайловна</t>
        </is>
      </c>
      <c r="C7693" s="13" t="n">
        <v>402810929878</v>
      </c>
      <c r="D7693" s="13" t="inlineStr">
        <is>
          <t>402810929878</t>
        </is>
      </c>
      <c r="E7693" s="13" t="inlineStr">
        <is>
          <t>ИП РФ / физлицо</t>
        </is>
      </c>
      <c r="F7693" s="13" t="n"/>
      <c r="G7693" s="14" t="n"/>
      <c r="H7693" s="14" t="n"/>
      <c r="I7693" s="14" t="n"/>
      <c r="J7693" s="14" t="n"/>
      <c r="K7693" s="53" t="inlineStr"/>
      <c r="L7693" s="53" t="inlineStr">
        <is>
          <t>Не определено</t>
        </is>
      </c>
      <c r="M7693" s="53" t="inlineStr"/>
      <c r="N7693" s="54" t="inlineStr"/>
      <c r="O7693" s="55" t="inlineStr"/>
      <c r="P7693" s="16" t="inlineStr">
        <is>
          <t>Требует обогащения</t>
        </is>
      </c>
      <c r="Q7693" s="16">
        <f>HYPERLINK("https://pb.nalog.ru/search.html?query=402810929878","ФНС: проверить")</f>
        <v/>
      </c>
      <c r="R7693" s="16">
        <f>HYPERLINK("https://checko.ru/search?query=3801001629","Чекко: проверить")</f>
        <v/>
      </c>
      <c r="S7693" t="n">
        <v>1</v>
      </c>
      <c r="T7693" s="35" t="inlineStr">
        <is>
          <t>4 — Не обогащён</t>
        </is>
      </c>
      <c r="U7693" s="35" t="inlineStr">
        <is>
          <t>Нет ОКВЭД/ССЧР</t>
        </is>
      </c>
      <c r="V7693" s="35" t="inlineStr">
        <is>
          <t>Не определено</t>
        </is>
      </c>
      <c r="W7693" s="35" t="inlineStr"/>
      <c r="X7693" s="35" t="inlineStr"/>
    </row>
    <row r="7694" ht="15" customHeight="1" s="24">
      <c r="A7694" s="13" t="inlineStr">
        <is>
          <t>FR221259</t>
        </is>
      </c>
      <c r="B7694" s="13" t="inlineStr">
        <is>
          <t>Корнеев Тимур Юрьевич</t>
        </is>
      </c>
      <c r="C7694" s="13" t="n">
        <v>51700169380</v>
      </c>
      <c r="D7694" s="13" t="n"/>
      <c r="E7694" s="13" t="inlineStr">
        <is>
          <t>Не определён</t>
        </is>
      </c>
      <c r="F7694" s="13" t="n"/>
      <c r="G7694" s="14" t="n"/>
      <c r="H7694" s="14" t="n"/>
      <c r="I7694" s="14" t="n"/>
      <c r="J7694" s="14" t="n"/>
      <c r="K7694" s="13">
        <f>IF(G7694="","",IF(G7694&gt;=22,"Да","Нет"))</f>
        <v/>
      </c>
      <c r="L7694" s="13">
        <f>IF(OR(I7694="",J7694=""),"Не определено",IF(OR(COUNTIF(I7694,"45*")&gt;0,COUNTIF(J7694,"*45*")&gt;0,COUNTIF(I7694,"46*")&gt;0,COUNTIF(J7694,"*46*")&gt;0,COUNTIF(I7694,"47*")&gt;0,COUNTIF(J7694,"*47*")&gt;0,COUNTIF(I7694,"10*")&gt;0,COUNTIF(J7694,"*10*")&gt;0,COUNTIF(I7694,"11*")&gt;0,COUNTIF(J7694,"*11*")&gt;0,COUNTIF(I7694,"12*")&gt;0,COUNTIF(J7694,"*12*")&gt;0,COUNTIF(I7694,"13*")&gt;0,COUNTIF(J7694,"*13*")&gt;0,COUNTIF(I7694,"14*")&gt;0,COUNTIF(J7694,"*14*")&gt;0,COUNTIF(I7694,"15*")&gt;0,COUNTIF(J7694,"*15*")&gt;0,COUNTIF(I7694,"16*")&gt;0,COUNTIF(J7694,"*16*")&gt;0,COUNTIF(I7694,"17*")&gt;0,COUNTIF(J7694,"*17*")&gt;0,COUNTIF(I7694,"18*")&gt;0,COUNTIF(J7694,"*18*")&gt;0,COUNTIF(I7694,"19*")&gt;0,COUNTIF(J7694,"*19*")&gt;0,COUNTIF(I7694,"20*")&gt;0,COUNTIF(J7694,"*20*")&gt;0,COUNTIF(I7694,"21*")&gt;0,COUNTIF(J7694,"*21*")&gt;0,COUNTIF(I7694,"22*")&gt;0,COUNTIF(J7694,"*22*")&gt;0,COUNTIF(I7694,"23*")&gt;0,COUNTIF(J7694,"*23*")&gt;0,COUNTIF(I7694,"24*")&gt;0,COUNTIF(J7694,"*24*")&gt;0,COUNTIF(I7694,"25*")&gt;0,COUNTIF(J7694,"*25*")&gt;0,COUNTIF(I7694,"26*")&gt;0,COUNTIF(J7694,"*26*")&gt;0,COUNTIF(I7694,"27*")&gt;0,COUNTIF(J7694,"*27*")&gt;0,COUNTIF(I7694,"28*")&gt;0,COUNTIF(J7694,"*28*")&gt;0,COUNTIF(I7694,"29*")&gt;0,COUNTIF(J7694,"*29*")&gt;0,COUNTIF(I7694,"30*")&gt;0,COUNTIF(J7694,"*30*")&gt;0,COUNTIF(I7694,"31*")&gt;0,COUNTIF(J7694,"*31*")&gt;0,COUNTIF(I7694,"32*")&gt;0,COUNTIF(J7694,"*32*")&gt;0,COUNTIF(I7694,"33*")&gt;0,COUNTIF(J7694,"*33*")&gt;0,COUNTIF(I7694,"41*")&gt;0,COUNTIF(J7694,"*41*")&gt;0,COUNTIF(I7694,"42*")&gt;0,COUNTIF(J7694,"*42*")&gt;0,COUNTIF(I7694,"43*")&gt;0,COUNTIF(J7694,"*43*")&gt;0,COUNTIF(I7694,"49*")&gt;0,COUNTIF(J7694,"*49*")&gt;0,COUNTIF(I7694,"52*")&gt;0,COUNTIF(J7694,"*52*")&gt;0,COUNTIF(I7694,"55*")&gt;0,COUNTIF(J7694,"*55*")&gt;0,COUNTIF(I7694,"56*")&gt;0,COUNTIF(J7694,"*56*")&gt;0,COUNTIF(I7694,"68*")&gt;0,COUNTIF(J7694,"*68*")&gt;0,COUNTIF(I7694,"78*")&gt;0,COUNTIF(J7694,"*78*")&gt;0,COUNTIF(I7694,"81*")&gt;0,COUNTIF(J7694,"*81*")&gt;0,COUNTIF(I7694,"82*")&gt;0,COUNTIF(J7694,"*82*")&gt;0,COUNTIF(I7694,"64*")&gt;0,COUNTIF(J7694,"*64*")&gt;0,COUNTIF(I7694,"65*")&gt;0,COUNTIF(J7694,"*65*")&gt;0,COUNTIF(I7694,"66*")&gt;0,COUNTIF(J7694,"*66*")&gt;0,COUNTIF(I7694,"61*")&gt;0,COUNTIF(J7694,"*61*")&gt;0,COUNTIF(I7694,"62*")&gt;0,COUNTIF(J7694,"*62*")&gt;0,COUNTIF(I7694,"63*")&gt;0,COUNTIF(J7694,"*63*")&gt;0,COUNTIF(I7694,"85*")&gt;0,COUNTIF(J7694,"*85*")&gt;0,COUNTIF(I7694,"86*")&gt;0,COUNTIF(J7694,"*86*")&gt;0),"Да","Нет"))</f>
        <v/>
      </c>
      <c r="M7694" s="13">
        <f>IF(OR(G7694="",L7694&lt;&gt;"Да"),"",IF(G7694&lt;=100,"До 100",IF(G7694&lt;=200,"До 200",IF(G7694&lt;=500,"До 500","Отдельное КП"))))</f>
        <v/>
      </c>
      <c r="N7694" s="15">
        <f>IF(OR(G7694="",L7694&lt;&gt;"Да"),"",IF(G7694&lt;=100,33600,IF(G7694&lt;=200,62400,IF(G7694&lt;=500,144000,""))))</f>
        <v/>
      </c>
      <c r="O7694" s="16">
        <f>IF(G7694="","",IF(G7694&lt;=15,"1–15",IF(G7694&lt;=30,"16–30",IF(G7694&lt;=50,"31–50",IF(G7694&lt;=100,"51–100",IF(G7694&lt;=150,"101–150",IF(G7694&lt;=200,"151–200",IF(G7694&lt;=500,"201–500","500+"))))))))</f>
        <v/>
      </c>
      <c r="P7694" s="16" t="inlineStr">
        <is>
          <t>Нет совпадения в предоставленной выгрузке ССЧР</t>
        </is>
      </c>
      <c r="Q7694" s="16" t="n"/>
      <c r="R7694" s="16">
        <f>HYPERLINK("https://checko.ru/search?query=3801001629","Чекко: проверить")</f>
        <v/>
      </c>
      <c r="S7694" t="n">
        <v>0</v>
      </c>
    </row>
    <row r="7695" ht="15" customHeight="1" s="24">
      <c r="A7695" s="13" t="inlineStr">
        <is>
          <t>FR834982</t>
        </is>
      </c>
      <c r="B7695" s="13" t="inlineStr">
        <is>
          <t>Общество с ограниченной ответственностью КТС</t>
        </is>
      </c>
      <c r="C7695" s="13" t="n">
        <v>273935540</v>
      </c>
      <c r="D7695" s="13" t="n"/>
      <c r="E7695" s="13" t="inlineStr">
        <is>
          <t>Не определён</t>
        </is>
      </c>
      <c r="F7695" s="13" t="inlineStr">
        <is>
          <t>273935540</t>
        </is>
      </c>
      <c r="G7695" s="14" t="n"/>
      <c r="H7695" s="14" t="n"/>
      <c r="I7695" s="14" t="n"/>
      <c r="J7695" s="14" t="n"/>
      <c r="K7695" s="13">
        <f>IF(G7695="","",IF(G7695&gt;=22,"Да","Нет"))</f>
        <v/>
      </c>
      <c r="L7695" s="13">
        <f>IF(OR(I7695="",J7695=""),"Не определено",IF(OR(COUNTIF(I7695,"45*")&gt;0,COUNTIF(J7695,"*45*")&gt;0,COUNTIF(I7695,"46*")&gt;0,COUNTIF(J7695,"*46*")&gt;0,COUNTIF(I7695,"47*")&gt;0,COUNTIF(J7695,"*47*")&gt;0,COUNTIF(I7695,"10*")&gt;0,COUNTIF(J7695,"*10*")&gt;0,COUNTIF(I7695,"11*")&gt;0,COUNTIF(J7695,"*11*")&gt;0,COUNTIF(I7695,"12*")&gt;0,COUNTIF(J7695,"*12*")&gt;0,COUNTIF(I7695,"13*")&gt;0,COUNTIF(J7695,"*13*")&gt;0,COUNTIF(I7695,"14*")&gt;0,COUNTIF(J7695,"*14*")&gt;0,COUNTIF(I7695,"15*")&gt;0,COUNTIF(J7695,"*15*")&gt;0,COUNTIF(I7695,"16*")&gt;0,COUNTIF(J7695,"*16*")&gt;0,COUNTIF(I7695,"17*")&gt;0,COUNTIF(J7695,"*17*")&gt;0,COUNTIF(I7695,"18*")&gt;0,COUNTIF(J7695,"*18*")&gt;0,COUNTIF(I7695,"19*")&gt;0,COUNTIF(J7695,"*19*")&gt;0,COUNTIF(I7695,"20*")&gt;0,COUNTIF(J7695,"*20*")&gt;0,COUNTIF(I7695,"21*")&gt;0,COUNTIF(J7695,"*21*")&gt;0,COUNTIF(I7695,"22*")&gt;0,COUNTIF(J7695,"*22*")&gt;0,COUNTIF(I7695,"23*")&gt;0,COUNTIF(J7695,"*23*")&gt;0,COUNTIF(I7695,"24*")&gt;0,COUNTIF(J7695,"*24*")&gt;0,COUNTIF(I7695,"25*")&gt;0,COUNTIF(J7695,"*25*")&gt;0,COUNTIF(I7695,"26*")&gt;0,COUNTIF(J7695,"*26*")&gt;0,COUNTIF(I7695,"27*")&gt;0,COUNTIF(J7695,"*27*")&gt;0,COUNTIF(I7695,"28*")&gt;0,COUNTIF(J7695,"*28*")&gt;0,COUNTIF(I7695,"29*")&gt;0,COUNTIF(J7695,"*29*")&gt;0,COUNTIF(I7695,"30*")&gt;0,COUNTIF(J7695,"*30*")&gt;0,COUNTIF(I7695,"31*")&gt;0,COUNTIF(J7695,"*31*")&gt;0,COUNTIF(I7695,"32*")&gt;0,COUNTIF(J7695,"*32*")&gt;0,COUNTIF(I7695,"33*")&gt;0,COUNTIF(J7695,"*33*")&gt;0,COUNTIF(I7695,"41*")&gt;0,COUNTIF(J7695,"*41*")&gt;0,COUNTIF(I7695,"42*")&gt;0,COUNTIF(J7695,"*42*")&gt;0,COUNTIF(I7695,"43*")&gt;0,COUNTIF(J7695,"*43*")&gt;0,COUNTIF(I7695,"49*")&gt;0,COUNTIF(J7695,"*49*")&gt;0,COUNTIF(I7695,"52*")&gt;0,COUNTIF(J7695,"*52*")&gt;0,COUNTIF(I7695,"55*")&gt;0,COUNTIF(J7695,"*55*")&gt;0,COUNTIF(I7695,"56*")&gt;0,COUNTIF(J7695,"*56*")&gt;0,COUNTIF(I7695,"68*")&gt;0,COUNTIF(J7695,"*68*")&gt;0,COUNTIF(I7695,"78*")&gt;0,COUNTIF(J7695,"*78*")&gt;0,COUNTIF(I7695,"81*")&gt;0,COUNTIF(J7695,"*81*")&gt;0,COUNTIF(I7695,"82*")&gt;0,COUNTIF(J7695,"*82*")&gt;0,COUNTIF(I7695,"64*")&gt;0,COUNTIF(J7695,"*64*")&gt;0,COUNTIF(I7695,"65*")&gt;0,COUNTIF(J7695,"*65*")&gt;0,COUNTIF(I7695,"66*")&gt;0,COUNTIF(J7695,"*66*")&gt;0,COUNTIF(I7695,"61*")&gt;0,COUNTIF(J7695,"*61*")&gt;0,COUNTIF(I7695,"62*")&gt;0,COUNTIF(J7695,"*62*")&gt;0,COUNTIF(I7695,"63*")&gt;0,COUNTIF(J7695,"*63*")&gt;0,COUNTIF(I7695,"85*")&gt;0,COUNTIF(J7695,"*85*")&gt;0,COUNTIF(I7695,"86*")&gt;0,COUNTIF(J7695,"*86*")&gt;0),"Да","Нет"))</f>
        <v/>
      </c>
      <c r="M7695" s="13">
        <f>IF(OR(G7695="",L7695&lt;&gt;"Да"),"",IF(G7695&lt;=100,"До 100",IF(G7695&lt;=200,"До 200",IF(G7695&lt;=500,"До 500","Отдельное КП"))))</f>
        <v/>
      </c>
      <c r="N7695" s="15">
        <f>IF(OR(G7695="",L7695&lt;&gt;"Да"),"",IF(G7695&lt;=100,33600,IF(G7695&lt;=200,62400,IF(G7695&lt;=500,144000,""))))</f>
        <v/>
      </c>
      <c r="O7695" s="16">
        <f>IF(G7695="","",IF(G7695&lt;=15,"1–15",IF(G7695&lt;=30,"16–30",IF(G7695&lt;=50,"31–50",IF(G7695&lt;=100,"51–100",IF(G7695&lt;=150,"101–150",IF(G7695&lt;=200,"151–200",IF(G7695&lt;=500,"201–500","500+"))))))))</f>
        <v/>
      </c>
      <c r="P7695" s="16" t="inlineStr">
        <is>
          <t>Нет совпадения в предоставленной выгрузке ССЧР</t>
        </is>
      </c>
      <c r="Q7695" s="16" t="n"/>
      <c r="R7695" s="16">
        <f>HYPERLINK("https://checko.ru/search?query=3801001629","Чекко: проверить")</f>
        <v/>
      </c>
      <c r="S7695" t="n">
        <v>0</v>
      </c>
    </row>
    <row r="7696" ht="15" customHeight="1" s="24">
      <c r="A7696" s="13" t="inlineStr">
        <is>
          <t>FR926757</t>
        </is>
      </c>
      <c r="B7696" s="13" t="inlineStr">
        <is>
          <t>ИП Габидулина Алёна Михайловна</t>
        </is>
      </c>
      <c r="C7696" s="13" t="n">
        <v>381908311315</v>
      </c>
      <c r="D7696" s="13" t="inlineStr">
        <is>
          <t>381908311315</t>
        </is>
      </c>
      <c r="E7696" s="13" t="inlineStr">
        <is>
          <t>ИП РФ / физлицо</t>
        </is>
      </c>
      <c r="F7696" s="13" t="n"/>
      <c r="G7696" s="14" t="n"/>
      <c r="H7696" s="14" t="n"/>
      <c r="I7696" s="14" t="n"/>
      <c r="J7696" s="14" t="n"/>
      <c r="K7696" s="53" t="inlineStr"/>
      <c r="L7696" s="53" t="inlineStr">
        <is>
          <t>Не определено</t>
        </is>
      </c>
      <c r="M7696" s="53" t="inlineStr"/>
      <c r="N7696" s="54" t="inlineStr"/>
      <c r="O7696" s="55" t="inlineStr"/>
      <c r="P7696" s="16" t="inlineStr">
        <is>
          <t>Требует обогащения</t>
        </is>
      </c>
      <c r="Q7696" s="16">
        <f>HYPERLINK("https://pb.nalog.ru/search.html?query=381908311315","ФНС: проверить")</f>
        <v/>
      </c>
      <c r="R7696" s="16">
        <f>HYPERLINK("https://checko.ru/search?query=3801001629","Чекко: проверить")</f>
        <v/>
      </c>
      <c r="S7696" t="n">
        <v>1</v>
      </c>
      <c r="T7696" s="35" t="inlineStr">
        <is>
          <t>4 — Не обогащён</t>
        </is>
      </c>
      <c r="U7696" s="35" t="inlineStr">
        <is>
          <t>Нет ОКВЭД/ССЧР</t>
        </is>
      </c>
      <c r="V7696" s="35" t="inlineStr">
        <is>
          <t>Не определено</t>
        </is>
      </c>
      <c r="W7696" s="35" t="inlineStr"/>
      <c r="X7696" s="35" t="inlineStr"/>
    </row>
    <row r="7697" ht="27.75" customHeight="1" s="24">
      <c r="A7697" s="13" t="inlineStr">
        <is>
          <t>FR23158</t>
        </is>
      </c>
      <c r="B7697" s="13" t="inlineStr">
        <is>
          <t>Общество с ограниченной ответственностью "Армеда"</t>
        </is>
      </c>
      <c r="C7697" s="13" t="n">
        <v>2466243387</v>
      </c>
      <c r="D7697" s="13" t="inlineStr">
        <is>
          <t>2466243387</t>
        </is>
      </c>
      <c r="E7697" s="13" t="inlineStr">
        <is>
          <t>ЮЛ РФ</t>
        </is>
      </c>
      <c r="F7697" s="13" t="n"/>
      <c r="G7697" s="52" t="n">
        <v>4</v>
      </c>
      <c r="H7697" s="52" t="n">
        <v>2025</v>
      </c>
      <c r="I7697" s="14" t="n"/>
      <c r="J7697" s="14" t="n"/>
      <c r="K7697" s="53" t="inlineStr">
        <is>
          <t>Нет</t>
        </is>
      </c>
      <c r="L7697" s="53" t="inlineStr">
        <is>
          <t>Не определено</t>
        </is>
      </c>
      <c r="M7697" s="53" t="inlineStr">
        <is>
          <t>До 10</t>
        </is>
      </c>
      <c r="N7697" s="54" t="n">
        <v>3360</v>
      </c>
      <c r="O7697" s="55" t="inlineStr">
        <is>
          <t>1–15</t>
        </is>
      </c>
      <c r="P7697" s="16" t="inlineStr">
        <is>
          <t>ССЧР обогащена; ОКВЭД не найден/не загружен</t>
        </is>
      </c>
      <c r="Q7697" s="16" t="inlineStr">
        <is>
          <t>ФНС открытые данные ССЧР (ДатаСост 31.12.2025; набор 7707329152-sshr2019)</t>
        </is>
      </c>
      <c r="R7697" s="16">
        <f>HYPERLINK("https://checko.ru/search?query=3801001629","Чекко: проверить")</f>
        <v/>
      </c>
      <c r="S7697" t="n">
        <v>1</v>
      </c>
      <c r="T7697" s="35" t="inlineStr">
        <is>
          <t>4 — Не обогащён</t>
        </is>
      </c>
      <c r="U7697" s="35" t="inlineStr">
        <is>
          <t>Нет ОКВЭД/ССЧР</t>
        </is>
      </c>
      <c r="V7697" s="35" t="inlineStr">
        <is>
          <t>Не определено</t>
        </is>
      </c>
      <c r="W7697" s="35" t="inlineStr">
        <is>
          <t>Нет</t>
        </is>
      </c>
      <c r="X7697" s="35" t="inlineStr"/>
    </row>
    <row r="7698" ht="15" customHeight="1" s="24">
      <c r="A7698" s="13" t="inlineStr">
        <is>
          <t>FR477093</t>
        </is>
      </c>
      <c r="B7698" s="13" t="inlineStr">
        <is>
          <t>ИП Горожанина Екатерина Ивановна</t>
        </is>
      </c>
      <c r="C7698" s="13" t="n">
        <v>41104734878</v>
      </c>
      <c r="D7698" s="13" t="n"/>
      <c r="E7698" s="13" t="inlineStr">
        <is>
          <t>Не определён</t>
        </is>
      </c>
      <c r="F7698" s="13" t="n"/>
      <c r="G7698" s="14" t="n"/>
      <c r="H7698" s="14" t="n"/>
      <c r="I7698" s="14" t="n"/>
      <c r="J7698" s="14" t="n"/>
      <c r="K7698" s="13">
        <f>IF(G7698="","",IF(G7698&gt;=22,"Да","Нет"))</f>
        <v/>
      </c>
      <c r="L7698" s="13">
        <f>IF(OR(I7698="",J7698=""),"Не определено",IF(OR(COUNTIF(I7698,"45*")&gt;0,COUNTIF(J7698,"*45*")&gt;0,COUNTIF(I7698,"46*")&gt;0,COUNTIF(J7698,"*46*")&gt;0,COUNTIF(I7698,"47*")&gt;0,COUNTIF(J7698,"*47*")&gt;0,COUNTIF(I7698,"10*")&gt;0,COUNTIF(J7698,"*10*")&gt;0,COUNTIF(I7698,"11*")&gt;0,COUNTIF(J7698,"*11*")&gt;0,COUNTIF(I7698,"12*")&gt;0,COUNTIF(J7698,"*12*")&gt;0,COUNTIF(I7698,"13*")&gt;0,COUNTIF(J7698,"*13*")&gt;0,COUNTIF(I7698,"14*")&gt;0,COUNTIF(J7698,"*14*")&gt;0,COUNTIF(I7698,"15*")&gt;0,COUNTIF(J7698,"*15*")&gt;0,COUNTIF(I7698,"16*")&gt;0,COUNTIF(J7698,"*16*")&gt;0,COUNTIF(I7698,"17*")&gt;0,COUNTIF(J7698,"*17*")&gt;0,COUNTIF(I7698,"18*")&gt;0,COUNTIF(J7698,"*18*")&gt;0,COUNTIF(I7698,"19*")&gt;0,COUNTIF(J7698,"*19*")&gt;0,COUNTIF(I7698,"20*")&gt;0,COUNTIF(J7698,"*20*")&gt;0,COUNTIF(I7698,"21*")&gt;0,COUNTIF(J7698,"*21*")&gt;0,COUNTIF(I7698,"22*")&gt;0,COUNTIF(J7698,"*22*")&gt;0,COUNTIF(I7698,"23*")&gt;0,COUNTIF(J7698,"*23*")&gt;0,COUNTIF(I7698,"24*")&gt;0,COUNTIF(J7698,"*24*")&gt;0,COUNTIF(I7698,"25*")&gt;0,COUNTIF(J7698,"*25*")&gt;0,COUNTIF(I7698,"26*")&gt;0,COUNTIF(J7698,"*26*")&gt;0,COUNTIF(I7698,"27*")&gt;0,COUNTIF(J7698,"*27*")&gt;0,COUNTIF(I7698,"28*")&gt;0,COUNTIF(J7698,"*28*")&gt;0,COUNTIF(I7698,"29*")&gt;0,COUNTIF(J7698,"*29*")&gt;0,COUNTIF(I7698,"30*")&gt;0,COUNTIF(J7698,"*30*")&gt;0,COUNTIF(I7698,"31*")&gt;0,COUNTIF(J7698,"*31*")&gt;0,COUNTIF(I7698,"32*")&gt;0,COUNTIF(J7698,"*32*")&gt;0,COUNTIF(I7698,"33*")&gt;0,COUNTIF(J7698,"*33*")&gt;0,COUNTIF(I7698,"41*")&gt;0,COUNTIF(J7698,"*41*")&gt;0,COUNTIF(I7698,"42*")&gt;0,COUNTIF(J7698,"*42*")&gt;0,COUNTIF(I7698,"43*")&gt;0,COUNTIF(J7698,"*43*")&gt;0,COUNTIF(I7698,"49*")&gt;0,COUNTIF(J7698,"*49*")&gt;0,COUNTIF(I7698,"52*")&gt;0,COUNTIF(J7698,"*52*")&gt;0,COUNTIF(I7698,"55*")&gt;0,COUNTIF(J7698,"*55*")&gt;0,COUNTIF(I7698,"56*")&gt;0,COUNTIF(J7698,"*56*")&gt;0,COUNTIF(I7698,"68*")&gt;0,COUNTIF(J7698,"*68*")&gt;0,COUNTIF(I7698,"78*")&gt;0,COUNTIF(J7698,"*78*")&gt;0,COUNTIF(I7698,"81*")&gt;0,COUNTIF(J7698,"*81*")&gt;0,COUNTIF(I7698,"82*")&gt;0,COUNTIF(J7698,"*82*")&gt;0,COUNTIF(I7698,"64*")&gt;0,COUNTIF(J7698,"*64*")&gt;0,COUNTIF(I7698,"65*")&gt;0,COUNTIF(J7698,"*65*")&gt;0,COUNTIF(I7698,"66*")&gt;0,COUNTIF(J7698,"*66*")&gt;0,COUNTIF(I7698,"61*")&gt;0,COUNTIF(J7698,"*61*")&gt;0,COUNTIF(I7698,"62*")&gt;0,COUNTIF(J7698,"*62*")&gt;0,COUNTIF(I7698,"63*")&gt;0,COUNTIF(J7698,"*63*")&gt;0,COUNTIF(I7698,"85*")&gt;0,COUNTIF(J7698,"*85*")&gt;0,COUNTIF(I7698,"86*")&gt;0,COUNTIF(J7698,"*86*")&gt;0),"Да","Нет"))</f>
        <v/>
      </c>
      <c r="M7698" s="13">
        <f>IF(OR(G7698="",L7698&lt;&gt;"Да"),"",IF(G7698&lt;=100,"До 100",IF(G7698&lt;=200,"До 200",IF(G7698&lt;=500,"До 500","Отдельное КП"))))</f>
        <v/>
      </c>
      <c r="N7698" s="15">
        <f>IF(OR(G7698="",L7698&lt;&gt;"Да"),"",IF(G7698&lt;=100,33600,IF(G7698&lt;=200,62400,IF(G7698&lt;=500,144000,""))))</f>
        <v/>
      </c>
      <c r="O7698" s="16">
        <f>IF(G7698="","",IF(G7698&lt;=15,"1–15",IF(G7698&lt;=30,"16–30",IF(G7698&lt;=50,"31–50",IF(G7698&lt;=100,"51–100",IF(G7698&lt;=150,"101–150",IF(G7698&lt;=200,"151–200",IF(G7698&lt;=500,"201–500","500+"))))))))</f>
        <v/>
      </c>
      <c r="P7698" s="16" t="inlineStr">
        <is>
          <t>Нет совпадения в предоставленной выгрузке ССЧР</t>
        </is>
      </c>
      <c r="Q7698" s="16" t="n"/>
      <c r="R7698" s="16">
        <f>HYPERLINK("https://checko.ru/search?query=3801001629","Чекко: проверить")</f>
        <v/>
      </c>
      <c r="S7698" t="n">
        <v>0</v>
      </c>
    </row>
    <row r="7699" ht="15" customHeight="1" s="24">
      <c r="A7699" s="13" t="inlineStr">
        <is>
          <t>FR1032068</t>
        </is>
      </c>
      <c r="B7699" s="13" t="inlineStr">
        <is>
          <t>ИП Коняева Валентина Владимировна</t>
        </is>
      </c>
      <c r="C7699" s="13" t="n">
        <v>850301819968</v>
      </c>
      <c r="D7699" s="13" t="inlineStr">
        <is>
          <t>850301819968</t>
        </is>
      </c>
      <c r="E7699" s="13" t="inlineStr">
        <is>
          <t>ИП РФ / физлицо</t>
        </is>
      </c>
      <c r="F7699" s="13" t="n"/>
      <c r="G7699" s="14" t="n"/>
      <c r="H7699" s="14" t="n"/>
      <c r="I7699" s="14" t="n"/>
      <c r="J7699" s="14" t="n"/>
      <c r="K7699" s="53" t="inlineStr"/>
      <c r="L7699" s="53" t="inlineStr">
        <is>
          <t>Не определено</t>
        </is>
      </c>
      <c r="M7699" s="53" t="inlineStr"/>
      <c r="N7699" s="54" t="inlineStr"/>
      <c r="O7699" s="55" t="inlineStr"/>
      <c r="P7699" s="16" t="inlineStr">
        <is>
          <t>Требует обогащения</t>
        </is>
      </c>
      <c r="Q7699" s="16">
        <f>HYPERLINK("https://pb.nalog.ru/search.html?query=850301819968","ФНС: проверить")</f>
        <v/>
      </c>
      <c r="R7699" s="16">
        <f>HYPERLINK("https://checko.ru/search?query=3801001629","Чекко: проверить")</f>
        <v/>
      </c>
      <c r="S7699" t="n">
        <v>1</v>
      </c>
      <c r="T7699" s="35" t="inlineStr">
        <is>
          <t>4 — Не обогащён</t>
        </is>
      </c>
      <c r="U7699" s="35" t="inlineStr">
        <is>
          <t>Нет ОКВЭД/ССЧР</t>
        </is>
      </c>
      <c r="V7699" s="35" t="inlineStr">
        <is>
          <t>Не определено</t>
        </is>
      </c>
      <c r="W7699" s="35" t="inlineStr"/>
      <c r="X7699" s="35" t="inlineStr"/>
    </row>
    <row r="7700" ht="27.75" customHeight="1" s="24">
      <c r="A7700" s="13" t="inlineStr">
        <is>
          <t>FR713729</t>
        </is>
      </c>
      <c r="B7700" s="13" t="inlineStr">
        <is>
          <t>Общество с ограниченной ответственностью "ЭМЕРКОМ ИРКУТСК"</t>
        </is>
      </c>
      <c r="C7700" s="13" t="n">
        <v>3808279454</v>
      </c>
      <c r="D7700" s="13" t="inlineStr">
        <is>
          <t>3808279454</t>
        </is>
      </c>
      <c r="E7700" s="13" t="inlineStr">
        <is>
          <t>ЮЛ РФ</t>
        </is>
      </c>
      <c r="F7700" s="13" t="n"/>
      <c r="G7700" s="52" t="n">
        <v>0</v>
      </c>
      <c r="H7700" s="52" t="n">
        <v>2025</v>
      </c>
      <c r="I7700" s="14" t="n"/>
      <c r="J7700" s="14" t="n"/>
      <c r="K7700" s="53" t="inlineStr">
        <is>
          <t>Нет</t>
        </is>
      </c>
      <c r="L7700" s="53" t="inlineStr">
        <is>
          <t>Не определено</t>
        </is>
      </c>
      <c r="M7700" s="53" t="inlineStr">
        <is>
          <t>До 10</t>
        </is>
      </c>
      <c r="N7700" s="54" t="n">
        <v>3360</v>
      </c>
      <c r="O7700" s="55" t="inlineStr">
        <is>
          <t>1–15</t>
        </is>
      </c>
      <c r="P7700" s="16" t="inlineStr">
        <is>
          <t>ССЧР обогащена; ОКВЭД не найден/не загружен</t>
        </is>
      </c>
      <c r="Q7700" s="16" t="inlineStr">
        <is>
          <t>ФНС открытые данные ССЧР (ДатаСост 31.12.2025; набор 7707329152-sshr2019)</t>
        </is>
      </c>
      <c r="R7700" s="16">
        <f>HYPERLINK("https://checko.ru/search?query=3801001629","Чекко: проверить")</f>
        <v/>
      </c>
      <c r="S7700" t="n">
        <v>1</v>
      </c>
      <c r="T7700" s="35" t="inlineStr">
        <is>
          <t>4 — Не обогащён</t>
        </is>
      </c>
      <c r="U7700" s="35" t="inlineStr">
        <is>
          <t>Нет ОКВЭД/ССЧР</t>
        </is>
      </c>
      <c r="V7700" s="35" t="inlineStr">
        <is>
          <t>Не определено</t>
        </is>
      </c>
      <c r="W7700" s="35" t="inlineStr">
        <is>
          <t>Нет</t>
        </is>
      </c>
      <c r="X7700" s="35" t="inlineStr"/>
    </row>
    <row r="7701" ht="27.75" customHeight="1" s="24">
      <c r="A7701" s="13" t="inlineStr">
        <is>
          <t>FR1268604</t>
        </is>
      </c>
      <c r="B7701" s="13" t="inlineStr">
        <is>
          <t>Общество с ограниченной ответственностью "ФОРУМ"</t>
        </is>
      </c>
      <c r="C7701" s="13" t="n">
        <v>9709128511</v>
      </c>
      <c r="D7701" s="13" t="inlineStr">
        <is>
          <t>9709128511</t>
        </is>
      </c>
      <c r="E7701" s="13" t="inlineStr">
        <is>
          <t>ЮЛ РФ</t>
        </is>
      </c>
      <c r="F7701" s="13" t="n"/>
      <c r="G7701" s="52" t="n">
        <v>1</v>
      </c>
      <c r="H7701" s="52" t="n">
        <v>2025</v>
      </c>
      <c r="I7701" s="14" t="n"/>
      <c r="J7701" s="14" t="n"/>
      <c r="K7701" s="53" t="inlineStr">
        <is>
          <t>Нет</t>
        </is>
      </c>
      <c r="L7701" s="53" t="inlineStr">
        <is>
          <t>Не определено</t>
        </is>
      </c>
      <c r="M7701" s="53" t="inlineStr">
        <is>
          <t>До 10</t>
        </is>
      </c>
      <c r="N7701" s="54" t="n">
        <v>3360</v>
      </c>
      <c r="O7701" s="55" t="inlineStr">
        <is>
          <t>1–15</t>
        </is>
      </c>
      <c r="P7701" s="16" t="inlineStr">
        <is>
          <t>ССЧР обогащена; ОКВЭД не найден/не загружен</t>
        </is>
      </c>
      <c r="Q7701" s="16" t="inlineStr">
        <is>
          <t>ФНС открытые данные ССЧР (ДатаСост 31.12.2025; набор 7707329152-sshr2019)</t>
        </is>
      </c>
      <c r="R7701" s="16">
        <f>HYPERLINK("https://checko.ru/search?query=3801001629","Чекко: проверить")</f>
        <v/>
      </c>
      <c r="S7701" t="n">
        <v>1</v>
      </c>
      <c r="T7701" s="35" t="inlineStr">
        <is>
          <t>4 — Не обогащён</t>
        </is>
      </c>
      <c r="U7701" s="35" t="inlineStr">
        <is>
          <t>Нет ОКВЭД/ССЧР</t>
        </is>
      </c>
      <c r="V7701" s="35" t="inlineStr">
        <is>
          <t>Не определено</t>
        </is>
      </c>
      <c r="W7701" s="35" t="inlineStr">
        <is>
          <t>Нет</t>
        </is>
      </c>
      <c r="X7701" s="35" t="inlineStr"/>
    </row>
    <row r="7702" ht="27.75" customHeight="1" s="24">
      <c r="A7702" s="13" t="inlineStr">
        <is>
          <t>FR974337</t>
        </is>
      </c>
      <c r="B7702" s="13" t="inlineStr">
        <is>
          <t>Общество с ограниченной ответственностью "СТЕПАНЫЧ"</t>
        </is>
      </c>
      <c r="C7702" s="13" t="n">
        <v>3812999568</v>
      </c>
      <c r="D7702" s="13" t="inlineStr">
        <is>
          <t>3812999568</t>
        </is>
      </c>
      <c r="E7702" s="13" t="inlineStr">
        <is>
          <t>ЮЛ РФ</t>
        </is>
      </c>
      <c r="F7702" s="13" t="n"/>
      <c r="G7702" s="52" t="n">
        <v>5</v>
      </c>
      <c r="H7702" s="52" t="n">
        <v>2025</v>
      </c>
      <c r="I7702" s="14" t="n"/>
      <c r="J7702" s="14" t="n"/>
      <c r="K7702" s="53" t="inlineStr">
        <is>
          <t>Нет</t>
        </is>
      </c>
      <c r="L7702" s="53" t="inlineStr">
        <is>
          <t>Не определено</t>
        </is>
      </c>
      <c r="M7702" s="53" t="inlineStr">
        <is>
          <t>До 10</t>
        </is>
      </c>
      <c r="N7702" s="54" t="n">
        <v>3360</v>
      </c>
      <c r="O7702" s="55" t="inlineStr">
        <is>
          <t>1–15</t>
        </is>
      </c>
      <c r="P7702" s="16" t="inlineStr">
        <is>
          <t>ССЧР обогащена; ОКВЭД не найден/не загружен</t>
        </is>
      </c>
      <c r="Q7702" s="16" t="inlineStr">
        <is>
          <t>ФНС открытые данные ССЧР (ДатаСост 31.12.2025; набор 7707329152-sshr2019)</t>
        </is>
      </c>
      <c r="R7702" s="16">
        <f>HYPERLINK("https://checko.ru/search?query=3801001629","Чекко: проверить")</f>
        <v/>
      </c>
      <c r="S7702" t="n">
        <v>1</v>
      </c>
      <c r="T7702" s="35" t="inlineStr">
        <is>
          <t>4 — Не обогащён</t>
        </is>
      </c>
      <c r="U7702" s="35" t="inlineStr">
        <is>
          <t>Нет ОКВЭД/ССЧР</t>
        </is>
      </c>
      <c r="V7702" s="35" t="inlineStr">
        <is>
          <t>Не определено</t>
        </is>
      </c>
      <c r="W7702" s="35" t="inlineStr">
        <is>
          <t>Нет</t>
        </is>
      </c>
      <c r="X7702" s="35" t="inlineStr"/>
    </row>
    <row r="7703" ht="15" customHeight="1" s="24">
      <c r="A7703" s="13" t="inlineStr">
        <is>
          <t>FR1138432</t>
        </is>
      </c>
      <c r="B7703" s="13" t="inlineStr">
        <is>
          <t>ИП Власова Евгения Юрьевна</t>
        </is>
      </c>
      <c r="C7703" s="13" t="n">
        <v>380408191030</v>
      </c>
      <c r="D7703" s="13" t="inlineStr">
        <is>
          <t>380408191030</t>
        </is>
      </c>
      <c r="E7703" s="13" t="inlineStr">
        <is>
          <t>ИП РФ / физлицо</t>
        </is>
      </c>
      <c r="F7703" s="13" t="n"/>
      <c r="G7703" s="14" t="n"/>
      <c r="H7703" s="14" t="n"/>
      <c r="I7703" s="14" t="n"/>
      <c r="J7703" s="14" t="n"/>
      <c r="K7703" s="53" t="inlineStr"/>
      <c r="L7703" s="53" t="inlineStr">
        <is>
          <t>Не определено</t>
        </is>
      </c>
      <c r="M7703" s="53" t="inlineStr"/>
      <c r="N7703" s="54" t="inlineStr"/>
      <c r="O7703" s="55" t="inlineStr"/>
      <c r="P7703" s="16" t="inlineStr">
        <is>
          <t>Требует обогащения</t>
        </is>
      </c>
      <c r="Q7703" s="16">
        <f>HYPERLINK("https://pb.nalog.ru/search.html?query=380408191030","ФНС: проверить")</f>
        <v/>
      </c>
      <c r="R7703" s="16">
        <f>HYPERLINK("https://checko.ru/search?query=3801001629","Чекко: проверить")</f>
        <v/>
      </c>
      <c r="S7703" t="n">
        <v>1</v>
      </c>
      <c r="T7703" s="35" t="inlineStr">
        <is>
          <t>4 — Не обогащён</t>
        </is>
      </c>
      <c r="U7703" s="35" t="inlineStr">
        <is>
          <t>Нет ОКВЭД/ССЧР</t>
        </is>
      </c>
      <c r="V7703" s="35" t="inlineStr">
        <is>
          <t>Не определено</t>
        </is>
      </c>
      <c r="W7703" s="35" t="inlineStr"/>
      <c r="X7703" s="35" t="inlineStr"/>
    </row>
    <row r="7704" ht="41.25" customHeight="1" s="24">
      <c r="A7704" s="13" t="inlineStr">
        <is>
          <t>FR365308</t>
        </is>
      </c>
      <c r="B7704" s="13" t="inlineStr">
        <is>
          <t>ОБЛАСТНОЕ ГОСУДАРСТВЕННОЕ БЮДЖЕТНОЕ УЧРЕЖДЕНИЕ СОЦИАЛЬНОГО ОБСЛУЖИВАНИЯ "УСТЬ-ИЛИМСКИЙ ДОМ-ИНТЕРНАТ</t>
        </is>
      </c>
      <c r="C7704" s="13" t="n">
        <v>3817025449</v>
      </c>
      <c r="D7704" s="13" t="inlineStr">
        <is>
          <t>3817025449</t>
        </is>
      </c>
      <c r="E7704" s="13" t="inlineStr">
        <is>
          <t>ЮЛ РФ</t>
        </is>
      </c>
      <c r="F7704" s="13" t="n"/>
      <c r="G7704" s="14" t="n"/>
      <c r="H7704" s="14" t="n"/>
      <c r="I7704" s="14" t="n"/>
      <c r="J7704" s="14" t="n"/>
      <c r="K7704" s="53" t="inlineStr"/>
      <c r="L7704" s="53" t="inlineStr">
        <is>
          <t>Не определено</t>
        </is>
      </c>
      <c r="M7704" s="53" t="inlineStr"/>
      <c r="N7704" s="54" t="inlineStr"/>
      <c r="O7704" s="55" t="inlineStr"/>
      <c r="P7704" s="16" t="inlineStr">
        <is>
          <t>Требует обогащения</t>
        </is>
      </c>
      <c r="Q7704" s="16">
        <f>HYPERLINK("https://pb.nalog.ru/search.html?query=3817025449","ФНС: проверить")</f>
        <v/>
      </c>
      <c r="R7704" s="16">
        <f>HYPERLINK("https://checko.ru/search?query=3801001629","Чекко: проверить")</f>
        <v/>
      </c>
      <c r="S7704" t="n">
        <v>0</v>
      </c>
      <c r="T7704" s="35" t="inlineStr">
        <is>
          <t>4 — Не обогащён</t>
        </is>
      </c>
      <c r="U7704" s="35" t="inlineStr">
        <is>
          <t>Нет ОКВЭД/ССЧР</t>
        </is>
      </c>
      <c r="V7704" s="35" t="inlineStr">
        <is>
          <t>Не определено</t>
        </is>
      </c>
      <c r="W7704" s="35" t="inlineStr"/>
      <c r="X7704" s="35" t="inlineStr"/>
    </row>
    <row r="7705" ht="41.25" customHeight="1" s="24">
      <c r="A7705" s="13" t="inlineStr">
        <is>
          <t>FR539720</t>
        </is>
      </c>
      <c r="B7705" s="13" t="inlineStr">
        <is>
          <t>ОБЛАСТНОЕ ГОСУДАРСТВЕННОЕ БЮДЖЕТНОЕ УЧРЕЖДЕНИЕ "ЦЕНТР СПОРТИВНОЙ ПОДГОТОВКИ СБОРНЫХ КОМАНД ИРКУТСКОЙ</t>
        </is>
      </c>
      <c r="C7705" s="13" t="n">
        <v>3808235249</v>
      </c>
      <c r="D7705" s="13" t="inlineStr">
        <is>
          <t>3808235249</t>
        </is>
      </c>
      <c r="E7705" s="13" t="inlineStr">
        <is>
          <t>ЮЛ РФ</t>
        </is>
      </c>
      <c r="F7705" s="13" t="n"/>
      <c r="G7705" s="14" t="n"/>
      <c r="H7705" s="14" t="n"/>
      <c r="I7705" s="14" t="n"/>
      <c r="J7705" s="14" t="n"/>
      <c r="K7705" s="53" t="inlineStr"/>
      <c r="L7705" s="53" t="inlineStr">
        <is>
          <t>Не определено</t>
        </is>
      </c>
      <c r="M7705" s="53" t="inlineStr"/>
      <c r="N7705" s="54" t="inlineStr"/>
      <c r="O7705" s="55" t="inlineStr"/>
      <c r="P7705" s="16" t="inlineStr">
        <is>
          <t>Требует обогащения</t>
        </is>
      </c>
      <c r="Q7705" s="16">
        <f>HYPERLINK("https://pb.nalog.ru/search.html?query=3808235249","ФНС: проверить")</f>
        <v/>
      </c>
      <c r="R7705" s="16">
        <f>HYPERLINK("https://checko.ru/search?query=3801001629","Чекко: проверить")</f>
        <v/>
      </c>
      <c r="S7705" t="n">
        <v>0</v>
      </c>
      <c r="T7705" s="35" t="inlineStr">
        <is>
          <t>4 — Не обогащён</t>
        </is>
      </c>
      <c r="U7705" s="35" t="inlineStr">
        <is>
          <t>Нет ОКВЭД/ССЧР</t>
        </is>
      </c>
      <c r="V7705" s="35" t="inlineStr">
        <is>
          <t>Не определено</t>
        </is>
      </c>
      <c r="W7705" s="35" t="inlineStr"/>
      <c r="X7705" s="35" t="inlineStr"/>
    </row>
    <row r="7706" ht="41.25" customHeight="1" s="24">
      <c r="A7706" s="13" t="inlineStr">
        <is>
          <t>FR396173</t>
        </is>
      </c>
      <c r="B7706" s="13" t="inlineStr">
        <is>
          <t>Государственное бюджетное учреждение здравоохранения Тверской области «Бежецкая центральная районная больница»</t>
        </is>
      </c>
      <c r="C7706" s="13" t="n">
        <v>6906000963</v>
      </c>
      <c r="D7706" s="13" t="inlineStr">
        <is>
          <t>6906000963</t>
        </is>
      </c>
      <c r="E7706" s="13" t="inlineStr">
        <is>
          <t>ЮЛ РФ</t>
        </is>
      </c>
      <c r="F7706" s="13" t="n"/>
      <c r="G7706" s="14" t="n"/>
      <c r="H7706" s="14" t="n"/>
      <c r="I7706" s="14" t="n"/>
      <c r="J7706" s="14" t="n"/>
      <c r="K7706" s="53" t="inlineStr"/>
      <c r="L7706" s="53" t="inlineStr">
        <is>
          <t>Не определено</t>
        </is>
      </c>
      <c r="M7706" s="53" t="inlineStr"/>
      <c r="N7706" s="54" t="inlineStr"/>
      <c r="O7706" s="55" t="inlineStr"/>
      <c r="P7706" s="16" t="inlineStr">
        <is>
          <t>Требует обогащения</t>
        </is>
      </c>
      <c r="Q7706" s="16">
        <f>HYPERLINK("https://pb.nalog.ru/search.html?query=6906000963","ФНС: проверить")</f>
        <v/>
      </c>
      <c r="R7706" s="16">
        <f>HYPERLINK("https://checko.ru/search?query=3801001629","Чекко: проверить")</f>
        <v/>
      </c>
      <c r="S7706" t="n">
        <v>1</v>
      </c>
      <c r="T7706" s="35" t="inlineStr">
        <is>
          <t>4 — Не обогащён</t>
        </is>
      </c>
      <c r="U7706" s="35" t="inlineStr">
        <is>
          <t>Нет ОКВЭД/ССЧР</t>
        </is>
      </c>
      <c r="V7706" s="35" t="inlineStr">
        <is>
          <t>Не определено</t>
        </is>
      </c>
      <c r="W7706" s="35" t="inlineStr"/>
      <c r="X7706" s="35" t="inlineStr"/>
    </row>
    <row r="7707" ht="41.25" customHeight="1" s="24">
      <c r="A7707" s="13" t="inlineStr">
        <is>
          <t>FR281862</t>
        </is>
      </c>
      <c r="B7707" s="13" t="inlineStr">
        <is>
          <t>ОБЛАСТНОЕ ГОСУДАРСТВЕННОЕ БЮДЖЕТНОЕ УЧРЕЖДЕНИЕ ЗДРАВООХРАНЕНИЯ "УСТЬ-КУТСКАЯ РАЙОННАЯ БОЛЬНИЦА"</t>
        </is>
      </c>
      <c r="C7707" s="13" t="n">
        <v>3818007019</v>
      </c>
      <c r="D7707" s="13" t="inlineStr">
        <is>
          <t>3818007019</t>
        </is>
      </c>
      <c r="E7707" s="13" t="inlineStr">
        <is>
          <t>ЮЛ РФ</t>
        </is>
      </c>
      <c r="F7707" s="13" t="n"/>
      <c r="G7707" s="14" t="n"/>
      <c r="H7707" s="14" t="n"/>
      <c r="I7707" s="14" t="n"/>
      <c r="J7707" s="14" t="n"/>
      <c r="K7707" s="53" t="inlineStr"/>
      <c r="L7707" s="53" t="inlineStr">
        <is>
          <t>Не определено</t>
        </is>
      </c>
      <c r="M7707" s="53" t="inlineStr"/>
      <c r="N7707" s="54" t="inlineStr"/>
      <c r="O7707" s="55" t="inlineStr"/>
      <c r="P7707" s="16" t="inlineStr">
        <is>
          <t>Требует обогащения</t>
        </is>
      </c>
      <c r="Q7707" s="16">
        <f>HYPERLINK("https://pb.nalog.ru/search.html?query=3818007019","ФНС: проверить")</f>
        <v/>
      </c>
      <c r="R7707" s="16">
        <f>HYPERLINK("https://checko.ru/search?query=3801001629","Чекко: проверить")</f>
        <v/>
      </c>
      <c r="S7707" t="n">
        <v>0</v>
      </c>
      <c r="T7707" s="35" t="inlineStr">
        <is>
          <t>4 — Не обогащён</t>
        </is>
      </c>
      <c r="U7707" s="35" t="inlineStr">
        <is>
          <t>Нет ОКВЭД/ССЧР</t>
        </is>
      </c>
      <c r="V7707" s="35" t="inlineStr">
        <is>
          <t>Не определено</t>
        </is>
      </c>
      <c r="W7707" s="35" t="inlineStr"/>
      <c r="X7707" s="35" t="inlineStr"/>
    </row>
    <row r="7708" ht="41.25" customHeight="1" s="24">
      <c r="A7708" s="13" t="inlineStr">
        <is>
          <t>FR292999</t>
        </is>
      </c>
      <c r="B7708" s="13" t="inlineStr">
        <is>
          <t>ГОСУДАРСТВЕННОЕ БЮДЖЕТНОЕ УЧРЕЖДЕНИЕ СОЦИАЛЬНОГО ОБСЛУЖИВАНИЯ КРАСНОДАРСКОГО КРАЯ "АРМАВИРСКИЙ РЕАБИ</t>
        </is>
      </c>
      <c r="C7708" s="13" t="n">
        <v>2302027299</v>
      </c>
      <c r="D7708" s="13" t="inlineStr">
        <is>
          <t>2302027299</t>
        </is>
      </c>
      <c r="E7708" s="13" t="inlineStr">
        <is>
          <t>ЮЛ РФ</t>
        </is>
      </c>
      <c r="F7708" s="13" t="n"/>
      <c r="G7708" s="14" t="n"/>
      <c r="H7708" s="14" t="n"/>
      <c r="I7708" s="14" t="n"/>
      <c r="J7708" s="14" t="n"/>
      <c r="K7708" s="53" t="inlineStr"/>
      <c r="L7708" s="53" t="inlineStr">
        <is>
          <t>Не определено</t>
        </is>
      </c>
      <c r="M7708" s="53" t="inlineStr"/>
      <c r="N7708" s="54" t="inlineStr"/>
      <c r="O7708" s="55" t="inlineStr"/>
      <c r="P7708" s="16" t="inlineStr">
        <is>
          <t>Требует обогащения</t>
        </is>
      </c>
      <c r="Q7708" s="16">
        <f>HYPERLINK("https://pb.nalog.ru/search.html?query=2302027299","ФНС: проверить")</f>
        <v/>
      </c>
      <c r="R7708" s="16">
        <f>HYPERLINK("https://checko.ru/search?query=3801001629","Чекко: проверить")</f>
        <v/>
      </c>
      <c r="S7708" t="n">
        <v>1</v>
      </c>
      <c r="T7708" s="35" t="inlineStr">
        <is>
          <t>4 — Не обогащён</t>
        </is>
      </c>
      <c r="U7708" s="35" t="inlineStr">
        <is>
          <t>Нет ОКВЭД/ССЧР</t>
        </is>
      </c>
      <c r="V7708" s="35" t="inlineStr">
        <is>
          <t>Не определено</t>
        </is>
      </c>
      <c r="W7708" s="35" t="inlineStr"/>
      <c r="X7708" s="35" t="inlineStr"/>
    </row>
    <row r="7709" ht="27.75" customHeight="1" s="24">
      <c r="A7709" s="13" t="inlineStr">
        <is>
          <t>FR284766</t>
        </is>
      </c>
      <c r="B7709" s="13" t="inlineStr">
        <is>
          <t>ГОСУДАРСТВЕННОЕ ОМСКОЕ ОПТОВО-РОЗНИЧНОЕ ПРОИЗВОДСТВЕННОЕ ПРЕДПРИЯТИЕ "ФАРМАЦИЯ"</t>
        </is>
      </c>
      <c r="C7709" s="13" t="n">
        <v>5503007178</v>
      </c>
      <c r="D7709" s="13" t="inlineStr">
        <is>
          <t>5503007178</t>
        </is>
      </c>
      <c r="E7709" s="13" t="inlineStr">
        <is>
          <t>ЮЛ РФ</t>
        </is>
      </c>
      <c r="F7709" s="13" t="n"/>
      <c r="G7709" s="14" t="n"/>
      <c r="H7709" s="14" t="n"/>
      <c r="I7709" s="14" t="n"/>
      <c r="J7709" s="14" t="n"/>
      <c r="K7709" s="53" t="inlineStr"/>
      <c r="L7709" s="53" t="inlineStr">
        <is>
          <t>Не определено</t>
        </is>
      </c>
      <c r="M7709" s="53" t="inlineStr"/>
      <c r="N7709" s="54" t="inlineStr"/>
      <c r="O7709" s="55" t="inlineStr"/>
      <c r="P7709" s="16" t="inlineStr">
        <is>
          <t>Требует обогащения</t>
        </is>
      </c>
      <c r="Q7709" s="16">
        <f>HYPERLINK("https://pb.nalog.ru/search.html?query=5503007178","ФНС: проверить")</f>
        <v/>
      </c>
      <c r="R7709" s="16">
        <f>HYPERLINK("https://checko.ru/search?query=3801001629","Чекко: проверить")</f>
        <v/>
      </c>
      <c r="S7709" t="n">
        <v>1</v>
      </c>
      <c r="T7709" s="35" t="inlineStr">
        <is>
          <t>4 — Не обогащён</t>
        </is>
      </c>
      <c r="U7709" s="35" t="inlineStr">
        <is>
          <t>Нет ОКВЭД/ССЧР</t>
        </is>
      </c>
      <c r="V7709" s="35" t="inlineStr">
        <is>
          <t>Не определено</t>
        </is>
      </c>
      <c r="W7709" s="35" t="inlineStr"/>
      <c r="X7709" s="35" t="inlineStr"/>
    </row>
    <row r="7710" ht="41.25" customHeight="1" s="24">
      <c r="A7710" s="13" t="inlineStr">
        <is>
          <t>FR317871</t>
        </is>
      </c>
      <c r="B7710" s="13" t="inlineStr">
        <is>
          <t>ГОСУДАРСТВЕННОЕ БЮДЖЕТНОЕ УЧРЕЖДЕНИЕ ЗДРАВООХРАНЕНИЯ "ИРКУТСКАЯ ОБЛАСТНАЯ СТАНЦИЯ ПЕРЕЛИВАНИЯ КРОВИ"</t>
        </is>
      </c>
      <c r="C7710" s="13" t="n">
        <v>3811030650</v>
      </c>
      <c r="D7710" s="13" t="inlineStr">
        <is>
          <t>3811030650</t>
        </is>
      </c>
      <c r="E7710" s="13" t="inlineStr">
        <is>
          <t>ЮЛ РФ</t>
        </is>
      </c>
      <c r="F7710" s="13" t="n"/>
      <c r="G7710" s="14" t="n"/>
      <c r="H7710" s="14" t="n"/>
      <c r="I7710" s="14" t="n"/>
      <c r="J7710" s="14" t="n"/>
      <c r="K7710" s="53" t="inlineStr"/>
      <c r="L7710" s="53" t="inlineStr">
        <is>
          <t>Не определено</t>
        </is>
      </c>
      <c r="M7710" s="53" t="inlineStr"/>
      <c r="N7710" s="54" t="inlineStr"/>
      <c r="O7710" s="55" t="inlineStr"/>
      <c r="P7710" s="16" t="inlineStr">
        <is>
          <t>Требует обогащения</t>
        </is>
      </c>
      <c r="Q7710" s="16">
        <f>HYPERLINK("https://pb.nalog.ru/search.html?query=3811030650","ФНС: проверить")</f>
        <v/>
      </c>
      <c r="R7710" s="16">
        <f>HYPERLINK("https://checko.ru/search?query=3801001629","Чекко: проверить")</f>
        <v/>
      </c>
      <c r="S7710" t="n">
        <v>0</v>
      </c>
      <c r="T7710" s="35" t="inlineStr">
        <is>
          <t>4 — Не обогащён</t>
        </is>
      </c>
      <c r="U7710" s="35" t="inlineStr">
        <is>
          <t>Нет ОКВЭД/ССЧР</t>
        </is>
      </c>
      <c r="V7710" s="35" t="inlineStr">
        <is>
          <t>Не определено</t>
        </is>
      </c>
      <c r="W7710" s="35" t="inlineStr"/>
      <c r="X7710" s="35" t="inlineStr"/>
    </row>
    <row r="7711" ht="15" customHeight="1" s="24">
      <c r="A7711" s="13" t="inlineStr">
        <is>
          <t>FR297199</t>
        </is>
      </c>
      <c r="B7711" s="13" t="inlineStr">
        <is>
          <t>Областной центр врачебной косметологии</t>
        </is>
      </c>
      <c r="C7711" s="13" t="n">
        <v>3808002910</v>
      </c>
      <c r="D7711" s="13" t="inlineStr">
        <is>
          <t>3808002910</t>
        </is>
      </c>
      <c r="E7711" s="13" t="inlineStr">
        <is>
          <t>ЮЛ РФ</t>
        </is>
      </c>
      <c r="F7711" s="13" t="n"/>
      <c r="G7711" s="14" t="n"/>
      <c r="H7711" s="14" t="n"/>
      <c r="I7711" s="14" t="n"/>
      <c r="J7711" s="14" t="n"/>
      <c r="K7711" s="53" t="inlineStr"/>
      <c r="L7711" s="53" t="inlineStr">
        <is>
          <t>Не определено</t>
        </is>
      </c>
      <c r="M7711" s="53" t="inlineStr"/>
      <c r="N7711" s="54" t="inlineStr"/>
      <c r="O7711" s="55" t="inlineStr"/>
      <c r="P7711" s="16" t="inlineStr">
        <is>
          <t>Требует обогащения</t>
        </is>
      </c>
      <c r="Q7711" s="16">
        <f>HYPERLINK("https://pb.nalog.ru/search.html?query=3808002910","ФНС: проверить")</f>
        <v/>
      </c>
      <c r="R7711" s="16">
        <f>HYPERLINK("https://checko.ru/search?query=3801001629","Чекко: проверить")</f>
        <v/>
      </c>
      <c r="S7711" t="n">
        <v>0</v>
      </c>
      <c r="T7711" s="35" t="inlineStr">
        <is>
          <t>4 — Не обогащён</t>
        </is>
      </c>
      <c r="U7711" s="35" t="inlineStr">
        <is>
          <t>Нет ОКВЭД/ССЧР</t>
        </is>
      </c>
      <c r="V7711" s="35" t="inlineStr">
        <is>
          <t>Не определено</t>
        </is>
      </c>
      <c r="W7711" s="35" t="inlineStr"/>
      <c r="X7711" s="35" t="inlineStr"/>
    </row>
    <row r="7712" ht="27.75" customHeight="1" s="24">
      <c r="A7712" s="13" t="inlineStr">
        <is>
          <t>FR716935</t>
        </is>
      </c>
      <c r="B7712" s="13" t="inlineStr">
        <is>
          <t>Общество с ограниченной ответственностью "КДФ-ТУЛА"</t>
        </is>
      </c>
      <c r="C7712" s="13" t="n">
        <v>7100017843</v>
      </c>
      <c r="D7712" s="13" t="inlineStr">
        <is>
          <t>7100017843</t>
        </is>
      </c>
      <c r="E7712" s="13" t="inlineStr">
        <is>
          <t>ЮЛ РФ</t>
        </is>
      </c>
      <c r="F7712" s="13" t="n"/>
      <c r="G7712" s="52" t="n">
        <v>38</v>
      </c>
      <c r="H7712" s="52" t="n">
        <v>2025</v>
      </c>
      <c r="I7712" s="52" t="inlineStr">
        <is>
          <t>86.10</t>
        </is>
      </c>
      <c r="J7712" s="52" t="inlineStr">
        <is>
          <t>86.10; 47.75; 47.78.9; 47.91; 47.99.1; 86.90; 86.90.4</t>
        </is>
      </c>
      <c r="K7712" s="53" t="inlineStr">
        <is>
          <t>Да</t>
        </is>
      </c>
      <c r="L7712" s="53" t="inlineStr">
        <is>
          <t>Да</t>
        </is>
      </c>
      <c r="M7712" s="53" t="inlineStr">
        <is>
          <t>До 50</t>
        </is>
      </c>
      <c r="N7712" s="54" t="n">
        <v>16800</v>
      </c>
      <c r="O7712" s="55" t="inlineStr">
        <is>
          <t>31–50</t>
        </is>
      </c>
      <c r="P7712" s="16" t="inlineStr">
        <is>
          <t>ССЧР + ОКВЭД обогащены</t>
        </is>
      </c>
      <c r="Q7712" s="16" t="inlineStr">
        <is>
          <t>ФНС открытые данные ССЧР (ДатаСост 31.12.2025; набор 7707329152-sshr2019)</t>
        </is>
      </c>
      <c r="R7712" s="16" t="inlineStr">
        <is>
          <t>ЕГРЮЛ / egrul.nalog.ru (выписка)</t>
        </is>
      </c>
      <c r="S7712" t="n">
        <v>1</v>
      </c>
      <c r="T7712" s="35" t="inlineStr">
        <is>
          <t>1 — Горячий</t>
        </is>
      </c>
      <c r="U7712" s="35" t="inlineStr">
        <is>
          <t>ОКВЭД + 22+</t>
        </is>
      </c>
      <c r="V7712" s="35" t="inlineStr">
        <is>
          <t>Да</t>
        </is>
      </c>
      <c r="W7712" s="35" t="inlineStr">
        <is>
          <t>Да</t>
        </is>
      </c>
      <c r="X7712" s="35" t="inlineStr">
        <is>
          <t>Да</t>
        </is>
      </c>
    </row>
    <row r="7713" ht="41.25" customHeight="1" s="24">
      <c r="A7713" s="13" t="inlineStr">
        <is>
          <t>FR307781</t>
        </is>
      </c>
      <c r="B7713" s="13" t="inlineStr">
        <is>
          <t>ОБЛАСТНОЕ ГОСУДАРСТВЕННОЕ БЮДЖЕТНОЕ УЧРЕЖДЕНИЕ ЗДРАВООХРАНЕНИЯ "ИРКУТСКАЯ ОБЛАСТНАЯ СТОМАТОЛОГИЧЕСКА</t>
        </is>
      </c>
      <c r="C7713" s="13" t="n">
        <v>3808015596</v>
      </c>
      <c r="D7713" s="13" t="inlineStr">
        <is>
          <t>3808015596</t>
        </is>
      </c>
      <c r="E7713" s="13" t="inlineStr">
        <is>
          <t>ЮЛ РФ</t>
        </is>
      </c>
      <c r="F7713" s="13" t="n"/>
      <c r="G7713" s="14" t="n"/>
      <c r="H7713" s="14" t="n"/>
      <c r="I7713" s="14" t="n"/>
      <c r="J7713" s="14" t="n"/>
      <c r="K7713" s="53" t="inlineStr"/>
      <c r="L7713" s="53" t="inlineStr">
        <is>
          <t>Не определено</t>
        </is>
      </c>
      <c r="M7713" s="53" t="inlineStr"/>
      <c r="N7713" s="54" t="inlineStr"/>
      <c r="O7713" s="55" t="inlineStr"/>
      <c r="P7713" s="16" t="inlineStr">
        <is>
          <t>Требует обогащения</t>
        </is>
      </c>
      <c r="Q7713" s="16">
        <f>HYPERLINK("https://pb.nalog.ru/search.html?query=3808015596","ФНС: проверить")</f>
        <v/>
      </c>
      <c r="R7713" s="16">
        <f>HYPERLINK("https://checko.ru/search?query=3801001629","Чекко: проверить")</f>
        <v/>
      </c>
      <c r="S7713" t="n">
        <v>0</v>
      </c>
      <c r="T7713" s="35" t="inlineStr">
        <is>
          <t>4 — Не обогащён</t>
        </is>
      </c>
      <c r="U7713" s="35" t="inlineStr">
        <is>
          <t>Нет ОКВЭД/ССЧР</t>
        </is>
      </c>
      <c r="V7713" s="35" t="inlineStr">
        <is>
          <t>Не определено</t>
        </is>
      </c>
      <c r="W7713" s="35" t="inlineStr"/>
      <c r="X7713" s="35" t="inlineStr"/>
    </row>
    <row r="7714" ht="27.75" customHeight="1" s="24">
      <c r="A7714" s="13" t="inlineStr">
        <is>
          <t>FR299315</t>
        </is>
      </c>
      <c r="B7714" s="13" t="inlineStr">
        <is>
          <t>ОТКРЫТОЕ АКЦИОНЕРНОЕ ОБЩЕСТВО "СТОМАТОЛОГИЯ ЦСКБ"</t>
        </is>
      </c>
      <c r="C7714" s="13" t="n">
        <v>6316040755</v>
      </c>
      <c r="D7714" s="13" t="inlineStr">
        <is>
          <t>6316040755</t>
        </is>
      </c>
      <c r="E7714" s="13" t="inlineStr">
        <is>
          <t>ЮЛ РФ</t>
        </is>
      </c>
      <c r="F7714" s="13" t="n"/>
      <c r="G7714" s="52" t="n">
        <v>20</v>
      </c>
      <c r="H7714" s="52" t="n">
        <v>2025</v>
      </c>
      <c r="I7714" s="14" t="n"/>
      <c r="J7714" s="14" t="n"/>
      <c r="K7714" s="53" t="inlineStr">
        <is>
          <t>Нет</t>
        </is>
      </c>
      <c r="L7714" s="53" t="inlineStr">
        <is>
          <t>Не определено</t>
        </is>
      </c>
      <c r="M7714" s="53" t="inlineStr">
        <is>
          <t>До 25</t>
        </is>
      </c>
      <c r="N7714" s="54" t="n">
        <v>8400</v>
      </c>
      <c r="O7714" s="55" t="inlineStr">
        <is>
          <t>16–30</t>
        </is>
      </c>
      <c r="P7714" s="16" t="inlineStr">
        <is>
          <t>ССЧР обогащена; ОКВЭД не найден/не загружен</t>
        </is>
      </c>
      <c r="Q7714" s="16" t="inlineStr">
        <is>
          <t>ФНС открытые данные ССЧР (ДатаСост 31.12.2025; набор 7707329152-sshr2019)</t>
        </is>
      </c>
      <c r="R7714" s="16">
        <f>HYPERLINK("https://checko.ru/search?query=3801001629","Чекко: проверить")</f>
        <v/>
      </c>
      <c r="S7714" t="n">
        <v>1</v>
      </c>
      <c r="T7714" s="35" t="inlineStr">
        <is>
          <t>4 — Не обогащён</t>
        </is>
      </c>
      <c r="U7714" s="35" t="inlineStr">
        <is>
          <t>Нет ОКВЭД/ССЧР</t>
        </is>
      </c>
      <c r="V7714" s="35" t="inlineStr">
        <is>
          <t>Не определено</t>
        </is>
      </c>
      <c r="W7714" s="35" t="inlineStr">
        <is>
          <t>Нет</t>
        </is>
      </c>
      <c r="X7714" s="35" t="inlineStr"/>
    </row>
    <row r="7715" ht="41.25" customHeight="1" s="24">
      <c r="A7715" s="13" t="inlineStr">
        <is>
          <t>FR451429</t>
        </is>
      </c>
      <c r="B7715" s="13" t="inlineStr">
        <is>
          <t>Государственное бюджетное учреждение здравоохранения Тверской области «Молоковская центральная районная больница»</t>
        </is>
      </c>
      <c r="C7715" s="13" t="n">
        <v>6933001028</v>
      </c>
      <c r="D7715" s="13" t="inlineStr">
        <is>
          <t>6933001028</t>
        </is>
      </c>
      <c r="E7715" s="13" t="inlineStr">
        <is>
          <t>ЮЛ РФ</t>
        </is>
      </c>
      <c r="F7715" s="13" t="n"/>
      <c r="G7715" s="14" t="n"/>
      <c r="H7715" s="14" t="n"/>
      <c r="I7715" s="14" t="n"/>
      <c r="J7715" s="14" t="n"/>
      <c r="K7715" s="53" t="inlineStr"/>
      <c r="L7715" s="53" t="inlineStr">
        <is>
          <t>Не определено</t>
        </is>
      </c>
      <c r="M7715" s="53" t="inlineStr"/>
      <c r="N7715" s="54" t="inlineStr"/>
      <c r="O7715" s="55" t="inlineStr"/>
      <c r="P7715" s="16" t="inlineStr">
        <is>
          <t>Требует обогащения</t>
        </is>
      </c>
      <c r="Q7715" s="16">
        <f>HYPERLINK("https://pb.nalog.ru/search.html?query=6933001028","ФНС: проверить")</f>
        <v/>
      </c>
      <c r="R7715" s="16">
        <f>HYPERLINK("https://checko.ru/search?query=3801001629","Чекко: проверить")</f>
        <v/>
      </c>
      <c r="S7715" t="n">
        <v>1</v>
      </c>
      <c r="T7715" s="35" t="inlineStr">
        <is>
          <t>4 — Не обогащён</t>
        </is>
      </c>
      <c r="U7715" s="35" t="inlineStr">
        <is>
          <t>Нет ОКВЭД/ССЧР</t>
        </is>
      </c>
      <c r="V7715" s="35" t="inlineStr">
        <is>
          <t>Не определено</t>
        </is>
      </c>
      <c r="W7715" s="35" t="inlineStr"/>
      <c r="X7715" s="35" t="inlineStr"/>
    </row>
    <row r="7716" ht="41.25" customHeight="1" s="24">
      <c r="A7716" s="13" t="inlineStr">
        <is>
          <t>FR423627</t>
        </is>
      </c>
      <c r="B7716" s="13" t="inlineStr">
        <is>
          <t>Государственное бюджетное учреждение здравоохранения Тверской области «Калининская центральная районная клиническая больница»</t>
        </is>
      </c>
      <c r="C7716" s="13" t="n">
        <v>6924001335</v>
      </c>
      <c r="D7716" s="13" t="inlineStr">
        <is>
          <t>6924001335</t>
        </is>
      </c>
      <c r="E7716" s="13" t="inlineStr">
        <is>
          <t>ЮЛ РФ</t>
        </is>
      </c>
      <c r="F7716" s="13" t="n"/>
      <c r="G7716" s="14" t="n"/>
      <c r="H7716" s="14" t="n"/>
      <c r="I7716" s="14" t="n"/>
      <c r="J7716" s="14" t="n"/>
      <c r="K7716" s="53" t="inlineStr"/>
      <c r="L7716" s="53" t="inlineStr">
        <is>
          <t>Не определено</t>
        </is>
      </c>
      <c r="M7716" s="53" t="inlineStr"/>
      <c r="N7716" s="54" t="inlineStr"/>
      <c r="O7716" s="55" t="inlineStr"/>
      <c r="P7716" s="16" t="inlineStr">
        <is>
          <t>Требует обогащения</t>
        </is>
      </c>
      <c r="Q7716" s="16">
        <f>HYPERLINK("https://pb.nalog.ru/search.html?query=6924001335","ФНС: проверить")</f>
        <v/>
      </c>
      <c r="R7716" s="16">
        <f>HYPERLINK("https://checko.ru/search?query=3801001629","Чекко: проверить")</f>
        <v/>
      </c>
      <c r="S7716" t="n">
        <v>1</v>
      </c>
      <c r="T7716" s="35" t="inlineStr">
        <is>
          <t>4 — Не обогащён</t>
        </is>
      </c>
      <c r="U7716" s="35" t="inlineStr">
        <is>
          <t>Нет ОКВЭД/ССЧР</t>
        </is>
      </c>
      <c r="V7716" s="35" t="inlineStr">
        <is>
          <t>Не определено</t>
        </is>
      </c>
      <c r="W7716" s="35" t="inlineStr"/>
      <c r="X7716" s="35" t="inlineStr"/>
    </row>
    <row r="7717" ht="27.75" customHeight="1" s="24">
      <c r="A7717" s="13" t="inlineStr">
        <is>
          <t>FR737874</t>
        </is>
      </c>
      <c r="B7717" s="13" t="inlineStr">
        <is>
          <t>Общество с ограниченной ответственностью "СИН ШЭН"</t>
        </is>
      </c>
      <c r="C7717" s="13" t="n">
        <v>7706788121</v>
      </c>
      <c r="D7717" s="13" t="inlineStr">
        <is>
          <t>7706788121</t>
        </is>
      </c>
      <c r="E7717" s="13" t="inlineStr">
        <is>
          <t>ЮЛ РФ</t>
        </is>
      </c>
      <c r="F7717" s="13" t="n"/>
      <c r="G7717" s="52" t="n">
        <v>9</v>
      </c>
      <c r="H7717" s="52" t="n">
        <v>2025</v>
      </c>
      <c r="I7717" s="14" t="n"/>
      <c r="J7717" s="14" t="n"/>
      <c r="K7717" s="53" t="inlineStr">
        <is>
          <t>Нет</t>
        </is>
      </c>
      <c r="L7717" s="53" t="inlineStr">
        <is>
          <t>Не определено</t>
        </is>
      </c>
      <c r="M7717" s="53" t="inlineStr">
        <is>
          <t>До 10</t>
        </is>
      </c>
      <c r="N7717" s="54" t="n">
        <v>3360</v>
      </c>
      <c r="O7717" s="55" t="inlineStr">
        <is>
          <t>1–15</t>
        </is>
      </c>
      <c r="P7717" s="16" t="inlineStr">
        <is>
          <t>ССЧР обогащена; ОКВЭД не найден/не загружен</t>
        </is>
      </c>
      <c r="Q7717" s="16" t="inlineStr">
        <is>
          <t>ФНС открытые данные ССЧР (ДатаСост 31.12.2025; набор 7707329152-sshr2019)</t>
        </is>
      </c>
      <c r="R7717" s="16">
        <f>HYPERLINK("https://checko.ru/search?query=3801001629","Чекко: проверить")</f>
        <v/>
      </c>
      <c r="S7717" t="n">
        <v>1</v>
      </c>
      <c r="T7717" s="35" t="inlineStr">
        <is>
          <t>4 — Не обогащён</t>
        </is>
      </c>
      <c r="U7717" s="35" t="inlineStr">
        <is>
          <t>Нет ОКВЭД/ССЧР</t>
        </is>
      </c>
      <c r="V7717" s="35" t="inlineStr">
        <is>
          <t>Не определено</t>
        </is>
      </c>
      <c r="W7717" s="35" t="inlineStr">
        <is>
          <t>Нет</t>
        </is>
      </c>
      <c r="X7717" s="35" t="inlineStr"/>
    </row>
    <row r="7718" ht="15" customHeight="1" s="24">
      <c r="A7718" s="13" t="inlineStr">
        <is>
          <t>FR304923</t>
        </is>
      </c>
      <c r="B7718" s="13" t="inlineStr">
        <is>
          <t>ООО "Дента"</t>
        </is>
      </c>
      <c r="C7718" s="13" t="n">
        <v>3805727933</v>
      </c>
      <c r="D7718" s="13" t="inlineStr">
        <is>
          <t>3805727933</t>
        </is>
      </c>
      <c r="E7718" s="13" t="inlineStr">
        <is>
          <t>ЮЛ РФ</t>
        </is>
      </c>
      <c r="F7718" s="13" t="n"/>
      <c r="G7718" s="52" t="n">
        <v>6</v>
      </c>
      <c r="H7718" s="52" t="n">
        <v>2025</v>
      </c>
      <c r="I7718" s="14" t="n"/>
      <c r="J7718" s="14" t="n"/>
      <c r="K7718" s="53" t="inlineStr">
        <is>
          <t>Нет</t>
        </is>
      </c>
      <c r="L7718" s="53" t="inlineStr">
        <is>
          <t>Не определено</t>
        </is>
      </c>
      <c r="M7718" s="53" t="inlineStr">
        <is>
          <t>До 10</t>
        </is>
      </c>
      <c r="N7718" s="54" t="n">
        <v>3360</v>
      </c>
      <c r="O7718" s="55" t="inlineStr">
        <is>
          <t>1–15</t>
        </is>
      </c>
      <c r="P7718" s="16" t="inlineStr">
        <is>
          <t>ССЧР обогащена; ОКВЭД не найден/не загружен</t>
        </is>
      </c>
      <c r="Q7718" s="16" t="inlineStr">
        <is>
          <t>ФНС открытые данные ССЧР (ДатаСост 31.12.2025; набор 7707329152-sshr2019)</t>
        </is>
      </c>
      <c r="R7718" s="16">
        <f>HYPERLINK("https://checko.ru/search?query=3801001629","Чекко: проверить")</f>
        <v/>
      </c>
      <c r="S7718" t="n">
        <v>1</v>
      </c>
      <c r="T7718" s="35" t="inlineStr">
        <is>
          <t>4 — Не обогащён</t>
        </is>
      </c>
      <c r="U7718" s="35" t="inlineStr">
        <is>
          <t>Нет ОКВЭД/ССЧР</t>
        </is>
      </c>
      <c r="V7718" s="35" t="inlineStr">
        <is>
          <t>Не определено</t>
        </is>
      </c>
      <c r="W7718" s="35" t="inlineStr">
        <is>
          <t>Нет</t>
        </is>
      </c>
      <c r="X7718" s="35" t="inlineStr"/>
    </row>
    <row r="7719" ht="41.25" customHeight="1" s="24">
      <c r="A7719" s="13" t="inlineStr">
        <is>
          <t>FR311131</t>
        </is>
      </c>
      <c r="B7719" s="13" t="inlineStr">
        <is>
          <t>ОБЛАСТНОЕ ГОСУДАРСТВЕННОЕ АВТОНОМНОЕ УЧРЕЖДЕНИЕ ЗДРАВООХРАНЕНИЯ "САЯНСКАЯ ГОРОДСКАЯ СТОМАТОЛОГИЧЕСКА</t>
        </is>
      </c>
      <c r="C7719" s="13" t="n">
        <v>3814006590</v>
      </c>
      <c r="D7719" s="13" t="inlineStr">
        <is>
          <t>3814006590</t>
        </is>
      </c>
      <c r="E7719" s="13" t="inlineStr">
        <is>
          <t>ЮЛ РФ</t>
        </is>
      </c>
      <c r="F7719" s="13" t="n"/>
      <c r="G7719" s="14" t="n"/>
      <c r="H7719" s="14" t="n"/>
      <c r="I7719" s="14" t="n"/>
      <c r="J7719" s="14" t="n"/>
      <c r="K7719" s="53" t="inlineStr"/>
      <c r="L7719" s="53" t="inlineStr">
        <is>
          <t>Не определено</t>
        </is>
      </c>
      <c r="M7719" s="53" t="inlineStr"/>
      <c r="N7719" s="54" t="inlineStr"/>
      <c r="O7719" s="55" t="inlineStr"/>
      <c r="P7719" s="16" t="inlineStr">
        <is>
          <t>Требует обогащения</t>
        </is>
      </c>
      <c r="Q7719" s="16">
        <f>HYPERLINK("https://pb.nalog.ru/search.html?query=3814006590","ФНС: проверить")</f>
        <v/>
      </c>
      <c r="R7719" s="16">
        <f>HYPERLINK("https://checko.ru/search?query=3801001629","Чекко: проверить")</f>
        <v/>
      </c>
      <c r="S7719" t="n">
        <v>0</v>
      </c>
      <c r="T7719" s="35" t="inlineStr">
        <is>
          <t>4 — Не обогащён</t>
        </is>
      </c>
      <c r="U7719" s="35" t="inlineStr">
        <is>
          <t>Нет ОКВЭД/ССЧР</t>
        </is>
      </c>
      <c r="V7719" s="35" t="inlineStr">
        <is>
          <t>Не определено</t>
        </is>
      </c>
      <c r="W7719" s="35" t="inlineStr"/>
      <c r="X7719" s="35" t="inlineStr"/>
    </row>
    <row r="7720" ht="27.75" customHeight="1" s="24">
      <c r="A7720" s="13" t="inlineStr">
        <is>
          <t>FR444036</t>
        </is>
      </c>
      <c r="B7720" s="13" t="inlineStr">
        <is>
          <t>ОБЩЕСТВО С ОГРАНИЧЕННОЙ ОТВЕТСТВЕННОСТЬЮ "МИЛА ДЕНТ"</t>
        </is>
      </c>
      <c r="C7720" s="13" t="n">
        <v>3811105000</v>
      </c>
      <c r="D7720" s="13" t="inlineStr">
        <is>
          <t>3811105000</t>
        </is>
      </c>
      <c r="E7720" s="13" t="inlineStr">
        <is>
          <t>ЮЛ РФ</t>
        </is>
      </c>
      <c r="F7720" s="13" t="n"/>
      <c r="G7720" s="52" t="n">
        <v>7</v>
      </c>
      <c r="H7720" s="52" t="n">
        <v>2025</v>
      </c>
      <c r="I7720" s="14" t="n"/>
      <c r="J7720" s="14" t="n"/>
      <c r="K7720" s="53" t="inlineStr">
        <is>
          <t>Нет</t>
        </is>
      </c>
      <c r="L7720" s="53" t="inlineStr">
        <is>
          <t>Не определено</t>
        </is>
      </c>
      <c r="M7720" s="53" t="inlineStr">
        <is>
          <t>До 10</t>
        </is>
      </c>
      <c r="N7720" s="54" t="n">
        <v>3360</v>
      </c>
      <c r="O7720" s="55" t="inlineStr">
        <is>
          <t>1–15</t>
        </is>
      </c>
      <c r="P7720" s="16" t="inlineStr">
        <is>
          <t>ССЧР обогащена; ОКВЭД не найден/не загружен</t>
        </is>
      </c>
      <c r="Q7720" s="16" t="inlineStr">
        <is>
          <t>ФНС открытые данные ССЧР (ДатаСост 31.12.2025; набор 7707329152-sshr2019)</t>
        </is>
      </c>
      <c r="R7720" s="16">
        <f>HYPERLINK("https://checko.ru/search?query=3801001629","Чекко: проверить")</f>
        <v/>
      </c>
      <c r="S7720" t="n">
        <v>1</v>
      </c>
      <c r="T7720" s="35" t="inlineStr">
        <is>
          <t>4 — Не обогащён</t>
        </is>
      </c>
      <c r="U7720" s="35" t="inlineStr">
        <is>
          <t>Нет ОКВЭД/ССЧР</t>
        </is>
      </c>
      <c r="V7720" s="35" t="inlineStr">
        <is>
          <t>Не определено</t>
        </is>
      </c>
      <c r="W7720" s="35" t="inlineStr">
        <is>
          <t>Нет</t>
        </is>
      </c>
      <c r="X7720" s="35" t="inlineStr"/>
    </row>
    <row r="7721" ht="41.25" customHeight="1" s="24">
      <c r="A7721" s="13" t="inlineStr">
        <is>
          <t>FR341508</t>
        </is>
      </c>
      <c r="B7721" s="13" t="inlineStr">
        <is>
          <t>ОБЛАСТНОЕ ГОСУДАРСТВЕННОЕ БЮДЖЕТНОЕ УЧРЕЖДЕНИЕ ЗДРАВООХРАНЕНИЯ "УСТЬ-ОРДЫНСКАЯ ОБЛАСТНАЯ СТОМАТОЛОГИ</t>
        </is>
      </c>
      <c r="C7721" s="13" t="n">
        <v>8506004879</v>
      </c>
      <c r="D7721" s="13" t="inlineStr">
        <is>
          <t>8506004879</t>
        </is>
      </c>
      <c r="E7721" s="13" t="inlineStr">
        <is>
          <t>ЮЛ РФ</t>
        </is>
      </c>
      <c r="F7721" s="13" t="n"/>
      <c r="G7721" s="14" t="n"/>
      <c r="H7721" s="14" t="n"/>
      <c r="I7721" s="14" t="n"/>
      <c r="J7721" s="14" t="n"/>
      <c r="K7721" s="53" t="inlineStr"/>
      <c r="L7721" s="53" t="inlineStr">
        <is>
          <t>Не определено</t>
        </is>
      </c>
      <c r="M7721" s="53" t="inlineStr"/>
      <c r="N7721" s="54" t="inlineStr"/>
      <c r="O7721" s="55" t="inlineStr"/>
      <c r="P7721" s="16" t="inlineStr">
        <is>
          <t>Требует обогащения</t>
        </is>
      </c>
      <c r="Q7721" s="16">
        <f>HYPERLINK("https://pb.nalog.ru/search.html?query=8506004879","ФНС: проверить")</f>
        <v/>
      </c>
      <c r="R7721" s="16">
        <f>HYPERLINK("https://checko.ru/search?query=3801001629","Чекко: проверить")</f>
        <v/>
      </c>
      <c r="S7721" t="n">
        <v>0</v>
      </c>
      <c r="T7721" s="35" t="inlineStr">
        <is>
          <t>4 — Не обогащён</t>
        </is>
      </c>
      <c r="U7721" s="35" t="inlineStr">
        <is>
          <t>Нет ОКВЭД/ССЧР</t>
        </is>
      </c>
      <c r="V7721" s="35" t="inlineStr">
        <is>
          <t>Не определено</t>
        </is>
      </c>
      <c r="W7721" s="35" t="inlineStr"/>
      <c r="X7721" s="35" t="inlineStr"/>
    </row>
    <row r="7722" ht="41.25" customHeight="1" s="24">
      <c r="A7722" s="13" t="inlineStr">
        <is>
          <t>FR909234</t>
        </is>
      </c>
      <c r="B7722" s="13" t="inlineStr">
        <is>
          <t>ЧАСТНОЕ ОБЩЕОБРАЗОВАТЕЛЬНОЕ УЧРЕЖДЕНИЕ "ОБРАЗОВАТЕЛЬНЫЙ КОМПЛЕКС "ТОЧКА БУДУЩЕГО"</t>
        </is>
      </c>
      <c r="C7722" s="13" t="n">
        <v>3808268822</v>
      </c>
      <c r="D7722" s="13" t="inlineStr">
        <is>
          <t>3808268822</t>
        </is>
      </c>
      <c r="E7722" s="13" t="inlineStr">
        <is>
          <t>ЮЛ РФ</t>
        </is>
      </c>
      <c r="F7722" s="13" t="n"/>
      <c r="G7722" s="14" t="n"/>
      <c r="H7722" s="14" t="n"/>
      <c r="I7722" s="14" t="n"/>
      <c r="J7722" s="14" t="n"/>
      <c r="K7722" s="53" t="inlineStr"/>
      <c r="L7722" s="53" t="inlineStr">
        <is>
          <t>Не определено</t>
        </is>
      </c>
      <c r="M7722" s="53" t="inlineStr"/>
      <c r="N7722" s="54" t="inlineStr"/>
      <c r="O7722" s="55" t="inlineStr"/>
      <c r="P7722" s="16" t="inlineStr">
        <is>
          <t>Требует обогащения</t>
        </is>
      </c>
      <c r="Q7722" s="16">
        <f>HYPERLINK("https://pb.nalog.ru/search.html?query=3808268822","ФНС: проверить")</f>
        <v/>
      </c>
      <c r="R7722" s="16">
        <f>HYPERLINK("https://checko.ru/search?query=3801001629","Чекко: проверить")</f>
        <v/>
      </c>
      <c r="S7722" t="n">
        <v>1</v>
      </c>
      <c r="T7722" s="35" t="inlineStr">
        <is>
          <t>4 — Не обогащён</t>
        </is>
      </c>
      <c r="U7722" s="35" t="inlineStr">
        <is>
          <t>Нет ОКВЭД/ССЧР</t>
        </is>
      </c>
      <c r="V7722" s="35" t="inlineStr">
        <is>
          <t>Не определено</t>
        </is>
      </c>
      <c r="W7722" s="35" t="inlineStr"/>
      <c r="X7722" s="35" t="inlineStr"/>
    </row>
    <row r="7723" ht="27.75" customHeight="1" s="24">
      <c r="A7723" s="13" t="inlineStr">
        <is>
          <t>FR820212</t>
        </is>
      </c>
      <c r="B7723" s="13" t="inlineStr">
        <is>
          <t>Общество с ограниченной ответственностью "ЖЕМЧУГ"</t>
        </is>
      </c>
      <c r="C7723" s="13" t="n">
        <v>3808164541</v>
      </c>
      <c r="D7723" s="13" t="inlineStr">
        <is>
          <t>3808164541</t>
        </is>
      </c>
      <c r="E7723" s="13" t="inlineStr">
        <is>
          <t>ЮЛ РФ</t>
        </is>
      </c>
      <c r="F7723" s="13" t="n"/>
      <c r="G7723" s="52" t="n">
        <v>15</v>
      </c>
      <c r="H7723" s="52" t="n">
        <v>2025</v>
      </c>
      <c r="I7723" s="14" t="n"/>
      <c r="J7723" s="14" t="n"/>
      <c r="K7723" s="53" t="inlineStr">
        <is>
          <t>Нет</t>
        </is>
      </c>
      <c r="L7723" s="53" t="inlineStr">
        <is>
          <t>Не определено</t>
        </is>
      </c>
      <c r="M7723" s="53" t="inlineStr">
        <is>
          <t>До 25</t>
        </is>
      </c>
      <c r="N7723" s="54" t="n">
        <v>8400</v>
      </c>
      <c r="O7723" s="55" t="inlineStr">
        <is>
          <t>1–15</t>
        </is>
      </c>
      <c r="P7723" s="16" t="inlineStr">
        <is>
          <t>ССЧР обогащена; ОКВЭД не найден/не загружен</t>
        </is>
      </c>
      <c r="Q7723" s="16" t="inlineStr">
        <is>
          <t>ФНС открытые данные ССЧР (ДатаСост 31.12.2025; набор 7707329152-sshr2019)</t>
        </is>
      </c>
      <c r="R7723" s="16">
        <f>HYPERLINK("https://checko.ru/search?query=3801001629","Чекко: проверить")</f>
        <v/>
      </c>
      <c r="S7723" t="n">
        <v>1</v>
      </c>
      <c r="T7723" s="35" t="inlineStr">
        <is>
          <t>4 — Не обогащён</t>
        </is>
      </c>
      <c r="U7723" s="35" t="inlineStr">
        <is>
          <t>Нет ОКВЭД/ССЧР</t>
        </is>
      </c>
      <c r="V7723" s="35" t="inlineStr">
        <is>
          <t>Не определено</t>
        </is>
      </c>
      <c r="W7723" s="35" t="inlineStr">
        <is>
          <t>Нет</t>
        </is>
      </c>
      <c r="X7723" s="35" t="inlineStr"/>
    </row>
    <row r="7724" ht="27.75" customHeight="1" s="24">
      <c r="A7724" s="13" t="n">
        <v>20015429352</v>
      </c>
      <c r="B7724" s="13" t="inlineStr">
        <is>
          <t>Общество с ограниченной ответственностью "Маршрут-Сервис"</t>
        </is>
      </c>
      <c r="C7724" s="13" t="n">
        <v>3812079641</v>
      </c>
      <c r="D7724" s="13" t="inlineStr">
        <is>
          <t>3812079641</t>
        </is>
      </c>
      <c r="E7724" s="13" t="inlineStr">
        <is>
          <t>ЮЛ РФ</t>
        </is>
      </c>
      <c r="F7724" s="13" t="n"/>
      <c r="G7724" s="52" t="n">
        <v>3</v>
      </c>
      <c r="H7724" s="52" t="n">
        <v>2025</v>
      </c>
      <c r="I7724" s="14" t="n"/>
      <c r="J7724" s="14" t="n"/>
      <c r="K7724" s="53" t="inlineStr">
        <is>
          <t>Нет</t>
        </is>
      </c>
      <c r="L7724" s="53" t="inlineStr">
        <is>
          <t>Не определено</t>
        </is>
      </c>
      <c r="M7724" s="53" t="inlineStr">
        <is>
          <t>До 10</t>
        </is>
      </c>
      <c r="N7724" s="54" t="n">
        <v>3360</v>
      </c>
      <c r="O7724" s="55" t="inlineStr">
        <is>
          <t>1–15</t>
        </is>
      </c>
      <c r="P7724" s="16" t="inlineStr">
        <is>
          <t>ССЧР обогащена; ОКВЭД не найден/не загружен</t>
        </is>
      </c>
      <c r="Q7724" s="16" t="inlineStr">
        <is>
          <t>ФНС открытые данные ССЧР (ДатаСост 31.12.2025; набор 7707329152-sshr2019)</t>
        </is>
      </c>
      <c r="R7724" s="16">
        <f>HYPERLINK("https://checko.ru/search?query=3801001629","Чекко: проверить")</f>
        <v/>
      </c>
      <c r="S7724" t="n">
        <v>1</v>
      </c>
      <c r="T7724" s="35" t="inlineStr">
        <is>
          <t>4 — Не обогащён</t>
        </is>
      </c>
      <c r="U7724" s="35" t="inlineStr">
        <is>
          <t>Нет ОКВЭД/ССЧР</t>
        </is>
      </c>
      <c r="V7724" s="35" t="inlineStr">
        <is>
          <t>Не определено</t>
        </is>
      </c>
      <c r="W7724" s="35" t="inlineStr">
        <is>
          <t>Нет</t>
        </is>
      </c>
      <c r="X7724" s="35" t="inlineStr"/>
    </row>
    <row r="7725" ht="27.75" customHeight="1" s="24">
      <c r="A7725" s="13" t="n">
        <v>20019443965</v>
      </c>
      <c r="B7725" s="13" t="inlineStr">
        <is>
          <t>ОБЩЕСТВО С ОГРАНИЧЕННОЙ ОТВЕТСТВЕННОСТЬЮ "ИНВЕСТСТРОЙ"</t>
        </is>
      </c>
      <c r="C7725" s="13" t="n">
        <v>3816030936</v>
      </c>
      <c r="D7725" s="13" t="inlineStr">
        <is>
          <t>3816030936</t>
        </is>
      </c>
      <c r="E7725" s="13" t="inlineStr">
        <is>
          <t>ЮЛ РФ</t>
        </is>
      </c>
      <c r="F7725" s="13" t="n"/>
      <c r="G7725" s="52" t="n">
        <v>5</v>
      </c>
      <c r="H7725" s="52" t="n">
        <v>2025</v>
      </c>
      <c r="I7725" s="14" t="n"/>
      <c r="J7725" s="14" t="n"/>
      <c r="K7725" s="53" t="inlineStr">
        <is>
          <t>Нет</t>
        </is>
      </c>
      <c r="L7725" s="53" t="inlineStr">
        <is>
          <t>Не определено</t>
        </is>
      </c>
      <c r="M7725" s="53" t="inlineStr">
        <is>
          <t>До 10</t>
        </is>
      </c>
      <c r="N7725" s="54" t="n">
        <v>3360</v>
      </c>
      <c r="O7725" s="55" t="inlineStr">
        <is>
          <t>1–15</t>
        </is>
      </c>
      <c r="P7725" s="16" t="inlineStr">
        <is>
          <t>ССЧР обогащена; ОКВЭД не найден/не загружен</t>
        </is>
      </c>
      <c r="Q7725" s="16" t="inlineStr">
        <is>
          <t>ФНС открытые данные ССЧР (ДатаСост 31.12.2025; набор 7707329152-sshr2019)</t>
        </is>
      </c>
      <c r="R7725" s="16">
        <f>HYPERLINK("https://checko.ru/search?query=3801001629","Чекко: проверить")</f>
        <v/>
      </c>
      <c r="S7725" t="n">
        <v>1</v>
      </c>
      <c r="T7725" s="35" t="inlineStr">
        <is>
          <t>4 — Не обогащён</t>
        </is>
      </c>
      <c r="U7725" s="35" t="inlineStr">
        <is>
          <t>Нет ОКВЭД/ССЧР</t>
        </is>
      </c>
      <c r="V7725" s="35" t="inlineStr">
        <is>
          <t>Не определено</t>
        </is>
      </c>
      <c r="W7725" s="35" t="inlineStr">
        <is>
          <t>Нет</t>
        </is>
      </c>
      <c r="X7725" s="35" t="inlineStr"/>
    </row>
    <row r="7726" ht="41.25" customHeight="1" s="24">
      <c r="A7726" s="13" t="n">
        <v>20016914212</v>
      </c>
      <c r="B7726" s="13" t="inlineStr">
        <is>
          <t>ОБЩЕСТВО С ОГРАНИЧЕННОЙ ОТВЕТСТВЕННОСТЬЮ "ИНФОРМАЦИОННЫЕ ТЕХНОЛОГИИ"</t>
        </is>
      </c>
      <c r="C7726" s="13" t="n">
        <v>7017400994</v>
      </c>
      <c r="D7726" s="13" t="inlineStr">
        <is>
          <t>7017400994</t>
        </is>
      </c>
      <c r="E7726" s="13" t="inlineStr">
        <is>
          <t>ЮЛ РФ</t>
        </is>
      </c>
      <c r="F7726" s="13" t="n"/>
      <c r="G7726" s="52" t="n">
        <v>2</v>
      </c>
      <c r="H7726" s="52" t="n">
        <v>2025</v>
      </c>
      <c r="I7726" s="14" t="n"/>
      <c r="J7726" s="14" t="n"/>
      <c r="K7726" s="53" t="inlineStr">
        <is>
          <t>Нет</t>
        </is>
      </c>
      <c r="L7726" s="53" t="inlineStr">
        <is>
          <t>Не определено</t>
        </is>
      </c>
      <c r="M7726" s="53" t="inlineStr">
        <is>
          <t>До 10</t>
        </is>
      </c>
      <c r="N7726" s="54" t="n">
        <v>3360</v>
      </c>
      <c r="O7726" s="55" t="inlineStr">
        <is>
          <t>1–15</t>
        </is>
      </c>
      <c r="P7726" s="16" t="inlineStr">
        <is>
          <t>ССЧР обогащена; ОКВЭД не найден/не загружен</t>
        </is>
      </c>
      <c r="Q7726" s="16" t="inlineStr">
        <is>
          <t>ФНС открытые данные ССЧР (ДатаСост 31.12.2025; набор 7707329152-sshr2019)</t>
        </is>
      </c>
      <c r="R7726" s="16">
        <f>HYPERLINK("https://checko.ru/search?query=3801001629","Чекко: проверить")</f>
        <v/>
      </c>
      <c r="S7726" t="n">
        <v>1</v>
      </c>
      <c r="T7726" s="35" t="inlineStr">
        <is>
          <t>4 — Не обогащён</t>
        </is>
      </c>
      <c r="U7726" s="35" t="inlineStr">
        <is>
          <t>Нет ОКВЭД/ССЧР</t>
        </is>
      </c>
      <c r="V7726" s="35" t="inlineStr">
        <is>
          <t>Не определено</t>
        </is>
      </c>
      <c r="W7726" s="35" t="inlineStr">
        <is>
          <t>Нет</t>
        </is>
      </c>
      <c r="X7726" s="35" t="inlineStr"/>
    </row>
    <row r="7727" ht="27.75" customHeight="1" s="24">
      <c r="A7727" s="13" t="n">
        <v>20012851792</v>
      </c>
      <c r="B7727" s="13" t="inlineStr">
        <is>
          <t>Индивидуальный предприниматель Барышникова Евгения Андреевна</t>
        </is>
      </c>
      <c r="C7727" s="13" t="n">
        <v>383403085805</v>
      </c>
      <c r="D7727" s="13" t="inlineStr">
        <is>
          <t>383403085805</t>
        </is>
      </c>
      <c r="E7727" s="13" t="inlineStr">
        <is>
          <t>ИП РФ / физлицо</t>
        </is>
      </c>
      <c r="F7727" s="13" t="n"/>
      <c r="G7727" s="14" t="n"/>
      <c r="H7727" s="14" t="n"/>
      <c r="I7727" s="14" t="n"/>
      <c r="J7727" s="14" t="n"/>
      <c r="K7727" s="53" t="inlineStr"/>
      <c r="L7727" s="53" t="inlineStr">
        <is>
          <t>Не определено</t>
        </is>
      </c>
      <c r="M7727" s="53" t="inlineStr"/>
      <c r="N7727" s="54" t="inlineStr"/>
      <c r="O7727" s="55" t="inlineStr"/>
      <c r="P7727" s="16" t="inlineStr">
        <is>
          <t>Требует обогащения</t>
        </is>
      </c>
      <c r="Q7727" s="16">
        <f>HYPERLINK("https://pb.nalog.ru/search.html?query=383403085805","ФНС: проверить")</f>
        <v/>
      </c>
      <c r="R7727" s="16">
        <f>HYPERLINK("https://checko.ru/search?query=3801001629","Чекко: проверить")</f>
        <v/>
      </c>
      <c r="S7727" t="n">
        <v>1</v>
      </c>
      <c r="T7727" s="35" t="inlineStr">
        <is>
          <t>4 — Не обогащён</t>
        </is>
      </c>
      <c r="U7727" s="35" t="inlineStr">
        <is>
          <t>Нет ОКВЭД/ССЧР</t>
        </is>
      </c>
      <c r="V7727" s="35" t="inlineStr">
        <is>
          <t>Не определено</t>
        </is>
      </c>
      <c r="W7727" s="35" t="inlineStr"/>
      <c r="X7727" s="35" t="inlineStr"/>
    </row>
    <row r="7728" ht="27.75" customHeight="1" s="24">
      <c r="A7728" s="13" t="inlineStr">
        <is>
          <t>FR1012647</t>
        </is>
      </c>
      <c r="B7728" s="13" t="inlineStr">
        <is>
          <t>Общество с ограниченной ответственностью "СЛК СИБИРЬ"</t>
        </is>
      </c>
      <c r="C7728" s="13" t="n">
        <v>3818051410</v>
      </c>
      <c r="D7728" s="13" t="inlineStr">
        <is>
          <t>3818051410</t>
        </is>
      </c>
      <c r="E7728" s="13" t="inlineStr">
        <is>
          <t>ЮЛ РФ</t>
        </is>
      </c>
      <c r="F7728" s="13" t="n"/>
      <c r="G7728" s="52" t="n">
        <v>10</v>
      </c>
      <c r="H7728" s="52" t="n">
        <v>2025</v>
      </c>
      <c r="I7728" s="14" t="n"/>
      <c r="J7728" s="14" t="n"/>
      <c r="K7728" s="53" t="inlineStr">
        <is>
          <t>Нет</t>
        </is>
      </c>
      <c r="L7728" s="53" t="inlineStr">
        <is>
          <t>Не определено</t>
        </is>
      </c>
      <c r="M7728" s="53" t="inlineStr">
        <is>
          <t>До 10</t>
        </is>
      </c>
      <c r="N7728" s="54" t="n">
        <v>3360</v>
      </c>
      <c r="O7728" s="55" t="inlineStr">
        <is>
          <t>1–15</t>
        </is>
      </c>
      <c r="P7728" s="16" t="inlineStr">
        <is>
          <t>ССЧР обогащена; ОКВЭД не найден/не загружен</t>
        </is>
      </c>
      <c r="Q7728" s="16" t="inlineStr">
        <is>
          <t>ФНС открытые данные ССЧР (ДатаСост 31.12.2025; набор 7707329152-sshr2019)</t>
        </is>
      </c>
      <c r="R7728" s="16">
        <f>HYPERLINK("https://checko.ru/search?query=3801001629","Чекко: проверить")</f>
        <v/>
      </c>
      <c r="S7728" t="n">
        <v>0</v>
      </c>
      <c r="T7728" s="35" t="inlineStr">
        <is>
          <t>4 — Не обогащён</t>
        </is>
      </c>
      <c r="U7728" s="35" t="inlineStr">
        <is>
          <t>Нет ОКВЭД/ССЧР</t>
        </is>
      </c>
      <c r="V7728" s="35" t="inlineStr">
        <is>
          <t>Не определено</t>
        </is>
      </c>
      <c r="W7728" s="35" t="inlineStr">
        <is>
          <t>Нет</t>
        </is>
      </c>
      <c r="X7728" s="35" t="inlineStr"/>
    </row>
    <row r="7729" ht="15" customHeight="1" s="24">
      <c r="A7729" s="13" t="n">
        <v>20000190017</v>
      </c>
      <c r="B7729" s="13" t="inlineStr">
        <is>
          <t>ООО "Союз-ДробМаш"</t>
        </is>
      </c>
      <c r="C7729" s="13" t="n">
        <v>3811169902</v>
      </c>
      <c r="D7729" s="13" t="inlineStr">
        <is>
          <t>3811169902</t>
        </is>
      </c>
      <c r="E7729" s="13" t="inlineStr">
        <is>
          <t>ЮЛ РФ</t>
        </is>
      </c>
      <c r="F7729" s="13" t="n"/>
      <c r="G7729" s="52" t="n">
        <v>8</v>
      </c>
      <c r="H7729" s="52" t="n">
        <v>2025</v>
      </c>
      <c r="I7729" s="14" t="n"/>
      <c r="J7729" s="14" t="n"/>
      <c r="K7729" s="53" t="inlineStr">
        <is>
          <t>Нет</t>
        </is>
      </c>
      <c r="L7729" s="53" t="inlineStr">
        <is>
          <t>Не определено</t>
        </is>
      </c>
      <c r="M7729" s="53" t="inlineStr">
        <is>
          <t>До 10</t>
        </is>
      </c>
      <c r="N7729" s="54" t="n">
        <v>3360</v>
      </c>
      <c r="O7729" s="55" t="inlineStr">
        <is>
          <t>1–15</t>
        </is>
      </c>
      <c r="P7729" s="16" t="inlineStr">
        <is>
          <t>ССЧР обогащена; ОКВЭД не найден/не загружен</t>
        </is>
      </c>
      <c r="Q7729" s="16" t="inlineStr">
        <is>
          <t>ФНС открытые данные ССЧР (ДатаСост 31.12.2025; набор 7707329152-sshr2019)</t>
        </is>
      </c>
      <c r="R7729" s="16">
        <f>HYPERLINK("https://checko.ru/search?query=3801001629","Чекко: проверить")</f>
        <v/>
      </c>
      <c r="S7729" t="n">
        <v>1</v>
      </c>
      <c r="T7729" s="35" t="inlineStr">
        <is>
          <t>4 — Не обогащён</t>
        </is>
      </c>
      <c r="U7729" s="35" t="inlineStr">
        <is>
          <t>Нет ОКВЭД/ССЧР</t>
        </is>
      </c>
      <c r="V7729" s="35" t="inlineStr">
        <is>
          <t>Не определено</t>
        </is>
      </c>
      <c r="W7729" s="35" t="inlineStr">
        <is>
          <t>Нет</t>
        </is>
      </c>
      <c r="X7729" s="35" t="inlineStr"/>
    </row>
    <row r="7730" ht="15" customHeight="1" s="24">
      <c r="A7730" s="13" t="n">
        <v>9827922</v>
      </c>
      <c r="B7730" s="13" t="inlineStr">
        <is>
          <t>ООО "Торговый Дом "ВСПК+"</t>
        </is>
      </c>
      <c r="C7730" s="13" t="n">
        <v>3849032985</v>
      </c>
      <c r="D7730" s="13" t="inlineStr">
        <is>
          <t>3849032985</t>
        </is>
      </c>
      <c r="E7730" s="13" t="inlineStr">
        <is>
          <t>ЮЛ РФ</t>
        </is>
      </c>
      <c r="F7730" s="13" t="n"/>
      <c r="G7730" s="52" t="n">
        <v>3</v>
      </c>
      <c r="H7730" s="52" t="n">
        <v>2025</v>
      </c>
      <c r="I7730" s="14" t="n"/>
      <c r="J7730" s="14" t="n"/>
      <c r="K7730" s="53" t="inlineStr">
        <is>
          <t>Нет</t>
        </is>
      </c>
      <c r="L7730" s="53" t="inlineStr">
        <is>
          <t>Не определено</t>
        </is>
      </c>
      <c r="M7730" s="53" t="inlineStr">
        <is>
          <t>До 10</t>
        </is>
      </c>
      <c r="N7730" s="54" t="n">
        <v>3360</v>
      </c>
      <c r="O7730" s="55" t="inlineStr">
        <is>
          <t>1–15</t>
        </is>
      </c>
      <c r="P7730" s="16" t="inlineStr">
        <is>
          <t>ССЧР обогащена; ОКВЭД не найден/не загружен</t>
        </is>
      </c>
      <c r="Q7730" s="16" t="inlineStr">
        <is>
          <t>ФНС открытые данные ССЧР (ДатаСост 31.12.2025; набор 7707329152-sshr2019)</t>
        </is>
      </c>
      <c r="R7730" s="16">
        <f>HYPERLINK("https://checko.ru/search?query=3801001629","Чекко: проверить")</f>
        <v/>
      </c>
      <c r="S7730" t="n">
        <v>0</v>
      </c>
      <c r="T7730" s="35" t="inlineStr">
        <is>
          <t>4 — Не обогащён</t>
        </is>
      </c>
      <c r="U7730" s="35" t="inlineStr">
        <is>
          <t>Нет ОКВЭД/ССЧР</t>
        </is>
      </c>
      <c r="V7730" s="35" t="inlineStr">
        <is>
          <t>Не определено</t>
        </is>
      </c>
      <c r="W7730" s="35" t="inlineStr">
        <is>
          <t>Нет</t>
        </is>
      </c>
      <c r="X7730" s="35" t="inlineStr"/>
    </row>
    <row r="7731" ht="27.75" customHeight="1" s="24">
      <c r="A7731" s="13" t="n">
        <v>20019427575</v>
      </c>
      <c r="B7731" s="13" t="inlineStr">
        <is>
          <t>ОБЩЕСТВО С ОГРАНИЧЕННОЙ ОТВЕТСТВЕННОСТЬЮ "АВТОСПЕЦТРАНС"</t>
        </is>
      </c>
      <c r="C7731" s="13" t="n">
        <v>3816033870</v>
      </c>
      <c r="D7731" s="13" t="inlineStr">
        <is>
          <t>3816033870</t>
        </is>
      </c>
      <c r="E7731" s="13" t="inlineStr">
        <is>
          <t>ЮЛ РФ</t>
        </is>
      </c>
      <c r="F7731" s="13" t="n"/>
      <c r="G7731" s="52" t="n">
        <v>1</v>
      </c>
      <c r="H7731" s="52" t="n">
        <v>2025</v>
      </c>
      <c r="I7731" s="14" t="n"/>
      <c r="J7731" s="14" t="n"/>
      <c r="K7731" s="53" t="inlineStr">
        <is>
          <t>Нет</t>
        </is>
      </c>
      <c r="L7731" s="53" t="inlineStr">
        <is>
          <t>Не определено</t>
        </is>
      </c>
      <c r="M7731" s="53" t="inlineStr">
        <is>
          <t>До 10</t>
        </is>
      </c>
      <c r="N7731" s="54" t="n">
        <v>3360</v>
      </c>
      <c r="O7731" s="55" t="inlineStr">
        <is>
          <t>1–15</t>
        </is>
      </c>
      <c r="P7731" s="16" t="inlineStr">
        <is>
          <t>ССЧР обогащена; ОКВЭД не найден/не загружен</t>
        </is>
      </c>
      <c r="Q7731" s="16" t="inlineStr">
        <is>
          <t>ФНС открытые данные ССЧР (ДатаСост 31.12.2025; набор 7707329152-sshr2019)</t>
        </is>
      </c>
      <c r="R7731" s="16">
        <f>HYPERLINK("https://checko.ru/search?query=3801001629","Чекко: проверить")</f>
        <v/>
      </c>
      <c r="S7731" t="n">
        <v>1</v>
      </c>
      <c r="T7731" s="35" t="inlineStr">
        <is>
          <t>4 — Не обогащён</t>
        </is>
      </c>
      <c r="U7731" s="35" t="inlineStr">
        <is>
          <t>Нет ОКВЭД/ССЧР</t>
        </is>
      </c>
      <c r="V7731" s="35" t="inlineStr">
        <is>
          <t>Не определено</t>
        </is>
      </c>
      <c r="W7731" s="35" t="inlineStr">
        <is>
          <t>Нет</t>
        </is>
      </c>
      <c r="X7731" s="35" t="inlineStr"/>
    </row>
    <row r="7732" ht="27.75" customHeight="1" s="24">
      <c r="A7732" s="13" t="n">
        <v>20014900115</v>
      </c>
      <c r="B7732" s="13" t="inlineStr">
        <is>
          <t>Индивидуальный предприниматель Мерзляков Игорь Игоревич</t>
        </is>
      </c>
      <c r="C7732" s="13" t="n">
        <v>381114151170</v>
      </c>
      <c r="D7732" s="13" t="inlineStr">
        <is>
          <t>381114151170</t>
        </is>
      </c>
      <c r="E7732" s="13" t="inlineStr">
        <is>
          <t>ИП РФ / физлицо</t>
        </is>
      </c>
      <c r="F7732" s="13" t="n"/>
      <c r="G7732" s="14" t="n"/>
      <c r="H7732" s="14" t="n"/>
      <c r="I7732" s="14" t="n"/>
      <c r="J7732" s="14" t="n"/>
      <c r="K7732" s="53" t="inlineStr"/>
      <c r="L7732" s="53" t="inlineStr">
        <is>
          <t>Не определено</t>
        </is>
      </c>
      <c r="M7732" s="53" t="inlineStr"/>
      <c r="N7732" s="54" t="inlineStr"/>
      <c r="O7732" s="55" t="inlineStr"/>
      <c r="P7732" s="16" t="inlineStr">
        <is>
          <t>Требует обогащения</t>
        </is>
      </c>
      <c r="Q7732" s="16">
        <f>HYPERLINK("https://pb.nalog.ru/search.html?query=381114151170","ФНС: проверить")</f>
        <v/>
      </c>
      <c r="R7732" s="16">
        <f>HYPERLINK("https://checko.ru/search?query=3801001629","Чекко: проверить")</f>
        <v/>
      </c>
      <c r="S7732" t="n">
        <v>1</v>
      </c>
      <c r="T7732" s="35" t="inlineStr">
        <is>
          <t>4 — Не обогащён</t>
        </is>
      </c>
      <c r="U7732" s="35" t="inlineStr">
        <is>
          <t>Нет ОКВЭД/ССЧР</t>
        </is>
      </c>
      <c r="V7732" s="35" t="inlineStr">
        <is>
          <t>Не определено</t>
        </is>
      </c>
      <c r="W7732" s="35" t="inlineStr"/>
      <c r="X7732" s="35" t="inlineStr"/>
    </row>
    <row r="7733" ht="15" customHeight="1" s="24">
      <c r="A7733" s="13" t="n">
        <v>13525824</v>
      </c>
      <c r="B7733" s="13" t="inlineStr">
        <is>
          <t>ЖИЛИЩНО-СТРОИТЕЛЬНЫЙ КООПЕРАТИВ № 10</t>
        </is>
      </c>
      <c r="C7733" s="13" t="n">
        <v>3808039533</v>
      </c>
      <c r="D7733" s="13" t="inlineStr">
        <is>
          <t>3808039533</t>
        </is>
      </c>
      <c r="E7733" s="13" t="inlineStr">
        <is>
          <t>ЮЛ РФ</t>
        </is>
      </c>
      <c r="F7733" s="13" t="n"/>
      <c r="G7733" s="14" t="n"/>
      <c r="H7733" s="14" t="n"/>
      <c r="I7733" s="14" t="n"/>
      <c r="J7733" s="14" t="n"/>
      <c r="K7733" s="53" t="inlineStr"/>
      <c r="L7733" s="53" t="inlineStr">
        <is>
          <t>Не определено</t>
        </is>
      </c>
      <c r="M7733" s="53" t="inlineStr"/>
      <c r="N7733" s="54" t="inlineStr"/>
      <c r="O7733" s="55" t="inlineStr"/>
      <c r="P7733" s="16" t="inlineStr">
        <is>
          <t>Требует обогащения</t>
        </is>
      </c>
      <c r="Q7733" s="16">
        <f>HYPERLINK("https://pb.nalog.ru/search.html?query=3808039533","ФНС: проверить")</f>
        <v/>
      </c>
      <c r="R7733" s="16">
        <f>HYPERLINK("https://checko.ru/search?query=3801001629","Чекко: проверить")</f>
        <v/>
      </c>
      <c r="S7733" t="n">
        <v>1</v>
      </c>
      <c r="T7733" s="35" t="inlineStr">
        <is>
          <t>4 — Не обогащён</t>
        </is>
      </c>
      <c r="U7733" s="35" t="inlineStr">
        <is>
          <t>Нет ОКВЭД/ССЧР</t>
        </is>
      </c>
      <c r="V7733" s="35" t="inlineStr">
        <is>
          <t>Не определено</t>
        </is>
      </c>
      <c r="W7733" s="35" t="inlineStr"/>
      <c r="X7733" s="35" t="inlineStr"/>
    </row>
    <row r="7734" ht="15" customHeight="1" s="24">
      <c r="A7734" s="13" t="n">
        <v>13602565</v>
      </c>
      <c r="B7734" s="13" t="inlineStr">
        <is>
          <t>ООО "ГРУППА КОМПАНИЙ "ГЛОБАЛ"</t>
        </is>
      </c>
      <c r="C7734" s="13" t="n">
        <v>2724212211</v>
      </c>
      <c r="D7734" s="13" t="inlineStr">
        <is>
          <t>2724212211</t>
        </is>
      </c>
      <c r="E7734" s="13" t="inlineStr">
        <is>
          <t>ЮЛ РФ</t>
        </is>
      </c>
      <c r="F7734" s="13" t="n"/>
      <c r="G7734" s="52" t="n">
        <v>677</v>
      </c>
      <c r="H7734" s="52" t="n">
        <v>2025</v>
      </c>
      <c r="I7734" s="52" t="inlineStr">
        <is>
          <t>49.41.1</t>
        </is>
      </c>
      <c r="J7734" s="52" t="inlineStr">
        <is>
          <t>49.41.1; 41.20; 42.11; 42.12; 42.13; 43.11; 43.12.1; 43.13; 43.99.5; 43.99.7; 46.13; 46.13.1; 46.13.2; 46.19; 46.49; 46.71; 46.73.6; 46.90; 47.91.2; 47.91.3; 47.91.4; 49.31.25; 49.32; 49.41.2; 49.41.3; 52.29; 53.20.3; 62.01; 62.02; 68.10; 71.12.3; 73.11; 79.11; 82.99</t>
        </is>
      </c>
      <c r="K7734" s="53" t="inlineStr">
        <is>
          <t>Да</t>
        </is>
      </c>
      <c r="L7734" s="53" t="inlineStr">
        <is>
          <t>Да</t>
        </is>
      </c>
      <c r="M7734" s="53" t="inlineStr">
        <is>
          <t>До 2000</t>
        </is>
      </c>
      <c r="N7734" s="54" t="n">
        <v>528000</v>
      </c>
      <c r="O7734" s="55" t="inlineStr">
        <is>
          <t>500+</t>
        </is>
      </c>
      <c r="P7734" s="16" t="inlineStr">
        <is>
          <t>ССЧР + ОКВЭД обогащены</t>
        </is>
      </c>
      <c r="Q7734" s="16" t="inlineStr">
        <is>
          <t>ФНС открытые данные ССЧР (ДатаСост 31.12.2025; набор 7707329152-sshr2019)</t>
        </is>
      </c>
      <c r="R7734" s="16" t="inlineStr">
        <is>
          <t>ЕГРЮЛ / egrul.nalog.ru (выписка)</t>
        </is>
      </c>
      <c r="S7734" t="n">
        <v>0</v>
      </c>
      <c r="T7734" s="35" t="inlineStr">
        <is>
          <t>1 — Горячий</t>
        </is>
      </c>
      <c r="U7734" s="35" t="inlineStr">
        <is>
          <t>ОКВЭД + 22+</t>
        </is>
      </c>
      <c r="V7734" s="35" t="inlineStr">
        <is>
          <t>Да</t>
        </is>
      </c>
      <c r="W7734" s="35" t="inlineStr">
        <is>
          <t>Да</t>
        </is>
      </c>
      <c r="X7734" s="35" t="inlineStr">
        <is>
          <t>Да</t>
        </is>
      </c>
    </row>
    <row r="7735" ht="15" customHeight="1" s="24">
      <c r="A7735" s="13" t="n">
        <v>13252279</v>
      </c>
      <c r="B7735" s="13" t="inlineStr">
        <is>
          <t>ИП Штрем Наталья Константиновна</t>
        </is>
      </c>
      <c r="C7735" s="13" t="n">
        <v>381710498991</v>
      </c>
      <c r="D7735" s="13" t="inlineStr">
        <is>
          <t>381710498991</t>
        </is>
      </c>
      <c r="E7735" s="13" t="inlineStr">
        <is>
          <t>ИП РФ / физлицо</t>
        </is>
      </c>
      <c r="F7735" s="13" t="n"/>
      <c r="G7735" s="14" t="n"/>
      <c r="H7735" s="14" t="n"/>
      <c r="I7735" s="14" t="n"/>
      <c r="J7735" s="14" t="n"/>
      <c r="K7735" s="53" t="inlineStr"/>
      <c r="L7735" s="53" t="inlineStr">
        <is>
          <t>Не определено</t>
        </is>
      </c>
      <c r="M7735" s="53" t="inlineStr"/>
      <c r="N7735" s="54" t="inlineStr"/>
      <c r="O7735" s="55" t="inlineStr"/>
      <c r="P7735" s="16" t="inlineStr">
        <is>
          <t>Требует обогащения</t>
        </is>
      </c>
      <c r="Q7735" s="16">
        <f>HYPERLINK("https://pb.nalog.ru/search.html?query=381710498991","ФНС: проверить")</f>
        <v/>
      </c>
      <c r="R7735" s="16">
        <f>HYPERLINK("https://checko.ru/search?query=3801001629","Чекко: проверить")</f>
        <v/>
      </c>
      <c r="S7735" t="n">
        <v>1</v>
      </c>
      <c r="T7735" s="35" t="inlineStr">
        <is>
          <t>4 — Не обогащён</t>
        </is>
      </c>
      <c r="U7735" s="35" t="inlineStr">
        <is>
          <t>Нет ОКВЭД/ССЧР</t>
        </is>
      </c>
      <c r="V7735" s="35" t="inlineStr">
        <is>
          <t>Не определено</t>
        </is>
      </c>
      <c r="W7735" s="35" t="inlineStr"/>
      <c r="X7735" s="35" t="inlineStr"/>
    </row>
    <row r="7736" ht="27.75" customHeight="1" s="24">
      <c r="A7736" s="13" t="n">
        <v>18116441</v>
      </c>
      <c r="B7736" s="13" t="inlineStr">
        <is>
          <t>ТОВАРИЩЕСТВО СОБСТВЕННИКОВ НЕДВИЖИМОСТИ "ЕЛИ"</t>
        </is>
      </c>
      <c r="C7736" s="13" t="n">
        <v>3812528248</v>
      </c>
      <c r="D7736" s="13" t="inlineStr">
        <is>
          <t>3812528248</t>
        </is>
      </c>
      <c r="E7736" s="13" t="inlineStr">
        <is>
          <t>ЮЛ РФ</t>
        </is>
      </c>
      <c r="F7736" s="13" t="n"/>
      <c r="G7736" s="14" t="n"/>
      <c r="H7736" s="14" t="n"/>
      <c r="I7736" s="14" t="n"/>
      <c r="J7736" s="14" t="n"/>
      <c r="K7736" s="53" t="inlineStr"/>
      <c r="L7736" s="53" t="inlineStr">
        <is>
          <t>Не определено</t>
        </is>
      </c>
      <c r="M7736" s="53" t="inlineStr"/>
      <c r="N7736" s="54" t="inlineStr"/>
      <c r="O7736" s="55" t="inlineStr"/>
      <c r="P7736" s="16" t="inlineStr">
        <is>
          <t>Требует обогащения</t>
        </is>
      </c>
      <c r="Q7736" s="16">
        <f>HYPERLINK("https://pb.nalog.ru/search.html?query=3812528248","ФНС: проверить")</f>
        <v/>
      </c>
      <c r="R7736" s="16">
        <f>HYPERLINK("https://checko.ru/search?query=3801001629","Чекко: проверить")</f>
        <v/>
      </c>
      <c r="S7736" t="n">
        <v>1</v>
      </c>
      <c r="T7736" s="35" t="inlineStr">
        <is>
          <t>4 — Не обогащён</t>
        </is>
      </c>
      <c r="U7736" s="35" t="inlineStr">
        <is>
          <t>Нет ОКВЭД/ССЧР</t>
        </is>
      </c>
      <c r="V7736" s="35" t="inlineStr">
        <is>
          <t>Не определено</t>
        </is>
      </c>
      <c r="W7736" s="35" t="inlineStr"/>
      <c r="X7736" s="35" t="inlineStr"/>
    </row>
    <row r="7737" ht="15" customHeight="1" s="24">
      <c r="A7737" s="13" t="n">
        <v>8104672930</v>
      </c>
      <c r="B7737" s="13" t="inlineStr">
        <is>
          <t>ИП Корнейчук Никита Сергеевич</t>
        </is>
      </c>
      <c r="C7737" s="13" t="n">
        <v>381018902018</v>
      </c>
      <c r="D7737" s="13" t="inlineStr">
        <is>
          <t>381018902018</t>
        </is>
      </c>
      <c r="E7737" s="13" t="inlineStr">
        <is>
          <t>ИП РФ / физлицо</t>
        </is>
      </c>
      <c r="F7737" s="13" t="n"/>
      <c r="G7737" s="14" t="n"/>
      <c r="H7737" s="14" t="n"/>
      <c r="I7737" s="14" t="n"/>
      <c r="J7737" s="14" t="n"/>
      <c r="K7737" s="53" t="inlineStr"/>
      <c r="L7737" s="53" t="inlineStr">
        <is>
          <t>Не определено</t>
        </is>
      </c>
      <c r="M7737" s="53" t="inlineStr"/>
      <c r="N7737" s="54" t="inlineStr"/>
      <c r="O7737" s="55" t="inlineStr"/>
      <c r="P7737" s="16" t="inlineStr">
        <is>
          <t>Требует обогащения</t>
        </is>
      </c>
      <c r="Q7737" s="16">
        <f>HYPERLINK("https://pb.nalog.ru/search.html?query=381018902018","ФНС: проверить")</f>
        <v/>
      </c>
      <c r="R7737" s="16">
        <f>HYPERLINK("https://checko.ru/search?query=3801001629","Чекко: проверить")</f>
        <v/>
      </c>
      <c r="S7737" t="n">
        <v>1</v>
      </c>
      <c r="T7737" s="35" t="inlineStr">
        <is>
          <t>4 — Не обогащён</t>
        </is>
      </c>
      <c r="U7737" s="35" t="inlineStr">
        <is>
          <t>Нет ОКВЭД/ССЧР</t>
        </is>
      </c>
      <c r="V7737" s="35" t="inlineStr">
        <is>
          <t>Не определено</t>
        </is>
      </c>
      <c r="W7737" s="35" t="inlineStr"/>
      <c r="X7737" s="35" t="inlineStr"/>
    </row>
    <row r="7738" ht="15" customHeight="1" s="24">
      <c r="A7738" s="13" t="n">
        <v>18116789</v>
      </c>
      <c r="B7738" s="13" t="inlineStr">
        <is>
          <t>ООО "ГРАДСЕРВИС"</t>
        </is>
      </c>
      <c r="C7738" s="13" t="n">
        <v>1414016310</v>
      </c>
      <c r="D7738" s="13" t="inlineStr">
        <is>
          <t>1414016310</t>
        </is>
      </c>
      <c r="E7738" s="13" t="inlineStr">
        <is>
          <t>ЮЛ РФ</t>
        </is>
      </c>
      <c r="F7738" s="13" t="n"/>
      <c r="G7738" s="52" t="n">
        <v>11</v>
      </c>
      <c r="H7738" s="52" t="n">
        <v>2025</v>
      </c>
      <c r="I7738" s="14" t="n"/>
      <c r="J7738" s="14" t="n"/>
      <c r="K7738" s="53" t="inlineStr">
        <is>
          <t>Нет</t>
        </is>
      </c>
      <c r="L7738" s="53" t="inlineStr">
        <is>
          <t>Не определено</t>
        </is>
      </c>
      <c r="M7738" s="53" t="inlineStr">
        <is>
          <t>До 25</t>
        </is>
      </c>
      <c r="N7738" s="54" t="n">
        <v>8400</v>
      </c>
      <c r="O7738" s="55" t="inlineStr">
        <is>
          <t>1–15</t>
        </is>
      </c>
      <c r="P7738" s="16" t="inlineStr">
        <is>
          <t>ССЧР обогащена; ОКВЭД не найден/не загружен</t>
        </is>
      </c>
      <c r="Q7738" s="16" t="inlineStr">
        <is>
          <t>ФНС открытые данные ССЧР (ДатаСост 31.12.2025; набор 7707329152-sshr2019)</t>
        </is>
      </c>
      <c r="R7738" s="16">
        <f>HYPERLINK("https://checko.ru/search?query=3801001629","Чекко: проверить")</f>
        <v/>
      </c>
      <c r="S7738" t="n">
        <v>0</v>
      </c>
      <c r="T7738" s="35" t="inlineStr">
        <is>
          <t>4 — Не обогащён</t>
        </is>
      </c>
      <c r="U7738" s="35" t="inlineStr">
        <is>
          <t>Нет ОКВЭД/ССЧР</t>
        </is>
      </c>
      <c r="V7738" s="35" t="inlineStr">
        <is>
          <t>Не определено</t>
        </is>
      </c>
      <c r="W7738" s="35" t="inlineStr">
        <is>
          <t>Нет</t>
        </is>
      </c>
      <c r="X7738" s="35" t="inlineStr"/>
    </row>
    <row r="7739" ht="15" customHeight="1" s="24">
      <c r="A7739" s="13" t="n">
        <v>18116854</v>
      </c>
      <c r="B7739" s="13" t="inlineStr">
        <is>
          <t>ИП Бодина Анна Николаевна</t>
        </is>
      </c>
      <c r="C7739" s="13" t="n">
        <v>753405911463</v>
      </c>
      <c r="D7739" s="13" t="inlineStr">
        <is>
          <t>753405911463</t>
        </is>
      </c>
      <c r="E7739" s="13" t="inlineStr">
        <is>
          <t>ИП РФ / физлицо</t>
        </is>
      </c>
      <c r="F7739" s="13" t="n"/>
      <c r="G7739" s="14" t="n"/>
      <c r="H7739" s="14" t="n"/>
      <c r="I7739" s="14" t="n"/>
      <c r="J7739" s="14" t="n"/>
      <c r="K7739" s="53" t="inlineStr"/>
      <c r="L7739" s="53" t="inlineStr">
        <is>
          <t>Не определено</t>
        </is>
      </c>
      <c r="M7739" s="53" t="inlineStr"/>
      <c r="N7739" s="54" t="inlineStr"/>
      <c r="O7739" s="55" t="inlineStr"/>
      <c r="P7739" s="16" t="inlineStr">
        <is>
          <t>Требует обогащения</t>
        </is>
      </c>
      <c r="Q7739" s="16">
        <f>HYPERLINK("https://pb.nalog.ru/search.html?query=753405911463","ФНС: проверить")</f>
        <v/>
      </c>
      <c r="R7739" s="16">
        <f>HYPERLINK("https://checko.ru/search?query=3801001629","Чекко: проверить")</f>
        <v/>
      </c>
      <c r="S7739" t="n">
        <v>1</v>
      </c>
      <c r="T7739" s="35" t="inlineStr">
        <is>
          <t>4 — Не обогащён</t>
        </is>
      </c>
      <c r="U7739" s="35" t="inlineStr">
        <is>
          <t>Нет ОКВЭД/ССЧР</t>
        </is>
      </c>
      <c r="V7739" s="35" t="inlineStr">
        <is>
          <t>Не определено</t>
        </is>
      </c>
      <c r="W7739" s="35" t="inlineStr"/>
      <c r="X7739" s="35" t="inlineStr"/>
    </row>
    <row r="7740" ht="15" customHeight="1" s="24">
      <c r="A7740" s="13" t="n">
        <v>18277382</v>
      </c>
      <c r="B7740" s="13" t="inlineStr">
        <is>
          <t>ИП Толмачев Юрий Алексеевич</t>
        </is>
      </c>
      <c r="C7740" s="13" t="n">
        <v>380120250033</v>
      </c>
      <c r="D7740" s="13" t="inlineStr">
        <is>
          <t>380120250033</t>
        </is>
      </c>
      <c r="E7740" s="13" t="inlineStr">
        <is>
          <t>ИП РФ / физлицо</t>
        </is>
      </c>
      <c r="F7740" s="13" t="n"/>
      <c r="G7740" s="14" t="n"/>
      <c r="H7740" s="14" t="n"/>
      <c r="I7740" s="14" t="n"/>
      <c r="J7740" s="14" t="n"/>
      <c r="K7740" s="53" t="inlineStr"/>
      <c r="L7740" s="53" t="inlineStr">
        <is>
          <t>Не определено</t>
        </is>
      </c>
      <c r="M7740" s="53" t="inlineStr"/>
      <c r="N7740" s="54" t="inlineStr"/>
      <c r="O7740" s="55" t="inlineStr"/>
      <c r="P7740" s="16" t="inlineStr">
        <is>
          <t>Требует обогащения</t>
        </is>
      </c>
      <c r="Q7740" s="16">
        <f>HYPERLINK("https://pb.nalog.ru/search.html?query=380120250033","ФНС: проверить")</f>
        <v/>
      </c>
      <c r="R7740" s="16">
        <f>HYPERLINK("https://checko.ru/search?query=3801001629","Чекко: проверить")</f>
        <v/>
      </c>
      <c r="S7740" t="n">
        <v>1</v>
      </c>
      <c r="T7740" s="35" t="inlineStr">
        <is>
          <t>4 — Не обогащён</t>
        </is>
      </c>
      <c r="U7740" s="35" t="inlineStr">
        <is>
          <t>Нет ОКВЭД/ССЧР</t>
        </is>
      </c>
      <c r="V7740" s="35" t="inlineStr">
        <is>
          <t>Не определено</t>
        </is>
      </c>
      <c r="W7740" s="35" t="inlineStr"/>
      <c r="X7740" s="35" t="inlineStr"/>
    </row>
    <row r="7741" ht="41.25" customHeight="1" s="24">
      <c r="A7741" s="13" t="n">
        <v>18117173</v>
      </c>
      <c r="B7741" s="13" t="inlineStr">
        <is>
          <t>МУНИЦИПАЛЬНОЕ УНИТАРНОЕ ПРЕДПРИЯТИЕ "ВОДОКАНАЛ" МАРКОВСКОГО МУНИЦИПАЛЬНОГО ОБРАЗОВАНИЯ</t>
        </is>
      </c>
      <c r="C7741" s="13" t="n">
        <v>3808280851</v>
      </c>
      <c r="D7741" s="13" t="inlineStr">
        <is>
          <t>3808280851</t>
        </is>
      </c>
      <c r="E7741" s="13" t="inlineStr">
        <is>
          <t>ЮЛ РФ</t>
        </is>
      </c>
      <c r="F7741" s="13" t="n"/>
      <c r="G7741" s="14" t="n"/>
      <c r="H7741" s="14" t="n"/>
      <c r="I7741" s="14" t="n"/>
      <c r="J7741" s="14" t="n"/>
      <c r="K7741" s="53" t="inlineStr"/>
      <c r="L7741" s="53" t="inlineStr">
        <is>
          <t>Не определено</t>
        </is>
      </c>
      <c r="M7741" s="53" t="inlineStr"/>
      <c r="N7741" s="54" t="inlineStr"/>
      <c r="O7741" s="55" t="inlineStr"/>
      <c r="P7741" s="16" t="inlineStr">
        <is>
          <t>Требует обогащения</t>
        </is>
      </c>
      <c r="Q7741" s="16">
        <f>HYPERLINK("https://pb.nalog.ru/search.html?query=3808280851","ФНС: проверить")</f>
        <v/>
      </c>
      <c r="R7741" s="16">
        <f>HYPERLINK("https://checko.ru/search?query=3801001629","Чекко: проверить")</f>
        <v/>
      </c>
      <c r="S7741" t="n">
        <v>1</v>
      </c>
      <c r="T7741" s="35" t="inlineStr">
        <is>
          <t>4 — Не обогащён</t>
        </is>
      </c>
      <c r="U7741" s="35" t="inlineStr">
        <is>
          <t>Нет ОКВЭД/ССЧР</t>
        </is>
      </c>
      <c r="V7741" s="35" t="inlineStr">
        <is>
          <t>Не определено</t>
        </is>
      </c>
      <c r="W7741" s="35" t="inlineStr"/>
      <c r="X7741" s="35" t="inlineStr"/>
    </row>
    <row r="7742" ht="27.75" customHeight="1" s="24">
      <c r="A7742" s="13" t="n">
        <v>17347393</v>
      </c>
      <c r="B7742" s="13" t="inlineStr">
        <is>
          <t>ОБЩЕСТВО С ОГРАНИЧЕННОЙ ОТВЕТСТВЕННОСТЬЮ "ТРЕЙД"</t>
        </is>
      </c>
      <c r="C7742" s="13" t="n">
        <v>3805734377</v>
      </c>
      <c r="D7742" s="13" t="inlineStr">
        <is>
          <t>3805734377</t>
        </is>
      </c>
      <c r="E7742" s="13" t="inlineStr">
        <is>
          <t>ЮЛ РФ</t>
        </is>
      </c>
      <c r="F7742" s="13" t="n"/>
      <c r="G7742" s="52" t="n">
        <v>1</v>
      </c>
      <c r="H7742" s="52" t="n">
        <v>2025</v>
      </c>
      <c r="I7742" s="14" t="n"/>
      <c r="J7742" s="14" t="n"/>
      <c r="K7742" s="53" t="inlineStr">
        <is>
          <t>Нет</t>
        </is>
      </c>
      <c r="L7742" s="53" t="inlineStr">
        <is>
          <t>Не определено</t>
        </is>
      </c>
      <c r="M7742" s="53" t="inlineStr">
        <is>
          <t>До 10</t>
        </is>
      </c>
      <c r="N7742" s="54" t="n">
        <v>3360</v>
      </c>
      <c r="O7742" s="55" t="inlineStr">
        <is>
          <t>1–15</t>
        </is>
      </c>
      <c r="P7742" s="16" t="inlineStr">
        <is>
          <t>ССЧР обогащена; ОКВЭД не найден/не загружен</t>
        </is>
      </c>
      <c r="Q7742" s="16" t="inlineStr">
        <is>
          <t>ФНС открытые данные ССЧР (ДатаСост 31.12.2025; набор 7707329152-sshr2019)</t>
        </is>
      </c>
      <c r="R7742" s="16">
        <f>HYPERLINK("https://checko.ru/search?query=3801001629","Чекко: проверить")</f>
        <v/>
      </c>
      <c r="S7742" t="n">
        <v>1</v>
      </c>
      <c r="T7742" s="35" t="inlineStr">
        <is>
          <t>4 — Не обогащён</t>
        </is>
      </c>
      <c r="U7742" s="35" t="inlineStr">
        <is>
          <t>Нет ОКВЭД/ССЧР</t>
        </is>
      </c>
      <c r="V7742" s="35" t="inlineStr">
        <is>
          <t>Не определено</t>
        </is>
      </c>
      <c r="W7742" s="35" t="inlineStr">
        <is>
          <t>Нет</t>
        </is>
      </c>
      <c r="X7742" s="35" t="inlineStr"/>
    </row>
    <row r="7743" ht="27.75" customHeight="1" s="24">
      <c r="A7743" s="13" t="n">
        <v>13954243</v>
      </c>
      <c r="B7743" s="13" t="inlineStr">
        <is>
          <t>Общество с ограниченной ответственностью "СПЕЦТРАКСЕРВИС"</t>
        </is>
      </c>
      <c r="C7743" s="13" t="n">
        <v>3804116152</v>
      </c>
      <c r="D7743" s="13" t="inlineStr">
        <is>
          <t>3804116152</t>
        </is>
      </c>
      <c r="E7743" s="13" t="inlineStr">
        <is>
          <t>ЮЛ РФ</t>
        </is>
      </c>
      <c r="F7743" s="13" t="n"/>
      <c r="G7743" s="52" t="n">
        <v>6</v>
      </c>
      <c r="H7743" s="52" t="n">
        <v>2025</v>
      </c>
      <c r="I7743" s="14" t="n"/>
      <c r="J7743" s="14" t="n"/>
      <c r="K7743" s="53" t="inlineStr">
        <is>
          <t>Нет</t>
        </is>
      </c>
      <c r="L7743" s="53" t="inlineStr">
        <is>
          <t>Не определено</t>
        </is>
      </c>
      <c r="M7743" s="53" t="inlineStr">
        <is>
          <t>До 10</t>
        </is>
      </c>
      <c r="N7743" s="54" t="n">
        <v>3360</v>
      </c>
      <c r="O7743" s="55" t="inlineStr">
        <is>
          <t>1–15</t>
        </is>
      </c>
      <c r="P7743" s="16" t="inlineStr">
        <is>
          <t>ССЧР обогащена; ОКВЭД не найден/не загружен</t>
        </is>
      </c>
      <c r="Q7743" s="16" t="inlineStr">
        <is>
          <t>ФНС открытые данные ССЧР (ДатаСост 31.12.2025; набор 7707329152-sshr2019)</t>
        </is>
      </c>
      <c r="R7743" s="16">
        <f>HYPERLINK("https://checko.ru/search?query=3801001629","Чекко: проверить")</f>
        <v/>
      </c>
      <c r="S7743" t="n">
        <v>1</v>
      </c>
      <c r="T7743" s="35" t="inlineStr">
        <is>
          <t>4 — Не обогащён</t>
        </is>
      </c>
      <c r="U7743" s="35" t="inlineStr">
        <is>
          <t>Нет ОКВЭД/ССЧР</t>
        </is>
      </c>
      <c r="V7743" s="35" t="inlineStr">
        <is>
          <t>Не определено</t>
        </is>
      </c>
      <c r="W7743" s="35" t="inlineStr">
        <is>
          <t>Нет</t>
        </is>
      </c>
      <c r="X7743" s="35" t="inlineStr"/>
    </row>
    <row r="7744" ht="15" customHeight="1" s="24">
      <c r="A7744" s="13" t="n">
        <v>16973238</v>
      </c>
      <c r="B7744" s="13" t="inlineStr">
        <is>
          <t>ИП Климентьева Вера Васильевна</t>
        </is>
      </c>
      <c r="C7744" s="13" t="n">
        <v>381500893089</v>
      </c>
      <c r="D7744" s="13" t="inlineStr">
        <is>
          <t>381500893089</t>
        </is>
      </c>
      <c r="E7744" s="13" t="inlineStr">
        <is>
          <t>ИП РФ / физлицо</t>
        </is>
      </c>
      <c r="F7744" s="13" t="n"/>
      <c r="G7744" s="14" t="n"/>
      <c r="H7744" s="14" t="n"/>
      <c r="I7744" s="14" t="n"/>
      <c r="J7744" s="14" t="n"/>
      <c r="K7744" s="53" t="inlineStr"/>
      <c r="L7744" s="53" t="inlineStr">
        <is>
          <t>Не определено</t>
        </is>
      </c>
      <c r="M7744" s="53" t="inlineStr"/>
      <c r="N7744" s="54" t="inlineStr"/>
      <c r="O7744" s="55" t="inlineStr"/>
      <c r="P7744" s="16" t="inlineStr">
        <is>
          <t>Требует обогащения</t>
        </is>
      </c>
      <c r="Q7744" s="16">
        <f>HYPERLINK("https://pb.nalog.ru/search.html?query=381500893089","ФНС: проверить")</f>
        <v/>
      </c>
      <c r="R7744" s="16">
        <f>HYPERLINK("https://checko.ru/search?query=3801001629","Чекко: проверить")</f>
        <v/>
      </c>
      <c r="S7744" t="n">
        <v>1</v>
      </c>
      <c r="T7744" s="35" t="inlineStr">
        <is>
          <t>4 — Не обогащён</t>
        </is>
      </c>
      <c r="U7744" s="35" t="inlineStr">
        <is>
          <t>Нет ОКВЭД/ССЧР</t>
        </is>
      </c>
      <c r="V7744" s="35" t="inlineStr">
        <is>
          <t>Не определено</t>
        </is>
      </c>
      <c r="W7744" s="35" t="inlineStr"/>
      <c r="X7744" s="35" t="inlineStr"/>
    </row>
    <row r="7745" ht="15" customHeight="1" s="24">
      <c r="A7745" s="13" t="n">
        <v>13601861</v>
      </c>
      <c r="B7745" s="13" t="inlineStr">
        <is>
          <t>ИП Лизин Николай Николаевич</t>
        </is>
      </c>
      <c r="C7745" s="13" t="n">
        <v>361702893402</v>
      </c>
      <c r="D7745" s="13" t="inlineStr">
        <is>
          <t>361702893402</t>
        </is>
      </c>
      <c r="E7745" s="13" t="inlineStr">
        <is>
          <t>ИП РФ / физлицо</t>
        </is>
      </c>
      <c r="F7745" s="13" t="n"/>
      <c r="G7745" s="14" t="n"/>
      <c r="H7745" s="14" t="n"/>
      <c r="I7745" s="14" t="n"/>
      <c r="J7745" s="14" t="n"/>
      <c r="K7745" s="53" t="inlineStr"/>
      <c r="L7745" s="53" t="inlineStr">
        <is>
          <t>Не определено</t>
        </is>
      </c>
      <c r="M7745" s="53" t="inlineStr"/>
      <c r="N7745" s="54" t="inlineStr"/>
      <c r="O7745" s="55" t="inlineStr"/>
      <c r="P7745" s="16" t="inlineStr">
        <is>
          <t>Требует обогащения</t>
        </is>
      </c>
      <c r="Q7745" s="16">
        <f>HYPERLINK("https://pb.nalog.ru/search.html?query=361702893402","ФНС: проверить")</f>
        <v/>
      </c>
      <c r="R7745" s="16">
        <f>HYPERLINK("https://checko.ru/search?query=3801001629","Чекко: проверить")</f>
        <v/>
      </c>
      <c r="S7745" t="n">
        <v>1</v>
      </c>
      <c r="T7745" s="35" t="inlineStr">
        <is>
          <t>4 — Не обогащён</t>
        </is>
      </c>
      <c r="U7745" s="35" t="inlineStr">
        <is>
          <t>Нет ОКВЭД/ССЧР</t>
        </is>
      </c>
      <c r="V7745" s="35" t="inlineStr">
        <is>
          <t>Не определено</t>
        </is>
      </c>
      <c r="W7745" s="35" t="inlineStr"/>
      <c r="X7745" s="35" t="inlineStr"/>
    </row>
    <row r="7746" ht="41.25" customHeight="1" s="24">
      <c r="A7746" s="13" t="n">
        <v>8104672185</v>
      </c>
      <c r="B7746" s="13" t="inlineStr">
        <is>
          <t>ОБЩЕСТВО С ОГРАНИЧЕННОЙ ОТВЕТСТВЕННОСТЬЮ "ТОРГОВЫЙ ДОМ "АНАВИДИН"</t>
        </is>
      </c>
      <c r="C7746" s="13" t="n">
        <v>3827017101</v>
      </c>
      <c r="D7746" s="13" t="inlineStr">
        <is>
          <t>3827017101</t>
        </is>
      </c>
      <c r="E7746" s="13" t="inlineStr">
        <is>
          <t>ЮЛ РФ</t>
        </is>
      </c>
      <c r="F7746" s="13" t="n"/>
      <c r="G7746" s="52" t="n">
        <v>7</v>
      </c>
      <c r="H7746" s="52" t="n">
        <v>2025</v>
      </c>
      <c r="I7746" s="14" t="n"/>
      <c r="J7746" s="14" t="n"/>
      <c r="K7746" s="53" t="inlineStr">
        <is>
          <t>Нет</t>
        </is>
      </c>
      <c r="L7746" s="53" t="inlineStr">
        <is>
          <t>Не определено</t>
        </is>
      </c>
      <c r="M7746" s="53" t="inlineStr">
        <is>
          <t>До 10</t>
        </is>
      </c>
      <c r="N7746" s="54" t="n">
        <v>3360</v>
      </c>
      <c r="O7746" s="55" t="inlineStr">
        <is>
          <t>1–15</t>
        </is>
      </c>
      <c r="P7746" s="16" t="inlineStr">
        <is>
          <t>ССЧР обогащена; ОКВЭД не найден/не загружен</t>
        </is>
      </c>
      <c r="Q7746" s="16" t="inlineStr">
        <is>
          <t>ФНС открытые данные ССЧР (ДатаСост 31.12.2025; набор 7707329152-sshr2019)</t>
        </is>
      </c>
      <c r="R7746" s="16">
        <f>HYPERLINK("https://checko.ru/search?query=3801001629","Чекко: проверить")</f>
        <v/>
      </c>
      <c r="S7746" t="n">
        <v>1</v>
      </c>
      <c r="T7746" s="35" t="inlineStr">
        <is>
          <t>4 — Не обогащён</t>
        </is>
      </c>
      <c r="U7746" s="35" t="inlineStr">
        <is>
          <t>Нет ОКВЭД/ССЧР</t>
        </is>
      </c>
      <c r="V7746" s="35" t="inlineStr">
        <is>
          <t>Не определено</t>
        </is>
      </c>
      <c r="W7746" s="35" t="inlineStr">
        <is>
          <t>Нет</t>
        </is>
      </c>
      <c r="X7746" s="35" t="inlineStr"/>
    </row>
    <row r="7747" ht="15" customHeight="1" s="24">
      <c r="A7747" s="13" t="n">
        <v>18277371</v>
      </c>
      <c r="B7747" s="13" t="inlineStr">
        <is>
          <t>ИП Климентьева Вера Васильевна</t>
        </is>
      </c>
      <c r="C7747" s="13" t="n">
        <v>381500893089</v>
      </c>
      <c r="D7747" s="13" t="inlineStr">
        <is>
          <t>381500893089</t>
        </is>
      </c>
      <c r="E7747" s="13" t="inlineStr">
        <is>
          <t>ИП РФ / физлицо</t>
        </is>
      </c>
      <c r="F7747" s="13" t="n"/>
      <c r="G7747" s="14" t="n"/>
      <c r="H7747" s="14" t="n"/>
      <c r="I7747" s="14" t="n"/>
      <c r="J7747" s="14" t="n"/>
      <c r="K7747" s="53" t="inlineStr"/>
      <c r="L7747" s="53" t="inlineStr">
        <is>
          <t>Не определено</t>
        </is>
      </c>
      <c r="M7747" s="53" t="inlineStr"/>
      <c r="N7747" s="54" t="inlineStr"/>
      <c r="O7747" s="55" t="inlineStr"/>
      <c r="P7747" s="16" t="inlineStr">
        <is>
          <t>Требует обогащения</t>
        </is>
      </c>
      <c r="Q7747" s="16">
        <f>HYPERLINK("https://pb.nalog.ru/search.html?query=381500893089","ФНС: проверить")</f>
        <v/>
      </c>
      <c r="R7747" s="16">
        <f>HYPERLINK("https://checko.ru/search?query=3801001629","Чекко: проверить")</f>
        <v/>
      </c>
      <c r="S7747" t="n">
        <v>0</v>
      </c>
      <c r="T7747" s="35" t="inlineStr">
        <is>
          <t>4 — Не обогащён</t>
        </is>
      </c>
      <c r="U7747" s="35" t="inlineStr">
        <is>
          <t>Нет ОКВЭД/ССЧР</t>
        </is>
      </c>
      <c r="V7747" s="35" t="inlineStr">
        <is>
          <t>Не определено</t>
        </is>
      </c>
      <c r="W7747" s="35" t="inlineStr"/>
      <c r="X7747" s="35" t="inlineStr"/>
    </row>
    <row r="7748" ht="15" customHeight="1" s="24">
      <c r="A7748" s="13" t="n">
        <v>8104676459</v>
      </c>
      <c r="B7748" s="13" t="inlineStr">
        <is>
          <t>ИП Носова Светлана Владимировна</t>
        </is>
      </c>
      <c r="C7748" s="13" t="n">
        <v>381205418625</v>
      </c>
      <c r="D7748" s="13" t="inlineStr">
        <is>
          <t>381205418625</t>
        </is>
      </c>
      <c r="E7748" s="13" t="inlineStr">
        <is>
          <t>ИП РФ / физлицо</t>
        </is>
      </c>
      <c r="F7748" s="13" t="n"/>
      <c r="G7748" s="14" t="n"/>
      <c r="H7748" s="14" t="n"/>
      <c r="I7748" s="14" t="n"/>
      <c r="J7748" s="14" t="n"/>
      <c r="K7748" s="53" t="inlineStr"/>
      <c r="L7748" s="53" t="inlineStr">
        <is>
          <t>Не определено</t>
        </is>
      </c>
      <c r="M7748" s="53" t="inlineStr"/>
      <c r="N7748" s="54" t="inlineStr"/>
      <c r="O7748" s="55" t="inlineStr"/>
      <c r="P7748" s="16" t="inlineStr">
        <is>
          <t>Требует обогащения</t>
        </is>
      </c>
      <c r="Q7748" s="16">
        <f>HYPERLINK("https://pb.nalog.ru/search.html?query=381205418625","ФНС: проверить")</f>
        <v/>
      </c>
      <c r="R7748" s="16">
        <f>HYPERLINK("https://checko.ru/search?query=3801001629","Чекко: проверить")</f>
        <v/>
      </c>
      <c r="S7748" t="n">
        <v>1</v>
      </c>
      <c r="T7748" s="35" t="inlineStr">
        <is>
          <t>4 — Не обогащён</t>
        </is>
      </c>
      <c r="U7748" s="35" t="inlineStr">
        <is>
          <t>Нет ОКВЭД/ССЧР</t>
        </is>
      </c>
      <c r="V7748" s="35" t="inlineStr">
        <is>
          <t>Не определено</t>
        </is>
      </c>
      <c r="W7748" s="35" t="inlineStr"/>
      <c r="X7748" s="35" t="inlineStr"/>
    </row>
    <row r="7749" ht="27.75" customHeight="1" s="24">
      <c r="A7749" s="13" t="n">
        <v>13523876</v>
      </c>
      <c r="B7749" s="13" t="inlineStr">
        <is>
          <t>Общество с ограниченной ответственностью "СТАТУССИБ"</t>
        </is>
      </c>
      <c r="C7749" s="13" t="n">
        <v>3827014037</v>
      </c>
      <c r="D7749" s="13" t="inlineStr">
        <is>
          <t>3827014037</t>
        </is>
      </c>
      <c r="E7749" s="13" t="inlineStr">
        <is>
          <t>ЮЛ РФ</t>
        </is>
      </c>
      <c r="F7749" s="13" t="n"/>
      <c r="G7749" s="52" t="n">
        <v>433</v>
      </c>
      <c r="H7749" s="52" t="n">
        <v>2025</v>
      </c>
      <c r="I7749" s="52" t="inlineStr">
        <is>
          <t>42.11</t>
        </is>
      </c>
      <c r="J7749" s="52" t="inlineStr">
        <is>
          <t>42.11; 02.10; 02.20; 16.10; 16.10.9; 16.23.1; 31.09; 38.32.2; 38.32.3; 38.32.4; 41.20; 42.13; 43.39; 43.99.7; 46.49; 46.90; 47.30; 47.78.9; 47.79.3; 52.21.22; 52.21.23; 56.10; 56.10.1; 56.10.3; 70.22; 77.11; 77.12; 79.11; 82.99</t>
        </is>
      </c>
      <c r="K7749" s="53" t="inlineStr">
        <is>
          <t>Да</t>
        </is>
      </c>
      <c r="L7749" s="53" t="inlineStr">
        <is>
          <t>Да</t>
        </is>
      </c>
      <c r="M7749" s="53" t="inlineStr">
        <is>
          <t>До 500</t>
        </is>
      </c>
      <c r="N7749" s="54" t="n">
        <v>144000</v>
      </c>
      <c r="O7749" s="55" t="inlineStr">
        <is>
          <t>201–500</t>
        </is>
      </c>
      <c r="P7749" s="16" t="inlineStr">
        <is>
          <t>ССЧР + ОКВЭД обогащены</t>
        </is>
      </c>
      <c r="Q7749" s="16" t="inlineStr">
        <is>
          <t>ФНС открытые данные ССЧР (ДатаСост 31.12.2025; набор 7707329152-sshr2019)</t>
        </is>
      </c>
      <c r="R7749" s="16" t="inlineStr">
        <is>
          <t>ЕГРЮЛ / egrul.nalog.ru (выписка)</t>
        </is>
      </c>
      <c r="S7749" t="n">
        <v>0</v>
      </c>
      <c r="T7749" s="35" t="inlineStr">
        <is>
          <t>1 — Горячий</t>
        </is>
      </c>
      <c r="U7749" s="35" t="inlineStr">
        <is>
          <t>ОКВЭД + 22+</t>
        </is>
      </c>
      <c r="V7749" s="35" t="inlineStr">
        <is>
          <t>Да</t>
        </is>
      </c>
      <c r="W7749" s="35" t="inlineStr">
        <is>
          <t>Да</t>
        </is>
      </c>
      <c r="X7749" s="35" t="inlineStr">
        <is>
          <t>Да</t>
        </is>
      </c>
    </row>
    <row r="7750" ht="27.75" customHeight="1" s="24">
      <c r="A7750" s="13" t="n">
        <v>13956712</v>
      </c>
      <c r="B7750" s="13" t="inlineStr">
        <is>
          <t>ОБЩЕСТВО С ОГРАНИЧЕННОЙ ОТВЕТСТВЕННОСТЬЮ "КОМФОРТ"</t>
        </is>
      </c>
      <c r="C7750" s="13" t="n">
        <v>3812114328</v>
      </c>
      <c r="D7750" s="13" t="inlineStr">
        <is>
          <t>3812114328</t>
        </is>
      </c>
      <c r="E7750" s="13" t="inlineStr">
        <is>
          <t>ЮЛ РФ</t>
        </is>
      </c>
      <c r="F7750" s="13" t="n"/>
      <c r="G7750" s="14" t="n"/>
      <c r="H7750" s="14" t="n"/>
      <c r="I7750" s="14" t="n"/>
      <c r="J7750" s="14" t="n"/>
      <c r="K7750" s="53" t="inlineStr"/>
      <c r="L7750" s="53" t="inlineStr">
        <is>
          <t>Не определено</t>
        </is>
      </c>
      <c r="M7750" s="53" t="inlineStr"/>
      <c r="N7750" s="54" t="inlineStr"/>
      <c r="O7750" s="55" t="inlineStr"/>
      <c r="P7750" s="16" t="inlineStr">
        <is>
          <t>Требует обогащения</t>
        </is>
      </c>
      <c r="Q7750" s="16">
        <f>HYPERLINK("https://pb.nalog.ru/search.html?query=3812114328","ФНС: проверить")</f>
        <v/>
      </c>
      <c r="R7750" s="16">
        <f>HYPERLINK("https://checko.ru/search?query=3801001629","Чекко: проверить")</f>
        <v/>
      </c>
      <c r="S7750" t="n">
        <v>1</v>
      </c>
      <c r="T7750" s="35" t="inlineStr">
        <is>
          <t>4 — Не обогащён</t>
        </is>
      </c>
      <c r="U7750" s="35" t="inlineStr">
        <is>
          <t>Нет ОКВЭД/ССЧР</t>
        </is>
      </c>
      <c r="V7750" s="35" t="inlineStr">
        <is>
          <t>Не определено</t>
        </is>
      </c>
      <c r="W7750" s="35" t="inlineStr"/>
      <c r="X7750" s="35" t="inlineStr"/>
    </row>
    <row r="7751" ht="27.75" customHeight="1" s="24">
      <c r="A7751" s="13" t="n">
        <v>13956667</v>
      </c>
      <c r="B7751" s="13" t="inlineStr">
        <is>
          <t>ОБЩЕСТВО С ОГРАНИЧЕННОЙ ОТВЕТСТВЕННОСТЬЮ "САТ ПЛЮС"</t>
        </is>
      </c>
      <c r="C7751" s="13" t="n">
        <v>3816037699</v>
      </c>
      <c r="D7751" s="13" t="inlineStr">
        <is>
          <t>3816037699</t>
        </is>
      </c>
      <c r="E7751" s="13" t="inlineStr">
        <is>
          <t>ЮЛ РФ</t>
        </is>
      </c>
      <c r="F7751" s="13" t="n"/>
      <c r="G7751" s="52" t="n">
        <v>1</v>
      </c>
      <c r="H7751" s="52" t="n">
        <v>2025</v>
      </c>
      <c r="I7751" s="14" t="n"/>
      <c r="J7751" s="14" t="n"/>
      <c r="K7751" s="53" t="inlineStr">
        <is>
          <t>Нет</t>
        </is>
      </c>
      <c r="L7751" s="53" t="inlineStr">
        <is>
          <t>Не определено</t>
        </is>
      </c>
      <c r="M7751" s="53" t="inlineStr">
        <is>
          <t>До 10</t>
        </is>
      </c>
      <c r="N7751" s="54" t="n">
        <v>3360</v>
      </c>
      <c r="O7751" s="55" t="inlineStr">
        <is>
          <t>1–15</t>
        </is>
      </c>
      <c r="P7751" s="16" t="inlineStr">
        <is>
          <t>ССЧР обогащена; ОКВЭД не найден/не загружен</t>
        </is>
      </c>
      <c r="Q7751" s="16" t="inlineStr">
        <is>
          <t>ФНС открытые данные ССЧР (ДатаСост 31.12.2025; набор 7707329152-sshr2019)</t>
        </is>
      </c>
      <c r="R7751" s="16">
        <f>HYPERLINK("https://checko.ru/search?query=3801001629","Чекко: проверить")</f>
        <v/>
      </c>
      <c r="S7751" t="n">
        <v>1</v>
      </c>
      <c r="T7751" s="35" t="inlineStr">
        <is>
          <t>4 — Не обогащён</t>
        </is>
      </c>
      <c r="U7751" s="35" t="inlineStr">
        <is>
          <t>Нет ОКВЭД/ССЧР</t>
        </is>
      </c>
      <c r="V7751" s="35" t="inlineStr">
        <is>
          <t>Не определено</t>
        </is>
      </c>
      <c r="W7751" s="35" t="inlineStr">
        <is>
          <t>Нет</t>
        </is>
      </c>
      <c r="X7751" s="35" t="inlineStr"/>
    </row>
    <row r="7752" ht="27.75" customHeight="1" s="24">
      <c r="A7752" s="13" t="n">
        <v>14185030</v>
      </c>
      <c r="B7752" s="13" t="inlineStr">
        <is>
          <t>САДОВОДЧЕСКОЕ НЕКОММЕРЧЕСКОЕ ТОВАРИЩЕСТВО "СТАТИСТИК-2"</t>
        </is>
      </c>
      <c r="C7752" s="13" t="n">
        <v>3827009453</v>
      </c>
      <c r="D7752" s="13" t="inlineStr">
        <is>
          <t>3827009453</t>
        </is>
      </c>
      <c r="E7752" s="13" t="inlineStr">
        <is>
          <t>ЮЛ РФ</t>
        </is>
      </c>
      <c r="F7752" s="13" t="n"/>
      <c r="G7752" s="14" t="n"/>
      <c r="H7752" s="14" t="n"/>
      <c r="I7752" s="14" t="n"/>
      <c r="J7752" s="14" t="n"/>
      <c r="K7752" s="53" t="inlineStr"/>
      <c r="L7752" s="53" t="inlineStr">
        <is>
          <t>Не определено</t>
        </is>
      </c>
      <c r="M7752" s="53" t="inlineStr"/>
      <c r="N7752" s="54" t="inlineStr"/>
      <c r="O7752" s="55" t="inlineStr"/>
      <c r="P7752" s="16" t="inlineStr">
        <is>
          <t>Требует обогащения</t>
        </is>
      </c>
      <c r="Q7752" s="16">
        <f>HYPERLINK("https://pb.nalog.ru/search.html?query=3827009453","ФНС: проверить")</f>
        <v/>
      </c>
      <c r="R7752" s="16">
        <f>HYPERLINK("https://checko.ru/search?query=3801001629","Чекко: проверить")</f>
        <v/>
      </c>
      <c r="S7752" t="n">
        <v>1</v>
      </c>
      <c r="T7752" s="35" t="inlineStr">
        <is>
          <t>4 — Не обогащён</t>
        </is>
      </c>
      <c r="U7752" s="35" t="inlineStr">
        <is>
          <t>Нет ОКВЭД/ССЧР</t>
        </is>
      </c>
      <c r="V7752" s="35" t="inlineStr">
        <is>
          <t>Не определено</t>
        </is>
      </c>
      <c r="W7752" s="35" t="inlineStr"/>
      <c r="X7752" s="35" t="inlineStr"/>
    </row>
    <row r="7753" ht="27.75" customHeight="1" s="24">
      <c r="A7753" s="13" t="n">
        <v>14185025</v>
      </c>
      <c r="B7753" s="13" t="inlineStr">
        <is>
          <t>САДОВОДЧЕСКОЕ НЕКОММЕРЧЕСКОЕ ТОВАРИЩЕСТВО "АНГАРА"</t>
        </is>
      </c>
      <c r="C7753" s="13" t="n">
        <v>3812053019</v>
      </c>
      <c r="D7753" s="13" t="inlineStr">
        <is>
          <t>3812053019</t>
        </is>
      </c>
      <c r="E7753" s="13" t="inlineStr">
        <is>
          <t>ЮЛ РФ</t>
        </is>
      </c>
      <c r="F7753" s="13" t="n"/>
      <c r="G7753" s="14" t="n"/>
      <c r="H7753" s="14" t="n"/>
      <c r="I7753" s="14" t="n"/>
      <c r="J7753" s="14" t="n"/>
      <c r="K7753" s="53" t="inlineStr"/>
      <c r="L7753" s="53" t="inlineStr">
        <is>
          <t>Не определено</t>
        </is>
      </c>
      <c r="M7753" s="53" t="inlineStr"/>
      <c r="N7753" s="54" t="inlineStr"/>
      <c r="O7753" s="55" t="inlineStr"/>
      <c r="P7753" s="16" t="inlineStr">
        <is>
          <t>Требует обогащения</t>
        </is>
      </c>
      <c r="Q7753" s="16">
        <f>HYPERLINK("https://pb.nalog.ru/search.html?query=3812053019","ФНС: проверить")</f>
        <v/>
      </c>
      <c r="R7753" s="16">
        <f>HYPERLINK("https://checko.ru/search?query=3801001629","Чекко: проверить")</f>
        <v/>
      </c>
      <c r="S7753" t="n">
        <v>1</v>
      </c>
      <c r="T7753" s="35" t="inlineStr">
        <is>
          <t>4 — Не обогащён</t>
        </is>
      </c>
      <c r="U7753" s="35" t="inlineStr">
        <is>
          <t>Нет ОКВЭД/ССЧР</t>
        </is>
      </c>
      <c r="V7753" s="35" t="inlineStr">
        <is>
          <t>Не определено</t>
        </is>
      </c>
      <c r="W7753" s="35" t="inlineStr"/>
      <c r="X7753" s="35" t="inlineStr"/>
    </row>
    <row r="7754" ht="27.75" customHeight="1" s="24">
      <c r="A7754" s="13" t="n">
        <v>18744701</v>
      </c>
      <c r="B7754" s="13" t="inlineStr">
        <is>
          <t>Общество с ограниченной ответственностью "АГРОТРАНС"</t>
        </is>
      </c>
      <c r="C7754" s="13" t="n">
        <v>4205321637</v>
      </c>
      <c r="D7754" s="13" t="inlineStr">
        <is>
          <t>4205321637</t>
        </is>
      </c>
      <c r="E7754" s="13" t="inlineStr">
        <is>
          <t>ЮЛ РФ</t>
        </is>
      </c>
      <c r="F7754" s="13" t="n"/>
      <c r="G7754" s="52" t="n">
        <v>4</v>
      </c>
      <c r="H7754" s="52" t="n">
        <v>2025</v>
      </c>
      <c r="I7754" s="14" t="n"/>
      <c r="J7754" s="14" t="n"/>
      <c r="K7754" s="53" t="inlineStr">
        <is>
          <t>Нет</t>
        </is>
      </c>
      <c r="L7754" s="53" t="inlineStr">
        <is>
          <t>Не определено</t>
        </is>
      </c>
      <c r="M7754" s="53" t="inlineStr">
        <is>
          <t>До 10</t>
        </is>
      </c>
      <c r="N7754" s="54" t="n">
        <v>3360</v>
      </c>
      <c r="O7754" s="55" t="inlineStr">
        <is>
          <t>1–15</t>
        </is>
      </c>
      <c r="P7754" s="16" t="inlineStr">
        <is>
          <t>ССЧР обогащена; ОКВЭД не найден/не загружен</t>
        </is>
      </c>
      <c r="Q7754" s="16" t="inlineStr">
        <is>
          <t>ФНС открытые данные ССЧР (ДатаСост 31.12.2025; набор 7707329152-sshr2019)</t>
        </is>
      </c>
      <c r="R7754" s="16">
        <f>HYPERLINK("https://checko.ru/search?query=3801001629","Чекко: проверить")</f>
        <v/>
      </c>
      <c r="S7754" t="n">
        <v>1</v>
      </c>
      <c r="T7754" s="35" t="inlineStr">
        <is>
          <t>4 — Не обогащён</t>
        </is>
      </c>
      <c r="U7754" s="35" t="inlineStr">
        <is>
          <t>Нет ОКВЭД/ССЧР</t>
        </is>
      </c>
      <c r="V7754" s="35" t="inlineStr">
        <is>
          <t>Не определено</t>
        </is>
      </c>
      <c r="W7754" s="35" t="inlineStr">
        <is>
          <t>Нет</t>
        </is>
      </c>
      <c r="X7754" s="35" t="inlineStr"/>
    </row>
    <row r="7755" ht="27.75" customHeight="1" s="24">
      <c r="A7755" s="13" t="n">
        <v>13954243</v>
      </c>
      <c r="B7755" s="13" t="inlineStr">
        <is>
          <t>Общество с ограниченной ответственностью "СПЕЦТРАКСЕРВИС"</t>
        </is>
      </c>
      <c r="C7755" s="13" t="n">
        <v>3804116152</v>
      </c>
      <c r="D7755" s="13" t="inlineStr">
        <is>
          <t>3804116152</t>
        </is>
      </c>
      <c r="E7755" s="13" t="inlineStr">
        <is>
          <t>ЮЛ РФ</t>
        </is>
      </c>
      <c r="F7755" s="13" t="n"/>
      <c r="G7755" s="52" t="n">
        <v>6</v>
      </c>
      <c r="H7755" s="52" t="n">
        <v>2025</v>
      </c>
      <c r="I7755" s="14" t="n"/>
      <c r="J7755" s="14" t="n"/>
      <c r="K7755" s="53" t="inlineStr">
        <is>
          <t>Нет</t>
        </is>
      </c>
      <c r="L7755" s="53" t="inlineStr">
        <is>
          <t>Не определено</t>
        </is>
      </c>
      <c r="M7755" s="53" t="inlineStr">
        <is>
          <t>До 10</t>
        </is>
      </c>
      <c r="N7755" s="54" t="n">
        <v>3360</v>
      </c>
      <c r="O7755" s="55" t="inlineStr">
        <is>
          <t>1–15</t>
        </is>
      </c>
      <c r="P7755" s="16" t="inlineStr">
        <is>
          <t>ССЧР обогащена; ОКВЭД не найден/не загружен</t>
        </is>
      </c>
      <c r="Q7755" s="16" t="inlineStr">
        <is>
          <t>ФНС открытые данные ССЧР (ДатаСост 31.12.2025; набор 7707329152-sshr2019)</t>
        </is>
      </c>
      <c r="R7755" s="16">
        <f>HYPERLINK("https://checko.ru/search?query=3801001629","Чекко: проверить")</f>
        <v/>
      </c>
      <c r="S7755" t="n">
        <v>0</v>
      </c>
      <c r="T7755" s="35" t="inlineStr">
        <is>
          <t>4 — Не обогащён</t>
        </is>
      </c>
      <c r="U7755" s="35" t="inlineStr">
        <is>
          <t>Нет ОКВЭД/ССЧР</t>
        </is>
      </c>
      <c r="V7755" s="35" t="inlineStr">
        <is>
          <t>Не определено</t>
        </is>
      </c>
      <c r="W7755" s="35" t="inlineStr">
        <is>
          <t>Нет</t>
        </is>
      </c>
      <c r="X7755" s="35" t="inlineStr"/>
    </row>
    <row r="7756" ht="27.75" customHeight="1" s="24">
      <c r="A7756" s="13" t="n">
        <v>14185025</v>
      </c>
      <c r="B7756" s="13" t="inlineStr">
        <is>
          <t>САДОВОДЧЕСКОЕ НЕКОММЕРЧЕСКОЕ ТОВАРИЩЕСТВО "АНГАРА"</t>
        </is>
      </c>
      <c r="C7756" s="13" t="n">
        <v>3812053019</v>
      </c>
      <c r="D7756" s="13" t="inlineStr">
        <is>
          <t>3812053019</t>
        </is>
      </c>
      <c r="E7756" s="13" t="inlineStr">
        <is>
          <t>ЮЛ РФ</t>
        </is>
      </c>
      <c r="F7756" s="13" t="n"/>
      <c r="G7756" s="14" t="n"/>
      <c r="H7756" s="14" t="n"/>
      <c r="I7756" s="14" t="n"/>
      <c r="J7756" s="14" t="n"/>
      <c r="K7756" s="53" t="inlineStr"/>
      <c r="L7756" s="53" t="inlineStr">
        <is>
          <t>Не определено</t>
        </is>
      </c>
      <c r="M7756" s="53" t="inlineStr"/>
      <c r="N7756" s="54" t="inlineStr"/>
      <c r="O7756" s="55" t="inlineStr"/>
      <c r="P7756" s="16" t="inlineStr">
        <is>
          <t>Требует обогащения</t>
        </is>
      </c>
      <c r="Q7756" s="16">
        <f>HYPERLINK("https://pb.nalog.ru/search.html?query=3812053019","ФНС: проверить")</f>
        <v/>
      </c>
      <c r="R7756" s="16">
        <f>HYPERLINK("https://checko.ru/search?query=3801001629","Чекко: проверить")</f>
        <v/>
      </c>
      <c r="S7756" t="n">
        <v>0</v>
      </c>
      <c r="T7756" s="35" t="inlineStr">
        <is>
          <t>4 — Не обогащён</t>
        </is>
      </c>
      <c r="U7756" s="35" t="inlineStr">
        <is>
          <t>Нет ОКВЭД/ССЧР</t>
        </is>
      </c>
      <c r="V7756" s="35" t="inlineStr">
        <is>
          <t>Не определено</t>
        </is>
      </c>
      <c r="W7756" s="35" t="inlineStr"/>
      <c r="X7756" s="35" t="inlineStr"/>
    </row>
    <row r="7757" ht="27.75" customHeight="1" s="24">
      <c r="A7757" s="13" t="n">
        <v>14185028</v>
      </c>
      <c r="B7757" s="13" t="inlineStr">
        <is>
          <t>САДОВОДЧЕСКОЕ НЕКОММЕРЧЕСКОЕ ТОВАРИЩЕСТВО "СТАТИСТИК-2"</t>
        </is>
      </c>
      <c r="C7757" s="13" t="n">
        <v>3827009453</v>
      </c>
      <c r="D7757" s="13" t="inlineStr">
        <is>
          <t>3827009453</t>
        </is>
      </c>
      <c r="E7757" s="13" t="inlineStr">
        <is>
          <t>ЮЛ РФ</t>
        </is>
      </c>
      <c r="F7757" s="13" t="n"/>
      <c r="G7757" s="14" t="n"/>
      <c r="H7757" s="14" t="n"/>
      <c r="I7757" s="14" t="n"/>
      <c r="J7757" s="14" t="n"/>
      <c r="K7757" s="53" t="inlineStr"/>
      <c r="L7757" s="53" t="inlineStr">
        <is>
          <t>Не определено</t>
        </is>
      </c>
      <c r="M7757" s="53" t="inlineStr"/>
      <c r="N7757" s="54" t="inlineStr"/>
      <c r="O7757" s="55" t="inlineStr"/>
      <c r="P7757" s="16" t="inlineStr">
        <is>
          <t>Требует обогащения</t>
        </is>
      </c>
      <c r="Q7757" s="16">
        <f>HYPERLINK("https://pb.nalog.ru/search.html?query=3827009453","ФНС: проверить")</f>
        <v/>
      </c>
      <c r="R7757" s="16">
        <f>HYPERLINK("https://checko.ru/search?query=3801001629","Чекко: проверить")</f>
        <v/>
      </c>
      <c r="S7757" t="n">
        <v>0</v>
      </c>
      <c r="T7757" s="35" t="inlineStr">
        <is>
          <t>4 — Не обогащён</t>
        </is>
      </c>
      <c r="U7757" s="35" t="inlineStr">
        <is>
          <t>Нет ОКВЭД/ССЧР</t>
        </is>
      </c>
      <c r="V7757" s="35" t="inlineStr">
        <is>
          <t>Не определено</t>
        </is>
      </c>
      <c r="W7757" s="35" t="inlineStr"/>
      <c r="X7757" s="35" t="inlineStr"/>
    </row>
    <row r="7758" ht="15" customHeight="1" s="24">
      <c r="A7758" s="13" t="n">
        <v>8104673395</v>
      </c>
      <c r="B7758" s="13" t="inlineStr">
        <is>
          <t>СТАРТ ТРЕЙД ООО</t>
        </is>
      </c>
      <c r="C7758" s="13" t="n">
        <v>5003125896</v>
      </c>
      <c r="D7758" s="13" t="inlineStr">
        <is>
          <t>5003125896</t>
        </is>
      </c>
      <c r="E7758" s="13" t="inlineStr">
        <is>
          <t>ЮЛ РФ</t>
        </is>
      </c>
      <c r="F7758" s="13" t="n"/>
      <c r="G7758" s="52" t="n">
        <v>1</v>
      </c>
      <c r="H7758" s="52" t="n">
        <v>2025</v>
      </c>
      <c r="I7758" s="14" t="n"/>
      <c r="J7758" s="14" t="n"/>
      <c r="K7758" s="53" t="inlineStr">
        <is>
          <t>Нет</t>
        </is>
      </c>
      <c r="L7758" s="53" t="inlineStr">
        <is>
          <t>Не определено</t>
        </is>
      </c>
      <c r="M7758" s="53" t="inlineStr">
        <is>
          <t>До 10</t>
        </is>
      </c>
      <c r="N7758" s="54" t="n">
        <v>3360</v>
      </c>
      <c r="O7758" s="55" t="inlineStr">
        <is>
          <t>1–15</t>
        </is>
      </c>
      <c r="P7758" s="16" t="inlineStr">
        <is>
          <t>ССЧР обогащена; ОКВЭД не найден/не загружен</t>
        </is>
      </c>
      <c r="Q7758" s="16" t="inlineStr">
        <is>
          <t>ФНС открытые данные ССЧР (ДатаСост 31.12.2025; набор 7707329152-sshr2019)</t>
        </is>
      </c>
      <c r="R7758" s="16">
        <f>HYPERLINK("https://checko.ru/search?query=3801001629","Чекко: проверить")</f>
        <v/>
      </c>
      <c r="S7758" t="n">
        <v>1</v>
      </c>
      <c r="T7758" s="35" t="inlineStr">
        <is>
          <t>4 — Не обогащён</t>
        </is>
      </c>
      <c r="U7758" s="35" t="inlineStr">
        <is>
          <t>Нет ОКВЭД/ССЧР</t>
        </is>
      </c>
      <c r="V7758" s="35" t="inlineStr">
        <is>
          <t>Не определено</t>
        </is>
      </c>
      <c r="W7758" s="35" t="inlineStr">
        <is>
          <t>Нет</t>
        </is>
      </c>
      <c r="X7758" s="35" t="inlineStr"/>
    </row>
    <row r="7759" ht="15" customHeight="1" s="24">
      <c r="A7759" s="13" t="n">
        <v>18116854</v>
      </c>
      <c r="B7759" s="13" t="inlineStr">
        <is>
          <t>ИП Бодина Анна Николаевна</t>
        </is>
      </c>
      <c r="C7759" s="13" t="n">
        <v>753405911463</v>
      </c>
      <c r="D7759" s="13" t="inlineStr">
        <is>
          <t>753405911463</t>
        </is>
      </c>
      <c r="E7759" s="13" t="inlineStr">
        <is>
          <t>ИП РФ / физлицо</t>
        </is>
      </c>
      <c r="F7759" s="13" t="n"/>
      <c r="G7759" s="14" t="n"/>
      <c r="H7759" s="14" t="n"/>
      <c r="I7759" s="14" t="n"/>
      <c r="J7759" s="14" t="n"/>
      <c r="K7759" s="53" t="inlineStr"/>
      <c r="L7759" s="53" t="inlineStr">
        <is>
          <t>Не определено</t>
        </is>
      </c>
      <c r="M7759" s="53" t="inlineStr"/>
      <c r="N7759" s="54" t="inlineStr"/>
      <c r="O7759" s="55" t="inlineStr"/>
      <c r="P7759" s="16" t="inlineStr">
        <is>
          <t>Требует обогащения</t>
        </is>
      </c>
      <c r="Q7759" s="16">
        <f>HYPERLINK("https://pb.nalog.ru/search.html?query=753405911463","ФНС: проверить")</f>
        <v/>
      </c>
      <c r="R7759" s="16">
        <f>HYPERLINK("https://checko.ru/search?query=3801001629","Чекко: проверить")</f>
        <v/>
      </c>
      <c r="S7759" t="n">
        <v>0</v>
      </c>
      <c r="T7759" s="35" t="inlineStr">
        <is>
          <t>4 — Не обогащён</t>
        </is>
      </c>
      <c r="U7759" s="35" t="inlineStr">
        <is>
          <t>Нет ОКВЭД/ССЧР</t>
        </is>
      </c>
      <c r="V7759" s="35" t="inlineStr">
        <is>
          <t>Не определено</t>
        </is>
      </c>
      <c r="W7759" s="35" t="inlineStr"/>
      <c r="X7759" s="35" t="inlineStr"/>
    </row>
    <row r="7760" ht="15" customHeight="1" s="24">
      <c r="A7760" s="13" t="n">
        <v>20015427134</v>
      </c>
      <c r="B7760" s="13" t="inlineStr">
        <is>
          <t>ООО "ГСМ-Авиасервис"</t>
        </is>
      </c>
      <c r="C7760" s="13" t="n">
        <v>3848001374</v>
      </c>
      <c r="D7760" s="13" t="inlineStr">
        <is>
          <t>3848001374</t>
        </is>
      </c>
      <c r="E7760" s="13" t="inlineStr">
        <is>
          <t>ЮЛ РФ</t>
        </is>
      </c>
      <c r="F7760" s="13" t="n"/>
      <c r="G7760" s="52" t="n">
        <v>14</v>
      </c>
      <c r="H7760" s="52" t="n">
        <v>2025</v>
      </c>
      <c r="I7760" s="14" t="n"/>
      <c r="J7760" s="14" t="n"/>
      <c r="K7760" s="53" t="inlineStr">
        <is>
          <t>Нет</t>
        </is>
      </c>
      <c r="L7760" s="53" t="inlineStr">
        <is>
          <t>Не определено</t>
        </is>
      </c>
      <c r="M7760" s="53" t="inlineStr">
        <is>
          <t>До 25</t>
        </is>
      </c>
      <c r="N7760" s="54" t="n">
        <v>8400</v>
      </c>
      <c r="O7760" s="55" t="inlineStr">
        <is>
          <t>1–15</t>
        </is>
      </c>
      <c r="P7760" s="16" t="inlineStr">
        <is>
          <t>ССЧР обогащена; ОКВЭД не найден/не загружен</t>
        </is>
      </c>
      <c r="Q7760" s="16" t="inlineStr">
        <is>
          <t>ФНС открытые данные ССЧР (ДатаСост 31.12.2025; набор 7707329152-sshr2019)</t>
        </is>
      </c>
      <c r="R7760" s="16">
        <f>HYPERLINK("https://checko.ru/search?query=3801001629","Чекко: проверить")</f>
        <v/>
      </c>
      <c r="S7760" t="n">
        <v>0</v>
      </c>
      <c r="T7760" s="35" t="inlineStr">
        <is>
          <t>4 — Не обогащён</t>
        </is>
      </c>
      <c r="U7760" s="35" t="inlineStr">
        <is>
          <t>Нет ОКВЭД/ССЧР</t>
        </is>
      </c>
      <c r="V7760" s="35" t="inlineStr">
        <is>
          <t>Не определено</t>
        </is>
      </c>
      <c r="W7760" s="35" t="inlineStr">
        <is>
          <t>Нет</t>
        </is>
      </c>
      <c r="X7760" s="35" t="inlineStr"/>
    </row>
    <row r="7761" ht="15" customHeight="1" s="24">
      <c r="A7761" s="13" t="n">
        <v>801636268</v>
      </c>
      <c r="B7761" s="13" t="inlineStr">
        <is>
          <t>ООО "Иртеко"</t>
        </is>
      </c>
      <c r="C7761" s="13" t="n">
        <v>3812147348</v>
      </c>
      <c r="D7761" s="13" t="inlineStr">
        <is>
          <t>3812147348</t>
        </is>
      </c>
      <c r="E7761" s="13" t="inlineStr">
        <is>
          <t>ЮЛ РФ</t>
        </is>
      </c>
      <c r="F7761" s="13" t="n"/>
      <c r="G7761" s="52" t="n">
        <v>7</v>
      </c>
      <c r="H7761" s="52" t="n">
        <v>2025</v>
      </c>
      <c r="I7761" s="14" t="n"/>
      <c r="J7761" s="14" t="n"/>
      <c r="K7761" s="53" t="inlineStr">
        <is>
          <t>Нет</t>
        </is>
      </c>
      <c r="L7761" s="53" t="inlineStr">
        <is>
          <t>Не определено</t>
        </is>
      </c>
      <c r="M7761" s="53" t="inlineStr">
        <is>
          <t>До 10</t>
        </is>
      </c>
      <c r="N7761" s="54" t="n">
        <v>3360</v>
      </c>
      <c r="O7761" s="55" t="inlineStr">
        <is>
          <t>1–15</t>
        </is>
      </c>
      <c r="P7761" s="16" t="inlineStr">
        <is>
          <t>ССЧР обогащена; ОКВЭД не найден/не загружен</t>
        </is>
      </c>
      <c r="Q7761" s="16" t="inlineStr">
        <is>
          <t>ФНС открытые данные ССЧР (ДатаСост 31.12.2025; набор 7707329152-sshr2019)</t>
        </is>
      </c>
      <c r="R7761" s="16">
        <f>HYPERLINK("https://checko.ru/search?query=3801001629","Чекко: проверить")</f>
        <v/>
      </c>
      <c r="S7761" t="n">
        <v>1</v>
      </c>
      <c r="T7761" s="35" t="inlineStr">
        <is>
          <t>4 — Не обогащён</t>
        </is>
      </c>
      <c r="U7761" s="35" t="inlineStr">
        <is>
          <t>Нет ОКВЭД/ССЧР</t>
        </is>
      </c>
      <c r="V7761" s="35" t="inlineStr">
        <is>
          <t>Не определено</t>
        </is>
      </c>
      <c r="W7761" s="35" t="inlineStr">
        <is>
          <t>Нет</t>
        </is>
      </c>
      <c r="X7761" s="35" t="inlineStr"/>
    </row>
    <row r="7762" ht="15" customHeight="1" s="24">
      <c r="A7762" s="13" t="n">
        <v>802485415</v>
      </c>
      <c r="B7762" s="13" t="inlineStr">
        <is>
          <t>АКЦИОНЕРНОЕ ОБЩЕСТВО "ИОТ"</t>
        </is>
      </c>
      <c r="C7762" s="13" t="n">
        <v>7731399513</v>
      </c>
      <c r="D7762" s="13" t="inlineStr">
        <is>
          <t>7731399513</t>
        </is>
      </c>
      <c r="E7762" s="13" t="inlineStr">
        <is>
          <t>ЮЛ РФ</t>
        </is>
      </c>
      <c r="F7762" s="13" t="n"/>
      <c r="G7762" s="52" t="n">
        <v>74</v>
      </c>
      <c r="H7762" s="52" t="n">
        <v>2025</v>
      </c>
      <c r="I7762" s="52" t="inlineStr">
        <is>
          <t>63.11</t>
        </is>
      </c>
      <c r="J7762" s="52" t="inlineStr">
        <is>
          <t>63.11; 62.01; 62.02; 62.09; 63.11.1; 72.19; 82.99</t>
        </is>
      </c>
      <c r="K7762" s="53" t="inlineStr">
        <is>
          <t>Да</t>
        </is>
      </c>
      <c r="L7762" s="53" t="inlineStr">
        <is>
          <t>Да</t>
        </is>
      </c>
      <c r="M7762" s="53" t="inlineStr">
        <is>
          <t>До 100</t>
        </is>
      </c>
      <c r="N7762" s="54" t="n">
        <v>33600</v>
      </c>
      <c r="O7762" s="55" t="inlineStr">
        <is>
          <t>51–100</t>
        </is>
      </c>
      <c r="P7762" s="16" t="inlineStr">
        <is>
          <t>ССЧР + ОКВЭД обогащены</t>
        </is>
      </c>
      <c r="Q7762" s="16" t="inlineStr">
        <is>
          <t>ФНС открытые данные ССЧР (ДатаСост 31.12.2025; набор 7707329152-sshr2019)</t>
        </is>
      </c>
      <c r="R7762" s="16" t="inlineStr">
        <is>
          <t>ЕГРЮЛ / egrul.nalog.ru (выписка)</t>
        </is>
      </c>
      <c r="S7762" t="n">
        <v>0</v>
      </c>
      <c r="T7762" s="35" t="inlineStr">
        <is>
          <t>1 — Горячий</t>
        </is>
      </c>
      <c r="U7762" s="35" t="inlineStr">
        <is>
          <t>ОКВЭД + 22+</t>
        </is>
      </c>
      <c r="V7762" s="35" t="inlineStr">
        <is>
          <t>Да</t>
        </is>
      </c>
      <c r="W7762" s="35" t="inlineStr">
        <is>
          <t>Да</t>
        </is>
      </c>
      <c r="X7762" s="35" t="inlineStr">
        <is>
          <t>Да</t>
        </is>
      </c>
    </row>
    <row r="7763" ht="15" customHeight="1" s="24">
      <c r="A7763" s="13" t="n">
        <v>9810708</v>
      </c>
      <c r="B7763" s="13" t="inlineStr">
        <is>
          <t>НП СРОСБР</t>
        </is>
      </c>
      <c r="C7763" s="13" t="n">
        <v>3811126176</v>
      </c>
      <c r="D7763" s="13" t="inlineStr">
        <is>
          <t>3811126176</t>
        </is>
      </c>
      <c r="E7763" s="13" t="inlineStr">
        <is>
          <t>ЮЛ РФ</t>
        </is>
      </c>
      <c r="F7763" s="13" t="n"/>
      <c r="G7763" s="14" t="n"/>
      <c r="H7763" s="14" t="n"/>
      <c r="I7763" s="14" t="n"/>
      <c r="J7763" s="14" t="n"/>
      <c r="K7763" s="53" t="inlineStr"/>
      <c r="L7763" s="53" t="inlineStr">
        <is>
          <t>Не определено</t>
        </is>
      </c>
      <c r="M7763" s="53" t="inlineStr"/>
      <c r="N7763" s="54" t="inlineStr"/>
      <c r="O7763" s="55" t="inlineStr"/>
      <c r="P7763" s="16" t="inlineStr">
        <is>
          <t>Требует обогащения</t>
        </is>
      </c>
      <c r="Q7763" s="16">
        <f>HYPERLINK("https://pb.nalog.ru/search.html?query=3811126176","ФНС: проверить")</f>
        <v/>
      </c>
      <c r="R7763" s="16">
        <f>HYPERLINK("https://checko.ru/search?query=3801001629","Чекко: проверить")</f>
        <v/>
      </c>
      <c r="S7763" t="n">
        <v>0</v>
      </c>
      <c r="T7763" s="35" t="inlineStr">
        <is>
          <t>4 — Не обогащён</t>
        </is>
      </c>
      <c r="U7763" s="35" t="inlineStr">
        <is>
          <t>Нет ОКВЭД/ССЧР</t>
        </is>
      </c>
      <c r="V7763" s="35" t="inlineStr">
        <is>
          <t>Не определено</t>
        </is>
      </c>
      <c r="W7763" s="35" t="inlineStr"/>
      <c r="X7763" s="35" t="inlineStr"/>
    </row>
    <row r="7764" ht="15" customHeight="1" s="24">
      <c r="A7764" s="13" t="n">
        <v>9352289</v>
      </c>
      <c r="B7764" s="13" t="inlineStr">
        <is>
          <t>ИП "Паздникова Людмила Игоревна"</t>
        </is>
      </c>
      <c r="C7764" s="13" t="n">
        <v>381100099097</v>
      </c>
      <c r="D7764" s="13" t="inlineStr">
        <is>
          <t>381100099097</t>
        </is>
      </c>
      <c r="E7764" s="13" t="inlineStr">
        <is>
          <t>ИП РФ / физлицо</t>
        </is>
      </c>
      <c r="F7764" s="13" t="n"/>
      <c r="G7764" s="14" t="n"/>
      <c r="H7764" s="14" t="n"/>
      <c r="I7764" s="14" t="n"/>
      <c r="J7764" s="14" t="n"/>
      <c r="K7764" s="53" t="inlineStr"/>
      <c r="L7764" s="53" t="inlineStr">
        <is>
          <t>Не определено</t>
        </is>
      </c>
      <c r="M7764" s="53" t="inlineStr"/>
      <c r="N7764" s="54" t="inlineStr"/>
      <c r="O7764" s="55" t="inlineStr"/>
      <c r="P7764" s="16" t="inlineStr">
        <is>
          <t>Требует обогащения</t>
        </is>
      </c>
      <c r="Q7764" s="16">
        <f>HYPERLINK("https://pb.nalog.ru/search.html?query=381100099097","ФНС: проверить")</f>
        <v/>
      </c>
      <c r="R7764" s="16">
        <f>HYPERLINK("https://checko.ru/search?query=3801001629","Чекко: проверить")</f>
        <v/>
      </c>
      <c r="S7764" t="n">
        <v>0</v>
      </c>
      <c r="T7764" s="35" t="inlineStr">
        <is>
          <t>4 — Не обогащён</t>
        </is>
      </c>
      <c r="U7764" s="35" t="inlineStr">
        <is>
          <t>Нет ОКВЭД/ССЧР</t>
        </is>
      </c>
      <c r="V7764" s="35" t="inlineStr">
        <is>
          <t>Не определено</t>
        </is>
      </c>
      <c r="W7764" s="35" t="inlineStr"/>
      <c r="X7764" s="35" t="inlineStr"/>
    </row>
    <row r="7765" ht="15" customHeight="1" s="24">
      <c r="A7765" s="13" t="n">
        <v>9811416</v>
      </c>
      <c r="B7765" s="13" t="inlineStr">
        <is>
          <t>ТехАвангард ООО</t>
        </is>
      </c>
      <c r="C7765" s="13" t="n">
        <v>3827022091</v>
      </c>
      <c r="D7765" s="13" t="inlineStr">
        <is>
          <t>3827022091</t>
        </is>
      </c>
      <c r="E7765" s="13" t="inlineStr">
        <is>
          <t>ЮЛ РФ</t>
        </is>
      </c>
      <c r="F7765" s="13" t="n"/>
      <c r="G7765" s="52" t="n">
        <v>9</v>
      </c>
      <c r="H7765" s="52" t="n">
        <v>2025</v>
      </c>
      <c r="I7765" s="14" t="n"/>
      <c r="J7765" s="14" t="n"/>
      <c r="K7765" s="53" t="inlineStr">
        <is>
          <t>Нет</t>
        </is>
      </c>
      <c r="L7765" s="53" t="inlineStr">
        <is>
          <t>Не определено</t>
        </is>
      </c>
      <c r="M7765" s="53" t="inlineStr">
        <is>
          <t>До 10</t>
        </is>
      </c>
      <c r="N7765" s="54" t="n">
        <v>3360</v>
      </c>
      <c r="O7765" s="55" t="inlineStr">
        <is>
          <t>1–15</t>
        </is>
      </c>
      <c r="P7765" s="16" t="inlineStr">
        <is>
          <t>ССЧР обогащена; ОКВЭД не найден/не загружен</t>
        </is>
      </c>
      <c r="Q7765" s="16" t="inlineStr">
        <is>
          <t>ФНС открытые данные ССЧР (ДатаСост 31.12.2025; набор 7707329152-sshr2019)</t>
        </is>
      </c>
      <c r="R7765" s="16">
        <f>HYPERLINK("https://checko.ru/search?query=3801001629","Чекко: проверить")</f>
        <v/>
      </c>
      <c r="S7765" t="n">
        <v>0</v>
      </c>
      <c r="T7765" s="35" t="inlineStr">
        <is>
          <t>4 — Не обогащён</t>
        </is>
      </c>
      <c r="U7765" s="35" t="inlineStr">
        <is>
          <t>Нет ОКВЭД/ССЧР</t>
        </is>
      </c>
      <c r="V7765" s="35" t="inlineStr">
        <is>
          <t>Не определено</t>
        </is>
      </c>
      <c r="W7765" s="35" t="inlineStr">
        <is>
          <t>Нет</t>
        </is>
      </c>
      <c r="X7765" s="35" t="inlineStr"/>
    </row>
    <row r="7766" ht="27.75" customHeight="1" s="24">
      <c r="A7766" s="13" t="n">
        <v>16513660</v>
      </c>
      <c r="B7766" s="13" t="inlineStr">
        <is>
          <t>Общество с ограниченной ответственностью "Севертраксервис"</t>
        </is>
      </c>
      <c r="C7766" s="13" t="n">
        <v>3816034017</v>
      </c>
      <c r="D7766" s="13" t="inlineStr">
        <is>
          <t>3816034017</t>
        </is>
      </c>
      <c r="E7766" s="13" t="inlineStr">
        <is>
          <t>ЮЛ РФ</t>
        </is>
      </c>
      <c r="F7766" s="13" t="n"/>
      <c r="G7766" s="52" t="n">
        <v>21</v>
      </c>
      <c r="H7766" s="52" t="n">
        <v>2025</v>
      </c>
      <c r="I7766" s="14" t="n"/>
      <c r="J7766" s="14" t="n"/>
      <c r="K7766" s="53" t="inlineStr">
        <is>
          <t>Нет</t>
        </is>
      </c>
      <c r="L7766" s="53" t="inlineStr">
        <is>
          <t>Не определено</t>
        </is>
      </c>
      <c r="M7766" s="53" t="inlineStr">
        <is>
          <t>До 25</t>
        </is>
      </c>
      <c r="N7766" s="54" t="n">
        <v>8400</v>
      </c>
      <c r="O7766" s="55" t="inlineStr">
        <is>
          <t>16–30</t>
        </is>
      </c>
      <c r="P7766" s="16" t="inlineStr">
        <is>
          <t>ССЧР обогащена; ОКВЭД не найден/не загружен</t>
        </is>
      </c>
      <c r="Q7766" s="16" t="inlineStr">
        <is>
          <t>ФНС открытые данные ССЧР (ДатаСост 31.12.2025; набор 7707329152-sshr2019)</t>
        </is>
      </c>
      <c r="R7766" s="16">
        <f>HYPERLINK("https://checko.ru/search?query=3801001629","Чекко: проверить")</f>
        <v/>
      </c>
      <c r="S7766" t="n">
        <v>0</v>
      </c>
      <c r="T7766" s="35" t="inlineStr">
        <is>
          <t>4 — Не обогащён</t>
        </is>
      </c>
      <c r="U7766" s="35" t="inlineStr">
        <is>
          <t>Нет ОКВЭД/ССЧР</t>
        </is>
      </c>
      <c r="V7766" s="35" t="inlineStr">
        <is>
          <t>Не определено</t>
        </is>
      </c>
      <c r="W7766" s="35" t="inlineStr">
        <is>
          <t>Нет</t>
        </is>
      </c>
      <c r="X7766" s="35" t="inlineStr"/>
    </row>
    <row r="7767" ht="15" customHeight="1" s="24">
      <c r="A7767" s="13" t="n">
        <v>800563086</v>
      </c>
      <c r="B7767" s="13" t="inlineStr">
        <is>
          <t>ИП Попова Ольга Васильевна</t>
        </is>
      </c>
      <c r="C7767" s="13" t="n">
        <v>380400215151</v>
      </c>
      <c r="D7767" s="13" t="inlineStr">
        <is>
          <t>380400215151</t>
        </is>
      </c>
      <c r="E7767" s="13" t="inlineStr">
        <is>
          <t>ИП РФ / физлицо</t>
        </is>
      </c>
      <c r="F7767" s="13" t="n"/>
      <c r="G7767" s="14" t="n"/>
      <c r="H7767" s="14" t="n"/>
      <c r="I7767" s="14" t="n"/>
      <c r="J7767" s="14" t="n"/>
      <c r="K7767" s="53" t="inlineStr"/>
      <c r="L7767" s="53" t="inlineStr">
        <is>
          <t>Не определено</t>
        </is>
      </c>
      <c r="M7767" s="53" t="inlineStr"/>
      <c r="N7767" s="54" t="inlineStr"/>
      <c r="O7767" s="55" t="inlineStr"/>
      <c r="P7767" s="16" t="inlineStr">
        <is>
          <t>Требует обогащения</t>
        </is>
      </c>
      <c r="Q7767" s="16">
        <f>HYPERLINK("https://pb.nalog.ru/search.html?query=380400215151","ФНС: проверить")</f>
        <v/>
      </c>
      <c r="R7767" s="16">
        <f>HYPERLINK("https://checko.ru/search?query=3801001629","Чекко: проверить")</f>
        <v/>
      </c>
      <c r="S7767" t="n">
        <v>1</v>
      </c>
      <c r="T7767" s="35" t="inlineStr">
        <is>
          <t>4 — Не обогащён</t>
        </is>
      </c>
      <c r="U7767" s="35" t="inlineStr">
        <is>
          <t>Нет ОКВЭД/ССЧР</t>
        </is>
      </c>
      <c r="V7767" s="35" t="inlineStr">
        <is>
          <t>Не определено</t>
        </is>
      </c>
      <c r="W7767" s="35" t="inlineStr"/>
      <c r="X7767" s="35" t="inlineStr"/>
    </row>
    <row r="7768" ht="15" customHeight="1" s="24">
      <c r="A7768" s="13" t="n">
        <v>800832717</v>
      </c>
      <c r="B7768" s="13" t="inlineStr">
        <is>
          <t>ООО «Компания «Госстрой»</t>
        </is>
      </c>
      <c r="C7768" s="13" t="n">
        <v>3827039144</v>
      </c>
      <c r="D7768" s="13" t="inlineStr">
        <is>
          <t>3827039144</t>
        </is>
      </c>
      <c r="E7768" s="13" t="inlineStr">
        <is>
          <t>ЮЛ РФ</t>
        </is>
      </c>
      <c r="F7768" s="13" t="n"/>
      <c r="G7768" s="52" t="n">
        <v>133</v>
      </c>
      <c r="H7768" s="52" t="n">
        <v>2025</v>
      </c>
      <c r="I7768" s="52" t="inlineStr">
        <is>
          <t>16.23</t>
        </is>
      </c>
      <c r="J7768" s="52" t="inlineStr">
        <is>
          <t>16.23; 02.10; 02.10.1; 02.10.11; 02.20; 02.40; 02.40.2; 16.10.1; 16.10.2; 16.21; 16.21.1; 16.23.1; 16.23.2; 41.20; 42.91; 43.11; 43.12; 43.12.3; 43.13; 43.21; 43.22; 43.29; 43.31; 43.32; 43.33; 43.34; 43.39; 43.91; 43.99; 43.99.1; 46.73; 46.73.1; 46.73.2; 49.41; 49.42; 52.10</t>
        </is>
      </c>
      <c r="K7768" s="53" t="inlineStr">
        <is>
          <t>Да</t>
        </is>
      </c>
      <c r="L7768" s="53" t="inlineStr">
        <is>
          <t>Да</t>
        </is>
      </c>
      <c r="M7768" s="53" t="inlineStr">
        <is>
          <t>До 200</t>
        </is>
      </c>
      <c r="N7768" s="54" t="n">
        <v>62400</v>
      </c>
      <c r="O7768" s="55" t="inlineStr">
        <is>
          <t>101–200</t>
        </is>
      </c>
      <c r="P7768" s="16" t="inlineStr">
        <is>
          <t>ССЧР + ОКВЭД обогащены</t>
        </is>
      </c>
      <c r="Q7768" s="16" t="inlineStr">
        <is>
          <t>ФНС открытые данные ССЧР (ДатаСост 31.12.2025; набор 7707329152-sshr2019)</t>
        </is>
      </c>
      <c r="R7768" s="16" t="inlineStr">
        <is>
          <t>ЕГРЮЛ / egrul.nalog.ru (выписка)</t>
        </is>
      </c>
      <c r="S7768" t="n">
        <v>0</v>
      </c>
      <c r="T7768" s="35" t="inlineStr">
        <is>
          <t>1 — Горячий</t>
        </is>
      </c>
      <c r="U7768" s="35" t="inlineStr">
        <is>
          <t>ОКВЭД + 22+</t>
        </is>
      </c>
      <c r="V7768" s="35" t="inlineStr">
        <is>
          <t>Да</t>
        </is>
      </c>
      <c r="W7768" s="35" t="inlineStr">
        <is>
          <t>Да</t>
        </is>
      </c>
      <c r="X7768" s="35" t="inlineStr">
        <is>
          <t>Да</t>
        </is>
      </c>
    </row>
    <row r="7769" ht="27.75" customHeight="1" s="24">
      <c r="A7769" s="13" t="n">
        <v>13956215</v>
      </c>
      <c r="B7769" s="13" t="inlineStr">
        <is>
          <t>Общество с ограниченной ответственностью "КОНТИНЕНТ АВТО ТРЕЙД"</t>
        </is>
      </c>
      <c r="C7769" s="13" t="n">
        <v>3849104100</v>
      </c>
      <c r="D7769" s="13" t="inlineStr">
        <is>
          <t>3849104100</t>
        </is>
      </c>
      <c r="E7769" s="13" t="inlineStr">
        <is>
          <t>ЮЛ РФ</t>
        </is>
      </c>
      <c r="F7769" s="13" t="n"/>
      <c r="G7769" s="52" t="n">
        <v>1</v>
      </c>
      <c r="H7769" s="52" t="n">
        <v>2025</v>
      </c>
      <c r="I7769" s="14" t="n"/>
      <c r="J7769" s="14" t="n"/>
      <c r="K7769" s="53" t="inlineStr">
        <is>
          <t>Нет</t>
        </is>
      </c>
      <c r="L7769" s="53" t="inlineStr">
        <is>
          <t>Не определено</t>
        </is>
      </c>
      <c r="M7769" s="53" t="inlineStr">
        <is>
          <t>До 10</t>
        </is>
      </c>
      <c r="N7769" s="54" t="n">
        <v>3360</v>
      </c>
      <c r="O7769" s="55" t="inlineStr">
        <is>
          <t>1–15</t>
        </is>
      </c>
      <c r="P7769" s="16" t="inlineStr">
        <is>
          <t>ССЧР обогащена; ОКВЭД не найден/не загружен</t>
        </is>
      </c>
      <c r="Q7769" s="16" t="inlineStr">
        <is>
          <t>ФНС открытые данные ССЧР (ДатаСост 31.12.2025; набор 7707329152-sshr2019)</t>
        </is>
      </c>
      <c r="R7769" s="16">
        <f>HYPERLINK("https://checko.ru/search?query=3801001629","Чекко: проверить")</f>
        <v/>
      </c>
      <c r="S7769" t="n">
        <v>0</v>
      </c>
      <c r="T7769" s="35" t="inlineStr">
        <is>
          <t>4 — Не обогащён</t>
        </is>
      </c>
      <c r="U7769" s="35" t="inlineStr">
        <is>
          <t>Нет ОКВЭД/ССЧР</t>
        </is>
      </c>
      <c r="V7769" s="35" t="inlineStr">
        <is>
          <t>Не определено</t>
        </is>
      </c>
      <c r="W7769" s="35" t="inlineStr">
        <is>
          <t>Нет</t>
        </is>
      </c>
      <c r="X7769" s="35" t="inlineStr"/>
    </row>
    <row r="7770" ht="15" customHeight="1" s="24">
      <c r="A7770" s="13" t="n">
        <v>804679188</v>
      </c>
      <c r="B7770" s="13" t="inlineStr">
        <is>
          <t>ООО "Илим-СМК"</t>
        </is>
      </c>
      <c r="C7770" s="13" t="n">
        <v>3812141868</v>
      </c>
      <c r="D7770" s="13" t="inlineStr">
        <is>
          <t>3812141868</t>
        </is>
      </c>
      <c r="E7770" s="13" t="inlineStr">
        <is>
          <t>ЮЛ РФ</t>
        </is>
      </c>
      <c r="F7770" s="13" t="n"/>
      <c r="G7770" s="52" t="n">
        <v>20</v>
      </c>
      <c r="H7770" s="52" t="n">
        <v>2025</v>
      </c>
      <c r="I7770" s="14" t="n"/>
      <c r="J7770" s="14" t="n"/>
      <c r="K7770" s="53" t="inlineStr">
        <is>
          <t>Нет</t>
        </is>
      </c>
      <c r="L7770" s="53" t="inlineStr">
        <is>
          <t>Не определено</t>
        </is>
      </c>
      <c r="M7770" s="53" t="inlineStr">
        <is>
          <t>До 25</t>
        </is>
      </c>
      <c r="N7770" s="54" t="n">
        <v>8400</v>
      </c>
      <c r="O7770" s="55" t="inlineStr">
        <is>
          <t>16–30</t>
        </is>
      </c>
      <c r="P7770" s="16" t="inlineStr">
        <is>
          <t>ССЧР обогащена; ОКВЭД не найден/не загружен</t>
        </is>
      </c>
      <c r="Q7770" s="16" t="inlineStr">
        <is>
          <t>ФНС открытые данные ССЧР (ДатаСост 31.12.2025; набор 7707329152-sshr2019)</t>
        </is>
      </c>
      <c r="R7770" s="16">
        <f>HYPERLINK("https://checko.ru/search?query=3801001629","Чекко: проверить")</f>
        <v/>
      </c>
      <c r="S7770" t="n">
        <v>0</v>
      </c>
      <c r="T7770" s="35" t="inlineStr">
        <is>
          <t>4 — Не обогащён</t>
        </is>
      </c>
      <c r="U7770" s="35" t="inlineStr">
        <is>
          <t>Нет ОКВЭД/ССЧР</t>
        </is>
      </c>
      <c r="V7770" s="35" t="inlineStr">
        <is>
          <t>Не определено</t>
        </is>
      </c>
      <c r="W7770" s="35" t="inlineStr">
        <is>
          <t>Нет</t>
        </is>
      </c>
      <c r="X7770" s="35" t="inlineStr"/>
    </row>
    <row r="7771" ht="15" customHeight="1" s="24">
      <c r="A7771" s="13" t="n">
        <v>801894921</v>
      </c>
      <c r="B7771" s="13" t="inlineStr">
        <is>
          <t>ООО "ЕВРОИНСТАЛЛ"</t>
        </is>
      </c>
      <c r="C7771" s="13" t="n">
        <v>3849035263</v>
      </c>
      <c r="D7771" s="13" t="inlineStr">
        <is>
          <t>3849035263</t>
        </is>
      </c>
      <c r="E7771" s="13" t="inlineStr">
        <is>
          <t>ЮЛ РФ</t>
        </is>
      </c>
      <c r="F7771" s="13" t="n"/>
      <c r="G7771" s="52" t="n">
        <v>52</v>
      </c>
      <c r="H7771" s="52" t="n">
        <v>2025</v>
      </c>
      <c r="I7771" s="52" t="inlineStr">
        <is>
          <t>46.69.5</t>
        </is>
      </c>
      <c r="J7771" s="52" t="inlineStr">
        <is>
          <t>46.69.5; 33.19; 42.21; 42.22.1; 42.22.2; 42.99; 43.21; 46.43; 46.69.9; 46.75.2; 46.90; 47.78.9; 95.12; 95.22.1</t>
        </is>
      </c>
      <c r="K7771" s="53" t="inlineStr">
        <is>
          <t>Да</t>
        </is>
      </c>
      <c r="L7771" s="53" t="inlineStr">
        <is>
          <t>Да</t>
        </is>
      </c>
      <c r="M7771" s="53" t="inlineStr">
        <is>
          <t>До 100</t>
        </is>
      </c>
      <c r="N7771" s="54" t="n">
        <v>33600</v>
      </c>
      <c r="O7771" s="55" t="inlineStr">
        <is>
          <t>51–100</t>
        </is>
      </c>
      <c r="P7771" s="16" t="inlineStr">
        <is>
          <t>ССЧР + ОКВЭД обогащены</t>
        </is>
      </c>
      <c r="Q7771" s="16" t="inlineStr">
        <is>
          <t>ФНС открытые данные ССЧР (ДатаСост 31.12.2025; набор 7707329152-sshr2019)</t>
        </is>
      </c>
      <c r="R7771" s="16" t="inlineStr">
        <is>
          <t>ЕГРЮЛ / egrul.nalog.ru (выписка)</t>
        </is>
      </c>
      <c r="S7771" t="n">
        <v>0</v>
      </c>
      <c r="T7771" s="35" t="inlineStr">
        <is>
          <t>1 — Горячий</t>
        </is>
      </c>
      <c r="U7771" s="35" t="inlineStr">
        <is>
          <t>ОКВЭД + 22+</t>
        </is>
      </c>
      <c r="V7771" s="35" t="inlineStr">
        <is>
          <t>Да</t>
        </is>
      </c>
      <c r="W7771" s="35" t="inlineStr">
        <is>
          <t>Да</t>
        </is>
      </c>
      <c r="X7771" s="35" t="inlineStr">
        <is>
          <t>Да</t>
        </is>
      </c>
    </row>
    <row r="7772" ht="15" customHeight="1" s="24">
      <c r="A7772" s="13" t="n">
        <v>800837711</v>
      </c>
      <c r="B7772" s="13" t="inlineStr">
        <is>
          <t>ООО "Торговая компания "Благо"</t>
        </is>
      </c>
      <c r="C7772" s="13" t="n">
        <v>3810048045</v>
      </c>
      <c r="D7772" s="13" t="inlineStr">
        <is>
          <t>3810048045</t>
        </is>
      </c>
      <c r="E7772" s="13" t="inlineStr">
        <is>
          <t>ЮЛ РФ</t>
        </is>
      </c>
      <c r="F7772" s="13" t="n"/>
      <c r="G7772" s="52" t="n">
        <v>30</v>
      </c>
      <c r="H7772" s="52" t="n">
        <v>2025</v>
      </c>
      <c r="I7772" s="52" t="inlineStr">
        <is>
          <t>46.73</t>
        </is>
      </c>
      <c r="J7772" s="52" t="inlineStr">
        <is>
          <t>46.73; 43.12; 47.52.7</t>
        </is>
      </c>
      <c r="K7772" s="53" t="inlineStr">
        <is>
          <t>Да</t>
        </is>
      </c>
      <c r="L7772" s="53" t="inlineStr">
        <is>
          <t>Да</t>
        </is>
      </c>
      <c r="M7772" s="53" t="inlineStr">
        <is>
          <t>До 50</t>
        </is>
      </c>
      <c r="N7772" s="54" t="n">
        <v>16800</v>
      </c>
      <c r="O7772" s="55" t="inlineStr">
        <is>
          <t>16–30</t>
        </is>
      </c>
      <c r="P7772" s="16" t="inlineStr">
        <is>
          <t>ССЧР + ОКВЭД обогащены</t>
        </is>
      </c>
      <c r="Q7772" s="16" t="inlineStr">
        <is>
          <t>ФНС открытые данные ССЧР (ДатаСост 31.12.2025; набор 7707329152-sshr2019)</t>
        </is>
      </c>
      <c r="R7772" s="16" t="inlineStr">
        <is>
          <t>ЕГРЮЛ / egrul.nalog.ru (выписка)</t>
        </is>
      </c>
      <c r="S7772" t="n">
        <v>0</v>
      </c>
      <c r="T7772" s="35" t="inlineStr">
        <is>
          <t>1 — Горячий</t>
        </is>
      </c>
      <c r="U7772" s="35" t="inlineStr">
        <is>
          <t>ОКВЭД + 22+</t>
        </is>
      </c>
      <c r="V7772" s="35" t="inlineStr">
        <is>
          <t>Да</t>
        </is>
      </c>
      <c r="W7772" s="35" t="inlineStr">
        <is>
          <t>Да</t>
        </is>
      </c>
      <c r="X7772" s="35" t="inlineStr">
        <is>
          <t>Да</t>
        </is>
      </c>
    </row>
    <row r="7773" ht="15" customHeight="1" s="24">
      <c r="A7773" s="13" t="n">
        <v>9120357</v>
      </c>
      <c r="B7773" s="13" t="inlineStr">
        <is>
          <t>Производственная компания Высота, ООО</t>
        </is>
      </c>
      <c r="C7773" s="13" t="n">
        <v>3811998040</v>
      </c>
      <c r="D7773" s="13" t="inlineStr">
        <is>
          <t>3811998040</t>
        </is>
      </c>
      <c r="E7773" s="13" t="inlineStr">
        <is>
          <t>ЮЛ РФ</t>
        </is>
      </c>
      <c r="F7773" s="13" t="n"/>
      <c r="G7773" s="52" t="n">
        <v>1</v>
      </c>
      <c r="H7773" s="52" t="n">
        <v>2025</v>
      </c>
      <c r="I7773" s="14" t="n"/>
      <c r="J7773" s="14" t="n"/>
      <c r="K7773" s="53" t="inlineStr">
        <is>
          <t>Нет</t>
        </is>
      </c>
      <c r="L7773" s="53" t="inlineStr">
        <is>
          <t>Не определено</t>
        </is>
      </c>
      <c r="M7773" s="53" t="inlineStr">
        <is>
          <t>До 10</t>
        </is>
      </c>
      <c r="N7773" s="54" t="n">
        <v>3360</v>
      </c>
      <c r="O7773" s="55" t="inlineStr">
        <is>
          <t>1–15</t>
        </is>
      </c>
      <c r="P7773" s="16" t="inlineStr">
        <is>
          <t>ССЧР обогащена; ОКВЭД не найден/не загружен</t>
        </is>
      </c>
      <c r="Q7773" s="16" t="inlineStr">
        <is>
          <t>ФНС открытые данные ССЧР (ДатаСост 31.12.2025; набор 7707329152-sshr2019)</t>
        </is>
      </c>
      <c r="R7773" s="16">
        <f>HYPERLINK("https://checko.ru/search?query=3801001629","Чекко: проверить")</f>
        <v/>
      </c>
      <c r="S7773" t="n">
        <v>0</v>
      </c>
      <c r="T7773" s="35" t="inlineStr">
        <is>
          <t>4 — Не обогащён</t>
        </is>
      </c>
      <c r="U7773" s="35" t="inlineStr">
        <is>
          <t>Нет ОКВЭД/ССЧР</t>
        </is>
      </c>
      <c r="V7773" s="35" t="inlineStr">
        <is>
          <t>Не определено</t>
        </is>
      </c>
      <c r="W7773" s="35" t="inlineStr">
        <is>
          <t>Нет</t>
        </is>
      </c>
      <c r="X7773" s="35" t="inlineStr"/>
    </row>
    <row r="7774" ht="27.75" customHeight="1" s="24">
      <c r="A7774" s="13" t="n">
        <v>20022357045</v>
      </c>
      <c r="B7774" s="13" t="inlineStr">
        <is>
          <t>Индивидуальный предприниматель Ознобихин Андрей Георгиевич</t>
        </is>
      </c>
      <c r="C7774" s="13" t="n">
        <v>381913407534</v>
      </c>
      <c r="D7774" s="13" t="inlineStr">
        <is>
          <t>381913407534</t>
        </is>
      </c>
      <c r="E7774" s="13" t="inlineStr">
        <is>
          <t>ИП РФ / физлицо</t>
        </is>
      </c>
      <c r="F7774" s="13" t="n"/>
      <c r="G7774" s="14" t="n"/>
      <c r="H7774" s="14" t="n"/>
      <c r="I7774" s="14" t="n"/>
      <c r="J7774" s="14" t="n"/>
      <c r="K7774" s="53" t="inlineStr"/>
      <c r="L7774" s="53" t="inlineStr">
        <is>
          <t>Не определено</t>
        </is>
      </c>
      <c r="M7774" s="53" t="inlineStr"/>
      <c r="N7774" s="54" t="inlineStr"/>
      <c r="O7774" s="55" t="inlineStr"/>
      <c r="P7774" s="16" t="inlineStr">
        <is>
          <t>Требует обогащения</t>
        </is>
      </c>
      <c r="Q7774" s="16">
        <f>HYPERLINK("https://pb.nalog.ru/search.html?query=381913407534","ФНС: проверить")</f>
        <v/>
      </c>
      <c r="R7774" s="16">
        <f>HYPERLINK("https://checko.ru/search?query=3801001629","Чекко: проверить")</f>
        <v/>
      </c>
      <c r="S7774" t="n">
        <v>1</v>
      </c>
      <c r="T7774" s="35" t="inlineStr">
        <is>
          <t>4 — Не обогащён</t>
        </is>
      </c>
      <c r="U7774" s="35" t="inlineStr">
        <is>
          <t>Нет ОКВЭД/ССЧР</t>
        </is>
      </c>
      <c r="V7774" s="35" t="inlineStr">
        <is>
          <t>Не определено</t>
        </is>
      </c>
      <c r="W7774" s="35" t="inlineStr"/>
      <c r="X7774" s="35" t="inlineStr"/>
    </row>
    <row r="7775" ht="27.75" customHeight="1" s="24">
      <c r="A7775" s="13" t="n">
        <v>802420373</v>
      </c>
      <c r="B7775" s="13" t="inlineStr">
        <is>
          <t>ОБЩЕСТВО С ОГРАНИЧЕННОЙ ОТВЕТСТВЕННОСТЬЮ "ФАЙВДИЛС НЕДРА"</t>
        </is>
      </c>
      <c r="C7775" s="13" t="n">
        <v>3849086483</v>
      </c>
      <c r="D7775" s="13" t="inlineStr">
        <is>
          <t>3849086483</t>
        </is>
      </c>
      <c r="E7775" s="13" t="inlineStr">
        <is>
          <t>ЮЛ РФ</t>
        </is>
      </c>
      <c r="F7775" s="13" t="n"/>
      <c r="G7775" s="52" t="n">
        <v>11</v>
      </c>
      <c r="H7775" s="52" t="n">
        <v>2025</v>
      </c>
      <c r="I7775" s="14" t="n"/>
      <c r="J7775" s="14" t="n"/>
      <c r="K7775" s="53" t="inlineStr">
        <is>
          <t>Нет</t>
        </is>
      </c>
      <c r="L7775" s="53" t="inlineStr">
        <is>
          <t>Не определено</t>
        </is>
      </c>
      <c r="M7775" s="53" t="inlineStr">
        <is>
          <t>До 25</t>
        </is>
      </c>
      <c r="N7775" s="54" t="n">
        <v>8400</v>
      </c>
      <c r="O7775" s="55" t="inlineStr">
        <is>
          <t>1–15</t>
        </is>
      </c>
      <c r="P7775" s="16" t="inlineStr">
        <is>
          <t>ССЧР обогащена; ОКВЭД не найден/не загружен</t>
        </is>
      </c>
      <c r="Q7775" s="16" t="inlineStr">
        <is>
          <t>ФНС открытые данные ССЧР (ДатаСост 31.12.2025; набор 7707329152-sshr2019)</t>
        </is>
      </c>
      <c r="R7775" s="16">
        <f>HYPERLINK("https://checko.ru/search?query=3801001629","Чекко: проверить")</f>
        <v/>
      </c>
      <c r="S7775" t="n">
        <v>0</v>
      </c>
      <c r="T7775" s="35" t="inlineStr">
        <is>
          <t>4 — Не обогащён</t>
        </is>
      </c>
      <c r="U7775" s="35" t="inlineStr">
        <is>
          <t>Нет ОКВЭД/ССЧР</t>
        </is>
      </c>
      <c r="V7775" s="35" t="inlineStr">
        <is>
          <t>Не определено</t>
        </is>
      </c>
      <c r="W7775" s="35" t="inlineStr">
        <is>
          <t>Нет</t>
        </is>
      </c>
      <c r="X7775" s="35" t="inlineStr"/>
    </row>
    <row r="7776" ht="15" customHeight="1" s="24">
      <c r="A7776" s="13" t="n">
        <v>804674929</v>
      </c>
      <c r="B7776" s="13" t="inlineStr">
        <is>
          <t>ООО "БЕСТОЙЛ"</t>
        </is>
      </c>
      <c r="C7776" s="13" t="n">
        <v>3811128180</v>
      </c>
      <c r="D7776" s="13" t="inlineStr">
        <is>
          <t>3811128180</t>
        </is>
      </c>
      <c r="E7776" s="13" t="inlineStr">
        <is>
          <t>ЮЛ РФ</t>
        </is>
      </c>
      <c r="F7776" s="13" t="n"/>
      <c r="G7776" s="52" t="n">
        <v>10</v>
      </c>
      <c r="H7776" s="52" t="n">
        <v>2025</v>
      </c>
      <c r="I7776" s="14" t="n"/>
      <c r="J7776" s="14" t="n"/>
      <c r="K7776" s="53" t="inlineStr">
        <is>
          <t>Нет</t>
        </is>
      </c>
      <c r="L7776" s="53" t="inlineStr">
        <is>
          <t>Не определено</t>
        </is>
      </c>
      <c r="M7776" s="53" t="inlineStr">
        <is>
          <t>До 10</t>
        </is>
      </c>
      <c r="N7776" s="54" t="n">
        <v>3360</v>
      </c>
      <c r="O7776" s="55" t="inlineStr">
        <is>
          <t>1–15</t>
        </is>
      </c>
      <c r="P7776" s="16" t="inlineStr">
        <is>
          <t>ССЧР обогащена; ОКВЭД не найден/не загружен</t>
        </is>
      </c>
      <c r="Q7776" s="16" t="inlineStr">
        <is>
          <t>ФНС открытые данные ССЧР (ДатаСост 31.12.2025; набор 7707329152-sshr2019)</t>
        </is>
      </c>
      <c r="R7776" s="16">
        <f>HYPERLINK("https://checko.ru/search?query=3801001629","Чекко: проверить")</f>
        <v/>
      </c>
      <c r="S7776" t="n">
        <v>0</v>
      </c>
      <c r="T7776" s="35" t="inlineStr">
        <is>
          <t>4 — Не обогащён</t>
        </is>
      </c>
      <c r="U7776" s="35" t="inlineStr">
        <is>
          <t>Нет ОКВЭД/ССЧР</t>
        </is>
      </c>
      <c r="V7776" s="35" t="inlineStr">
        <is>
          <t>Не определено</t>
        </is>
      </c>
      <c r="W7776" s="35" t="inlineStr">
        <is>
          <t>Нет</t>
        </is>
      </c>
      <c r="X7776" s="35" t="inlineStr"/>
    </row>
    <row r="7777" ht="15" customHeight="1" s="24">
      <c r="A7777" s="13" t="n">
        <v>9183738</v>
      </c>
      <c r="B7777" s="13" t="inlineStr">
        <is>
          <t>Нотариальная палата Иркутской области</t>
        </is>
      </c>
      <c r="C7777" s="13" t="n">
        <v>3808018220</v>
      </c>
      <c r="D7777" s="13" t="inlineStr">
        <is>
          <t>3808018220</t>
        </is>
      </c>
      <c r="E7777" s="13" t="inlineStr">
        <is>
          <t>ЮЛ РФ</t>
        </is>
      </c>
      <c r="F7777" s="13" t="n"/>
      <c r="G7777" s="14" t="n"/>
      <c r="H7777" s="14" t="n"/>
      <c r="I7777" s="14" t="n"/>
      <c r="J7777" s="14" t="n"/>
      <c r="K7777" s="53" t="inlineStr"/>
      <c r="L7777" s="53" t="inlineStr">
        <is>
          <t>Не определено</t>
        </is>
      </c>
      <c r="M7777" s="53" t="inlineStr"/>
      <c r="N7777" s="54" t="inlineStr"/>
      <c r="O7777" s="55" t="inlineStr"/>
      <c r="P7777" s="16" t="inlineStr">
        <is>
          <t>Требует обогащения</t>
        </is>
      </c>
      <c r="Q7777" s="16">
        <f>HYPERLINK("https://pb.nalog.ru/search.html?query=3808018220","ФНС: проверить")</f>
        <v/>
      </c>
      <c r="R7777" s="16">
        <f>HYPERLINK("https://checko.ru/search?query=3801001629","Чекко: проверить")</f>
        <v/>
      </c>
      <c r="S7777" t="n">
        <v>0</v>
      </c>
      <c r="T7777" s="35" t="inlineStr">
        <is>
          <t>4 — Не обогащён</t>
        </is>
      </c>
      <c r="U7777" s="35" t="inlineStr">
        <is>
          <t>Нет ОКВЭД/ССЧР</t>
        </is>
      </c>
      <c r="V7777" s="35" t="inlineStr">
        <is>
          <t>Не определено</t>
        </is>
      </c>
      <c r="W7777" s="35" t="inlineStr"/>
      <c r="X7777" s="35" t="inlineStr"/>
    </row>
    <row r="7778" ht="27.75" customHeight="1" s="24">
      <c r="A7778" s="13" t="n">
        <v>20016914170</v>
      </c>
      <c r="B7778" s="13" t="inlineStr">
        <is>
          <t>Индивидуальный предприниматель Фильберт Максим Александрович</t>
        </is>
      </c>
      <c r="C7778" s="13" t="n">
        <v>381603459846</v>
      </c>
      <c r="D7778" s="13" t="inlineStr">
        <is>
          <t>381603459846</t>
        </is>
      </c>
      <c r="E7778" s="13" t="inlineStr">
        <is>
          <t>ИП РФ / физлицо</t>
        </is>
      </c>
      <c r="F7778" s="13" t="n"/>
      <c r="G7778" s="14" t="n"/>
      <c r="H7778" s="14" t="n"/>
      <c r="I7778" s="14" t="n"/>
      <c r="J7778" s="14" t="n"/>
      <c r="K7778" s="53" t="inlineStr"/>
      <c r="L7778" s="53" t="inlineStr">
        <is>
          <t>Не определено</t>
        </is>
      </c>
      <c r="M7778" s="53" t="inlineStr"/>
      <c r="N7778" s="54" t="inlineStr"/>
      <c r="O7778" s="55" t="inlineStr"/>
      <c r="P7778" s="16" t="inlineStr">
        <is>
          <t>Требует обогащения</t>
        </is>
      </c>
      <c r="Q7778" s="16">
        <f>HYPERLINK("https://pb.nalog.ru/search.html?query=381603459846","ФНС: проверить")</f>
        <v/>
      </c>
      <c r="R7778" s="16">
        <f>HYPERLINK("https://checko.ru/search?query=3801001629","Чекко: проверить")</f>
        <v/>
      </c>
      <c r="S7778" t="n">
        <v>1</v>
      </c>
      <c r="T7778" s="35" t="inlineStr">
        <is>
          <t>4 — Не обогащён</t>
        </is>
      </c>
      <c r="U7778" s="35" t="inlineStr">
        <is>
          <t>Нет ОКВЭД/ССЧР</t>
        </is>
      </c>
      <c r="V7778" s="35" t="inlineStr">
        <is>
          <t>Не определено</t>
        </is>
      </c>
      <c r="W7778" s="35" t="inlineStr"/>
      <c r="X7778" s="35" t="inlineStr"/>
    </row>
    <row r="7779" ht="15" customHeight="1" s="24">
      <c r="A7779" s="13" t="n">
        <v>9855006</v>
      </c>
      <c r="B7779" s="13" t="inlineStr">
        <is>
          <t>ООО "СОЮЗ 38 ТЕКС"</t>
        </is>
      </c>
      <c r="C7779" s="13" t="n">
        <v>3810064897</v>
      </c>
      <c r="D7779" s="13" t="inlineStr">
        <is>
          <t>3810064897</t>
        </is>
      </c>
      <c r="E7779" s="13" t="inlineStr">
        <is>
          <t>ЮЛ РФ</t>
        </is>
      </c>
      <c r="F7779" s="13" t="n"/>
      <c r="G7779" s="52" t="n">
        <v>5</v>
      </c>
      <c r="H7779" s="52" t="n">
        <v>2025</v>
      </c>
      <c r="I7779" s="14" t="n"/>
      <c r="J7779" s="14" t="n"/>
      <c r="K7779" s="53" t="inlineStr">
        <is>
          <t>Нет</t>
        </is>
      </c>
      <c r="L7779" s="53" t="inlineStr">
        <is>
          <t>Не определено</t>
        </is>
      </c>
      <c r="M7779" s="53" t="inlineStr">
        <is>
          <t>До 10</t>
        </is>
      </c>
      <c r="N7779" s="54" t="n">
        <v>3360</v>
      </c>
      <c r="O7779" s="55" t="inlineStr">
        <is>
          <t>1–15</t>
        </is>
      </c>
      <c r="P7779" s="16" t="inlineStr">
        <is>
          <t>ССЧР обогащена; ОКВЭД не найден/не загружен</t>
        </is>
      </c>
      <c r="Q7779" s="16" t="inlineStr">
        <is>
          <t>ФНС открытые данные ССЧР (ДатаСост 31.12.2025; набор 7707329152-sshr2019)</t>
        </is>
      </c>
      <c r="R7779" s="16">
        <f>HYPERLINK("https://checko.ru/search?query=3801001629","Чекко: проверить")</f>
        <v/>
      </c>
      <c r="S7779" t="n">
        <v>0</v>
      </c>
      <c r="T7779" s="35" t="inlineStr">
        <is>
          <t>4 — Не обогащён</t>
        </is>
      </c>
      <c r="U7779" s="35" t="inlineStr">
        <is>
          <t>Нет ОКВЭД/ССЧР</t>
        </is>
      </c>
      <c r="V7779" s="35" t="inlineStr">
        <is>
          <t>Не определено</t>
        </is>
      </c>
      <c r="W7779" s="35" t="inlineStr">
        <is>
          <t>Нет</t>
        </is>
      </c>
      <c r="X7779" s="35" t="inlineStr"/>
    </row>
    <row r="7780" ht="15" customHeight="1" s="24">
      <c r="A7780" s="13" t="n">
        <v>20015480244</v>
      </c>
      <c r="B7780" s="13" t="inlineStr">
        <is>
          <t>ООО "ЛЕСНАЯ ЛИНИЯ"</t>
        </is>
      </c>
      <c r="C7780" s="13" t="n">
        <v>3817031210</v>
      </c>
      <c r="D7780" s="13" t="inlineStr">
        <is>
          <t>3817031210</t>
        </is>
      </c>
      <c r="E7780" s="13" t="inlineStr">
        <is>
          <t>ЮЛ РФ</t>
        </is>
      </c>
      <c r="F7780" s="13" t="n"/>
      <c r="G7780" s="52" t="n">
        <v>5</v>
      </c>
      <c r="H7780" s="52" t="n">
        <v>2025</v>
      </c>
      <c r="I7780" s="14" t="n"/>
      <c r="J7780" s="14" t="n"/>
      <c r="K7780" s="53" t="inlineStr">
        <is>
          <t>Нет</t>
        </is>
      </c>
      <c r="L7780" s="53" t="inlineStr">
        <is>
          <t>Не определено</t>
        </is>
      </c>
      <c r="M7780" s="53" t="inlineStr">
        <is>
          <t>До 10</t>
        </is>
      </c>
      <c r="N7780" s="54" t="n">
        <v>3360</v>
      </c>
      <c r="O7780" s="55" t="inlineStr">
        <is>
          <t>1–15</t>
        </is>
      </c>
      <c r="P7780" s="16" t="inlineStr">
        <is>
          <t>ССЧР обогащена; ОКВЭД не найден/не загружен</t>
        </is>
      </c>
      <c r="Q7780" s="16" t="inlineStr">
        <is>
          <t>ФНС открытые данные ССЧР (ДатаСост 31.12.2025; набор 7707329152-sshr2019)</t>
        </is>
      </c>
      <c r="R7780" s="16">
        <f>HYPERLINK("https://checko.ru/search?query=3801001629","Чекко: проверить")</f>
        <v/>
      </c>
      <c r="S7780" t="n">
        <v>1</v>
      </c>
      <c r="T7780" s="35" t="inlineStr">
        <is>
          <t>4 — Не обогащён</t>
        </is>
      </c>
      <c r="U7780" s="35" t="inlineStr">
        <is>
          <t>Нет ОКВЭД/ССЧР</t>
        </is>
      </c>
      <c r="V7780" s="35" t="inlineStr">
        <is>
          <t>Не определено</t>
        </is>
      </c>
      <c r="W7780" s="35" t="inlineStr">
        <is>
          <t>Нет</t>
        </is>
      </c>
      <c r="X7780" s="35" t="inlineStr"/>
    </row>
    <row r="7781" ht="15" customHeight="1" s="24">
      <c r="A7781" s="13" t="n">
        <v>20015402880</v>
      </c>
      <c r="B7781" s="13" t="inlineStr">
        <is>
          <t>ЧУ "Служба эксплуатации"</t>
        </is>
      </c>
      <c r="C7781" s="13" t="n">
        <v>3808196374</v>
      </c>
      <c r="D7781" s="13" t="inlineStr">
        <is>
          <t>3808196374</t>
        </is>
      </c>
      <c r="E7781" s="13" t="inlineStr">
        <is>
          <t>ЮЛ РФ</t>
        </is>
      </c>
      <c r="F7781" s="13" t="n"/>
      <c r="G7781" s="14" t="n"/>
      <c r="H7781" s="14" t="n"/>
      <c r="I7781" s="14" t="n"/>
      <c r="J7781" s="14" t="n"/>
      <c r="K7781" s="53" t="inlineStr"/>
      <c r="L7781" s="53" t="inlineStr">
        <is>
          <t>Не определено</t>
        </is>
      </c>
      <c r="M7781" s="53" t="inlineStr"/>
      <c r="N7781" s="54" t="inlineStr"/>
      <c r="O7781" s="55" t="inlineStr"/>
      <c r="P7781" s="16" t="inlineStr">
        <is>
          <t>Требует обогащения</t>
        </is>
      </c>
      <c r="Q7781" s="16">
        <f>HYPERLINK("https://pb.nalog.ru/search.html?query=3808196374","ФНС: проверить")</f>
        <v/>
      </c>
      <c r="R7781" s="16">
        <f>HYPERLINK("https://checko.ru/search?query=3801001629","Чекко: проверить")</f>
        <v/>
      </c>
      <c r="S7781" t="n">
        <v>1</v>
      </c>
      <c r="T7781" s="35" t="inlineStr">
        <is>
          <t>4 — Не обогащён</t>
        </is>
      </c>
      <c r="U7781" s="35" t="inlineStr">
        <is>
          <t>Нет ОКВЭД/ССЧР</t>
        </is>
      </c>
      <c r="V7781" s="35" t="inlineStr">
        <is>
          <t>Не определено</t>
        </is>
      </c>
      <c r="W7781" s="35" t="inlineStr"/>
      <c r="X7781" s="35" t="inlineStr"/>
    </row>
    <row r="7782" ht="15" customHeight="1" s="24">
      <c r="A7782" s="13" t="n">
        <v>9250986</v>
      </c>
      <c r="B7782" s="13" t="inlineStr">
        <is>
          <t>Водоканал-Сервис</t>
        </is>
      </c>
      <c r="C7782" s="13" t="n">
        <v>2450019630</v>
      </c>
      <c r="D7782" s="13" t="inlineStr">
        <is>
          <t>2450019630</t>
        </is>
      </c>
      <c r="E7782" s="13" t="inlineStr">
        <is>
          <t>ЮЛ РФ</t>
        </is>
      </c>
      <c r="F7782" s="13" t="n"/>
      <c r="G7782" s="52" t="n">
        <v>193</v>
      </c>
      <c r="H7782" s="52" t="n">
        <v>2025</v>
      </c>
      <c r="I7782" s="52" t="inlineStr">
        <is>
          <t>42.21</t>
        </is>
      </c>
      <c r="J7782" s="52" t="inlineStr">
        <is>
          <t>42.21; 36.00.1; 37.00; 26.20; 33.12; 36.00; 41.20; 42.11; 42.22.1; 42.22.2; 42.99; 43.11; 43.12.3; 43.31; 43.33; 43.99.1; 43.99.6; 46.14.1; 46.51; 46.52; 46.71; 47.30; 47.41; 49.41.1; 49.41.2; 49.41.3; 49.42; 62.02; 62.09; 68.20; 71.11.1; 71.12.53; 71.20.1; 77.11; 77.12; 77.32; 77.39; 81.29; 81.29.1; 81.29.9; 82.11; 82.19; 86.90; 95.11</t>
        </is>
      </c>
      <c r="K7782" s="53" t="inlineStr">
        <is>
          <t>Да</t>
        </is>
      </c>
      <c r="L7782" s="53" t="inlineStr">
        <is>
          <t>Да</t>
        </is>
      </c>
      <c r="M7782" s="53" t="inlineStr">
        <is>
          <t>До 200</t>
        </is>
      </c>
      <c r="N7782" s="54" t="n">
        <v>62400</v>
      </c>
      <c r="O7782" s="55" t="inlineStr">
        <is>
          <t>101–200</t>
        </is>
      </c>
      <c r="P7782" s="16" t="inlineStr">
        <is>
          <t>ССЧР + ОКВЭД обогащены</t>
        </is>
      </c>
      <c r="Q7782" s="16" t="inlineStr">
        <is>
          <t>ФНС открытые данные ССЧР (ДатаСост 31.12.2025; набор 7707329152-sshr2019)</t>
        </is>
      </c>
      <c r="R7782" s="16" t="inlineStr">
        <is>
          <t>ЕГРЮЛ / egrul.nalog.ru (выписка)</t>
        </is>
      </c>
      <c r="S7782" t="n">
        <v>1</v>
      </c>
      <c r="T7782" s="35" t="inlineStr">
        <is>
          <t>1 — Горячий</t>
        </is>
      </c>
      <c r="U7782" s="35" t="inlineStr">
        <is>
          <t>ОКВЭД + 22+</t>
        </is>
      </c>
      <c r="V7782" s="35" t="inlineStr">
        <is>
          <t>Да</t>
        </is>
      </c>
      <c r="W7782" s="35" t="inlineStr">
        <is>
          <t>Да</t>
        </is>
      </c>
      <c r="X7782" s="35" t="inlineStr">
        <is>
          <t>Да</t>
        </is>
      </c>
    </row>
    <row r="7783" ht="15" customHeight="1" s="24">
      <c r="A7783" s="13" t="n">
        <v>800469192</v>
      </c>
      <c r="B7783" s="13" t="inlineStr">
        <is>
          <t>ООО "Иркутскслюда"</t>
        </is>
      </c>
      <c r="C7783" s="13" t="n">
        <v>3808238634</v>
      </c>
      <c r="D7783" s="13" t="inlineStr">
        <is>
          <t>3808238634</t>
        </is>
      </c>
      <c r="E7783" s="13" t="inlineStr">
        <is>
          <t>ЮЛ РФ</t>
        </is>
      </c>
      <c r="F7783" s="13" t="n"/>
      <c r="G7783" s="52" t="n">
        <v>27</v>
      </c>
      <c r="H7783" s="52" t="n">
        <v>2025</v>
      </c>
      <c r="I7783" s="52" t="inlineStr">
        <is>
          <t>68.32</t>
        </is>
      </c>
      <c r="J7783" s="52" t="inlineStr">
        <is>
          <t>68.32; 23.99.6; 25.92; 25.93; 27.51; 46.18; 68.20; 68.31.12; 68.31.22; 68.31.32; 68.31.42; 68.32.2; 82.99</t>
        </is>
      </c>
      <c r="K7783" s="53" t="inlineStr">
        <is>
          <t>Да</t>
        </is>
      </c>
      <c r="L7783" s="53" t="inlineStr">
        <is>
          <t>Да</t>
        </is>
      </c>
      <c r="M7783" s="53" t="inlineStr">
        <is>
          <t>До 50</t>
        </is>
      </c>
      <c r="N7783" s="54" t="n">
        <v>16800</v>
      </c>
      <c r="O7783" s="55" t="inlineStr">
        <is>
          <t>16–30</t>
        </is>
      </c>
      <c r="P7783" s="16" t="inlineStr">
        <is>
          <t>ССЧР + ОКВЭД обогащены</t>
        </is>
      </c>
      <c r="Q7783" s="16" t="inlineStr">
        <is>
          <t>ФНС открытые данные ССЧР (ДатаСост 31.12.2025; набор 7707329152-sshr2019)</t>
        </is>
      </c>
      <c r="R7783" s="16" t="inlineStr">
        <is>
          <t>ЕГРЮЛ / egrul.nalog.ru (выписка)</t>
        </is>
      </c>
      <c r="S7783" t="n">
        <v>0</v>
      </c>
      <c r="T7783" s="35" t="inlineStr">
        <is>
          <t>1 — Горячий</t>
        </is>
      </c>
      <c r="U7783" s="35" t="inlineStr">
        <is>
          <t>ОКВЭД + 22+</t>
        </is>
      </c>
      <c r="V7783" s="35" t="inlineStr">
        <is>
          <t>Да</t>
        </is>
      </c>
      <c r="W7783" s="35" t="inlineStr">
        <is>
          <t>Да</t>
        </is>
      </c>
      <c r="X7783" s="35" t="inlineStr">
        <is>
          <t>Да</t>
        </is>
      </c>
    </row>
    <row r="7784" ht="15" customHeight="1" s="24">
      <c r="A7784" s="13" t="n">
        <v>20012811830</v>
      </c>
      <c r="B7784" s="13" t="inlineStr">
        <is>
          <t>ООО "Маяк"</t>
        </is>
      </c>
      <c r="C7784" s="13" t="n">
        <v>3827025254</v>
      </c>
      <c r="D7784" s="13" t="inlineStr">
        <is>
          <t>3827025254</t>
        </is>
      </c>
      <c r="E7784" s="13" t="inlineStr">
        <is>
          <t>ЮЛ РФ</t>
        </is>
      </c>
      <c r="F7784" s="13" t="n"/>
      <c r="G7784" s="52" t="n">
        <v>3</v>
      </c>
      <c r="H7784" s="52" t="n">
        <v>2025</v>
      </c>
      <c r="I7784" s="14" t="n"/>
      <c r="J7784" s="14" t="n"/>
      <c r="K7784" s="53" t="inlineStr">
        <is>
          <t>Нет</t>
        </is>
      </c>
      <c r="L7784" s="53" t="inlineStr">
        <is>
          <t>Не определено</t>
        </is>
      </c>
      <c r="M7784" s="53" t="inlineStr">
        <is>
          <t>До 10</t>
        </is>
      </c>
      <c r="N7784" s="54" t="n">
        <v>3360</v>
      </c>
      <c r="O7784" s="55" t="inlineStr">
        <is>
          <t>1–15</t>
        </is>
      </c>
      <c r="P7784" s="16" t="inlineStr">
        <is>
          <t>ССЧР обогащена; ОКВЭД не найден/не загружен</t>
        </is>
      </c>
      <c r="Q7784" s="16" t="inlineStr">
        <is>
          <t>ФНС открытые данные ССЧР (ДатаСост 31.12.2025; набор 7707329152-sshr2019)</t>
        </is>
      </c>
      <c r="R7784" s="16">
        <f>HYPERLINK("https://checko.ru/search?query=3801001629","Чекко: проверить")</f>
        <v/>
      </c>
      <c r="S7784" t="n">
        <v>1</v>
      </c>
      <c r="T7784" s="35" t="inlineStr">
        <is>
          <t>4 — Не обогащён</t>
        </is>
      </c>
      <c r="U7784" s="35" t="inlineStr">
        <is>
          <t>Нет ОКВЭД/ССЧР</t>
        </is>
      </c>
      <c r="V7784" s="35" t="inlineStr">
        <is>
          <t>Не определено</t>
        </is>
      </c>
      <c r="W7784" s="35" t="inlineStr">
        <is>
          <t>Нет</t>
        </is>
      </c>
      <c r="X7784" s="35" t="inlineStr"/>
    </row>
    <row r="7785" ht="15" customHeight="1" s="24">
      <c r="A7785" s="13" t="n">
        <v>801625225</v>
      </c>
      <c r="B7785" s="13" t="inlineStr">
        <is>
          <t>ООО "БАЙКАЛТРЕВЕЛКЛАБ"</t>
        </is>
      </c>
      <c r="C7785" s="13" t="n">
        <v>1901062614</v>
      </c>
      <c r="D7785" s="13" t="inlineStr">
        <is>
          <t>1901062614</t>
        </is>
      </c>
      <c r="E7785" s="13" t="inlineStr">
        <is>
          <t>ЮЛ РФ</t>
        </is>
      </c>
      <c r="F7785" s="13" t="n"/>
      <c r="G7785" s="52" t="n">
        <v>3</v>
      </c>
      <c r="H7785" s="52" t="n">
        <v>2025</v>
      </c>
      <c r="I7785" s="14" t="n"/>
      <c r="J7785" s="14" t="n"/>
      <c r="K7785" s="53" t="inlineStr">
        <is>
          <t>Нет</t>
        </is>
      </c>
      <c r="L7785" s="53" t="inlineStr">
        <is>
          <t>Не определено</t>
        </is>
      </c>
      <c r="M7785" s="53" t="inlineStr">
        <is>
          <t>До 10</t>
        </is>
      </c>
      <c r="N7785" s="54" t="n">
        <v>3360</v>
      </c>
      <c r="O7785" s="55" t="inlineStr">
        <is>
          <t>1–15</t>
        </is>
      </c>
      <c r="P7785" s="16" t="inlineStr">
        <is>
          <t>ССЧР обогащена; ОКВЭД не найден/не загружен</t>
        </is>
      </c>
      <c r="Q7785" s="16" t="inlineStr">
        <is>
          <t>ФНС открытые данные ССЧР (ДатаСост 31.12.2025; набор 7707329152-sshr2019)</t>
        </is>
      </c>
      <c r="R7785" s="16">
        <f>HYPERLINK("https://checko.ru/search?query=3801001629","Чекко: проверить")</f>
        <v/>
      </c>
      <c r="S7785" t="n">
        <v>0</v>
      </c>
      <c r="T7785" s="35" t="inlineStr">
        <is>
          <t>4 — Не обогащён</t>
        </is>
      </c>
      <c r="U7785" s="35" t="inlineStr">
        <is>
          <t>Нет ОКВЭД/ССЧР</t>
        </is>
      </c>
      <c r="V7785" s="35" t="inlineStr">
        <is>
          <t>Не определено</t>
        </is>
      </c>
      <c r="W7785" s="35" t="inlineStr">
        <is>
          <t>Нет</t>
        </is>
      </c>
      <c r="X7785" s="35" t="inlineStr"/>
    </row>
    <row r="7786" ht="15" customHeight="1" s="24">
      <c r="A7786" s="13" t="n">
        <v>802330822</v>
      </c>
      <c r="B7786" s="13" t="inlineStr">
        <is>
          <t>ИП Степная Татьяна Владимировна</t>
        </is>
      </c>
      <c r="C7786" s="13" t="n">
        <v>32301155949</v>
      </c>
      <c r="D7786" s="13" t="n"/>
      <c r="E7786" s="13" t="inlineStr">
        <is>
          <t>Не определён</t>
        </is>
      </c>
      <c r="F7786" s="13" t="n"/>
      <c r="G7786" s="14" t="n"/>
      <c r="H7786" s="14" t="n"/>
      <c r="I7786" s="14" t="n"/>
      <c r="J7786" s="14" t="n"/>
      <c r="K7786" s="13">
        <f>IF(G7786="","",IF(G7786&gt;=22,"Да","Нет"))</f>
        <v/>
      </c>
      <c r="L7786" s="13">
        <f>IF(OR(I7786="",J7786=""),"Не определено",IF(OR(COUNTIF(I7786,"45*")&gt;0,COUNTIF(J7786,"*45*")&gt;0,COUNTIF(I7786,"46*")&gt;0,COUNTIF(J7786,"*46*")&gt;0,COUNTIF(I7786,"47*")&gt;0,COUNTIF(J7786,"*47*")&gt;0,COUNTIF(I7786,"10*")&gt;0,COUNTIF(J7786,"*10*")&gt;0,COUNTIF(I7786,"11*")&gt;0,COUNTIF(J7786,"*11*")&gt;0,COUNTIF(I7786,"12*")&gt;0,COUNTIF(J7786,"*12*")&gt;0,COUNTIF(I7786,"13*")&gt;0,COUNTIF(J7786,"*13*")&gt;0,COUNTIF(I7786,"14*")&gt;0,COUNTIF(J7786,"*14*")&gt;0,COUNTIF(I7786,"15*")&gt;0,COUNTIF(J7786,"*15*")&gt;0,COUNTIF(I7786,"16*")&gt;0,COUNTIF(J7786,"*16*")&gt;0,COUNTIF(I7786,"17*")&gt;0,COUNTIF(J7786,"*17*")&gt;0,COUNTIF(I7786,"18*")&gt;0,COUNTIF(J7786,"*18*")&gt;0,COUNTIF(I7786,"19*")&gt;0,COUNTIF(J7786,"*19*")&gt;0,COUNTIF(I7786,"20*")&gt;0,COUNTIF(J7786,"*20*")&gt;0,COUNTIF(I7786,"21*")&gt;0,COUNTIF(J7786,"*21*")&gt;0,COUNTIF(I7786,"22*")&gt;0,COUNTIF(J7786,"*22*")&gt;0,COUNTIF(I7786,"23*")&gt;0,COUNTIF(J7786,"*23*")&gt;0,COUNTIF(I7786,"24*")&gt;0,COUNTIF(J7786,"*24*")&gt;0,COUNTIF(I7786,"25*")&gt;0,COUNTIF(J7786,"*25*")&gt;0,COUNTIF(I7786,"26*")&gt;0,COUNTIF(J7786,"*26*")&gt;0,COUNTIF(I7786,"27*")&gt;0,COUNTIF(J7786,"*27*")&gt;0,COUNTIF(I7786,"28*")&gt;0,COUNTIF(J7786,"*28*")&gt;0,COUNTIF(I7786,"29*")&gt;0,COUNTIF(J7786,"*29*")&gt;0,COUNTIF(I7786,"30*")&gt;0,COUNTIF(J7786,"*30*")&gt;0,COUNTIF(I7786,"31*")&gt;0,COUNTIF(J7786,"*31*")&gt;0,COUNTIF(I7786,"32*")&gt;0,COUNTIF(J7786,"*32*")&gt;0,COUNTIF(I7786,"33*")&gt;0,COUNTIF(J7786,"*33*")&gt;0,COUNTIF(I7786,"41*")&gt;0,COUNTIF(J7786,"*41*")&gt;0,COUNTIF(I7786,"42*")&gt;0,COUNTIF(J7786,"*42*")&gt;0,COUNTIF(I7786,"43*")&gt;0,COUNTIF(J7786,"*43*")&gt;0,COUNTIF(I7786,"49*")&gt;0,COUNTIF(J7786,"*49*")&gt;0,COUNTIF(I7786,"52*")&gt;0,COUNTIF(J7786,"*52*")&gt;0,COUNTIF(I7786,"55*")&gt;0,COUNTIF(J7786,"*55*")&gt;0,COUNTIF(I7786,"56*")&gt;0,COUNTIF(J7786,"*56*")&gt;0,COUNTIF(I7786,"68*")&gt;0,COUNTIF(J7786,"*68*")&gt;0,COUNTIF(I7786,"78*")&gt;0,COUNTIF(J7786,"*78*")&gt;0,COUNTIF(I7786,"81*")&gt;0,COUNTIF(J7786,"*81*")&gt;0,COUNTIF(I7786,"82*")&gt;0,COUNTIF(J7786,"*82*")&gt;0,COUNTIF(I7786,"64*")&gt;0,COUNTIF(J7786,"*64*")&gt;0,COUNTIF(I7786,"65*")&gt;0,COUNTIF(J7786,"*65*")&gt;0,COUNTIF(I7786,"66*")&gt;0,COUNTIF(J7786,"*66*")&gt;0,COUNTIF(I7786,"61*")&gt;0,COUNTIF(J7786,"*61*")&gt;0,COUNTIF(I7786,"62*")&gt;0,COUNTIF(J7786,"*62*")&gt;0,COUNTIF(I7786,"63*")&gt;0,COUNTIF(J7786,"*63*")&gt;0,COUNTIF(I7786,"85*")&gt;0,COUNTIF(J7786,"*85*")&gt;0,COUNTIF(I7786,"86*")&gt;0,COUNTIF(J7786,"*86*")&gt;0),"Да","Нет"))</f>
        <v/>
      </c>
      <c r="M7786" s="13">
        <f>IF(OR(G7786="",L7786&lt;&gt;"Да"),"",IF(G7786&lt;=100,"До 100",IF(G7786&lt;=200,"До 200",IF(G7786&lt;=500,"До 500","Отдельное КП"))))</f>
        <v/>
      </c>
      <c r="N7786" s="15">
        <f>IF(OR(G7786="",L7786&lt;&gt;"Да"),"",IF(G7786&lt;=100,33600,IF(G7786&lt;=200,62400,IF(G7786&lt;=500,144000,""))))</f>
        <v/>
      </c>
      <c r="O7786" s="16">
        <f>IF(G7786="","",IF(G7786&lt;=15,"1–15",IF(G7786&lt;=30,"16–30",IF(G7786&lt;=50,"31–50",IF(G7786&lt;=100,"51–100",IF(G7786&lt;=150,"101–150",IF(G7786&lt;=200,"151–200",IF(G7786&lt;=500,"201–500","500+"))))))))</f>
        <v/>
      </c>
      <c r="P7786" s="16" t="inlineStr">
        <is>
          <t>Нет совпадения в предоставленной выгрузке ССЧР</t>
        </is>
      </c>
      <c r="Q7786" s="16" t="n"/>
      <c r="R7786" s="16">
        <f>HYPERLINK("https://checko.ru/search?query=3801001629","Чекко: проверить")</f>
        <v/>
      </c>
      <c r="S7786" t="n">
        <v>0</v>
      </c>
    </row>
    <row r="7787" ht="41.25" customHeight="1" s="24">
      <c r="A7787" s="13" t="n">
        <v>802494718</v>
      </c>
      <c r="B7787" s="13" t="inlineStr">
        <is>
          <t>Общество с ограниченной ответственностью "БАЙКАЛЬСКИЙ ЦЕНТР МНОГОПРОФИЛЬНОЙ МЕДИЦИНЫ"</t>
        </is>
      </c>
      <c r="C7787" s="13" t="n">
        <v>3811451754</v>
      </c>
      <c r="D7787" s="13" t="inlineStr">
        <is>
          <t>3811451754</t>
        </is>
      </c>
      <c r="E7787" s="13" t="inlineStr">
        <is>
          <t>ЮЛ РФ</t>
        </is>
      </c>
      <c r="F7787" s="13" t="n"/>
      <c r="G7787" s="52" t="n">
        <v>19</v>
      </c>
      <c r="H7787" s="52" t="n">
        <v>2025</v>
      </c>
      <c r="I7787" s="14" t="n"/>
      <c r="J7787" s="14" t="n"/>
      <c r="K7787" s="53" t="inlineStr">
        <is>
          <t>Нет</t>
        </is>
      </c>
      <c r="L7787" s="53" t="inlineStr">
        <is>
          <t>Не определено</t>
        </is>
      </c>
      <c r="M7787" s="53" t="inlineStr">
        <is>
          <t>До 25</t>
        </is>
      </c>
      <c r="N7787" s="54" t="n">
        <v>8400</v>
      </c>
      <c r="O7787" s="55" t="inlineStr">
        <is>
          <t>16–30</t>
        </is>
      </c>
      <c r="P7787" s="16" t="inlineStr">
        <is>
          <t>ССЧР обогащена; ОКВЭД не найден/не загружен</t>
        </is>
      </c>
      <c r="Q7787" s="16" t="inlineStr">
        <is>
          <t>ФНС открытые данные ССЧР (ДатаСост 31.12.2025; набор 7707329152-sshr2019)</t>
        </is>
      </c>
      <c r="R7787" s="16">
        <f>HYPERLINK("https://checko.ru/search?query=3801001629","Чекко: проверить")</f>
        <v/>
      </c>
      <c r="S7787" t="n">
        <v>0</v>
      </c>
      <c r="T7787" s="35" t="inlineStr">
        <is>
          <t>4 — Не обогащён</t>
        </is>
      </c>
      <c r="U7787" s="35" t="inlineStr">
        <is>
          <t>Нет ОКВЭД/ССЧР</t>
        </is>
      </c>
      <c r="V7787" s="35" t="inlineStr">
        <is>
          <t>Не определено</t>
        </is>
      </c>
      <c r="W7787" s="35" t="inlineStr">
        <is>
          <t>Нет</t>
        </is>
      </c>
      <c r="X7787" s="35" t="inlineStr"/>
    </row>
    <row r="7788" ht="27.75" customHeight="1" s="24">
      <c r="A7788" s="13" t="n">
        <v>803015046</v>
      </c>
      <c r="B7788" s="13" t="inlineStr">
        <is>
          <t>ОБЩЕСТВО С ОГРАНИЧЕННОЙ ОТВЕТСТВЕННОСТЬЮ "АРСЕНАЛ-ВОСТОК"</t>
        </is>
      </c>
      <c r="C7788" s="13" t="n">
        <v>3812121117</v>
      </c>
      <c r="D7788" s="13" t="inlineStr">
        <is>
          <t>3812121117</t>
        </is>
      </c>
      <c r="E7788" s="13" t="inlineStr">
        <is>
          <t>ЮЛ РФ</t>
        </is>
      </c>
      <c r="F7788" s="13" t="n"/>
      <c r="G7788" s="52" t="n">
        <v>15</v>
      </c>
      <c r="H7788" s="52" t="n">
        <v>2025</v>
      </c>
      <c r="I7788" s="14" t="n"/>
      <c r="J7788" s="14" t="n"/>
      <c r="K7788" s="53" t="inlineStr">
        <is>
          <t>Нет</t>
        </is>
      </c>
      <c r="L7788" s="53" t="inlineStr">
        <is>
          <t>Не определено</t>
        </is>
      </c>
      <c r="M7788" s="53" t="inlineStr">
        <is>
          <t>До 25</t>
        </is>
      </c>
      <c r="N7788" s="54" t="n">
        <v>8400</v>
      </c>
      <c r="O7788" s="55" t="inlineStr">
        <is>
          <t>1–15</t>
        </is>
      </c>
      <c r="P7788" s="16" t="inlineStr">
        <is>
          <t>ССЧР обогащена; ОКВЭД не найден/не загружен</t>
        </is>
      </c>
      <c r="Q7788" s="16" t="inlineStr">
        <is>
          <t>ФНС открытые данные ССЧР (ДатаСост 31.12.2025; набор 7707329152-sshr2019)</t>
        </is>
      </c>
      <c r="R7788" s="16">
        <f>HYPERLINK("https://checko.ru/search?query=3801001629","Чекко: проверить")</f>
        <v/>
      </c>
      <c r="S7788" t="n">
        <v>1</v>
      </c>
      <c r="T7788" s="35" t="inlineStr">
        <is>
          <t>4 — Не обогащён</t>
        </is>
      </c>
      <c r="U7788" s="35" t="inlineStr">
        <is>
          <t>Нет ОКВЭД/ССЧР</t>
        </is>
      </c>
      <c r="V7788" s="35" t="inlineStr">
        <is>
          <t>Не определено</t>
        </is>
      </c>
      <c r="W7788" s="35" t="inlineStr">
        <is>
          <t>Нет</t>
        </is>
      </c>
      <c r="X7788" s="35" t="inlineStr"/>
    </row>
    <row r="7789" ht="15" customHeight="1" s="24">
      <c r="A7789" s="13" t="n">
        <v>800500243</v>
      </c>
      <c r="B7789" s="13" t="inlineStr">
        <is>
          <t>ООО "НТЦ "ИркутскНИИХиммаш"</t>
        </is>
      </c>
      <c r="C7789" s="13" t="n">
        <v>3812102234</v>
      </c>
      <c r="D7789" s="13" t="inlineStr">
        <is>
          <t>3812102234</t>
        </is>
      </c>
      <c r="E7789" s="13" t="inlineStr">
        <is>
          <t>ЮЛ РФ</t>
        </is>
      </c>
      <c r="F7789" s="13" t="n"/>
      <c r="G7789" s="52" t="n">
        <v>16</v>
      </c>
      <c r="H7789" s="52" t="n">
        <v>2025</v>
      </c>
      <c r="I7789" s="14" t="n"/>
      <c r="J7789" s="14" t="n"/>
      <c r="K7789" s="53" t="inlineStr">
        <is>
          <t>Нет</t>
        </is>
      </c>
      <c r="L7789" s="53" t="inlineStr">
        <is>
          <t>Не определено</t>
        </is>
      </c>
      <c r="M7789" s="53" t="inlineStr">
        <is>
          <t>До 25</t>
        </is>
      </c>
      <c r="N7789" s="54" t="n">
        <v>8400</v>
      </c>
      <c r="O7789" s="55" t="inlineStr">
        <is>
          <t>16–30</t>
        </is>
      </c>
      <c r="P7789" s="16" t="inlineStr">
        <is>
          <t>ССЧР обогащена; ОКВЭД не найден/не загружен</t>
        </is>
      </c>
      <c r="Q7789" s="16" t="inlineStr">
        <is>
          <t>ФНС открытые данные ССЧР (ДатаСост 31.12.2025; набор 7707329152-sshr2019)</t>
        </is>
      </c>
      <c r="R7789" s="16">
        <f>HYPERLINK("https://checko.ru/search?query=3801001629","Чекко: проверить")</f>
        <v/>
      </c>
      <c r="S7789" t="n">
        <v>0</v>
      </c>
      <c r="T7789" s="35" t="inlineStr">
        <is>
          <t>4 — Не обогащён</t>
        </is>
      </c>
      <c r="U7789" s="35" t="inlineStr">
        <is>
          <t>Нет ОКВЭД/ССЧР</t>
        </is>
      </c>
      <c r="V7789" s="35" t="inlineStr">
        <is>
          <t>Не определено</t>
        </is>
      </c>
      <c r="W7789" s="35" t="inlineStr">
        <is>
          <t>Нет</t>
        </is>
      </c>
      <c r="X7789" s="35" t="inlineStr"/>
    </row>
    <row r="7790" ht="27.75" customHeight="1" s="24">
      <c r="A7790" s="13" t="n">
        <v>800834922</v>
      </c>
      <c r="B7790" s="13" t="inlineStr">
        <is>
          <t>НОУ Байкальский центр дополнительного образования</t>
        </is>
      </c>
      <c r="C7790" s="13" t="n">
        <v>3808187820</v>
      </c>
      <c r="D7790" s="13" t="inlineStr">
        <is>
          <t>3808187820</t>
        </is>
      </c>
      <c r="E7790" s="13" t="inlineStr">
        <is>
          <t>ЮЛ РФ</t>
        </is>
      </c>
      <c r="F7790" s="13" t="n"/>
      <c r="G7790" s="14" t="n"/>
      <c r="H7790" s="14" t="n"/>
      <c r="I7790" s="14" t="n"/>
      <c r="J7790" s="14" t="n"/>
      <c r="K7790" s="53" t="inlineStr"/>
      <c r="L7790" s="53" t="inlineStr">
        <is>
          <t>Не определено</t>
        </is>
      </c>
      <c r="M7790" s="53" t="inlineStr"/>
      <c r="N7790" s="54" t="inlineStr"/>
      <c r="O7790" s="55" t="inlineStr"/>
      <c r="P7790" s="16" t="inlineStr">
        <is>
          <t>Требует обогащения</t>
        </is>
      </c>
      <c r="Q7790" s="16">
        <f>HYPERLINK("https://pb.nalog.ru/search.html?query=3808187820","ФНС: проверить")</f>
        <v/>
      </c>
      <c r="R7790" s="16">
        <f>HYPERLINK("https://checko.ru/search?query=3801001629","Чекко: проверить")</f>
        <v/>
      </c>
      <c r="S7790" t="n">
        <v>1</v>
      </c>
      <c r="T7790" s="35" t="inlineStr">
        <is>
          <t>4 — Не обогащён</t>
        </is>
      </c>
      <c r="U7790" s="35" t="inlineStr">
        <is>
          <t>Нет ОКВЭД/ССЧР</t>
        </is>
      </c>
      <c r="V7790" s="35" t="inlineStr">
        <is>
          <t>Не определено</t>
        </is>
      </c>
      <c r="W7790" s="35" t="inlineStr"/>
      <c r="X7790" s="35" t="inlineStr"/>
    </row>
    <row r="7791" ht="15" customHeight="1" s="24">
      <c r="A7791" s="13" t="n">
        <v>802460893</v>
      </c>
      <c r="B7791" s="13" t="inlineStr">
        <is>
          <t>ООО "Мир кровли и фасада"</t>
        </is>
      </c>
      <c r="C7791" s="13" t="n">
        <v>3811106525</v>
      </c>
      <c r="D7791" s="13" t="inlineStr">
        <is>
          <t>3811106525</t>
        </is>
      </c>
      <c r="E7791" s="13" t="inlineStr">
        <is>
          <t>ЮЛ РФ</t>
        </is>
      </c>
      <c r="F7791" s="13" t="n"/>
      <c r="G7791" s="52" t="n">
        <v>14</v>
      </c>
      <c r="H7791" s="52" t="n">
        <v>2025</v>
      </c>
      <c r="I7791" s="14" t="n"/>
      <c r="J7791" s="14" t="n"/>
      <c r="K7791" s="53" t="inlineStr">
        <is>
          <t>Нет</t>
        </is>
      </c>
      <c r="L7791" s="53" t="inlineStr">
        <is>
          <t>Не определено</t>
        </is>
      </c>
      <c r="M7791" s="53" t="inlineStr">
        <is>
          <t>До 25</t>
        </is>
      </c>
      <c r="N7791" s="54" t="n">
        <v>8400</v>
      </c>
      <c r="O7791" s="55" t="inlineStr">
        <is>
          <t>1–15</t>
        </is>
      </c>
      <c r="P7791" s="16" t="inlineStr">
        <is>
          <t>ССЧР обогащена; ОКВЭД не найден/не загружен</t>
        </is>
      </c>
      <c r="Q7791" s="16" t="inlineStr">
        <is>
          <t>ФНС открытые данные ССЧР (ДатаСост 31.12.2025; набор 7707329152-sshr2019)</t>
        </is>
      </c>
      <c r="R7791" s="16">
        <f>HYPERLINK("https://checko.ru/search?query=3801001629","Чекко: проверить")</f>
        <v/>
      </c>
      <c r="S7791" t="n">
        <v>1</v>
      </c>
      <c r="T7791" s="35" t="inlineStr">
        <is>
          <t>4 — Не обогащён</t>
        </is>
      </c>
      <c r="U7791" s="35" t="inlineStr">
        <is>
          <t>Нет ОКВЭД/ССЧР</t>
        </is>
      </c>
      <c r="V7791" s="35" t="inlineStr">
        <is>
          <t>Не определено</t>
        </is>
      </c>
      <c r="W7791" s="35" t="inlineStr">
        <is>
          <t>Нет</t>
        </is>
      </c>
      <c r="X7791" s="35" t="inlineStr"/>
    </row>
    <row r="7792" ht="27.75" customHeight="1" s="24">
      <c r="A7792" s="13" t="n">
        <v>800429800</v>
      </c>
      <c r="B7792" s="13" t="inlineStr">
        <is>
          <t>Общество с ограниченной ответственностью "УЧЕТНЫЙ ЦЕНТР НОВЫЙ АЛГОРИТМ"</t>
        </is>
      </c>
      <c r="C7792" s="13" t="n">
        <v>3811464922</v>
      </c>
      <c r="D7792" s="13" t="inlineStr">
        <is>
          <t>3811464922</t>
        </is>
      </c>
      <c r="E7792" s="13" t="inlineStr">
        <is>
          <t>ЮЛ РФ</t>
        </is>
      </c>
      <c r="F7792" s="13" t="n"/>
      <c r="G7792" s="52" t="n">
        <v>15</v>
      </c>
      <c r="H7792" s="52" t="n">
        <v>2025</v>
      </c>
      <c r="I7792" s="14" t="n"/>
      <c r="J7792" s="14" t="n"/>
      <c r="K7792" s="53" t="inlineStr">
        <is>
          <t>Нет</t>
        </is>
      </c>
      <c r="L7792" s="53" t="inlineStr">
        <is>
          <t>Не определено</t>
        </is>
      </c>
      <c r="M7792" s="53" t="inlineStr">
        <is>
          <t>До 25</t>
        </is>
      </c>
      <c r="N7792" s="54" t="n">
        <v>8400</v>
      </c>
      <c r="O7792" s="55" t="inlineStr">
        <is>
          <t>1–15</t>
        </is>
      </c>
      <c r="P7792" s="16" t="inlineStr">
        <is>
          <t>ССЧР обогащена; ОКВЭД не найден/не загружен</t>
        </is>
      </c>
      <c r="Q7792" s="16" t="inlineStr">
        <is>
          <t>ФНС открытые данные ССЧР (ДатаСост 31.12.2025; набор 7707329152-sshr2019)</t>
        </is>
      </c>
      <c r="R7792" s="16">
        <f>HYPERLINK("https://checko.ru/search?query=3801001629","Чекко: проверить")</f>
        <v/>
      </c>
      <c r="S7792" t="n">
        <v>0</v>
      </c>
      <c r="T7792" s="35" t="inlineStr">
        <is>
          <t>4 — Не обогащён</t>
        </is>
      </c>
      <c r="U7792" s="35" t="inlineStr">
        <is>
          <t>Нет ОКВЭД/ССЧР</t>
        </is>
      </c>
      <c r="V7792" s="35" t="inlineStr">
        <is>
          <t>Не определено</t>
        </is>
      </c>
      <c r="W7792" s="35" t="inlineStr">
        <is>
          <t>Нет</t>
        </is>
      </c>
      <c r="X7792" s="35" t="inlineStr"/>
    </row>
    <row r="7793" ht="15" customHeight="1" s="24">
      <c r="A7793" s="13" t="n">
        <v>10239214</v>
      </c>
      <c r="B7793" s="13" t="inlineStr">
        <is>
          <t>Глава КФХ Лизин</t>
        </is>
      </c>
      <c r="C7793" s="13" t="n">
        <v>381112086649</v>
      </c>
      <c r="D7793" s="13" t="inlineStr">
        <is>
          <t>381112086649</t>
        </is>
      </c>
      <c r="E7793" s="13" t="inlineStr">
        <is>
          <t>ИП РФ / физлицо</t>
        </is>
      </c>
      <c r="F7793" s="13" t="n"/>
      <c r="G7793" s="14" t="n"/>
      <c r="H7793" s="14" t="n"/>
      <c r="I7793" s="14" t="n"/>
      <c r="J7793" s="14" t="n"/>
      <c r="K7793" s="53" t="inlineStr"/>
      <c r="L7793" s="53" t="inlineStr">
        <is>
          <t>Не определено</t>
        </is>
      </c>
      <c r="M7793" s="53" t="inlineStr"/>
      <c r="N7793" s="54" t="inlineStr"/>
      <c r="O7793" s="55" t="inlineStr"/>
      <c r="P7793" s="16" t="inlineStr">
        <is>
          <t>Требует обогащения</t>
        </is>
      </c>
      <c r="Q7793" s="16">
        <f>HYPERLINK("https://pb.nalog.ru/search.html?query=381112086649","ФНС: проверить")</f>
        <v/>
      </c>
      <c r="R7793" s="16">
        <f>HYPERLINK("https://checko.ru/search?query=3801001629","Чекко: проверить")</f>
        <v/>
      </c>
      <c r="S7793" t="n">
        <v>1</v>
      </c>
      <c r="T7793" s="35" t="inlineStr">
        <is>
          <t>4 — Не обогащён</t>
        </is>
      </c>
      <c r="U7793" s="35" t="inlineStr">
        <is>
          <t>Нет ОКВЭД/ССЧР</t>
        </is>
      </c>
      <c r="V7793" s="35" t="inlineStr">
        <is>
          <t>Не определено</t>
        </is>
      </c>
      <c r="W7793" s="35" t="inlineStr"/>
      <c r="X7793" s="35" t="inlineStr"/>
    </row>
    <row r="7794" ht="15" customHeight="1" s="24">
      <c r="A7794" s="13" t="n">
        <v>20005728245</v>
      </c>
      <c r="B7794" s="13" t="inlineStr">
        <is>
          <t>ИП Селезнев А.А.</t>
        </is>
      </c>
      <c r="C7794" s="13" t="n">
        <v>381256812531</v>
      </c>
      <c r="D7794" s="13" t="inlineStr">
        <is>
          <t>381256812531</t>
        </is>
      </c>
      <c r="E7794" s="13" t="inlineStr">
        <is>
          <t>ИП РФ / физлицо</t>
        </is>
      </c>
      <c r="F7794" s="13" t="n"/>
      <c r="G7794" s="14" t="n"/>
      <c r="H7794" s="14" t="n"/>
      <c r="I7794" s="14" t="n"/>
      <c r="J7794" s="14" t="n"/>
      <c r="K7794" s="53" t="inlineStr"/>
      <c r="L7794" s="53" t="inlineStr">
        <is>
          <t>Не определено</t>
        </is>
      </c>
      <c r="M7794" s="53" t="inlineStr"/>
      <c r="N7794" s="54" t="inlineStr"/>
      <c r="O7794" s="55" t="inlineStr"/>
      <c r="P7794" s="16" t="inlineStr">
        <is>
          <t>Требует обогащения</t>
        </is>
      </c>
      <c r="Q7794" s="16">
        <f>HYPERLINK("https://pb.nalog.ru/search.html?query=381256812531","ФНС: проверить")</f>
        <v/>
      </c>
      <c r="R7794" s="16">
        <f>HYPERLINK("https://checko.ru/search?query=3801001629","Чекко: проверить")</f>
        <v/>
      </c>
      <c r="S7794" t="n">
        <v>1</v>
      </c>
      <c r="T7794" s="35" t="inlineStr">
        <is>
          <t>4 — Не обогащён</t>
        </is>
      </c>
      <c r="U7794" s="35" t="inlineStr">
        <is>
          <t>Нет ОКВЭД/ССЧР</t>
        </is>
      </c>
      <c r="V7794" s="35" t="inlineStr">
        <is>
          <t>Не определено</t>
        </is>
      </c>
      <c r="W7794" s="35" t="inlineStr"/>
      <c r="X7794" s="35" t="inlineStr"/>
    </row>
    <row r="7795" ht="15" customHeight="1" s="24">
      <c r="A7795" s="13" t="n">
        <v>800516131</v>
      </c>
      <c r="B7795" s="13" t="inlineStr">
        <is>
          <t>ООО "ДЕТАЛИ МАШИН"</t>
        </is>
      </c>
      <c r="C7795" s="13" t="n">
        <v>3811434371</v>
      </c>
      <c r="D7795" s="13" t="inlineStr">
        <is>
          <t>3811434371</t>
        </is>
      </c>
      <c r="E7795" s="13" t="inlineStr">
        <is>
          <t>ЮЛ РФ</t>
        </is>
      </c>
      <c r="F7795" s="13" t="n"/>
      <c r="G7795" s="52" t="n">
        <v>24</v>
      </c>
      <c r="H7795" s="52" t="n">
        <v>2025</v>
      </c>
      <c r="I7795" s="52" t="inlineStr">
        <is>
          <t>22.19</t>
        </is>
      </c>
      <c r="J7795" s="52" t="inlineStr">
        <is>
          <t>22.19; 25.62; 25.73; 32.99.9; 45.20; 46.49; 46.61; 46.69; 46.73; 46.75; 46.90; 47.52; 49.41; 49.42; 68.20</t>
        </is>
      </c>
      <c r="K7795" s="53" t="inlineStr">
        <is>
          <t>Да</t>
        </is>
      </c>
      <c r="L7795" s="53" t="inlineStr">
        <is>
          <t>Да</t>
        </is>
      </c>
      <c r="M7795" s="53" t="inlineStr">
        <is>
          <t>До 25</t>
        </is>
      </c>
      <c r="N7795" s="54" t="n">
        <v>8400</v>
      </c>
      <c r="O7795" s="55" t="inlineStr">
        <is>
          <t>16–30</t>
        </is>
      </c>
      <c r="P7795" s="16" t="inlineStr">
        <is>
          <t>ССЧР + ОКВЭД обогащены</t>
        </is>
      </c>
      <c r="Q7795" s="16" t="inlineStr">
        <is>
          <t>ФНС открытые данные ССЧР (ДатаСост 31.12.2025; набор 7707329152-sshr2019)</t>
        </is>
      </c>
      <c r="R7795" s="16" t="inlineStr">
        <is>
          <t>ЕГРЮЛ / egrul.nalog.ru (выписка)</t>
        </is>
      </c>
      <c r="S7795" t="n">
        <v>0</v>
      </c>
      <c r="T7795" s="35" t="inlineStr">
        <is>
          <t>1 — Горячий</t>
        </is>
      </c>
      <c r="U7795" s="35" t="inlineStr">
        <is>
          <t>ОКВЭД + 22+</t>
        </is>
      </c>
      <c r="V7795" s="35" t="inlineStr">
        <is>
          <t>Да</t>
        </is>
      </c>
      <c r="W7795" s="35" t="inlineStr">
        <is>
          <t>Да</t>
        </is>
      </c>
      <c r="X7795" s="35" t="inlineStr">
        <is>
          <t>Да</t>
        </is>
      </c>
    </row>
    <row r="7796" ht="15" customHeight="1" s="24">
      <c r="A7796" s="13" t="n">
        <v>20012576703</v>
      </c>
      <c r="B7796" s="13" t="inlineStr">
        <is>
          <t>ООО "СТРОИТЕЛЬНАЯ КОМПАНИЯ БСК"</t>
        </is>
      </c>
      <c r="C7796" s="13" t="n">
        <v>3811433106</v>
      </c>
      <c r="D7796" s="13" t="inlineStr">
        <is>
          <t>3811433106</t>
        </is>
      </c>
      <c r="E7796" s="13" t="inlineStr">
        <is>
          <t>ЮЛ РФ</t>
        </is>
      </c>
      <c r="F7796" s="13" t="n"/>
      <c r="G7796" s="52" t="n">
        <v>7</v>
      </c>
      <c r="H7796" s="52" t="n">
        <v>2025</v>
      </c>
      <c r="I7796" s="14" t="n"/>
      <c r="J7796" s="14" t="n"/>
      <c r="K7796" s="53" t="inlineStr">
        <is>
          <t>Нет</t>
        </is>
      </c>
      <c r="L7796" s="53" t="inlineStr">
        <is>
          <t>Не определено</t>
        </is>
      </c>
      <c r="M7796" s="53" t="inlineStr">
        <is>
          <t>До 10</t>
        </is>
      </c>
      <c r="N7796" s="54" t="n">
        <v>3360</v>
      </c>
      <c r="O7796" s="55" t="inlineStr">
        <is>
          <t>1–15</t>
        </is>
      </c>
      <c r="P7796" s="16" t="inlineStr">
        <is>
          <t>ССЧР обогащена; ОКВЭД не найден/не загружен</t>
        </is>
      </c>
      <c r="Q7796" s="16" t="inlineStr">
        <is>
          <t>ФНС открытые данные ССЧР (ДатаСост 31.12.2025; набор 7707329152-sshr2019)</t>
        </is>
      </c>
      <c r="R7796" s="16">
        <f>HYPERLINK("https://checko.ru/search?query=3801001629","Чекко: проверить")</f>
        <v/>
      </c>
      <c r="S7796" t="n">
        <v>1</v>
      </c>
      <c r="T7796" s="35" t="inlineStr">
        <is>
          <t>4 — Не обогащён</t>
        </is>
      </c>
      <c r="U7796" s="35" t="inlineStr">
        <is>
          <t>Нет ОКВЭД/ССЧР</t>
        </is>
      </c>
      <c r="V7796" s="35" t="inlineStr">
        <is>
          <t>Не определено</t>
        </is>
      </c>
      <c r="W7796" s="35" t="inlineStr">
        <is>
          <t>Нет</t>
        </is>
      </c>
      <c r="X7796" s="35" t="inlineStr"/>
    </row>
    <row r="7797" ht="15" customHeight="1" s="24">
      <c r="A7797" s="13" t="n">
        <v>9183598</v>
      </c>
      <c r="B7797" s="13" t="inlineStr">
        <is>
          <t>АО "Энергетические технологии"</t>
        </is>
      </c>
      <c r="C7797" s="13" t="n">
        <v>3812082002</v>
      </c>
      <c r="D7797" s="13" t="inlineStr">
        <is>
          <t>3812082002</t>
        </is>
      </c>
      <c r="E7797" s="13" t="inlineStr">
        <is>
          <t>ЮЛ РФ</t>
        </is>
      </c>
      <c r="F7797" s="13" t="n"/>
      <c r="G7797" s="52" t="n">
        <v>47</v>
      </c>
      <c r="H7797" s="52" t="n">
        <v>2025</v>
      </c>
      <c r="I7797" s="52" t="inlineStr">
        <is>
          <t>46.69</t>
        </is>
      </c>
      <c r="J7797" s="52" t="inlineStr">
        <is>
          <t>46.69; 25.11; 25.12; 25.61; 25.62; 27.12; 33.14; 33.20; 42.21; 42.22; 43.12; 43.21; 43.22; 43.29; 43.99; 58.19</t>
        </is>
      </c>
      <c r="K7797" s="53" t="inlineStr">
        <is>
          <t>Да</t>
        </is>
      </c>
      <c r="L7797" s="53" t="inlineStr">
        <is>
          <t>Да</t>
        </is>
      </c>
      <c r="M7797" s="53" t="inlineStr">
        <is>
          <t>До 50</t>
        </is>
      </c>
      <c r="N7797" s="54" t="n">
        <v>16800</v>
      </c>
      <c r="O7797" s="55" t="inlineStr">
        <is>
          <t>31–50</t>
        </is>
      </c>
      <c r="P7797" s="16" t="inlineStr">
        <is>
          <t>ССЧР + ОКВЭД обогащены</t>
        </is>
      </c>
      <c r="Q7797" s="16" t="inlineStr">
        <is>
          <t>ФНС открытые данные ССЧР (ДатаСост 31.12.2025; набор 7707329152-sshr2019)</t>
        </is>
      </c>
      <c r="R7797" s="16" t="inlineStr">
        <is>
          <t>ЕГРЮЛ / egrul.nalog.ru (выписка)</t>
        </is>
      </c>
      <c r="S7797" t="n">
        <v>0</v>
      </c>
      <c r="T7797" s="35" t="inlineStr">
        <is>
          <t>1 — Горячий</t>
        </is>
      </c>
      <c r="U7797" s="35" t="inlineStr">
        <is>
          <t>ОКВЭД + 22+</t>
        </is>
      </c>
      <c r="V7797" s="35" t="inlineStr">
        <is>
          <t>Да</t>
        </is>
      </c>
      <c r="W7797" s="35" t="inlineStr">
        <is>
          <t>Да</t>
        </is>
      </c>
      <c r="X7797" s="35" t="inlineStr">
        <is>
          <t>Да</t>
        </is>
      </c>
    </row>
    <row r="7798" ht="15" customHeight="1" s="24">
      <c r="A7798" s="13" t="n">
        <v>802315307</v>
      </c>
      <c r="B7798" s="13" t="inlineStr">
        <is>
          <t>ООО "БЭМЗ"</t>
        </is>
      </c>
      <c r="C7798" s="13" t="n">
        <v>3810059953</v>
      </c>
      <c r="D7798" s="13" t="inlineStr">
        <is>
          <t>3810059953</t>
        </is>
      </c>
      <c r="E7798" s="13" t="inlineStr">
        <is>
          <t>ЮЛ РФ</t>
        </is>
      </c>
      <c r="F7798" s="13" t="n"/>
      <c r="G7798" s="52" t="n">
        <v>75</v>
      </c>
      <c r="H7798" s="52" t="n">
        <v>2025</v>
      </c>
      <c r="I7798" s="52" t="inlineStr">
        <is>
          <t>25.11</t>
        </is>
      </c>
      <c r="J7798" s="52" t="inlineStr">
        <is>
          <t>25.11; 16.23; 16.24; 20.12; 20.30; 24.33; 25.12; 25.61; 25.62; 25.99; 27.12; 27.90; 28.29; 35.11; 35.13; 41.20; 43.21; 43.22; 43.29; 43.91; 43.99; 43.99.1; 46.69; 46.73; 46.90; 47.52; 71.12.5; 71.12.6; 72.19</t>
        </is>
      </c>
      <c r="K7798" s="53" t="inlineStr">
        <is>
          <t>Да</t>
        </is>
      </c>
      <c r="L7798" s="53" t="inlineStr">
        <is>
          <t>Да</t>
        </is>
      </c>
      <c r="M7798" s="53" t="inlineStr">
        <is>
          <t>До 100</t>
        </is>
      </c>
      <c r="N7798" s="54" t="n">
        <v>33600</v>
      </c>
      <c r="O7798" s="55" t="inlineStr">
        <is>
          <t>51–100</t>
        </is>
      </c>
      <c r="P7798" s="16" t="inlineStr">
        <is>
          <t>ССЧР + ОКВЭД обогащены</t>
        </is>
      </c>
      <c r="Q7798" s="16" t="inlineStr">
        <is>
          <t>ФНС открытые данные ССЧР (ДатаСост 31.12.2025; набор 7707329152-sshr2019)</t>
        </is>
      </c>
      <c r="R7798" s="16" t="inlineStr">
        <is>
          <t>ЕГРЮЛ / egrul.nalog.ru (выписка)</t>
        </is>
      </c>
      <c r="S7798" t="n">
        <v>0</v>
      </c>
      <c r="T7798" s="35" t="inlineStr">
        <is>
          <t>1 — Горячий</t>
        </is>
      </c>
      <c r="U7798" s="35" t="inlineStr">
        <is>
          <t>ОКВЭД + 22+</t>
        </is>
      </c>
      <c r="V7798" s="35" t="inlineStr">
        <is>
          <t>Да</t>
        </is>
      </c>
      <c r="W7798" s="35" t="inlineStr">
        <is>
          <t>Да</t>
        </is>
      </c>
      <c r="X7798" s="35" t="inlineStr">
        <is>
          <t>Да</t>
        </is>
      </c>
    </row>
    <row r="7799" ht="15" customHeight="1" s="24">
      <c r="A7799" s="13" t="n">
        <v>804692310</v>
      </c>
      <c r="B7799" s="13" t="inlineStr">
        <is>
          <t>ООО "Хайлинк"</t>
        </is>
      </c>
      <c r="C7799" s="13" t="n">
        <v>3849038095</v>
      </c>
      <c r="D7799" s="13" t="inlineStr">
        <is>
          <t>3849038095</t>
        </is>
      </c>
      <c r="E7799" s="13" t="inlineStr">
        <is>
          <t>ЮЛ РФ</t>
        </is>
      </c>
      <c r="F7799" s="13" t="n"/>
      <c r="G7799" s="52" t="n">
        <v>58</v>
      </c>
      <c r="H7799" s="52" t="n">
        <v>2025</v>
      </c>
      <c r="I7799" s="52" t="inlineStr">
        <is>
          <t>61.10</t>
        </is>
      </c>
      <c r="J7799" s="52" t="inlineStr">
        <is>
          <t>61.10; 33.12; 33.14; 33.20; 42.21; 42.22.1; 42.22.2; 42.99; 43.21; 43.29; 43.99.5; 43.99.7; 46.14.1; 46.14.9; 46.15.4; 46.43; 46.51; 46.65; 46.66; 46.69.5; 46.69.9; 47.41; 47.41.4; 47.42; 47.43; 47.54; 47.59.1; 47.63.1; 47.63.2; 62.09; 63.11; 77.33.1; 95.11; 95.21; 95.22.1</t>
        </is>
      </c>
      <c r="K7799" s="53" t="inlineStr">
        <is>
          <t>Да</t>
        </is>
      </c>
      <c r="L7799" s="53" t="inlineStr">
        <is>
          <t>Да</t>
        </is>
      </c>
      <c r="M7799" s="53" t="inlineStr">
        <is>
          <t>До 100</t>
        </is>
      </c>
      <c r="N7799" s="54" t="n">
        <v>33600</v>
      </c>
      <c r="O7799" s="55" t="inlineStr">
        <is>
          <t>51–100</t>
        </is>
      </c>
      <c r="P7799" s="16" t="inlineStr">
        <is>
          <t>ССЧР + ОКВЭД обогащены</t>
        </is>
      </c>
      <c r="Q7799" s="16" t="inlineStr">
        <is>
          <t>ФНС открытые данные ССЧР (ДатаСост 31.12.2025; набор 7707329152-sshr2019)</t>
        </is>
      </c>
      <c r="R7799" s="16" t="inlineStr">
        <is>
          <t>ЕГРЮЛ / egrul.nalog.ru (выписка)</t>
        </is>
      </c>
      <c r="S7799" t="n">
        <v>1</v>
      </c>
      <c r="T7799" s="35" t="inlineStr">
        <is>
          <t>1 — Горячий</t>
        </is>
      </c>
      <c r="U7799" s="35" t="inlineStr">
        <is>
          <t>ОКВЭД + 22+</t>
        </is>
      </c>
      <c r="V7799" s="35" t="inlineStr">
        <is>
          <t>Да</t>
        </is>
      </c>
      <c r="W7799" s="35" t="inlineStr">
        <is>
          <t>Да</t>
        </is>
      </c>
      <c r="X7799" s="35" t="inlineStr">
        <is>
          <t>Да</t>
        </is>
      </c>
    </row>
    <row r="7800" ht="15" customHeight="1" s="24">
      <c r="A7800" s="13" t="n">
        <v>802300367</v>
      </c>
      <c r="B7800" s="13" t="inlineStr">
        <is>
          <t>ИП Мосеев Данил Алексеевич</t>
        </is>
      </c>
      <c r="C7800" s="13" t="n">
        <v>381259864880</v>
      </c>
      <c r="D7800" s="13" t="inlineStr">
        <is>
          <t>381259864880</t>
        </is>
      </c>
      <c r="E7800" s="13" t="inlineStr">
        <is>
          <t>ИП РФ / физлицо</t>
        </is>
      </c>
      <c r="F7800" s="13" t="n"/>
      <c r="G7800" s="14" t="n"/>
      <c r="H7800" s="14" t="n"/>
      <c r="I7800" s="14" t="n"/>
      <c r="J7800" s="14" t="n"/>
      <c r="K7800" s="53" t="inlineStr"/>
      <c r="L7800" s="53" t="inlineStr">
        <is>
          <t>Не определено</t>
        </is>
      </c>
      <c r="M7800" s="53" t="inlineStr"/>
      <c r="N7800" s="54" t="inlineStr"/>
      <c r="O7800" s="55" t="inlineStr"/>
      <c r="P7800" s="16" t="inlineStr">
        <is>
          <t>Требует обогащения</t>
        </is>
      </c>
      <c r="Q7800" s="16">
        <f>HYPERLINK("https://pb.nalog.ru/search.html?query=381259864880","ФНС: проверить")</f>
        <v/>
      </c>
      <c r="R7800" s="16">
        <f>HYPERLINK("https://checko.ru/search?query=3801001629","Чекко: проверить")</f>
        <v/>
      </c>
      <c r="S7800" t="n">
        <v>0</v>
      </c>
      <c r="T7800" s="35" t="inlineStr">
        <is>
          <t>4 — Не обогащён</t>
        </is>
      </c>
      <c r="U7800" s="35" t="inlineStr">
        <is>
          <t>Нет ОКВЭД/ССЧР</t>
        </is>
      </c>
      <c r="V7800" s="35" t="inlineStr">
        <is>
          <t>Не определено</t>
        </is>
      </c>
      <c r="W7800" s="35" t="inlineStr"/>
      <c r="X7800" s="35" t="inlineStr"/>
    </row>
    <row r="7801" ht="15" customHeight="1" s="24">
      <c r="A7801" s="13" t="n">
        <v>800435868</v>
      </c>
      <c r="B7801" s="13" t="inlineStr">
        <is>
          <t>ИП Качнов Александр Юрьевич</t>
        </is>
      </c>
      <c r="C7801" s="13" t="n">
        <v>380504765689</v>
      </c>
      <c r="D7801" s="13" t="inlineStr">
        <is>
          <t>380504765689</t>
        </is>
      </c>
      <c r="E7801" s="13" t="inlineStr">
        <is>
          <t>ИП РФ / физлицо</t>
        </is>
      </c>
      <c r="F7801" s="13" t="n"/>
      <c r="G7801" s="14" t="n"/>
      <c r="H7801" s="14" t="n"/>
      <c r="I7801" s="14" t="n"/>
      <c r="J7801" s="14" t="n"/>
      <c r="K7801" s="53" t="inlineStr"/>
      <c r="L7801" s="53" t="inlineStr">
        <is>
          <t>Не определено</t>
        </is>
      </c>
      <c r="M7801" s="53" t="inlineStr"/>
      <c r="N7801" s="54" t="inlineStr"/>
      <c r="O7801" s="55" t="inlineStr"/>
      <c r="P7801" s="16" t="inlineStr">
        <is>
          <t>Требует обогащения</t>
        </is>
      </c>
      <c r="Q7801" s="16">
        <f>HYPERLINK("https://pb.nalog.ru/search.html?query=380504765689","ФНС: проверить")</f>
        <v/>
      </c>
      <c r="R7801" s="16">
        <f>HYPERLINK("https://checko.ru/search?query=3801001629","Чекко: проверить")</f>
        <v/>
      </c>
      <c r="S7801" t="n">
        <v>0</v>
      </c>
      <c r="T7801" s="35" t="inlineStr">
        <is>
          <t>4 — Не обогащён</t>
        </is>
      </c>
      <c r="U7801" s="35" t="inlineStr">
        <is>
          <t>Нет ОКВЭД/ССЧР</t>
        </is>
      </c>
      <c r="V7801" s="35" t="inlineStr">
        <is>
          <t>Не определено</t>
        </is>
      </c>
      <c r="W7801" s="35" t="inlineStr"/>
      <c r="X7801" s="35" t="inlineStr"/>
    </row>
    <row r="7802" ht="15" customHeight="1" s="24">
      <c r="A7802" s="13" t="n">
        <v>20002305724</v>
      </c>
      <c r="B7802" s="13" t="inlineStr">
        <is>
          <t>ООО "ИркутскСтройТехСервис"</t>
        </is>
      </c>
      <c r="C7802" s="13" t="n">
        <v>3810023019</v>
      </c>
      <c r="D7802" s="13" t="inlineStr">
        <is>
          <t>3810023019</t>
        </is>
      </c>
      <c r="E7802" s="13" t="inlineStr">
        <is>
          <t>ЮЛ РФ</t>
        </is>
      </c>
      <c r="F7802" s="13" t="n"/>
      <c r="G7802" s="52" t="n">
        <v>6</v>
      </c>
      <c r="H7802" s="52" t="n">
        <v>2025</v>
      </c>
      <c r="I7802" s="14" t="n"/>
      <c r="J7802" s="14" t="n"/>
      <c r="K7802" s="53" t="inlineStr">
        <is>
          <t>Нет</t>
        </is>
      </c>
      <c r="L7802" s="53" t="inlineStr">
        <is>
          <t>Не определено</t>
        </is>
      </c>
      <c r="M7802" s="53" t="inlineStr">
        <is>
          <t>До 10</t>
        </is>
      </c>
      <c r="N7802" s="54" t="n">
        <v>3360</v>
      </c>
      <c r="O7802" s="55" t="inlineStr">
        <is>
          <t>1–15</t>
        </is>
      </c>
      <c r="P7802" s="16" t="inlineStr">
        <is>
          <t>ССЧР обогащена; ОКВЭД не найден/не загружен</t>
        </is>
      </c>
      <c r="Q7802" s="16" t="inlineStr">
        <is>
          <t>ФНС открытые данные ССЧР (ДатаСост 31.12.2025; набор 7707329152-sshr2019)</t>
        </is>
      </c>
      <c r="R7802" s="16">
        <f>HYPERLINK("https://checko.ru/search?query=3801001629","Чекко: проверить")</f>
        <v/>
      </c>
      <c r="S7802" t="n">
        <v>1</v>
      </c>
      <c r="T7802" s="35" t="inlineStr">
        <is>
          <t>4 — Не обогащён</t>
        </is>
      </c>
      <c r="U7802" s="35" t="inlineStr">
        <is>
          <t>Нет ОКВЭД/ССЧР</t>
        </is>
      </c>
      <c r="V7802" s="35" t="inlineStr">
        <is>
          <t>Не определено</t>
        </is>
      </c>
      <c r="W7802" s="35" t="inlineStr">
        <is>
          <t>Нет</t>
        </is>
      </c>
      <c r="X7802" s="35" t="inlineStr"/>
    </row>
    <row r="7803" ht="15" customHeight="1" s="24">
      <c r="A7803" s="13" t="n">
        <v>800581392</v>
      </c>
      <c r="B7803" s="13" t="inlineStr">
        <is>
          <t>ООО «Лексис Мет»</t>
        </is>
      </c>
      <c r="C7803" s="13" t="n">
        <v>3849016310</v>
      </c>
      <c r="D7803" s="13" t="inlineStr">
        <is>
          <t>3849016310</t>
        </is>
      </c>
      <c r="E7803" s="13" t="inlineStr">
        <is>
          <t>ЮЛ РФ</t>
        </is>
      </c>
      <c r="F7803" s="13" t="n"/>
      <c r="G7803" s="52" t="n">
        <v>2</v>
      </c>
      <c r="H7803" s="52" t="n">
        <v>2025</v>
      </c>
      <c r="I7803" s="14" t="n"/>
      <c r="J7803" s="14" t="n"/>
      <c r="K7803" s="53" t="inlineStr">
        <is>
          <t>Нет</t>
        </is>
      </c>
      <c r="L7803" s="53" t="inlineStr">
        <is>
          <t>Не определено</t>
        </is>
      </c>
      <c r="M7803" s="53" t="inlineStr">
        <is>
          <t>До 10</t>
        </is>
      </c>
      <c r="N7803" s="54" t="n">
        <v>3360</v>
      </c>
      <c r="O7803" s="55" t="inlineStr">
        <is>
          <t>1–15</t>
        </is>
      </c>
      <c r="P7803" s="16" t="inlineStr">
        <is>
          <t>ССЧР обогащена; ОКВЭД не найден/не загружен</t>
        </is>
      </c>
      <c r="Q7803" s="16" t="inlineStr">
        <is>
          <t>ФНС открытые данные ССЧР (ДатаСост 31.12.2025; набор 7707329152-sshr2019)</t>
        </is>
      </c>
      <c r="R7803" s="16">
        <f>HYPERLINK("https://checko.ru/search?query=3801001629","Чекко: проверить")</f>
        <v/>
      </c>
      <c r="S7803" t="n">
        <v>0</v>
      </c>
      <c r="T7803" s="35" t="inlineStr">
        <is>
          <t>4 — Не обогащён</t>
        </is>
      </c>
      <c r="U7803" s="35" t="inlineStr">
        <is>
          <t>Нет ОКВЭД/ССЧР</t>
        </is>
      </c>
      <c r="V7803" s="35" t="inlineStr">
        <is>
          <t>Не определено</t>
        </is>
      </c>
      <c r="W7803" s="35" t="inlineStr">
        <is>
          <t>Нет</t>
        </is>
      </c>
      <c r="X7803" s="35" t="inlineStr"/>
    </row>
    <row r="7804" ht="15" customHeight="1" s="24">
      <c r="A7804" s="13" t="n">
        <v>9652383</v>
      </c>
      <c r="B7804" s="13" t="inlineStr">
        <is>
          <t>МАУК Театрально-концертный центр "Братск-АРТ"</t>
        </is>
      </c>
      <c r="C7804" s="13" t="n">
        <v>3804013541</v>
      </c>
      <c r="D7804" s="13" t="inlineStr">
        <is>
          <t>3804013541</t>
        </is>
      </c>
      <c r="E7804" s="13" t="inlineStr">
        <is>
          <t>ЮЛ РФ</t>
        </is>
      </c>
      <c r="F7804" s="13" t="n"/>
      <c r="G7804" s="14" t="n"/>
      <c r="H7804" s="14" t="n"/>
      <c r="I7804" s="14" t="n"/>
      <c r="J7804" s="14" t="n"/>
      <c r="K7804" s="53" t="inlineStr"/>
      <c r="L7804" s="53" t="inlineStr">
        <is>
          <t>Не определено</t>
        </is>
      </c>
      <c r="M7804" s="53" t="inlineStr"/>
      <c r="N7804" s="54" t="inlineStr"/>
      <c r="O7804" s="55" t="inlineStr"/>
      <c r="P7804" s="16" t="inlineStr">
        <is>
          <t>Требует обогащения</t>
        </is>
      </c>
      <c r="Q7804" s="16">
        <f>HYPERLINK("https://pb.nalog.ru/search.html?query=3804013541","ФНС: проверить")</f>
        <v/>
      </c>
      <c r="R7804" s="16">
        <f>HYPERLINK("https://checko.ru/search?query=3801001629","Чекко: проверить")</f>
        <v/>
      </c>
      <c r="S7804" t="n">
        <v>0</v>
      </c>
      <c r="T7804" s="35" t="inlineStr">
        <is>
          <t>4 — Не обогащён</t>
        </is>
      </c>
      <c r="U7804" s="35" t="inlineStr">
        <is>
          <t>Нет ОКВЭД/ССЧР</t>
        </is>
      </c>
      <c r="V7804" s="35" t="inlineStr">
        <is>
          <t>Не определено</t>
        </is>
      </c>
      <c r="W7804" s="35" t="inlineStr"/>
      <c r="X7804" s="35" t="inlineStr"/>
    </row>
    <row r="7805" ht="27.75" customHeight="1" s="24">
      <c r="A7805" s="13" t="n">
        <v>16513706</v>
      </c>
      <c r="B7805" s="13" t="inlineStr">
        <is>
          <t>ОБЩЕСТВО С ОГРАНИЧЕННОЙ ОТВЕТСТВЕННОСТЬЮ "МЕХСЕРВИС"</t>
        </is>
      </c>
      <c r="C7805" s="13" t="n">
        <v>3812990967</v>
      </c>
      <c r="D7805" s="13" t="inlineStr">
        <is>
          <t>3812990967</t>
        </is>
      </c>
      <c r="E7805" s="13" t="inlineStr">
        <is>
          <t>ЮЛ РФ</t>
        </is>
      </c>
      <c r="F7805" s="13" t="n"/>
      <c r="G7805" s="52" t="n">
        <v>16</v>
      </c>
      <c r="H7805" s="52" t="n">
        <v>2025</v>
      </c>
      <c r="I7805" s="14" t="n"/>
      <c r="J7805" s="14" t="n"/>
      <c r="K7805" s="53" t="inlineStr">
        <is>
          <t>Нет</t>
        </is>
      </c>
      <c r="L7805" s="53" t="inlineStr">
        <is>
          <t>Не определено</t>
        </is>
      </c>
      <c r="M7805" s="53" t="inlineStr">
        <is>
          <t>До 25</t>
        </is>
      </c>
      <c r="N7805" s="54" t="n">
        <v>8400</v>
      </c>
      <c r="O7805" s="55" t="inlineStr">
        <is>
          <t>16–30</t>
        </is>
      </c>
      <c r="P7805" s="16" t="inlineStr">
        <is>
          <t>ССЧР обогащена; ОКВЭД не найден/не загружен</t>
        </is>
      </c>
      <c r="Q7805" s="16" t="inlineStr">
        <is>
          <t>ФНС открытые данные ССЧР (ДатаСост 31.12.2025; набор 7707329152-sshr2019)</t>
        </is>
      </c>
      <c r="R7805" s="16">
        <f>HYPERLINK("https://checko.ru/search?query=3801001629","Чекко: проверить")</f>
        <v/>
      </c>
      <c r="S7805" t="n">
        <v>1</v>
      </c>
      <c r="T7805" s="35" t="inlineStr">
        <is>
          <t>4 — Не обогащён</t>
        </is>
      </c>
      <c r="U7805" s="35" t="inlineStr">
        <is>
          <t>Нет ОКВЭД/ССЧР</t>
        </is>
      </c>
      <c r="V7805" s="35" t="inlineStr">
        <is>
          <t>Не определено</t>
        </is>
      </c>
      <c r="W7805" s="35" t="inlineStr">
        <is>
          <t>Нет</t>
        </is>
      </c>
      <c r="X7805" s="35" t="inlineStr"/>
    </row>
    <row r="7806" ht="15" customHeight="1" s="24">
      <c r="A7806" s="13" t="n">
        <v>802400982</v>
      </c>
      <c r="B7806" s="13" t="inlineStr">
        <is>
          <t>ООО "Форвард"</t>
        </is>
      </c>
      <c r="C7806" s="13" t="n">
        <v>3808089020</v>
      </c>
      <c r="D7806" s="13" t="inlineStr">
        <is>
          <t>3808089020</t>
        </is>
      </c>
      <c r="E7806" s="13" t="inlineStr">
        <is>
          <t>ЮЛ РФ</t>
        </is>
      </c>
      <c r="F7806" s="13" t="n"/>
      <c r="G7806" s="52" t="n">
        <v>45</v>
      </c>
      <c r="H7806" s="52" t="n">
        <v>2025</v>
      </c>
      <c r="I7806" s="14" t="n"/>
      <c r="J7806" s="14" t="n"/>
      <c r="K7806" s="53" t="inlineStr">
        <is>
          <t>Да</t>
        </is>
      </c>
      <c r="L7806" s="53" t="inlineStr">
        <is>
          <t>Не определено</t>
        </is>
      </c>
      <c r="M7806" s="53" t="inlineStr">
        <is>
          <t>До 50</t>
        </is>
      </c>
      <c r="N7806" s="54" t="n">
        <v>16800</v>
      </c>
      <c r="O7806" s="55" t="inlineStr">
        <is>
          <t>31–50</t>
        </is>
      </c>
      <c r="P7806" s="16" t="inlineStr">
        <is>
          <t>ССЧР обогащена; ОКВЭД не найден/не загружен</t>
        </is>
      </c>
      <c r="Q7806" s="16" t="inlineStr">
        <is>
          <t>ФНС открытые данные ССЧР (ДатаСост 31.12.2025; набор 7707329152-sshr2019)</t>
        </is>
      </c>
      <c r="R7806" s="16">
        <f>HYPERLINK("https://checko.ru/search?query=3801001629","Чекко: проверить")</f>
        <v/>
      </c>
      <c r="S7806" t="n">
        <v>1</v>
      </c>
      <c r="T7806" s="35" t="inlineStr">
        <is>
          <t>3 — 22+ без ОКВЭД</t>
        </is>
      </c>
      <c r="U7806" s="35" t="inlineStr">
        <is>
          <t>22+ без целевого ОКВЭД</t>
        </is>
      </c>
      <c r="V7806" s="35" t="inlineStr">
        <is>
          <t>Не определено</t>
        </is>
      </c>
      <c r="W7806" s="35" t="inlineStr">
        <is>
          <t>Да</t>
        </is>
      </c>
      <c r="X7806" s="35" t="inlineStr"/>
    </row>
    <row r="7807" ht="27.75" customHeight="1" s="24">
      <c r="A7807" s="13" t="n">
        <v>802405146</v>
      </c>
      <c r="B7807" s="13" t="inlineStr">
        <is>
          <t>Индивидуальный предприниматель Татаринова Ирина Анатольевна</t>
        </is>
      </c>
      <c r="C7807" s="13" t="n">
        <v>381200736141</v>
      </c>
      <c r="D7807" s="13" t="inlineStr">
        <is>
          <t>381200736141</t>
        </is>
      </c>
      <c r="E7807" s="13" t="inlineStr">
        <is>
          <t>ИП РФ / физлицо</t>
        </is>
      </c>
      <c r="F7807" s="13" t="n"/>
      <c r="G7807" s="14" t="n"/>
      <c r="H7807" s="14" t="n"/>
      <c r="I7807" s="14" t="n"/>
      <c r="J7807" s="14" t="n"/>
      <c r="K7807" s="53" t="inlineStr"/>
      <c r="L7807" s="53" t="inlineStr">
        <is>
          <t>Не определено</t>
        </is>
      </c>
      <c r="M7807" s="53" t="inlineStr"/>
      <c r="N7807" s="54" t="inlineStr"/>
      <c r="O7807" s="55" t="inlineStr"/>
      <c r="P7807" s="16" t="inlineStr">
        <is>
          <t>Требует обогащения</t>
        </is>
      </c>
      <c r="Q7807" s="16">
        <f>HYPERLINK("https://pb.nalog.ru/search.html?query=381200736141","ФНС: проверить")</f>
        <v/>
      </c>
      <c r="R7807" s="16">
        <f>HYPERLINK("https://checko.ru/search?query=3801001629","Чекко: проверить")</f>
        <v/>
      </c>
      <c r="S7807" t="n">
        <v>1</v>
      </c>
      <c r="T7807" s="35" t="inlineStr">
        <is>
          <t>4 — Не обогащён</t>
        </is>
      </c>
      <c r="U7807" s="35" t="inlineStr">
        <is>
          <t>Нет ОКВЭД/ССЧР</t>
        </is>
      </c>
      <c r="V7807" s="35" t="inlineStr">
        <is>
          <t>Не определено</t>
        </is>
      </c>
      <c r="W7807" s="35" t="inlineStr"/>
      <c r="X7807" s="35" t="inlineStr"/>
    </row>
    <row r="7808" ht="15" customHeight="1" s="24">
      <c r="A7808" s="13" t="n">
        <v>802450765</v>
      </c>
      <c r="B7808" s="13" t="inlineStr">
        <is>
          <t>ООО санаторий-профилакторий Иркут</t>
        </is>
      </c>
      <c r="C7808" s="13" t="n">
        <v>3810035102</v>
      </c>
      <c r="D7808" s="13" t="inlineStr">
        <is>
          <t>3810035102</t>
        </is>
      </c>
      <c r="E7808" s="13" t="inlineStr">
        <is>
          <t>ЮЛ РФ</t>
        </is>
      </c>
      <c r="F7808" s="13" t="n"/>
      <c r="G7808" s="52" t="n">
        <v>106</v>
      </c>
      <c r="H7808" s="52" t="n">
        <v>2025</v>
      </c>
      <c r="I7808" s="52" t="inlineStr">
        <is>
          <t>55.20</t>
        </is>
      </c>
      <c r="J7808" s="52" t="inlineStr">
        <is>
          <t>55.20; 56.29.2; 77.21; 86.90.4; 47.11; 47.73; 47.74; 47.75; 55.10; 55.90; 56.10.21; 56.29; 56.30; 85.41.91; 86.10; 86.21; 86.23; 86.90; 86.90.9; 88.91; 93.11; 93.29; 96.04; 96.09</t>
        </is>
      </c>
      <c r="K7808" s="53" t="inlineStr">
        <is>
          <t>Да</t>
        </is>
      </c>
      <c r="L7808" s="53" t="inlineStr">
        <is>
          <t>Да</t>
        </is>
      </c>
      <c r="M7808" s="53" t="inlineStr">
        <is>
          <t>До 200</t>
        </is>
      </c>
      <c r="N7808" s="54" t="n">
        <v>62400</v>
      </c>
      <c r="O7808" s="55" t="inlineStr">
        <is>
          <t>101–200</t>
        </is>
      </c>
      <c r="P7808" s="16" t="inlineStr">
        <is>
          <t>ССЧР + ОКВЭД обогащены</t>
        </is>
      </c>
      <c r="Q7808" s="16" t="inlineStr">
        <is>
          <t>ФНС открытые данные ССЧР (ДатаСост 31.12.2025; набор 7707329152-sshr2019)</t>
        </is>
      </c>
      <c r="R7808" s="16" t="inlineStr">
        <is>
          <t>ЕГРЮЛ / egrul.nalog.ru (выписка)</t>
        </is>
      </c>
      <c r="S7808" t="n">
        <v>0</v>
      </c>
      <c r="T7808" s="35" t="inlineStr">
        <is>
          <t>1 — Горячий</t>
        </is>
      </c>
      <c r="U7808" s="35" t="inlineStr">
        <is>
          <t>ОКВЭД + 22+</t>
        </is>
      </c>
      <c r="V7808" s="35" t="inlineStr">
        <is>
          <t>Да</t>
        </is>
      </c>
      <c r="W7808" s="35" t="inlineStr">
        <is>
          <t>Да</t>
        </is>
      </c>
      <c r="X7808" s="35" t="inlineStr">
        <is>
          <t>Да</t>
        </is>
      </c>
    </row>
    <row r="7809" ht="27.75" customHeight="1" s="24">
      <c r="A7809" s="13" t="n">
        <v>800232856</v>
      </c>
      <c r="B7809" s="13" t="inlineStr">
        <is>
          <t>ФГУ «Иркутская региональная поисково-спасательная база»</t>
        </is>
      </c>
      <c r="C7809" s="13" t="n">
        <v>3811072770</v>
      </c>
      <c r="D7809" s="13" t="inlineStr">
        <is>
          <t>3811072770</t>
        </is>
      </c>
      <c r="E7809" s="13" t="inlineStr">
        <is>
          <t>ЮЛ РФ</t>
        </is>
      </c>
      <c r="F7809" s="13" t="n"/>
      <c r="G7809" s="14" t="n"/>
      <c r="H7809" s="14" t="n"/>
      <c r="I7809" s="14" t="n"/>
      <c r="J7809" s="14" t="n"/>
      <c r="K7809" s="53" t="inlineStr"/>
      <c r="L7809" s="53" t="inlineStr">
        <is>
          <t>Не определено</t>
        </is>
      </c>
      <c r="M7809" s="53" t="inlineStr"/>
      <c r="N7809" s="54" t="inlineStr"/>
      <c r="O7809" s="55" t="inlineStr"/>
      <c r="P7809" s="16" t="inlineStr">
        <is>
          <t>Требует обогащения</t>
        </is>
      </c>
      <c r="Q7809" s="16">
        <f>HYPERLINK("https://pb.nalog.ru/search.html?query=3811072770","ФНС: проверить")</f>
        <v/>
      </c>
      <c r="R7809" s="16">
        <f>HYPERLINK("https://checko.ru/search?query=3801001629","Чекко: проверить")</f>
        <v/>
      </c>
      <c r="S7809" t="n">
        <v>0</v>
      </c>
      <c r="T7809" s="35" t="inlineStr">
        <is>
          <t>4 — Не обогащён</t>
        </is>
      </c>
      <c r="U7809" s="35" t="inlineStr">
        <is>
          <t>Нет ОКВЭД/ССЧР</t>
        </is>
      </c>
      <c r="V7809" s="35" t="inlineStr">
        <is>
          <t>Не определено</t>
        </is>
      </c>
      <c r="W7809" s="35" t="inlineStr"/>
      <c r="X7809" s="35" t="inlineStr"/>
    </row>
    <row r="7810" ht="15" customHeight="1" s="24">
      <c r="A7810" s="13" t="n">
        <v>802451128</v>
      </c>
      <c r="B7810" s="13" t="inlineStr">
        <is>
          <t>Юридическое агентство РЕАЛ, ООО</t>
        </is>
      </c>
      <c r="C7810" s="13" t="n">
        <v>3808132772</v>
      </c>
      <c r="D7810" s="13" t="inlineStr">
        <is>
          <t>3808132772</t>
        </is>
      </c>
      <c r="E7810" s="13" t="inlineStr">
        <is>
          <t>ЮЛ РФ</t>
        </is>
      </c>
      <c r="F7810" s="13" t="n"/>
      <c r="G7810" s="52" t="n">
        <v>3</v>
      </c>
      <c r="H7810" s="52" t="n">
        <v>2025</v>
      </c>
      <c r="I7810" s="14" t="n"/>
      <c r="J7810" s="14" t="n"/>
      <c r="K7810" s="53" t="inlineStr">
        <is>
          <t>Нет</t>
        </is>
      </c>
      <c r="L7810" s="53" t="inlineStr">
        <is>
          <t>Не определено</t>
        </is>
      </c>
      <c r="M7810" s="53" t="inlineStr">
        <is>
          <t>До 10</t>
        </is>
      </c>
      <c r="N7810" s="54" t="n">
        <v>3360</v>
      </c>
      <c r="O7810" s="55" t="inlineStr">
        <is>
          <t>1–15</t>
        </is>
      </c>
      <c r="P7810" s="16" t="inlineStr">
        <is>
          <t>ССЧР обогащена; ОКВЭД не найден/не загружен</t>
        </is>
      </c>
      <c r="Q7810" s="16" t="inlineStr">
        <is>
          <t>ФНС открытые данные ССЧР (ДатаСост 31.12.2025; набор 7707329152-sshr2019)</t>
        </is>
      </c>
      <c r="R7810" s="16">
        <f>HYPERLINK("https://checko.ru/search?query=3801001629","Чекко: проверить")</f>
        <v/>
      </c>
      <c r="S7810" t="n">
        <v>0</v>
      </c>
      <c r="T7810" s="35" t="inlineStr">
        <is>
          <t>4 — Не обогащён</t>
        </is>
      </c>
      <c r="U7810" s="35" t="inlineStr">
        <is>
          <t>Нет ОКВЭД/ССЧР</t>
        </is>
      </c>
      <c r="V7810" s="35" t="inlineStr">
        <is>
          <t>Не определено</t>
        </is>
      </c>
      <c r="W7810" s="35" t="inlineStr">
        <is>
          <t>Нет</t>
        </is>
      </c>
      <c r="X7810" s="35" t="inlineStr"/>
    </row>
    <row r="7811" ht="15" customHeight="1" s="24">
      <c r="A7811" s="13" t="n">
        <v>9707072</v>
      </c>
      <c r="B7811" s="13" t="inlineStr">
        <is>
          <t>ООО "БАЙКАЛБИЗНЕСБАЛАНС"</t>
        </is>
      </c>
      <c r="C7811" s="13" t="n">
        <v>3811143943</v>
      </c>
      <c r="D7811" s="13" t="inlineStr">
        <is>
          <t>3811143943</t>
        </is>
      </c>
      <c r="E7811" s="13" t="inlineStr">
        <is>
          <t>ЮЛ РФ</t>
        </is>
      </c>
      <c r="F7811" s="13" t="n"/>
      <c r="G7811" s="52" t="n">
        <v>3</v>
      </c>
      <c r="H7811" s="52" t="n">
        <v>2025</v>
      </c>
      <c r="I7811" s="14" t="n"/>
      <c r="J7811" s="14" t="n"/>
      <c r="K7811" s="53" t="inlineStr">
        <is>
          <t>Нет</t>
        </is>
      </c>
      <c r="L7811" s="53" t="inlineStr">
        <is>
          <t>Не определено</t>
        </is>
      </c>
      <c r="M7811" s="53" t="inlineStr">
        <is>
          <t>До 10</t>
        </is>
      </c>
      <c r="N7811" s="54" t="n">
        <v>3360</v>
      </c>
      <c r="O7811" s="55" t="inlineStr">
        <is>
          <t>1–15</t>
        </is>
      </c>
      <c r="P7811" s="16" t="inlineStr">
        <is>
          <t>ССЧР обогащена; ОКВЭД не найден/не загружен</t>
        </is>
      </c>
      <c r="Q7811" s="16" t="inlineStr">
        <is>
          <t>ФНС открытые данные ССЧР (ДатаСост 31.12.2025; набор 7707329152-sshr2019)</t>
        </is>
      </c>
      <c r="R7811" s="16">
        <f>HYPERLINK("https://checko.ru/search?query=3801001629","Чекко: проверить")</f>
        <v/>
      </c>
      <c r="S7811" t="n">
        <v>0</v>
      </c>
      <c r="T7811" s="35" t="inlineStr">
        <is>
          <t>4 — Не обогащён</t>
        </is>
      </c>
      <c r="U7811" s="35" t="inlineStr">
        <is>
          <t>Нет ОКВЭД/ССЧР</t>
        </is>
      </c>
      <c r="V7811" s="35" t="inlineStr">
        <is>
          <t>Не определено</t>
        </is>
      </c>
      <c r="W7811" s="35" t="inlineStr">
        <is>
          <t>Нет</t>
        </is>
      </c>
      <c r="X7811" s="35" t="inlineStr"/>
    </row>
    <row r="7812" ht="15" customHeight="1" s="24">
      <c r="A7812" s="13" t="n">
        <v>9809754</v>
      </c>
      <c r="B7812" s="13" t="inlineStr">
        <is>
          <t>ИП Мельников Александр Викторович</t>
        </is>
      </c>
      <c r="C7812" s="13" t="n">
        <v>381016173306</v>
      </c>
      <c r="D7812" s="13" t="inlineStr">
        <is>
          <t>381016173306</t>
        </is>
      </c>
      <c r="E7812" s="13" t="inlineStr">
        <is>
          <t>ИП РФ / физлицо</t>
        </is>
      </c>
      <c r="F7812" s="13" t="n"/>
      <c r="G7812" s="14" t="n"/>
      <c r="H7812" s="14" t="n"/>
      <c r="I7812" s="14" t="n"/>
      <c r="J7812" s="14" t="n"/>
      <c r="K7812" s="53" t="inlineStr"/>
      <c r="L7812" s="53" t="inlineStr">
        <is>
          <t>Не определено</t>
        </is>
      </c>
      <c r="M7812" s="53" t="inlineStr"/>
      <c r="N7812" s="54" t="inlineStr"/>
      <c r="O7812" s="55" t="inlineStr"/>
      <c r="P7812" s="16" t="inlineStr">
        <is>
          <t>Требует обогащения</t>
        </is>
      </c>
      <c r="Q7812" s="16">
        <f>HYPERLINK("https://pb.nalog.ru/search.html?query=381016173306","ФНС: проверить")</f>
        <v/>
      </c>
      <c r="R7812" s="16">
        <f>HYPERLINK("https://checko.ru/search?query=3801001629","Чекко: проверить")</f>
        <v/>
      </c>
      <c r="S7812" t="n">
        <v>0</v>
      </c>
      <c r="T7812" s="35" t="inlineStr">
        <is>
          <t>4 — Не обогащён</t>
        </is>
      </c>
      <c r="U7812" s="35" t="inlineStr">
        <is>
          <t>Нет ОКВЭД/ССЧР</t>
        </is>
      </c>
      <c r="V7812" s="35" t="inlineStr">
        <is>
          <t>Не определено</t>
        </is>
      </c>
      <c r="W7812" s="35" t="inlineStr"/>
      <c r="X7812" s="35" t="inlineStr"/>
    </row>
    <row r="7813" ht="15" customHeight="1" s="24">
      <c r="A7813" s="13" t="n">
        <v>9148759</v>
      </c>
      <c r="B7813" s="13" t="inlineStr">
        <is>
          <t>ТрейдмаркеТ</t>
        </is>
      </c>
      <c r="C7813" s="13" t="n">
        <v>3811089460</v>
      </c>
      <c r="D7813" s="13" t="inlineStr">
        <is>
          <t>3811089460</t>
        </is>
      </c>
      <c r="E7813" s="13" t="inlineStr">
        <is>
          <t>ЮЛ РФ</t>
        </is>
      </c>
      <c r="F7813" s="13" t="n"/>
      <c r="G7813" s="52" t="n">
        <v>12</v>
      </c>
      <c r="H7813" s="52" t="n">
        <v>2025</v>
      </c>
      <c r="I7813" s="14" t="n"/>
      <c r="J7813" s="14" t="n"/>
      <c r="K7813" s="53" t="inlineStr">
        <is>
          <t>Нет</t>
        </is>
      </c>
      <c r="L7813" s="53" t="inlineStr">
        <is>
          <t>Не определено</t>
        </is>
      </c>
      <c r="M7813" s="53" t="inlineStr">
        <is>
          <t>До 25</t>
        </is>
      </c>
      <c r="N7813" s="54" t="n">
        <v>8400</v>
      </c>
      <c r="O7813" s="55" t="inlineStr">
        <is>
          <t>1–15</t>
        </is>
      </c>
      <c r="P7813" s="16" t="inlineStr">
        <is>
          <t>ССЧР обогащена; ОКВЭД не найден/не загружен</t>
        </is>
      </c>
      <c r="Q7813" s="16" t="inlineStr">
        <is>
          <t>ФНС открытые данные ССЧР (ДатаСост 31.12.2025; набор 7707329152-sshr2019)</t>
        </is>
      </c>
      <c r="R7813" s="16">
        <f>HYPERLINK("https://checko.ru/search?query=3801001629","Чекко: проверить")</f>
        <v/>
      </c>
      <c r="S7813" t="n">
        <v>0</v>
      </c>
      <c r="T7813" s="35" t="inlineStr">
        <is>
          <t>4 — Не обогащён</t>
        </is>
      </c>
      <c r="U7813" s="35" t="inlineStr">
        <is>
          <t>Нет ОКВЭД/ССЧР</t>
        </is>
      </c>
      <c r="V7813" s="35" t="inlineStr">
        <is>
          <t>Не определено</t>
        </is>
      </c>
      <c r="W7813" s="35" t="inlineStr">
        <is>
          <t>Нет</t>
        </is>
      </c>
      <c r="X7813" s="35" t="inlineStr"/>
    </row>
    <row r="7814" ht="15" customHeight="1" s="24">
      <c r="A7814" s="13" t="n">
        <v>20005784821</v>
      </c>
      <c r="B7814" s="13" t="inlineStr">
        <is>
          <t>ООО "ФИЛТЭКС"</t>
        </is>
      </c>
      <c r="C7814" s="13" t="n">
        <v>3849034781</v>
      </c>
      <c r="D7814" s="13" t="inlineStr">
        <is>
          <t>3849034781</t>
        </is>
      </c>
      <c r="E7814" s="13" t="inlineStr">
        <is>
          <t>ЮЛ РФ</t>
        </is>
      </c>
      <c r="F7814" s="13" t="n"/>
      <c r="G7814" s="52" t="n">
        <v>22</v>
      </c>
      <c r="H7814" s="52" t="n">
        <v>2025</v>
      </c>
      <c r="I7814" s="52" t="inlineStr">
        <is>
          <t>45.19.1</t>
        </is>
      </c>
      <c r="J7814" s="52" t="inlineStr">
        <is>
          <t>45.19.1; 45.20.1; 45.20; 45.40; 46.14; 46.71; 46.90; 47.30; 47.30.2; 77.32; 77.33; 77.39.21; 77.39.26</t>
        </is>
      </c>
      <c r="K7814" s="53" t="inlineStr">
        <is>
          <t>Да</t>
        </is>
      </c>
      <c r="L7814" s="53" t="inlineStr">
        <is>
          <t>Да</t>
        </is>
      </c>
      <c r="M7814" s="53" t="inlineStr">
        <is>
          <t>До 25</t>
        </is>
      </c>
      <c r="N7814" s="54" t="n">
        <v>8400</v>
      </c>
      <c r="O7814" s="55" t="inlineStr">
        <is>
          <t>16–30</t>
        </is>
      </c>
      <c r="P7814" s="16" t="inlineStr">
        <is>
          <t>ССЧР + ОКВЭД обогащены</t>
        </is>
      </c>
      <c r="Q7814" s="16" t="inlineStr">
        <is>
          <t>ФНС открытые данные ССЧР (ДатаСост 31.12.2025; набор 7707329152-sshr2019)</t>
        </is>
      </c>
      <c r="R7814" s="16" t="inlineStr">
        <is>
          <t>ЕГРЮЛ / egrul.nalog.ru (выписка)</t>
        </is>
      </c>
      <c r="S7814" t="n">
        <v>1</v>
      </c>
      <c r="T7814" s="35" t="inlineStr">
        <is>
          <t>1 — Горячий</t>
        </is>
      </c>
      <c r="U7814" s="35" t="inlineStr">
        <is>
          <t>ОКВЭД + 22+</t>
        </is>
      </c>
      <c r="V7814" s="35" t="inlineStr">
        <is>
          <t>Да</t>
        </is>
      </c>
      <c r="W7814" s="35" t="inlineStr">
        <is>
          <t>Да</t>
        </is>
      </c>
      <c r="X7814" s="35" t="inlineStr">
        <is>
          <t>Да</t>
        </is>
      </c>
    </row>
    <row r="7815" ht="15" customHeight="1" s="24">
      <c r="A7815" s="13" t="n">
        <v>9118231</v>
      </c>
      <c r="B7815" s="13" t="inlineStr">
        <is>
          <t>Автоцентр Баланс ООО</t>
        </is>
      </c>
      <c r="C7815" s="13" t="n">
        <v>3827013996</v>
      </c>
      <c r="D7815" s="13" t="inlineStr">
        <is>
          <t>3827013996</t>
        </is>
      </c>
      <c r="E7815" s="13" t="inlineStr">
        <is>
          <t>ЮЛ РФ</t>
        </is>
      </c>
      <c r="F7815" s="13" t="n"/>
      <c r="G7815" s="52" t="n">
        <v>6</v>
      </c>
      <c r="H7815" s="52" t="n">
        <v>2025</v>
      </c>
      <c r="I7815" s="14" t="n"/>
      <c r="J7815" s="14" t="n"/>
      <c r="K7815" s="53" t="inlineStr">
        <is>
          <t>Нет</t>
        </is>
      </c>
      <c r="L7815" s="53" t="inlineStr">
        <is>
          <t>Не определено</t>
        </is>
      </c>
      <c r="M7815" s="53" t="inlineStr">
        <is>
          <t>До 10</t>
        </is>
      </c>
      <c r="N7815" s="54" t="n">
        <v>3360</v>
      </c>
      <c r="O7815" s="55" t="inlineStr">
        <is>
          <t>1–15</t>
        </is>
      </c>
      <c r="P7815" s="16" t="inlineStr">
        <is>
          <t>ССЧР обогащена; ОКВЭД не найден/не загружен</t>
        </is>
      </c>
      <c r="Q7815" s="16" t="inlineStr">
        <is>
          <t>ФНС открытые данные ССЧР (ДатаСост 31.12.2025; набор 7707329152-sshr2019)</t>
        </is>
      </c>
      <c r="R7815" s="16">
        <f>HYPERLINK("https://checko.ru/search?query=3801001629","Чекко: проверить")</f>
        <v/>
      </c>
      <c r="S7815" t="n">
        <v>0</v>
      </c>
      <c r="T7815" s="35" t="inlineStr">
        <is>
          <t>4 — Не обогащён</t>
        </is>
      </c>
      <c r="U7815" s="35" t="inlineStr">
        <is>
          <t>Нет ОКВЭД/ССЧР</t>
        </is>
      </c>
      <c r="V7815" s="35" t="inlineStr">
        <is>
          <t>Не определено</t>
        </is>
      </c>
      <c r="W7815" s="35" t="inlineStr">
        <is>
          <t>Нет</t>
        </is>
      </c>
      <c r="X7815" s="35" t="inlineStr"/>
    </row>
    <row r="7816" ht="27.75" customHeight="1" s="24">
      <c r="A7816" s="13" t="n">
        <v>802898930</v>
      </c>
      <c r="B7816" s="13" t="inlineStr">
        <is>
          <t>Общество с ограниченной ответственностью "ФАБРИКА БЕТОНОВ"</t>
        </is>
      </c>
      <c r="C7816" s="13" t="n">
        <v>3808167655</v>
      </c>
      <c r="D7816" s="13" t="inlineStr">
        <is>
          <t>3808167655</t>
        </is>
      </c>
      <c r="E7816" s="13" t="inlineStr">
        <is>
          <t>ЮЛ РФ</t>
        </is>
      </c>
      <c r="F7816" s="13" t="n"/>
      <c r="G7816" s="52" t="n">
        <v>24</v>
      </c>
      <c r="H7816" s="52" t="n">
        <v>2025</v>
      </c>
      <c r="I7816" s="52" t="inlineStr">
        <is>
          <t>46.90</t>
        </is>
      </c>
      <c r="J7816" s="52" t="inlineStr">
        <is>
          <t>46.90; 49.41; 49.41.1; 49.42; 82.92</t>
        </is>
      </c>
      <c r="K7816" s="53" t="inlineStr">
        <is>
          <t>Да</t>
        </is>
      </c>
      <c r="L7816" s="53" t="inlineStr">
        <is>
          <t>Да</t>
        </is>
      </c>
      <c r="M7816" s="53" t="inlineStr">
        <is>
          <t>До 25</t>
        </is>
      </c>
      <c r="N7816" s="54" t="n">
        <v>8400</v>
      </c>
      <c r="O7816" s="55" t="inlineStr">
        <is>
          <t>16–30</t>
        </is>
      </c>
      <c r="P7816" s="16" t="inlineStr">
        <is>
          <t>ССЧР + ОКВЭД обогащены</t>
        </is>
      </c>
      <c r="Q7816" s="16" t="inlineStr">
        <is>
          <t>ФНС открытые данные ССЧР (ДатаСост 31.12.2025; набор 7707329152-sshr2019)</t>
        </is>
      </c>
      <c r="R7816" s="16" t="inlineStr">
        <is>
          <t>ЕГРЮЛ / egrul.nalog.ru (выписка)</t>
        </is>
      </c>
      <c r="S7816" t="n">
        <v>0</v>
      </c>
      <c r="T7816" s="35" t="inlineStr">
        <is>
          <t>1 — Горячий</t>
        </is>
      </c>
      <c r="U7816" s="35" t="inlineStr">
        <is>
          <t>ОКВЭД + 22+</t>
        </is>
      </c>
      <c r="V7816" s="35" t="inlineStr">
        <is>
          <t>Да</t>
        </is>
      </c>
      <c r="W7816" s="35" t="inlineStr">
        <is>
          <t>Да</t>
        </is>
      </c>
      <c r="X7816" s="35" t="inlineStr">
        <is>
          <t>Да</t>
        </is>
      </c>
    </row>
    <row r="7817" ht="15" customHeight="1" s="24">
      <c r="A7817" s="13" t="n">
        <v>800724424</v>
      </c>
      <c r="B7817" s="13" t="inlineStr">
        <is>
          <t>ООО "Медицинская Холдинговая Компания"</t>
        </is>
      </c>
      <c r="C7817" s="13" t="n">
        <v>3809024297</v>
      </c>
      <c r="D7817" s="13" t="inlineStr">
        <is>
          <t>3809024297</t>
        </is>
      </c>
      <c r="E7817" s="13" t="inlineStr">
        <is>
          <t>ЮЛ РФ</t>
        </is>
      </c>
      <c r="F7817" s="13" t="n"/>
      <c r="G7817" s="52" t="n">
        <v>8</v>
      </c>
      <c r="H7817" s="52" t="n">
        <v>2025</v>
      </c>
      <c r="I7817" s="14" t="n"/>
      <c r="J7817" s="14" t="n"/>
      <c r="K7817" s="53" t="inlineStr">
        <is>
          <t>Нет</t>
        </is>
      </c>
      <c r="L7817" s="53" t="inlineStr">
        <is>
          <t>Не определено</t>
        </is>
      </c>
      <c r="M7817" s="53" t="inlineStr">
        <is>
          <t>До 10</t>
        </is>
      </c>
      <c r="N7817" s="54" t="n">
        <v>3360</v>
      </c>
      <c r="O7817" s="55" t="inlineStr">
        <is>
          <t>1–15</t>
        </is>
      </c>
      <c r="P7817" s="16" t="inlineStr">
        <is>
          <t>ССЧР обогащена; ОКВЭД не найден/не загружен</t>
        </is>
      </c>
      <c r="Q7817" s="16" t="inlineStr">
        <is>
          <t>ФНС открытые данные ССЧР (ДатаСост 31.12.2025; набор 7707329152-sshr2019)</t>
        </is>
      </c>
      <c r="R7817" s="16">
        <f>HYPERLINK("https://checko.ru/search?query=3801001629","Чекко: проверить")</f>
        <v/>
      </c>
      <c r="S7817" t="n">
        <v>0</v>
      </c>
      <c r="T7817" s="35" t="inlineStr">
        <is>
          <t>4 — Не обогащён</t>
        </is>
      </c>
      <c r="U7817" s="35" t="inlineStr">
        <is>
          <t>Нет ОКВЭД/ССЧР</t>
        </is>
      </c>
      <c r="V7817" s="35" t="inlineStr">
        <is>
          <t>Не определено</t>
        </is>
      </c>
      <c r="W7817" s="35" t="inlineStr">
        <is>
          <t>Нет</t>
        </is>
      </c>
      <c r="X7817" s="35" t="inlineStr"/>
    </row>
    <row r="7818" ht="15" customHeight="1" s="24">
      <c r="A7818" s="13" t="n">
        <v>9129355</v>
      </c>
      <c r="B7818" s="13" t="inlineStr">
        <is>
          <t>ООО "ТАКТ"</t>
        </is>
      </c>
      <c r="C7818" s="13" t="n">
        <v>3810032736</v>
      </c>
      <c r="D7818" s="13" t="inlineStr">
        <is>
          <t>3810032736</t>
        </is>
      </c>
      <c r="E7818" s="13" t="inlineStr">
        <is>
          <t>ЮЛ РФ</t>
        </is>
      </c>
      <c r="F7818" s="13" t="n"/>
      <c r="G7818" s="52" t="n">
        <v>9</v>
      </c>
      <c r="H7818" s="52" t="n">
        <v>2025</v>
      </c>
      <c r="I7818" s="14" t="n"/>
      <c r="J7818" s="14" t="n"/>
      <c r="K7818" s="53" t="inlineStr">
        <is>
          <t>Нет</t>
        </is>
      </c>
      <c r="L7818" s="53" t="inlineStr">
        <is>
          <t>Не определено</t>
        </is>
      </c>
      <c r="M7818" s="53" t="inlineStr">
        <is>
          <t>До 10</t>
        </is>
      </c>
      <c r="N7818" s="54" t="n">
        <v>3360</v>
      </c>
      <c r="O7818" s="55" t="inlineStr">
        <is>
          <t>1–15</t>
        </is>
      </c>
      <c r="P7818" s="16" t="inlineStr">
        <is>
          <t>ССЧР обогащена; ОКВЭД не найден/не загружен</t>
        </is>
      </c>
      <c r="Q7818" s="16" t="inlineStr">
        <is>
          <t>ФНС открытые данные ССЧР (ДатаСост 31.12.2025; набор 7707329152-sshr2019)</t>
        </is>
      </c>
      <c r="R7818" s="16">
        <f>HYPERLINK("https://checko.ru/search?query=3801001629","Чекко: проверить")</f>
        <v/>
      </c>
      <c r="S7818" t="n">
        <v>0</v>
      </c>
      <c r="T7818" s="35" t="inlineStr">
        <is>
          <t>4 — Не обогащён</t>
        </is>
      </c>
      <c r="U7818" s="35" t="inlineStr">
        <is>
          <t>Нет ОКВЭД/ССЧР</t>
        </is>
      </c>
      <c r="V7818" s="35" t="inlineStr">
        <is>
          <t>Не определено</t>
        </is>
      </c>
      <c r="W7818" s="35" t="inlineStr">
        <is>
          <t>Нет</t>
        </is>
      </c>
      <c r="X7818" s="35" t="inlineStr"/>
    </row>
    <row r="7819" ht="15" customHeight="1" s="24">
      <c r="A7819" s="13" t="n">
        <v>20019413882</v>
      </c>
      <c r="B7819" s="13" t="inlineStr">
        <is>
          <t>ВИНЕЯ ООО</t>
        </is>
      </c>
      <c r="C7819" s="13" t="n">
        <v>3810081356</v>
      </c>
      <c r="D7819" s="13" t="inlineStr">
        <is>
          <t>3810081356</t>
        </is>
      </c>
      <c r="E7819" s="13" t="inlineStr">
        <is>
          <t>ЮЛ РФ</t>
        </is>
      </c>
      <c r="F7819" s="13" t="n"/>
      <c r="G7819" s="52" t="n">
        <v>18</v>
      </c>
      <c r="H7819" s="52" t="n">
        <v>2025</v>
      </c>
      <c r="I7819" s="14" t="n"/>
      <c r="J7819" s="14" t="n"/>
      <c r="K7819" s="53" t="inlineStr">
        <is>
          <t>Нет</t>
        </is>
      </c>
      <c r="L7819" s="53" t="inlineStr">
        <is>
          <t>Не определено</t>
        </is>
      </c>
      <c r="M7819" s="53" t="inlineStr">
        <is>
          <t>До 25</t>
        </is>
      </c>
      <c r="N7819" s="54" t="n">
        <v>8400</v>
      </c>
      <c r="O7819" s="55" t="inlineStr">
        <is>
          <t>16–30</t>
        </is>
      </c>
      <c r="P7819" s="16" t="inlineStr">
        <is>
          <t>ССЧР обогащена; ОКВЭД не найден/не загружен</t>
        </is>
      </c>
      <c r="Q7819" s="16" t="inlineStr">
        <is>
          <t>ФНС открытые данные ССЧР (ДатаСост 31.12.2025; набор 7707329152-sshr2019)</t>
        </is>
      </c>
      <c r="R7819" s="16">
        <f>HYPERLINK("https://checko.ru/search?query=3801001629","Чекко: проверить")</f>
        <v/>
      </c>
      <c r="S7819" t="n">
        <v>1</v>
      </c>
      <c r="T7819" s="35" t="inlineStr">
        <is>
          <t>4 — Не обогащён</t>
        </is>
      </c>
      <c r="U7819" s="35" t="inlineStr">
        <is>
          <t>Нет ОКВЭД/ССЧР</t>
        </is>
      </c>
      <c r="V7819" s="35" t="inlineStr">
        <is>
          <t>Не определено</t>
        </is>
      </c>
      <c r="W7819" s="35" t="inlineStr">
        <is>
          <t>Нет</t>
        </is>
      </c>
      <c r="X7819" s="35" t="inlineStr"/>
    </row>
    <row r="7820" ht="15" customHeight="1" s="24">
      <c r="A7820" s="13" t="n">
        <v>801625678</v>
      </c>
      <c r="B7820" s="13" t="inlineStr">
        <is>
          <t>Балабанов Евгений Геннадьевич</t>
        </is>
      </c>
      <c r="C7820" s="13" t="n">
        <v>380600220663</v>
      </c>
      <c r="D7820" s="13" t="inlineStr">
        <is>
          <t>380600220663</t>
        </is>
      </c>
      <c r="E7820" s="13" t="inlineStr">
        <is>
          <t>ИП РФ / физлицо</t>
        </is>
      </c>
      <c r="F7820" s="13" t="n"/>
      <c r="G7820" s="14" t="n"/>
      <c r="H7820" s="14" t="n"/>
      <c r="I7820" s="14" t="n"/>
      <c r="J7820" s="14" t="n"/>
      <c r="K7820" s="53" t="inlineStr"/>
      <c r="L7820" s="53" t="inlineStr">
        <is>
          <t>Не определено</t>
        </is>
      </c>
      <c r="M7820" s="53" t="inlineStr"/>
      <c r="N7820" s="54" t="inlineStr"/>
      <c r="O7820" s="55" t="inlineStr"/>
      <c r="P7820" s="16" t="inlineStr">
        <is>
          <t>Требует обогащения</t>
        </is>
      </c>
      <c r="Q7820" s="16">
        <f>HYPERLINK("https://pb.nalog.ru/search.html?query=380600220663","ФНС: проверить")</f>
        <v/>
      </c>
      <c r="R7820" s="16">
        <f>HYPERLINK("https://checko.ru/search?query=3801001629","Чекко: проверить")</f>
        <v/>
      </c>
      <c r="S7820" t="n">
        <v>1</v>
      </c>
      <c r="T7820" s="35" t="inlineStr">
        <is>
          <t>4 — Не обогащён</t>
        </is>
      </c>
      <c r="U7820" s="35" t="inlineStr">
        <is>
          <t>Нет ОКВЭД/ССЧР</t>
        </is>
      </c>
      <c r="V7820" s="35" t="inlineStr">
        <is>
          <t>Не определено</t>
        </is>
      </c>
      <c r="W7820" s="35" t="inlineStr"/>
      <c r="X7820" s="35" t="inlineStr"/>
    </row>
    <row r="7821" ht="27.75" customHeight="1" s="24">
      <c r="A7821" s="13" t="n">
        <v>804695756</v>
      </c>
      <c r="B7821" s="13" t="inlineStr">
        <is>
          <t>ОБЩЕСТВО С ОГРАНИЧЕННОЙ ОТВЕТСТВЕННОСТЬЮ "МАСТЕРЛИФТ ПЛЮС"</t>
        </is>
      </c>
      <c r="C7821" s="13" t="n">
        <v>3812019586</v>
      </c>
      <c r="D7821" s="13" t="inlineStr">
        <is>
          <t>3812019586</t>
        </is>
      </c>
      <c r="E7821" s="13" t="inlineStr">
        <is>
          <t>ЮЛ РФ</t>
        </is>
      </c>
      <c r="F7821" s="13" t="n"/>
      <c r="G7821" s="52" t="n">
        <v>1</v>
      </c>
      <c r="H7821" s="52" t="n">
        <v>2025</v>
      </c>
      <c r="I7821" s="14" t="n"/>
      <c r="J7821" s="14" t="n"/>
      <c r="K7821" s="53" t="inlineStr">
        <is>
          <t>Нет</t>
        </is>
      </c>
      <c r="L7821" s="53" t="inlineStr">
        <is>
          <t>Не определено</t>
        </is>
      </c>
      <c r="M7821" s="53" t="inlineStr">
        <is>
          <t>До 10</t>
        </is>
      </c>
      <c r="N7821" s="54" t="n">
        <v>3360</v>
      </c>
      <c r="O7821" s="55" t="inlineStr">
        <is>
          <t>1–15</t>
        </is>
      </c>
      <c r="P7821" s="16" t="inlineStr">
        <is>
          <t>ССЧР обогащена; ОКВЭД не найден/не загружен</t>
        </is>
      </c>
      <c r="Q7821" s="16" t="inlineStr">
        <is>
          <t>ФНС открытые данные ССЧР (ДатаСост 31.12.2025; набор 7707329152-sshr2019)</t>
        </is>
      </c>
      <c r="R7821" s="16">
        <f>HYPERLINK("https://checko.ru/search?query=3801001629","Чекко: проверить")</f>
        <v/>
      </c>
      <c r="S7821" t="n">
        <v>1</v>
      </c>
      <c r="T7821" s="35" t="inlineStr">
        <is>
          <t>4 — Не обогащён</t>
        </is>
      </c>
      <c r="U7821" s="35" t="inlineStr">
        <is>
          <t>Нет ОКВЭД/ССЧР</t>
        </is>
      </c>
      <c r="V7821" s="35" t="inlineStr">
        <is>
          <t>Не определено</t>
        </is>
      </c>
      <c r="W7821" s="35" t="inlineStr">
        <is>
          <t>Нет</t>
        </is>
      </c>
      <c r="X7821" s="35" t="inlineStr"/>
    </row>
    <row r="7822" ht="27.75" customHeight="1" s="24">
      <c r="A7822" s="13" t="n">
        <v>20022364503</v>
      </c>
      <c r="B7822" s="13" t="inlineStr">
        <is>
          <t>Индивидуальный предприниматель Черкашина Юлия Борисовна</t>
        </is>
      </c>
      <c r="C7822" s="13" t="n">
        <v>381110721246</v>
      </c>
      <c r="D7822" s="13" t="inlineStr">
        <is>
          <t>381110721246</t>
        </is>
      </c>
      <c r="E7822" s="13" t="inlineStr">
        <is>
          <t>ИП РФ / физлицо</t>
        </is>
      </c>
      <c r="F7822" s="13" t="n"/>
      <c r="G7822" s="14" t="n"/>
      <c r="H7822" s="14" t="n"/>
      <c r="I7822" s="14" t="n"/>
      <c r="J7822" s="14" t="n"/>
      <c r="K7822" s="53" t="inlineStr"/>
      <c r="L7822" s="53" t="inlineStr">
        <is>
          <t>Не определено</t>
        </is>
      </c>
      <c r="M7822" s="53" t="inlineStr"/>
      <c r="N7822" s="54" t="inlineStr"/>
      <c r="O7822" s="55" t="inlineStr"/>
      <c r="P7822" s="16" t="inlineStr">
        <is>
          <t>Требует обогащения</t>
        </is>
      </c>
      <c r="Q7822" s="16">
        <f>HYPERLINK("https://pb.nalog.ru/search.html?query=381110721246","ФНС: проверить")</f>
        <v/>
      </c>
      <c r="R7822" s="16">
        <f>HYPERLINK("https://checko.ru/search?query=3801001629","Чекко: проверить")</f>
        <v/>
      </c>
      <c r="S7822" t="n">
        <v>1</v>
      </c>
      <c r="T7822" s="35" t="inlineStr">
        <is>
          <t>4 — Не обогащён</t>
        </is>
      </c>
      <c r="U7822" s="35" t="inlineStr">
        <is>
          <t>Нет ОКВЭД/ССЧР</t>
        </is>
      </c>
      <c r="V7822" s="35" t="inlineStr">
        <is>
          <t>Не определено</t>
        </is>
      </c>
      <c r="W7822" s="35" t="inlineStr"/>
      <c r="X7822" s="35" t="inlineStr"/>
    </row>
    <row r="7823" ht="15" customHeight="1" s="24">
      <c r="A7823" s="13" t="n">
        <v>801892605</v>
      </c>
      <c r="B7823" s="13" t="inlineStr">
        <is>
          <t>ООО "Кузьмиха-Сервис"</t>
        </is>
      </c>
      <c r="C7823" s="13" t="n">
        <v>3812060633</v>
      </c>
      <c r="D7823" s="13" t="inlineStr">
        <is>
          <t>3812060633</t>
        </is>
      </c>
      <c r="E7823" s="13" t="inlineStr">
        <is>
          <t>ЮЛ РФ</t>
        </is>
      </c>
      <c r="F7823" s="13" t="n"/>
      <c r="G7823" s="52" t="n">
        <v>48</v>
      </c>
      <c r="H7823" s="52" t="n">
        <v>2025</v>
      </c>
      <c r="I7823" s="52" t="inlineStr">
        <is>
          <t>45.20</t>
        </is>
      </c>
      <c r="J7823" s="52" t="inlineStr">
        <is>
          <t>45.20; 45.11; 46.90; 47.91; 47.91.1; 47.91.2; 47.99; 56.10.21; 56.29; 56.30; 66.19; 66.29; 66.29.9; 73.20</t>
        </is>
      </c>
      <c r="K7823" s="53" t="inlineStr">
        <is>
          <t>Да</t>
        </is>
      </c>
      <c r="L7823" s="53" t="inlineStr">
        <is>
          <t>Да</t>
        </is>
      </c>
      <c r="M7823" s="53" t="inlineStr">
        <is>
          <t>До 50</t>
        </is>
      </c>
      <c r="N7823" s="54" t="n">
        <v>16800</v>
      </c>
      <c r="O7823" s="55" t="inlineStr">
        <is>
          <t>31–50</t>
        </is>
      </c>
      <c r="P7823" s="16" t="inlineStr">
        <is>
          <t>ССЧР + ОКВЭД обогащены</t>
        </is>
      </c>
      <c r="Q7823" s="16" t="inlineStr">
        <is>
          <t>ФНС открытые данные ССЧР (ДатаСост 31.12.2025; набор 7707329152-sshr2019)</t>
        </is>
      </c>
      <c r="R7823" s="16" t="inlineStr">
        <is>
          <t>ЕГРЮЛ / egrul.nalog.ru (выписка)</t>
        </is>
      </c>
      <c r="S7823" t="n">
        <v>1</v>
      </c>
      <c r="T7823" s="35" t="inlineStr">
        <is>
          <t>1 — Горячий</t>
        </is>
      </c>
      <c r="U7823" s="35" t="inlineStr">
        <is>
          <t>ОКВЭД + 22+</t>
        </is>
      </c>
      <c r="V7823" s="35" t="inlineStr">
        <is>
          <t>Да</t>
        </is>
      </c>
      <c r="W7823" s="35" t="inlineStr">
        <is>
          <t>Да</t>
        </is>
      </c>
      <c r="X7823" s="35" t="inlineStr">
        <is>
          <t>Да</t>
        </is>
      </c>
    </row>
    <row r="7824" ht="15" customHeight="1" s="24">
      <c r="A7824" s="13" t="n">
        <v>20015402932</v>
      </c>
      <c r="B7824" s="13" t="inlineStr">
        <is>
          <t>ООО "Сетевая компания «ЭнергоСервис"</t>
        </is>
      </c>
      <c r="C7824" s="13" t="n">
        <v>3849055703</v>
      </c>
      <c r="D7824" s="13" t="inlineStr">
        <is>
          <t>3849055703</t>
        </is>
      </c>
      <c r="E7824" s="13" t="inlineStr">
        <is>
          <t>ЮЛ РФ</t>
        </is>
      </c>
      <c r="F7824" s="13" t="n"/>
      <c r="G7824" s="52" t="n">
        <v>3</v>
      </c>
      <c r="H7824" s="52" t="n">
        <v>2025</v>
      </c>
      <c r="I7824" s="14" t="n"/>
      <c r="J7824" s="14" t="n"/>
      <c r="K7824" s="53" t="inlineStr">
        <is>
          <t>Нет</t>
        </is>
      </c>
      <c r="L7824" s="53" t="inlineStr">
        <is>
          <t>Не определено</t>
        </is>
      </c>
      <c r="M7824" s="53" t="inlineStr">
        <is>
          <t>До 10</t>
        </is>
      </c>
      <c r="N7824" s="54" t="n">
        <v>3360</v>
      </c>
      <c r="O7824" s="55" t="inlineStr">
        <is>
          <t>1–15</t>
        </is>
      </c>
      <c r="P7824" s="16" t="inlineStr">
        <is>
          <t>ССЧР обогащена; ОКВЭД не найден/не загружен</t>
        </is>
      </c>
      <c r="Q7824" s="16" t="inlineStr">
        <is>
          <t>ФНС открытые данные ССЧР (ДатаСост 31.12.2025; набор 7707329152-sshr2019)</t>
        </is>
      </c>
      <c r="R7824" s="16">
        <f>HYPERLINK("https://checko.ru/search?query=3801001629","Чекко: проверить")</f>
        <v/>
      </c>
      <c r="S7824" t="n">
        <v>0</v>
      </c>
      <c r="T7824" s="35" t="inlineStr">
        <is>
          <t>4 — Не обогащён</t>
        </is>
      </c>
      <c r="U7824" s="35" t="inlineStr">
        <is>
          <t>Нет ОКВЭД/ССЧР</t>
        </is>
      </c>
      <c r="V7824" s="35" t="inlineStr">
        <is>
          <t>Не определено</t>
        </is>
      </c>
      <c r="W7824" s="35" t="inlineStr">
        <is>
          <t>Нет</t>
        </is>
      </c>
      <c r="X7824" s="35" t="inlineStr"/>
    </row>
    <row r="7825" ht="15" customHeight="1" s="24">
      <c r="A7825" s="13" t="n">
        <v>20014802272</v>
      </c>
      <c r="B7825" s="13" t="inlineStr">
        <is>
          <t>ООО "ДАРКОМ"</t>
        </is>
      </c>
      <c r="C7825" s="13" t="n">
        <v>3812012037</v>
      </c>
      <c r="D7825" s="13" t="inlineStr">
        <is>
          <t>3812012037</t>
        </is>
      </c>
      <c r="E7825" s="13" t="inlineStr">
        <is>
          <t>ЮЛ РФ</t>
        </is>
      </c>
      <c r="F7825" s="13" t="n"/>
      <c r="G7825" s="52" t="n">
        <v>3</v>
      </c>
      <c r="H7825" s="52" t="n">
        <v>2025</v>
      </c>
      <c r="I7825" s="14" t="n"/>
      <c r="J7825" s="14" t="n"/>
      <c r="K7825" s="53" t="inlineStr">
        <is>
          <t>Нет</t>
        </is>
      </c>
      <c r="L7825" s="53" t="inlineStr">
        <is>
          <t>Не определено</t>
        </is>
      </c>
      <c r="M7825" s="53" t="inlineStr">
        <is>
          <t>До 10</t>
        </is>
      </c>
      <c r="N7825" s="54" t="n">
        <v>3360</v>
      </c>
      <c r="O7825" s="55" t="inlineStr">
        <is>
          <t>1–15</t>
        </is>
      </c>
      <c r="P7825" s="16" t="inlineStr">
        <is>
          <t>ССЧР обогащена; ОКВЭД не найден/не загружен</t>
        </is>
      </c>
      <c r="Q7825" s="16" t="inlineStr">
        <is>
          <t>ФНС открытые данные ССЧР (ДатаСост 31.12.2025; набор 7707329152-sshr2019)</t>
        </is>
      </c>
      <c r="R7825" s="16">
        <f>HYPERLINK("https://checko.ru/search?query=3801001629","Чекко: проверить")</f>
        <v/>
      </c>
      <c r="S7825" t="n">
        <v>1</v>
      </c>
      <c r="T7825" s="35" t="inlineStr">
        <is>
          <t>4 — Не обогащён</t>
        </is>
      </c>
      <c r="U7825" s="35" t="inlineStr">
        <is>
          <t>Нет ОКВЭД/ССЧР</t>
        </is>
      </c>
      <c r="V7825" s="35" t="inlineStr">
        <is>
          <t>Не определено</t>
        </is>
      </c>
      <c r="W7825" s="35" t="inlineStr">
        <is>
          <t>Нет</t>
        </is>
      </c>
      <c r="X7825" s="35" t="inlineStr"/>
    </row>
    <row r="7826" ht="15" customHeight="1" s="24">
      <c r="A7826" s="13" t="n">
        <v>800836205</v>
      </c>
      <c r="B7826" s="13" t="inlineStr">
        <is>
          <t>ООО УК "Городской дом"</t>
        </is>
      </c>
      <c r="C7826" s="13" t="n">
        <v>3808066022</v>
      </c>
      <c r="D7826" s="13" t="inlineStr">
        <is>
          <t>3808066022</t>
        </is>
      </c>
      <c r="E7826" s="13" t="inlineStr">
        <is>
          <t>ЮЛ РФ</t>
        </is>
      </c>
      <c r="F7826" s="13" t="n"/>
      <c r="G7826" s="52" t="n">
        <v>2</v>
      </c>
      <c r="H7826" s="52" t="n">
        <v>2025</v>
      </c>
      <c r="I7826" s="14" t="n"/>
      <c r="J7826" s="14" t="n"/>
      <c r="K7826" s="53" t="inlineStr">
        <is>
          <t>Нет</t>
        </is>
      </c>
      <c r="L7826" s="53" t="inlineStr">
        <is>
          <t>Не определено</t>
        </is>
      </c>
      <c r="M7826" s="53" t="inlineStr">
        <is>
          <t>До 10</t>
        </is>
      </c>
      <c r="N7826" s="54" t="n">
        <v>3360</v>
      </c>
      <c r="O7826" s="55" t="inlineStr">
        <is>
          <t>1–15</t>
        </is>
      </c>
      <c r="P7826" s="16" t="inlineStr">
        <is>
          <t>ССЧР обогащена; ОКВЭД не найден/не загружен</t>
        </is>
      </c>
      <c r="Q7826" s="16" t="inlineStr">
        <is>
          <t>ФНС открытые данные ССЧР (ДатаСост 31.12.2025; набор 7707329152-sshr2019)</t>
        </is>
      </c>
      <c r="R7826" s="16">
        <f>HYPERLINK("https://checko.ru/search?query=3801001629","Чекко: проверить")</f>
        <v/>
      </c>
      <c r="S7826" t="n">
        <v>1</v>
      </c>
      <c r="T7826" s="35" t="inlineStr">
        <is>
          <t>4 — Не обогащён</t>
        </is>
      </c>
      <c r="U7826" s="35" t="inlineStr">
        <is>
          <t>Нет ОКВЭД/ССЧР</t>
        </is>
      </c>
      <c r="V7826" s="35" t="inlineStr">
        <is>
          <t>Не определено</t>
        </is>
      </c>
      <c r="W7826" s="35" t="inlineStr">
        <is>
          <t>Нет</t>
        </is>
      </c>
      <c r="X7826" s="35" t="inlineStr"/>
    </row>
    <row r="7827" ht="15" customHeight="1" s="24">
      <c r="A7827" s="13" t="n">
        <v>9842127</v>
      </c>
      <c r="B7827" s="13" t="inlineStr">
        <is>
          <t>МАРС ООО</t>
        </is>
      </c>
      <c r="C7827" s="13" t="n">
        <v>3849058430</v>
      </c>
      <c r="D7827" s="13" t="inlineStr">
        <is>
          <t>3849058430</t>
        </is>
      </c>
      <c r="E7827" s="13" t="inlineStr">
        <is>
          <t>ЮЛ РФ</t>
        </is>
      </c>
      <c r="F7827" s="13" t="n"/>
      <c r="G7827" s="52" t="n">
        <v>17</v>
      </c>
      <c r="H7827" s="52" t="n">
        <v>2025</v>
      </c>
      <c r="I7827" s="14" t="n"/>
      <c r="J7827" s="14" t="n"/>
      <c r="K7827" s="53" t="inlineStr">
        <is>
          <t>Нет</t>
        </is>
      </c>
      <c r="L7827" s="53" t="inlineStr">
        <is>
          <t>Не определено</t>
        </is>
      </c>
      <c r="M7827" s="53" t="inlineStr">
        <is>
          <t>До 25</t>
        </is>
      </c>
      <c r="N7827" s="54" t="n">
        <v>8400</v>
      </c>
      <c r="O7827" s="55" t="inlineStr">
        <is>
          <t>16–30</t>
        </is>
      </c>
      <c r="P7827" s="16" t="inlineStr">
        <is>
          <t>ССЧР обогащена; ОКВЭД не найден/не загружен</t>
        </is>
      </c>
      <c r="Q7827" s="16" t="inlineStr">
        <is>
          <t>ФНС открытые данные ССЧР (ДатаСост 31.12.2025; набор 7707329152-sshr2019)</t>
        </is>
      </c>
      <c r="R7827" s="16">
        <f>HYPERLINK("https://checko.ru/search?query=3801001629","Чекко: проверить")</f>
        <v/>
      </c>
      <c r="S7827" t="n">
        <v>0</v>
      </c>
      <c r="T7827" s="35" t="inlineStr">
        <is>
          <t>4 — Не обогащён</t>
        </is>
      </c>
      <c r="U7827" s="35" t="inlineStr">
        <is>
          <t>Нет ОКВЭД/ССЧР</t>
        </is>
      </c>
      <c r="V7827" s="35" t="inlineStr">
        <is>
          <t>Не определено</t>
        </is>
      </c>
      <c r="W7827" s="35" t="inlineStr">
        <is>
          <t>Нет</t>
        </is>
      </c>
      <c r="X7827" s="35" t="inlineStr"/>
    </row>
    <row r="7828" ht="15" customHeight="1" s="24">
      <c r="A7828" s="13" t="n">
        <v>20005748617</v>
      </c>
      <c r="B7828" s="13" t="inlineStr">
        <is>
          <t>Пинигина Ольга Михайловна</t>
        </is>
      </c>
      <c r="C7828" s="13" t="n">
        <v>383202904860</v>
      </c>
      <c r="D7828" s="13" t="inlineStr">
        <is>
          <t>383202904860</t>
        </is>
      </c>
      <c r="E7828" s="13" t="inlineStr">
        <is>
          <t>ИП РФ / физлицо</t>
        </is>
      </c>
      <c r="F7828" s="13" t="n"/>
      <c r="G7828" s="14" t="n"/>
      <c r="H7828" s="14" t="n"/>
      <c r="I7828" s="14" t="n"/>
      <c r="J7828" s="14" t="n"/>
      <c r="K7828" s="53" t="inlineStr"/>
      <c r="L7828" s="53" t="inlineStr">
        <is>
          <t>Не определено</t>
        </is>
      </c>
      <c r="M7828" s="53" t="inlineStr"/>
      <c r="N7828" s="54" t="inlineStr"/>
      <c r="O7828" s="55" t="inlineStr"/>
      <c r="P7828" s="16" t="inlineStr">
        <is>
          <t>Требует обогащения</t>
        </is>
      </c>
      <c r="Q7828" s="16">
        <f>HYPERLINK("https://pb.nalog.ru/search.html?query=383202904860","ФНС: проверить")</f>
        <v/>
      </c>
      <c r="R7828" s="16">
        <f>HYPERLINK("https://checko.ru/search?query=3801001629","Чекко: проверить")</f>
        <v/>
      </c>
      <c r="S7828" t="n">
        <v>1</v>
      </c>
      <c r="T7828" s="35" t="inlineStr">
        <is>
          <t>4 — Не обогащён</t>
        </is>
      </c>
      <c r="U7828" s="35" t="inlineStr">
        <is>
          <t>Нет ОКВЭД/ССЧР</t>
        </is>
      </c>
      <c r="V7828" s="35" t="inlineStr">
        <is>
          <t>Не определено</t>
        </is>
      </c>
      <c r="W7828" s="35" t="inlineStr"/>
      <c r="X7828" s="35" t="inlineStr"/>
    </row>
    <row r="7829" ht="15" customHeight="1" s="24">
      <c r="A7829" s="13" t="n">
        <v>10985461</v>
      </c>
      <c r="B7829" s="13" t="inlineStr">
        <is>
          <t>ООО "СИБИРСКАЯ НИВА"</t>
        </is>
      </c>
      <c r="C7829" s="13" t="n">
        <v>3827062087</v>
      </c>
      <c r="D7829" s="13" t="inlineStr">
        <is>
          <t>3827062087</t>
        </is>
      </c>
      <c r="E7829" s="13" t="inlineStr">
        <is>
          <t>ЮЛ РФ</t>
        </is>
      </c>
      <c r="F7829" s="13" t="n"/>
      <c r="G7829" s="52" t="n">
        <v>14</v>
      </c>
      <c r="H7829" s="52" t="n">
        <v>2025</v>
      </c>
      <c r="I7829" s="14" t="n"/>
      <c r="J7829" s="14" t="n"/>
      <c r="K7829" s="53" t="inlineStr">
        <is>
          <t>Нет</t>
        </is>
      </c>
      <c r="L7829" s="53" t="inlineStr">
        <is>
          <t>Не определено</t>
        </is>
      </c>
      <c r="M7829" s="53" t="inlineStr">
        <is>
          <t>До 25</t>
        </is>
      </c>
      <c r="N7829" s="54" t="n">
        <v>8400</v>
      </c>
      <c r="O7829" s="55" t="inlineStr">
        <is>
          <t>1–15</t>
        </is>
      </c>
      <c r="P7829" s="16" t="inlineStr">
        <is>
          <t>ССЧР обогащена; ОКВЭД не найден/не загружен</t>
        </is>
      </c>
      <c r="Q7829" s="16" t="inlineStr">
        <is>
          <t>ФНС открытые данные ССЧР (ДатаСост 31.12.2025; набор 7707329152-sshr2019)</t>
        </is>
      </c>
      <c r="R7829" s="16">
        <f>HYPERLINK("https://checko.ru/search?query=3801001629","Чекко: проверить")</f>
        <v/>
      </c>
      <c r="S7829" t="n">
        <v>0</v>
      </c>
      <c r="T7829" s="35" t="inlineStr">
        <is>
          <t>4 — Не обогащён</t>
        </is>
      </c>
      <c r="U7829" s="35" t="inlineStr">
        <is>
          <t>Нет ОКВЭД/ССЧР</t>
        </is>
      </c>
      <c r="V7829" s="35" t="inlineStr">
        <is>
          <t>Не определено</t>
        </is>
      </c>
      <c r="W7829" s="35" t="inlineStr">
        <is>
          <t>Нет</t>
        </is>
      </c>
      <c r="X7829" s="35" t="inlineStr"/>
    </row>
    <row r="7830" ht="15" customHeight="1" s="24">
      <c r="A7830" s="13" t="n">
        <v>800861205</v>
      </c>
      <c r="B7830" s="13" t="inlineStr">
        <is>
          <t>ООО "ПЕЧАТНЫЙ ЭКСПРЕСС"</t>
        </is>
      </c>
      <c r="C7830" s="13" t="n">
        <v>3849052156</v>
      </c>
      <c r="D7830" s="13" t="inlineStr">
        <is>
          <t>3849052156</t>
        </is>
      </c>
      <c r="E7830" s="13" t="inlineStr">
        <is>
          <t>ЮЛ РФ</t>
        </is>
      </c>
      <c r="F7830" s="13" t="n"/>
      <c r="G7830" s="52" t="n">
        <v>10</v>
      </c>
      <c r="H7830" s="52" t="n">
        <v>2025</v>
      </c>
      <c r="I7830" s="14" t="n"/>
      <c r="J7830" s="14" t="n"/>
      <c r="K7830" s="53" t="inlineStr">
        <is>
          <t>Нет</t>
        </is>
      </c>
      <c r="L7830" s="53" t="inlineStr">
        <is>
          <t>Не определено</t>
        </is>
      </c>
      <c r="M7830" s="53" t="inlineStr">
        <is>
          <t>До 10</t>
        </is>
      </c>
      <c r="N7830" s="54" t="n">
        <v>3360</v>
      </c>
      <c r="O7830" s="55" t="inlineStr">
        <is>
          <t>1–15</t>
        </is>
      </c>
      <c r="P7830" s="16" t="inlineStr">
        <is>
          <t>ССЧР обогащена; ОКВЭД не найден/не загружен</t>
        </is>
      </c>
      <c r="Q7830" s="16" t="inlineStr">
        <is>
          <t>ФНС открытые данные ССЧР (ДатаСост 31.12.2025; набор 7707329152-sshr2019)</t>
        </is>
      </c>
      <c r="R7830" s="16">
        <f>HYPERLINK("https://checko.ru/search?query=3801001629","Чекко: проверить")</f>
        <v/>
      </c>
      <c r="S7830" t="n">
        <v>0</v>
      </c>
      <c r="T7830" s="35" t="inlineStr">
        <is>
          <t>4 — Не обогащён</t>
        </is>
      </c>
      <c r="U7830" s="35" t="inlineStr">
        <is>
          <t>Нет ОКВЭД/ССЧР</t>
        </is>
      </c>
      <c r="V7830" s="35" t="inlineStr">
        <is>
          <t>Не определено</t>
        </is>
      </c>
      <c r="W7830" s="35" t="inlineStr">
        <is>
          <t>Нет</t>
        </is>
      </c>
      <c r="X7830" s="35" t="inlineStr"/>
    </row>
    <row r="7831" ht="15" customHeight="1" s="24">
      <c r="A7831" s="13" t="n">
        <v>801895993</v>
      </c>
      <c r="B7831" s="13" t="inlineStr">
        <is>
          <t>ОАО "Иргиредмет"</t>
        </is>
      </c>
      <c r="C7831" s="13" t="n">
        <v>3808002300</v>
      </c>
      <c r="D7831" s="13" t="inlineStr">
        <is>
          <t>3808002300</t>
        </is>
      </c>
      <c r="E7831" s="13" t="inlineStr">
        <is>
          <t>ЮЛ РФ</t>
        </is>
      </c>
      <c r="F7831" s="13" t="n"/>
      <c r="G7831" s="14" t="n"/>
      <c r="H7831" s="14" t="n"/>
      <c r="I7831" s="14" t="n"/>
      <c r="J7831" s="14" t="n"/>
      <c r="K7831" s="53" t="inlineStr"/>
      <c r="L7831" s="53" t="inlineStr">
        <is>
          <t>Не определено</t>
        </is>
      </c>
      <c r="M7831" s="53" t="inlineStr"/>
      <c r="N7831" s="54" t="inlineStr"/>
      <c r="O7831" s="55" t="inlineStr"/>
      <c r="P7831" s="16" t="inlineStr">
        <is>
          <t>Требует обогащения</t>
        </is>
      </c>
      <c r="Q7831" s="16">
        <f>HYPERLINK("https://pb.nalog.ru/search.html?query=3808002300","ФНС: проверить")</f>
        <v/>
      </c>
      <c r="R7831" s="16">
        <f>HYPERLINK("https://checko.ru/search?query=3801001629","Чекко: проверить")</f>
        <v/>
      </c>
      <c r="S7831" t="n">
        <v>0</v>
      </c>
      <c r="T7831" s="35" t="inlineStr">
        <is>
          <t>4 — Не обогащён</t>
        </is>
      </c>
      <c r="U7831" s="35" t="inlineStr">
        <is>
          <t>Нет ОКВЭД/ССЧР</t>
        </is>
      </c>
      <c r="V7831" s="35" t="inlineStr">
        <is>
          <t>Не определено</t>
        </is>
      </c>
      <c r="W7831" s="35" t="inlineStr"/>
      <c r="X7831" s="35" t="inlineStr"/>
    </row>
    <row r="7832" ht="15" customHeight="1" s="24">
      <c r="A7832" s="13" t="n">
        <v>9802010</v>
      </c>
      <c r="B7832" s="13" t="inlineStr">
        <is>
          <t>ООО "Прибайкальская электросетевая компания"</t>
        </is>
      </c>
      <c r="C7832" s="13" t="n">
        <v>3827032533</v>
      </c>
      <c r="D7832" s="13" t="inlineStr">
        <is>
          <t>3827032533</t>
        </is>
      </c>
      <c r="E7832" s="13" t="inlineStr">
        <is>
          <t>ЮЛ РФ</t>
        </is>
      </c>
      <c r="F7832" s="13" t="n"/>
      <c r="G7832" s="52" t="n">
        <v>5</v>
      </c>
      <c r="H7832" s="52" t="n">
        <v>2025</v>
      </c>
      <c r="I7832" s="14" t="n"/>
      <c r="J7832" s="14" t="n"/>
      <c r="K7832" s="53" t="inlineStr">
        <is>
          <t>Нет</t>
        </is>
      </c>
      <c r="L7832" s="53" t="inlineStr">
        <is>
          <t>Не определено</t>
        </is>
      </c>
      <c r="M7832" s="53" t="inlineStr">
        <is>
          <t>До 10</t>
        </is>
      </c>
      <c r="N7832" s="54" t="n">
        <v>3360</v>
      </c>
      <c r="O7832" s="55" t="inlineStr">
        <is>
          <t>1–15</t>
        </is>
      </c>
      <c r="P7832" s="16" t="inlineStr">
        <is>
          <t>ССЧР обогащена; ОКВЭД не найден/не загружен</t>
        </is>
      </c>
      <c r="Q7832" s="16" t="inlineStr">
        <is>
          <t>ФНС открытые данные ССЧР (ДатаСост 31.12.2025; набор 7707329152-sshr2019)</t>
        </is>
      </c>
      <c r="R7832" s="16">
        <f>HYPERLINK("https://checko.ru/search?query=3801001629","Чекко: проверить")</f>
        <v/>
      </c>
      <c r="S7832" t="n">
        <v>0</v>
      </c>
      <c r="T7832" s="35" t="inlineStr">
        <is>
          <t>4 — Не обогащён</t>
        </is>
      </c>
      <c r="U7832" s="35" t="inlineStr">
        <is>
          <t>Нет ОКВЭД/ССЧР</t>
        </is>
      </c>
      <c r="V7832" s="35" t="inlineStr">
        <is>
          <t>Не определено</t>
        </is>
      </c>
      <c r="W7832" s="35" t="inlineStr">
        <is>
          <t>Нет</t>
        </is>
      </c>
      <c r="X7832" s="35" t="inlineStr"/>
    </row>
    <row r="7833" ht="15" customHeight="1" s="24">
      <c r="A7833" s="13" t="n">
        <v>804668076</v>
      </c>
      <c r="B7833" s="13" t="inlineStr">
        <is>
          <t>ООО "Экспортлес"</t>
        </is>
      </c>
      <c r="C7833" s="13" t="n">
        <v>3811099540</v>
      </c>
      <c r="D7833" s="13" t="inlineStr">
        <is>
          <t>3811099540</t>
        </is>
      </c>
      <c r="E7833" s="13" t="inlineStr">
        <is>
          <t>ЮЛ РФ</t>
        </is>
      </c>
      <c r="F7833" s="13" t="n"/>
      <c r="G7833" s="52" t="n">
        <v>2</v>
      </c>
      <c r="H7833" s="52" t="n">
        <v>2025</v>
      </c>
      <c r="I7833" s="14" t="n"/>
      <c r="J7833" s="14" t="n"/>
      <c r="K7833" s="53" t="inlineStr">
        <is>
          <t>Нет</t>
        </is>
      </c>
      <c r="L7833" s="53" t="inlineStr">
        <is>
          <t>Не определено</t>
        </is>
      </c>
      <c r="M7833" s="53" t="inlineStr">
        <is>
          <t>До 10</t>
        </is>
      </c>
      <c r="N7833" s="54" t="n">
        <v>3360</v>
      </c>
      <c r="O7833" s="55" t="inlineStr">
        <is>
          <t>1–15</t>
        </is>
      </c>
      <c r="P7833" s="16" t="inlineStr">
        <is>
          <t>ССЧР обогащена; ОКВЭД не найден/не загружен</t>
        </is>
      </c>
      <c r="Q7833" s="16" t="inlineStr">
        <is>
          <t>ФНС открытые данные ССЧР (ДатаСост 31.12.2025; набор 7707329152-sshr2019)</t>
        </is>
      </c>
      <c r="R7833" s="16">
        <f>HYPERLINK("https://checko.ru/search?query=3801001629","Чекко: проверить")</f>
        <v/>
      </c>
      <c r="S7833" t="n">
        <v>0</v>
      </c>
      <c r="T7833" s="35" t="inlineStr">
        <is>
          <t>4 — Не обогащён</t>
        </is>
      </c>
      <c r="U7833" s="35" t="inlineStr">
        <is>
          <t>Нет ОКВЭД/ССЧР</t>
        </is>
      </c>
      <c r="V7833" s="35" t="inlineStr">
        <is>
          <t>Не определено</t>
        </is>
      </c>
      <c r="W7833" s="35" t="inlineStr">
        <is>
          <t>Нет</t>
        </is>
      </c>
      <c r="X7833" s="35" t="inlineStr"/>
    </row>
    <row r="7834" ht="27.75" customHeight="1" s="24">
      <c r="A7834" s="13" t="n">
        <v>800709530</v>
      </c>
      <c r="B7834" s="13" t="inlineStr">
        <is>
          <t>Общество с ограниченной ответственностью "САКУРА"</t>
        </is>
      </c>
      <c r="C7834" s="13" t="n">
        <v>3810334857</v>
      </c>
      <c r="D7834" s="13" t="inlineStr">
        <is>
          <t>3810334857</t>
        </is>
      </c>
      <c r="E7834" s="13" t="inlineStr">
        <is>
          <t>ЮЛ РФ</t>
        </is>
      </c>
      <c r="F7834" s="13" t="n"/>
      <c r="G7834" s="52" t="n">
        <v>5</v>
      </c>
      <c r="H7834" s="52" t="n">
        <v>2025</v>
      </c>
      <c r="I7834" s="14" t="n"/>
      <c r="J7834" s="14" t="n"/>
      <c r="K7834" s="53" t="inlineStr">
        <is>
          <t>Нет</t>
        </is>
      </c>
      <c r="L7834" s="53" t="inlineStr">
        <is>
          <t>Не определено</t>
        </is>
      </c>
      <c r="M7834" s="53" t="inlineStr">
        <is>
          <t>До 10</t>
        </is>
      </c>
      <c r="N7834" s="54" t="n">
        <v>3360</v>
      </c>
      <c r="O7834" s="55" t="inlineStr">
        <is>
          <t>1–15</t>
        </is>
      </c>
      <c r="P7834" s="16" t="inlineStr">
        <is>
          <t>ССЧР обогащена; ОКВЭД не найден/не загружен</t>
        </is>
      </c>
      <c r="Q7834" s="16" t="inlineStr">
        <is>
          <t>ФНС открытые данные ССЧР (ДатаСост 31.12.2025; набор 7707329152-sshr2019)</t>
        </is>
      </c>
      <c r="R7834" s="16">
        <f>HYPERLINK("https://checko.ru/search?query=3801001629","Чекко: проверить")</f>
        <v/>
      </c>
      <c r="S7834" t="n">
        <v>0</v>
      </c>
      <c r="T7834" s="35" t="inlineStr">
        <is>
          <t>4 — Не обогащён</t>
        </is>
      </c>
      <c r="U7834" s="35" t="inlineStr">
        <is>
          <t>Нет ОКВЭД/ССЧР</t>
        </is>
      </c>
      <c r="V7834" s="35" t="inlineStr">
        <is>
          <t>Не определено</t>
        </is>
      </c>
      <c r="W7834" s="35" t="inlineStr">
        <is>
          <t>Нет</t>
        </is>
      </c>
      <c r="X7834" s="35" t="inlineStr"/>
    </row>
    <row r="7835" ht="15" customHeight="1" s="24">
      <c r="A7835" s="13" t="n">
        <v>9130496</v>
      </c>
      <c r="B7835" s="13" t="inlineStr">
        <is>
          <t>ООО «Инстройтех плюс»</t>
        </is>
      </c>
      <c r="C7835" s="13" t="n">
        <v>3811124309</v>
      </c>
      <c r="D7835" s="13" t="inlineStr">
        <is>
          <t>3811124309</t>
        </is>
      </c>
      <c r="E7835" s="13" t="inlineStr">
        <is>
          <t>ЮЛ РФ</t>
        </is>
      </c>
      <c r="F7835" s="13" t="n"/>
      <c r="G7835" s="52" t="n">
        <v>3</v>
      </c>
      <c r="H7835" s="52" t="n">
        <v>2025</v>
      </c>
      <c r="I7835" s="14" t="n"/>
      <c r="J7835" s="14" t="n"/>
      <c r="K7835" s="53" t="inlineStr">
        <is>
          <t>Нет</t>
        </is>
      </c>
      <c r="L7835" s="53" t="inlineStr">
        <is>
          <t>Не определено</t>
        </is>
      </c>
      <c r="M7835" s="53" t="inlineStr">
        <is>
          <t>До 10</t>
        </is>
      </c>
      <c r="N7835" s="54" t="n">
        <v>3360</v>
      </c>
      <c r="O7835" s="55" t="inlineStr">
        <is>
          <t>1–15</t>
        </is>
      </c>
      <c r="P7835" s="16" t="inlineStr">
        <is>
          <t>ССЧР обогащена; ОКВЭД не найден/не загружен</t>
        </is>
      </c>
      <c r="Q7835" s="16" t="inlineStr">
        <is>
          <t>ФНС открытые данные ССЧР (ДатаСост 31.12.2025; набор 7707329152-sshr2019)</t>
        </is>
      </c>
      <c r="R7835" s="16">
        <f>HYPERLINK("https://checko.ru/search?query=3801001629","Чекко: проверить")</f>
        <v/>
      </c>
      <c r="S7835" t="n">
        <v>0</v>
      </c>
      <c r="T7835" s="35" t="inlineStr">
        <is>
          <t>4 — Не обогащён</t>
        </is>
      </c>
      <c r="U7835" s="35" t="inlineStr">
        <is>
          <t>Нет ОКВЭД/ССЧР</t>
        </is>
      </c>
      <c r="V7835" s="35" t="inlineStr">
        <is>
          <t>Не определено</t>
        </is>
      </c>
      <c r="W7835" s="35" t="inlineStr">
        <is>
          <t>Нет</t>
        </is>
      </c>
      <c r="X7835" s="35" t="inlineStr"/>
    </row>
    <row r="7836" ht="15" customHeight="1" s="24">
      <c r="A7836" s="13" t="n">
        <v>20005738294</v>
      </c>
      <c r="B7836" s="13" t="inlineStr">
        <is>
          <t>ООО "ЭТАЛВЕС"</t>
        </is>
      </c>
      <c r="C7836" s="13" t="n">
        <v>3808076038</v>
      </c>
      <c r="D7836" s="13" t="inlineStr">
        <is>
          <t>3808076038</t>
        </is>
      </c>
      <c r="E7836" s="13" t="inlineStr">
        <is>
          <t>ЮЛ РФ</t>
        </is>
      </c>
      <c r="F7836" s="13" t="n"/>
      <c r="G7836" s="52" t="n">
        <v>3</v>
      </c>
      <c r="H7836" s="52" t="n">
        <v>2025</v>
      </c>
      <c r="I7836" s="14" t="n"/>
      <c r="J7836" s="14" t="n"/>
      <c r="K7836" s="53" t="inlineStr">
        <is>
          <t>Нет</t>
        </is>
      </c>
      <c r="L7836" s="53" t="inlineStr">
        <is>
          <t>Не определено</t>
        </is>
      </c>
      <c r="M7836" s="53" t="inlineStr">
        <is>
          <t>До 10</t>
        </is>
      </c>
      <c r="N7836" s="54" t="n">
        <v>3360</v>
      </c>
      <c r="O7836" s="55" t="inlineStr">
        <is>
          <t>1–15</t>
        </is>
      </c>
      <c r="P7836" s="16" t="inlineStr">
        <is>
          <t>ССЧР обогащена; ОКВЭД не найден/не загружен</t>
        </is>
      </c>
      <c r="Q7836" s="16" t="inlineStr">
        <is>
          <t>ФНС открытые данные ССЧР (ДатаСост 31.12.2025; набор 7707329152-sshr2019)</t>
        </is>
      </c>
      <c r="R7836" s="16">
        <f>HYPERLINK("https://checko.ru/search?query=3801001629","Чекко: проверить")</f>
        <v/>
      </c>
      <c r="S7836" t="n">
        <v>0</v>
      </c>
      <c r="T7836" s="35" t="inlineStr">
        <is>
          <t>4 — Не обогащён</t>
        </is>
      </c>
      <c r="U7836" s="35" t="inlineStr">
        <is>
          <t>Нет ОКВЭД/ССЧР</t>
        </is>
      </c>
      <c r="V7836" s="35" t="inlineStr">
        <is>
          <t>Не определено</t>
        </is>
      </c>
      <c r="W7836" s="35" t="inlineStr">
        <is>
          <t>Нет</t>
        </is>
      </c>
      <c r="X7836" s="35" t="inlineStr"/>
    </row>
    <row r="7837" ht="27.75" customHeight="1" s="24">
      <c r="A7837" s="13" t="n">
        <v>804956911</v>
      </c>
      <c r="B7837" s="13" t="inlineStr">
        <is>
          <t>Общество с ограниченной ответственностью "Расчетно-кассовый центр" г.Саянск</t>
        </is>
      </c>
      <c r="C7837" s="13" t="n">
        <v>3814008580</v>
      </c>
      <c r="D7837" s="13" t="inlineStr">
        <is>
          <t>3814008580</t>
        </is>
      </c>
      <c r="E7837" s="13" t="inlineStr">
        <is>
          <t>ЮЛ РФ</t>
        </is>
      </c>
      <c r="F7837" s="13" t="n"/>
      <c r="G7837" s="52" t="n">
        <v>31</v>
      </c>
      <c r="H7837" s="52" t="n">
        <v>2025</v>
      </c>
      <c r="I7837" s="52" t="inlineStr">
        <is>
          <t>63.11.1</t>
        </is>
      </c>
      <c r="J7837" s="52" t="inlineStr">
        <is>
          <t>63.11.1; 68.32.1; 69.20; 82.99</t>
        </is>
      </c>
      <c r="K7837" s="53" t="inlineStr">
        <is>
          <t>Да</t>
        </is>
      </c>
      <c r="L7837" s="53" t="inlineStr">
        <is>
          <t>Да</t>
        </is>
      </c>
      <c r="M7837" s="53" t="inlineStr">
        <is>
          <t>До 50</t>
        </is>
      </c>
      <c r="N7837" s="54" t="n">
        <v>16800</v>
      </c>
      <c r="O7837" s="55" t="inlineStr">
        <is>
          <t>31–50</t>
        </is>
      </c>
      <c r="P7837" s="16" t="inlineStr">
        <is>
          <t>ССЧР + ОКВЭД обогащены</t>
        </is>
      </c>
      <c r="Q7837" s="16" t="inlineStr">
        <is>
          <t>ФНС открытые данные ССЧР (ДатаСост 31.12.2025; набор 7707329152-sshr2019)</t>
        </is>
      </c>
      <c r="R7837" s="16" t="inlineStr">
        <is>
          <t>ЕГРЮЛ / egrul.nalog.ru (выписка)</t>
        </is>
      </c>
      <c r="S7837" t="n">
        <v>1</v>
      </c>
      <c r="T7837" s="35" t="inlineStr">
        <is>
          <t>1 — Горячий</t>
        </is>
      </c>
      <c r="U7837" s="35" t="inlineStr">
        <is>
          <t>ОКВЭД + 22+</t>
        </is>
      </c>
      <c r="V7837" s="35" t="inlineStr">
        <is>
          <t>Да</t>
        </is>
      </c>
      <c r="W7837" s="35" t="inlineStr">
        <is>
          <t>Да</t>
        </is>
      </c>
      <c r="X7837" s="35" t="inlineStr">
        <is>
          <t>Да</t>
        </is>
      </c>
    </row>
    <row r="7838" ht="15" customHeight="1" s="24">
      <c r="A7838" s="13" t="n">
        <v>9152776</v>
      </c>
      <c r="B7838" s="13" t="inlineStr">
        <is>
          <t>ИП Суслова Татьяна Юрьевна</t>
        </is>
      </c>
      <c r="C7838" s="13" t="n">
        <v>381006708520</v>
      </c>
      <c r="D7838" s="13" t="inlineStr">
        <is>
          <t>381006708520</t>
        </is>
      </c>
      <c r="E7838" s="13" t="inlineStr">
        <is>
          <t>ИП РФ / физлицо</t>
        </is>
      </c>
      <c r="F7838" s="13" t="n"/>
      <c r="G7838" s="14" t="n"/>
      <c r="H7838" s="14" t="n"/>
      <c r="I7838" s="14" t="n"/>
      <c r="J7838" s="14" t="n"/>
      <c r="K7838" s="53" t="inlineStr"/>
      <c r="L7838" s="53" t="inlineStr">
        <is>
          <t>Не определено</t>
        </is>
      </c>
      <c r="M7838" s="53" t="inlineStr"/>
      <c r="N7838" s="54" t="inlineStr"/>
      <c r="O7838" s="55" t="inlineStr"/>
      <c r="P7838" s="16" t="inlineStr">
        <is>
          <t>Требует обогащения</t>
        </is>
      </c>
      <c r="Q7838" s="16">
        <f>HYPERLINK("https://pb.nalog.ru/search.html?query=381006708520","ФНС: проверить")</f>
        <v/>
      </c>
      <c r="R7838" s="16">
        <f>HYPERLINK("https://checko.ru/search?query=3801001629","Чекко: проверить")</f>
        <v/>
      </c>
      <c r="S7838" t="n">
        <v>0</v>
      </c>
      <c r="T7838" s="35" t="inlineStr">
        <is>
          <t>4 — Не обогащён</t>
        </is>
      </c>
      <c r="U7838" s="35" t="inlineStr">
        <is>
          <t>Нет ОКВЭД/ССЧР</t>
        </is>
      </c>
      <c r="V7838" s="35" t="inlineStr">
        <is>
          <t>Не определено</t>
        </is>
      </c>
      <c r="W7838" s="35" t="inlineStr"/>
      <c r="X7838" s="35" t="inlineStr"/>
    </row>
    <row r="7839" ht="27.75" customHeight="1" s="24">
      <c r="A7839" s="13" t="n">
        <v>20019495361</v>
      </c>
      <c r="B7839" s="13" t="inlineStr">
        <is>
          <t>ОБЩЕСТВО С ОГРАНИЧЕННОЙ ОТВЕТСТВЕННОСТЬЮ "СИБЭКОРЕСУРС"</t>
        </is>
      </c>
      <c r="C7839" s="13" t="n">
        <v>3827056750</v>
      </c>
      <c r="D7839" s="13" t="inlineStr">
        <is>
          <t>3827056750</t>
        </is>
      </c>
      <c r="E7839" s="13" t="inlineStr">
        <is>
          <t>ЮЛ РФ</t>
        </is>
      </c>
      <c r="F7839" s="13" t="n"/>
      <c r="G7839" s="52" t="n">
        <v>1</v>
      </c>
      <c r="H7839" s="52" t="n">
        <v>2025</v>
      </c>
      <c r="I7839" s="14" t="n"/>
      <c r="J7839" s="14" t="n"/>
      <c r="K7839" s="53" t="inlineStr">
        <is>
          <t>Нет</t>
        </is>
      </c>
      <c r="L7839" s="53" t="inlineStr">
        <is>
          <t>Не определено</t>
        </is>
      </c>
      <c r="M7839" s="53" t="inlineStr">
        <is>
          <t>До 10</t>
        </is>
      </c>
      <c r="N7839" s="54" t="n">
        <v>3360</v>
      </c>
      <c r="O7839" s="55" t="inlineStr">
        <is>
          <t>1–15</t>
        </is>
      </c>
      <c r="P7839" s="16" t="inlineStr">
        <is>
          <t>ССЧР обогащена; ОКВЭД не найден/не загружен</t>
        </is>
      </c>
      <c r="Q7839" s="16" t="inlineStr">
        <is>
          <t>ФНС открытые данные ССЧР (ДатаСост 31.12.2025; набор 7707329152-sshr2019)</t>
        </is>
      </c>
      <c r="R7839" s="16">
        <f>HYPERLINK("https://checko.ru/search?query=3801001629","Чекко: проверить")</f>
        <v/>
      </c>
      <c r="S7839" t="n">
        <v>1</v>
      </c>
      <c r="T7839" s="35" t="inlineStr">
        <is>
          <t>4 — Не обогащён</t>
        </is>
      </c>
      <c r="U7839" s="35" t="inlineStr">
        <is>
          <t>Нет ОКВЭД/ССЧР</t>
        </is>
      </c>
      <c r="V7839" s="35" t="inlineStr">
        <is>
          <t>Не определено</t>
        </is>
      </c>
      <c r="W7839" s="35" t="inlineStr">
        <is>
          <t>Нет</t>
        </is>
      </c>
      <c r="X7839" s="35" t="inlineStr"/>
    </row>
    <row r="7840" ht="54.75" customHeight="1" s="24">
      <c r="A7840" s="13" t="n">
        <v>20000842612</v>
      </c>
      <c r="B7840" s="13" t="inlineStr">
        <is>
          <t>Муниципальное предприятие "Редакция общественно-политической газеты "Ленские вести" Усть-Кутского муниципального образования</t>
        </is>
      </c>
      <c r="C7840" s="13" t="n">
        <v>3818001810</v>
      </c>
      <c r="D7840" s="13" t="inlineStr">
        <is>
          <t>3818001810</t>
        </is>
      </c>
      <c r="E7840" s="13" t="inlineStr">
        <is>
          <t>ЮЛ РФ</t>
        </is>
      </c>
      <c r="F7840" s="13" t="n"/>
      <c r="G7840" s="14" t="n"/>
      <c r="H7840" s="14" t="n"/>
      <c r="I7840" s="14" t="n"/>
      <c r="J7840" s="14" t="n"/>
      <c r="K7840" s="53" t="inlineStr"/>
      <c r="L7840" s="53" t="inlineStr">
        <is>
          <t>Не определено</t>
        </is>
      </c>
      <c r="M7840" s="53" t="inlineStr"/>
      <c r="N7840" s="54" t="inlineStr"/>
      <c r="O7840" s="55" t="inlineStr"/>
      <c r="P7840" s="16" t="inlineStr">
        <is>
          <t>Требует обогащения</t>
        </is>
      </c>
      <c r="Q7840" s="16">
        <f>HYPERLINK("https://pb.nalog.ru/search.html?query=3818001810","ФНС: проверить")</f>
        <v/>
      </c>
      <c r="R7840" s="16">
        <f>HYPERLINK("https://checko.ru/search?query=3801001629","Чекко: проверить")</f>
        <v/>
      </c>
      <c r="S7840" t="n">
        <v>1</v>
      </c>
      <c r="T7840" s="35" t="inlineStr">
        <is>
          <t>4 — Не обогащён</t>
        </is>
      </c>
      <c r="U7840" s="35" t="inlineStr">
        <is>
          <t>Нет ОКВЭД/ССЧР</t>
        </is>
      </c>
      <c r="V7840" s="35" t="inlineStr">
        <is>
          <t>Не определено</t>
        </is>
      </c>
      <c r="W7840" s="35" t="inlineStr"/>
      <c r="X7840" s="35" t="inlineStr"/>
    </row>
    <row r="7841" ht="27.75" customHeight="1" s="24">
      <c r="A7841" s="13" t="n">
        <v>20022300372</v>
      </c>
      <c r="B7841" s="13" t="inlineStr">
        <is>
          <t>Общество с ограниченной ответственностью "ВЭЛБИН"</t>
        </is>
      </c>
      <c r="C7841" s="13" t="n">
        <v>3811158530</v>
      </c>
      <c r="D7841" s="13" t="inlineStr">
        <is>
          <t>3811158530</t>
        </is>
      </c>
      <c r="E7841" s="13" t="inlineStr">
        <is>
          <t>ЮЛ РФ</t>
        </is>
      </c>
      <c r="F7841" s="13" t="n"/>
      <c r="G7841" s="52" t="n">
        <v>44</v>
      </c>
      <c r="H7841" s="52" t="n">
        <v>2025</v>
      </c>
      <c r="I7841" s="52" t="inlineStr">
        <is>
          <t>86.23</t>
        </is>
      </c>
      <c r="J7841" s="52" t="inlineStr">
        <is>
          <t>86.23; 47.73; 47.74; 47.75; 86.10; 86.21; 86.22; 86.90</t>
        </is>
      </c>
      <c r="K7841" s="53" t="inlineStr">
        <is>
          <t>Да</t>
        </is>
      </c>
      <c r="L7841" s="53" t="inlineStr">
        <is>
          <t>Да</t>
        </is>
      </c>
      <c r="M7841" s="53" t="inlineStr">
        <is>
          <t>До 50</t>
        </is>
      </c>
      <c r="N7841" s="54" t="n">
        <v>16800</v>
      </c>
      <c r="O7841" s="55" t="inlineStr">
        <is>
          <t>31–50</t>
        </is>
      </c>
      <c r="P7841" s="16" t="inlineStr">
        <is>
          <t>ССЧР + ОКВЭД обогащены</t>
        </is>
      </c>
      <c r="Q7841" s="16" t="inlineStr">
        <is>
          <t>ФНС открытые данные ССЧР (ДатаСост 31.12.2025; набор 7707329152-sshr2019)</t>
        </is>
      </c>
      <c r="R7841" s="16" t="inlineStr">
        <is>
          <t>ЕГРЮЛ / egrul.nalog.ru (выписка)</t>
        </is>
      </c>
      <c r="S7841" t="n">
        <v>1</v>
      </c>
      <c r="T7841" s="35" t="inlineStr">
        <is>
          <t>1 — Горячий</t>
        </is>
      </c>
      <c r="U7841" s="35" t="inlineStr">
        <is>
          <t>ОКВЭД + 22+</t>
        </is>
      </c>
      <c r="V7841" s="35" t="inlineStr">
        <is>
          <t>Да</t>
        </is>
      </c>
      <c r="W7841" s="35" t="inlineStr">
        <is>
          <t>Да</t>
        </is>
      </c>
      <c r="X7841" s="35" t="inlineStr">
        <is>
          <t>Да</t>
        </is>
      </c>
    </row>
    <row r="7842" ht="27.75" customHeight="1" s="24">
      <c r="A7842" s="13" t="n">
        <v>801617285</v>
      </c>
      <c r="B7842" s="13" t="inlineStr">
        <is>
          <t>Общество с ограниченной ответственностью "Автопарк"</t>
        </is>
      </c>
      <c r="C7842" s="13" t="n">
        <v>3811470838</v>
      </c>
      <c r="D7842" s="13" t="inlineStr">
        <is>
          <t>3811470838</t>
        </is>
      </c>
      <c r="E7842" s="13" t="inlineStr">
        <is>
          <t>ЮЛ РФ</t>
        </is>
      </c>
      <c r="F7842" s="13" t="n"/>
      <c r="G7842" s="52" t="n">
        <v>228</v>
      </c>
      <c r="H7842" s="52" t="n">
        <v>2025</v>
      </c>
      <c r="I7842" s="52" t="inlineStr">
        <is>
          <t>82.99</t>
        </is>
      </c>
      <c r="J7842" s="52" t="inlineStr">
        <is>
          <t>82.99; 45.11.2; 45.11; 45.11.1; 45.11.3; 45.11.4; 45.11.31; 45.11.39; 45.11.41; 45.11.49; 45.19.1; 45.20; 45.20.1; 45.20.2; 45.20.3; 45.20.4; 45.20.5; 66.19; 66.19.4; 66.22; 69.10; 69.20; 69.20.2; 69.20.3; 70.22; 78.30; 96.09</t>
        </is>
      </c>
      <c r="K7842" s="53" t="inlineStr">
        <is>
          <t>Да</t>
        </is>
      </c>
      <c r="L7842" s="53" t="inlineStr">
        <is>
          <t>Да</t>
        </is>
      </c>
      <c r="M7842" s="53" t="inlineStr">
        <is>
          <t>До 500</t>
        </is>
      </c>
      <c r="N7842" s="54" t="n">
        <v>144000</v>
      </c>
      <c r="O7842" s="55" t="inlineStr">
        <is>
          <t>201–500</t>
        </is>
      </c>
      <c r="P7842" s="16" t="inlineStr">
        <is>
          <t>ССЧР + ОКВЭД обогащены</t>
        </is>
      </c>
      <c r="Q7842" s="16" t="inlineStr">
        <is>
          <t>ФНС открытые данные ССЧР (ДатаСост 31.12.2025; набор 7707329152-sshr2019)</t>
        </is>
      </c>
      <c r="R7842" s="16" t="inlineStr">
        <is>
          <t>ЕГРЮЛ / egrul.nalog.ru (выписка)</t>
        </is>
      </c>
      <c r="S7842" t="n">
        <v>1</v>
      </c>
      <c r="T7842" s="35" t="inlineStr">
        <is>
          <t>1 — Горячий</t>
        </is>
      </c>
      <c r="U7842" s="35" t="inlineStr">
        <is>
          <t>ОКВЭД + 22+</t>
        </is>
      </c>
      <c r="V7842" s="35" t="inlineStr">
        <is>
          <t>Да</t>
        </is>
      </c>
      <c r="W7842" s="35" t="inlineStr">
        <is>
          <t>Да</t>
        </is>
      </c>
      <c r="X7842" s="35" t="inlineStr">
        <is>
          <t>Да</t>
        </is>
      </c>
    </row>
    <row r="7843" ht="15" customHeight="1" s="24">
      <c r="A7843" s="13" t="n">
        <v>800422717</v>
      </c>
      <c r="B7843" s="13" t="inlineStr">
        <is>
          <t>МК-ФУД, ООО</t>
        </is>
      </c>
      <c r="C7843" s="13" t="n">
        <v>3810066968</v>
      </c>
      <c r="D7843" s="13" t="inlineStr">
        <is>
          <t>3810066968</t>
        </is>
      </c>
      <c r="E7843" s="13" t="inlineStr">
        <is>
          <t>ЮЛ РФ</t>
        </is>
      </c>
      <c r="F7843" s="13" t="n"/>
      <c r="G7843" s="52" t="n">
        <v>11</v>
      </c>
      <c r="H7843" s="52" t="n">
        <v>2025</v>
      </c>
      <c r="I7843" s="14" t="n"/>
      <c r="J7843" s="14" t="n"/>
      <c r="K7843" s="53" t="inlineStr">
        <is>
          <t>Нет</t>
        </is>
      </c>
      <c r="L7843" s="53" t="inlineStr">
        <is>
          <t>Не определено</t>
        </is>
      </c>
      <c r="M7843" s="53" t="inlineStr">
        <is>
          <t>До 25</t>
        </is>
      </c>
      <c r="N7843" s="54" t="n">
        <v>8400</v>
      </c>
      <c r="O7843" s="55" t="inlineStr">
        <is>
          <t>1–15</t>
        </is>
      </c>
      <c r="P7843" s="16" t="inlineStr">
        <is>
          <t>ССЧР обогащена; ОКВЭД не найден/не загружен</t>
        </is>
      </c>
      <c r="Q7843" s="16" t="inlineStr">
        <is>
          <t>ФНС открытые данные ССЧР (ДатаСост 31.12.2025; набор 7707329152-sshr2019)</t>
        </is>
      </c>
      <c r="R7843" s="16">
        <f>HYPERLINK("https://checko.ru/search?query=3801001629","Чекко: проверить")</f>
        <v/>
      </c>
      <c r="S7843" t="n">
        <v>0</v>
      </c>
      <c r="T7843" s="35" t="inlineStr">
        <is>
          <t>4 — Не обогащён</t>
        </is>
      </c>
      <c r="U7843" s="35" t="inlineStr">
        <is>
          <t>Нет ОКВЭД/ССЧР</t>
        </is>
      </c>
      <c r="V7843" s="35" t="inlineStr">
        <is>
          <t>Не определено</t>
        </is>
      </c>
      <c r="W7843" s="35" t="inlineStr">
        <is>
          <t>Нет</t>
        </is>
      </c>
      <c r="X7843" s="35" t="inlineStr"/>
    </row>
    <row r="7844" ht="15" customHeight="1" s="24">
      <c r="A7844" s="13" t="n">
        <v>800405961</v>
      </c>
      <c r="B7844" s="13" t="inlineStr">
        <is>
          <t>СЕРВИС-ПАРТНЕР</t>
        </is>
      </c>
      <c r="C7844" s="13" t="n">
        <v>3827043126</v>
      </c>
      <c r="D7844" s="13" t="inlineStr">
        <is>
          <t>3827043126</t>
        </is>
      </c>
      <c r="E7844" s="13" t="inlineStr">
        <is>
          <t>ЮЛ РФ</t>
        </is>
      </c>
      <c r="F7844" s="13" t="n"/>
      <c r="G7844" s="52" t="n">
        <v>4</v>
      </c>
      <c r="H7844" s="52" t="n">
        <v>2025</v>
      </c>
      <c r="I7844" s="14" t="n"/>
      <c r="J7844" s="14" t="n"/>
      <c r="K7844" s="53" t="inlineStr">
        <is>
          <t>Нет</t>
        </is>
      </c>
      <c r="L7844" s="53" t="inlineStr">
        <is>
          <t>Не определено</t>
        </is>
      </c>
      <c r="M7844" s="53" t="inlineStr">
        <is>
          <t>До 10</t>
        </is>
      </c>
      <c r="N7844" s="54" t="n">
        <v>3360</v>
      </c>
      <c r="O7844" s="55" t="inlineStr">
        <is>
          <t>1–15</t>
        </is>
      </c>
      <c r="P7844" s="16" t="inlineStr">
        <is>
          <t>ССЧР обогащена; ОКВЭД не найден/не загружен</t>
        </is>
      </c>
      <c r="Q7844" s="16" t="inlineStr">
        <is>
          <t>ФНС открытые данные ССЧР (ДатаСост 31.12.2025; набор 7707329152-sshr2019)</t>
        </is>
      </c>
      <c r="R7844" s="16">
        <f>HYPERLINK("https://checko.ru/search?query=3801001629","Чекко: проверить")</f>
        <v/>
      </c>
      <c r="S7844" t="n">
        <v>0</v>
      </c>
      <c r="T7844" s="35" t="inlineStr">
        <is>
          <t>4 — Не обогащён</t>
        </is>
      </c>
      <c r="U7844" s="35" t="inlineStr">
        <is>
          <t>Нет ОКВЭД/ССЧР</t>
        </is>
      </c>
      <c r="V7844" s="35" t="inlineStr">
        <is>
          <t>Не определено</t>
        </is>
      </c>
      <c r="W7844" s="35" t="inlineStr">
        <is>
          <t>Нет</t>
        </is>
      </c>
      <c r="X7844" s="35" t="inlineStr"/>
    </row>
    <row r="7845" ht="15" customHeight="1" s="24">
      <c r="A7845" s="13" t="n">
        <v>20012806341</v>
      </c>
      <c r="B7845" s="13" t="inlineStr">
        <is>
          <t>ООО "ЮГ"</t>
        </is>
      </c>
      <c r="C7845" s="13" t="n">
        <v>3811447878</v>
      </c>
      <c r="D7845" s="13" t="inlineStr">
        <is>
          <t>3811447878</t>
        </is>
      </c>
      <c r="E7845" s="13" t="inlineStr">
        <is>
          <t>ЮЛ РФ</t>
        </is>
      </c>
      <c r="F7845" s="13" t="n"/>
      <c r="G7845" s="52" t="n">
        <v>41</v>
      </c>
      <c r="H7845" s="52" t="n">
        <v>2025</v>
      </c>
      <c r="I7845" s="52" t="inlineStr">
        <is>
          <t>16.10</t>
        </is>
      </c>
      <c r="J7845" s="52" t="inlineStr">
        <is>
          <t>16.10; 01.63; 02.20; 02.40; 16.10.2; 16.10.9; 46.73; 46.90; 49.20; 49.41; 52.10</t>
        </is>
      </c>
      <c r="K7845" s="53" t="inlineStr">
        <is>
          <t>Да</t>
        </is>
      </c>
      <c r="L7845" s="53" t="inlineStr">
        <is>
          <t>Да</t>
        </is>
      </c>
      <c r="M7845" s="53" t="inlineStr">
        <is>
          <t>До 50</t>
        </is>
      </c>
      <c r="N7845" s="54" t="n">
        <v>16800</v>
      </c>
      <c r="O7845" s="55" t="inlineStr">
        <is>
          <t>31–50</t>
        </is>
      </c>
      <c r="P7845" s="16" t="inlineStr">
        <is>
          <t>ССЧР + ОКВЭД обогащены</t>
        </is>
      </c>
      <c r="Q7845" s="16" t="inlineStr">
        <is>
          <t>ФНС открытые данные ССЧР (ДатаСост 31.12.2025; набор 7707329152-sshr2019)</t>
        </is>
      </c>
      <c r="R7845" s="16" t="inlineStr">
        <is>
          <t>ЕГРЮЛ / egrul.nalog.ru (выписка)</t>
        </is>
      </c>
      <c r="S7845" t="n">
        <v>1</v>
      </c>
      <c r="T7845" s="35" t="inlineStr">
        <is>
          <t>1 — Горячий</t>
        </is>
      </c>
      <c r="U7845" s="35" t="inlineStr">
        <is>
          <t>ОКВЭД + 22+</t>
        </is>
      </c>
      <c r="V7845" s="35" t="inlineStr">
        <is>
          <t>Да</t>
        </is>
      </c>
      <c r="W7845" s="35" t="inlineStr">
        <is>
          <t>Да</t>
        </is>
      </c>
      <c r="X7845" s="35" t="inlineStr">
        <is>
          <t>Да</t>
        </is>
      </c>
    </row>
    <row r="7846" ht="15" customHeight="1" s="24">
      <c r="A7846" s="13" t="n">
        <v>20012829302</v>
      </c>
      <c r="B7846" s="13" t="inlineStr">
        <is>
          <t>Индивидуальный предприниматель Лю Синь</t>
        </is>
      </c>
      <c r="C7846" s="13" t="n">
        <v>381114678841</v>
      </c>
      <c r="D7846" s="13" t="inlineStr">
        <is>
          <t>381114678841</t>
        </is>
      </c>
      <c r="E7846" s="13" t="inlineStr">
        <is>
          <t>ИП РФ / физлицо</t>
        </is>
      </c>
      <c r="F7846" s="13" t="n"/>
      <c r="G7846" s="14" t="n"/>
      <c r="H7846" s="14" t="n"/>
      <c r="I7846" s="14" t="n"/>
      <c r="J7846" s="14" t="n"/>
      <c r="K7846" s="53" t="inlineStr"/>
      <c r="L7846" s="53" t="inlineStr">
        <is>
          <t>Не определено</t>
        </is>
      </c>
      <c r="M7846" s="53" t="inlineStr"/>
      <c r="N7846" s="54" t="inlineStr"/>
      <c r="O7846" s="55" t="inlineStr"/>
      <c r="P7846" s="16" t="inlineStr">
        <is>
          <t>Требует обогащения</t>
        </is>
      </c>
      <c r="Q7846" s="16">
        <f>HYPERLINK("https://pb.nalog.ru/search.html?query=381114678841","ФНС: проверить")</f>
        <v/>
      </c>
      <c r="R7846" s="16">
        <f>HYPERLINK("https://checko.ru/search?query=3801001629","Чекко: проверить")</f>
        <v/>
      </c>
      <c r="S7846" t="n">
        <v>1</v>
      </c>
      <c r="T7846" s="35" t="inlineStr">
        <is>
          <t>4 — Не обогащён</t>
        </is>
      </c>
      <c r="U7846" s="35" t="inlineStr">
        <is>
          <t>Нет ОКВЭД/ССЧР</t>
        </is>
      </c>
      <c r="V7846" s="35" t="inlineStr">
        <is>
          <t>Не определено</t>
        </is>
      </c>
      <c r="W7846" s="35" t="inlineStr"/>
      <c r="X7846" s="35" t="inlineStr"/>
    </row>
    <row r="7847" ht="27.75" customHeight="1" s="24">
      <c r="A7847" s="13" t="n">
        <v>802413019</v>
      </c>
      <c r="B7847" s="13" t="inlineStr">
        <is>
          <t>Общество с ограниченной ответственностью "Агентство ПБ"</t>
        </is>
      </c>
      <c r="C7847" s="13" t="n">
        <v>3849070973</v>
      </c>
      <c r="D7847" s="13" t="inlineStr">
        <is>
          <t>3849070973</t>
        </is>
      </c>
      <c r="E7847" s="13" t="inlineStr">
        <is>
          <t>ЮЛ РФ</t>
        </is>
      </c>
      <c r="F7847" s="13" t="n"/>
      <c r="G7847" s="52" t="n">
        <v>5</v>
      </c>
      <c r="H7847" s="52" t="n">
        <v>2025</v>
      </c>
      <c r="I7847" s="14" t="n"/>
      <c r="J7847" s="14" t="n"/>
      <c r="K7847" s="53" t="inlineStr">
        <is>
          <t>Нет</t>
        </is>
      </c>
      <c r="L7847" s="53" t="inlineStr">
        <is>
          <t>Не определено</t>
        </is>
      </c>
      <c r="M7847" s="53" t="inlineStr">
        <is>
          <t>До 10</t>
        </is>
      </c>
      <c r="N7847" s="54" t="n">
        <v>3360</v>
      </c>
      <c r="O7847" s="55" t="inlineStr">
        <is>
          <t>1–15</t>
        </is>
      </c>
      <c r="P7847" s="16" t="inlineStr">
        <is>
          <t>ССЧР обогащена; ОКВЭД не найден/не загружен</t>
        </is>
      </c>
      <c r="Q7847" s="16" t="inlineStr">
        <is>
          <t>ФНС открытые данные ССЧР (ДатаСост 31.12.2025; набор 7707329152-sshr2019)</t>
        </is>
      </c>
      <c r="R7847" s="16">
        <f>HYPERLINK("https://checko.ru/search?query=3801001629","Чекко: проверить")</f>
        <v/>
      </c>
      <c r="S7847" t="n">
        <v>0</v>
      </c>
      <c r="T7847" s="35" t="inlineStr">
        <is>
          <t>4 — Не обогащён</t>
        </is>
      </c>
      <c r="U7847" s="35" t="inlineStr">
        <is>
          <t>Нет ОКВЭД/ССЧР</t>
        </is>
      </c>
      <c r="V7847" s="35" t="inlineStr">
        <is>
          <t>Не определено</t>
        </is>
      </c>
      <c r="W7847" s="35" t="inlineStr">
        <is>
          <t>Нет</t>
        </is>
      </c>
      <c r="X7847" s="35" t="inlineStr"/>
    </row>
    <row r="7848" ht="15" customHeight="1" s="24">
      <c r="A7848" s="13" t="n">
        <v>800838980</v>
      </c>
      <c r="B7848" s="13" t="inlineStr">
        <is>
          <t>ООО ПК "Сибстройсервис плюс"</t>
        </is>
      </c>
      <c r="C7848" s="13" t="n">
        <v>3814009294</v>
      </c>
      <c r="D7848" s="13" t="inlineStr">
        <is>
          <t>3814009294</t>
        </is>
      </c>
      <c r="E7848" s="13" t="inlineStr">
        <is>
          <t>ЮЛ РФ</t>
        </is>
      </c>
      <c r="F7848" s="13" t="n"/>
      <c r="G7848" s="52" t="n">
        <v>44</v>
      </c>
      <c r="H7848" s="52" t="n">
        <v>2025</v>
      </c>
      <c r="I7848" s="52" t="inlineStr">
        <is>
          <t>14.12</t>
        </is>
      </c>
      <c r="J7848" s="52" t="inlineStr">
        <is>
          <t>14.12; 31.01; 31.02; 31.09; 43.32; 43.34; 46.41; 46.41.2; 46.43; 46.44; 46.45; 46.49; 46.73; 46.74; 47.43; 47.54; 47.59; 47.61</t>
        </is>
      </c>
      <c r="K7848" s="53" t="inlineStr">
        <is>
          <t>Да</t>
        </is>
      </c>
      <c r="L7848" s="53" t="inlineStr">
        <is>
          <t>Да</t>
        </is>
      </c>
      <c r="M7848" s="53" t="inlineStr">
        <is>
          <t>До 50</t>
        </is>
      </c>
      <c r="N7848" s="54" t="n">
        <v>16800</v>
      </c>
      <c r="O7848" s="55" t="inlineStr">
        <is>
          <t>31–50</t>
        </is>
      </c>
      <c r="P7848" s="16" t="inlineStr">
        <is>
          <t>ССЧР + ОКВЭД обогащены</t>
        </is>
      </c>
      <c r="Q7848" s="16" t="inlineStr">
        <is>
          <t>ФНС открытые данные ССЧР (ДатаСост 31.12.2025; набор 7707329152-sshr2019)</t>
        </is>
      </c>
      <c r="R7848" s="16" t="inlineStr">
        <is>
          <t>ЕГРЮЛ / egrul.nalog.ru (выписка)</t>
        </is>
      </c>
      <c r="S7848" t="n">
        <v>0</v>
      </c>
      <c r="T7848" s="35" t="inlineStr">
        <is>
          <t>1 — Горячий</t>
        </is>
      </c>
      <c r="U7848" s="35" t="inlineStr">
        <is>
          <t>ОКВЭД + 22+</t>
        </is>
      </c>
      <c r="V7848" s="35" t="inlineStr">
        <is>
          <t>Да</t>
        </is>
      </c>
      <c r="W7848" s="35" t="inlineStr">
        <is>
          <t>Да</t>
        </is>
      </c>
      <c r="X7848" s="35" t="inlineStr">
        <is>
          <t>Да</t>
        </is>
      </c>
    </row>
    <row r="7849" ht="27.75" customHeight="1" s="24">
      <c r="A7849" s="13" t="n">
        <v>20012869196</v>
      </c>
      <c r="B7849" s="13" t="inlineStr">
        <is>
          <t>Общество с ограниченной ответственностью "ЭНЕРГОСТРОЙ"</t>
        </is>
      </c>
      <c r="C7849" s="13" t="n">
        <v>3811463809</v>
      </c>
      <c r="D7849" s="13" t="inlineStr">
        <is>
          <t>3811463809</t>
        </is>
      </c>
      <c r="E7849" s="13" t="inlineStr">
        <is>
          <t>ЮЛ РФ</t>
        </is>
      </c>
      <c r="F7849" s="13" t="n"/>
      <c r="G7849" s="52" t="n">
        <v>1</v>
      </c>
      <c r="H7849" s="52" t="n">
        <v>2025</v>
      </c>
      <c r="I7849" s="14" t="n"/>
      <c r="J7849" s="14" t="n"/>
      <c r="K7849" s="53" t="inlineStr">
        <is>
          <t>Нет</t>
        </is>
      </c>
      <c r="L7849" s="53" t="inlineStr">
        <is>
          <t>Не определено</t>
        </is>
      </c>
      <c r="M7849" s="53" t="inlineStr">
        <is>
          <t>До 10</t>
        </is>
      </c>
      <c r="N7849" s="54" t="n">
        <v>3360</v>
      </c>
      <c r="O7849" s="55" t="inlineStr">
        <is>
          <t>1–15</t>
        </is>
      </c>
      <c r="P7849" s="16" t="inlineStr">
        <is>
          <t>ССЧР обогащена; ОКВЭД не найден/не загружен</t>
        </is>
      </c>
      <c r="Q7849" s="16" t="inlineStr">
        <is>
          <t>ФНС открытые данные ССЧР (ДатаСост 31.12.2025; набор 7707329152-sshr2019)</t>
        </is>
      </c>
      <c r="R7849" s="16">
        <f>HYPERLINK("https://checko.ru/search?query=3801001629","Чекко: проверить")</f>
        <v/>
      </c>
      <c r="S7849" t="n">
        <v>1</v>
      </c>
      <c r="T7849" s="35" t="inlineStr">
        <is>
          <t>4 — Не обогащён</t>
        </is>
      </c>
      <c r="U7849" s="35" t="inlineStr">
        <is>
          <t>Нет ОКВЭД/ССЧР</t>
        </is>
      </c>
      <c r="V7849" s="35" t="inlineStr">
        <is>
          <t>Не определено</t>
        </is>
      </c>
      <c r="W7849" s="35" t="inlineStr">
        <is>
          <t>Нет</t>
        </is>
      </c>
      <c r="X7849" s="35" t="inlineStr"/>
    </row>
    <row r="7850" ht="15" customHeight="1" s="24">
      <c r="A7850" s="13" t="n">
        <v>800847590</v>
      </c>
      <c r="B7850" s="13" t="inlineStr">
        <is>
          <t>ООО Энергетическая компания "Радиан"</t>
        </is>
      </c>
      <c r="C7850" s="13" t="n">
        <v>3810051697</v>
      </c>
      <c r="D7850" s="13" t="inlineStr">
        <is>
          <t>3810051697</t>
        </is>
      </c>
      <c r="E7850" s="13" t="inlineStr">
        <is>
          <t>ЮЛ РФ</t>
        </is>
      </c>
      <c r="F7850" s="13" t="n"/>
      <c r="G7850" s="52" t="n">
        <v>92</v>
      </c>
      <c r="H7850" s="52" t="n">
        <v>2025</v>
      </c>
      <c r="I7850" s="52" t="inlineStr">
        <is>
          <t>35.12</t>
        </is>
      </c>
      <c r="J7850" s="52" t="inlineStr">
        <is>
          <t>35.12; 35.13; 35.30.2; 35.30.5; 36.00.2; 68.20.2; 79.11</t>
        </is>
      </c>
      <c r="K7850" s="53" t="inlineStr">
        <is>
          <t>Да</t>
        </is>
      </c>
      <c r="L7850" s="53" t="inlineStr">
        <is>
          <t>Да</t>
        </is>
      </c>
      <c r="M7850" s="53" t="inlineStr">
        <is>
          <t>До 100</t>
        </is>
      </c>
      <c r="N7850" s="54" t="n">
        <v>33600</v>
      </c>
      <c r="O7850" s="55" t="inlineStr">
        <is>
          <t>51–100</t>
        </is>
      </c>
      <c r="P7850" s="16" t="inlineStr">
        <is>
          <t>ССЧР + ОКВЭД обогащены</t>
        </is>
      </c>
      <c r="Q7850" s="16" t="inlineStr">
        <is>
          <t>ФНС открытые данные ССЧР (ДатаСост 31.12.2025; набор 7707329152-sshr2019)</t>
        </is>
      </c>
      <c r="R7850" s="16" t="inlineStr">
        <is>
          <t>ЕГРЮЛ / egrul.nalog.ru (выписка)</t>
        </is>
      </c>
      <c r="S7850" t="n">
        <v>0</v>
      </c>
      <c r="T7850" s="35" t="inlineStr">
        <is>
          <t>1 — Горячий</t>
        </is>
      </c>
      <c r="U7850" s="35" t="inlineStr">
        <is>
          <t>ОКВЭД + 22+</t>
        </is>
      </c>
      <c r="V7850" s="35" t="inlineStr">
        <is>
          <t>Да</t>
        </is>
      </c>
      <c r="W7850" s="35" t="inlineStr">
        <is>
          <t>Да</t>
        </is>
      </c>
      <c r="X7850" s="35" t="inlineStr">
        <is>
          <t>Да</t>
        </is>
      </c>
    </row>
    <row r="7851" ht="27.75" customHeight="1" s="24">
      <c r="A7851" s="13" t="n">
        <v>800425537</v>
      </c>
      <c r="B7851" s="13" t="inlineStr">
        <is>
          <t>АНО дошкольного образования "Английский садик"</t>
        </is>
      </c>
      <c r="C7851" s="13" t="n">
        <v>3827040245</v>
      </c>
      <c r="D7851" s="13" t="inlineStr">
        <is>
          <t>3827040245</t>
        </is>
      </c>
      <c r="E7851" s="13" t="inlineStr">
        <is>
          <t>ЮЛ РФ</t>
        </is>
      </c>
      <c r="F7851" s="13" t="n"/>
      <c r="G7851" s="14" t="n"/>
      <c r="H7851" s="14" t="n"/>
      <c r="I7851" s="14" t="n"/>
      <c r="J7851" s="14" t="n"/>
      <c r="K7851" s="53" t="inlineStr"/>
      <c r="L7851" s="53" t="inlineStr">
        <is>
          <t>Не определено</t>
        </is>
      </c>
      <c r="M7851" s="53" t="inlineStr"/>
      <c r="N7851" s="54" t="inlineStr"/>
      <c r="O7851" s="55" t="inlineStr"/>
      <c r="P7851" s="16" t="inlineStr">
        <is>
          <t>Требует обогащения</t>
        </is>
      </c>
      <c r="Q7851" s="16">
        <f>HYPERLINK("https://pb.nalog.ru/search.html?query=3827040245","ФНС: проверить")</f>
        <v/>
      </c>
      <c r="R7851" s="16">
        <f>HYPERLINK("https://checko.ru/search?query=3801001629","Чекко: проверить")</f>
        <v/>
      </c>
      <c r="S7851" t="n">
        <v>0</v>
      </c>
      <c r="T7851" s="35" t="inlineStr">
        <is>
          <t>4 — Не обогащён</t>
        </is>
      </c>
      <c r="U7851" s="35" t="inlineStr">
        <is>
          <t>Нет ОКВЭД/ССЧР</t>
        </is>
      </c>
      <c r="V7851" s="35" t="inlineStr">
        <is>
          <t>Не определено</t>
        </is>
      </c>
      <c r="W7851" s="35" t="inlineStr"/>
      <c r="X7851" s="35" t="inlineStr"/>
    </row>
    <row r="7852" ht="15" customHeight="1" s="24">
      <c r="A7852" s="13" t="n">
        <v>9062190</v>
      </c>
      <c r="B7852" s="13" t="inlineStr">
        <is>
          <t>ООО "Линер"</t>
        </is>
      </c>
      <c r="C7852" s="13" t="n">
        <v>3811051876</v>
      </c>
      <c r="D7852" s="13" t="inlineStr">
        <is>
          <t>3811051876</t>
        </is>
      </c>
      <c r="E7852" s="13" t="inlineStr">
        <is>
          <t>ЮЛ РФ</t>
        </is>
      </c>
      <c r="F7852" s="13" t="n"/>
      <c r="G7852" s="52" t="n">
        <v>15</v>
      </c>
      <c r="H7852" s="52" t="n">
        <v>2025</v>
      </c>
      <c r="I7852" s="14" t="n"/>
      <c r="J7852" s="14" t="n"/>
      <c r="K7852" s="53" t="inlineStr">
        <is>
          <t>Нет</t>
        </is>
      </c>
      <c r="L7852" s="53" t="inlineStr">
        <is>
          <t>Не определено</t>
        </is>
      </c>
      <c r="M7852" s="53" t="inlineStr">
        <is>
          <t>До 25</t>
        </is>
      </c>
      <c r="N7852" s="54" t="n">
        <v>8400</v>
      </c>
      <c r="O7852" s="55" t="inlineStr">
        <is>
          <t>1–15</t>
        </is>
      </c>
      <c r="P7852" s="16" t="inlineStr">
        <is>
          <t>ССЧР обогащена; ОКВЭД не найден/не загружен</t>
        </is>
      </c>
      <c r="Q7852" s="16" t="inlineStr">
        <is>
          <t>ФНС открытые данные ССЧР (ДатаСост 31.12.2025; набор 7707329152-sshr2019)</t>
        </is>
      </c>
      <c r="R7852" s="16">
        <f>HYPERLINK("https://checko.ru/search?query=3801001629","Чекко: проверить")</f>
        <v/>
      </c>
      <c r="S7852" t="n">
        <v>1</v>
      </c>
      <c r="T7852" s="35" t="inlineStr">
        <is>
          <t>4 — Не обогащён</t>
        </is>
      </c>
      <c r="U7852" s="35" t="inlineStr">
        <is>
          <t>Нет ОКВЭД/ССЧР</t>
        </is>
      </c>
      <c r="V7852" s="35" t="inlineStr">
        <is>
          <t>Не определено</t>
        </is>
      </c>
      <c r="W7852" s="35" t="inlineStr">
        <is>
          <t>Нет</t>
        </is>
      </c>
      <c r="X7852" s="35" t="inlineStr"/>
    </row>
    <row r="7853" ht="27.75" customHeight="1" s="24">
      <c r="A7853" s="13" t="n">
        <v>800438445</v>
      </c>
      <c r="B7853" s="13" t="inlineStr">
        <is>
          <t>Общество с ограниченной ответственностью ЧАСТНОЕ ОХРАННОЕ ПРЕДПРИЯТИЕ "АТЭКС"</t>
        </is>
      </c>
      <c r="C7853" s="13" t="n">
        <v>3811043603</v>
      </c>
      <c r="D7853" s="13" t="inlineStr">
        <is>
          <t>3811043603</t>
        </is>
      </c>
      <c r="E7853" s="13" t="inlineStr">
        <is>
          <t>ЮЛ РФ</t>
        </is>
      </c>
      <c r="F7853" s="13" t="n"/>
      <c r="G7853" s="52" t="n">
        <v>32</v>
      </c>
      <c r="H7853" s="52" t="n">
        <v>2025</v>
      </c>
      <c r="I7853" s="52" t="inlineStr">
        <is>
          <t>80.10</t>
        </is>
      </c>
      <c r="J7853" s="52" t="inlineStr">
        <is>
          <t>80.10; 80.20</t>
        </is>
      </c>
      <c r="K7853" s="53" t="inlineStr">
        <is>
          <t>Да</t>
        </is>
      </c>
      <c r="L7853" s="53" t="inlineStr">
        <is>
          <t>Да</t>
        </is>
      </c>
      <c r="M7853" s="53" t="inlineStr">
        <is>
          <t>До 50</t>
        </is>
      </c>
      <c r="N7853" s="54" t="n">
        <v>16800</v>
      </c>
      <c r="O7853" s="55" t="inlineStr">
        <is>
          <t>31–50</t>
        </is>
      </c>
      <c r="P7853" s="16" t="inlineStr">
        <is>
          <t>ССЧР + ОКВЭД обогащены</t>
        </is>
      </c>
      <c r="Q7853" s="16" t="inlineStr">
        <is>
          <t>ФНС открытые данные ССЧР (ДатаСост 31.12.2025; набор 7707329152-sshr2019)</t>
        </is>
      </c>
      <c r="R7853" s="16" t="inlineStr">
        <is>
          <t>ЕГРЮЛ / egrul.nalog.ru (выписка)</t>
        </is>
      </c>
      <c r="S7853" t="n">
        <v>0</v>
      </c>
      <c r="T7853" s="35" t="inlineStr">
        <is>
          <t>1 — Горячий</t>
        </is>
      </c>
      <c r="U7853" s="35" t="inlineStr">
        <is>
          <t>ОКВЭД + 22+</t>
        </is>
      </c>
      <c r="V7853" s="35" t="inlineStr">
        <is>
          <t>Да</t>
        </is>
      </c>
      <c r="W7853" s="35" t="inlineStr">
        <is>
          <t>Да</t>
        </is>
      </c>
      <c r="X7853" s="35" t="inlineStr">
        <is>
          <t>Да</t>
        </is>
      </c>
    </row>
    <row r="7854" ht="41.25" customHeight="1" s="24">
      <c r="A7854" s="13" t="n">
        <v>8104672185</v>
      </c>
      <c r="B7854" s="13" t="inlineStr">
        <is>
          <t>ОБЩЕСТВО С ОГРАНИЧЕННОЙ ОТВЕТСТВЕННОСТЬЮ "ТОРГОВЫЙ ДОМ "АНАВИДИН"</t>
        </is>
      </c>
      <c r="C7854" s="13" t="n">
        <v>3827017101</v>
      </c>
      <c r="D7854" s="13" t="inlineStr">
        <is>
          <t>3827017101</t>
        </is>
      </c>
      <c r="E7854" s="13" t="inlineStr">
        <is>
          <t>ЮЛ РФ</t>
        </is>
      </c>
      <c r="F7854" s="13" t="n"/>
      <c r="G7854" s="52" t="n">
        <v>7</v>
      </c>
      <c r="H7854" s="52" t="n">
        <v>2025</v>
      </c>
      <c r="I7854" s="14" t="n"/>
      <c r="J7854" s="14" t="n"/>
      <c r="K7854" s="53" t="inlineStr">
        <is>
          <t>Нет</t>
        </is>
      </c>
      <c r="L7854" s="53" t="inlineStr">
        <is>
          <t>Не определено</t>
        </is>
      </c>
      <c r="M7854" s="53" t="inlineStr">
        <is>
          <t>До 10</t>
        </is>
      </c>
      <c r="N7854" s="54" t="n">
        <v>3360</v>
      </c>
      <c r="O7854" s="55" t="inlineStr">
        <is>
          <t>1–15</t>
        </is>
      </c>
      <c r="P7854" s="16" t="inlineStr">
        <is>
          <t>ССЧР обогащена; ОКВЭД не найден/не загружен</t>
        </is>
      </c>
      <c r="Q7854" s="16" t="inlineStr">
        <is>
          <t>ФНС открытые данные ССЧР (ДатаСост 31.12.2025; набор 7707329152-sshr2019)</t>
        </is>
      </c>
      <c r="R7854" s="16">
        <f>HYPERLINK("https://checko.ru/search?query=3801001629","Чекко: проверить")</f>
        <v/>
      </c>
      <c r="S7854" t="n">
        <v>0</v>
      </c>
      <c r="T7854" s="35" t="inlineStr">
        <is>
          <t>4 — Не обогащён</t>
        </is>
      </c>
      <c r="U7854" s="35" t="inlineStr">
        <is>
          <t>Нет ОКВЭД/ССЧР</t>
        </is>
      </c>
      <c r="V7854" s="35" t="inlineStr">
        <is>
          <t>Не определено</t>
        </is>
      </c>
      <c r="W7854" s="35" t="inlineStr">
        <is>
          <t>Нет</t>
        </is>
      </c>
      <c r="X7854" s="35" t="inlineStr"/>
    </row>
    <row r="7855" ht="27.75" customHeight="1" s="24">
      <c r="A7855" s="13" t="n">
        <v>20022306817</v>
      </c>
      <c r="B7855" s="13" t="inlineStr">
        <is>
          <t>Индивидуальный предприниматель Можина Ксения Васильевна</t>
        </is>
      </c>
      <c r="C7855" s="13" t="n">
        <v>381258404009</v>
      </c>
      <c r="D7855" s="13" t="inlineStr">
        <is>
          <t>381258404009</t>
        </is>
      </c>
      <c r="E7855" s="13" t="inlineStr">
        <is>
          <t>ИП РФ / физлицо</t>
        </is>
      </c>
      <c r="F7855" s="13" t="n"/>
      <c r="G7855" s="14" t="n"/>
      <c r="H7855" s="14" t="n"/>
      <c r="I7855" s="14" t="n"/>
      <c r="J7855" s="14" t="n"/>
      <c r="K7855" s="53" t="inlineStr"/>
      <c r="L7855" s="53" t="inlineStr">
        <is>
          <t>Не определено</t>
        </is>
      </c>
      <c r="M7855" s="53" t="inlineStr"/>
      <c r="N7855" s="54" t="inlineStr"/>
      <c r="O7855" s="55" t="inlineStr"/>
      <c r="P7855" s="16" t="inlineStr">
        <is>
          <t>Требует обогащения</t>
        </is>
      </c>
      <c r="Q7855" s="16">
        <f>HYPERLINK("https://pb.nalog.ru/search.html?query=381258404009","ФНС: проверить")</f>
        <v/>
      </c>
      <c r="R7855" s="16">
        <f>HYPERLINK("https://checko.ru/search?query=3801001629","Чекко: проверить")</f>
        <v/>
      </c>
      <c r="S7855" t="n">
        <v>1</v>
      </c>
      <c r="T7855" s="35" t="inlineStr">
        <is>
          <t>4 — Не обогащён</t>
        </is>
      </c>
      <c r="U7855" s="35" t="inlineStr">
        <is>
          <t>Нет ОКВЭД/ССЧР</t>
        </is>
      </c>
      <c r="V7855" s="35" t="inlineStr">
        <is>
          <t>Не определено</t>
        </is>
      </c>
      <c r="W7855" s="35" t="inlineStr"/>
      <c r="X7855" s="35" t="inlineStr"/>
    </row>
    <row r="7856" ht="27.75" customHeight="1" s="24">
      <c r="A7856" s="13" t="n">
        <v>9810311</v>
      </c>
      <c r="B7856" s="13" t="inlineStr">
        <is>
          <t>Индивидуальный предприниматель Савченко Анна Геннадьевна</t>
        </is>
      </c>
      <c r="C7856" s="13" t="n">
        <v>381600038215</v>
      </c>
      <c r="D7856" s="13" t="inlineStr">
        <is>
          <t>381600038215</t>
        </is>
      </c>
      <c r="E7856" s="13" t="inlineStr">
        <is>
          <t>ИП РФ / физлицо</t>
        </is>
      </c>
      <c r="F7856" s="13" t="n"/>
      <c r="G7856" s="14" t="n"/>
      <c r="H7856" s="14" t="n"/>
      <c r="I7856" s="14" t="n"/>
      <c r="J7856" s="14" t="n"/>
      <c r="K7856" s="53" t="inlineStr"/>
      <c r="L7856" s="53" t="inlineStr">
        <is>
          <t>Не определено</t>
        </is>
      </c>
      <c r="M7856" s="53" t="inlineStr"/>
      <c r="N7856" s="54" t="inlineStr"/>
      <c r="O7856" s="55" t="inlineStr"/>
      <c r="P7856" s="16" t="inlineStr">
        <is>
          <t>Требует обогащения</t>
        </is>
      </c>
      <c r="Q7856" s="16">
        <f>HYPERLINK("https://pb.nalog.ru/search.html?query=381600038215","ФНС: проверить")</f>
        <v/>
      </c>
      <c r="R7856" s="16">
        <f>HYPERLINK("https://checko.ru/search?query=3801001629","Чекко: проверить")</f>
        <v/>
      </c>
      <c r="S7856" t="n">
        <v>1</v>
      </c>
      <c r="T7856" s="35" t="inlineStr">
        <is>
          <t>4 — Не обогащён</t>
        </is>
      </c>
      <c r="U7856" s="35" t="inlineStr">
        <is>
          <t>Нет ОКВЭД/ССЧР</t>
        </is>
      </c>
      <c r="V7856" s="35" t="inlineStr">
        <is>
          <t>Не определено</t>
        </is>
      </c>
      <c r="W7856" s="35" t="inlineStr"/>
      <c r="X7856" s="35" t="inlineStr"/>
    </row>
    <row r="7857" ht="15" customHeight="1" s="24">
      <c r="A7857" s="13" t="n">
        <v>20009259681</v>
      </c>
      <c r="B7857" s="13" t="inlineStr">
        <is>
          <t>АНО ДПО "Братскпромстрой"</t>
        </is>
      </c>
      <c r="C7857" s="13" t="n">
        <v>3804110665</v>
      </c>
      <c r="D7857" s="13" t="inlineStr">
        <is>
          <t>3804110665</t>
        </is>
      </c>
      <c r="E7857" s="13" t="inlineStr">
        <is>
          <t>ЮЛ РФ</t>
        </is>
      </c>
      <c r="F7857" s="13" t="n"/>
      <c r="G7857" s="14" t="n"/>
      <c r="H7857" s="14" t="n"/>
      <c r="I7857" s="14" t="n"/>
      <c r="J7857" s="14" t="n"/>
      <c r="K7857" s="53" t="inlineStr"/>
      <c r="L7857" s="53" t="inlineStr">
        <is>
          <t>Не определено</t>
        </is>
      </c>
      <c r="M7857" s="53" t="inlineStr"/>
      <c r="N7857" s="54" t="inlineStr"/>
      <c r="O7857" s="55" t="inlineStr"/>
      <c r="P7857" s="16" t="inlineStr">
        <is>
          <t>Требует обогащения</t>
        </is>
      </c>
      <c r="Q7857" s="16">
        <f>HYPERLINK("https://pb.nalog.ru/search.html?query=3804110665","ФНС: проверить")</f>
        <v/>
      </c>
      <c r="R7857" s="16">
        <f>HYPERLINK("https://checko.ru/search?query=3801001629","Чекко: проверить")</f>
        <v/>
      </c>
      <c r="S7857" t="n">
        <v>1</v>
      </c>
      <c r="T7857" s="35" t="inlineStr">
        <is>
          <t>4 — Не обогащён</t>
        </is>
      </c>
      <c r="U7857" s="35" t="inlineStr">
        <is>
          <t>Нет ОКВЭД/ССЧР</t>
        </is>
      </c>
      <c r="V7857" s="35" t="inlineStr">
        <is>
          <t>Не определено</t>
        </is>
      </c>
      <c r="W7857" s="35" t="inlineStr"/>
      <c r="X7857" s="35" t="inlineStr"/>
    </row>
    <row r="7858" ht="27.75" customHeight="1" s="24">
      <c r="A7858" s="13" t="n">
        <v>802470805</v>
      </c>
      <c r="B7858" s="13" t="inlineStr">
        <is>
          <t>ОБЩЕСТВО С ОГРАНИЧЕННОЙ ОТВЕТСТВЕННОСТЬЮ "ВОСТОКМАГИСТРАЛЬ"</t>
        </is>
      </c>
      <c r="C7858" s="13" t="n">
        <v>312016694</v>
      </c>
      <c r="D7858" s="13" t="n"/>
      <c r="E7858" s="13" t="inlineStr">
        <is>
          <t>Не определён</t>
        </is>
      </c>
      <c r="F7858" s="13" t="inlineStr">
        <is>
          <t>312016694</t>
        </is>
      </c>
      <c r="G7858" s="14" t="n"/>
      <c r="H7858" s="14" t="n"/>
      <c r="I7858" s="14" t="n"/>
      <c r="J7858" s="14" t="n"/>
      <c r="K7858" s="13">
        <f>IF(G7858="","",IF(G7858&gt;=22,"Да","Нет"))</f>
        <v/>
      </c>
      <c r="L7858" s="13">
        <f>IF(OR(I7858="",J7858=""),"Не определено",IF(OR(COUNTIF(I7858,"45*")&gt;0,COUNTIF(J7858,"*45*")&gt;0,COUNTIF(I7858,"46*")&gt;0,COUNTIF(J7858,"*46*")&gt;0,COUNTIF(I7858,"47*")&gt;0,COUNTIF(J7858,"*47*")&gt;0,COUNTIF(I7858,"10*")&gt;0,COUNTIF(J7858,"*10*")&gt;0,COUNTIF(I7858,"11*")&gt;0,COUNTIF(J7858,"*11*")&gt;0,COUNTIF(I7858,"12*")&gt;0,COUNTIF(J7858,"*12*")&gt;0,COUNTIF(I7858,"13*")&gt;0,COUNTIF(J7858,"*13*")&gt;0,COUNTIF(I7858,"14*")&gt;0,COUNTIF(J7858,"*14*")&gt;0,COUNTIF(I7858,"15*")&gt;0,COUNTIF(J7858,"*15*")&gt;0,COUNTIF(I7858,"16*")&gt;0,COUNTIF(J7858,"*16*")&gt;0,COUNTIF(I7858,"17*")&gt;0,COUNTIF(J7858,"*17*")&gt;0,COUNTIF(I7858,"18*")&gt;0,COUNTIF(J7858,"*18*")&gt;0,COUNTIF(I7858,"19*")&gt;0,COUNTIF(J7858,"*19*")&gt;0,COUNTIF(I7858,"20*")&gt;0,COUNTIF(J7858,"*20*")&gt;0,COUNTIF(I7858,"21*")&gt;0,COUNTIF(J7858,"*21*")&gt;0,COUNTIF(I7858,"22*")&gt;0,COUNTIF(J7858,"*22*")&gt;0,COUNTIF(I7858,"23*")&gt;0,COUNTIF(J7858,"*23*")&gt;0,COUNTIF(I7858,"24*")&gt;0,COUNTIF(J7858,"*24*")&gt;0,COUNTIF(I7858,"25*")&gt;0,COUNTIF(J7858,"*25*")&gt;0,COUNTIF(I7858,"26*")&gt;0,COUNTIF(J7858,"*26*")&gt;0,COUNTIF(I7858,"27*")&gt;0,COUNTIF(J7858,"*27*")&gt;0,COUNTIF(I7858,"28*")&gt;0,COUNTIF(J7858,"*28*")&gt;0,COUNTIF(I7858,"29*")&gt;0,COUNTIF(J7858,"*29*")&gt;0,COUNTIF(I7858,"30*")&gt;0,COUNTIF(J7858,"*30*")&gt;0,COUNTIF(I7858,"31*")&gt;0,COUNTIF(J7858,"*31*")&gt;0,COUNTIF(I7858,"32*")&gt;0,COUNTIF(J7858,"*32*")&gt;0,COUNTIF(I7858,"33*")&gt;0,COUNTIF(J7858,"*33*")&gt;0,COUNTIF(I7858,"41*")&gt;0,COUNTIF(J7858,"*41*")&gt;0,COUNTIF(I7858,"42*")&gt;0,COUNTIF(J7858,"*42*")&gt;0,COUNTIF(I7858,"43*")&gt;0,COUNTIF(J7858,"*43*")&gt;0,COUNTIF(I7858,"49*")&gt;0,COUNTIF(J7858,"*49*")&gt;0,COUNTIF(I7858,"52*")&gt;0,COUNTIF(J7858,"*52*")&gt;0,COUNTIF(I7858,"55*")&gt;0,COUNTIF(J7858,"*55*")&gt;0,COUNTIF(I7858,"56*")&gt;0,COUNTIF(J7858,"*56*")&gt;0,COUNTIF(I7858,"68*")&gt;0,COUNTIF(J7858,"*68*")&gt;0,COUNTIF(I7858,"78*")&gt;0,COUNTIF(J7858,"*78*")&gt;0,COUNTIF(I7858,"81*")&gt;0,COUNTIF(J7858,"*81*")&gt;0,COUNTIF(I7858,"82*")&gt;0,COUNTIF(J7858,"*82*")&gt;0,COUNTIF(I7858,"64*")&gt;0,COUNTIF(J7858,"*64*")&gt;0,COUNTIF(I7858,"65*")&gt;0,COUNTIF(J7858,"*65*")&gt;0,COUNTIF(I7858,"66*")&gt;0,COUNTIF(J7858,"*66*")&gt;0,COUNTIF(I7858,"61*")&gt;0,COUNTIF(J7858,"*61*")&gt;0,COUNTIF(I7858,"62*")&gt;0,COUNTIF(J7858,"*62*")&gt;0,COUNTIF(I7858,"63*")&gt;0,COUNTIF(J7858,"*63*")&gt;0,COUNTIF(I7858,"85*")&gt;0,COUNTIF(J7858,"*85*")&gt;0,COUNTIF(I7858,"86*")&gt;0,COUNTIF(J7858,"*86*")&gt;0),"Да","Нет"))</f>
        <v/>
      </c>
      <c r="M7858" s="13">
        <f>IF(OR(G7858="",L7858&lt;&gt;"Да"),"",IF(G7858&lt;=100,"До 100",IF(G7858&lt;=200,"До 200",IF(G7858&lt;=500,"До 500","Отдельное КП"))))</f>
        <v/>
      </c>
      <c r="N7858" s="15">
        <f>IF(OR(G7858="",L7858&lt;&gt;"Да"),"",IF(G7858&lt;=100,33600,IF(G7858&lt;=200,62400,IF(G7858&lt;=500,144000,""))))</f>
        <v/>
      </c>
      <c r="O7858" s="16">
        <f>IF(G7858="","",IF(G7858&lt;=15,"1–15",IF(G7858&lt;=30,"16–30",IF(G7858&lt;=50,"31–50",IF(G7858&lt;=100,"51–100",IF(G7858&lt;=150,"101–150",IF(G7858&lt;=200,"151–200",IF(G7858&lt;=500,"201–500","500+"))))))))</f>
        <v/>
      </c>
      <c r="P7858" s="16" t="inlineStr">
        <is>
          <t>Нет совпадения в предоставленной выгрузке ССЧР</t>
        </is>
      </c>
      <c r="Q7858" s="16" t="n"/>
      <c r="R7858" s="16">
        <f>HYPERLINK("https://checko.ru/search?query=3801001629","Чекко: проверить")</f>
        <v/>
      </c>
      <c r="S7858" t="n">
        <v>0</v>
      </c>
    </row>
    <row r="7859" ht="15" customHeight="1" s="24">
      <c r="A7859" s="13" t="n">
        <v>800546922</v>
      </c>
      <c r="B7859" s="13" t="inlineStr">
        <is>
          <t>ООО "СИБСИЛС+"</t>
        </is>
      </c>
      <c r="C7859" s="13" t="n">
        <v>3849057475</v>
      </c>
      <c r="D7859" s="13" t="inlineStr">
        <is>
          <t>3849057475</t>
        </is>
      </c>
      <c r="E7859" s="13" t="inlineStr">
        <is>
          <t>ЮЛ РФ</t>
        </is>
      </c>
      <c r="F7859" s="13" t="n"/>
      <c r="G7859" s="52" t="n">
        <v>2</v>
      </c>
      <c r="H7859" s="52" t="n">
        <v>2025</v>
      </c>
      <c r="I7859" s="14" t="n"/>
      <c r="J7859" s="14" t="n"/>
      <c r="K7859" s="53" t="inlineStr">
        <is>
          <t>Нет</t>
        </is>
      </c>
      <c r="L7859" s="53" t="inlineStr">
        <is>
          <t>Не определено</t>
        </is>
      </c>
      <c r="M7859" s="53" t="inlineStr">
        <is>
          <t>До 10</t>
        </is>
      </c>
      <c r="N7859" s="54" t="n">
        <v>3360</v>
      </c>
      <c r="O7859" s="55" t="inlineStr">
        <is>
          <t>1–15</t>
        </is>
      </c>
      <c r="P7859" s="16" t="inlineStr">
        <is>
          <t>ССЧР обогащена; ОКВЭД не найден/не загружен</t>
        </is>
      </c>
      <c r="Q7859" s="16" t="inlineStr">
        <is>
          <t>ФНС открытые данные ССЧР (ДатаСост 31.12.2025; набор 7707329152-sshr2019)</t>
        </is>
      </c>
      <c r="R7859" s="16">
        <f>HYPERLINK("https://checko.ru/search?query=3801001629","Чекко: проверить")</f>
        <v/>
      </c>
      <c r="S7859" t="n">
        <v>0</v>
      </c>
      <c r="T7859" s="35" t="inlineStr">
        <is>
          <t>4 — Не обогащён</t>
        </is>
      </c>
      <c r="U7859" s="35" t="inlineStr">
        <is>
          <t>Нет ОКВЭД/ССЧР</t>
        </is>
      </c>
      <c r="V7859" s="35" t="inlineStr">
        <is>
          <t>Не определено</t>
        </is>
      </c>
      <c r="W7859" s="35" t="inlineStr">
        <is>
          <t>Нет</t>
        </is>
      </c>
      <c r="X7859" s="35" t="inlineStr"/>
    </row>
    <row r="7860" ht="15" customHeight="1" s="24">
      <c r="A7860" s="13" t="n">
        <v>20012830101</v>
      </c>
      <c r="B7860" s="13" t="inlineStr">
        <is>
          <t>ООО "БЭС"</t>
        </is>
      </c>
      <c r="C7860" s="13" t="n">
        <v>3811433988</v>
      </c>
      <c r="D7860" s="13" t="inlineStr">
        <is>
          <t>3811433988</t>
        </is>
      </c>
      <c r="E7860" s="13" t="inlineStr">
        <is>
          <t>ЮЛ РФ</t>
        </is>
      </c>
      <c r="F7860" s="13" t="n"/>
      <c r="G7860" s="52" t="n">
        <v>3</v>
      </c>
      <c r="H7860" s="52" t="n">
        <v>2025</v>
      </c>
      <c r="I7860" s="14" t="n"/>
      <c r="J7860" s="14" t="n"/>
      <c r="K7860" s="53" t="inlineStr">
        <is>
          <t>Нет</t>
        </is>
      </c>
      <c r="L7860" s="53" t="inlineStr">
        <is>
          <t>Не определено</t>
        </is>
      </c>
      <c r="M7860" s="53" t="inlineStr">
        <is>
          <t>До 10</t>
        </is>
      </c>
      <c r="N7860" s="54" t="n">
        <v>3360</v>
      </c>
      <c r="O7860" s="55" t="inlineStr">
        <is>
          <t>1–15</t>
        </is>
      </c>
      <c r="P7860" s="16" t="inlineStr">
        <is>
          <t>ССЧР обогащена; ОКВЭД не найден/не загружен</t>
        </is>
      </c>
      <c r="Q7860" s="16" t="inlineStr">
        <is>
          <t>ФНС открытые данные ССЧР (ДатаСост 31.12.2025; набор 7707329152-sshr2019)</t>
        </is>
      </c>
      <c r="R7860" s="16">
        <f>HYPERLINK("https://checko.ru/search?query=3801001629","Чекко: проверить")</f>
        <v/>
      </c>
      <c r="S7860" t="n">
        <v>0</v>
      </c>
      <c r="T7860" s="35" t="inlineStr">
        <is>
          <t>4 — Не обогащён</t>
        </is>
      </c>
      <c r="U7860" s="35" t="inlineStr">
        <is>
          <t>Нет ОКВЭД/ССЧР</t>
        </is>
      </c>
      <c r="V7860" s="35" t="inlineStr">
        <is>
          <t>Не определено</t>
        </is>
      </c>
      <c r="W7860" s="35" t="inlineStr">
        <is>
          <t>Нет</t>
        </is>
      </c>
      <c r="X7860" s="35" t="inlineStr"/>
    </row>
    <row r="7861" ht="27.75" customHeight="1" s="24">
      <c r="A7861" s="13" t="n">
        <v>20012818428</v>
      </c>
      <c r="B7861" s="13" t="inlineStr">
        <is>
          <t>Индивидуальный предприниматель Бровко Александра Владимировна</t>
        </is>
      </c>
      <c r="C7861" s="13" t="n">
        <v>381115519450</v>
      </c>
      <c r="D7861" s="13" t="inlineStr">
        <is>
          <t>381115519450</t>
        </is>
      </c>
      <c r="E7861" s="13" t="inlineStr">
        <is>
          <t>ИП РФ / физлицо</t>
        </is>
      </c>
      <c r="F7861" s="13" t="n"/>
      <c r="G7861" s="14" t="n"/>
      <c r="H7861" s="14" t="n"/>
      <c r="I7861" s="14" t="n"/>
      <c r="J7861" s="14" t="n"/>
      <c r="K7861" s="53" t="inlineStr"/>
      <c r="L7861" s="53" t="inlineStr">
        <is>
          <t>Не определено</t>
        </is>
      </c>
      <c r="M7861" s="53" t="inlineStr"/>
      <c r="N7861" s="54" t="inlineStr"/>
      <c r="O7861" s="55" t="inlineStr"/>
      <c r="P7861" s="16" t="inlineStr">
        <is>
          <t>Требует обогащения</t>
        </is>
      </c>
      <c r="Q7861" s="16">
        <f>HYPERLINK("https://pb.nalog.ru/search.html?query=381115519450","ФНС: проверить")</f>
        <v/>
      </c>
      <c r="R7861" s="16">
        <f>HYPERLINK("https://checko.ru/search?query=3801001629","Чекко: проверить")</f>
        <v/>
      </c>
      <c r="S7861" t="n">
        <v>1</v>
      </c>
      <c r="T7861" s="35" t="inlineStr">
        <is>
          <t>4 — Не обогащён</t>
        </is>
      </c>
      <c r="U7861" s="35" t="inlineStr">
        <is>
          <t>Нет ОКВЭД/ССЧР</t>
        </is>
      </c>
      <c r="V7861" s="35" t="inlineStr">
        <is>
          <t>Не определено</t>
        </is>
      </c>
      <c r="W7861" s="35" t="inlineStr"/>
      <c r="X7861" s="35" t="inlineStr"/>
    </row>
    <row r="7862" ht="15" customHeight="1" s="24">
      <c r="A7862" s="13" t="n">
        <v>9707051</v>
      </c>
      <c r="B7862" s="13" t="inlineStr">
        <is>
          <t>ООО "КАМИ-лот"</t>
        </is>
      </c>
      <c r="C7862" s="13" t="n">
        <v>3810043488</v>
      </c>
      <c r="D7862" s="13" t="inlineStr">
        <is>
          <t>3810043488</t>
        </is>
      </c>
      <c r="E7862" s="13" t="inlineStr">
        <is>
          <t>ЮЛ РФ</t>
        </is>
      </c>
      <c r="F7862" s="13" t="n"/>
      <c r="G7862" s="52" t="n">
        <v>2</v>
      </c>
      <c r="H7862" s="52" t="n">
        <v>2025</v>
      </c>
      <c r="I7862" s="14" t="n"/>
      <c r="J7862" s="14" t="n"/>
      <c r="K7862" s="53" t="inlineStr">
        <is>
          <t>Нет</t>
        </is>
      </c>
      <c r="L7862" s="53" t="inlineStr">
        <is>
          <t>Не определено</t>
        </is>
      </c>
      <c r="M7862" s="53" t="inlineStr">
        <is>
          <t>До 10</t>
        </is>
      </c>
      <c r="N7862" s="54" t="n">
        <v>3360</v>
      </c>
      <c r="O7862" s="55" t="inlineStr">
        <is>
          <t>1–15</t>
        </is>
      </c>
      <c r="P7862" s="16" t="inlineStr">
        <is>
          <t>ССЧР обогащена; ОКВЭД не найден/не загружен</t>
        </is>
      </c>
      <c r="Q7862" s="16" t="inlineStr">
        <is>
          <t>ФНС открытые данные ССЧР (ДатаСост 31.12.2025; набор 7707329152-sshr2019)</t>
        </is>
      </c>
      <c r="R7862" s="16">
        <f>HYPERLINK("https://checko.ru/search?query=3801001629","Чекко: проверить")</f>
        <v/>
      </c>
      <c r="S7862" t="n">
        <v>0</v>
      </c>
      <c r="T7862" s="35" t="inlineStr">
        <is>
          <t>4 — Не обогащён</t>
        </is>
      </c>
      <c r="U7862" s="35" t="inlineStr">
        <is>
          <t>Нет ОКВЭД/ССЧР</t>
        </is>
      </c>
      <c r="V7862" s="35" t="inlineStr">
        <is>
          <t>Не определено</t>
        </is>
      </c>
      <c r="W7862" s="35" t="inlineStr">
        <is>
          <t>Нет</t>
        </is>
      </c>
      <c r="X7862" s="35" t="inlineStr"/>
    </row>
    <row r="7863" ht="15" customHeight="1" s="24">
      <c r="A7863" s="13" t="n">
        <v>802400970</v>
      </c>
      <c r="B7863" s="13" t="inlineStr">
        <is>
          <t>КМП "Автодор" УКМО (ГП)"</t>
        </is>
      </c>
      <c r="C7863" s="13" t="n">
        <v>3818043560</v>
      </c>
      <c r="D7863" s="13" t="inlineStr">
        <is>
          <t>3818043560</t>
        </is>
      </c>
      <c r="E7863" s="13" t="inlineStr">
        <is>
          <t>ЮЛ РФ</t>
        </is>
      </c>
      <c r="F7863" s="13" t="n"/>
      <c r="G7863" s="14" t="n"/>
      <c r="H7863" s="14" t="n"/>
      <c r="I7863" s="14" t="n"/>
      <c r="J7863" s="14" t="n"/>
      <c r="K7863" s="53" t="inlineStr"/>
      <c r="L7863" s="53" t="inlineStr">
        <is>
          <t>Не определено</t>
        </is>
      </c>
      <c r="M7863" s="53" t="inlineStr"/>
      <c r="N7863" s="54" t="inlineStr"/>
      <c r="O7863" s="55" t="inlineStr"/>
      <c r="P7863" s="16" t="inlineStr">
        <is>
          <t>Требует обогащения</t>
        </is>
      </c>
      <c r="Q7863" s="16">
        <f>HYPERLINK("https://pb.nalog.ru/search.html?query=3818043560","ФНС: проверить")</f>
        <v/>
      </c>
      <c r="R7863" s="16">
        <f>HYPERLINK("https://checko.ru/search?query=3801001629","Чекко: проверить")</f>
        <v/>
      </c>
      <c r="S7863" t="n">
        <v>1</v>
      </c>
      <c r="T7863" s="35" t="inlineStr">
        <is>
          <t>4 — Не обогащён</t>
        </is>
      </c>
      <c r="U7863" s="35" t="inlineStr">
        <is>
          <t>Нет ОКВЭД/ССЧР</t>
        </is>
      </c>
      <c r="V7863" s="35" t="inlineStr">
        <is>
          <t>Не определено</t>
        </is>
      </c>
      <c r="W7863" s="35" t="inlineStr"/>
      <c r="X7863" s="35" t="inlineStr"/>
    </row>
    <row r="7864" ht="15" customHeight="1" s="24">
      <c r="A7864" s="13" t="n">
        <v>800559820</v>
      </c>
      <c r="B7864" s="13" t="inlineStr">
        <is>
          <t>ООО "РОСТА"</t>
        </is>
      </c>
      <c r="C7864" s="13" t="n">
        <v>7536094028</v>
      </c>
      <c r="D7864" s="13" t="inlineStr">
        <is>
          <t>7536094028</t>
        </is>
      </c>
      <c r="E7864" s="13" t="inlineStr">
        <is>
          <t>ЮЛ РФ</t>
        </is>
      </c>
      <c r="F7864" s="13" t="n"/>
      <c r="G7864" s="52" t="n">
        <v>1</v>
      </c>
      <c r="H7864" s="52" t="n">
        <v>2025</v>
      </c>
      <c r="I7864" s="14" t="n"/>
      <c r="J7864" s="14" t="n"/>
      <c r="K7864" s="53" t="inlineStr">
        <is>
          <t>Нет</t>
        </is>
      </c>
      <c r="L7864" s="53" t="inlineStr">
        <is>
          <t>Не определено</t>
        </is>
      </c>
      <c r="M7864" s="53" t="inlineStr">
        <is>
          <t>До 10</t>
        </is>
      </c>
      <c r="N7864" s="54" t="n">
        <v>3360</v>
      </c>
      <c r="O7864" s="55" t="inlineStr">
        <is>
          <t>1–15</t>
        </is>
      </c>
      <c r="P7864" s="16" t="inlineStr">
        <is>
          <t>ССЧР обогащена; ОКВЭД не найден/не загружен</t>
        </is>
      </c>
      <c r="Q7864" s="16" t="inlineStr">
        <is>
          <t>ФНС открытые данные ССЧР (ДатаСост 31.12.2025; набор 7707329152-sshr2019)</t>
        </is>
      </c>
      <c r="R7864" s="16">
        <f>HYPERLINK("https://checko.ru/search?query=3801001629","Чекко: проверить")</f>
        <v/>
      </c>
      <c r="S7864" t="n">
        <v>1</v>
      </c>
      <c r="T7864" s="35" t="inlineStr">
        <is>
          <t>4 — Не обогащён</t>
        </is>
      </c>
      <c r="U7864" s="35" t="inlineStr">
        <is>
          <t>Нет ОКВЭД/ССЧР</t>
        </is>
      </c>
      <c r="V7864" s="35" t="inlineStr">
        <is>
          <t>Не определено</t>
        </is>
      </c>
      <c r="W7864" s="35" t="inlineStr">
        <is>
          <t>Нет</t>
        </is>
      </c>
      <c r="X7864" s="35" t="inlineStr"/>
    </row>
    <row r="7865" ht="15" customHeight="1" s="24">
      <c r="A7865" s="13" t="n">
        <v>9348547</v>
      </c>
      <c r="B7865" s="13" t="inlineStr">
        <is>
          <t>Восточно-Сибирский филиал ФГУП "ВНИИФТРИ"</t>
        </is>
      </c>
      <c r="C7865" s="13" t="n">
        <v>5044000102</v>
      </c>
      <c r="D7865" s="13" t="inlineStr">
        <is>
          <t>5044000102</t>
        </is>
      </c>
      <c r="E7865" s="13" t="inlineStr">
        <is>
          <t>ЮЛ РФ</t>
        </is>
      </c>
      <c r="F7865" s="13" t="n"/>
      <c r="G7865" s="14" t="n"/>
      <c r="H7865" s="14" t="n"/>
      <c r="I7865" s="14" t="n"/>
      <c r="J7865" s="14" t="n"/>
      <c r="K7865" s="53" t="inlineStr"/>
      <c r="L7865" s="53" t="inlineStr">
        <is>
          <t>Не определено</t>
        </is>
      </c>
      <c r="M7865" s="53" t="inlineStr"/>
      <c r="N7865" s="54" t="inlineStr"/>
      <c r="O7865" s="55" t="inlineStr"/>
      <c r="P7865" s="16" t="inlineStr">
        <is>
          <t>Требует обогащения</t>
        </is>
      </c>
      <c r="Q7865" s="16">
        <f>HYPERLINK("https://pb.nalog.ru/search.html?query=5044000102","ФНС: проверить")</f>
        <v/>
      </c>
      <c r="R7865" s="16">
        <f>HYPERLINK("https://checko.ru/search?query=3801001629","Чекко: проверить")</f>
        <v/>
      </c>
      <c r="S7865" t="n">
        <v>0</v>
      </c>
      <c r="T7865" s="35" t="inlineStr">
        <is>
          <t>4 — Не обогащён</t>
        </is>
      </c>
      <c r="U7865" s="35" t="inlineStr">
        <is>
          <t>Нет ОКВЭД/ССЧР</t>
        </is>
      </c>
      <c r="V7865" s="35" t="inlineStr">
        <is>
          <t>Не определено</t>
        </is>
      </c>
      <c r="W7865" s="35" t="inlineStr"/>
      <c r="X7865" s="35" t="inlineStr"/>
    </row>
    <row r="7866" ht="27.75" customHeight="1" s="24">
      <c r="A7866" s="13" t="n">
        <v>802458046</v>
      </c>
      <c r="B7866" s="13" t="inlineStr">
        <is>
          <t>ОБЩЕСТВО С ОГРАНИЧЕННОЙ ОТВЕТСТВЕННОСТЬЮ "ЧИКОЙ"</t>
        </is>
      </c>
      <c r="C7866" s="13" t="n">
        <v>3810074165</v>
      </c>
      <c r="D7866" s="13" t="inlineStr">
        <is>
          <t>3810074165</t>
        </is>
      </c>
      <c r="E7866" s="13" t="inlineStr">
        <is>
          <t>ЮЛ РФ</t>
        </is>
      </c>
      <c r="F7866" s="13" t="n"/>
      <c r="G7866" s="52" t="n">
        <v>8</v>
      </c>
      <c r="H7866" s="52" t="n">
        <v>2025</v>
      </c>
      <c r="I7866" s="14" t="n"/>
      <c r="J7866" s="14" t="n"/>
      <c r="K7866" s="53" t="inlineStr">
        <is>
          <t>Нет</t>
        </is>
      </c>
      <c r="L7866" s="53" t="inlineStr">
        <is>
          <t>Не определено</t>
        </is>
      </c>
      <c r="M7866" s="53" t="inlineStr">
        <is>
          <t>До 10</t>
        </is>
      </c>
      <c r="N7866" s="54" t="n">
        <v>3360</v>
      </c>
      <c r="O7866" s="55" t="inlineStr">
        <is>
          <t>1–15</t>
        </is>
      </c>
      <c r="P7866" s="16" t="inlineStr">
        <is>
          <t>ССЧР обогащена; ОКВЭД не найден/не загружен</t>
        </is>
      </c>
      <c r="Q7866" s="16" t="inlineStr">
        <is>
          <t>ФНС открытые данные ССЧР (ДатаСост 31.12.2025; набор 7707329152-sshr2019)</t>
        </is>
      </c>
      <c r="R7866" s="16">
        <f>HYPERLINK("https://checko.ru/search?query=3801001629","Чекко: проверить")</f>
        <v/>
      </c>
      <c r="S7866" t="n">
        <v>0</v>
      </c>
      <c r="T7866" s="35" t="inlineStr">
        <is>
          <t>4 — Не обогащён</t>
        </is>
      </c>
      <c r="U7866" s="35" t="inlineStr">
        <is>
          <t>Нет ОКВЭД/ССЧР</t>
        </is>
      </c>
      <c r="V7866" s="35" t="inlineStr">
        <is>
          <t>Не определено</t>
        </is>
      </c>
      <c r="W7866" s="35" t="inlineStr">
        <is>
          <t>Нет</t>
        </is>
      </c>
      <c r="X7866" s="35" t="inlineStr"/>
    </row>
    <row r="7867" ht="27.75" customHeight="1" s="24">
      <c r="A7867" s="13" t="n">
        <v>802463765</v>
      </c>
      <c r="B7867" s="13" t="inlineStr">
        <is>
          <t>ОБЩЕСТВО С ОГРАНИЧЕННОЙ ОТВЕТСТВЕННОСТЬЮ "ВОСТСИБРЕГИОН"</t>
        </is>
      </c>
      <c r="C7867" s="13" t="n">
        <v>3801117817</v>
      </c>
      <c r="D7867" s="13" t="inlineStr">
        <is>
          <t>3801117817</t>
        </is>
      </c>
      <c r="E7867" s="13" t="inlineStr">
        <is>
          <t>ЮЛ РФ</t>
        </is>
      </c>
      <c r="F7867" s="13" t="n"/>
      <c r="G7867" s="52" t="n">
        <v>7</v>
      </c>
      <c r="H7867" s="52" t="n">
        <v>2025</v>
      </c>
      <c r="I7867" s="14" t="n"/>
      <c r="J7867" s="14" t="n"/>
      <c r="K7867" s="53" t="inlineStr">
        <is>
          <t>Нет</t>
        </is>
      </c>
      <c r="L7867" s="53" t="inlineStr">
        <is>
          <t>Не определено</t>
        </is>
      </c>
      <c r="M7867" s="53" t="inlineStr">
        <is>
          <t>До 10</t>
        </is>
      </c>
      <c r="N7867" s="54" t="n">
        <v>3360</v>
      </c>
      <c r="O7867" s="55" t="inlineStr">
        <is>
          <t>1–15</t>
        </is>
      </c>
      <c r="P7867" s="16" t="inlineStr">
        <is>
          <t>ССЧР обогащена; ОКВЭД не найден/не загружен</t>
        </is>
      </c>
      <c r="Q7867" s="16" t="inlineStr">
        <is>
          <t>ФНС открытые данные ССЧР (ДатаСост 31.12.2025; набор 7707329152-sshr2019)</t>
        </is>
      </c>
      <c r="R7867" s="16">
        <f>HYPERLINK("https://checko.ru/search?query=3801001629","Чекко: проверить")</f>
        <v/>
      </c>
      <c r="S7867" t="n">
        <v>0</v>
      </c>
      <c r="T7867" s="35" t="inlineStr">
        <is>
          <t>4 — Не обогащён</t>
        </is>
      </c>
      <c r="U7867" s="35" t="inlineStr">
        <is>
          <t>Нет ОКВЭД/ССЧР</t>
        </is>
      </c>
      <c r="V7867" s="35" t="inlineStr">
        <is>
          <t>Не определено</t>
        </is>
      </c>
      <c r="W7867" s="35" t="inlineStr">
        <is>
          <t>Нет</t>
        </is>
      </c>
      <c r="X7867" s="35" t="inlineStr"/>
    </row>
    <row r="7868" ht="27.75" customHeight="1" s="24">
      <c r="A7868" s="13" t="n">
        <v>9843132</v>
      </c>
      <c r="B7868" s="13" t="inlineStr">
        <is>
          <t>Общество с ограниченной ответственностью "ЭКВИЛИБРИУМ"</t>
        </is>
      </c>
      <c r="C7868" s="13" t="n">
        <v>3812538479</v>
      </c>
      <c r="D7868" s="13" t="inlineStr">
        <is>
          <t>3812538479</t>
        </is>
      </c>
      <c r="E7868" s="13" t="inlineStr">
        <is>
          <t>ЮЛ РФ</t>
        </is>
      </c>
      <c r="F7868" s="13" t="n"/>
      <c r="G7868" s="14" t="n"/>
      <c r="H7868" s="14" t="n"/>
      <c r="I7868" s="14" t="n"/>
      <c r="J7868" s="14" t="n"/>
      <c r="K7868" s="53" t="inlineStr"/>
      <c r="L7868" s="53" t="inlineStr">
        <is>
          <t>Не определено</t>
        </is>
      </c>
      <c r="M7868" s="53" t="inlineStr"/>
      <c r="N7868" s="54" t="inlineStr"/>
      <c r="O7868" s="55" t="inlineStr"/>
      <c r="P7868" s="16" t="inlineStr">
        <is>
          <t>Требует обогащения</t>
        </is>
      </c>
      <c r="Q7868" s="16">
        <f>HYPERLINK("https://pb.nalog.ru/search.html?query=3812538479","ФНС: проверить")</f>
        <v/>
      </c>
      <c r="R7868" s="16">
        <f>HYPERLINK("https://checko.ru/search?query=3801001629","Чекко: проверить")</f>
        <v/>
      </c>
      <c r="S7868" t="n">
        <v>0</v>
      </c>
      <c r="T7868" s="35" t="inlineStr">
        <is>
          <t>4 — Не обогащён</t>
        </is>
      </c>
      <c r="U7868" s="35" t="inlineStr">
        <is>
          <t>Нет ОКВЭД/ССЧР</t>
        </is>
      </c>
      <c r="V7868" s="35" t="inlineStr">
        <is>
          <t>Не определено</t>
        </is>
      </c>
      <c r="W7868" s="35" t="inlineStr"/>
      <c r="X7868" s="35" t="inlineStr"/>
    </row>
    <row r="7869" ht="15" customHeight="1" s="24">
      <c r="A7869" s="13" t="n">
        <v>20012515904</v>
      </c>
      <c r="B7869" s="13" t="inlineStr">
        <is>
          <t>ООО "ЭЛИТБАЙКАЛ"</t>
        </is>
      </c>
      <c r="C7869" s="13" t="n">
        <v>3810340804</v>
      </c>
      <c r="D7869" s="13" t="inlineStr">
        <is>
          <t>3810340804</t>
        </is>
      </c>
      <c r="E7869" s="13" t="inlineStr">
        <is>
          <t>ЮЛ РФ</t>
        </is>
      </c>
      <c r="F7869" s="13" t="n"/>
      <c r="G7869" s="52" t="n">
        <v>4</v>
      </c>
      <c r="H7869" s="52" t="n">
        <v>2025</v>
      </c>
      <c r="I7869" s="14" t="n"/>
      <c r="J7869" s="14" t="n"/>
      <c r="K7869" s="53" t="inlineStr">
        <is>
          <t>Нет</t>
        </is>
      </c>
      <c r="L7869" s="53" t="inlineStr">
        <is>
          <t>Не определено</t>
        </is>
      </c>
      <c r="M7869" s="53" t="inlineStr">
        <is>
          <t>До 10</t>
        </is>
      </c>
      <c r="N7869" s="54" t="n">
        <v>3360</v>
      </c>
      <c r="O7869" s="55" t="inlineStr">
        <is>
          <t>1–15</t>
        </is>
      </c>
      <c r="P7869" s="16" t="inlineStr">
        <is>
          <t>ССЧР обогащена; ОКВЭД не найден/не загружен</t>
        </is>
      </c>
      <c r="Q7869" s="16" t="inlineStr">
        <is>
          <t>ФНС открытые данные ССЧР (ДатаСост 31.12.2025; набор 7707329152-sshr2019)</t>
        </is>
      </c>
      <c r="R7869" s="16">
        <f>HYPERLINK("https://checko.ru/search?query=3801001629","Чекко: проверить")</f>
        <v/>
      </c>
      <c r="S7869" t="n">
        <v>1</v>
      </c>
      <c r="T7869" s="35" t="inlineStr">
        <is>
          <t>4 — Не обогащён</t>
        </is>
      </c>
      <c r="U7869" s="35" t="inlineStr">
        <is>
          <t>Нет ОКВЭД/ССЧР</t>
        </is>
      </c>
      <c r="V7869" s="35" t="inlineStr">
        <is>
          <t>Не определено</t>
        </is>
      </c>
      <c r="W7869" s="35" t="inlineStr">
        <is>
          <t>Нет</t>
        </is>
      </c>
      <c r="X7869" s="35" t="inlineStr"/>
    </row>
    <row r="7870" ht="15" customHeight="1" s="24">
      <c r="A7870" s="13" t="n">
        <v>800827782</v>
      </c>
      <c r="B7870" s="13" t="inlineStr">
        <is>
          <t>ИП Кутчер Елена Валентиновна</t>
        </is>
      </c>
      <c r="C7870" s="13" t="n">
        <v>380409205905</v>
      </c>
      <c r="D7870" s="13" t="inlineStr">
        <is>
          <t>380409205905</t>
        </is>
      </c>
      <c r="E7870" s="13" t="inlineStr">
        <is>
          <t>ИП РФ / физлицо</t>
        </is>
      </c>
      <c r="F7870" s="13" t="n"/>
      <c r="G7870" s="14" t="n"/>
      <c r="H7870" s="14" t="n"/>
      <c r="I7870" s="14" t="n"/>
      <c r="J7870" s="14" t="n"/>
      <c r="K7870" s="53" t="inlineStr"/>
      <c r="L7870" s="53" t="inlineStr">
        <is>
          <t>Не определено</t>
        </is>
      </c>
      <c r="M7870" s="53" t="inlineStr"/>
      <c r="N7870" s="54" t="inlineStr"/>
      <c r="O7870" s="55" t="inlineStr"/>
      <c r="P7870" s="16" t="inlineStr">
        <is>
          <t>Требует обогащения</t>
        </is>
      </c>
      <c r="Q7870" s="16">
        <f>HYPERLINK("https://pb.nalog.ru/search.html?query=380409205905","ФНС: проверить")</f>
        <v/>
      </c>
      <c r="R7870" s="16">
        <f>HYPERLINK("https://checko.ru/search?query=3801001629","Чекко: проверить")</f>
        <v/>
      </c>
      <c r="S7870" t="n">
        <v>0</v>
      </c>
      <c r="T7870" s="35" t="inlineStr">
        <is>
          <t>4 — Не обогащён</t>
        </is>
      </c>
      <c r="U7870" s="35" t="inlineStr">
        <is>
          <t>Нет ОКВЭД/ССЧР</t>
        </is>
      </c>
      <c r="V7870" s="35" t="inlineStr">
        <is>
          <t>Не определено</t>
        </is>
      </c>
      <c r="W7870" s="35" t="inlineStr"/>
      <c r="X7870" s="35" t="inlineStr"/>
    </row>
    <row r="7871" ht="27.75" customHeight="1" s="24">
      <c r="A7871" s="13" t="n">
        <v>801625162</v>
      </c>
      <c r="B7871" s="13" t="inlineStr">
        <is>
          <t>Индивидуальный предприниматель Воронин Константин Александрович</t>
        </is>
      </c>
      <c r="C7871" s="13" t="n">
        <v>381254910445</v>
      </c>
      <c r="D7871" s="13" t="inlineStr">
        <is>
          <t>381254910445</t>
        </is>
      </c>
      <c r="E7871" s="13" t="inlineStr">
        <is>
          <t>ИП РФ / физлицо</t>
        </is>
      </c>
      <c r="F7871" s="13" t="n"/>
      <c r="G7871" s="14" t="n"/>
      <c r="H7871" s="14" t="n"/>
      <c r="I7871" s="14" t="n"/>
      <c r="J7871" s="14" t="n"/>
      <c r="K7871" s="53" t="inlineStr"/>
      <c r="L7871" s="53" t="inlineStr">
        <is>
          <t>Не определено</t>
        </is>
      </c>
      <c r="M7871" s="53" t="inlineStr"/>
      <c r="N7871" s="54" t="inlineStr"/>
      <c r="O7871" s="55" t="inlineStr"/>
      <c r="P7871" s="16" t="inlineStr">
        <is>
          <t>Требует обогащения</t>
        </is>
      </c>
      <c r="Q7871" s="16">
        <f>HYPERLINK("https://pb.nalog.ru/search.html?query=381254910445","ФНС: проверить")</f>
        <v/>
      </c>
      <c r="R7871" s="16">
        <f>HYPERLINK("https://checko.ru/search?query=3801001629","Чекко: проверить")</f>
        <v/>
      </c>
      <c r="S7871" t="n">
        <v>1</v>
      </c>
      <c r="T7871" s="35" t="inlineStr">
        <is>
          <t>4 — Не обогащён</t>
        </is>
      </c>
      <c r="U7871" s="35" t="inlineStr">
        <is>
          <t>Нет ОКВЭД/ССЧР</t>
        </is>
      </c>
      <c r="V7871" s="35" t="inlineStr">
        <is>
          <t>Не определено</t>
        </is>
      </c>
      <c r="W7871" s="35" t="inlineStr"/>
      <c r="X7871" s="35" t="inlineStr"/>
    </row>
    <row r="7872" ht="15" customHeight="1" s="24">
      <c r="A7872" s="13" t="n">
        <v>802477275</v>
      </c>
      <c r="B7872" s="13" t="inlineStr">
        <is>
          <t>ООО "СК КЛИМАТ-СЕРВИС"</t>
        </is>
      </c>
      <c r="C7872" s="13" t="n">
        <v>3811444919</v>
      </c>
      <c r="D7872" s="13" t="inlineStr">
        <is>
          <t>3811444919</t>
        </is>
      </c>
      <c r="E7872" s="13" t="inlineStr">
        <is>
          <t>ЮЛ РФ</t>
        </is>
      </c>
      <c r="F7872" s="13" t="n"/>
      <c r="G7872" s="52" t="n">
        <v>32</v>
      </c>
      <c r="H7872" s="52" t="n">
        <v>2025</v>
      </c>
      <c r="I7872" s="52" t="inlineStr">
        <is>
          <t>71.12.1</t>
        </is>
      </c>
      <c r="J7872" s="52" t="inlineStr">
        <is>
          <t>71.12.1; 33.12; 41.20; 42.21; 42.99; 43.12; 43.22; 43.29; 43.31; 43.33; 43.34; 43.39; 43.91; 43.99; 46.49; 46.90; 47.30; 47.78.9; 47.79.3; 49.41; 49.42; 56.10; 56.10.1; 56.10.3; 58.11.1; 63.11.1; 64.99; 66.11; 66.12.1; 68.31.1; 68.31.2; 68.31.3; 68.31.4; 70.22; 71.12.13; 71.20.62; 73.11; 79.11</t>
        </is>
      </c>
      <c r="K7872" s="53" t="inlineStr">
        <is>
          <t>Да</t>
        </is>
      </c>
      <c r="L7872" s="53" t="inlineStr">
        <is>
          <t>Да</t>
        </is>
      </c>
      <c r="M7872" s="53" t="inlineStr">
        <is>
          <t>До 50</t>
        </is>
      </c>
      <c r="N7872" s="54" t="n">
        <v>16800</v>
      </c>
      <c r="O7872" s="55" t="inlineStr">
        <is>
          <t>31–50</t>
        </is>
      </c>
      <c r="P7872" s="16" t="inlineStr">
        <is>
          <t>ССЧР + ОКВЭД обогащены</t>
        </is>
      </c>
      <c r="Q7872" s="16" t="inlineStr">
        <is>
          <t>ФНС открытые данные ССЧР (ДатаСост 31.12.2025; набор 7707329152-sshr2019)</t>
        </is>
      </c>
      <c r="R7872" s="16" t="inlineStr">
        <is>
          <t>ЕГРЮЛ / egrul.nalog.ru (выписка)</t>
        </is>
      </c>
      <c r="S7872" t="n">
        <v>0</v>
      </c>
      <c r="T7872" s="35" t="inlineStr">
        <is>
          <t>1 — Горячий</t>
        </is>
      </c>
      <c r="U7872" s="35" t="inlineStr">
        <is>
          <t>ОКВЭД + 22+</t>
        </is>
      </c>
      <c r="V7872" s="35" t="inlineStr">
        <is>
          <t>Да</t>
        </is>
      </c>
      <c r="W7872" s="35" t="inlineStr">
        <is>
          <t>Да</t>
        </is>
      </c>
      <c r="X7872" s="35" t="inlineStr">
        <is>
          <t>Да</t>
        </is>
      </c>
    </row>
    <row r="7873" ht="15" customHeight="1" s="24">
      <c r="A7873" s="13" t="n">
        <v>9855782</v>
      </c>
      <c r="B7873" s="13" t="inlineStr">
        <is>
          <t>ООО ЧОП "ФЕНИКС ФЕДЕРАЛ"</t>
        </is>
      </c>
      <c r="C7873" s="13" t="n">
        <v>3849037366</v>
      </c>
      <c r="D7873" s="13" t="inlineStr">
        <is>
          <t>3849037366</t>
        </is>
      </c>
      <c r="E7873" s="13" t="inlineStr">
        <is>
          <t>ЮЛ РФ</t>
        </is>
      </c>
      <c r="F7873" s="13" t="n"/>
      <c r="G7873" s="52" t="n">
        <v>24</v>
      </c>
      <c r="H7873" s="52" t="n">
        <v>2025</v>
      </c>
      <c r="I7873" s="52" t="inlineStr">
        <is>
          <t>80.10</t>
        </is>
      </c>
      <c r="J7873" s="52" t="inlineStr">
        <is>
          <t>80.10; 80.20</t>
        </is>
      </c>
      <c r="K7873" s="53" t="inlineStr">
        <is>
          <t>Да</t>
        </is>
      </c>
      <c r="L7873" s="53" t="inlineStr">
        <is>
          <t>Да</t>
        </is>
      </c>
      <c r="M7873" s="53" t="inlineStr">
        <is>
          <t>До 25</t>
        </is>
      </c>
      <c r="N7873" s="54" t="n">
        <v>8400</v>
      </c>
      <c r="O7873" s="55" t="inlineStr">
        <is>
          <t>16–30</t>
        </is>
      </c>
      <c r="P7873" s="16" t="inlineStr">
        <is>
          <t>ССЧР + ОКВЭД обогащены</t>
        </is>
      </c>
      <c r="Q7873" s="16" t="inlineStr">
        <is>
          <t>ФНС открытые данные ССЧР (ДатаСост 31.12.2025; набор 7707329152-sshr2019)</t>
        </is>
      </c>
      <c r="R7873" s="16" t="inlineStr">
        <is>
          <t>ЕГРЮЛ / egrul.nalog.ru (выписка)</t>
        </is>
      </c>
      <c r="S7873" t="n">
        <v>0</v>
      </c>
      <c r="T7873" s="35" t="inlineStr">
        <is>
          <t>1 — Горячий</t>
        </is>
      </c>
      <c r="U7873" s="35" t="inlineStr">
        <is>
          <t>ОКВЭД + 22+</t>
        </is>
      </c>
      <c r="V7873" s="35" t="inlineStr">
        <is>
          <t>Да</t>
        </is>
      </c>
      <c r="W7873" s="35" t="inlineStr">
        <is>
          <t>Да</t>
        </is>
      </c>
      <c r="X7873" s="35" t="inlineStr">
        <is>
          <t>Да</t>
        </is>
      </c>
    </row>
    <row r="7874" ht="15" customHeight="1" s="24">
      <c r="A7874" s="13" t="n">
        <v>800764823</v>
      </c>
      <c r="B7874" s="13" t="inlineStr">
        <is>
          <t>ООО "ШИНТРЕЙД"</t>
        </is>
      </c>
      <c r="C7874" s="13" t="n">
        <v>3811444683</v>
      </c>
      <c r="D7874" s="13" t="inlineStr">
        <is>
          <t>3811444683</t>
        </is>
      </c>
      <c r="E7874" s="13" t="inlineStr">
        <is>
          <t>ЮЛ РФ</t>
        </is>
      </c>
      <c r="F7874" s="13" t="n"/>
      <c r="G7874" s="52" t="n">
        <v>4</v>
      </c>
      <c r="H7874" s="52" t="n">
        <v>2025</v>
      </c>
      <c r="I7874" s="14" t="n"/>
      <c r="J7874" s="14" t="n"/>
      <c r="K7874" s="53" t="inlineStr">
        <is>
          <t>Нет</t>
        </is>
      </c>
      <c r="L7874" s="53" t="inlineStr">
        <is>
          <t>Не определено</t>
        </is>
      </c>
      <c r="M7874" s="53" t="inlineStr">
        <is>
          <t>До 10</t>
        </is>
      </c>
      <c r="N7874" s="54" t="n">
        <v>3360</v>
      </c>
      <c r="O7874" s="55" t="inlineStr">
        <is>
          <t>1–15</t>
        </is>
      </c>
      <c r="P7874" s="16" t="inlineStr">
        <is>
          <t>ССЧР обогащена; ОКВЭД не найден/не загружен</t>
        </is>
      </c>
      <c r="Q7874" s="16" t="inlineStr">
        <is>
          <t>ФНС открытые данные ССЧР (ДатаСост 31.12.2025; набор 7707329152-sshr2019)</t>
        </is>
      </c>
      <c r="R7874" s="16">
        <f>HYPERLINK("https://checko.ru/search?query=3801001629","Чекко: проверить")</f>
        <v/>
      </c>
      <c r="S7874" t="n">
        <v>0</v>
      </c>
      <c r="T7874" s="35" t="inlineStr">
        <is>
          <t>4 — Не обогащён</t>
        </is>
      </c>
      <c r="U7874" s="35" t="inlineStr">
        <is>
          <t>Нет ОКВЭД/ССЧР</t>
        </is>
      </c>
      <c r="V7874" s="35" t="inlineStr">
        <is>
          <t>Не определено</t>
        </is>
      </c>
      <c r="W7874" s="35" t="inlineStr">
        <is>
          <t>Нет</t>
        </is>
      </c>
      <c r="X7874" s="35" t="inlineStr"/>
    </row>
    <row r="7875" ht="15" customHeight="1" s="24">
      <c r="A7875" s="13" t="n">
        <v>18265186</v>
      </c>
      <c r="B7875" s="13" t="inlineStr">
        <is>
          <t>ИП Горбачев Евгений Олегович</t>
        </is>
      </c>
      <c r="C7875" s="13" t="n">
        <v>381109023800</v>
      </c>
      <c r="D7875" s="13" t="inlineStr">
        <is>
          <t>381109023800</t>
        </is>
      </c>
      <c r="E7875" s="13" t="inlineStr">
        <is>
          <t>ИП РФ / физлицо</t>
        </is>
      </c>
      <c r="F7875" s="13" t="n"/>
      <c r="G7875" s="14" t="n"/>
      <c r="H7875" s="14" t="n"/>
      <c r="I7875" s="14" t="n"/>
      <c r="J7875" s="14" t="n"/>
      <c r="K7875" s="53" t="inlineStr"/>
      <c r="L7875" s="53" t="inlineStr">
        <is>
          <t>Не определено</t>
        </is>
      </c>
      <c r="M7875" s="53" t="inlineStr"/>
      <c r="N7875" s="54" t="inlineStr"/>
      <c r="O7875" s="55" t="inlineStr"/>
      <c r="P7875" s="16" t="inlineStr">
        <is>
          <t>Требует обогащения</t>
        </is>
      </c>
      <c r="Q7875" s="16">
        <f>HYPERLINK("https://pb.nalog.ru/search.html?query=381109023800","ФНС: проверить")</f>
        <v/>
      </c>
      <c r="R7875" s="16">
        <f>HYPERLINK("https://checko.ru/search?query=3801001629","Чекко: проверить")</f>
        <v/>
      </c>
      <c r="S7875" t="n">
        <v>0</v>
      </c>
      <c r="T7875" s="35" t="inlineStr">
        <is>
          <t>4 — Не обогащён</t>
        </is>
      </c>
      <c r="U7875" s="35" t="inlineStr">
        <is>
          <t>Нет ОКВЭД/ССЧР</t>
        </is>
      </c>
      <c r="V7875" s="35" t="inlineStr">
        <is>
          <t>Не определено</t>
        </is>
      </c>
      <c r="W7875" s="35" t="inlineStr"/>
      <c r="X7875" s="35" t="inlineStr"/>
    </row>
    <row r="7876" ht="27.75" customHeight="1" s="24">
      <c r="A7876" s="13" t="n">
        <v>20012805455</v>
      </c>
      <c r="B7876" s="13" t="inlineStr">
        <is>
          <t>Индивидуальный предприниматель Десятерик Денис Владимирович</t>
        </is>
      </c>
      <c r="C7876" s="13" t="n">
        <v>381259070454</v>
      </c>
      <c r="D7876" s="13" t="inlineStr">
        <is>
          <t>381259070454</t>
        </is>
      </c>
      <c r="E7876" s="13" t="inlineStr">
        <is>
          <t>ИП РФ / физлицо</t>
        </is>
      </c>
      <c r="F7876" s="13" t="n"/>
      <c r="G7876" s="14" t="n"/>
      <c r="H7876" s="14" t="n"/>
      <c r="I7876" s="14" t="n"/>
      <c r="J7876" s="14" t="n"/>
      <c r="K7876" s="53" t="inlineStr"/>
      <c r="L7876" s="53" t="inlineStr">
        <is>
          <t>Не определено</t>
        </is>
      </c>
      <c r="M7876" s="53" t="inlineStr"/>
      <c r="N7876" s="54" t="inlineStr"/>
      <c r="O7876" s="55" t="inlineStr"/>
      <c r="P7876" s="16" t="inlineStr">
        <is>
          <t>Требует обогащения</t>
        </is>
      </c>
      <c r="Q7876" s="16">
        <f>HYPERLINK("https://pb.nalog.ru/search.html?query=381259070454","ФНС: проверить")</f>
        <v/>
      </c>
      <c r="R7876" s="16">
        <f>HYPERLINK("https://checko.ru/search?query=3801001629","Чекко: проверить")</f>
        <v/>
      </c>
      <c r="S7876" t="n">
        <v>1</v>
      </c>
      <c r="T7876" s="35" t="inlineStr">
        <is>
          <t>4 — Не обогащён</t>
        </is>
      </c>
      <c r="U7876" s="35" t="inlineStr">
        <is>
          <t>Нет ОКВЭД/ССЧР</t>
        </is>
      </c>
      <c r="V7876" s="35" t="inlineStr">
        <is>
          <t>Не определено</t>
        </is>
      </c>
      <c r="W7876" s="35" t="inlineStr"/>
      <c r="X7876" s="35" t="inlineStr"/>
    </row>
    <row r="7877" ht="27.75" customHeight="1" s="24">
      <c r="A7877" s="13" t="n">
        <v>802416421</v>
      </c>
      <c r="B7877" s="13" t="inlineStr">
        <is>
          <t>Индивидуальный предприниматель Чернявский Денис Викторович</t>
        </is>
      </c>
      <c r="C7877" s="13" t="n">
        <v>381255033638</v>
      </c>
      <c r="D7877" s="13" t="inlineStr">
        <is>
          <t>381255033638</t>
        </is>
      </c>
      <c r="E7877" s="13" t="inlineStr">
        <is>
          <t>ИП РФ / физлицо</t>
        </is>
      </c>
      <c r="F7877" s="13" t="n"/>
      <c r="G7877" s="14" t="n"/>
      <c r="H7877" s="14" t="n"/>
      <c r="I7877" s="14" t="n"/>
      <c r="J7877" s="14" t="n"/>
      <c r="K7877" s="53" t="inlineStr"/>
      <c r="L7877" s="53" t="inlineStr">
        <is>
          <t>Не определено</t>
        </is>
      </c>
      <c r="M7877" s="53" t="inlineStr"/>
      <c r="N7877" s="54" t="inlineStr"/>
      <c r="O7877" s="55" t="inlineStr"/>
      <c r="P7877" s="16" t="inlineStr">
        <is>
          <t>Требует обогащения</t>
        </is>
      </c>
      <c r="Q7877" s="16">
        <f>HYPERLINK("https://pb.nalog.ru/search.html?query=381255033638","ФНС: проверить")</f>
        <v/>
      </c>
      <c r="R7877" s="16">
        <f>HYPERLINK("https://checko.ru/search?query=3801001629","Чекко: проверить")</f>
        <v/>
      </c>
      <c r="S7877" t="n">
        <v>0</v>
      </c>
      <c r="T7877" s="35" t="inlineStr">
        <is>
          <t>4 — Не обогащён</t>
        </is>
      </c>
      <c r="U7877" s="35" t="inlineStr">
        <is>
          <t>Нет ОКВЭД/ССЧР</t>
        </is>
      </c>
      <c r="V7877" s="35" t="inlineStr">
        <is>
          <t>Не определено</t>
        </is>
      </c>
      <c r="W7877" s="35" t="inlineStr"/>
      <c r="X7877" s="35" t="inlineStr"/>
    </row>
    <row r="7878" ht="15" customHeight="1" s="24">
      <c r="A7878" s="13" t="n">
        <v>800656733</v>
      </c>
      <c r="B7878" s="13" t="inlineStr">
        <is>
          <t>ИП Шахунова Галина Юрьевна</t>
        </is>
      </c>
      <c r="C7878" s="13" t="n">
        <v>382305077515</v>
      </c>
      <c r="D7878" s="13" t="inlineStr">
        <is>
          <t>382305077515</t>
        </is>
      </c>
      <c r="E7878" s="13" t="inlineStr">
        <is>
          <t>ИП РФ / физлицо</t>
        </is>
      </c>
      <c r="F7878" s="13" t="n"/>
      <c r="G7878" s="14" t="n"/>
      <c r="H7878" s="14" t="n"/>
      <c r="I7878" s="14" t="n"/>
      <c r="J7878" s="14" t="n"/>
      <c r="K7878" s="53" t="inlineStr"/>
      <c r="L7878" s="53" t="inlineStr">
        <is>
          <t>Не определено</t>
        </is>
      </c>
      <c r="M7878" s="53" t="inlineStr"/>
      <c r="N7878" s="54" t="inlineStr"/>
      <c r="O7878" s="55" t="inlineStr"/>
      <c r="P7878" s="16" t="inlineStr">
        <is>
          <t>Требует обогащения</t>
        </is>
      </c>
      <c r="Q7878" s="16">
        <f>HYPERLINK("https://pb.nalog.ru/search.html?query=382305077515","ФНС: проверить")</f>
        <v/>
      </c>
      <c r="R7878" s="16">
        <f>HYPERLINK("https://checko.ru/search?query=3801001629","Чекко: проверить")</f>
        <v/>
      </c>
      <c r="S7878" t="n">
        <v>1</v>
      </c>
      <c r="T7878" s="35" t="inlineStr">
        <is>
          <t>4 — Не обогащён</t>
        </is>
      </c>
      <c r="U7878" s="35" t="inlineStr">
        <is>
          <t>Нет ОКВЭД/ССЧР</t>
        </is>
      </c>
      <c r="V7878" s="35" t="inlineStr">
        <is>
          <t>Не определено</t>
        </is>
      </c>
      <c r="W7878" s="35" t="inlineStr"/>
      <c r="X7878" s="35" t="inlineStr"/>
    </row>
    <row r="7879" ht="15" customHeight="1" s="24">
      <c r="A7879" s="13" t="n">
        <v>9103648</v>
      </c>
      <c r="B7879" s="13" t="inlineStr">
        <is>
          <t>ООО "ИКЗ"</t>
        </is>
      </c>
      <c r="C7879" s="13" t="n">
        <v>3810037741</v>
      </c>
      <c r="D7879" s="13" t="inlineStr">
        <is>
          <t>3810037741</t>
        </is>
      </c>
      <c r="E7879" s="13" t="inlineStr">
        <is>
          <t>ЮЛ РФ</t>
        </is>
      </c>
      <c r="F7879" s="13" t="n"/>
      <c r="G7879" s="52" t="n">
        <v>120</v>
      </c>
      <c r="H7879" s="52" t="n">
        <v>2025</v>
      </c>
      <c r="I7879" s="52" t="inlineStr">
        <is>
          <t>23.32</t>
        </is>
      </c>
      <c r="J7879" s="52" t="inlineStr">
        <is>
          <t>23.32; 46.90; 68.20.29; 41.20; 45.20; 46.73; 47.52.7; 47.52.72; 52.10; 52.29; 56.29; 68.20</t>
        </is>
      </c>
      <c r="K7879" s="53" t="inlineStr">
        <is>
          <t>Да</t>
        </is>
      </c>
      <c r="L7879" s="53" t="inlineStr">
        <is>
          <t>Да</t>
        </is>
      </c>
      <c r="M7879" s="53" t="inlineStr">
        <is>
          <t>До 200</t>
        </is>
      </c>
      <c r="N7879" s="54" t="n">
        <v>62400</v>
      </c>
      <c r="O7879" s="55" t="inlineStr">
        <is>
          <t>101–200</t>
        </is>
      </c>
      <c r="P7879" s="16" t="inlineStr">
        <is>
          <t>ССЧР + ОКВЭД обогащены</t>
        </is>
      </c>
      <c r="Q7879" s="16" t="inlineStr">
        <is>
          <t>ФНС открытые данные ССЧР (ДатаСост 31.12.2025; набор 7707329152-sshr2019)</t>
        </is>
      </c>
      <c r="R7879" s="16" t="inlineStr">
        <is>
          <t>ЕГРЮЛ / egrul.nalog.ru (выписка)</t>
        </is>
      </c>
      <c r="S7879" t="n">
        <v>0</v>
      </c>
      <c r="T7879" s="35" t="inlineStr">
        <is>
          <t>1 — Горячий</t>
        </is>
      </c>
      <c r="U7879" s="35" t="inlineStr">
        <is>
          <t>ОКВЭД + 22+</t>
        </is>
      </c>
      <c r="V7879" s="35" t="inlineStr">
        <is>
          <t>Да</t>
        </is>
      </c>
      <c r="W7879" s="35" t="inlineStr">
        <is>
          <t>Да</t>
        </is>
      </c>
      <c r="X7879" s="35" t="inlineStr">
        <is>
          <t>Да</t>
        </is>
      </c>
    </row>
    <row r="7880" ht="15" customHeight="1" s="24">
      <c r="A7880" s="13" t="n">
        <v>20009705951</v>
      </c>
      <c r="B7880" s="13" t="inlineStr">
        <is>
          <t>ООО "НАВИГАТОР ПЛЮС"</t>
        </is>
      </c>
      <c r="C7880" s="13" t="n">
        <v>3808130060</v>
      </c>
      <c r="D7880" s="13" t="inlineStr">
        <is>
          <t>3808130060</t>
        </is>
      </c>
      <c r="E7880" s="13" t="inlineStr">
        <is>
          <t>ЮЛ РФ</t>
        </is>
      </c>
      <c r="F7880" s="13" t="n"/>
      <c r="G7880" s="52" t="n">
        <v>3</v>
      </c>
      <c r="H7880" s="52" t="n">
        <v>2025</v>
      </c>
      <c r="I7880" s="14" t="n"/>
      <c r="J7880" s="14" t="n"/>
      <c r="K7880" s="53" t="inlineStr">
        <is>
          <t>Нет</t>
        </is>
      </c>
      <c r="L7880" s="53" t="inlineStr">
        <is>
          <t>Не определено</t>
        </is>
      </c>
      <c r="M7880" s="53" t="inlineStr">
        <is>
          <t>До 10</t>
        </is>
      </c>
      <c r="N7880" s="54" t="n">
        <v>3360</v>
      </c>
      <c r="O7880" s="55" t="inlineStr">
        <is>
          <t>1–15</t>
        </is>
      </c>
      <c r="P7880" s="16" t="inlineStr">
        <is>
          <t>ССЧР обогащена; ОКВЭД не найден/не загружен</t>
        </is>
      </c>
      <c r="Q7880" s="16" t="inlineStr">
        <is>
          <t>ФНС открытые данные ССЧР (ДатаСост 31.12.2025; набор 7707329152-sshr2019)</t>
        </is>
      </c>
      <c r="R7880" s="16">
        <f>HYPERLINK("https://checko.ru/search?query=3801001629","Чекко: проверить")</f>
        <v/>
      </c>
      <c r="S7880" t="n">
        <v>0</v>
      </c>
      <c r="T7880" s="35" t="inlineStr">
        <is>
          <t>4 — Не обогащён</t>
        </is>
      </c>
      <c r="U7880" s="35" t="inlineStr">
        <is>
          <t>Нет ОКВЭД/ССЧР</t>
        </is>
      </c>
      <c r="V7880" s="35" t="inlineStr">
        <is>
          <t>Не определено</t>
        </is>
      </c>
      <c r="W7880" s="35" t="inlineStr">
        <is>
          <t>Нет</t>
        </is>
      </c>
      <c r="X7880" s="35" t="inlineStr"/>
    </row>
    <row r="7881" ht="15" customHeight="1" s="24">
      <c r="A7881" s="13" t="n">
        <v>20005748995</v>
      </c>
      <c r="B7881" s="13" t="inlineStr">
        <is>
          <t>ИП Мельникова Евгения Александровна</t>
        </is>
      </c>
      <c r="C7881" s="13" t="n">
        <v>380403792446</v>
      </c>
      <c r="D7881" s="13" t="inlineStr">
        <is>
          <t>380403792446</t>
        </is>
      </c>
      <c r="E7881" s="13" t="inlineStr">
        <is>
          <t>ИП РФ / физлицо</t>
        </is>
      </c>
      <c r="F7881" s="13" t="n"/>
      <c r="G7881" s="14" t="n"/>
      <c r="H7881" s="14" t="n"/>
      <c r="I7881" s="14" t="n"/>
      <c r="J7881" s="14" t="n"/>
      <c r="K7881" s="53" t="inlineStr"/>
      <c r="L7881" s="53" t="inlineStr">
        <is>
          <t>Не определено</t>
        </is>
      </c>
      <c r="M7881" s="53" t="inlineStr"/>
      <c r="N7881" s="54" t="inlineStr"/>
      <c r="O7881" s="55" t="inlineStr"/>
      <c r="P7881" s="16" t="inlineStr">
        <is>
          <t>Требует обогащения</t>
        </is>
      </c>
      <c r="Q7881" s="16">
        <f>HYPERLINK("https://pb.nalog.ru/search.html?query=380403792446","ФНС: проверить")</f>
        <v/>
      </c>
      <c r="R7881" s="16">
        <f>HYPERLINK("https://checko.ru/search?query=3801001629","Чекко: проверить")</f>
        <v/>
      </c>
      <c r="S7881" t="n">
        <v>1</v>
      </c>
      <c r="T7881" s="35" t="inlineStr">
        <is>
          <t>4 — Не обогащён</t>
        </is>
      </c>
      <c r="U7881" s="35" t="inlineStr">
        <is>
          <t>Нет ОКВЭД/ССЧР</t>
        </is>
      </c>
      <c r="V7881" s="35" t="inlineStr">
        <is>
          <t>Не определено</t>
        </is>
      </c>
      <c r="W7881" s="35" t="inlineStr"/>
      <c r="X7881" s="35" t="inlineStr"/>
    </row>
    <row r="7882" ht="41.25" customHeight="1" s="24">
      <c r="A7882" s="13" t="n">
        <v>20012857228</v>
      </c>
      <c r="B7882" s="13" t="inlineStr">
        <is>
          <t>ОБЩЕСТВО С ОГРАНИЧЕННОЙ ОТВЕТСТВЕННОСТЬЮ "СТРОИТЕЛЬНАЯ КОМПАНИЯ "ЛИГА"</t>
        </is>
      </c>
      <c r="C7882" s="13" t="n">
        <v>3811471045</v>
      </c>
      <c r="D7882" s="13" t="inlineStr">
        <is>
          <t>3811471045</t>
        </is>
      </c>
      <c r="E7882" s="13" t="inlineStr">
        <is>
          <t>ЮЛ РФ</t>
        </is>
      </c>
      <c r="F7882" s="13" t="n"/>
      <c r="G7882" s="52" t="n">
        <v>4</v>
      </c>
      <c r="H7882" s="52" t="n">
        <v>2025</v>
      </c>
      <c r="I7882" s="14" t="n"/>
      <c r="J7882" s="14" t="n"/>
      <c r="K7882" s="53" t="inlineStr">
        <is>
          <t>Нет</t>
        </is>
      </c>
      <c r="L7882" s="53" t="inlineStr">
        <is>
          <t>Не определено</t>
        </is>
      </c>
      <c r="M7882" s="53" t="inlineStr">
        <is>
          <t>До 10</t>
        </is>
      </c>
      <c r="N7882" s="54" t="n">
        <v>3360</v>
      </c>
      <c r="O7882" s="55" t="inlineStr">
        <is>
          <t>1–15</t>
        </is>
      </c>
      <c r="P7882" s="16" t="inlineStr">
        <is>
          <t>ССЧР обогащена; ОКВЭД не найден/не загружен</t>
        </is>
      </c>
      <c r="Q7882" s="16" t="inlineStr">
        <is>
          <t>ФНС открытые данные ССЧР (ДатаСост 31.12.2025; набор 7707329152-sshr2019)</t>
        </is>
      </c>
      <c r="R7882" s="16">
        <f>HYPERLINK("https://checko.ru/search?query=3801001629","Чекко: проверить")</f>
        <v/>
      </c>
      <c r="S7882" t="n">
        <v>1</v>
      </c>
      <c r="T7882" s="35" t="inlineStr">
        <is>
          <t>4 — Не обогащён</t>
        </is>
      </c>
      <c r="U7882" s="35" t="inlineStr">
        <is>
          <t>Нет ОКВЭД/ССЧР</t>
        </is>
      </c>
      <c r="V7882" s="35" t="inlineStr">
        <is>
          <t>Не определено</t>
        </is>
      </c>
      <c r="W7882" s="35" t="inlineStr">
        <is>
          <t>Нет</t>
        </is>
      </c>
      <c r="X7882" s="35" t="inlineStr"/>
    </row>
    <row r="7883" ht="27.75" customHeight="1" s="24">
      <c r="A7883" s="13" t="n">
        <v>801613282</v>
      </c>
      <c r="B7883" s="13" t="inlineStr">
        <is>
          <t>Общество с ограниченной ответственностью "САРМА-2000"</t>
        </is>
      </c>
      <c r="C7883" s="13" t="n">
        <v>3811009592</v>
      </c>
      <c r="D7883" s="13" t="inlineStr">
        <is>
          <t>3811009592</t>
        </is>
      </c>
      <c r="E7883" s="13" t="inlineStr">
        <is>
          <t>ЮЛ РФ</t>
        </is>
      </c>
      <c r="F7883" s="13" t="n"/>
      <c r="G7883" s="52" t="n">
        <v>0</v>
      </c>
      <c r="H7883" s="52" t="n">
        <v>2025</v>
      </c>
      <c r="I7883" s="14" t="n"/>
      <c r="J7883" s="14" t="n"/>
      <c r="K7883" s="53" t="inlineStr">
        <is>
          <t>Нет</t>
        </is>
      </c>
      <c r="L7883" s="53" t="inlineStr">
        <is>
          <t>Не определено</t>
        </is>
      </c>
      <c r="M7883" s="53" t="inlineStr">
        <is>
          <t>До 10</t>
        </is>
      </c>
      <c r="N7883" s="54" t="n">
        <v>3360</v>
      </c>
      <c r="O7883" s="55" t="inlineStr">
        <is>
          <t>1–15</t>
        </is>
      </c>
      <c r="P7883" s="16" t="inlineStr">
        <is>
          <t>ССЧР обогащена; ОКВЭД не найден/не загружен</t>
        </is>
      </c>
      <c r="Q7883" s="16" t="inlineStr">
        <is>
          <t>ФНС открытые данные ССЧР (ДатаСост 31.12.2025; набор 7707329152-sshr2019)</t>
        </is>
      </c>
      <c r="R7883" s="16">
        <f>HYPERLINK("https://checko.ru/search?query=3801001629","Чекко: проверить")</f>
        <v/>
      </c>
      <c r="S7883" t="n">
        <v>0</v>
      </c>
      <c r="T7883" s="35" t="inlineStr">
        <is>
          <t>4 — Не обогащён</t>
        </is>
      </c>
      <c r="U7883" s="35" t="inlineStr">
        <is>
          <t>Нет ОКВЭД/ССЧР</t>
        </is>
      </c>
      <c r="V7883" s="35" t="inlineStr">
        <is>
          <t>Не определено</t>
        </is>
      </c>
      <c r="W7883" s="35" t="inlineStr">
        <is>
          <t>Нет</t>
        </is>
      </c>
      <c r="X7883" s="35" t="inlineStr"/>
    </row>
    <row r="7884" ht="15" customHeight="1" s="24">
      <c r="A7884" s="13" t="n">
        <v>800867646</v>
      </c>
      <c r="B7884" s="13" t="inlineStr">
        <is>
          <t>ЗАО "НРЭС"</t>
        </is>
      </c>
      <c r="C7884" s="13" t="n">
        <v>1434035174</v>
      </c>
      <c r="D7884" s="13" t="inlineStr">
        <is>
          <t>1434035174</t>
        </is>
      </c>
      <c r="E7884" s="13" t="inlineStr">
        <is>
          <t>ЮЛ РФ</t>
        </is>
      </c>
      <c r="F7884" s="13" t="n"/>
      <c r="G7884" s="52" t="n">
        <v>0</v>
      </c>
      <c r="H7884" s="52" t="n">
        <v>2025</v>
      </c>
      <c r="I7884" s="14" t="n"/>
      <c r="J7884" s="14" t="n"/>
      <c r="K7884" s="53" t="inlineStr">
        <is>
          <t>Нет</t>
        </is>
      </c>
      <c r="L7884" s="53" t="inlineStr">
        <is>
          <t>Не определено</t>
        </is>
      </c>
      <c r="M7884" s="53" t="inlineStr">
        <is>
          <t>До 10</t>
        </is>
      </c>
      <c r="N7884" s="54" t="n">
        <v>3360</v>
      </c>
      <c r="O7884" s="55" t="inlineStr">
        <is>
          <t>1–15</t>
        </is>
      </c>
      <c r="P7884" s="16" t="inlineStr">
        <is>
          <t>ССЧР обогащена; ОКВЭД не найден/не загружен</t>
        </is>
      </c>
      <c r="Q7884" s="16" t="inlineStr">
        <is>
          <t>ФНС открытые данные ССЧР (ДатаСост 31.12.2025; набор 7707329152-sshr2019)</t>
        </is>
      </c>
      <c r="R7884" s="16">
        <f>HYPERLINK("https://checko.ru/search?query=3801001629","Чекко: проверить")</f>
        <v/>
      </c>
      <c r="S7884" t="n">
        <v>1</v>
      </c>
      <c r="T7884" s="35" t="inlineStr">
        <is>
          <t>4 — Не обогащён</t>
        </is>
      </c>
      <c r="U7884" s="35" t="inlineStr">
        <is>
          <t>Нет ОКВЭД/ССЧР</t>
        </is>
      </c>
      <c r="V7884" s="35" t="inlineStr">
        <is>
          <t>Не определено</t>
        </is>
      </c>
      <c r="W7884" s="35" t="inlineStr">
        <is>
          <t>Нет</t>
        </is>
      </c>
      <c r="X7884" s="35" t="inlineStr"/>
    </row>
    <row r="7885" ht="15" customHeight="1" s="24">
      <c r="A7885" s="13" t="n">
        <v>9887199</v>
      </c>
      <c r="B7885" s="13" t="inlineStr">
        <is>
          <t>ООО "ВСЁ ДЛЯ ШИТЬЯ"</t>
        </is>
      </c>
      <c r="C7885" s="13" t="n">
        <v>3808166620</v>
      </c>
      <c r="D7885" s="13" t="inlineStr">
        <is>
          <t>3808166620</t>
        </is>
      </c>
      <c r="E7885" s="13" t="inlineStr">
        <is>
          <t>ЮЛ РФ</t>
        </is>
      </c>
      <c r="F7885" s="13" t="n"/>
      <c r="G7885" s="52" t="n">
        <v>24</v>
      </c>
      <c r="H7885" s="52" t="n">
        <v>2025</v>
      </c>
      <c r="I7885" s="52" t="inlineStr">
        <is>
          <t>46.49</t>
        </is>
      </c>
      <c r="J7885" s="52" t="inlineStr">
        <is>
          <t>46.49; 38.32.2; 38.32.3; 38.32.4; 38.32.5; 41.20; 45.20; 46.41.1; 46.41.2; 46.43.1; 46.90; 47.51; 47.78.9; 56.10; 56.10.1; 56.10.3; 56.30; 63.91; 64.91; 73.11; 82.99; 95.22.1</t>
        </is>
      </c>
      <c r="K7885" s="53" t="inlineStr">
        <is>
          <t>Да</t>
        </is>
      </c>
      <c r="L7885" s="53" t="inlineStr">
        <is>
          <t>Да</t>
        </is>
      </c>
      <c r="M7885" s="53" t="inlineStr">
        <is>
          <t>До 25</t>
        </is>
      </c>
      <c r="N7885" s="54" t="n">
        <v>8400</v>
      </c>
      <c r="O7885" s="55" t="inlineStr">
        <is>
          <t>16–30</t>
        </is>
      </c>
      <c r="P7885" s="16" t="inlineStr">
        <is>
          <t>ССЧР + ОКВЭД обогащены</t>
        </is>
      </c>
      <c r="Q7885" s="16" t="inlineStr">
        <is>
          <t>ФНС открытые данные ССЧР (ДатаСост 31.12.2025; набор 7707329152-sshr2019)</t>
        </is>
      </c>
      <c r="R7885" s="16" t="inlineStr">
        <is>
          <t>ЕГРЮЛ / egrul.nalog.ru (выписка)</t>
        </is>
      </c>
      <c r="S7885" t="n">
        <v>0</v>
      </c>
      <c r="T7885" s="35" t="inlineStr">
        <is>
          <t>1 — Горячий</t>
        </is>
      </c>
      <c r="U7885" s="35" t="inlineStr">
        <is>
          <t>ОКВЭД + 22+</t>
        </is>
      </c>
      <c r="V7885" s="35" t="inlineStr">
        <is>
          <t>Да</t>
        </is>
      </c>
      <c r="W7885" s="35" t="inlineStr">
        <is>
          <t>Да</t>
        </is>
      </c>
      <c r="X7885" s="35" t="inlineStr">
        <is>
          <t>Да</t>
        </is>
      </c>
    </row>
    <row r="7886" ht="27.75" customHeight="1" s="24">
      <c r="A7886" s="13" t="n">
        <v>20012873674</v>
      </c>
      <c r="B7886" s="13" t="inlineStr">
        <is>
          <t>Общество с ограниченной ответственностью "АГЕНТСТВО БЫТОВЫХ УСЛУГ"ПЧЕЛКА</t>
        </is>
      </c>
      <c r="C7886" s="13" t="n">
        <v>3812093300</v>
      </c>
      <c r="D7886" s="13" t="inlineStr">
        <is>
          <t>3812093300</t>
        </is>
      </c>
      <c r="E7886" s="13" t="inlineStr">
        <is>
          <t>ЮЛ РФ</t>
        </is>
      </c>
      <c r="F7886" s="13" t="n"/>
      <c r="G7886" s="52" t="n">
        <v>3</v>
      </c>
      <c r="H7886" s="52" t="n">
        <v>2025</v>
      </c>
      <c r="I7886" s="14" t="n"/>
      <c r="J7886" s="14" t="n"/>
      <c r="K7886" s="53" t="inlineStr">
        <is>
          <t>Нет</t>
        </is>
      </c>
      <c r="L7886" s="53" t="inlineStr">
        <is>
          <t>Не определено</t>
        </is>
      </c>
      <c r="M7886" s="53" t="inlineStr">
        <is>
          <t>До 10</t>
        </is>
      </c>
      <c r="N7886" s="54" t="n">
        <v>3360</v>
      </c>
      <c r="O7886" s="55" t="inlineStr">
        <is>
          <t>1–15</t>
        </is>
      </c>
      <c r="P7886" s="16" t="inlineStr">
        <is>
          <t>ССЧР обогащена; ОКВЭД не найден/не загружен</t>
        </is>
      </c>
      <c r="Q7886" s="16" t="inlineStr">
        <is>
          <t>ФНС открытые данные ССЧР (ДатаСост 31.12.2025; набор 7707329152-sshr2019)</t>
        </is>
      </c>
      <c r="R7886" s="16">
        <f>HYPERLINK("https://checko.ru/search?query=3801001629","Чекко: проверить")</f>
        <v/>
      </c>
      <c r="S7886" t="n">
        <v>1</v>
      </c>
      <c r="T7886" s="35" t="inlineStr">
        <is>
          <t>4 — Не обогащён</t>
        </is>
      </c>
      <c r="U7886" s="35" t="inlineStr">
        <is>
          <t>Нет ОКВЭД/ССЧР</t>
        </is>
      </c>
      <c r="V7886" s="35" t="inlineStr">
        <is>
          <t>Не определено</t>
        </is>
      </c>
      <c r="W7886" s="35" t="inlineStr">
        <is>
          <t>Нет</t>
        </is>
      </c>
      <c r="X7886" s="35" t="inlineStr"/>
    </row>
    <row r="7887" ht="15" customHeight="1" s="24">
      <c r="A7887" s="13" t="n">
        <v>20018336069</v>
      </c>
      <c r="B7887" s="13" t="inlineStr">
        <is>
          <t>ООО ТД "ИНЕРТКОМ"</t>
        </is>
      </c>
      <c r="C7887" s="13" t="n">
        <v>3849064232</v>
      </c>
      <c r="D7887" s="13" t="inlineStr">
        <is>
          <t>3849064232</t>
        </is>
      </c>
      <c r="E7887" s="13" t="inlineStr">
        <is>
          <t>ЮЛ РФ</t>
        </is>
      </c>
      <c r="F7887" s="13" t="n"/>
      <c r="G7887" s="52" t="n">
        <v>5</v>
      </c>
      <c r="H7887" s="52" t="n">
        <v>2025</v>
      </c>
      <c r="I7887" s="14" t="n"/>
      <c r="J7887" s="14" t="n"/>
      <c r="K7887" s="53" t="inlineStr">
        <is>
          <t>Нет</t>
        </is>
      </c>
      <c r="L7887" s="53" t="inlineStr">
        <is>
          <t>Не определено</t>
        </is>
      </c>
      <c r="M7887" s="53" t="inlineStr">
        <is>
          <t>До 10</t>
        </is>
      </c>
      <c r="N7887" s="54" t="n">
        <v>3360</v>
      </c>
      <c r="O7887" s="55" t="inlineStr">
        <is>
          <t>1–15</t>
        </is>
      </c>
      <c r="P7887" s="16" t="inlineStr">
        <is>
          <t>ССЧР обогащена; ОКВЭД не найден/не загружен</t>
        </is>
      </c>
      <c r="Q7887" s="16" t="inlineStr">
        <is>
          <t>ФНС открытые данные ССЧР (ДатаСост 31.12.2025; набор 7707329152-sshr2019)</t>
        </is>
      </c>
      <c r="R7887" s="16">
        <f>HYPERLINK("https://checko.ru/search?query=3801001629","Чекко: проверить")</f>
        <v/>
      </c>
      <c r="S7887" t="n">
        <v>1</v>
      </c>
      <c r="T7887" s="35" t="inlineStr">
        <is>
          <t>4 — Не обогащён</t>
        </is>
      </c>
      <c r="U7887" s="35" t="inlineStr">
        <is>
          <t>Нет ОКВЭД/ССЧР</t>
        </is>
      </c>
      <c r="V7887" s="35" t="inlineStr">
        <is>
          <t>Не определено</t>
        </is>
      </c>
      <c r="W7887" s="35" t="inlineStr">
        <is>
          <t>Нет</t>
        </is>
      </c>
      <c r="X7887" s="35" t="inlineStr"/>
    </row>
    <row r="7888" ht="27.75" customHeight="1" s="24">
      <c r="A7888" s="13" t="n">
        <v>20012588802</v>
      </c>
      <c r="B7888" s="13" t="inlineStr">
        <is>
          <t>ОБЩЕСТВО С ОГРАНИЧЕННОЙ ОТВЕТСТВЕННОСТЬЮ "АГРО-ВОСТОК"</t>
        </is>
      </c>
      <c r="C7888" s="13" t="n">
        <v>3808148564</v>
      </c>
      <c r="D7888" s="13" t="inlineStr">
        <is>
          <t>3808148564</t>
        </is>
      </c>
      <c r="E7888" s="13" t="inlineStr">
        <is>
          <t>ЮЛ РФ</t>
        </is>
      </c>
      <c r="F7888" s="13" t="n"/>
      <c r="G7888" s="52" t="n">
        <v>2</v>
      </c>
      <c r="H7888" s="52" t="n">
        <v>2025</v>
      </c>
      <c r="I7888" s="14" t="n"/>
      <c r="J7888" s="14" t="n"/>
      <c r="K7888" s="53" t="inlineStr">
        <is>
          <t>Нет</t>
        </is>
      </c>
      <c r="L7888" s="53" t="inlineStr">
        <is>
          <t>Не определено</t>
        </is>
      </c>
      <c r="M7888" s="53" t="inlineStr">
        <is>
          <t>До 10</t>
        </is>
      </c>
      <c r="N7888" s="54" t="n">
        <v>3360</v>
      </c>
      <c r="O7888" s="55" t="inlineStr">
        <is>
          <t>1–15</t>
        </is>
      </c>
      <c r="P7888" s="16" t="inlineStr">
        <is>
          <t>ССЧР обогащена; ОКВЭД не найден/не загружен</t>
        </is>
      </c>
      <c r="Q7888" s="16" t="inlineStr">
        <is>
          <t>ФНС открытые данные ССЧР (ДатаСост 31.12.2025; набор 7707329152-sshr2019)</t>
        </is>
      </c>
      <c r="R7888" s="16">
        <f>HYPERLINK("https://checko.ru/search?query=3801001629","Чекко: проверить")</f>
        <v/>
      </c>
      <c r="S7888" t="n">
        <v>0</v>
      </c>
      <c r="T7888" s="35" t="inlineStr">
        <is>
          <t>4 — Не обогащён</t>
        </is>
      </c>
      <c r="U7888" s="35" t="inlineStr">
        <is>
          <t>Нет ОКВЭД/ССЧР</t>
        </is>
      </c>
      <c r="V7888" s="35" t="inlineStr">
        <is>
          <t>Не определено</t>
        </is>
      </c>
      <c r="W7888" s="35" t="inlineStr">
        <is>
          <t>Нет</t>
        </is>
      </c>
      <c r="X7888" s="35" t="inlineStr"/>
    </row>
    <row r="7889" ht="15" customHeight="1" s="24">
      <c r="A7889" s="13" t="n">
        <v>800462094</v>
      </c>
      <c r="B7889" s="13" t="inlineStr">
        <is>
          <t>ООО "ЗБСМ МК-162"</t>
        </is>
      </c>
      <c r="C7889" s="13" t="n">
        <v>3834009736</v>
      </c>
      <c r="D7889" s="13" t="inlineStr">
        <is>
          <t>3834009736</t>
        </is>
      </c>
      <c r="E7889" s="13" t="inlineStr">
        <is>
          <t>ЮЛ РФ</t>
        </is>
      </c>
      <c r="F7889" s="13" t="n"/>
      <c r="G7889" s="52" t="n">
        <v>413</v>
      </c>
      <c r="H7889" s="52" t="n">
        <v>2025</v>
      </c>
      <c r="I7889" s="52" t="inlineStr">
        <is>
          <t>42.11</t>
        </is>
      </c>
      <c r="J7889" s="52" t="inlineStr">
        <is>
          <t>42.11; 49.41.3; 52.21.22; 52.21.23; 02.20; 08.11; 08.12; 08.99; 16.10.1; 23.63; 23.99; 23.99.3; 33.12; 38.11; 41.20; 42.21; 42.99; 43.11; 43.12.1; 43.12.4; 43.13; 43.99; 43.99.3; 43.99.4; 45.11; 45.19; 45.20; 45.31; 45.32; 46.13.1; 46.73; 46.73.1; 46.73.2; 46.75.2; 47.29; 47.29.39; 49.39; 49.41; 49.41.1; 52.21.1; 52.21.2; 52.24; 52.24.2; 52.29; 68.20; 73.20.1; 77.11; 77.12; 77.32; 77.39</t>
        </is>
      </c>
      <c r="K7889" s="53" t="inlineStr">
        <is>
          <t>Да</t>
        </is>
      </c>
      <c r="L7889" s="53" t="inlineStr">
        <is>
          <t>Да</t>
        </is>
      </c>
      <c r="M7889" s="53" t="inlineStr">
        <is>
          <t>До 500</t>
        </is>
      </c>
      <c r="N7889" s="54" t="n">
        <v>144000</v>
      </c>
      <c r="O7889" s="55" t="inlineStr">
        <is>
          <t>201–500</t>
        </is>
      </c>
      <c r="P7889" s="16" t="inlineStr">
        <is>
          <t>ССЧР + ОКВЭД обогащены</t>
        </is>
      </c>
      <c r="Q7889" s="16" t="inlineStr">
        <is>
          <t>ФНС открытые данные ССЧР (ДатаСост 31.12.2025; набор 7707329152-sshr2019)</t>
        </is>
      </c>
      <c r="R7889" s="16" t="inlineStr">
        <is>
          <t>ЕГРЮЛ / egrul.nalog.ru (выписка)</t>
        </is>
      </c>
      <c r="S7889" t="n">
        <v>0</v>
      </c>
      <c r="T7889" s="35" t="inlineStr">
        <is>
          <t>1 — Горячий</t>
        </is>
      </c>
      <c r="U7889" s="35" t="inlineStr">
        <is>
          <t>ОКВЭД + 22+</t>
        </is>
      </c>
      <c r="V7889" s="35" t="inlineStr">
        <is>
          <t>Да</t>
        </is>
      </c>
      <c r="W7889" s="35" t="inlineStr">
        <is>
          <t>Да</t>
        </is>
      </c>
      <c r="X7889" s="35" t="inlineStr">
        <is>
          <t>Да</t>
        </is>
      </c>
    </row>
    <row r="7890" ht="15" customHeight="1" s="24">
      <c r="A7890" s="13" t="n">
        <v>9876646</v>
      </c>
      <c r="B7890" s="13" t="inlineStr">
        <is>
          <t>ООО "Группа Диалог"</t>
        </is>
      </c>
      <c r="C7890" s="13" t="n">
        <v>3808143397</v>
      </c>
      <c r="D7890" s="13" t="inlineStr">
        <is>
          <t>3808143397</t>
        </is>
      </c>
      <c r="E7890" s="13" t="inlineStr">
        <is>
          <t>ЮЛ РФ</t>
        </is>
      </c>
      <c r="F7890" s="13" t="n"/>
      <c r="G7890" s="52" t="n">
        <v>3</v>
      </c>
      <c r="H7890" s="52" t="n">
        <v>2025</v>
      </c>
      <c r="I7890" s="14" t="n"/>
      <c r="J7890" s="14" t="n"/>
      <c r="K7890" s="53" t="inlineStr">
        <is>
          <t>Нет</t>
        </is>
      </c>
      <c r="L7890" s="53" t="inlineStr">
        <is>
          <t>Не определено</t>
        </is>
      </c>
      <c r="M7890" s="53" t="inlineStr">
        <is>
          <t>До 10</t>
        </is>
      </c>
      <c r="N7890" s="54" t="n">
        <v>3360</v>
      </c>
      <c r="O7890" s="55" t="inlineStr">
        <is>
          <t>1–15</t>
        </is>
      </c>
      <c r="P7890" s="16" t="inlineStr">
        <is>
          <t>ССЧР обогащена; ОКВЭД не найден/не загружен</t>
        </is>
      </c>
      <c r="Q7890" s="16" t="inlineStr">
        <is>
          <t>ФНС открытые данные ССЧР (ДатаСост 31.12.2025; набор 7707329152-sshr2019)</t>
        </is>
      </c>
      <c r="R7890" s="16">
        <f>HYPERLINK("https://checko.ru/search?query=3801001629","Чекко: проверить")</f>
        <v/>
      </c>
      <c r="S7890" t="n">
        <v>1</v>
      </c>
      <c r="T7890" s="35" t="inlineStr">
        <is>
          <t>4 — Не обогащён</t>
        </is>
      </c>
      <c r="U7890" s="35" t="inlineStr">
        <is>
          <t>Нет ОКВЭД/ССЧР</t>
        </is>
      </c>
      <c r="V7890" s="35" t="inlineStr">
        <is>
          <t>Не определено</t>
        </is>
      </c>
      <c r="W7890" s="35" t="inlineStr">
        <is>
          <t>Нет</t>
        </is>
      </c>
      <c r="X7890" s="35" t="inlineStr"/>
    </row>
    <row r="7891" ht="15" customHeight="1" s="24">
      <c r="A7891" s="13" t="n">
        <v>800475493</v>
      </c>
      <c r="B7891" s="13" t="inlineStr">
        <is>
          <t>ИП Магомедов Курбан Салихович</t>
        </is>
      </c>
      <c r="C7891" s="13" t="n">
        <v>381800105130</v>
      </c>
      <c r="D7891" s="13" t="inlineStr">
        <is>
          <t>381800105130</t>
        </is>
      </c>
      <c r="E7891" s="13" t="inlineStr">
        <is>
          <t>ИП РФ / физлицо</t>
        </is>
      </c>
      <c r="F7891" s="13" t="n"/>
      <c r="G7891" s="14" t="n"/>
      <c r="H7891" s="14" t="n"/>
      <c r="I7891" s="14" t="n"/>
      <c r="J7891" s="14" t="n"/>
      <c r="K7891" s="53" t="inlineStr"/>
      <c r="L7891" s="53" t="inlineStr">
        <is>
          <t>Не определено</t>
        </is>
      </c>
      <c r="M7891" s="53" t="inlineStr"/>
      <c r="N7891" s="54" t="inlineStr"/>
      <c r="O7891" s="55" t="inlineStr"/>
      <c r="P7891" s="16" t="inlineStr">
        <is>
          <t>Требует обогащения</t>
        </is>
      </c>
      <c r="Q7891" s="16">
        <f>HYPERLINK("https://pb.nalog.ru/search.html?query=381800105130","ФНС: проверить")</f>
        <v/>
      </c>
      <c r="R7891" s="16">
        <f>HYPERLINK("https://checko.ru/search?query=3801001629","Чекко: проверить")</f>
        <v/>
      </c>
      <c r="S7891" t="n">
        <v>0</v>
      </c>
      <c r="T7891" s="35" t="inlineStr">
        <is>
          <t>4 — Не обогащён</t>
        </is>
      </c>
      <c r="U7891" s="35" t="inlineStr">
        <is>
          <t>Нет ОКВЭД/ССЧР</t>
        </is>
      </c>
      <c r="V7891" s="35" t="inlineStr">
        <is>
          <t>Не определено</t>
        </is>
      </c>
      <c r="W7891" s="35" t="inlineStr"/>
      <c r="X7891" s="35" t="inlineStr"/>
    </row>
    <row r="7892" ht="15" customHeight="1" s="24">
      <c r="A7892" s="13" t="n">
        <v>800483224</v>
      </c>
      <c r="B7892" s="13" t="inlineStr">
        <is>
          <t>ООО "ББС"</t>
        </is>
      </c>
      <c r="C7892" s="13" t="n">
        <v>3812066748</v>
      </c>
      <c r="D7892" s="13" t="inlineStr">
        <is>
          <t>3812066748</t>
        </is>
      </c>
      <c r="E7892" s="13" t="inlineStr">
        <is>
          <t>ЮЛ РФ</t>
        </is>
      </c>
      <c r="F7892" s="13" t="n"/>
      <c r="G7892" s="52" t="n">
        <v>9</v>
      </c>
      <c r="H7892" s="52" t="n">
        <v>2025</v>
      </c>
      <c r="I7892" s="14" t="n"/>
      <c r="J7892" s="14" t="n"/>
      <c r="K7892" s="53" t="inlineStr">
        <is>
          <t>Нет</t>
        </is>
      </c>
      <c r="L7892" s="53" t="inlineStr">
        <is>
          <t>Не определено</t>
        </is>
      </c>
      <c r="M7892" s="53" t="inlineStr">
        <is>
          <t>До 10</t>
        </is>
      </c>
      <c r="N7892" s="54" t="n">
        <v>3360</v>
      </c>
      <c r="O7892" s="55" t="inlineStr">
        <is>
          <t>1–15</t>
        </is>
      </c>
      <c r="P7892" s="16" t="inlineStr">
        <is>
          <t>ССЧР обогащена; ОКВЭД не найден/не загружен</t>
        </is>
      </c>
      <c r="Q7892" s="16" t="inlineStr">
        <is>
          <t>ФНС открытые данные ССЧР (ДатаСост 31.12.2025; набор 7707329152-sshr2019)</t>
        </is>
      </c>
      <c r="R7892" s="16">
        <f>HYPERLINK("https://checko.ru/search?query=3801001629","Чекко: проверить")</f>
        <v/>
      </c>
      <c r="S7892" t="n">
        <v>0</v>
      </c>
      <c r="T7892" s="35" t="inlineStr">
        <is>
          <t>4 — Не обогащён</t>
        </is>
      </c>
      <c r="U7892" s="35" t="inlineStr">
        <is>
          <t>Нет ОКВЭД/ССЧР</t>
        </is>
      </c>
      <c r="V7892" s="35" t="inlineStr">
        <is>
          <t>Не определено</t>
        </is>
      </c>
      <c r="W7892" s="35" t="inlineStr">
        <is>
          <t>Нет</t>
        </is>
      </c>
      <c r="X7892" s="35" t="inlineStr"/>
    </row>
    <row r="7893" ht="27.75" customHeight="1" s="24">
      <c r="A7893" s="13" t="n">
        <v>802400516</v>
      </c>
      <c r="B7893" s="13" t="inlineStr">
        <is>
          <t>Общество с ограниченной ответственностью "ТАЛАН-С"</t>
        </is>
      </c>
      <c r="C7893" s="13" t="n">
        <v>3810015480</v>
      </c>
      <c r="D7893" s="13" t="inlineStr">
        <is>
          <t>3810015480</t>
        </is>
      </c>
      <c r="E7893" s="13" t="inlineStr">
        <is>
          <t>ЮЛ РФ</t>
        </is>
      </c>
      <c r="F7893" s="13" t="n"/>
      <c r="G7893" s="52" t="n">
        <v>22</v>
      </c>
      <c r="H7893" s="52" t="n">
        <v>2025</v>
      </c>
      <c r="I7893" s="52" t="inlineStr">
        <is>
          <t>15.20</t>
        </is>
      </c>
      <c r="J7893" s="52" t="inlineStr">
        <is>
          <t>15.20; 13.92; 13.99; 46.16; 46.19; 46.42; 47.51.1; 47.72; 47.82; 53.20.3; 55.10; 55.20; 55.30; 55.90; 68.20.2; 69.20; 79.11; 82.30; 82.99</t>
        </is>
      </c>
      <c r="K7893" s="53" t="inlineStr">
        <is>
          <t>Да</t>
        </is>
      </c>
      <c r="L7893" s="53" t="inlineStr">
        <is>
          <t>Да</t>
        </is>
      </c>
      <c r="M7893" s="53" t="inlineStr">
        <is>
          <t>До 25</t>
        </is>
      </c>
      <c r="N7893" s="54" t="n">
        <v>8400</v>
      </c>
      <c r="O7893" s="55" t="inlineStr">
        <is>
          <t>16–30</t>
        </is>
      </c>
      <c r="P7893" s="16" t="inlineStr">
        <is>
          <t>ССЧР + ОКВЭД обогащены</t>
        </is>
      </c>
      <c r="Q7893" s="16" t="inlineStr">
        <is>
          <t>ФНС открытые данные ССЧР (ДатаСост 31.12.2025; набор 7707329152-sshr2019)</t>
        </is>
      </c>
      <c r="R7893" s="16" t="inlineStr">
        <is>
          <t>ЕГРЮЛ / egrul.nalog.ru (выписка)</t>
        </is>
      </c>
      <c r="S7893" t="n">
        <v>1</v>
      </c>
      <c r="T7893" s="35" t="inlineStr">
        <is>
          <t>1 — Горячий</t>
        </is>
      </c>
      <c r="U7893" s="35" t="inlineStr">
        <is>
          <t>ОКВЭД + 22+</t>
        </is>
      </c>
      <c r="V7893" s="35" t="inlineStr">
        <is>
          <t>Да</t>
        </is>
      </c>
      <c r="W7893" s="35" t="inlineStr">
        <is>
          <t>Да</t>
        </is>
      </c>
      <c r="X7893" s="35" t="inlineStr">
        <is>
          <t>Да</t>
        </is>
      </c>
    </row>
    <row r="7894" ht="15" customHeight="1" s="24">
      <c r="A7894" s="13" t="n">
        <v>801605856</v>
      </c>
      <c r="B7894" s="13" t="inlineStr">
        <is>
          <t>ООО "ВАШ ЛОМБАРД"</t>
        </is>
      </c>
      <c r="C7894" s="13" t="n">
        <v>3849094861</v>
      </c>
      <c r="D7894" s="13" t="inlineStr">
        <is>
          <t>3849094861</t>
        </is>
      </c>
      <c r="E7894" s="13" t="inlineStr">
        <is>
          <t>ЮЛ РФ</t>
        </is>
      </c>
      <c r="F7894" s="13" t="n"/>
      <c r="G7894" s="52" t="n">
        <v>34</v>
      </c>
      <c r="H7894" s="52" t="n">
        <v>2025</v>
      </c>
      <c r="I7894" s="52" t="inlineStr">
        <is>
          <t>47.79.3</t>
        </is>
      </c>
      <c r="J7894" s="52" t="inlineStr">
        <is>
          <t>47.79.3; 66.19.5; 70.22</t>
        </is>
      </c>
      <c r="K7894" s="53" t="inlineStr">
        <is>
          <t>Да</t>
        </is>
      </c>
      <c r="L7894" s="53" t="inlineStr">
        <is>
          <t>Да</t>
        </is>
      </c>
      <c r="M7894" s="53" t="inlineStr">
        <is>
          <t>До 50</t>
        </is>
      </c>
      <c r="N7894" s="54" t="n">
        <v>16800</v>
      </c>
      <c r="O7894" s="55" t="inlineStr">
        <is>
          <t>31–50</t>
        </is>
      </c>
      <c r="P7894" s="16" t="inlineStr">
        <is>
          <t>ССЧР + ОКВЭД обогащены</t>
        </is>
      </c>
      <c r="Q7894" s="16" t="inlineStr">
        <is>
          <t>ФНС открытые данные ССЧР (ДатаСост 31.12.2025; набор 7707329152-sshr2019)</t>
        </is>
      </c>
      <c r="R7894" s="16" t="inlineStr">
        <is>
          <t>ЕГРЮЛ / egrul.nalog.ru (выписка)</t>
        </is>
      </c>
      <c r="S7894" t="n">
        <v>0</v>
      </c>
      <c r="T7894" s="35" t="inlineStr">
        <is>
          <t>1 — Горячий</t>
        </is>
      </c>
      <c r="U7894" s="35" t="inlineStr">
        <is>
          <t>ОКВЭД + 22+</t>
        </is>
      </c>
      <c r="V7894" s="35" t="inlineStr">
        <is>
          <t>Да</t>
        </is>
      </c>
      <c r="W7894" s="35" t="inlineStr">
        <is>
          <t>Да</t>
        </is>
      </c>
      <c r="X7894" s="35" t="inlineStr">
        <is>
          <t>Да</t>
        </is>
      </c>
    </row>
    <row r="7895" ht="15" customHeight="1" s="24">
      <c r="A7895" s="13" t="n">
        <v>10782921</v>
      </c>
      <c r="B7895" s="13" t="inlineStr">
        <is>
          <t>ООО "ЭН+ ДИДЖИТАЛ"</t>
        </is>
      </c>
      <c r="C7895" s="13" t="n">
        <v>2446031899</v>
      </c>
      <c r="D7895" s="13" t="inlineStr">
        <is>
          <t>2446031899</t>
        </is>
      </c>
      <c r="E7895" s="13" t="inlineStr">
        <is>
          <t>ЮЛ РФ</t>
        </is>
      </c>
      <c r="F7895" s="13" t="n"/>
      <c r="G7895" s="52" t="n">
        <v>383</v>
      </c>
      <c r="H7895" s="52" t="n">
        <v>2025</v>
      </c>
      <c r="I7895" s="52" t="inlineStr">
        <is>
          <t>62.01</t>
        </is>
      </c>
      <c r="J7895" s="52" t="inlineStr">
        <is>
          <t>62.01; 47.41; 62.02.9; 62.09; 58.29; 62.02; 62.03; 63.11.1; 63.12; 63.99.1; 68.20.2; 68.20.29</t>
        </is>
      </c>
      <c r="K7895" s="53" t="inlineStr">
        <is>
          <t>Да</t>
        </is>
      </c>
      <c r="L7895" s="53" t="inlineStr">
        <is>
          <t>Да</t>
        </is>
      </c>
      <c r="M7895" s="53" t="inlineStr">
        <is>
          <t>До 500</t>
        </is>
      </c>
      <c r="N7895" s="54" t="n">
        <v>144000</v>
      </c>
      <c r="O7895" s="55" t="inlineStr">
        <is>
          <t>201–500</t>
        </is>
      </c>
      <c r="P7895" s="16" t="inlineStr">
        <is>
          <t>ССЧР + ОКВЭД обогащены</t>
        </is>
      </c>
      <c r="Q7895" s="16" t="inlineStr">
        <is>
          <t>ФНС открытые данные ССЧР (ДатаСост 31.12.2025; набор 7707329152-sshr2019)</t>
        </is>
      </c>
      <c r="R7895" s="16" t="inlineStr">
        <is>
          <t>ЕГРЮЛ / egrul.nalog.ru (выписка)</t>
        </is>
      </c>
      <c r="S7895" t="n">
        <v>1</v>
      </c>
      <c r="T7895" s="35" t="inlineStr">
        <is>
          <t>1 — Горячий</t>
        </is>
      </c>
      <c r="U7895" s="35" t="inlineStr">
        <is>
          <t>ОКВЭД + 22+</t>
        </is>
      </c>
      <c r="V7895" s="35" t="inlineStr">
        <is>
          <t>Да</t>
        </is>
      </c>
      <c r="W7895" s="35" t="inlineStr">
        <is>
          <t>Да</t>
        </is>
      </c>
      <c r="X7895" s="35" t="inlineStr">
        <is>
          <t>Да</t>
        </is>
      </c>
    </row>
    <row r="7896" ht="27.75" customHeight="1" s="24">
      <c r="A7896" s="13" t="n">
        <v>5000090274</v>
      </c>
      <c r="B7896" s="13" t="inlineStr">
        <is>
          <t>Централизованная бухгалтерия учреждений образования Иркутского района</t>
        </is>
      </c>
      <c r="C7896" s="13" t="n">
        <v>3827038895</v>
      </c>
      <c r="D7896" s="13" t="inlineStr">
        <is>
          <t>3827038895</t>
        </is>
      </c>
      <c r="E7896" s="13" t="inlineStr">
        <is>
          <t>ЮЛ РФ</t>
        </is>
      </c>
      <c r="F7896" s="13" t="n"/>
      <c r="G7896" s="14" t="n"/>
      <c r="H7896" s="14" t="n"/>
      <c r="I7896" s="14" t="n"/>
      <c r="J7896" s="14" t="n"/>
      <c r="K7896" s="53" t="inlineStr"/>
      <c r="L7896" s="53" t="inlineStr">
        <is>
          <t>Не определено</t>
        </is>
      </c>
      <c r="M7896" s="53" t="inlineStr"/>
      <c r="N7896" s="54" t="inlineStr"/>
      <c r="O7896" s="55" t="inlineStr"/>
      <c r="P7896" s="16" t="inlineStr">
        <is>
          <t>Требует обогащения</t>
        </is>
      </c>
      <c r="Q7896" s="16">
        <f>HYPERLINK("https://pb.nalog.ru/search.html?query=3827038895","ФНС: проверить")</f>
        <v/>
      </c>
      <c r="R7896" s="16">
        <f>HYPERLINK("https://checko.ru/search?query=3801001629","Чекко: проверить")</f>
        <v/>
      </c>
      <c r="S7896" t="n">
        <v>1</v>
      </c>
      <c r="T7896" s="35" t="inlineStr">
        <is>
          <t>4 — Не обогащён</t>
        </is>
      </c>
      <c r="U7896" s="35" t="inlineStr">
        <is>
          <t>Нет ОКВЭД/ССЧР</t>
        </is>
      </c>
      <c r="V7896" s="35" t="inlineStr">
        <is>
          <t>Не определено</t>
        </is>
      </c>
      <c r="W7896" s="35" t="inlineStr"/>
      <c r="X7896" s="35" t="inlineStr"/>
    </row>
    <row r="7897" ht="27.75" customHeight="1" s="24">
      <c r="A7897" s="13" t="n">
        <v>5000120386</v>
      </c>
      <c r="B7897" s="13" t="inlineStr">
        <is>
          <t>Комитет по Работе с Территориями Жигаловского Муниципального Округа Иркутской Области</t>
        </is>
      </c>
      <c r="C7897" s="13" t="n">
        <v>3808294910</v>
      </c>
      <c r="D7897" s="13" t="inlineStr">
        <is>
          <t>3808294910</t>
        </is>
      </c>
      <c r="E7897" s="13" t="inlineStr">
        <is>
          <t>ЮЛ РФ</t>
        </is>
      </c>
      <c r="F7897" s="13" t="n"/>
      <c r="G7897" s="14" t="n"/>
      <c r="H7897" s="14" t="n"/>
      <c r="I7897" s="14" t="n"/>
      <c r="J7897" s="14" t="n"/>
      <c r="K7897" s="53" t="inlineStr"/>
      <c r="L7897" s="53" t="inlineStr">
        <is>
          <t>Не определено</t>
        </is>
      </c>
      <c r="M7897" s="53" t="inlineStr"/>
      <c r="N7897" s="54" t="inlineStr"/>
      <c r="O7897" s="55" t="inlineStr"/>
      <c r="P7897" s="16" t="inlineStr">
        <is>
          <t>Требует обогащения</t>
        </is>
      </c>
      <c r="Q7897" s="16">
        <f>HYPERLINK("https://pb.nalog.ru/search.html?query=3808294910","ФНС: проверить")</f>
        <v/>
      </c>
      <c r="R7897" s="16">
        <f>HYPERLINK("https://checko.ru/search?query=3801001629","Чекко: проверить")</f>
        <v/>
      </c>
      <c r="S7897" t="n">
        <v>1</v>
      </c>
      <c r="T7897" s="35" t="inlineStr">
        <is>
          <t>4 — Не обогащён</t>
        </is>
      </c>
      <c r="U7897" s="35" t="inlineStr">
        <is>
          <t>Нет ОКВЭД/ССЧР</t>
        </is>
      </c>
      <c r="V7897" s="35" t="inlineStr">
        <is>
          <t>Не определено</t>
        </is>
      </c>
      <c r="W7897" s="35" t="inlineStr"/>
      <c r="X7897" s="35" t="inlineStr"/>
    </row>
    <row r="7898" ht="27.75" customHeight="1" s="24">
      <c r="A7898" s="13" t="n">
        <v>5000121212</v>
      </c>
      <c r="B7898" s="13" t="inlineStr">
        <is>
          <t>Муниципальное казенное учреждение "Управление Бухгалтерского Учета Города Реутов"</t>
        </is>
      </c>
      <c r="C7898" s="13" t="n">
        <v>5041203256</v>
      </c>
      <c r="D7898" s="13" t="inlineStr">
        <is>
          <t>5041203256</t>
        </is>
      </c>
      <c r="E7898" s="13" t="inlineStr">
        <is>
          <t>ЮЛ РФ</t>
        </is>
      </c>
      <c r="F7898" s="13" t="n"/>
      <c r="G7898" s="14" t="n"/>
      <c r="H7898" s="14" t="n"/>
      <c r="I7898" s="14" t="n"/>
      <c r="J7898" s="14" t="n"/>
      <c r="K7898" s="53" t="inlineStr"/>
      <c r="L7898" s="53" t="inlineStr">
        <is>
          <t>Не определено</t>
        </is>
      </c>
      <c r="M7898" s="53" t="inlineStr"/>
      <c r="N7898" s="54" t="inlineStr"/>
      <c r="O7898" s="55" t="inlineStr"/>
      <c r="P7898" s="16" t="inlineStr">
        <is>
          <t>Требует обогащения</t>
        </is>
      </c>
      <c r="Q7898" s="16">
        <f>HYPERLINK("https://pb.nalog.ru/search.html?query=5041203256","ФНС: проверить")</f>
        <v/>
      </c>
      <c r="R7898" s="16">
        <f>HYPERLINK("https://checko.ru/search?query=3801001629","Чекко: проверить")</f>
        <v/>
      </c>
      <c r="S7898" t="n">
        <v>1</v>
      </c>
      <c r="T7898" s="35" t="inlineStr">
        <is>
          <t>4 — Не обогащён</t>
        </is>
      </c>
      <c r="U7898" s="35" t="inlineStr">
        <is>
          <t>Нет ОКВЭД/ССЧР</t>
        </is>
      </c>
      <c r="V7898" s="35" t="inlineStr">
        <is>
          <t>Не определено</t>
        </is>
      </c>
      <c r="W7898" s="35" t="inlineStr"/>
      <c r="X7898" s="35" t="inlineStr"/>
    </row>
    <row r="7899" ht="27.75" customHeight="1" s="24">
      <c r="A7899" s="13" t="n">
        <v>5000120774</v>
      </c>
      <c r="B7899" s="13" t="inlineStr">
        <is>
          <t>АДМИНИСТРАЦИЯ КИРЕНСКОГО МУНИЦИПАЛЬНОГО ОКРУГА</t>
        </is>
      </c>
      <c r="C7899" s="13" t="n">
        <v>3808294389</v>
      </c>
      <c r="D7899" s="13" t="inlineStr">
        <is>
          <t>3808294389</t>
        </is>
      </c>
      <c r="E7899" s="13" t="inlineStr">
        <is>
          <t>ЮЛ РФ</t>
        </is>
      </c>
      <c r="F7899" s="13" t="n"/>
      <c r="G7899" s="14" t="n"/>
      <c r="H7899" s="14" t="n"/>
      <c r="I7899" s="14" t="n"/>
      <c r="J7899" s="14" t="n"/>
      <c r="K7899" s="53" t="inlineStr"/>
      <c r="L7899" s="53" t="inlineStr">
        <is>
          <t>Не определено</t>
        </is>
      </c>
      <c r="M7899" s="53" t="inlineStr"/>
      <c r="N7899" s="54" t="inlineStr"/>
      <c r="O7899" s="55" t="inlineStr"/>
      <c r="P7899" s="16" t="inlineStr">
        <is>
          <t>Требует обогащения</t>
        </is>
      </c>
      <c r="Q7899" s="16">
        <f>HYPERLINK("https://pb.nalog.ru/search.html?query=3808294389","ФНС: проверить")</f>
        <v/>
      </c>
      <c r="R7899" s="16">
        <f>HYPERLINK("https://checko.ru/search?query=3801001629","Чекко: проверить")</f>
        <v/>
      </c>
      <c r="S7899" t="n">
        <v>1</v>
      </c>
      <c r="T7899" s="35" t="inlineStr">
        <is>
          <t>4 — Не обогащён</t>
        </is>
      </c>
      <c r="U7899" s="35" t="inlineStr">
        <is>
          <t>Нет ОКВЭД/ССЧР</t>
        </is>
      </c>
      <c r="V7899" s="35" t="inlineStr">
        <is>
          <t>Не определено</t>
        </is>
      </c>
      <c r="W7899" s="35" t="inlineStr"/>
      <c r="X7899" s="35" t="inlineStr"/>
    </row>
    <row r="7900" ht="15" customHeight="1" s="24">
      <c r="A7900" s="13" t="n">
        <v>5000119701</v>
      </c>
      <c r="B7900" s="13" t="inlineStr">
        <is>
          <t>ДУМА ЧУНСКОГО МУНИЦИПАЛЬНОГО ОКРУГА</t>
        </is>
      </c>
      <c r="C7900" s="13" t="n">
        <v>3816036818</v>
      </c>
      <c r="D7900" s="13" t="inlineStr">
        <is>
          <t>3816036818</t>
        </is>
      </c>
      <c r="E7900" s="13" t="inlineStr">
        <is>
          <t>ЮЛ РФ</t>
        </is>
      </c>
      <c r="F7900" s="13" t="n"/>
      <c r="G7900" s="14" t="n"/>
      <c r="H7900" s="14" t="n"/>
      <c r="I7900" s="14" t="n"/>
      <c r="J7900" s="14" t="n"/>
      <c r="K7900" s="53" t="inlineStr"/>
      <c r="L7900" s="53" t="inlineStr">
        <is>
          <t>Не определено</t>
        </is>
      </c>
      <c r="M7900" s="53" t="inlineStr"/>
      <c r="N7900" s="54" t="inlineStr"/>
      <c r="O7900" s="55" t="inlineStr"/>
      <c r="P7900" s="16" t="inlineStr">
        <is>
          <t>Требует обогащения</t>
        </is>
      </c>
      <c r="Q7900" s="16">
        <f>HYPERLINK("https://pb.nalog.ru/search.html?query=3816036818","ФНС: проверить")</f>
        <v/>
      </c>
      <c r="R7900" s="16">
        <f>HYPERLINK("https://checko.ru/search?query=3801001629","Чекко: проверить")</f>
        <v/>
      </c>
      <c r="S7900" t="n">
        <v>1</v>
      </c>
      <c r="T7900" s="35" t="inlineStr">
        <is>
          <t>4 — Не обогащён</t>
        </is>
      </c>
      <c r="U7900" s="35" t="inlineStr">
        <is>
          <t>Нет ОКВЭД/ССЧР</t>
        </is>
      </c>
      <c r="V7900" s="35" t="inlineStr">
        <is>
          <t>Не определено</t>
        </is>
      </c>
      <c r="W7900" s="35" t="inlineStr"/>
      <c r="X7900" s="35" t="inlineStr"/>
    </row>
    <row r="7901" ht="41.25" customHeight="1" s="24">
      <c r="A7901" s="13" t="n">
        <v>5000122026</v>
      </c>
      <c r="B7901" s="13" t="inlineStr">
        <is>
          <t>МАКСИМОВСКИЙ АДМИНИСТРАТИВНЫЙ ОКРУГ АДМИНИСТРАЦИИ ИРКУТСКОГО МУНИЦИПАЛЬНОГО ОКРУГА</t>
        </is>
      </c>
      <c r="C7901" s="13" t="n">
        <v>3808294195</v>
      </c>
      <c r="D7901" s="13" t="inlineStr">
        <is>
          <t>3808294195</t>
        </is>
      </c>
      <c r="E7901" s="13" t="inlineStr">
        <is>
          <t>ЮЛ РФ</t>
        </is>
      </c>
      <c r="F7901" s="13" t="n"/>
      <c r="G7901" s="14" t="n"/>
      <c r="H7901" s="14" t="n"/>
      <c r="I7901" s="14" t="n"/>
      <c r="J7901" s="14" t="n"/>
      <c r="K7901" s="53" t="inlineStr"/>
      <c r="L7901" s="53" t="inlineStr">
        <is>
          <t>Не определено</t>
        </is>
      </c>
      <c r="M7901" s="53" t="inlineStr"/>
      <c r="N7901" s="54" t="inlineStr"/>
      <c r="O7901" s="55" t="inlineStr"/>
      <c r="P7901" s="16" t="inlineStr">
        <is>
          <t>Требует обогащения</t>
        </is>
      </c>
      <c r="Q7901" s="16">
        <f>HYPERLINK("https://pb.nalog.ru/search.html?query=3808294195","ФНС: проверить")</f>
        <v/>
      </c>
      <c r="R7901" s="16">
        <f>HYPERLINK("https://checko.ru/search?query=3801001629","Чекко: проверить")</f>
        <v/>
      </c>
      <c r="S7901" t="n">
        <v>1</v>
      </c>
      <c r="T7901" s="35" t="inlineStr">
        <is>
          <t>4 — Не обогащён</t>
        </is>
      </c>
      <c r="U7901" s="35" t="inlineStr">
        <is>
          <t>Нет ОКВЭД/ССЧР</t>
        </is>
      </c>
      <c r="V7901" s="35" t="inlineStr">
        <is>
          <t>Не определено</t>
        </is>
      </c>
      <c r="W7901" s="35" t="inlineStr"/>
      <c r="X7901" s="35" t="inlineStr"/>
    </row>
    <row r="7902" ht="41.25" customHeight="1" s="24">
      <c r="A7902" s="13" t="n">
        <v>5000122032</v>
      </c>
      <c r="B7902" s="13" t="inlineStr">
        <is>
          <t>СОСНОВОБОРСКИЙ АДМИНИСТРАТИВНЫЙ ОКРУГ АДМИНИСТРАЦИИ ИРКУТСКОГО МУНИЦИПАЛЬНОГО ОКРУГА</t>
        </is>
      </c>
      <c r="C7902" s="13" t="n">
        <v>3808294364</v>
      </c>
      <c r="D7902" s="13" t="inlineStr">
        <is>
          <t>3808294364</t>
        </is>
      </c>
      <c r="E7902" s="13" t="inlineStr">
        <is>
          <t>ЮЛ РФ</t>
        </is>
      </c>
      <c r="F7902" s="13" t="n"/>
      <c r="G7902" s="14" t="n"/>
      <c r="H7902" s="14" t="n"/>
      <c r="I7902" s="14" t="n"/>
      <c r="J7902" s="14" t="n"/>
      <c r="K7902" s="53" t="inlineStr"/>
      <c r="L7902" s="53" t="inlineStr">
        <is>
          <t>Не определено</t>
        </is>
      </c>
      <c r="M7902" s="53" t="inlineStr"/>
      <c r="N7902" s="54" t="inlineStr"/>
      <c r="O7902" s="55" t="inlineStr"/>
      <c r="P7902" s="16" t="inlineStr">
        <is>
          <t>Требует обогащения</t>
        </is>
      </c>
      <c r="Q7902" s="16">
        <f>HYPERLINK("https://pb.nalog.ru/search.html?query=3808294364","ФНС: проверить")</f>
        <v/>
      </c>
      <c r="R7902" s="16">
        <f>HYPERLINK("https://checko.ru/search?query=3801001629","Чекко: проверить")</f>
        <v/>
      </c>
      <c r="S7902" t="n">
        <v>1</v>
      </c>
      <c r="T7902" s="35" t="inlineStr">
        <is>
          <t>4 — Не обогащён</t>
        </is>
      </c>
      <c r="U7902" s="35" t="inlineStr">
        <is>
          <t>Нет ОКВЭД/ССЧР</t>
        </is>
      </c>
      <c r="V7902" s="35" t="inlineStr">
        <is>
          <t>Не определено</t>
        </is>
      </c>
      <c r="W7902" s="35" t="inlineStr"/>
      <c r="X7902" s="35" t="inlineStr"/>
    </row>
    <row r="7903" ht="41.25" customHeight="1" s="24">
      <c r="A7903" s="13" t="n">
        <v>5000121924</v>
      </c>
      <c r="B7903" s="13" t="inlineStr">
        <is>
          <t>Муниципальное учреждение "Централизованная Бухгалтерия Раменского Муниципального Округа Московской Области"</t>
        </is>
      </c>
      <c r="C7903" s="13" t="n">
        <v>5040088547</v>
      </c>
      <c r="D7903" s="13" t="inlineStr">
        <is>
          <t>5040088547</t>
        </is>
      </c>
      <c r="E7903" s="13" t="inlineStr">
        <is>
          <t>ЮЛ РФ</t>
        </is>
      </c>
      <c r="F7903" s="13" t="n"/>
      <c r="G7903" s="14" t="n"/>
      <c r="H7903" s="14" t="n"/>
      <c r="I7903" s="14" t="n"/>
      <c r="J7903" s="14" t="n"/>
      <c r="K7903" s="53" t="inlineStr"/>
      <c r="L7903" s="53" t="inlineStr">
        <is>
          <t>Не определено</t>
        </is>
      </c>
      <c r="M7903" s="53" t="inlineStr"/>
      <c r="N7903" s="54" t="inlineStr"/>
      <c r="O7903" s="55" t="inlineStr"/>
      <c r="P7903" s="16" t="inlineStr">
        <is>
          <t>Требует обогащения</t>
        </is>
      </c>
      <c r="Q7903" s="16">
        <f>HYPERLINK("https://pb.nalog.ru/search.html?query=5040088547","ФНС: проверить")</f>
        <v/>
      </c>
      <c r="R7903" s="16">
        <f>HYPERLINK("https://checko.ru/search?query=3801001629","Чекко: проверить")</f>
        <v/>
      </c>
      <c r="S7903" t="n">
        <v>1</v>
      </c>
      <c r="T7903" s="35" t="inlineStr">
        <is>
          <t>4 — Не обогащён</t>
        </is>
      </c>
      <c r="U7903" s="35" t="inlineStr">
        <is>
          <t>Нет ОКВЭД/ССЧР</t>
        </is>
      </c>
      <c r="V7903" s="35" t="inlineStr">
        <is>
          <t>Не определено</t>
        </is>
      </c>
      <c r="W7903" s="35" t="inlineStr"/>
      <c r="X7903" s="35" t="inlineStr"/>
    </row>
    <row r="7904" ht="15" customHeight="1" s="24">
      <c r="A7904" s="13" t="n">
        <v>5000024315</v>
      </c>
      <c r="B7904" s="13" t="inlineStr">
        <is>
          <t>Филиал МКУ ЩМР "ЦБ ЩМР" в сфере "Культура"</t>
        </is>
      </c>
      <c r="C7904" s="13" t="n">
        <v>5050120366</v>
      </c>
      <c r="D7904" s="13" t="inlineStr">
        <is>
          <t>5050120366</t>
        </is>
      </c>
      <c r="E7904" s="13" t="inlineStr">
        <is>
          <t>ЮЛ РФ</t>
        </is>
      </c>
      <c r="F7904" s="13" t="n"/>
      <c r="G7904" s="14" t="n"/>
      <c r="H7904" s="14" t="n"/>
      <c r="I7904" s="14" t="n"/>
      <c r="J7904" s="14" t="n"/>
      <c r="K7904" s="53" t="inlineStr"/>
      <c r="L7904" s="53" t="inlineStr">
        <is>
          <t>Не определено</t>
        </is>
      </c>
      <c r="M7904" s="53" t="inlineStr"/>
      <c r="N7904" s="54" t="inlineStr"/>
      <c r="O7904" s="55" t="inlineStr"/>
      <c r="P7904" s="16" t="inlineStr">
        <is>
          <t>Требует обогащения</t>
        </is>
      </c>
      <c r="Q7904" s="16">
        <f>HYPERLINK("https://pb.nalog.ru/search.html?query=5050120366","ФНС: проверить")</f>
        <v/>
      </c>
      <c r="R7904" s="16">
        <f>HYPERLINK("https://checko.ru/search?query=3801001629","Чекко: проверить")</f>
        <v/>
      </c>
      <c r="S7904" t="n">
        <v>1</v>
      </c>
      <c r="T7904" s="35" t="inlineStr">
        <is>
          <t>4 — Не обогащён</t>
        </is>
      </c>
      <c r="U7904" s="35" t="inlineStr">
        <is>
          <t>Нет ОКВЭД/ССЧР</t>
        </is>
      </c>
      <c r="V7904" s="35" t="inlineStr">
        <is>
          <t>Не определено</t>
        </is>
      </c>
      <c r="W7904" s="35" t="inlineStr"/>
      <c r="X7904" s="35" t="inlineStr"/>
    </row>
    <row r="7905" ht="41.25" customHeight="1" s="24">
      <c r="A7905" s="13" t="n">
        <v>5000123649</v>
      </c>
      <c r="B7905" s="13" t="inlineStr">
        <is>
          <t>Администрация закрытого административно-территориального образования городской округ Восход Московской области</t>
        </is>
      </c>
      <c r="C7905" s="13" t="n">
        <v>5017015893</v>
      </c>
      <c r="D7905" s="13" t="inlineStr">
        <is>
          <t>5017015893</t>
        </is>
      </c>
      <c r="E7905" s="13" t="inlineStr">
        <is>
          <t>ЮЛ РФ</t>
        </is>
      </c>
      <c r="F7905" s="13" t="n"/>
      <c r="G7905" s="14" t="n"/>
      <c r="H7905" s="14" t="n"/>
      <c r="I7905" s="14" t="n"/>
      <c r="J7905" s="14" t="n"/>
      <c r="K7905" s="53" t="inlineStr"/>
      <c r="L7905" s="53" t="inlineStr">
        <is>
          <t>Не определено</t>
        </is>
      </c>
      <c r="M7905" s="53" t="inlineStr"/>
      <c r="N7905" s="54" t="inlineStr"/>
      <c r="O7905" s="55" t="inlineStr"/>
      <c r="P7905" s="16" t="inlineStr">
        <is>
          <t>Требует обогащения</t>
        </is>
      </c>
      <c r="Q7905" s="16">
        <f>HYPERLINK("https://pb.nalog.ru/search.html?query=5017015893","ФНС: проверить")</f>
        <v/>
      </c>
      <c r="R7905" s="16">
        <f>HYPERLINK("https://checko.ru/search?query=3801001629","Чекко: проверить")</f>
        <v/>
      </c>
      <c r="S7905" t="n">
        <v>1</v>
      </c>
      <c r="T7905" s="35" t="inlineStr">
        <is>
          <t>4 — Не обогащён</t>
        </is>
      </c>
      <c r="U7905" s="35" t="inlineStr">
        <is>
          <t>Нет ОКВЭД/ССЧР</t>
        </is>
      </c>
      <c r="V7905" s="35" t="inlineStr">
        <is>
          <t>Не определено</t>
        </is>
      </c>
      <c r="W7905" s="35" t="inlineStr"/>
      <c r="X7905" s="35" t="inlineStr"/>
    </row>
    <row r="7906" ht="41.25" customHeight="1" s="24">
      <c r="A7906" s="13" t="n">
        <v>5000117466</v>
      </c>
      <c r="B7906" s="13" t="inlineStr">
        <is>
          <t>ЧАСТНОЕ УЧРЕЖДЕНИЕ ЗДРАВООХРАНЕНИЯ "ПОЛИКЛИНИКА "РЖД-МЕДИЦИНА" ГОРОДА МУРМАНСК"</t>
        </is>
      </c>
      <c r="C7906" s="13" t="n">
        <v>5190128421</v>
      </c>
      <c r="D7906" s="13" t="inlineStr">
        <is>
          <t>5190128421</t>
        </is>
      </c>
      <c r="E7906" s="13" t="inlineStr">
        <is>
          <t>ЮЛ РФ</t>
        </is>
      </c>
      <c r="F7906" s="13" t="n"/>
      <c r="G7906" s="14" t="n"/>
      <c r="H7906" s="14" t="n"/>
      <c r="I7906" s="14" t="n"/>
      <c r="J7906" s="14" t="n"/>
      <c r="K7906" s="53" t="inlineStr"/>
      <c r="L7906" s="53" t="inlineStr">
        <is>
          <t>Не определено</t>
        </is>
      </c>
      <c r="M7906" s="53" t="inlineStr"/>
      <c r="N7906" s="54" t="inlineStr"/>
      <c r="O7906" s="55" t="inlineStr"/>
      <c r="P7906" s="16" t="inlineStr">
        <is>
          <t>Требует обогащения</t>
        </is>
      </c>
      <c r="Q7906" s="16">
        <f>HYPERLINK("https://pb.nalog.ru/search.html?query=5190128421","ФНС: проверить")</f>
        <v/>
      </c>
      <c r="R7906" s="16">
        <f>HYPERLINK("https://checko.ru/search?query=3801001629","Чекко: проверить")</f>
        <v/>
      </c>
      <c r="S7906" t="n">
        <v>1</v>
      </c>
      <c r="T7906" s="35" t="inlineStr">
        <is>
          <t>4 — Не обогащён</t>
        </is>
      </c>
      <c r="U7906" s="35" t="inlineStr">
        <is>
          <t>Нет ОКВЭД/ССЧР</t>
        </is>
      </c>
      <c r="V7906" s="35" t="inlineStr">
        <is>
          <t>Не определено</t>
        </is>
      </c>
      <c r="W7906" s="35" t="inlineStr"/>
      <c r="X7906" s="35" t="inlineStr"/>
    </row>
    <row r="7907" ht="15" customHeight="1" s="24">
      <c r="A7907" s="13" t="n">
        <v>5000117503</v>
      </c>
      <c r="B7907" s="13" t="inlineStr">
        <is>
          <t>НУЗ "ОКБ на ст. Оренбург ОАО "РЖД"</t>
        </is>
      </c>
      <c r="C7907" s="13" t="n">
        <v>5611031682</v>
      </c>
      <c r="D7907" s="13" t="inlineStr">
        <is>
          <t>5611031682</t>
        </is>
      </c>
      <c r="E7907" s="13" t="inlineStr">
        <is>
          <t>ЮЛ РФ</t>
        </is>
      </c>
      <c r="F7907" s="13" t="n"/>
      <c r="G7907" s="14" t="n"/>
      <c r="H7907" s="14" t="n"/>
      <c r="I7907" s="14" t="n"/>
      <c r="J7907" s="14" t="n"/>
      <c r="K7907" s="53" t="inlineStr"/>
      <c r="L7907" s="53" t="inlineStr">
        <is>
          <t>Не определено</t>
        </is>
      </c>
      <c r="M7907" s="53" t="inlineStr"/>
      <c r="N7907" s="54" t="inlineStr"/>
      <c r="O7907" s="55" t="inlineStr"/>
      <c r="P7907" s="16" t="inlineStr">
        <is>
          <t>Требует обогащения</t>
        </is>
      </c>
      <c r="Q7907" s="16">
        <f>HYPERLINK("https://pb.nalog.ru/search.html?query=5611031682","ФНС: проверить")</f>
        <v/>
      </c>
      <c r="R7907" s="16">
        <f>HYPERLINK("https://checko.ru/search?query=3801001629","Чекко: проверить")</f>
        <v/>
      </c>
      <c r="S7907" t="n">
        <v>1</v>
      </c>
      <c r="T7907" s="35" t="inlineStr">
        <is>
          <t>4 — Не обогащён</t>
        </is>
      </c>
      <c r="U7907" s="35" t="inlineStr">
        <is>
          <t>Нет ОКВЭД/ССЧР</t>
        </is>
      </c>
      <c r="V7907" s="35" t="inlineStr">
        <is>
          <t>Не определено</t>
        </is>
      </c>
      <c r="W7907" s="35" t="inlineStr"/>
      <c r="X7907" s="35" t="inlineStr"/>
    </row>
    <row r="7908" ht="27.75" customHeight="1" s="24">
      <c r="A7908" s="13" t="n">
        <v>5000117456</v>
      </c>
      <c r="B7908" s="13" t="inlineStr">
        <is>
          <t>НУЗ "Отделенческая больница на станции Брянск-2 ОАО "РЖД"</t>
        </is>
      </c>
      <c r="C7908" s="13" t="n">
        <v>3254001613</v>
      </c>
      <c r="D7908" s="13" t="inlineStr">
        <is>
          <t>3254001613</t>
        </is>
      </c>
      <c r="E7908" s="13" t="inlineStr">
        <is>
          <t>ЮЛ РФ</t>
        </is>
      </c>
      <c r="F7908" s="13" t="n"/>
      <c r="G7908" s="14" t="n"/>
      <c r="H7908" s="14" t="n"/>
      <c r="I7908" s="14" t="n"/>
      <c r="J7908" s="14" t="n"/>
      <c r="K7908" s="53" t="inlineStr"/>
      <c r="L7908" s="53" t="inlineStr">
        <is>
          <t>Не определено</t>
        </is>
      </c>
      <c r="M7908" s="53" t="inlineStr"/>
      <c r="N7908" s="54" t="inlineStr"/>
      <c r="O7908" s="55" t="inlineStr"/>
      <c r="P7908" s="16" t="inlineStr">
        <is>
          <t>Требует обогащения</t>
        </is>
      </c>
      <c r="Q7908" s="16">
        <f>HYPERLINK("https://pb.nalog.ru/search.html?query=3254001613","ФНС: проверить")</f>
        <v/>
      </c>
      <c r="R7908" s="16">
        <f>HYPERLINK("https://checko.ru/search?query=3801001629","Чекко: проверить")</f>
        <v/>
      </c>
      <c r="S7908" t="n">
        <v>1</v>
      </c>
      <c r="T7908" s="35" t="inlineStr">
        <is>
          <t>4 — Не обогащён</t>
        </is>
      </c>
      <c r="U7908" s="35" t="inlineStr">
        <is>
          <t>Нет ОКВЭД/ССЧР</t>
        </is>
      </c>
      <c r="V7908" s="35" t="inlineStr">
        <is>
          <t>Не определено</t>
        </is>
      </c>
      <c r="W7908" s="35" t="inlineStr"/>
      <c r="X7908" s="35" t="inlineStr"/>
    </row>
    <row r="7909" ht="15" customHeight="1" s="24">
      <c r="A7909" s="13" t="n">
        <v>5000117460</v>
      </c>
      <c r="B7909" s="13" t="inlineStr">
        <is>
          <t>ЧУЗ «РЖД-Медицина» г.Рязани»</t>
        </is>
      </c>
      <c r="C7909" s="13" t="n">
        <v>6213007033</v>
      </c>
      <c r="D7909" s="13" t="inlineStr">
        <is>
          <t>6213007033</t>
        </is>
      </c>
      <c r="E7909" s="13" t="inlineStr">
        <is>
          <t>ЮЛ РФ</t>
        </is>
      </c>
      <c r="F7909" s="13" t="n"/>
      <c r="G7909" s="14" t="n"/>
      <c r="H7909" s="14" t="n"/>
      <c r="I7909" s="14" t="n"/>
      <c r="J7909" s="14" t="n"/>
      <c r="K7909" s="53" t="inlineStr"/>
      <c r="L7909" s="53" t="inlineStr">
        <is>
          <t>Не определено</t>
        </is>
      </c>
      <c r="M7909" s="53" t="inlineStr"/>
      <c r="N7909" s="54" t="inlineStr"/>
      <c r="O7909" s="55" t="inlineStr"/>
      <c r="P7909" s="16" t="inlineStr">
        <is>
          <t>Требует обогащения</t>
        </is>
      </c>
      <c r="Q7909" s="16">
        <f>HYPERLINK("https://pb.nalog.ru/search.html?query=6213007033","ФНС: проверить")</f>
        <v/>
      </c>
      <c r="R7909" s="16">
        <f>HYPERLINK("https://checko.ru/search?query=3801001629","Чекко: проверить")</f>
        <v/>
      </c>
      <c r="S7909" t="n">
        <v>1</v>
      </c>
      <c r="T7909" s="35" t="inlineStr">
        <is>
          <t>4 — Не обогащён</t>
        </is>
      </c>
      <c r="U7909" s="35" t="inlineStr">
        <is>
          <t>Нет ОКВЭД/ССЧР</t>
        </is>
      </c>
      <c r="V7909" s="35" t="inlineStr">
        <is>
          <t>Не определено</t>
        </is>
      </c>
      <c r="W7909" s="35" t="inlineStr"/>
      <c r="X7909" s="35" t="inlineStr"/>
    </row>
    <row r="7910" ht="15" customHeight="1" s="24">
      <c r="A7910" s="13" t="n">
        <v>5000117485</v>
      </c>
      <c r="B7910" s="13" t="inlineStr">
        <is>
          <t>ЧУЗ «РЖД – Медицина» г.Южно-Сахалинск»</t>
        </is>
      </c>
      <c r="C7910" s="13" t="n">
        <v>6501151403</v>
      </c>
      <c r="D7910" s="13" t="inlineStr">
        <is>
          <t>6501151403</t>
        </is>
      </c>
      <c r="E7910" s="13" t="inlineStr">
        <is>
          <t>ЮЛ РФ</t>
        </is>
      </c>
      <c r="F7910" s="13" t="n"/>
      <c r="G7910" s="14" t="n"/>
      <c r="H7910" s="14" t="n"/>
      <c r="I7910" s="14" t="n"/>
      <c r="J7910" s="14" t="n"/>
      <c r="K7910" s="53" t="inlineStr"/>
      <c r="L7910" s="53" t="inlineStr">
        <is>
          <t>Не определено</t>
        </is>
      </c>
      <c r="M7910" s="53" t="inlineStr"/>
      <c r="N7910" s="54" t="inlineStr"/>
      <c r="O7910" s="55" t="inlineStr"/>
      <c r="P7910" s="16" t="inlineStr">
        <is>
          <t>Требует обогащения</t>
        </is>
      </c>
      <c r="Q7910" s="16">
        <f>HYPERLINK("https://pb.nalog.ru/search.html?query=6501151403","ФНС: проверить")</f>
        <v/>
      </c>
      <c r="R7910" s="16">
        <f>HYPERLINK("https://checko.ru/search?query=3801001629","Чекко: проверить")</f>
        <v/>
      </c>
      <c r="S7910" t="n">
        <v>1</v>
      </c>
      <c r="T7910" s="35" t="inlineStr">
        <is>
          <t>4 — Не обогащён</t>
        </is>
      </c>
      <c r="U7910" s="35" t="inlineStr">
        <is>
          <t>Нет ОКВЭД/ССЧР</t>
        </is>
      </c>
      <c r="V7910" s="35" t="inlineStr">
        <is>
          <t>Не определено</t>
        </is>
      </c>
      <c r="W7910" s="35" t="inlineStr"/>
      <c r="X7910" s="35" t="inlineStr"/>
    </row>
    <row r="7911" ht="15" customHeight="1" s="24">
      <c r="A7911" s="13" t="n">
        <v>5000117511</v>
      </c>
      <c r="B7911" s="13" t="inlineStr">
        <is>
          <t>ЧУЗ «РЖД-Медицина» г.Гудермес»</t>
        </is>
      </c>
      <c r="C7911" s="13" t="n">
        <v>2005504742</v>
      </c>
      <c r="D7911" s="13" t="inlineStr">
        <is>
          <t>2005504742</t>
        </is>
      </c>
      <c r="E7911" s="13" t="inlineStr">
        <is>
          <t>ЮЛ РФ</t>
        </is>
      </c>
      <c r="F7911" s="13" t="n"/>
      <c r="G7911" s="14" t="n"/>
      <c r="H7911" s="14" t="n"/>
      <c r="I7911" s="14" t="n"/>
      <c r="J7911" s="14" t="n"/>
      <c r="K7911" s="53" t="inlineStr"/>
      <c r="L7911" s="53" t="inlineStr">
        <is>
          <t>Не определено</t>
        </is>
      </c>
      <c r="M7911" s="53" t="inlineStr"/>
      <c r="N7911" s="54" t="inlineStr"/>
      <c r="O7911" s="55" t="inlineStr"/>
      <c r="P7911" s="16" t="inlineStr">
        <is>
          <t>Требует обогащения</t>
        </is>
      </c>
      <c r="Q7911" s="16">
        <f>HYPERLINK("https://pb.nalog.ru/search.html?query=2005504742","ФНС: проверить")</f>
        <v/>
      </c>
      <c r="R7911" s="16">
        <f>HYPERLINK("https://checko.ru/search?query=3801001629","Чекко: проверить")</f>
        <v/>
      </c>
      <c r="S7911" t="n">
        <v>1</v>
      </c>
      <c r="T7911" s="35" t="inlineStr">
        <is>
          <t>4 — Не обогащён</t>
        </is>
      </c>
      <c r="U7911" s="35" t="inlineStr">
        <is>
          <t>Нет ОКВЭД/ССЧР</t>
        </is>
      </c>
      <c r="V7911" s="35" t="inlineStr">
        <is>
          <t>Не определено</t>
        </is>
      </c>
      <c r="W7911" s="35" t="inlineStr"/>
      <c r="X7911" s="35" t="inlineStr"/>
    </row>
    <row r="7912" ht="27.75" customHeight="1" s="24">
      <c r="A7912" s="13" t="n">
        <v>5000117473</v>
      </c>
      <c r="B7912" s="13" t="inlineStr">
        <is>
          <t>НУЗ "Отделенческая клиническая больница на ст. Волгоград-1 ОАО "РЖД"</t>
        </is>
      </c>
      <c r="C7912" s="13" t="n">
        <v>3444116186</v>
      </c>
      <c r="D7912" s="13" t="inlineStr">
        <is>
          <t>3444116186</t>
        </is>
      </c>
      <c r="E7912" s="13" t="inlineStr">
        <is>
          <t>ЮЛ РФ</t>
        </is>
      </c>
      <c r="F7912" s="13" t="n"/>
      <c r="G7912" s="14" t="n"/>
      <c r="H7912" s="14" t="n"/>
      <c r="I7912" s="14" t="n"/>
      <c r="J7912" s="14" t="n"/>
      <c r="K7912" s="53" t="inlineStr"/>
      <c r="L7912" s="53" t="inlineStr">
        <is>
          <t>Не определено</t>
        </is>
      </c>
      <c r="M7912" s="53" t="inlineStr"/>
      <c r="N7912" s="54" t="inlineStr"/>
      <c r="O7912" s="55" t="inlineStr"/>
      <c r="P7912" s="16" t="inlineStr">
        <is>
          <t>Требует обогащения</t>
        </is>
      </c>
      <c r="Q7912" s="16">
        <f>HYPERLINK("https://pb.nalog.ru/search.html?query=3444116186","ФНС: проверить")</f>
        <v/>
      </c>
      <c r="R7912" s="16">
        <f>HYPERLINK("https://checko.ru/search?query=3801001629","Чекко: проверить")</f>
        <v/>
      </c>
      <c r="S7912" t="n">
        <v>1</v>
      </c>
      <c r="T7912" s="35" t="inlineStr">
        <is>
          <t>4 — Не обогащён</t>
        </is>
      </c>
      <c r="U7912" s="35" t="inlineStr">
        <is>
          <t>Нет ОКВЭД/ССЧР</t>
        </is>
      </c>
      <c r="V7912" s="35" t="inlineStr">
        <is>
          <t>Не определено</t>
        </is>
      </c>
      <c r="W7912" s="35" t="inlineStr"/>
      <c r="X7912" s="35" t="inlineStr"/>
    </row>
    <row r="7913" ht="27.75" customHeight="1" s="24">
      <c r="A7913" s="13" t="n">
        <v>5000117451</v>
      </c>
      <c r="B7913" s="13" t="inlineStr">
        <is>
          <t>НУЗ "Дорожная клиническая больница имени Н.А. Семашко на ст. Люблино ОАО "РЖД"</t>
        </is>
      </c>
      <c r="C7913" s="13" t="n">
        <v>7723518340</v>
      </c>
      <c r="D7913" s="13" t="inlineStr">
        <is>
          <t>7723518340</t>
        </is>
      </c>
      <c r="E7913" s="13" t="inlineStr">
        <is>
          <t>ЮЛ РФ</t>
        </is>
      </c>
      <c r="F7913" s="13" t="n"/>
      <c r="G7913" s="14" t="n"/>
      <c r="H7913" s="14" t="n"/>
      <c r="I7913" s="14" t="n"/>
      <c r="J7913" s="14" t="n"/>
      <c r="K7913" s="53" t="inlineStr"/>
      <c r="L7913" s="53" t="inlineStr">
        <is>
          <t>Не определено</t>
        </is>
      </c>
      <c r="M7913" s="53" t="inlineStr"/>
      <c r="N7913" s="54" t="inlineStr"/>
      <c r="O7913" s="55" t="inlineStr"/>
      <c r="P7913" s="16" t="inlineStr">
        <is>
          <t>Требует обогащения</t>
        </is>
      </c>
      <c r="Q7913" s="16">
        <f>HYPERLINK("https://pb.nalog.ru/search.html?query=7723518340","ФНС: проверить")</f>
        <v/>
      </c>
      <c r="R7913" s="16">
        <f>HYPERLINK("https://checko.ru/search?query=3801001629","Чекко: проверить")</f>
        <v/>
      </c>
      <c r="S7913" t="n">
        <v>1</v>
      </c>
      <c r="T7913" s="35" t="inlineStr">
        <is>
          <t>4 — Не обогащён</t>
        </is>
      </c>
      <c r="U7913" s="35" t="inlineStr">
        <is>
          <t>Нет ОКВЭД/ССЧР</t>
        </is>
      </c>
      <c r="V7913" s="35" t="inlineStr">
        <is>
          <t>Не определено</t>
        </is>
      </c>
      <c r="W7913" s="35" t="inlineStr"/>
      <c r="X7913" s="35" t="inlineStr"/>
    </row>
    <row r="7914" ht="27.75" customHeight="1" s="24">
      <c r="A7914" s="13" t="n">
        <v>5000117483</v>
      </c>
      <c r="B7914" s="13" t="inlineStr">
        <is>
          <t>НУЗ "Дорожная клиническая больница на станции Чита-2 ОАО "РЖД"</t>
        </is>
      </c>
      <c r="C7914" s="13" t="n">
        <v>7534018494</v>
      </c>
      <c r="D7914" s="13" t="inlineStr">
        <is>
          <t>7534018494</t>
        </is>
      </c>
      <c r="E7914" s="13" t="inlineStr">
        <is>
          <t>ЮЛ РФ</t>
        </is>
      </c>
      <c r="F7914" s="13" t="n"/>
      <c r="G7914" s="14" t="n"/>
      <c r="H7914" s="14" t="n"/>
      <c r="I7914" s="14" t="n"/>
      <c r="J7914" s="14" t="n"/>
      <c r="K7914" s="53" t="inlineStr"/>
      <c r="L7914" s="53" t="inlineStr">
        <is>
          <t>Не определено</t>
        </is>
      </c>
      <c r="M7914" s="53" t="inlineStr"/>
      <c r="N7914" s="54" t="inlineStr"/>
      <c r="O7914" s="55" t="inlineStr"/>
      <c r="P7914" s="16" t="inlineStr">
        <is>
          <t>Требует обогащения</t>
        </is>
      </c>
      <c r="Q7914" s="16">
        <f>HYPERLINK("https://pb.nalog.ru/search.html?query=7534018494","ФНС: проверить")</f>
        <v/>
      </c>
      <c r="R7914" s="16">
        <f>HYPERLINK("https://checko.ru/search?query=3801001629","Чекко: проверить")</f>
        <v/>
      </c>
      <c r="S7914" t="n">
        <v>1</v>
      </c>
      <c r="T7914" s="35" t="inlineStr">
        <is>
          <t>4 — Не обогащён</t>
        </is>
      </c>
      <c r="U7914" s="35" t="inlineStr">
        <is>
          <t>Нет ОКВЭД/ССЧР</t>
        </is>
      </c>
      <c r="V7914" s="35" t="inlineStr">
        <is>
          <t>Не определено</t>
        </is>
      </c>
      <c r="W7914" s="35" t="inlineStr"/>
      <c r="X7914" s="35" t="inlineStr"/>
    </row>
    <row r="7915" ht="27.75" customHeight="1" s="24">
      <c r="A7915" s="13" t="n">
        <v>5000117489</v>
      </c>
      <c r="B7915" s="13" t="inlineStr">
        <is>
          <t>ЧАСТНОЕ УЧРЕЖДЕНИЕ ЗДРАВООХРАНЕНИЯ "ПОЛИКЛИНИКА "РЖД-МЕДИЦИНА" ГОРОДА БУЙ"</t>
        </is>
      </c>
      <c r="C7915" s="13" t="n">
        <v>4402006338</v>
      </c>
      <c r="D7915" s="13" t="inlineStr">
        <is>
          <t>4402006338</t>
        </is>
      </c>
      <c r="E7915" s="13" t="inlineStr">
        <is>
          <t>ЮЛ РФ</t>
        </is>
      </c>
      <c r="F7915" s="13" t="n"/>
      <c r="G7915" s="14" t="n"/>
      <c r="H7915" s="14" t="n"/>
      <c r="I7915" s="14" t="n"/>
      <c r="J7915" s="14" t="n"/>
      <c r="K7915" s="53" t="inlineStr"/>
      <c r="L7915" s="53" t="inlineStr">
        <is>
          <t>Не определено</t>
        </is>
      </c>
      <c r="M7915" s="53" t="inlineStr"/>
      <c r="N7915" s="54" t="inlineStr"/>
      <c r="O7915" s="55" t="inlineStr"/>
      <c r="P7915" s="16" t="inlineStr">
        <is>
          <t>Требует обогащения</t>
        </is>
      </c>
      <c r="Q7915" s="16">
        <f>HYPERLINK("https://pb.nalog.ru/search.html?query=4402006338","ФНС: проверить")</f>
        <v/>
      </c>
      <c r="R7915" s="16">
        <f>HYPERLINK("https://checko.ru/search?query=3801001629","Чекко: проверить")</f>
        <v/>
      </c>
      <c r="S7915" t="n">
        <v>1</v>
      </c>
      <c r="T7915" s="35" t="inlineStr">
        <is>
          <t>4 — Не обогащён</t>
        </is>
      </c>
      <c r="U7915" s="35" t="inlineStr">
        <is>
          <t>Нет ОКВЭД/ССЧР</t>
        </is>
      </c>
      <c r="V7915" s="35" t="inlineStr">
        <is>
          <t>Не определено</t>
        </is>
      </c>
      <c r="W7915" s="35" t="inlineStr"/>
      <c r="X7915" s="35" t="inlineStr"/>
    </row>
    <row r="7916" ht="27.75" customHeight="1" s="24">
      <c r="A7916" s="13" t="n">
        <v>5000117452</v>
      </c>
      <c r="B7916" s="13" t="inlineStr">
        <is>
          <t>НУЗ "Отделенческая больница на станции Белгород" ОАО "РЖД"</t>
        </is>
      </c>
      <c r="C7916" s="13" t="n">
        <v>3123109067</v>
      </c>
      <c r="D7916" s="13" t="inlineStr">
        <is>
          <t>3123109067</t>
        </is>
      </c>
      <c r="E7916" s="13" t="inlineStr">
        <is>
          <t>ЮЛ РФ</t>
        </is>
      </c>
      <c r="F7916" s="13" t="n"/>
      <c r="G7916" s="14" t="n"/>
      <c r="H7916" s="14" t="n"/>
      <c r="I7916" s="14" t="n"/>
      <c r="J7916" s="14" t="n"/>
      <c r="K7916" s="53" t="inlineStr"/>
      <c r="L7916" s="53" t="inlineStr">
        <is>
          <t>Не определено</t>
        </is>
      </c>
      <c r="M7916" s="53" t="inlineStr"/>
      <c r="N7916" s="54" t="inlineStr"/>
      <c r="O7916" s="55" t="inlineStr"/>
      <c r="P7916" s="16" t="inlineStr">
        <is>
          <t>Требует обогащения</t>
        </is>
      </c>
      <c r="Q7916" s="16">
        <f>HYPERLINK("https://pb.nalog.ru/search.html?query=3123109067","ФНС: проверить")</f>
        <v/>
      </c>
      <c r="R7916" s="16">
        <f>HYPERLINK("https://checko.ru/search?query=3801001629","Чекко: проверить")</f>
        <v/>
      </c>
      <c r="S7916" t="n">
        <v>1</v>
      </c>
      <c r="T7916" s="35" t="inlineStr">
        <is>
          <t>4 — Не обогащён</t>
        </is>
      </c>
      <c r="U7916" s="35" t="inlineStr">
        <is>
          <t>Нет ОКВЭД/ССЧР</t>
        </is>
      </c>
      <c r="V7916" s="35" t="inlineStr">
        <is>
          <t>Не определено</t>
        </is>
      </c>
      <c r="W7916" s="35" t="inlineStr"/>
      <c r="X7916" s="35" t="inlineStr"/>
    </row>
    <row r="7917" ht="41.25" customHeight="1" s="24">
      <c r="A7917" s="13" t="n">
        <v>5000117474</v>
      </c>
      <c r="B7917" s="13" t="inlineStr">
        <is>
          <t>ЧУЗ «Дорожная клиническая больница на станции Нижний Новгород ОАО «Российские железные доро</t>
        </is>
      </c>
      <c r="C7917" s="13" t="n">
        <v>5258051464</v>
      </c>
      <c r="D7917" s="13" t="inlineStr">
        <is>
          <t>5258051464</t>
        </is>
      </c>
      <c r="E7917" s="13" t="inlineStr">
        <is>
          <t>ЮЛ РФ</t>
        </is>
      </c>
      <c r="F7917" s="13" t="n"/>
      <c r="G7917" s="14" t="n"/>
      <c r="H7917" s="14" t="n"/>
      <c r="I7917" s="14" t="n"/>
      <c r="J7917" s="14" t="n"/>
      <c r="K7917" s="53" t="inlineStr"/>
      <c r="L7917" s="53" t="inlineStr">
        <is>
          <t>Не определено</t>
        </is>
      </c>
      <c r="M7917" s="53" t="inlineStr"/>
      <c r="N7917" s="54" t="inlineStr"/>
      <c r="O7917" s="55" t="inlineStr"/>
      <c r="P7917" s="16" t="inlineStr">
        <is>
          <t>Требует обогащения</t>
        </is>
      </c>
      <c r="Q7917" s="16">
        <f>HYPERLINK("https://pb.nalog.ru/search.html?query=5258051464","ФНС: проверить")</f>
        <v/>
      </c>
      <c r="R7917" s="16">
        <f>HYPERLINK("https://checko.ru/search?query=3801001629","Чекко: проверить")</f>
        <v/>
      </c>
      <c r="S7917" t="n">
        <v>1</v>
      </c>
      <c r="T7917" s="35" t="inlineStr">
        <is>
          <t>4 — Не обогащён</t>
        </is>
      </c>
      <c r="U7917" s="35" t="inlineStr">
        <is>
          <t>Нет ОКВЭД/ССЧР</t>
        </is>
      </c>
      <c r="V7917" s="35" t="inlineStr">
        <is>
          <t>Не определено</t>
        </is>
      </c>
      <c r="W7917" s="35" t="inlineStr"/>
      <c r="X7917" s="35" t="inlineStr"/>
    </row>
    <row r="7918" ht="27.75" customHeight="1" s="24">
      <c r="A7918" s="13" t="n">
        <v>5000117495</v>
      </c>
      <c r="B7918" s="13" t="inlineStr">
        <is>
          <t>НУЗ "Отделенческая больница на ст.Ижевск ОАО "РЖД"</t>
        </is>
      </c>
      <c r="C7918" s="13" t="n">
        <v>1832039114</v>
      </c>
      <c r="D7918" s="13" t="inlineStr">
        <is>
          <t>1832039114</t>
        </is>
      </c>
      <c r="E7918" s="13" t="inlineStr">
        <is>
          <t>ЮЛ РФ</t>
        </is>
      </c>
      <c r="F7918" s="13" t="n"/>
      <c r="G7918" s="14" t="n"/>
      <c r="H7918" s="14" t="n"/>
      <c r="I7918" s="14" t="n"/>
      <c r="J7918" s="14" t="n"/>
      <c r="K7918" s="53" t="inlineStr"/>
      <c r="L7918" s="53" t="inlineStr">
        <is>
          <t>Не определено</t>
        </is>
      </c>
      <c r="M7918" s="53" t="inlineStr"/>
      <c r="N7918" s="54" t="inlineStr"/>
      <c r="O7918" s="55" t="inlineStr"/>
      <c r="P7918" s="16" t="inlineStr">
        <is>
          <t>Требует обогащения</t>
        </is>
      </c>
      <c r="Q7918" s="16">
        <f>HYPERLINK("https://pb.nalog.ru/search.html?query=1832039114","ФНС: проверить")</f>
        <v/>
      </c>
      <c r="R7918" s="16">
        <f>HYPERLINK("https://checko.ru/search?query=3801001629","Чекко: проверить")</f>
        <v/>
      </c>
      <c r="S7918" t="n">
        <v>1</v>
      </c>
      <c r="T7918" s="35" t="inlineStr">
        <is>
          <t>4 — Не обогащён</t>
        </is>
      </c>
      <c r="U7918" s="35" t="inlineStr">
        <is>
          <t>Нет ОКВЭД/ССЧР</t>
        </is>
      </c>
      <c r="V7918" s="35" t="inlineStr">
        <is>
          <t>Не определено</t>
        </is>
      </c>
      <c r="W7918" s="35" t="inlineStr"/>
      <c r="X7918" s="35" t="inlineStr"/>
    </row>
    <row r="7919" ht="27.75" customHeight="1" s="24">
      <c r="A7919" s="13" t="n">
        <v>5000117491</v>
      </c>
      <c r="B7919" s="13" t="inlineStr">
        <is>
          <t>НУЗ Дорожная больница на ст. Калининград ОАО "РЖД"</t>
        </is>
      </c>
      <c r="C7919" s="13" t="n">
        <v>3908029088</v>
      </c>
      <c r="D7919" s="13" t="inlineStr">
        <is>
          <t>3908029088</t>
        </is>
      </c>
      <c r="E7919" s="13" t="inlineStr">
        <is>
          <t>ЮЛ РФ</t>
        </is>
      </c>
      <c r="F7919" s="13" t="n"/>
      <c r="G7919" s="14" t="n"/>
      <c r="H7919" s="14" t="n"/>
      <c r="I7919" s="14" t="n"/>
      <c r="J7919" s="14" t="n"/>
      <c r="K7919" s="53" t="inlineStr"/>
      <c r="L7919" s="53" t="inlineStr">
        <is>
          <t>Не определено</t>
        </is>
      </c>
      <c r="M7919" s="53" t="inlineStr"/>
      <c r="N7919" s="54" t="inlineStr"/>
      <c r="O7919" s="55" t="inlineStr"/>
      <c r="P7919" s="16" t="inlineStr">
        <is>
          <t>Требует обогащения</t>
        </is>
      </c>
      <c r="Q7919" s="16">
        <f>HYPERLINK("https://pb.nalog.ru/search.html?query=3908029088","ФНС: проверить")</f>
        <v/>
      </c>
      <c r="R7919" s="16">
        <f>HYPERLINK("https://checko.ru/search?query=3801001629","Чекко: проверить")</f>
        <v/>
      </c>
      <c r="S7919" t="n">
        <v>1</v>
      </c>
      <c r="T7919" s="35" t="inlineStr">
        <is>
          <t>4 — Не обогащён</t>
        </is>
      </c>
      <c r="U7919" s="35" t="inlineStr">
        <is>
          <t>Нет ОКВЭД/ССЧР</t>
        </is>
      </c>
      <c r="V7919" s="35" t="inlineStr">
        <is>
          <t>Не определено</t>
        </is>
      </c>
      <c r="W7919" s="35" t="inlineStr"/>
      <c r="X7919" s="35" t="inlineStr"/>
    </row>
    <row r="7920" ht="15" customHeight="1" s="24">
      <c r="A7920" s="13" t="n">
        <v>5000117464</v>
      </c>
      <c r="B7920" s="13" t="inlineStr">
        <is>
          <t>ЧУЗ «КБ «РЖД – Медицина» г. Смоленск»</t>
        </is>
      </c>
      <c r="C7920" s="13" t="n">
        <v>6730053359</v>
      </c>
      <c r="D7920" s="13" t="inlineStr">
        <is>
          <t>6730053359</t>
        </is>
      </c>
      <c r="E7920" s="13" t="inlineStr">
        <is>
          <t>ЮЛ РФ</t>
        </is>
      </c>
      <c r="F7920" s="13" t="n"/>
      <c r="G7920" s="14" t="n"/>
      <c r="H7920" s="14" t="n"/>
      <c r="I7920" s="14" t="n"/>
      <c r="J7920" s="14" t="n"/>
      <c r="K7920" s="53" t="inlineStr"/>
      <c r="L7920" s="53" t="inlineStr">
        <is>
          <t>Не определено</t>
        </is>
      </c>
      <c r="M7920" s="53" t="inlineStr"/>
      <c r="N7920" s="54" t="inlineStr"/>
      <c r="O7920" s="55" t="inlineStr"/>
      <c r="P7920" s="16" t="inlineStr">
        <is>
          <t>Требует обогащения</t>
        </is>
      </c>
      <c r="Q7920" s="16">
        <f>HYPERLINK("https://pb.nalog.ru/search.html?query=6730053359","ФНС: проверить")</f>
        <v/>
      </c>
      <c r="R7920" s="16">
        <f>HYPERLINK("https://checko.ru/search?query=3801001629","Чекко: проверить")</f>
        <v/>
      </c>
      <c r="S7920" t="n">
        <v>1</v>
      </c>
      <c r="T7920" s="35" t="inlineStr">
        <is>
          <t>4 — Не обогащён</t>
        </is>
      </c>
      <c r="U7920" s="35" t="inlineStr">
        <is>
          <t>Нет ОКВЭД/ССЧР</t>
        </is>
      </c>
      <c r="V7920" s="35" t="inlineStr">
        <is>
          <t>Не определено</t>
        </is>
      </c>
      <c r="W7920" s="35" t="inlineStr"/>
      <c r="X7920" s="35" t="inlineStr"/>
    </row>
    <row r="7921" ht="15" customHeight="1" s="24">
      <c r="A7921" s="13" t="n">
        <v>5000117504</v>
      </c>
      <c r="B7921" s="13" t="inlineStr">
        <is>
          <t>ЧУЗ «КБ «РЖД-Медицина» г.Сургут»</t>
        </is>
      </c>
      <c r="C7921" s="13" t="n">
        <v>8602211525</v>
      </c>
      <c r="D7921" s="13" t="inlineStr">
        <is>
          <t>8602211525</t>
        </is>
      </c>
      <c r="E7921" s="13" t="inlineStr">
        <is>
          <t>ЮЛ РФ</t>
        </is>
      </c>
      <c r="F7921" s="13" t="n"/>
      <c r="G7921" s="14" t="n"/>
      <c r="H7921" s="14" t="n"/>
      <c r="I7921" s="14" t="n"/>
      <c r="J7921" s="14" t="n"/>
      <c r="K7921" s="53" t="inlineStr"/>
      <c r="L7921" s="53" t="inlineStr">
        <is>
          <t>Не определено</t>
        </is>
      </c>
      <c r="M7921" s="53" t="inlineStr"/>
      <c r="N7921" s="54" t="inlineStr"/>
      <c r="O7921" s="55" t="inlineStr"/>
      <c r="P7921" s="16" t="inlineStr">
        <is>
          <t>Требует обогащения</t>
        </is>
      </c>
      <c r="Q7921" s="16">
        <f>HYPERLINK("https://pb.nalog.ru/search.html?query=8602211525","ФНС: проверить")</f>
        <v/>
      </c>
      <c r="R7921" s="16">
        <f>HYPERLINK("https://checko.ru/search?query=3801001629","Чекко: проверить")</f>
        <v/>
      </c>
      <c r="S7921" t="n">
        <v>1</v>
      </c>
      <c r="T7921" s="35" t="inlineStr">
        <is>
          <t>4 — Не обогащён</t>
        </is>
      </c>
      <c r="U7921" s="35" t="inlineStr">
        <is>
          <t>Нет ОКВЭД/ССЧР</t>
        </is>
      </c>
      <c r="V7921" s="35" t="inlineStr">
        <is>
          <t>Не определено</t>
        </is>
      </c>
      <c r="W7921" s="35" t="inlineStr"/>
      <c r="X7921" s="35" t="inlineStr"/>
    </row>
    <row r="7922" ht="15" customHeight="1" s="24">
      <c r="A7922" s="13" t="n">
        <v>5000117508</v>
      </c>
      <c r="B7922" s="13" t="inlineStr">
        <is>
          <t>ЧУЗ «КБ «РЖД-Медицина» г.Махачкала»</t>
        </is>
      </c>
      <c r="C7922" s="13" t="n">
        <v>562058249</v>
      </c>
      <c r="D7922" s="13" t="n"/>
      <c r="E7922" s="13" t="inlineStr">
        <is>
          <t>Не определён</t>
        </is>
      </c>
      <c r="F7922" s="13" t="inlineStr">
        <is>
          <t>562058249</t>
        </is>
      </c>
      <c r="G7922" s="14" t="n"/>
      <c r="H7922" s="14" t="n"/>
      <c r="I7922" s="14" t="n"/>
      <c r="J7922" s="14" t="n"/>
      <c r="K7922" s="13">
        <f>IF(G7922="","",IF(G7922&gt;=22,"Да","Нет"))</f>
        <v/>
      </c>
      <c r="L7922" s="13">
        <f>IF(OR(I7922="",J7922=""),"Не определено",IF(OR(COUNTIF(I7922,"45*")&gt;0,COUNTIF(J7922,"*45*")&gt;0,COUNTIF(I7922,"46*")&gt;0,COUNTIF(J7922,"*46*")&gt;0,COUNTIF(I7922,"47*")&gt;0,COUNTIF(J7922,"*47*")&gt;0,COUNTIF(I7922,"10*")&gt;0,COUNTIF(J7922,"*10*")&gt;0,COUNTIF(I7922,"11*")&gt;0,COUNTIF(J7922,"*11*")&gt;0,COUNTIF(I7922,"12*")&gt;0,COUNTIF(J7922,"*12*")&gt;0,COUNTIF(I7922,"13*")&gt;0,COUNTIF(J7922,"*13*")&gt;0,COUNTIF(I7922,"14*")&gt;0,COUNTIF(J7922,"*14*")&gt;0,COUNTIF(I7922,"15*")&gt;0,COUNTIF(J7922,"*15*")&gt;0,COUNTIF(I7922,"16*")&gt;0,COUNTIF(J7922,"*16*")&gt;0,COUNTIF(I7922,"17*")&gt;0,COUNTIF(J7922,"*17*")&gt;0,COUNTIF(I7922,"18*")&gt;0,COUNTIF(J7922,"*18*")&gt;0,COUNTIF(I7922,"19*")&gt;0,COUNTIF(J7922,"*19*")&gt;0,COUNTIF(I7922,"20*")&gt;0,COUNTIF(J7922,"*20*")&gt;0,COUNTIF(I7922,"21*")&gt;0,COUNTIF(J7922,"*21*")&gt;0,COUNTIF(I7922,"22*")&gt;0,COUNTIF(J7922,"*22*")&gt;0,COUNTIF(I7922,"23*")&gt;0,COUNTIF(J7922,"*23*")&gt;0,COUNTIF(I7922,"24*")&gt;0,COUNTIF(J7922,"*24*")&gt;0,COUNTIF(I7922,"25*")&gt;0,COUNTIF(J7922,"*25*")&gt;0,COUNTIF(I7922,"26*")&gt;0,COUNTIF(J7922,"*26*")&gt;0,COUNTIF(I7922,"27*")&gt;0,COUNTIF(J7922,"*27*")&gt;0,COUNTIF(I7922,"28*")&gt;0,COUNTIF(J7922,"*28*")&gt;0,COUNTIF(I7922,"29*")&gt;0,COUNTIF(J7922,"*29*")&gt;0,COUNTIF(I7922,"30*")&gt;0,COUNTIF(J7922,"*30*")&gt;0,COUNTIF(I7922,"31*")&gt;0,COUNTIF(J7922,"*31*")&gt;0,COUNTIF(I7922,"32*")&gt;0,COUNTIF(J7922,"*32*")&gt;0,COUNTIF(I7922,"33*")&gt;0,COUNTIF(J7922,"*33*")&gt;0,COUNTIF(I7922,"41*")&gt;0,COUNTIF(J7922,"*41*")&gt;0,COUNTIF(I7922,"42*")&gt;0,COUNTIF(J7922,"*42*")&gt;0,COUNTIF(I7922,"43*")&gt;0,COUNTIF(J7922,"*43*")&gt;0,COUNTIF(I7922,"49*")&gt;0,COUNTIF(J7922,"*49*")&gt;0,COUNTIF(I7922,"52*")&gt;0,COUNTIF(J7922,"*52*")&gt;0,COUNTIF(I7922,"55*")&gt;0,COUNTIF(J7922,"*55*")&gt;0,COUNTIF(I7922,"56*")&gt;0,COUNTIF(J7922,"*56*")&gt;0,COUNTIF(I7922,"68*")&gt;0,COUNTIF(J7922,"*68*")&gt;0,COUNTIF(I7922,"78*")&gt;0,COUNTIF(J7922,"*78*")&gt;0,COUNTIF(I7922,"81*")&gt;0,COUNTIF(J7922,"*81*")&gt;0,COUNTIF(I7922,"82*")&gt;0,COUNTIF(J7922,"*82*")&gt;0,COUNTIF(I7922,"64*")&gt;0,COUNTIF(J7922,"*64*")&gt;0,COUNTIF(I7922,"65*")&gt;0,COUNTIF(J7922,"*65*")&gt;0,COUNTIF(I7922,"66*")&gt;0,COUNTIF(J7922,"*66*")&gt;0,COUNTIF(I7922,"61*")&gt;0,COUNTIF(J7922,"*61*")&gt;0,COUNTIF(I7922,"62*")&gt;0,COUNTIF(J7922,"*62*")&gt;0,COUNTIF(I7922,"63*")&gt;0,COUNTIF(J7922,"*63*")&gt;0,COUNTIF(I7922,"85*")&gt;0,COUNTIF(J7922,"*85*")&gt;0,COUNTIF(I7922,"86*")&gt;0,COUNTIF(J7922,"*86*")&gt;0),"Да","Нет"))</f>
        <v/>
      </c>
      <c r="M7922" s="13">
        <f>IF(OR(G7922="",L7922&lt;&gt;"Да"),"",IF(G7922&lt;=100,"До 100",IF(G7922&lt;=200,"До 200",IF(G7922&lt;=500,"До 500","Отдельное КП"))))</f>
        <v/>
      </c>
      <c r="N7922" s="15">
        <f>IF(OR(G7922="",L7922&lt;&gt;"Да"),"",IF(G7922&lt;=100,33600,IF(G7922&lt;=200,62400,IF(G7922&lt;=500,144000,""))))</f>
        <v/>
      </c>
      <c r="O7922" s="16">
        <f>IF(G7922="","",IF(G7922&lt;=15,"1–15",IF(G7922&lt;=30,"16–30",IF(G7922&lt;=50,"31–50",IF(G7922&lt;=100,"51–100",IF(G7922&lt;=150,"101–150",IF(G7922&lt;=200,"151–200",IF(G7922&lt;=500,"201–500","500+"))))))))</f>
        <v/>
      </c>
      <c r="P7922" s="16" t="inlineStr">
        <is>
          <t>Нет совпадения в предоставленной выгрузке ССЧР</t>
        </is>
      </c>
      <c r="Q7922" s="16" t="n"/>
      <c r="R7922" s="16">
        <f>HYPERLINK("https://checko.ru/search?query=3801001629","Чекко: проверить")</f>
        <v/>
      </c>
      <c r="S7922" t="n">
        <v>0</v>
      </c>
    </row>
    <row r="7923" ht="15" customHeight="1" s="24">
      <c r="A7923" s="13" t="n">
        <v>5000117498</v>
      </c>
      <c r="B7923" s="13" t="inlineStr">
        <is>
          <t>ЧУЗ «КБ «РЖД-Медицина» г.Уфа»</t>
        </is>
      </c>
      <c r="C7923" s="13" t="n">
        <v>275045380</v>
      </c>
      <c r="D7923" s="13" t="n"/>
      <c r="E7923" s="13" t="inlineStr">
        <is>
          <t>Не определён</t>
        </is>
      </c>
      <c r="F7923" s="13" t="inlineStr">
        <is>
          <t>275045380</t>
        </is>
      </c>
      <c r="G7923" s="14" t="n"/>
      <c r="H7923" s="14" t="n"/>
      <c r="I7923" s="14" t="n"/>
      <c r="J7923" s="14" t="n"/>
      <c r="K7923" s="13">
        <f>IF(G7923="","",IF(G7923&gt;=22,"Да","Нет"))</f>
        <v/>
      </c>
      <c r="L7923" s="13">
        <f>IF(OR(I7923="",J7923=""),"Не определено",IF(OR(COUNTIF(I7923,"45*")&gt;0,COUNTIF(J7923,"*45*")&gt;0,COUNTIF(I7923,"46*")&gt;0,COUNTIF(J7923,"*46*")&gt;0,COUNTIF(I7923,"47*")&gt;0,COUNTIF(J7923,"*47*")&gt;0,COUNTIF(I7923,"10*")&gt;0,COUNTIF(J7923,"*10*")&gt;0,COUNTIF(I7923,"11*")&gt;0,COUNTIF(J7923,"*11*")&gt;0,COUNTIF(I7923,"12*")&gt;0,COUNTIF(J7923,"*12*")&gt;0,COUNTIF(I7923,"13*")&gt;0,COUNTIF(J7923,"*13*")&gt;0,COUNTIF(I7923,"14*")&gt;0,COUNTIF(J7923,"*14*")&gt;0,COUNTIF(I7923,"15*")&gt;0,COUNTIF(J7923,"*15*")&gt;0,COUNTIF(I7923,"16*")&gt;0,COUNTIF(J7923,"*16*")&gt;0,COUNTIF(I7923,"17*")&gt;0,COUNTIF(J7923,"*17*")&gt;0,COUNTIF(I7923,"18*")&gt;0,COUNTIF(J7923,"*18*")&gt;0,COUNTIF(I7923,"19*")&gt;0,COUNTIF(J7923,"*19*")&gt;0,COUNTIF(I7923,"20*")&gt;0,COUNTIF(J7923,"*20*")&gt;0,COUNTIF(I7923,"21*")&gt;0,COUNTIF(J7923,"*21*")&gt;0,COUNTIF(I7923,"22*")&gt;0,COUNTIF(J7923,"*22*")&gt;0,COUNTIF(I7923,"23*")&gt;0,COUNTIF(J7923,"*23*")&gt;0,COUNTIF(I7923,"24*")&gt;0,COUNTIF(J7923,"*24*")&gt;0,COUNTIF(I7923,"25*")&gt;0,COUNTIF(J7923,"*25*")&gt;0,COUNTIF(I7923,"26*")&gt;0,COUNTIF(J7923,"*26*")&gt;0,COUNTIF(I7923,"27*")&gt;0,COUNTIF(J7923,"*27*")&gt;0,COUNTIF(I7923,"28*")&gt;0,COUNTIF(J7923,"*28*")&gt;0,COUNTIF(I7923,"29*")&gt;0,COUNTIF(J7923,"*29*")&gt;0,COUNTIF(I7923,"30*")&gt;0,COUNTIF(J7923,"*30*")&gt;0,COUNTIF(I7923,"31*")&gt;0,COUNTIF(J7923,"*31*")&gt;0,COUNTIF(I7923,"32*")&gt;0,COUNTIF(J7923,"*32*")&gt;0,COUNTIF(I7923,"33*")&gt;0,COUNTIF(J7923,"*33*")&gt;0,COUNTIF(I7923,"41*")&gt;0,COUNTIF(J7923,"*41*")&gt;0,COUNTIF(I7923,"42*")&gt;0,COUNTIF(J7923,"*42*")&gt;0,COUNTIF(I7923,"43*")&gt;0,COUNTIF(J7923,"*43*")&gt;0,COUNTIF(I7923,"49*")&gt;0,COUNTIF(J7923,"*49*")&gt;0,COUNTIF(I7923,"52*")&gt;0,COUNTIF(J7923,"*52*")&gt;0,COUNTIF(I7923,"55*")&gt;0,COUNTIF(J7923,"*55*")&gt;0,COUNTIF(I7923,"56*")&gt;0,COUNTIF(J7923,"*56*")&gt;0,COUNTIF(I7923,"68*")&gt;0,COUNTIF(J7923,"*68*")&gt;0,COUNTIF(I7923,"78*")&gt;0,COUNTIF(J7923,"*78*")&gt;0,COUNTIF(I7923,"81*")&gt;0,COUNTIF(J7923,"*81*")&gt;0,COUNTIF(I7923,"82*")&gt;0,COUNTIF(J7923,"*82*")&gt;0,COUNTIF(I7923,"64*")&gt;0,COUNTIF(J7923,"*64*")&gt;0,COUNTIF(I7923,"65*")&gt;0,COUNTIF(J7923,"*65*")&gt;0,COUNTIF(I7923,"66*")&gt;0,COUNTIF(J7923,"*66*")&gt;0,COUNTIF(I7923,"61*")&gt;0,COUNTIF(J7923,"*61*")&gt;0,COUNTIF(I7923,"62*")&gt;0,COUNTIF(J7923,"*62*")&gt;0,COUNTIF(I7923,"63*")&gt;0,COUNTIF(J7923,"*63*")&gt;0,COUNTIF(I7923,"85*")&gt;0,COUNTIF(J7923,"*85*")&gt;0,COUNTIF(I7923,"86*")&gt;0,COUNTIF(J7923,"*86*")&gt;0),"Да","Нет"))</f>
        <v/>
      </c>
      <c r="M7923" s="13">
        <f>IF(OR(G7923="",L7923&lt;&gt;"Да"),"",IF(G7923&lt;=100,"До 100",IF(G7923&lt;=200,"До 200",IF(G7923&lt;=500,"До 500","Отдельное КП"))))</f>
        <v/>
      </c>
      <c r="N7923" s="15">
        <f>IF(OR(G7923="",L7923&lt;&gt;"Да"),"",IF(G7923&lt;=100,33600,IF(G7923&lt;=200,62400,IF(G7923&lt;=500,144000,""))))</f>
        <v/>
      </c>
      <c r="O7923" s="16">
        <f>IF(G7923="","",IF(G7923&lt;=15,"1–15",IF(G7923&lt;=30,"16–30",IF(G7923&lt;=50,"31–50",IF(G7923&lt;=100,"51–100",IF(G7923&lt;=150,"101–150",IF(G7923&lt;=200,"151–200",IF(G7923&lt;=500,"201–500","500+"))))))))</f>
        <v/>
      </c>
      <c r="P7923" s="16" t="inlineStr">
        <is>
          <t>Нет совпадения в предоставленной выгрузке ССЧР</t>
        </is>
      </c>
      <c r="Q7923" s="16" t="n"/>
      <c r="R7923" s="16">
        <f>HYPERLINK("https://checko.ru/search?query=3801001629","Чекко: проверить")</f>
        <v/>
      </c>
      <c r="S7923" t="n">
        <v>0</v>
      </c>
    </row>
    <row r="7924" ht="15" customHeight="1" s="24">
      <c r="A7924" s="13" t="n">
        <v>5000117506</v>
      </c>
      <c r="B7924" s="13" t="inlineStr">
        <is>
          <t>РЖД-МЕДИЦИНАГ.НОВЫЙ УРЕНГОЙ ЧУЗ</t>
        </is>
      </c>
      <c r="C7924" s="13" t="n">
        <v>8904044567</v>
      </c>
      <c r="D7924" s="13" t="inlineStr">
        <is>
          <t>8904044567</t>
        </is>
      </c>
      <c r="E7924" s="13" t="inlineStr">
        <is>
          <t>ЮЛ РФ</t>
        </is>
      </c>
      <c r="F7924" s="13" t="n"/>
      <c r="G7924" s="14" t="n"/>
      <c r="H7924" s="14" t="n"/>
      <c r="I7924" s="14" t="n"/>
      <c r="J7924" s="14" t="n"/>
      <c r="K7924" s="53" t="inlineStr"/>
      <c r="L7924" s="53" t="inlineStr">
        <is>
          <t>Не определено</t>
        </is>
      </c>
      <c r="M7924" s="53" t="inlineStr"/>
      <c r="N7924" s="54" t="inlineStr"/>
      <c r="O7924" s="55" t="inlineStr"/>
      <c r="P7924" s="16" t="inlineStr">
        <is>
          <t>Требует обогащения</t>
        </is>
      </c>
      <c r="Q7924" s="16">
        <f>HYPERLINK("https://pb.nalog.ru/search.html?query=8904044567","ФНС: проверить")</f>
        <v/>
      </c>
      <c r="R7924" s="16">
        <f>HYPERLINK("https://checko.ru/search?query=3801001629","Чекко: проверить")</f>
        <v/>
      </c>
      <c r="S7924" t="n">
        <v>1</v>
      </c>
      <c r="T7924" s="35" t="inlineStr">
        <is>
          <t>4 — Не обогащён</t>
        </is>
      </c>
      <c r="U7924" s="35" t="inlineStr">
        <is>
          <t>Нет ОКВЭД/ССЧР</t>
        </is>
      </c>
      <c r="V7924" s="35" t="inlineStr">
        <is>
          <t>Не определено</t>
        </is>
      </c>
      <c r="W7924" s="35" t="inlineStr"/>
      <c r="X7924" s="35" t="inlineStr"/>
    </row>
    <row r="7925" ht="27.75" customHeight="1" s="24">
      <c r="A7925" s="13" t="n">
        <v>5000117487</v>
      </c>
      <c r="B7925" s="13" t="inlineStr">
        <is>
          <t>НУЗ "Узловая Поликлиника на Станции Ожерелье ОАО "РЖД"</t>
        </is>
      </c>
      <c r="C7925" s="13" t="n">
        <v>5019016388</v>
      </c>
      <c r="D7925" s="13" t="inlineStr">
        <is>
          <t>5019016388</t>
        </is>
      </c>
      <c r="E7925" s="13" t="inlineStr">
        <is>
          <t>ЮЛ РФ</t>
        </is>
      </c>
      <c r="F7925" s="13" t="n"/>
      <c r="G7925" s="14" t="n"/>
      <c r="H7925" s="14" t="n"/>
      <c r="I7925" s="14" t="n"/>
      <c r="J7925" s="14" t="n"/>
      <c r="K7925" s="53" t="inlineStr"/>
      <c r="L7925" s="53" t="inlineStr">
        <is>
          <t>Не определено</t>
        </is>
      </c>
      <c r="M7925" s="53" t="inlineStr"/>
      <c r="N7925" s="54" t="inlineStr"/>
      <c r="O7925" s="55" t="inlineStr"/>
      <c r="P7925" s="16" t="inlineStr">
        <is>
          <t>Требует обогащения</t>
        </is>
      </c>
      <c r="Q7925" s="16">
        <f>HYPERLINK("https://pb.nalog.ru/search.html?query=5019016388","ФНС: проверить")</f>
        <v/>
      </c>
      <c r="R7925" s="16">
        <f>HYPERLINK("https://checko.ru/search?query=3801001629","Чекко: проверить")</f>
        <v/>
      </c>
      <c r="S7925" t="n">
        <v>1</v>
      </c>
      <c r="T7925" s="35" t="inlineStr">
        <is>
          <t>4 — Не обогащён</t>
        </is>
      </c>
      <c r="U7925" s="35" t="inlineStr">
        <is>
          <t>Нет ОКВЭД/ССЧР</t>
        </is>
      </c>
      <c r="V7925" s="35" t="inlineStr">
        <is>
          <t>Не определено</t>
        </is>
      </c>
      <c r="W7925" s="35" t="inlineStr"/>
      <c r="X7925" s="35" t="inlineStr"/>
    </row>
    <row r="7926" ht="15" customHeight="1" s="24">
      <c r="A7926" s="13" t="n">
        <v>5000117516</v>
      </c>
      <c r="B7926" s="13" t="inlineStr">
        <is>
          <t>ЧУЗ "РЖД-МЕДИЦИНА" Г.ТЫНДА"</t>
        </is>
      </c>
      <c r="C7926" s="13" t="n">
        <v>2808016397</v>
      </c>
      <c r="D7926" s="13" t="inlineStr">
        <is>
          <t>2808016397</t>
        </is>
      </c>
      <c r="E7926" s="13" t="inlineStr">
        <is>
          <t>ЮЛ РФ</t>
        </is>
      </c>
      <c r="F7926" s="13" t="n"/>
      <c r="G7926" s="14" t="n"/>
      <c r="H7926" s="14" t="n"/>
      <c r="I7926" s="14" t="n"/>
      <c r="J7926" s="14" t="n"/>
      <c r="K7926" s="53" t="inlineStr"/>
      <c r="L7926" s="53" t="inlineStr">
        <is>
          <t>Не определено</t>
        </is>
      </c>
      <c r="M7926" s="53" t="inlineStr"/>
      <c r="N7926" s="54" t="inlineStr"/>
      <c r="O7926" s="55" t="inlineStr"/>
      <c r="P7926" s="16" t="inlineStr">
        <is>
          <t>Требует обогащения</t>
        </is>
      </c>
      <c r="Q7926" s="16">
        <f>HYPERLINK("https://pb.nalog.ru/search.html?query=2808016397","ФНС: проверить")</f>
        <v/>
      </c>
      <c r="R7926" s="16">
        <f>HYPERLINK("https://checko.ru/search?query=3801001629","Чекко: проверить")</f>
        <v/>
      </c>
      <c r="S7926" t="n">
        <v>1</v>
      </c>
      <c r="T7926" s="35" t="inlineStr">
        <is>
          <t>4 — Не обогащён</t>
        </is>
      </c>
      <c r="U7926" s="35" t="inlineStr">
        <is>
          <t>Нет ОКВЭД/ССЧР</t>
        </is>
      </c>
      <c r="V7926" s="35" t="inlineStr">
        <is>
          <t>Не определено</t>
        </is>
      </c>
      <c r="W7926" s="35" t="inlineStr"/>
      <c r="X7926" s="35" t="inlineStr"/>
    </row>
    <row r="7927" ht="15" customHeight="1" s="24">
      <c r="A7927" s="13" t="n">
        <v>5000117476</v>
      </c>
      <c r="B7927" s="13" t="inlineStr">
        <is>
          <t>ЧУЗ "КБ "РЖД-МЕДИЦИНА" Г. САРАТОВ"</t>
        </is>
      </c>
      <c r="C7927" s="13" t="n">
        <v>6454070024</v>
      </c>
      <c r="D7927" s="13" t="inlineStr">
        <is>
          <t>6454070024</t>
        </is>
      </c>
      <c r="E7927" s="13" t="inlineStr">
        <is>
          <t>ЮЛ РФ</t>
        </is>
      </c>
      <c r="F7927" s="13" t="n"/>
      <c r="G7927" s="14" t="n"/>
      <c r="H7927" s="14" t="n"/>
      <c r="I7927" s="14" t="n"/>
      <c r="J7927" s="14" t="n"/>
      <c r="K7927" s="53" t="inlineStr"/>
      <c r="L7927" s="53" t="inlineStr">
        <is>
          <t>Не определено</t>
        </is>
      </c>
      <c r="M7927" s="53" t="inlineStr"/>
      <c r="N7927" s="54" t="inlineStr"/>
      <c r="O7927" s="55" t="inlineStr"/>
      <c r="P7927" s="16" t="inlineStr">
        <is>
          <t>Требует обогащения</t>
        </is>
      </c>
      <c r="Q7927" s="16">
        <f>HYPERLINK("https://pb.nalog.ru/search.html?query=6454070024","ФНС: проверить")</f>
        <v/>
      </c>
      <c r="R7927" s="16">
        <f>HYPERLINK("https://checko.ru/search?query=3801001629","Чекко: проверить")</f>
        <v/>
      </c>
      <c r="S7927" t="n">
        <v>1</v>
      </c>
      <c r="T7927" s="35" t="inlineStr">
        <is>
          <t>4 — Не обогащён</t>
        </is>
      </c>
      <c r="U7927" s="35" t="inlineStr">
        <is>
          <t>Нет ОКВЭД/ССЧР</t>
        </is>
      </c>
      <c r="V7927" s="35" t="inlineStr">
        <is>
          <t>Не определено</t>
        </is>
      </c>
      <c r="W7927" s="35" t="inlineStr"/>
      <c r="X7927" s="35" t="inlineStr"/>
    </row>
    <row r="7928" ht="27.75" customHeight="1" s="24">
      <c r="A7928" s="13" t="n">
        <v>5000117488</v>
      </c>
      <c r="B7928" s="13" t="inlineStr">
        <is>
          <t>НУЗ "Узловая Поликлиника на Ст.Орехово-Зуево ОАО "РЖД"</t>
        </is>
      </c>
      <c r="C7928" s="13" t="n">
        <v>5034019288</v>
      </c>
      <c r="D7928" s="13" t="inlineStr">
        <is>
          <t>5034019288</t>
        </is>
      </c>
      <c r="E7928" s="13" t="inlineStr">
        <is>
          <t>ЮЛ РФ</t>
        </is>
      </c>
      <c r="F7928" s="13" t="n"/>
      <c r="G7928" s="14" t="n"/>
      <c r="H7928" s="14" t="n"/>
      <c r="I7928" s="14" t="n"/>
      <c r="J7928" s="14" t="n"/>
      <c r="K7928" s="53" t="inlineStr"/>
      <c r="L7928" s="53" t="inlineStr">
        <is>
          <t>Не определено</t>
        </is>
      </c>
      <c r="M7928" s="53" t="inlineStr"/>
      <c r="N7928" s="54" t="inlineStr"/>
      <c r="O7928" s="55" t="inlineStr"/>
      <c r="P7928" s="16" t="inlineStr">
        <is>
          <t>Требует обогащения</t>
        </is>
      </c>
      <c r="Q7928" s="16">
        <f>HYPERLINK("https://pb.nalog.ru/search.html?query=5034019288","ФНС: проверить")</f>
        <v/>
      </c>
      <c r="R7928" s="16">
        <f>HYPERLINK("https://checko.ru/search?query=3801001629","Чекко: проверить")</f>
        <v/>
      </c>
      <c r="S7928" t="n">
        <v>1</v>
      </c>
      <c r="T7928" s="35" t="inlineStr">
        <is>
          <t>4 — Не обогащён</t>
        </is>
      </c>
      <c r="U7928" s="35" t="inlineStr">
        <is>
          <t>Нет ОКВЭД/ССЧР</t>
        </is>
      </c>
      <c r="V7928" s="35" t="inlineStr">
        <is>
          <t>Не определено</t>
        </is>
      </c>
      <c r="W7928" s="35" t="inlineStr"/>
      <c r="X7928" s="35" t="inlineStr"/>
    </row>
    <row r="7929" ht="15" customHeight="1" s="24">
      <c r="A7929" s="13" t="n">
        <v>5000117517</v>
      </c>
      <c r="B7929" s="13" t="inlineStr">
        <is>
          <t>Поликлиника ст Беркакит</t>
        </is>
      </c>
      <c r="C7929" s="13" t="n">
        <v>1434024856</v>
      </c>
      <c r="D7929" s="13" t="inlineStr">
        <is>
          <t>1434024856</t>
        </is>
      </c>
      <c r="E7929" s="13" t="inlineStr">
        <is>
          <t>ЮЛ РФ</t>
        </is>
      </c>
      <c r="F7929" s="13" t="n"/>
      <c r="G7929" s="14" t="n"/>
      <c r="H7929" s="14" t="n"/>
      <c r="I7929" s="14" t="n"/>
      <c r="J7929" s="14" t="n"/>
      <c r="K7929" s="53" t="inlineStr"/>
      <c r="L7929" s="53" t="inlineStr">
        <is>
          <t>Не определено</t>
        </is>
      </c>
      <c r="M7929" s="53" t="inlineStr"/>
      <c r="N7929" s="54" t="inlineStr"/>
      <c r="O7929" s="55" t="inlineStr"/>
      <c r="P7929" s="16" t="inlineStr">
        <is>
          <t>Требует обогащения</t>
        </is>
      </c>
      <c r="Q7929" s="16">
        <f>HYPERLINK("https://pb.nalog.ru/search.html?query=1434024856","ФНС: проверить")</f>
        <v/>
      </c>
      <c r="R7929" s="16">
        <f>HYPERLINK("https://checko.ru/search?query=3801001629","Чекко: проверить")</f>
        <v/>
      </c>
      <c r="S7929" t="n">
        <v>1</v>
      </c>
      <c r="T7929" s="35" t="inlineStr">
        <is>
          <t>4 — Не обогащён</t>
        </is>
      </c>
      <c r="U7929" s="35" t="inlineStr">
        <is>
          <t>Нет ОКВЭД/ССЧР</t>
        </is>
      </c>
      <c r="V7929" s="35" t="inlineStr">
        <is>
          <t>Не определено</t>
        </is>
      </c>
      <c r="W7929" s="35" t="inlineStr"/>
      <c r="X7929" s="35" t="inlineStr"/>
    </row>
    <row r="7930" ht="15" customHeight="1" s="24">
      <c r="A7930" s="13" t="n">
        <v>5000100861</v>
      </c>
      <c r="B7930" s="13" t="inlineStr">
        <is>
          <t>МДОУ ИРМО "Еловский детский сад"</t>
        </is>
      </c>
      <c r="C7930" s="13" t="n">
        <v>3827012262</v>
      </c>
      <c r="D7930" s="13" t="inlineStr">
        <is>
          <t>3827012262</t>
        </is>
      </c>
      <c r="E7930" s="13" t="inlineStr">
        <is>
          <t>ЮЛ РФ</t>
        </is>
      </c>
      <c r="F7930" s="13" t="n"/>
      <c r="G7930" s="14" t="n"/>
      <c r="H7930" s="14" t="n"/>
      <c r="I7930" s="14" t="n"/>
      <c r="J7930" s="14" t="n"/>
      <c r="K7930" s="53" t="inlineStr"/>
      <c r="L7930" s="53" t="inlineStr">
        <is>
          <t>Не определено</t>
        </is>
      </c>
      <c r="M7930" s="53" t="inlineStr"/>
      <c r="N7930" s="54" t="inlineStr"/>
      <c r="O7930" s="55" t="inlineStr"/>
      <c r="P7930" s="16" t="inlineStr">
        <is>
          <t>Требует обогащения</t>
        </is>
      </c>
      <c r="Q7930" s="16">
        <f>HYPERLINK("https://pb.nalog.ru/search.html?query=3827012262","ФНС: проверить")</f>
        <v/>
      </c>
      <c r="R7930" s="16">
        <f>HYPERLINK("https://checko.ru/search?query=3801001629","Чекко: проверить")</f>
        <v/>
      </c>
      <c r="S7930" t="n">
        <v>1</v>
      </c>
      <c r="T7930" s="35" t="inlineStr">
        <is>
          <t>4 — Не обогащён</t>
        </is>
      </c>
      <c r="U7930" s="35" t="inlineStr">
        <is>
          <t>Нет ОКВЭД/ССЧР</t>
        </is>
      </c>
      <c r="V7930" s="35" t="inlineStr">
        <is>
          <t>Не определено</t>
        </is>
      </c>
      <c r="W7930" s="35" t="inlineStr"/>
      <c r="X7930" s="35" t="inlineStr"/>
    </row>
    <row r="7931" ht="27.75" customHeight="1" s="24">
      <c r="A7931" s="13" t="n">
        <v>5000090280</v>
      </c>
      <c r="B7931" s="13" t="inlineStr">
        <is>
          <t>МДОУ ИРМО "Детский сад комбинированного вида "Стрижи"</t>
        </is>
      </c>
      <c r="C7931" s="13" t="n">
        <v>3827047233</v>
      </c>
      <c r="D7931" s="13" t="inlineStr">
        <is>
          <t>3827047233</t>
        </is>
      </c>
      <c r="E7931" s="13" t="inlineStr">
        <is>
          <t>ЮЛ РФ</t>
        </is>
      </c>
      <c r="F7931" s="13" t="n"/>
      <c r="G7931" s="14" t="n"/>
      <c r="H7931" s="14" t="n"/>
      <c r="I7931" s="14" t="n"/>
      <c r="J7931" s="14" t="n"/>
      <c r="K7931" s="53" t="inlineStr"/>
      <c r="L7931" s="53" t="inlineStr">
        <is>
          <t>Не определено</t>
        </is>
      </c>
      <c r="M7931" s="53" t="inlineStr"/>
      <c r="N7931" s="54" t="inlineStr"/>
      <c r="O7931" s="55" t="inlineStr"/>
      <c r="P7931" s="16" t="inlineStr">
        <is>
          <t>Требует обогащения</t>
        </is>
      </c>
      <c r="Q7931" s="16">
        <f>HYPERLINK("https://pb.nalog.ru/search.html?query=3827047233","ФНС: проверить")</f>
        <v/>
      </c>
      <c r="R7931" s="16">
        <f>HYPERLINK("https://checko.ru/search?query=3801001629","Чекко: проверить")</f>
        <v/>
      </c>
      <c r="S7931" t="n">
        <v>1</v>
      </c>
      <c r="T7931" s="35" t="inlineStr">
        <is>
          <t>4 — Не обогащён</t>
        </is>
      </c>
      <c r="U7931" s="35" t="inlineStr">
        <is>
          <t>Нет ОКВЭД/ССЧР</t>
        </is>
      </c>
      <c r="V7931" s="35" t="inlineStr">
        <is>
          <t>Не определено</t>
        </is>
      </c>
      <c r="W7931" s="35" t="inlineStr"/>
      <c r="X7931" s="35" t="inlineStr"/>
    </row>
    <row r="7932" ht="27.75" customHeight="1" s="24">
      <c r="A7932" s="13" t="n">
        <v>5000090281</v>
      </c>
      <c r="B7932" s="13" t="inlineStr">
        <is>
          <t>МДОУ ИРМО "Детский сад комбинированного вида в ЖК "Луговое"</t>
        </is>
      </c>
      <c r="C7932" s="13" t="n">
        <v>3827046078</v>
      </c>
      <c r="D7932" s="13" t="inlineStr">
        <is>
          <t>3827046078</t>
        </is>
      </c>
      <c r="E7932" s="13" t="inlineStr">
        <is>
          <t>ЮЛ РФ</t>
        </is>
      </c>
      <c r="F7932" s="13" t="n"/>
      <c r="G7932" s="14" t="n"/>
      <c r="H7932" s="14" t="n"/>
      <c r="I7932" s="14" t="n"/>
      <c r="J7932" s="14" t="n"/>
      <c r="K7932" s="53" t="inlineStr"/>
      <c r="L7932" s="53" t="inlineStr">
        <is>
          <t>Не определено</t>
        </is>
      </c>
      <c r="M7932" s="53" t="inlineStr"/>
      <c r="N7932" s="54" t="inlineStr"/>
      <c r="O7932" s="55" t="inlineStr"/>
      <c r="P7932" s="16" t="inlineStr">
        <is>
          <t>Требует обогащения</t>
        </is>
      </c>
      <c r="Q7932" s="16">
        <f>HYPERLINK("https://pb.nalog.ru/search.html?query=3827046078","ФНС: проверить")</f>
        <v/>
      </c>
      <c r="R7932" s="16">
        <f>HYPERLINK("https://checko.ru/search?query=3801001629","Чекко: проверить")</f>
        <v/>
      </c>
      <c r="S7932" t="n">
        <v>1</v>
      </c>
      <c r="T7932" s="35" t="inlineStr">
        <is>
          <t>4 — Не обогащён</t>
        </is>
      </c>
      <c r="U7932" s="35" t="inlineStr">
        <is>
          <t>Нет ОКВЭД/ССЧР</t>
        </is>
      </c>
      <c r="V7932" s="35" t="inlineStr">
        <is>
          <t>Не определено</t>
        </is>
      </c>
      <c r="W7932" s="35" t="inlineStr"/>
      <c r="X7932" s="35" t="inlineStr"/>
    </row>
    <row r="7933" ht="15" customHeight="1" s="24">
      <c r="A7933" s="13" t="n">
        <v>5000090292</v>
      </c>
      <c r="B7933" s="13" t="inlineStr">
        <is>
          <t>МДОУ ИРМО "Патроновский детский сад"</t>
        </is>
      </c>
      <c r="C7933" s="13" t="n">
        <v>3827012110</v>
      </c>
      <c r="D7933" s="13" t="inlineStr">
        <is>
          <t>3827012110</t>
        </is>
      </c>
      <c r="E7933" s="13" t="inlineStr">
        <is>
          <t>ЮЛ РФ</t>
        </is>
      </c>
      <c r="F7933" s="13" t="n"/>
      <c r="G7933" s="14" t="n"/>
      <c r="H7933" s="14" t="n"/>
      <c r="I7933" s="14" t="n"/>
      <c r="J7933" s="14" t="n"/>
      <c r="K7933" s="53" t="inlineStr"/>
      <c r="L7933" s="53" t="inlineStr">
        <is>
          <t>Не определено</t>
        </is>
      </c>
      <c r="M7933" s="53" t="inlineStr"/>
      <c r="N7933" s="54" t="inlineStr"/>
      <c r="O7933" s="55" t="inlineStr"/>
      <c r="P7933" s="16" t="inlineStr">
        <is>
          <t>Требует обогащения</t>
        </is>
      </c>
      <c r="Q7933" s="16">
        <f>HYPERLINK("https://pb.nalog.ru/search.html?query=3827012110","ФНС: проверить")</f>
        <v/>
      </c>
      <c r="R7933" s="16">
        <f>HYPERLINK("https://checko.ru/search?query=3801001629","Чекко: проверить")</f>
        <v/>
      </c>
      <c r="S7933" t="n">
        <v>1</v>
      </c>
      <c r="T7933" s="35" t="inlineStr">
        <is>
          <t>4 — Не обогащён</t>
        </is>
      </c>
      <c r="U7933" s="35" t="inlineStr">
        <is>
          <t>Нет ОКВЭД/ССЧР</t>
        </is>
      </c>
      <c r="V7933" s="35" t="inlineStr">
        <is>
          <t>Не определено</t>
        </is>
      </c>
      <c r="W7933" s="35" t="inlineStr"/>
      <c r="X7933" s="35" t="inlineStr"/>
    </row>
    <row r="7934" ht="27.75" customHeight="1" s="24">
      <c r="A7934" s="13" t="n">
        <v>5000090301</v>
      </c>
      <c r="B7934" s="13" t="inlineStr">
        <is>
          <t>МДОУ ИРМО "Ширяевский детский сад комбинированного вида"</t>
        </is>
      </c>
      <c r="C7934" s="13" t="n">
        <v>3827012287</v>
      </c>
      <c r="D7934" s="13" t="inlineStr">
        <is>
          <t>3827012287</t>
        </is>
      </c>
      <c r="E7934" s="13" t="inlineStr">
        <is>
          <t>ЮЛ РФ</t>
        </is>
      </c>
      <c r="F7934" s="13" t="n"/>
      <c r="G7934" s="14" t="n"/>
      <c r="H7934" s="14" t="n"/>
      <c r="I7934" s="14" t="n"/>
      <c r="J7934" s="14" t="n"/>
      <c r="K7934" s="53" t="inlineStr"/>
      <c r="L7934" s="53" t="inlineStr">
        <is>
          <t>Не определено</t>
        </is>
      </c>
      <c r="M7934" s="53" t="inlineStr"/>
      <c r="N7934" s="54" t="inlineStr"/>
      <c r="O7934" s="55" t="inlineStr"/>
      <c r="P7934" s="16" t="inlineStr">
        <is>
          <t>Требует обогащения</t>
        </is>
      </c>
      <c r="Q7934" s="16">
        <f>HYPERLINK("https://pb.nalog.ru/search.html?query=3827012287","ФНС: проверить")</f>
        <v/>
      </c>
      <c r="R7934" s="16">
        <f>HYPERLINK("https://checko.ru/search?query=3801001629","Чекко: проверить")</f>
        <v/>
      </c>
      <c r="S7934" t="n">
        <v>1</v>
      </c>
      <c r="T7934" s="35" t="inlineStr">
        <is>
          <t>4 — Не обогащён</t>
        </is>
      </c>
      <c r="U7934" s="35" t="inlineStr">
        <is>
          <t>Нет ОКВЭД/ССЧР</t>
        </is>
      </c>
      <c r="V7934" s="35" t="inlineStr">
        <is>
          <t>Не определено</t>
        </is>
      </c>
      <c r="W7934" s="35" t="inlineStr"/>
      <c r="X7934" s="35" t="inlineStr"/>
    </row>
    <row r="7935" ht="15" customHeight="1" s="24">
      <c r="A7935" s="13" t="n">
        <v>5000090302</v>
      </c>
      <c r="B7935" s="13" t="inlineStr">
        <is>
          <t>МКУ ДО ИРМО "ЦРТДЮ"</t>
        </is>
      </c>
      <c r="C7935" s="13" t="n">
        <v>3827012671</v>
      </c>
      <c r="D7935" s="13" t="inlineStr">
        <is>
          <t>3827012671</t>
        </is>
      </c>
      <c r="E7935" s="13" t="inlineStr">
        <is>
          <t>ЮЛ РФ</t>
        </is>
      </c>
      <c r="F7935" s="13" t="n"/>
      <c r="G7935" s="14" t="n"/>
      <c r="H7935" s="14" t="n"/>
      <c r="I7935" s="14" t="n"/>
      <c r="J7935" s="14" t="n"/>
      <c r="K7935" s="53" t="inlineStr"/>
      <c r="L7935" s="53" t="inlineStr">
        <is>
          <t>Не определено</t>
        </is>
      </c>
      <c r="M7935" s="53" t="inlineStr"/>
      <c r="N7935" s="54" t="inlineStr"/>
      <c r="O7935" s="55" t="inlineStr"/>
      <c r="P7935" s="16" t="inlineStr">
        <is>
          <t>Требует обогащения</t>
        </is>
      </c>
      <c r="Q7935" s="16">
        <f>HYPERLINK("https://pb.nalog.ru/search.html?query=3827012671","ФНС: проверить")</f>
        <v/>
      </c>
      <c r="R7935" s="16">
        <f>HYPERLINK("https://checko.ru/search?query=3801001629","Чекко: проверить")</f>
        <v/>
      </c>
      <c r="S7935" t="n">
        <v>1</v>
      </c>
      <c r="T7935" s="35" t="inlineStr">
        <is>
          <t>4 — Не обогащён</t>
        </is>
      </c>
      <c r="U7935" s="35" t="inlineStr">
        <is>
          <t>Нет ОКВЭД/ССЧР</t>
        </is>
      </c>
      <c r="V7935" s="35" t="inlineStr">
        <is>
          <t>Не определено</t>
        </is>
      </c>
      <c r="W7935" s="35" t="inlineStr"/>
      <c r="X7935" s="35" t="inlineStr"/>
    </row>
    <row r="7936" ht="15" customHeight="1" s="24">
      <c r="A7936" s="13" t="n">
        <v>5000090314</v>
      </c>
      <c r="B7936" s="13" t="inlineStr">
        <is>
          <t>МОУ ИРМО "Горячеключевская СОШ"</t>
        </is>
      </c>
      <c r="C7936" s="13" t="n">
        <v>3827011830</v>
      </c>
      <c r="D7936" s="13" t="inlineStr">
        <is>
          <t>3827011830</t>
        </is>
      </c>
      <c r="E7936" s="13" t="inlineStr">
        <is>
          <t>ЮЛ РФ</t>
        </is>
      </c>
      <c r="F7936" s="13" t="n"/>
      <c r="G7936" s="14" t="n"/>
      <c r="H7936" s="14" t="n"/>
      <c r="I7936" s="14" t="n"/>
      <c r="J7936" s="14" t="n"/>
      <c r="K7936" s="53" t="inlineStr"/>
      <c r="L7936" s="53" t="inlineStr">
        <is>
          <t>Не определено</t>
        </is>
      </c>
      <c r="M7936" s="53" t="inlineStr"/>
      <c r="N7936" s="54" t="inlineStr"/>
      <c r="O7936" s="55" t="inlineStr"/>
      <c r="P7936" s="16" t="inlineStr">
        <is>
          <t>Требует обогащения</t>
        </is>
      </c>
      <c r="Q7936" s="16">
        <f>HYPERLINK("https://pb.nalog.ru/search.html?query=3827011830","ФНС: проверить")</f>
        <v/>
      </c>
      <c r="R7936" s="16">
        <f>HYPERLINK("https://checko.ru/search?query=3801001629","Чекко: проверить")</f>
        <v/>
      </c>
      <c r="S7936" t="n">
        <v>1</v>
      </c>
      <c r="T7936" s="35" t="inlineStr">
        <is>
          <t>4 — Не обогащён</t>
        </is>
      </c>
      <c r="U7936" s="35" t="inlineStr">
        <is>
          <t>Нет ОКВЭД/ССЧР</t>
        </is>
      </c>
      <c r="V7936" s="35" t="inlineStr">
        <is>
          <t>Не определено</t>
        </is>
      </c>
      <c r="W7936" s="35" t="inlineStr"/>
      <c r="X7936" s="35" t="inlineStr"/>
    </row>
    <row r="7937" ht="15" customHeight="1" s="24">
      <c r="A7937" s="13" t="n">
        <v>5000090322</v>
      </c>
      <c r="B7937" s="13" t="inlineStr">
        <is>
          <t>МОУ ИРМО "Лыловская НШДС"</t>
        </is>
      </c>
      <c r="C7937" s="13" t="n">
        <v>3827012520</v>
      </c>
      <c r="D7937" s="13" t="inlineStr">
        <is>
          <t>3827012520</t>
        </is>
      </c>
      <c r="E7937" s="13" t="inlineStr">
        <is>
          <t>ЮЛ РФ</t>
        </is>
      </c>
      <c r="F7937" s="13" t="n"/>
      <c r="G7937" s="14" t="n"/>
      <c r="H7937" s="14" t="n"/>
      <c r="I7937" s="14" t="n"/>
      <c r="J7937" s="14" t="n"/>
      <c r="K7937" s="53" t="inlineStr"/>
      <c r="L7937" s="53" t="inlineStr">
        <is>
          <t>Не определено</t>
        </is>
      </c>
      <c r="M7937" s="53" t="inlineStr"/>
      <c r="N7937" s="54" t="inlineStr"/>
      <c r="O7937" s="55" t="inlineStr"/>
      <c r="P7937" s="16" t="inlineStr">
        <is>
          <t>Требует обогащения</t>
        </is>
      </c>
      <c r="Q7937" s="16">
        <f>HYPERLINK("https://pb.nalog.ru/search.html?query=3827012520","ФНС: проверить")</f>
        <v/>
      </c>
      <c r="R7937" s="16">
        <f>HYPERLINK("https://checko.ru/search?query=3801001629","Чекко: проверить")</f>
        <v/>
      </c>
      <c r="S7937" t="n">
        <v>1</v>
      </c>
      <c r="T7937" s="35" t="inlineStr">
        <is>
          <t>4 — Не обогащён</t>
        </is>
      </c>
      <c r="U7937" s="35" t="inlineStr">
        <is>
          <t>Нет ОКВЭД/ССЧР</t>
        </is>
      </c>
      <c r="V7937" s="35" t="inlineStr">
        <is>
          <t>Не определено</t>
        </is>
      </c>
      <c r="W7937" s="35" t="inlineStr"/>
      <c r="X7937" s="35" t="inlineStr"/>
    </row>
    <row r="7938" ht="15" customHeight="1" s="24">
      <c r="A7938" s="13" t="n">
        <v>5000090323</v>
      </c>
      <c r="B7938" s="13" t="inlineStr">
        <is>
          <t>МОУ ИРМО "Максимовская СОШ"</t>
        </is>
      </c>
      <c r="C7938" s="13" t="n">
        <v>3827011861</v>
      </c>
      <c r="D7938" s="13" t="inlineStr">
        <is>
          <t>3827011861</t>
        </is>
      </c>
      <c r="E7938" s="13" t="inlineStr">
        <is>
          <t>ЮЛ РФ</t>
        </is>
      </c>
      <c r="F7938" s="13" t="n"/>
      <c r="G7938" s="14" t="n"/>
      <c r="H7938" s="14" t="n"/>
      <c r="I7938" s="14" t="n"/>
      <c r="J7938" s="14" t="n"/>
      <c r="K7938" s="53" t="inlineStr"/>
      <c r="L7938" s="53" t="inlineStr">
        <is>
          <t>Не определено</t>
        </is>
      </c>
      <c r="M7938" s="53" t="inlineStr"/>
      <c r="N7938" s="54" t="inlineStr"/>
      <c r="O7938" s="55" t="inlineStr"/>
      <c r="P7938" s="16" t="inlineStr">
        <is>
          <t>Требует обогащения</t>
        </is>
      </c>
      <c r="Q7938" s="16">
        <f>HYPERLINK("https://pb.nalog.ru/search.html?query=3827011861","ФНС: проверить")</f>
        <v/>
      </c>
      <c r="R7938" s="16">
        <f>HYPERLINK("https://checko.ru/search?query=3801001629","Чекко: проверить")</f>
        <v/>
      </c>
      <c r="S7938" t="n">
        <v>1</v>
      </c>
      <c r="T7938" s="35" t="inlineStr">
        <is>
          <t>4 — Не обогащён</t>
        </is>
      </c>
      <c r="U7938" s="35" t="inlineStr">
        <is>
          <t>Нет ОКВЭД/ССЧР</t>
        </is>
      </c>
      <c r="V7938" s="35" t="inlineStr">
        <is>
          <t>Не определено</t>
        </is>
      </c>
      <c r="W7938" s="35" t="inlineStr"/>
      <c r="X7938" s="35" t="inlineStr"/>
    </row>
    <row r="7939" ht="15" customHeight="1" s="24">
      <c r="A7939" s="13" t="n">
        <v>5000090324</v>
      </c>
      <c r="B7939" s="13" t="inlineStr">
        <is>
          <t>МОУ ИРМО "Малоголоустненская СОШ" "</t>
        </is>
      </c>
      <c r="C7939" s="13" t="n">
        <v>3827011967</v>
      </c>
      <c r="D7939" s="13" t="inlineStr">
        <is>
          <t>3827011967</t>
        </is>
      </c>
      <c r="E7939" s="13" t="inlineStr">
        <is>
          <t>ЮЛ РФ</t>
        </is>
      </c>
      <c r="F7939" s="13" t="n"/>
      <c r="G7939" s="14" t="n"/>
      <c r="H7939" s="14" t="n"/>
      <c r="I7939" s="14" t="n"/>
      <c r="J7939" s="14" t="n"/>
      <c r="K7939" s="53" t="inlineStr"/>
      <c r="L7939" s="53" t="inlineStr">
        <is>
          <t>Не определено</t>
        </is>
      </c>
      <c r="M7939" s="53" t="inlineStr"/>
      <c r="N7939" s="54" t="inlineStr"/>
      <c r="O7939" s="55" t="inlineStr"/>
      <c r="P7939" s="16" t="inlineStr">
        <is>
          <t>Требует обогащения</t>
        </is>
      </c>
      <c r="Q7939" s="16">
        <f>HYPERLINK("https://pb.nalog.ru/search.html?query=3827011967","ФНС: проверить")</f>
        <v/>
      </c>
      <c r="R7939" s="16">
        <f>HYPERLINK("https://checko.ru/search?query=3801001629","Чекко: проверить")</f>
        <v/>
      </c>
      <c r="S7939" t="n">
        <v>1</v>
      </c>
      <c r="T7939" s="35" t="inlineStr">
        <is>
          <t>4 — Не обогащён</t>
        </is>
      </c>
      <c r="U7939" s="35" t="inlineStr">
        <is>
          <t>Нет ОКВЭД/ССЧР</t>
        </is>
      </c>
      <c r="V7939" s="35" t="inlineStr">
        <is>
          <t>Не определено</t>
        </is>
      </c>
      <c r="W7939" s="35" t="inlineStr"/>
      <c r="X7939" s="35" t="inlineStr"/>
    </row>
    <row r="7940" ht="15" customHeight="1" s="24">
      <c r="A7940" s="13" t="n">
        <v>5000090325</v>
      </c>
      <c r="B7940" s="13" t="inlineStr">
        <is>
          <t>МОУ ИРМО "Мало-Еланская НШДС"</t>
        </is>
      </c>
      <c r="C7940" s="13" t="n">
        <v>3827012569</v>
      </c>
      <c r="D7940" s="13" t="inlineStr">
        <is>
          <t>3827012569</t>
        </is>
      </c>
      <c r="E7940" s="13" t="inlineStr">
        <is>
          <t>ЮЛ РФ</t>
        </is>
      </c>
      <c r="F7940" s="13" t="n"/>
      <c r="G7940" s="14" t="n"/>
      <c r="H7940" s="14" t="n"/>
      <c r="I7940" s="14" t="n"/>
      <c r="J7940" s="14" t="n"/>
      <c r="K7940" s="53" t="inlineStr"/>
      <c r="L7940" s="53" t="inlineStr">
        <is>
          <t>Не определено</t>
        </is>
      </c>
      <c r="M7940" s="53" t="inlineStr"/>
      <c r="N7940" s="54" t="inlineStr"/>
      <c r="O7940" s="55" t="inlineStr"/>
      <c r="P7940" s="16" t="inlineStr">
        <is>
          <t>Требует обогащения</t>
        </is>
      </c>
      <c r="Q7940" s="16">
        <f>HYPERLINK("https://pb.nalog.ru/search.html?query=3827012569","ФНС: проверить")</f>
        <v/>
      </c>
      <c r="R7940" s="16">
        <f>HYPERLINK("https://checko.ru/search?query=3801001629","Чекко: проверить")</f>
        <v/>
      </c>
      <c r="S7940" t="n">
        <v>1</v>
      </c>
      <c r="T7940" s="35" t="inlineStr">
        <is>
          <t>4 — Не обогащён</t>
        </is>
      </c>
      <c r="U7940" s="35" t="inlineStr">
        <is>
          <t>Нет ОКВЭД/ССЧР</t>
        </is>
      </c>
      <c r="V7940" s="35" t="inlineStr">
        <is>
          <t>Не определено</t>
        </is>
      </c>
      <c r="W7940" s="35" t="inlineStr"/>
      <c r="X7940" s="35" t="inlineStr"/>
    </row>
    <row r="7941" ht="15" customHeight="1" s="24">
      <c r="A7941" s="13" t="n">
        <v>5000090327</v>
      </c>
      <c r="B7941" s="13" t="inlineStr">
        <is>
          <t>МОУ ИРМО "Марковская СОШ № 2"</t>
        </is>
      </c>
      <c r="C7941" s="13" t="n">
        <v>3827065063</v>
      </c>
      <c r="D7941" s="13" t="inlineStr">
        <is>
          <t>3827065063</t>
        </is>
      </c>
      <c r="E7941" s="13" t="inlineStr">
        <is>
          <t>ЮЛ РФ</t>
        </is>
      </c>
      <c r="F7941" s="13" t="n"/>
      <c r="G7941" s="14" t="n"/>
      <c r="H7941" s="14" t="n"/>
      <c r="I7941" s="14" t="n"/>
      <c r="J7941" s="14" t="n"/>
      <c r="K7941" s="53" t="inlineStr"/>
      <c r="L7941" s="53" t="inlineStr">
        <is>
          <t>Не определено</t>
        </is>
      </c>
      <c r="M7941" s="53" t="inlineStr"/>
      <c r="N7941" s="54" t="inlineStr"/>
      <c r="O7941" s="55" t="inlineStr"/>
      <c r="P7941" s="16" t="inlineStr">
        <is>
          <t>Требует обогащения</t>
        </is>
      </c>
      <c r="Q7941" s="16">
        <f>HYPERLINK("https://pb.nalog.ru/search.html?query=3827065063","ФНС: проверить")</f>
        <v/>
      </c>
      <c r="R7941" s="16">
        <f>HYPERLINK("https://checko.ru/search?query=3801001629","Чекко: проверить")</f>
        <v/>
      </c>
      <c r="S7941" t="n">
        <v>1</v>
      </c>
      <c r="T7941" s="35" t="inlineStr">
        <is>
          <t>4 — Не обогащён</t>
        </is>
      </c>
      <c r="U7941" s="35" t="inlineStr">
        <is>
          <t>Нет ОКВЭД/ССЧР</t>
        </is>
      </c>
      <c r="V7941" s="35" t="inlineStr">
        <is>
          <t>Не определено</t>
        </is>
      </c>
      <c r="W7941" s="35" t="inlineStr"/>
      <c r="X7941" s="35" t="inlineStr"/>
    </row>
    <row r="7942" ht="15" customHeight="1" s="24">
      <c r="A7942" s="13" t="n">
        <v>5000090336</v>
      </c>
      <c r="B7942" s="13" t="inlineStr">
        <is>
          <t>МОУ ИРМО "Столбовская НОШ""</t>
        </is>
      </c>
      <c r="C7942" s="13" t="n">
        <v>3827012505</v>
      </c>
      <c r="D7942" s="13" t="inlineStr">
        <is>
          <t>3827012505</t>
        </is>
      </c>
      <c r="E7942" s="13" t="inlineStr">
        <is>
          <t>ЮЛ РФ</t>
        </is>
      </c>
      <c r="F7942" s="13" t="n"/>
      <c r="G7942" s="14" t="n"/>
      <c r="H7942" s="14" t="n"/>
      <c r="I7942" s="14" t="n"/>
      <c r="J7942" s="14" t="n"/>
      <c r="K7942" s="53" t="inlineStr"/>
      <c r="L7942" s="53" t="inlineStr">
        <is>
          <t>Не определено</t>
        </is>
      </c>
      <c r="M7942" s="53" t="inlineStr"/>
      <c r="N7942" s="54" t="inlineStr"/>
      <c r="O7942" s="55" t="inlineStr"/>
      <c r="P7942" s="16" t="inlineStr">
        <is>
          <t>Требует обогащения</t>
        </is>
      </c>
      <c r="Q7942" s="16">
        <f>HYPERLINK("https://pb.nalog.ru/search.html?query=3827012505","ФНС: проверить")</f>
        <v/>
      </c>
      <c r="R7942" s="16">
        <f>HYPERLINK("https://checko.ru/search?query=3801001629","Чекко: проверить")</f>
        <v/>
      </c>
      <c r="S7942" t="n">
        <v>1</v>
      </c>
      <c r="T7942" s="35" t="inlineStr">
        <is>
          <t>4 — Не обогащён</t>
        </is>
      </c>
      <c r="U7942" s="35" t="inlineStr">
        <is>
          <t>Нет ОКВЭД/ССЧР</t>
        </is>
      </c>
      <c r="V7942" s="35" t="inlineStr">
        <is>
          <t>Не определено</t>
        </is>
      </c>
      <c r="W7942" s="35" t="inlineStr"/>
      <c r="X7942" s="35" t="inlineStr"/>
    </row>
    <row r="7943" ht="15" customHeight="1" s="24">
      <c r="A7943" s="13" t="n">
        <v>5000090335</v>
      </c>
      <c r="B7943" s="13" t="inlineStr">
        <is>
          <t>МОУ ИРМО "СОШ поселка Молодежный"</t>
        </is>
      </c>
      <c r="C7943" s="13" t="n">
        <v>3811057540</v>
      </c>
      <c r="D7943" s="13" t="inlineStr">
        <is>
          <t>3811057540</t>
        </is>
      </c>
      <c r="E7943" s="13" t="inlineStr">
        <is>
          <t>ЮЛ РФ</t>
        </is>
      </c>
      <c r="F7943" s="13" t="n"/>
      <c r="G7943" s="14" t="n"/>
      <c r="H7943" s="14" t="n"/>
      <c r="I7943" s="14" t="n"/>
      <c r="J7943" s="14" t="n"/>
      <c r="K7943" s="53" t="inlineStr"/>
      <c r="L7943" s="53" t="inlineStr">
        <is>
          <t>Не определено</t>
        </is>
      </c>
      <c r="M7943" s="53" t="inlineStr"/>
      <c r="N7943" s="54" t="inlineStr"/>
      <c r="O7943" s="55" t="inlineStr"/>
      <c r="P7943" s="16" t="inlineStr">
        <is>
          <t>Требует обогащения</t>
        </is>
      </c>
      <c r="Q7943" s="16">
        <f>HYPERLINK("https://pb.nalog.ru/search.html?query=3811057540","ФНС: проверить")</f>
        <v/>
      </c>
      <c r="R7943" s="16">
        <f>HYPERLINK("https://checko.ru/search?query=3801001629","Чекко: проверить")</f>
        <v/>
      </c>
      <c r="S7943" t="n">
        <v>1</v>
      </c>
      <c r="T7943" s="35" t="inlineStr">
        <is>
          <t>4 — Не обогащён</t>
        </is>
      </c>
      <c r="U7943" s="35" t="inlineStr">
        <is>
          <t>Нет ОКВЭД/ССЧР</t>
        </is>
      </c>
      <c r="V7943" s="35" t="inlineStr">
        <is>
          <t>Не определено</t>
        </is>
      </c>
      <c r="W7943" s="35" t="inlineStr"/>
      <c r="X7943" s="35" t="inlineStr"/>
    </row>
    <row r="7944" ht="15" customHeight="1" s="24">
      <c r="A7944" s="13" t="n">
        <v>5000090337</v>
      </c>
      <c r="B7944" s="13" t="inlineStr">
        <is>
          <t>МОУ ИРМО "Уриковская СОШ"</t>
        </is>
      </c>
      <c r="C7944" s="13" t="n">
        <v>3827012008</v>
      </c>
      <c r="D7944" s="13" t="inlineStr">
        <is>
          <t>3827012008</t>
        </is>
      </c>
      <c r="E7944" s="13" t="inlineStr">
        <is>
          <t>ЮЛ РФ</t>
        </is>
      </c>
      <c r="F7944" s="13" t="n"/>
      <c r="G7944" s="14" t="n"/>
      <c r="H7944" s="14" t="n"/>
      <c r="I7944" s="14" t="n"/>
      <c r="J7944" s="14" t="n"/>
      <c r="K7944" s="53" t="inlineStr"/>
      <c r="L7944" s="53" t="inlineStr">
        <is>
          <t>Не определено</t>
        </is>
      </c>
      <c r="M7944" s="53" t="inlineStr"/>
      <c r="N7944" s="54" t="inlineStr"/>
      <c r="O7944" s="55" t="inlineStr"/>
      <c r="P7944" s="16" t="inlineStr">
        <is>
          <t>Требует обогащения</t>
        </is>
      </c>
      <c r="Q7944" s="16">
        <f>HYPERLINK("https://pb.nalog.ru/search.html?query=3827012008","ФНС: проверить")</f>
        <v/>
      </c>
      <c r="R7944" s="16">
        <f>HYPERLINK("https://checko.ru/search?query=3801001629","Чекко: проверить")</f>
        <v/>
      </c>
      <c r="S7944" t="n">
        <v>1</v>
      </c>
      <c r="T7944" s="35" t="inlineStr">
        <is>
          <t>4 — Не обогащён</t>
        </is>
      </c>
      <c r="U7944" s="35" t="inlineStr">
        <is>
          <t>Нет ОКВЭД/ССЧР</t>
        </is>
      </c>
      <c r="V7944" s="35" t="inlineStr">
        <is>
          <t>Не определено</t>
        </is>
      </c>
      <c r="W7944" s="35" t="inlineStr"/>
      <c r="X7944" s="35" t="inlineStr"/>
    </row>
    <row r="7945" ht="15" customHeight="1" s="24">
      <c r="A7945" s="13" t="n">
        <v>5000090338</v>
      </c>
      <c r="B7945" s="13" t="inlineStr">
        <is>
          <t>МОУ ИРМО "Усть-Балейская НОШ"</t>
        </is>
      </c>
      <c r="C7945" s="13" t="n">
        <v>3827012512</v>
      </c>
      <c r="D7945" s="13" t="inlineStr">
        <is>
          <t>3827012512</t>
        </is>
      </c>
      <c r="E7945" s="13" t="inlineStr">
        <is>
          <t>ЮЛ РФ</t>
        </is>
      </c>
      <c r="F7945" s="13" t="n"/>
      <c r="G7945" s="14" t="n"/>
      <c r="H7945" s="14" t="n"/>
      <c r="I7945" s="14" t="n"/>
      <c r="J7945" s="14" t="n"/>
      <c r="K7945" s="53" t="inlineStr"/>
      <c r="L7945" s="53" t="inlineStr">
        <is>
          <t>Не определено</t>
        </is>
      </c>
      <c r="M7945" s="53" t="inlineStr"/>
      <c r="N7945" s="54" t="inlineStr"/>
      <c r="O7945" s="55" t="inlineStr"/>
      <c r="P7945" s="16" t="inlineStr">
        <is>
          <t>Требует обогащения</t>
        </is>
      </c>
      <c r="Q7945" s="16">
        <f>HYPERLINK("https://pb.nalog.ru/search.html?query=3827012512","ФНС: проверить")</f>
        <v/>
      </c>
      <c r="R7945" s="16">
        <f>HYPERLINK("https://checko.ru/search?query=3801001629","Чекко: проверить")</f>
        <v/>
      </c>
      <c r="S7945" t="n">
        <v>1</v>
      </c>
      <c r="T7945" s="35" t="inlineStr">
        <is>
          <t>4 — Не обогащён</t>
        </is>
      </c>
      <c r="U7945" s="35" t="inlineStr">
        <is>
          <t>Нет ОКВЭД/ССЧР</t>
        </is>
      </c>
      <c r="V7945" s="35" t="inlineStr">
        <is>
          <t>Не определено</t>
        </is>
      </c>
      <c r="W7945" s="35" t="inlineStr"/>
      <c r="X7945" s="35" t="inlineStr"/>
    </row>
    <row r="7946" ht="15" customHeight="1" s="24">
      <c r="A7946" s="13" t="n">
        <v>5000090339</v>
      </c>
      <c r="B7946" s="13" t="inlineStr">
        <is>
          <t>МОУ ИРМО "Усть-Кудинская СОШ"</t>
        </is>
      </c>
      <c r="C7946" s="13" t="n">
        <v>3827012015</v>
      </c>
      <c r="D7946" s="13" t="inlineStr">
        <is>
          <t>3827012015</t>
        </is>
      </c>
      <c r="E7946" s="13" t="inlineStr">
        <is>
          <t>ЮЛ РФ</t>
        </is>
      </c>
      <c r="F7946" s="13" t="n"/>
      <c r="G7946" s="14" t="n"/>
      <c r="H7946" s="14" t="n"/>
      <c r="I7946" s="14" t="n"/>
      <c r="J7946" s="14" t="n"/>
      <c r="K7946" s="53" t="inlineStr"/>
      <c r="L7946" s="53" t="inlineStr">
        <is>
          <t>Не определено</t>
        </is>
      </c>
      <c r="M7946" s="53" t="inlineStr"/>
      <c r="N7946" s="54" t="inlineStr"/>
      <c r="O7946" s="55" t="inlineStr"/>
      <c r="P7946" s="16" t="inlineStr">
        <is>
          <t>Требует обогащения</t>
        </is>
      </c>
      <c r="Q7946" s="16">
        <f>HYPERLINK("https://pb.nalog.ru/search.html?query=3827012015","ФНС: проверить")</f>
        <v/>
      </c>
      <c r="R7946" s="16">
        <f>HYPERLINK("https://checko.ru/search?query=3801001629","Чекко: проверить")</f>
        <v/>
      </c>
      <c r="S7946" t="n">
        <v>1</v>
      </c>
      <c r="T7946" s="35" t="inlineStr">
        <is>
          <t>4 — Не обогащён</t>
        </is>
      </c>
      <c r="U7946" s="35" t="inlineStr">
        <is>
          <t>Нет ОКВЭД/ССЧР</t>
        </is>
      </c>
      <c r="V7946" s="35" t="inlineStr">
        <is>
          <t>Не определено</t>
        </is>
      </c>
      <c r="W7946" s="35" t="inlineStr"/>
      <c r="X7946" s="35" t="inlineStr"/>
    </row>
    <row r="7947" ht="15" customHeight="1" s="24">
      <c r="A7947" s="13" t="n">
        <v>5000090340</v>
      </c>
      <c r="B7947" s="13" t="inlineStr">
        <is>
          <t>МОУ ИРМО "Хомутовская СОШ №1"</t>
        </is>
      </c>
      <c r="C7947" s="13" t="n">
        <v>3827011999</v>
      </c>
      <c r="D7947" s="13" t="inlineStr">
        <is>
          <t>3827011999</t>
        </is>
      </c>
      <c r="E7947" s="13" t="inlineStr">
        <is>
          <t>ЮЛ РФ</t>
        </is>
      </c>
      <c r="F7947" s="13" t="n"/>
      <c r="G7947" s="14" t="n"/>
      <c r="H7947" s="14" t="n"/>
      <c r="I7947" s="14" t="n"/>
      <c r="J7947" s="14" t="n"/>
      <c r="K7947" s="53" t="inlineStr"/>
      <c r="L7947" s="53" t="inlineStr">
        <is>
          <t>Не определено</t>
        </is>
      </c>
      <c r="M7947" s="53" t="inlineStr"/>
      <c r="N7947" s="54" t="inlineStr"/>
      <c r="O7947" s="55" t="inlineStr"/>
      <c r="P7947" s="16" t="inlineStr">
        <is>
          <t>Требует обогащения</t>
        </is>
      </c>
      <c r="Q7947" s="16">
        <f>HYPERLINK("https://pb.nalog.ru/search.html?query=3827011999","ФНС: проверить")</f>
        <v/>
      </c>
      <c r="R7947" s="16">
        <f>HYPERLINK("https://checko.ru/search?query=3801001629","Чекко: проверить")</f>
        <v/>
      </c>
      <c r="S7947" t="n">
        <v>1</v>
      </c>
      <c r="T7947" s="35" t="inlineStr">
        <is>
          <t>4 — Не обогащён</t>
        </is>
      </c>
      <c r="U7947" s="35" t="inlineStr">
        <is>
          <t>Нет ОКВЭД/ССЧР</t>
        </is>
      </c>
      <c r="V7947" s="35" t="inlineStr">
        <is>
          <t>Не определено</t>
        </is>
      </c>
      <c r="W7947" s="35" t="inlineStr"/>
      <c r="X7947" s="35" t="inlineStr"/>
    </row>
    <row r="7948" ht="27.75" customHeight="1" s="24">
      <c r="A7948" s="13" t="n">
        <v>5000090288</v>
      </c>
      <c r="B7948" s="13" t="inlineStr">
        <is>
          <t>МДОУ ИРМО "Мамоновский детский сад комбинированного вида"</t>
        </is>
      </c>
      <c r="C7948" s="13" t="n">
        <v>3827012223</v>
      </c>
      <c r="D7948" s="13" t="inlineStr">
        <is>
          <t>3827012223</t>
        </is>
      </c>
      <c r="E7948" s="13" t="inlineStr">
        <is>
          <t>ЮЛ РФ</t>
        </is>
      </c>
      <c r="F7948" s="13" t="n"/>
      <c r="G7948" s="14" t="n"/>
      <c r="H7948" s="14" t="n"/>
      <c r="I7948" s="14" t="n"/>
      <c r="J7948" s="14" t="n"/>
      <c r="K7948" s="53" t="inlineStr"/>
      <c r="L7948" s="53" t="inlineStr">
        <is>
          <t>Не определено</t>
        </is>
      </c>
      <c r="M7948" s="53" t="inlineStr"/>
      <c r="N7948" s="54" t="inlineStr"/>
      <c r="O7948" s="55" t="inlineStr"/>
      <c r="P7948" s="16" t="inlineStr">
        <is>
          <t>Требует обогащения</t>
        </is>
      </c>
      <c r="Q7948" s="16">
        <f>HYPERLINK("https://pb.nalog.ru/search.html?query=3827012223","ФНС: проверить")</f>
        <v/>
      </c>
      <c r="R7948" s="16">
        <f>HYPERLINK("https://checko.ru/search?query=3801001629","Чекко: проверить")</f>
        <v/>
      </c>
      <c r="S7948" t="n">
        <v>1</v>
      </c>
      <c r="T7948" s="35" t="inlineStr">
        <is>
          <t>4 — Не обогащён</t>
        </is>
      </c>
      <c r="U7948" s="35" t="inlineStr">
        <is>
          <t>Нет ОКВЭД/ССЧР</t>
        </is>
      </c>
      <c r="V7948" s="35" t="inlineStr">
        <is>
          <t>Не определено</t>
        </is>
      </c>
      <c r="W7948" s="35" t="inlineStr"/>
      <c r="X7948" s="35" t="inlineStr"/>
    </row>
    <row r="7949" ht="15" customHeight="1" s="24">
      <c r="A7949" s="13" t="n">
        <v>5000090341</v>
      </c>
      <c r="B7949" s="13" t="inlineStr">
        <is>
          <t>МОУ ИРМО "Хомутовская СОШ №2"</t>
        </is>
      </c>
      <c r="C7949" s="13" t="n">
        <v>3827011847</v>
      </c>
      <c r="D7949" s="13" t="inlineStr">
        <is>
          <t>3827011847</t>
        </is>
      </c>
      <c r="E7949" s="13" t="inlineStr">
        <is>
          <t>ЮЛ РФ</t>
        </is>
      </c>
      <c r="F7949" s="13" t="n"/>
      <c r="G7949" s="14" t="n"/>
      <c r="H7949" s="14" t="n"/>
      <c r="I7949" s="14" t="n"/>
      <c r="J7949" s="14" t="n"/>
      <c r="K7949" s="53" t="inlineStr"/>
      <c r="L7949" s="53" t="inlineStr">
        <is>
          <t>Не определено</t>
        </is>
      </c>
      <c r="M7949" s="53" t="inlineStr"/>
      <c r="N7949" s="54" t="inlineStr"/>
      <c r="O7949" s="55" t="inlineStr"/>
      <c r="P7949" s="16" t="inlineStr">
        <is>
          <t>Требует обогащения</t>
        </is>
      </c>
      <c r="Q7949" s="16">
        <f>HYPERLINK("https://pb.nalog.ru/search.html?query=3827011847","ФНС: проверить")</f>
        <v/>
      </c>
      <c r="R7949" s="16">
        <f>HYPERLINK("https://checko.ru/search?query=3801001629","Чекко: проверить")</f>
        <v/>
      </c>
      <c r="S7949" t="n">
        <v>1</v>
      </c>
      <c r="T7949" s="35" t="inlineStr">
        <is>
          <t>4 — Не обогащён</t>
        </is>
      </c>
      <c r="U7949" s="35" t="inlineStr">
        <is>
          <t>Нет ОКВЭД/ССЧР</t>
        </is>
      </c>
      <c r="V7949" s="35" t="inlineStr">
        <is>
          <t>Не определено</t>
        </is>
      </c>
      <c r="W7949" s="35" t="inlineStr"/>
      <c r="X7949" s="35" t="inlineStr"/>
    </row>
    <row r="7950" ht="15" customHeight="1" s="24">
      <c r="A7950" s="13" t="n">
        <v>5000090342</v>
      </c>
      <c r="B7950" s="13" t="inlineStr">
        <is>
          <t>МОУ ИРМО "Черемушкинская НШДС"</t>
        </is>
      </c>
      <c r="C7950" s="13" t="n">
        <v>3827042034</v>
      </c>
      <c r="D7950" s="13" t="inlineStr">
        <is>
          <t>3827042034</t>
        </is>
      </c>
      <c r="E7950" s="13" t="inlineStr">
        <is>
          <t>ЮЛ РФ</t>
        </is>
      </c>
      <c r="F7950" s="13" t="n"/>
      <c r="G7950" s="14" t="n"/>
      <c r="H7950" s="14" t="n"/>
      <c r="I7950" s="14" t="n"/>
      <c r="J7950" s="14" t="n"/>
      <c r="K7950" s="53" t="inlineStr"/>
      <c r="L7950" s="53" t="inlineStr">
        <is>
          <t>Не определено</t>
        </is>
      </c>
      <c r="M7950" s="53" t="inlineStr"/>
      <c r="N7950" s="54" t="inlineStr"/>
      <c r="O7950" s="55" t="inlineStr"/>
      <c r="P7950" s="16" t="inlineStr">
        <is>
          <t>Требует обогащения</t>
        </is>
      </c>
      <c r="Q7950" s="16">
        <f>HYPERLINK("https://pb.nalog.ru/search.html?query=3827042034","ФНС: проверить")</f>
        <v/>
      </c>
      <c r="R7950" s="16">
        <f>HYPERLINK("https://checko.ru/search?query=3801001629","Чекко: проверить")</f>
        <v/>
      </c>
      <c r="S7950" t="n">
        <v>1</v>
      </c>
      <c r="T7950" s="35" t="inlineStr">
        <is>
          <t>4 — Не обогащён</t>
        </is>
      </c>
      <c r="U7950" s="35" t="inlineStr">
        <is>
          <t>Нет ОКВЭД/ССЧР</t>
        </is>
      </c>
      <c r="V7950" s="35" t="inlineStr">
        <is>
          <t>Не определено</t>
        </is>
      </c>
      <c r="W7950" s="35" t="inlineStr"/>
      <c r="X7950" s="35" t="inlineStr"/>
    </row>
    <row r="7951" ht="15" customHeight="1" s="24">
      <c r="A7951" s="13" t="n">
        <v>5000090321</v>
      </c>
      <c r="B7951" s="13" t="inlineStr">
        <is>
          <t>МОУ ИРМО "Листвянская СОШ"</t>
        </is>
      </c>
      <c r="C7951" s="13" t="n">
        <v>3827011893</v>
      </c>
      <c r="D7951" s="13" t="inlineStr">
        <is>
          <t>3827011893</t>
        </is>
      </c>
      <c r="E7951" s="13" t="inlineStr">
        <is>
          <t>ЮЛ РФ</t>
        </is>
      </c>
      <c r="F7951" s="13" t="n"/>
      <c r="G7951" s="14" t="n"/>
      <c r="H7951" s="14" t="n"/>
      <c r="I7951" s="14" t="n"/>
      <c r="J7951" s="14" t="n"/>
      <c r="K7951" s="53" t="inlineStr"/>
      <c r="L7951" s="53" t="inlineStr">
        <is>
          <t>Не определено</t>
        </is>
      </c>
      <c r="M7951" s="53" t="inlineStr"/>
      <c r="N7951" s="54" t="inlineStr"/>
      <c r="O7951" s="55" t="inlineStr"/>
      <c r="P7951" s="16" t="inlineStr">
        <is>
          <t>Требует обогащения</t>
        </is>
      </c>
      <c r="Q7951" s="16">
        <f>HYPERLINK("https://pb.nalog.ru/search.html?query=3827011893","ФНС: проверить")</f>
        <v/>
      </c>
      <c r="R7951" s="16">
        <f>HYPERLINK("https://checko.ru/search?query=3801001629","Чекко: проверить")</f>
        <v/>
      </c>
      <c r="S7951" t="n">
        <v>1</v>
      </c>
      <c r="T7951" s="35" t="inlineStr">
        <is>
          <t>4 — Не обогащён</t>
        </is>
      </c>
      <c r="U7951" s="35" t="inlineStr">
        <is>
          <t>Нет ОКВЭД/ССЧР</t>
        </is>
      </c>
      <c r="V7951" s="35" t="inlineStr">
        <is>
          <t>Не определено</t>
        </is>
      </c>
      <c r="W7951" s="35" t="inlineStr"/>
      <c r="X7951" s="35" t="inlineStr"/>
    </row>
    <row r="7952" ht="15" customHeight="1" s="24">
      <c r="A7952" s="13" t="n">
        <v>5000090326</v>
      </c>
      <c r="B7952" s="13" t="inlineStr">
        <is>
          <t>МОУ ИРМО "Мамоновская СОШ"</t>
        </is>
      </c>
      <c r="C7952" s="13" t="n">
        <v>3827011879</v>
      </c>
      <c r="D7952" s="13" t="inlineStr">
        <is>
          <t>3827011879</t>
        </is>
      </c>
      <c r="E7952" s="13" t="inlineStr">
        <is>
          <t>ЮЛ РФ</t>
        </is>
      </c>
      <c r="F7952" s="13" t="n"/>
      <c r="G7952" s="14" t="n"/>
      <c r="H7952" s="14" t="n"/>
      <c r="I7952" s="14" t="n"/>
      <c r="J7952" s="14" t="n"/>
      <c r="K7952" s="53" t="inlineStr"/>
      <c r="L7952" s="53" t="inlineStr">
        <is>
          <t>Не определено</t>
        </is>
      </c>
      <c r="M7952" s="53" t="inlineStr"/>
      <c r="N7952" s="54" t="inlineStr"/>
      <c r="O7952" s="55" t="inlineStr"/>
      <c r="P7952" s="16" t="inlineStr">
        <is>
          <t>Требует обогащения</t>
        </is>
      </c>
      <c r="Q7952" s="16">
        <f>HYPERLINK("https://pb.nalog.ru/search.html?query=3827011879","ФНС: проверить")</f>
        <v/>
      </c>
      <c r="R7952" s="16">
        <f>HYPERLINK("https://checko.ru/search?query=3801001629","Чекко: проверить")</f>
        <v/>
      </c>
      <c r="S7952" t="n">
        <v>1</v>
      </c>
      <c r="T7952" s="35" t="inlineStr">
        <is>
          <t>4 — Не обогащён</t>
        </is>
      </c>
      <c r="U7952" s="35" t="inlineStr">
        <is>
          <t>Нет ОКВЭД/ССЧР</t>
        </is>
      </c>
      <c r="V7952" s="35" t="inlineStr">
        <is>
          <t>Не определено</t>
        </is>
      </c>
      <c r="W7952" s="35" t="inlineStr"/>
      <c r="X7952" s="35" t="inlineStr"/>
    </row>
    <row r="7953" ht="15" customHeight="1" s="24">
      <c r="A7953" s="13" t="n">
        <v>5000090343</v>
      </c>
      <c r="B7953" s="13" t="inlineStr">
        <is>
          <t>МОУ ИРМО "Ширяевская СОШ"</t>
        </is>
      </c>
      <c r="C7953" s="13" t="n">
        <v>3827011928</v>
      </c>
      <c r="D7953" s="13" t="inlineStr">
        <is>
          <t>3827011928</t>
        </is>
      </c>
      <c r="E7953" s="13" t="inlineStr">
        <is>
          <t>ЮЛ РФ</t>
        </is>
      </c>
      <c r="F7953" s="13" t="n"/>
      <c r="G7953" s="14" t="n"/>
      <c r="H7953" s="14" t="n"/>
      <c r="I7953" s="14" t="n"/>
      <c r="J7953" s="14" t="n"/>
      <c r="K7953" s="53" t="inlineStr"/>
      <c r="L7953" s="53" t="inlineStr">
        <is>
          <t>Не определено</t>
        </is>
      </c>
      <c r="M7953" s="53" t="inlineStr"/>
      <c r="N7953" s="54" t="inlineStr"/>
      <c r="O7953" s="55" t="inlineStr"/>
      <c r="P7953" s="16" t="inlineStr">
        <is>
          <t>Требует обогащения</t>
        </is>
      </c>
      <c r="Q7953" s="16">
        <f>HYPERLINK("https://pb.nalog.ru/search.html?query=3827011928","ФНС: проверить")</f>
        <v/>
      </c>
      <c r="R7953" s="16">
        <f>HYPERLINK("https://checko.ru/search?query=3801001629","Чекко: проверить")</f>
        <v/>
      </c>
      <c r="S7953" t="n">
        <v>1</v>
      </c>
      <c r="T7953" s="35" t="inlineStr">
        <is>
          <t>4 — Не обогащён</t>
        </is>
      </c>
      <c r="U7953" s="35" t="inlineStr">
        <is>
          <t>Нет ОКВЭД/ССЧР</t>
        </is>
      </c>
      <c r="V7953" s="35" t="inlineStr">
        <is>
          <t>Не определено</t>
        </is>
      </c>
      <c r="W7953" s="35" t="inlineStr"/>
      <c r="X7953" s="35" t="inlineStr"/>
    </row>
    <row r="7954" ht="15" customHeight="1" s="24">
      <c r="A7954" s="13" t="n">
        <v>5000090275</v>
      </c>
      <c r="B7954" s="13" t="inlineStr">
        <is>
          <t>МДОУ ИРМО "Большереченский детский сад"</t>
        </is>
      </c>
      <c r="C7954" s="13" t="n">
        <v>3827012181</v>
      </c>
      <c r="D7954" s="13" t="inlineStr">
        <is>
          <t>3827012181</t>
        </is>
      </c>
      <c r="E7954" s="13" t="inlineStr">
        <is>
          <t>ЮЛ РФ</t>
        </is>
      </c>
      <c r="F7954" s="13" t="n"/>
      <c r="G7954" s="14" t="n"/>
      <c r="H7954" s="14" t="n"/>
      <c r="I7954" s="14" t="n"/>
      <c r="J7954" s="14" t="n"/>
      <c r="K7954" s="53" t="inlineStr"/>
      <c r="L7954" s="53" t="inlineStr">
        <is>
          <t>Не определено</t>
        </is>
      </c>
      <c r="M7954" s="53" t="inlineStr"/>
      <c r="N7954" s="54" t="inlineStr"/>
      <c r="O7954" s="55" t="inlineStr"/>
      <c r="P7954" s="16" t="inlineStr">
        <is>
          <t>Требует обогащения</t>
        </is>
      </c>
      <c r="Q7954" s="16">
        <f>HYPERLINK("https://pb.nalog.ru/search.html?query=3827012181","ФНС: проверить")</f>
        <v/>
      </c>
      <c r="R7954" s="16">
        <f>HYPERLINK("https://checko.ru/search?query=3801001629","Чекко: проверить")</f>
        <v/>
      </c>
      <c r="S7954" t="n">
        <v>1</v>
      </c>
      <c r="T7954" s="35" t="inlineStr">
        <is>
          <t>4 — Не обогащён</t>
        </is>
      </c>
      <c r="U7954" s="35" t="inlineStr">
        <is>
          <t>Нет ОКВЭД/ССЧР</t>
        </is>
      </c>
      <c r="V7954" s="35" t="inlineStr">
        <is>
          <t>Не определено</t>
        </is>
      </c>
      <c r="W7954" s="35" t="inlineStr"/>
      <c r="X7954" s="35" t="inlineStr"/>
    </row>
    <row r="7955" ht="15" customHeight="1" s="24">
      <c r="A7955" s="13" t="n">
        <v>5000090289</v>
      </c>
      <c r="B7955" s="13" t="inlineStr">
        <is>
          <t>МДОУ ИРМО "Никольский детский сад"</t>
        </is>
      </c>
      <c r="C7955" s="13" t="n">
        <v>3827014580</v>
      </c>
      <c r="D7955" s="13" t="inlineStr">
        <is>
          <t>3827014580</t>
        </is>
      </c>
      <c r="E7955" s="13" t="inlineStr">
        <is>
          <t>ЮЛ РФ</t>
        </is>
      </c>
      <c r="F7955" s="13" t="n"/>
      <c r="G7955" s="14" t="n"/>
      <c r="H7955" s="14" t="n"/>
      <c r="I7955" s="14" t="n"/>
      <c r="J7955" s="14" t="n"/>
      <c r="K7955" s="53" t="inlineStr"/>
      <c r="L7955" s="53" t="inlineStr">
        <is>
          <t>Не определено</t>
        </is>
      </c>
      <c r="M7955" s="53" t="inlineStr"/>
      <c r="N7955" s="54" t="inlineStr"/>
      <c r="O7955" s="55" t="inlineStr"/>
      <c r="P7955" s="16" t="inlineStr">
        <is>
          <t>Требует обогащения</t>
        </is>
      </c>
      <c r="Q7955" s="16">
        <f>HYPERLINK("https://pb.nalog.ru/search.html?query=3827014580","ФНС: проверить")</f>
        <v/>
      </c>
      <c r="R7955" s="16">
        <f>HYPERLINK("https://checko.ru/search?query=3801001629","Чекко: проверить")</f>
        <v/>
      </c>
      <c r="S7955" t="n">
        <v>1</v>
      </c>
      <c r="T7955" s="35" t="inlineStr">
        <is>
          <t>4 — Не обогащён</t>
        </is>
      </c>
      <c r="U7955" s="35" t="inlineStr">
        <is>
          <t>Нет ОКВЭД/ССЧР</t>
        </is>
      </c>
      <c r="V7955" s="35" t="inlineStr">
        <is>
          <t>Не определено</t>
        </is>
      </c>
      <c r="W7955" s="35" t="inlineStr"/>
      <c r="X7955" s="35" t="inlineStr"/>
    </row>
    <row r="7956" ht="15" customHeight="1" s="24">
      <c r="A7956" s="13" t="n">
        <v>5000090276</v>
      </c>
      <c r="B7956" s="13" t="inlineStr">
        <is>
          <t>МДОУ ИРМО "Гороховский детский сад"</t>
        </is>
      </c>
      <c r="C7956" s="13" t="n">
        <v>3827014615</v>
      </c>
      <c r="D7956" s="13" t="inlineStr">
        <is>
          <t>3827014615</t>
        </is>
      </c>
      <c r="E7956" s="13" t="inlineStr">
        <is>
          <t>ЮЛ РФ</t>
        </is>
      </c>
      <c r="F7956" s="13" t="n"/>
      <c r="G7956" s="14" t="n"/>
      <c r="H7956" s="14" t="n"/>
      <c r="I7956" s="14" t="n"/>
      <c r="J7956" s="14" t="n"/>
      <c r="K7956" s="53" t="inlineStr"/>
      <c r="L7956" s="53" t="inlineStr">
        <is>
          <t>Не определено</t>
        </is>
      </c>
      <c r="M7956" s="53" t="inlineStr"/>
      <c r="N7956" s="54" t="inlineStr"/>
      <c r="O7956" s="55" t="inlineStr"/>
      <c r="P7956" s="16" t="inlineStr">
        <is>
          <t>Требует обогащения</t>
        </is>
      </c>
      <c r="Q7956" s="16">
        <f>HYPERLINK("https://pb.nalog.ru/search.html?query=3827014615","ФНС: проверить")</f>
        <v/>
      </c>
      <c r="R7956" s="16">
        <f>HYPERLINK("https://checko.ru/search?query=3801001629","Чекко: проверить")</f>
        <v/>
      </c>
      <c r="S7956" t="n">
        <v>1</v>
      </c>
      <c r="T7956" s="35" t="inlineStr">
        <is>
          <t>4 — Не обогащён</t>
        </is>
      </c>
      <c r="U7956" s="35" t="inlineStr">
        <is>
          <t>Нет ОКВЭД/ССЧР</t>
        </is>
      </c>
      <c r="V7956" s="35" t="inlineStr">
        <is>
          <t>Не определено</t>
        </is>
      </c>
      <c r="W7956" s="35" t="inlineStr"/>
      <c r="X7956" s="35" t="inlineStr"/>
    </row>
    <row r="7957" ht="15" customHeight="1" s="24">
      <c r="A7957" s="13" t="n">
        <v>5000090277</v>
      </c>
      <c r="B7957" s="13" t="inlineStr">
        <is>
          <t>МДОУ ИРМО "Горячеключевской детский сад"</t>
        </is>
      </c>
      <c r="C7957" s="13" t="n">
        <v>3827012209</v>
      </c>
      <c r="D7957" s="13" t="inlineStr">
        <is>
          <t>3827012209</t>
        </is>
      </c>
      <c r="E7957" s="13" t="inlineStr">
        <is>
          <t>ЮЛ РФ</t>
        </is>
      </c>
      <c r="F7957" s="13" t="n"/>
      <c r="G7957" s="14" t="n"/>
      <c r="H7957" s="14" t="n"/>
      <c r="I7957" s="14" t="n"/>
      <c r="J7957" s="14" t="n"/>
      <c r="K7957" s="53" t="inlineStr"/>
      <c r="L7957" s="53" t="inlineStr">
        <is>
          <t>Не определено</t>
        </is>
      </c>
      <c r="M7957" s="53" t="inlineStr"/>
      <c r="N7957" s="54" t="inlineStr"/>
      <c r="O7957" s="55" t="inlineStr"/>
      <c r="P7957" s="16" t="inlineStr">
        <is>
          <t>Требует обогащения</t>
        </is>
      </c>
      <c r="Q7957" s="16">
        <f>HYPERLINK("https://pb.nalog.ru/search.html?query=3827012209","ФНС: проверить")</f>
        <v/>
      </c>
      <c r="R7957" s="16">
        <f>HYPERLINK("https://checko.ru/search?query=3801001629","Чекко: проверить")</f>
        <v/>
      </c>
      <c r="S7957" t="n">
        <v>1</v>
      </c>
      <c r="T7957" s="35" t="inlineStr">
        <is>
          <t>4 — Не обогащён</t>
        </is>
      </c>
      <c r="U7957" s="35" t="inlineStr">
        <is>
          <t>Нет ОКВЭД/ССЧР</t>
        </is>
      </c>
      <c r="V7957" s="35" t="inlineStr">
        <is>
          <t>Не определено</t>
        </is>
      </c>
      <c r="W7957" s="35" t="inlineStr"/>
      <c r="X7957" s="35" t="inlineStr"/>
    </row>
    <row r="7958" ht="15" customHeight="1" s="24">
      <c r="A7958" s="13" t="n">
        <v>5000090278</v>
      </c>
      <c r="B7958" s="13" t="inlineStr">
        <is>
          <t>МДОУ ИРМО "Детский сад "Березовый"</t>
        </is>
      </c>
      <c r="C7958" s="13" t="n">
        <v>3827051494</v>
      </c>
      <c r="D7958" s="13" t="inlineStr">
        <is>
          <t>3827051494</t>
        </is>
      </c>
      <c r="E7958" s="13" t="inlineStr">
        <is>
          <t>ЮЛ РФ</t>
        </is>
      </c>
      <c r="F7958" s="13" t="n"/>
      <c r="G7958" s="14" t="n"/>
      <c r="H7958" s="14" t="n"/>
      <c r="I7958" s="14" t="n"/>
      <c r="J7958" s="14" t="n"/>
      <c r="K7958" s="53" t="inlineStr"/>
      <c r="L7958" s="53" t="inlineStr">
        <is>
          <t>Не определено</t>
        </is>
      </c>
      <c r="M7958" s="53" t="inlineStr"/>
      <c r="N7958" s="54" t="inlineStr"/>
      <c r="O7958" s="55" t="inlineStr"/>
      <c r="P7958" s="16" t="inlineStr">
        <is>
          <t>Требует обогащения</t>
        </is>
      </c>
      <c r="Q7958" s="16">
        <f>HYPERLINK("https://pb.nalog.ru/search.html?query=3827051494","ФНС: проверить")</f>
        <v/>
      </c>
      <c r="R7958" s="16">
        <f>HYPERLINK("https://checko.ru/search?query=3801001629","Чекко: проверить")</f>
        <v/>
      </c>
      <c r="S7958" t="n">
        <v>1</v>
      </c>
      <c r="T7958" s="35" t="inlineStr">
        <is>
          <t>4 — Не обогащён</t>
        </is>
      </c>
      <c r="U7958" s="35" t="inlineStr">
        <is>
          <t>Нет ОКВЭД/ССЧР</t>
        </is>
      </c>
      <c r="V7958" s="35" t="inlineStr">
        <is>
          <t>Не определено</t>
        </is>
      </c>
      <c r="W7958" s="35" t="inlineStr"/>
      <c r="X7958" s="35" t="inlineStr"/>
    </row>
    <row r="7959" ht="15" customHeight="1" s="24">
      <c r="A7959" s="13" t="n">
        <v>5000090282</v>
      </c>
      <c r="B7959" s="13" t="inlineStr">
        <is>
          <t>МДОУ ИРМО "Детский сад п. Молодежный"</t>
        </is>
      </c>
      <c r="C7959" s="13" t="n">
        <v>3811054620</v>
      </c>
      <c r="D7959" s="13" t="inlineStr">
        <is>
          <t>3811054620</t>
        </is>
      </c>
      <c r="E7959" s="13" t="inlineStr">
        <is>
          <t>ЮЛ РФ</t>
        </is>
      </c>
      <c r="F7959" s="13" t="n"/>
      <c r="G7959" s="14" t="n"/>
      <c r="H7959" s="14" t="n"/>
      <c r="I7959" s="14" t="n"/>
      <c r="J7959" s="14" t="n"/>
      <c r="K7959" s="53" t="inlineStr"/>
      <c r="L7959" s="53" t="inlineStr">
        <is>
          <t>Не определено</t>
        </is>
      </c>
      <c r="M7959" s="53" t="inlineStr"/>
      <c r="N7959" s="54" t="inlineStr"/>
      <c r="O7959" s="55" t="inlineStr"/>
      <c r="P7959" s="16" t="inlineStr">
        <is>
          <t>Требует обогащения</t>
        </is>
      </c>
      <c r="Q7959" s="16">
        <f>HYPERLINK("https://pb.nalog.ru/search.html?query=3811054620","ФНС: проверить")</f>
        <v/>
      </c>
      <c r="R7959" s="16">
        <f>HYPERLINK("https://checko.ru/search?query=3801001629","Чекко: проверить")</f>
        <v/>
      </c>
      <c r="S7959" t="n">
        <v>1</v>
      </c>
      <c r="T7959" s="35" t="inlineStr">
        <is>
          <t>4 — Не обогащён</t>
        </is>
      </c>
      <c r="U7959" s="35" t="inlineStr">
        <is>
          <t>Нет ОКВЭД/ССЧР</t>
        </is>
      </c>
      <c r="V7959" s="35" t="inlineStr">
        <is>
          <t>Не определено</t>
        </is>
      </c>
      <c r="W7959" s="35" t="inlineStr"/>
      <c r="X7959" s="35" t="inlineStr"/>
    </row>
    <row r="7960" ht="15" customHeight="1" s="24">
      <c r="A7960" s="13" t="n">
        <v>5000090290</v>
      </c>
      <c r="B7960" s="13" t="inlineStr">
        <is>
          <t>МДОУ ИРМО "Новолисихинский детский сад"</t>
        </is>
      </c>
      <c r="C7960" s="13" t="n">
        <v>3827063820</v>
      </c>
      <c r="D7960" s="13" t="inlineStr">
        <is>
          <t>3827063820</t>
        </is>
      </c>
      <c r="E7960" s="13" t="inlineStr">
        <is>
          <t>ЮЛ РФ</t>
        </is>
      </c>
      <c r="F7960" s="13" t="n"/>
      <c r="G7960" s="14" t="n"/>
      <c r="H7960" s="14" t="n"/>
      <c r="I7960" s="14" t="n"/>
      <c r="J7960" s="14" t="n"/>
      <c r="K7960" s="53" t="inlineStr"/>
      <c r="L7960" s="53" t="inlineStr">
        <is>
          <t>Не определено</t>
        </is>
      </c>
      <c r="M7960" s="53" t="inlineStr"/>
      <c r="N7960" s="54" t="inlineStr"/>
      <c r="O7960" s="55" t="inlineStr"/>
      <c r="P7960" s="16" t="inlineStr">
        <is>
          <t>Требует обогащения</t>
        </is>
      </c>
      <c r="Q7960" s="16">
        <f>HYPERLINK("https://pb.nalog.ru/search.html?query=3827063820","ФНС: проверить")</f>
        <v/>
      </c>
      <c r="R7960" s="16">
        <f>HYPERLINK("https://checko.ru/search?query=3801001629","Чекко: проверить")</f>
        <v/>
      </c>
      <c r="S7960" t="n">
        <v>1</v>
      </c>
      <c r="T7960" s="35" t="inlineStr">
        <is>
          <t>4 — Не обогащён</t>
        </is>
      </c>
      <c r="U7960" s="35" t="inlineStr">
        <is>
          <t>Нет ОКВЭД/ССЧР</t>
        </is>
      </c>
      <c r="V7960" s="35" t="inlineStr">
        <is>
          <t>Не определено</t>
        </is>
      </c>
      <c r="W7960" s="35" t="inlineStr"/>
      <c r="X7960" s="35" t="inlineStr"/>
    </row>
    <row r="7961" ht="15" customHeight="1" s="24">
      <c r="A7961" s="13" t="n">
        <v>5000090291</v>
      </c>
      <c r="B7961" s="13" t="inlineStr">
        <is>
          <t>МДОУ ИРМО "Оекский детский сад"</t>
        </is>
      </c>
      <c r="C7961" s="13" t="n">
        <v>3827014598</v>
      </c>
      <c r="D7961" s="13" t="inlineStr">
        <is>
          <t>3827014598</t>
        </is>
      </c>
      <c r="E7961" s="13" t="inlineStr">
        <is>
          <t>ЮЛ РФ</t>
        </is>
      </c>
      <c r="F7961" s="13" t="n"/>
      <c r="G7961" s="14" t="n"/>
      <c r="H7961" s="14" t="n"/>
      <c r="I7961" s="14" t="n"/>
      <c r="J7961" s="14" t="n"/>
      <c r="K7961" s="53" t="inlineStr"/>
      <c r="L7961" s="53" t="inlineStr">
        <is>
          <t>Не определено</t>
        </is>
      </c>
      <c r="M7961" s="53" t="inlineStr"/>
      <c r="N7961" s="54" t="inlineStr"/>
      <c r="O7961" s="55" t="inlineStr"/>
      <c r="P7961" s="16" t="inlineStr">
        <is>
          <t>Требует обогащения</t>
        </is>
      </c>
      <c r="Q7961" s="16">
        <f>HYPERLINK("https://pb.nalog.ru/search.html?query=3827014598","ФНС: проверить")</f>
        <v/>
      </c>
      <c r="R7961" s="16">
        <f>HYPERLINK("https://checko.ru/search?query=3801001629","Чекко: проверить")</f>
        <v/>
      </c>
      <c r="S7961" t="n">
        <v>1</v>
      </c>
      <c r="T7961" s="35" t="inlineStr">
        <is>
          <t>4 — Не обогащён</t>
        </is>
      </c>
      <c r="U7961" s="35" t="inlineStr">
        <is>
          <t>Нет ОКВЭД/ССЧР</t>
        </is>
      </c>
      <c r="V7961" s="35" t="inlineStr">
        <is>
          <t>Не определено</t>
        </is>
      </c>
      <c r="W7961" s="35" t="inlineStr"/>
      <c r="X7961" s="35" t="inlineStr"/>
    </row>
    <row r="7962" ht="15" customHeight="1" s="24">
      <c r="A7962" s="13" t="n">
        <v>5000090293</v>
      </c>
      <c r="B7962" s="13" t="inlineStr">
        <is>
          <t>МДОУ ИРМО "Плишкинский детский сад"</t>
        </is>
      </c>
      <c r="C7962" s="13" t="n">
        <v>3827027572</v>
      </c>
      <c r="D7962" s="13" t="inlineStr">
        <is>
          <t>3827027572</t>
        </is>
      </c>
      <c r="E7962" s="13" t="inlineStr">
        <is>
          <t>ЮЛ РФ</t>
        </is>
      </c>
      <c r="F7962" s="13" t="n"/>
      <c r="G7962" s="14" t="n"/>
      <c r="H7962" s="14" t="n"/>
      <c r="I7962" s="14" t="n"/>
      <c r="J7962" s="14" t="n"/>
      <c r="K7962" s="53" t="inlineStr"/>
      <c r="L7962" s="53" t="inlineStr">
        <is>
          <t>Не определено</t>
        </is>
      </c>
      <c r="M7962" s="53" t="inlineStr"/>
      <c r="N7962" s="54" t="inlineStr"/>
      <c r="O7962" s="55" t="inlineStr"/>
      <c r="P7962" s="16" t="inlineStr">
        <is>
          <t>Требует обогащения</t>
        </is>
      </c>
      <c r="Q7962" s="16">
        <f>HYPERLINK("https://pb.nalog.ru/search.html?query=3827027572","ФНС: проверить")</f>
        <v/>
      </c>
      <c r="R7962" s="16">
        <f>HYPERLINK("https://checko.ru/search?query=3801001629","Чекко: проверить")</f>
        <v/>
      </c>
      <c r="S7962" t="n">
        <v>1</v>
      </c>
      <c r="T7962" s="35" t="inlineStr">
        <is>
          <t>4 — Не обогащён</t>
        </is>
      </c>
      <c r="U7962" s="35" t="inlineStr">
        <is>
          <t>Нет ОКВЭД/ССЧР</t>
        </is>
      </c>
      <c r="V7962" s="35" t="inlineStr">
        <is>
          <t>Не определено</t>
        </is>
      </c>
      <c r="W7962" s="35" t="inlineStr"/>
      <c r="X7962" s="35" t="inlineStr"/>
    </row>
    <row r="7963" ht="15" customHeight="1" s="24">
      <c r="A7963" s="13" t="n">
        <v>5000090294</v>
      </c>
      <c r="B7963" s="13" t="inlineStr">
        <is>
          <t>МДОУ ИРМО "Ревякинский детский сад</t>
        </is>
      </c>
      <c r="C7963" s="13" t="n">
        <v>3827012216</v>
      </c>
      <c r="D7963" s="13" t="inlineStr">
        <is>
          <t>3827012216</t>
        </is>
      </c>
      <c r="E7963" s="13" t="inlineStr">
        <is>
          <t>ЮЛ РФ</t>
        </is>
      </c>
      <c r="F7963" s="13" t="n"/>
      <c r="G7963" s="14" t="n"/>
      <c r="H7963" s="14" t="n"/>
      <c r="I7963" s="14" t="n"/>
      <c r="J7963" s="14" t="n"/>
      <c r="K7963" s="53" t="inlineStr"/>
      <c r="L7963" s="53" t="inlineStr">
        <is>
          <t>Не определено</t>
        </is>
      </c>
      <c r="M7963" s="53" t="inlineStr"/>
      <c r="N7963" s="54" t="inlineStr"/>
      <c r="O7963" s="55" t="inlineStr"/>
      <c r="P7963" s="16" t="inlineStr">
        <is>
          <t>Требует обогащения</t>
        </is>
      </c>
      <c r="Q7963" s="16">
        <f>HYPERLINK("https://pb.nalog.ru/search.html?query=3827012216","ФНС: проверить")</f>
        <v/>
      </c>
      <c r="R7963" s="16">
        <f>HYPERLINK("https://checko.ru/search?query=3801001629","Чекко: проверить")</f>
        <v/>
      </c>
      <c r="S7963" t="n">
        <v>1</v>
      </c>
      <c r="T7963" s="35" t="inlineStr">
        <is>
          <t>4 — Не обогащён</t>
        </is>
      </c>
      <c r="U7963" s="35" t="inlineStr">
        <is>
          <t>Нет ОКВЭД/ССЧР</t>
        </is>
      </c>
      <c r="V7963" s="35" t="inlineStr">
        <is>
          <t>Не определено</t>
        </is>
      </c>
      <c r="W7963" s="35" t="inlineStr"/>
      <c r="X7963" s="35" t="inlineStr"/>
    </row>
    <row r="7964" ht="15" customHeight="1" s="24">
      <c r="A7964" s="13" t="n">
        <v>5000090295</v>
      </c>
      <c r="B7964" s="13" t="inlineStr">
        <is>
          <t>МДОУ ИРМО "Смоленский детский сад"</t>
        </is>
      </c>
      <c r="C7964" s="13" t="n">
        <v>3827012128</v>
      </c>
      <c r="D7964" s="13" t="inlineStr">
        <is>
          <t>3827012128</t>
        </is>
      </c>
      <c r="E7964" s="13" t="inlineStr">
        <is>
          <t>ЮЛ РФ</t>
        </is>
      </c>
      <c r="F7964" s="13" t="n"/>
      <c r="G7964" s="14" t="n"/>
      <c r="H7964" s="14" t="n"/>
      <c r="I7964" s="14" t="n"/>
      <c r="J7964" s="14" t="n"/>
      <c r="K7964" s="53" t="inlineStr"/>
      <c r="L7964" s="53" t="inlineStr">
        <is>
          <t>Не определено</t>
        </is>
      </c>
      <c r="M7964" s="53" t="inlineStr"/>
      <c r="N7964" s="54" t="inlineStr"/>
      <c r="O7964" s="55" t="inlineStr"/>
      <c r="P7964" s="16" t="inlineStr">
        <is>
          <t>Требует обогащения</t>
        </is>
      </c>
      <c r="Q7964" s="16">
        <f>HYPERLINK("https://pb.nalog.ru/search.html?query=3827012128","ФНС: проверить")</f>
        <v/>
      </c>
      <c r="R7964" s="16">
        <f>HYPERLINK("https://checko.ru/search?query=3801001629","Чекко: проверить")</f>
        <v/>
      </c>
      <c r="S7964" t="n">
        <v>1</v>
      </c>
      <c r="T7964" s="35" t="inlineStr">
        <is>
          <t>4 — Не обогащён</t>
        </is>
      </c>
      <c r="U7964" s="35" t="inlineStr">
        <is>
          <t>Нет ОКВЭД/ССЧР</t>
        </is>
      </c>
      <c r="V7964" s="35" t="inlineStr">
        <is>
          <t>Не определено</t>
        </is>
      </c>
      <c r="W7964" s="35" t="inlineStr"/>
      <c r="X7964" s="35" t="inlineStr"/>
    </row>
    <row r="7965" ht="27.75" customHeight="1" s="24">
      <c r="A7965" s="13" t="n">
        <v>5000090283</v>
      </c>
      <c r="B7965" s="13" t="inlineStr">
        <is>
          <t>МДОУ ИРМО "Карлукский детский сад общеразвивающего вида № 2"</t>
        </is>
      </c>
      <c r="C7965" s="13" t="n">
        <v>3827048011</v>
      </c>
      <c r="D7965" s="13" t="inlineStr">
        <is>
          <t>3827048011</t>
        </is>
      </c>
      <c r="E7965" s="13" t="inlineStr">
        <is>
          <t>ЮЛ РФ</t>
        </is>
      </c>
      <c r="F7965" s="13" t="n"/>
      <c r="G7965" s="14" t="n"/>
      <c r="H7965" s="14" t="n"/>
      <c r="I7965" s="14" t="n"/>
      <c r="J7965" s="14" t="n"/>
      <c r="K7965" s="53" t="inlineStr"/>
      <c r="L7965" s="53" t="inlineStr">
        <is>
          <t>Не определено</t>
        </is>
      </c>
      <c r="M7965" s="53" t="inlineStr"/>
      <c r="N7965" s="54" t="inlineStr"/>
      <c r="O7965" s="55" t="inlineStr"/>
      <c r="P7965" s="16" t="inlineStr">
        <is>
          <t>Требует обогащения</t>
        </is>
      </c>
      <c r="Q7965" s="16">
        <f>HYPERLINK("https://pb.nalog.ru/search.html?query=3827048011","ФНС: проверить")</f>
        <v/>
      </c>
      <c r="R7965" s="16">
        <f>HYPERLINK("https://checko.ru/search?query=3801001629","Чекко: проверить")</f>
        <v/>
      </c>
      <c r="S7965" t="n">
        <v>1</v>
      </c>
      <c r="T7965" s="35" t="inlineStr">
        <is>
          <t>4 — Не обогащён</t>
        </is>
      </c>
      <c r="U7965" s="35" t="inlineStr">
        <is>
          <t>Нет ОКВЭД/ССЧР</t>
        </is>
      </c>
      <c r="V7965" s="35" t="inlineStr">
        <is>
          <t>Не определено</t>
        </is>
      </c>
      <c r="W7965" s="35" t="inlineStr"/>
      <c r="X7965" s="35" t="inlineStr"/>
    </row>
    <row r="7966" ht="15" customHeight="1" s="24">
      <c r="A7966" s="13" t="n">
        <v>5000090296</v>
      </c>
      <c r="B7966" s="13" t="inlineStr">
        <is>
          <t>МДОУ ИРМО "Усть-Кудинский детский сад"</t>
        </is>
      </c>
      <c r="C7966" s="13" t="n">
        <v>3827012230</v>
      </c>
      <c r="D7966" s="13" t="inlineStr">
        <is>
          <t>3827012230</t>
        </is>
      </c>
      <c r="E7966" s="13" t="inlineStr">
        <is>
          <t>ЮЛ РФ</t>
        </is>
      </c>
      <c r="F7966" s="13" t="n"/>
      <c r="G7966" s="14" t="n"/>
      <c r="H7966" s="14" t="n"/>
      <c r="I7966" s="14" t="n"/>
      <c r="J7966" s="14" t="n"/>
      <c r="K7966" s="53" t="inlineStr"/>
      <c r="L7966" s="53" t="inlineStr">
        <is>
          <t>Не определено</t>
        </is>
      </c>
      <c r="M7966" s="53" t="inlineStr"/>
      <c r="N7966" s="54" t="inlineStr"/>
      <c r="O7966" s="55" t="inlineStr"/>
      <c r="P7966" s="16" t="inlineStr">
        <is>
          <t>Требует обогащения</t>
        </is>
      </c>
      <c r="Q7966" s="16">
        <f>HYPERLINK("https://pb.nalog.ru/search.html?query=3827012230","ФНС: проверить")</f>
        <v/>
      </c>
      <c r="R7966" s="16">
        <f>HYPERLINK("https://checko.ru/search?query=3801001629","Чекко: проверить")</f>
        <v/>
      </c>
      <c r="S7966" t="n">
        <v>1</v>
      </c>
      <c r="T7966" s="35" t="inlineStr">
        <is>
          <t>4 — Не обогащён</t>
        </is>
      </c>
      <c r="U7966" s="35" t="inlineStr">
        <is>
          <t>Нет ОКВЭД/ССЧР</t>
        </is>
      </c>
      <c r="V7966" s="35" t="inlineStr">
        <is>
          <t>Не определено</t>
        </is>
      </c>
      <c r="W7966" s="35" t="inlineStr"/>
      <c r="X7966" s="35" t="inlineStr"/>
    </row>
    <row r="7967" ht="15" customHeight="1" s="24">
      <c r="A7967" s="13" t="n">
        <v>5000090297</v>
      </c>
      <c r="B7967" s="13" t="inlineStr">
        <is>
          <t>МДОУ ИРМО "Хомутовский детский сад № 1"</t>
        </is>
      </c>
      <c r="C7967" s="13" t="n">
        <v>3827012199</v>
      </c>
      <c r="D7967" s="13" t="inlineStr">
        <is>
          <t>3827012199</t>
        </is>
      </c>
      <c r="E7967" s="13" t="inlineStr">
        <is>
          <t>ЮЛ РФ</t>
        </is>
      </c>
      <c r="F7967" s="13" t="n"/>
      <c r="G7967" s="14" t="n"/>
      <c r="H7967" s="14" t="n"/>
      <c r="I7967" s="14" t="n"/>
      <c r="J7967" s="14" t="n"/>
      <c r="K7967" s="53" t="inlineStr"/>
      <c r="L7967" s="53" t="inlineStr">
        <is>
          <t>Не определено</t>
        </is>
      </c>
      <c r="M7967" s="53" t="inlineStr"/>
      <c r="N7967" s="54" t="inlineStr"/>
      <c r="O7967" s="55" t="inlineStr"/>
      <c r="P7967" s="16" t="inlineStr">
        <is>
          <t>Требует обогащения</t>
        </is>
      </c>
      <c r="Q7967" s="16">
        <f>HYPERLINK("https://pb.nalog.ru/search.html?query=3827012199","ФНС: проверить")</f>
        <v/>
      </c>
      <c r="R7967" s="16">
        <f>HYPERLINK("https://checko.ru/search?query=3801001629","Чекко: проверить")</f>
        <v/>
      </c>
      <c r="S7967" t="n">
        <v>1</v>
      </c>
      <c r="T7967" s="35" t="inlineStr">
        <is>
          <t>4 — Не обогащён</t>
        </is>
      </c>
      <c r="U7967" s="35" t="inlineStr">
        <is>
          <t>Нет ОКВЭД/ССЧР</t>
        </is>
      </c>
      <c r="V7967" s="35" t="inlineStr">
        <is>
          <t>Не определено</t>
        </is>
      </c>
      <c r="W7967" s="35" t="inlineStr"/>
      <c r="X7967" s="35" t="inlineStr"/>
    </row>
    <row r="7968" ht="15" customHeight="1" s="24">
      <c r="A7968" s="13" t="n">
        <v>5000090298</v>
      </c>
      <c r="B7968" s="13" t="inlineStr">
        <is>
          <t>МДОУ ИРМО "Хомутовский детский сад № 2"</t>
        </is>
      </c>
      <c r="C7968" s="13" t="n">
        <v>3827012294</v>
      </c>
      <c r="D7968" s="13" t="inlineStr">
        <is>
          <t>3827012294</t>
        </is>
      </c>
      <c r="E7968" s="13" t="inlineStr">
        <is>
          <t>ЮЛ РФ</t>
        </is>
      </c>
      <c r="F7968" s="13" t="n"/>
      <c r="G7968" s="14" t="n"/>
      <c r="H7968" s="14" t="n"/>
      <c r="I7968" s="14" t="n"/>
      <c r="J7968" s="14" t="n"/>
      <c r="K7968" s="53" t="inlineStr"/>
      <c r="L7968" s="53" t="inlineStr">
        <is>
          <t>Не определено</t>
        </is>
      </c>
      <c r="M7968" s="53" t="inlineStr"/>
      <c r="N7968" s="54" t="inlineStr"/>
      <c r="O7968" s="55" t="inlineStr"/>
      <c r="P7968" s="16" t="inlineStr">
        <is>
          <t>Требует обогащения</t>
        </is>
      </c>
      <c r="Q7968" s="16">
        <f>HYPERLINK("https://pb.nalog.ru/search.html?query=3827012294","ФНС: проверить")</f>
        <v/>
      </c>
      <c r="R7968" s="16">
        <f>HYPERLINK("https://checko.ru/search?query=3801001629","Чекко: проверить")</f>
        <v/>
      </c>
      <c r="S7968" t="n">
        <v>1</v>
      </c>
      <c r="T7968" s="35" t="inlineStr">
        <is>
          <t>4 — Не обогащён</t>
        </is>
      </c>
      <c r="U7968" s="35" t="inlineStr">
        <is>
          <t>Нет ОКВЭД/ССЧР</t>
        </is>
      </c>
      <c r="V7968" s="35" t="inlineStr">
        <is>
          <t>Не определено</t>
        </is>
      </c>
      <c r="W7968" s="35" t="inlineStr"/>
      <c r="X7968" s="35" t="inlineStr"/>
    </row>
    <row r="7969" ht="15" customHeight="1" s="24">
      <c r="A7969" s="13" t="n">
        <v>5000090299</v>
      </c>
      <c r="B7969" s="13" t="inlineStr">
        <is>
          <t>МДОУ ИРМО "Хомутовский детский сад № 4"</t>
        </is>
      </c>
      <c r="C7969" s="13" t="n">
        <v>3827051631</v>
      </c>
      <c r="D7969" s="13" t="inlineStr">
        <is>
          <t>3827051631</t>
        </is>
      </c>
      <c r="E7969" s="13" t="inlineStr">
        <is>
          <t>ЮЛ РФ</t>
        </is>
      </c>
      <c r="F7969" s="13" t="n"/>
      <c r="G7969" s="14" t="n"/>
      <c r="H7969" s="14" t="n"/>
      <c r="I7969" s="14" t="n"/>
      <c r="J7969" s="14" t="n"/>
      <c r="K7969" s="53" t="inlineStr"/>
      <c r="L7969" s="53" t="inlineStr">
        <is>
          <t>Не определено</t>
        </is>
      </c>
      <c r="M7969" s="53" t="inlineStr"/>
      <c r="N7969" s="54" t="inlineStr"/>
      <c r="O7969" s="55" t="inlineStr"/>
      <c r="P7969" s="16" t="inlineStr">
        <is>
          <t>Требует обогащения</t>
        </is>
      </c>
      <c r="Q7969" s="16">
        <f>HYPERLINK("https://pb.nalog.ru/search.html?query=3827051631","ФНС: проверить")</f>
        <v/>
      </c>
      <c r="R7969" s="16">
        <f>HYPERLINK("https://checko.ru/search?query=3801001629","Чекко: проверить")</f>
        <v/>
      </c>
      <c r="S7969" t="n">
        <v>1</v>
      </c>
      <c r="T7969" s="35" t="inlineStr">
        <is>
          <t>4 — Не обогащён</t>
        </is>
      </c>
      <c r="U7969" s="35" t="inlineStr">
        <is>
          <t>Нет ОКВЭД/ССЧР</t>
        </is>
      </c>
      <c r="V7969" s="35" t="inlineStr">
        <is>
          <t>Не определено</t>
        </is>
      </c>
      <c r="W7969" s="35" t="inlineStr"/>
      <c r="X7969" s="35" t="inlineStr"/>
    </row>
    <row r="7970" ht="27.75" customHeight="1" s="24">
      <c r="A7970" s="13" t="n">
        <v>5000090284</v>
      </c>
      <c r="B7970" s="13" t="inlineStr">
        <is>
          <t>МДОУ ИРМО "Листвянский детский сад №3 общеразвивающего вида"</t>
        </is>
      </c>
      <c r="C7970" s="13" t="n">
        <v>3827012135</v>
      </c>
      <c r="D7970" s="13" t="inlineStr">
        <is>
          <t>3827012135</t>
        </is>
      </c>
      <c r="E7970" s="13" t="inlineStr">
        <is>
          <t>ЮЛ РФ</t>
        </is>
      </c>
      <c r="F7970" s="13" t="n"/>
      <c r="G7970" s="14" t="n"/>
      <c r="H7970" s="14" t="n"/>
      <c r="I7970" s="14" t="n"/>
      <c r="J7970" s="14" t="n"/>
      <c r="K7970" s="53" t="inlineStr"/>
      <c r="L7970" s="53" t="inlineStr">
        <is>
          <t>Не определено</t>
        </is>
      </c>
      <c r="M7970" s="53" t="inlineStr"/>
      <c r="N7970" s="54" t="inlineStr"/>
      <c r="O7970" s="55" t="inlineStr"/>
      <c r="P7970" s="16" t="inlineStr">
        <is>
          <t>Требует обогащения</t>
        </is>
      </c>
      <c r="Q7970" s="16">
        <f>HYPERLINK("https://pb.nalog.ru/search.html?query=3827012135","ФНС: проверить")</f>
        <v/>
      </c>
      <c r="R7970" s="16">
        <f>HYPERLINK("https://checko.ru/search?query=3801001629","Чекко: проверить")</f>
        <v/>
      </c>
      <c r="S7970" t="n">
        <v>1</v>
      </c>
      <c r="T7970" s="35" t="inlineStr">
        <is>
          <t>4 — Не обогащён</t>
        </is>
      </c>
      <c r="U7970" s="35" t="inlineStr">
        <is>
          <t>Нет ОКВЭД/ССЧР</t>
        </is>
      </c>
      <c r="V7970" s="35" t="inlineStr">
        <is>
          <t>Не определено</t>
        </is>
      </c>
      <c r="W7970" s="35" t="inlineStr"/>
      <c r="X7970" s="35" t="inlineStr"/>
    </row>
    <row r="7971" ht="27.75" customHeight="1" s="24">
      <c r="A7971" s="13" t="n">
        <v>5000090300</v>
      </c>
      <c r="B7971" s="13" t="inlineStr">
        <is>
          <t>МДОУ ИРМО "Хомутовский детский сад общеразвивающего вида № 3"</t>
        </is>
      </c>
      <c r="C7971" s="13" t="n">
        <v>3827049463</v>
      </c>
      <c r="D7971" s="13" t="inlineStr">
        <is>
          <t>3827049463</t>
        </is>
      </c>
      <c r="E7971" s="13" t="inlineStr">
        <is>
          <t>ЮЛ РФ</t>
        </is>
      </c>
      <c r="F7971" s="13" t="n"/>
      <c r="G7971" s="14" t="n"/>
      <c r="H7971" s="14" t="n"/>
      <c r="I7971" s="14" t="n"/>
      <c r="J7971" s="14" t="n"/>
      <c r="K7971" s="53" t="inlineStr"/>
      <c r="L7971" s="53" t="inlineStr">
        <is>
          <t>Не определено</t>
        </is>
      </c>
      <c r="M7971" s="53" t="inlineStr"/>
      <c r="N7971" s="54" t="inlineStr"/>
      <c r="O7971" s="55" t="inlineStr"/>
      <c r="P7971" s="16" t="inlineStr">
        <is>
          <t>Требует обогащения</t>
        </is>
      </c>
      <c r="Q7971" s="16">
        <f>HYPERLINK("https://pb.nalog.ru/search.html?query=3827049463","ФНС: проверить")</f>
        <v/>
      </c>
      <c r="R7971" s="16">
        <f>HYPERLINK("https://checko.ru/search?query=3801001629","Чекко: проверить")</f>
        <v/>
      </c>
      <c r="S7971" t="n">
        <v>1</v>
      </c>
      <c r="T7971" s="35" t="inlineStr">
        <is>
          <t>4 — Не обогащён</t>
        </is>
      </c>
      <c r="U7971" s="35" t="inlineStr">
        <is>
          <t>Нет ОКВЭД/ССЧР</t>
        </is>
      </c>
      <c r="V7971" s="35" t="inlineStr">
        <is>
          <t>Не определено</t>
        </is>
      </c>
      <c r="W7971" s="35" t="inlineStr"/>
      <c r="X7971" s="35" t="inlineStr"/>
    </row>
    <row r="7972" ht="15" customHeight="1" s="24">
      <c r="A7972" s="13" t="n">
        <v>5000090285</v>
      </c>
      <c r="B7972" s="13" t="inlineStr">
        <is>
          <t>МДОУ ИРМО "Листвянский детский сад"</t>
        </is>
      </c>
      <c r="C7972" s="13" t="n">
        <v>3827043687</v>
      </c>
      <c r="D7972" s="13" t="inlineStr">
        <is>
          <t>3827043687</t>
        </is>
      </c>
      <c r="E7972" s="13" t="inlineStr">
        <is>
          <t>ЮЛ РФ</t>
        </is>
      </c>
      <c r="F7972" s="13" t="n"/>
      <c r="G7972" s="14" t="n"/>
      <c r="H7972" s="14" t="n"/>
      <c r="I7972" s="14" t="n"/>
      <c r="J7972" s="14" t="n"/>
      <c r="K7972" s="53" t="inlineStr"/>
      <c r="L7972" s="53" t="inlineStr">
        <is>
          <t>Не определено</t>
        </is>
      </c>
      <c r="M7972" s="53" t="inlineStr"/>
      <c r="N7972" s="54" t="inlineStr"/>
      <c r="O7972" s="55" t="inlineStr"/>
      <c r="P7972" s="16" t="inlineStr">
        <is>
          <t>Требует обогащения</t>
        </is>
      </c>
      <c r="Q7972" s="16">
        <f>HYPERLINK("https://pb.nalog.ru/search.html?query=3827043687","ФНС: проверить")</f>
        <v/>
      </c>
      <c r="R7972" s="16">
        <f>HYPERLINK("https://checko.ru/search?query=3801001629","Чекко: проверить")</f>
        <v/>
      </c>
      <c r="S7972" t="n">
        <v>1</v>
      </c>
      <c r="T7972" s="35" t="inlineStr">
        <is>
          <t>4 — Не обогащён</t>
        </is>
      </c>
      <c r="U7972" s="35" t="inlineStr">
        <is>
          <t>Нет ОКВЭД/ССЧР</t>
        </is>
      </c>
      <c r="V7972" s="35" t="inlineStr">
        <is>
          <t>Не определено</t>
        </is>
      </c>
      <c r="W7972" s="35" t="inlineStr"/>
      <c r="X7972" s="35" t="inlineStr"/>
    </row>
    <row r="7973" ht="15" customHeight="1" s="24">
      <c r="A7973" s="13" t="n">
        <v>5000090286</v>
      </c>
      <c r="B7973" s="13" t="inlineStr">
        <is>
          <t>МДОУ ИРМО "Максимовский детский сад"</t>
        </is>
      </c>
      <c r="C7973" s="13" t="n">
        <v>3827012248</v>
      </c>
      <c r="D7973" s="13" t="inlineStr">
        <is>
          <t>3827012248</t>
        </is>
      </c>
      <c r="E7973" s="13" t="inlineStr">
        <is>
          <t>ЮЛ РФ</t>
        </is>
      </c>
      <c r="F7973" s="13" t="n"/>
      <c r="G7973" s="14" t="n"/>
      <c r="H7973" s="14" t="n"/>
      <c r="I7973" s="14" t="n"/>
      <c r="J7973" s="14" t="n"/>
      <c r="K7973" s="53" t="inlineStr"/>
      <c r="L7973" s="53" t="inlineStr">
        <is>
          <t>Не определено</t>
        </is>
      </c>
      <c r="M7973" s="53" t="inlineStr"/>
      <c r="N7973" s="54" t="inlineStr"/>
      <c r="O7973" s="55" t="inlineStr"/>
      <c r="P7973" s="16" t="inlineStr">
        <is>
          <t>Требует обогащения</t>
        </is>
      </c>
      <c r="Q7973" s="16">
        <f>HYPERLINK("https://pb.nalog.ru/search.html?query=3827012248","ФНС: проверить")</f>
        <v/>
      </c>
      <c r="R7973" s="16">
        <f>HYPERLINK("https://checko.ru/search?query=3801001629","Чекко: проверить")</f>
        <v/>
      </c>
      <c r="S7973" t="n">
        <v>1</v>
      </c>
      <c r="T7973" s="35" t="inlineStr">
        <is>
          <t>4 — Не обогащён</t>
        </is>
      </c>
      <c r="U7973" s="35" t="inlineStr">
        <is>
          <t>Нет ОКВЭД/ССЧР</t>
        </is>
      </c>
      <c r="V7973" s="35" t="inlineStr">
        <is>
          <t>Не определено</t>
        </is>
      </c>
      <c r="W7973" s="35" t="inlineStr"/>
      <c r="X7973" s="35" t="inlineStr"/>
    </row>
    <row r="7974" ht="15" customHeight="1" s="24">
      <c r="A7974" s="13" t="n">
        <v>5000090303</v>
      </c>
      <c r="B7974" s="13" t="inlineStr">
        <is>
          <t>МКУ ИРМО "РМЦ"</t>
        </is>
      </c>
      <c r="C7974" s="13" t="n">
        <v>3827038888</v>
      </c>
      <c r="D7974" s="13" t="inlineStr">
        <is>
          <t>3827038888</t>
        </is>
      </c>
      <c r="E7974" s="13" t="inlineStr">
        <is>
          <t>ЮЛ РФ</t>
        </is>
      </c>
      <c r="F7974" s="13" t="n"/>
      <c r="G7974" s="14" t="n"/>
      <c r="H7974" s="14" t="n"/>
      <c r="I7974" s="14" t="n"/>
      <c r="J7974" s="14" t="n"/>
      <c r="K7974" s="53" t="inlineStr"/>
      <c r="L7974" s="53" t="inlineStr">
        <is>
          <t>Не определено</t>
        </is>
      </c>
      <c r="M7974" s="53" t="inlineStr"/>
      <c r="N7974" s="54" t="inlineStr"/>
      <c r="O7974" s="55" t="inlineStr"/>
      <c r="P7974" s="16" t="inlineStr">
        <is>
          <t>Требует обогащения</t>
        </is>
      </c>
      <c r="Q7974" s="16">
        <f>HYPERLINK("https://pb.nalog.ru/search.html?query=3827038888","ФНС: проверить")</f>
        <v/>
      </c>
      <c r="R7974" s="16">
        <f>HYPERLINK("https://checko.ru/search?query=3801001629","Чекко: проверить")</f>
        <v/>
      </c>
      <c r="S7974" t="n">
        <v>1</v>
      </c>
      <c r="T7974" s="35" t="inlineStr">
        <is>
          <t>4 — Не обогащён</t>
        </is>
      </c>
      <c r="U7974" s="35" t="inlineStr">
        <is>
          <t>Нет ОКВЭД/ССЧР</t>
        </is>
      </c>
      <c r="V7974" s="35" t="inlineStr">
        <is>
          <t>Не определено</t>
        </is>
      </c>
      <c r="W7974" s="35" t="inlineStr"/>
      <c r="X7974" s="35" t="inlineStr"/>
    </row>
    <row r="7975" ht="15" customHeight="1" s="24">
      <c r="A7975" s="13" t="n">
        <v>5000090304</v>
      </c>
      <c r="B7975" s="13" t="inlineStr">
        <is>
          <t>МОУ ИРМО "Баруйская НОШ"</t>
        </is>
      </c>
      <c r="C7975" s="13" t="n">
        <v>3827012390</v>
      </c>
      <c r="D7975" s="13" t="inlineStr">
        <is>
          <t>3827012390</t>
        </is>
      </c>
      <c r="E7975" s="13" t="inlineStr">
        <is>
          <t>ЮЛ РФ</t>
        </is>
      </c>
      <c r="F7975" s="13" t="n"/>
      <c r="G7975" s="14" t="n"/>
      <c r="H7975" s="14" t="n"/>
      <c r="I7975" s="14" t="n"/>
      <c r="J7975" s="14" t="n"/>
      <c r="K7975" s="53" t="inlineStr"/>
      <c r="L7975" s="53" t="inlineStr">
        <is>
          <t>Не определено</t>
        </is>
      </c>
      <c r="M7975" s="53" t="inlineStr"/>
      <c r="N7975" s="54" t="inlineStr"/>
      <c r="O7975" s="55" t="inlineStr"/>
      <c r="P7975" s="16" t="inlineStr">
        <is>
          <t>Требует обогащения</t>
        </is>
      </c>
      <c r="Q7975" s="16">
        <f>HYPERLINK("https://pb.nalog.ru/search.html?query=3827012390","ФНС: проверить")</f>
        <v/>
      </c>
      <c r="R7975" s="16">
        <f>HYPERLINK("https://checko.ru/search?query=3801001629","Чекко: проверить")</f>
        <v/>
      </c>
      <c r="S7975" t="n">
        <v>1</v>
      </c>
      <c r="T7975" s="35" t="inlineStr">
        <is>
          <t>4 — Не обогащён</t>
        </is>
      </c>
      <c r="U7975" s="35" t="inlineStr">
        <is>
          <t>Нет ОКВЭД/ССЧР</t>
        </is>
      </c>
      <c r="V7975" s="35" t="inlineStr">
        <is>
          <t>Не определено</t>
        </is>
      </c>
      <c r="W7975" s="35" t="inlineStr"/>
      <c r="X7975" s="35" t="inlineStr"/>
    </row>
    <row r="7976" ht="15" customHeight="1" s="24">
      <c r="A7976" s="13" t="n">
        <v>5000090305</v>
      </c>
      <c r="B7976" s="13" t="inlineStr">
        <is>
          <t>МОУ ИРМО "Большеголоустненская ООШ"</t>
        </is>
      </c>
      <c r="C7976" s="13" t="n">
        <v>3827012030</v>
      </c>
      <c r="D7976" s="13" t="inlineStr">
        <is>
          <t>3827012030</t>
        </is>
      </c>
      <c r="E7976" s="13" t="inlineStr">
        <is>
          <t>ЮЛ РФ</t>
        </is>
      </c>
      <c r="F7976" s="13" t="n"/>
      <c r="G7976" s="14" t="n"/>
      <c r="H7976" s="14" t="n"/>
      <c r="I7976" s="14" t="n"/>
      <c r="J7976" s="14" t="n"/>
      <c r="K7976" s="53" t="inlineStr"/>
      <c r="L7976" s="53" t="inlineStr">
        <is>
          <t>Не определено</t>
        </is>
      </c>
      <c r="M7976" s="53" t="inlineStr"/>
      <c r="N7976" s="54" t="inlineStr"/>
      <c r="O7976" s="55" t="inlineStr"/>
      <c r="P7976" s="16" t="inlineStr">
        <is>
          <t>Требует обогащения</t>
        </is>
      </c>
      <c r="Q7976" s="16">
        <f>HYPERLINK("https://pb.nalog.ru/search.html?query=3827012030","ФНС: проверить")</f>
        <v/>
      </c>
      <c r="R7976" s="16">
        <f>HYPERLINK("https://checko.ru/search?query=3801001629","Чекко: проверить")</f>
        <v/>
      </c>
      <c r="S7976" t="n">
        <v>1</v>
      </c>
      <c r="T7976" s="35" t="inlineStr">
        <is>
          <t>4 — Не обогащён</t>
        </is>
      </c>
      <c r="U7976" s="35" t="inlineStr">
        <is>
          <t>Нет ОКВЭД/ССЧР</t>
        </is>
      </c>
      <c r="V7976" s="35" t="inlineStr">
        <is>
          <t>Не определено</t>
        </is>
      </c>
      <c r="W7976" s="35" t="inlineStr"/>
      <c r="X7976" s="35" t="inlineStr"/>
    </row>
    <row r="7977" ht="15" customHeight="1" s="24">
      <c r="A7977" s="13" t="n">
        <v>5000090328</v>
      </c>
      <c r="B7977" s="13" t="inlineStr">
        <is>
          <t>МОУ ИРМО "Марковская СОШ"</t>
        </is>
      </c>
      <c r="C7977" s="13" t="n">
        <v>3827011942</v>
      </c>
      <c r="D7977" s="13" t="inlineStr">
        <is>
          <t>3827011942</t>
        </is>
      </c>
      <c r="E7977" s="13" t="inlineStr">
        <is>
          <t>ЮЛ РФ</t>
        </is>
      </c>
      <c r="F7977" s="13" t="n"/>
      <c r="G7977" s="14" t="n"/>
      <c r="H7977" s="14" t="n"/>
      <c r="I7977" s="14" t="n"/>
      <c r="J7977" s="14" t="n"/>
      <c r="K7977" s="53" t="inlineStr"/>
      <c r="L7977" s="53" t="inlineStr">
        <is>
          <t>Не определено</t>
        </is>
      </c>
      <c r="M7977" s="53" t="inlineStr"/>
      <c r="N7977" s="54" t="inlineStr"/>
      <c r="O7977" s="55" t="inlineStr"/>
      <c r="P7977" s="16" t="inlineStr">
        <is>
          <t>Требует обогащения</t>
        </is>
      </c>
      <c r="Q7977" s="16">
        <f>HYPERLINK("https://pb.nalog.ru/search.html?query=3827011942","ФНС: проверить")</f>
        <v/>
      </c>
      <c r="R7977" s="16">
        <f>HYPERLINK("https://checko.ru/search?query=3801001629","Чекко: проверить")</f>
        <v/>
      </c>
      <c r="S7977" t="n">
        <v>1</v>
      </c>
      <c r="T7977" s="35" t="inlineStr">
        <is>
          <t>4 — Не обогащён</t>
        </is>
      </c>
      <c r="U7977" s="35" t="inlineStr">
        <is>
          <t>Нет ОКВЭД/ССЧР</t>
        </is>
      </c>
      <c r="V7977" s="35" t="inlineStr">
        <is>
          <t>Не определено</t>
        </is>
      </c>
      <c r="W7977" s="35" t="inlineStr"/>
      <c r="X7977" s="35" t="inlineStr"/>
    </row>
    <row r="7978" ht="15" customHeight="1" s="24">
      <c r="A7978" s="13" t="n">
        <v>5000090329</v>
      </c>
      <c r="B7978" s="13" t="inlineStr">
        <is>
          <t>МОУ ИРМО "Никольская СОШ"</t>
        </is>
      </c>
      <c r="C7978" s="13" t="n">
        <v>3827011822</v>
      </c>
      <c r="D7978" s="13" t="inlineStr">
        <is>
          <t>3827011822</t>
        </is>
      </c>
      <c r="E7978" s="13" t="inlineStr">
        <is>
          <t>ЮЛ РФ</t>
        </is>
      </c>
      <c r="F7978" s="13" t="n"/>
      <c r="G7978" s="14" t="n"/>
      <c r="H7978" s="14" t="n"/>
      <c r="I7978" s="14" t="n"/>
      <c r="J7978" s="14" t="n"/>
      <c r="K7978" s="53" t="inlineStr"/>
      <c r="L7978" s="53" t="inlineStr">
        <is>
          <t>Не определено</t>
        </is>
      </c>
      <c r="M7978" s="53" t="inlineStr"/>
      <c r="N7978" s="54" t="inlineStr"/>
      <c r="O7978" s="55" t="inlineStr"/>
      <c r="P7978" s="16" t="inlineStr">
        <is>
          <t>Требует обогащения</t>
        </is>
      </c>
      <c r="Q7978" s="16">
        <f>HYPERLINK("https://pb.nalog.ru/search.html?query=3827011822","ФНС: проверить")</f>
        <v/>
      </c>
      <c r="R7978" s="16">
        <f>HYPERLINK("https://checko.ru/search?query=3801001629","Чекко: проверить")</f>
        <v/>
      </c>
      <c r="S7978" t="n">
        <v>1</v>
      </c>
      <c r="T7978" s="35" t="inlineStr">
        <is>
          <t>4 — Не обогащён</t>
        </is>
      </c>
      <c r="U7978" s="35" t="inlineStr">
        <is>
          <t>Нет ОКВЭД/ССЧР</t>
        </is>
      </c>
      <c r="V7978" s="35" t="inlineStr">
        <is>
          <t>Не определено</t>
        </is>
      </c>
      <c r="W7978" s="35" t="inlineStr"/>
      <c r="X7978" s="35" t="inlineStr"/>
    </row>
    <row r="7979" ht="15" customHeight="1" s="24">
      <c r="A7979" s="13" t="n">
        <v>5000090330</v>
      </c>
      <c r="B7979" s="13" t="inlineStr">
        <is>
          <t>МОУ ИРМО "Пивоваровская СОШ"</t>
        </is>
      </c>
      <c r="C7979" s="13" t="n">
        <v>3827011854</v>
      </c>
      <c r="D7979" s="13" t="inlineStr">
        <is>
          <t>3827011854</t>
        </is>
      </c>
      <c r="E7979" s="13" t="inlineStr">
        <is>
          <t>ЮЛ РФ</t>
        </is>
      </c>
      <c r="F7979" s="13" t="n"/>
      <c r="G7979" s="14" t="n"/>
      <c r="H7979" s="14" t="n"/>
      <c r="I7979" s="14" t="n"/>
      <c r="J7979" s="14" t="n"/>
      <c r="K7979" s="53" t="inlineStr"/>
      <c r="L7979" s="53" t="inlineStr">
        <is>
          <t>Не определено</t>
        </is>
      </c>
      <c r="M7979" s="53" t="inlineStr"/>
      <c r="N7979" s="54" t="inlineStr"/>
      <c r="O7979" s="55" t="inlineStr"/>
      <c r="P7979" s="16" t="inlineStr">
        <is>
          <t>Требует обогащения</t>
        </is>
      </c>
      <c r="Q7979" s="16">
        <f>HYPERLINK("https://pb.nalog.ru/search.html?query=3827011854","ФНС: проверить")</f>
        <v/>
      </c>
      <c r="R7979" s="16">
        <f>HYPERLINK("https://checko.ru/search?query=3801001629","Чекко: проверить")</f>
        <v/>
      </c>
      <c r="S7979" t="n">
        <v>1</v>
      </c>
      <c r="T7979" s="35" t="inlineStr">
        <is>
          <t>4 — Не обогащён</t>
        </is>
      </c>
      <c r="U7979" s="35" t="inlineStr">
        <is>
          <t>Нет ОКВЭД/ССЧР</t>
        </is>
      </c>
      <c r="V7979" s="35" t="inlineStr">
        <is>
          <t>Не определено</t>
        </is>
      </c>
      <c r="W7979" s="35" t="inlineStr"/>
      <c r="X7979" s="35" t="inlineStr"/>
    </row>
    <row r="7980" ht="15" customHeight="1" s="24">
      <c r="A7980" s="13" t="n">
        <v>5000090306</v>
      </c>
      <c r="B7980" s="13" t="inlineStr">
        <is>
          <t>МОУ ИРМО "Большереченская СОШ</t>
        </is>
      </c>
      <c r="C7980" s="13" t="n">
        <v>3827011935</v>
      </c>
      <c r="D7980" s="13" t="inlineStr">
        <is>
          <t>3827011935</t>
        </is>
      </c>
      <c r="E7980" s="13" t="inlineStr">
        <is>
          <t>ЮЛ РФ</t>
        </is>
      </c>
      <c r="F7980" s="13" t="n"/>
      <c r="G7980" s="14" t="n"/>
      <c r="H7980" s="14" t="n"/>
      <c r="I7980" s="14" t="n"/>
      <c r="J7980" s="14" t="n"/>
      <c r="K7980" s="53" t="inlineStr"/>
      <c r="L7980" s="53" t="inlineStr">
        <is>
          <t>Не определено</t>
        </is>
      </c>
      <c r="M7980" s="53" t="inlineStr"/>
      <c r="N7980" s="54" t="inlineStr"/>
      <c r="O7980" s="55" t="inlineStr"/>
      <c r="P7980" s="16" t="inlineStr">
        <is>
          <t>Требует обогащения</t>
        </is>
      </c>
      <c r="Q7980" s="16">
        <f>HYPERLINK("https://pb.nalog.ru/search.html?query=3827011935","ФНС: проверить")</f>
        <v/>
      </c>
      <c r="R7980" s="16">
        <f>HYPERLINK("https://checko.ru/search?query=3801001629","Чекко: проверить")</f>
        <v/>
      </c>
      <c r="S7980" t="n">
        <v>1</v>
      </c>
      <c r="T7980" s="35" t="inlineStr">
        <is>
          <t>4 — Не обогащён</t>
        </is>
      </c>
      <c r="U7980" s="35" t="inlineStr">
        <is>
          <t>Нет ОКВЭД/ССЧР</t>
        </is>
      </c>
      <c r="V7980" s="35" t="inlineStr">
        <is>
          <t>Не определено</t>
        </is>
      </c>
      <c r="W7980" s="35" t="inlineStr"/>
      <c r="X7980" s="35" t="inlineStr"/>
    </row>
    <row r="7981" ht="15" customHeight="1" s="24">
      <c r="A7981" s="13" t="n">
        <v>5000090307</v>
      </c>
      <c r="B7981" s="13" t="inlineStr">
        <is>
          <t>МОУ ИРМО "Бургазская НОШ"</t>
        </is>
      </c>
      <c r="C7981" s="13" t="n">
        <v>3827012304</v>
      </c>
      <c r="D7981" s="13" t="inlineStr">
        <is>
          <t>3827012304</t>
        </is>
      </c>
      <c r="E7981" s="13" t="inlineStr">
        <is>
          <t>ЮЛ РФ</t>
        </is>
      </c>
      <c r="F7981" s="13" t="n"/>
      <c r="G7981" s="14" t="n"/>
      <c r="H7981" s="14" t="n"/>
      <c r="I7981" s="14" t="n"/>
      <c r="J7981" s="14" t="n"/>
      <c r="K7981" s="53" t="inlineStr"/>
      <c r="L7981" s="53" t="inlineStr">
        <is>
          <t>Не определено</t>
        </is>
      </c>
      <c r="M7981" s="53" t="inlineStr"/>
      <c r="N7981" s="54" t="inlineStr"/>
      <c r="O7981" s="55" t="inlineStr"/>
      <c r="P7981" s="16" t="inlineStr">
        <is>
          <t>Требует обогащения</t>
        </is>
      </c>
      <c r="Q7981" s="16">
        <f>HYPERLINK("https://pb.nalog.ru/search.html?query=3827012304","ФНС: проверить")</f>
        <v/>
      </c>
      <c r="R7981" s="16">
        <f>HYPERLINK("https://checko.ru/search?query=3801001629","Чекко: проверить")</f>
        <v/>
      </c>
      <c r="S7981" t="n">
        <v>1</v>
      </c>
      <c r="T7981" s="35" t="inlineStr">
        <is>
          <t>4 — Не обогащён</t>
        </is>
      </c>
      <c r="U7981" s="35" t="inlineStr">
        <is>
          <t>Нет ОКВЭД/ССЧР</t>
        </is>
      </c>
      <c r="V7981" s="35" t="inlineStr">
        <is>
          <t>Не определено</t>
        </is>
      </c>
      <c r="W7981" s="35" t="inlineStr"/>
      <c r="X7981" s="35" t="inlineStr"/>
    </row>
    <row r="7982" ht="15" customHeight="1" s="24">
      <c r="A7982" s="13" t="n">
        <v>5000090308</v>
      </c>
      <c r="B7982" s="13" t="inlineStr">
        <is>
          <t>МОУ ИРМО "Бурдаковская НШДС"</t>
        </is>
      </c>
      <c r="C7982" s="13" t="n">
        <v>3827012329</v>
      </c>
      <c r="D7982" s="13" t="inlineStr">
        <is>
          <t>3827012329</t>
        </is>
      </c>
      <c r="E7982" s="13" t="inlineStr">
        <is>
          <t>ЮЛ РФ</t>
        </is>
      </c>
      <c r="F7982" s="13" t="n"/>
      <c r="G7982" s="14" t="n"/>
      <c r="H7982" s="14" t="n"/>
      <c r="I7982" s="14" t="n"/>
      <c r="J7982" s="14" t="n"/>
      <c r="K7982" s="53" t="inlineStr"/>
      <c r="L7982" s="53" t="inlineStr">
        <is>
          <t>Не определено</t>
        </is>
      </c>
      <c r="M7982" s="53" t="inlineStr"/>
      <c r="N7982" s="54" t="inlineStr"/>
      <c r="O7982" s="55" t="inlineStr"/>
      <c r="P7982" s="16" t="inlineStr">
        <is>
          <t>Требует обогащения</t>
        </is>
      </c>
      <c r="Q7982" s="16">
        <f>HYPERLINK("https://pb.nalog.ru/search.html?query=3827012329","ФНС: проверить")</f>
        <v/>
      </c>
      <c r="R7982" s="16">
        <f>HYPERLINK("https://checko.ru/search?query=3801001629","Чекко: проверить")</f>
        <v/>
      </c>
      <c r="S7982" t="n">
        <v>1</v>
      </c>
      <c r="T7982" s="35" t="inlineStr">
        <is>
          <t>4 — Не обогащён</t>
        </is>
      </c>
      <c r="U7982" s="35" t="inlineStr">
        <is>
          <t>Нет ОКВЭД/ССЧР</t>
        </is>
      </c>
      <c r="V7982" s="35" t="inlineStr">
        <is>
          <t>Не определено</t>
        </is>
      </c>
      <c r="W7982" s="35" t="inlineStr"/>
      <c r="X7982" s="35" t="inlineStr"/>
    </row>
    <row r="7983" ht="15" customHeight="1" s="24">
      <c r="A7983" s="13" t="n">
        <v>5000090309</v>
      </c>
      <c r="B7983" s="13" t="inlineStr">
        <is>
          <t>МОУ ИРМО "Бутырская СОШ"</t>
        </is>
      </c>
      <c r="C7983" s="13" t="n">
        <v>3827012022</v>
      </c>
      <c r="D7983" s="13" t="inlineStr">
        <is>
          <t>3827012022</t>
        </is>
      </c>
      <c r="E7983" s="13" t="inlineStr">
        <is>
          <t>ЮЛ РФ</t>
        </is>
      </c>
      <c r="F7983" s="13" t="n"/>
      <c r="G7983" s="14" t="n"/>
      <c r="H7983" s="14" t="n"/>
      <c r="I7983" s="14" t="n"/>
      <c r="J7983" s="14" t="n"/>
      <c r="K7983" s="53" t="inlineStr"/>
      <c r="L7983" s="53" t="inlineStr">
        <is>
          <t>Не определено</t>
        </is>
      </c>
      <c r="M7983" s="53" t="inlineStr"/>
      <c r="N7983" s="54" t="inlineStr"/>
      <c r="O7983" s="55" t="inlineStr"/>
      <c r="P7983" s="16" t="inlineStr">
        <is>
          <t>Требует обогащения</t>
        </is>
      </c>
      <c r="Q7983" s="16">
        <f>HYPERLINK("https://pb.nalog.ru/search.html?query=3827012022","ФНС: проверить")</f>
        <v/>
      </c>
      <c r="R7983" s="16">
        <f>HYPERLINK("https://checko.ru/search?query=3801001629","Чекко: проверить")</f>
        <v/>
      </c>
      <c r="S7983" t="n">
        <v>1</v>
      </c>
      <c r="T7983" s="35" t="inlineStr">
        <is>
          <t>4 — Не обогащён</t>
        </is>
      </c>
      <c r="U7983" s="35" t="inlineStr">
        <is>
          <t>Нет ОКВЭД/ССЧР</t>
        </is>
      </c>
      <c r="V7983" s="35" t="inlineStr">
        <is>
          <t>Не определено</t>
        </is>
      </c>
      <c r="W7983" s="35" t="inlineStr"/>
      <c r="X7983" s="35" t="inlineStr"/>
    </row>
    <row r="7984" ht="15" customHeight="1" s="24">
      <c r="A7984" s="13" t="n">
        <v>5000090310</v>
      </c>
      <c r="B7984" s="13" t="inlineStr">
        <is>
          <t>МОУ ИРМО "Быковская НОШ"</t>
        </is>
      </c>
      <c r="C7984" s="13" t="n">
        <v>3827012495</v>
      </c>
      <c r="D7984" s="13" t="inlineStr">
        <is>
          <t>3827012495</t>
        </is>
      </c>
      <c r="E7984" s="13" t="inlineStr">
        <is>
          <t>ЮЛ РФ</t>
        </is>
      </c>
      <c r="F7984" s="13" t="n"/>
      <c r="G7984" s="14" t="n"/>
      <c r="H7984" s="14" t="n"/>
      <c r="I7984" s="14" t="n"/>
      <c r="J7984" s="14" t="n"/>
      <c r="K7984" s="53" t="inlineStr"/>
      <c r="L7984" s="53" t="inlineStr">
        <is>
          <t>Не определено</t>
        </is>
      </c>
      <c r="M7984" s="53" t="inlineStr"/>
      <c r="N7984" s="54" t="inlineStr"/>
      <c r="O7984" s="55" t="inlineStr"/>
      <c r="P7984" s="16" t="inlineStr">
        <is>
          <t>Требует обогащения</t>
        </is>
      </c>
      <c r="Q7984" s="16">
        <f>HYPERLINK("https://pb.nalog.ru/search.html?query=3827012495","ФНС: проверить")</f>
        <v/>
      </c>
      <c r="R7984" s="16">
        <f>HYPERLINK("https://checko.ru/search?query=3801001629","Чекко: проверить")</f>
        <v/>
      </c>
      <c r="S7984" t="n">
        <v>1</v>
      </c>
      <c r="T7984" s="35" t="inlineStr">
        <is>
          <t>4 — Не обогащён</t>
        </is>
      </c>
      <c r="U7984" s="35" t="inlineStr">
        <is>
          <t>Нет ОКВЭД/ССЧР</t>
        </is>
      </c>
      <c r="V7984" s="35" t="inlineStr">
        <is>
          <t>Не определено</t>
        </is>
      </c>
      <c r="W7984" s="35" t="inlineStr"/>
      <c r="X7984" s="35" t="inlineStr"/>
    </row>
    <row r="7985" ht="15" customHeight="1" s="24">
      <c r="A7985" s="13" t="n">
        <v>5000090311</v>
      </c>
      <c r="B7985" s="13" t="inlineStr">
        <is>
          <t>МОУ ИРМО "Вечерняя сменная ОШ"</t>
        </is>
      </c>
      <c r="C7985" s="13" t="n">
        <v>3827012696</v>
      </c>
      <c r="D7985" s="13" t="inlineStr">
        <is>
          <t>3827012696</t>
        </is>
      </c>
      <c r="E7985" s="13" t="inlineStr">
        <is>
          <t>ЮЛ РФ</t>
        </is>
      </c>
      <c r="F7985" s="13" t="n"/>
      <c r="G7985" s="14" t="n"/>
      <c r="H7985" s="14" t="n"/>
      <c r="I7985" s="14" t="n"/>
      <c r="J7985" s="14" t="n"/>
      <c r="K7985" s="53" t="inlineStr"/>
      <c r="L7985" s="53" t="inlineStr">
        <is>
          <t>Не определено</t>
        </is>
      </c>
      <c r="M7985" s="53" t="inlineStr"/>
      <c r="N7985" s="54" t="inlineStr"/>
      <c r="O7985" s="55" t="inlineStr"/>
      <c r="P7985" s="16" t="inlineStr">
        <is>
          <t>Требует обогащения</t>
        </is>
      </c>
      <c r="Q7985" s="16">
        <f>HYPERLINK("https://pb.nalog.ru/search.html?query=3827012696","ФНС: проверить")</f>
        <v/>
      </c>
      <c r="R7985" s="16">
        <f>HYPERLINK("https://checko.ru/search?query=3801001629","Чекко: проверить")</f>
        <v/>
      </c>
      <c r="S7985" t="n">
        <v>1</v>
      </c>
      <c r="T7985" s="35" t="inlineStr">
        <is>
          <t>4 — Не обогащён</t>
        </is>
      </c>
      <c r="U7985" s="35" t="inlineStr">
        <is>
          <t>Нет ОКВЭД/ССЧР</t>
        </is>
      </c>
      <c r="V7985" s="35" t="inlineStr">
        <is>
          <t>Не определено</t>
        </is>
      </c>
      <c r="W7985" s="35" t="inlineStr"/>
      <c r="X7985" s="35" t="inlineStr"/>
    </row>
    <row r="7986" ht="15" customHeight="1" s="24">
      <c r="A7986" s="13" t="n">
        <v>5000090332</v>
      </c>
      <c r="B7986" s="13" t="inlineStr">
        <is>
          <t>МОУ ИРМО "Ревякинская СОШ"</t>
        </is>
      </c>
      <c r="C7986" s="13" t="n">
        <v>3827011910</v>
      </c>
      <c r="D7986" s="13" t="inlineStr">
        <is>
          <t>3827011910</t>
        </is>
      </c>
      <c r="E7986" s="13" t="inlineStr">
        <is>
          <t>ЮЛ РФ</t>
        </is>
      </c>
      <c r="F7986" s="13" t="n"/>
      <c r="G7986" s="14" t="n"/>
      <c r="H7986" s="14" t="n"/>
      <c r="I7986" s="14" t="n"/>
      <c r="J7986" s="14" t="n"/>
      <c r="K7986" s="53" t="inlineStr"/>
      <c r="L7986" s="53" t="inlineStr">
        <is>
          <t>Не определено</t>
        </is>
      </c>
      <c r="M7986" s="53" t="inlineStr"/>
      <c r="N7986" s="54" t="inlineStr"/>
      <c r="O7986" s="55" t="inlineStr"/>
      <c r="P7986" s="16" t="inlineStr">
        <is>
          <t>Требует обогащения</t>
        </is>
      </c>
      <c r="Q7986" s="16">
        <f>HYPERLINK("https://pb.nalog.ru/search.html?query=3827011910","ФНС: проверить")</f>
        <v/>
      </c>
      <c r="R7986" s="16">
        <f>HYPERLINK("https://checko.ru/search?query=3801001629","Чекко: проверить")</f>
        <v/>
      </c>
      <c r="S7986" t="n">
        <v>1</v>
      </c>
      <c r="T7986" s="35" t="inlineStr">
        <is>
          <t>4 — Не обогащён</t>
        </is>
      </c>
      <c r="U7986" s="35" t="inlineStr">
        <is>
          <t>Нет ОКВЭД/ССЧР</t>
        </is>
      </c>
      <c r="V7986" s="35" t="inlineStr">
        <is>
          <t>Не определено</t>
        </is>
      </c>
      <c r="W7986" s="35" t="inlineStr"/>
      <c r="X7986" s="35" t="inlineStr"/>
    </row>
    <row r="7987" ht="15" customHeight="1" s="24">
      <c r="A7987" s="13" t="n">
        <v>5000090333</v>
      </c>
      <c r="B7987" s="13" t="inlineStr">
        <is>
          <t>МОУ ИРМО "Сайгутская НОШ"</t>
        </is>
      </c>
      <c r="C7987" s="13" t="n">
        <v>3827012417</v>
      </c>
      <c r="D7987" s="13" t="inlineStr">
        <is>
          <t>3827012417</t>
        </is>
      </c>
      <c r="E7987" s="13" t="inlineStr">
        <is>
          <t>ЮЛ РФ</t>
        </is>
      </c>
      <c r="F7987" s="13" t="n"/>
      <c r="G7987" s="14" t="n"/>
      <c r="H7987" s="14" t="n"/>
      <c r="I7987" s="14" t="n"/>
      <c r="J7987" s="14" t="n"/>
      <c r="K7987" s="53" t="inlineStr"/>
      <c r="L7987" s="53" t="inlineStr">
        <is>
          <t>Не определено</t>
        </is>
      </c>
      <c r="M7987" s="53" t="inlineStr"/>
      <c r="N7987" s="54" t="inlineStr"/>
      <c r="O7987" s="55" t="inlineStr"/>
      <c r="P7987" s="16" t="inlineStr">
        <is>
          <t>Требует обогащения</t>
        </is>
      </c>
      <c r="Q7987" s="16">
        <f>HYPERLINK("https://pb.nalog.ru/search.html?query=3827012417","ФНС: проверить")</f>
        <v/>
      </c>
      <c r="R7987" s="16">
        <f>HYPERLINK("https://checko.ru/search?query=3801001629","Чекко: проверить")</f>
        <v/>
      </c>
      <c r="S7987" t="n">
        <v>1</v>
      </c>
      <c r="T7987" s="35" t="inlineStr">
        <is>
          <t>4 — Не обогащён</t>
        </is>
      </c>
      <c r="U7987" s="35" t="inlineStr">
        <is>
          <t>Нет ОКВЭД/ССЧР</t>
        </is>
      </c>
      <c r="V7987" s="35" t="inlineStr">
        <is>
          <t>Не определено</t>
        </is>
      </c>
      <c r="W7987" s="35" t="inlineStr"/>
      <c r="X7987" s="35" t="inlineStr"/>
    </row>
    <row r="7988" ht="15" customHeight="1" s="24">
      <c r="A7988" s="13" t="n">
        <v>5000090334</v>
      </c>
      <c r="B7988" s="13" t="inlineStr">
        <is>
          <t>МОУ ИРМО "Сосново-Борская НШДС"</t>
        </is>
      </c>
      <c r="C7988" s="13" t="n">
        <v>3827043704</v>
      </c>
      <c r="D7988" s="13" t="inlineStr">
        <is>
          <t>3827043704</t>
        </is>
      </c>
      <c r="E7988" s="13" t="inlineStr">
        <is>
          <t>ЮЛ РФ</t>
        </is>
      </c>
      <c r="F7988" s="13" t="n"/>
      <c r="G7988" s="14" t="n"/>
      <c r="H7988" s="14" t="n"/>
      <c r="I7988" s="14" t="n"/>
      <c r="J7988" s="14" t="n"/>
      <c r="K7988" s="53" t="inlineStr"/>
      <c r="L7988" s="53" t="inlineStr">
        <is>
          <t>Не определено</t>
        </is>
      </c>
      <c r="M7988" s="53" t="inlineStr"/>
      <c r="N7988" s="54" t="inlineStr"/>
      <c r="O7988" s="55" t="inlineStr"/>
      <c r="P7988" s="16" t="inlineStr">
        <is>
          <t>Требует обогащения</t>
        </is>
      </c>
      <c r="Q7988" s="16">
        <f>HYPERLINK("https://pb.nalog.ru/search.html?query=3827043704","ФНС: проверить")</f>
        <v/>
      </c>
      <c r="R7988" s="16">
        <f>HYPERLINK("https://checko.ru/search?query=3801001629","Чекко: проверить")</f>
        <v/>
      </c>
      <c r="S7988" t="n">
        <v>1</v>
      </c>
      <c r="T7988" s="35" t="inlineStr">
        <is>
          <t>4 — Не обогащён</t>
        </is>
      </c>
      <c r="U7988" s="35" t="inlineStr">
        <is>
          <t>Нет ОКВЭД/ССЧР</t>
        </is>
      </c>
      <c r="V7988" s="35" t="inlineStr">
        <is>
          <t>Не определено</t>
        </is>
      </c>
      <c r="W7988" s="35" t="inlineStr"/>
      <c r="X7988" s="35" t="inlineStr"/>
    </row>
    <row r="7989" ht="15" customHeight="1" s="24">
      <c r="A7989" s="13" t="n">
        <v>5000090320</v>
      </c>
      <c r="B7989" s="13" t="inlineStr">
        <is>
          <t>МОУ ИРМО "Кыцигировская НШДС"</t>
        </is>
      </c>
      <c r="C7989" s="13" t="n">
        <v>3827012375</v>
      </c>
      <c r="D7989" s="13" t="inlineStr">
        <is>
          <t>3827012375</t>
        </is>
      </c>
      <c r="E7989" s="13" t="inlineStr">
        <is>
          <t>ЮЛ РФ</t>
        </is>
      </c>
      <c r="F7989" s="13" t="n"/>
      <c r="G7989" s="14" t="n"/>
      <c r="H7989" s="14" t="n"/>
      <c r="I7989" s="14" t="n"/>
      <c r="J7989" s="14" t="n"/>
      <c r="K7989" s="53" t="inlineStr"/>
      <c r="L7989" s="53" t="inlineStr">
        <is>
          <t>Не определено</t>
        </is>
      </c>
      <c r="M7989" s="53" t="inlineStr"/>
      <c r="N7989" s="54" t="inlineStr"/>
      <c r="O7989" s="55" t="inlineStr"/>
      <c r="P7989" s="16" t="inlineStr">
        <is>
          <t>Требует обогащения</t>
        </is>
      </c>
      <c r="Q7989" s="16">
        <f>HYPERLINK("https://pb.nalog.ru/search.html?query=3827012375","ФНС: проверить")</f>
        <v/>
      </c>
      <c r="R7989" s="16">
        <f>HYPERLINK("https://checko.ru/search?query=3801001629","Чекко: проверить")</f>
        <v/>
      </c>
      <c r="S7989" t="n">
        <v>1</v>
      </c>
      <c r="T7989" s="35" t="inlineStr">
        <is>
          <t>4 — Не обогащён</t>
        </is>
      </c>
      <c r="U7989" s="35" t="inlineStr">
        <is>
          <t>Нет ОКВЭД/ССЧР</t>
        </is>
      </c>
      <c r="V7989" s="35" t="inlineStr">
        <is>
          <t>Не определено</t>
        </is>
      </c>
      <c r="W7989" s="35" t="inlineStr"/>
      <c r="X7989" s="35" t="inlineStr"/>
    </row>
    <row r="7990" ht="15" customHeight="1" s="24">
      <c r="A7990" s="13" t="n">
        <v>5000090331</v>
      </c>
      <c r="B7990" s="13" t="inlineStr">
        <is>
          <t>МОУ ИРМО "Плишкинская СОШ"</t>
        </is>
      </c>
      <c r="C7990" s="13" t="n">
        <v>3827012047</v>
      </c>
      <c r="D7990" s="13" t="inlineStr">
        <is>
          <t>3827012047</t>
        </is>
      </c>
      <c r="E7990" s="13" t="inlineStr">
        <is>
          <t>ЮЛ РФ</t>
        </is>
      </c>
      <c r="F7990" s="13" t="n"/>
      <c r="G7990" s="14" t="n"/>
      <c r="H7990" s="14" t="n"/>
      <c r="I7990" s="14" t="n"/>
      <c r="J7990" s="14" t="n"/>
      <c r="K7990" s="53" t="inlineStr"/>
      <c r="L7990" s="53" t="inlineStr">
        <is>
          <t>Не определено</t>
        </is>
      </c>
      <c r="M7990" s="53" t="inlineStr"/>
      <c r="N7990" s="54" t="inlineStr"/>
      <c r="O7990" s="55" t="inlineStr"/>
      <c r="P7990" s="16" t="inlineStr">
        <is>
          <t>Требует обогащения</t>
        </is>
      </c>
      <c r="Q7990" s="16">
        <f>HYPERLINK("https://pb.nalog.ru/search.html?query=3827012047","ФНС: проверить")</f>
        <v/>
      </c>
      <c r="R7990" s="16">
        <f>HYPERLINK("https://checko.ru/search?query=3801001629","Чекко: проверить")</f>
        <v/>
      </c>
      <c r="S7990" t="n">
        <v>1</v>
      </c>
      <c r="T7990" s="35" t="inlineStr">
        <is>
          <t>4 — Не обогащён</t>
        </is>
      </c>
      <c r="U7990" s="35" t="inlineStr">
        <is>
          <t>Нет ОКВЭД/ССЧР</t>
        </is>
      </c>
      <c r="V7990" s="35" t="inlineStr">
        <is>
          <t>Не определено</t>
        </is>
      </c>
      <c r="W7990" s="35" t="inlineStr"/>
      <c r="X7990" s="35" t="inlineStr"/>
    </row>
    <row r="7991" ht="15" customHeight="1" s="24">
      <c r="A7991" s="13" t="n">
        <v>5000090312</v>
      </c>
      <c r="B7991" s="13" t="inlineStr">
        <is>
          <t>МОУ ИРМО "Галкинская НОШ"</t>
        </is>
      </c>
      <c r="C7991" s="13" t="n">
        <v>3827012368</v>
      </c>
      <c r="D7991" s="13" t="inlineStr">
        <is>
          <t>3827012368</t>
        </is>
      </c>
      <c r="E7991" s="13" t="inlineStr">
        <is>
          <t>ЮЛ РФ</t>
        </is>
      </c>
      <c r="F7991" s="13" t="n"/>
      <c r="G7991" s="14" t="n"/>
      <c r="H7991" s="14" t="n"/>
      <c r="I7991" s="14" t="n"/>
      <c r="J7991" s="14" t="n"/>
      <c r="K7991" s="53" t="inlineStr"/>
      <c r="L7991" s="53" t="inlineStr">
        <is>
          <t>Не определено</t>
        </is>
      </c>
      <c r="M7991" s="53" t="inlineStr"/>
      <c r="N7991" s="54" t="inlineStr"/>
      <c r="O7991" s="55" t="inlineStr"/>
      <c r="P7991" s="16" t="inlineStr">
        <is>
          <t>Требует обогащения</t>
        </is>
      </c>
      <c r="Q7991" s="16">
        <f>HYPERLINK("https://pb.nalog.ru/search.html?query=3827012368","ФНС: проверить")</f>
        <v/>
      </c>
      <c r="R7991" s="16">
        <f>HYPERLINK("https://checko.ru/search?query=3801001629","Чекко: проверить")</f>
        <v/>
      </c>
      <c r="S7991" t="n">
        <v>1</v>
      </c>
      <c r="T7991" s="35" t="inlineStr">
        <is>
          <t>4 — Не обогащён</t>
        </is>
      </c>
      <c r="U7991" s="35" t="inlineStr">
        <is>
          <t>Нет ОКВЭД/ССЧР</t>
        </is>
      </c>
      <c r="V7991" s="35" t="inlineStr">
        <is>
          <t>Не определено</t>
        </is>
      </c>
      <c r="W7991" s="35" t="inlineStr"/>
      <c r="X7991" s="35" t="inlineStr"/>
    </row>
    <row r="7992" ht="15" customHeight="1" s="24">
      <c r="A7992" s="13" t="n">
        <v>5000090313</v>
      </c>
      <c r="B7992" s="13" t="inlineStr">
        <is>
          <t>МОУ ИРМО "Гороховская СОШ"</t>
        </is>
      </c>
      <c r="C7992" s="13" t="n">
        <v>3827011950</v>
      </c>
      <c r="D7992" s="13" t="inlineStr">
        <is>
          <t>3827011950</t>
        </is>
      </c>
      <c r="E7992" s="13" t="inlineStr">
        <is>
          <t>ЮЛ РФ</t>
        </is>
      </c>
      <c r="F7992" s="13" t="n"/>
      <c r="G7992" s="14" t="n"/>
      <c r="H7992" s="14" t="n"/>
      <c r="I7992" s="14" t="n"/>
      <c r="J7992" s="14" t="n"/>
      <c r="K7992" s="53" t="inlineStr"/>
      <c r="L7992" s="53" t="inlineStr">
        <is>
          <t>Не определено</t>
        </is>
      </c>
      <c r="M7992" s="53" t="inlineStr"/>
      <c r="N7992" s="54" t="inlineStr"/>
      <c r="O7992" s="55" t="inlineStr"/>
      <c r="P7992" s="16" t="inlineStr">
        <is>
          <t>Требует обогащения</t>
        </is>
      </c>
      <c r="Q7992" s="16">
        <f>HYPERLINK("https://pb.nalog.ru/search.html?query=3827011950","ФНС: проверить")</f>
        <v/>
      </c>
      <c r="R7992" s="16">
        <f>HYPERLINK("https://checko.ru/search?query=3801001629","Чекко: проверить")</f>
        <v/>
      </c>
      <c r="S7992" t="n">
        <v>1</v>
      </c>
      <c r="T7992" s="35" t="inlineStr">
        <is>
          <t>4 — Не обогащён</t>
        </is>
      </c>
      <c r="U7992" s="35" t="inlineStr">
        <is>
          <t>Нет ОКВЭД/ССЧР</t>
        </is>
      </c>
      <c r="V7992" s="35" t="inlineStr">
        <is>
          <t>Не определено</t>
        </is>
      </c>
      <c r="W7992" s="35" t="inlineStr"/>
      <c r="X7992" s="35" t="inlineStr"/>
    </row>
    <row r="7993" ht="15" customHeight="1" s="24">
      <c r="A7993" s="13" t="n">
        <v>5000090315</v>
      </c>
      <c r="B7993" s="13" t="inlineStr">
        <is>
          <t>МОУ ИРМО "Грановская НОШ"</t>
        </is>
      </c>
      <c r="C7993" s="13" t="n">
        <v>3827012456</v>
      </c>
      <c r="D7993" s="13" t="inlineStr">
        <is>
          <t>3827012456</t>
        </is>
      </c>
      <c r="E7993" s="13" t="inlineStr">
        <is>
          <t>ЮЛ РФ</t>
        </is>
      </c>
      <c r="F7993" s="13" t="n"/>
      <c r="G7993" s="14" t="n"/>
      <c r="H7993" s="14" t="n"/>
      <c r="I7993" s="14" t="n"/>
      <c r="J7993" s="14" t="n"/>
      <c r="K7993" s="53" t="inlineStr"/>
      <c r="L7993" s="53" t="inlineStr">
        <is>
          <t>Не определено</t>
        </is>
      </c>
      <c r="M7993" s="53" t="inlineStr"/>
      <c r="N7993" s="54" t="inlineStr"/>
      <c r="O7993" s="55" t="inlineStr"/>
      <c r="P7993" s="16" t="inlineStr">
        <is>
          <t>Требует обогащения</t>
        </is>
      </c>
      <c r="Q7993" s="16">
        <f>HYPERLINK("https://pb.nalog.ru/search.html?query=3827012456","ФНС: проверить")</f>
        <v/>
      </c>
      <c r="R7993" s="16">
        <f>HYPERLINK("https://checko.ru/search?query=3801001629","Чекко: проверить")</f>
        <v/>
      </c>
      <c r="S7993" t="n">
        <v>1</v>
      </c>
      <c r="T7993" s="35" t="inlineStr">
        <is>
          <t>4 — Не обогащён</t>
        </is>
      </c>
      <c r="U7993" s="35" t="inlineStr">
        <is>
          <t>Нет ОКВЭД/ССЧР</t>
        </is>
      </c>
      <c r="V7993" s="35" t="inlineStr">
        <is>
          <t>Не определено</t>
        </is>
      </c>
      <c r="W7993" s="35" t="inlineStr"/>
      <c r="X7993" s="35" t="inlineStr"/>
    </row>
    <row r="7994" ht="15" customHeight="1" s="24">
      <c r="A7994" s="13" t="n">
        <v>5000090316</v>
      </c>
      <c r="B7994" s="13" t="inlineStr">
        <is>
          <t>МОУ ИРМО "Дзержинская НШДС"</t>
        </is>
      </c>
      <c r="C7994" s="13" t="n">
        <v>3827012311</v>
      </c>
      <c r="D7994" s="13" t="inlineStr">
        <is>
          <t>3827012311</t>
        </is>
      </c>
      <c r="E7994" s="13" t="inlineStr">
        <is>
          <t>ЮЛ РФ</t>
        </is>
      </c>
      <c r="F7994" s="13" t="n"/>
      <c r="G7994" s="14" t="n"/>
      <c r="H7994" s="14" t="n"/>
      <c r="I7994" s="14" t="n"/>
      <c r="J7994" s="14" t="n"/>
      <c r="K7994" s="53" t="inlineStr"/>
      <c r="L7994" s="53" t="inlineStr">
        <is>
          <t>Не определено</t>
        </is>
      </c>
      <c r="M7994" s="53" t="inlineStr"/>
      <c r="N7994" s="54" t="inlineStr"/>
      <c r="O7994" s="55" t="inlineStr"/>
      <c r="P7994" s="16" t="inlineStr">
        <is>
          <t>Требует обогащения</t>
        </is>
      </c>
      <c r="Q7994" s="16">
        <f>HYPERLINK("https://pb.nalog.ru/search.html?query=3827012311","ФНС: проверить")</f>
        <v/>
      </c>
      <c r="R7994" s="16">
        <f>HYPERLINK("https://checko.ru/search?query=3801001629","Чекко: проверить")</f>
        <v/>
      </c>
      <c r="S7994" t="n">
        <v>1</v>
      </c>
      <c r="T7994" s="35" t="inlineStr">
        <is>
          <t>4 — Не обогащён</t>
        </is>
      </c>
      <c r="U7994" s="35" t="inlineStr">
        <is>
          <t>Нет ОКВЭД/ССЧР</t>
        </is>
      </c>
      <c r="V7994" s="35" t="inlineStr">
        <is>
          <t>Не определено</t>
        </is>
      </c>
      <c r="W7994" s="35" t="inlineStr"/>
      <c r="X7994" s="35" t="inlineStr"/>
    </row>
    <row r="7995" ht="15" customHeight="1" s="24">
      <c r="A7995" s="13" t="n">
        <v>5000090317</v>
      </c>
      <c r="B7995" s="13" t="inlineStr">
        <is>
          <t>МОУ ИРМО "Егоровская НШДС"</t>
        </is>
      </c>
      <c r="C7995" s="13" t="n">
        <v>3827012350</v>
      </c>
      <c r="D7995" s="13" t="inlineStr">
        <is>
          <t>3827012350</t>
        </is>
      </c>
      <c r="E7995" s="13" t="inlineStr">
        <is>
          <t>ЮЛ РФ</t>
        </is>
      </c>
      <c r="F7995" s="13" t="n"/>
      <c r="G7995" s="14" t="n"/>
      <c r="H7995" s="14" t="n"/>
      <c r="I7995" s="14" t="n"/>
      <c r="J7995" s="14" t="n"/>
      <c r="K7995" s="53" t="inlineStr"/>
      <c r="L7995" s="53" t="inlineStr">
        <is>
          <t>Не определено</t>
        </is>
      </c>
      <c r="M7995" s="53" t="inlineStr"/>
      <c r="N7995" s="54" t="inlineStr"/>
      <c r="O7995" s="55" t="inlineStr"/>
      <c r="P7995" s="16" t="inlineStr">
        <is>
          <t>Требует обогащения</t>
        </is>
      </c>
      <c r="Q7995" s="16">
        <f>HYPERLINK("https://pb.nalog.ru/search.html?query=3827012350","ФНС: проверить")</f>
        <v/>
      </c>
      <c r="R7995" s="16">
        <f>HYPERLINK("https://checko.ru/search?query=3801001629","Чекко: проверить")</f>
        <v/>
      </c>
      <c r="S7995" t="n">
        <v>1</v>
      </c>
      <c r="T7995" s="35" t="inlineStr">
        <is>
          <t>4 — Не обогащён</t>
        </is>
      </c>
      <c r="U7995" s="35" t="inlineStr">
        <is>
          <t>Нет ОКВЭД/ССЧР</t>
        </is>
      </c>
      <c r="V7995" s="35" t="inlineStr">
        <is>
          <t>Не определено</t>
        </is>
      </c>
      <c r="W7995" s="35" t="inlineStr"/>
      <c r="X7995" s="35" t="inlineStr"/>
    </row>
    <row r="7996" ht="15" customHeight="1" s="24">
      <c r="A7996" s="13" t="n">
        <v>5000090318</v>
      </c>
      <c r="B7996" s="13" t="inlineStr">
        <is>
          <t>МОУ ИРМО "Карлукская СОШ"</t>
        </is>
      </c>
      <c r="C7996" s="13" t="n">
        <v>3827011903</v>
      </c>
      <c r="D7996" s="13" t="inlineStr">
        <is>
          <t>3827011903</t>
        </is>
      </c>
      <c r="E7996" s="13" t="inlineStr">
        <is>
          <t>ЮЛ РФ</t>
        </is>
      </c>
      <c r="F7996" s="13" t="n"/>
      <c r="G7996" s="14" t="n"/>
      <c r="H7996" s="14" t="n"/>
      <c r="I7996" s="14" t="n"/>
      <c r="J7996" s="14" t="n"/>
      <c r="K7996" s="53" t="inlineStr"/>
      <c r="L7996" s="53" t="inlineStr">
        <is>
          <t>Не определено</t>
        </is>
      </c>
      <c r="M7996" s="53" t="inlineStr"/>
      <c r="N7996" s="54" t="inlineStr"/>
      <c r="O7996" s="55" t="inlineStr"/>
      <c r="P7996" s="16" t="inlineStr">
        <is>
          <t>Требует обогащения</t>
        </is>
      </c>
      <c r="Q7996" s="16">
        <f>HYPERLINK("https://pb.nalog.ru/search.html?query=3827011903","ФНС: проверить")</f>
        <v/>
      </c>
      <c r="R7996" s="16">
        <f>HYPERLINK("https://checko.ru/search?query=3801001629","Чекко: проверить")</f>
        <v/>
      </c>
      <c r="S7996" t="n">
        <v>1</v>
      </c>
      <c r="T7996" s="35" t="inlineStr">
        <is>
          <t>4 — Не обогащён</t>
        </is>
      </c>
      <c r="U7996" s="35" t="inlineStr">
        <is>
          <t>Нет ОКВЭД/ССЧР</t>
        </is>
      </c>
      <c r="V7996" s="35" t="inlineStr">
        <is>
          <t>Не определено</t>
        </is>
      </c>
      <c r="W7996" s="35" t="inlineStr"/>
      <c r="X7996" s="35" t="inlineStr"/>
    </row>
    <row r="7997" ht="15" customHeight="1" s="24">
      <c r="A7997" s="13" t="n">
        <v>5000090319</v>
      </c>
      <c r="B7997" s="13" t="inlineStr">
        <is>
          <t>МОУ ИРМО "Кудинская СОШ"</t>
        </is>
      </c>
      <c r="C7997" s="13" t="n">
        <v>3827011981</v>
      </c>
      <c r="D7997" s="13" t="inlineStr">
        <is>
          <t>3827011981</t>
        </is>
      </c>
      <c r="E7997" s="13" t="inlineStr">
        <is>
          <t>ЮЛ РФ</t>
        </is>
      </c>
      <c r="F7997" s="13" t="n"/>
      <c r="G7997" s="14" t="n"/>
      <c r="H7997" s="14" t="n"/>
      <c r="I7997" s="14" t="n"/>
      <c r="J7997" s="14" t="n"/>
      <c r="K7997" s="53" t="inlineStr"/>
      <c r="L7997" s="53" t="inlineStr">
        <is>
          <t>Не определено</t>
        </is>
      </c>
      <c r="M7997" s="53" t="inlineStr"/>
      <c r="N7997" s="54" t="inlineStr"/>
      <c r="O7997" s="55" t="inlineStr"/>
      <c r="P7997" s="16" t="inlineStr">
        <is>
          <t>Требует обогащения</t>
        </is>
      </c>
      <c r="Q7997" s="16">
        <f>HYPERLINK("https://pb.nalog.ru/search.html?query=3827011981","ФНС: проверить")</f>
        <v/>
      </c>
      <c r="R7997" s="16">
        <f>HYPERLINK("https://checko.ru/search?query=3801001629","Чекко: проверить")</f>
        <v/>
      </c>
      <c r="S7997" t="n">
        <v>1</v>
      </c>
      <c r="T7997" s="35" t="inlineStr">
        <is>
          <t>4 — Не обогащён</t>
        </is>
      </c>
      <c r="U7997" s="35" t="inlineStr">
        <is>
          <t>Нет ОКВЭД/ССЧР</t>
        </is>
      </c>
      <c r="V7997" s="35" t="inlineStr">
        <is>
          <t>Не определено</t>
        </is>
      </c>
      <c r="W7997" s="35" t="inlineStr"/>
      <c r="X7997" s="35" t="inlineStr"/>
    </row>
    <row r="7998" ht="41.25" customHeight="1" s="24">
      <c r="A7998" s="13" t="n">
        <v>5000118813</v>
      </c>
      <c r="B7998" s="13" t="inlineStr">
        <is>
          <t>Муниципальное бюджетное дошкольное образовательное учреждение Тыргетуйский детский сад</t>
        </is>
      </c>
      <c r="C7998" s="13" t="n">
        <v>8501005653</v>
      </c>
      <c r="D7998" s="13" t="inlineStr">
        <is>
          <t>8501005653</t>
        </is>
      </c>
      <c r="E7998" s="13" t="inlineStr">
        <is>
          <t>ЮЛ РФ</t>
        </is>
      </c>
      <c r="F7998" s="13" t="n"/>
      <c r="G7998" s="14" t="n"/>
      <c r="H7998" s="14" t="n"/>
      <c r="I7998" s="14" t="n"/>
      <c r="J7998" s="14" t="n"/>
      <c r="K7998" s="53" t="inlineStr"/>
      <c r="L7998" s="53" t="inlineStr">
        <is>
          <t>Не определено</t>
        </is>
      </c>
      <c r="M7998" s="53" t="inlineStr"/>
      <c r="N7998" s="54" t="inlineStr"/>
      <c r="O7998" s="55" t="inlineStr"/>
      <c r="P7998" s="16" t="inlineStr">
        <is>
          <t>Требует обогащения</t>
        </is>
      </c>
      <c r="Q7998" s="16">
        <f>HYPERLINK("https://pb.nalog.ru/search.html?query=8501005653","ФНС: проверить")</f>
        <v/>
      </c>
      <c r="R7998" s="16">
        <f>HYPERLINK("https://checko.ru/search?query=3801001629","Чекко: проверить")</f>
        <v/>
      </c>
      <c r="S7998" t="n">
        <v>1</v>
      </c>
      <c r="T7998" s="35" t="inlineStr">
        <is>
          <t>4 — Не обогащён</t>
        </is>
      </c>
      <c r="U7998" s="35" t="inlineStr">
        <is>
          <t>Нет ОКВЭД/ССЧР</t>
        </is>
      </c>
      <c r="V7998" s="35" t="inlineStr">
        <is>
          <t>Не определено</t>
        </is>
      </c>
      <c r="W7998" s="35" t="inlineStr"/>
      <c r="X7998" s="35" t="inlineStr"/>
    </row>
    <row r="7999" ht="41.25" customHeight="1" s="24">
      <c r="A7999" s="13" t="n">
        <v>5000118814</v>
      </c>
      <c r="B7999" s="13" t="inlineStr">
        <is>
          <t>Муниципальное бюджетное дошкольное образовательное учреждение Могоеновский детский сад</t>
        </is>
      </c>
      <c r="C7999" s="13" t="n">
        <v>8501005090</v>
      </c>
      <c r="D7999" s="13" t="inlineStr">
        <is>
          <t>8501005090</t>
        </is>
      </c>
      <c r="E7999" s="13" t="inlineStr">
        <is>
          <t>ЮЛ РФ</t>
        </is>
      </c>
      <c r="F7999" s="13" t="n"/>
      <c r="G7999" s="14" t="n"/>
      <c r="H7999" s="14" t="n"/>
      <c r="I7999" s="14" t="n"/>
      <c r="J7999" s="14" t="n"/>
      <c r="K7999" s="53" t="inlineStr"/>
      <c r="L7999" s="53" t="inlineStr">
        <is>
          <t>Не определено</t>
        </is>
      </c>
      <c r="M7999" s="53" t="inlineStr"/>
      <c r="N7999" s="54" t="inlineStr"/>
      <c r="O7999" s="55" t="inlineStr"/>
      <c r="P7999" s="16" t="inlineStr">
        <is>
          <t>Требует обогащения</t>
        </is>
      </c>
      <c r="Q7999" s="16">
        <f>HYPERLINK("https://pb.nalog.ru/search.html?query=8501005090","ФНС: проверить")</f>
        <v/>
      </c>
      <c r="R7999" s="16">
        <f>HYPERLINK("https://checko.ru/search?query=3801001629","Чекко: проверить")</f>
        <v/>
      </c>
      <c r="S7999" t="n">
        <v>1</v>
      </c>
      <c r="T7999" s="35" t="inlineStr">
        <is>
          <t>4 — Не обогащён</t>
        </is>
      </c>
      <c r="U7999" s="35" t="inlineStr">
        <is>
          <t>Нет ОКВЭД/ССЧР</t>
        </is>
      </c>
      <c r="V7999" s="35" t="inlineStr">
        <is>
          <t>Не определено</t>
        </is>
      </c>
      <c r="W7999" s="35" t="inlineStr"/>
      <c r="X7999" s="35" t="inlineStr"/>
    </row>
    <row r="8000" ht="41.25" customHeight="1" s="24">
      <c r="A8000" s="13" t="n">
        <v>5000118815</v>
      </c>
      <c r="B8000" s="13" t="inlineStr">
        <is>
          <t>Муниципальное бюджетное дошкольное образовательное учреждение МалоМолевский детский сад</t>
        </is>
      </c>
      <c r="C8000" s="13" t="n">
        <v>8501005117</v>
      </c>
      <c r="D8000" s="13" t="inlineStr">
        <is>
          <t>8501005117</t>
        </is>
      </c>
      <c r="E8000" s="13" t="inlineStr">
        <is>
          <t>ЮЛ РФ</t>
        </is>
      </c>
      <c r="F8000" s="13" t="n"/>
      <c r="G8000" s="14" t="n"/>
      <c r="H8000" s="14" t="n"/>
      <c r="I8000" s="14" t="n"/>
      <c r="J8000" s="14" t="n"/>
      <c r="K8000" s="53" t="inlineStr"/>
      <c r="L8000" s="53" t="inlineStr">
        <is>
          <t>Не определено</t>
        </is>
      </c>
      <c r="M8000" s="53" t="inlineStr"/>
      <c r="N8000" s="54" t="inlineStr"/>
      <c r="O8000" s="55" t="inlineStr"/>
      <c r="P8000" s="16" t="inlineStr">
        <is>
          <t>Требует обогащения</t>
        </is>
      </c>
      <c r="Q8000" s="16">
        <f>HYPERLINK("https://pb.nalog.ru/search.html?query=8501005117","ФНС: проверить")</f>
        <v/>
      </c>
      <c r="R8000" s="16">
        <f>HYPERLINK("https://checko.ru/search?query=3801001629","Чекко: проверить")</f>
        <v/>
      </c>
      <c r="S8000" t="n">
        <v>1</v>
      </c>
      <c r="T8000" s="35" t="inlineStr">
        <is>
          <t>4 — Не обогащён</t>
        </is>
      </c>
      <c r="U8000" s="35" t="inlineStr">
        <is>
          <t>Нет ОКВЭД/ССЧР</t>
        </is>
      </c>
      <c r="V8000" s="35" t="inlineStr">
        <is>
          <t>Не определено</t>
        </is>
      </c>
      <c r="W8000" s="35" t="inlineStr"/>
      <c r="X8000" s="35" t="inlineStr"/>
    </row>
    <row r="8001" ht="54.75" customHeight="1" s="24">
      <c r="A8001" s="13" t="n">
        <v>5000118787</v>
      </c>
      <c r="B8001" s="13" t="inlineStr">
        <is>
          <t>Муниципальное бюджетное общеобразовательное учреждение Александровская средняя общеобразовательная школа</t>
        </is>
      </c>
      <c r="C8001" s="13" t="n">
        <v>8501003864</v>
      </c>
      <c r="D8001" s="13" t="inlineStr">
        <is>
          <t>8501003864</t>
        </is>
      </c>
      <c r="E8001" s="13" t="inlineStr">
        <is>
          <t>ЮЛ РФ</t>
        </is>
      </c>
      <c r="F8001" s="13" t="n"/>
      <c r="G8001" s="14" t="n"/>
      <c r="H8001" s="14" t="n"/>
      <c r="I8001" s="14" t="n"/>
      <c r="J8001" s="14" t="n"/>
      <c r="K8001" s="53" t="inlineStr"/>
      <c r="L8001" s="53" t="inlineStr">
        <is>
          <t>Не определено</t>
        </is>
      </c>
      <c r="M8001" s="53" t="inlineStr"/>
      <c r="N8001" s="54" t="inlineStr"/>
      <c r="O8001" s="55" t="inlineStr"/>
      <c r="P8001" s="16" t="inlineStr">
        <is>
          <t>Требует обогащения</t>
        </is>
      </c>
      <c r="Q8001" s="16">
        <f>HYPERLINK("https://pb.nalog.ru/search.html?query=8501003864","ФНС: проверить")</f>
        <v/>
      </c>
      <c r="R8001" s="16">
        <f>HYPERLINK("https://checko.ru/search?query=3801001629","Чекко: проверить")</f>
        <v/>
      </c>
      <c r="S8001" t="n">
        <v>1</v>
      </c>
      <c r="T8001" s="35" t="inlineStr">
        <is>
          <t>4 — Не обогащён</t>
        </is>
      </c>
      <c r="U8001" s="35" t="inlineStr">
        <is>
          <t>Нет ОКВЭД/ССЧР</t>
        </is>
      </c>
      <c r="V8001" s="35" t="inlineStr">
        <is>
          <t>Не определено</t>
        </is>
      </c>
      <c r="W8001" s="35" t="inlineStr"/>
      <c r="X8001" s="35" t="inlineStr"/>
    </row>
    <row r="8002" ht="41.25" customHeight="1" s="24">
      <c r="A8002" s="13" t="n">
        <v>5000118791</v>
      </c>
      <c r="B8002" s="13" t="inlineStr">
        <is>
          <t>Муниципальное бюджетное общеобразовательное учреждение Зонская средняя общеобразовательная школа</t>
        </is>
      </c>
      <c r="C8002" s="13" t="n">
        <v>8501003896</v>
      </c>
      <c r="D8002" s="13" t="inlineStr">
        <is>
          <t>8501003896</t>
        </is>
      </c>
      <c r="E8002" s="13" t="inlineStr">
        <is>
          <t>ЮЛ РФ</t>
        </is>
      </c>
      <c r="F8002" s="13" t="n"/>
      <c r="G8002" s="14" t="n"/>
      <c r="H8002" s="14" t="n"/>
      <c r="I8002" s="14" t="n"/>
      <c r="J8002" s="14" t="n"/>
      <c r="K8002" s="53" t="inlineStr"/>
      <c r="L8002" s="53" t="inlineStr">
        <is>
          <t>Не определено</t>
        </is>
      </c>
      <c r="M8002" s="53" t="inlineStr"/>
      <c r="N8002" s="54" t="inlineStr"/>
      <c r="O8002" s="55" t="inlineStr"/>
      <c r="P8002" s="16" t="inlineStr">
        <is>
          <t>Требует обогащения</t>
        </is>
      </c>
      <c r="Q8002" s="16">
        <f>HYPERLINK("https://pb.nalog.ru/search.html?query=8501003896","ФНС: проверить")</f>
        <v/>
      </c>
      <c r="R8002" s="16">
        <f>HYPERLINK("https://checko.ru/search?query=3801001629","Чекко: проверить")</f>
        <v/>
      </c>
      <c r="S8002" t="n">
        <v>1</v>
      </c>
      <c r="T8002" s="35" t="inlineStr">
        <is>
          <t>4 — Не обогащён</t>
        </is>
      </c>
      <c r="U8002" s="35" t="inlineStr">
        <is>
          <t>Нет ОКВЭД/ССЧР</t>
        </is>
      </c>
      <c r="V8002" s="35" t="inlineStr">
        <is>
          <t>Не определено</t>
        </is>
      </c>
      <c r="W8002" s="35" t="inlineStr"/>
      <c r="X8002" s="35" t="inlineStr"/>
    </row>
    <row r="8003" ht="41.25" customHeight="1" s="24">
      <c r="A8003" s="13" t="n">
        <v>5000118792</v>
      </c>
      <c r="B8003" s="13" t="inlineStr">
        <is>
          <t>Муниципальное бюджетное общеобразовательное учреждение Идеальская средняя общеобразовательная школа</t>
        </is>
      </c>
      <c r="C8003" s="13" t="n">
        <v>8501003952</v>
      </c>
      <c r="D8003" s="13" t="inlineStr">
        <is>
          <t>8501003952</t>
        </is>
      </c>
      <c r="E8003" s="13" t="inlineStr">
        <is>
          <t>ЮЛ РФ</t>
        </is>
      </c>
      <c r="F8003" s="13" t="n"/>
      <c r="G8003" s="14" t="n"/>
      <c r="H8003" s="14" t="n"/>
      <c r="I8003" s="14" t="n"/>
      <c r="J8003" s="14" t="n"/>
      <c r="K8003" s="53" t="inlineStr"/>
      <c r="L8003" s="53" t="inlineStr">
        <is>
          <t>Не определено</t>
        </is>
      </c>
      <c r="M8003" s="53" t="inlineStr"/>
      <c r="N8003" s="54" t="inlineStr"/>
      <c r="O8003" s="55" t="inlineStr"/>
      <c r="P8003" s="16" t="inlineStr">
        <is>
          <t>Требует обогащения</t>
        </is>
      </c>
      <c r="Q8003" s="16">
        <f>HYPERLINK("https://pb.nalog.ru/search.html?query=8501003952","ФНС: проверить")</f>
        <v/>
      </c>
      <c r="R8003" s="16">
        <f>HYPERLINK("https://checko.ru/search?query=3801001629","Чекко: проверить")</f>
        <v/>
      </c>
      <c r="S8003" t="n">
        <v>1</v>
      </c>
      <c r="T8003" s="35" t="inlineStr">
        <is>
          <t>4 — Не обогащён</t>
        </is>
      </c>
      <c r="U8003" s="35" t="inlineStr">
        <is>
          <t>Нет ОКВЭД/ССЧР</t>
        </is>
      </c>
      <c r="V8003" s="35" t="inlineStr">
        <is>
          <t>Не определено</t>
        </is>
      </c>
      <c r="W8003" s="35" t="inlineStr"/>
      <c r="X8003" s="35" t="inlineStr"/>
    </row>
    <row r="8004" ht="41.25" customHeight="1" s="24">
      <c r="A8004" s="13" t="n">
        <v>5000118795</v>
      </c>
      <c r="B8004" s="13" t="inlineStr">
        <is>
          <t>Муниципальное бюджетное общеобразовательное учреждение Табарсукская средняя общеобразовательная школа</t>
        </is>
      </c>
      <c r="C8004" s="13" t="n">
        <v>8501004025</v>
      </c>
      <c r="D8004" s="13" t="inlineStr">
        <is>
          <t>8501004025</t>
        </is>
      </c>
      <c r="E8004" s="13" t="inlineStr">
        <is>
          <t>ЮЛ РФ</t>
        </is>
      </c>
      <c r="F8004" s="13" t="n"/>
      <c r="G8004" s="14" t="n"/>
      <c r="H8004" s="14" t="n"/>
      <c r="I8004" s="14" t="n"/>
      <c r="J8004" s="14" t="n"/>
      <c r="K8004" s="53" t="inlineStr"/>
      <c r="L8004" s="53" t="inlineStr">
        <is>
          <t>Не определено</t>
        </is>
      </c>
      <c r="M8004" s="53" t="inlineStr"/>
      <c r="N8004" s="54" t="inlineStr"/>
      <c r="O8004" s="55" t="inlineStr"/>
      <c r="P8004" s="16" t="inlineStr">
        <is>
          <t>Требует обогащения</t>
        </is>
      </c>
      <c r="Q8004" s="16">
        <f>HYPERLINK("https://pb.nalog.ru/search.html?query=8501004025","ФНС: проверить")</f>
        <v/>
      </c>
      <c r="R8004" s="16">
        <f>HYPERLINK("https://checko.ru/search?query=3801001629","Чекко: проверить")</f>
        <v/>
      </c>
      <c r="S8004" t="n">
        <v>1</v>
      </c>
      <c r="T8004" s="35" t="inlineStr">
        <is>
          <t>4 — Не обогащён</t>
        </is>
      </c>
      <c r="U8004" s="35" t="inlineStr">
        <is>
          <t>Нет ОКВЭД/ССЧР</t>
        </is>
      </c>
      <c r="V8004" s="35" t="inlineStr">
        <is>
          <t>Не определено</t>
        </is>
      </c>
      <c r="W8004" s="35" t="inlineStr"/>
      <c r="X8004" s="35" t="inlineStr"/>
    </row>
    <row r="8005" ht="54.75" customHeight="1" s="24">
      <c r="A8005" s="13" t="n">
        <v>5000118798</v>
      </c>
      <c r="B8005" s="13" t="inlineStr">
        <is>
          <t>Муниципальное бюджетное общеобразовательное учреждение Егоровская основная общеобразовательная школа имени полного кавалера ордена славы   Левченко Гр</t>
        </is>
      </c>
      <c r="C8005" s="13" t="n">
        <v>8501003913</v>
      </c>
      <c r="D8005" s="13" t="inlineStr">
        <is>
          <t>8501003913</t>
        </is>
      </c>
      <c r="E8005" s="13" t="inlineStr">
        <is>
          <t>ЮЛ РФ</t>
        </is>
      </c>
      <c r="F8005" s="13" t="n"/>
      <c r="G8005" s="14" t="n"/>
      <c r="H8005" s="14" t="n"/>
      <c r="I8005" s="14" t="n"/>
      <c r="J8005" s="14" t="n"/>
      <c r="K8005" s="53" t="inlineStr"/>
      <c r="L8005" s="53" t="inlineStr">
        <is>
          <t>Не определено</t>
        </is>
      </c>
      <c r="M8005" s="53" t="inlineStr"/>
      <c r="N8005" s="54" t="inlineStr"/>
      <c r="O8005" s="55" t="inlineStr"/>
      <c r="P8005" s="16" t="inlineStr">
        <is>
          <t>Требует обогащения</t>
        </is>
      </c>
      <c r="Q8005" s="16">
        <f>HYPERLINK("https://pb.nalog.ru/search.html?query=8501003913","ФНС: проверить")</f>
        <v/>
      </c>
      <c r="R8005" s="16">
        <f>HYPERLINK("https://checko.ru/search?query=3801001629","Чекко: проверить")</f>
        <v/>
      </c>
      <c r="S8005" t="n">
        <v>1</v>
      </c>
      <c r="T8005" s="35" t="inlineStr">
        <is>
          <t>4 — Не обогащён</t>
        </is>
      </c>
      <c r="U8005" s="35" t="inlineStr">
        <is>
          <t>Нет ОКВЭД/ССЧР</t>
        </is>
      </c>
      <c r="V8005" s="35" t="inlineStr">
        <is>
          <t>Не определено</t>
        </is>
      </c>
      <c r="W8005" s="35" t="inlineStr"/>
      <c r="X8005" s="35" t="inlineStr"/>
    </row>
    <row r="8006" ht="41.25" customHeight="1" s="24">
      <c r="A8006" s="13" t="n">
        <v>5000118800</v>
      </c>
      <c r="B8006" s="13" t="inlineStr">
        <is>
          <t>Муниципальное бюджетное общеобразовательное учреждение Тыргетуйская средняя общеобразовательная школа</t>
        </is>
      </c>
      <c r="C8006" s="13" t="n">
        <v>8501004018</v>
      </c>
      <c r="D8006" s="13" t="inlineStr">
        <is>
          <t>8501004018</t>
        </is>
      </c>
      <c r="E8006" s="13" t="inlineStr">
        <is>
          <t>ЮЛ РФ</t>
        </is>
      </c>
      <c r="F8006" s="13" t="n"/>
      <c r="G8006" s="14" t="n"/>
      <c r="H8006" s="14" t="n"/>
      <c r="I8006" s="14" t="n"/>
      <c r="J8006" s="14" t="n"/>
      <c r="K8006" s="53" t="inlineStr"/>
      <c r="L8006" s="53" t="inlineStr">
        <is>
          <t>Не определено</t>
        </is>
      </c>
      <c r="M8006" s="53" t="inlineStr"/>
      <c r="N8006" s="54" t="inlineStr"/>
      <c r="O8006" s="55" t="inlineStr"/>
      <c r="P8006" s="16" t="inlineStr">
        <is>
          <t>Требует обогащения</t>
        </is>
      </c>
      <c r="Q8006" s="16">
        <f>HYPERLINK("https://pb.nalog.ru/search.html?query=8501004018","ФНС: проверить")</f>
        <v/>
      </c>
      <c r="R8006" s="16">
        <f>HYPERLINK("https://checko.ru/search?query=3801001629","Чекко: проверить")</f>
        <v/>
      </c>
      <c r="S8006" t="n">
        <v>1</v>
      </c>
      <c r="T8006" s="35" t="inlineStr">
        <is>
          <t>4 — Не обогащён</t>
        </is>
      </c>
      <c r="U8006" s="35" t="inlineStr">
        <is>
          <t>Нет ОКВЭД/ССЧР</t>
        </is>
      </c>
      <c r="V8006" s="35" t="inlineStr">
        <is>
          <t>Не определено</t>
        </is>
      </c>
      <c r="W8006" s="35" t="inlineStr"/>
      <c r="X8006" s="35" t="inlineStr"/>
    </row>
    <row r="8007" ht="41.25" customHeight="1" s="24">
      <c r="A8007" s="13" t="n">
        <v>5000118801</v>
      </c>
      <c r="B8007" s="13" t="inlineStr">
        <is>
          <t>Муниципальное бюджетное общеобразовательное учреждение Головинская основная общеобразовательная школа</t>
        </is>
      </c>
      <c r="C8007" s="13" t="n">
        <v>8501003960</v>
      </c>
      <c r="D8007" s="13" t="inlineStr">
        <is>
          <t>8501003960</t>
        </is>
      </c>
      <c r="E8007" s="13" t="inlineStr">
        <is>
          <t>ЮЛ РФ</t>
        </is>
      </c>
      <c r="F8007" s="13" t="n"/>
      <c r="G8007" s="14" t="n"/>
      <c r="H8007" s="14" t="n"/>
      <c r="I8007" s="14" t="n"/>
      <c r="J8007" s="14" t="n"/>
      <c r="K8007" s="53" t="inlineStr"/>
      <c r="L8007" s="53" t="inlineStr">
        <is>
          <t>Не определено</t>
        </is>
      </c>
      <c r="M8007" s="53" t="inlineStr"/>
      <c r="N8007" s="54" t="inlineStr"/>
      <c r="O8007" s="55" t="inlineStr"/>
      <c r="P8007" s="16" t="inlineStr">
        <is>
          <t>Требует обогащения</t>
        </is>
      </c>
      <c r="Q8007" s="16">
        <f>HYPERLINK("https://pb.nalog.ru/search.html?query=8501003960","ФНС: проверить")</f>
        <v/>
      </c>
      <c r="R8007" s="16">
        <f>HYPERLINK("https://checko.ru/search?query=3801001629","Чекко: проверить")</f>
        <v/>
      </c>
      <c r="S8007" t="n">
        <v>1</v>
      </c>
      <c r="T8007" s="35" t="inlineStr">
        <is>
          <t>4 — Не обогащён</t>
        </is>
      </c>
      <c r="U8007" s="35" t="inlineStr">
        <is>
          <t>Нет ОКВЭД/ССЧР</t>
        </is>
      </c>
      <c r="V8007" s="35" t="inlineStr">
        <is>
          <t>Не определено</t>
        </is>
      </c>
      <c r="W8007" s="35" t="inlineStr"/>
      <c r="X8007" s="35" t="inlineStr"/>
    </row>
    <row r="8008" ht="41.25" customHeight="1" s="24">
      <c r="A8008" s="13" t="n">
        <v>5000118802</v>
      </c>
      <c r="B8008" s="13" t="inlineStr">
        <is>
          <t>Муниципальное бюджетное образовательное учреждение дополнительного образования «Спортивная школа «Олимп» п. Кутулик»</t>
        </is>
      </c>
      <c r="C8008" s="13" t="n">
        <v>8501004508</v>
      </c>
      <c r="D8008" s="13" t="inlineStr">
        <is>
          <t>8501004508</t>
        </is>
      </c>
      <c r="E8008" s="13" t="inlineStr">
        <is>
          <t>ЮЛ РФ</t>
        </is>
      </c>
      <c r="F8008" s="13" t="n"/>
      <c r="G8008" s="14" t="n"/>
      <c r="H8008" s="14" t="n"/>
      <c r="I8008" s="14" t="n"/>
      <c r="J8008" s="14" t="n"/>
      <c r="K8008" s="53" t="inlineStr"/>
      <c r="L8008" s="53" t="inlineStr">
        <is>
          <t>Не определено</t>
        </is>
      </c>
      <c r="M8008" s="53" t="inlineStr"/>
      <c r="N8008" s="54" t="inlineStr"/>
      <c r="O8008" s="55" t="inlineStr"/>
      <c r="P8008" s="16" t="inlineStr">
        <is>
          <t>Требует обогащения</t>
        </is>
      </c>
      <c r="Q8008" s="16">
        <f>HYPERLINK("https://pb.nalog.ru/search.html?query=8501004508","ФНС: проверить")</f>
        <v/>
      </c>
      <c r="R8008" s="16">
        <f>HYPERLINK("https://checko.ru/search?query=3801001629","Чекко: проверить")</f>
        <v/>
      </c>
      <c r="S8008" t="n">
        <v>1</v>
      </c>
      <c r="T8008" s="35" t="inlineStr">
        <is>
          <t>4 — Не обогащён</t>
        </is>
      </c>
      <c r="U8008" s="35" t="inlineStr">
        <is>
          <t>Нет ОКВЭД/ССЧР</t>
        </is>
      </c>
      <c r="V8008" s="35" t="inlineStr">
        <is>
          <t>Не определено</t>
        </is>
      </c>
      <c r="W8008" s="35" t="inlineStr"/>
      <c r="X8008" s="35" t="inlineStr"/>
    </row>
    <row r="8009" ht="41.25" customHeight="1" s="24">
      <c r="A8009" s="13" t="n">
        <v>5000118803</v>
      </c>
      <c r="B8009" s="13" t="inlineStr">
        <is>
          <t>Муниципальное бюджетное образовательное учреждение дополнительного образования Районный Дом детского творчества</t>
        </is>
      </c>
      <c r="C8009" s="13" t="n">
        <v>8501003977</v>
      </c>
      <c r="D8009" s="13" t="inlineStr">
        <is>
          <t>8501003977</t>
        </is>
      </c>
      <c r="E8009" s="13" t="inlineStr">
        <is>
          <t>ЮЛ РФ</t>
        </is>
      </c>
      <c r="F8009" s="13" t="n"/>
      <c r="G8009" s="14" t="n"/>
      <c r="H8009" s="14" t="n"/>
      <c r="I8009" s="14" t="n"/>
      <c r="J8009" s="14" t="n"/>
      <c r="K8009" s="53" t="inlineStr"/>
      <c r="L8009" s="53" t="inlineStr">
        <is>
          <t>Не определено</t>
        </is>
      </c>
      <c r="M8009" s="53" t="inlineStr"/>
      <c r="N8009" s="54" t="inlineStr"/>
      <c r="O8009" s="55" t="inlineStr"/>
      <c r="P8009" s="16" t="inlineStr">
        <is>
          <t>Требует обогащения</t>
        </is>
      </c>
      <c r="Q8009" s="16">
        <f>HYPERLINK("https://pb.nalog.ru/search.html?query=8501003977","ФНС: проверить")</f>
        <v/>
      </c>
      <c r="R8009" s="16">
        <f>HYPERLINK("https://checko.ru/search?query=3801001629","Чекко: проверить")</f>
        <v/>
      </c>
      <c r="S8009" t="n">
        <v>1</v>
      </c>
      <c r="T8009" s="35" t="inlineStr">
        <is>
          <t>4 — Не обогащён</t>
        </is>
      </c>
      <c r="U8009" s="35" t="inlineStr">
        <is>
          <t>Нет ОКВЭД/ССЧР</t>
        </is>
      </c>
      <c r="V8009" s="35" t="inlineStr">
        <is>
          <t>Не определено</t>
        </is>
      </c>
      <c r="W8009" s="35" t="inlineStr"/>
      <c r="X8009" s="35" t="inlineStr"/>
    </row>
    <row r="8010" ht="27.75" customHeight="1" s="24">
      <c r="A8010" s="13" t="n">
        <v>5000118804</v>
      </c>
      <c r="B8010" s="13" t="inlineStr">
        <is>
          <t>Муниципальное бюджетное учреждение оздоровительный лагерь "Мечта" им. В.В. Кузина</t>
        </is>
      </c>
      <c r="C8010" s="13" t="n">
        <v>8501005438</v>
      </c>
      <c r="D8010" s="13" t="inlineStr">
        <is>
          <t>8501005438</t>
        </is>
      </c>
      <c r="E8010" s="13" t="inlineStr">
        <is>
          <t>ЮЛ РФ</t>
        </is>
      </c>
      <c r="F8010" s="13" t="n"/>
      <c r="G8010" s="14" t="n"/>
      <c r="H8010" s="14" t="n"/>
      <c r="I8010" s="14" t="n"/>
      <c r="J8010" s="14" t="n"/>
      <c r="K8010" s="53" t="inlineStr"/>
      <c r="L8010" s="53" t="inlineStr">
        <is>
          <t>Не определено</t>
        </is>
      </c>
      <c r="M8010" s="53" t="inlineStr"/>
      <c r="N8010" s="54" t="inlineStr"/>
      <c r="O8010" s="55" t="inlineStr"/>
      <c r="P8010" s="16" t="inlineStr">
        <is>
          <t>Требует обогащения</t>
        </is>
      </c>
      <c r="Q8010" s="16">
        <f>HYPERLINK("https://pb.nalog.ru/search.html?query=8501005438","ФНС: проверить")</f>
        <v/>
      </c>
      <c r="R8010" s="16">
        <f>HYPERLINK("https://checko.ru/search?query=3801001629","Чекко: проверить")</f>
        <v/>
      </c>
      <c r="S8010" t="n">
        <v>1</v>
      </c>
      <c r="T8010" s="35" t="inlineStr">
        <is>
          <t>4 — Не обогащён</t>
        </is>
      </c>
      <c r="U8010" s="35" t="inlineStr">
        <is>
          <t>Нет ОКВЭД/ССЧР</t>
        </is>
      </c>
      <c r="V8010" s="35" t="inlineStr">
        <is>
          <t>Не определено</t>
        </is>
      </c>
      <c r="W8010" s="35" t="inlineStr"/>
      <c r="X8010" s="35" t="inlineStr"/>
    </row>
    <row r="8011" ht="41.25" customHeight="1" s="24">
      <c r="A8011" s="13" t="n">
        <v>5000118806</v>
      </c>
      <c r="B8011" s="13" t="inlineStr">
        <is>
          <t>Муниципальное бюджетное дошкольное образовательное учреждение Кутуликский детский сад №4</t>
        </is>
      </c>
      <c r="C8011" s="13" t="n">
        <v>3851002184</v>
      </c>
      <c r="D8011" s="13" t="inlineStr">
        <is>
          <t>3851002184</t>
        </is>
      </c>
      <c r="E8011" s="13" t="inlineStr">
        <is>
          <t>ЮЛ РФ</t>
        </is>
      </c>
      <c r="F8011" s="13" t="n"/>
      <c r="G8011" s="14" t="n"/>
      <c r="H8011" s="14" t="n"/>
      <c r="I8011" s="14" t="n"/>
      <c r="J8011" s="14" t="n"/>
      <c r="K8011" s="53" t="inlineStr"/>
      <c r="L8011" s="53" t="inlineStr">
        <is>
          <t>Не определено</t>
        </is>
      </c>
      <c r="M8011" s="53" t="inlineStr"/>
      <c r="N8011" s="54" t="inlineStr"/>
      <c r="O8011" s="55" t="inlineStr"/>
      <c r="P8011" s="16" t="inlineStr">
        <is>
          <t>Требует обогащения</t>
        </is>
      </c>
      <c r="Q8011" s="16">
        <f>HYPERLINK("https://pb.nalog.ru/search.html?query=3851002184","ФНС: проверить")</f>
        <v/>
      </c>
      <c r="R8011" s="16">
        <f>HYPERLINK("https://checko.ru/search?query=3801001629","Чекко: проверить")</f>
        <v/>
      </c>
      <c r="S8011" t="n">
        <v>1</v>
      </c>
      <c r="T8011" s="35" t="inlineStr">
        <is>
          <t>4 — Не обогащён</t>
        </is>
      </c>
      <c r="U8011" s="35" t="inlineStr">
        <is>
          <t>Нет ОКВЭД/ССЧР</t>
        </is>
      </c>
      <c r="V8011" s="35" t="inlineStr">
        <is>
          <t>Не определено</t>
        </is>
      </c>
      <c r="W8011" s="35" t="inlineStr"/>
      <c r="X8011" s="35" t="inlineStr"/>
    </row>
    <row r="8012" ht="41.25" customHeight="1" s="24">
      <c r="A8012" s="13" t="n">
        <v>5000118809</v>
      </c>
      <c r="B8012" s="13" t="inlineStr">
        <is>
          <t>Муниципальное бюджетное дошкольное образовательное учреждение Забитуйский детский сад</t>
        </is>
      </c>
      <c r="C8012" s="13" t="n">
        <v>8501005491</v>
      </c>
      <c r="D8012" s="13" t="inlineStr">
        <is>
          <t>8501005491</t>
        </is>
      </c>
      <c r="E8012" s="13" t="inlineStr">
        <is>
          <t>ЮЛ РФ</t>
        </is>
      </c>
      <c r="F8012" s="13" t="n"/>
      <c r="G8012" s="14" t="n"/>
      <c r="H8012" s="14" t="n"/>
      <c r="I8012" s="14" t="n"/>
      <c r="J8012" s="14" t="n"/>
      <c r="K8012" s="53" t="inlineStr"/>
      <c r="L8012" s="53" t="inlineStr">
        <is>
          <t>Не определено</t>
        </is>
      </c>
      <c r="M8012" s="53" t="inlineStr"/>
      <c r="N8012" s="54" t="inlineStr"/>
      <c r="O8012" s="55" t="inlineStr"/>
      <c r="P8012" s="16" t="inlineStr">
        <is>
          <t>Требует обогащения</t>
        </is>
      </c>
      <c r="Q8012" s="16">
        <f>HYPERLINK("https://pb.nalog.ru/search.html?query=8501005491","ФНС: проверить")</f>
        <v/>
      </c>
      <c r="R8012" s="16">
        <f>HYPERLINK("https://checko.ru/search?query=3801001629","Чекко: проверить")</f>
        <v/>
      </c>
      <c r="S8012" t="n">
        <v>1</v>
      </c>
      <c r="T8012" s="35" t="inlineStr">
        <is>
          <t>4 — Не обогащён</t>
        </is>
      </c>
      <c r="U8012" s="35" t="inlineStr">
        <is>
          <t>Нет ОКВЭД/ССЧР</t>
        </is>
      </c>
      <c r="V8012" s="35" t="inlineStr">
        <is>
          <t>Не определено</t>
        </is>
      </c>
      <c r="W8012" s="35" t="inlineStr"/>
      <c r="X8012" s="35" t="inlineStr"/>
    </row>
    <row r="8013" ht="41.25" customHeight="1" s="24">
      <c r="A8013" s="13" t="n">
        <v>5000118810</v>
      </c>
      <c r="B8013" s="13" t="inlineStr">
        <is>
          <t>Муниципальное бюджетное дошкольное образовательное учреждение Табарсукский детский сад</t>
        </is>
      </c>
      <c r="C8013" s="13" t="n">
        <v>8501005340</v>
      </c>
      <c r="D8013" s="13" t="inlineStr">
        <is>
          <t>8501005340</t>
        </is>
      </c>
      <c r="E8013" s="13" t="inlineStr">
        <is>
          <t>ЮЛ РФ</t>
        </is>
      </c>
      <c r="F8013" s="13" t="n"/>
      <c r="G8013" s="14" t="n"/>
      <c r="H8013" s="14" t="n"/>
      <c r="I8013" s="14" t="n"/>
      <c r="J8013" s="14" t="n"/>
      <c r="K8013" s="53" t="inlineStr"/>
      <c r="L8013" s="53" t="inlineStr">
        <is>
          <t>Не определено</t>
        </is>
      </c>
      <c r="M8013" s="53" t="inlineStr"/>
      <c r="N8013" s="54" t="inlineStr"/>
      <c r="O8013" s="55" t="inlineStr"/>
      <c r="P8013" s="16" t="inlineStr">
        <is>
          <t>Требует обогащения</t>
        </is>
      </c>
      <c r="Q8013" s="16">
        <f>HYPERLINK("https://pb.nalog.ru/search.html?query=8501005340","ФНС: проверить")</f>
        <v/>
      </c>
      <c r="R8013" s="16">
        <f>HYPERLINK("https://checko.ru/search?query=3801001629","Чекко: проверить")</f>
        <v/>
      </c>
      <c r="S8013" t="n">
        <v>1</v>
      </c>
      <c r="T8013" s="35" t="inlineStr">
        <is>
          <t>4 — Не обогащён</t>
        </is>
      </c>
      <c r="U8013" s="35" t="inlineStr">
        <is>
          <t>Нет ОКВЭД/ССЧР</t>
        </is>
      </c>
      <c r="V8013" s="35" t="inlineStr">
        <is>
          <t>Не определено</t>
        </is>
      </c>
      <c r="W8013" s="35" t="inlineStr"/>
      <c r="X8013" s="35" t="inlineStr"/>
    </row>
    <row r="8014" ht="41.25" customHeight="1" s="24">
      <c r="A8014" s="13" t="n">
        <v>5000118811</v>
      </c>
      <c r="B8014" s="13" t="inlineStr">
        <is>
          <t>Муниципальное бюджетное дошкольное образовательное учреждение Идеальский детский сад</t>
        </is>
      </c>
      <c r="C8014" s="13" t="n">
        <v>8501005540</v>
      </c>
      <c r="D8014" s="13" t="inlineStr">
        <is>
          <t>8501005540</t>
        </is>
      </c>
      <c r="E8014" s="13" t="inlineStr">
        <is>
          <t>ЮЛ РФ</t>
        </is>
      </c>
      <c r="F8014" s="13" t="n"/>
      <c r="G8014" s="14" t="n"/>
      <c r="H8014" s="14" t="n"/>
      <c r="I8014" s="14" t="n"/>
      <c r="J8014" s="14" t="n"/>
      <c r="K8014" s="53" t="inlineStr"/>
      <c r="L8014" s="53" t="inlineStr">
        <is>
          <t>Не определено</t>
        </is>
      </c>
      <c r="M8014" s="53" t="inlineStr"/>
      <c r="N8014" s="54" t="inlineStr"/>
      <c r="O8014" s="55" t="inlineStr"/>
      <c r="P8014" s="16" t="inlineStr">
        <is>
          <t>Требует обогащения</t>
        </is>
      </c>
      <c r="Q8014" s="16">
        <f>HYPERLINK("https://pb.nalog.ru/search.html?query=8501005540","ФНС: проверить")</f>
        <v/>
      </c>
      <c r="R8014" s="16">
        <f>HYPERLINK("https://checko.ru/search?query=3801001629","Чекко: проверить")</f>
        <v/>
      </c>
      <c r="S8014" t="n">
        <v>1</v>
      </c>
      <c r="T8014" s="35" t="inlineStr">
        <is>
          <t>4 — Не обогащён</t>
        </is>
      </c>
      <c r="U8014" s="35" t="inlineStr">
        <is>
          <t>Нет ОКВЭД/ССЧР</t>
        </is>
      </c>
      <c r="V8014" s="35" t="inlineStr">
        <is>
          <t>Не определено</t>
        </is>
      </c>
      <c r="W8014" s="35" t="inlineStr"/>
      <c r="X8014" s="35" t="inlineStr"/>
    </row>
    <row r="8015" ht="41.25" customHeight="1" s="24">
      <c r="A8015" s="13" t="n">
        <v>5000118812</v>
      </c>
      <c r="B8015" s="13" t="inlineStr">
        <is>
          <t>Муниципальное бюджетное дошкольное образовательное учреждение Иванический детский сад</t>
        </is>
      </c>
      <c r="C8015" s="13" t="n">
        <v>8501005188</v>
      </c>
      <c r="D8015" s="13" t="inlineStr">
        <is>
          <t>8501005188</t>
        </is>
      </c>
      <c r="E8015" s="13" t="inlineStr">
        <is>
          <t>ЮЛ РФ</t>
        </is>
      </c>
      <c r="F8015" s="13" t="n"/>
      <c r="G8015" s="14" t="n"/>
      <c r="H8015" s="14" t="n"/>
      <c r="I8015" s="14" t="n"/>
      <c r="J8015" s="14" t="n"/>
      <c r="K8015" s="53" t="inlineStr"/>
      <c r="L8015" s="53" t="inlineStr">
        <is>
          <t>Не определено</t>
        </is>
      </c>
      <c r="M8015" s="53" t="inlineStr"/>
      <c r="N8015" s="54" t="inlineStr"/>
      <c r="O8015" s="55" t="inlineStr"/>
      <c r="P8015" s="16" t="inlineStr">
        <is>
          <t>Требует обогащения</t>
        </is>
      </c>
      <c r="Q8015" s="16">
        <f>HYPERLINK("https://pb.nalog.ru/search.html?query=8501005188","ФНС: проверить")</f>
        <v/>
      </c>
      <c r="R8015" s="16">
        <f>HYPERLINK("https://checko.ru/search?query=3801001629","Чекко: проверить")</f>
        <v/>
      </c>
      <c r="S8015" t="n">
        <v>1</v>
      </c>
      <c r="T8015" s="35" t="inlineStr">
        <is>
          <t>4 — Не обогащён</t>
        </is>
      </c>
      <c r="U8015" s="35" t="inlineStr">
        <is>
          <t>Нет ОКВЭД/ССЧР</t>
        </is>
      </c>
      <c r="V8015" s="35" t="inlineStr">
        <is>
          <t>Не определено</t>
        </is>
      </c>
      <c r="W8015" s="35" t="inlineStr"/>
      <c r="X8015" s="35" t="inlineStr"/>
    </row>
    <row r="8016" ht="41.25" customHeight="1" s="24">
      <c r="A8016" s="13" t="n">
        <v>5000118790</v>
      </c>
      <c r="B8016" s="13" t="inlineStr">
        <is>
          <t>Муниципальное бюджетное общеобразовательное учреждение Бахтайская средняя общеобразовательная школа</t>
        </is>
      </c>
      <c r="C8016" s="13" t="n">
        <v>8501003840</v>
      </c>
      <c r="D8016" s="13" t="inlineStr">
        <is>
          <t>8501003840</t>
        </is>
      </c>
      <c r="E8016" s="13" t="inlineStr">
        <is>
          <t>ЮЛ РФ</t>
        </is>
      </c>
      <c r="F8016" s="13" t="n"/>
      <c r="G8016" s="14" t="n"/>
      <c r="H8016" s="14" t="n"/>
      <c r="I8016" s="14" t="n"/>
      <c r="J8016" s="14" t="n"/>
      <c r="K8016" s="53" t="inlineStr"/>
      <c r="L8016" s="53" t="inlineStr">
        <is>
          <t>Не определено</t>
        </is>
      </c>
      <c r="M8016" s="53" t="inlineStr"/>
      <c r="N8016" s="54" t="inlineStr"/>
      <c r="O8016" s="55" t="inlineStr"/>
      <c r="P8016" s="16" t="inlineStr">
        <is>
          <t>Требует обогащения</t>
        </is>
      </c>
      <c r="Q8016" s="16">
        <f>HYPERLINK("https://pb.nalog.ru/search.html?query=8501003840","ФНС: проверить")</f>
        <v/>
      </c>
      <c r="R8016" s="16">
        <f>HYPERLINK("https://checko.ru/search?query=3801001629","Чекко: проверить")</f>
        <v/>
      </c>
      <c r="S8016" t="n">
        <v>1</v>
      </c>
      <c r="T8016" s="35" t="inlineStr">
        <is>
          <t>4 — Не обогащён</t>
        </is>
      </c>
      <c r="U8016" s="35" t="inlineStr">
        <is>
          <t>Нет ОКВЭД/ССЧР</t>
        </is>
      </c>
      <c r="V8016" s="35" t="inlineStr">
        <is>
          <t>Не определено</t>
        </is>
      </c>
      <c r="W8016" s="35" t="inlineStr"/>
      <c r="X8016" s="35" t="inlineStr"/>
    </row>
    <row r="8017" ht="41.25" customHeight="1" s="24">
      <c r="A8017" s="13" t="n">
        <v>5000118794</v>
      </c>
      <c r="B8017" s="13" t="inlineStr">
        <is>
          <t>Муниципальное бюджетное общеобразовательное учреждение Маниловская средняя общеобразовательная школа</t>
        </is>
      </c>
      <c r="C8017" s="13" t="n">
        <v>8501004057</v>
      </c>
      <c r="D8017" s="13" t="inlineStr">
        <is>
          <t>8501004057</t>
        </is>
      </c>
      <c r="E8017" s="13" t="inlineStr">
        <is>
          <t>ЮЛ РФ</t>
        </is>
      </c>
      <c r="F8017" s="13" t="n"/>
      <c r="G8017" s="14" t="n"/>
      <c r="H8017" s="14" t="n"/>
      <c r="I8017" s="14" t="n"/>
      <c r="J8017" s="14" t="n"/>
      <c r="K8017" s="53" t="inlineStr"/>
      <c r="L8017" s="53" t="inlineStr">
        <is>
          <t>Не определено</t>
        </is>
      </c>
      <c r="M8017" s="53" t="inlineStr"/>
      <c r="N8017" s="54" t="inlineStr"/>
      <c r="O8017" s="55" t="inlineStr"/>
      <c r="P8017" s="16" t="inlineStr">
        <is>
          <t>Требует обогащения</t>
        </is>
      </c>
      <c r="Q8017" s="16">
        <f>HYPERLINK("https://pb.nalog.ru/search.html?query=8501004057","ФНС: проверить")</f>
        <v/>
      </c>
      <c r="R8017" s="16">
        <f>HYPERLINK("https://checko.ru/search?query=3801001629","Чекко: проверить")</f>
        <v/>
      </c>
      <c r="S8017" t="n">
        <v>1</v>
      </c>
      <c r="T8017" s="35" t="inlineStr">
        <is>
          <t>4 — Не обогащён</t>
        </is>
      </c>
      <c r="U8017" s="35" t="inlineStr">
        <is>
          <t>Нет ОКВЭД/ССЧР</t>
        </is>
      </c>
      <c r="V8017" s="35" t="inlineStr">
        <is>
          <t>Не определено</t>
        </is>
      </c>
      <c r="W8017" s="35" t="inlineStr"/>
      <c r="X8017" s="35" t="inlineStr"/>
    </row>
    <row r="8018" ht="41.25" customHeight="1" s="24">
      <c r="A8018" s="13" t="n">
        <v>5000118796</v>
      </c>
      <c r="B8018" s="13" t="inlineStr">
        <is>
          <t>Муниципальное бюджетное общеобразовательное учреждение Забитуйская средняя общеобразовательная школа</t>
        </is>
      </c>
      <c r="C8018" s="13" t="n">
        <v>8501003906</v>
      </c>
      <c r="D8018" s="13" t="inlineStr">
        <is>
          <t>8501003906</t>
        </is>
      </c>
      <c r="E8018" s="13" t="inlineStr">
        <is>
          <t>ЮЛ РФ</t>
        </is>
      </c>
      <c r="F8018" s="13" t="n"/>
      <c r="G8018" s="14" t="n"/>
      <c r="H8018" s="14" t="n"/>
      <c r="I8018" s="14" t="n"/>
      <c r="J8018" s="14" t="n"/>
      <c r="K8018" s="53" t="inlineStr"/>
      <c r="L8018" s="53" t="inlineStr">
        <is>
          <t>Не определено</t>
        </is>
      </c>
      <c r="M8018" s="53" t="inlineStr"/>
      <c r="N8018" s="54" t="inlineStr"/>
      <c r="O8018" s="55" t="inlineStr"/>
      <c r="P8018" s="16" t="inlineStr">
        <is>
          <t>Требует обогащения</t>
        </is>
      </c>
      <c r="Q8018" s="16">
        <f>HYPERLINK("https://pb.nalog.ru/search.html?query=8501003906","ФНС: проверить")</f>
        <v/>
      </c>
      <c r="R8018" s="16">
        <f>HYPERLINK("https://checko.ru/search?query=3801001629","Чекко: проверить")</f>
        <v/>
      </c>
      <c r="S8018" t="n">
        <v>1</v>
      </c>
      <c r="T8018" s="35" t="inlineStr">
        <is>
          <t>4 — Не обогащён</t>
        </is>
      </c>
      <c r="U8018" s="35" t="inlineStr">
        <is>
          <t>Нет ОКВЭД/ССЧР</t>
        </is>
      </c>
      <c r="V8018" s="35" t="inlineStr">
        <is>
          <t>Не определено</t>
        </is>
      </c>
      <c r="W8018" s="35" t="inlineStr"/>
      <c r="X8018" s="35" t="inlineStr"/>
    </row>
    <row r="8019" ht="41.25" customHeight="1" s="24">
      <c r="A8019" s="13" t="n">
        <v>5000118807</v>
      </c>
      <c r="B8019" s="13" t="inlineStr">
        <is>
          <t>Муниципальное бюджетное дошкольное образовательное учреждение Бахтайский детский сад</t>
        </is>
      </c>
      <c r="C8019" s="13" t="n">
        <v>8501005614</v>
      </c>
      <c r="D8019" s="13" t="inlineStr">
        <is>
          <t>8501005614</t>
        </is>
      </c>
      <c r="E8019" s="13" t="inlineStr">
        <is>
          <t>ЮЛ РФ</t>
        </is>
      </c>
      <c r="F8019" s="13" t="n"/>
      <c r="G8019" s="14" t="n"/>
      <c r="H8019" s="14" t="n"/>
      <c r="I8019" s="14" t="n"/>
      <c r="J8019" s="14" t="n"/>
      <c r="K8019" s="53" t="inlineStr"/>
      <c r="L8019" s="53" t="inlineStr">
        <is>
          <t>Не определено</t>
        </is>
      </c>
      <c r="M8019" s="53" t="inlineStr"/>
      <c r="N8019" s="54" t="inlineStr"/>
      <c r="O8019" s="55" t="inlineStr"/>
      <c r="P8019" s="16" t="inlineStr">
        <is>
          <t>Требует обогащения</t>
        </is>
      </c>
      <c r="Q8019" s="16">
        <f>HYPERLINK("https://pb.nalog.ru/search.html?query=8501005614","ФНС: проверить")</f>
        <v/>
      </c>
      <c r="R8019" s="16">
        <f>HYPERLINK("https://checko.ru/search?query=3801001629","Чекко: проверить")</f>
        <v/>
      </c>
      <c r="S8019" t="n">
        <v>1</v>
      </c>
      <c r="T8019" s="35" t="inlineStr">
        <is>
          <t>4 — Не обогащён</t>
        </is>
      </c>
      <c r="U8019" s="35" t="inlineStr">
        <is>
          <t>Нет ОКВЭД/ССЧР</t>
        </is>
      </c>
      <c r="V8019" s="35" t="inlineStr">
        <is>
          <t>Не определено</t>
        </is>
      </c>
      <c r="W8019" s="35" t="inlineStr"/>
      <c r="X8019" s="35" t="inlineStr"/>
    </row>
    <row r="8020" ht="41.25" customHeight="1" s="24">
      <c r="A8020" s="13" t="n">
        <v>5000118808</v>
      </c>
      <c r="B8020" s="13" t="inlineStr">
        <is>
          <t>Муниципальное бюджетное дошкольное образовательное учреждение Зонский детский сад</t>
        </is>
      </c>
      <c r="C8020" s="13" t="n">
        <v>8501005371</v>
      </c>
      <c r="D8020" s="13" t="inlineStr">
        <is>
          <t>8501005371</t>
        </is>
      </c>
      <c r="E8020" s="13" t="inlineStr">
        <is>
          <t>ЮЛ РФ</t>
        </is>
      </c>
      <c r="F8020" s="13" t="n"/>
      <c r="G8020" s="14" t="n"/>
      <c r="H8020" s="14" t="n"/>
      <c r="I8020" s="14" t="n"/>
      <c r="J8020" s="14" t="n"/>
      <c r="K8020" s="53" t="inlineStr"/>
      <c r="L8020" s="53" t="inlineStr">
        <is>
          <t>Не определено</t>
        </is>
      </c>
      <c r="M8020" s="53" t="inlineStr"/>
      <c r="N8020" s="54" t="inlineStr"/>
      <c r="O8020" s="55" t="inlineStr"/>
      <c r="P8020" s="16" t="inlineStr">
        <is>
          <t>Требует обогащения</t>
        </is>
      </c>
      <c r="Q8020" s="16">
        <f>HYPERLINK("https://pb.nalog.ru/search.html?query=8501005371","ФНС: проверить")</f>
        <v/>
      </c>
      <c r="R8020" s="16">
        <f>HYPERLINK("https://checko.ru/search?query=3801001629","Чекко: проверить")</f>
        <v/>
      </c>
      <c r="S8020" t="n">
        <v>1</v>
      </c>
      <c r="T8020" s="35" t="inlineStr">
        <is>
          <t>4 — Не обогащён</t>
        </is>
      </c>
      <c r="U8020" s="35" t="inlineStr">
        <is>
          <t>Нет ОКВЭД/ССЧР</t>
        </is>
      </c>
      <c r="V8020" s="35" t="inlineStr">
        <is>
          <t>Не определено</t>
        </is>
      </c>
      <c r="W8020" s="35" t="inlineStr"/>
      <c r="X8020" s="35" t="inlineStr"/>
    </row>
    <row r="8021" ht="54.75" customHeight="1" s="24">
      <c r="A8021" s="13" t="n">
        <v>5000118799</v>
      </c>
      <c r="B8021" s="13" t="inlineStr">
        <is>
          <t>МУНИЦИПАЛЬНОЕ КАЗЕННОЕ ОБЩЕОБРАЗОВАТЕЛЬНОЕ УЧРЕЖДЕНИЕ НЫГДИНСКАЯ СРЕДНЯЯ ОБЩЕОБРАЗОВАТЕЛЬНАЯ ШКОЛА</t>
        </is>
      </c>
      <c r="C8021" s="13" t="n">
        <v>8501003920</v>
      </c>
      <c r="D8021" s="13" t="inlineStr">
        <is>
          <t>8501003920</t>
        </is>
      </c>
      <c r="E8021" s="13" t="inlineStr">
        <is>
          <t>ЮЛ РФ</t>
        </is>
      </c>
      <c r="F8021" s="13" t="n"/>
      <c r="G8021" s="14" t="n"/>
      <c r="H8021" s="14" t="n"/>
      <c r="I8021" s="14" t="n"/>
      <c r="J8021" s="14" t="n"/>
      <c r="K8021" s="53" t="inlineStr"/>
      <c r="L8021" s="53" t="inlineStr">
        <is>
          <t>Не определено</t>
        </is>
      </c>
      <c r="M8021" s="53" t="inlineStr"/>
      <c r="N8021" s="54" t="inlineStr"/>
      <c r="O8021" s="55" t="inlineStr"/>
      <c r="P8021" s="16" t="inlineStr">
        <is>
          <t>Требует обогащения</t>
        </is>
      </c>
      <c r="Q8021" s="16">
        <f>HYPERLINK("https://pb.nalog.ru/search.html?query=8501003920","ФНС: проверить")</f>
        <v/>
      </c>
      <c r="R8021" s="16">
        <f>HYPERLINK("https://checko.ru/search?query=3801001629","Чекко: проверить")</f>
        <v/>
      </c>
      <c r="S8021" t="n">
        <v>1</v>
      </c>
      <c r="T8021" s="35" t="inlineStr">
        <is>
          <t>4 — Не обогащён</t>
        </is>
      </c>
      <c r="U8021" s="35" t="inlineStr">
        <is>
          <t>Нет ОКВЭД/ССЧР</t>
        </is>
      </c>
      <c r="V8021" s="35" t="inlineStr">
        <is>
          <t>Не определено</t>
        </is>
      </c>
      <c r="W8021" s="35" t="inlineStr"/>
      <c r="X8021" s="35" t="inlineStr"/>
    </row>
    <row r="8022" ht="15" customHeight="1" s="24">
      <c r="A8022" s="13" t="n">
        <v>5000118805</v>
      </c>
      <c r="B8022" s="13" t="inlineStr">
        <is>
          <t>МДОУ Кутуликский детский сад №1</t>
        </is>
      </c>
      <c r="C8022" s="13" t="n">
        <v>8501003818</v>
      </c>
      <c r="D8022" s="13" t="inlineStr">
        <is>
          <t>8501003818</t>
        </is>
      </c>
      <c r="E8022" s="13" t="inlineStr">
        <is>
          <t>ЮЛ РФ</t>
        </is>
      </c>
      <c r="F8022" s="13" t="n"/>
      <c r="G8022" s="14" t="n"/>
      <c r="H8022" s="14" t="n"/>
      <c r="I8022" s="14" t="n"/>
      <c r="J8022" s="14" t="n"/>
      <c r="K8022" s="53" t="inlineStr"/>
      <c r="L8022" s="53" t="inlineStr">
        <is>
          <t>Не определено</t>
        </is>
      </c>
      <c r="M8022" s="53" t="inlineStr"/>
      <c r="N8022" s="54" t="inlineStr"/>
      <c r="O8022" s="55" t="inlineStr"/>
      <c r="P8022" s="16" t="inlineStr">
        <is>
          <t>Требует обогащения</t>
        </is>
      </c>
      <c r="Q8022" s="16">
        <f>HYPERLINK("https://pb.nalog.ru/search.html?query=8501003818","ФНС: проверить")</f>
        <v/>
      </c>
      <c r="R8022" s="16">
        <f>HYPERLINK("https://checko.ru/search?query=3801001629","Чекко: проверить")</f>
        <v/>
      </c>
      <c r="S8022" t="n">
        <v>1</v>
      </c>
      <c r="T8022" s="35" t="inlineStr">
        <is>
          <t>4 — Не обогащён</t>
        </is>
      </c>
      <c r="U8022" s="35" t="inlineStr">
        <is>
          <t>Нет ОКВЭД/ССЧР</t>
        </is>
      </c>
      <c r="V8022" s="35" t="inlineStr">
        <is>
          <t>Не определено</t>
        </is>
      </c>
      <c r="W8022" s="35" t="inlineStr"/>
      <c r="X8022" s="35" t="inlineStr"/>
    </row>
    <row r="8023" ht="15" customHeight="1" s="24">
      <c r="A8023" s="13" t="n">
        <v>5000121228</v>
      </c>
      <c r="B8023" s="13" t="inlineStr">
        <is>
          <t>Гимназия, МАОУ</t>
        </is>
      </c>
      <c r="C8023" s="13" t="n">
        <v>5041012808</v>
      </c>
      <c r="D8023" s="13" t="inlineStr">
        <is>
          <t>5041012808</t>
        </is>
      </c>
      <c r="E8023" s="13" t="inlineStr">
        <is>
          <t>ЮЛ РФ</t>
        </is>
      </c>
      <c r="F8023" s="13" t="n"/>
      <c r="G8023" s="14" t="n"/>
      <c r="H8023" s="14" t="n"/>
      <c r="I8023" s="14" t="n"/>
      <c r="J8023" s="14" t="n"/>
      <c r="K8023" s="53" t="inlineStr"/>
      <c r="L8023" s="53" t="inlineStr">
        <is>
          <t>Не определено</t>
        </is>
      </c>
      <c r="M8023" s="53" t="inlineStr"/>
      <c r="N8023" s="54" t="inlineStr"/>
      <c r="O8023" s="55" t="inlineStr"/>
      <c r="P8023" s="16" t="inlineStr">
        <is>
          <t>Требует обогащения</t>
        </is>
      </c>
      <c r="Q8023" s="16">
        <f>HYPERLINK("https://pb.nalog.ru/search.html?query=5041012808","ФНС: проверить")</f>
        <v/>
      </c>
      <c r="R8023" s="16">
        <f>HYPERLINK("https://checko.ru/search?query=3801001629","Чекко: проверить")</f>
        <v/>
      </c>
      <c r="S8023" t="n">
        <v>1</v>
      </c>
      <c r="T8023" s="35" t="inlineStr">
        <is>
          <t>4 — Не обогащён</t>
        </is>
      </c>
      <c r="U8023" s="35" t="inlineStr">
        <is>
          <t>Нет ОКВЭД/ССЧР</t>
        </is>
      </c>
      <c r="V8023" s="35" t="inlineStr">
        <is>
          <t>Не определено</t>
        </is>
      </c>
      <c r="W8023" s="35" t="inlineStr"/>
      <c r="X8023" s="35" t="inlineStr"/>
    </row>
    <row r="8024" ht="41.25" customHeight="1" s="24">
      <c r="A8024" s="13" t="n">
        <v>5000119958</v>
      </c>
      <c r="B8024" s="13" t="inlineStr">
        <is>
          <t>МБУ "Луховицкое городское управление муниципальным жилым фондом и паспортной службой"</t>
        </is>
      </c>
      <c r="C8024" s="13" t="n">
        <v>5072002542</v>
      </c>
      <c r="D8024" s="13" t="inlineStr">
        <is>
          <t>5072002542</t>
        </is>
      </c>
      <c r="E8024" s="13" t="inlineStr">
        <is>
          <t>ЮЛ РФ</t>
        </is>
      </c>
      <c r="F8024" s="13" t="n"/>
      <c r="G8024" s="14" t="n"/>
      <c r="H8024" s="14" t="n"/>
      <c r="I8024" s="14" t="n"/>
      <c r="J8024" s="14" t="n"/>
      <c r="K8024" s="53" t="inlineStr"/>
      <c r="L8024" s="53" t="inlineStr">
        <is>
          <t>Не определено</t>
        </is>
      </c>
      <c r="M8024" s="53" t="inlineStr"/>
      <c r="N8024" s="54" t="inlineStr"/>
      <c r="O8024" s="55" t="inlineStr"/>
      <c r="P8024" s="16" t="inlineStr">
        <is>
          <t>Требует обогащения</t>
        </is>
      </c>
      <c r="Q8024" s="16">
        <f>HYPERLINK("https://pb.nalog.ru/search.html?query=5072002542","ФНС: проверить")</f>
        <v/>
      </c>
      <c r="R8024" s="16">
        <f>HYPERLINK("https://checko.ru/search?query=3801001629","Чекко: проверить")</f>
        <v/>
      </c>
      <c r="S8024" t="n">
        <v>1</v>
      </c>
      <c r="T8024" s="35" t="inlineStr">
        <is>
          <t>4 — Не обогащён</t>
        </is>
      </c>
      <c r="U8024" s="35" t="inlineStr">
        <is>
          <t>Нет ОКВЭД/ССЧР</t>
        </is>
      </c>
      <c r="V8024" s="35" t="inlineStr">
        <is>
          <t>Не определено</t>
        </is>
      </c>
      <c r="W8024" s="35" t="inlineStr"/>
      <c r="X8024" s="35" t="inlineStr"/>
    </row>
    <row r="8025" ht="15" customHeight="1" s="24">
      <c r="A8025" s="13" t="n">
        <v>5000121216</v>
      </c>
      <c r="B8025" s="13" t="inlineStr">
        <is>
          <t>МКУ "ЕДДС г.Реутов"</t>
        </is>
      </c>
      <c r="C8025" s="13" t="n">
        <v>5012074479</v>
      </c>
      <c r="D8025" s="13" t="inlineStr">
        <is>
          <t>5012074479</t>
        </is>
      </c>
      <c r="E8025" s="13" t="inlineStr">
        <is>
          <t>ЮЛ РФ</t>
        </is>
      </c>
      <c r="F8025" s="13" t="n"/>
      <c r="G8025" s="14" t="n"/>
      <c r="H8025" s="14" t="n"/>
      <c r="I8025" s="14" t="n"/>
      <c r="J8025" s="14" t="n"/>
      <c r="K8025" s="53" t="inlineStr"/>
      <c r="L8025" s="53" t="inlineStr">
        <is>
          <t>Не определено</t>
        </is>
      </c>
      <c r="M8025" s="53" t="inlineStr"/>
      <c r="N8025" s="54" t="inlineStr"/>
      <c r="O8025" s="55" t="inlineStr"/>
      <c r="P8025" s="16" t="inlineStr">
        <is>
          <t>Требует обогащения</t>
        </is>
      </c>
      <c r="Q8025" s="16">
        <f>HYPERLINK("https://pb.nalog.ru/search.html?query=5012074479","ФНС: проверить")</f>
        <v/>
      </c>
      <c r="R8025" s="16">
        <f>HYPERLINK("https://checko.ru/search?query=3801001629","Чекко: проверить")</f>
        <v/>
      </c>
      <c r="S8025" t="n">
        <v>1</v>
      </c>
      <c r="T8025" s="35" t="inlineStr">
        <is>
          <t>4 — Не обогащён</t>
        </is>
      </c>
      <c r="U8025" s="35" t="inlineStr">
        <is>
          <t>Нет ОКВЭД/ССЧР</t>
        </is>
      </c>
      <c r="V8025" s="35" t="inlineStr">
        <is>
          <t>Не определено</t>
        </is>
      </c>
      <c r="W8025" s="35" t="inlineStr"/>
      <c r="X8025" s="35" t="inlineStr"/>
    </row>
    <row r="8026" ht="15" customHeight="1" s="24">
      <c r="A8026" s="13" t="n">
        <v>5000121223</v>
      </c>
      <c r="B8026" s="13" t="inlineStr">
        <is>
          <t>МБОУ "СОШ №6"</t>
        </is>
      </c>
      <c r="C8026" s="13" t="n">
        <v>5041012822</v>
      </c>
      <c r="D8026" s="13" t="inlineStr">
        <is>
          <t>5041012822</t>
        </is>
      </c>
      <c r="E8026" s="13" t="inlineStr">
        <is>
          <t>ЮЛ РФ</t>
        </is>
      </c>
      <c r="F8026" s="13" t="n"/>
      <c r="G8026" s="14" t="n"/>
      <c r="H8026" s="14" t="n"/>
      <c r="I8026" s="14" t="n"/>
      <c r="J8026" s="14" t="n"/>
      <c r="K8026" s="53" t="inlineStr"/>
      <c r="L8026" s="53" t="inlineStr">
        <is>
          <t>Не определено</t>
        </is>
      </c>
      <c r="M8026" s="53" t="inlineStr"/>
      <c r="N8026" s="54" t="inlineStr"/>
      <c r="O8026" s="55" t="inlineStr"/>
      <c r="P8026" s="16" t="inlineStr">
        <is>
          <t>Требует обогащения</t>
        </is>
      </c>
      <c r="Q8026" s="16">
        <f>HYPERLINK("https://pb.nalog.ru/search.html?query=5041012822","ФНС: проверить")</f>
        <v/>
      </c>
      <c r="R8026" s="16">
        <f>HYPERLINK("https://checko.ru/search?query=3801001629","Чекко: проверить")</f>
        <v/>
      </c>
      <c r="S8026" t="n">
        <v>1</v>
      </c>
      <c r="T8026" s="35" t="inlineStr">
        <is>
          <t>4 — Не обогащён</t>
        </is>
      </c>
      <c r="U8026" s="35" t="inlineStr">
        <is>
          <t>Нет ОКВЭД/ССЧР</t>
        </is>
      </c>
      <c r="V8026" s="35" t="inlineStr">
        <is>
          <t>Не определено</t>
        </is>
      </c>
      <c r="W8026" s="35" t="inlineStr"/>
      <c r="X8026" s="35" t="inlineStr"/>
    </row>
    <row r="8027" ht="15" customHeight="1" s="24">
      <c r="A8027" s="13" t="n">
        <v>5000121225</v>
      </c>
      <c r="B8027" s="13" t="inlineStr">
        <is>
          <t>МБОУ "СОШ №7"</t>
        </is>
      </c>
      <c r="C8027" s="13" t="n">
        <v>5041012815</v>
      </c>
      <c r="D8027" s="13" t="inlineStr">
        <is>
          <t>5041012815</t>
        </is>
      </c>
      <c r="E8027" s="13" t="inlineStr">
        <is>
          <t>ЮЛ РФ</t>
        </is>
      </c>
      <c r="F8027" s="13" t="n"/>
      <c r="G8027" s="14" t="n"/>
      <c r="H8027" s="14" t="n"/>
      <c r="I8027" s="14" t="n"/>
      <c r="J8027" s="14" t="n"/>
      <c r="K8027" s="53" t="inlineStr"/>
      <c r="L8027" s="53" t="inlineStr">
        <is>
          <t>Не определено</t>
        </is>
      </c>
      <c r="M8027" s="53" t="inlineStr"/>
      <c r="N8027" s="54" t="inlineStr"/>
      <c r="O8027" s="55" t="inlineStr"/>
      <c r="P8027" s="16" t="inlineStr">
        <is>
          <t>Требует обогащения</t>
        </is>
      </c>
      <c r="Q8027" s="16">
        <f>HYPERLINK("https://pb.nalog.ru/search.html?query=5041012815","ФНС: проверить")</f>
        <v/>
      </c>
      <c r="R8027" s="16">
        <f>HYPERLINK("https://checko.ru/search?query=3801001629","Чекко: проверить")</f>
        <v/>
      </c>
      <c r="S8027" t="n">
        <v>1</v>
      </c>
      <c r="T8027" s="35" t="inlineStr">
        <is>
          <t>4 — Не обогащён</t>
        </is>
      </c>
      <c r="U8027" s="35" t="inlineStr">
        <is>
          <t>Нет ОКВЭД/ССЧР</t>
        </is>
      </c>
      <c r="V8027" s="35" t="inlineStr">
        <is>
          <t>Не определено</t>
        </is>
      </c>
      <c r="W8027" s="35" t="inlineStr"/>
      <c r="X8027" s="35" t="inlineStr"/>
    </row>
    <row r="8028" ht="15" customHeight="1" s="24">
      <c r="A8028" s="13" t="n">
        <v>5000121226</v>
      </c>
      <c r="B8028" s="13" t="inlineStr">
        <is>
          <t>МБОУ "СОШ №4"</t>
        </is>
      </c>
      <c r="C8028" s="13" t="n">
        <v>5041012847</v>
      </c>
      <c r="D8028" s="13" t="inlineStr">
        <is>
          <t>5041012847</t>
        </is>
      </c>
      <c r="E8028" s="13" t="inlineStr">
        <is>
          <t>ЮЛ РФ</t>
        </is>
      </c>
      <c r="F8028" s="13" t="n"/>
      <c r="G8028" s="14" t="n"/>
      <c r="H8028" s="14" t="n"/>
      <c r="I8028" s="14" t="n"/>
      <c r="J8028" s="14" t="n"/>
      <c r="K8028" s="53" t="inlineStr"/>
      <c r="L8028" s="53" t="inlineStr">
        <is>
          <t>Не определено</t>
        </is>
      </c>
      <c r="M8028" s="53" t="inlineStr"/>
      <c r="N8028" s="54" t="inlineStr"/>
      <c r="O8028" s="55" t="inlineStr"/>
      <c r="P8028" s="16" t="inlineStr">
        <is>
          <t>Требует обогащения</t>
        </is>
      </c>
      <c r="Q8028" s="16">
        <f>HYPERLINK("https://pb.nalog.ru/search.html?query=5041012847","ФНС: проверить")</f>
        <v/>
      </c>
      <c r="R8028" s="16">
        <f>HYPERLINK("https://checko.ru/search?query=3801001629","Чекко: проверить")</f>
        <v/>
      </c>
      <c r="S8028" t="n">
        <v>1</v>
      </c>
      <c r="T8028" s="35" t="inlineStr">
        <is>
          <t>4 — Не обогащён</t>
        </is>
      </c>
      <c r="U8028" s="35" t="inlineStr">
        <is>
          <t>Нет ОКВЭД/ССЧР</t>
        </is>
      </c>
      <c r="V8028" s="35" t="inlineStr">
        <is>
          <t>Не определено</t>
        </is>
      </c>
      <c r="W8028" s="35" t="inlineStr"/>
      <c r="X8028" s="35" t="inlineStr"/>
    </row>
    <row r="8029" ht="15" customHeight="1" s="24">
      <c r="A8029" s="13" t="n">
        <v>5000121227</v>
      </c>
      <c r="B8029" s="13" t="inlineStr">
        <is>
          <t>МАОУ "ЛИЦЕЙ"</t>
        </is>
      </c>
      <c r="C8029" s="13" t="n">
        <v>5041014474</v>
      </c>
      <c r="D8029" s="13" t="inlineStr">
        <is>
          <t>5041014474</t>
        </is>
      </c>
      <c r="E8029" s="13" t="inlineStr">
        <is>
          <t>ЮЛ РФ</t>
        </is>
      </c>
      <c r="F8029" s="13" t="n"/>
      <c r="G8029" s="14" t="n"/>
      <c r="H8029" s="14" t="n"/>
      <c r="I8029" s="14" t="n"/>
      <c r="J8029" s="14" t="n"/>
      <c r="K8029" s="53" t="inlineStr"/>
      <c r="L8029" s="53" t="inlineStr">
        <is>
          <t>Не определено</t>
        </is>
      </c>
      <c r="M8029" s="53" t="inlineStr"/>
      <c r="N8029" s="54" t="inlineStr"/>
      <c r="O8029" s="55" t="inlineStr"/>
      <c r="P8029" s="16" t="inlineStr">
        <is>
          <t>Требует обогащения</t>
        </is>
      </c>
      <c r="Q8029" s="16">
        <f>HYPERLINK("https://pb.nalog.ru/search.html?query=5041014474","ФНС: проверить")</f>
        <v/>
      </c>
      <c r="R8029" s="16">
        <f>HYPERLINK("https://checko.ru/search?query=3801001629","Чекко: проверить")</f>
        <v/>
      </c>
      <c r="S8029" t="n">
        <v>1</v>
      </c>
      <c r="T8029" s="35" t="inlineStr">
        <is>
          <t>4 — Не обогащён</t>
        </is>
      </c>
      <c r="U8029" s="35" t="inlineStr">
        <is>
          <t>Нет ОКВЭД/ССЧР</t>
        </is>
      </c>
      <c r="V8029" s="35" t="inlineStr">
        <is>
          <t>Не определено</t>
        </is>
      </c>
      <c r="W8029" s="35" t="inlineStr"/>
      <c r="X8029" s="35" t="inlineStr"/>
    </row>
    <row r="8030" ht="15" customHeight="1" s="24">
      <c r="A8030" s="13" t="n">
        <v>5000121231</v>
      </c>
      <c r="B8030" s="13" t="inlineStr">
        <is>
          <t>МБУ ДО "ДДТ"</t>
        </is>
      </c>
      <c r="C8030" s="13" t="n">
        <v>5041013375</v>
      </c>
      <c r="D8030" s="13" t="inlineStr">
        <is>
          <t>5041013375</t>
        </is>
      </c>
      <c r="E8030" s="13" t="inlineStr">
        <is>
          <t>ЮЛ РФ</t>
        </is>
      </c>
      <c r="F8030" s="13" t="n"/>
      <c r="G8030" s="14" t="n"/>
      <c r="H8030" s="14" t="n"/>
      <c r="I8030" s="14" t="n"/>
      <c r="J8030" s="14" t="n"/>
      <c r="K8030" s="53" t="inlineStr"/>
      <c r="L8030" s="53" t="inlineStr">
        <is>
          <t>Не определено</t>
        </is>
      </c>
      <c r="M8030" s="53" t="inlineStr"/>
      <c r="N8030" s="54" t="inlineStr"/>
      <c r="O8030" s="55" t="inlineStr"/>
      <c r="P8030" s="16" t="inlineStr">
        <is>
          <t>Требует обогащения</t>
        </is>
      </c>
      <c r="Q8030" s="16">
        <f>HYPERLINK("https://pb.nalog.ru/search.html?query=5041013375","ФНС: проверить")</f>
        <v/>
      </c>
      <c r="R8030" s="16">
        <f>HYPERLINK("https://checko.ru/search?query=3801001629","Чекко: проверить")</f>
        <v/>
      </c>
      <c r="S8030" t="n">
        <v>1</v>
      </c>
      <c r="T8030" s="35" t="inlineStr">
        <is>
          <t>4 — Не обогащён</t>
        </is>
      </c>
      <c r="U8030" s="35" t="inlineStr">
        <is>
          <t>Нет ОКВЭД/ССЧР</t>
        </is>
      </c>
      <c r="V8030" s="35" t="inlineStr">
        <is>
          <t>Не определено</t>
        </is>
      </c>
      <c r="W8030" s="35" t="inlineStr"/>
      <c r="X8030" s="35" t="inlineStr"/>
    </row>
    <row r="8031" ht="27.75" customHeight="1" s="24">
      <c r="A8031" s="13" t="n">
        <v>5000121245</v>
      </c>
      <c r="B8031" s="13" t="inlineStr">
        <is>
          <t>Финансовое управление Администрации города Реутов</t>
        </is>
      </c>
      <c r="C8031" s="13" t="n">
        <v>5012054747</v>
      </c>
      <c r="D8031" s="13" t="inlineStr">
        <is>
          <t>5012054747</t>
        </is>
      </c>
      <c r="E8031" s="13" t="inlineStr">
        <is>
          <t>ЮЛ РФ</t>
        </is>
      </c>
      <c r="F8031" s="13" t="n"/>
      <c r="G8031" s="14" t="n"/>
      <c r="H8031" s="14" t="n"/>
      <c r="I8031" s="14" t="n"/>
      <c r="J8031" s="14" t="n"/>
      <c r="K8031" s="53" t="inlineStr"/>
      <c r="L8031" s="53" t="inlineStr">
        <is>
          <t>Не определено</t>
        </is>
      </c>
      <c r="M8031" s="53" t="inlineStr"/>
      <c r="N8031" s="54" t="inlineStr"/>
      <c r="O8031" s="55" t="inlineStr"/>
      <c r="P8031" s="16" t="inlineStr">
        <is>
          <t>Требует обогащения</t>
        </is>
      </c>
      <c r="Q8031" s="16">
        <f>HYPERLINK("https://pb.nalog.ru/search.html?query=5012054747","ФНС: проверить")</f>
        <v/>
      </c>
      <c r="R8031" s="16">
        <f>HYPERLINK("https://checko.ru/search?query=3801001629","Чекко: проверить")</f>
        <v/>
      </c>
      <c r="S8031" t="n">
        <v>1</v>
      </c>
      <c r="T8031" s="35" t="inlineStr">
        <is>
          <t>4 — Не обогащён</t>
        </is>
      </c>
      <c r="U8031" s="35" t="inlineStr">
        <is>
          <t>Нет ОКВЭД/ССЧР</t>
        </is>
      </c>
      <c r="V8031" s="35" t="inlineStr">
        <is>
          <t>Не определено</t>
        </is>
      </c>
      <c r="W8031" s="35" t="inlineStr"/>
      <c r="X8031" s="35" t="inlineStr"/>
    </row>
    <row r="8032" ht="27.75" customHeight="1" s="24">
      <c r="A8032" s="13" t="n">
        <v>5000121219</v>
      </c>
      <c r="B8032" s="13" t="inlineStr">
        <is>
          <t>МКУ "Комитет по организации закупок городского округа Реутов"</t>
        </is>
      </c>
      <c r="C8032" s="13" t="n">
        <v>5041202125</v>
      </c>
      <c r="D8032" s="13" t="inlineStr">
        <is>
          <t>5041202125</t>
        </is>
      </c>
      <c r="E8032" s="13" t="inlineStr">
        <is>
          <t>ЮЛ РФ</t>
        </is>
      </c>
      <c r="F8032" s="13" t="n"/>
      <c r="G8032" s="14" t="n"/>
      <c r="H8032" s="14" t="n"/>
      <c r="I8032" s="14" t="n"/>
      <c r="J8032" s="14" t="n"/>
      <c r="K8032" s="53" t="inlineStr"/>
      <c r="L8032" s="53" t="inlineStr">
        <is>
          <t>Не определено</t>
        </is>
      </c>
      <c r="M8032" s="53" t="inlineStr"/>
      <c r="N8032" s="54" t="inlineStr"/>
      <c r="O8032" s="55" t="inlineStr"/>
      <c r="P8032" s="16" t="inlineStr">
        <is>
          <t>Требует обогащения</t>
        </is>
      </c>
      <c r="Q8032" s="16">
        <f>HYPERLINK("https://pb.nalog.ru/search.html?query=5041202125","ФНС: проверить")</f>
        <v/>
      </c>
      <c r="R8032" s="16">
        <f>HYPERLINK("https://checko.ru/search?query=3801001629","Чекко: проверить")</f>
        <v/>
      </c>
      <c r="S8032" t="n">
        <v>1</v>
      </c>
      <c r="T8032" s="35" t="inlineStr">
        <is>
          <t>4 — Не обогащён</t>
        </is>
      </c>
      <c r="U8032" s="35" t="inlineStr">
        <is>
          <t>Нет ОКВЭД/ССЧР</t>
        </is>
      </c>
      <c r="V8032" s="35" t="inlineStr">
        <is>
          <t>Не определено</t>
        </is>
      </c>
      <c r="W8032" s="35" t="inlineStr"/>
      <c r="X8032" s="35" t="inlineStr"/>
    </row>
    <row r="8033" ht="15" customHeight="1" s="24">
      <c r="A8033" s="13" t="n">
        <v>5000119233</v>
      </c>
      <c r="B8033" s="13" t="inlineStr">
        <is>
          <t>КСП ЧЕРЕКСКОГО РАЙОНА</t>
        </is>
      </c>
      <c r="C8033" s="13" t="n">
        <v>700003705</v>
      </c>
      <c r="D8033" s="13" t="n"/>
      <c r="E8033" s="13" t="inlineStr">
        <is>
          <t>Не определён</t>
        </is>
      </c>
      <c r="F8033" s="13" t="inlineStr">
        <is>
          <t>700003705</t>
        </is>
      </c>
      <c r="G8033" s="14" t="n"/>
      <c r="H8033" s="14" t="n"/>
      <c r="I8033" s="14" t="n"/>
      <c r="J8033" s="14" t="n"/>
      <c r="K8033" s="13">
        <f>IF(G8033="","",IF(G8033&gt;=22,"Да","Нет"))</f>
        <v/>
      </c>
      <c r="L8033" s="13">
        <f>IF(OR(I8033="",J8033=""),"Не определено",IF(OR(COUNTIF(I8033,"45*")&gt;0,COUNTIF(J8033,"*45*")&gt;0,COUNTIF(I8033,"46*")&gt;0,COUNTIF(J8033,"*46*")&gt;0,COUNTIF(I8033,"47*")&gt;0,COUNTIF(J8033,"*47*")&gt;0,COUNTIF(I8033,"10*")&gt;0,COUNTIF(J8033,"*10*")&gt;0,COUNTIF(I8033,"11*")&gt;0,COUNTIF(J8033,"*11*")&gt;0,COUNTIF(I8033,"12*")&gt;0,COUNTIF(J8033,"*12*")&gt;0,COUNTIF(I8033,"13*")&gt;0,COUNTIF(J8033,"*13*")&gt;0,COUNTIF(I8033,"14*")&gt;0,COUNTIF(J8033,"*14*")&gt;0,COUNTIF(I8033,"15*")&gt;0,COUNTIF(J8033,"*15*")&gt;0,COUNTIF(I8033,"16*")&gt;0,COUNTIF(J8033,"*16*")&gt;0,COUNTIF(I8033,"17*")&gt;0,COUNTIF(J8033,"*17*")&gt;0,COUNTIF(I8033,"18*")&gt;0,COUNTIF(J8033,"*18*")&gt;0,COUNTIF(I8033,"19*")&gt;0,COUNTIF(J8033,"*19*")&gt;0,COUNTIF(I8033,"20*")&gt;0,COUNTIF(J8033,"*20*")&gt;0,COUNTIF(I8033,"21*")&gt;0,COUNTIF(J8033,"*21*")&gt;0,COUNTIF(I8033,"22*")&gt;0,COUNTIF(J8033,"*22*")&gt;0,COUNTIF(I8033,"23*")&gt;0,COUNTIF(J8033,"*23*")&gt;0,COUNTIF(I8033,"24*")&gt;0,COUNTIF(J8033,"*24*")&gt;0,COUNTIF(I8033,"25*")&gt;0,COUNTIF(J8033,"*25*")&gt;0,COUNTIF(I8033,"26*")&gt;0,COUNTIF(J8033,"*26*")&gt;0,COUNTIF(I8033,"27*")&gt;0,COUNTIF(J8033,"*27*")&gt;0,COUNTIF(I8033,"28*")&gt;0,COUNTIF(J8033,"*28*")&gt;0,COUNTIF(I8033,"29*")&gt;0,COUNTIF(J8033,"*29*")&gt;0,COUNTIF(I8033,"30*")&gt;0,COUNTIF(J8033,"*30*")&gt;0,COUNTIF(I8033,"31*")&gt;0,COUNTIF(J8033,"*31*")&gt;0,COUNTIF(I8033,"32*")&gt;0,COUNTIF(J8033,"*32*")&gt;0,COUNTIF(I8033,"33*")&gt;0,COUNTIF(J8033,"*33*")&gt;0,COUNTIF(I8033,"41*")&gt;0,COUNTIF(J8033,"*41*")&gt;0,COUNTIF(I8033,"42*")&gt;0,COUNTIF(J8033,"*42*")&gt;0,COUNTIF(I8033,"43*")&gt;0,COUNTIF(J8033,"*43*")&gt;0,COUNTIF(I8033,"49*")&gt;0,COUNTIF(J8033,"*49*")&gt;0,COUNTIF(I8033,"52*")&gt;0,COUNTIF(J8033,"*52*")&gt;0,COUNTIF(I8033,"55*")&gt;0,COUNTIF(J8033,"*55*")&gt;0,COUNTIF(I8033,"56*")&gt;0,COUNTIF(J8033,"*56*")&gt;0,COUNTIF(I8033,"68*")&gt;0,COUNTIF(J8033,"*68*")&gt;0,COUNTIF(I8033,"78*")&gt;0,COUNTIF(J8033,"*78*")&gt;0,COUNTIF(I8033,"81*")&gt;0,COUNTIF(J8033,"*81*")&gt;0,COUNTIF(I8033,"82*")&gt;0,COUNTIF(J8033,"*82*")&gt;0,COUNTIF(I8033,"64*")&gt;0,COUNTIF(J8033,"*64*")&gt;0,COUNTIF(I8033,"65*")&gt;0,COUNTIF(J8033,"*65*")&gt;0,COUNTIF(I8033,"66*")&gt;0,COUNTIF(J8033,"*66*")&gt;0,COUNTIF(I8033,"61*")&gt;0,COUNTIF(J8033,"*61*")&gt;0,COUNTIF(I8033,"62*")&gt;0,COUNTIF(J8033,"*62*")&gt;0,COUNTIF(I8033,"63*")&gt;0,COUNTIF(J8033,"*63*")&gt;0,COUNTIF(I8033,"85*")&gt;0,COUNTIF(J8033,"*85*")&gt;0,COUNTIF(I8033,"86*")&gt;0,COUNTIF(J8033,"*86*")&gt;0),"Да","Нет"))</f>
        <v/>
      </c>
      <c r="M8033" s="13">
        <f>IF(OR(G8033="",L8033&lt;&gt;"Да"),"",IF(G8033&lt;=100,"До 100",IF(G8033&lt;=200,"До 200",IF(G8033&lt;=500,"До 500","Отдельное КП"))))</f>
        <v/>
      </c>
      <c r="N8033" s="15">
        <f>IF(OR(G8033="",L8033&lt;&gt;"Да"),"",IF(G8033&lt;=100,33600,IF(G8033&lt;=200,62400,IF(G8033&lt;=500,144000,""))))</f>
        <v/>
      </c>
      <c r="O8033" s="16">
        <f>IF(G8033="","",IF(G8033&lt;=15,"1–15",IF(G8033&lt;=30,"16–30",IF(G8033&lt;=50,"31–50",IF(G8033&lt;=100,"51–100",IF(G8033&lt;=150,"101–150",IF(G8033&lt;=200,"151–200",IF(G8033&lt;=500,"201–500","500+"))))))))</f>
        <v/>
      </c>
      <c r="P8033" s="16" t="inlineStr">
        <is>
          <t>Нет совпадения в предоставленной выгрузке ССЧР</t>
        </is>
      </c>
      <c r="Q8033" s="16" t="n"/>
      <c r="R8033" s="16">
        <f>HYPERLINK("https://checko.ru/search?query=3801001629","Чекко: проверить")</f>
        <v/>
      </c>
      <c r="S8033" t="n">
        <v>0</v>
      </c>
    </row>
    <row r="8034" ht="15" customHeight="1" s="24">
      <c r="A8034" s="13" t="n">
        <v>5000119235</v>
      </c>
      <c r="B8034" s="13" t="inlineStr">
        <is>
          <t>МКУ "УСХЗИИО ЧЕГЕМСКОГО РАЙОНА"</t>
        </is>
      </c>
      <c r="C8034" s="13" t="n">
        <v>700009351</v>
      </c>
      <c r="D8034" s="13" t="n"/>
      <c r="E8034" s="13" t="inlineStr">
        <is>
          <t>Не определён</t>
        </is>
      </c>
      <c r="F8034" s="13" t="inlineStr">
        <is>
          <t>700009351</t>
        </is>
      </c>
      <c r="G8034" s="14" t="n"/>
      <c r="H8034" s="14" t="n"/>
      <c r="I8034" s="14" t="n"/>
      <c r="J8034" s="14" t="n"/>
      <c r="K8034" s="13">
        <f>IF(G8034="","",IF(G8034&gt;=22,"Да","Нет"))</f>
        <v/>
      </c>
      <c r="L8034" s="13">
        <f>IF(OR(I8034="",J8034=""),"Не определено",IF(OR(COUNTIF(I8034,"45*")&gt;0,COUNTIF(J8034,"*45*")&gt;0,COUNTIF(I8034,"46*")&gt;0,COUNTIF(J8034,"*46*")&gt;0,COUNTIF(I8034,"47*")&gt;0,COUNTIF(J8034,"*47*")&gt;0,COUNTIF(I8034,"10*")&gt;0,COUNTIF(J8034,"*10*")&gt;0,COUNTIF(I8034,"11*")&gt;0,COUNTIF(J8034,"*11*")&gt;0,COUNTIF(I8034,"12*")&gt;0,COUNTIF(J8034,"*12*")&gt;0,COUNTIF(I8034,"13*")&gt;0,COUNTIF(J8034,"*13*")&gt;0,COUNTIF(I8034,"14*")&gt;0,COUNTIF(J8034,"*14*")&gt;0,COUNTIF(I8034,"15*")&gt;0,COUNTIF(J8034,"*15*")&gt;0,COUNTIF(I8034,"16*")&gt;0,COUNTIF(J8034,"*16*")&gt;0,COUNTIF(I8034,"17*")&gt;0,COUNTIF(J8034,"*17*")&gt;0,COUNTIF(I8034,"18*")&gt;0,COUNTIF(J8034,"*18*")&gt;0,COUNTIF(I8034,"19*")&gt;0,COUNTIF(J8034,"*19*")&gt;0,COUNTIF(I8034,"20*")&gt;0,COUNTIF(J8034,"*20*")&gt;0,COUNTIF(I8034,"21*")&gt;0,COUNTIF(J8034,"*21*")&gt;0,COUNTIF(I8034,"22*")&gt;0,COUNTIF(J8034,"*22*")&gt;0,COUNTIF(I8034,"23*")&gt;0,COUNTIF(J8034,"*23*")&gt;0,COUNTIF(I8034,"24*")&gt;0,COUNTIF(J8034,"*24*")&gt;0,COUNTIF(I8034,"25*")&gt;0,COUNTIF(J8034,"*25*")&gt;0,COUNTIF(I8034,"26*")&gt;0,COUNTIF(J8034,"*26*")&gt;0,COUNTIF(I8034,"27*")&gt;0,COUNTIF(J8034,"*27*")&gt;0,COUNTIF(I8034,"28*")&gt;0,COUNTIF(J8034,"*28*")&gt;0,COUNTIF(I8034,"29*")&gt;0,COUNTIF(J8034,"*29*")&gt;0,COUNTIF(I8034,"30*")&gt;0,COUNTIF(J8034,"*30*")&gt;0,COUNTIF(I8034,"31*")&gt;0,COUNTIF(J8034,"*31*")&gt;0,COUNTIF(I8034,"32*")&gt;0,COUNTIF(J8034,"*32*")&gt;0,COUNTIF(I8034,"33*")&gt;0,COUNTIF(J8034,"*33*")&gt;0,COUNTIF(I8034,"41*")&gt;0,COUNTIF(J8034,"*41*")&gt;0,COUNTIF(I8034,"42*")&gt;0,COUNTIF(J8034,"*42*")&gt;0,COUNTIF(I8034,"43*")&gt;0,COUNTIF(J8034,"*43*")&gt;0,COUNTIF(I8034,"49*")&gt;0,COUNTIF(J8034,"*49*")&gt;0,COUNTIF(I8034,"52*")&gt;0,COUNTIF(J8034,"*52*")&gt;0,COUNTIF(I8034,"55*")&gt;0,COUNTIF(J8034,"*55*")&gt;0,COUNTIF(I8034,"56*")&gt;0,COUNTIF(J8034,"*56*")&gt;0,COUNTIF(I8034,"68*")&gt;0,COUNTIF(J8034,"*68*")&gt;0,COUNTIF(I8034,"78*")&gt;0,COUNTIF(J8034,"*78*")&gt;0,COUNTIF(I8034,"81*")&gt;0,COUNTIF(J8034,"*81*")&gt;0,COUNTIF(I8034,"82*")&gt;0,COUNTIF(J8034,"*82*")&gt;0,COUNTIF(I8034,"64*")&gt;0,COUNTIF(J8034,"*64*")&gt;0,COUNTIF(I8034,"65*")&gt;0,COUNTIF(J8034,"*65*")&gt;0,COUNTIF(I8034,"66*")&gt;0,COUNTIF(J8034,"*66*")&gt;0,COUNTIF(I8034,"61*")&gt;0,COUNTIF(J8034,"*61*")&gt;0,COUNTIF(I8034,"62*")&gt;0,COUNTIF(J8034,"*62*")&gt;0,COUNTIF(I8034,"63*")&gt;0,COUNTIF(J8034,"*63*")&gt;0,COUNTIF(I8034,"85*")&gt;0,COUNTIF(J8034,"*85*")&gt;0,COUNTIF(I8034,"86*")&gt;0,COUNTIF(J8034,"*86*")&gt;0),"Да","Нет"))</f>
        <v/>
      </c>
      <c r="M8034" s="13">
        <f>IF(OR(G8034="",L8034&lt;&gt;"Да"),"",IF(G8034&lt;=100,"До 100",IF(G8034&lt;=200,"До 200",IF(G8034&lt;=500,"До 500","Отдельное КП"))))</f>
        <v/>
      </c>
      <c r="N8034" s="15">
        <f>IF(OR(G8034="",L8034&lt;&gt;"Да"),"",IF(G8034&lt;=100,33600,IF(G8034&lt;=200,62400,IF(G8034&lt;=500,144000,""))))</f>
        <v/>
      </c>
      <c r="O8034" s="16">
        <f>IF(G8034="","",IF(G8034&lt;=15,"1–15",IF(G8034&lt;=30,"16–30",IF(G8034&lt;=50,"31–50",IF(G8034&lt;=100,"51–100",IF(G8034&lt;=150,"101–150",IF(G8034&lt;=200,"151–200",IF(G8034&lt;=500,"201–500","500+"))))))))</f>
        <v/>
      </c>
      <c r="P8034" s="16" t="inlineStr">
        <is>
          <t>Нет совпадения в предоставленной выгрузке ССЧР</t>
        </is>
      </c>
      <c r="Q8034" s="16" t="n"/>
      <c r="R8034" s="16">
        <f>HYPERLINK("https://checko.ru/search?query=3801001629","Чекко: проверить")</f>
        <v/>
      </c>
      <c r="S8034" t="n">
        <v>0</v>
      </c>
    </row>
    <row r="8035" ht="27.75" customHeight="1" s="24">
      <c r="A8035" s="13" t="n">
        <v>5000119241</v>
      </c>
      <c r="B8035" s="13" t="inlineStr">
        <is>
          <t>МКОУ "СОШ №12 ИМ. Ю.А. ГАГАРИНА" Г.О. БАКСАН КБР</t>
        </is>
      </c>
      <c r="C8035" s="13" t="n">
        <v>700018236</v>
      </c>
      <c r="D8035" s="13" t="n"/>
      <c r="E8035" s="13" t="inlineStr">
        <is>
          <t>Не определён</t>
        </is>
      </c>
      <c r="F8035" s="13" t="inlineStr">
        <is>
          <t>700018236</t>
        </is>
      </c>
      <c r="G8035" s="14" t="n"/>
      <c r="H8035" s="14" t="n"/>
      <c r="I8035" s="14" t="n"/>
      <c r="J8035" s="14" t="n"/>
      <c r="K8035" s="13">
        <f>IF(G8035="","",IF(G8035&gt;=22,"Да","Нет"))</f>
        <v/>
      </c>
      <c r="L8035" s="13">
        <f>IF(OR(I8035="",J8035=""),"Не определено",IF(OR(COUNTIF(I8035,"45*")&gt;0,COUNTIF(J8035,"*45*")&gt;0,COUNTIF(I8035,"46*")&gt;0,COUNTIF(J8035,"*46*")&gt;0,COUNTIF(I8035,"47*")&gt;0,COUNTIF(J8035,"*47*")&gt;0,COUNTIF(I8035,"10*")&gt;0,COUNTIF(J8035,"*10*")&gt;0,COUNTIF(I8035,"11*")&gt;0,COUNTIF(J8035,"*11*")&gt;0,COUNTIF(I8035,"12*")&gt;0,COUNTIF(J8035,"*12*")&gt;0,COUNTIF(I8035,"13*")&gt;0,COUNTIF(J8035,"*13*")&gt;0,COUNTIF(I8035,"14*")&gt;0,COUNTIF(J8035,"*14*")&gt;0,COUNTIF(I8035,"15*")&gt;0,COUNTIF(J8035,"*15*")&gt;0,COUNTIF(I8035,"16*")&gt;0,COUNTIF(J8035,"*16*")&gt;0,COUNTIF(I8035,"17*")&gt;0,COUNTIF(J8035,"*17*")&gt;0,COUNTIF(I8035,"18*")&gt;0,COUNTIF(J8035,"*18*")&gt;0,COUNTIF(I8035,"19*")&gt;0,COUNTIF(J8035,"*19*")&gt;0,COUNTIF(I8035,"20*")&gt;0,COUNTIF(J8035,"*20*")&gt;0,COUNTIF(I8035,"21*")&gt;0,COUNTIF(J8035,"*21*")&gt;0,COUNTIF(I8035,"22*")&gt;0,COUNTIF(J8035,"*22*")&gt;0,COUNTIF(I8035,"23*")&gt;0,COUNTIF(J8035,"*23*")&gt;0,COUNTIF(I8035,"24*")&gt;0,COUNTIF(J8035,"*24*")&gt;0,COUNTIF(I8035,"25*")&gt;0,COUNTIF(J8035,"*25*")&gt;0,COUNTIF(I8035,"26*")&gt;0,COUNTIF(J8035,"*26*")&gt;0,COUNTIF(I8035,"27*")&gt;0,COUNTIF(J8035,"*27*")&gt;0,COUNTIF(I8035,"28*")&gt;0,COUNTIF(J8035,"*28*")&gt;0,COUNTIF(I8035,"29*")&gt;0,COUNTIF(J8035,"*29*")&gt;0,COUNTIF(I8035,"30*")&gt;0,COUNTIF(J8035,"*30*")&gt;0,COUNTIF(I8035,"31*")&gt;0,COUNTIF(J8035,"*31*")&gt;0,COUNTIF(I8035,"32*")&gt;0,COUNTIF(J8035,"*32*")&gt;0,COUNTIF(I8035,"33*")&gt;0,COUNTIF(J8035,"*33*")&gt;0,COUNTIF(I8035,"41*")&gt;0,COUNTIF(J8035,"*41*")&gt;0,COUNTIF(I8035,"42*")&gt;0,COUNTIF(J8035,"*42*")&gt;0,COUNTIF(I8035,"43*")&gt;0,COUNTIF(J8035,"*43*")&gt;0,COUNTIF(I8035,"49*")&gt;0,COUNTIF(J8035,"*49*")&gt;0,COUNTIF(I8035,"52*")&gt;0,COUNTIF(J8035,"*52*")&gt;0,COUNTIF(I8035,"55*")&gt;0,COUNTIF(J8035,"*55*")&gt;0,COUNTIF(I8035,"56*")&gt;0,COUNTIF(J8035,"*56*")&gt;0,COUNTIF(I8035,"68*")&gt;0,COUNTIF(J8035,"*68*")&gt;0,COUNTIF(I8035,"78*")&gt;0,COUNTIF(J8035,"*78*")&gt;0,COUNTIF(I8035,"81*")&gt;0,COUNTIF(J8035,"*81*")&gt;0,COUNTIF(I8035,"82*")&gt;0,COUNTIF(J8035,"*82*")&gt;0,COUNTIF(I8035,"64*")&gt;0,COUNTIF(J8035,"*64*")&gt;0,COUNTIF(I8035,"65*")&gt;0,COUNTIF(J8035,"*65*")&gt;0,COUNTIF(I8035,"66*")&gt;0,COUNTIF(J8035,"*66*")&gt;0,COUNTIF(I8035,"61*")&gt;0,COUNTIF(J8035,"*61*")&gt;0,COUNTIF(I8035,"62*")&gt;0,COUNTIF(J8035,"*62*")&gt;0,COUNTIF(I8035,"63*")&gt;0,COUNTIF(J8035,"*63*")&gt;0,COUNTIF(I8035,"85*")&gt;0,COUNTIF(J8035,"*85*")&gt;0,COUNTIF(I8035,"86*")&gt;0,COUNTIF(J8035,"*86*")&gt;0),"Да","Нет"))</f>
        <v/>
      </c>
      <c r="M8035" s="13">
        <f>IF(OR(G8035="",L8035&lt;&gt;"Да"),"",IF(G8035&lt;=100,"До 100",IF(G8035&lt;=200,"До 200",IF(G8035&lt;=500,"До 500","Отдельное КП"))))</f>
        <v/>
      </c>
      <c r="N8035" s="15">
        <f>IF(OR(G8035="",L8035&lt;&gt;"Да"),"",IF(G8035&lt;=100,33600,IF(G8035&lt;=200,62400,IF(G8035&lt;=500,144000,""))))</f>
        <v/>
      </c>
      <c r="O8035" s="16">
        <f>IF(G8035="","",IF(G8035&lt;=15,"1–15",IF(G8035&lt;=30,"16–30",IF(G8035&lt;=50,"31–50",IF(G8035&lt;=100,"51–100",IF(G8035&lt;=150,"101–150",IF(G8035&lt;=200,"151–200",IF(G8035&lt;=500,"201–500","500+"))))))))</f>
        <v/>
      </c>
      <c r="P8035" s="16" t="inlineStr">
        <is>
          <t>Нет совпадения в предоставленной выгрузке ССЧР</t>
        </is>
      </c>
      <c r="Q8035" s="16" t="n"/>
      <c r="R8035" s="16">
        <f>HYPERLINK("https://checko.ru/search?query=3801001629","Чекко: проверить")</f>
        <v/>
      </c>
      <c r="S8035" t="n">
        <v>0</v>
      </c>
    </row>
    <row r="8036" ht="15" customHeight="1" s="24">
      <c r="A8036" s="13" t="n">
        <v>5000119242</v>
      </c>
      <c r="B8036" s="13" t="inlineStr">
        <is>
          <t>МКУ ЦИМ СО И МП ММР</t>
        </is>
      </c>
      <c r="C8036" s="13" t="n">
        <v>700021782</v>
      </c>
      <c r="D8036" s="13" t="n"/>
      <c r="E8036" s="13" t="inlineStr">
        <is>
          <t>Не определён</t>
        </is>
      </c>
      <c r="F8036" s="13" t="inlineStr">
        <is>
          <t>700021782</t>
        </is>
      </c>
      <c r="G8036" s="14" t="n"/>
      <c r="H8036" s="14" t="n"/>
      <c r="I8036" s="14" t="n"/>
      <c r="J8036" s="14" t="n"/>
      <c r="K8036" s="13">
        <f>IF(G8036="","",IF(G8036&gt;=22,"Да","Нет"))</f>
        <v/>
      </c>
      <c r="L8036" s="13">
        <f>IF(OR(I8036="",J8036=""),"Не определено",IF(OR(COUNTIF(I8036,"45*")&gt;0,COUNTIF(J8036,"*45*")&gt;0,COUNTIF(I8036,"46*")&gt;0,COUNTIF(J8036,"*46*")&gt;0,COUNTIF(I8036,"47*")&gt;0,COUNTIF(J8036,"*47*")&gt;0,COUNTIF(I8036,"10*")&gt;0,COUNTIF(J8036,"*10*")&gt;0,COUNTIF(I8036,"11*")&gt;0,COUNTIF(J8036,"*11*")&gt;0,COUNTIF(I8036,"12*")&gt;0,COUNTIF(J8036,"*12*")&gt;0,COUNTIF(I8036,"13*")&gt;0,COUNTIF(J8036,"*13*")&gt;0,COUNTIF(I8036,"14*")&gt;0,COUNTIF(J8036,"*14*")&gt;0,COUNTIF(I8036,"15*")&gt;0,COUNTIF(J8036,"*15*")&gt;0,COUNTIF(I8036,"16*")&gt;0,COUNTIF(J8036,"*16*")&gt;0,COUNTIF(I8036,"17*")&gt;0,COUNTIF(J8036,"*17*")&gt;0,COUNTIF(I8036,"18*")&gt;0,COUNTIF(J8036,"*18*")&gt;0,COUNTIF(I8036,"19*")&gt;0,COUNTIF(J8036,"*19*")&gt;0,COUNTIF(I8036,"20*")&gt;0,COUNTIF(J8036,"*20*")&gt;0,COUNTIF(I8036,"21*")&gt;0,COUNTIF(J8036,"*21*")&gt;0,COUNTIF(I8036,"22*")&gt;0,COUNTIF(J8036,"*22*")&gt;0,COUNTIF(I8036,"23*")&gt;0,COUNTIF(J8036,"*23*")&gt;0,COUNTIF(I8036,"24*")&gt;0,COUNTIF(J8036,"*24*")&gt;0,COUNTIF(I8036,"25*")&gt;0,COUNTIF(J8036,"*25*")&gt;0,COUNTIF(I8036,"26*")&gt;0,COUNTIF(J8036,"*26*")&gt;0,COUNTIF(I8036,"27*")&gt;0,COUNTIF(J8036,"*27*")&gt;0,COUNTIF(I8036,"28*")&gt;0,COUNTIF(J8036,"*28*")&gt;0,COUNTIF(I8036,"29*")&gt;0,COUNTIF(J8036,"*29*")&gt;0,COUNTIF(I8036,"30*")&gt;0,COUNTIF(J8036,"*30*")&gt;0,COUNTIF(I8036,"31*")&gt;0,COUNTIF(J8036,"*31*")&gt;0,COUNTIF(I8036,"32*")&gt;0,COUNTIF(J8036,"*32*")&gt;0,COUNTIF(I8036,"33*")&gt;0,COUNTIF(J8036,"*33*")&gt;0,COUNTIF(I8036,"41*")&gt;0,COUNTIF(J8036,"*41*")&gt;0,COUNTIF(I8036,"42*")&gt;0,COUNTIF(J8036,"*42*")&gt;0,COUNTIF(I8036,"43*")&gt;0,COUNTIF(J8036,"*43*")&gt;0,COUNTIF(I8036,"49*")&gt;0,COUNTIF(J8036,"*49*")&gt;0,COUNTIF(I8036,"52*")&gt;0,COUNTIF(J8036,"*52*")&gt;0,COUNTIF(I8036,"55*")&gt;0,COUNTIF(J8036,"*55*")&gt;0,COUNTIF(I8036,"56*")&gt;0,COUNTIF(J8036,"*56*")&gt;0,COUNTIF(I8036,"68*")&gt;0,COUNTIF(J8036,"*68*")&gt;0,COUNTIF(I8036,"78*")&gt;0,COUNTIF(J8036,"*78*")&gt;0,COUNTIF(I8036,"81*")&gt;0,COUNTIF(J8036,"*81*")&gt;0,COUNTIF(I8036,"82*")&gt;0,COUNTIF(J8036,"*82*")&gt;0,COUNTIF(I8036,"64*")&gt;0,COUNTIF(J8036,"*64*")&gt;0,COUNTIF(I8036,"65*")&gt;0,COUNTIF(J8036,"*65*")&gt;0,COUNTIF(I8036,"66*")&gt;0,COUNTIF(J8036,"*66*")&gt;0,COUNTIF(I8036,"61*")&gt;0,COUNTIF(J8036,"*61*")&gt;0,COUNTIF(I8036,"62*")&gt;0,COUNTIF(J8036,"*62*")&gt;0,COUNTIF(I8036,"63*")&gt;0,COUNTIF(J8036,"*63*")&gt;0,COUNTIF(I8036,"85*")&gt;0,COUNTIF(J8036,"*85*")&gt;0,COUNTIF(I8036,"86*")&gt;0,COUNTIF(J8036,"*86*")&gt;0),"Да","Нет"))</f>
        <v/>
      </c>
      <c r="M8036" s="13">
        <f>IF(OR(G8036="",L8036&lt;&gt;"Да"),"",IF(G8036&lt;=100,"До 100",IF(G8036&lt;=200,"До 200",IF(G8036&lt;=500,"До 500","Отдельное КП"))))</f>
        <v/>
      </c>
      <c r="N8036" s="15">
        <f>IF(OR(G8036="",L8036&lt;&gt;"Да"),"",IF(G8036&lt;=100,33600,IF(G8036&lt;=200,62400,IF(G8036&lt;=500,144000,""))))</f>
        <v/>
      </c>
      <c r="O8036" s="16">
        <f>IF(G8036="","",IF(G8036&lt;=15,"1–15",IF(G8036&lt;=30,"16–30",IF(G8036&lt;=50,"31–50",IF(G8036&lt;=100,"51–100",IF(G8036&lt;=150,"101–150",IF(G8036&lt;=200,"151–200",IF(G8036&lt;=500,"201–500","500+"))))))))</f>
        <v/>
      </c>
      <c r="P8036" s="16" t="inlineStr">
        <is>
          <t>Нет совпадения в предоставленной выгрузке ССЧР</t>
        </is>
      </c>
      <c r="Q8036" s="16" t="n"/>
      <c r="R8036" s="16">
        <f>HYPERLINK("https://checko.ru/search?query=3801001629","Чекко: проверить")</f>
        <v/>
      </c>
      <c r="S8036" t="n">
        <v>0</v>
      </c>
    </row>
    <row r="8037" ht="15" customHeight="1" s="24">
      <c r="A8037" s="13" t="n">
        <v>5000121123</v>
      </c>
      <c r="B8037" s="13" t="inlineStr">
        <is>
          <t>МКУ ЕДДС Одинцовского муниципального района</t>
        </is>
      </c>
      <c r="C8037" s="13" t="n">
        <v>5032282741</v>
      </c>
      <c r="D8037" s="13" t="inlineStr">
        <is>
          <t>5032282741</t>
        </is>
      </c>
      <c r="E8037" s="13" t="inlineStr">
        <is>
          <t>ЮЛ РФ</t>
        </is>
      </c>
      <c r="F8037" s="13" t="n"/>
      <c r="G8037" s="14" t="n"/>
      <c r="H8037" s="14" t="n"/>
      <c r="I8037" s="14" t="n"/>
      <c r="J8037" s="14" t="n"/>
      <c r="K8037" s="53" t="inlineStr"/>
      <c r="L8037" s="53" t="inlineStr">
        <is>
          <t>Не определено</t>
        </is>
      </c>
      <c r="M8037" s="53" t="inlineStr"/>
      <c r="N8037" s="54" t="inlineStr"/>
      <c r="O8037" s="55" t="inlineStr"/>
      <c r="P8037" s="16" t="inlineStr">
        <is>
          <t>Требует обогащения</t>
        </is>
      </c>
      <c r="Q8037" s="16">
        <f>HYPERLINK("https://pb.nalog.ru/search.html?query=5032282741","ФНС: проверить")</f>
        <v/>
      </c>
      <c r="R8037" s="16">
        <f>HYPERLINK("https://checko.ru/search?query=3801001629","Чекко: проверить")</f>
        <v/>
      </c>
      <c r="S8037" t="n">
        <v>1</v>
      </c>
      <c r="T8037" s="35" t="inlineStr">
        <is>
          <t>4 — Не обогащён</t>
        </is>
      </c>
      <c r="U8037" s="35" t="inlineStr">
        <is>
          <t>Нет ОКВЭД/ССЧР</t>
        </is>
      </c>
      <c r="V8037" s="35" t="inlineStr">
        <is>
          <t>Не определено</t>
        </is>
      </c>
      <c r="W8037" s="35" t="inlineStr"/>
      <c r="X8037" s="35" t="inlineStr"/>
    </row>
    <row r="8038" ht="27.75" customHeight="1" s="24">
      <c r="A8038" s="13" t="n">
        <v>5000119528</v>
      </c>
      <c r="B8038" s="13" t="inlineStr">
        <is>
          <t>Департамент Информационной Политики Оренбургской Области</t>
        </is>
      </c>
      <c r="C8038" s="13" t="n">
        <v>5610258497</v>
      </c>
      <c r="D8038" s="13" t="inlineStr">
        <is>
          <t>5610258497</t>
        </is>
      </c>
      <c r="E8038" s="13" t="inlineStr">
        <is>
          <t>ЮЛ РФ</t>
        </is>
      </c>
      <c r="F8038" s="13" t="n"/>
      <c r="G8038" s="14" t="n"/>
      <c r="H8038" s="14" t="n"/>
      <c r="I8038" s="14" t="n"/>
      <c r="J8038" s="14" t="n"/>
      <c r="K8038" s="53" t="inlineStr"/>
      <c r="L8038" s="53" t="inlineStr">
        <is>
          <t>Не определено</t>
        </is>
      </c>
      <c r="M8038" s="53" t="inlineStr"/>
      <c r="N8038" s="54" t="inlineStr"/>
      <c r="O8038" s="55" t="inlineStr"/>
      <c r="P8038" s="16" t="inlineStr">
        <is>
          <t>Требует обогащения</t>
        </is>
      </c>
      <c r="Q8038" s="16">
        <f>HYPERLINK("https://pb.nalog.ru/search.html?query=5610258497","ФНС: проверить")</f>
        <v/>
      </c>
      <c r="R8038" s="16">
        <f>HYPERLINK("https://checko.ru/search?query=3801001629","Чекко: проверить")</f>
        <v/>
      </c>
      <c r="S8038" t="n">
        <v>1</v>
      </c>
      <c r="T8038" s="35" t="inlineStr">
        <is>
          <t>4 — Не обогащён</t>
        </is>
      </c>
      <c r="U8038" s="35" t="inlineStr">
        <is>
          <t>Нет ОКВЭД/ССЧР</t>
        </is>
      </c>
      <c r="V8038" s="35" t="inlineStr">
        <is>
          <t>Не определено</t>
        </is>
      </c>
      <c r="W8038" s="35" t="inlineStr"/>
      <c r="X8038" s="35" t="inlineStr"/>
    </row>
    <row r="8039" ht="15" customHeight="1" s="24">
      <c r="A8039" s="13" t="n">
        <v>5000119236</v>
      </c>
      <c r="B8039" s="13" t="inlineStr">
        <is>
          <t>МКУ "ЦБУ ОУ" ЛМР КБР</t>
        </is>
      </c>
      <c r="C8039" s="13" t="n">
        <v>700011248</v>
      </c>
      <c r="D8039" s="13" t="n"/>
      <c r="E8039" s="13" t="inlineStr">
        <is>
          <t>Не определён</t>
        </is>
      </c>
      <c r="F8039" s="13" t="inlineStr">
        <is>
          <t>700011248</t>
        </is>
      </c>
      <c r="G8039" s="14" t="n"/>
      <c r="H8039" s="14" t="n"/>
      <c r="I8039" s="14" t="n"/>
      <c r="J8039" s="14" t="n"/>
      <c r="K8039" s="13">
        <f>IF(G8039="","",IF(G8039&gt;=22,"Да","Нет"))</f>
        <v/>
      </c>
      <c r="L8039" s="13">
        <f>IF(OR(I8039="",J8039=""),"Не определено",IF(OR(COUNTIF(I8039,"45*")&gt;0,COUNTIF(J8039,"*45*")&gt;0,COUNTIF(I8039,"46*")&gt;0,COUNTIF(J8039,"*46*")&gt;0,COUNTIF(I8039,"47*")&gt;0,COUNTIF(J8039,"*47*")&gt;0,COUNTIF(I8039,"10*")&gt;0,COUNTIF(J8039,"*10*")&gt;0,COUNTIF(I8039,"11*")&gt;0,COUNTIF(J8039,"*11*")&gt;0,COUNTIF(I8039,"12*")&gt;0,COUNTIF(J8039,"*12*")&gt;0,COUNTIF(I8039,"13*")&gt;0,COUNTIF(J8039,"*13*")&gt;0,COUNTIF(I8039,"14*")&gt;0,COUNTIF(J8039,"*14*")&gt;0,COUNTIF(I8039,"15*")&gt;0,COUNTIF(J8039,"*15*")&gt;0,COUNTIF(I8039,"16*")&gt;0,COUNTIF(J8039,"*16*")&gt;0,COUNTIF(I8039,"17*")&gt;0,COUNTIF(J8039,"*17*")&gt;0,COUNTIF(I8039,"18*")&gt;0,COUNTIF(J8039,"*18*")&gt;0,COUNTIF(I8039,"19*")&gt;0,COUNTIF(J8039,"*19*")&gt;0,COUNTIF(I8039,"20*")&gt;0,COUNTIF(J8039,"*20*")&gt;0,COUNTIF(I8039,"21*")&gt;0,COUNTIF(J8039,"*21*")&gt;0,COUNTIF(I8039,"22*")&gt;0,COUNTIF(J8039,"*22*")&gt;0,COUNTIF(I8039,"23*")&gt;0,COUNTIF(J8039,"*23*")&gt;0,COUNTIF(I8039,"24*")&gt;0,COUNTIF(J8039,"*24*")&gt;0,COUNTIF(I8039,"25*")&gt;0,COUNTIF(J8039,"*25*")&gt;0,COUNTIF(I8039,"26*")&gt;0,COUNTIF(J8039,"*26*")&gt;0,COUNTIF(I8039,"27*")&gt;0,COUNTIF(J8039,"*27*")&gt;0,COUNTIF(I8039,"28*")&gt;0,COUNTIF(J8039,"*28*")&gt;0,COUNTIF(I8039,"29*")&gt;0,COUNTIF(J8039,"*29*")&gt;0,COUNTIF(I8039,"30*")&gt;0,COUNTIF(J8039,"*30*")&gt;0,COUNTIF(I8039,"31*")&gt;0,COUNTIF(J8039,"*31*")&gt;0,COUNTIF(I8039,"32*")&gt;0,COUNTIF(J8039,"*32*")&gt;0,COUNTIF(I8039,"33*")&gt;0,COUNTIF(J8039,"*33*")&gt;0,COUNTIF(I8039,"41*")&gt;0,COUNTIF(J8039,"*41*")&gt;0,COUNTIF(I8039,"42*")&gt;0,COUNTIF(J8039,"*42*")&gt;0,COUNTIF(I8039,"43*")&gt;0,COUNTIF(J8039,"*43*")&gt;0,COUNTIF(I8039,"49*")&gt;0,COUNTIF(J8039,"*49*")&gt;0,COUNTIF(I8039,"52*")&gt;0,COUNTIF(J8039,"*52*")&gt;0,COUNTIF(I8039,"55*")&gt;0,COUNTIF(J8039,"*55*")&gt;0,COUNTIF(I8039,"56*")&gt;0,COUNTIF(J8039,"*56*")&gt;0,COUNTIF(I8039,"68*")&gt;0,COUNTIF(J8039,"*68*")&gt;0,COUNTIF(I8039,"78*")&gt;0,COUNTIF(J8039,"*78*")&gt;0,COUNTIF(I8039,"81*")&gt;0,COUNTIF(J8039,"*81*")&gt;0,COUNTIF(I8039,"82*")&gt;0,COUNTIF(J8039,"*82*")&gt;0,COUNTIF(I8039,"64*")&gt;0,COUNTIF(J8039,"*64*")&gt;0,COUNTIF(I8039,"65*")&gt;0,COUNTIF(J8039,"*65*")&gt;0,COUNTIF(I8039,"66*")&gt;0,COUNTIF(J8039,"*66*")&gt;0,COUNTIF(I8039,"61*")&gt;0,COUNTIF(J8039,"*61*")&gt;0,COUNTIF(I8039,"62*")&gt;0,COUNTIF(J8039,"*62*")&gt;0,COUNTIF(I8039,"63*")&gt;0,COUNTIF(J8039,"*63*")&gt;0,COUNTIF(I8039,"85*")&gt;0,COUNTIF(J8039,"*85*")&gt;0,COUNTIF(I8039,"86*")&gt;0,COUNTIF(J8039,"*86*")&gt;0),"Да","Нет"))</f>
        <v/>
      </c>
      <c r="M8039" s="13">
        <f>IF(OR(G8039="",L8039&lt;&gt;"Да"),"",IF(G8039&lt;=100,"До 100",IF(G8039&lt;=200,"До 200",IF(G8039&lt;=500,"До 500","Отдельное КП"))))</f>
        <v/>
      </c>
      <c r="N8039" s="15">
        <f>IF(OR(G8039="",L8039&lt;&gt;"Да"),"",IF(G8039&lt;=100,33600,IF(G8039&lt;=200,62400,IF(G8039&lt;=500,144000,""))))</f>
        <v/>
      </c>
      <c r="O8039" s="16">
        <f>IF(G8039="","",IF(G8039&lt;=15,"1–15",IF(G8039&lt;=30,"16–30",IF(G8039&lt;=50,"31–50",IF(G8039&lt;=100,"51–100",IF(G8039&lt;=150,"101–150",IF(G8039&lt;=200,"151–200",IF(G8039&lt;=500,"201–500","500+"))))))))</f>
        <v/>
      </c>
      <c r="P8039" s="16" t="inlineStr">
        <is>
          <t>Нет совпадения в предоставленной выгрузке ССЧР</t>
        </is>
      </c>
      <c r="Q8039" s="16" t="n"/>
      <c r="R8039" s="16">
        <f>HYPERLINK("https://checko.ru/search?query=3801001629","Чекко: проверить")</f>
        <v/>
      </c>
      <c r="S8039" t="n">
        <v>0</v>
      </c>
    </row>
    <row r="8040" ht="15" customHeight="1" s="24">
      <c r="A8040" s="13" t="n">
        <v>5000119237</v>
      </c>
      <c r="B8040" s="13" t="inlineStr">
        <is>
          <t>МБДОУ "ДЕТСКИЙ САД №6"</t>
        </is>
      </c>
      <c r="C8040" s="13" t="n">
        <v>700011343</v>
      </c>
      <c r="D8040" s="13" t="n"/>
      <c r="E8040" s="13" t="inlineStr">
        <is>
          <t>Не определён</t>
        </is>
      </c>
      <c r="F8040" s="13" t="inlineStr">
        <is>
          <t>700011343</t>
        </is>
      </c>
      <c r="G8040" s="14" t="n"/>
      <c r="H8040" s="14" t="n"/>
      <c r="I8040" s="14" t="n"/>
      <c r="J8040" s="14" t="n"/>
      <c r="K8040" s="13">
        <f>IF(G8040="","",IF(G8040&gt;=22,"Да","Нет"))</f>
        <v/>
      </c>
      <c r="L8040" s="13">
        <f>IF(OR(I8040="",J8040=""),"Не определено",IF(OR(COUNTIF(I8040,"45*")&gt;0,COUNTIF(J8040,"*45*")&gt;0,COUNTIF(I8040,"46*")&gt;0,COUNTIF(J8040,"*46*")&gt;0,COUNTIF(I8040,"47*")&gt;0,COUNTIF(J8040,"*47*")&gt;0,COUNTIF(I8040,"10*")&gt;0,COUNTIF(J8040,"*10*")&gt;0,COUNTIF(I8040,"11*")&gt;0,COUNTIF(J8040,"*11*")&gt;0,COUNTIF(I8040,"12*")&gt;0,COUNTIF(J8040,"*12*")&gt;0,COUNTIF(I8040,"13*")&gt;0,COUNTIF(J8040,"*13*")&gt;0,COUNTIF(I8040,"14*")&gt;0,COUNTIF(J8040,"*14*")&gt;0,COUNTIF(I8040,"15*")&gt;0,COUNTIF(J8040,"*15*")&gt;0,COUNTIF(I8040,"16*")&gt;0,COUNTIF(J8040,"*16*")&gt;0,COUNTIF(I8040,"17*")&gt;0,COUNTIF(J8040,"*17*")&gt;0,COUNTIF(I8040,"18*")&gt;0,COUNTIF(J8040,"*18*")&gt;0,COUNTIF(I8040,"19*")&gt;0,COUNTIF(J8040,"*19*")&gt;0,COUNTIF(I8040,"20*")&gt;0,COUNTIF(J8040,"*20*")&gt;0,COUNTIF(I8040,"21*")&gt;0,COUNTIF(J8040,"*21*")&gt;0,COUNTIF(I8040,"22*")&gt;0,COUNTIF(J8040,"*22*")&gt;0,COUNTIF(I8040,"23*")&gt;0,COUNTIF(J8040,"*23*")&gt;0,COUNTIF(I8040,"24*")&gt;0,COUNTIF(J8040,"*24*")&gt;0,COUNTIF(I8040,"25*")&gt;0,COUNTIF(J8040,"*25*")&gt;0,COUNTIF(I8040,"26*")&gt;0,COUNTIF(J8040,"*26*")&gt;0,COUNTIF(I8040,"27*")&gt;0,COUNTIF(J8040,"*27*")&gt;0,COUNTIF(I8040,"28*")&gt;0,COUNTIF(J8040,"*28*")&gt;0,COUNTIF(I8040,"29*")&gt;0,COUNTIF(J8040,"*29*")&gt;0,COUNTIF(I8040,"30*")&gt;0,COUNTIF(J8040,"*30*")&gt;0,COUNTIF(I8040,"31*")&gt;0,COUNTIF(J8040,"*31*")&gt;0,COUNTIF(I8040,"32*")&gt;0,COUNTIF(J8040,"*32*")&gt;0,COUNTIF(I8040,"33*")&gt;0,COUNTIF(J8040,"*33*")&gt;0,COUNTIF(I8040,"41*")&gt;0,COUNTIF(J8040,"*41*")&gt;0,COUNTIF(I8040,"42*")&gt;0,COUNTIF(J8040,"*42*")&gt;0,COUNTIF(I8040,"43*")&gt;0,COUNTIF(J8040,"*43*")&gt;0,COUNTIF(I8040,"49*")&gt;0,COUNTIF(J8040,"*49*")&gt;0,COUNTIF(I8040,"52*")&gt;0,COUNTIF(J8040,"*52*")&gt;0,COUNTIF(I8040,"55*")&gt;0,COUNTIF(J8040,"*55*")&gt;0,COUNTIF(I8040,"56*")&gt;0,COUNTIF(J8040,"*56*")&gt;0,COUNTIF(I8040,"68*")&gt;0,COUNTIF(J8040,"*68*")&gt;0,COUNTIF(I8040,"78*")&gt;0,COUNTIF(J8040,"*78*")&gt;0,COUNTIF(I8040,"81*")&gt;0,COUNTIF(J8040,"*81*")&gt;0,COUNTIF(I8040,"82*")&gt;0,COUNTIF(J8040,"*82*")&gt;0,COUNTIF(I8040,"64*")&gt;0,COUNTIF(J8040,"*64*")&gt;0,COUNTIF(I8040,"65*")&gt;0,COUNTIF(J8040,"*65*")&gt;0,COUNTIF(I8040,"66*")&gt;0,COUNTIF(J8040,"*66*")&gt;0,COUNTIF(I8040,"61*")&gt;0,COUNTIF(J8040,"*61*")&gt;0,COUNTIF(I8040,"62*")&gt;0,COUNTIF(J8040,"*62*")&gt;0,COUNTIF(I8040,"63*")&gt;0,COUNTIF(J8040,"*63*")&gt;0,COUNTIF(I8040,"85*")&gt;0,COUNTIF(J8040,"*85*")&gt;0,COUNTIF(I8040,"86*")&gt;0,COUNTIF(J8040,"*86*")&gt;0),"Да","Нет"))</f>
        <v/>
      </c>
      <c r="M8040" s="13">
        <f>IF(OR(G8040="",L8040&lt;&gt;"Да"),"",IF(G8040&lt;=100,"До 100",IF(G8040&lt;=200,"До 200",IF(G8040&lt;=500,"До 500","Отдельное КП"))))</f>
        <v/>
      </c>
      <c r="N8040" s="15">
        <f>IF(OR(G8040="",L8040&lt;&gt;"Да"),"",IF(G8040&lt;=100,33600,IF(G8040&lt;=200,62400,IF(G8040&lt;=500,144000,""))))</f>
        <v/>
      </c>
      <c r="O8040" s="16">
        <f>IF(G8040="","",IF(G8040&lt;=15,"1–15",IF(G8040&lt;=30,"16–30",IF(G8040&lt;=50,"31–50",IF(G8040&lt;=100,"51–100",IF(G8040&lt;=150,"101–150",IF(G8040&lt;=200,"151–200",IF(G8040&lt;=500,"201–500","500+"))))))))</f>
        <v/>
      </c>
      <c r="P8040" s="16" t="inlineStr">
        <is>
          <t>Нет совпадения в предоставленной выгрузке ССЧР</t>
        </is>
      </c>
      <c r="Q8040" s="16" t="n"/>
      <c r="R8040" s="16">
        <f>HYPERLINK("https://checko.ru/search?query=3801001629","Чекко: проверить")</f>
        <v/>
      </c>
      <c r="S8040" t="n">
        <v>0</v>
      </c>
    </row>
    <row r="8041" ht="15" customHeight="1" s="24">
      <c r="A8041" s="13" t="n">
        <v>5000121120</v>
      </c>
      <c r="B8041" s="13" t="inlineStr">
        <is>
          <t>МБУ ДО ЗВЕНИГОРОДСКАЯ ДМШ</t>
        </is>
      </c>
      <c r="C8041" s="13" t="n">
        <v>5015004261</v>
      </c>
      <c r="D8041" s="13" t="inlineStr">
        <is>
          <t>5015004261</t>
        </is>
      </c>
      <c r="E8041" s="13" t="inlineStr">
        <is>
          <t>ЮЛ РФ</t>
        </is>
      </c>
      <c r="F8041" s="13" t="n"/>
      <c r="G8041" s="14" t="n"/>
      <c r="H8041" s="14" t="n"/>
      <c r="I8041" s="14" t="n"/>
      <c r="J8041" s="14" t="n"/>
      <c r="K8041" s="53" t="inlineStr"/>
      <c r="L8041" s="53" t="inlineStr">
        <is>
          <t>Не определено</t>
        </is>
      </c>
      <c r="M8041" s="53" t="inlineStr"/>
      <c r="N8041" s="54" t="inlineStr"/>
      <c r="O8041" s="55" t="inlineStr"/>
      <c r="P8041" s="16" t="inlineStr">
        <is>
          <t>Требует обогащения</t>
        </is>
      </c>
      <c r="Q8041" s="16">
        <f>HYPERLINK("https://pb.nalog.ru/search.html?query=5015004261","ФНС: проверить")</f>
        <v/>
      </c>
      <c r="R8041" s="16">
        <f>HYPERLINK("https://checko.ru/search?query=3801001629","Чекко: проверить")</f>
        <v/>
      </c>
      <c r="S8041" t="n">
        <v>1</v>
      </c>
      <c r="T8041" s="35" t="inlineStr">
        <is>
          <t>4 — Не обогащён</t>
        </is>
      </c>
      <c r="U8041" s="35" t="inlineStr">
        <is>
          <t>Нет ОКВЭД/ССЧР</t>
        </is>
      </c>
      <c r="V8041" s="35" t="inlineStr">
        <is>
          <t>Не определено</t>
        </is>
      </c>
      <c r="W8041" s="35" t="inlineStr"/>
      <c r="X8041" s="35" t="inlineStr"/>
    </row>
    <row r="8042" ht="15" customHeight="1" s="24">
      <c r="A8042" s="13" t="n">
        <v>5000121213</v>
      </c>
      <c r="B8042" s="13" t="inlineStr">
        <is>
          <t>МАУ ДО "СШ"</t>
        </is>
      </c>
      <c r="C8042" s="13" t="n">
        <v>5041013368</v>
      </c>
      <c r="D8042" s="13" t="inlineStr">
        <is>
          <t>5041013368</t>
        </is>
      </c>
      <c r="E8042" s="13" t="inlineStr">
        <is>
          <t>ЮЛ РФ</t>
        </is>
      </c>
      <c r="F8042" s="13" t="n"/>
      <c r="G8042" s="14" t="n"/>
      <c r="H8042" s="14" t="n"/>
      <c r="I8042" s="14" t="n"/>
      <c r="J8042" s="14" t="n"/>
      <c r="K8042" s="53" t="inlineStr"/>
      <c r="L8042" s="53" t="inlineStr">
        <is>
          <t>Не определено</t>
        </is>
      </c>
      <c r="M8042" s="53" t="inlineStr"/>
      <c r="N8042" s="54" t="inlineStr"/>
      <c r="O8042" s="55" t="inlineStr"/>
      <c r="P8042" s="16" t="inlineStr">
        <is>
          <t>Требует обогащения</t>
        </is>
      </c>
      <c r="Q8042" s="16">
        <f>HYPERLINK("https://pb.nalog.ru/search.html?query=5041013368","ФНС: проверить")</f>
        <v/>
      </c>
      <c r="R8042" s="16">
        <f>HYPERLINK("https://checko.ru/search?query=3801001629","Чекко: проверить")</f>
        <v/>
      </c>
      <c r="S8042" t="n">
        <v>1</v>
      </c>
      <c r="T8042" s="35" t="inlineStr">
        <is>
          <t>4 — Не обогащён</t>
        </is>
      </c>
      <c r="U8042" s="35" t="inlineStr">
        <is>
          <t>Нет ОКВЭД/ССЧР</t>
        </is>
      </c>
      <c r="V8042" s="35" t="inlineStr">
        <is>
          <t>Не определено</t>
        </is>
      </c>
      <c r="W8042" s="35" t="inlineStr"/>
      <c r="X8042" s="35" t="inlineStr"/>
    </row>
    <row r="8043" ht="15" customHeight="1" s="24">
      <c r="A8043" s="13" t="n">
        <v>5000121214</v>
      </c>
      <c r="B8043" s="13" t="inlineStr">
        <is>
          <t>МАУ "ЦКИ"</t>
        </is>
      </c>
      <c r="C8043" s="13" t="n">
        <v>5041210687</v>
      </c>
      <c r="D8043" s="13" t="inlineStr">
        <is>
          <t>5041210687</t>
        </is>
      </c>
      <c r="E8043" s="13" t="inlineStr">
        <is>
          <t>ЮЛ РФ</t>
        </is>
      </c>
      <c r="F8043" s="13" t="n"/>
      <c r="G8043" s="14" t="n"/>
      <c r="H8043" s="14" t="n"/>
      <c r="I8043" s="14" t="n"/>
      <c r="J8043" s="14" t="n"/>
      <c r="K8043" s="53" t="inlineStr"/>
      <c r="L8043" s="53" t="inlineStr">
        <is>
          <t>Не определено</t>
        </is>
      </c>
      <c r="M8043" s="53" t="inlineStr"/>
      <c r="N8043" s="54" t="inlineStr"/>
      <c r="O8043" s="55" t="inlineStr"/>
      <c r="P8043" s="16" t="inlineStr">
        <is>
          <t>Требует обогащения</t>
        </is>
      </c>
      <c r="Q8043" s="16">
        <f>HYPERLINK("https://pb.nalog.ru/search.html?query=5041210687","ФНС: проверить")</f>
        <v/>
      </c>
      <c r="R8043" s="16">
        <f>HYPERLINK("https://checko.ru/search?query=3801001629","Чекко: проверить")</f>
        <v/>
      </c>
      <c r="S8043" t="n">
        <v>1</v>
      </c>
      <c r="T8043" s="35" t="inlineStr">
        <is>
          <t>4 — Не обогащён</t>
        </is>
      </c>
      <c r="U8043" s="35" t="inlineStr">
        <is>
          <t>Нет ОКВЭД/ССЧР</t>
        </is>
      </c>
      <c r="V8043" s="35" t="inlineStr">
        <is>
          <t>Не определено</t>
        </is>
      </c>
      <c r="W8043" s="35" t="inlineStr"/>
      <c r="X8043" s="35" t="inlineStr"/>
    </row>
    <row r="8044" ht="15" customHeight="1" s="24">
      <c r="A8044" s="13" t="n">
        <v>5000121217</v>
      </c>
      <c r="B8044" s="13" t="inlineStr">
        <is>
          <t>МКУ "МЦУР Г. О. РЕУТОВ"</t>
        </is>
      </c>
      <c r="C8044" s="13" t="n">
        <v>5041204588</v>
      </c>
      <c r="D8044" s="13" t="inlineStr">
        <is>
          <t>5041204588</t>
        </is>
      </c>
      <c r="E8044" s="13" t="inlineStr">
        <is>
          <t>ЮЛ РФ</t>
        </is>
      </c>
      <c r="F8044" s="13" t="n"/>
      <c r="G8044" s="14" t="n"/>
      <c r="H8044" s="14" t="n"/>
      <c r="I8044" s="14" t="n"/>
      <c r="J8044" s="14" t="n"/>
      <c r="K8044" s="53" t="inlineStr"/>
      <c r="L8044" s="53" t="inlineStr">
        <is>
          <t>Не определено</t>
        </is>
      </c>
      <c r="M8044" s="53" t="inlineStr"/>
      <c r="N8044" s="54" t="inlineStr"/>
      <c r="O8044" s="55" t="inlineStr"/>
      <c r="P8044" s="16" t="inlineStr">
        <is>
          <t>Требует обогащения</t>
        </is>
      </c>
      <c r="Q8044" s="16">
        <f>HYPERLINK("https://pb.nalog.ru/search.html?query=5041204588","ФНС: проверить")</f>
        <v/>
      </c>
      <c r="R8044" s="16">
        <f>HYPERLINK("https://checko.ru/search?query=3801001629","Чекко: проверить")</f>
        <v/>
      </c>
      <c r="S8044" t="n">
        <v>1</v>
      </c>
      <c r="T8044" s="35" t="inlineStr">
        <is>
          <t>4 — Не обогащён</t>
        </is>
      </c>
      <c r="U8044" s="35" t="inlineStr">
        <is>
          <t>Нет ОКВЭД/ССЧР</t>
        </is>
      </c>
      <c r="V8044" s="35" t="inlineStr">
        <is>
          <t>Не определено</t>
        </is>
      </c>
      <c r="W8044" s="35" t="inlineStr"/>
      <c r="X8044" s="35" t="inlineStr"/>
    </row>
    <row r="8045" ht="15" customHeight="1" s="24">
      <c r="A8045" s="13" t="n">
        <v>5000121221</v>
      </c>
      <c r="B8045" s="13" t="inlineStr">
        <is>
          <t>СОВЕТ ДЕПУТАТОВ ГОРОДСКОГО ОКРУГА РЕУТОВ</t>
        </is>
      </c>
      <c r="C8045" s="13" t="n">
        <v>5012066340</v>
      </c>
      <c r="D8045" s="13" t="inlineStr">
        <is>
          <t>5012066340</t>
        </is>
      </c>
      <c r="E8045" s="13" t="inlineStr">
        <is>
          <t>ЮЛ РФ</t>
        </is>
      </c>
      <c r="F8045" s="13" t="n"/>
      <c r="G8045" s="14" t="n"/>
      <c r="H8045" s="14" t="n"/>
      <c r="I8045" s="14" t="n"/>
      <c r="J8045" s="14" t="n"/>
      <c r="K8045" s="53" t="inlineStr"/>
      <c r="L8045" s="53" t="inlineStr">
        <is>
          <t>Не определено</t>
        </is>
      </c>
      <c r="M8045" s="53" t="inlineStr"/>
      <c r="N8045" s="54" t="inlineStr"/>
      <c r="O8045" s="55" t="inlineStr"/>
      <c r="P8045" s="16" t="inlineStr">
        <is>
          <t>Требует обогащения</t>
        </is>
      </c>
      <c r="Q8045" s="16">
        <f>HYPERLINK("https://pb.nalog.ru/search.html?query=5012066340","ФНС: проверить")</f>
        <v/>
      </c>
      <c r="R8045" s="16">
        <f>HYPERLINK("https://checko.ru/search?query=3801001629","Чекко: проверить")</f>
        <v/>
      </c>
      <c r="S8045" t="n">
        <v>1</v>
      </c>
      <c r="T8045" s="35" t="inlineStr">
        <is>
          <t>4 — Не обогащён</t>
        </is>
      </c>
      <c r="U8045" s="35" t="inlineStr">
        <is>
          <t>Нет ОКВЭД/ССЧР</t>
        </is>
      </c>
      <c r="V8045" s="35" t="inlineStr">
        <is>
          <t>Не определено</t>
        </is>
      </c>
      <c r="W8045" s="35" t="inlineStr"/>
      <c r="X8045" s="35" t="inlineStr"/>
    </row>
    <row r="8046" ht="15" customHeight="1" s="24">
      <c r="A8046" s="13" t="n">
        <v>5000121222</v>
      </c>
      <c r="B8046" s="13" t="inlineStr">
        <is>
          <t>КУМИ Администрации г. Реутов</t>
        </is>
      </c>
      <c r="C8046" s="13" t="n">
        <v>5041001281</v>
      </c>
      <c r="D8046" s="13" t="inlineStr">
        <is>
          <t>5041001281</t>
        </is>
      </c>
      <c r="E8046" s="13" t="inlineStr">
        <is>
          <t>ЮЛ РФ</t>
        </is>
      </c>
      <c r="F8046" s="13" t="n"/>
      <c r="G8046" s="14" t="n"/>
      <c r="H8046" s="14" t="n"/>
      <c r="I8046" s="14" t="n"/>
      <c r="J8046" s="14" t="n"/>
      <c r="K8046" s="53" t="inlineStr"/>
      <c r="L8046" s="53" t="inlineStr">
        <is>
          <t>Не определено</t>
        </is>
      </c>
      <c r="M8046" s="53" t="inlineStr"/>
      <c r="N8046" s="54" t="inlineStr"/>
      <c r="O8046" s="55" t="inlineStr"/>
      <c r="P8046" s="16" t="inlineStr">
        <is>
          <t>Требует обогащения</t>
        </is>
      </c>
      <c r="Q8046" s="16">
        <f>HYPERLINK("https://pb.nalog.ru/search.html?query=5041001281","ФНС: проверить")</f>
        <v/>
      </c>
      <c r="R8046" s="16">
        <f>HYPERLINK("https://checko.ru/search?query=3801001629","Чекко: проверить")</f>
        <v/>
      </c>
      <c r="S8046" t="n">
        <v>1</v>
      </c>
      <c r="T8046" s="35" t="inlineStr">
        <is>
          <t>4 — Не обогащён</t>
        </is>
      </c>
      <c r="U8046" s="35" t="inlineStr">
        <is>
          <t>Нет ОКВЭД/ССЧР</t>
        </is>
      </c>
      <c r="V8046" s="35" t="inlineStr">
        <is>
          <t>Не определено</t>
        </is>
      </c>
      <c r="W8046" s="35" t="inlineStr"/>
      <c r="X8046" s="35" t="inlineStr"/>
    </row>
    <row r="8047" ht="27.75" customHeight="1" s="24">
      <c r="A8047" s="13" t="n">
        <v>5000119234</v>
      </c>
      <c r="B8047" s="13" t="inlineStr">
        <is>
          <t>МКУ "УПРАВЛЕНИЕ КУЛЬТУРЫ И ТУРИЗМА ЧЕРЕКСКОГО МУНИЦИПАЛЬНОГО РАЙОНА"</t>
        </is>
      </c>
      <c r="C8047" s="13" t="n">
        <v>700004466</v>
      </c>
      <c r="D8047" s="13" t="n"/>
      <c r="E8047" s="13" t="inlineStr">
        <is>
          <t>Не определён</t>
        </is>
      </c>
      <c r="F8047" s="13" t="inlineStr">
        <is>
          <t>700004466</t>
        </is>
      </c>
      <c r="G8047" s="14" t="n"/>
      <c r="H8047" s="14" t="n"/>
      <c r="I8047" s="14" t="n"/>
      <c r="J8047" s="14" t="n"/>
      <c r="K8047" s="13">
        <f>IF(G8047="","",IF(G8047&gt;=22,"Да","Нет"))</f>
        <v/>
      </c>
      <c r="L8047" s="13">
        <f>IF(OR(I8047="",J8047=""),"Не определено",IF(OR(COUNTIF(I8047,"45*")&gt;0,COUNTIF(J8047,"*45*")&gt;0,COUNTIF(I8047,"46*")&gt;0,COUNTIF(J8047,"*46*")&gt;0,COUNTIF(I8047,"47*")&gt;0,COUNTIF(J8047,"*47*")&gt;0,COUNTIF(I8047,"10*")&gt;0,COUNTIF(J8047,"*10*")&gt;0,COUNTIF(I8047,"11*")&gt;0,COUNTIF(J8047,"*11*")&gt;0,COUNTIF(I8047,"12*")&gt;0,COUNTIF(J8047,"*12*")&gt;0,COUNTIF(I8047,"13*")&gt;0,COUNTIF(J8047,"*13*")&gt;0,COUNTIF(I8047,"14*")&gt;0,COUNTIF(J8047,"*14*")&gt;0,COUNTIF(I8047,"15*")&gt;0,COUNTIF(J8047,"*15*")&gt;0,COUNTIF(I8047,"16*")&gt;0,COUNTIF(J8047,"*16*")&gt;0,COUNTIF(I8047,"17*")&gt;0,COUNTIF(J8047,"*17*")&gt;0,COUNTIF(I8047,"18*")&gt;0,COUNTIF(J8047,"*18*")&gt;0,COUNTIF(I8047,"19*")&gt;0,COUNTIF(J8047,"*19*")&gt;0,COUNTIF(I8047,"20*")&gt;0,COUNTIF(J8047,"*20*")&gt;0,COUNTIF(I8047,"21*")&gt;0,COUNTIF(J8047,"*21*")&gt;0,COUNTIF(I8047,"22*")&gt;0,COUNTIF(J8047,"*22*")&gt;0,COUNTIF(I8047,"23*")&gt;0,COUNTIF(J8047,"*23*")&gt;0,COUNTIF(I8047,"24*")&gt;0,COUNTIF(J8047,"*24*")&gt;0,COUNTIF(I8047,"25*")&gt;0,COUNTIF(J8047,"*25*")&gt;0,COUNTIF(I8047,"26*")&gt;0,COUNTIF(J8047,"*26*")&gt;0,COUNTIF(I8047,"27*")&gt;0,COUNTIF(J8047,"*27*")&gt;0,COUNTIF(I8047,"28*")&gt;0,COUNTIF(J8047,"*28*")&gt;0,COUNTIF(I8047,"29*")&gt;0,COUNTIF(J8047,"*29*")&gt;0,COUNTIF(I8047,"30*")&gt;0,COUNTIF(J8047,"*30*")&gt;0,COUNTIF(I8047,"31*")&gt;0,COUNTIF(J8047,"*31*")&gt;0,COUNTIF(I8047,"32*")&gt;0,COUNTIF(J8047,"*32*")&gt;0,COUNTIF(I8047,"33*")&gt;0,COUNTIF(J8047,"*33*")&gt;0,COUNTIF(I8047,"41*")&gt;0,COUNTIF(J8047,"*41*")&gt;0,COUNTIF(I8047,"42*")&gt;0,COUNTIF(J8047,"*42*")&gt;0,COUNTIF(I8047,"43*")&gt;0,COUNTIF(J8047,"*43*")&gt;0,COUNTIF(I8047,"49*")&gt;0,COUNTIF(J8047,"*49*")&gt;0,COUNTIF(I8047,"52*")&gt;0,COUNTIF(J8047,"*52*")&gt;0,COUNTIF(I8047,"55*")&gt;0,COUNTIF(J8047,"*55*")&gt;0,COUNTIF(I8047,"56*")&gt;0,COUNTIF(J8047,"*56*")&gt;0,COUNTIF(I8047,"68*")&gt;0,COUNTIF(J8047,"*68*")&gt;0,COUNTIF(I8047,"78*")&gt;0,COUNTIF(J8047,"*78*")&gt;0,COUNTIF(I8047,"81*")&gt;0,COUNTIF(J8047,"*81*")&gt;0,COUNTIF(I8047,"82*")&gt;0,COUNTIF(J8047,"*82*")&gt;0,COUNTIF(I8047,"64*")&gt;0,COUNTIF(J8047,"*64*")&gt;0,COUNTIF(I8047,"65*")&gt;0,COUNTIF(J8047,"*65*")&gt;0,COUNTIF(I8047,"66*")&gt;0,COUNTIF(J8047,"*66*")&gt;0,COUNTIF(I8047,"61*")&gt;0,COUNTIF(J8047,"*61*")&gt;0,COUNTIF(I8047,"62*")&gt;0,COUNTIF(J8047,"*62*")&gt;0,COUNTIF(I8047,"63*")&gt;0,COUNTIF(J8047,"*63*")&gt;0,COUNTIF(I8047,"85*")&gt;0,COUNTIF(J8047,"*85*")&gt;0,COUNTIF(I8047,"86*")&gt;0,COUNTIF(J8047,"*86*")&gt;0),"Да","Нет"))</f>
        <v/>
      </c>
      <c r="M8047" s="13">
        <f>IF(OR(G8047="",L8047&lt;&gt;"Да"),"",IF(G8047&lt;=100,"До 100",IF(G8047&lt;=200,"До 200",IF(G8047&lt;=500,"До 500","Отдельное КП"))))</f>
        <v/>
      </c>
      <c r="N8047" s="15">
        <f>IF(OR(G8047="",L8047&lt;&gt;"Да"),"",IF(G8047&lt;=100,33600,IF(G8047&lt;=200,62400,IF(G8047&lt;=500,144000,""))))</f>
        <v/>
      </c>
      <c r="O8047" s="16">
        <f>IF(G8047="","",IF(G8047&lt;=15,"1–15",IF(G8047&lt;=30,"16–30",IF(G8047&lt;=50,"31–50",IF(G8047&lt;=100,"51–100",IF(G8047&lt;=150,"101–150",IF(G8047&lt;=200,"151–200",IF(G8047&lt;=500,"201–500","500+"))))))))</f>
        <v/>
      </c>
      <c r="P8047" s="16" t="inlineStr">
        <is>
          <t>Нет совпадения в предоставленной выгрузке ССЧР</t>
        </is>
      </c>
      <c r="Q8047" s="16" t="n"/>
      <c r="R8047" s="16">
        <f>HYPERLINK("https://checko.ru/search?query=3801001629","Чекко: проверить")</f>
        <v/>
      </c>
      <c r="S8047" t="n">
        <v>0</v>
      </c>
    </row>
    <row r="8048" ht="27.75" customHeight="1" s="24">
      <c r="A8048" s="13" t="n">
        <v>5000119238</v>
      </c>
      <c r="B8048" s="13" t="inlineStr">
        <is>
          <t>МКУ "ЦБ" ЭЛЬБРУССКОГО МУНИЦИПАЛЬНОГО РАЙОНА</t>
        </is>
      </c>
      <c r="C8048" s="13" t="n">
        <v>700014591</v>
      </c>
      <c r="D8048" s="13" t="n"/>
      <c r="E8048" s="13" t="inlineStr">
        <is>
          <t>Не определён</t>
        </is>
      </c>
      <c r="F8048" s="13" t="inlineStr">
        <is>
          <t>700014591</t>
        </is>
      </c>
      <c r="G8048" s="14" t="n"/>
      <c r="H8048" s="14" t="n"/>
      <c r="I8048" s="14" t="n"/>
      <c r="J8048" s="14" t="n"/>
      <c r="K8048" s="13">
        <f>IF(G8048="","",IF(G8048&gt;=22,"Да","Нет"))</f>
        <v/>
      </c>
      <c r="L8048" s="13">
        <f>IF(OR(I8048="",J8048=""),"Не определено",IF(OR(COUNTIF(I8048,"45*")&gt;0,COUNTIF(J8048,"*45*")&gt;0,COUNTIF(I8048,"46*")&gt;0,COUNTIF(J8048,"*46*")&gt;0,COUNTIF(I8048,"47*")&gt;0,COUNTIF(J8048,"*47*")&gt;0,COUNTIF(I8048,"10*")&gt;0,COUNTIF(J8048,"*10*")&gt;0,COUNTIF(I8048,"11*")&gt;0,COUNTIF(J8048,"*11*")&gt;0,COUNTIF(I8048,"12*")&gt;0,COUNTIF(J8048,"*12*")&gt;0,COUNTIF(I8048,"13*")&gt;0,COUNTIF(J8048,"*13*")&gt;0,COUNTIF(I8048,"14*")&gt;0,COUNTIF(J8048,"*14*")&gt;0,COUNTIF(I8048,"15*")&gt;0,COUNTIF(J8048,"*15*")&gt;0,COUNTIF(I8048,"16*")&gt;0,COUNTIF(J8048,"*16*")&gt;0,COUNTIF(I8048,"17*")&gt;0,COUNTIF(J8048,"*17*")&gt;0,COUNTIF(I8048,"18*")&gt;0,COUNTIF(J8048,"*18*")&gt;0,COUNTIF(I8048,"19*")&gt;0,COUNTIF(J8048,"*19*")&gt;0,COUNTIF(I8048,"20*")&gt;0,COUNTIF(J8048,"*20*")&gt;0,COUNTIF(I8048,"21*")&gt;0,COUNTIF(J8048,"*21*")&gt;0,COUNTIF(I8048,"22*")&gt;0,COUNTIF(J8048,"*22*")&gt;0,COUNTIF(I8048,"23*")&gt;0,COUNTIF(J8048,"*23*")&gt;0,COUNTIF(I8048,"24*")&gt;0,COUNTIF(J8048,"*24*")&gt;0,COUNTIF(I8048,"25*")&gt;0,COUNTIF(J8048,"*25*")&gt;0,COUNTIF(I8048,"26*")&gt;0,COUNTIF(J8048,"*26*")&gt;0,COUNTIF(I8048,"27*")&gt;0,COUNTIF(J8048,"*27*")&gt;0,COUNTIF(I8048,"28*")&gt;0,COUNTIF(J8048,"*28*")&gt;0,COUNTIF(I8048,"29*")&gt;0,COUNTIF(J8048,"*29*")&gt;0,COUNTIF(I8048,"30*")&gt;0,COUNTIF(J8048,"*30*")&gt;0,COUNTIF(I8048,"31*")&gt;0,COUNTIF(J8048,"*31*")&gt;0,COUNTIF(I8048,"32*")&gt;0,COUNTIF(J8048,"*32*")&gt;0,COUNTIF(I8048,"33*")&gt;0,COUNTIF(J8048,"*33*")&gt;0,COUNTIF(I8048,"41*")&gt;0,COUNTIF(J8048,"*41*")&gt;0,COUNTIF(I8048,"42*")&gt;0,COUNTIF(J8048,"*42*")&gt;0,COUNTIF(I8048,"43*")&gt;0,COUNTIF(J8048,"*43*")&gt;0,COUNTIF(I8048,"49*")&gt;0,COUNTIF(J8048,"*49*")&gt;0,COUNTIF(I8048,"52*")&gt;0,COUNTIF(J8048,"*52*")&gt;0,COUNTIF(I8048,"55*")&gt;0,COUNTIF(J8048,"*55*")&gt;0,COUNTIF(I8048,"56*")&gt;0,COUNTIF(J8048,"*56*")&gt;0,COUNTIF(I8048,"68*")&gt;0,COUNTIF(J8048,"*68*")&gt;0,COUNTIF(I8048,"78*")&gt;0,COUNTIF(J8048,"*78*")&gt;0,COUNTIF(I8048,"81*")&gt;0,COUNTIF(J8048,"*81*")&gt;0,COUNTIF(I8048,"82*")&gt;0,COUNTIF(J8048,"*82*")&gt;0,COUNTIF(I8048,"64*")&gt;0,COUNTIF(J8048,"*64*")&gt;0,COUNTIF(I8048,"65*")&gt;0,COUNTIF(J8048,"*65*")&gt;0,COUNTIF(I8048,"66*")&gt;0,COUNTIF(J8048,"*66*")&gt;0,COUNTIF(I8048,"61*")&gt;0,COUNTIF(J8048,"*61*")&gt;0,COUNTIF(I8048,"62*")&gt;0,COUNTIF(J8048,"*62*")&gt;0,COUNTIF(I8048,"63*")&gt;0,COUNTIF(J8048,"*63*")&gt;0,COUNTIF(I8048,"85*")&gt;0,COUNTIF(J8048,"*85*")&gt;0,COUNTIF(I8048,"86*")&gt;0,COUNTIF(J8048,"*86*")&gt;0),"Да","Нет"))</f>
        <v/>
      </c>
      <c r="M8048" s="13">
        <f>IF(OR(G8048="",L8048&lt;&gt;"Да"),"",IF(G8048&lt;=100,"До 100",IF(G8048&lt;=200,"До 200",IF(G8048&lt;=500,"До 500","Отдельное КП"))))</f>
        <v/>
      </c>
      <c r="N8048" s="15">
        <f>IF(OR(G8048="",L8048&lt;&gt;"Да"),"",IF(G8048&lt;=100,33600,IF(G8048&lt;=200,62400,IF(G8048&lt;=500,144000,""))))</f>
        <v/>
      </c>
      <c r="O8048" s="16">
        <f>IF(G8048="","",IF(G8048&lt;=15,"1–15",IF(G8048&lt;=30,"16–30",IF(G8048&lt;=50,"31–50",IF(G8048&lt;=100,"51–100",IF(G8048&lt;=150,"101–150",IF(G8048&lt;=200,"151–200",IF(G8048&lt;=500,"201–500","500+"))))))))</f>
        <v/>
      </c>
      <c r="P8048" s="16" t="inlineStr">
        <is>
          <t>Нет совпадения в предоставленной выгрузке ССЧР</t>
        </is>
      </c>
      <c r="Q8048" s="16" t="n"/>
      <c r="R8048" s="16">
        <f>HYPERLINK("https://checko.ru/search?query=3801001629","Чекко: проверить")</f>
        <v/>
      </c>
      <c r="S8048" t="n">
        <v>0</v>
      </c>
    </row>
    <row r="8049" ht="15" customHeight="1" s="24">
      <c r="A8049" s="13" t="n">
        <v>5000119239</v>
      </c>
      <c r="B8049" s="13" t="inlineStr">
        <is>
          <t>ГБПОУ "ТСХТ"</t>
        </is>
      </c>
      <c r="C8049" s="13" t="n">
        <v>700015690</v>
      </c>
      <c r="D8049" s="13" t="n"/>
      <c r="E8049" s="13" t="inlineStr">
        <is>
          <t>Не определён</t>
        </is>
      </c>
      <c r="F8049" s="13" t="inlineStr">
        <is>
          <t>700015690</t>
        </is>
      </c>
      <c r="G8049" s="14" t="n"/>
      <c r="H8049" s="14" t="n"/>
      <c r="I8049" s="14" t="n"/>
      <c r="J8049" s="14" t="n"/>
      <c r="K8049" s="13">
        <f>IF(G8049="","",IF(G8049&gt;=22,"Да","Нет"))</f>
        <v/>
      </c>
      <c r="L8049" s="13">
        <f>IF(OR(I8049="",J8049=""),"Не определено",IF(OR(COUNTIF(I8049,"45*")&gt;0,COUNTIF(J8049,"*45*")&gt;0,COUNTIF(I8049,"46*")&gt;0,COUNTIF(J8049,"*46*")&gt;0,COUNTIF(I8049,"47*")&gt;0,COUNTIF(J8049,"*47*")&gt;0,COUNTIF(I8049,"10*")&gt;0,COUNTIF(J8049,"*10*")&gt;0,COUNTIF(I8049,"11*")&gt;0,COUNTIF(J8049,"*11*")&gt;0,COUNTIF(I8049,"12*")&gt;0,COUNTIF(J8049,"*12*")&gt;0,COUNTIF(I8049,"13*")&gt;0,COUNTIF(J8049,"*13*")&gt;0,COUNTIF(I8049,"14*")&gt;0,COUNTIF(J8049,"*14*")&gt;0,COUNTIF(I8049,"15*")&gt;0,COUNTIF(J8049,"*15*")&gt;0,COUNTIF(I8049,"16*")&gt;0,COUNTIF(J8049,"*16*")&gt;0,COUNTIF(I8049,"17*")&gt;0,COUNTIF(J8049,"*17*")&gt;0,COUNTIF(I8049,"18*")&gt;0,COUNTIF(J8049,"*18*")&gt;0,COUNTIF(I8049,"19*")&gt;0,COUNTIF(J8049,"*19*")&gt;0,COUNTIF(I8049,"20*")&gt;0,COUNTIF(J8049,"*20*")&gt;0,COUNTIF(I8049,"21*")&gt;0,COUNTIF(J8049,"*21*")&gt;0,COUNTIF(I8049,"22*")&gt;0,COUNTIF(J8049,"*22*")&gt;0,COUNTIF(I8049,"23*")&gt;0,COUNTIF(J8049,"*23*")&gt;0,COUNTIF(I8049,"24*")&gt;0,COUNTIF(J8049,"*24*")&gt;0,COUNTIF(I8049,"25*")&gt;0,COUNTIF(J8049,"*25*")&gt;0,COUNTIF(I8049,"26*")&gt;0,COUNTIF(J8049,"*26*")&gt;0,COUNTIF(I8049,"27*")&gt;0,COUNTIF(J8049,"*27*")&gt;0,COUNTIF(I8049,"28*")&gt;0,COUNTIF(J8049,"*28*")&gt;0,COUNTIF(I8049,"29*")&gt;0,COUNTIF(J8049,"*29*")&gt;0,COUNTIF(I8049,"30*")&gt;0,COUNTIF(J8049,"*30*")&gt;0,COUNTIF(I8049,"31*")&gt;0,COUNTIF(J8049,"*31*")&gt;0,COUNTIF(I8049,"32*")&gt;0,COUNTIF(J8049,"*32*")&gt;0,COUNTIF(I8049,"33*")&gt;0,COUNTIF(J8049,"*33*")&gt;0,COUNTIF(I8049,"41*")&gt;0,COUNTIF(J8049,"*41*")&gt;0,COUNTIF(I8049,"42*")&gt;0,COUNTIF(J8049,"*42*")&gt;0,COUNTIF(I8049,"43*")&gt;0,COUNTIF(J8049,"*43*")&gt;0,COUNTIF(I8049,"49*")&gt;0,COUNTIF(J8049,"*49*")&gt;0,COUNTIF(I8049,"52*")&gt;0,COUNTIF(J8049,"*52*")&gt;0,COUNTIF(I8049,"55*")&gt;0,COUNTIF(J8049,"*55*")&gt;0,COUNTIF(I8049,"56*")&gt;0,COUNTIF(J8049,"*56*")&gt;0,COUNTIF(I8049,"68*")&gt;0,COUNTIF(J8049,"*68*")&gt;0,COUNTIF(I8049,"78*")&gt;0,COUNTIF(J8049,"*78*")&gt;0,COUNTIF(I8049,"81*")&gt;0,COUNTIF(J8049,"*81*")&gt;0,COUNTIF(I8049,"82*")&gt;0,COUNTIF(J8049,"*82*")&gt;0,COUNTIF(I8049,"64*")&gt;0,COUNTIF(J8049,"*64*")&gt;0,COUNTIF(I8049,"65*")&gt;0,COUNTIF(J8049,"*65*")&gt;0,COUNTIF(I8049,"66*")&gt;0,COUNTIF(J8049,"*66*")&gt;0,COUNTIF(I8049,"61*")&gt;0,COUNTIF(J8049,"*61*")&gt;0,COUNTIF(I8049,"62*")&gt;0,COUNTIF(J8049,"*62*")&gt;0,COUNTIF(I8049,"63*")&gt;0,COUNTIF(J8049,"*63*")&gt;0,COUNTIF(I8049,"85*")&gt;0,COUNTIF(J8049,"*85*")&gt;0,COUNTIF(I8049,"86*")&gt;0,COUNTIF(J8049,"*86*")&gt;0),"Да","Нет"))</f>
        <v/>
      </c>
      <c r="M8049" s="13">
        <f>IF(OR(G8049="",L8049&lt;&gt;"Да"),"",IF(G8049&lt;=100,"До 100",IF(G8049&lt;=200,"До 200",IF(G8049&lt;=500,"До 500","Отдельное КП"))))</f>
        <v/>
      </c>
      <c r="N8049" s="15">
        <f>IF(OR(G8049="",L8049&lt;&gt;"Да"),"",IF(G8049&lt;=100,33600,IF(G8049&lt;=200,62400,IF(G8049&lt;=500,144000,""))))</f>
        <v/>
      </c>
      <c r="O8049" s="16">
        <f>IF(G8049="","",IF(G8049&lt;=15,"1–15",IF(G8049&lt;=30,"16–30",IF(G8049&lt;=50,"31–50",IF(G8049&lt;=100,"51–100",IF(G8049&lt;=150,"101–150",IF(G8049&lt;=200,"151–200",IF(G8049&lt;=500,"201–500","500+"))))))))</f>
        <v/>
      </c>
      <c r="P8049" s="16" t="inlineStr">
        <is>
          <t>Нет совпадения в предоставленной выгрузке ССЧР</t>
        </is>
      </c>
      <c r="Q8049" s="16" t="n"/>
      <c r="R8049" s="16">
        <f>HYPERLINK("https://checko.ru/search?query=3801001629","Чекко: проверить")</f>
        <v/>
      </c>
      <c r="S8049" t="n">
        <v>0</v>
      </c>
    </row>
    <row r="8050" ht="27.75" customHeight="1" s="24">
      <c r="A8050" s="13" t="n">
        <v>5000119240</v>
      </c>
      <c r="B8050" s="13" t="inlineStr">
        <is>
          <t>ГБОУ "РЕСПУБЛИКАНСКАЯ МНОГОПРОФИЛЬНАЯ ГИМНАЗИЯ" МИНПРОСВЕЩЕНИЯ КБР</t>
        </is>
      </c>
      <c r="C8050" s="13" t="n">
        <v>700018405</v>
      </c>
      <c r="D8050" s="13" t="n"/>
      <c r="E8050" s="13" t="inlineStr">
        <is>
          <t>Не определён</t>
        </is>
      </c>
      <c r="F8050" s="13" t="inlineStr">
        <is>
          <t>700018405</t>
        </is>
      </c>
      <c r="G8050" s="14" t="n"/>
      <c r="H8050" s="14" t="n"/>
      <c r="I8050" s="14" t="n"/>
      <c r="J8050" s="14" t="n"/>
      <c r="K8050" s="13">
        <f>IF(G8050="","",IF(G8050&gt;=22,"Да","Нет"))</f>
        <v/>
      </c>
      <c r="L8050" s="13">
        <f>IF(OR(I8050="",J8050=""),"Не определено",IF(OR(COUNTIF(I8050,"45*")&gt;0,COUNTIF(J8050,"*45*")&gt;0,COUNTIF(I8050,"46*")&gt;0,COUNTIF(J8050,"*46*")&gt;0,COUNTIF(I8050,"47*")&gt;0,COUNTIF(J8050,"*47*")&gt;0,COUNTIF(I8050,"10*")&gt;0,COUNTIF(J8050,"*10*")&gt;0,COUNTIF(I8050,"11*")&gt;0,COUNTIF(J8050,"*11*")&gt;0,COUNTIF(I8050,"12*")&gt;0,COUNTIF(J8050,"*12*")&gt;0,COUNTIF(I8050,"13*")&gt;0,COUNTIF(J8050,"*13*")&gt;0,COUNTIF(I8050,"14*")&gt;0,COUNTIF(J8050,"*14*")&gt;0,COUNTIF(I8050,"15*")&gt;0,COUNTIF(J8050,"*15*")&gt;0,COUNTIF(I8050,"16*")&gt;0,COUNTIF(J8050,"*16*")&gt;0,COUNTIF(I8050,"17*")&gt;0,COUNTIF(J8050,"*17*")&gt;0,COUNTIF(I8050,"18*")&gt;0,COUNTIF(J8050,"*18*")&gt;0,COUNTIF(I8050,"19*")&gt;0,COUNTIF(J8050,"*19*")&gt;0,COUNTIF(I8050,"20*")&gt;0,COUNTIF(J8050,"*20*")&gt;0,COUNTIF(I8050,"21*")&gt;0,COUNTIF(J8050,"*21*")&gt;0,COUNTIF(I8050,"22*")&gt;0,COUNTIF(J8050,"*22*")&gt;0,COUNTIF(I8050,"23*")&gt;0,COUNTIF(J8050,"*23*")&gt;0,COUNTIF(I8050,"24*")&gt;0,COUNTIF(J8050,"*24*")&gt;0,COUNTIF(I8050,"25*")&gt;0,COUNTIF(J8050,"*25*")&gt;0,COUNTIF(I8050,"26*")&gt;0,COUNTIF(J8050,"*26*")&gt;0,COUNTIF(I8050,"27*")&gt;0,COUNTIF(J8050,"*27*")&gt;0,COUNTIF(I8050,"28*")&gt;0,COUNTIF(J8050,"*28*")&gt;0,COUNTIF(I8050,"29*")&gt;0,COUNTIF(J8050,"*29*")&gt;0,COUNTIF(I8050,"30*")&gt;0,COUNTIF(J8050,"*30*")&gt;0,COUNTIF(I8050,"31*")&gt;0,COUNTIF(J8050,"*31*")&gt;0,COUNTIF(I8050,"32*")&gt;0,COUNTIF(J8050,"*32*")&gt;0,COUNTIF(I8050,"33*")&gt;0,COUNTIF(J8050,"*33*")&gt;0,COUNTIF(I8050,"41*")&gt;0,COUNTIF(J8050,"*41*")&gt;0,COUNTIF(I8050,"42*")&gt;0,COUNTIF(J8050,"*42*")&gt;0,COUNTIF(I8050,"43*")&gt;0,COUNTIF(J8050,"*43*")&gt;0,COUNTIF(I8050,"49*")&gt;0,COUNTIF(J8050,"*49*")&gt;0,COUNTIF(I8050,"52*")&gt;0,COUNTIF(J8050,"*52*")&gt;0,COUNTIF(I8050,"55*")&gt;0,COUNTIF(J8050,"*55*")&gt;0,COUNTIF(I8050,"56*")&gt;0,COUNTIF(J8050,"*56*")&gt;0,COUNTIF(I8050,"68*")&gt;0,COUNTIF(J8050,"*68*")&gt;0,COUNTIF(I8050,"78*")&gt;0,COUNTIF(J8050,"*78*")&gt;0,COUNTIF(I8050,"81*")&gt;0,COUNTIF(J8050,"*81*")&gt;0,COUNTIF(I8050,"82*")&gt;0,COUNTIF(J8050,"*82*")&gt;0,COUNTIF(I8050,"64*")&gt;0,COUNTIF(J8050,"*64*")&gt;0,COUNTIF(I8050,"65*")&gt;0,COUNTIF(J8050,"*65*")&gt;0,COUNTIF(I8050,"66*")&gt;0,COUNTIF(J8050,"*66*")&gt;0,COUNTIF(I8050,"61*")&gt;0,COUNTIF(J8050,"*61*")&gt;0,COUNTIF(I8050,"62*")&gt;0,COUNTIF(J8050,"*62*")&gt;0,COUNTIF(I8050,"63*")&gt;0,COUNTIF(J8050,"*63*")&gt;0,COUNTIF(I8050,"85*")&gt;0,COUNTIF(J8050,"*85*")&gt;0,COUNTIF(I8050,"86*")&gt;0,COUNTIF(J8050,"*86*")&gt;0),"Да","Нет"))</f>
        <v/>
      </c>
      <c r="M8050" s="13">
        <f>IF(OR(G8050="",L8050&lt;&gt;"Да"),"",IF(G8050&lt;=100,"До 100",IF(G8050&lt;=200,"До 200",IF(G8050&lt;=500,"До 500","Отдельное КП"))))</f>
        <v/>
      </c>
      <c r="N8050" s="15">
        <f>IF(OR(G8050="",L8050&lt;&gt;"Да"),"",IF(G8050&lt;=100,33600,IF(G8050&lt;=200,62400,IF(G8050&lt;=500,144000,""))))</f>
        <v/>
      </c>
      <c r="O8050" s="16">
        <f>IF(G8050="","",IF(G8050&lt;=15,"1–15",IF(G8050&lt;=30,"16–30",IF(G8050&lt;=50,"31–50",IF(G8050&lt;=100,"51–100",IF(G8050&lt;=150,"101–150",IF(G8050&lt;=200,"151–200",IF(G8050&lt;=500,"201–500","500+"))))))))</f>
        <v/>
      </c>
      <c r="P8050" s="16" t="inlineStr">
        <is>
          <t>Нет совпадения в предоставленной выгрузке ССЧР</t>
        </is>
      </c>
      <c r="Q8050" s="16" t="n"/>
      <c r="R8050" s="16">
        <f>HYPERLINK("https://checko.ru/search?query=3801001629","Чекко: проверить")</f>
        <v/>
      </c>
      <c r="S8050" t="n">
        <v>0</v>
      </c>
    </row>
    <row r="8051" ht="15" customHeight="1" s="24">
      <c r="A8051" s="13" t="n">
        <v>5000119243</v>
      </c>
      <c r="B8051" s="13" t="inlineStr">
        <is>
          <t>ГБУ "УКС МСХ КБР"</t>
        </is>
      </c>
      <c r="C8051" s="13" t="n">
        <v>700021599</v>
      </c>
      <c r="D8051" s="13" t="n"/>
      <c r="E8051" s="13" t="inlineStr">
        <is>
          <t>Не определён</t>
        </is>
      </c>
      <c r="F8051" s="13" t="inlineStr">
        <is>
          <t>700021599</t>
        </is>
      </c>
      <c r="G8051" s="14" t="n"/>
      <c r="H8051" s="14" t="n"/>
      <c r="I8051" s="14" t="n"/>
      <c r="J8051" s="14" t="n"/>
      <c r="K8051" s="13">
        <f>IF(G8051="","",IF(G8051&gt;=22,"Да","Нет"))</f>
        <v/>
      </c>
      <c r="L8051" s="13">
        <f>IF(OR(I8051="",J8051=""),"Не определено",IF(OR(COUNTIF(I8051,"45*")&gt;0,COUNTIF(J8051,"*45*")&gt;0,COUNTIF(I8051,"46*")&gt;0,COUNTIF(J8051,"*46*")&gt;0,COUNTIF(I8051,"47*")&gt;0,COUNTIF(J8051,"*47*")&gt;0,COUNTIF(I8051,"10*")&gt;0,COUNTIF(J8051,"*10*")&gt;0,COUNTIF(I8051,"11*")&gt;0,COUNTIF(J8051,"*11*")&gt;0,COUNTIF(I8051,"12*")&gt;0,COUNTIF(J8051,"*12*")&gt;0,COUNTIF(I8051,"13*")&gt;0,COUNTIF(J8051,"*13*")&gt;0,COUNTIF(I8051,"14*")&gt;0,COUNTIF(J8051,"*14*")&gt;0,COUNTIF(I8051,"15*")&gt;0,COUNTIF(J8051,"*15*")&gt;0,COUNTIF(I8051,"16*")&gt;0,COUNTIF(J8051,"*16*")&gt;0,COUNTIF(I8051,"17*")&gt;0,COUNTIF(J8051,"*17*")&gt;0,COUNTIF(I8051,"18*")&gt;0,COUNTIF(J8051,"*18*")&gt;0,COUNTIF(I8051,"19*")&gt;0,COUNTIF(J8051,"*19*")&gt;0,COUNTIF(I8051,"20*")&gt;0,COUNTIF(J8051,"*20*")&gt;0,COUNTIF(I8051,"21*")&gt;0,COUNTIF(J8051,"*21*")&gt;0,COUNTIF(I8051,"22*")&gt;0,COUNTIF(J8051,"*22*")&gt;0,COUNTIF(I8051,"23*")&gt;0,COUNTIF(J8051,"*23*")&gt;0,COUNTIF(I8051,"24*")&gt;0,COUNTIF(J8051,"*24*")&gt;0,COUNTIF(I8051,"25*")&gt;0,COUNTIF(J8051,"*25*")&gt;0,COUNTIF(I8051,"26*")&gt;0,COUNTIF(J8051,"*26*")&gt;0,COUNTIF(I8051,"27*")&gt;0,COUNTIF(J8051,"*27*")&gt;0,COUNTIF(I8051,"28*")&gt;0,COUNTIF(J8051,"*28*")&gt;0,COUNTIF(I8051,"29*")&gt;0,COUNTIF(J8051,"*29*")&gt;0,COUNTIF(I8051,"30*")&gt;0,COUNTIF(J8051,"*30*")&gt;0,COUNTIF(I8051,"31*")&gt;0,COUNTIF(J8051,"*31*")&gt;0,COUNTIF(I8051,"32*")&gt;0,COUNTIF(J8051,"*32*")&gt;0,COUNTIF(I8051,"33*")&gt;0,COUNTIF(J8051,"*33*")&gt;0,COUNTIF(I8051,"41*")&gt;0,COUNTIF(J8051,"*41*")&gt;0,COUNTIF(I8051,"42*")&gt;0,COUNTIF(J8051,"*42*")&gt;0,COUNTIF(I8051,"43*")&gt;0,COUNTIF(J8051,"*43*")&gt;0,COUNTIF(I8051,"49*")&gt;0,COUNTIF(J8051,"*49*")&gt;0,COUNTIF(I8051,"52*")&gt;0,COUNTIF(J8051,"*52*")&gt;0,COUNTIF(I8051,"55*")&gt;0,COUNTIF(J8051,"*55*")&gt;0,COUNTIF(I8051,"56*")&gt;0,COUNTIF(J8051,"*56*")&gt;0,COUNTIF(I8051,"68*")&gt;0,COUNTIF(J8051,"*68*")&gt;0,COUNTIF(I8051,"78*")&gt;0,COUNTIF(J8051,"*78*")&gt;0,COUNTIF(I8051,"81*")&gt;0,COUNTIF(J8051,"*81*")&gt;0,COUNTIF(I8051,"82*")&gt;0,COUNTIF(J8051,"*82*")&gt;0,COUNTIF(I8051,"64*")&gt;0,COUNTIF(J8051,"*64*")&gt;0,COUNTIF(I8051,"65*")&gt;0,COUNTIF(J8051,"*65*")&gt;0,COUNTIF(I8051,"66*")&gt;0,COUNTIF(J8051,"*66*")&gt;0,COUNTIF(I8051,"61*")&gt;0,COUNTIF(J8051,"*61*")&gt;0,COUNTIF(I8051,"62*")&gt;0,COUNTIF(J8051,"*62*")&gt;0,COUNTIF(I8051,"63*")&gt;0,COUNTIF(J8051,"*63*")&gt;0,COUNTIF(I8051,"85*")&gt;0,COUNTIF(J8051,"*85*")&gt;0,COUNTIF(I8051,"86*")&gt;0,COUNTIF(J8051,"*86*")&gt;0),"Да","Нет"))</f>
        <v/>
      </c>
      <c r="M8051" s="13">
        <f>IF(OR(G8051="",L8051&lt;&gt;"Да"),"",IF(G8051&lt;=100,"До 100",IF(G8051&lt;=200,"До 200",IF(G8051&lt;=500,"До 500","Отдельное КП"))))</f>
        <v/>
      </c>
      <c r="N8051" s="15">
        <f>IF(OR(G8051="",L8051&lt;&gt;"Да"),"",IF(G8051&lt;=100,33600,IF(G8051&lt;=200,62400,IF(G8051&lt;=500,144000,""))))</f>
        <v/>
      </c>
      <c r="O8051" s="16">
        <f>IF(G8051="","",IF(G8051&lt;=15,"1–15",IF(G8051&lt;=30,"16–30",IF(G8051&lt;=50,"31–50",IF(G8051&lt;=100,"51–100",IF(G8051&lt;=150,"101–150",IF(G8051&lt;=200,"151–200",IF(G8051&lt;=500,"201–500","500+"))))))))</f>
        <v/>
      </c>
      <c r="P8051" s="16" t="inlineStr">
        <is>
          <t>Нет совпадения в предоставленной выгрузке ССЧР</t>
        </is>
      </c>
      <c r="Q8051" s="16" t="n"/>
      <c r="R8051" s="16">
        <f>HYPERLINK("https://checko.ru/search?query=3801001629","Чекко: проверить")</f>
        <v/>
      </c>
      <c r="S8051" t="n">
        <v>0</v>
      </c>
    </row>
    <row r="8052" ht="15" customHeight="1" s="24">
      <c r="A8052" s="13" t="n">
        <v>5000119244</v>
      </c>
      <c r="B8052" s="13" t="inlineStr">
        <is>
          <t>ГАУ "Управление Госэкспертизы КБР"</t>
        </is>
      </c>
      <c r="C8052" s="13" t="n">
        <v>721054838</v>
      </c>
      <c r="D8052" s="13" t="n"/>
      <c r="E8052" s="13" t="inlineStr">
        <is>
          <t>Не определён</t>
        </is>
      </c>
      <c r="F8052" s="13" t="inlineStr">
        <is>
          <t>721054838</t>
        </is>
      </c>
      <c r="G8052" s="14" t="n"/>
      <c r="H8052" s="14" t="n"/>
      <c r="I8052" s="14" t="n"/>
      <c r="J8052" s="14" t="n"/>
      <c r="K8052" s="13">
        <f>IF(G8052="","",IF(G8052&gt;=22,"Да","Нет"))</f>
        <v/>
      </c>
      <c r="L8052" s="13">
        <f>IF(OR(I8052="",J8052=""),"Не определено",IF(OR(COUNTIF(I8052,"45*")&gt;0,COUNTIF(J8052,"*45*")&gt;0,COUNTIF(I8052,"46*")&gt;0,COUNTIF(J8052,"*46*")&gt;0,COUNTIF(I8052,"47*")&gt;0,COUNTIF(J8052,"*47*")&gt;0,COUNTIF(I8052,"10*")&gt;0,COUNTIF(J8052,"*10*")&gt;0,COUNTIF(I8052,"11*")&gt;0,COUNTIF(J8052,"*11*")&gt;0,COUNTIF(I8052,"12*")&gt;0,COUNTIF(J8052,"*12*")&gt;0,COUNTIF(I8052,"13*")&gt;0,COUNTIF(J8052,"*13*")&gt;0,COUNTIF(I8052,"14*")&gt;0,COUNTIF(J8052,"*14*")&gt;0,COUNTIF(I8052,"15*")&gt;0,COUNTIF(J8052,"*15*")&gt;0,COUNTIF(I8052,"16*")&gt;0,COUNTIF(J8052,"*16*")&gt;0,COUNTIF(I8052,"17*")&gt;0,COUNTIF(J8052,"*17*")&gt;0,COUNTIF(I8052,"18*")&gt;0,COUNTIF(J8052,"*18*")&gt;0,COUNTIF(I8052,"19*")&gt;0,COUNTIF(J8052,"*19*")&gt;0,COUNTIF(I8052,"20*")&gt;0,COUNTIF(J8052,"*20*")&gt;0,COUNTIF(I8052,"21*")&gt;0,COUNTIF(J8052,"*21*")&gt;0,COUNTIF(I8052,"22*")&gt;0,COUNTIF(J8052,"*22*")&gt;0,COUNTIF(I8052,"23*")&gt;0,COUNTIF(J8052,"*23*")&gt;0,COUNTIF(I8052,"24*")&gt;0,COUNTIF(J8052,"*24*")&gt;0,COUNTIF(I8052,"25*")&gt;0,COUNTIF(J8052,"*25*")&gt;0,COUNTIF(I8052,"26*")&gt;0,COUNTIF(J8052,"*26*")&gt;0,COUNTIF(I8052,"27*")&gt;0,COUNTIF(J8052,"*27*")&gt;0,COUNTIF(I8052,"28*")&gt;0,COUNTIF(J8052,"*28*")&gt;0,COUNTIF(I8052,"29*")&gt;0,COUNTIF(J8052,"*29*")&gt;0,COUNTIF(I8052,"30*")&gt;0,COUNTIF(J8052,"*30*")&gt;0,COUNTIF(I8052,"31*")&gt;0,COUNTIF(J8052,"*31*")&gt;0,COUNTIF(I8052,"32*")&gt;0,COUNTIF(J8052,"*32*")&gt;0,COUNTIF(I8052,"33*")&gt;0,COUNTIF(J8052,"*33*")&gt;0,COUNTIF(I8052,"41*")&gt;0,COUNTIF(J8052,"*41*")&gt;0,COUNTIF(I8052,"42*")&gt;0,COUNTIF(J8052,"*42*")&gt;0,COUNTIF(I8052,"43*")&gt;0,COUNTIF(J8052,"*43*")&gt;0,COUNTIF(I8052,"49*")&gt;0,COUNTIF(J8052,"*49*")&gt;0,COUNTIF(I8052,"52*")&gt;0,COUNTIF(J8052,"*52*")&gt;0,COUNTIF(I8052,"55*")&gt;0,COUNTIF(J8052,"*55*")&gt;0,COUNTIF(I8052,"56*")&gt;0,COUNTIF(J8052,"*56*")&gt;0,COUNTIF(I8052,"68*")&gt;0,COUNTIF(J8052,"*68*")&gt;0,COUNTIF(I8052,"78*")&gt;0,COUNTIF(J8052,"*78*")&gt;0,COUNTIF(I8052,"81*")&gt;0,COUNTIF(J8052,"*81*")&gt;0,COUNTIF(I8052,"82*")&gt;0,COUNTIF(J8052,"*82*")&gt;0,COUNTIF(I8052,"64*")&gt;0,COUNTIF(J8052,"*64*")&gt;0,COUNTIF(I8052,"65*")&gt;0,COUNTIF(J8052,"*65*")&gt;0,COUNTIF(I8052,"66*")&gt;0,COUNTIF(J8052,"*66*")&gt;0,COUNTIF(I8052,"61*")&gt;0,COUNTIF(J8052,"*61*")&gt;0,COUNTIF(I8052,"62*")&gt;0,COUNTIF(J8052,"*62*")&gt;0,COUNTIF(I8052,"63*")&gt;0,COUNTIF(J8052,"*63*")&gt;0,COUNTIF(I8052,"85*")&gt;0,COUNTIF(J8052,"*85*")&gt;0,COUNTIF(I8052,"86*")&gt;0,COUNTIF(J8052,"*86*")&gt;0),"Да","Нет"))</f>
        <v/>
      </c>
      <c r="M8052" s="13">
        <f>IF(OR(G8052="",L8052&lt;&gt;"Да"),"",IF(G8052&lt;=100,"До 100",IF(G8052&lt;=200,"До 200",IF(G8052&lt;=500,"До 500","Отдельное КП"))))</f>
        <v/>
      </c>
      <c r="N8052" s="15">
        <f>IF(OR(G8052="",L8052&lt;&gt;"Да"),"",IF(G8052&lt;=100,33600,IF(G8052&lt;=200,62400,IF(G8052&lt;=500,144000,""))))</f>
        <v/>
      </c>
      <c r="O8052" s="16">
        <f>IF(G8052="","",IF(G8052&lt;=15,"1–15",IF(G8052&lt;=30,"16–30",IF(G8052&lt;=50,"31–50",IF(G8052&lt;=100,"51–100",IF(G8052&lt;=150,"101–150",IF(G8052&lt;=200,"151–200",IF(G8052&lt;=500,"201–500","500+"))))))))</f>
        <v/>
      </c>
      <c r="P8052" s="16" t="inlineStr">
        <is>
          <t>Нет совпадения в предоставленной выгрузке ССЧР</t>
        </is>
      </c>
      <c r="Q8052" s="16" t="n"/>
      <c r="R8052" s="16">
        <f>HYPERLINK("https://checko.ru/search?query=3801001629","Чекко: проверить")</f>
        <v/>
      </c>
      <c r="S8052" t="n">
        <v>0</v>
      </c>
    </row>
    <row r="8053" ht="27.75" customHeight="1" s="24">
      <c r="A8053" s="13" t="n">
        <v>5000119702</v>
      </c>
      <c r="B8053" s="13" t="inlineStr">
        <is>
          <t>Контрольно-Счетная Палата Чунского Муниципального Округа Иркутской Области</t>
        </is>
      </c>
      <c r="C8053" s="13" t="n">
        <v>3816036832</v>
      </c>
      <c r="D8053" s="13" t="inlineStr">
        <is>
          <t>3816036832</t>
        </is>
      </c>
      <c r="E8053" s="13" t="inlineStr">
        <is>
          <t>ЮЛ РФ</t>
        </is>
      </c>
      <c r="F8053" s="13" t="n"/>
      <c r="G8053" s="14" t="n"/>
      <c r="H8053" s="14" t="n"/>
      <c r="I8053" s="14" t="n"/>
      <c r="J8053" s="14" t="n"/>
      <c r="K8053" s="53" t="inlineStr"/>
      <c r="L8053" s="53" t="inlineStr">
        <is>
          <t>Не определено</t>
        </is>
      </c>
      <c r="M8053" s="53" t="inlineStr"/>
      <c r="N8053" s="54" t="inlineStr"/>
      <c r="O8053" s="55" t="inlineStr"/>
      <c r="P8053" s="16" t="inlineStr">
        <is>
          <t>Требует обогащения</t>
        </is>
      </c>
      <c r="Q8053" s="16">
        <f>HYPERLINK("https://pb.nalog.ru/search.html?query=3816036832","ФНС: проверить")</f>
        <v/>
      </c>
      <c r="R8053" s="16">
        <f>HYPERLINK("https://checko.ru/search?query=3801001629","Чекко: проверить")</f>
        <v/>
      </c>
      <c r="S8053" t="n">
        <v>1</v>
      </c>
      <c r="T8053" s="35" t="inlineStr">
        <is>
          <t>4 — Не обогащён</t>
        </is>
      </c>
      <c r="U8053" s="35" t="inlineStr">
        <is>
          <t>Нет ОКВЭД/ССЧР</t>
        </is>
      </c>
      <c r="V8053" s="35" t="inlineStr">
        <is>
          <t>Не определено</t>
        </is>
      </c>
      <c r="W8053" s="35" t="inlineStr"/>
      <c r="X8053" s="35" t="inlineStr"/>
    </row>
    <row r="8054" ht="15" customHeight="1" s="24">
      <c r="A8054" s="13" t="n">
        <v>5000121236</v>
      </c>
      <c r="B8054" s="13" t="inlineStr">
        <is>
          <t>МУК "МВЦ"</t>
        </is>
      </c>
      <c r="C8054" s="13" t="n">
        <v>5012060211</v>
      </c>
      <c r="D8054" s="13" t="inlineStr">
        <is>
          <t>5012060211</t>
        </is>
      </c>
      <c r="E8054" s="13" t="inlineStr">
        <is>
          <t>ЮЛ РФ</t>
        </is>
      </c>
      <c r="F8054" s="13" t="n"/>
      <c r="G8054" s="14" t="n"/>
      <c r="H8054" s="14" t="n"/>
      <c r="I8054" s="14" t="n"/>
      <c r="J8054" s="14" t="n"/>
      <c r="K8054" s="53" t="inlineStr"/>
      <c r="L8054" s="53" t="inlineStr">
        <is>
          <t>Не определено</t>
        </is>
      </c>
      <c r="M8054" s="53" t="inlineStr"/>
      <c r="N8054" s="54" t="inlineStr"/>
      <c r="O8054" s="55" t="inlineStr"/>
      <c r="P8054" s="16" t="inlineStr">
        <is>
          <t>Требует обогащения</t>
        </is>
      </c>
      <c r="Q8054" s="16">
        <f>HYPERLINK("https://pb.nalog.ru/search.html?query=5012060211","ФНС: проверить")</f>
        <v/>
      </c>
      <c r="R8054" s="16">
        <f>HYPERLINK("https://checko.ru/search?query=3801001629","Чекко: проверить")</f>
        <v/>
      </c>
      <c r="S8054" t="n">
        <v>1</v>
      </c>
      <c r="T8054" s="35" t="inlineStr">
        <is>
          <t>4 — Не обогащён</t>
        </is>
      </c>
      <c r="U8054" s="35" t="inlineStr">
        <is>
          <t>Нет ОКВЭД/ССЧР</t>
        </is>
      </c>
      <c r="V8054" s="35" t="inlineStr">
        <is>
          <t>Не определено</t>
        </is>
      </c>
      <c r="W8054" s="35" t="inlineStr"/>
      <c r="X8054" s="35" t="inlineStr"/>
    </row>
    <row r="8055" ht="15" customHeight="1" s="24">
      <c r="A8055" s="13" t="n">
        <v>5000121237</v>
      </c>
      <c r="B8055" s="13" t="inlineStr">
        <is>
          <t>МАУДО "ДМШ №2"</t>
        </is>
      </c>
      <c r="C8055" s="13" t="n">
        <v>5041017394</v>
      </c>
      <c r="D8055" s="13" t="inlineStr">
        <is>
          <t>5041017394</t>
        </is>
      </c>
      <c r="E8055" s="13" t="inlineStr">
        <is>
          <t>ЮЛ РФ</t>
        </is>
      </c>
      <c r="F8055" s="13" t="n"/>
      <c r="G8055" s="14" t="n"/>
      <c r="H8055" s="14" t="n"/>
      <c r="I8055" s="14" t="n"/>
      <c r="J8055" s="14" t="n"/>
      <c r="K8055" s="53" t="inlineStr"/>
      <c r="L8055" s="53" t="inlineStr">
        <is>
          <t>Не определено</t>
        </is>
      </c>
      <c r="M8055" s="53" t="inlineStr"/>
      <c r="N8055" s="54" t="inlineStr"/>
      <c r="O8055" s="55" t="inlineStr"/>
      <c r="P8055" s="16" t="inlineStr">
        <is>
          <t>Требует обогащения</t>
        </is>
      </c>
      <c r="Q8055" s="16">
        <f>HYPERLINK("https://pb.nalog.ru/search.html?query=5041017394","ФНС: проверить")</f>
        <v/>
      </c>
      <c r="R8055" s="16">
        <f>HYPERLINK("https://checko.ru/search?query=3801001629","Чекко: проверить")</f>
        <v/>
      </c>
      <c r="S8055" t="n">
        <v>1</v>
      </c>
      <c r="T8055" s="35" t="inlineStr">
        <is>
          <t>4 — Не обогащён</t>
        </is>
      </c>
      <c r="U8055" s="35" t="inlineStr">
        <is>
          <t>Нет ОКВЭД/ССЧР</t>
        </is>
      </c>
      <c r="V8055" s="35" t="inlineStr">
        <is>
          <t>Не определено</t>
        </is>
      </c>
      <c r="W8055" s="35" t="inlineStr"/>
      <c r="X8055" s="35" t="inlineStr"/>
    </row>
    <row r="8056" ht="15" customHeight="1" s="24">
      <c r="A8056" s="13" t="n">
        <v>5000121238</v>
      </c>
      <c r="B8056" s="13" t="inlineStr">
        <is>
          <t>УКС И МП Г.О. РЕУТОВ</t>
        </is>
      </c>
      <c r="C8056" s="13" t="n">
        <v>5012054698</v>
      </c>
      <c r="D8056" s="13" t="inlineStr">
        <is>
          <t>5012054698</t>
        </is>
      </c>
      <c r="E8056" s="13" t="inlineStr">
        <is>
          <t>ЮЛ РФ</t>
        </is>
      </c>
      <c r="F8056" s="13" t="n"/>
      <c r="G8056" s="14" t="n"/>
      <c r="H8056" s="14" t="n"/>
      <c r="I8056" s="14" t="n"/>
      <c r="J8056" s="14" t="n"/>
      <c r="K8056" s="53" t="inlineStr"/>
      <c r="L8056" s="53" t="inlineStr">
        <is>
          <t>Не определено</t>
        </is>
      </c>
      <c r="M8056" s="53" t="inlineStr"/>
      <c r="N8056" s="54" t="inlineStr"/>
      <c r="O8056" s="55" t="inlineStr"/>
      <c r="P8056" s="16" t="inlineStr">
        <is>
          <t>Требует обогащения</t>
        </is>
      </c>
      <c r="Q8056" s="16">
        <f>HYPERLINK("https://pb.nalog.ru/search.html?query=5012054698","ФНС: проверить")</f>
        <v/>
      </c>
      <c r="R8056" s="16">
        <f>HYPERLINK("https://checko.ru/search?query=3801001629","Чекко: проверить")</f>
        <v/>
      </c>
      <c r="S8056" t="n">
        <v>1</v>
      </c>
      <c r="T8056" s="35" t="inlineStr">
        <is>
          <t>4 — Не обогащён</t>
        </is>
      </c>
      <c r="U8056" s="35" t="inlineStr">
        <is>
          <t>Нет ОКВЭД/ССЧР</t>
        </is>
      </c>
      <c r="V8056" s="35" t="inlineStr">
        <is>
          <t>Не определено</t>
        </is>
      </c>
      <c r="W8056" s="35" t="inlineStr"/>
      <c r="X8056" s="35" t="inlineStr"/>
    </row>
    <row r="8057" ht="15" customHeight="1" s="24">
      <c r="A8057" s="13" t="n">
        <v>5000121240</v>
      </c>
      <c r="B8057" s="13" t="inlineStr">
        <is>
          <t>МУ "СОКИ "Риск-М"</t>
        </is>
      </c>
      <c r="C8057" s="13" t="n">
        <v>5012028909</v>
      </c>
      <c r="D8057" s="13" t="inlineStr">
        <is>
          <t>5012028909</t>
        </is>
      </c>
      <c r="E8057" s="13" t="inlineStr">
        <is>
          <t>ЮЛ РФ</t>
        </is>
      </c>
      <c r="F8057" s="13" t="n"/>
      <c r="G8057" s="14" t="n"/>
      <c r="H8057" s="14" t="n"/>
      <c r="I8057" s="14" t="n"/>
      <c r="J8057" s="14" t="n"/>
      <c r="K8057" s="53" t="inlineStr"/>
      <c r="L8057" s="53" t="inlineStr">
        <is>
          <t>Не определено</t>
        </is>
      </c>
      <c r="M8057" s="53" t="inlineStr"/>
      <c r="N8057" s="54" t="inlineStr"/>
      <c r="O8057" s="55" t="inlineStr"/>
      <c r="P8057" s="16" t="inlineStr">
        <is>
          <t>Требует обогащения</t>
        </is>
      </c>
      <c r="Q8057" s="16">
        <f>HYPERLINK("https://pb.nalog.ru/search.html?query=5012028909","ФНС: проверить")</f>
        <v/>
      </c>
      <c r="R8057" s="16">
        <f>HYPERLINK("https://checko.ru/search?query=3801001629","Чекко: проверить")</f>
        <v/>
      </c>
      <c r="S8057" t="n">
        <v>1</v>
      </c>
      <c r="T8057" s="35" t="inlineStr">
        <is>
          <t>4 — Не обогащён</t>
        </is>
      </c>
      <c r="U8057" s="35" t="inlineStr">
        <is>
          <t>Нет ОКВЭД/ССЧР</t>
        </is>
      </c>
      <c r="V8057" s="35" t="inlineStr">
        <is>
          <t>Не определено</t>
        </is>
      </c>
      <c r="W8057" s="35" t="inlineStr"/>
      <c r="X8057" s="35" t="inlineStr"/>
    </row>
    <row r="8058" ht="15" customHeight="1" s="24">
      <c r="A8058" s="13" t="n">
        <v>5000121241</v>
      </c>
      <c r="B8058" s="13" t="inlineStr">
        <is>
          <t>МАУДО "ДХШ"</t>
        </is>
      </c>
      <c r="C8058" s="13" t="n">
        <v>5041017411</v>
      </c>
      <c r="D8058" s="13" t="inlineStr">
        <is>
          <t>5041017411</t>
        </is>
      </c>
      <c r="E8058" s="13" t="inlineStr">
        <is>
          <t>ЮЛ РФ</t>
        </is>
      </c>
      <c r="F8058" s="13" t="n"/>
      <c r="G8058" s="14" t="n"/>
      <c r="H8058" s="14" t="n"/>
      <c r="I8058" s="14" t="n"/>
      <c r="J8058" s="14" t="n"/>
      <c r="K8058" s="53" t="inlineStr"/>
      <c r="L8058" s="53" t="inlineStr">
        <is>
          <t>Не определено</t>
        </is>
      </c>
      <c r="M8058" s="53" t="inlineStr"/>
      <c r="N8058" s="54" t="inlineStr"/>
      <c r="O8058" s="55" t="inlineStr"/>
      <c r="P8058" s="16" t="inlineStr">
        <is>
          <t>Требует обогащения</t>
        </is>
      </c>
      <c r="Q8058" s="16">
        <f>HYPERLINK("https://pb.nalog.ru/search.html?query=5041017411","ФНС: проверить")</f>
        <v/>
      </c>
      <c r="R8058" s="16">
        <f>HYPERLINK("https://checko.ru/search?query=3801001629","Чекко: проверить")</f>
        <v/>
      </c>
      <c r="S8058" t="n">
        <v>1</v>
      </c>
      <c r="T8058" s="35" t="inlineStr">
        <is>
          <t>4 — Не обогащён</t>
        </is>
      </c>
      <c r="U8058" s="35" t="inlineStr">
        <is>
          <t>Нет ОКВЭД/ССЧР</t>
        </is>
      </c>
      <c r="V8058" s="35" t="inlineStr">
        <is>
          <t>Не определено</t>
        </is>
      </c>
      <c r="W8058" s="35" t="inlineStr"/>
      <c r="X8058" s="35" t="inlineStr"/>
    </row>
    <row r="8059" ht="15" customHeight="1" s="24">
      <c r="A8059" s="13" t="n">
        <v>5000121242</v>
      </c>
      <c r="B8059" s="13" t="inlineStr">
        <is>
          <t>МАУ ДО "ДМШ №1"</t>
        </is>
      </c>
      <c r="C8059" s="13" t="n">
        <v>5041017387</v>
      </c>
      <c r="D8059" s="13" t="inlineStr">
        <is>
          <t>5041017387</t>
        </is>
      </c>
      <c r="E8059" s="13" t="inlineStr">
        <is>
          <t>ЮЛ РФ</t>
        </is>
      </c>
      <c r="F8059" s="13" t="n"/>
      <c r="G8059" s="14" t="n"/>
      <c r="H8059" s="14" t="n"/>
      <c r="I8059" s="14" t="n"/>
      <c r="J8059" s="14" t="n"/>
      <c r="K8059" s="53" t="inlineStr"/>
      <c r="L8059" s="53" t="inlineStr">
        <is>
          <t>Не определено</t>
        </is>
      </c>
      <c r="M8059" s="53" t="inlineStr"/>
      <c r="N8059" s="54" t="inlineStr"/>
      <c r="O8059" s="55" t="inlineStr"/>
      <c r="P8059" s="16" t="inlineStr">
        <is>
          <t>Требует обогащения</t>
        </is>
      </c>
      <c r="Q8059" s="16">
        <f>HYPERLINK("https://pb.nalog.ru/search.html?query=5041017387","ФНС: проверить")</f>
        <v/>
      </c>
      <c r="R8059" s="16">
        <f>HYPERLINK("https://checko.ru/search?query=3801001629","Чекко: проверить")</f>
        <v/>
      </c>
      <c r="S8059" t="n">
        <v>1</v>
      </c>
      <c r="T8059" s="35" t="inlineStr">
        <is>
          <t>4 — Не обогащён</t>
        </is>
      </c>
      <c r="U8059" s="35" t="inlineStr">
        <is>
          <t>Нет ОКВЭД/ССЧР</t>
        </is>
      </c>
      <c r="V8059" s="35" t="inlineStr">
        <is>
          <t>Не определено</t>
        </is>
      </c>
      <c r="W8059" s="35" t="inlineStr"/>
      <c r="X8059" s="35" t="inlineStr"/>
    </row>
    <row r="8060" ht="15" customHeight="1" s="24">
      <c r="A8060" s="13" t="n">
        <v>5000121243</v>
      </c>
      <c r="B8060" s="13" t="inlineStr">
        <is>
          <t>МАУДО "ДШИ - МТ"</t>
        </is>
      </c>
      <c r="C8060" s="13" t="n">
        <v>5041017524</v>
      </c>
      <c r="D8060" s="13" t="inlineStr">
        <is>
          <t>5041017524</t>
        </is>
      </c>
      <c r="E8060" s="13" t="inlineStr">
        <is>
          <t>ЮЛ РФ</t>
        </is>
      </c>
      <c r="F8060" s="13" t="n"/>
      <c r="G8060" s="14" t="n"/>
      <c r="H8060" s="14" t="n"/>
      <c r="I8060" s="14" t="n"/>
      <c r="J8060" s="14" t="n"/>
      <c r="K8060" s="53" t="inlineStr"/>
      <c r="L8060" s="53" t="inlineStr">
        <is>
          <t>Не определено</t>
        </is>
      </c>
      <c r="M8060" s="53" t="inlineStr"/>
      <c r="N8060" s="54" t="inlineStr"/>
      <c r="O8060" s="55" t="inlineStr"/>
      <c r="P8060" s="16" t="inlineStr">
        <is>
          <t>Требует обогащения</t>
        </is>
      </c>
      <c r="Q8060" s="16">
        <f>HYPERLINK("https://pb.nalog.ru/search.html?query=5041017524","ФНС: проверить")</f>
        <v/>
      </c>
      <c r="R8060" s="16">
        <f>HYPERLINK("https://checko.ru/search?query=3801001629","Чекко: проверить")</f>
        <v/>
      </c>
      <c r="S8060" t="n">
        <v>1</v>
      </c>
      <c r="T8060" s="35" t="inlineStr">
        <is>
          <t>4 — Не обогащён</t>
        </is>
      </c>
      <c r="U8060" s="35" t="inlineStr">
        <is>
          <t>Нет ОКВЭД/ССЧР</t>
        </is>
      </c>
      <c r="V8060" s="35" t="inlineStr">
        <is>
          <t>Не определено</t>
        </is>
      </c>
      <c r="W8060" s="35" t="inlineStr"/>
      <c r="X8060" s="35" t="inlineStr"/>
    </row>
    <row r="8061" ht="15" customHeight="1" s="24">
      <c r="A8061" s="13" t="n">
        <v>5000121244</v>
      </c>
      <c r="B8061" s="13" t="inlineStr">
        <is>
          <t>МБУДО ДХШ "РАДУГА"</t>
        </is>
      </c>
      <c r="C8061" s="13" t="n">
        <v>5041015816</v>
      </c>
      <c r="D8061" s="13" t="inlineStr">
        <is>
          <t>5041015816</t>
        </is>
      </c>
      <c r="E8061" s="13" t="inlineStr">
        <is>
          <t>ЮЛ РФ</t>
        </is>
      </c>
      <c r="F8061" s="13" t="n"/>
      <c r="G8061" s="14" t="n"/>
      <c r="H8061" s="14" t="n"/>
      <c r="I8061" s="14" t="n"/>
      <c r="J8061" s="14" t="n"/>
      <c r="K8061" s="53" t="inlineStr"/>
      <c r="L8061" s="53" t="inlineStr">
        <is>
          <t>Не определено</t>
        </is>
      </c>
      <c r="M8061" s="53" t="inlineStr"/>
      <c r="N8061" s="54" t="inlineStr"/>
      <c r="O8061" s="55" t="inlineStr"/>
      <c r="P8061" s="16" t="inlineStr">
        <is>
          <t>Требует обогащения</t>
        </is>
      </c>
      <c r="Q8061" s="16">
        <f>HYPERLINK("https://pb.nalog.ru/search.html?query=5041015816","ФНС: проверить")</f>
        <v/>
      </c>
      <c r="R8061" s="16">
        <f>HYPERLINK("https://checko.ru/search?query=3801001629","Чекко: проверить")</f>
        <v/>
      </c>
      <c r="S8061" t="n">
        <v>1</v>
      </c>
      <c r="T8061" s="35" t="inlineStr">
        <is>
          <t>4 — Не обогащён</t>
        </is>
      </c>
      <c r="U8061" s="35" t="inlineStr">
        <is>
          <t>Нет ОКВЭД/ССЧР</t>
        </is>
      </c>
      <c r="V8061" s="35" t="inlineStr">
        <is>
          <t>Не определено</t>
        </is>
      </c>
      <c r="W8061" s="35" t="inlineStr"/>
      <c r="X8061" s="35" t="inlineStr"/>
    </row>
    <row r="8062" ht="15" customHeight="1" s="24">
      <c r="A8062" s="13" t="n">
        <v>5000120775</v>
      </c>
      <c r="B8062" s="13" t="inlineStr">
        <is>
          <t>Дума Киренского муниципального округа</t>
        </is>
      </c>
      <c r="C8062" s="13" t="n">
        <v>3808294371</v>
      </c>
      <c r="D8062" s="13" t="inlineStr">
        <is>
          <t>3808294371</t>
        </is>
      </c>
      <c r="E8062" s="13" t="inlineStr">
        <is>
          <t>ЮЛ РФ</t>
        </is>
      </c>
      <c r="F8062" s="13" t="n"/>
      <c r="G8062" s="14" t="n"/>
      <c r="H8062" s="14" t="n"/>
      <c r="I8062" s="14" t="n"/>
      <c r="J8062" s="14" t="n"/>
      <c r="K8062" s="53" t="inlineStr"/>
      <c r="L8062" s="53" t="inlineStr">
        <is>
          <t>Не определено</t>
        </is>
      </c>
      <c r="M8062" s="53" t="inlineStr"/>
      <c r="N8062" s="54" t="inlineStr"/>
      <c r="O8062" s="55" t="inlineStr"/>
      <c r="P8062" s="16" t="inlineStr">
        <is>
          <t>Требует обогащения</t>
        </is>
      </c>
      <c r="Q8062" s="16">
        <f>HYPERLINK("https://pb.nalog.ru/search.html?query=3808294371","ФНС: проверить")</f>
        <v/>
      </c>
      <c r="R8062" s="16">
        <f>HYPERLINK("https://checko.ru/search?query=3801001629","Чекко: проверить")</f>
        <v/>
      </c>
      <c r="S8062" t="n">
        <v>1</v>
      </c>
      <c r="T8062" s="35" t="inlineStr">
        <is>
          <t>4 — Не обогащён</t>
        </is>
      </c>
      <c r="U8062" s="35" t="inlineStr">
        <is>
          <t>Нет ОКВЭД/ССЧР</t>
        </is>
      </c>
      <c r="V8062" s="35" t="inlineStr">
        <is>
          <t>Не определено</t>
        </is>
      </c>
      <c r="W8062" s="35" t="inlineStr"/>
      <c r="X8062" s="35" t="inlineStr"/>
    </row>
    <row r="8063" ht="41.25" customHeight="1" s="24">
      <c r="A8063" s="13" t="n">
        <v>5000120773</v>
      </c>
      <c r="B8063" s="13" t="inlineStr">
        <is>
          <t>МКУ "ЦЕНТРАЛИЗОВАННАЯ БУХГАЛТЕРИЯ АДМИНИСТРАЦИИ
КИРЕНСКОГО МУНИЦИПАЛЬНОГО ОКРУГА"</t>
        </is>
      </c>
      <c r="C8063" s="13" t="n">
        <v>3808295470</v>
      </c>
      <c r="D8063" s="13" t="inlineStr">
        <is>
          <t>3808295470</t>
        </is>
      </c>
      <c r="E8063" s="13" t="inlineStr">
        <is>
          <t>ЮЛ РФ</t>
        </is>
      </c>
      <c r="F8063" s="13" t="n"/>
      <c r="G8063" s="14" t="n"/>
      <c r="H8063" s="14" t="n"/>
      <c r="I8063" s="14" t="n"/>
      <c r="J8063" s="14" t="n"/>
      <c r="K8063" s="53" t="inlineStr"/>
      <c r="L8063" s="53" t="inlineStr">
        <is>
          <t>Не определено</t>
        </is>
      </c>
      <c r="M8063" s="53" t="inlineStr"/>
      <c r="N8063" s="54" t="inlineStr"/>
      <c r="O8063" s="55" t="inlineStr"/>
      <c r="P8063" s="16" t="inlineStr">
        <is>
          <t>Требует обогащения</t>
        </is>
      </c>
      <c r="Q8063" s="16">
        <f>HYPERLINK("https://pb.nalog.ru/search.html?query=3808295470","ФНС: проверить")</f>
        <v/>
      </c>
      <c r="R8063" s="16">
        <f>HYPERLINK("https://checko.ru/search?query=3801001629","Чекко: проверить")</f>
        <v/>
      </c>
      <c r="S8063" t="n">
        <v>1</v>
      </c>
      <c r="T8063" s="35" t="inlineStr">
        <is>
          <t>4 — Не обогащён</t>
        </is>
      </c>
      <c r="U8063" s="35" t="inlineStr">
        <is>
          <t>Нет ОКВЭД/ССЧР</t>
        </is>
      </c>
      <c r="V8063" s="35" t="inlineStr">
        <is>
          <t>Не определено</t>
        </is>
      </c>
      <c r="W8063" s="35" t="inlineStr"/>
      <c r="X8063" s="35" t="inlineStr"/>
    </row>
    <row r="8064" ht="15" customHeight="1" s="24">
      <c r="A8064" s="13" t="n">
        <v>5000121230</v>
      </c>
      <c r="B8064" s="13" t="inlineStr">
        <is>
          <t>МБОУ "СОШ №1"</t>
        </is>
      </c>
      <c r="C8064" s="13" t="n">
        <v>5041012879</v>
      </c>
      <c r="D8064" s="13" t="inlineStr">
        <is>
          <t>5041012879</t>
        </is>
      </c>
      <c r="E8064" s="13" t="inlineStr">
        <is>
          <t>ЮЛ РФ</t>
        </is>
      </c>
      <c r="F8064" s="13" t="n"/>
      <c r="G8064" s="14" t="n"/>
      <c r="H8064" s="14" t="n"/>
      <c r="I8064" s="14" t="n"/>
      <c r="J8064" s="14" t="n"/>
      <c r="K8064" s="53" t="inlineStr"/>
      <c r="L8064" s="53" t="inlineStr">
        <is>
          <t>Не определено</t>
        </is>
      </c>
      <c r="M8064" s="53" t="inlineStr"/>
      <c r="N8064" s="54" t="inlineStr"/>
      <c r="O8064" s="55" t="inlineStr"/>
      <c r="P8064" s="16" t="inlineStr">
        <is>
          <t>Требует обогащения</t>
        </is>
      </c>
      <c r="Q8064" s="16">
        <f>HYPERLINK("https://pb.nalog.ru/search.html?query=5041012879","ФНС: проверить")</f>
        <v/>
      </c>
      <c r="R8064" s="16">
        <f>HYPERLINK("https://checko.ru/search?query=3801001629","Чекко: проверить")</f>
        <v/>
      </c>
      <c r="S8064" t="n">
        <v>1</v>
      </c>
      <c r="T8064" s="35" t="inlineStr">
        <is>
          <t>4 — Не обогащён</t>
        </is>
      </c>
      <c r="U8064" s="35" t="inlineStr">
        <is>
          <t>Нет ОКВЭД/ССЧР</t>
        </is>
      </c>
      <c r="V8064" s="35" t="inlineStr">
        <is>
          <t>Не определено</t>
        </is>
      </c>
      <c r="W8064" s="35" t="inlineStr"/>
      <c r="X8064" s="35" t="inlineStr"/>
    </row>
    <row r="8065" ht="15" customHeight="1" s="24">
      <c r="A8065" s="13" t="n">
        <v>5000121232</v>
      </c>
      <c r="B8065" s="13" t="inlineStr">
        <is>
          <t>Управление образования</t>
        </is>
      </c>
      <c r="C8065" s="13" t="n">
        <v>5041012131</v>
      </c>
      <c r="D8065" s="13" t="inlineStr">
        <is>
          <t>5041012131</t>
        </is>
      </c>
      <c r="E8065" s="13" t="inlineStr">
        <is>
          <t>ЮЛ РФ</t>
        </is>
      </c>
      <c r="F8065" s="13" t="n"/>
      <c r="G8065" s="14" t="n"/>
      <c r="H8065" s="14" t="n"/>
      <c r="I8065" s="14" t="n"/>
      <c r="J8065" s="14" t="n"/>
      <c r="K8065" s="53" t="inlineStr"/>
      <c r="L8065" s="53" t="inlineStr">
        <is>
          <t>Не определено</t>
        </is>
      </c>
      <c r="M8065" s="53" t="inlineStr"/>
      <c r="N8065" s="54" t="inlineStr"/>
      <c r="O8065" s="55" t="inlineStr"/>
      <c r="P8065" s="16" t="inlineStr">
        <is>
          <t>Требует обогащения</t>
        </is>
      </c>
      <c r="Q8065" s="16">
        <f>HYPERLINK("https://pb.nalog.ru/search.html?query=5041012131","ФНС: проверить")</f>
        <v/>
      </c>
      <c r="R8065" s="16">
        <f>HYPERLINK("https://checko.ru/search?query=3801001629","Чекко: проверить")</f>
        <v/>
      </c>
      <c r="S8065" t="n">
        <v>1</v>
      </c>
      <c r="T8065" s="35" t="inlineStr">
        <is>
          <t>4 — Не обогащён</t>
        </is>
      </c>
      <c r="U8065" s="35" t="inlineStr">
        <is>
          <t>Нет ОКВЭД/ССЧР</t>
        </is>
      </c>
      <c r="V8065" s="35" t="inlineStr">
        <is>
          <t>Не определено</t>
        </is>
      </c>
      <c r="W8065" s="35" t="inlineStr"/>
      <c r="X8065" s="35" t="inlineStr"/>
    </row>
    <row r="8066" ht="15" customHeight="1" s="24">
      <c r="A8066" s="13" t="n">
        <v>5000121233</v>
      </c>
      <c r="B8066" s="13" t="inlineStr">
        <is>
          <t>МБУ ЦППМСП "ДАР"</t>
        </is>
      </c>
      <c r="C8066" s="13" t="n">
        <v>5012054793</v>
      </c>
      <c r="D8066" s="13" t="inlineStr">
        <is>
          <t>5012054793</t>
        </is>
      </c>
      <c r="E8066" s="13" t="inlineStr">
        <is>
          <t>ЮЛ РФ</t>
        </is>
      </c>
      <c r="F8066" s="13" t="n"/>
      <c r="G8066" s="14" t="n"/>
      <c r="H8066" s="14" t="n"/>
      <c r="I8066" s="14" t="n"/>
      <c r="J8066" s="14" t="n"/>
      <c r="K8066" s="53" t="inlineStr"/>
      <c r="L8066" s="53" t="inlineStr">
        <is>
          <t>Не определено</t>
        </is>
      </c>
      <c r="M8066" s="53" t="inlineStr"/>
      <c r="N8066" s="54" t="inlineStr"/>
      <c r="O8066" s="55" t="inlineStr"/>
      <c r="P8066" s="16" t="inlineStr">
        <is>
          <t>Требует обогащения</t>
        </is>
      </c>
      <c r="Q8066" s="16">
        <f>HYPERLINK("https://pb.nalog.ru/search.html?query=5012054793","ФНС: проверить")</f>
        <v/>
      </c>
      <c r="R8066" s="16">
        <f>HYPERLINK("https://checko.ru/search?query=3801001629","Чекко: проверить")</f>
        <v/>
      </c>
      <c r="S8066" t="n">
        <v>1</v>
      </c>
      <c r="T8066" s="35" t="inlineStr">
        <is>
          <t>4 — Не обогащён</t>
        </is>
      </c>
      <c r="U8066" s="35" t="inlineStr">
        <is>
          <t>Нет ОКВЭД/ССЧР</t>
        </is>
      </c>
      <c r="V8066" s="35" t="inlineStr">
        <is>
          <t>Не определено</t>
        </is>
      </c>
      <c r="W8066" s="35" t="inlineStr"/>
      <c r="X8066" s="35" t="inlineStr"/>
    </row>
    <row r="8067" ht="15" customHeight="1" s="24">
      <c r="A8067" s="13" t="n">
        <v>5000121235</v>
      </c>
      <c r="B8067" s="13" t="inlineStr">
        <is>
          <t>МУК "ЦБС"</t>
        </is>
      </c>
      <c r="C8067" s="13" t="n">
        <v>5012029892</v>
      </c>
      <c r="D8067" s="13" t="inlineStr">
        <is>
          <t>5012029892</t>
        </is>
      </c>
      <c r="E8067" s="13" t="inlineStr">
        <is>
          <t>ЮЛ РФ</t>
        </is>
      </c>
      <c r="F8067" s="13" t="n"/>
      <c r="G8067" s="14" t="n"/>
      <c r="H8067" s="14" t="n"/>
      <c r="I8067" s="14" t="n"/>
      <c r="J8067" s="14" t="n"/>
      <c r="K8067" s="53" t="inlineStr"/>
      <c r="L8067" s="53" t="inlineStr">
        <is>
          <t>Не определено</t>
        </is>
      </c>
      <c r="M8067" s="53" t="inlineStr"/>
      <c r="N8067" s="54" t="inlineStr"/>
      <c r="O8067" s="55" t="inlineStr"/>
      <c r="P8067" s="16" t="inlineStr">
        <is>
          <t>Требует обогащения</t>
        </is>
      </c>
      <c r="Q8067" s="16">
        <f>HYPERLINK("https://pb.nalog.ru/search.html?query=5012029892","ФНС: проверить")</f>
        <v/>
      </c>
      <c r="R8067" s="16">
        <f>HYPERLINK("https://checko.ru/search?query=3801001629","Чекко: проверить")</f>
        <v/>
      </c>
      <c r="S8067" t="n">
        <v>1</v>
      </c>
      <c r="T8067" s="35" t="inlineStr">
        <is>
          <t>4 — Не обогащён</t>
        </is>
      </c>
      <c r="U8067" s="35" t="inlineStr">
        <is>
          <t>Нет ОКВЭД/ССЧР</t>
        </is>
      </c>
      <c r="V8067" s="35" t="inlineStr">
        <is>
          <t>Не определено</t>
        </is>
      </c>
      <c r="W8067" s="35" t="inlineStr"/>
      <c r="X8067" s="35" t="inlineStr"/>
    </row>
    <row r="8068" ht="15" customHeight="1" s="24">
      <c r="A8068" s="13" t="n">
        <v>5000121224</v>
      </c>
      <c r="B8068" s="13" t="inlineStr">
        <is>
          <t>МАОУ "СОШ №10"</t>
        </is>
      </c>
      <c r="C8068" s="13" t="n">
        <v>5012079815</v>
      </c>
      <c r="D8068" s="13" t="inlineStr">
        <is>
          <t>5012079815</t>
        </is>
      </c>
      <c r="E8068" s="13" t="inlineStr">
        <is>
          <t>ЮЛ РФ</t>
        </is>
      </c>
      <c r="F8068" s="13" t="n"/>
      <c r="G8068" s="14" t="n"/>
      <c r="H8068" s="14" t="n"/>
      <c r="I8068" s="14" t="n"/>
      <c r="J8068" s="14" t="n"/>
      <c r="K8068" s="53" t="inlineStr"/>
      <c r="L8068" s="53" t="inlineStr">
        <is>
          <t>Не определено</t>
        </is>
      </c>
      <c r="M8068" s="53" t="inlineStr"/>
      <c r="N8068" s="54" t="inlineStr"/>
      <c r="O8068" s="55" t="inlineStr"/>
      <c r="P8068" s="16" t="inlineStr">
        <is>
          <t>Требует обогащения</t>
        </is>
      </c>
      <c r="Q8068" s="16">
        <f>HYPERLINK("https://pb.nalog.ru/search.html?query=5012079815","ФНС: проверить")</f>
        <v/>
      </c>
      <c r="R8068" s="16">
        <f>HYPERLINK("https://checko.ru/search?query=3801001629","Чекко: проверить")</f>
        <v/>
      </c>
      <c r="S8068" t="n">
        <v>1</v>
      </c>
      <c r="T8068" s="35" t="inlineStr">
        <is>
          <t>4 — Не обогащён</t>
        </is>
      </c>
      <c r="U8068" s="35" t="inlineStr">
        <is>
          <t>Нет ОКВЭД/ССЧР</t>
        </is>
      </c>
      <c r="V8068" s="35" t="inlineStr">
        <is>
          <t>Не определено</t>
        </is>
      </c>
      <c r="W8068" s="35" t="inlineStr"/>
      <c r="X8068" s="35" t="inlineStr"/>
    </row>
    <row r="8069" ht="15" customHeight="1" s="24">
      <c r="A8069" s="13" t="n">
        <v>5000121229</v>
      </c>
      <c r="B8069" s="13" t="inlineStr">
        <is>
          <t>МБОУ "СОШ №3"</t>
        </is>
      </c>
      <c r="C8069" s="13" t="n">
        <v>5041012854</v>
      </c>
      <c r="D8069" s="13" t="inlineStr">
        <is>
          <t>5041012854</t>
        </is>
      </c>
      <c r="E8069" s="13" t="inlineStr">
        <is>
          <t>ЮЛ РФ</t>
        </is>
      </c>
      <c r="F8069" s="13" t="n"/>
      <c r="G8069" s="14" t="n"/>
      <c r="H8069" s="14" t="n"/>
      <c r="I8069" s="14" t="n"/>
      <c r="J8069" s="14" t="n"/>
      <c r="K8069" s="53" t="inlineStr"/>
      <c r="L8069" s="53" t="inlineStr">
        <is>
          <t>Не определено</t>
        </is>
      </c>
      <c r="M8069" s="53" t="inlineStr"/>
      <c r="N8069" s="54" t="inlineStr"/>
      <c r="O8069" s="55" t="inlineStr"/>
      <c r="P8069" s="16" t="inlineStr">
        <is>
          <t>Требует обогащения</t>
        </is>
      </c>
      <c r="Q8069" s="16">
        <f>HYPERLINK("https://pb.nalog.ru/search.html?query=5041012854","ФНС: проверить")</f>
        <v/>
      </c>
      <c r="R8069" s="16">
        <f>HYPERLINK("https://checko.ru/search?query=3801001629","Чекко: проверить")</f>
        <v/>
      </c>
      <c r="S8069" t="n">
        <v>1</v>
      </c>
      <c r="T8069" s="35" t="inlineStr">
        <is>
          <t>4 — Не обогащён</t>
        </is>
      </c>
      <c r="U8069" s="35" t="inlineStr">
        <is>
          <t>Нет ОКВЭД/ССЧР</t>
        </is>
      </c>
      <c r="V8069" s="35" t="inlineStr">
        <is>
          <t>Не определено</t>
        </is>
      </c>
      <c r="W8069" s="35" t="inlineStr"/>
      <c r="X8069" s="35" t="inlineStr"/>
    </row>
    <row r="8070" ht="15" customHeight="1" s="24">
      <c r="A8070" s="13" t="n">
        <v>5000101340</v>
      </c>
      <c r="B8070" s="13" t="inlineStr">
        <is>
          <t>ГУ "Алексеевское лесничество"</t>
        </is>
      </c>
      <c r="C8070" s="13" t="n">
        <v>5622000728</v>
      </c>
      <c r="D8070" s="13" t="inlineStr">
        <is>
          <t>5622000728</t>
        </is>
      </c>
      <c r="E8070" s="13" t="inlineStr">
        <is>
          <t>ЮЛ РФ</t>
        </is>
      </c>
      <c r="F8070" s="13" t="n"/>
      <c r="G8070" s="14" t="n"/>
      <c r="H8070" s="14" t="n"/>
      <c r="I8070" s="14" t="n"/>
      <c r="J8070" s="14" t="n"/>
      <c r="K8070" s="53" t="inlineStr"/>
      <c r="L8070" s="53" t="inlineStr">
        <is>
          <t>Не определено</t>
        </is>
      </c>
      <c r="M8070" s="53" t="inlineStr"/>
      <c r="N8070" s="54" t="inlineStr"/>
      <c r="O8070" s="55" t="inlineStr"/>
      <c r="P8070" s="16" t="inlineStr">
        <is>
          <t>Требует обогащения</t>
        </is>
      </c>
      <c r="Q8070" s="16">
        <f>HYPERLINK("https://pb.nalog.ru/search.html?query=5622000728","ФНС: проверить")</f>
        <v/>
      </c>
      <c r="R8070" s="16">
        <f>HYPERLINK("https://checko.ru/search?query=3801001629","Чекко: проверить")</f>
        <v/>
      </c>
      <c r="S8070" t="n">
        <v>1</v>
      </c>
      <c r="T8070" s="35" t="inlineStr">
        <is>
          <t>4 — Не обогащён</t>
        </is>
      </c>
      <c r="U8070" s="35" t="inlineStr">
        <is>
          <t>Нет ОКВЭД/ССЧР</t>
        </is>
      </c>
      <c r="V8070" s="35" t="inlineStr">
        <is>
          <t>Не определено</t>
        </is>
      </c>
      <c r="W8070" s="35" t="inlineStr"/>
      <c r="X8070" s="35" t="inlineStr"/>
    </row>
    <row r="8071" ht="15" customHeight="1" s="24">
      <c r="A8071" s="13" t="n">
        <v>5000121220</v>
      </c>
      <c r="B8071" s="13" t="inlineStr">
        <is>
          <t>Администрация г.Реутова</t>
        </is>
      </c>
      <c r="C8071" s="13" t="n">
        <v>5041001482</v>
      </c>
      <c r="D8071" s="13" t="inlineStr">
        <is>
          <t>5041001482</t>
        </is>
      </c>
      <c r="E8071" s="13" t="inlineStr">
        <is>
          <t>ЮЛ РФ</t>
        </is>
      </c>
      <c r="F8071" s="13" t="n"/>
      <c r="G8071" s="14" t="n"/>
      <c r="H8071" s="14" t="n"/>
      <c r="I8071" s="14" t="n"/>
      <c r="J8071" s="14" t="n"/>
      <c r="K8071" s="53" t="inlineStr"/>
      <c r="L8071" s="53" t="inlineStr">
        <is>
          <t>Не определено</t>
        </is>
      </c>
      <c r="M8071" s="53" t="inlineStr"/>
      <c r="N8071" s="54" t="inlineStr"/>
      <c r="O8071" s="55" t="inlineStr"/>
      <c r="P8071" s="16" t="inlineStr">
        <is>
          <t>Требует обогащения</t>
        </is>
      </c>
      <c r="Q8071" s="16">
        <f>HYPERLINK("https://pb.nalog.ru/search.html?query=5041001482","ФНС: проверить")</f>
        <v/>
      </c>
      <c r="R8071" s="16">
        <f>HYPERLINK("https://checko.ru/search?query=3801001629","Чекко: проверить")</f>
        <v/>
      </c>
      <c r="S8071" t="n">
        <v>1</v>
      </c>
      <c r="T8071" s="35" t="inlineStr">
        <is>
          <t>4 — Не обогащён</t>
        </is>
      </c>
      <c r="U8071" s="35" t="inlineStr">
        <is>
          <t>Нет ОКВЭД/ССЧР</t>
        </is>
      </c>
      <c r="V8071" s="35" t="inlineStr">
        <is>
          <t>Не определено</t>
        </is>
      </c>
      <c r="W8071" s="35" t="inlineStr"/>
      <c r="X8071" s="35" t="inlineStr"/>
    </row>
    <row r="8072" ht="41.25" customHeight="1" s="24">
      <c r="A8072" s="13" t="n">
        <v>5000120694</v>
      </c>
      <c r="B8072" s="13" t="inlineStr">
        <is>
          <t>Комитет Администрации Чунского Муниципального Округа по Вопросам Жилищно-Коммунального Хозяйства</t>
        </is>
      </c>
      <c r="C8072" s="13" t="n">
        <v>3816038702</v>
      </c>
      <c r="D8072" s="13" t="inlineStr">
        <is>
          <t>3816038702</t>
        </is>
      </c>
      <c r="E8072" s="13" t="inlineStr">
        <is>
          <t>ЮЛ РФ</t>
        </is>
      </c>
      <c r="F8072" s="13" t="n"/>
      <c r="G8072" s="14" t="n"/>
      <c r="H8072" s="14" t="n"/>
      <c r="I8072" s="14" t="n"/>
      <c r="J8072" s="14" t="n"/>
      <c r="K8072" s="53" t="inlineStr"/>
      <c r="L8072" s="53" t="inlineStr">
        <is>
          <t>Не определено</t>
        </is>
      </c>
      <c r="M8072" s="53" t="inlineStr"/>
      <c r="N8072" s="54" t="inlineStr"/>
      <c r="O8072" s="55" t="inlineStr"/>
      <c r="P8072" s="16" t="inlineStr">
        <is>
          <t>Требует обогащения</t>
        </is>
      </c>
      <c r="Q8072" s="16">
        <f>HYPERLINK("https://pb.nalog.ru/search.html?query=3816038702","ФНС: проверить")</f>
        <v/>
      </c>
      <c r="R8072" s="16">
        <f>HYPERLINK("https://checko.ru/search?query=3801001629","Чекко: проверить")</f>
        <v/>
      </c>
      <c r="S8072" t="n">
        <v>1</v>
      </c>
      <c r="T8072" s="35" t="inlineStr">
        <is>
          <t>4 — Не обогащён</t>
        </is>
      </c>
      <c r="U8072" s="35" t="inlineStr">
        <is>
          <t>Нет ОКВЭД/ССЧР</t>
        </is>
      </c>
      <c r="V8072" s="35" t="inlineStr">
        <is>
          <t>Не определено</t>
        </is>
      </c>
      <c r="W8072" s="35" t="inlineStr"/>
      <c r="X8072" s="35" t="inlineStr"/>
    </row>
    <row r="8073" ht="15" customHeight="1" s="24">
      <c r="A8073" s="13" t="n">
        <v>5000121956</v>
      </c>
      <c r="B8073" s="13" t="inlineStr">
        <is>
          <t>МОУ "ГИМНАЗИЯ Г. РАМЕНСКОЕ"</t>
        </is>
      </c>
      <c r="C8073" s="13" t="n">
        <v>5040039892</v>
      </c>
      <c r="D8073" s="13" t="inlineStr">
        <is>
          <t>5040039892</t>
        </is>
      </c>
      <c r="E8073" s="13" t="inlineStr">
        <is>
          <t>ЮЛ РФ</t>
        </is>
      </c>
      <c r="F8073" s="13" t="n"/>
      <c r="G8073" s="14" t="n"/>
      <c r="H8073" s="14" t="n"/>
      <c r="I8073" s="14" t="n"/>
      <c r="J8073" s="14" t="n"/>
      <c r="K8073" s="53" t="inlineStr"/>
      <c r="L8073" s="53" t="inlineStr">
        <is>
          <t>Не определено</t>
        </is>
      </c>
      <c r="M8073" s="53" t="inlineStr"/>
      <c r="N8073" s="54" t="inlineStr"/>
      <c r="O8073" s="55" t="inlineStr"/>
      <c r="P8073" s="16" t="inlineStr">
        <is>
          <t>Требует обогащения</t>
        </is>
      </c>
      <c r="Q8073" s="16">
        <f>HYPERLINK("https://pb.nalog.ru/search.html?query=5040039892","ФНС: проверить")</f>
        <v/>
      </c>
      <c r="R8073" s="16">
        <f>HYPERLINK("https://checko.ru/search?query=3801001629","Чекко: проверить")</f>
        <v/>
      </c>
      <c r="S8073" t="n">
        <v>1</v>
      </c>
      <c r="T8073" s="35" t="inlineStr">
        <is>
          <t>4 — Не обогащён</t>
        </is>
      </c>
      <c r="U8073" s="35" t="inlineStr">
        <is>
          <t>Нет ОКВЭД/ССЧР</t>
        </is>
      </c>
      <c r="V8073" s="35" t="inlineStr">
        <is>
          <t>Не определено</t>
        </is>
      </c>
      <c r="W8073" s="35" t="inlineStr"/>
      <c r="X8073" s="35" t="inlineStr"/>
    </row>
    <row r="8074" ht="15" customHeight="1" s="24">
      <c r="A8074" s="13" t="n">
        <v>5000121957</v>
      </c>
      <c r="B8074" s="13" t="inlineStr">
        <is>
          <t>МОУ - Гимназия № 2 г. Раменское</t>
        </is>
      </c>
      <c r="C8074" s="13" t="n">
        <v>5040039652</v>
      </c>
      <c r="D8074" s="13" t="inlineStr">
        <is>
          <t>5040039652</t>
        </is>
      </c>
      <c r="E8074" s="13" t="inlineStr">
        <is>
          <t>ЮЛ РФ</t>
        </is>
      </c>
      <c r="F8074" s="13" t="n"/>
      <c r="G8074" s="14" t="n"/>
      <c r="H8074" s="14" t="n"/>
      <c r="I8074" s="14" t="n"/>
      <c r="J8074" s="14" t="n"/>
      <c r="K8074" s="53" t="inlineStr"/>
      <c r="L8074" s="53" t="inlineStr">
        <is>
          <t>Не определено</t>
        </is>
      </c>
      <c r="M8074" s="53" t="inlineStr"/>
      <c r="N8074" s="54" t="inlineStr"/>
      <c r="O8074" s="55" t="inlineStr"/>
      <c r="P8074" s="16" t="inlineStr">
        <is>
          <t>Требует обогащения</t>
        </is>
      </c>
      <c r="Q8074" s="16">
        <f>HYPERLINK("https://pb.nalog.ru/search.html?query=5040039652","ФНС: проверить")</f>
        <v/>
      </c>
      <c r="R8074" s="16">
        <f>HYPERLINK("https://checko.ru/search?query=3801001629","Чекко: проверить")</f>
        <v/>
      </c>
      <c r="S8074" t="n">
        <v>1</v>
      </c>
      <c r="T8074" s="35" t="inlineStr">
        <is>
          <t>4 — Не обогащён</t>
        </is>
      </c>
      <c r="U8074" s="35" t="inlineStr">
        <is>
          <t>Нет ОКВЭД/ССЧР</t>
        </is>
      </c>
      <c r="V8074" s="35" t="inlineStr">
        <is>
          <t>Не определено</t>
        </is>
      </c>
      <c r="W8074" s="35" t="inlineStr"/>
      <c r="X8074" s="35" t="inlineStr"/>
    </row>
    <row r="8075" ht="15" customHeight="1" s="24">
      <c r="A8075" s="13" t="n">
        <v>5000121965</v>
      </c>
      <c r="B8075" s="13" t="inlineStr">
        <is>
          <t>МОУ СОШ № 11 пос. Дружба</t>
        </is>
      </c>
      <c r="C8075" s="13" t="n">
        <v>5040040707</v>
      </c>
      <c r="D8075" s="13" t="inlineStr">
        <is>
          <t>5040040707</t>
        </is>
      </c>
      <c r="E8075" s="13" t="inlineStr">
        <is>
          <t>ЮЛ РФ</t>
        </is>
      </c>
      <c r="F8075" s="13" t="n"/>
      <c r="G8075" s="14" t="n"/>
      <c r="H8075" s="14" t="n"/>
      <c r="I8075" s="14" t="n"/>
      <c r="J8075" s="14" t="n"/>
      <c r="K8075" s="53" t="inlineStr"/>
      <c r="L8075" s="53" t="inlineStr">
        <is>
          <t>Не определено</t>
        </is>
      </c>
      <c r="M8075" s="53" t="inlineStr"/>
      <c r="N8075" s="54" t="inlineStr"/>
      <c r="O8075" s="55" t="inlineStr"/>
      <c r="P8075" s="16" t="inlineStr">
        <is>
          <t>Требует обогащения</t>
        </is>
      </c>
      <c r="Q8075" s="16">
        <f>HYPERLINK("https://pb.nalog.ru/search.html?query=5040040707","ФНС: проверить")</f>
        <v/>
      </c>
      <c r="R8075" s="16">
        <f>HYPERLINK("https://checko.ru/search?query=3801001629","Чекко: проверить")</f>
        <v/>
      </c>
      <c r="S8075" t="n">
        <v>1</v>
      </c>
      <c r="T8075" s="35" t="inlineStr">
        <is>
          <t>4 — Не обогащён</t>
        </is>
      </c>
      <c r="U8075" s="35" t="inlineStr">
        <is>
          <t>Нет ОКВЭД/ССЧР</t>
        </is>
      </c>
      <c r="V8075" s="35" t="inlineStr">
        <is>
          <t>Не определено</t>
        </is>
      </c>
      <c r="W8075" s="35" t="inlineStr"/>
      <c r="X8075" s="35" t="inlineStr"/>
    </row>
    <row r="8076" ht="15" customHeight="1" s="24">
      <c r="A8076" s="13" t="n">
        <v>5000121966</v>
      </c>
      <c r="B8076" s="13" t="inlineStr">
        <is>
          <t>МОУ Власовская СОШ №13</t>
        </is>
      </c>
      <c r="C8076" s="13" t="n">
        <v>5040040979</v>
      </c>
      <c r="D8076" s="13" t="inlineStr">
        <is>
          <t>5040040979</t>
        </is>
      </c>
      <c r="E8076" s="13" t="inlineStr">
        <is>
          <t>ЮЛ РФ</t>
        </is>
      </c>
      <c r="F8076" s="13" t="n"/>
      <c r="G8076" s="14" t="n"/>
      <c r="H8076" s="14" t="n"/>
      <c r="I8076" s="14" t="n"/>
      <c r="J8076" s="14" t="n"/>
      <c r="K8076" s="53" t="inlineStr"/>
      <c r="L8076" s="53" t="inlineStr">
        <is>
          <t>Не определено</t>
        </is>
      </c>
      <c r="M8076" s="53" t="inlineStr"/>
      <c r="N8076" s="54" t="inlineStr"/>
      <c r="O8076" s="55" t="inlineStr"/>
      <c r="P8076" s="16" t="inlineStr">
        <is>
          <t>Требует обогащения</t>
        </is>
      </c>
      <c r="Q8076" s="16">
        <f>HYPERLINK("https://pb.nalog.ru/search.html?query=5040040979","ФНС: проверить")</f>
        <v/>
      </c>
      <c r="R8076" s="16">
        <f>HYPERLINK("https://checko.ru/search?query=3801001629","Чекко: проверить")</f>
        <v/>
      </c>
      <c r="S8076" t="n">
        <v>1</v>
      </c>
      <c r="T8076" s="35" t="inlineStr">
        <is>
          <t>4 — Не обогащён</t>
        </is>
      </c>
      <c r="U8076" s="35" t="inlineStr">
        <is>
          <t>Нет ОКВЭД/ССЧР</t>
        </is>
      </c>
      <c r="V8076" s="35" t="inlineStr">
        <is>
          <t>Не определено</t>
        </is>
      </c>
      <c r="W8076" s="35" t="inlineStr"/>
      <c r="X8076" s="35" t="inlineStr"/>
    </row>
    <row r="8077" ht="15" customHeight="1" s="24">
      <c r="A8077" s="13" t="n">
        <v>5000121967</v>
      </c>
      <c r="B8077" s="13" t="inlineStr">
        <is>
          <t>МОУ БЫКОВСКАЯ СОШ № 15</t>
        </is>
      </c>
      <c r="C8077" s="13" t="n">
        <v>5040040270</v>
      </c>
      <c r="D8077" s="13" t="inlineStr">
        <is>
          <t>5040040270</t>
        </is>
      </c>
      <c r="E8077" s="13" t="inlineStr">
        <is>
          <t>ЮЛ РФ</t>
        </is>
      </c>
      <c r="F8077" s="13" t="n"/>
      <c r="G8077" s="14" t="n"/>
      <c r="H8077" s="14" t="n"/>
      <c r="I8077" s="14" t="n"/>
      <c r="J8077" s="14" t="n"/>
      <c r="K8077" s="53" t="inlineStr"/>
      <c r="L8077" s="53" t="inlineStr">
        <is>
          <t>Не определено</t>
        </is>
      </c>
      <c r="M8077" s="53" t="inlineStr"/>
      <c r="N8077" s="54" t="inlineStr"/>
      <c r="O8077" s="55" t="inlineStr"/>
      <c r="P8077" s="16" t="inlineStr">
        <is>
          <t>Требует обогащения</t>
        </is>
      </c>
      <c r="Q8077" s="16">
        <f>HYPERLINK("https://pb.nalog.ru/search.html?query=5040040270","ФНС: проверить")</f>
        <v/>
      </c>
      <c r="R8077" s="16">
        <f>HYPERLINK("https://checko.ru/search?query=3801001629","Чекко: проверить")</f>
        <v/>
      </c>
      <c r="S8077" t="n">
        <v>1</v>
      </c>
      <c r="T8077" s="35" t="inlineStr">
        <is>
          <t>4 — Не обогащён</t>
        </is>
      </c>
      <c r="U8077" s="35" t="inlineStr">
        <is>
          <t>Нет ОКВЭД/ССЧР</t>
        </is>
      </c>
      <c r="V8077" s="35" t="inlineStr">
        <is>
          <t>Не определено</t>
        </is>
      </c>
      <c r="W8077" s="35" t="inlineStr"/>
      <c r="X8077" s="35" t="inlineStr"/>
    </row>
    <row r="8078" ht="15" customHeight="1" s="24">
      <c r="A8078" s="13" t="n">
        <v>5000121969</v>
      </c>
      <c r="B8078" s="13" t="inlineStr">
        <is>
          <t>МОУ Чулковская СОШ №20</t>
        </is>
      </c>
      <c r="C8078" s="13" t="n">
        <v>5040040680</v>
      </c>
      <c r="D8078" s="13" t="inlineStr">
        <is>
          <t>5040040680</t>
        </is>
      </c>
      <c r="E8078" s="13" t="inlineStr">
        <is>
          <t>ЮЛ РФ</t>
        </is>
      </c>
      <c r="F8078" s="13" t="n"/>
      <c r="G8078" s="14" t="n"/>
      <c r="H8078" s="14" t="n"/>
      <c r="I8078" s="14" t="n"/>
      <c r="J8078" s="14" t="n"/>
      <c r="K8078" s="53" t="inlineStr"/>
      <c r="L8078" s="53" t="inlineStr">
        <is>
          <t>Не определено</t>
        </is>
      </c>
      <c r="M8078" s="53" t="inlineStr"/>
      <c r="N8078" s="54" t="inlineStr"/>
      <c r="O8078" s="55" t="inlineStr"/>
      <c r="P8078" s="16" t="inlineStr">
        <is>
          <t>Требует обогащения</t>
        </is>
      </c>
      <c r="Q8078" s="16">
        <f>HYPERLINK("https://pb.nalog.ru/search.html?query=5040040680","ФНС: проверить")</f>
        <v/>
      </c>
      <c r="R8078" s="16">
        <f>HYPERLINK("https://checko.ru/search?query=3801001629","Чекко: проверить")</f>
        <v/>
      </c>
      <c r="S8078" t="n">
        <v>1</v>
      </c>
      <c r="T8078" s="35" t="inlineStr">
        <is>
          <t>4 — Не обогащён</t>
        </is>
      </c>
      <c r="U8078" s="35" t="inlineStr">
        <is>
          <t>Нет ОКВЭД/ССЧР</t>
        </is>
      </c>
      <c r="V8078" s="35" t="inlineStr">
        <is>
          <t>Не определено</t>
        </is>
      </c>
      <c r="W8078" s="35" t="inlineStr"/>
      <c r="X8078" s="35" t="inlineStr"/>
    </row>
    <row r="8079" ht="15" customHeight="1" s="24">
      <c r="A8079" s="13" t="n">
        <v>5000121970</v>
      </c>
      <c r="B8079" s="13" t="inlineStr">
        <is>
          <t>МОУ РАМЕНСКАЯ СОШ №21 С УИОП</t>
        </is>
      </c>
      <c r="C8079" s="13" t="n">
        <v>5040039638</v>
      </c>
      <c r="D8079" s="13" t="inlineStr">
        <is>
          <t>5040039638</t>
        </is>
      </c>
      <c r="E8079" s="13" t="inlineStr">
        <is>
          <t>ЮЛ РФ</t>
        </is>
      </c>
      <c r="F8079" s="13" t="n"/>
      <c r="G8079" s="14" t="n"/>
      <c r="H8079" s="14" t="n"/>
      <c r="I8079" s="14" t="n"/>
      <c r="J8079" s="14" t="n"/>
      <c r="K8079" s="53" t="inlineStr"/>
      <c r="L8079" s="53" t="inlineStr">
        <is>
          <t>Не определено</t>
        </is>
      </c>
      <c r="M8079" s="53" t="inlineStr"/>
      <c r="N8079" s="54" t="inlineStr"/>
      <c r="O8079" s="55" t="inlineStr"/>
      <c r="P8079" s="16" t="inlineStr">
        <is>
          <t>Требует обогащения</t>
        </is>
      </c>
      <c r="Q8079" s="16">
        <f>HYPERLINK("https://pb.nalog.ru/search.html?query=5040039638","ФНС: проверить")</f>
        <v/>
      </c>
      <c r="R8079" s="16">
        <f>HYPERLINK("https://checko.ru/search?query=3801001629","Чекко: проверить")</f>
        <v/>
      </c>
      <c r="S8079" t="n">
        <v>1</v>
      </c>
      <c r="T8079" s="35" t="inlineStr">
        <is>
          <t>4 — Не обогащён</t>
        </is>
      </c>
      <c r="U8079" s="35" t="inlineStr">
        <is>
          <t>Нет ОКВЭД/ССЧР</t>
        </is>
      </c>
      <c r="V8079" s="35" t="inlineStr">
        <is>
          <t>Не определено</t>
        </is>
      </c>
      <c r="W8079" s="35" t="inlineStr"/>
      <c r="X8079" s="35" t="inlineStr"/>
    </row>
    <row r="8080" ht="15" customHeight="1" s="24">
      <c r="A8080" s="13" t="n">
        <v>5000121971</v>
      </c>
      <c r="B8080" s="13" t="inlineStr">
        <is>
          <t>МОУ СОШ №22 с УИОП</t>
        </is>
      </c>
      <c r="C8080" s="13" t="n">
        <v>5040039405</v>
      </c>
      <c r="D8080" s="13" t="inlineStr">
        <is>
          <t>5040039405</t>
        </is>
      </c>
      <c r="E8080" s="13" t="inlineStr">
        <is>
          <t>ЮЛ РФ</t>
        </is>
      </c>
      <c r="F8080" s="13" t="n"/>
      <c r="G8080" s="14" t="n"/>
      <c r="H8080" s="14" t="n"/>
      <c r="I8080" s="14" t="n"/>
      <c r="J8080" s="14" t="n"/>
      <c r="K8080" s="53" t="inlineStr"/>
      <c r="L8080" s="53" t="inlineStr">
        <is>
          <t>Не определено</t>
        </is>
      </c>
      <c r="M8080" s="53" t="inlineStr"/>
      <c r="N8080" s="54" t="inlineStr"/>
      <c r="O8080" s="55" t="inlineStr"/>
      <c r="P8080" s="16" t="inlineStr">
        <is>
          <t>Требует обогащения</t>
        </is>
      </c>
      <c r="Q8080" s="16">
        <f>HYPERLINK("https://pb.nalog.ru/search.html?query=5040039405","ФНС: проверить")</f>
        <v/>
      </c>
      <c r="R8080" s="16">
        <f>HYPERLINK("https://checko.ru/search?query=3801001629","Чекко: проверить")</f>
        <v/>
      </c>
      <c r="S8080" t="n">
        <v>1</v>
      </c>
      <c r="T8080" s="35" t="inlineStr">
        <is>
          <t>4 — Не обогащён</t>
        </is>
      </c>
      <c r="U8080" s="35" t="inlineStr">
        <is>
          <t>Нет ОКВЭД/ССЧР</t>
        </is>
      </c>
      <c r="V8080" s="35" t="inlineStr">
        <is>
          <t>Не определено</t>
        </is>
      </c>
      <c r="W8080" s="35" t="inlineStr"/>
      <c r="X8080" s="35" t="inlineStr"/>
    </row>
    <row r="8081" ht="15" customHeight="1" s="24">
      <c r="A8081" s="13" t="n">
        <v>5000121973</v>
      </c>
      <c r="B8081" s="13" t="inlineStr">
        <is>
          <t>МОУ СОШ № 25</t>
        </is>
      </c>
      <c r="C8081" s="13" t="n">
        <v>5040040721</v>
      </c>
      <c r="D8081" s="13" t="inlineStr">
        <is>
          <t>5040040721</t>
        </is>
      </c>
      <c r="E8081" s="13" t="inlineStr">
        <is>
          <t>ЮЛ РФ</t>
        </is>
      </c>
      <c r="F8081" s="13" t="n"/>
      <c r="G8081" s="14" t="n"/>
      <c r="H8081" s="14" t="n"/>
      <c r="I8081" s="14" t="n"/>
      <c r="J8081" s="14" t="n"/>
      <c r="K8081" s="53" t="inlineStr"/>
      <c r="L8081" s="53" t="inlineStr">
        <is>
          <t>Не определено</t>
        </is>
      </c>
      <c r="M8081" s="53" t="inlineStr"/>
      <c r="N8081" s="54" t="inlineStr"/>
      <c r="O8081" s="55" t="inlineStr"/>
      <c r="P8081" s="16" t="inlineStr">
        <is>
          <t>Требует обогащения</t>
        </is>
      </c>
      <c r="Q8081" s="16">
        <f>HYPERLINK("https://pb.nalog.ru/search.html?query=5040040721","ФНС: проверить")</f>
        <v/>
      </c>
      <c r="R8081" s="16">
        <f>HYPERLINK("https://checko.ru/search?query=3801001629","Чекко: проверить")</f>
        <v/>
      </c>
      <c r="S8081" t="n">
        <v>1</v>
      </c>
      <c r="T8081" s="35" t="inlineStr">
        <is>
          <t>4 — Не обогащён</t>
        </is>
      </c>
      <c r="U8081" s="35" t="inlineStr">
        <is>
          <t>Нет ОКВЭД/ССЧР</t>
        </is>
      </c>
      <c r="V8081" s="35" t="inlineStr">
        <is>
          <t>Не определено</t>
        </is>
      </c>
      <c r="W8081" s="35" t="inlineStr"/>
      <c r="X8081" s="35" t="inlineStr"/>
    </row>
    <row r="8082" ht="15" customHeight="1" s="24">
      <c r="A8082" s="13" t="n">
        <v>5000121974</v>
      </c>
      <c r="B8082" s="13" t="inlineStr">
        <is>
          <t>МОУ "ИЛЬИНСКАЯ СРЕДНЯЯ ШКОЛА № 26"</t>
        </is>
      </c>
      <c r="C8082" s="13" t="n">
        <v>5040040263</v>
      </c>
      <c r="D8082" s="13" t="inlineStr">
        <is>
          <t>5040040263</t>
        </is>
      </c>
      <c r="E8082" s="13" t="inlineStr">
        <is>
          <t>ЮЛ РФ</t>
        </is>
      </c>
      <c r="F8082" s="13" t="n"/>
      <c r="G8082" s="14" t="n"/>
      <c r="H8082" s="14" t="n"/>
      <c r="I8082" s="14" t="n"/>
      <c r="J8082" s="14" t="n"/>
      <c r="K8082" s="53" t="inlineStr"/>
      <c r="L8082" s="53" t="inlineStr">
        <is>
          <t>Не определено</t>
        </is>
      </c>
      <c r="M8082" s="53" t="inlineStr"/>
      <c r="N8082" s="54" t="inlineStr"/>
      <c r="O8082" s="55" t="inlineStr"/>
      <c r="P8082" s="16" t="inlineStr">
        <is>
          <t>Требует обогащения</t>
        </is>
      </c>
      <c r="Q8082" s="16">
        <f>HYPERLINK("https://pb.nalog.ru/search.html?query=5040040263","ФНС: проверить")</f>
        <v/>
      </c>
      <c r="R8082" s="16">
        <f>HYPERLINK("https://checko.ru/search?query=3801001629","Чекко: проверить")</f>
        <v/>
      </c>
      <c r="S8082" t="n">
        <v>1</v>
      </c>
      <c r="T8082" s="35" t="inlineStr">
        <is>
          <t>4 — Не обогащён</t>
        </is>
      </c>
      <c r="U8082" s="35" t="inlineStr">
        <is>
          <t>Нет ОКВЭД/ССЧР</t>
        </is>
      </c>
      <c r="V8082" s="35" t="inlineStr">
        <is>
          <t>Не определено</t>
        </is>
      </c>
      <c r="W8082" s="35" t="inlineStr"/>
      <c r="X8082" s="35" t="inlineStr"/>
    </row>
    <row r="8083" ht="15" customHeight="1" s="24">
      <c r="A8083" s="13" t="n">
        <v>5000121976</v>
      </c>
      <c r="B8083" s="13" t="inlineStr">
        <is>
          <t>МОУ РАМЕНСКАЯ СОШ № 35</t>
        </is>
      </c>
      <c r="C8083" s="13" t="n">
        <v>5040174556</v>
      </c>
      <c r="D8083" s="13" t="inlineStr">
        <is>
          <t>5040174556</t>
        </is>
      </c>
      <c r="E8083" s="13" t="inlineStr">
        <is>
          <t>ЮЛ РФ</t>
        </is>
      </c>
      <c r="F8083" s="13" t="n"/>
      <c r="G8083" s="14" t="n"/>
      <c r="H8083" s="14" t="n"/>
      <c r="I8083" s="14" t="n"/>
      <c r="J8083" s="14" t="n"/>
      <c r="K8083" s="53" t="inlineStr"/>
      <c r="L8083" s="53" t="inlineStr">
        <is>
          <t>Не определено</t>
        </is>
      </c>
      <c r="M8083" s="53" t="inlineStr"/>
      <c r="N8083" s="54" t="inlineStr"/>
      <c r="O8083" s="55" t="inlineStr"/>
      <c r="P8083" s="16" t="inlineStr">
        <is>
          <t>Требует обогащения</t>
        </is>
      </c>
      <c r="Q8083" s="16">
        <f>HYPERLINK("https://pb.nalog.ru/search.html?query=5040174556","ФНС: проверить")</f>
        <v/>
      </c>
      <c r="R8083" s="16">
        <f>HYPERLINK("https://checko.ru/search?query=3801001629","Чекко: проверить")</f>
        <v/>
      </c>
      <c r="S8083" t="n">
        <v>1</v>
      </c>
      <c r="T8083" s="35" t="inlineStr">
        <is>
          <t>4 — Не обогащён</t>
        </is>
      </c>
      <c r="U8083" s="35" t="inlineStr">
        <is>
          <t>Нет ОКВЭД/ССЧР</t>
        </is>
      </c>
      <c r="V8083" s="35" t="inlineStr">
        <is>
          <t>Не определено</t>
        </is>
      </c>
      <c r="W8083" s="35" t="inlineStr"/>
      <c r="X8083" s="35" t="inlineStr"/>
    </row>
    <row r="8084" ht="15" customHeight="1" s="24">
      <c r="A8084" s="13" t="n">
        <v>5000121977</v>
      </c>
      <c r="B8084" s="13" t="inlineStr">
        <is>
          <t>Кратовская средняя школа №98</t>
        </is>
      </c>
      <c r="C8084" s="13" t="n">
        <v>5040014915</v>
      </c>
      <c r="D8084" s="13" t="inlineStr">
        <is>
          <t>5040014915</t>
        </is>
      </c>
      <c r="E8084" s="13" t="inlineStr">
        <is>
          <t>ЮЛ РФ</t>
        </is>
      </c>
      <c r="F8084" s="13" t="n"/>
      <c r="G8084" s="14" t="n"/>
      <c r="H8084" s="14" t="n"/>
      <c r="I8084" s="14" t="n"/>
      <c r="J8084" s="14" t="n"/>
      <c r="K8084" s="53" t="inlineStr"/>
      <c r="L8084" s="53" t="inlineStr">
        <is>
          <t>Не определено</t>
        </is>
      </c>
      <c r="M8084" s="53" t="inlineStr"/>
      <c r="N8084" s="54" t="inlineStr"/>
      <c r="O8084" s="55" t="inlineStr"/>
      <c r="P8084" s="16" t="inlineStr">
        <is>
          <t>Требует обогащения</t>
        </is>
      </c>
      <c r="Q8084" s="16">
        <f>HYPERLINK("https://pb.nalog.ru/search.html?query=5040014915","ФНС: проверить")</f>
        <v/>
      </c>
      <c r="R8084" s="16">
        <f>HYPERLINK("https://checko.ru/search?query=3801001629","Чекко: проверить")</f>
        <v/>
      </c>
      <c r="S8084" t="n">
        <v>1</v>
      </c>
      <c r="T8084" s="35" t="inlineStr">
        <is>
          <t>4 — Не обогащён</t>
        </is>
      </c>
      <c r="U8084" s="35" t="inlineStr">
        <is>
          <t>Нет ОКВЭД/ССЧР</t>
        </is>
      </c>
      <c r="V8084" s="35" t="inlineStr">
        <is>
          <t>Не определено</t>
        </is>
      </c>
      <c r="W8084" s="35" t="inlineStr"/>
      <c r="X8084" s="35" t="inlineStr"/>
    </row>
    <row r="8085" ht="15" customHeight="1" s="24">
      <c r="A8085" s="13" t="n">
        <v>5000121978</v>
      </c>
      <c r="B8085" s="13" t="inlineStr">
        <is>
          <t>Гжельская средняя школа</t>
        </is>
      </c>
      <c r="C8085" s="13" t="n">
        <v>5040040633</v>
      </c>
      <c r="D8085" s="13" t="inlineStr">
        <is>
          <t>5040040633</t>
        </is>
      </c>
      <c r="E8085" s="13" t="inlineStr">
        <is>
          <t>ЮЛ РФ</t>
        </is>
      </c>
      <c r="F8085" s="13" t="n"/>
      <c r="G8085" s="14" t="n"/>
      <c r="H8085" s="14" t="n"/>
      <c r="I8085" s="14" t="n"/>
      <c r="J8085" s="14" t="n"/>
      <c r="K8085" s="53" t="inlineStr"/>
      <c r="L8085" s="53" t="inlineStr">
        <is>
          <t>Не определено</t>
        </is>
      </c>
      <c r="M8085" s="53" t="inlineStr"/>
      <c r="N8085" s="54" t="inlineStr"/>
      <c r="O8085" s="55" t="inlineStr"/>
      <c r="P8085" s="16" t="inlineStr">
        <is>
          <t>Требует обогащения</t>
        </is>
      </c>
      <c r="Q8085" s="16">
        <f>HYPERLINK("https://pb.nalog.ru/search.html?query=5040040633","ФНС: проверить")</f>
        <v/>
      </c>
      <c r="R8085" s="16">
        <f>HYPERLINK("https://checko.ru/search?query=3801001629","Чекко: проверить")</f>
        <v/>
      </c>
      <c r="S8085" t="n">
        <v>1</v>
      </c>
      <c r="T8085" s="35" t="inlineStr">
        <is>
          <t>4 — Не обогащён</t>
        </is>
      </c>
      <c r="U8085" s="35" t="inlineStr">
        <is>
          <t>Нет ОКВЭД/ССЧР</t>
        </is>
      </c>
      <c r="V8085" s="35" t="inlineStr">
        <is>
          <t>Не определено</t>
        </is>
      </c>
      <c r="W8085" s="35" t="inlineStr"/>
      <c r="X8085" s="35" t="inlineStr"/>
    </row>
    <row r="8086" ht="15" customHeight="1" s="24">
      <c r="A8086" s="13" t="n">
        <v>5000121979</v>
      </c>
      <c r="B8086" s="13" t="inlineStr">
        <is>
          <t>МОУ Заворовская СОШ</t>
        </is>
      </c>
      <c r="C8086" s="13" t="n">
        <v>5040039282</v>
      </c>
      <c r="D8086" s="13" t="inlineStr">
        <is>
          <t>5040039282</t>
        </is>
      </c>
      <c r="E8086" s="13" t="inlineStr">
        <is>
          <t>ЮЛ РФ</t>
        </is>
      </c>
      <c r="F8086" s="13" t="n"/>
      <c r="G8086" s="14" t="n"/>
      <c r="H8086" s="14" t="n"/>
      <c r="I8086" s="14" t="n"/>
      <c r="J8086" s="14" t="n"/>
      <c r="K8086" s="53" t="inlineStr"/>
      <c r="L8086" s="53" t="inlineStr">
        <is>
          <t>Не определено</t>
        </is>
      </c>
      <c r="M8086" s="53" t="inlineStr"/>
      <c r="N8086" s="54" t="inlineStr"/>
      <c r="O8086" s="55" t="inlineStr"/>
      <c r="P8086" s="16" t="inlineStr">
        <is>
          <t>Требует обогащения</t>
        </is>
      </c>
      <c r="Q8086" s="16">
        <f>HYPERLINK("https://pb.nalog.ru/search.html?query=5040039282","ФНС: проверить")</f>
        <v/>
      </c>
      <c r="R8086" s="16">
        <f>HYPERLINK("https://checko.ru/search?query=3801001629","Чекко: проверить")</f>
        <v/>
      </c>
      <c r="S8086" t="n">
        <v>1</v>
      </c>
      <c r="T8086" s="35" t="inlineStr">
        <is>
          <t>4 — Не обогащён</t>
        </is>
      </c>
      <c r="U8086" s="35" t="inlineStr">
        <is>
          <t>Нет ОКВЭД/ССЧР</t>
        </is>
      </c>
      <c r="V8086" s="35" t="inlineStr">
        <is>
          <t>Не определено</t>
        </is>
      </c>
      <c r="W8086" s="35" t="inlineStr"/>
      <c r="X8086" s="35" t="inlineStr"/>
    </row>
    <row r="8087" ht="15" customHeight="1" s="24">
      <c r="A8087" s="13" t="n">
        <v>5000121980</v>
      </c>
      <c r="B8087" s="13" t="inlineStr">
        <is>
          <t>МОУ КОНСТАНТИНОВСКАЯ СОШ</t>
        </is>
      </c>
      <c r="C8087" s="13" t="n">
        <v>5040040175</v>
      </c>
      <c r="D8087" s="13" t="inlineStr">
        <is>
          <t>5040040175</t>
        </is>
      </c>
      <c r="E8087" s="13" t="inlineStr">
        <is>
          <t>ЮЛ РФ</t>
        </is>
      </c>
      <c r="F8087" s="13" t="n"/>
      <c r="G8087" s="14" t="n"/>
      <c r="H8087" s="14" t="n"/>
      <c r="I8087" s="14" t="n"/>
      <c r="J8087" s="14" t="n"/>
      <c r="K8087" s="53" t="inlineStr"/>
      <c r="L8087" s="53" t="inlineStr">
        <is>
          <t>Не определено</t>
        </is>
      </c>
      <c r="M8087" s="53" t="inlineStr"/>
      <c r="N8087" s="54" t="inlineStr"/>
      <c r="O8087" s="55" t="inlineStr"/>
      <c r="P8087" s="16" t="inlineStr">
        <is>
          <t>Требует обогащения</t>
        </is>
      </c>
      <c r="Q8087" s="16">
        <f>HYPERLINK("https://pb.nalog.ru/search.html?query=5040040175","ФНС: проверить")</f>
        <v/>
      </c>
      <c r="R8087" s="16">
        <f>HYPERLINK("https://checko.ru/search?query=3801001629","Чекко: проверить")</f>
        <v/>
      </c>
      <c r="S8087" t="n">
        <v>1</v>
      </c>
      <c r="T8087" s="35" t="inlineStr">
        <is>
          <t>4 — Не обогащён</t>
        </is>
      </c>
      <c r="U8087" s="35" t="inlineStr">
        <is>
          <t>Нет ОКВЭД/ССЧР</t>
        </is>
      </c>
      <c r="V8087" s="35" t="inlineStr">
        <is>
          <t>Не определено</t>
        </is>
      </c>
      <c r="W8087" s="35" t="inlineStr"/>
      <c r="X8087" s="35" t="inlineStr"/>
    </row>
    <row r="8088" ht="15" customHeight="1" s="24">
      <c r="A8088" s="13" t="n">
        <v>5000121981</v>
      </c>
      <c r="B8088" s="13" t="inlineStr">
        <is>
          <t>МОУ НИКИТСКАЯ СОШ</t>
        </is>
      </c>
      <c r="C8088" s="13" t="n">
        <v>5040039388</v>
      </c>
      <c r="D8088" s="13" t="inlineStr">
        <is>
          <t>5040039388</t>
        </is>
      </c>
      <c r="E8088" s="13" t="inlineStr">
        <is>
          <t>ЮЛ РФ</t>
        </is>
      </c>
      <c r="F8088" s="13" t="n"/>
      <c r="G8088" s="14" t="n"/>
      <c r="H8088" s="14" t="n"/>
      <c r="I8088" s="14" t="n"/>
      <c r="J8088" s="14" t="n"/>
      <c r="K8088" s="53" t="inlineStr"/>
      <c r="L8088" s="53" t="inlineStr">
        <is>
          <t>Не определено</t>
        </is>
      </c>
      <c r="M8088" s="53" t="inlineStr"/>
      <c r="N8088" s="54" t="inlineStr"/>
      <c r="O8088" s="55" t="inlineStr"/>
      <c r="P8088" s="16" t="inlineStr">
        <is>
          <t>Требует обогащения</t>
        </is>
      </c>
      <c r="Q8088" s="16">
        <f>HYPERLINK("https://pb.nalog.ru/search.html?query=5040039388","ФНС: проверить")</f>
        <v/>
      </c>
      <c r="R8088" s="16">
        <f>HYPERLINK("https://checko.ru/search?query=3801001629","Чекко: проверить")</f>
        <v/>
      </c>
      <c r="S8088" t="n">
        <v>1</v>
      </c>
      <c r="T8088" s="35" t="inlineStr">
        <is>
          <t>4 — Не обогащён</t>
        </is>
      </c>
      <c r="U8088" s="35" t="inlineStr">
        <is>
          <t>Нет ОКВЭД/ССЧР</t>
        </is>
      </c>
      <c r="V8088" s="35" t="inlineStr">
        <is>
          <t>Не определено</t>
        </is>
      </c>
      <c r="W8088" s="35" t="inlineStr"/>
      <c r="X8088" s="35" t="inlineStr"/>
    </row>
    <row r="8089" ht="27.75" customHeight="1" s="24">
      <c r="A8089" s="13" t="n">
        <v>5000121982</v>
      </c>
      <c r="B8089" s="13" t="inlineStr">
        <is>
          <t>СОФЬИНСКАЯ СРЕДНЯЯ ОБЩЕОБРАЗОВАТЕЛЬНАЯ ШКОЛА</t>
        </is>
      </c>
      <c r="C8089" s="13" t="n">
        <v>5040039412</v>
      </c>
      <c r="D8089" s="13" t="inlineStr">
        <is>
          <t>5040039412</t>
        </is>
      </c>
      <c r="E8089" s="13" t="inlineStr">
        <is>
          <t>ЮЛ РФ</t>
        </is>
      </c>
      <c r="F8089" s="13" t="n"/>
      <c r="G8089" s="14" t="n"/>
      <c r="H8089" s="14" t="n"/>
      <c r="I8089" s="14" t="n"/>
      <c r="J8089" s="14" t="n"/>
      <c r="K8089" s="53" t="inlineStr"/>
      <c r="L8089" s="53" t="inlineStr">
        <is>
          <t>Не определено</t>
        </is>
      </c>
      <c r="M8089" s="53" t="inlineStr"/>
      <c r="N8089" s="54" t="inlineStr"/>
      <c r="O8089" s="55" t="inlineStr"/>
      <c r="P8089" s="16" t="inlineStr">
        <is>
          <t>Требует обогащения</t>
        </is>
      </c>
      <c r="Q8089" s="16">
        <f>HYPERLINK("https://pb.nalog.ru/search.html?query=5040039412","ФНС: проверить")</f>
        <v/>
      </c>
      <c r="R8089" s="16">
        <f>HYPERLINK("https://checko.ru/search?query=3801001629","Чекко: проверить")</f>
        <v/>
      </c>
      <c r="S8089" t="n">
        <v>1</v>
      </c>
      <c r="T8089" s="35" t="inlineStr">
        <is>
          <t>4 — Не обогащён</t>
        </is>
      </c>
      <c r="U8089" s="35" t="inlineStr">
        <is>
          <t>Нет ОКВЭД/ССЧР</t>
        </is>
      </c>
      <c r="V8089" s="35" t="inlineStr">
        <is>
          <t>Не определено</t>
        </is>
      </c>
      <c r="W8089" s="35" t="inlineStr"/>
      <c r="X8089" s="35" t="inlineStr"/>
    </row>
    <row r="8090" ht="15" customHeight="1" s="24">
      <c r="A8090" s="13" t="n">
        <v>5000121983</v>
      </c>
      <c r="B8090" s="13" t="inlineStr">
        <is>
          <t>МОУ ЮРОВСКАЯ ШКОЛА-ИНТЕРНАТ</t>
        </is>
      </c>
      <c r="C8090" s="13" t="n">
        <v>5040045776</v>
      </c>
      <c r="D8090" s="13" t="inlineStr">
        <is>
          <t>5040045776</t>
        </is>
      </c>
      <c r="E8090" s="13" t="inlineStr">
        <is>
          <t>ЮЛ РФ</t>
        </is>
      </c>
      <c r="F8090" s="13" t="n"/>
      <c r="G8090" s="14" t="n"/>
      <c r="H8090" s="14" t="n"/>
      <c r="I8090" s="14" t="n"/>
      <c r="J8090" s="14" t="n"/>
      <c r="K8090" s="53" t="inlineStr"/>
      <c r="L8090" s="53" t="inlineStr">
        <is>
          <t>Не определено</t>
        </is>
      </c>
      <c r="M8090" s="53" t="inlineStr"/>
      <c r="N8090" s="54" t="inlineStr"/>
      <c r="O8090" s="55" t="inlineStr"/>
      <c r="P8090" s="16" t="inlineStr">
        <is>
          <t>Требует обогащения</t>
        </is>
      </c>
      <c r="Q8090" s="16">
        <f>HYPERLINK("https://pb.nalog.ru/search.html?query=5040045776","ФНС: проверить")</f>
        <v/>
      </c>
      <c r="R8090" s="16">
        <f>HYPERLINK("https://checko.ru/search?query=3801001629","Чекко: проверить")</f>
        <v/>
      </c>
      <c r="S8090" t="n">
        <v>1</v>
      </c>
      <c r="T8090" s="35" t="inlineStr">
        <is>
          <t>4 — Не обогащён</t>
        </is>
      </c>
      <c r="U8090" s="35" t="inlineStr">
        <is>
          <t>Нет ОКВЭД/ССЧР</t>
        </is>
      </c>
      <c r="V8090" s="35" t="inlineStr">
        <is>
          <t>Не определено</t>
        </is>
      </c>
      <c r="W8090" s="35" t="inlineStr"/>
      <c r="X8090" s="35" t="inlineStr"/>
    </row>
    <row r="8091" ht="15" customHeight="1" s="24">
      <c r="A8091" s="13" t="n">
        <v>5000121984</v>
      </c>
      <c r="B8091" s="13" t="inlineStr">
        <is>
          <t>МОУ УДЕЛЬНИНСКАЯ ШКОЛА-ИНТЕРНАТ</t>
        </is>
      </c>
      <c r="C8091" s="13" t="n">
        <v>5040046096</v>
      </c>
      <c r="D8091" s="13" t="inlineStr">
        <is>
          <t>5040046096</t>
        </is>
      </c>
      <c r="E8091" s="13" t="inlineStr">
        <is>
          <t>ЮЛ РФ</t>
        </is>
      </c>
      <c r="F8091" s="13" t="n"/>
      <c r="G8091" s="14" t="n"/>
      <c r="H8091" s="14" t="n"/>
      <c r="I8091" s="14" t="n"/>
      <c r="J8091" s="14" t="n"/>
      <c r="K8091" s="53" t="inlineStr"/>
      <c r="L8091" s="53" t="inlineStr">
        <is>
          <t>Не определено</t>
        </is>
      </c>
      <c r="M8091" s="53" t="inlineStr"/>
      <c r="N8091" s="54" t="inlineStr"/>
      <c r="O8091" s="55" t="inlineStr"/>
      <c r="P8091" s="16" t="inlineStr">
        <is>
          <t>Требует обогащения</t>
        </is>
      </c>
      <c r="Q8091" s="16">
        <f>HYPERLINK("https://pb.nalog.ru/search.html?query=5040046096","ФНС: проверить")</f>
        <v/>
      </c>
      <c r="R8091" s="16">
        <f>HYPERLINK("https://checko.ru/search?query=3801001629","Чекко: проверить")</f>
        <v/>
      </c>
      <c r="S8091" t="n">
        <v>1</v>
      </c>
      <c r="T8091" s="35" t="inlineStr">
        <is>
          <t>4 — Не обогащён</t>
        </is>
      </c>
      <c r="U8091" s="35" t="inlineStr">
        <is>
          <t>Нет ОКВЭД/ССЧР</t>
        </is>
      </c>
      <c r="V8091" s="35" t="inlineStr">
        <is>
          <t>Не определено</t>
        </is>
      </c>
      <c r="W8091" s="35" t="inlineStr"/>
      <c r="X8091" s="35" t="inlineStr"/>
    </row>
    <row r="8092" ht="15" customHeight="1" s="24">
      <c r="A8092" s="13" t="n">
        <v>5000121985</v>
      </c>
      <c r="B8092" s="13" t="inlineStr">
        <is>
          <t>МБУ ЦЕНТР ППМСП "ДИАЛОГ"</t>
        </is>
      </c>
      <c r="C8092" s="13" t="n">
        <v>5040052903</v>
      </c>
      <c r="D8092" s="13" t="inlineStr">
        <is>
          <t>5040052903</t>
        </is>
      </c>
      <c r="E8092" s="13" t="inlineStr">
        <is>
          <t>ЮЛ РФ</t>
        </is>
      </c>
      <c r="F8092" s="13" t="n"/>
      <c r="G8092" s="14" t="n"/>
      <c r="H8092" s="14" t="n"/>
      <c r="I8092" s="14" t="n"/>
      <c r="J8092" s="14" t="n"/>
      <c r="K8092" s="53" t="inlineStr"/>
      <c r="L8092" s="53" t="inlineStr">
        <is>
          <t>Не определено</t>
        </is>
      </c>
      <c r="M8092" s="53" t="inlineStr"/>
      <c r="N8092" s="54" t="inlineStr"/>
      <c r="O8092" s="55" t="inlineStr"/>
      <c r="P8092" s="16" t="inlineStr">
        <is>
          <t>Требует обогащения</t>
        </is>
      </c>
      <c r="Q8092" s="16">
        <f>HYPERLINK("https://pb.nalog.ru/search.html?query=5040052903","ФНС: проверить")</f>
        <v/>
      </c>
      <c r="R8092" s="16">
        <f>HYPERLINK("https://checko.ru/search?query=3801001629","Чекко: проверить")</f>
        <v/>
      </c>
      <c r="S8092" t="n">
        <v>1</v>
      </c>
      <c r="T8092" s="35" t="inlineStr">
        <is>
          <t>4 — Не обогащён</t>
        </is>
      </c>
      <c r="U8092" s="35" t="inlineStr">
        <is>
          <t>Нет ОКВЭД/ССЧР</t>
        </is>
      </c>
      <c r="V8092" s="35" t="inlineStr">
        <is>
          <t>Не определено</t>
        </is>
      </c>
      <c r="W8092" s="35" t="inlineStr"/>
      <c r="X8092" s="35" t="inlineStr"/>
    </row>
    <row r="8093" ht="15" customHeight="1" s="24">
      <c r="A8093" s="13" t="n">
        <v>5000121987</v>
      </c>
      <c r="B8093" s="13" t="inlineStr">
        <is>
          <t>МУДО РАМЕНСКИЙ ЦРТДИЮ</t>
        </is>
      </c>
      <c r="C8093" s="13" t="n">
        <v>5040043063</v>
      </c>
      <c r="D8093" s="13" t="inlineStr">
        <is>
          <t>5040043063</t>
        </is>
      </c>
      <c r="E8093" s="13" t="inlineStr">
        <is>
          <t>ЮЛ РФ</t>
        </is>
      </c>
      <c r="F8093" s="13" t="n"/>
      <c r="G8093" s="14" t="n"/>
      <c r="H8093" s="14" t="n"/>
      <c r="I8093" s="14" t="n"/>
      <c r="J8093" s="14" t="n"/>
      <c r="K8093" s="53" t="inlineStr"/>
      <c r="L8093" s="53" t="inlineStr">
        <is>
          <t>Не определено</t>
        </is>
      </c>
      <c r="M8093" s="53" t="inlineStr"/>
      <c r="N8093" s="54" t="inlineStr"/>
      <c r="O8093" s="55" t="inlineStr"/>
      <c r="P8093" s="16" t="inlineStr">
        <is>
          <t>Требует обогащения</t>
        </is>
      </c>
      <c r="Q8093" s="16">
        <f>HYPERLINK("https://pb.nalog.ru/search.html?query=5040043063","ФНС: проверить")</f>
        <v/>
      </c>
      <c r="R8093" s="16">
        <f>HYPERLINK("https://checko.ru/search?query=3801001629","Чекко: проверить")</f>
        <v/>
      </c>
      <c r="S8093" t="n">
        <v>1</v>
      </c>
      <c r="T8093" s="35" t="inlineStr">
        <is>
          <t>4 — Не обогащён</t>
        </is>
      </c>
      <c r="U8093" s="35" t="inlineStr">
        <is>
          <t>Нет ОКВЭД/ССЧР</t>
        </is>
      </c>
      <c r="V8093" s="35" t="inlineStr">
        <is>
          <t>Не определено</t>
        </is>
      </c>
      <c r="W8093" s="35" t="inlineStr"/>
      <c r="X8093" s="35" t="inlineStr"/>
    </row>
    <row r="8094" ht="15" customHeight="1" s="24">
      <c r="A8094" s="13" t="n">
        <v>5000121988</v>
      </c>
      <c r="B8094" s="13" t="inlineStr">
        <is>
          <t>МУДО СШ "ПИОНЕР"</t>
        </is>
      </c>
      <c r="C8094" s="13" t="n">
        <v>5040044317</v>
      </c>
      <c r="D8094" s="13" t="inlineStr">
        <is>
          <t>5040044317</t>
        </is>
      </c>
      <c r="E8094" s="13" t="inlineStr">
        <is>
          <t>ЮЛ РФ</t>
        </is>
      </c>
      <c r="F8094" s="13" t="n"/>
      <c r="G8094" s="14" t="n"/>
      <c r="H8094" s="14" t="n"/>
      <c r="I8094" s="14" t="n"/>
      <c r="J8094" s="14" t="n"/>
      <c r="K8094" s="53" t="inlineStr"/>
      <c r="L8094" s="53" t="inlineStr">
        <is>
          <t>Не определено</t>
        </is>
      </c>
      <c r="M8094" s="53" t="inlineStr"/>
      <c r="N8094" s="54" t="inlineStr"/>
      <c r="O8094" s="55" t="inlineStr"/>
      <c r="P8094" s="16" t="inlineStr">
        <is>
          <t>Требует обогащения</t>
        </is>
      </c>
      <c r="Q8094" s="16">
        <f>HYPERLINK("https://pb.nalog.ru/search.html?query=5040044317","ФНС: проверить")</f>
        <v/>
      </c>
      <c r="R8094" s="16">
        <f>HYPERLINK("https://checko.ru/search?query=3801001629","Чекко: проверить")</f>
        <v/>
      </c>
      <c r="S8094" t="n">
        <v>1</v>
      </c>
      <c r="T8094" s="35" t="inlineStr">
        <is>
          <t>4 — Не обогащён</t>
        </is>
      </c>
      <c r="U8094" s="35" t="inlineStr">
        <is>
          <t>Нет ОКВЭД/ССЧР</t>
        </is>
      </c>
      <c r="V8094" s="35" t="inlineStr">
        <is>
          <t>Не определено</t>
        </is>
      </c>
      <c r="W8094" s="35" t="inlineStr"/>
      <c r="X8094" s="35" t="inlineStr"/>
    </row>
    <row r="8095" ht="15" customHeight="1" s="24">
      <c r="A8095" s="13" t="n">
        <v>5000121989</v>
      </c>
      <c r="B8095" s="13" t="inlineStr">
        <is>
          <t>МУДО СШ "СТАРТ"</t>
        </is>
      </c>
      <c r="C8095" s="13" t="n">
        <v>5040043120</v>
      </c>
      <c r="D8095" s="13" t="inlineStr">
        <is>
          <t>5040043120</t>
        </is>
      </c>
      <c r="E8095" s="13" t="inlineStr">
        <is>
          <t>ЮЛ РФ</t>
        </is>
      </c>
      <c r="F8095" s="13" t="n"/>
      <c r="G8095" s="14" t="n"/>
      <c r="H8095" s="14" t="n"/>
      <c r="I8095" s="14" t="n"/>
      <c r="J8095" s="14" t="n"/>
      <c r="K8095" s="53" t="inlineStr"/>
      <c r="L8095" s="53" t="inlineStr">
        <is>
          <t>Не определено</t>
        </is>
      </c>
      <c r="M8095" s="53" t="inlineStr"/>
      <c r="N8095" s="54" t="inlineStr"/>
      <c r="O8095" s="55" t="inlineStr"/>
      <c r="P8095" s="16" t="inlineStr">
        <is>
          <t>Требует обогащения</t>
        </is>
      </c>
      <c r="Q8095" s="16">
        <f>HYPERLINK("https://pb.nalog.ru/search.html?query=5040043120","ФНС: проверить")</f>
        <v/>
      </c>
      <c r="R8095" s="16">
        <f>HYPERLINK("https://checko.ru/search?query=3801001629","Чекко: проверить")</f>
        <v/>
      </c>
      <c r="S8095" t="n">
        <v>1</v>
      </c>
      <c r="T8095" s="35" t="inlineStr">
        <is>
          <t>4 — Не обогащён</t>
        </is>
      </c>
      <c r="U8095" s="35" t="inlineStr">
        <is>
          <t>Нет ОКВЭД/ССЧР</t>
        </is>
      </c>
      <c r="V8095" s="35" t="inlineStr">
        <is>
          <t>Не определено</t>
        </is>
      </c>
      <c r="W8095" s="35" t="inlineStr"/>
      <c r="X8095" s="35" t="inlineStr"/>
    </row>
    <row r="8096" ht="15" customHeight="1" s="24">
      <c r="A8096" s="13" t="n">
        <v>5000121991</v>
      </c>
      <c r="B8096" s="13" t="inlineStr">
        <is>
          <t>МУДО ЦХИ "ЮНОСТЬ РОССИИ"</t>
        </is>
      </c>
      <c r="C8096" s="13" t="n">
        <v>5040042158</v>
      </c>
      <c r="D8096" s="13" t="inlineStr">
        <is>
          <t>5040042158</t>
        </is>
      </c>
      <c r="E8096" s="13" t="inlineStr">
        <is>
          <t>ЮЛ РФ</t>
        </is>
      </c>
      <c r="F8096" s="13" t="n"/>
      <c r="G8096" s="14" t="n"/>
      <c r="H8096" s="14" t="n"/>
      <c r="I8096" s="14" t="n"/>
      <c r="J8096" s="14" t="n"/>
      <c r="K8096" s="53" t="inlineStr"/>
      <c r="L8096" s="53" t="inlineStr">
        <is>
          <t>Не определено</t>
        </is>
      </c>
      <c r="M8096" s="53" t="inlineStr"/>
      <c r="N8096" s="54" t="inlineStr"/>
      <c r="O8096" s="55" t="inlineStr"/>
      <c r="P8096" s="16" t="inlineStr">
        <is>
          <t>Требует обогащения</t>
        </is>
      </c>
      <c r="Q8096" s="16">
        <f>HYPERLINK("https://pb.nalog.ru/search.html?query=5040042158","ФНС: проверить")</f>
        <v/>
      </c>
      <c r="R8096" s="16">
        <f>HYPERLINK("https://checko.ru/search?query=3801001629","Чекко: проверить")</f>
        <v/>
      </c>
      <c r="S8096" t="n">
        <v>1</v>
      </c>
      <c r="T8096" s="35" t="inlineStr">
        <is>
          <t>4 — Не обогащён</t>
        </is>
      </c>
      <c r="U8096" s="35" t="inlineStr">
        <is>
          <t>Нет ОКВЭД/ССЧР</t>
        </is>
      </c>
      <c r="V8096" s="35" t="inlineStr">
        <is>
          <t>Не определено</t>
        </is>
      </c>
      <c r="W8096" s="35" t="inlineStr"/>
      <c r="X8096" s="35" t="inlineStr"/>
    </row>
    <row r="8097" ht="27.75" customHeight="1" s="24">
      <c r="A8097" s="13" t="n">
        <v>5000121998</v>
      </c>
      <c r="B8097" s="13" t="inlineStr">
        <is>
          <t>МКУ "МЦУР РАМЕНСКОГО МУНИЦИПАЛЬНОГО ОКРУГА"</t>
        </is>
      </c>
      <c r="C8097" s="13" t="n">
        <v>5040161780</v>
      </c>
      <c r="D8097" s="13" t="inlineStr">
        <is>
          <t>5040161780</t>
        </is>
      </c>
      <c r="E8097" s="13" t="inlineStr">
        <is>
          <t>ЮЛ РФ</t>
        </is>
      </c>
      <c r="F8097" s="13" t="n"/>
      <c r="G8097" s="14" t="n"/>
      <c r="H8097" s="14" t="n"/>
      <c r="I8097" s="14" t="n"/>
      <c r="J8097" s="14" t="n"/>
      <c r="K8097" s="53" t="inlineStr"/>
      <c r="L8097" s="53" t="inlineStr">
        <is>
          <t>Не определено</t>
        </is>
      </c>
      <c r="M8097" s="53" t="inlineStr"/>
      <c r="N8097" s="54" t="inlineStr"/>
      <c r="O8097" s="55" t="inlineStr"/>
      <c r="P8097" s="16" t="inlineStr">
        <is>
          <t>Требует обогащения</t>
        </is>
      </c>
      <c r="Q8097" s="16">
        <f>HYPERLINK("https://pb.nalog.ru/search.html?query=5040161780","ФНС: проверить")</f>
        <v/>
      </c>
      <c r="R8097" s="16">
        <f>HYPERLINK("https://checko.ru/search?query=3801001629","Чекко: проверить")</f>
        <v/>
      </c>
      <c r="S8097" t="n">
        <v>1</v>
      </c>
      <c r="T8097" s="35" t="inlineStr">
        <is>
          <t>4 — Не обогащён</t>
        </is>
      </c>
      <c r="U8097" s="35" t="inlineStr">
        <is>
          <t>Нет ОКВЭД/ССЧР</t>
        </is>
      </c>
      <c r="V8097" s="35" t="inlineStr">
        <is>
          <t>Не определено</t>
        </is>
      </c>
      <c r="W8097" s="35" t="inlineStr"/>
      <c r="X8097" s="35" t="inlineStr"/>
    </row>
    <row r="8098" ht="15" customHeight="1" s="24">
      <c r="A8098" s="13" t="n">
        <v>5000122002</v>
      </c>
      <c r="B8098" s="13" t="inlineStr">
        <is>
          <t>МКУ "ТУ "БЫКОВО"</t>
        </is>
      </c>
      <c r="C8098" s="13" t="n">
        <v>5040164212</v>
      </c>
      <c r="D8098" s="13" t="inlineStr">
        <is>
          <t>5040164212</t>
        </is>
      </c>
      <c r="E8098" s="13" t="inlineStr">
        <is>
          <t>ЮЛ РФ</t>
        </is>
      </c>
      <c r="F8098" s="13" t="n"/>
      <c r="G8098" s="14" t="n"/>
      <c r="H8098" s="14" t="n"/>
      <c r="I8098" s="14" t="n"/>
      <c r="J8098" s="14" t="n"/>
      <c r="K8098" s="53" t="inlineStr"/>
      <c r="L8098" s="53" t="inlineStr">
        <is>
          <t>Не определено</t>
        </is>
      </c>
      <c r="M8098" s="53" t="inlineStr"/>
      <c r="N8098" s="54" t="inlineStr"/>
      <c r="O8098" s="55" t="inlineStr"/>
      <c r="P8098" s="16" t="inlineStr">
        <is>
          <t>Требует обогащения</t>
        </is>
      </c>
      <c r="Q8098" s="16">
        <f>HYPERLINK("https://pb.nalog.ru/search.html?query=5040164212","ФНС: проверить")</f>
        <v/>
      </c>
      <c r="R8098" s="16">
        <f>HYPERLINK("https://checko.ru/search?query=3801001629","Чекко: проверить")</f>
        <v/>
      </c>
      <c r="S8098" t="n">
        <v>1</v>
      </c>
      <c r="T8098" s="35" t="inlineStr">
        <is>
          <t>4 — Не обогащён</t>
        </is>
      </c>
      <c r="U8098" s="35" t="inlineStr">
        <is>
          <t>Нет ОКВЭД/ССЧР</t>
        </is>
      </c>
      <c r="V8098" s="35" t="inlineStr">
        <is>
          <t>Не определено</t>
        </is>
      </c>
      <c r="W8098" s="35" t="inlineStr"/>
      <c r="X8098" s="35" t="inlineStr"/>
    </row>
    <row r="8099" ht="15" customHeight="1" s="24">
      <c r="A8099" s="13" t="n">
        <v>5000122003</v>
      </c>
      <c r="B8099" s="13" t="inlineStr">
        <is>
          <t>МКУ "ТУ ТРОИЦКОЕ"</t>
        </is>
      </c>
      <c r="C8099" s="13" t="n">
        <v>5040163956</v>
      </c>
      <c r="D8099" s="13" t="inlineStr">
        <is>
          <t>5040163956</t>
        </is>
      </c>
      <c r="E8099" s="13" t="inlineStr">
        <is>
          <t>ЮЛ РФ</t>
        </is>
      </c>
      <c r="F8099" s="13" t="n"/>
      <c r="G8099" s="14" t="n"/>
      <c r="H8099" s="14" t="n"/>
      <c r="I8099" s="14" t="n"/>
      <c r="J8099" s="14" t="n"/>
      <c r="K8099" s="53" t="inlineStr"/>
      <c r="L8099" s="53" t="inlineStr">
        <is>
          <t>Не определено</t>
        </is>
      </c>
      <c r="M8099" s="53" t="inlineStr"/>
      <c r="N8099" s="54" t="inlineStr"/>
      <c r="O8099" s="55" t="inlineStr"/>
      <c r="P8099" s="16" t="inlineStr">
        <is>
          <t>Требует обогащения</t>
        </is>
      </c>
      <c r="Q8099" s="16">
        <f>HYPERLINK("https://pb.nalog.ru/search.html?query=5040163956","ФНС: проверить")</f>
        <v/>
      </c>
      <c r="R8099" s="16">
        <f>HYPERLINK("https://checko.ru/search?query=3801001629","Чекко: проверить")</f>
        <v/>
      </c>
      <c r="S8099" t="n">
        <v>1</v>
      </c>
      <c r="T8099" s="35" t="inlineStr">
        <is>
          <t>4 — Не обогащён</t>
        </is>
      </c>
      <c r="U8099" s="35" t="inlineStr">
        <is>
          <t>Нет ОКВЭД/ССЧР</t>
        </is>
      </c>
      <c r="V8099" s="35" t="inlineStr">
        <is>
          <t>Не определено</t>
        </is>
      </c>
      <c r="W8099" s="35" t="inlineStr"/>
      <c r="X8099" s="35" t="inlineStr"/>
    </row>
    <row r="8100" ht="15" customHeight="1" s="24">
      <c r="A8100" s="13" t="n">
        <v>5000122004</v>
      </c>
      <c r="B8100" s="13" t="inlineStr">
        <is>
          <t>МКУ "ТУ КРАТОВО"</t>
        </is>
      </c>
      <c r="C8100" s="13" t="n">
        <v>5040163709</v>
      </c>
      <c r="D8100" s="13" t="inlineStr">
        <is>
          <t>5040163709</t>
        </is>
      </c>
      <c r="E8100" s="13" t="inlineStr">
        <is>
          <t>ЮЛ РФ</t>
        </is>
      </c>
      <c r="F8100" s="13" t="n"/>
      <c r="G8100" s="14" t="n"/>
      <c r="H8100" s="14" t="n"/>
      <c r="I8100" s="14" t="n"/>
      <c r="J8100" s="14" t="n"/>
      <c r="K8100" s="53" t="inlineStr"/>
      <c r="L8100" s="53" t="inlineStr">
        <is>
          <t>Не определено</t>
        </is>
      </c>
      <c r="M8100" s="53" t="inlineStr"/>
      <c r="N8100" s="54" t="inlineStr"/>
      <c r="O8100" s="55" t="inlineStr"/>
      <c r="P8100" s="16" t="inlineStr">
        <is>
          <t>Требует обогащения</t>
        </is>
      </c>
      <c r="Q8100" s="16">
        <f>HYPERLINK("https://pb.nalog.ru/search.html?query=5040163709","ФНС: проверить")</f>
        <v/>
      </c>
      <c r="R8100" s="16">
        <f>HYPERLINK("https://checko.ru/search?query=3801001629","Чекко: проверить")</f>
        <v/>
      </c>
      <c r="S8100" t="n">
        <v>1</v>
      </c>
      <c r="T8100" s="35" t="inlineStr">
        <is>
          <t>4 — Не обогащён</t>
        </is>
      </c>
      <c r="U8100" s="35" t="inlineStr">
        <is>
          <t>Нет ОКВЭД/ССЧР</t>
        </is>
      </c>
      <c r="V8100" s="35" t="inlineStr">
        <is>
          <t>Не определено</t>
        </is>
      </c>
      <c r="W8100" s="35" t="inlineStr"/>
      <c r="X8100" s="35" t="inlineStr"/>
    </row>
    <row r="8101" ht="15" customHeight="1" s="24">
      <c r="A8101" s="13" t="n">
        <v>5000122005</v>
      </c>
      <c r="B8101" s="13" t="inlineStr">
        <is>
          <t>МКУ "ТУ КУЗНЕЦОВСКОЕ"</t>
        </is>
      </c>
      <c r="C8101" s="13" t="n">
        <v>5040164269</v>
      </c>
      <c r="D8101" s="13" t="inlineStr">
        <is>
          <t>5040164269</t>
        </is>
      </c>
      <c r="E8101" s="13" t="inlineStr">
        <is>
          <t>ЮЛ РФ</t>
        </is>
      </c>
      <c r="F8101" s="13" t="n"/>
      <c r="G8101" s="14" t="n"/>
      <c r="H8101" s="14" t="n"/>
      <c r="I8101" s="14" t="n"/>
      <c r="J8101" s="14" t="n"/>
      <c r="K8101" s="53" t="inlineStr"/>
      <c r="L8101" s="53" t="inlineStr">
        <is>
          <t>Не определено</t>
        </is>
      </c>
      <c r="M8101" s="53" t="inlineStr"/>
      <c r="N8101" s="54" t="inlineStr"/>
      <c r="O8101" s="55" t="inlineStr"/>
      <c r="P8101" s="16" t="inlineStr">
        <is>
          <t>Требует обогащения</t>
        </is>
      </c>
      <c r="Q8101" s="16">
        <f>HYPERLINK("https://pb.nalog.ru/search.html?query=5040164269","ФНС: проверить")</f>
        <v/>
      </c>
      <c r="R8101" s="16">
        <f>HYPERLINK("https://checko.ru/search?query=3801001629","Чекко: проверить")</f>
        <v/>
      </c>
      <c r="S8101" t="n">
        <v>1</v>
      </c>
      <c r="T8101" s="35" t="inlineStr">
        <is>
          <t>4 — Не обогащён</t>
        </is>
      </c>
      <c r="U8101" s="35" t="inlineStr">
        <is>
          <t>Нет ОКВЭД/ССЧР</t>
        </is>
      </c>
      <c r="V8101" s="35" t="inlineStr">
        <is>
          <t>Не определено</t>
        </is>
      </c>
      <c r="W8101" s="35" t="inlineStr"/>
      <c r="X8101" s="35" t="inlineStr"/>
    </row>
    <row r="8102" ht="15" customHeight="1" s="24">
      <c r="A8102" s="13" t="n">
        <v>5000122007</v>
      </c>
      <c r="B8102" s="13" t="inlineStr">
        <is>
          <t>МКУ "ТУ РЫБОЛОВСКОЕ"</t>
        </is>
      </c>
      <c r="C8102" s="13" t="n">
        <v>5040164170</v>
      </c>
      <c r="D8102" s="13" t="inlineStr">
        <is>
          <t>5040164170</t>
        </is>
      </c>
      <c r="E8102" s="13" t="inlineStr">
        <is>
          <t>ЮЛ РФ</t>
        </is>
      </c>
      <c r="F8102" s="13" t="n"/>
      <c r="G8102" s="14" t="n"/>
      <c r="H8102" s="14" t="n"/>
      <c r="I8102" s="14" t="n"/>
      <c r="J8102" s="14" t="n"/>
      <c r="K8102" s="53" t="inlineStr"/>
      <c r="L8102" s="53" t="inlineStr">
        <is>
          <t>Не определено</t>
        </is>
      </c>
      <c r="M8102" s="53" t="inlineStr"/>
      <c r="N8102" s="54" t="inlineStr"/>
      <c r="O8102" s="55" t="inlineStr"/>
      <c r="P8102" s="16" t="inlineStr">
        <is>
          <t>Требует обогащения</t>
        </is>
      </c>
      <c r="Q8102" s="16">
        <f>HYPERLINK("https://pb.nalog.ru/search.html?query=5040164170","ФНС: проверить")</f>
        <v/>
      </c>
      <c r="R8102" s="16">
        <f>HYPERLINK("https://checko.ru/search?query=3801001629","Чекко: проверить")</f>
        <v/>
      </c>
      <c r="S8102" t="n">
        <v>1</v>
      </c>
      <c r="T8102" s="35" t="inlineStr">
        <is>
          <t>4 — Не обогащён</t>
        </is>
      </c>
      <c r="U8102" s="35" t="inlineStr">
        <is>
          <t>Нет ОКВЭД/ССЧР</t>
        </is>
      </c>
      <c r="V8102" s="35" t="inlineStr">
        <is>
          <t>Не определено</t>
        </is>
      </c>
      <c r="W8102" s="35" t="inlineStr"/>
      <c r="X8102" s="35" t="inlineStr"/>
    </row>
    <row r="8103" ht="15" customHeight="1" s="24">
      <c r="A8103" s="13" t="n">
        <v>5000122009</v>
      </c>
      <c r="B8103" s="13" t="inlineStr">
        <is>
          <t>МКУ "ТУ УЛЬЯНИНСКОЕ"</t>
        </is>
      </c>
      <c r="C8103" s="13" t="n">
        <v>5040163748</v>
      </c>
      <c r="D8103" s="13" t="inlineStr">
        <is>
          <t>5040163748</t>
        </is>
      </c>
      <c r="E8103" s="13" t="inlineStr">
        <is>
          <t>ЮЛ РФ</t>
        </is>
      </c>
      <c r="F8103" s="13" t="n"/>
      <c r="G8103" s="14" t="n"/>
      <c r="H8103" s="14" t="n"/>
      <c r="I8103" s="14" t="n"/>
      <c r="J8103" s="14" t="n"/>
      <c r="K8103" s="53" t="inlineStr"/>
      <c r="L8103" s="53" t="inlineStr">
        <is>
          <t>Не определено</t>
        </is>
      </c>
      <c r="M8103" s="53" t="inlineStr"/>
      <c r="N8103" s="54" t="inlineStr"/>
      <c r="O8103" s="55" t="inlineStr"/>
      <c r="P8103" s="16" t="inlineStr">
        <is>
          <t>Требует обогащения</t>
        </is>
      </c>
      <c r="Q8103" s="16">
        <f>HYPERLINK("https://pb.nalog.ru/search.html?query=5040163748","ФНС: проверить")</f>
        <v/>
      </c>
      <c r="R8103" s="16">
        <f>HYPERLINK("https://checko.ru/search?query=3801001629","Чекко: проверить")</f>
        <v/>
      </c>
      <c r="S8103" t="n">
        <v>1</v>
      </c>
      <c r="T8103" s="35" t="inlineStr">
        <is>
          <t>4 — Не обогащён</t>
        </is>
      </c>
      <c r="U8103" s="35" t="inlineStr">
        <is>
          <t>Нет ОКВЭД/ССЧР</t>
        </is>
      </c>
      <c r="V8103" s="35" t="inlineStr">
        <is>
          <t>Не определено</t>
        </is>
      </c>
      <c r="W8103" s="35" t="inlineStr"/>
      <c r="X8103" s="35" t="inlineStr"/>
    </row>
    <row r="8104" ht="15" customHeight="1" s="24">
      <c r="A8104" s="13" t="n">
        <v>5000122010</v>
      </c>
      <c r="B8104" s="13" t="inlineStr">
        <is>
          <t>МКУ "ТУ ЧУЛКОВСКОЕ"</t>
        </is>
      </c>
      <c r="C8104" s="13" t="n">
        <v>5040163995</v>
      </c>
      <c r="D8104" s="13" t="inlineStr">
        <is>
          <t>5040163995</t>
        </is>
      </c>
      <c r="E8104" s="13" t="inlineStr">
        <is>
          <t>ЮЛ РФ</t>
        </is>
      </c>
      <c r="F8104" s="13" t="n"/>
      <c r="G8104" s="14" t="n"/>
      <c r="H8104" s="14" t="n"/>
      <c r="I8104" s="14" t="n"/>
      <c r="J8104" s="14" t="n"/>
      <c r="K8104" s="53" t="inlineStr"/>
      <c r="L8104" s="53" t="inlineStr">
        <is>
          <t>Не определено</t>
        </is>
      </c>
      <c r="M8104" s="53" t="inlineStr"/>
      <c r="N8104" s="54" t="inlineStr"/>
      <c r="O8104" s="55" t="inlineStr"/>
      <c r="P8104" s="16" t="inlineStr">
        <is>
          <t>Требует обогащения</t>
        </is>
      </c>
      <c r="Q8104" s="16">
        <f>HYPERLINK("https://pb.nalog.ru/search.html?query=5040163995","ФНС: проверить")</f>
        <v/>
      </c>
      <c r="R8104" s="16">
        <f>HYPERLINK("https://checko.ru/search?query=3801001629","Чекко: проверить")</f>
        <v/>
      </c>
      <c r="S8104" t="n">
        <v>1</v>
      </c>
      <c r="T8104" s="35" t="inlineStr">
        <is>
          <t>4 — Не обогащён</t>
        </is>
      </c>
      <c r="U8104" s="35" t="inlineStr">
        <is>
          <t>Нет ОКВЭД/ССЧР</t>
        </is>
      </c>
      <c r="V8104" s="35" t="inlineStr">
        <is>
          <t>Не определено</t>
        </is>
      </c>
      <c r="W8104" s="35" t="inlineStr"/>
      <c r="X8104" s="35" t="inlineStr"/>
    </row>
    <row r="8105" ht="15" customHeight="1" s="24">
      <c r="A8105" s="13" t="n">
        <v>5000122011</v>
      </c>
      <c r="B8105" s="13" t="inlineStr">
        <is>
          <t>МКУ "ТУ ЮГО-ЗАПАДНОЕ"</t>
        </is>
      </c>
      <c r="C8105" s="13" t="n">
        <v>5040164244</v>
      </c>
      <c r="D8105" s="13" t="inlineStr">
        <is>
          <t>5040164244</t>
        </is>
      </c>
      <c r="E8105" s="13" t="inlineStr">
        <is>
          <t>ЮЛ РФ</t>
        </is>
      </c>
      <c r="F8105" s="13" t="n"/>
      <c r="G8105" s="14" t="n"/>
      <c r="H8105" s="14" t="n"/>
      <c r="I8105" s="14" t="n"/>
      <c r="J8105" s="14" t="n"/>
      <c r="K8105" s="53" t="inlineStr"/>
      <c r="L8105" s="53" t="inlineStr">
        <is>
          <t>Не определено</t>
        </is>
      </c>
      <c r="M8105" s="53" t="inlineStr"/>
      <c r="N8105" s="54" t="inlineStr"/>
      <c r="O8105" s="55" t="inlineStr"/>
      <c r="P8105" s="16" t="inlineStr">
        <is>
          <t>Требует обогащения</t>
        </is>
      </c>
      <c r="Q8105" s="16">
        <f>HYPERLINK("https://pb.nalog.ru/search.html?query=5040164244","ФНС: проверить")</f>
        <v/>
      </c>
      <c r="R8105" s="16">
        <f>HYPERLINK("https://checko.ru/search?query=3801001629","Чекко: проверить")</f>
        <v/>
      </c>
      <c r="S8105" t="n">
        <v>1</v>
      </c>
      <c r="T8105" s="35" t="inlineStr">
        <is>
          <t>4 — Не обогащён</t>
        </is>
      </c>
      <c r="U8105" s="35" t="inlineStr">
        <is>
          <t>Нет ОКВЭД/ССЧР</t>
        </is>
      </c>
      <c r="V8105" s="35" t="inlineStr">
        <is>
          <t>Не определено</t>
        </is>
      </c>
      <c r="W8105" s="35" t="inlineStr"/>
      <c r="X8105" s="35" t="inlineStr"/>
    </row>
    <row r="8106" ht="15" customHeight="1" s="24">
      <c r="A8106" s="13" t="n">
        <v>5000122012</v>
      </c>
      <c r="B8106" s="13" t="inlineStr">
        <is>
          <t>МКУ "ЦЕНТР ЗАКУПОК"</t>
        </is>
      </c>
      <c r="C8106" s="13" t="n">
        <v>5040136688</v>
      </c>
      <c r="D8106" s="13" t="inlineStr">
        <is>
          <t>5040136688</t>
        </is>
      </c>
      <c r="E8106" s="13" t="inlineStr">
        <is>
          <t>ЮЛ РФ</t>
        </is>
      </c>
      <c r="F8106" s="13" t="n"/>
      <c r="G8106" s="14" t="n"/>
      <c r="H8106" s="14" t="n"/>
      <c r="I8106" s="14" t="n"/>
      <c r="J8106" s="14" t="n"/>
      <c r="K8106" s="53" t="inlineStr"/>
      <c r="L8106" s="53" t="inlineStr">
        <is>
          <t>Не определено</t>
        </is>
      </c>
      <c r="M8106" s="53" t="inlineStr"/>
      <c r="N8106" s="54" t="inlineStr"/>
      <c r="O8106" s="55" t="inlineStr"/>
      <c r="P8106" s="16" t="inlineStr">
        <is>
          <t>Требует обогащения</t>
        </is>
      </c>
      <c r="Q8106" s="16">
        <f>HYPERLINK("https://pb.nalog.ru/search.html?query=5040136688","ФНС: проверить")</f>
        <v/>
      </c>
      <c r="R8106" s="16">
        <f>HYPERLINK("https://checko.ru/search?query=3801001629","Чекко: проверить")</f>
        <v/>
      </c>
      <c r="S8106" t="n">
        <v>1</v>
      </c>
      <c r="T8106" s="35" t="inlineStr">
        <is>
          <t>4 — Не обогащён</t>
        </is>
      </c>
      <c r="U8106" s="35" t="inlineStr">
        <is>
          <t>Нет ОКВЭД/ССЧР</t>
        </is>
      </c>
      <c r="V8106" s="35" t="inlineStr">
        <is>
          <t>Не определено</t>
        </is>
      </c>
      <c r="W8106" s="35" t="inlineStr"/>
      <c r="X8106" s="35" t="inlineStr"/>
    </row>
    <row r="8107" ht="27.75" customHeight="1" s="24">
      <c r="A8107" s="13" t="n">
        <v>5000122013</v>
      </c>
      <c r="B8107" s="13" t="inlineStr">
        <is>
          <t>МКУ "ЦОД ОМСУ РАМЕНСКОГО МУНИЦИПАЛЬНОГО ОКРУГА"</t>
        </is>
      </c>
      <c r="C8107" s="13" t="n">
        <v>5040137272</v>
      </c>
      <c r="D8107" s="13" t="inlineStr">
        <is>
          <t>5040137272</t>
        </is>
      </c>
      <c r="E8107" s="13" t="inlineStr">
        <is>
          <t>ЮЛ РФ</t>
        </is>
      </c>
      <c r="F8107" s="13" t="n"/>
      <c r="G8107" s="14" t="n"/>
      <c r="H8107" s="14" t="n"/>
      <c r="I8107" s="14" t="n"/>
      <c r="J8107" s="14" t="n"/>
      <c r="K8107" s="53" t="inlineStr"/>
      <c r="L8107" s="53" t="inlineStr">
        <is>
          <t>Не определено</t>
        </is>
      </c>
      <c r="M8107" s="53" t="inlineStr"/>
      <c r="N8107" s="54" t="inlineStr"/>
      <c r="O8107" s="55" t="inlineStr"/>
      <c r="P8107" s="16" t="inlineStr">
        <is>
          <t>Требует обогащения</t>
        </is>
      </c>
      <c r="Q8107" s="16">
        <f>HYPERLINK("https://pb.nalog.ru/search.html?query=5040137272","ФНС: проверить")</f>
        <v/>
      </c>
      <c r="R8107" s="16">
        <f>HYPERLINK("https://checko.ru/search?query=3801001629","Чекко: проверить")</f>
        <v/>
      </c>
      <c r="S8107" t="n">
        <v>1</v>
      </c>
      <c r="T8107" s="35" t="inlineStr">
        <is>
          <t>4 — Не обогащён</t>
        </is>
      </c>
      <c r="U8107" s="35" t="inlineStr">
        <is>
          <t>Нет ОКВЭД/ССЧР</t>
        </is>
      </c>
      <c r="V8107" s="35" t="inlineStr">
        <is>
          <t>Не определено</t>
        </is>
      </c>
      <c r="W8107" s="35" t="inlineStr"/>
      <c r="X8107" s="35" t="inlineStr"/>
    </row>
    <row r="8108" ht="15" customHeight="1" s="24">
      <c r="A8108" s="13" t="n">
        <v>5000122015</v>
      </c>
      <c r="B8108" s="13" t="inlineStr">
        <is>
          <t>МКУ "ТУ ГЖЕЛЬ"</t>
        </is>
      </c>
      <c r="C8108" s="13" t="n">
        <v>5040163579</v>
      </c>
      <c r="D8108" s="13" t="inlineStr">
        <is>
          <t>5040163579</t>
        </is>
      </c>
      <c r="E8108" s="13" t="inlineStr">
        <is>
          <t>ЮЛ РФ</t>
        </is>
      </c>
      <c r="F8108" s="13" t="n"/>
      <c r="G8108" s="14" t="n"/>
      <c r="H8108" s="14" t="n"/>
      <c r="I8108" s="14" t="n"/>
      <c r="J8108" s="14" t="n"/>
      <c r="K8108" s="53" t="inlineStr"/>
      <c r="L8108" s="53" t="inlineStr">
        <is>
          <t>Не определено</t>
        </is>
      </c>
      <c r="M8108" s="53" t="inlineStr"/>
      <c r="N8108" s="54" t="inlineStr"/>
      <c r="O8108" s="55" t="inlineStr"/>
      <c r="P8108" s="16" t="inlineStr">
        <is>
          <t>Требует обогащения</t>
        </is>
      </c>
      <c r="Q8108" s="16">
        <f>HYPERLINK("https://pb.nalog.ru/search.html?query=5040163579","ФНС: проверить")</f>
        <v/>
      </c>
      <c r="R8108" s="16">
        <f>HYPERLINK("https://checko.ru/search?query=3801001629","Чекко: проверить")</f>
        <v/>
      </c>
      <c r="S8108" t="n">
        <v>1</v>
      </c>
      <c r="T8108" s="35" t="inlineStr">
        <is>
          <t>4 — Не обогащён</t>
        </is>
      </c>
      <c r="U8108" s="35" t="inlineStr">
        <is>
          <t>Нет ОКВЭД/ССЧР</t>
        </is>
      </c>
      <c r="V8108" s="35" t="inlineStr">
        <is>
          <t>Не определено</t>
        </is>
      </c>
      <c r="W8108" s="35" t="inlineStr"/>
      <c r="X8108" s="35" t="inlineStr"/>
    </row>
    <row r="8109" ht="15" customHeight="1" s="24">
      <c r="A8109" s="13" t="n">
        <v>5000122016</v>
      </c>
      <c r="B8109" s="13" t="inlineStr">
        <is>
          <t>МАУ "РАМЕНСКИЙ МЕДИАЦЕНТР"</t>
        </is>
      </c>
      <c r="C8109" s="13" t="n">
        <v>5040179970</v>
      </c>
      <c r="D8109" s="13" t="inlineStr">
        <is>
          <t>5040179970</t>
        </is>
      </c>
      <c r="E8109" s="13" t="inlineStr">
        <is>
          <t>ЮЛ РФ</t>
        </is>
      </c>
      <c r="F8109" s="13" t="n"/>
      <c r="G8109" s="14" t="n"/>
      <c r="H8109" s="14" t="n"/>
      <c r="I8109" s="14" t="n"/>
      <c r="J8109" s="14" t="n"/>
      <c r="K8109" s="53" t="inlineStr"/>
      <c r="L8109" s="53" t="inlineStr">
        <is>
          <t>Не определено</t>
        </is>
      </c>
      <c r="M8109" s="53" t="inlineStr"/>
      <c r="N8109" s="54" t="inlineStr"/>
      <c r="O8109" s="55" t="inlineStr"/>
      <c r="P8109" s="16" t="inlineStr">
        <is>
          <t>Требует обогащения</t>
        </is>
      </c>
      <c r="Q8109" s="16">
        <f>HYPERLINK("https://pb.nalog.ru/search.html?query=5040179970","ФНС: проверить")</f>
        <v/>
      </c>
      <c r="R8109" s="16">
        <f>HYPERLINK("https://checko.ru/search?query=3801001629","Чекко: проверить")</f>
        <v/>
      </c>
      <c r="S8109" t="n">
        <v>1</v>
      </c>
      <c r="T8109" s="35" t="inlineStr">
        <is>
          <t>4 — Не обогащён</t>
        </is>
      </c>
      <c r="U8109" s="35" t="inlineStr">
        <is>
          <t>Нет ОКВЭД/ССЧР</t>
        </is>
      </c>
      <c r="V8109" s="35" t="inlineStr">
        <is>
          <t>Не определено</t>
        </is>
      </c>
      <c r="W8109" s="35" t="inlineStr"/>
      <c r="X8109" s="35" t="inlineStr"/>
    </row>
    <row r="8110" ht="15" customHeight="1" s="24">
      <c r="A8110" s="13" t="n">
        <v>5000122018</v>
      </c>
      <c r="B8110" s="13" t="inlineStr">
        <is>
          <t>МКУ "ТУ ВЯЛКОВСКОЕ"</t>
        </is>
      </c>
      <c r="C8110" s="13" t="n">
        <v>5040164220</v>
      </c>
      <c r="D8110" s="13" t="inlineStr">
        <is>
          <t>5040164220</t>
        </is>
      </c>
      <c r="E8110" s="13" t="inlineStr">
        <is>
          <t>ЮЛ РФ</t>
        </is>
      </c>
      <c r="F8110" s="13" t="n"/>
      <c r="G8110" s="14" t="n"/>
      <c r="H8110" s="14" t="n"/>
      <c r="I8110" s="14" t="n"/>
      <c r="J8110" s="14" t="n"/>
      <c r="K8110" s="53" t="inlineStr"/>
      <c r="L8110" s="53" t="inlineStr">
        <is>
          <t>Не определено</t>
        </is>
      </c>
      <c r="M8110" s="53" t="inlineStr"/>
      <c r="N8110" s="54" t="inlineStr"/>
      <c r="O8110" s="55" t="inlineStr"/>
      <c r="P8110" s="16" t="inlineStr">
        <is>
          <t>Требует обогащения</t>
        </is>
      </c>
      <c r="Q8110" s="16">
        <f>HYPERLINK("https://pb.nalog.ru/search.html?query=5040164220","ФНС: проверить")</f>
        <v/>
      </c>
      <c r="R8110" s="16">
        <f>HYPERLINK("https://checko.ru/search?query=3801001629","Чекко: проверить")</f>
        <v/>
      </c>
      <c r="S8110" t="n">
        <v>1</v>
      </c>
      <c r="T8110" s="35" t="inlineStr">
        <is>
          <t>4 — Не обогащён</t>
        </is>
      </c>
      <c r="U8110" s="35" t="inlineStr">
        <is>
          <t>Нет ОКВЭД/ССЧР</t>
        </is>
      </c>
      <c r="V8110" s="35" t="inlineStr">
        <is>
          <t>Не определено</t>
        </is>
      </c>
      <c r="W8110" s="35" t="inlineStr"/>
      <c r="X8110" s="35" t="inlineStr"/>
    </row>
    <row r="8111" ht="15" customHeight="1" s="24">
      <c r="A8111" s="13" t="n">
        <v>5000122019</v>
      </c>
      <c r="B8111" s="13" t="inlineStr">
        <is>
          <t>МКУ "ТУ СОФЬИНСКОЕ"</t>
        </is>
      </c>
      <c r="C8111" s="13" t="n">
        <v>5040164251</v>
      </c>
      <c r="D8111" s="13" t="inlineStr">
        <is>
          <t>5040164251</t>
        </is>
      </c>
      <c r="E8111" s="13" t="inlineStr">
        <is>
          <t>ЮЛ РФ</t>
        </is>
      </c>
      <c r="F8111" s="13" t="n"/>
      <c r="G8111" s="14" t="n"/>
      <c r="H8111" s="14" t="n"/>
      <c r="I8111" s="14" t="n"/>
      <c r="J8111" s="14" t="n"/>
      <c r="K8111" s="53" t="inlineStr"/>
      <c r="L8111" s="53" t="inlineStr">
        <is>
          <t>Не определено</t>
        </is>
      </c>
      <c r="M8111" s="53" t="inlineStr"/>
      <c r="N8111" s="54" t="inlineStr"/>
      <c r="O8111" s="55" t="inlineStr"/>
      <c r="P8111" s="16" t="inlineStr">
        <is>
          <t>Требует обогащения</t>
        </is>
      </c>
      <c r="Q8111" s="16">
        <f>HYPERLINK("https://pb.nalog.ru/search.html?query=5040164251","ФНС: проверить")</f>
        <v/>
      </c>
      <c r="R8111" s="16">
        <f>HYPERLINK("https://checko.ru/search?query=3801001629","Чекко: проверить")</f>
        <v/>
      </c>
      <c r="S8111" t="n">
        <v>1</v>
      </c>
      <c r="T8111" s="35" t="inlineStr">
        <is>
          <t>4 — Не обогащён</t>
        </is>
      </c>
      <c r="U8111" s="35" t="inlineStr">
        <is>
          <t>Нет ОКВЭД/ССЧР</t>
        </is>
      </c>
      <c r="V8111" s="35" t="inlineStr">
        <is>
          <t>Не определено</t>
        </is>
      </c>
      <c r="W8111" s="35" t="inlineStr"/>
      <c r="X8111" s="35" t="inlineStr"/>
    </row>
    <row r="8112" ht="15" customHeight="1" s="24">
      <c r="A8112" s="13" t="n">
        <v>5000121959</v>
      </c>
      <c r="B8112" s="13" t="inlineStr">
        <is>
          <t>Раменская средняя школа №1</t>
        </is>
      </c>
      <c r="C8112" s="13" t="n">
        <v>5040050254</v>
      </c>
      <c r="D8112" s="13" t="inlineStr">
        <is>
          <t>5040050254</t>
        </is>
      </c>
      <c r="E8112" s="13" t="inlineStr">
        <is>
          <t>ЮЛ РФ</t>
        </is>
      </c>
      <c r="F8112" s="13" t="n"/>
      <c r="G8112" s="14" t="n"/>
      <c r="H8112" s="14" t="n"/>
      <c r="I8112" s="14" t="n"/>
      <c r="J8112" s="14" t="n"/>
      <c r="K8112" s="53" t="inlineStr"/>
      <c r="L8112" s="53" t="inlineStr">
        <is>
          <t>Не определено</t>
        </is>
      </c>
      <c r="M8112" s="53" t="inlineStr"/>
      <c r="N8112" s="54" t="inlineStr"/>
      <c r="O8112" s="55" t="inlineStr"/>
      <c r="P8112" s="16" t="inlineStr">
        <is>
          <t>Требует обогащения</t>
        </is>
      </c>
      <c r="Q8112" s="16">
        <f>HYPERLINK("https://pb.nalog.ru/search.html?query=5040050254","ФНС: проверить")</f>
        <v/>
      </c>
      <c r="R8112" s="16">
        <f>HYPERLINK("https://checko.ru/search?query=3801001629","Чекко: проверить")</f>
        <v/>
      </c>
      <c r="S8112" t="n">
        <v>1</v>
      </c>
      <c r="T8112" s="35" t="inlineStr">
        <is>
          <t>4 — Не обогащён</t>
        </is>
      </c>
      <c r="U8112" s="35" t="inlineStr">
        <is>
          <t>Нет ОКВЭД/ССЧР</t>
        </is>
      </c>
      <c r="V8112" s="35" t="inlineStr">
        <is>
          <t>Не определено</t>
        </is>
      </c>
      <c r="W8112" s="35" t="inlineStr"/>
      <c r="X8112" s="35" t="inlineStr"/>
    </row>
    <row r="8113" ht="15" customHeight="1" s="24">
      <c r="A8113" s="13" t="n">
        <v>5000121960</v>
      </c>
      <c r="B8113" s="13" t="inlineStr">
        <is>
          <t>Раменская средняя школа № 5</t>
        </is>
      </c>
      <c r="C8113" s="13" t="n">
        <v>5040039821</v>
      </c>
      <c r="D8113" s="13" t="inlineStr">
        <is>
          <t>5040039821</t>
        </is>
      </c>
      <c r="E8113" s="13" t="inlineStr">
        <is>
          <t>ЮЛ РФ</t>
        </is>
      </c>
      <c r="F8113" s="13" t="n"/>
      <c r="G8113" s="14" t="n"/>
      <c r="H8113" s="14" t="n"/>
      <c r="I8113" s="14" t="n"/>
      <c r="J8113" s="14" t="n"/>
      <c r="K8113" s="53" t="inlineStr"/>
      <c r="L8113" s="53" t="inlineStr">
        <is>
          <t>Не определено</t>
        </is>
      </c>
      <c r="M8113" s="53" t="inlineStr"/>
      <c r="N8113" s="54" t="inlineStr"/>
      <c r="O8113" s="55" t="inlineStr"/>
      <c r="P8113" s="16" t="inlineStr">
        <is>
          <t>Требует обогащения</t>
        </is>
      </c>
      <c r="Q8113" s="16">
        <f>HYPERLINK("https://pb.nalog.ru/search.html?query=5040039821","ФНС: проверить")</f>
        <v/>
      </c>
      <c r="R8113" s="16">
        <f>HYPERLINK("https://checko.ru/search?query=3801001629","Чекко: проверить")</f>
        <v/>
      </c>
      <c r="S8113" t="n">
        <v>1</v>
      </c>
      <c r="T8113" s="35" t="inlineStr">
        <is>
          <t>4 — Не обогащён</t>
        </is>
      </c>
      <c r="U8113" s="35" t="inlineStr">
        <is>
          <t>Нет ОКВЭД/ССЧР</t>
        </is>
      </c>
      <c r="V8113" s="35" t="inlineStr">
        <is>
          <t>Не определено</t>
        </is>
      </c>
      <c r="W8113" s="35" t="inlineStr"/>
      <c r="X8113" s="35" t="inlineStr"/>
    </row>
    <row r="8114" ht="15" customHeight="1" s="24">
      <c r="A8114" s="13" t="n">
        <v>5000121961</v>
      </c>
      <c r="B8114" s="13" t="inlineStr">
        <is>
          <t>МОУ Раменская СОШ № 6</t>
        </is>
      </c>
      <c r="C8114" s="13" t="n">
        <v>5040040827</v>
      </c>
      <c r="D8114" s="13" t="inlineStr">
        <is>
          <t>5040040827</t>
        </is>
      </c>
      <c r="E8114" s="13" t="inlineStr">
        <is>
          <t>ЮЛ РФ</t>
        </is>
      </c>
      <c r="F8114" s="13" t="n"/>
      <c r="G8114" s="14" t="n"/>
      <c r="H8114" s="14" t="n"/>
      <c r="I8114" s="14" t="n"/>
      <c r="J8114" s="14" t="n"/>
      <c r="K8114" s="53" t="inlineStr"/>
      <c r="L8114" s="53" t="inlineStr">
        <is>
          <t>Не определено</t>
        </is>
      </c>
      <c r="M8114" s="53" t="inlineStr"/>
      <c r="N8114" s="54" t="inlineStr"/>
      <c r="O8114" s="55" t="inlineStr"/>
      <c r="P8114" s="16" t="inlineStr">
        <is>
          <t>Требует обогащения</t>
        </is>
      </c>
      <c r="Q8114" s="16">
        <f>HYPERLINK("https://pb.nalog.ru/search.html?query=5040040827","ФНС: проверить")</f>
        <v/>
      </c>
      <c r="R8114" s="16">
        <f>HYPERLINK("https://checko.ru/search?query=3801001629","Чекко: проверить")</f>
        <v/>
      </c>
      <c r="S8114" t="n">
        <v>1</v>
      </c>
      <c r="T8114" s="35" t="inlineStr">
        <is>
          <t>4 — Не обогащён</t>
        </is>
      </c>
      <c r="U8114" s="35" t="inlineStr">
        <is>
          <t>Нет ОКВЭД/ССЧР</t>
        </is>
      </c>
      <c r="V8114" s="35" t="inlineStr">
        <is>
          <t>Не определено</t>
        </is>
      </c>
      <c r="W8114" s="35" t="inlineStr"/>
      <c r="X8114" s="35" t="inlineStr"/>
    </row>
    <row r="8115" ht="15" customHeight="1" s="24">
      <c r="A8115" s="13" t="n">
        <v>5000121962</v>
      </c>
      <c r="B8115" s="13" t="inlineStr">
        <is>
          <t>МОУ РАМЕНСКАЯ СОШ №8</t>
        </is>
      </c>
      <c r="C8115" s="13" t="n">
        <v>5040040351</v>
      </c>
      <c r="D8115" s="13" t="inlineStr">
        <is>
          <t>5040040351</t>
        </is>
      </c>
      <c r="E8115" s="13" t="inlineStr">
        <is>
          <t>ЮЛ РФ</t>
        </is>
      </c>
      <c r="F8115" s="13" t="n"/>
      <c r="G8115" s="14" t="n"/>
      <c r="H8115" s="14" t="n"/>
      <c r="I8115" s="14" t="n"/>
      <c r="J8115" s="14" t="n"/>
      <c r="K8115" s="53" t="inlineStr"/>
      <c r="L8115" s="53" t="inlineStr">
        <is>
          <t>Не определено</t>
        </is>
      </c>
      <c r="M8115" s="53" t="inlineStr"/>
      <c r="N8115" s="54" t="inlineStr"/>
      <c r="O8115" s="55" t="inlineStr"/>
      <c r="P8115" s="16" t="inlineStr">
        <is>
          <t>Требует обогащения</t>
        </is>
      </c>
      <c r="Q8115" s="16">
        <f>HYPERLINK("https://pb.nalog.ru/search.html?query=5040040351","ФНС: проверить")</f>
        <v/>
      </c>
      <c r="R8115" s="16">
        <f>HYPERLINK("https://checko.ru/search?query=3801001629","Чекко: проверить")</f>
        <v/>
      </c>
      <c r="S8115" t="n">
        <v>1</v>
      </c>
      <c r="T8115" s="35" t="inlineStr">
        <is>
          <t>4 — Не обогащён</t>
        </is>
      </c>
      <c r="U8115" s="35" t="inlineStr">
        <is>
          <t>Нет ОКВЭД/ССЧР</t>
        </is>
      </c>
      <c r="V8115" s="35" t="inlineStr">
        <is>
          <t>Не определено</t>
        </is>
      </c>
      <c r="W8115" s="35" t="inlineStr"/>
      <c r="X8115" s="35" t="inlineStr"/>
    </row>
    <row r="8116" ht="15" customHeight="1" s="24">
      <c r="A8116" s="13" t="n">
        <v>5000121963</v>
      </c>
      <c r="B8116" s="13" t="inlineStr">
        <is>
          <t>МОУ РАМЕНСКАЯ СОШ № 9</t>
        </is>
      </c>
      <c r="C8116" s="13" t="n">
        <v>5040132771</v>
      </c>
      <c r="D8116" s="13" t="inlineStr">
        <is>
          <t>5040132771</t>
        </is>
      </c>
      <c r="E8116" s="13" t="inlineStr">
        <is>
          <t>ЮЛ РФ</t>
        </is>
      </c>
      <c r="F8116" s="13" t="n"/>
      <c r="G8116" s="14" t="n"/>
      <c r="H8116" s="14" t="n"/>
      <c r="I8116" s="14" t="n"/>
      <c r="J8116" s="14" t="n"/>
      <c r="K8116" s="53" t="inlineStr"/>
      <c r="L8116" s="53" t="inlineStr">
        <is>
          <t>Не определено</t>
        </is>
      </c>
      <c r="M8116" s="53" t="inlineStr"/>
      <c r="N8116" s="54" t="inlineStr"/>
      <c r="O8116" s="55" t="inlineStr"/>
      <c r="P8116" s="16" t="inlineStr">
        <is>
          <t>Требует обогащения</t>
        </is>
      </c>
      <c r="Q8116" s="16">
        <f>HYPERLINK("https://pb.nalog.ru/search.html?query=5040132771","ФНС: проверить")</f>
        <v/>
      </c>
      <c r="R8116" s="16">
        <f>HYPERLINK("https://checko.ru/search?query=3801001629","Чекко: проверить")</f>
        <v/>
      </c>
      <c r="S8116" t="n">
        <v>1</v>
      </c>
      <c r="T8116" s="35" t="inlineStr">
        <is>
          <t>4 — Не обогащён</t>
        </is>
      </c>
      <c r="U8116" s="35" t="inlineStr">
        <is>
          <t>Нет ОКВЭД/ССЧР</t>
        </is>
      </c>
      <c r="V8116" s="35" t="inlineStr">
        <is>
          <t>Не определено</t>
        </is>
      </c>
      <c r="W8116" s="35" t="inlineStr"/>
      <c r="X8116" s="35" t="inlineStr"/>
    </row>
    <row r="8117" ht="15" customHeight="1" s="24">
      <c r="A8117" s="13" t="n">
        <v>5000121964</v>
      </c>
      <c r="B8117" s="13" t="inlineStr">
        <is>
          <t>МОУ Ново-Харитоновская сош № 10 с УИОП</t>
        </is>
      </c>
      <c r="C8117" s="13" t="n">
        <v>5040040954</v>
      </c>
      <c r="D8117" s="13" t="inlineStr">
        <is>
          <t>5040040954</t>
        </is>
      </c>
      <c r="E8117" s="13" t="inlineStr">
        <is>
          <t>ЮЛ РФ</t>
        </is>
      </c>
      <c r="F8117" s="13" t="n"/>
      <c r="G8117" s="14" t="n"/>
      <c r="H8117" s="14" t="n"/>
      <c r="I8117" s="14" t="n"/>
      <c r="J8117" s="14" t="n"/>
      <c r="K8117" s="53" t="inlineStr"/>
      <c r="L8117" s="53" t="inlineStr">
        <is>
          <t>Не определено</t>
        </is>
      </c>
      <c r="M8117" s="53" t="inlineStr"/>
      <c r="N8117" s="54" t="inlineStr"/>
      <c r="O8117" s="55" t="inlineStr"/>
      <c r="P8117" s="16" t="inlineStr">
        <is>
          <t>Требует обогащения</t>
        </is>
      </c>
      <c r="Q8117" s="16">
        <f>HYPERLINK("https://pb.nalog.ru/search.html?query=5040040954","ФНС: проверить")</f>
        <v/>
      </c>
      <c r="R8117" s="16">
        <f>HYPERLINK("https://checko.ru/search?query=3801001629","Чекко: проверить")</f>
        <v/>
      </c>
      <c r="S8117" t="n">
        <v>1</v>
      </c>
      <c r="T8117" s="35" t="inlineStr">
        <is>
          <t>4 — Не обогащён</t>
        </is>
      </c>
      <c r="U8117" s="35" t="inlineStr">
        <is>
          <t>Нет ОКВЭД/ССЧР</t>
        </is>
      </c>
      <c r="V8117" s="35" t="inlineStr">
        <is>
          <t>Не определено</t>
        </is>
      </c>
      <c r="W8117" s="35" t="inlineStr"/>
      <c r="X8117" s="35" t="inlineStr"/>
    </row>
    <row r="8118" ht="41.25" customHeight="1" s="24">
      <c r="A8118" s="13" t="n">
        <v>5000121782</v>
      </c>
      <c r="B8118" s="13" t="inlineStr">
        <is>
          <t>Муниципальное Казённое учреждение Культуры "Централизованная Клубная Система" Киренского Муниципального Округа</t>
        </is>
      </c>
      <c r="C8118" s="13" t="n">
        <v>3808295488</v>
      </c>
      <c r="D8118" s="13" t="inlineStr">
        <is>
          <t>3808295488</t>
        </is>
      </c>
      <c r="E8118" s="13" t="inlineStr">
        <is>
          <t>ЮЛ РФ</t>
        </is>
      </c>
      <c r="F8118" s="13" t="n"/>
      <c r="G8118" s="14" t="n"/>
      <c r="H8118" s="14" t="n"/>
      <c r="I8118" s="14" t="n"/>
      <c r="J8118" s="14" t="n"/>
      <c r="K8118" s="53" t="inlineStr"/>
      <c r="L8118" s="53" t="inlineStr">
        <is>
          <t>Не определено</t>
        </is>
      </c>
      <c r="M8118" s="53" t="inlineStr"/>
      <c r="N8118" s="54" t="inlineStr"/>
      <c r="O8118" s="55" t="inlineStr"/>
      <c r="P8118" s="16" t="inlineStr">
        <is>
          <t>Требует обогащения</t>
        </is>
      </c>
      <c r="Q8118" s="16">
        <f>HYPERLINK("https://pb.nalog.ru/search.html?query=3808295488","ФНС: проверить")</f>
        <v/>
      </c>
      <c r="R8118" s="16">
        <f>HYPERLINK("https://checko.ru/search?query=3801001629","Чекко: проверить")</f>
        <v/>
      </c>
      <c r="S8118" t="n">
        <v>1</v>
      </c>
      <c r="T8118" s="35" t="inlineStr">
        <is>
          <t>4 — Не обогащён</t>
        </is>
      </c>
      <c r="U8118" s="35" t="inlineStr">
        <is>
          <t>Нет ОКВЭД/ССЧР</t>
        </is>
      </c>
      <c r="V8118" s="35" t="inlineStr">
        <is>
          <t>Не определено</t>
        </is>
      </c>
      <c r="W8118" s="35" t="inlineStr"/>
      <c r="X8118" s="35" t="inlineStr"/>
    </row>
    <row r="8119" ht="15" customHeight="1" s="24">
      <c r="A8119" s="13" t="n">
        <v>5000121946</v>
      </c>
      <c r="B8119" s="13" t="inlineStr">
        <is>
          <t>МУК Дворец культуры "Сатурн"</t>
        </is>
      </c>
      <c r="C8119" s="13" t="n">
        <v>5040088586</v>
      </c>
      <c r="D8119" s="13" t="inlineStr">
        <is>
          <t>5040088586</t>
        </is>
      </c>
      <c r="E8119" s="13" t="inlineStr">
        <is>
          <t>ЮЛ РФ</t>
        </is>
      </c>
      <c r="F8119" s="13" t="n"/>
      <c r="G8119" s="14" t="n"/>
      <c r="H8119" s="14" t="n"/>
      <c r="I8119" s="14" t="n"/>
      <c r="J8119" s="14" t="n"/>
      <c r="K8119" s="53" t="inlineStr"/>
      <c r="L8119" s="53" t="inlineStr">
        <is>
          <t>Не определено</t>
        </is>
      </c>
      <c r="M8119" s="53" t="inlineStr"/>
      <c r="N8119" s="54" t="inlineStr"/>
      <c r="O8119" s="55" t="inlineStr"/>
      <c r="P8119" s="16" t="inlineStr">
        <is>
          <t>Требует обогащения</t>
        </is>
      </c>
      <c r="Q8119" s="16">
        <f>HYPERLINK("https://pb.nalog.ru/search.html?query=5040088586","ФНС: проверить")</f>
        <v/>
      </c>
      <c r="R8119" s="16">
        <f>HYPERLINK("https://checko.ru/search?query=3801001629","Чекко: проверить")</f>
        <v/>
      </c>
      <c r="S8119" t="n">
        <v>1</v>
      </c>
      <c r="T8119" s="35" t="inlineStr">
        <is>
          <t>4 — Не обогащён</t>
        </is>
      </c>
      <c r="U8119" s="35" t="inlineStr">
        <is>
          <t>Нет ОКВЭД/ССЧР</t>
        </is>
      </c>
      <c r="V8119" s="35" t="inlineStr">
        <is>
          <t>Не определено</t>
        </is>
      </c>
      <c r="W8119" s="35" t="inlineStr"/>
      <c r="X8119" s="35" t="inlineStr"/>
    </row>
    <row r="8120" ht="15" customHeight="1" s="24">
      <c r="A8120" s="13" t="n">
        <v>5000121943</v>
      </c>
      <c r="B8120" s="13" t="inlineStr">
        <is>
          <t>МУК Дворец культуры "Победа"</t>
        </is>
      </c>
      <c r="C8120" s="13" t="n">
        <v>5040030667</v>
      </c>
      <c r="D8120" s="13" t="inlineStr">
        <is>
          <t>5040030667</t>
        </is>
      </c>
      <c r="E8120" s="13" t="inlineStr">
        <is>
          <t>ЮЛ РФ</t>
        </is>
      </c>
      <c r="F8120" s="13" t="n"/>
      <c r="G8120" s="14" t="n"/>
      <c r="H8120" s="14" t="n"/>
      <c r="I8120" s="14" t="n"/>
      <c r="J8120" s="14" t="n"/>
      <c r="K8120" s="53" t="inlineStr"/>
      <c r="L8120" s="53" t="inlineStr">
        <is>
          <t>Не определено</t>
        </is>
      </c>
      <c r="M8120" s="53" t="inlineStr"/>
      <c r="N8120" s="54" t="inlineStr"/>
      <c r="O8120" s="55" t="inlineStr"/>
      <c r="P8120" s="16" t="inlineStr">
        <is>
          <t>Требует обогащения</t>
        </is>
      </c>
      <c r="Q8120" s="16">
        <f>HYPERLINK("https://pb.nalog.ru/search.html?query=5040030667","ФНС: проверить")</f>
        <v/>
      </c>
      <c r="R8120" s="16">
        <f>HYPERLINK("https://checko.ru/search?query=3801001629","Чекко: проверить")</f>
        <v/>
      </c>
      <c r="S8120" t="n">
        <v>1</v>
      </c>
      <c r="T8120" s="35" t="inlineStr">
        <is>
          <t>4 — Не обогащён</t>
        </is>
      </c>
      <c r="U8120" s="35" t="inlineStr">
        <is>
          <t>Нет ОКВЭД/ССЧР</t>
        </is>
      </c>
      <c r="V8120" s="35" t="inlineStr">
        <is>
          <t>Не определено</t>
        </is>
      </c>
      <c r="W8120" s="35" t="inlineStr"/>
      <c r="X8120" s="35" t="inlineStr"/>
    </row>
    <row r="8121" ht="15" customHeight="1" s="24">
      <c r="A8121" s="13" t="n">
        <v>5000121944</v>
      </c>
      <c r="B8121" s="13" t="inlineStr">
        <is>
          <t>МУК Дворец культуры "Родники"</t>
        </is>
      </c>
      <c r="C8121" s="13" t="n">
        <v>5040088177</v>
      </c>
      <c r="D8121" s="13" t="inlineStr">
        <is>
          <t>5040088177</t>
        </is>
      </c>
      <c r="E8121" s="13" t="inlineStr">
        <is>
          <t>ЮЛ РФ</t>
        </is>
      </c>
      <c r="F8121" s="13" t="n"/>
      <c r="G8121" s="14" t="n"/>
      <c r="H8121" s="14" t="n"/>
      <c r="I8121" s="14" t="n"/>
      <c r="J8121" s="14" t="n"/>
      <c r="K8121" s="53" t="inlineStr"/>
      <c r="L8121" s="53" t="inlineStr">
        <is>
          <t>Не определено</t>
        </is>
      </c>
      <c r="M8121" s="53" t="inlineStr"/>
      <c r="N8121" s="54" t="inlineStr"/>
      <c r="O8121" s="55" t="inlineStr"/>
      <c r="P8121" s="16" t="inlineStr">
        <is>
          <t>Требует обогащения</t>
        </is>
      </c>
      <c r="Q8121" s="16">
        <f>HYPERLINK("https://pb.nalog.ru/search.html?query=5040088177","ФНС: проверить")</f>
        <v/>
      </c>
      <c r="R8121" s="16">
        <f>HYPERLINK("https://checko.ru/search?query=3801001629","Чекко: проверить")</f>
        <v/>
      </c>
      <c r="S8121" t="n">
        <v>1</v>
      </c>
      <c r="T8121" s="35" t="inlineStr">
        <is>
          <t>4 — Не обогащён</t>
        </is>
      </c>
      <c r="U8121" s="35" t="inlineStr">
        <is>
          <t>Нет ОКВЭД/ССЧР</t>
        </is>
      </c>
      <c r="V8121" s="35" t="inlineStr">
        <is>
          <t>Не определено</t>
        </is>
      </c>
      <c r="W8121" s="35" t="inlineStr"/>
      <c r="X8121" s="35" t="inlineStr"/>
    </row>
    <row r="8122" ht="15" customHeight="1" s="24">
      <c r="A8122" s="13" t="n">
        <v>5000121948</v>
      </c>
      <c r="B8122" s="13" t="inlineStr">
        <is>
          <t>МУК РИХМ</t>
        </is>
      </c>
      <c r="C8122" s="13" t="n">
        <v>5040046272</v>
      </c>
      <c r="D8122" s="13" t="inlineStr">
        <is>
          <t>5040046272</t>
        </is>
      </c>
      <c r="E8122" s="13" t="inlineStr">
        <is>
          <t>ЮЛ РФ</t>
        </is>
      </c>
      <c r="F8122" s="13" t="n"/>
      <c r="G8122" s="14" t="n"/>
      <c r="H8122" s="14" t="n"/>
      <c r="I8122" s="14" t="n"/>
      <c r="J8122" s="14" t="n"/>
      <c r="K8122" s="53" t="inlineStr"/>
      <c r="L8122" s="53" t="inlineStr">
        <is>
          <t>Не определено</t>
        </is>
      </c>
      <c r="M8122" s="53" t="inlineStr"/>
      <c r="N8122" s="54" t="inlineStr"/>
      <c r="O8122" s="55" t="inlineStr"/>
      <c r="P8122" s="16" t="inlineStr">
        <is>
          <t>Требует обогащения</t>
        </is>
      </c>
      <c r="Q8122" s="16">
        <f>HYPERLINK("https://pb.nalog.ru/search.html?query=5040046272","ФНС: проверить")</f>
        <v/>
      </c>
      <c r="R8122" s="16">
        <f>HYPERLINK("https://checko.ru/search?query=3801001629","Чекко: проверить")</f>
        <v/>
      </c>
      <c r="S8122" t="n">
        <v>1</v>
      </c>
      <c r="T8122" s="35" t="inlineStr">
        <is>
          <t>4 — Не обогащён</t>
        </is>
      </c>
      <c r="U8122" s="35" t="inlineStr">
        <is>
          <t>Нет ОКВЭД/ССЧР</t>
        </is>
      </c>
      <c r="V8122" s="35" t="inlineStr">
        <is>
          <t>Не определено</t>
        </is>
      </c>
      <c r="W8122" s="35" t="inlineStr"/>
      <c r="X8122" s="35" t="inlineStr"/>
    </row>
    <row r="8123" ht="15" customHeight="1" s="24">
      <c r="A8123" s="13" t="n">
        <v>5000121949</v>
      </c>
      <c r="B8123" s="13" t="inlineStr">
        <is>
          <t>МУК РЦБС</t>
        </is>
      </c>
      <c r="C8123" s="13" t="n">
        <v>5040088554</v>
      </c>
      <c r="D8123" s="13" t="inlineStr">
        <is>
          <t>5040088554</t>
        </is>
      </c>
      <c r="E8123" s="13" t="inlineStr">
        <is>
          <t>ЮЛ РФ</t>
        </is>
      </c>
      <c r="F8123" s="13" t="n"/>
      <c r="G8123" s="14" t="n"/>
      <c r="H8123" s="14" t="n"/>
      <c r="I8123" s="14" t="n"/>
      <c r="J8123" s="14" t="n"/>
      <c r="K8123" s="53" t="inlineStr"/>
      <c r="L8123" s="53" t="inlineStr">
        <is>
          <t>Не определено</t>
        </is>
      </c>
      <c r="M8123" s="53" t="inlineStr"/>
      <c r="N8123" s="54" t="inlineStr"/>
      <c r="O8123" s="55" t="inlineStr"/>
      <c r="P8123" s="16" t="inlineStr">
        <is>
          <t>Требует обогащения</t>
        </is>
      </c>
      <c r="Q8123" s="16">
        <f>HYPERLINK("https://pb.nalog.ru/search.html?query=5040088554","ФНС: проверить")</f>
        <v/>
      </c>
      <c r="R8123" s="16">
        <f>HYPERLINK("https://checko.ru/search?query=3801001629","Чекко: проверить")</f>
        <v/>
      </c>
      <c r="S8123" t="n">
        <v>1</v>
      </c>
      <c r="T8123" s="35" t="inlineStr">
        <is>
          <t>4 — Не обогащён</t>
        </is>
      </c>
      <c r="U8123" s="35" t="inlineStr">
        <is>
          <t>Нет ОКВЭД/ССЧР</t>
        </is>
      </c>
      <c r="V8123" s="35" t="inlineStr">
        <is>
          <t>Не определено</t>
        </is>
      </c>
      <c r="W8123" s="35" t="inlineStr"/>
      <c r="X8123" s="35" t="inlineStr"/>
    </row>
    <row r="8124" ht="15" customHeight="1" s="24">
      <c r="A8124" s="13" t="n">
        <v>5000121950</v>
      </c>
      <c r="B8124" s="13" t="inlineStr">
        <is>
          <t>Раменская ДШИ № 1</t>
        </is>
      </c>
      <c r="C8124" s="13" t="n">
        <v>5040046995</v>
      </c>
      <c r="D8124" s="13" t="inlineStr">
        <is>
          <t>5040046995</t>
        </is>
      </c>
      <c r="E8124" s="13" t="inlineStr">
        <is>
          <t>ЮЛ РФ</t>
        </is>
      </c>
      <c r="F8124" s="13" t="n"/>
      <c r="G8124" s="14" t="n"/>
      <c r="H8124" s="14" t="n"/>
      <c r="I8124" s="14" t="n"/>
      <c r="J8124" s="14" t="n"/>
      <c r="K8124" s="53" t="inlineStr"/>
      <c r="L8124" s="53" t="inlineStr">
        <is>
          <t>Не определено</t>
        </is>
      </c>
      <c r="M8124" s="53" t="inlineStr"/>
      <c r="N8124" s="54" t="inlineStr"/>
      <c r="O8124" s="55" t="inlineStr"/>
      <c r="P8124" s="16" t="inlineStr">
        <is>
          <t>Требует обогащения</t>
        </is>
      </c>
      <c r="Q8124" s="16">
        <f>HYPERLINK("https://pb.nalog.ru/search.html?query=5040046995","ФНС: проверить")</f>
        <v/>
      </c>
      <c r="R8124" s="16">
        <f>HYPERLINK("https://checko.ru/search?query=3801001629","Чекко: проверить")</f>
        <v/>
      </c>
      <c r="S8124" t="n">
        <v>1</v>
      </c>
      <c r="T8124" s="35" t="inlineStr">
        <is>
          <t>4 — Не обогащён</t>
        </is>
      </c>
      <c r="U8124" s="35" t="inlineStr">
        <is>
          <t>Нет ОКВЭД/ССЧР</t>
        </is>
      </c>
      <c r="V8124" s="35" t="inlineStr">
        <is>
          <t>Не определено</t>
        </is>
      </c>
      <c r="W8124" s="35" t="inlineStr"/>
      <c r="X8124" s="35" t="inlineStr"/>
    </row>
    <row r="8125" ht="15" customHeight="1" s="24">
      <c r="A8125" s="13" t="n">
        <v>5000121951</v>
      </c>
      <c r="B8125" s="13" t="inlineStr">
        <is>
          <t>Раменская ДШИ № 2</t>
        </is>
      </c>
      <c r="C8125" s="13" t="n">
        <v>5040047117</v>
      </c>
      <c r="D8125" s="13" t="inlineStr">
        <is>
          <t>5040047117</t>
        </is>
      </c>
      <c r="E8125" s="13" t="inlineStr">
        <is>
          <t>ЮЛ РФ</t>
        </is>
      </c>
      <c r="F8125" s="13" t="n"/>
      <c r="G8125" s="14" t="n"/>
      <c r="H8125" s="14" t="n"/>
      <c r="I8125" s="14" t="n"/>
      <c r="J8125" s="14" t="n"/>
      <c r="K8125" s="53" t="inlineStr"/>
      <c r="L8125" s="53" t="inlineStr">
        <is>
          <t>Не определено</t>
        </is>
      </c>
      <c r="M8125" s="53" t="inlineStr"/>
      <c r="N8125" s="54" t="inlineStr"/>
      <c r="O8125" s="55" t="inlineStr"/>
      <c r="P8125" s="16" t="inlineStr">
        <is>
          <t>Требует обогащения</t>
        </is>
      </c>
      <c r="Q8125" s="16">
        <f>HYPERLINK("https://pb.nalog.ru/search.html?query=5040047117","ФНС: проверить")</f>
        <v/>
      </c>
      <c r="R8125" s="16">
        <f>HYPERLINK("https://checko.ru/search?query=3801001629","Чекко: проверить")</f>
        <v/>
      </c>
      <c r="S8125" t="n">
        <v>1</v>
      </c>
      <c r="T8125" s="35" t="inlineStr">
        <is>
          <t>4 — Не обогащён</t>
        </is>
      </c>
      <c r="U8125" s="35" t="inlineStr">
        <is>
          <t>Нет ОКВЭД/ССЧР</t>
        </is>
      </c>
      <c r="V8125" s="35" t="inlineStr">
        <is>
          <t>Не определено</t>
        </is>
      </c>
      <c r="W8125" s="35" t="inlineStr"/>
      <c r="X8125" s="35" t="inlineStr"/>
    </row>
    <row r="8126" ht="15" customHeight="1" s="24">
      <c r="A8126" s="13" t="n">
        <v>5000121952</v>
      </c>
      <c r="B8126" s="13" t="inlineStr">
        <is>
          <t>Удельнинская ДМШ</t>
        </is>
      </c>
      <c r="C8126" s="13" t="n">
        <v>5040047131</v>
      </c>
      <c r="D8126" s="13" t="inlineStr">
        <is>
          <t>5040047131</t>
        </is>
      </c>
      <c r="E8126" s="13" t="inlineStr">
        <is>
          <t>ЮЛ РФ</t>
        </is>
      </c>
      <c r="F8126" s="13" t="n"/>
      <c r="G8126" s="14" t="n"/>
      <c r="H8126" s="14" t="n"/>
      <c r="I8126" s="14" t="n"/>
      <c r="J8126" s="14" t="n"/>
      <c r="K8126" s="53" t="inlineStr"/>
      <c r="L8126" s="53" t="inlineStr">
        <is>
          <t>Не определено</t>
        </is>
      </c>
      <c r="M8126" s="53" t="inlineStr"/>
      <c r="N8126" s="54" t="inlineStr"/>
      <c r="O8126" s="55" t="inlineStr"/>
      <c r="P8126" s="16" t="inlineStr">
        <is>
          <t>Требует обогащения</t>
        </is>
      </c>
      <c r="Q8126" s="16">
        <f>HYPERLINK("https://pb.nalog.ru/search.html?query=5040047131","ФНС: проверить")</f>
        <v/>
      </c>
      <c r="R8126" s="16">
        <f>HYPERLINK("https://checko.ru/search?query=3801001629","Чекко: проверить")</f>
        <v/>
      </c>
      <c r="S8126" t="n">
        <v>1</v>
      </c>
      <c r="T8126" s="35" t="inlineStr">
        <is>
          <t>4 — Не обогащён</t>
        </is>
      </c>
      <c r="U8126" s="35" t="inlineStr">
        <is>
          <t>Нет ОКВЭД/ССЧР</t>
        </is>
      </c>
      <c r="V8126" s="35" t="inlineStr">
        <is>
          <t>Не определено</t>
        </is>
      </c>
      <c r="W8126" s="35" t="inlineStr"/>
      <c r="X8126" s="35" t="inlineStr"/>
    </row>
    <row r="8127" ht="15" customHeight="1" s="24">
      <c r="A8127" s="13" t="n">
        <v>5000121936</v>
      </c>
      <c r="B8127" s="13" t="inlineStr">
        <is>
          <t>Ильинская ДШИ</t>
        </is>
      </c>
      <c r="C8127" s="13" t="n">
        <v>5040047124</v>
      </c>
      <c r="D8127" s="13" t="inlineStr">
        <is>
          <t>5040047124</t>
        </is>
      </c>
      <c r="E8127" s="13" t="inlineStr">
        <is>
          <t>ЮЛ РФ</t>
        </is>
      </c>
      <c r="F8127" s="13" t="n"/>
      <c r="G8127" s="14" t="n"/>
      <c r="H8127" s="14" t="n"/>
      <c r="I8127" s="14" t="n"/>
      <c r="J8127" s="14" t="n"/>
      <c r="K8127" s="53" t="inlineStr"/>
      <c r="L8127" s="53" t="inlineStr">
        <is>
          <t>Не определено</t>
        </is>
      </c>
      <c r="M8127" s="53" t="inlineStr"/>
      <c r="N8127" s="54" t="inlineStr"/>
      <c r="O8127" s="55" t="inlineStr"/>
      <c r="P8127" s="16" t="inlineStr">
        <is>
          <t>Требует обогащения</t>
        </is>
      </c>
      <c r="Q8127" s="16">
        <f>HYPERLINK("https://pb.nalog.ru/search.html?query=5040047124","ФНС: проверить")</f>
        <v/>
      </c>
      <c r="R8127" s="16">
        <f>HYPERLINK("https://checko.ru/search?query=3801001629","Чекко: проверить")</f>
        <v/>
      </c>
      <c r="S8127" t="n">
        <v>1</v>
      </c>
      <c r="T8127" s="35" t="inlineStr">
        <is>
          <t>4 — Не обогащён</t>
        </is>
      </c>
      <c r="U8127" s="35" t="inlineStr">
        <is>
          <t>Нет ОКВЭД/ССЧР</t>
        </is>
      </c>
      <c r="V8127" s="35" t="inlineStr">
        <is>
          <t>Не определено</t>
        </is>
      </c>
      <c r="W8127" s="35" t="inlineStr"/>
      <c r="X8127" s="35" t="inlineStr"/>
    </row>
    <row r="8128" ht="15" customHeight="1" s="24">
      <c r="A8128" s="13" t="n">
        <v>5000121935</v>
      </c>
      <c r="B8128" s="13" t="inlineStr">
        <is>
          <t>ДШИ "Гжель"</t>
        </is>
      </c>
      <c r="C8128" s="13" t="n">
        <v>5040047808</v>
      </c>
      <c r="D8128" s="13" t="inlineStr">
        <is>
          <t>5040047808</t>
        </is>
      </c>
      <c r="E8128" s="13" t="inlineStr">
        <is>
          <t>ЮЛ РФ</t>
        </is>
      </c>
      <c r="F8128" s="13" t="n"/>
      <c r="G8128" s="14" t="n"/>
      <c r="H8128" s="14" t="n"/>
      <c r="I8128" s="14" t="n"/>
      <c r="J8128" s="14" t="n"/>
      <c r="K8128" s="53" t="inlineStr"/>
      <c r="L8128" s="53" t="inlineStr">
        <is>
          <t>Не определено</t>
        </is>
      </c>
      <c r="M8128" s="53" t="inlineStr"/>
      <c r="N8128" s="54" t="inlineStr"/>
      <c r="O8128" s="55" t="inlineStr"/>
      <c r="P8128" s="16" t="inlineStr">
        <is>
          <t>Требует обогащения</t>
        </is>
      </c>
      <c r="Q8128" s="16">
        <f>HYPERLINK("https://pb.nalog.ru/search.html?query=5040047808","ФНС: проверить")</f>
        <v/>
      </c>
      <c r="R8128" s="16">
        <f>HYPERLINK("https://checko.ru/search?query=3801001629","Чекко: проверить")</f>
        <v/>
      </c>
      <c r="S8128" t="n">
        <v>1</v>
      </c>
      <c r="T8128" s="35" t="inlineStr">
        <is>
          <t>4 — Не обогащён</t>
        </is>
      </c>
      <c r="U8128" s="35" t="inlineStr">
        <is>
          <t>Нет ОКВЭД/ССЧР</t>
        </is>
      </c>
      <c r="V8128" s="35" t="inlineStr">
        <is>
          <t>Не определено</t>
        </is>
      </c>
      <c r="W8128" s="35" t="inlineStr"/>
      <c r="X8128" s="35" t="inlineStr"/>
    </row>
    <row r="8129" ht="15" customHeight="1" s="24">
      <c r="A8129" s="13" t="n">
        <v>5000121938</v>
      </c>
      <c r="B8129" s="13" t="inlineStr">
        <is>
          <t>МУК ДК "Гжелка"</t>
        </is>
      </c>
      <c r="C8129" s="13" t="n">
        <v>5040088321</v>
      </c>
      <c r="D8129" s="13" t="inlineStr">
        <is>
          <t>5040088321</t>
        </is>
      </c>
      <c r="E8129" s="13" t="inlineStr">
        <is>
          <t>ЮЛ РФ</t>
        </is>
      </c>
      <c r="F8129" s="13" t="n"/>
      <c r="G8129" s="14" t="n"/>
      <c r="H8129" s="14" t="n"/>
      <c r="I8129" s="14" t="n"/>
      <c r="J8129" s="14" t="n"/>
      <c r="K8129" s="53" t="inlineStr"/>
      <c r="L8129" s="53" t="inlineStr">
        <is>
          <t>Не определено</t>
        </is>
      </c>
      <c r="M8129" s="53" t="inlineStr"/>
      <c r="N8129" s="54" t="inlineStr"/>
      <c r="O8129" s="55" t="inlineStr"/>
      <c r="P8129" s="16" t="inlineStr">
        <is>
          <t>Требует обогащения</t>
        </is>
      </c>
      <c r="Q8129" s="16">
        <f>HYPERLINK("https://pb.nalog.ru/search.html?query=5040088321","ФНС: проверить")</f>
        <v/>
      </c>
      <c r="R8129" s="16">
        <f>HYPERLINK("https://checko.ru/search?query=3801001629","Чекко: проверить")</f>
        <v/>
      </c>
      <c r="S8129" t="n">
        <v>1</v>
      </c>
      <c r="T8129" s="35" t="inlineStr">
        <is>
          <t>4 — Не обогащён</t>
        </is>
      </c>
      <c r="U8129" s="35" t="inlineStr">
        <is>
          <t>Нет ОКВЭД/ССЧР</t>
        </is>
      </c>
      <c r="V8129" s="35" t="inlineStr">
        <is>
          <t>Не определено</t>
        </is>
      </c>
      <c r="W8129" s="35" t="inlineStr"/>
      <c r="X8129" s="35" t="inlineStr"/>
    </row>
    <row r="8130" ht="15" customHeight="1" s="24">
      <c r="A8130" s="13" t="n">
        <v>5000121941</v>
      </c>
      <c r="B8130" s="13" t="inlineStr">
        <is>
          <t>МУК ДК "Константиновский"</t>
        </is>
      </c>
      <c r="C8130" s="13" t="n">
        <v>5040088392</v>
      </c>
      <c r="D8130" s="13" t="inlineStr">
        <is>
          <t>5040088392</t>
        </is>
      </c>
      <c r="E8130" s="13" t="inlineStr">
        <is>
          <t>ЮЛ РФ</t>
        </is>
      </c>
      <c r="F8130" s="13" t="n"/>
      <c r="G8130" s="14" t="n"/>
      <c r="H8130" s="14" t="n"/>
      <c r="I8130" s="14" t="n"/>
      <c r="J8130" s="14" t="n"/>
      <c r="K8130" s="53" t="inlineStr"/>
      <c r="L8130" s="53" t="inlineStr">
        <is>
          <t>Не определено</t>
        </is>
      </c>
      <c r="M8130" s="53" t="inlineStr"/>
      <c r="N8130" s="54" t="inlineStr"/>
      <c r="O8130" s="55" t="inlineStr"/>
      <c r="P8130" s="16" t="inlineStr">
        <is>
          <t>Требует обогащения</t>
        </is>
      </c>
      <c r="Q8130" s="16">
        <f>HYPERLINK("https://pb.nalog.ru/search.html?query=5040088392","ФНС: проверить")</f>
        <v/>
      </c>
      <c r="R8130" s="16">
        <f>HYPERLINK("https://checko.ru/search?query=3801001629","Чекко: проверить")</f>
        <v/>
      </c>
      <c r="S8130" t="n">
        <v>1</v>
      </c>
      <c r="T8130" s="35" t="inlineStr">
        <is>
          <t>4 — Не обогащён</t>
        </is>
      </c>
      <c r="U8130" s="35" t="inlineStr">
        <is>
          <t>Нет ОКВЭД/ССЧР</t>
        </is>
      </c>
      <c r="V8130" s="35" t="inlineStr">
        <is>
          <t>Не определено</t>
        </is>
      </c>
      <c r="W8130" s="35" t="inlineStr"/>
      <c r="X8130" s="35" t="inlineStr"/>
    </row>
    <row r="8131" ht="15" customHeight="1" s="24">
      <c r="A8131" s="13" t="n">
        <v>5000121942</v>
      </c>
      <c r="B8131" s="13" t="inlineStr">
        <is>
          <t>МУК ДК "Лель"</t>
        </is>
      </c>
      <c r="C8131" s="13" t="n">
        <v>5040088219</v>
      </c>
      <c r="D8131" s="13" t="inlineStr">
        <is>
          <t>5040088219</t>
        </is>
      </c>
      <c r="E8131" s="13" t="inlineStr">
        <is>
          <t>ЮЛ РФ</t>
        </is>
      </c>
      <c r="F8131" s="13" t="n"/>
      <c r="G8131" s="14" t="n"/>
      <c r="H8131" s="14" t="n"/>
      <c r="I8131" s="14" t="n"/>
      <c r="J8131" s="14" t="n"/>
      <c r="K8131" s="53" t="inlineStr"/>
      <c r="L8131" s="53" t="inlineStr">
        <is>
          <t>Не определено</t>
        </is>
      </c>
      <c r="M8131" s="53" t="inlineStr"/>
      <c r="N8131" s="54" t="inlineStr"/>
      <c r="O8131" s="55" t="inlineStr"/>
      <c r="P8131" s="16" t="inlineStr">
        <is>
          <t>Требует обогащения</t>
        </is>
      </c>
      <c r="Q8131" s="16">
        <f>HYPERLINK("https://pb.nalog.ru/search.html?query=5040088219","ФНС: проверить")</f>
        <v/>
      </c>
      <c r="R8131" s="16">
        <f>HYPERLINK("https://checko.ru/search?query=3801001629","Чекко: проверить")</f>
        <v/>
      </c>
      <c r="S8131" t="n">
        <v>1</v>
      </c>
      <c r="T8131" s="35" t="inlineStr">
        <is>
          <t>4 — Не обогащён</t>
        </is>
      </c>
      <c r="U8131" s="35" t="inlineStr">
        <is>
          <t>Нет ОКВЭД/ССЧР</t>
        </is>
      </c>
      <c r="V8131" s="35" t="inlineStr">
        <is>
          <t>Не определено</t>
        </is>
      </c>
      <c r="W8131" s="35" t="inlineStr"/>
      <c r="X8131" s="35" t="inlineStr"/>
    </row>
    <row r="8132" ht="15" customHeight="1" s="24">
      <c r="A8132" s="13" t="n">
        <v>5000121945</v>
      </c>
      <c r="B8132" s="13" t="inlineStr">
        <is>
          <t>МУК ДК "Рубин"</t>
        </is>
      </c>
      <c r="C8132" s="13" t="n">
        <v>5040088280</v>
      </c>
      <c r="D8132" s="13" t="inlineStr">
        <is>
          <t>5040088280</t>
        </is>
      </c>
      <c r="E8132" s="13" t="inlineStr">
        <is>
          <t>ЮЛ РФ</t>
        </is>
      </c>
      <c r="F8132" s="13" t="n"/>
      <c r="G8132" s="14" t="n"/>
      <c r="H8132" s="14" t="n"/>
      <c r="I8132" s="14" t="n"/>
      <c r="J8132" s="14" t="n"/>
      <c r="K8132" s="53" t="inlineStr"/>
      <c r="L8132" s="53" t="inlineStr">
        <is>
          <t>Не определено</t>
        </is>
      </c>
      <c r="M8132" s="53" t="inlineStr"/>
      <c r="N8132" s="54" t="inlineStr"/>
      <c r="O8132" s="55" t="inlineStr"/>
      <c r="P8132" s="16" t="inlineStr">
        <is>
          <t>Требует обогащения</t>
        </is>
      </c>
      <c r="Q8132" s="16">
        <f>HYPERLINK("https://pb.nalog.ru/search.html?query=5040088280","ФНС: проверить")</f>
        <v/>
      </c>
      <c r="R8132" s="16">
        <f>HYPERLINK("https://checko.ru/search?query=3801001629","Чекко: проверить")</f>
        <v/>
      </c>
      <c r="S8132" t="n">
        <v>1</v>
      </c>
      <c r="T8132" s="35" t="inlineStr">
        <is>
          <t>4 — Не обогащён</t>
        </is>
      </c>
      <c r="U8132" s="35" t="inlineStr">
        <is>
          <t>Нет ОКВЭД/ССЧР</t>
        </is>
      </c>
      <c r="V8132" s="35" t="inlineStr">
        <is>
          <t>Не определено</t>
        </is>
      </c>
      <c r="W8132" s="35" t="inlineStr"/>
      <c r="X8132" s="35" t="inlineStr"/>
    </row>
    <row r="8133" ht="15" customHeight="1" s="24">
      <c r="A8133" s="13" t="n">
        <v>5000121939</v>
      </c>
      <c r="B8133" s="13" t="inlineStr">
        <is>
          <t>МУК КДЦ "Гжельский"</t>
        </is>
      </c>
      <c r="C8133" s="13" t="n">
        <v>5040088339</v>
      </c>
      <c r="D8133" s="13" t="inlineStr">
        <is>
          <t>5040088339</t>
        </is>
      </c>
      <c r="E8133" s="13" t="inlineStr">
        <is>
          <t>ЮЛ РФ</t>
        </is>
      </c>
      <c r="F8133" s="13" t="n"/>
      <c r="G8133" s="14" t="n"/>
      <c r="H8133" s="14" t="n"/>
      <c r="I8133" s="14" t="n"/>
      <c r="J8133" s="14" t="n"/>
      <c r="K8133" s="53" t="inlineStr"/>
      <c r="L8133" s="53" t="inlineStr">
        <is>
          <t>Не определено</t>
        </is>
      </c>
      <c r="M8133" s="53" t="inlineStr"/>
      <c r="N8133" s="54" t="inlineStr"/>
      <c r="O8133" s="55" t="inlineStr"/>
      <c r="P8133" s="16" t="inlineStr">
        <is>
          <t>Требует обогащения</t>
        </is>
      </c>
      <c r="Q8133" s="16">
        <f>HYPERLINK("https://pb.nalog.ru/search.html?query=5040088339","ФНС: проверить")</f>
        <v/>
      </c>
      <c r="R8133" s="16">
        <f>HYPERLINK("https://checko.ru/search?query=3801001629","Чекко: проверить")</f>
        <v/>
      </c>
      <c r="S8133" t="n">
        <v>1</v>
      </c>
      <c r="T8133" s="35" t="inlineStr">
        <is>
          <t>4 — Не обогащён</t>
        </is>
      </c>
      <c r="U8133" s="35" t="inlineStr">
        <is>
          <t>Нет ОКВЭД/ССЧР</t>
        </is>
      </c>
      <c r="V8133" s="35" t="inlineStr">
        <is>
          <t>Не определено</t>
        </is>
      </c>
      <c r="W8133" s="35" t="inlineStr"/>
      <c r="X8133" s="35" t="inlineStr"/>
    </row>
    <row r="8134" ht="15" customHeight="1" s="24">
      <c r="A8134" s="13" t="n">
        <v>5000121940</v>
      </c>
      <c r="B8134" s="13" t="inlineStr">
        <is>
          <t>МУК КДЦ "Дементьевский"</t>
        </is>
      </c>
      <c r="C8134" s="13" t="n">
        <v>5040088265</v>
      </c>
      <c r="D8134" s="13" t="inlineStr">
        <is>
          <t>5040088265</t>
        </is>
      </c>
      <c r="E8134" s="13" t="inlineStr">
        <is>
          <t>ЮЛ РФ</t>
        </is>
      </c>
      <c r="F8134" s="13" t="n"/>
      <c r="G8134" s="14" t="n"/>
      <c r="H8134" s="14" t="n"/>
      <c r="I8134" s="14" t="n"/>
      <c r="J8134" s="14" t="n"/>
      <c r="K8134" s="53" t="inlineStr"/>
      <c r="L8134" s="53" t="inlineStr">
        <is>
          <t>Не определено</t>
        </is>
      </c>
      <c r="M8134" s="53" t="inlineStr"/>
      <c r="N8134" s="54" t="inlineStr"/>
      <c r="O8134" s="55" t="inlineStr"/>
      <c r="P8134" s="16" t="inlineStr">
        <is>
          <t>Требует обогащения</t>
        </is>
      </c>
      <c r="Q8134" s="16">
        <f>HYPERLINK("https://pb.nalog.ru/search.html?query=5040088265","ФНС: проверить")</f>
        <v/>
      </c>
      <c r="R8134" s="16">
        <f>HYPERLINK("https://checko.ru/search?query=3801001629","Чекко: проверить")</f>
        <v/>
      </c>
      <c r="S8134" t="n">
        <v>1</v>
      </c>
      <c r="T8134" s="35" t="inlineStr">
        <is>
          <t>4 — Не обогащён</t>
        </is>
      </c>
      <c r="U8134" s="35" t="inlineStr">
        <is>
          <t>Нет ОКВЭД/ССЧР</t>
        </is>
      </c>
      <c r="V8134" s="35" t="inlineStr">
        <is>
          <t>Не определено</t>
        </is>
      </c>
      <c r="W8134" s="35" t="inlineStr"/>
      <c r="X8134" s="35" t="inlineStr"/>
    </row>
    <row r="8135" ht="15" customHeight="1" s="24">
      <c r="A8135" s="13" t="n">
        <v>5000121947</v>
      </c>
      <c r="B8135" s="13" t="inlineStr">
        <is>
          <t>МУК КДЦ "Софьинский"</t>
        </is>
      </c>
      <c r="C8135" s="13" t="n">
        <v>5040088297</v>
      </c>
      <c r="D8135" s="13" t="inlineStr">
        <is>
          <t>5040088297</t>
        </is>
      </c>
      <c r="E8135" s="13" t="inlineStr">
        <is>
          <t>ЮЛ РФ</t>
        </is>
      </c>
      <c r="F8135" s="13" t="n"/>
      <c r="G8135" s="14" t="n"/>
      <c r="H8135" s="14" t="n"/>
      <c r="I8135" s="14" t="n"/>
      <c r="J8135" s="14" t="n"/>
      <c r="K8135" s="53" t="inlineStr"/>
      <c r="L8135" s="53" t="inlineStr">
        <is>
          <t>Не определено</t>
        </is>
      </c>
      <c r="M8135" s="53" t="inlineStr"/>
      <c r="N8135" s="54" t="inlineStr"/>
      <c r="O8135" s="55" t="inlineStr"/>
      <c r="P8135" s="16" t="inlineStr">
        <is>
          <t>Требует обогащения</t>
        </is>
      </c>
      <c r="Q8135" s="16">
        <f>HYPERLINK("https://pb.nalog.ru/search.html?query=5040088297","ФНС: проверить")</f>
        <v/>
      </c>
      <c r="R8135" s="16">
        <f>HYPERLINK("https://checko.ru/search?query=3801001629","Чекко: проверить")</f>
        <v/>
      </c>
      <c r="S8135" t="n">
        <v>1</v>
      </c>
      <c r="T8135" s="35" t="inlineStr">
        <is>
          <t>4 — Не обогащён</t>
        </is>
      </c>
      <c r="U8135" s="35" t="inlineStr">
        <is>
          <t>Нет ОКВЭД/ССЧР</t>
        </is>
      </c>
      <c r="V8135" s="35" t="inlineStr">
        <is>
          <t>Не определено</t>
        </is>
      </c>
      <c r="W8135" s="35" t="inlineStr"/>
      <c r="X8135" s="35" t="inlineStr"/>
    </row>
    <row r="8136" ht="15" customHeight="1" s="24">
      <c r="A8136" s="13" t="n">
        <v>5000121953</v>
      </c>
      <c r="B8136" s="13" t="inlineStr">
        <is>
          <t>Совет депутатов Раменского городского округа</t>
        </is>
      </c>
      <c r="C8136" s="13" t="n">
        <v>5040163762</v>
      </c>
      <c r="D8136" s="13" t="inlineStr">
        <is>
          <t>5040163762</t>
        </is>
      </c>
      <c r="E8136" s="13" t="inlineStr">
        <is>
          <t>ЮЛ РФ</t>
        </is>
      </c>
      <c r="F8136" s="13" t="n"/>
      <c r="G8136" s="14" t="n"/>
      <c r="H8136" s="14" t="n"/>
      <c r="I8136" s="14" t="n"/>
      <c r="J8136" s="14" t="n"/>
      <c r="K8136" s="53" t="inlineStr"/>
      <c r="L8136" s="53" t="inlineStr">
        <is>
          <t>Не определено</t>
        </is>
      </c>
      <c r="M8136" s="53" t="inlineStr"/>
      <c r="N8136" s="54" t="inlineStr"/>
      <c r="O8136" s="55" t="inlineStr"/>
      <c r="P8136" s="16" t="inlineStr">
        <is>
          <t>Требует обогащения</t>
        </is>
      </c>
      <c r="Q8136" s="16">
        <f>HYPERLINK("https://pb.nalog.ru/search.html?query=5040163762","ФНС: проверить")</f>
        <v/>
      </c>
      <c r="R8136" s="16">
        <f>HYPERLINK("https://checko.ru/search?query=3801001629","Чекко: проверить")</f>
        <v/>
      </c>
      <c r="S8136" t="n">
        <v>1</v>
      </c>
      <c r="T8136" s="35" t="inlineStr">
        <is>
          <t>4 — Не обогащён</t>
        </is>
      </c>
      <c r="U8136" s="35" t="inlineStr">
        <is>
          <t>Нет ОКВЭД/ССЧР</t>
        </is>
      </c>
      <c r="V8136" s="35" t="inlineStr">
        <is>
          <t>Не определено</t>
        </is>
      </c>
      <c r="W8136" s="35" t="inlineStr"/>
      <c r="X8136" s="35" t="inlineStr"/>
    </row>
    <row r="8137" ht="41.25" customHeight="1" s="24">
      <c r="A8137" s="13" t="n">
        <v>5000088775</v>
      </c>
      <c r="B8137" s="13" t="inlineStr">
        <is>
          <t>Муниципальное бюджетное учреждение культуры "Ново-Ленинский культурно-досуговый центр"</t>
        </is>
      </c>
      <c r="C8137" s="13" t="n">
        <v>3849012562</v>
      </c>
      <c r="D8137" s="13" t="inlineStr">
        <is>
          <t>3849012562</t>
        </is>
      </c>
      <c r="E8137" s="13" t="inlineStr">
        <is>
          <t>ЮЛ РФ</t>
        </is>
      </c>
      <c r="F8137" s="13" t="n"/>
      <c r="G8137" s="14" t="n"/>
      <c r="H8137" s="14" t="n"/>
      <c r="I8137" s="14" t="n"/>
      <c r="J8137" s="14" t="n"/>
      <c r="K8137" s="53" t="inlineStr"/>
      <c r="L8137" s="53" t="inlineStr">
        <is>
          <t>Не определено</t>
        </is>
      </c>
      <c r="M8137" s="53" t="inlineStr"/>
      <c r="N8137" s="54" t="inlineStr"/>
      <c r="O8137" s="55" t="inlineStr"/>
      <c r="P8137" s="16" t="inlineStr">
        <is>
          <t>Требует обогащения</t>
        </is>
      </c>
      <c r="Q8137" s="16">
        <f>HYPERLINK("https://pb.nalog.ru/search.html?query=3849012562","ФНС: проверить")</f>
        <v/>
      </c>
      <c r="R8137" s="16">
        <f>HYPERLINK("https://checko.ru/search?query=3801001629","Чекко: проверить")</f>
        <v/>
      </c>
      <c r="S8137" t="n">
        <v>1</v>
      </c>
      <c r="T8137" s="35" t="inlineStr">
        <is>
          <t>4 — Не обогащён</t>
        </is>
      </c>
      <c r="U8137" s="35" t="inlineStr">
        <is>
          <t>Нет ОКВЭД/ССЧР</t>
        </is>
      </c>
      <c r="V8137" s="35" t="inlineStr">
        <is>
          <t>Не определено</t>
        </is>
      </c>
      <c r="W8137" s="35" t="inlineStr"/>
      <c r="X8137" s="35" t="inlineStr"/>
    </row>
    <row r="8138" ht="27.75" customHeight="1" s="24">
      <c r="A8138" s="13" t="n">
        <v>5000088776</v>
      </c>
      <c r="B8138" s="13" t="inlineStr">
        <is>
          <t>Финансовый отдел администрации муниципального образования "Ново-Ленино"</t>
        </is>
      </c>
      <c r="C8138" s="13" t="n">
        <v>8505003819</v>
      </c>
      <c r="D8138" s="13" t="inlineStr">
        <is>
          <t>8505003819</t>
        </is>
      </c>
      <c r="E8138" s="13" t="inlineStr">
        <is>
          <t>ЮЛ РФ</t>
        </is>
      </c>
      <c r="F8138" s="13" t="n"/>
      <c r="G8138" s="14" t="n"/>
      <c r="H8138" s="14" t="n"/>
      <c r="I8138" s="14" t="n"/>
      <c r="J8138" s="14" t="n"/>
      <c r="K8138" s="53" t="inlineStr"/>
      <c r="L8138" s="53" t="inlineStr">
        <is>
          <t>Не определено</t>
        </is>
      </c>
      <c r="M8138" s="53" t="inlineStr"/>
      <c r="N8138" s="54" t="inlineStr"/>
      <c r="O8138" s="55" t="inlineStr"/>
      <c r="P8138" s="16" t="inlineStr">
        <is>
          <t>Требует обогащения</t>
        </is>
      </c>
      <c r="Q8138" s="16">
        <f>HYPERLINK("https://pb.nalog.ru/search.html?query=8505003819","ФНС: проверить")</f>
        <v/>
      </c>
      <c r="R8138" s="16">
        <f>HYPERLINK("https://checko.ru/search?query=3801001629","Чекко: проверить")</f>
        <v/>
      </c>
      <c r="S8138" t="n">
        <v>1</v>
      </c>
      <c r="T8138" s="35" t="inlineStr">
        <is>
          <t>4 — Не обогащён</t>
        </is>
      </c>
      <c r="U8138" s="35" t="inlineStr">
        <is>
          <t>Нет ОКВЭД/ССЧР</t>
        </is>
      </c>
      <c r="V8138" s="35" t="inlineStr">
        <is>
          <t>Не определено</t>
        </is>
      </c>
      <c r="W8138" s="35" t="inlineStr"/>
      <c r="X8138" s="35" t="inlineStr"/>
    </row>
    <row r="8139" ht="15" customHeight="1" s="24">
      <c r="A8139" s="13" t="n">
        <v>5000121996</v>
      </c>
      <c r="B8139" s="13" t="inlineStr">
        <is>
          <t>МБУ "Содержание и благоустройство"</t>
        </is>
      </c>
      <c r="C8139" s="13" t="n">
        <v>5040150805</v>
      </c>
      <c r="D8139" s="13" t="inlineStr">
        <is>
          <t>5040150805</t>
        </is>
      </c>
      <c r="E8139" s="13" t="inlineStr">
        <is>
          <t>ЮЛ РФ</t>
        </is>
      </c>
      <c r="F8139" s="13" t="n"/>
      <c r="G8139" s="14" t="n"/>
      <c r="H8139" s="14" t="n"/>
      <c r="I8139" s="14" t="n"/>
      <c r="J8139" s="14" t="n"/>
      <c r="K8139" s="53" t="inlineStr"/>
      <c r="L8139" s="53" t="inlineStr">
        <is>
          <t>Не определено</t>
        </is>
      </c>
      <c r="M8139" s="53" t="inlineStr"/>
      <c r="N8139" s="54" t="inlineStr"/>
      <c r="O8139" s="55" t="inlineStr"/>
      <c r="P8139" s="16" t="inlineStr">
        <is>
          <t>Требует обогащения</t>
        </is>
      </c>
      <c r="Q8139" s="16">
        <f>HYPERLINK("https://pb.nalog.ru/search.html?query=5040150805","ФНС: проверить")</f>
        <v/>
      </c>
      <c r="R8139" s="16">
        <f>HYPERLINK("https://checko.ru/search?query=3801001629","Чекко: проверить")</f>
        <v/>
      </c>
      <c r="S8139" t="n">
        <v>1</v>
      </c>
      <c r="T8139" s="35" t="inlineStr">
        <is>
          <t>4 — Не обогащён</t>
        </is>
      </c>
      <c r="U8139" s="35" t="inlineStr">
        <is>
          <t>Нет ОКВЭД/ССЧР</t>
        </is>
      </c>
      <c r="V8139" s="35" t="inlineStr">
        <is>
          <t>Не определено</t>
        </is>
      </c>
      <c r="W8139" s="35" t="inlineStr"/>
      <c r="X8139" s="35" t="inlineStr"/>
    </row>
    <row r="8140" ht="15" customHeight="1" s="24">
      <c r="A8140" s="13" t="n">
        <v>5000121958</v>
      </c>
      <c r="B8140" s="13" t="inlineStr">
        <is>
          <t>МОУ Удельнинская гимназия</t>
        </is>
      </c>
      <c r="C8140" s="13" t="n">
        <v>5040039557</v>
      </c>
      <c r="D8140" s="13" t="inlineStr">
        <is>
          <t>5040039557</t>
        </is>
      </c>
      <c r="E8140" s="13" t="inlineStr">
        <is>
          <t>ЮЛ РФ</t>
        </is>
      </c>
      <c r="F8140" s="13" t="n"/>
      <c r="G8140" s="14" t="n"/>
      <c r="H8140" s="14" t="n"/>
      <c r="I8140" s="14" t="n"/>
      <c r="J8140" s="14" t="n"/>
      <c r="K8140" s="53" t="inlineStr"/>
      <c r="L8140" s="53" t="inlineStr">
        <is>
          <t>Не определено</t>
        </is>
      </c>
      <c r="M8140" s="53" t="inlineStr"/>
      <c r="N8140" s="54" t="inlineStr"/>
      <c r="O8140" s="55" t="inlineStr"/>
      <c r="P8140" s="16" t="inlineStr">
        <is>
          <t>Требует обогащения</t>
        </is>
      </c>
      <c r="Q8140" s="16">
        <f>HYPERLINK("https://pb.nalog.ru/search.html?query=5040039557","ФНС: проверить")</f>
        <v/>
      </c>
      <c r="R8140" s="16">
        <f>HYPERLINK("https://checko.ru/search?query=3801001629","Чекко: проверить")</f>
        <v/>
      </c>
      <c r="S8140" t="n">
        <v>1</v>
      </c>
      <c r="T8140" s="35" t="inlineStr">
        <is>
          <t>4 — Не обогащён</t>
        </is>
      </c>
      <c r="U8140" s="35" t="inlineStr">
        <is>
          <t>Нет ОКВЭД/ССЧР</t>
        </is>
      </c>
      <c r="V8140" s="35" t="inlineStr">
        <is>
          <t>Не определено</t>
        </is>
      </c>
      <c r="W8140" s="35" t="inlineStr"/>
      <c r="X8140" s="35" t="inlineStr"/>
    </row>
    <row r="8141" ht="15" customHeight="1" s="24">
      <c r="A8141" s="13" t="n">
        <v>5000121968</v>
      </c>
      <c r="B8141" s="13" t="inlineStr">
        <is>
          <t>МОУ СОШ № 19</t>
        </is>
      </c>
      <c r="C8141" s="13" t="n">
        <v>5040040841</v>
      </c>
      <c r="D8141" s="13" t="inlineStr">
        <is>
          <t>5040040841</t>
        </is>
      </c>
      <c r="E8141" s="13" t="inlineStr">
        <is>
          <t>ЮЛ РФ</t>
        </is>
      </c>
      <c r="F8141" s="13" t="n"/>
      <c r="G8141" s="14" t="n"/>
      <c r="H8141" s="14" t="n"/>
      <c r="I8141" s="14" t="n"/>
      <c r="J8141" s="14" t="n"/>
      <c r="K8141" s="53" t="inlineStr"/>
      <c r="L8141" s="53" t="inlineStr">
        <is>
          <t>Не определено</t>
        </is>
      </c>
      <c r="M8141" s="53" t="inlineStr"/>
      <c r="N8141" s="54" t="inlineStr"/>
      <c r="O8141" s="55" t="inlineStr"/>
      <c r="P8141" s="16" t="inlineStr">
        <is>
          <t>Требует обогащения</t>
        </is>
      </c>
      <c r="Q8141" s="16">
        <f>HYPERLINK("https://pb.nalog.ru/search.html?query=5040040841","ФНС: проверить")</f>
        <v/>
      </c>
      <c r="R8141" s="16">
        <f>HYPERLINK("https://checko.ru/search?query=3801001629","Чекко: проверить")</f>
        <v/>
      </c>
      <c r="S8141" t="n">
        <v>1</v>
      </c>
      <c r="T8141" s="35" t="inlineStr">
        <is>
          <t>4 — Не обогащён</t>
        </is>
      </c>
      <c r="U8141" s="35" t="inlineStr">
        <is>
          <t>Нет ОКВЭД/ССЧР</t>
        </is>
      </c>
      <c r="V8141" s="35" t="inlineStr">
        <is>
          <t>Не определено</t>
        </is>
      </c>
      <c r="W8141" s="35" t="inlineStr"/>
      <c r="X8141" s="35" t="inlineStr"/>
    </row>
    <row r="8142" ht="15" customHeight="1" s="24">
      <c r="A8142" s="13" t="n">
        <v>5000121972</v>
      </c>
      <c r="B8142" s="13" t="inlineStr">
        <is>
          <t>МОУ ДЕРГАЕВСКАЯ СОШ №23</t>
        </is>
      </c>
      <c r="C8142" s="13" t="n">
        <v>5040099612</v>
      </c>
      <c r="D8142" s="13" t="inlineStr">
        <is>
          <t>5040099612</t>
        </is>
      </c>
      <c r="E8142" s="13" t="inlineStr">
        <is>
          <t>ЮЛ РФ</t>
        </is>
      </c>
      <c r="F8142" s="13" t="n"/>
      <c r="G8142" s="14" t="n"/>
      <c r="H8142" s="14" t="n"/>
      <c r="I8142" s="14" t="n"/>
      <c r="J8142" s="14" t="n"/>
      <c r="K8142" s="53" t="inlineStr"/>
      <c r="L8142" s="53" t="inlineStr">
        <is>
          <t>Не определено</t>
        </is>
      </c>
      <c r="M8142" s="53" t="inlineStr"/>
      <c r="N8142" s="54" t="inlineStr"/>
      <c r="O8142" s="55" t="inlineStr"/>
      <c r="P8142" s="16" t="inlineStr">
        <is>
          <t>Требует обогащения</t>
        </is>
      </c>
      <c r="Q8142" s="16">
        <f>HYPERLINK("https://pb.nalog.ru/search.html?query=5040099612","ФНС: проверить")</f>
        <v/>
      </c>
      <c r="R8142" s="16">
        <f>HYPERLINK("https://checko.ru/search?query=3801001629","Чекко: проверить")</f>
        <v/>
      </c>
      <c r="S8142" t="n">
        <v>1</v>
      </c>
      <c r="T8142" s="35" t="inlineStr">
        <is>
          <t>4 — Не обогащён</t>
        </is>
      </c>
      <c r="U8142" s="35" t="inlineStr">
        <is>
          <t>Нет ОКВЭД/ССЧР</t>
        </is>
      </c>
      <c r="V8142" s="35" t="inlineStr">
        <is>
          <t>Не определено</t>
        </is>
      </c>
      <c r="W8142" s="35" t="inlineStr"/>
      <c r="X8142" s="35" t="inlineStr"/>
    </row>
    <row r="8143" ht="15" customHeight="1" s="24">
      <c r="A8143" s="13" t="n">
        <v>5000121986</v>
      </c>
      <c r="B8143" s="13" t="inlineStr">
        <is>
          <t>МОУ ДПО "МЦ "РАМЕНСКИЙ ДОМ УЧИТЕЛЯ"</t>
        </is>
      </c>
      <c r="C8143" s="13" t="n">
        <v>5040078860</v>
      </c>
      <c r="D8143" s="13" t="inlineStr">
        <is>
          <t>5040078860</t>
        </is>
      </c>
      <c r="E8143" s="13" t="inlineStr">
        <is>
          <t>ЮЛ РФ</t>
        </is>
      </c>
      <c r="F8143" s="13" t="n"/>
      <c r="G8143" s="14" t="n"/>
      <c r="H8143" s="14" t="n"/>
      <c r="I8143" s="14" t="n"/>
      <c r="J8143" s="14" t="n"/>
      <c r="K8143" s="53" t="inlineStr"/>
      <c r="L8143" s="53" t="inlineStr">
        <is>
          <t>Не определено</t>
        </is>
      </c>
      <c r="M8143" s="53" t="inlineStr"/>
      <c r="N8143" s="54" t="inlineStr"/>
      <c r="O8143" s="55" t="inlineStr"/>
      <c r="P8143" s="16" t="inlineStr">
        <is>
          <t>Требует обогащения</t>
        </is>
      </c>
      <c r="Q8143" s="16">
        <f>HYPERLINK("https://pb.nalog.ru/search.html?query=5040078860","ФНС: проверить")</f>
        <v/>
      </c>
      <c r="R8143" s="16">
        <f>HYPERLINK("https://checko.ru/search?query=3801001629","Чекко: проверить")</f>
        <v/>
      </c>
      <c r="S8143" t="n">
        <v>1</v>
      </c>
      <c r="T8143" s="35" t="inlineStr">
        <is>
          <t>4 — Не обогащён</t>
        </is>
      </c>
      <c r="U8143" s="35" t="inlineStr">
        <is>
          <t>Нет ОКВЭД/ССЧР</t>
        </is>
      </c>
      <c r="V8143" s="35" t="inlineStr">
        <is>
          <t>Не определено</t>
        </is>
      </c>
      <c r="W8143" s="35" t="inlineStr"/>
      <c r="X8143" s="35" t="inlineStr"/>
    </row>
    <row r="8144" ht="15" customHeight="1" s="24">
      <c r="A8144" s="13" t="n">
        <v>5000121990</v>
      </c>
      <c r="B8144" s="13" t="inlineStr">
        <is>
          <t>МУДО УДЕЛЬНИНСКИЙ ЦВР</t>
        </is>
      </c>
      <c r="C8144" s="13" t="n">
        <v>5040047325</v>
      </c>
      <c r="D8144" s="13" t="inlineStr">
        <is>
          <t>5040047325</t>
        </is>
      </c>
      <c r="E8144" s="13" t="inlineStr">
        <is>
          <t>ЮЛ РФ</t>
        </is>
      </c>
      <c r="F8144" s="13" t="n"/>
      <c r="G8144" s="14" t="n"/>
      <c r="H8144" s="14" t="n"/>
      <c r="I8144" s="14" t="n"/>
      <c r="J8144" s="14" t="n"/>
      <c r="K8144" s="53" t="inlineStr"/>
      <c r="L8144" s="53" t="inlineStr">
        <is>
          <t>Не определено</t>
        </is>
      </c>
      <c r="M8144" s="53" t="inlineStr"/>
      <c r="N8144" s="54" t="inlineStr"/>
      <c r="O8144" s="55" t="inlineStr"/>
      <c r="P8144" s="16" t="inlineStr">
        <is>
          <t>Требует обогащения</t>
        </is>
      </c>
      <c r="Q8144" s="16">
        <f>HYPERLINK("https://pb.nalog.ru/search.html?query=5040047325","ФНС: проверить")</f>
        <v/>
      </c>
      <c r="R8144" s="16">
        <f>HYPERLINK("https://checko.ru/search?query=3801001629","Чекко: проверить")</f>
        <v/>
      </c>
      <c r="S8144" t="n">
        <v>1</v>
      </c>
      <c r="T8144" s="35" t="inlineStr">
        <is>
          <t>4 — Не обогащён</t>
        </is>
      </c>
      <c r="U8144" s="35" t="inlineStr">
        <is>
          <t>Нет ОКВЭД/ССЧР</t>
        </is>
      </c>
      <c r="V8144" s="35" t="inlineStr">
        <is>
          <t>Не определено</t>
        </is>
      </c>
      <c r="W8144" s="35" t="inlineStr"/>
      <c r="X8144" s="35" t="inlineStr"/>
    </row>
    <row r="8145" ht="15" customHeight="1" s="24">
      <c r="A8145" s="13" t="n">
        <v>5000121992</v>
      </c>
      <c r="B8145" s="13" t="inlineStr">
        <is>
          <t>КОМИТЕТ ПО ОБРАЗОВАНИЮ</t>
        </is>
      </c>
      <c r="C8145" s="13" t="n">
        <v>5040036620</v>
      </c>
      <c r="D8145" s="13" t="inlineStr">
        <is>
          <t>5040036620</t>
        </is>
      </c>
      <c r="E8145" s="13" t="inlineStr">
        <is>
          <t>ЮЛ РФ</t>
        </is>
      </c>
      <c r="F8145" s="13" t="n"/>
      <c r="G8145" s="14" t="n"/>
      <c r="H8145" s="14" t="n"/>
      <c r="I8145" s="14" t="n"/>
      <c r="J8145" s="14" t="n"/>
      <c r="K8145" s="53" t="inlineStr"/>
      <c r="L8145" s="53" t="inlineStr">
        <is>
          <t>Не определено</t>
        </is>
      </c>
      <c r="M8145" s="53" t="inlineStr"/>
      <c r="N8145" s="54" t="inlineStr"/>
      <c r="O8145" s="55" t="inlineStr"/>
      <c r="P8145" s="16" t="inlineStr">
        <is>
          <t>Требует обогащения</t>
        </is>
      </c>
      <c r="Q8145" s="16">
        <f>HYPERLINK("https://pb.nalog.ru/search.html?query=5040036620","ФНС: проверить")</f>
        <v/>
      </c>
      <c r="R8145" s="16">
        <f>HYPERLINK("https://checko.ru/search?query=3801001629","Чекко: проверить")</f>
        <v/>
      </c>
      <c r="S8145" t="n">
        <v>1</v>
      </c>
      <c r="T8145" s="35" t="inlineStr">
        <is>
          <t>4 — Не обогащён</t>
        </is>
      </c>
      <c r="U8145" s="35" t="inlineStr">
        <is>
          <t>Нет ОКВЭД/ССЧР</t>
        </is>
      </c>
      <c r="V8145" s="35" t="inlineStr">
        <is>
          <t>Не определено</t>
        </is>
      </c>
      <c r="W8145" s="35" t="inlineStr"/>
      <c r="X8145" s="35" t="inlineStr"/>
    </row>
    <row r="8146" ht="15" customHeight="1" s="24">
      <c r="A8146" s="13" t="n">
        <v>5000121997</v>
      </c>
      <c r="B8146" s="13" t="inlineStr">
        <is>
          <t>МКУ "ИАУ"</t>
        </is>
      </c>
      <c r="C8146" s="13" t="n">
        <v>5040138491</v>
      </c>
      <c r="D8146" s="13" t="inlineStr">
        <is>
          <t>5040138491</t>
        </is>
      </c>
      <c r="E8146" s="13" t="inlineStr">
        <is>
          <t>ЮЛ РФ</t>
        </is>
      </c>
      <c r="F8146" s="13" t="n"/>
      <c r="G8146" s="14" t="n"/>
      <c r="H8146" s="14" t="n"/>
      <c r="I8146" s="14" t="n"/>
      <c r="J8146" s="14" t="n"/>
      <c r="K8146" s="53" t="inlineStr"/>
      <c r="L8146" s="53" t="inlineStr">
        <is>
          <t>Не определено</t>
        </is>
      </c>
      <c r="M8146" s="53" t="inlineStr"/>
      <c r="N8146" s="54" t="inlineStr"/>
      <c r="O8146" s="55" t="inlineStr"/>
      <c r="P8146" s="16" t="inlineStr">
        <is>
          <t>Требует обогащения</t>
        </is>
      </c>
      <c r="Q8146" s="16">
        <f>HYPERLINK("https://pb.nalog.ru/search.html?query=5040138491","ФНС: проверить")</f>
        <v/>
      </c>
      <c r="R8146" s="16">
        <f>HYPERLINK("https://checko.ru/search?query=3801001629","Чекко: проверить")</f>
        <v/>
      </c>
      <c r="S8146" t="n">
        <v>1</v>
      </c>
      <c r="T8146" s="35" t="inlineStr">
        <is>
          <t>4 — Не обогащён</t>
        </is>
      </c>
      <c r="U8146" s="35" t="inlineStr">
        <is>
          <t>Нет ОКВЭД/ССЧР</t>
        </is>
      </c>
      <c r="V8146" s="35" t="inlineStr">
        <is>
          <t>Не определено</t>
        </is>
      </c>
      <c r="W8146" s="35" t="inlineStr"/>
      <c r="X8146" s="35" t="inlineStr"/>
    </row>
    <row r="8147" ht="27.75" customHeight="1" s="24">
      <c r="A8147" s="13" t="n">
        <v>5000122020</v>
      </c>
      <c r="B8147" s="13" t="inlineStr">
        <is>
          <t>УКС АДМИНИСТРАЦИИ РАМЕНСКОГО МУНИЦИПАЛЬНОГО ОКРУГА</t>
        </is>
      </c>
      <c r="C8147" s="13" t="n">
        <v>5040153066</v>
      </c>
      <c r="D8147" s="13" t="inlineStr">
        <is>
          <t>5040153066</t>
        </is>
      </c>
      <c r="E8147" s="13" t="inlineStr">
        <is>
          <t>ЮЛ РФ</t>
        </is>
      </c>
      <c r="F8147" s="13" t="n"/>
      <c r="G8147" s="14" t="n"/>
      <c r="H8147" s="14" t="n"/>
      <c r="I8147" s="14" t="n"/>
      <c r="J8147" s="14" t="n"/>
      <c r="K8147" s="53" t="inlineStr"/>
      <c r="L8147" s="53" t="inlineStr">
        <is>
          <t>Не определено</t>
        </is>
      </c>
      <c r="M8147" s="53" t="inlineStr"/>
      <c r="N8147" s="54" t="inlineStr"/>
      <c r="O8147" s="55" t="inlineStr"/>
      <c r="P8147" s="16" t="inlineStr">
        <is>
          <t>Требует обогащения</t>
        </is>
      </c>
      <c r="Q8147" s="16">
        <f>HYPERLINK("https://pb.nalog.ru/search.html?query=5040153066","ФНС: проверить")</f>
        <v/>
      </c>
      <c r="R8147" s="16">
        <f>HYPERLINK("https://checko.ru/search?query=3801001629","Чекко: проверить")</f>
        <v/>
      </c>
      <c r="S8147" t="n">
        <v>1</v>
      </c>
      <c r="T8147" s="35" t="inlineStr">
        <is>
          <t>4 — Не обогащён</t>
        </is>
      </c>
      <c r="U8147" s="35" t="inlineStr">
        <is>
          <t>Нет ОКВЭД/ССЧР</t>
        </is>
      </c>
      <c r="V8147" s="35" t="inlineStr">
        <is>
          <t>Не определено</t>
        </is>
      </c>
      <c r="W8147" s="35" t="inlineStr"/>
      <c r="X8147" s="35" t="inlineStr"/>
    </row>
    <row r="8148" ht="15" customHeight="1" s="24">
      <c r="A8148" s="13" t="n">
        <v>5000121934</v>
      </c>
      <c r="B8148" s="13" t="inlineStr">
        <is>
          <t>Быковская ДМШ</t>
        </is>
      </c>
      <c r="C8148" s="13" t="n">
        <v>5040047090</v>
      </c>
      <c r="D8148" s="13" t="inlineStr">
        <is>
          <t>5040047090</t>
        </is>
      </c>
      <c r="E8148" s="13" t="inlineStr">
        <is>
          <t>ЮЛ РФ</t>
        </is>
      </c>
      <c r="F8148" s="13" t="n"/>
      <c r="G8148" s="14" t="n"/>
      <c r="H8148" s="14" t="n"/>
      <c r="I8148" s="14" t="n"/>
      <c r="J8148" s="14" t="n"/>
      <c r="K8148" s="53" t="inlineStr"/>
      <c r="L8148" s="53" t="inlineStr">
        <is>
          <t>Не определено</t>
        </is>
      </c>
      <c r="M8148" s="53" t="inlineStr"/>
      <c r="N8148" s="54" t="inlineStr"/>
      <c r="O8148" s="55" t="inlineStr"/>
      <c r="P8148" s="16" t="inlineStr">
        <is>
          <t>Требует обогащения</t>
        </is>
      </c>
      <c r="Q8148" s="16">
        <f>HYPERLINK("https://pb.nalog.ru/search.html?query=5040047090","ФНС: проверить")</f>
        <v/>
      </c>
      <c r="R8148" s="16">
        <f>HYPERLINK("https://checko.ru/search?query=3801001629","Чекко: проверить")</f>
        <v/>
      </c>
      <c r="S8148" t="n">
        <v>1</v>
      </c>
      <c r="T8148" s="35" t="inlineStr">
        <is>
          <t>4 — Не обогащён</t>
        </is>
      </c>
      <c r="U8148" s="35" t="inlineStr">
        <is>
          <t>Нет ОКВЭД/ССЧР</t>
        </is>
      </c>
      <c r="V8148" s="35" t="inlineStr">
        <is>
          <t>Не определено</t>
        </is>
      </c>
      <c r="W8148" s="35" t="inlineStr"/>
      <c r="X8148" s="35" t="inlineStr"/>
    </row>
    <row r="8149" ht="15" customHeight="1" s="24">
      <c r="A8149" s="13" t="n">
        <v>5000121933</v>
      </c>
      <c r="B8149" s="13" t="inlineStr">
        <is>
          <t>Комитет по культуре Раменское</t>
        </is>
      </c>
      <c r="C8149" s="13" t="n">
        <v>5040040947</v>
      </c>
      <c r="D8149" s="13" t="inlineStr">
        <is>
          <t>5040040947</t>
        </is>
      </c>
      <c r="E8149" s="13" t="inlineStr">
        <is>
          <t>ЮЛ РФ</t>
        </is>
      </c>
      <c r="F8149" s="13" t="n"/>
      <c r="G8149" s="14" t="n"/>
      <c r="H8149" s="14" t="n"/>
      <c r="I8149" s="14" t="n"/>
      <c r="J8149" s="14" t="n"/>
      <c r="K8149" s="53" t="inlineStr"/>
      <c r="L8149" s="53" t="inlineStr">
        <is>
          <t>Не определено</t>
        </is>
      </c>
      <c r="M8149" s="53" t="inlineStr"/>
      <c r="N8149" s="54" t="inlineStr"/>
      <c r="O8149" s="55" t="inlineStr"/>
      <c r="P8149" s="16" t="inlineStr">
        <is>
          <t>Требует обогащения</t>
        </is>
      </c>
      <c r="Q8149" s="16">
        <f>HYPERLINK("https://pb.nalog.ru/search.html?query=5040040947","ФНС: проверить")</f>
        <v/>
      </c>
      <c r="R8149" s="16">
        <f>HYPERLINK("https://checko.ru/search?query=3801001629","Чекко: проверить")</f>
        <v/>
      </c>
      <c r="S8149" t="n">
        <v>1</v>
      </c>
      <c r="T8149" s="35" t="inlineStr">
        <is>
          <t>4 — Не обогащён</t>
        </is>
      </c>
      <c r="U8149" s="35" t="inlineStr">
        <is>
          <t>Нет ОКВЭД/ССЧР</t>
        </is>
      </c>
      <c r="V8149" s="35" t="inlineStr">
        <is>
          <t>Не определено</t>
        </is>
      </c>
      <c r="W8149" s="35" t="inlineStr"/>
      <c r="X8149" s="35" t="inlineStr"/>
    </row>
    <row r="8150" ht="15" customHeight="1" s="24">
      <c r="A8150" s="13" t="n">
        <v>5000121937</v>
      </c>
      <c r="B8150" s="13" t="inlineStr">
        <is>
          <t>МУК Дворец культуры им. Воровского</t>
        </is>
      </c>
      <c r="C8150" s="13" t="n">
        <v>5040088579</v>
      </c>
      <c r="D8150" s="13" t="inlineStr">
        <is>
          <t>5040088579</t>
        </is>
      </c>
      <c r="E8150" s="13" t="inlineStr">
        <is>
          <t>ЮЛ РФ</t>
        </is>
      </c>
      <c r="F8150" s="13" t="n"/>
      <c r="G8150" s="14" t="n"/>
      <c r="H8150" s="14" t="n"/>
      <c r="I8150" s="14" t="n"/>
      <c r="J8150" s="14" t="n"/>
      <c r="K8150" s="53" t="inlineStr"/>
      <c r="L8150" s="53" t="inlineStr">
        <is>
          <t>Не определено</t>
        </is>
      </c>
      <c r="M8150" s="53" t="inlineStr"/>
      <c r="N8150" s="54" t="inlineStr"/>
      <c r="O8150" s="55" t="inlineStr"/>
      <c r="P8150" s="16" t="inlineStr">
        <is>
          <t>Требует обогащения</t>
        </is>
      </c>
      <c r="Q8150" s="16">
        <f>HYPERLINK("https://pb.nalog.ru/search.html?query=5040088579","ФНС: проверить")</f>
        <v/>
      </c>
      <c r="R8150" s="16">
        <f>HYPERLINK("https://checko.ru/search?query=3801001629","Чекко: проверить")</f>
        <v/>
      </c>
      <c r="S8150" t="n">
        <v>1</v>
      </c>
      <c r="T8150" s="35" t="inlineStr">
        <is>
          <t>4 — Не обогащён</t>
        </is>
      </c>
      <c r="U8150" s="35" t="inlineStr">
        <is>
          <t>Нет ОКВЭД/ССЧР</t>
        </is>
      </c>
      <c r="V8150" s="35" t="inlineStr">
        <is>
          <t>Не определено</t>
        </is>
      </c>
      <c r="W8150" s="35" t="inlineStr"/>
      <c r="X8150" s="35" t="inlineStr"/>
    </row>
    <row r="8151" ht="15" customHeight="1" s="24">
      <c r="A8151" s="13" t="n">
        <v>5000122014</v>
      </c>
      <c r="B8151" s="13" t="inlineStr">
        <is>
          <t>МБУ "РАМАВТОДОР"</t>
        </is>
      </c>
      <c r="C8151" s="13" t="n">
        <v>5040138597</v>
      </c>
      <c r="D8151" s="13" t="inlineStr">
        <is>
          <t>5040138597</t>
        </is>
      </c>
      <c r="E8151" s="13" t="inlineStr">
        <is>
          <t>ЮЛ РФ</t>
        </is>
      </c>
      <c r="F8151" s="13" t="n"/>
      <c r="G8151" s="14" t="n"/>
      <c r="H8151" s="14" t="n"/>
      <c r="I8151" s="14" t="n"/>
      <c r="J8151" s="14" t="n"/>
      <c r="K8151" s="53" t="inlineStr"/>
      <c r="L8151" s="53" t="inlineStr">
        <is>
          <t>Не определено</t>
        </is>
      </c>
      <c r="M8151" s="53" t="inlineStr"/>
      <c r="N8151" s="54" t="inlineStr"/>
      <c r="O8151" s="55" t="inlineStr"/>
      <c r="P8151" s="16" t="inlineStr">
        <is>
          <t>Требует обогащения</t>
        </is>
      </c>
      <c r="Q8151" s="16">
        <f>HYPERLINK("https://pb.nalog.ru/search.html?query=5040138597","ФНС: проверить")</f>
        <v/>
      </c>
      <c r="R8151" s="16">
        <f>HYPERLINK("https://checko.ru/search?query=3801001629","Чекко: проверить")</f>
        <v/>
      </c>
      <c r="S8151" t="n">
        <v>1</v>
      </c>
      <c r="T8151" s="35" t="inlineStr">
        <is>
          <t>4 — Не обогащён</t>
        </is>
      </c>
      <c r="U8151" s="35" t="inlineStr">
        <is>
          <t>Нет ОКВЭД/ССЧР</t>
        </is>
      </c>
      <c r="V8151" s="35" t="inlineStr">
        <is>
          <t>Не определено</t>
        </is>
      </c>
      <c r="W8151" s="35" t="inlineStr"/>
      <c r="X8151" s="35" t="inlineStr"/>
    </row>
    <row r="8152" ht="15" customHeight="1" s="24">
      <c r="A8152" s="13" t="n">
        <v>5000088773</v>
      </c>
      <c r="B8152" s="13" t="inlineStr">
        <is>
          <t>АДМИНИСТРАЦИЯ МО "НОВО-ЛЕНИНО"</t>
        </is>
      </c>
      <c r="C8152" s="13" t="n">
        <v>8505005894</v>
      </c>
      <c r="D8152" s="13" t="inlineStr">
        <is>
          <t>8505005894</t>
        </is>
      </c>
      <c r="E8152" s="13" t="inlineStr">
        <is>
          <t>ЮЛ РФ</t>
        </is>
      </c>
      <c r="F8152" s="13" t="n"/>
      <c r="G8152" s="14" t="n"/>
      <c r="H8152" s="14" t="n"/>
      <c r="I8152" s="14" t="n"/>
      <c r="J8152" s="14" t="n"/>
      <c r="K8152" s="53" t="inlineStr"/>
      <c r="L8152" s="53" t="inlineStr">
        <is>
          <t>Не определено</t>
        </is>
      </c>
      <c r="M8152" s="53" t="inlineStr"/>
      <c r="N8152" s="54" t="inlineStr"/>
      <c r="O8152" s="55" t="inlineStr"/>
      <c r="P8152" s="16" t="inlineStr">
        <is>
          <t>Требует обогащения</t>
        </is>
      </c>
      <c r="Q8152" s="16">
        <f>HYPERLINK("https://pb.nalog.ru/search.html?query=8505005894","ФНС: проверить")</f>
        <v/>
      </c>
      <c r="R8152" s="16">
        <f>HYPERLINK("https://checko.ru/search?query=3801001629","Чекко: проверить")</f>
        <v/>
      </c>
      <c r="S8152" t="n">
        <v>1</v>
      </c>
      <c r="T8152" s="35" t="inlineStr">
        <is>
          <t>4 — Не обогащён</t>
        </is>
      </c>
      <c r="U8152" s="35" t="inlineStr">
        <is>
          <t>Нет ОКВЭД/ССЧР</t>
        </is>
      </c>
      <c r="V8152" s="35" t="inlineStr">
        <is>
          <t>Не определено</t>
        </is>
      </c>
      <c r="W8152" s="35" t="inlineStr"/>
      <c r="X8152" s="35" t="inlineStr"/>
    </row>
    <row r="8153" ht="15" customHeight="1" s="24">
      <c r="A8153" s="13" t="n">
        <v>5000122006</v>
      </c>
      <c r="B8153" s="13" t="inlineStr">
        <is>
          <t>МКУ ТУ Ильинский</t>
        </is>
      </c>
      <c r="C8153" s="13" t="n">
        <v>5040163628</v>
      </c>
      <c r="D8153" s="13" t="inlineStr">
        <is>
          <t>5040163628</t>
        </is>
      </c>
      <c r="E8153" s="13" t="inlineStr">
        <is>
          <t>ЮЛ РФ</t>
        </is>
      </c>
      <c r="F8153" s="13" t="n"/>
      <c r="G8153" s="14" t="n"/>
      <c r="H8153" s="14" t="n"/>
      <c r="I8153" s="14" t="n"/>
      <c r="J8153" s="14" t="n"/>
      <c r="K8153" s="53" t="inlineStr"/>
      <c r="L8153" s="53" t="inlineStr">
        <is>
          <t>Не определено</t>
        </is>
      </c>
      <c r="M8153" s="53" t="inlineStr"/>
      <c r="N8153" s="54" t="inlineStr"/>
      <c r="O8153" s="55" t="inlineStr"/>
      <c r="P8153" s="16" t="inlineStr">
        <is>
          <t>Требует обогащения</t>
        </is>
      </c>
      <c r="Q8153" s="16">
        <f>HYPERLINK("https://pb.nalog.ru/search.html?query=5040163628","ФНС: проверить")</f>
        <v/>
      </c>
      <c r="R8153" s="16">
        <f>HYPERLINK("https://checko.ru/search?query=3801001629","Чекко: проверить")</f>
        <v/>
      </c>
      <c r="S8153" t="n">
        <v>1</v>
      </c>
      <c r="T8153" s="35" t="inlineStr">
        <is>
          <t>4 — Не обогащён</t>
        </is>
      </c>
      <c r="U8153" s="35" t="inlineStr">
        <is>
          <t>Нет ОКВЭД/ССЧР</t>
        </is>
      </c>
      <c r="V8153" s="35" t="inlineStr">
        <is>
          <t>Не определено</t>
        </is>
      </c>
      <c r="W8153" s="35" t="inlineStr"/>
      <c r="X8153" s="35" t="inlineStr"/>
    </row>
    <row r="8154" ht="15" customHeight="1" s="24">
      <c r="A8154" s="13" t="n">
        <v>5000122260</v>
      </c>
      <c r="B8154" s="13" t="inlineStr">
        <is>
          <t>ХОР-ТАГНИНСКАЯ СЕЛЬСКАЯ АДМИНИСТРАЦИЯ</t>
        </is>
      </c>
      <c r="C8154" s="13" t="n">
        <v>3816038653</v>
      </c>
      <c r="D8154" s="13" t="inlineStr">
        <is>
          <t>3816038653</t>
        </is>
      </c>
      <c r="E8154" s="13" t="inlineStr">
        <is>
          <t>ЮЛ РФ</t>
        </is>
      </c>
      <c r="F8154" s="13" t="n"/>
      <c r="G8154" s="14" t="n"/>
      <c r="H8154" s="14" t="n"/>
      <c r="I8154" s="14" t="n"/>
      <c r="J8154" s="14" t="n"/>
      <c r="K8154" s="53" t="inlineStr"/>
      <c r="L8154" s="53" t="inlineStr">
        <is>
          <t>Не определено</t>
        </is>
      </c>
      <c r="M8154" s="53" t="inlineStr"/>
      <c r="N8154" s="54" t="inlineStr"/>
      <c r="O8154" s="55" t="inlineStr"/>
      <c r="P8154" s="16" t="inlineStr">
        <is>
          <t>Требует обогащения</t>
        </is>
      </c>
      <c r="Q8154" s="16">
        <f>HYPERLINK("https://pb.nalog.ru/search.html?query=3816038653","ФНС: проверить")</f>
        <v/>
      </c>
      <c r="R8154" s="16">
        <f>HYPERLINK("https://checko.ru/search?query=3801001629","Чекко: проверить")</f>
        <v/>
      </c>
      <c r="S8154" t="n">
        <v>1</v>
      </c>
      <c r="T8154" s="35" t="inlineStr">
        <is>
          <t>4 — Не обогащён</t>
        </is>
      </c>
      <c r="U8154" s="35" t="inlineStr">
        <is>
          <t>Нет ОКВЭД/ССЧР</t>
        </is>
      </c>
      <c r="V8154" s="35" t="inlineStr">
        <is>
          <t>Не определено</t>
        </is>
      </c>
      <c r="W8154" s="35" t="inlineStr"/>
      <c r="X8154" s="35" t="inlineStr"/>
    </row>
    <row r="8155" ht="54.75" customHeight="1" s="24">
      <c r="A8155" s="13" t="n">
        <v>5000122258</v>
      </c>
      <c r="B8155" s="13" t="inlineStr">
        <is>
          <t>МКУ КОМИТЕТ ПО УПРАВЛЕНИЮ МУНИЦИПАЛЬНЫМ ИМУЩЕСТВОМ МУНИЦИПАЛЬНОГО ОБРАЗОВАНИЯ "ЗАЛАРИНСКИЙ РАЙОН"</t>
        </is>
      </c>
      <c r="C8155" s="13" t="n">
        <v>3825002290</v>
      </c>
      <c r="D8155" s="13" t="inlineStr">
        <is>
          <t>3825002290</t>
        </is>
      </c>
      <c r="E8155" s="13" t="inlineStr">
        <is>
          <t>ЮЛ РФ</t>
        </is>
      </c>
      <c r="F8155" s="13" t="n"/>
      <c r="G8155" s="14" t="n"/>
      <c r="H8155" s="14" t="n"/>
      <c r="I8155" s="14" t="n"/>
      <c r="J8155" s="14" t="n"/>
      <c r="K8155" s="53" t="inlineStr"/>
      <c r="L8155" s="53" t="inlineStr">
        <is>
          <t>Не определено</t>
        </is>
      </c>
      <c r="M8155" s="53" t="inlineStr"/>
      <c r="N8155" s="54" t="inlineStr"/>
      <c r="O8155" s="55" t="inlineStr"/>
      <c r="P8155" s="16" t="inlineStr">
        <is>
          <t>Требует обогащения</t>
        </is>
      </c>
      <c r="Q8155" s="16">
        <f>HYPERLINK("https://pb.nalog.ru/search.html?query=3825002290","ФНС: проверить")</f>
        <v/>
      </c>
      <c r="R8155" s="16">
        <f>HYPERLINK("https://checko.ru/search?query=3801001629","Чекко: проверить")</f>
        <v/>
      </c>
      <c r="S8155" t="n">
        <v>1</v>
      </c>
      <c r="T8155" s="35" t="inlineStr">
        <is>
          <t>4 — Не обогащён</t>
        </is>
      </c>
      <c r="U8155" s="35" t="inlineStr">
        <is>
          <t>Нет ОКВЭД/ССЧР</t>
        </is>
      </c>
      <c r="V8155" s="35" t="inlineStr">
        <is>
          <t>Не определено</t>
        </is>
      </c>
      <c r="W8155" s="35" t="inlineStr"/>
      <c r="X8155" s="35" t="inlineStr"/>
    </row>
    <row r="8156" ht="15" customHeight="1" s="24">
      <c r="A8156" s="13" t="n">
        <v>5000122251</v>
      </c>
      <c r="B8156" s="13" t="inlineStr">
        <is>
          <t>МОИСЕЕВСКАЯ СЕЛЬСКАЯ АДМИНИСТРАЦИЯ</t>
        </is>
      </c>
      <c r="C8156" s="13" t="n">
        <v>3816038565</v>
      </c>
      <c r="D8156" s="13" t="inlineStr">
        <is>
          <t>3816038565</t>
        </is>
      </c>
      <c r="E8156" s="13" t="inlineStr">
        <is>
          <t>ЮЛ РФ</t>
        </is>
      </c>
      <c r="F8156" s="13" t="n"/>
      <c r="G8156" s="14" t="n"/>
      <c r="H8156" s="14" t="n"/>
      <c r="I8156" s="14" t="n"/>
      <c r="J8156" s="14" t="n"/>
      <c r="K8156" s="53" t="inlineStr"/>
      <c r="L8156" s="53" t="inlineStr">
        <is>
          <t>Не определено</t>
        </is>
      </c>
      <c r="M8156" s="53" t="inlineStr"/>
      <c r="N8156" s="54" t="inlineStr"/>
      <c r="O8156" s="55" t="inlineStr"/>
      <c r="P8156" s="16" t="inlineStr">
        <is>
          <t>Требует обогащения</t>
        </is>
      </c>
      <c r="Q8156" s="16">
        <f>HYPERLINK("https://pb.nalog.ru/search.html?query=3816038565","ФНС: проверить")</f>
        <v/>
      </c>
      <c r="R8156" s="16">
        <f>HYPERLINK("https://checko.ru/search?query=3801001629","Чекко: проверить")</f>
        <v/>
      </c>
      <c r="S8156" t="n">
        <v>1</v>
      </c>
      <c r="T8156" s="35" t="inlineStr">
        <is>
          <t>4 — Не обогащён</t>
        </is>
      </c>
      <c r="U8156" s="35" t="inlineStr">
        <is>
          <t>Нет ОКВЭД/ССЧР</t>
        </is>
      </c>
      <c r="V8156" s="35" t="inlineStr">
        <is>
          <t>Не определено</t>
        </is>
      </c>
      <c r="W8156" s="35" t="inlineStr"/>
      <c r="X8156" s="35" t="inlineStr"/>
    </row>
    <row r="8157" ht="15" customHeight="1" s="24">
      <c r="A8157" s="13" t="n">
        <v>5000122253</v>
      </c>
      <c r="B8157" s="13" t="inlineStr">
        <is>
          <t>БАЖИРСКАЯ СЕЛЬСКАЯ АДМИНИСТРАЦИЯ</t>
        </is>
      </c>
      <c r="C8157" s="13" t="n">
        <v>3816038540</v>
      </c>
      <c r="D8157" s="13" t="inlineStr">
        <is>
          <t>3816038540</t>
        </is>
      </c>
      <c r="E8157" s="13" t="inlineStr">
        <is>
          <t>ЮЛ РФ</t>
        </is>
      </c>
      <c r="F8157" s="13" t="n"/>
      <c r="G8157" s="14" t="n"/>
      <c r="H8157" s="14" t="n"/>
      <c r="I8157" s="14" t="n"/>
      <c r="J8157" s="14" t="n"/>
      <c r="K8157" s="53" t="inlineStr"/>
      <c r="L8157" s="53" t="inlineStr">
        <is>
          <t>Не определено</t>
        </is>
      </c>
      <c r="M8157" s="53" t="inlineStr"/>
      <c r="N8157" s="54" t="inlineStr"/>
      <c r="O8157" s="55" t="inlineStr"/>
      <c r="P8157" s="16" t="inlineStr">
        <is>
          <t>Требует обогащения</t>
        </is>
      </c>
      <c r="Q8157" s="16">
        <f>HYPERLINK("https://pb.nalog.ru/search.html?query=3816038540","ФНС: проверить")</f>
        <v/>
      </c>
      <c r="R8157" s="16">
        <f>HYPERLINK("https://checko.ru/search?query=3801001629","Чекко: проверить")</f>
        <v/>
      </c>
      <c r="S8157" t="n">
        <v>1</v>
      </c>
      <c r="T8157" s="35" t="inlineStr">
        <is>
          <t>4 — Не обогащён</t>
        </is>
      </c>
      <c r="U8157" s="35" t="inlineStr">
        <is>
          <t>Нет ОКВЭД/ССЧР</t>
        </is>
      </c>
      <c r="V8157" s="35" t="inlineStr">
        <is>
          <t>Не определено</t>
        </is>
      </c>
      <c r="W8157" s="35" t="inlineStr"/>
      <c r="X8157" s="35" t="inlineStr"/>
    </row>
    <row r="8158" ht="15" customHeight="1" s="24">
      <c r="A8158" s="13" t="n">
        <v>5000122254</v>
      </c>
      <c r="B8158" s="13" t="inlineStr">
        <is>
          <t>ХОЛМОГОЙСКАЯ СЕЛЬСКАЯ АДМИНИСТРАЦИЯ</t>
        </is>
      </c>
      <c r="C8158" s="13" t="n">
        <v>3816038580</v>
      </c>
      <c r="D8158" s="13" t="inlineStr">
        <is>
          <t>3816038580</t>
        </is>
      </c>
      <c r="E8158" s="13" t="inlineStr">
        <is>
          <t>ЮЛ РФ</t>
        </is>
      </c>
      <c r="F8158" s="13" t="n"/>
      <c r="G8158" s="14" t="n"/>
      <c r="H8158" s="14" t="n"/>
      <c r="I8158" s="14" t="n"/>
      <c r="J8158" s="14" t="n"/>
      <c r="K8158" s="53" t="inlineStr"/>
      <c r="L8158" s="53" t="inlineStr">
        <is>
          <t>Не определено</t>
        </is>
      </c>
      <c r="M8158" s="53" t="inlineStr"/>
      <c r="N8158" s="54" t="inlineStr"/>
      <c r="O8158" s="55" t="inlineStr"/>
      <c r="P8158" s="16" t="inlineStr">
        <is>
          <t>Требует обогащения</t>
        </is>
      </c>
      <c r="Q8158" s="16">
        <f>HYPERLINK("https://pb.nalog.ru/search.html?query=3816038580","ФНС: проверить")</f>
        <v/>
      </c>
      <c r="R8158" s="16">
        <f>HYPERLINK("https://checko.ru/search?query=3801001629","Чекко: проверить")</f>
        <v/>
      </c>
      <c r="S8158" t="n">
        <v>1</v>
      </c>
      <c r="T8158" s="35" t="inlineStr">
        <is>
          <t>4 — Не обогащён</t>
        </is>
      </c>
      <c r="U8158" s="35" t="inlineStr">
        <is>
          <t>Нет ОКВЭД/ССЧР</t>
        </is>
      </c>
      <c r="V8158" s="35" t="inlineStr">
        <is>
          <t>Не определено</t>
        </is>
      </c>
      <c r="W8158" s="35" t="inlineStr"/>
      <c r="X8158" s="35" t="inlineStr"/>
    </row>
    <row r="8159" ht="15" customHeight="1" s="24">
      <c r="A8159" s="13" t="n">
        <v>5000122256</v>
      </c>
      <c r="B8159" s="13" t="inlineStr">
        <is>
          <t>ТРОИЦКАЯ СЕЛЬСКАЯ АДМИНИСТРАЦИЯ</t>
        </is>
      </c>
      <c r="C8159" s="13" t="n">
        <v>3816038621</v>
      </c>
      <c r="D8159" s="13" t="inlineStr">
        <is>
          <t>3816038621</t>
        </is>
      </c>
      <c r="E8159" s="13" t="inlineStr">
        <is>
          <t>ЮЛ РФ</t>
        </is>
      </c>
      <c r="F8159" s="13" t="n"/>
      <c r="G8159" s="14" t="n"/>
      <c r="H8159" s="14" t="n"/>
      <c r="I8159" s="14" t="n"/>
      <c r="J8159" s="14" t="n"/>
      <c r="K8159" s="53" t="inlineStr"/>
      <c r="L8159" s="53" t="inlineStr">
        <is>
          <t>Не определено</t>
        </is>
      </c>
      <c r="M8159" s="53" t="inlineStr"/>
      <c r="N8159" s="54" t="inlineStr"/>
      <c r="O8159" s="55" t="inlineStr"/>
      <c r="P8159" s="16" t="inlineStr">
        <is>
          <t>Требует обогащения</t>
        </is>
      </c>
      <c r="Q8159" s="16">
        <f>HYPERLINK("https://pb.nalog.ru/search.html?query=3816038621","ФНС: проверить")</f>
        <v/>
      </c>
      <c r="R8159" s="16">
        <f>HYPERLINK("https://checko.ru/search?query=3801001629","Чекко: проверить")</f>
        <v/>
      </c>
      <c r="S8159" t="n">
        <v>1</v>
      </c>
      <c r="T8159" s="35" t="inlineStr">
        <is>
          <t>4 — Не обогащён</t>
        </is>
      </c>
      <c r="U8159" s="35" t="inlineStr">
        <is>
          <t>Нет ОКВЭД/ССЧР</t>
        </is>
      </c>
      <c r="V8159" s="35" t="inlineStr">
        <is>
          <t>Не определено</t>
        </is>
      </c>
      <c r="W8159" s="35" t="inlineStr"/>
      <c r="X8159" s="35" t="inlineStr"/>
    </row>
    <row r="8160" ht="15" customHeight="1" s="24">
      <c r="A8160" s="13" t="n">
        <v>5000122259</v>
      </c>
      <c r="B8160" s="13" t="inlineStr">
        <is>
          <t>ТЫРЕТСКАЯ ПОСЕЛКОВАЯ АДМИНИСТРАЦИЯ</t>
        </is>
      </c>
      <c r="C8160" s="13" t="n">
        <v>3816038678</v>
      </c>
      <c r="D8160" s="13" t="inlineStr">
        <is>
          <t>3816038678</t>
        </is>
      </c>
      <c r="E8160" s="13" t="inlineStr">
        <is>
          <t>ЮЛ РФ</t>
        </is>
      </c>
      <c r="F8160" s="13" t="n"/>
      <c r="G8160" s="14" t="n"/>
      <c r="H8160" s="14" t="n"/>
      <c r="I8160" s="14" t="n"/>
      <c r="J8160" s="14" t="n"/>
      <c r="K8160" s="53" t="inlineStr"/>
      <c r="L8160" s="53" t="inlineStr">
        <is>
          <t>Не определено</t>
        </is>
      </c>
      <c r="M8160" s="53" t="inlineStr"/>
      <c r="N8160" s="54" t="inlineStr"/>
      <c r="O8160" s="55" t="inlineStr"/>
      <c r="P8160" s="16" t="inlineStr">
        <is>
          <t>Требует обогащения</t>
        </is>
      </c>
      <c r="Q8160" s="16">
        <f>HYPERLINK("https://pb.nalog.ru/search.html?query=3816038678","ФНС: проверить")</f>
        <v/>
      </c>
      <c r="R8160" s="16">
        <f>HYPERLINK("https://checko.ru/search?query=3801001629","Чекко: проверить")</f>
        <v/>
      </c>
      <c r="S8160" t="n">
        <v>1</v>
      </c>
      <c r="T8160" s="35" t="inlineStr">
        <is>
          <t>4 — Не обогащён</t>
        </is>
      </c>
      <c r="U8160" s="35" t="inlineStr">
        <is>
          <t>Нет ОКВЭД/ССЧР</t>
        </is>
      </c>
      <c r="V8160" s="35" t="inlineStr">
        <is>
          <t>Не определено</t>
        </is>
      </c>
      <c r="W8160" s="35" t="inlineStr"/>
      <c r="X8160" s="35" t="inlineStr"/>
    </row>
    <row r="8161" ht="27.75" customHeight="1" s="24">
      <c r="A8161" s="13" t="n">
        <v>5000122261</v>
      </c>
      <c r="B8161" s="13" t="inlineStr">
        <is>
          <t>НОВОЧЕРЕМХОВСКАЯ СЕЛЬСКАЯ АДМИНИСТРАЦИЯ</t>
        </is>
      </c>
      <c r="C8161" s="13" t="n">
        <v>3816038639</v>
      </c>
      <c r="D8161" s="13" t="inlineStr">
        <is>
          <t>3816038639</t>
        </is>
      </c>
      <c r="E8161" s="13" t="inlineStr">
        <is>
          <t>ЮЛ РФ</t>
        </is>
      </c>
      <c r="F8161" s="13" t="n"/>
      <c r="G8161" s="14" t="n"/>
      <c r="H8161" s="14" t="n"/>
      <c r="I8161" s="14" t="n"/>
      <c r="J8161" s="14" t="n"/>
      <c r="K8161" s="53" t="inlineStr"/>
      <c r="L8161" s="53" t="inlineStr">
        <is>
          <t>Не определено</t>
        </is>
      </c>
      <c r="M8161" s="53" t="inlineStr"/>
      <c r="N8161" s="54" t="inlineStr"/>
      <c r="O8161" s="55" t="inlineStr"/>
      <c r="P8161" s="16" t="inlineStr">
        <is>
          <t>Требует обогащения</t>
        </is>
      </c>
      <c r="Q8161" s="16">
        <f>HYPERLINK("https://pb.nalog.ru/search.html?query=3816038639","ФНС: проверить")</f>
        <v/>
      </c>
      <c r="R8161" s="16">
        <f>HYPERLINK("https://checko.ru/search?query=3801001629","Чекко: проверить")</f>
        <v/>
      </c>
      <c r="S8161" t="n">
        <v>1</v>
      </c>
      <c r="T8161" s="35" t="inlineStr">
        <is>
          <t>4 — Не обогащён</t>
        </is>
      </c>
      <c r="U8161" s="35" t="inlineStr">
        <is>
          <t>Нет ОКВЭД/ССЧР</t>
        </is>
      </c>
      <c r="V8161" s="35" t="inlineStr">
        <is>
          <t>Не определено</t>
        </is>
      </c>
      <c r="W8161" s="35" t="inlineStr"/>
      <c r="X8161" s="35" t="inlineStr"/>
    </row>
    <row r="8162" ht="15" customHeight="1" s="24">
      <c r="A8162" s="13" t="n">
        <v>5000122248</v>
      </c>
      <c r="B8162" s="13" t="inlineStr">
        <is>
          <t>ХАНЖИНОВСКАЯ СЕЛЬСКАЯ АДМИНИСТРАЦИЯ</t>
        </is>
      </c>
      <c r="C8162" s="13" t="n">
        <v>3816038646</v>
      </c>
      <c r="D8162" s="13" t="inlineStr">
        <is>
          <t>3816038646</t>
        </is>
      </c>
      <c r="E8162" s="13" t="inlineStr">
        <is>
          <t>ЮЛ РФ</t>
        </is>
      </c>
      <c r="F8162" s="13" t="n"/>
      <c r="G8162" s="14" t="n"/>
      <c r="H8162" s="14" t="n"/>
      <c r="I8162" s="14" t="n"/>
      <c r="J8162" s="14" t="n"/>
      <c r="K8162" s="53" t="inlineStr"/>
      <c r="L8162" s="53" t="inlineStr">
        <is>
          <t>Не определено</t>
        </is>
      </c>
      <c r="M8162" s="53" t="inlineStr"/>
      <c r="N8162" s="54" t="inlineStr"/>
      <c r="O8162" s="55" t="inlineStr"/>
      <c r="P8162" s="16" t="inlineStr">
        <is>
          <t>Требует обогащения</t>
        </is>
      </c>
      <c r="Q8162" s="16">
        <f>HYPERLINK("https://pb.nalog.ru/search.html?query=3816038646","ФНС: проверить")</f>
        <v/>
      </c>
      <c r="R8162" s="16">
        <f>HYPERLINK("https://checko.ru/search?query=3801001629","Чекко: проверить")</f>
        <v/>
      </c>
      <c r="S8162" t="n">
        <v>1</v>
      </c>
      <c r="T8162" s="35" t="inlineStr">
        <is>
          <t>4 — Не обогащён</t>
        </is>
      </c>
      <c r="U8162" s="35" t="inlineStr">
        <is>
          <t>Нет ОКВЭД/ССЧР</t>
        </is>
      </c>
      <c r="V8162" s="35" t="inlineStr">
        <is>
          <t>Не определено</t>
        </is>
      </c>
      <c r="W8162" s="35" t="inlineStr"/>
      <c r="X8162" s="35" t="inlineStr"/>
    </row>
    <row r="8163" ht="15" customHeight="1" s="24">
      <c r="A8163" s="13" t="n">
        <v>5000122252</v>
      </c>
      <c r="B8163" s="13" t="inlineStr">
        <is>
          <t>БАБАГАЙСКАЯ СЕЛЬСКАЯ АДМИНИСТРАЦИЯ</t>
        </is>
      </c>
      <c r="C8163" s="13" t="n">
        <v>3816038660</v>
      </c>
      <c r="D8163" s="13" t="inlineStr">
        <is>
          <t>3816038660</t>
        </is>
      </c>
      <c r="E8163" s="13" t="inlineStr">
        <is>
          <t>ЮЛ РФ</t>
        </is>
      </c>
      <c r="F8163" s="13" t="n"/>
      <c r="G8163" s="14" t="n"/>
      <c r="H8163" s="14" t="n"/>
      <c r="I8163" s="14" t="n"/>
      <c r="J8163" s="14" t="n"/>
      <c r="K8163" s="53" t="inlineStr"/>
      <c r="L8163" s="53" t="inlineStr">
        <is>
          <t>Не определено</t>
        </is>
      </c>
      <c r="M8163" s="53" t="inlineStr"/>
      <c r="N8163" s="54" t="inlineStr"/>
      <c r="O8163" s="55" t="inlineStr"/>
      <c r="P8163" s="16" t="inlineStr">
        <is>
          <t>Требует обогащения</t>
        </is>
      </c>
      <c r="Q8163" s="16">
        <f>HYPERLINK("https://pb.nalog.ru/search.html?query=3816038660","ФНС: проверить")</f>
        <v/>
      </c>
      <c r="R8163" s="16">
        <f>HYPERLINK("https://checko.ru/search?query=3801001629","Чекко: проверить")</f>
        <v/>
      </c>
      <c r="S8163" t="n">
        <v>1</v>
      </c>
      <c r="T8163" s="35" t="inlineStr">
        <is>
          <t>4 — Не обогащён</t>
        </is>
      </c>
      <c r="U8163" s="35" t="inlineStr">
        <is>
          <t>Нет ОКВЭД/ССЧР</t>
        </is>
      </c>
      <c r="V8163" s="35" t="inlineStr">
        <is>
          <t>Не определено</t>
        </is>
      </c>
      <c r="W8163" s="35" t="inlineStr"/>
      <c r="X8163" s="35" t="inlineStr"/>
    </row>
    <row r="8164" ht="41.25" customHeight="1" s="24">
      <c r="A8164" s="13" t="n">
        <v>5000122246</v>
      </c>
      <c r="B8164" s="13" t="inlineStr">
        <is>
          <t>СЕМЕНОВСКАЯ СЕЛЬСКАЯ АДМИНИСТРАЦИЯ ЗАЛАРИНСКОГО МУНИЦИПАЛЬНОГО ОКРУГА ИРКУТСКОЙ ОБЛАСТИ</t>
        </is>
      </c>
      <c r="C8164" s="13" t="n">
        <v>3816038526</v>
      </c>
      <c r="D8164" s="13" t="inlineStr">
        <is>
          <t>3816038526</t>
        </is>
      </c>
      <c r="E8164" s="13" t="inlineStr">
        <is>
          <t>ЮЛ РФ</t>
        </is>
      </c>
      <c r="F8164" s="13" t="n"/>
      <c r="G8164" s="14" t="n"/>
      <c r="H8164" s="14" t="n"/>
      <c r="I8164" s="14" t="n"/>
      <c r="J8164" s="14" t="n"/>
      <c r="K8164" s="53" t="inlineStr"/>
      <c r="L8164" s="53" t="inlineStr">
        <is>
          <t>Не определено</t>
        </is>
      </c>
      <c r="M8164" s="53" t="inlineStr"/>
      <c r="N8164" s="54" t="inlineStr"/>
      <c r="O8164" s="55" t="inlineStr"/>
      <c r="P8164" s="16" t="inlineStr">
        <is>
          <t>Требует обогащения</t>
        </is>
      </c>
      <c r="Q8164" s="16">
        <f>HYPERLINK("https://pb.nalog.ru/search.html?query=3816038526","ФНС: проверить")</f>
        <v/>
      </c>
      <c r="R8164" s="16">
        <f>HYPERLINK("https://checko.ru/search?query=3801001629","Чекко: проверить")</f>
        <v/>
      </c>
      <c r="S8164" t="n">
        <v>1</v>
      </c>
      <c r="T8164" s="35" t="inlineStr">
        <is>
          <t>4 — Не обогащён</t>
        </is>
      </c>
      <c r="U8164" s="35" t="inlineStr">
        <is>
          <t>Нет ОКВЭД/ССЧР</t>
        </is>
      </c>
      <c r="V8164" s="35" t="inlineStr">
        <is>
          <t>Не определено</t>
        </is>
      </c>
      <c r="W8164" s="35" t="inlineStr"/>
      <c r="X8164" s="35" t="inlineStr"/>
    </row>
    <row r="8165" ht="41.25" customHeight="1" s="24">
      <c r="A8165" s="13" t="n">
        <v>5000122247</v>
      </c>
      <c r="B8165" s="13" t="inlineStr">
        <is>
          <t>ЧЕРЕМШАНСКАЯ СЕЛЬСКАЯ АДМИНИСТРАЦИЯ ЗАЛАРИНСКОГО МУНИЦИПАЛЬНОГО ОКРУГА ИРКУТСКОЙ ОБЛАСТИ</t>
        </is>
      </c>
      <c r="C8165" s="13" t="n">
        <v>3816038685</v>
      </c>
      <c r="D8165" s="13" t="inlineStr">
        <is>
          <t>3816038685</t>
        </is>
      </c>
      <c r="E8165" s="13" t="inlineStr">
        <is>
          <t>ЮЛ РФ</t>
        </is>
      </c>
      <c r="F8165" s="13" t="n"/>
      <c r="G8165" s="14" t="n"/>
      <c r="H8165" s="14" t="n"/>
      <c r="I8165" s="14" t="n"/>
      <c r="J8165" s="14" t="n"/>
      <c r="K8165" s="53" t="inlineStr"/>
      <c r="L8165" s="53" t="inlineStr">
        <is>
          <t>Не определено</t>
        </is>
      </c>
      <c r="M8165" s="53" t="inlineStr"/>
      <c r="N8165" s="54" t="inlineStr"/>
      <c r="O8165" s="55" t="inlineStr"/>
      <c r="P8165" s="16" t="inlineStr">
        <is>
          <t>Требует обогащения</t>
        </is>
      </c>
      <c r="Q8165" s="16">
        <f>HYPERLINK("https://pb.nalog.ru/search.html?query=3816038685","ФНС: проверить")</f>
        <v/>
      </c>
      <c r="R8165" s="16">
        <f>HYPERLINK("https://checko.ru/search?query=3801001629","Чекко: проверить")</f>
        <v/>
      </c>
      <c r="S8165" t="n">
        <v>1</v>
      </c>
      <c r="T8165" s="35" t="inlineStr">
        <is>
          <t>4 — Не обогащён</t>
        </is>
      </c>
      <c r="U8165" s="35" t="inlineStr">
        <is>
          <t>Нет ОКВЭД/ССЧР</t>
        </is>
      </c>
      <c r="V8165" s="35" t="inlineStr">
        <is>
          <t>Не определено</t>
        </is>
      </c>
      <c r="W8165" s="35" t="inlineStr"/>
      <c r="X8165" s="35" t="inlineStr"/>
    </row>
    <row r="8166" ht="41.25" customHeight="1" s="24">
      <c r="A8166" s="13" t="n">
        <v>5000122255</v>
      </c>
      <c r="B8166" s="13" t="inlineStr">
        <is>
          <t>МОЙГАНСКАЯ СЕЛЬСКАЯ АДМИНИСТРАЦИЯ ЗАЛАРИНСКОГО МУНИЦИПАЛЬНОГО ОКРУГА ИРКУТСКОЙ ОБЛАСТИ</t>
        </is>
      </c>
      <c r="C8166" s="13" t="n">
        <v>3816038572</v>
      </c>
      <c r="D8166" s="13" t="inlineStr">
        <is>
          <t>3816038572</t>
        </is>
      </c>
      <c r="E8166" s="13" t="inlineStr">
        <is>
          <t>ЮЛ РФ</t>
        </is>
      </c>
      <c r="F8166" s="13" t="n"/>
      <c r="G8166" s="14" t="n"/>
      <c r="H8166" s="14" t="n"/>
      <c r="I8166" s="14" t="n"/>
      <c r="J8166" s="14" t="n"/>
      <c r="K8166" s="53" t="inlineStr"/>
      <c r="L8166" s="53" t="inlineStr">
        <is>
          <t>Не определено</t>
        </is>
      </c>
      <c r="M8166" s="53" t="inlineStr"/>
      <c r="N8166" s="54" t="inlineStr"/>
      <c r="O8166" s="55" t="inlineStr"/>
      <c r="P8166" s="16" t="inlineStr">
        <is>
          <t>Требует обогащения</t>
        </is>
      </c>
      <c r="Q8166" s="16">
        <f>HYPERLINK("https://pb.nalog.ru/search.html?query=3816038572","ФНС: проверить")</f>
        <v/>
      </c>
      <c r="R8166" s="16">
        <f>HYPERLINK("https://checko.ru/search?query=3801001629","Чекко: проверить")</f>
        <v/>
      </c>
      <c r="S8166" t="n">
        <v>1</v>
      </c>
      <c r="T8166" s="35" t="inlineStr">
        <is>
          <t>4 — Не обогащён</t>
        </is>
      </c>
      <c r="U8166" s="35" t="inlineStr">
        <is>
          <t>Нет ОКВЭД/ССЧР</t>
        </is>
      </c>
      <c r="V8166" s="35" t="inlineStr">
        <is>
          <t>Не определено</t>
        </is>
      </c>
      <c r="W8166" s="35" t="inlineStr"/>
      <c r="X8166" s="35" t="inlineStr"/>
    </row>
    <row r="8167" ht="27.75" customHeight="1" s="24">
      <c r="A8167" s="13" t="n">
        <v>5000122257</v>
      </c>
      <c r="B8167" s="13" t="inlineStr">
        <is>
          <t>АДМИНИСТРАЦИЯ ЗАЛАРИНСКОГО МУНИЦИПАЛЬНОГО ОКРУГА ИРКУТСКОЙ ОБЛАСТИ</t>
        </is>
      </c>
      <c r="C8167" s="13" t="n">
        <v>3816038340</v>
      </c>
      <c r="D8167" s="13" t="inlineStr">
        <is>
          <t>3816038340</t>
        </is>
      </c>
      <c r="E8167" s="13" t="inlineStr">
        <is>
          <t>ЮЛ РФ</t>
        </is>
      </c>
      <c r="F8167" s="13" t="n"/>
      <c r="G8167" s="14" t="n"/>
      <c r="H8167" s="14" t="n"/>
      <c r="I8167" s="14" t="n"/>
      <c r="J8167" s="14" t="n"/>
      <c r="K8167" s="53" t="inlineStr"/>
      <c r="L8167" s="53" t="inlineStr">
        <is>
          <t>Не определено</t>
        </is>
      </c>
      <c r="M8167" s="53" t="inlineStr"/>
      <c r="N8167" s="54" t="inlineStr"/>
      <c r="O8167" s="55" t="inlineStr"/>
      <c r="P8167" s="16" t="inlineStr">
        <is>
          <t>Требует обогащения</t>
        </is>
      </c>
      <c r="Q8167" s="16">
        <f>HYPERLINK("https://pb.nalog.ru/search.html?query=3816038340","ФНС: проверить")</f>
        <v/>
      </c>
      <c r="R8167" s="16">
        <f>HYPERLINK("https://checko.ru/search?query=3801001629","Чекко: проверить")</f>
        <v/>
      </c>
      <c r="S8167" t="n">
        <v>1</v>
      </c>
      <c r="T8167" s="35" t="inlineStr">
        <is>
          <t>4 — Не обогащён</t>
        </is>
      </c>
      <c r="U8167" s="35" t="inlineStr">
        <is>
          <t>Нет ОКВЭД/ССЧР</t>
        </is>
      </c>
      <c r="V8167" s="35" t="inlineStr">
        <is>
          <t>Не определено</t>
        </is>
      </c>
      <c r="W8167" s="35" t="inlineStr"/>
      <c r="X8167" s="35" t="inlineStr"/>
    </row>
    <row r="8168" ht="15" customHeight="1" s="24">
      <c r="A8168" s="13" t="n">
        <v>5000122249</v>
      </c>
      <c r="B8168" s="13" t="inlineStr">
        <is>
          <t>ВЕРЕНСКАЯ СЕЛЬСКАЯ АДМИНИСТРАЦИЯ</t>
        </is>
      </c>
      <c r="C8168" s="13" t="n">
        <v>3816038558</v>
      </c>
      <c r="D8168" s="13" t="inlineStr">
        <is>
          <t>3816038558</t>
        </is>
      </c>
      <c r="E8168" s="13" t="inlineStr">
        <is>
          <t>ЮЛ РФ</t>
        </is>
      </c>
      <c r="F8168" s="13" t="n"/>
      <c r="G8168" s="14" t="n"/>
      <c r="H8168" s="14" t="n"/>
      <c r="I8168" s="14" t="n"/>
      <c r="J8168" s="14" t="n"/>
      <c r="K8168" s="53" t="inlineStr"/>
      <c r="L8168" s="53" t="inlineStr">
        <is>
          <t>Не определено</t>
        </is>
      </c>
      <c r="M8168" s="53" t="inlineStr"/>
      <c r="N8168" s="54" t="inlineStr"/>
      <c r="O8168" s="55" t="inlineStr"/>
      <c r="P8168" s="16" t="inlineStr">
        <is>
          <t>Требует обогащения</t>
        </is>
      </c>
      <c r="Q8168" s="16">
        <f>HYPERLINK("https://pb.nalog.ru/search.html?query=3816038558","ФНС: проверить")</f>
        <v/>
      </c>
      <c r="R8168" s="16">
        <f>HYPERLINK("https://checko.ru/search?query=3801001629","Чекко: проверить")</f>
        <v/>
      </c>
      <c r="S8168" t="n">
        <v>1</v>
      </c>
      <c r="T8168" s="35" t="inlineStr">
        <is>
          <t>4 — Не обогащён</t>
        </is>
      </c>
      <c r="U8168" s="35" t="inlineStr">
        <is>
          <t>Нет ОКВЭД/ССЧР</t>
        </is>
      </c>
      <c r="V8168" s="35" t="inlineStr">
        <is>
          <t>Не определено</t>
        </is>
      </c>
      <c r="W8168" s="35" t="inlineStr"/>
      <c r="X8168" s="35" t="inlineStr"/>
    </row>
    <row r="8169" ht="15" customHeight="1" s="24">
      <c r="A8169" s="13" t="n">
        <v>5000122250</v>
      </c>
      <c r="B8169" s="13" t="inlineStr">
        <is>
          <t>ВЛАДИМИРСКАЯ СЕЛЬСКАЯ АДМИНИСТРАЦИЯ</t>
        </is>
      </c>
      <c r="C8169" s="13" t="n">
        <v>3816038614</v>
      </c>
      <c r="D8169" s="13" t="inlineStr">
        <is>
          <t>3816038614</t>
        </is>
      </c>
      <c r="E8169" s="13" t="inlineStr">
        <is>
          <t>ЮЛ РФ</t>
        </is>
      </c>
      <c r="F8169" s="13" t="n"/>
      <c r="G8169" s="14" t="n"/>
      <c r="H8169" s="14" t="n"/>
      <c r="I8169" s="14" t="n"/>
      <c r="J8169" s="14" t="n"/>
      <c r="K8169" s="53" t="inlineStr"/>
      <c r="L8169" s="53" t="inlineStr">
        <is>
          <t>Не определено</t>
        </is>
      </c>
      <c r="M8169" s="53" t="inlineStr"/>
      <c r="N8169" s="54" t="inlineStr"/>
      <c r="O8169" s="55" t="inlineStr"/>
      <c r="P8169" s="16" t="inlineStr">
        <is>
          <t>Требует обогащения</t>
        </is>
      </c>
      <c r="Q8169" s="16">
        <f>HYPERLINK("https://pb.nalog.ru/search.html?query=3816038614","ФНС: проверить")</f>
        <v/>
      </c>
      <c r="R8169" s="16">
        <f>HYPERLINK("https://checko.ru/search?query=3801001629","Чекко: проверить")</f>
        <v/>
      </c>
      <c r="S8169" t="n">
        <v>1</v>
      </c>
      <c r="T8169" s="35" t="inlineStr">
        <is>
          <t>4 — Не обогащён</t>
        </is>
      </c>
      <c r="U8169" s="35" t="inlineStr">
        <is>
          <t>Нет ОКВЭД/ССЧР</t>
        </is>
      </c>
      <c r="V8169" s="35" t="inlineStr">
        <is>
          <t>Не определено</t>
        </is>
      </c>
      <c r="W8169" s="35" t="inlineStr"/>
      <c r="X8169" s="35" t="inlineStr"/>
    </row>
    <row r="8170" ht="15" customHeight="1" s="24">
      <c r="A8170" s="13" t="n">
        <v>5000122079</v>
      </c>
      <c r="B8170" s="13" t="inlineStr">
        <is>
          <t>МБУДО МЕДВЕЖЬЕ-ОЗЁРСКАЯ ДШИ ГОЩ</t>
        </is>
      </c>
      <c r="C8170" s="13" t="n">
        <v>5050038827</v>
      </c>
      <c r="D8170" s="13" t="inlineStr">
        <is>
          <t>5050038827</t>
        </is>
      </c>
      <c r="E8170" s="13" t="inlineStr">
        <is>
          <t>ЮЛ РФ</t>
        </is>
      </c>
      <c r="F8170" s="13" t="n"/>
      <c r="G8170" s="14" t="n"/>
      <c r="H8170" s="14" t="n"/>
      <c r="I8170" s="14" t="n"/>
      <c r="J8170" s="14" t="n"/>
      <c r="K8170" s="53" t="inlineStr"/>
      <c r="L8170" s="53" t="inlineStr">
        <is>
          <t>Не определено</t>
        </is>
      </c>
      <c r="M8170" s="53" t="inlineStr"/>
      <c r="N8170" s="54" t="inlineStr"/>
      <c r="O8170" s="55" t="inlineStr"/>
      <c r="P8170" s="16" t="inlineStr">
        <is>
          <t>Требует обогащения</t>
        </is>
      </c>
      <c r="Q8170" s="16">
        <f>HYPERLINK("https://pb.nalog.ru/search.html?query=5050038827","ФНС: проверить")</f>
        <v/>
      </c>
      <c r="R8170" s="16">
        <f>HYPERLINK("https://checko.ru/search?query=3801001629","Чекко: проверить")</f>
        <v/>
      </c>
      <c r="S8170" t="n">
        <v>1</v>
      </c>
      <c r="T8170" s="35" t="inlineStr">
        <is>
          <t>4 — Не обогащён</t>
        </is>
      </c>
      <c r="U8170" s="35" t="inlineStr">
        <is>
          <t>Нет ОКВЭД/ССЧР</t>
        </is>
      </c>
      <c r="V8170" s="35" t="inlineStr">
        <is>
          <t>Не определено</t>
        </is>
      </c>
      <c r="W8170" s="35" t="inlineStr"/>
      <c r="X8170" s="35" t="inlineStr"/>
    </row>
    <row r="8171" ht="15" customHeight="1" s="24">
      <c r="A8171" s="13" t="n">
        <v>5000122081</v>
      </c>
      <c r="B8171" s="13" t="inlineStr">
        <is>
          <t>МБУДО ДМШ ГОЩ</t>
        </is>
      </c>
      <c r="C8171" s="13" t="n">
        <v>5050038591</v>
      </c>
      <c r="D8171" s="13" t="inlineStr">
        <is>
          <t>5050038591</t>
        </is>
      </c>
      <c r="E8171" s="13" t="inlineStr">
        <is>
          <t>ЮЛ РФ</t>
        </is>
      </c>
      <c r="F8171" s="13" t="n"/>
      <c r="G8171" s="14" t="n"/>
      <c r="H8171" s="14" t="n"/>
      <c r="I8171" s="14" t="n"/>
      <c r="J8171" s="14" t="n"/>
      <c r="K8171" s="53" t="inlineStr"/>
      <c r="L8171" s="53" t="inlineStr">
        <is>
          <t>Не определено</t>
        </is>
      </c>
      <c r="M8171" s="53" t="inlineStr"/>
      <c r="N8171" s="54" t="inlineStr"/>
      <c r="O8171" s="55" t="inlineStr"/>
      <c r="P8171" s="16" t="inlineStr">
        <is>
          <t>Требует обогащения</t>
        </is>
      </c>
      <c r="Q8171" s="16">
        <f>HYPERLINK("https://pb.nalog.ru/search.html?query=5050038591","ФНС: проверить")</f>
        <v/>
      </c>
      <c r="R8171" s="16">
        <f>HYPERLINK("https://checko.ru/search?query=3801001629","Чекко: проверить")</f>
        <v/>
      </c>
      <c r="S8171" t="n">
        <v>1</v>
      </c>
      <c r="T8171" s="35" t="inlineStr">
        <is>
          <t>4 — Не обогащён</t>
        </is>
      </c>
      <c r="U8171" s="35" t="inlineStr">
        <is>
          <t>Нет ОКВЭД/ССЧР</t>
        </is>
      </c>
      <c r="V8171" s="35" t="inlineStr">
        <is>
          <t>Не определено</t>
        </is>
      </c>
      <c r="W8171" s="35" t="inlineStr"/>
      <c r="X8171" s="35" t="inlineStr"/>
    </row>
    <row r="8172" ht="15" customHeight="1" s="24">
      <c r="A8172" s="13" t="n">
        <v>5000122082</v>
      </c>
      <c r="B8172" s="13" t="inlineStr">
        <is>
          <t>МАУК ГОЩ "ДИРЕКЦИЯ ПАРКОВ"</t>
        </is>
      </c>
      <c r="C8172" s="13" t="n">
        <v>5050152953</v>
      </c>
      <c r="D8172" s="13" t="inlineStr">
        <is>
          <t>5050152953</t>
        </is>
      </c>
      <c r="E8172" s="13" t="inlineStr">
        <is>
          <t>ЮЛ РФ</t>
        </is>
      </c>
      <c r="F8172" s="13" t="n"/>
      <c r="G8172" s="14" t="n"/>
      <c r="H8172" s="14" t="n"/>
      <c r="I8172" s="14" t="n"/>
      <c r="J8172" s="14" t="n"/>
      <c r="K8172" s="53" t="inlineStr"/>
      <c r="L8172" s="53" t="inlineStr">
        <is>
          <t>Не определено</t>
        </is>
      </c>
      <c r="M8172" s="53" t="inlineStr"/>
      <c r="N8172" s="54" t="inlineStr"/>
      <c r="O8172" s="55" t="inlineStr"/>
      <c r="P8172" s="16" t="inlineStr">
        <is>
          <t>Требует обогащения</t>
        </is>
      </c>
      <c r="Q8172" s="16">
        <f>HYPERLINK("https://pb.nalog.ru/search.html?query=5050152953","ФНС: проверить")</f>
        <v/>
      </c>
      <c r="R8172" s="16">
        <f>HYPERLINK("https://checko.ru/search?query=3801001629","Чекко: проверить")</f>
        <v/>
      </c>
      <c r="S8172" t="n">
        <v>1</v>
      </c>
      <c r="T8172" s="35" t="inlineStr">
        <is>
          <t>4 — Не обогащён</t>
        </is>
      </c>
      <c r="U8172" s="35" t="inlineStr">
        <is>
          <t>Нет ОКВЭД/ССЧР</t>
        </is>
      </c>
      <c r="V8172" s="35" t="inlineStr">
        <is>
          <t>Не определено</t>
        </is>
      </c>
      <c r="W8172" s="35" t="inlineStr"/>
      <c r="X8172" s="35" t="inlineStr"/>
    </row>
    <row r="8173" ht="15" customHeight="1" s="24">
      <c r="A8173" s="13" t="n">
        <v>5000122039</v>
      </c>
      <c r="B8173" s="13" t="inlineStr">
        <is>
          <t>МАУДО ДХШ ГОЩ</t>
        </is>
      </c>
      <c r="C8173" s="13" t="n">
        <v>5050038810</v>
      </c>
      <c r="D8173" s="13" t="inlineStr">
        <is>
          <t>5050038810</t>
        </is>
      </c>
      <c r="E8173" s="13" t="inlineStr">
        <is>
          <t>ЮЛ РФ</t>
        </is>
      </c>
      <c r="F8173" s="13" t="n"/>
      <c r="G8173" s="14" t="n"/>
      <c r="H8173" s="14" t="n"/>
      <c r="I8173" s="14" t="n"/>
      <c r="J8173" s="14" t="n"/>
      <c r="K8173" s="53" t="inlineStr"/>
      <c r="L8173" s="53" t="inlineStr">
        <is>
          <t>Не определено</t>
        </is>
      </c>
      <c r="M8173" s="53" t="inlineStr"/>
      <c r="N8173" s="54" t="inlineStr"/>
      <c r="O8173" s="55" t="inlineStr"/>
      <c r="P8173" s="16" t="inlineStr">
        <is>
          <t>Требует обогащения</t>
        </is>
      </c>
      <c r="Q8173" s="16">
        <f>HYPERLINK("https://pb.nalog.ru/search.html?query=5050038810","ФНС: проверить")</f>
        <v/>
      </c>
      <c r="R8173" s="16">
        <f>HYPERLINK("https://checko.ru/search?query=3801001629","Чекко: проверить")</f>
        <v/>
      </c>
      <c r="S8173" t="n">
        <v>1</v>
      </c>
      <c r="T8173" s="35" t="inlineStr">
        <is>
          <t>4 — Не обогащён</t>
        </is>
      </c>
      <c r="U8173" s="35" t="inlineStr">
        <is>
          <t>Нет ОКВЭД/ССЧР</t>
        </is>
      </c>
      <c r="V8173" s="35" t="inlineStr">
        <is>
          <t>Не определено</t>
        </is>
      </c>
      <c r="W8173" s="35" t="inlineStr"/>
      <c r="X8173" s="35" t="inlineStr"/>
    </row>
    <row r="8174" ht="27.75" customHeight="1" s="24">
      <c r="A8174" s="13" t="n">
        <v>5000122041</v>
      </c>
      <c r="B8174" s="13" t="inlineStr">
        <is>
          <t>МАУ ГОЩ ФОК "ЛЕДОВАЯ АРЕНА" ИМ. В.А. ТРЕТЬЯКА</t>
        </is>
      </c>
      <c r="C8174" s="13" t="n">
        <v>5050119650</v>
      </c>
      <c r="D8174" s="13" t="inlineStr">
        <is>
          <t>5050119650</t>
        </is>
      </c>
      <c r="E8174" s="13" t="inlineStr">
        <is>
          <t>ЮЛ РФ</t>
        </is>
      </c>
      <c r="F8174" s="13" t="n"/>
      <c r="G8174" s="14" t="n"/>
      <c r="H8174" s="14" t="n"/>
      <c r="I8174" s="14" t="n"/>
      <c r="J8174" s="14" t="n"/>
      <c r="K8174" s="53" t="inlineStr"/>
      <c r="L8174" s="53" t="inlineStr">
        <is>
          <t>Не определено</t>
        </is>
      </c>
      <c r="M8174" s="53" t="inlineStr"/>
      <c r="N8174" s="54" t="inlineStr"/>
      <c r="O8174" s="55" t="inlineStr"/>
      <c r="P8174" s="16" t="inlineStr">
        <is>
          <t>Требует обогащения</t>
        </is>
      </c>
      <c r="Q8174" s="16">
        <f>HYPERLINK("https://pb.nalog.ru/search.html?query=5050119650","ФНС: проверить")</f>
        <v/>
      </c>
      <c r="R8174" s="16">
        <f>HYPERLINK("https://checko.ru/search?query=3801001629","Чекко: проверить")</f>
        <v/>
      </c>
      <c r="S8174" t="n">
        <v>1</v>
      </c>
      <c r="T8174" s="35" t="inlineStr">
        <is>
          <t>4 — Не обогащён</t>
        </is>
      </c>
      <c r="U8174" s="35" t="inlineStr">
        <is>
          <t>Нет ОКВЭД/ССЧР</t>
        </is>
      </c>
      <c r="V8174" s="35" t="inlineStr">
        <is>
          <t>Не определено</t>
        </is>
      </c>
      <c r="W8174" s="35" t="inlineStr"/>
      <c r="X8174" s="35" t="inlineStr"/>
    </row>
    <row r="8175" ht="15" customHeight="1" s="24">
      <c r="A8175" s="13" t="n">
        <v>5000122042</v>
      </c>
      <c r="B8175" s="13" t="inlineStr">
        <is>
          <t>МАУ ГОЩ "ФОК № 2"</t>
        </is>
      </c>
      <c r="C8175" s="13" t="n">
        <v>5050057675</v>
      </c>
      <c r="D8175" s="13" t="inlineStr">
        <is>
          <t>5050057675</t>
        </is>
      </c>
      <c r="E8175" s="13" t="inlineStr">
        <is>
          <t>ЮЛ РФ</t>
        </is>
      </c>
      <c r="F8175" s="13" t="n"/>
      <c r="G8175" s="14" t="n"/>
      <c r="H8175" s="14" t="n"/>
      <c r="I8175" s="14" t="n"/>
      <c r="J8175" s="14" t="n"/>
      <c r="K8175" s="53" t="inlineStr"/>
      <c r="L8175" s="53" t="inlineStr">
        <is>
          <t>Не определено</t>
        </is>
      </c>
      <c r="M8175" s="53" t="inlineStr"/>
      <c r="N8175" s="54" t="inlineStr"/>
      <c r="O8175" s="55" t="inlineStr"/>
      <c r="P8175" s="16" t="inlineStr">
        <is>
          <t>Требует обогащения</t>
        </is>
      </c>
      <c r="Q8175" s="16">
        <f>HYPERLINK("https://pb.nalog.ru/search.html?query=5050057675","ФНС: проверить")</f>
        <v/>
      </c>
      <c r="R8175" s="16">
        <f>HYPERLINK("https://checko.ru/search?query=3801001629","Чекко: проверить")</f>
        <v/>
      </c>
      <c r="S8175" t="n">
        <v>1</v>
      </c>
      <c r="T8175" s="35" t="inlineStr">
        <is>
          <t>4 — Не обогащён</t>
        </is>
      </c>
      <c r="U8175" s="35" t="inlineStr">
        <is>
          <t>Нет ОКВЭД/ССЧР</t>
        </is>
      </c>
      <c r="V8175" s="35" t="inlineStr">
        <is>
          <t>Не определено</t>
        </is>
      </c>
      <c r="W8175" s="35" t="inlineStr"/>
      <c r="X8175" s="35" t="inlineStr"/>
    </row>
    <row r="8176" ht="15" customHeight="1" s="24">
      <c r="A8176" s="13" t="n">
        <v>5000122045</v>
      </c>
      <c r="B8176" s="13" t="inlineStr">
        <is>
          <t>МБУ ГОЩ "СДЦ "ФАКЕЛ"</t>
        </is>
      </c>
      <c r="C8176" s="13" t="n">
        <v>5050038947</v>
      </c>
      <c r="D8176" s="13" t="inlineStr">
        <is>
          <t>5050038947</t>
        </is>
      </c>
      <c r="E8176" s="13" t="inlineStr">
        <is>
          <t>ЮЛ РФ</t>
        </is>
      </c>
      <c r="F8176" s="13" t="n"/>
      <c r="G8176" s="14" t="n"/>
      <c r="H8176" s="14" t="n"/>
      <c r="I8176" s="14" t="n"/>
      <c r="J8176" s="14" t="n"/>
      <c r="K8176" s="53" t="inlineStr"/>
      <c r="L8176" s="53" t="inlineStr">
        <is>
          <t>Не определено</t>
        </is>
      </c>
      <c r="M8176" s="53" t="inlineStr"/>
      <c r="N8176" s="54" t="inlineStr"/>
      <c r="O8176" s="55" t="inlineStr"/>
      <c r="P8176" s="16" t="inlineStr">
        <is>
          <t>Требует обогащения</t>
        </is>
      </c>
      <c r="Q8176" s="16">
        <f>HYPERLINK("https://pb.nalog.ru/search.html?query=5050038947","ФНС: проверить")</f>
        <v/>
      </c>
      <c r="R8176" s="16">
        <f>HYPERLINK("https://checko.ru/search?query=3801001629","Чекко: проверить")</f>
        <v/>
      </c>
      <c r="S8176" t="n">
        <v>1</v>
      </c>
      <c r="T8176" s="35" t="inlineStr">
        <is>
          <t>4 — Не обогащён</t>
        </is>
      </c>
      <c r="U8176" s="35" t="inlineStr">
        <is>
          <t>Нет ОКВЭД/ССЧР</t>
        </is>
      </c>
      <c r="V8176" s="35" t="inlineStr">
        <is>
          <t>Не определено</t>
        </is>
      </c>
      <c r="W8176" s="35" t="inlineStr"/>
      <c r="X8176" s="35" t="inlineStr"/>
    </row>
    <row r="8177" ht="15" customHeight="1" s="24">
      <c r="A8177" s="13" t="n">
        <v>5000122047</v>
      </c>
      <c r="B8177" s="13" t="inlineStr">
        <is>
          <t>МБУ ДО ГОЩ СШАВС "СПАРТАНЕЦ"</t>
        </is>
      </c>
      <c r="C8177" s="13" t="n">
        <v>5050030810</v>
      </c>
      <c r="D8177" s="13" t="inlineStr">
        <is>
          <t>5050030810</t>
        </is>
      </c>
      <c r="E8177" s="13" t="inlineStr">
        <is>
          <t>ЮЛ РФ</t>
        </is>
      </c>
      <c r="F8177" s="13" t="n"/>
      <c r="G8177" s="14" t="n"/>
      <c r="H8177" s="14" t="n"/>
      <c r="I8177" s="14" t="n"/>
      <c r="J8177" s="14" t="n"/>
      <c r="K8177" s="53" t="inlineStr"/>
      <c r="L8177" s="53" t="inlineStr">
        <is>
          <t>Не определено</t>
        </is>
      </c>
      <c r="M8177" s="53" t="inlineStr"/>
      <c r="N8177" s="54" t="inlineStr"/>
      <c r="O8177" s="55" t="inlineStr"/>
      <c r="P8177" s="16" t="inlineStr">
        <is>
          <t>Требует обогащения</t>
        </is>
      </c>
      <c r="Q8177" s="16">
        <f>HYPERLINK("https://pb.nalog.ru/search.html?query=5050030810","ФНС: проверить")</f>
        <v/>
      </c>
      <c r="R8177" s="16">
        <f>HYPERLINK("https://checko.ru/search?query=3801001629","Чекко: проверить")</f>
        <v/>
      </c>
      <c r="S8177" t="n">
        <v>1</v>
      </c>
      <c r="T8177" s="35" t="inlineStr">
        <is>
          <t>4 — Не обогащён</t>
        </is>
      </c>
      <c r="U8177" s="35" t="inlineStr">
        <is>
          <t>Нет ОКВЭД/ССЧР</t>
        </is>
      </c>
      <c r="V8177" s="35" t="inlineStr">
        <is>
          <t>Не определено</t>
        </is>
      </c>
      <c r="W8177" s="35" t="inlineStr"/>
      <c r="X8177" s="35" t="inlineStr"/>
    </row>
    <row r="8178" ht="15" customHeight="1" s="24">
      <c r="A8178" s="13" t="n">
        <v>5000122048</v>
      </c>
      <c r="B8178" s="13" t="inlineStr">
        <is>
          <t>МБУ ДО ГОЩ СШОР</t>
        </is>
      </c>
      <c r="C8178" s="13" t="n">
        <v>5050128799</v>
      </c>
      <c r="D8178" s="13" t="inlineStr">
        <is>
          <t>5050128799</t>
        </is>
      </c>
      <c r="E8178" s="13" t="inlineStr">
        <is>
          <t>ЮЛ РФ</t>
        </is>
      </c>
      <c r="F8178" s="13" t="n"/>
      <c r="G8178" s="14" t="n"/>
      <c r="H8178" s="14" t="n"/>
      <c r="I8178" s="14" t="n"/>
      <c r="J8178" s="14" t="n"/>
      <c r="K8178" s="53" t="inlineStr"/>
      <c r="L8178" s="53" t="inlineStr">
        <is>
          <t>Не определено</t>
        </is>
      </c>
      <c r="M8178" s="53" t="inlineStr"/>
      <c r="N8178" s="54" t="inlineStr"/>
      <c r="O8178" s="55" t="inlineStr"/>
      <c r="P8178" s="16" t="inlineStr">
        <is>
          <t>Требует обогащения</t>
        </is>
      </c>
      <c r="Q8178" s="16">
        <f>HYPERLINK("https://pb.nalog.ru/search.html?query=5050128799","ФНС: проверить")</f>
        <v/>
      </c>
      <c r="R8178" s="16">
        <f>HYPERLINK("https://checko.ru/search?query=3801001629","Чекко: проверить")</f>
        <v/>
      </c>
      <c r="S8178" t="n">
        <v>1</v>
      </c>
      <c r="T8178" s="35" t="inlineStr">
        <is>
          <t>4 — Не обогащён</t>
        </is>
      </c>
      <c r="U8178" s="35" t="inlineStr">
        <is>
          <t>Нет ОКВЭД/ССЧР</t>
        </is>
      </c>
      <c r="V8178" s="35" t="inlineStr">
        <is>
          <t>Не определено</t>
        </is>
      </c>
      <c r="W8178" s="35" t="inlineStr"/>
      <c r="X8178" s="35" t="inlineStr"/>
    </row>
    <row r="8179" ht="27.75" customHeight="1" s="24">
      <c r="A8179" s="13" t="n">
        <v>5000122050</v>
      </c>
      <c r="B8179" s="13" t="inlineStr">
        <is>
          <t>МАОУ "ОБРАЗОВАТЕЛЬНЫЙ КОМПЛЕКС ДЛЯ ОБУЧАЮЩИХСЯ С ОВЗ" ГОЩ</t>
        </is>
      </c>
      <c r="C8179" s="13" t="n">
        <v>5050032127</v>
      </c>
      <c r="D8179" s="13" t="inlineStr">
        <is>
          <t>5050032127</t>
        </is>
      </c>
      <c r="E8179" s="13" t="inlineStr">
        <is>
          <t>ЮЛ РФ</t>
        </is>
      </c>
      <c r="F8179" s="13" t="n"/>
      <c r="G8179" s="14" t="n"/>
      <c r="H8179" s="14" t="n"/>
      <c r="I8179" s="14" t="n"/>
      <c r="J8179" s="14" t="n"/>
      <c r="K8179" s="53" t="inlineStr"/>
      <c r="L8179" s="53" t="inlineStr">
        <is>
          <t>Не определено</t>
        </is>
      </c>
      <c r="M8179" s="53" t="inlineStr"/>
      <c r="N8179" s="54" t="inlineStr"/>
      <c r="O8179" s="55" t="inlineStr"/>
      <c r="P8179" s="16" t="inlineStr">
        <is>
          <t>Требует обогащения</t>
        </is>
      </c>
      <c r="Q8179" s="16">
        <f>HYPERLINK("https://pb.nalog.ru/search.html?query=5050032127","ФНС: проверить")</f>
        <v/>
      </c>
      <c r="R8179" s="16">
        <f>HYPERLINK("https://checko.ru/search?query=3801001629","Чекко: проверить")</f>
        <v/>
      </c>
      <c r="S8179" t="n">
        <v>1</v>
      </c>
      <c r="T8179" s="35" t="inlineStr">
        <is>
          <t>4 — Не обогащён</t>
        </is>
      </c>
      <c r="U8179" s="35" t="inlineStr">
        <is>
          <t>Нет ОКВЭД/ССЧР</t>
        </is>
      </c>
      <c r="V8179" s="35" t="inlineStr">
        <is>
          <t>Не определено</t>
        </is>
      </c>
      <c r="W8179" s="35" t="inlineStr"/>
      <c r="X8179" s="35" t="inlineStr"/>
    </row>
    <row r="8180" ht="15" customHeight="1" s="24">
      <c r="A8180" s="13" t="n">
        <v>5000122051</v>
      </c>
      <c r="B8180" s="13" t="inlineStr">
        <is>
          <t>МБОУ СОШ №10 С УИОП ГОЩ</t>
        </is>
      </c>
      <c r="C8180" s="13" t="n">
        <v>5050031959</v>
      </c>
      <c r="D8180" s="13" t="inlineStr">
        <is>
          <t>5050031959</t>
        </is>
      </c>
      <c r="E8180" s="13" t="inlineStr">
        <is>
          <t>ЮЛ РФ</t>
        </is>
      </c>
      <c r="F8180" s="13" t="n"/>
      <c r="G8180" s="14" t="n"/>
      <c r="H8180" s="14" t="n"/>
      <c r="I8180" s="14" t="n"/>
      <c r="J8180" s="14" t="n"/>
      <c r="K8180" s="53" t="inlineStr"/>
      <c r="L8180" s="53" t="inlineStr">
        <is>
          <t>Не определено</t>
        </is>
      </c>
      <c r="M8180" s="53" t="inlineStr"/>
      <c r="N8180" s="54" t="inlineStr"/>
      <c r="O8180" s="55" t="inlineStr"/>
      <c r="P8180" s="16" t="inlineStr">
        <is>
          <t>Требует обогащения</t>
        </is>
      </c>
      <c r="Q8180" s="16">
        <f>HYPERLINK("https://pb.nalog.ru/search.html?query=5050031959","ФНС: проверить")</f>
        <v/>
      </c>
      <c r="R8180" s="16">
        <f>HYPERLINK("https://checko.ru/search?query=3801001629","Чекко: проверить")</f>
        <v/>
      </c>
      <c r="S8180" t="n">
        <v>1</v>
      </c>
      <c r="T8180" s="35" t="inlineStr">
        <is>
          <t>4 — Не обогащён</t>
        </is>
      </c>
      <c r="U8180" s="35" t="inlineStr">
        <is>
          <t>Нет ОКВЭД/ССЧР</t>
        </is>
      </c>
      <c r="V8180" s="35" t="inlineStr">
        <is>
          <t>Не определено</t>
        </is>
      </c>
      <c r="W8180" s="35" t="inlineStr"/>
      <c r="X8180" s="35" t="inlineStr"/>
    </row>
    <row r="8181" ht="15" customHeight="1" s="24">
      <c r="A8181" s="13" t="n">
        <v>5000122052</v>
      </c>
      <c r="B8181" s="13" t="inlineStr">
        <is>
          <t>МБОУ СОШ № 13 ИМ. В.А. ДЖАНИБЕКОВА ГОЩ</t>
        </is>
      </c>
      <c r="C8181" s="13" t="n">
        <v>5050031892</v>
      </c>
      <c r="D8181" s="13" t="inlineStr">
        <is>
          <t>5050031892</t>
        </is>
      </c>
      <c r="E8181" s="13" t="inlineStr">
        <is>
          <t>ЮЛ РФ</t>
        </is>
      </c>
      <c r="F8181" s="13" t="n"/>
      <c r="G8181" s="14" t="n"/>
      <c r="H8181" s="14" t="n"/>
      <c r="I8181" s="14" t="n"/>
      <c r="J8181" s="14" t="n"/>
      <c r="K8181" s="53" t="inlineStr"/>
      <c r="L8181" s="53" t="inlineStr">
        <is>
          <t>Не определено</t>
        </is>
      </c>
      <c r="M8181" s="53" t="inlineStr"/>
      <c r="N8181" s="54" t="inlineStr"/>
      <c r="O8181" s="55" t="inlineStr"/>
      <c r="P8181" s="16" t="inlineStr">
        <is>
          <t>Требует обогащения</t>
        </is>
      </c>
      <c r="Q8181" s="16">
        <f>HYPERLINK("https://pb.nalog.ru/search.html?query=5050031892","ФНС: проверить")</f>
        <v/>
      </c>
      <c r="R8181" s="16">
        <f>HYPERLINK("https://checko.ru/search?query=3801001629","Чекко: проверить")</f>
        <v/>
      </c>
      <c r="S8181" t="n">
        <v>1</v>
      </c>
      <c r="T8181" s="35" t="inlineStr">
        <is>
          <t>4 — Не обогащён</t>
        </is>
      </c>
      <c r="U8181" s="35" t="inlineStr">
        <is>
          <t>Нет ОКВЭД/ССЧР</t>
        </is>
      </c>
      <c r="V8181" s="35" t="inlineStr">
        <is>
          <t>Не определено</t>
        </is>
      </c>
      <c r="W8181" s="35" t="inlineStr"/>
      <c r="X8181" s="35" t="inlineStr"/>
    </row>
    <row r="8182" ht="15" customHeight="1" s="24">
      <c r="A8182" s="13" t="n">
        <v>5000122053</v>
      </c>
      <c r="B8182" s="13" t="inlineStr">
        <is>
          <t>МБОУ ЩЁЛКОВСКИЙ ЛИЦЕЙ №7 ГОЩ</t>
        </is>
      </c>
      <c r="C8182" s="13" t="n">
        <v>5050017344</v>
      </c>
      <c r="D8182" s="13" t="inlineStr">
        <is>
          <t>5050017344</t>
        </is>
      </c>
      <c r="E8182" s="13" t="inlineStr">
        <is>
          <t>ЮЛ РФ</t>
        </is>
      </c>
      <c r="F8182" s="13" t="n"/>
      <c r="G8182" s="14" t="n"/>
      <c r="H8182" s="14" t="n"/>
      <c r="I8182" s="14" t="n"/>
      <c r="J8182" s="14" t="n"/>
      <c r="K8182" s="53" t="inlineStr"/>
      <c r="L8182" s="53" t="inlineStr">
        <is>
          <t>Не определено</t>
        </is>
      </c>
      <c r="M8182" s="53" t="inlineStr"/>
      <c r="N8182" s="54" t="inlineStr"/>
      <c r="O8182" s="55" t="inlineStr"/>
      <c r="P8182" s="16" t="inlineStr">
        <is>
          <t>Требует обогащения</t>
        </is>
      </c>
      <c r="Q8182" s="16">
        <f>HYPERLINK("https://pb.nalog.ru/search.html?query=5050017344","ФНС: проверить")</f>
        <v/>
      </c>
      <c r="R8182" s="16">
        <f>HYPERLINK("https://checko.ru/search?query=3801001629","Чекко: проверить")</f>
        <v/>
      </c>
      <c r="S8182" t="n">
        <v>1</v>
      </c>
      <c r="T8182" s="35" t="inlineStr">
        <is>
          <t>4 — Не обогащён</t>
        </is>
      </c>
      <c r="U8182" s="35" t="inlineStr">
        <is>
          <t>Нет ОКВЭД/ССЧР</t>
        </is>
      </c>
      <c r="V8182" s="35" t="inlineStr">
        <is>
          <t>Не определено</t>
        </is>
      </c>
      <c r="W8182" s="35" t="inlineStr"/>
      <c r="X8182" s="35" t="inlineStr"/>
    </row>
    <row r="8183" ht="15" customHeight="1" s="24">
      <c r="A8183" s="13" t="n">
        <v>5000122344</v>
      </c>
      <c r="B8183" s="13" t="inlineStr">
        <is>
          <t>МБУ "СК "Старт"</t>
        </is>
      </c>
      <c r="C8183" s="13" t="n">
        <v>5042075303</v>
      </c>
      <c r="D8183" s="13" t="inlineStr">
        <is>
          <t>5042075303</t>
        </is>
      </c>
      <c r="E8183" s="13" t="inlineStr">
        <is>
          <t>ЮЛ РФ</t>
        </is>
      </c>
      <c r="F8183" s="13" t="n"/>
      <c r="G8183" s="14" t="n"/>
      <c r="H8183" s="14" t="n"/>
      <c r="I8183" s="14" t="n"/>
      <c r="J8183" s="14" t="n"/>
      <c r="K8183" s="53" t="inlineStr"/>
      <c r="L8183" s="53" t="inlineStr">
        <is>
          <t>Не определено</t>
        </is>
      </c>
      <c r="M8183" s="53" t="inlineStr"/>
      <c r="N8183" s="54" t="inlineStr"/>
      <c r="O8183" s="55" t="inlineStr"/>
      <c r="P8183" s="16" t="inlineStr">
        <is>
          <t>Требует обогащения</t>
        </is>
      </c>
      <c r="Q8183" s="16">
        <f>HYPERLINK("https://pb.nalog.ru/search.html?query=5042075303","ФНС: проверить")</f>
        <v/>
      </c>
      <c r="R8183" s="16">
        <f>HYPERLINK("https://checko.ru/search?query=3801001629","Чекко: проверить")</f>
        <v/>
      </c>
      <c r="S8183" t="n">
        <v>1</v>
      </c>
      <c r="T8183" s="35" t="inlineStr">
        <is>
          <t>4 — Не обогащён</t>
        </is>
      </c>
      <c r="U8183" s="35" t="inlineStr">
        <is>
          <t>Нет ОКВЭД/ССЧР</t>
        </is>
      </c>
      <c r="V8183" s="35" t="inlineStr">
        <is>
          <t>Не определено</t>
        </is>
      </c>
      <c r="W8183" s="35" t="inlineStr"/>
      <c r="X8183" s="35" t="inlineStr"/>
    </row>
    <row r="8184" ht="15" customHeight="1" s="24">
      <c r="A8184" s="13" t="n">
        <v>5000122349</v>
      </c>
      <c r="B8184" s="13" t="inlineStr">
        <is>
          <t>МБУ "СПОРТИВНАЯ БАЗА "ХИМИК"</t>
        </is>
      </c>
      <c r="C8184" s="13" t="n">
        <v>5042084795</v>
      </c>
      <c r="D8184" s="13" t="inlineStr">
        <is>
          <t>5042084795</t>
        </is>
      </c>
      <c r="E8184" s="13" t="inlineStr">
        <is>
          <t>ЮЛ РФ</t>
        </is>
      </c>
      <c r="F8184" s="13" t="n"/>
      <c r="G8184" s="14" t="n"/>
      <c r="H8184" s="14" t="n"/>
      <c r="I8184" s="14" t="n"/>
      <c r="J8184" s="14" t="n"/>
      <c r="K8184" s="53" t="inlineStr"/>
      <c r="L8184" s="53" t="inlineStr">
        <is>
          <t>Не определено</t>
        </is>
      </c>
      <c r="M8184" s="53" t="inlineStr"/>
      <c r="N8184" s="54" t="inlineStr"/>
      <c r="O8184" s="55" t="inlineStr"/>
      <c r="P8184" s="16" t="inlineStr">
        <is>
          <t>Требует обогащения</t>
        </is>
      </c>
      <c r="Q8184" s="16">
        <f>HYPERLINK("https://pb.nalog.ru/search.html?query=5042084795","ФНС: проверить")</f>
        <v/>
      </c>
      <c r="R8184" s="16">
        <f>HYPERLINK("https://checko.ru/search?query=3801001629","Чекко: проверить")</f>
        <v/>
      </c>
      <c r="S8184" t="n">
        <v>1</v>
      </c>
      <c r="T8184" s="35" t="inlineStr">
        <is>
          <t>4 — Не обогащён</t>
        </is>
      </c>
      <c r="U8184" s="35" t="inlineStr">
        <is>
          <t>Нет ОКВЭД/ССЧР</t>
        </is>
      </c>
      <c r="V8184" s="35" t="inlineStr">
        <is>
          <t>Не определено</t>
        </is>
      </c>
      <c r="W8184" s="35" t="inlineStr"/>
      <c r="X8184" s="35" t="inlineStr"/>
    </row>
    <row r="8185" ht="15" customHeight="1" s="24">
      <c r="A8185" s="13" t="n">
        <v>5000122358</v>
      </c>
      <c r="B8185" s="13" t="inlineStr">
        <is>
          <t>МАУ "ТРК "Радонежье"</t>
        </is>
      </c>
      <c r="C8185" s="13" t="n">
        <v>5042055025</v>
      </c>
      <c r="D8185" s="13" t="inlineStr">
        <is>
          <t>5042055025</t>
        </is>
      </c>
      <c r="E8185" s="13" t="inlineStr">
        <is>
          <t>ЮЛ РФ</t>
        </is>
      </c>
      <c r="F8185" s="13" t="n"/>
      <c r="G8185" s="14" t="n"/>
      <c r="H8185" s="14" t="n"/>
      <c r="I8185" s="14" t="n"/>
      <c r="J8185" s="14" t="n"/>
      <c r="K8185" s="53" t="inlineStr"/>
      <c r="L8185" s="53" t="inlineStr">
        <is>
          <t>Не определено</t>
        </is>
      </c>
      <c r="M8185" s="53" t="inlineStr"/>
      <c r="N8185" s="54" t="inlineStr"/>
      <c r="O8185" s="55" t="inlineStr"/>
      <c r="P8185" s="16" t="inlineStr">
        <is>
          <t>Требует обогащения</t>
        </is>
      </c>
      <c r="Q8185" s="16">
        <f>HYPERLINK("https://pb.nalog.ru/search.html?query=5042055025","ФНС: проверить")</f>
        <v/>
      </c>
      <c r="R8185" s="16">
        <f>HYPERLINK("https://checko.ru/search?query=3801001629","Чекко: проверить")</f>
        <v/>
      </c>
      <c r="S8185" t="n">
        <v>1</v>
      </c>
      <c r="T8185" s="35" t="inlineStr">
        <is>
          <t>4 — Не обогащён</t>
        </is>
      </c>
      <c r="U8185" s="35" t="inlineStr">
        <is>
          <t>Нет ОКВЭД/ССЧР</t>
        </is>
      </c>
      <c r="V8185" s="35" t="inlineStr">
        <is>
          <t>Не определено</t>
        </is>
      </c>
      <c r="W8185" s="35" t="inlineStr"/>
      <c r="X8185" s="35" t="inlineStr"/>
    </row>
    <row r="8186" ht="15" customHeight="1" s="24">
      <c r="A8186" s="13" t="n">
        <v>5000122362</v>
      </c>
      <c r="B8186" s="13" t="inlineStr">
        <is>
          <t>МБУ ДО ДШИ №2</t>
        </is>
      </c>
      <c r="C8186" s="13" t="n">
        <v>5042057086</v>
      </c>
      <c r="D8186" s="13" t="inlineStr">
        <is>
          <t>5042057086</t>
        </is>
      </c>
      <c r="E8186" s="13" t="inlineStr">
        <is>
          <t>ЮЛ РФ</t>
        </is>
      </c>
      <c r="F8186" s="13" t="n"/>
      <c r="G8186" s="14" t="n"/>
      <c r="H8186" s="14" t="n"/>
      <c r="I8186" s="14" t="n"/>
      <c r="J8186" s="14" t="n"/>
      <c r="K8186" s="53" t="inlineStr"/>
      <c r="L8186" s="53" t="inlineStr">
        <is>
          <t>Не определено</t>
        </is>
      </c>
      <c r="M8186" s="53" t="inlineStr"/>
      <c r="N8186" s="54" t="inlineStr"/>
      <c r="O8186" s="55" t="inlineStr"/>
      <c r="P8186" s="16" t="inlineStr">
        <is>
          <t>Требует обогащения</t>
        </is>
      </c>
      <c r="Q8186" s="16">
        <f>HYPERLINK("https://pb.nalog.ru/search.html?query=5042057086","ФНС: проверить")</f>
        <v/>
      </c>
      <c r="R8186" s="16">
        <f>HYPERLINK("https://checko.ru/search?query=3801001629","Чекко: проверить")</f>
        <v/>
      </c>
      <c r="S8186" t="n">
        <v>1</v>
      </c>
      <c r="T8186" s="35" t="inlineStr">
        <is>
          <t>4 — Не обогащён</t>
        </is>
      </c>
      <c r="U8186" s="35" t="inlineStr">
        <is>
          <t>Нет ОКВЭД/ССЧР</t>
        </is>
      </c>
      <c r="V8186" s="35" t="inlineStr">
        <is>
          <t>Не определено</t>
        </is>
      </c>
      <c r="W8186" s="35" t="inlineStr"/>
      <c r="X8186" s="35" t="inlineStr"/>
    </row>
    <row r="8187" ht="15" customHeight="1" s="24">
      <c r="A8187" s="13" t="n">
        <v>5000122056</v>
      </c>
      <c r="B8187" s="13" t="inlineStr">
        <is>
          <t>МБОУ СОШ № 20 ГОЩ</t>
        </is>
      </c>
      <c r="C8187" s="13" t="n">
        <v>5050032060</v>
      </c>
      <c r="D8187" s="13" t="inlineStr">
        <is>
          <t>5050032060</t>
        </is>
      </c>
      <c r="E8187" s="13" t="inlineStr">
        <is>
          <t>ЮЛ РФ</t>
        </is>
      </c>
      <c r="F8187" s="13" t="n"/>
      <c r="G8187" s="14" t="n"/>
      <c r="H8187" s="14" t="n"/>
      <c r="I8187" s="14" t="n"/>
      <c r="J8187" s="14" t="n"/>
      <c r="K8187" s="53" t="inlineStr"/>
      <c r="L8187" s="53" t="inlineStr">
        <is>
          <t>Не определено</t>
        </is>
      </c>
      <c r="M8187" s="53" t="inlineStr"/>
      <c r="N8187" s="54" t="inlineStr"/>
      <c r="O8187" s="55" t="inlineStr"/>
      <c r="P8187" s="16" t="inlineStr">
        <is>
          <t>Требует обогащения</t>
        </is>
      </c>
      <c r="Q8187" s="16">
        <f>HYPERLINK("https://pb.nalog.ru/search.html?query=5050032060","ФНС: проверить")</f>
        <v/>
      </c>
      <c r="R8187" s="16">
        <f>HYPERLINK("https://checko.ru/search?query=3801001629","Чекко: проверить")</f>
        <v/>
      </c>
      <c r="S8187" t="n">
        <v>1</v>
      </c>
      <c r="T8187" s="35" t="inlineStr">
        <is>
          <t>4 — Не обогащён</t>
        </is>
      </c>
      <c r="U8187" s="35" t="inlineStr">
        <is>
          <t>Нет ОКВЭД/ССЧР</t>
        </is>
      </c>
      <c r="V8187" s="35" t="inlineStr">
        <is>
          <t>Не определено</t>
        </is>
      </c>
      <c r="W8187" s="35" t="inlineStr"/>
      <c r="X8187" s="35" t="inlineStr"/>
    </row>
    <row r="8188" ht="15" customHeight="1" s="24">
      <c r="A8188" s="13" t="n">
        <v>5000122057</v>
      </c>
      <c r="B8188" s="13" t="inlineStr">
        <is>
          <t>МАОУ "ЩЁЛКОВСКАЯ ГИМНАЗИЯ № 6" ГОЩ</t>
        </is>
      </c>
      <c r="C8188" s="13" t="n">
        <v>5050031902</v>
      </c>
      <c r="D8188" s="13" t="inlineStr">
        <is>
          <t>5050031902</t>
        </is>
      </c>
      <c r="E8188" s="13" t="inlineStr">
        <is>
          <t>ЮЛ РФ</t>
        </is>
      </c>
      <c r="F8188" s="13" t="n"/>
      <c r="G8188" s="14" t="n"/>
      <c r="H8188" s="14" t="n"/>
      <c r="I8188" s="14" t="n"/>
      <c r="J8188" s="14" t="n"/>
      <c r="K8188" s="53" t="inlineStr"/>
      <c r="L8188" s="53" t="inlineStr">
        <is>
          <t>Не определено</t>
        </is>
      </c>
      <c r="M8188" s="53" t="inlineStr"/>
      <c r="N8188" s="54" t="inlineStr"/>
      <c r="O8188" s="55" t="inlineStr"/>
      <c r="P8188" s="16" t="inlineStr">
        <is>
          <t>Требует обогащения</t>
        </is>
      </c>
      <c r="Q8188" s="16">
        <f>HYPERLINK("https://pb.nalog.ru/search.html?query=5050031902","ФНС: проверить")</f>
        <v/>
      </c>
      <c r="R8188" s="16">
        <f>HYPERLINK("https://checko.ru/search?query=3801001629","Чекко: проверить")</f>
        <v/>
      </c>
      <c r="S8188" t="n">
        <v>1</v>
      </c>
      <c r="T8188" s="35" t="inlineStr">
        <is>
          <t>4 — Не обогащён</t>
        </is>
      </c>
      <c r="U8188" s="35" t="inlineStr">
        <is>
          <t>Нет ОКВЭД/ССЧР</t>
        </is>
      </c>
      <c r="V8188" s="35" t="inlineStr">
        <is>
          <t>Не определено</t>
        </is>
      </c>
      <c r="W8188" s="35" t="inlineStr"/>
      <c r="X8188" s="35" t="inlineStr"/>
    </row>
    <row r="8189" ht="15" customHeight="1" s="24">
      <c r="A8189" s="13" t="n">
        <v>5000122058</v>
      </c>
      <c r="B8189" s="13" t="inlineStr">
        <is>
          <t>МАОУ СОШ №3 ГОЩ</t>
        </is>
      </c>
      <c r="C8189" s="13" t="n">
        <v>5050031998</v>
      </c>
      <c r="D8189" s="13" t="inlineStr">
        <is>
          <t>5050031998</t>
        </is>
      </c>
      <c r="E8189" s="13" t="inlineStr">
        <is>
          <t>ЮЛ РФ</t>
        </is>
      </c>
      <c r="F8189" s="13" t="n"/>
      <c r="G8189" s="14" t="n"/>
      <c r="H8189" s="14" t="n"/>
      <c r="I8189" s="14" t="n"/>
      <c r="J8189" s="14" t="n"/>
      <c r="K8189" s="53" t="inlineStr"/>
      <c r="L8189" s="53" t="inlineStr">
        <is>
          <t>Не определено</t>
        </is>
      </c>
      <c r="M8189" s="53" t="inlineStr"/>
      <c r="N8189" s="54" t="inlineStr"/>
      <c r="O8189" s="55" t="inlineStr"/>
      <c r="P8189" s="16" t="inlineStr">
        <is>
          <t>Требует обогащения</t>
        </is>
      </c>
      <c r="Q8189" s="16">
        <f>HYPERLINK("https://pb.nalog.ru/search.html?query=5050031998","ФНС: проверить")</f>
        <v/>
      </c>
      <c r="R8189" s="16">
        <f>HYPERLINK("https://checko.ru/search?query=3801001629","Чекко: проверить")</f>
        <v/>
      </c>
      <c r="S8189" t="n">
        <v>1</v>
      </c>
      <c r="T8189" s="35" t="inlineStr">
        <is>
          <t>4 — Не обогащён</t>
        </is>
      </c>
      <c r="U8189" s="35" t="inlineStr">
        <is>
          <t>Нет ОКВЭД/ССЧР</t>
        </is>
      </c>
      <c r="V8189" s="35" t="inlineStr">
        <is>
          <t>Не определено</t>
        </is>
      </c>
      <c r="W8189" s="35" t="inlineStr"/>
      <c r="X8189" s="35" t="inlineStr"/>
    </row>
    <row r="8190" ht="15" customHeight="1" s="24">
      <c r="A8190" s="13" t="n">
        <v>5000122059</v>
      </c>
      <c r="B8190" s="13" t="inlineStr">
        <is>
          <t>МАОУ ЛИЦЕЙ №14 ИМ.Ю.А.ГАГАРИНА ГОЩ</t>
        </is>
      </c>
      <c r="C8190" s="13" t="n">
        <v>5050031927</v>
      </c>
      <c r="D8190" s="13" t="inlineStr">
        <is>
          <t>5050031927</t>
        </is>
      </c>
      <c r="E8190" s="13" t="inlineStr">
        <is>
          <t>ЮЛ РФ</t>
        </is>
      </c>
      <c r="F8190" s="13" t="n"/>
      <c r="G8190" s="14" t="n"/>
      <c r="H8190" s="14" t="n"/>
      <c r="I8190" s="14" t="n"/>
      <c r="J8190" s="14" t="n"/>
      <c r="K8190" s="53" t="inlineStr"/>
      <c r="L8190" s="53" t="inlineStr">
        <is>
          <t>Не определено</t>
        </is>
      </c>
      <c r="M8190" s="53" t="inlineStr"/>
      <c r="N8190" s="54" t="inlineStr"/>
      <c r="O8190" s="55" t="inlineStr"/>
      <c r="P8190" s="16" t="inlineStr">
        <is>
          <t>Требует обогащения</t>
        </is>
      </c>
      <c r="Q8190" s="16">
        <f>HYPERLINK("https://pb.nalog.ru/search.html?query=5050031927","ФНС: проверить")</f>
        <v/>
      </c>
      <c r="R8190" s="16">
        <f>HYPERLINK("https://checko.ru/search?query=3801001629","Чекко: проверить")</f>
        <v/>
      </c>
      <c r="S8190" t="n">
        <v>1</v>
      </c>
      <c r="T8190" s="35" t="inlineStr">
        <is>
          <t>4 — Не обогащён</t>
        </is>
      </c>
      <c r="U8190" s="35" t="inlineStr">
        <is>
          <t>Нет ОКВЭД/ССЧР</t>
        </is>
      </c>
      <c r="V8190" s="35" t="inlineStr">
        <is>
          <t>Не определено</t>
        </is>
      </c>
      <c r="W8190" s="35" t="inlineStr"/>
      <c r="X8190" s="35" t="inlineStr"/>
    </row>
    <row r="8191" ht="15" customHeight="1" s="24">
      <c r="A8191" s="13" t="n">
        <v>5000122330</v>
      </c>
      <c r="B8191" s="13" t="inlineStr">
        <is>
          <t>МБУК "МУНИЦИПАЛЬНЫЙ ОРКЕСТР"</t>
        </is>
      </c>
      <c r="C8191" s="13" t="n">
        <v>5042097667</v>
      </c>
      <c r="D8191" s="13" t="inlineStr">
        <is>
          <t>5042097667</t>
        </is>
      </c>
      <c r="E8191" s="13" t="inlineStr">
        <is>
          <t>ЮЛ РФ</t>
        </is>
      </c>
      <c r="F8191" s="13" t="n"/>
      <c r="G8191" s="14" t="n"/>
      <c r="H8191" s="14" t="n"/>
      <c r="I8191" s="14" t="n"/>
      <c r="J8191" s="14" t="n"/>
      <c r="K8191" s="53" t="inlineStr"/>
      <c r="L8191" s="53" t="inlineStr">
        <is>
          <t>Не определено</t>
        </is>
      </c>
      <c r="M8191" s="53" t="inlineStr"/>
      <c r="N8191" s="54" t="inlineStr"/>
      <c r="O8191" s="55" t="inlineStr"/>
      <c r="P8191" s="16" t="inlineStr">
        <is>
          <t>Требует обогащения</t>
        </is>
      </c>
      <c r="Q8191" s="16">
        <f>HYPERLINK("https://pb.nalog.ru/search.html?query=5042097667","ФНС: проверить")</f>
        <v/>
      </c>
      <c r="R8191" s="16">
        <f>HYPERLINK("https://checko.ru/search?query=3801001629","Чекко: проверить")</f>
        <v/>
      </c>
      <c r="S8191" t="n">
        <v>1</v>
      </c>
      <c r="T8191" s="35" t="inlineStr">
        <is>
          <t>4 — Не обогащён</t>
        </is>
      </c>
      <c r="U8191" s="35" t="inlineStr">
        <is>
          <t>Нет ОКВЭД/ССЧР</t>
        </is>
      </c>
      <c r="V8191" s="35" t="inlineStr">
        <is>
          <t>Не определено</t>
        </is>
      </c>
      <c r="W8191" s="35" t="inlineStr"/>
      <c r="X8191" s="35" t="inlineStr"/>
    </row>
    <row r="8192" ht="15" customHeight="1" s="24">
      <c r="A8192" s="13" t="n">
        <v>5000122333</v>
      </c>
      <c r="B8192" s="13" t="inlineStr">
        <is>
          <t>МБУ ДО ДМШ №1 Г. СЕРГИЕВ ПОСАД</t>
        </is>
      </c>
      <c r="C8192" s="13" t="n">
        <v>5042056928</v>
      </c>
      <c r="D8192" s="13" t="inlineStr">
        <is>
          <t>5042056928</t>
        </is>
      </c>
      <c r="E8192" s="13" t="inlineStr">
        <is>
          <t>ЮЛ РФ</t>
        </is>
      </c>
      <c r="F8192" s="13" t="n"/>
      <c r="G8192" s="14" t="n"/>
      <c r="H8192" s="14" t="n"/>
      <c r="I8192" s="14" t="n"/>
      <c r="J8192" s="14" t="n"/>
      <c r="K8192" s="53" t="inlineStr"/>
      <c r="L8192" s="53" t="inlineStr">
        <is>
          <t>Не определено</t>
        </is>
      </c>
      <c r="M8192" s="53" t="inlineStr"/>
      <c r="N8192" s="54" t="inlineStr"/>
      <c r="O8192" s="55" t="inlineStr"/>
      <c r="P8192" s="16" t="inlineStr">
        <is>
          <t>Требует обогащения</t>
        </is>
      </c>
      <c r="Q8192" s="16">
        <f>HYPERLINK("https://pb.nalog.ru/search.html?query=5042056928","ФНС: проверить")</f>
        <v/>
      </c>
      <c r="R8192" s="16">
        <f>HYPERLINK("https://checko.ru/search?query=3801001629","Чекко: проверить")</f>
        <v/>
      </c>
      <c r="S8192" t="n">
        <v>1</v>
      </c>
      <c r="T8192" s="35" t="inlineStr">
        <is>
          <t>4 — Не обогащён</t>
        </is>
      </c>
      <c r="U8192" s="35" t="inlineStr">
        <is>
          <t>Нет ОКВЭД/ССЧР</t>
        </is>
      </c>
      <c r="V8192" s="35" t="inlineStr">
        <is>
          <t>Не определено</t>
        </is>
      </c>
      <c r="W8192" s="35" t="inlineStr"/>
      <c r="X8192" s="35" t="inlineStr"/>
    </row>
    <row r="8193" ht="15" customHeight="1" s="24">
      <c r="A8193" s="13" t="n">
        <v>5000122334</v>
      </c>
      <c r="B8193" s="13" t="inlineStr">
        <is>
          <t>МБУДО ДМШ №4 Г. ПЕРЕСВЕТ</t>
        </is>
      </c>
      <c r="C8193" s="13" t="n">
        <v>5042056950</v>
      </c>
      <c r="D8193" s="13" t="inlineStr">
        <is>
          <t>5042056950</t>
        </is>
      </c>
      <c r="E8193" s="13" t="inlineStr">
        <is>
          <t>ЮЛ РФ</t>
        </is>
      </c>
      <c r="F8193" s="13" t="n"/>
      <c r="G8193" s="14" t="n"/>
      <c r="H8193" s="14" t="n"/>
      <c r="I8193" s="14" t="n"/>
      <c r="J8193" s="14" t="n"/>
      <c r="K8193" s="53" t="inlineStr"/>
      <c r="L8193" s="53" t="inlineStr">
        <is>
          <t>Не определено</t>
        </is>
      </c>
      <c r="M8193" s="53" t="inlineStr"/>
      <c r="N8193" s="54" t="inlineStr"/>
      <c r="O8193" s="55" t="inlineStr"/>
      <c r="P8193" s="16" t="inlineStr">
        <is>
          <t>Требует обогащения</t>
        </is>
      </c>
      <c r="Q8193" s="16">
        <f>HYPERLINK("https://pb.nalog.ru/search.html?query=5042056950","ФНС: проверить")</f>
        <v/>
      </c>
      <c r="R8193" s="16">
        <f>HYPERLINK("https://checko.ru/search?query=3801001629","Чекко: проверить")</f>
        <v/>
      </c>
      <c r="S8193" t="n">
        <v>1</v>
      </c>
      <c r="T8193" s="35" t="inlineStr">
        <is>
          <t>4 — Не обогащён</t>
        </is>
      </c>
      <c r="U8193" s="35" t="inlineStr">
        <is>
          <t>Нет ОКВЭД/ССЧР</t>
        </is>
      </c>
      <c r="V8193" s="35" t="inlineStr">
        <is>
          <t>Не определено</t>
        </is>
      </c>
      <c r="W8193" s="35" t="inlineStr"/>
      <c r="X8193" s="35" t="inlineStr"/>
    </row>
    <row r="8194" ht="15" customHeight="1" s="24">
      <c r="A8194" s="13" t="n">
        <v>5000122335</v>
      </c>
      <c r="B8194" s="13" t="inlineStr">
        <is>
          <t>МБУ ДО ДШИ № 1</t>
        </is>
      </c>
      <c r="C8194" s="13" t="n">
        <v>5042057079</v>
      </c>
      <c r="D8194" s="13" t="inlineStr">
        <is>
          <t>5042057079</t>
        </is>
      </c>
      <c r="E8194" s="13" t="inlineStr">
        <is>
          <t>ЮЛ РФ</t>
        </is>
      </c>
      <c r="F8194" s="13" t="n"/>
      <c r="G8194" s="14" t="n"/>
      <c r="H8194" s="14" t="n"/>
      <c r="I8194" s="14" t="n"/>
      <c r="J8194" s="14" t="n"/>
      <c r="K8194" s="53" t="inlineStr"/>
      <c r="L8194" s="53" t="inlineStr">
        <is>
          <t>Не определено</t>
        </is>
      </c>
      <c r="M8194" s="53" t="inlineStr"/>
      <c r="N8194" s="54" t="inlineStr"/>
      <c r="O8194" s="55" t="inlineStr"/>
      <c r="P8194" s="16" t="inlineStr">
        <is>
          <t>Требует обогащения</t>
        </is>
      </c>
      <c r="Q8194" s="16">
        <f>HYPERLINK("https://pb.nalog.ru/search.html?query=5042057079","ФНС: проверить")</f>
        <v/>
      </c>
      <c r="R8194" s="16">
        <f>HYPERLINK("https://checko.ru/search?query=3801001629","Чекко: проверить")</f>
        <v/>
      </c>
      <c r="S8194" t="n">
        <v>1</v>
      </c>
      <c r="T8194" s="35" t="inlineStr">
        <is>
          <t>4 — Не обогащён</t>
        </is>
      </c>
      <c r="U8194" s="35" t="inlineStr">
        <is>
          <t>Нет ОКВЭД/ССЧР</t>
        </is>
      </c>
      <c r="V8194" s="35" t="inlineStr">
        <is>
          <t>Не определено</t>
        </is>
      </c>
      <c r="W8194" s="35" t="inlineStr"/>
      <c r="X8194" s="35" t="inlineStr"/>
    </row>
    <row r="8195" ht="15" customHeight="1" s="24">
      <c r="A8195" s="13" t="n">
        <v>5000122396</v>
      </c>
      <c r="B8195" s="13" t="inlineStr">
        <is>
          <t>УПРАВЛЕНИЕ ОБРАЗОВАНИЯ</t>
        </is>
      </c>
      <c r="C8195" s="13" t="n">
        <v>5042012977</v>
      </c>
      <c r="D8195" s="13" t="inlineStr">
        <is>
          <t>5042012977</t>
        </is>
      </c>
      <c r="E8195" s="13" t="inlineStr">
        <is>
          <t>ЮЛ РФ</t>
        </is>
      </c>
      <c r="F8195" s="13" t="n"/>
      <c r="G8195" s="14" t="n"/>
      <c r="H8195" s="14" t="n"/>
      <c r="I8195" s="14" t="n"/>
      <c r="J8195" s="14" t="n"/>
      <c r="K8195" s="53" t="inlineStr"/>
      <c r="L8195" s="53" t="inlineStr">
        <is>
          <t>Не определено</t>
        </is>
      </c>
      <c r="M8195" s="53" t="inlineStr"/>
      <c r="N8195" s="54" t="inlineStr"/>
      <c r="O8195" s="55" t="inlineStr"/>
      <c r="P8195" s="16" t="inlineStr">
        <is>
          <t>Требует обогащения</t>
        </is>
      </c>
      <c r="Q8195" s="16">
        <f>HYPERLINK("https://pb.nalog.ru/search.html?query=5042012977","ФНС: проверить")</f>
        <v/>
      </c>
      <c r="R8195" s="16">
        <f>HYPERLINK("https://checko.ru/search?query=3801001629","Чекко: проверить")</f>
        <v/>
      </c>
      <c r="S8195" t="n">
        <v>1</v>
      </c>
      <c r="T8195" s="35" t="inlineStr">
        <is>
          <t>4 — Не обогащён</t>
        </is>
      </c>
      <c r="U8195" s="35" t="inlineStr">
        <is>
          <t>Нет ОКВЭД/ССЧР</t>
        </is>
      </c>
      <c r="V8195" s="35" t="inlineStr">
        <is>
          <t>Не определено</t>
        </is>
      </c>
      <c r="W8195" s="35" t="inlineStr"/>
      <c r="X8195" s="35" t="inlineStr"/>
    </row>
    <row r="8196" ht="15" customHeight="1" s="24">
      <c r="A8196" s="13" t="n">
        <v>5000122398</v>
      </c>
      <c r="B8196" s="13" t="inlineStr">
        <is>
          <t>МБОУ "Средняя общеобразовательная школа №1"</t>
        </is>
      </c>
      <c r="C8196" s="13" t="n">
        <v>5042068218</v>
      </c>
      <c r="D8196" s="13" t="inlineStr">
        <is>
          <t>5042068218</t>
        </is>
      </c>
      <c r="E8196" s="13" t="inlineStr">
        <is>
          <t>ЮЛ РФ</t>
        </is>
      </c>
      <c r="F8196" s="13" t="n"/>
      <c r="G8196" s="14" t="n"/>
      <c r="H8196" s="14" t="n"/>
      <c r="I8196" s="14" t="n"/>
      <c r="J8196" s="14" t="n"/>
      <c r="K8196" s="53" t="inlineStr"/>
      <c r="L8196" s="53" t="inlineStr">
        <is>
          <t>Не определено</t>
        </is>
      </c>
      <c r="M8196" s="53" t="inlineStr"/>
      <c r="N8196" s="54" t="inlineStr"/>
      <c r="O8196" s="55" t="inlineStr"/>
      <c r="P8196" s="16" t="inlineStr">
        <is>
          <t>Требует обогащения</t>
        </is>
      </c>
      <c r="Q8196" s="16">
        <f>HYPERLINK("https://pb.nalog.ru/search.html?query=5042068218","ФНС: проверить")</f>
        <v/>
      </c>
      <c r="R8196" s="16">
        <f>HYPERLINK("https://checko.ru/search?query=3801001629","Чекко: проверить")</f>
        <v/>
      </c>
      <c r="S8196" t="n">
        <v>1</v>
      </c>
      <c r="T8196" s="35" t="inlineStr">
        <is>
          <t>4 — Не обогащён</t>
        </is>
      </c>
      <c r="U8196" s="35" t="inlineStr">
        <is>
          <t>Нет ОКВЭД/ССЧР</t>
        </is>
      </c>
      <c r="V8196" s="35" t="inlineStr">
        <is>
          <t>Не определено</t>
        </is>
      </c>
      <c r="W8196" s="35" t="inlineStr"/>
      <c r="X8196" s="35" t="inlineStr"/>
    </row>
    <row r="8197" ht="27.75" customHeight="1" s="24">
      <c r="A8197" s="13" t="n">
        <v>5000122393</v>
      </c>
      <c r="B8197" s="13" t="inlineStr">
        <is>
          <t>МБОУ "Средняя общеобразовательная школа № 6"</t>
        </is>
      </c>
      <c r="C8197" s="13" t="n">
        <v>5042068271</v>
      </c>
      <c r="D8197" s="13" t="inlineStr">
        <is>
          <t>5042068271</t>
        </is>
      </c>
      <c r="E8197" s="13" t="inlineStr">
        <is>
          <t>ЮЛ РФ</t>
        </is>
      </c>
      <c r="F8197" s="13" t="n"/>
      <c r="G8197" s="14" t="n"/>
      <c r="H8197" s="14" t="n"/>
      <c r="I8197" s="14" t="n"/>
      <c r="J8197" s="14" t="n"/>
      <c r="K8197" s="53" t="inlineStr"/>
      <c r="L8197" s="53" t="inlineStr">
        <is>
          <t>Не определено</t>
        </is>
      </c>
      <c r="M8197" s="53" t="inlineStr"/>
      <c r="N8197" s="54" t="inlineStr"/>
      <c r="O8197" s="55" t="inlineStr"/>
      <c r="P8197" s="16" t="inlineStr">
        <is>
          <t>Требует обогащения</t>
        </is>
      </c>
      <c r="Q8197" s="16">
        <f>HYPERLINK("https://pb.nalog.ru/search.html?query=5042068271","ФНС: проверить")</f>
        <v/>
      </c>
      <c r="R8197" s="16">
        <f>HYPERLINK("https://checko.ru/search?query=3801001629","Чекко: проверить")</f>
        <v/>
      </c>
      <c r="S8197" t="n">
        <v>1</v>
      </c>
      <c r="T8197" s="35" t="inlineStr">
        <is>
          <t>4 — Не обогащён</t>
        </is>
      </c>
      <c r="U8197" s="35" t="inlineStr">
        <is>
          <t>Нет ОКВЭД/ССЧР</t>
        </is>
      </c>
      <c r="V8197" s="35" t="inlineStr">
        <is>
          <t>Не определено</t>
        </is>
      </c>
      <c r="W8197" s="35" t="inlineStr"/>
      <c r="X8197" s="35" t="inlineStr"/>
    </row>
    <row r="8198" ht="27.75" customHeight="1" s="24">
      <c r="A8198" s="13" t="n">
        <v>5000122392</v>
      </c>
      <c r="B8198" s="13" t="inlineStr">
        <is>
          <t>МБОУ "Средняя общеобразовательная школа № 15"</t>
        </is>
      </c>
      <c r="C8198" s="13" t="n">
        <v>5042068514</v>
      </c>
      <c r="D8198" s="13" t="inlineStr">
        <is>
          <t>5042068514</t>
        </is>
      </c>
      <c r="E8198" s="13" t="inlineStr">
        <is>
          <t>ЮЛ РФ</t>
        </is>
      </c>
      <c r="F8198" s="13" t="n"/>
      <c r="G8198" s="14" t="n"/>
      <c r="H8198" s="14" t="n"/>
      <c r="I8198" s="14" t="n"/>
      <c r="J8198" s="14" t="n"/>
      <c r="K8198" s="53" t="inlineStr"/>
      <c r="L8198" s="53" t="inlineStr">
        <is>
          <t>Не определено</t>
        </is>
      </c>
      <c r="M8198" s="53" t="inlineStr"/>
      <c r="N8198" s="54" t="inlineStr"/>
      <c r="O8198" s="55" t="inlineStr"/>
      <c r="P8198" s="16" t="inlineStr">
        <is>
          <t>Требует обогащения</t>
        </is>
      </c>
      <c r="Q8198" s="16">
        <f>HYPERLINK("https://pb.nalog.ru/search.html?query=5042068514","ФНС: проверить")</f>
        <v/>
      </c>
      <c r="R8198" s="16">
        <f>HYPERLINK("https://checko.ru/search?query=3801001629","Чекко: проверить")</f>
        <v/>
      </c>
      <c r="S8198" t="n">
        <v>1</v>
      </c>
      <c r="T8198" s="35" t="inlineStr">
        <is>
          <t>4 — Не обогащён</t>
        </is>
      </c>
      <c r="U8198" s="35" t="inlineStr">
        <is>
          <t>Нет ОКВЭД/ССЧР</t>
        </is>
      </c>
      <c r="V8198" s="35" t="inlineStr">
        <is>
          <t>Не определено</t>
        </is>
      </c>
      <c r="W8198" s="35" t="inlineStr"/>
      <c r="X8198" s="35" t="inlineStr"/>
    </row>
    <row r="8199" ht="27.75" customHeight="1" s="24">
      <c r="A8199" s="13" t="n">
        <v>5000122389</v>
      </c>
      <c r="B8199" s="13" t="inlineStr">
        <is>
          <t>МБОУ "СРЕДНЯЯ ОБЩЕОБРАЗОВАТЕЛЬНАЯ ШКОЛА №19"</t>
        </is>
      </c>
      <c r="C8199" s="13" t="n">
        <v>5042068264</v>
      </c>
      <c r="D8199" s="13" t="inlineStr">
        <is>
          <t>5042068264</t>
        </is>
      </c>
      <c r="E8199" s="13" t="inlineStr">
        <is>
          <t>ЮЛ РФ</t>
        </is>
      </c>
      <c r="F8199" s="13" t="n"/>
      <c r="G8199" s="14" t="n"/>
      <c r="H8199" s="14" t="n"/>
      <c r="I8199" s="14" t="n"/>
      <c r="J8199" s="14" t="n"/>
      <c r="K8199" s="53" t="inlineStr"/>
      <c r="L8199" s="53" t="inlineStr">
        <is>
          <t>Не определено</t>
        </is>
      </c>
      <c r="M8199" s="53" t="inlineStr"/>
      <c r="N8199" s="54" t="inlineStr"/>
      <c r="O8199" s="55" t="inlineStr"/>
      <c r="P8199" s="16" t="inlineStr">
        <is>
          <t>Требует обогащения</t>
        </is>
      </c>
      <c r="Q8199" s="16">
        <f>HYPERLINK("https://pb.nalog.ru/search.html?query=5042068264","ФНС: проверить")</f>
        <v/>
      </c>
      <c r="R8199" s="16">
        <f>HYPERLINK("https://checko.ru/search?query=3801001629","Чекко: проверить")</f>
        <v/>
      </c>
      <c r="S8199" t="n">
        <v>1</v>
      </c>
      <c r="T8199" s="35" t="inlineStr">
        <is>
          <t>4 — Не обогащён</t>
        </is>
      </c>
      <c r="U8199" s="35" t="inlineStr">
        <is>
          <t>Нет ОКВЭД/ССЧР</t>
        </is>
      </c>
      <c r="V8199" s="35" t="inlineStr">
        <is>
          <t>Не определено</t>
        </is>
      </c>
      <c r="W8199" s="35" t="inlineStr"/>
      <c r="X8199" s="35" t="inlineStr"/>
    </row>
    <row r="8200" ht="15" customHeight="1" s="24">
      <c r="A8200" s="13" t="n">
        <v>5000122364</v>
      </c>
      <c r="B8200" s="13" t="inlineStr">
        <is>
          <t>МБОУ "ШЕМЕТОВСКАЯ СОШ"</t>
        </is>
      </c>
      <c r="C8200" s="13" t="n">
        <v>5042068384</v>
      </c>
      <c r="D8200" s="13" t="inlineStr">
        <is>
          <t>5042068384</t>
        </is>
      </c>
      <c r="E8200" s="13" t="inlineStr">
        <is>
          <t>ЮЛ РФ</t>
        </is>
      </c>
      <c r="F8200" s="13" t="n"/>
      <c r="G8200" s="14" t="n"/>
      <c r="H8200" s="14" t="n"/>
      <c r="I8200" s="14" t="n"/>
      <c r="J8200" s="14" t="n"/>
      <c r="K8200" s="53" t="inlineStr"/>
      <c r="L8200" s="53" t="inlineStr">
        <is>
          <t>Не определено</t>
        </is>
      </c>
      <c r="M8200" s="53" t="inlineStr"/>
      <c r="N8200" s="54" t="inlineStr"/>
      <c r="O8200" s="55" t="inlineStr"/>
      <c r="P8200" s="16" t="inlineStr">
        <is>
          <t>Требует обогащения</t>
        </is>
      </c>
      <c r="Q8200" s="16">
        <f>HYPERLINK("https://pb.nalog.ru/search.html?query=5042068384","ФНС: проверить")</f>
        <v/>
      </c>
      <c r="R8200" s="16">
        <f>HYPERLINK("https://checko.ru/search?query=3801001629","Чекко: проверить")</f>
        <v/>
      </c>
      <c r="S8200" t="n">
        <v>1</v>
      </c>
      <c r="T8200" s="35" t="inlineStr">
        <is>
          <t>4 — Не обогащён</t>
        </is>
      </c>
      <c r="U8200" s="35" t="inlineStr">
        <is>
          <t>Нет ОКВЭД/ССЧР</t>
        </is>
      </c>
      <c r="V8200" s="35" t="inlineStr">
        <is>
          <t>Не определено</t>
        </is>
      </c>
      <c r="W8200" s="35" t="inlineStr"/>
      <c r="X8200" s="35" t="inlineStr"/>
    </row>
    <row r="8201" ht="15" customHeight="1" s="24">
      <c r="A8201" s="13" t="n">
        <v>5000122365</v>
      </c>
      <c r="B8201" s="13" t="inlineStr">
        <is>
          <t>МБУ ИАЦ</t>
        </is>
      </c>
      <c r="C8201" s="13" t="n">
        <v>5042100863</v>
      </c>
      <c r="D8201" s="13" t="inlineStr">
        <is>
          <t>5042100863</t>
        </is>
      </c>
      <c r="E8201" s="13" t="inlineStr">
        <is>
          <t>ЮЛ РФ</t>
        </is>
      </c>
      <c r="F8201" s="13" t="n"/>
      <c r="G8201" s="14" t="n"/>
      <c r="H8201" s="14" t="n"/>
      <c r="I8201" s="14" t="n"/>
      <c r="J8201" s="14" t="n"/>
      <c r="K8201" s="53" t="inlineStr"/>
      <c r="L8201" s="53" t="inlineStr">
        <is>
          <t>Не определено</t>
        </is>
      </c>
      <c r="M8201" s="53" t="inlineStr"/>
      <c r="N8201" s="54" t="inlineStr"/>
      <c r="O8201" s="55" t="inlineStr"/>
      <c r="P8201" s="16" t="inlineStr">
        <is>
          <t>Требует обогащения</t>
        </is>
      </c>
      <c r="Q8201" s="16">
        <f>HYPERLINK("https://pb.nalog.ru/search.html?query=5042100863","ФНС: проверить")</f>
        <v/>
      </c>
      <c r="R8201" s="16">
        <f>HYPERLINK("https://checko.ru/search?query=3801001629","Чекко: проверить")</f>
        <v/>
      </c>
      <c r="S8201" t="n">
        <v>1</v>
      </c>
      <c r="T8201" s="35" t="inlineStr">
        <is>
          <t>4 — Не обогащён</t>
        </is>
      </c>
      <c r="U8201" s="35" t="inlineStr">
        <is>
          <t>Нет ОКВЭД/ССЧР</t>
        </is>
      </c>
      <c r="V8201" s="35" t="inlineStr">
        <is>
          <t>Не определено</t>
        </is>
      </c>
      <c r="W8201" s="35" t="inlineStr"/>
      <c r="X8201" s="35" t="inlineStr"/>
    </row>
    <row r="8202" ht="15" customHeight="1" s="24">
      <c r="A8202" s="13" t="n">
        <v>5000122367</v>
      </c>
      <c r="B8202" s="13" t="inlineStr">
        <is>
          <t>МБУДО ДЦИ "ГАРМОНИЯ" (Г.ПЕРЕСВЕТ)</t>
        </is>
      </c>
      <c r="C8202" s="13" t="n">
        <v>5042070070</v>
      </c>
      <c r="D8202" s="13" t="inlineStr">
        <is>
          <t>5042070070</t>
        </is>
      </c>
      <c r="E8202" s="13" t="inlineStr">
        <is>
          <t>ЮЛ РФ</t>
        </is>
      </c>
      <c r="F8202" s="13" t="n"/>
      <c r="G8202" s="14" t="n"/>
      <c r="H8202" s="14" t="n"/>
      <c r="I8202" s="14" t="n"/>
      <c r="J8202" s="14" t="n"/>
      <c r="K8202" s="53" t="inlineStr"/>
      <c r="L8202" s="53" t="inlineStr">
        <is>
          <t>Не определено</t>
        </is>
      </c>
      <c r="M8202" s="53" t="inlineStr"/>
      <c r="N8202" s="54" t="inlineStr"/>
      <c r="O8202" s="55" t="inlineStr"/>
      <c r="P8202" s="16" t="inlineStr">
        <is>
          <t>Требует обогащения</t>
        </is>
      </c>
      <c r="Q8202" s="16">
        <f>HYPERLINK("https://pb.nalog.ru/search.html?query=5042070070","ФНС: проверить")</f>
        <v/>
      </c>
      <c r="R8202" s="16">
        <f>HYPERLINK("https://checko.ru/search?query=3801001629","Чекко: проверить")</f>
        <v/>
      </c>
      <c r="S8202" t="n">
        <v>1</v>
      </c>
      <c r="T8202" s="35" t="inlineStr">
        <is>
          <t>4 — Не обогащён</t>
        </is>
      </c>
      <c r="U8202" s="35" t="inlineStr">
        <is>
          <t>Нет ОКВЭД/ССЧР</t>
        </is>
      </c>
      <c r="V8202" s="35" t="inlineStr">
        <is>
          <t>Не определено</t>
        </is>
      </c>
      <c r="W8202" s="35" t="inlineStr"/>
      <c r="X8202" s="35" t="inlineStr"/>
    </row>
    <row r="8203" ht="27.75" customHeight="1" s="24">
      <c r="A8203" s="13" t="n">
        <v>5000122370</v>
      </c>
      <c r="B8203" s="13" t="inlineStr">
        <is>
          <t>СОВЕТ ДЕПУТАТОВ СЕРГИЕВО-ПОСАДСКОГО ГОРОДСКОГО ОКРУГА</t>
        </is>
      </c>
      <c r="C8203" s="13" t="n">
        <v>5042079241</v>
      </c>
      <c r="D8203" s="13" t="inlineStr">
        <is>
          <t>5042079241</t>
        </is>
      </c>
      <c r="E8203" s="13" t="inlineStr">
        <is>
          <t>ЮЛ РФ</t>
        </is>
      </c>
      <c r="F8203" s="13" t="n"/>
      <c r="G8203" s="14" t="n"/>
      <c r="H8203" s="14" t="n"/>
      <c r="I8203" s="14" t="n"/>
      <c r="J8203" s="14" t="n"/>
      <c r="K8203" s="53" t="inlineStr"/>
      <c r="L8203" s="53" t="inlineStr">
        <is>
          <t>Не определено</t>
        </is>
      </c>
      <c r="M8203" s="53" t="inlineStr"/>
      <c r="N8203" s="54" t="inlineStr"/>
      <c r="O8203" s="55" t="inlineStr"/>
      <c r="P8203" s="16" t="inlineStr">
        <is>
          <t>Требует обогащения</t>
        </is>
      </c>
      <c r="Q8203" s="16">
        <f>HYPERLINK("https://pb.nalog.ru/search.html?query=5042079241","ФНС: проверить")</f>
        <v/>
      </c>
      <c r="R8203" s="16">
        <f>HYPERLINK("https://checko.ru/search?query=3801001629","Чекко: проверить")</f>
        <v/>
      </c>
      <c r="S8203" t="n">
        <v>1</v>
      </c>
      <c r="T8203" s="35" t="inlineStr">
        <is>
          <t>4 — Не обогащён</t>
        </is>
      </c>
      <c r="U8203" s="35" t="inlineStr">
        <is>
          <t>Нет ОКВЭД/ССЧР</t>
        </is>
      </c>
      <c r="V8203" s="35" t="inlineStr">
        <is>
          <t>Не определено</t>
        </is>
      </c>
      <c r="W8203" s="35" t="inlineStr"/>
      <c r="X8203" s="35" t="inlineStr"/>
    </row>
    <row r="8204" ht="15" customHeight="1" s="24">
      <c r="A8204" s="13" t="n">
        <v>5000122374</v>
      </c>
      <c r="B8204" s="13" t="inlineStr">
        <is>
          <t>МБУК "ЦГБ ИМ.А.С. ГОРЛОВСКОГО"</t>
        </is>
      </c>
      <c r="C8204" s="13" t="n">
        <v>5042052899</v>
      </c>
      <c r="D8204" s="13" t="inlineStr">
        <is>
          <t>5042052899</t>
        </is>
      </c>
      <c r="E8204" s="13" t="inlineStr">
        <is>
          <t>ЮЛ РФ</t>
        </is>
      </c>
      <c r="F8204" s="13" t="n"/>
      <c r="G8204" s="14" t="n"/>
      <c r="H8204" s="14" t="n"/>
      <c r="I8204" s="14" t="n"/>
      <c r="J8204" s="14" t="n"/>
      <c r="K8204" s="53" t="inlineStr"/>
      <c r="L8204" s="53" t="inlineStr">
        <is>
          <t>Не определено</t>
        </is>
      </c>
      <c r="M8204" s="53" t="inlineStr"/>
      <c r="N8204" s="54" t="inlineStr"/>
      <c r="O8204" s="55" t="inlineStr"/>
      <c r="P8204" s="16" t="inlineStr">
        <is>
          <t>Требует обогащения</t>
        </is>
      </c>
      <c r="Q8204" s="16">
        <f>HYPERLINK("https://pb.nalog.ru/search.html?query=5042052899","ФНС: проверить")</f>
        <v/>
      </c>
      <c r="R8204" s="16">
        <f>HYPERLINK("https://checko.ru/search?query=3801001629","Чекко: проверить")</f>
        <v/>
      </c>
      <c r="S8204" t="n">
        <v>1</v>
      </c>
      <c r="T8204" s="35" t="inlineStr">
        <is>
          <t>4 — Не обогащён</t>
        </is>
      </c>
      <c r="U8204" s="35" t="inlineStr">
        <is>
          <t>Нет ОКВЭД/ССЧР</t>
        </is>
      </c>
      <c r="V8204" s="35" t="inlineStr">
        <is>
          <t>Не определено</t>
        </is>
      </c>
      <c r="W8204" s="35" t="inlineStr"/>
      <c r="X8204" s="35" t="inlineStr"/>
    </row>
    <row r="8205" ht="15" customHeight="1" s="24">
      <c r="A8205" s="13" t="n">
        <v>5000122379</v>
      </c>
      <c r="B8205" s="13" t="inlineStr">
        <is>
          <t>МБУК "ДК ИМ.Ю.А.ГАГАРИНА"</t>
        </is>
      </c>
      <c r="C8205" s="13" t="n">
        <v>5042041061</v>
      </c>
      <c r="D8205" s="13" t="inlineStr">
        <is>
          <t>5042041061</t>
        </is>
      </c>
      <c r="E8205" s="13" t="inlineStr">
        <is>
          <t>ЮЛ РФ</t>
        </is>
      </c>
      <c r="F8205" s="13" t="n"/>
      <c r="G8205" s="14" t="n"/>
      <c r="H8205" s="14" t="n"/>
      <c r="I8205" s="14" t="n"/>
      <c r="J8205" s="14" t="n"/>
      <c r="K8205" s="53" t="inlineStr"/>
      <c r="L8205" s="53" t="inlineStr">
        <is>
          <t>Не определено</t>
        </is>
      </c>
      <c r="M8205" s="53" t="inlineStr"/>
      <c r="N8205" s="54" t="inlineStr"/>
      <c r="O8205" s="55" t="inlineStr"/>
      <c r="P8205" s="16" t="inlineStr">
        <is>
          <t>Требует обогащения</t>
        </is>
      </c>
      <c r="Q8205" s="16">
        <f>HYPERLINK("https://pb.nalog.ru/search.html?query=5042041061","ФНС: проверить")</f>
        <v/>
      </c>
      <c r="R8205" s="16">
        <f>HYPERLINK("https://checko.ru/search?query=3801001629","Чекко: проверить")</f>
        <v/>
      </c>
      <c r="S8205" t="n">
        <v>1</v>
      </c>
      <c r="T8205" s="35" t="inlineStr">
        <is>
          <t>4 — Не обогащён</t>
        </is>
      </c>
      <c r="U8205" s="35" t="inlineStr">
        <is>
          <t>Нет ОКВЭД/ССЧР</t>
        </is>
      </c>
      <c r="V8205" s="35" t="inlineStr">
        <is>
          <t>Не определено</t>
        </is>
      </c>
      <c r="W8205" s="35" t="inlineStr"/>
      <c r="X8205" s="35" t="inlineStr"/>
    </row>
    <row r="8206" ht="15" customHeight="1" s="24">
      <c r="A8206" s="13" t="n">
        <v>5000122538</v>
      </c>
      <c r="B8206" s="13" t="inlineStr">
        <is>
          <t>КГКУЗ Медицинский центр "Резерв"</t>
        </is>
      </c>
      <c r="C8206" s="13" t="n">
        <v>4101035374</v>
      </c>
      <c r="D8206" s="13" t="inlineStr">
        <is>
          <t>4101035374</t>
        </is>
      </c>
      <c r="E8206" s="13" t="inlineStr">
        <is>
          <t>ЮЛ РФ</t>
        </is>
      </c>
      <c r="F8206" s="13" t="n"/>
      <c r="G8206" s="14" t="n"/>
      <c r="H8206" s="14" t="n"/>
      <c r="I8206" s="14" t="n"/>
      <c r="J8206" s="14" t="n"/>
      <c r="K8206" s="53" t="inlineStr"/>
      <c r="L8206" s="53" t="inlineStr">
        <is>
          <t>Не определено</t>
        </is>
      </c>
      <c r="M8206" s="53" t="inlineStr"/>
      <c r="N8206" s="54" t="inlineStr"/>
      <c r="O8206" s="55" t="inlineStr"/>
      <c r="P8206" s="16" t="inlineStr">
        <is>
          <t>Требует обогащения</t>
        </is>
      </c>
      <c r="Q8206" s="16">
        <f>HYPERLINK("https://pb.nalog.ru/search.html?query=4101035374","ФНС: проверить")</f>
        <v/>
      </c>
      <c r="R8206" s="16">
        <f>HYPERLINK("https://checko.ru/search?query=3801001629","Чекко: проверить")</f>
        <v/>
      </c>
      <c r="S8206" t="n">
        <v>1</v>
      </c>
      <c r="T8206" s="35" t="inlineStr">
        <is>
          <t>4 — Не обогащён</t>
        </is>
      </c>
      <c r="U8206" s="35" t="inlineStr">
        <is>
          <t>Нет ОКВЭД/ССЧР</t>
        </is>
      </c>
      <c r="V8206" s="35" t="inlineStr">
        <is>
          <t>Не определено</t>
        </is>
      </c>
      <c r="W8206" s="35" t="inlineStr"/>
      <c r="X8206" s="35" t="inlineStr"/>
    </row>
    <row r="8207" ht="15" customHeight="1" s="24">
      <c r="A8207" s="13" t="n">
        <v>5000122542</v>
      </c>
      <c r="B8207" s="13" t="inlineStr">
        <is>
          <t>КГАУ "Камчатский театр кукол"</t>
        </is>
      </c>
      <c r="C8207" s="13" t="n">
        <v>4101007970</v>
      </c>
      <c r="D8207" s="13" t="inlineStr">
        <is>
          <t>4101007970</t>
        </is>
      </c>
      <c r="E8207" s="13" t="inlineStr">
        <is>
          <t>ЮЛ РФ</t>
        </is>
      </c>
      <c r="F8207" s="13" t="n"/>
      <c r="G8207" s="14" t="n"/>
      <c r="H8207" s="14" t="n"/>
      <c r="I8207" s="14" t="n"/>
      <c r="J8207" s="14" t="n"/>
      <c r="K8207" s="53" t="inlineStr"/>
      <c r="L8207" s="53" t="inlineStr">
        <is>
          <t>Не определено</t>
        </is>
      </c>
      <c r="M8207" s="53" t="inlineStr"/>
      <c r="N8207" s="54" t="inlineStr"/>
      <c r="O8207" s="55" t="inlineStr"/>
      <c r="P8207" s="16" t="inlineStr">
        <is>
          <t>Требует обогащения</t>
        </is>
      </c>
      <c r="Q8207" s="16">
        <f>HYPERLINK("https://pb.nalog.ru/search.html?query=4101007970","ФНС: проверить")</f>
        <v/>
      </c>
      <c r="R8207" s="16">
        <f>HYPERLINK("https://checko.ru/search?query=3801001629","Чекко: проверить")</f>
        <v/>
      </c>
      <c r="S8207" t="n">
        <v>1</v>
      </c>
      <c r="T8207" s="35" t="inlineStr">
        <is>
          <t>4 — Не обогащён</t>
        </is>
      </c>
      <c r="U8207" s="35" t="inlineStr">
        <is>
          <t>Нет ОКВЭД/ССЧР</t>
        </is>
      </c>
      <c r="V8207" s="35" t="inlineStr">
        <is>
          <t>Не определено</t>
        </is>
      </c>
      <c r="W8207" s="35" t="inlineStr"/>
      <c r="X8207" s="35" t="inlineStr"/>
    </row>
    <row r="8208" ht="27.75" customHeight="1" s="24">
      <c r="A8208" s="13" t="n">
        <v>5000122577</v>
      </c>
      <c r="B8208" s="13" t="inlineStr">
        <is>
          <t>Администрация Елизовского муниципального района</t>
        </is>
      </c>
      <c r="C8208" s="13" t="n">
        <v>4105006021</v>
      </c>
      <c r="D8208" s="13" t="inlineStr">
        <is>
          <t>4105006021</t>
        </is>
      </c>
      <c r="E8208" s="13" t="inlineStr">
        <is>
          <t>ЮЛ РФ</t>
        </is>
      </c>
      <c r="F8208" s="13" t="n"/>
      <c r="G8208" s="14" t="n"/>
      <c r="H8208" s="14" t="n"/>
      <c r="I8208" s="14" t="n"/>
      <c r="J8208" s="14" t="n"/>
      <c r="K8208" s="53" t="inlineStr"/>
      <c r="L8208" s="53" t="inlineStr">
        <is>
          <t>Не определено</t>
        </is>
      </c>
      <c r="M8208" s="53" t="inlineStr"/>
      <c r="N8208" s="54" t="inlineStr"/>
      <c r="O8208" s="55" t="inlineStr"/>
      <c r="P8208" s="16" t="inlineStr">
        <is>
          <t>Требует обогащения</t>
        </is>
      </c>
      <c r="Q8208" s="16">
        <f>HYPERLINK("https://pb.nalog.ru/search.html?query=4105006021","ФНС: проверить")</f>
        <v/>
      </c>
      <c r="R8208" s="16">
        <f>HYPERLINK("https://checko.ru/search?query=3801001629","Чекко: проверить")</f>
        <v/>
      </c>
      <c r="S8208" t="n">
        <v>1</v>
      </c>
      <c r="T8208" s="35" t="inlineStr">
        <is>
          <t>4 — Не обогащён</t>
        </is>
      </c>
      <c r="U8208" s="35" t="inlineStr">
        <is>
          <t>Нет ОКВЭД/ССЧР</t>
        </is>
      </c>
      <c r="V8208" s="35" t="inlineStr">
        <is>
          <t>Не определено</t>
        </is>
      </c>
      <c r="W8208" s="35" t="inlineStr"/>
      <c r="X8208" s="35" t="inlineStr"/>
    </row>
    <row r="8209" ht="15" customHeight="1" s="24">
      <c r="A8209" s="13" t="n">
        <v>5000122581</v>
      </c>
      <c r="B8209" s="13" t="inlineStr">
        <is>
          <t>Управление делами</t>
        </is>
      </c>
      <c r="C8209" s="13" t="n">
        <v>4105031010</v>
      </c>
      <c r="D8209" s="13" t="inlineStr">
        <is>
          <t>4105031010</t>
        </is>
      </c>
      <c r="E8209" s="13" t="inlineStr">
        <is>
          <t>ЮЛ РФ</t>
        </is>
      </c>
      <c r="F8209" s="13" t="n"/>
      <c r="G8209" s="14" t="n"/>
      <c r="H8209" s="14" t="n"/>
      <c r="I8209" s="14" t="n"/>
      <c r="J8209" s="14" t="n"/>
      <c r="K8209" s="53" t="inlineStr"/>
      <c r="L8209" s="53" t="inlineStr">
        <is>
          <t>Не определено</t>
        </is>
      </c>
      <c r="M8209" s="53" t="inlineStr"/>
      <c r="N8209" s="54" t="inlineStr"/>
      <c r="O8209" s="55" t="inlineStr"/>
      <c r="P8209" s="16" t="inlineStr">
        <is>
          <t>Требует обогащения</t>
        </is>
      </c>
      <c r="Q8209" s="16">
        <f>HYPERLINK("https://pb.nalog.ru/search.html?query=4105031010","ФНС: проверить")</f>
        <v/>
      </c>
      <c r="R8209" s="16">
        <f>HYPERLINK("https://checko.ru/search?query=3801001629","Чекко: проверить")</f>
        <v/>
      </c>
      <c r="S8209" t="n">
        <v>1</v>
      </c>
      <c r="T8209" s="35" t="inlineStr">
        <is>
          <t>4 — Не обогащён</t>
        </is>
      </c>
      <c r="U8209" s="35" t="inlineStr">
        <is>
          <t>Нет ОКВЭД/ССЧР</t>
        </is>
      </c>
      <c r="V8209" s="35" t="inlineStr">
        <is>
          <t>Не определено</t>
        </is>
      </c>
      <c r="W8209" s="35" t="inlineStr"/>
      <c r="X8209" s="35" t="inlineStr"/>
    </row>
    <row r="8210" ht="27.75" customHeight="1" s="24">
      <c r="A8210" s="13" t="n">
        <v>5000122584</v>
      </c>
      <c r="B8210" s="13" t="inlineStr">
        <is>
          <t>УПРАВЛЕНИЕ ФИНАНСОВО-БЮДЖЕТНОЙ ПОЛИТИКИ (УФБП АЕМР)</t>
        </is>
      </c>
      <c r="C8210" s="13" t="n">
        <v>4105041347</v>
      </c>
      <c r="D8210" s="13" t="inlineStr">
        <is>
          <t>4105041347</t>
        </is>
      </c>
      <c r="E8210" s="13" t="inlineStr">
        <is>
          <t>ЮЛ РФ</t>
        </is>
      </c>
      <c r="F8210" s="13" t="n"/>
      <c r="G8210" s="14" t="n"/>
      <c r="H8210" s="14" t="n"/>
      <c r="I8210" s="14" t="n"/>
      <c r="J8210" s="14" t="n"/>
      <c r="K8210" s="53" t="inlineStr"/>
      <c r="L8210" s="53" t="inlineStr">
        <is>
          <t>Не определено</t>
        </is>
      </c>
      <c r="M8210" s="53" t="inlineStr"/>
      <c r="N8210" s="54" t="inlineStr"/>
      <c r="O8210" s="55" t="inlineStr"/>
      <c r="P8210" s="16" t="inlineStr">
        <is>
          <t>Требует обогащения</t>
        </is>
      </c>
      <c r="Q8210" s="16">
        <f>HYPERLINK("https://pb.nalog.ru/search.html?query=4105041347","ФНС: проверить")</f>
        <v/>
      </c>
      <c r="R8210" s="16">
        <f>HYPERLINK("https://checko.ru/search?query=3801001629","Чекко: проверить")</f>
        <v/>
      </c>
      <c r="S8210" t="n">
        <v>1</v>
      </c>
      <c r="T8210" s="35" t="inlineStr">
        <is>
          <t>4 — Не обогащён</t>
        </is>
      </c>
      <c r="U8210" s="35" t="inlineStr">
        <is>
          <t>Нет ОКВЭД/ССЧР</t>
        </is>
      </c>
      <c r="V8210" s="35" t="inlineStr">
        <is>
          <t>Не определено</t>
        </is>
      </c>
      <c r="W8210" s="35" t="inlineStr"/>
      <c r="X8210" s="35" t="inlineStr"/>
    </row>
    <row r="8211" ht="41.25" customHeight="1" s="24">
      <c r="A8211" s="13" t="n">
        <v>5000122589</v>
      </c>
      <c r="B8211" s="13" t="inlineStr">
        <is>
          <t>МБУ "СЛУЖБА ПО РАЗВИТИЮ ЖИЛИЩНО-КОММУНАЛЬНОЙ ИНФРАСТРУКТУРЫ, БЛАГОУСТРОЙСТВА И ТРАНСПОРТА"</t>
        </is>
      </c>
      <c r="C8211" s="13" t="n">
        <v>4105087239</v>
      </c>
      <c r="D8211" s="13" t="inlineStr">
        <is>
          <t>4105087239</t>
        </is>
      </c>
      <c r="E8211" s="13" t="inlineStr">
        <is>
          <t>ЮЛ РФ</t>
        </is>
      </c>
      <c r="F8211" s="13" t="n"/>
      <c r="G8211" s="14" t="n"/>
      <c r="H8211" s="14" t="n"/>
      <c r="I8211" s="14" t="n"/>
      <c r="J8211" s="14" t="n"/>
      <c r="K8211" s="53" t="inlineStr"/>
      <c r="L8211" s="53" t="inlineStr">
        <is>
          <t>Не определено</t>
        </is>
      </c>
      <c r="M8211" s="53" t="inlineStr"/>
      <c r="N8211" s="54" t="inlineStr"/>
      <c r="O8211" s="55" t="inlineStr"/>
      <c r="P8211" s="16" t="inlineStr">
        <is>
          <t>Требует обогащения</t>
        </is>
      </c>
      <c r="Q8211" s="16">
        <f>HYPERLINK("https://pb.nalog.ru/search.html?query=4105087239","ФНС: проверить")</f>
        <v/>
      </c>
      <c r="R8211" s="16">
        <f>HYPERLINK("https://checko.ru/search?query=3801001629","Чекко: проверить")</f>
        <v/>
      </c>
      <c r="S8211" t="n">
        <v>1</v>
      </c>
      <c r="T8211" s="35" t="inlineStr">
        <is>
          <t>4 — Не обогащён</t>
        </is>
      </c>
      <c r="U8211" s="35" t="inlineStr">
        <is>
          <t>Нет ОКВЭД/ССЧР</t>
        </is>
      </c>
      <c r="V8211" s="35" t="inlineStr">
        <is>
          <t>Не определено</t>
        </is>
      </c>
      <c r="W8211" s="35" t="inlineStr"/>
      <c r="X8211" s="35" t="inlineStr"/>
    </row>
    <row r="8212" ht="15" customHeight="1" s="24">
      <c r="A8212" s="13" t="n">
        <v>5000122598</v>
      </c>
      <c r="B8212" s="13" t="inlineStr">
        <is>
          <t>Администрация КСП</t>
        </is>
      </c>
      <c r="C8212" s="13" t="n">
        <v>4105029702</v>
      </c>
      <c r="D8212" s="13" t="inlineStr">
        <is>
          <t>4105029702</t>
        </is>
      </c>
      <c r="E8212" s="13" t="inlineStr">
        <is>
          <t>ЮЛ РФ</t>
        </is>
      </c>
      <c r="F8212" s="13" t="n"/>
      <c r="G8212" s="14" t="n"/>
      <c r="H8212" s="14" t="n"/>
      <c r="I8212" s="14" t="n"/>
      <c r="J8212" s="14" t="n"/>
      <c r="K8212" s="53" t="inlineStr"/>
      <c r="L8212" s="53" t="inlineStr">
        <is>
          <t>Не определено</t>
        </is>
      </c>
      <c r="M8212" s="53" t="inlineStr"/>
      <c r="N8212" s="54" t="inlineStr"/>
      <c r="O8212" s="55" t="inlineStr"/>
      <c r="P8212" s="16" t="inlineStr">
        <is>
          <t>Требует обогащения</t>
        </is>
      </c>
      <c r="Q8212" s="16">
        <f>HYPERLINK("https://pb.nalog.ru/search.html?query=4105029702","ФНС: проверить")</f>
        <v/>
      </c>
      <c r="R8212" s="16">
        <f>HYPERLINK("https://checko.ru/search?query=3801001629","Чекко: проверить")</f>
        <v/>
      </c>
      <c r="S8212" t="n">
        <v>1</v>
      </c>
      <c r="T8212" s="35" t="inlineStr">
        <is>
          <t>4 — Не обогащён</t>
        </is>
      </c>
      <c r="U8212" s="35" t="inlineStr">
        <is>
          <t>Нет ОКВЭД/ССЧР</t>
        </is>
      </c>
      <c r="V8212" s="35" t="inlineStr">
        <is>
          <t>Не определено</t>
        </is>
      </c>
      <c r="W8212" s="35" t="inlineStr"/>
      <c r="X8212" s="35" t="inlineStr"/>
    </row>
    <row r="8213" ht="27.75" customHeight="1" s="24">
      <c r="A8213" s="13" t="n">
        <v>5000122603</v>
      </c>
      <c r="B8213" s="13" t="inlineStr">
        <is>
          <t>АДМИНИСТРАЦИЯ УСТЬ-КАМЧАТСКОГО МУНИЦИПАЛЬНОГО ОКРУГА</t>
        </is>
      </c>
      <c r="C8213" s="13" t="n">
        <v>4100053733</v>
      </c>
      <c r="D8213" s="13" t="inlineStr">
        <is>
          <t>4100053733</t>
        </is>
      </c>
      <c r="E8213" s="13" t="inlineStr">
        <is>
          <t>ЮЛ РФ</t>
        </is>
      </c>
      <c r="F8213" s="13" t="n"/>
      <c r="G8213" s="14" t="n"/>
      <c r="H8213" s="14" t="n"/>
      <c r="I8213" s="14" t="n"/>
      <c r="J8213" s="14" t="n"/>
      <c r="K8213" s="53" t="inlineStr"/>
      <c r="L8213" s="53" t="inlineStr">
        <is>
          <t>Не определено</t>
        </is>
      </c>
      <c r="M8213" s="53" t="inlineStr"/>
      <c r="N8213" s="54" t="inlineStr"/>
      <c r="O8213" s="55" t="inlineStr"/>
      <c r="P8213" s="16" t="inlineStr">
        <is>
          <t>Требует обогащения</t>
        </is>
      </c>
      <c r="Q8213" s="16">
        <f>HYPERLINK("https://pb.nalog.ru/search.html?query=4100053733","ФНС: проверить")</f>
        <v/>
      </c>
      <c r="R8213" s="16">
        <f>HYPERLINK("https://checko.ru/search?query=3801001629","Чекко: проверить")</f>
        <v/>
      </c>
      <c r="S8213" t="n">
        <v>1</v>
      </c>
      <c r="T8213" s="35" t="inlineStr">
        <is>
          <t>4 — Не обогащён</t>
        </is>
      </c>
      <c r="U8213" s="35" t="inlineStr">
        <is>
          <t>Нет ОКВЭД/ССЧР</t>
        </is>
      </c>
      <c r="V8213" s="35" t="inlineStr">
        <is>
          <t>Не определено</t>
        </is>
      </c>
      <c r="W8213" s="35" t="inlineStr"/>
      <c r="X8213" s="35" t="inlineStr"/>
    </row>
    <row r="8214" ht="15" customHeight="1" s="24">
      <c r="A8214" s="13" t="n">
        <v>5000122625</v>
      </c>
      <c r="B8214" s="13" t="inlineStr">
        <is>
          <t>Администрация с. Кавалерское</t>
        </is>
      </c>
      <c r="C8214" s="13" t="n">
        <v>4108001590</v>
      </c>
      <c r="D8214" s="13" t="inlineStr">
        <is>
          <t>4108001590</t>
        </is>
      </c>
      <c r="E8214" s="13" t="inlineStr">
        <is>
          <t>ЮЛ РФ</t>
        </is>
      </c>
      <c r="F8214" s="13" t="n"/>
      <c r="G8214" s="14" t="n"/>
      <c r="H8214" s="14" t="n"/>
      <c r="I8214" s="14" t="n"/>
      <c r="J8214" s="14" t="n"/>
      <c r="K8214" s="53" t="inlineStr"/>
      <c r="L8214" s="53" t="inlineStr">
        <is>
          <t>Не определено</t>
        </is>
      </c>
      <c r="M8214" s="53" t="inlineStr"/>
      <c r="N8214" s="54" t="inlineStr"/>
      <c r="O8214" s="55" t="inlineStr"/>
      <c r="P8214" s="16" t="inlineStr">
        <is>
          <t>Требует обогащения</t>
        </is>
      </c>
      <c r="Q8214" s="16">
        <f>HYPERLINK("https://pb.nalog.ru/search.html?query=4108001590","ФНС: проверить")</f>
        <v/>
      </c>
      <c r="R8214" s="16">
        <f>HYPERLINK("https://checko.ru/search?query=3801001629","Чекко: проверить")</f>
        <v/>
      </c>
      <c r="S8214" t="n">
        <v>1</v>
      </c>
      <c r="T8214" s="35" t="inlineStr">
        <is>
          <t>4 — Не обогащён</t>
        </is>
      </c>
      <c r="U8214" s="35" t="inlineStr">
        <is>
          <t>Нет ОКВЭД/ССЧР</t>
        </is>
      </c>
      <c r="V8214" s="35" t="inlineStr">
        <is>
          <t>Не определено</t>
        </is>
      </c>
      <c r="W8214" s="35" t="inlineStr"/>
      <c r="X8214" s="35" t="inlineStr"/>
    </row>
    <row r="8215" ht="27.75" customHeight="1" s="24">
      <c r="A8215" s="13" t="n">
        <v>5000122640</v>
      </c>
      <c r="B8215" s="13" t="inlineStr">
        <is>
          <t>АДМИНИСТРАЦИЯ МИЛЬКОВСКОГО МУНИЦИПАЛЬНОГО ОКРУГА</t>
        </is>
      </c>
      <c r="C8215" s="13" t="n">
        <v>4100049328</v>
      </c>
      <c r="D8215" s="13" t="inlineStr">
        <is>
          <t>4100049328</t>
        </is>
      </c>
      <c r="E8215" s="13" t="inlineStr">
        <is>
          <t>ЮЛ РФ</t>
        </is>
      </c>
      <c r="F8215" s="13" t="n"/>
      <c r="G8215" s="14" t="n"/>
      <c r="H8215" s="14" t="n"/>
      <c r="I8215" s="14" t="n"/>
      <c r="J8215" s="14" t="n"/>
      <c r="K8215" s="53" t="inlineStr"/>
      <c r="L8215" s="53" t="inlineStr">
        <is>
          <t>Не определено</t>
        </is>
      </c>
      <c r="M8215" s="53" t="inlineStr"/>
      <c r="N8215" s="54" t="inlineStr"/>
      <c r="O8215" s="55" t="inlineStr"/>
      <c r="P8215" s="16" t="inlineStr">
        <is>
          <t>Требует обогащения</t>
        </is>
      </c>
      <c r="Q8215" s="16">
        <f>HYPERLINK("https://pb.nalog.ru/search.html?query=4100049328","ФНС: проверить")</f>
        <v/>
      </c>
      <c r="R8215" s="16">
        <f>HYPERLINK("https://checko.ru/search?query=3801001629","Чекко: проверить")</f>
        <v/>
      </c>
      <c r="S8215" t="n">
        <v>1</v>
      </c>
      <c r="T8215" s="35" t="inlineStr">
        <is>
          <t>4 — Не обогащён</t>
        </is>
      </c>
      <c r="U8215" s="35" t="inlineStr">
        <is>
          <t>Нет ОКВЭД/ССЧР</t>
        </is>
      </c>
      <c r="V8215" s="35" t="inlineStr">
        <is>
          <t>Не определено</t>
        </is>
      </c>
      <c r="W8215" s="35" t="inlineStr"/>
      <c r="X8215" s="35" t="inlineStr"/>
    </row>
    <row r="8216" ht="15" customHeight="1" s="24">
      <c r="A8216" s="13" t="n">
        <v>5000122649</v>
      </c>
      <c r="B8216" s="13" t="inlineStr">
        <is>
          <t>КУМИ</t>
        </is>
      </c>
      <c r="C8216" s="13" t="n">
        <v>4104000669</v>
      </c>
      <c r="D8216" s="13" t="inlineStr">
        <is>
          <t>4104000669</t>
        </is>
      </c>
      <c r="E8216" s="13" t="inlineStr">
        <is>
          <t>ЮЛ РФ</t>
        </is>
      </c>
      <c r="F8216" s="13" t="n"/>
      <c r="G8216" s="14" t="n"/>
      <c r="H8216" s="14" t="n"/>
      <c r="I8216" s="14" t="n"/>
      <c r="J8216" s="14" t="n"/>
      <c r="K8216" s="53" t="inlineStr"/>
      <c r="L8216" s="53" t="inlineStr">
        <is>
          <t>Не определено</t>
        </is>
      </c>
      <c r="M8216" s="53" t="inlineStr"/>
      <c r="N8216" s="54" t="inlineStr"/>
      <c r="O8216" s="55" t="inlineStr"/>
      <c r="P8216" s="16" t="inlineStr">
        <is>
          <t>Требует обогащения</t>
        </is>
      </c>
      <c r="Q8216" s="16">
        <f>HYPERLINK("https://pb.nalog.ru/search.html?query=4104000669","ФНС: проверить")</f>
        <v/>
      </c>
      <c r="R8216" s="16">
        <f>HYPERLINK("https://checko.ru/search?query=3801001629","Чекко: проверить")</f>
        <v/>
      </c>
      <c r="S8216" t="n">
        <v>1</v>
      </c>
      <c r="T8216" s="35" t="inlineStr">
        <is>
          <t>4 — Не обогащён</t>
        </is>
      </c>
      <c r="U8216" s="35" t="inlineStr">
        <is>
          <t>Нет ОКВЭД/ССЧР</t>
        </is>
      </c>
      <c r="V8216" s="35" t="inlineStr">
        <is>
          <t>Не определено</t>
        </is>
      </c>
      <c r="W8216" s="35" t="inlineStr"/>
      <c r="X8216" s="35" t="inlineStr"/>
    </row>
    <row r="8217" ht="15" customHeight="1" s="24">
      <c r="A8217" s="13" t="n">
        <v>5000122657</v>
      </c>
      <c r="B8217" s="13" t="inlineStr">
        <is>
          <t>МКУ "СЛУЖБА ОБЕСПЕЧЕНИЯ ДЕЯТЕЛЬНОСТИ"</t>
        </is>
      </c>
      <c r="C8217" s="13" t="n">
        <v>8202016865</v>
      </c>
      <c r="D8217" s="13" t="inlineStr">
        <is>
          <t>8202016865</t>
        </is>
      </c>
      <c r="E8217" s="13" t="inlineStr">
        <is>
          <t>ЮЛ РФ</t>
        </is>
      </c>
      <c r="F8217" s="13" t="n"/>
      <c r="G8217" s="14" t="n"/>
      <c r="H8217" s="14" t="n"/>
      <c r="I8217" s="14" t="n"/>
      <c r="J8217" s="14" t="n"/>
      <c r="K8217" s="53" t="inlineStr"/>
      <c r="L8217" s="53" t="inlineStr">
        <is>
          <t>Не определено</t>
        </is>
      </c>
      <c r="M8217" s="53" t="inlineStr"/>
      <c r="N8217" s="54" t="inlineStr"/>
      <c r="O8217" s="55" t="inlineStr"/>
      <c r="P8217" s="16" t="inlineStr">
        <is>
          <t>Требует обогащения</t>
        </is>
      </c>
      <c r="Q8217" s="16">
        <f>HYPERLINK("https://pb.nalog.ru/search.html?query=8202016865","ФНС: проверить")</f>
        <v/>
      </c>
      <c r="R8217" s="16">
        <f>HYPERLINK("https://checko.ru/search?query=3801001629","Чекко: проверить")</f>
        <v/>
      </c>
      <c r="S8217" t="n">
        <v>1</v>
      </c>
      <c r="T8217" s="35" t="inlineStr">
        <is>
          <t>4 — Не обогащён</t>
        </is>
      </c>
      <c r="U8217" s="35" t="inlineStr">
        <is>
          <t>Нет ОКВЭД/ССЧР</t>
        </is>
      </c>
      <c r="V8217" s="35" t="inlineStr">
        <is>
          <t>Не определено</t>
        </is>
      </c>
      <c r="W8217" s="35" t="inlineStr"/>
      <c r="X8217" s="35" t="inlineStr"/>
    </row>
    <row r="8218" ht="15" customHeight="1" s="24">
      <c r="A8218" s="13" t="n">
        <v>5000122661</v>
      </c>
      <c r="B8218" s="13" t="inlineStr">
        <is>
          <t>КУМИ пгт. Палана</t>
        </is>
      </c>
      <c r="C8218" s="13" t="n">
        <v>8202010849</v>
      </c>
      <c r="D8218" s="13" t="inlineStr">
        <is>
          <t>8202010849</t>
        </is>
      </c>
      <c r="E8218" s="13" t="inlineStr">
        <is>
          <t>ЮЛ РФ</t>
        </is>
      </c>
      <c r="F8218" s="13" t="n"/>
      <c r="G8218" s="14" t="n"/>
      <c r="H8218" s="14" t="n"/>
      <c r="I8218" s="14" t="n"/>
      <c r="J8218" s="14" t="n"/>
      <c r="K8218" s="53" t="inlineStr"/>
      <c r="L8218" s="53" t="inlineStr">
        <is>
          <t>Не определено</t>
        </is>
      </c>
      <c r="M8218" s="53" t="inlineStr"/>
      <c r="N8218" s="54" t="inlineStr"/>
      <c r="O8218" s="55" t="inlineStr"/>
      <c r="P8218" s="16" t="inlineStr">
        <is>
          <t>Требует обогащения</t>
        </is>
      </c>
      <c r="Q8218" s="16">
        <f>HYPERLINK("https://pb.nalog.ru/search.html?query=8202010849","ФНС: проверить")</f>
        <v/>
      </c>
      <c r="R8218" s="16">
        <f>HYPERLINK("https://checko.ru/search?query=3801001629","Чекко: проверить")</f>
        <v/>
      </c>
      <c r="S8218" t="n">
        <v>1</v>
      </c>
      <c r="T8218" s="35" t="inlineStr">
        <is>
          <t>4 — Не обогащён</t>
        </is>
      </c>
      <c r="U8218" s="35" t="inlineStr">
        <is>
          <t>Нет ОКВЭД/ССЧР</t>
        </is>
      </c>
      <c r="V8218" s="35" t="inlineStr">
        <is>
          <t>Не определено</t>
        </is>
      </c>
      <c r="W8218" s="35" t="inlineStr"/>
      <c r="X8218" s="35" t="inlineStr"/>
    </row>
    <row r="8219" ht="27.75" customHeight="1" s="24">
      <c r="A8219" s="13" t="n">
        <v>5000122662</v>
      </c>
      <c r="B8219" s="13" t="inlineStr">
        <is>
          <t>Совет депутатов городского округа "поселок Палана"</t>
        </is>
      </c>
      <c r="C8219" s="13" t="n">
        <v>8202015501</v>
      </c>
      <c r="D8219" s="13" t="inlineStr">
        <is>
          <t>8202015501</t>
        </is>
      </c>
      <c r="E8219" s="13" t="inlineStr">
        <is>
          <t>ЮЛ РФ</t>
        </is>
      </c>
      <c r="F8219" s="13" t="n"/>
      <c r="G8219" s="14" t="n"/>
      <c r="H8219" s="14" t="n"/>
      <c r="I8219" s="14" t="n"/>
      <c r="J8219" s="14" t="n"/>
      <c r="K8219" s="53" t="inlineStr"/>
      <c r="L8219" s="53" t="inlineStr">
        <is>
          <t>Не определено</t>
        </is>
      </c>
      <c r="M8219" s="53" t="inlineStr"/>
      <c r="N8219" s="54" t="inlineStr"/>
      <c r="O8219" s="55" t="inlineStr"/>
      <c r="P8219" s="16" t="inlineStr">
        <is>
          <t>Требует обогащения</t>
        </is>
      </c>
      <c r="Q8219" s="16">
        <f>HYPERLINK("https://pb.nalog.ru/search.html?query=8202015501","ФНС: проверить")</f>
        <v/>
      </c>
      <c r="R8219" s="16">
        <f>HYPERLINK("https://checko.ru/search?query=3801001629","Чекко: проверить")</f>
        <v/>
      </c>
      <c r="S8219" t="n">
        <v>1</v>
      </c>
      <c r="T8219" s="35" t="inlineStr">
        <is>
          <t>4 — Не обогащён</t>
        </is>
      </c>
      <c r="U8219" s="35" t="inlineStr">
        <is>
          <t>Нет ОКВЭД/ССЧР</t>
        </is>
      </c>
      <c r="V8219" s="35" t="inlineStr">
        <is>
          <t>Не определено</t>
        </is>
      </c>
      <c r="W8219" s="35" t="inlineStr"/>
      <c r="X8219" s="35" t="inlineStr"/>
    </row>
    <row r="8220" ht="15" customHeight="1" s="24">
      <c r="A8220" s="13" t="n">
        <v>5000122666</v>
      </c>
      <c r="B8220" s="13" t="inlineStr">
        <is>
          <t>АДМИНИСТРАЦИЯ МО СП "СЕЛО ХАИЛИНО"</t>
        </is>
      </c>
      <c r="C8220" s="13" t="n">
        <v>8201001305</v>
      </c>
      <c r="D8220" s="13" t="inlineStr">
        <is>
          <t>8201001305</t>
        </is>
      </c>
      <c r="E8220" s="13" t="inlineStr">
        <is>
          <t>ЮЛ РФ</t>
        </is>
      </c>
      <c r="F8220" s="13" t="n"/>
      <c r="G8220" s="14" t="n"/>
      <c r="H8220" s="14" t="n"/>
      <c r="I8220" s="14" t="n"/>
      <c r="J8220" s="14" t="n"/>
      <c r="K8220" s="53" t="inlineStr"/>
      <c r="L8220" s="53" t="inlineStr">
        <is>
          <t>Не определено</t>
        </is>
      </c>
      <c r="M8220" s="53" t="inlineStr"/>
      <c r="N8220" s="54" t="inlineStr"/>
      <c r="O8220" s="55" t="inlineStr"/>
      <c r="P8220" s="16" t="inlineStr">
        <is>
          <t>Требует обогащения</t>
        </is>
      </c>
      <c r="Q8220" s="16">
        <f>HYPERLINK("https://pb.nalog.ru/search.html?query=8201001305","ФНС: проверить")</f>
        <v/>
      </c>
      <c r="R8220" s="16">
        <f>HYPERLINK("https://checko.ru/search?query=3801001629","Чекко: проверить")</f>
        <v/>
      </c>
      <c r="S8220" t="n">
        <v>1</v>
      </c>
      <c r="T8220" s="35" t="inlineStr">
        <is>
          <t>4 — Не обогащён</t>
        </is>
      </c>
      <c r="U8220" s="35" t="inlineStr">
        <is>
          <t>Нет ОКВЭД/ССЧР</t>
        </is>
      </c>
      <c r="V8220" s="35" t="inlineStr">
        <is>
          <t>Не определено</t>
        </is>
      </c>
      <c r="W8220" s="35" t="inlineStr"/>
      <c r="X8220" s="35" t="inlineStr"/>
    </row>
    <row r="8221" ht="27.75" customHeight="1" s="24">
      <c r="A8221" s="13" t="n">
        <v>5000122675</v>
      </c>
      <c r="B8221" s="13" t="inlineStr">
        <is>
          <t>ОТДЕЛ ПО РАБОТЕ С ОТДЕЛЬНЫМИ КАТЕГОРИЯМИ ГРАЖДАН АДМИНИСТРАЦИИ ВГО</t>
        </is>
      </c>
      <c r="C8221" s="13" t="n">
        <v>4102011224</v>
      </c>
      <c r="D8221" s="13" t="inlineStr">
        <is>
          <t>4102011224</t>
        </is>
      </c>
      <c r="E8221" s="13" t="inlineStr">
        <is>
          <t>ЮЛ РФ</t>
        </is>
      </c>
      <c r="F8221" s="13" t="n"/>
      <c r="G8221" s="14" t="n"/>
      <c r="H8221" s="14" t="n"/>
      <c r="I8221" s="14" t="n"/>
      <c r="J8221" s="14" t="n"/>
      <c r="K8221" s="53" t="inlineStr"/>
      <c r="L8221" s="53" t="inlineStr">
        <is>
          <t>Не определено</t>
        </is>
      </c>
      <c r="M8221" s="53" t="inlineStr"/>
      <c r="N8221" s="54" t="inlineStr"/>
      <c r="O8221" s="55" t="inlineStr"/>
      <c r="P8221" s="16" t="inlineStr">
        <is>
          <t>Требует обогащения</t>
        </is>
      </c>
      <c r="Q8221" s="16">
        <f>HYPERLINK("https://pb.nalog.ru/search.html?query=4102011224","ФНС: проверить")</f>
        <v/>
      </c>
      <c r="R8221" s="16">
        <f>HYPERLINK("https://checko.ru/search?query=3801001629","Чекко: проверить")</f>
        <v/>
      </c>
      <c r="S8221" t="n">
        <v>1</v>
      </c>
      <c r="T8221" s="35" t="inlineStr">
        <is>
          <t>4 — Не обогащён</t>
        </is>
      </c>
      <c r="U8221" s="35" t="inlineStr">
        <is>
          <t>Нет ОКВЭД/ССЧР</t>
        </is>
      </c>
      <c r="V8221" s="35" t="inlineStr">
        <is>
          <t>Не определено</t>
        </is>
      </c>
      <c r="W8221" s="35" t="inlineStr"/>
      <c r="X8221" s="35" t="inlineStr"/>
    </row>
    <row r="8222" ht="15" customHeight="1" s="24">
      <c r="A8222" s="13" t="n">
        <v>5000122678</v>
      </c>
      <c r="B8222" s="13" t="inlineStr">
        <is>
          <t>УПРАВЛЕНИЕ ПО И КОНТРОЛЯ ВГО</t>
        </is>
      </c>
      <c r="C8222" s="13" t="n">
        <v>4100039440</v>
      </c>
      <c r="D8222" s="13" t="inlineStr">
        <is>
          <t>4100039440</t>
        </is>
      </c>
      <c r="E8222" s="13" t="inlineStr">
        <is>
          <t>ЮЛ РФ</t>
        </is>
      </c>
      <c r="F8222" s="13" t="n"/>
      <c r="G8222" s="14" t="n"/>
      <c r="H8222" s="14" t="n"/>
      <c r="I8222" s="14" t="n"/>
      <c r="J8222" s="14" t="n"/>
      <c r="K8222" s="53" t="inlineStr"/>
      <c r="L8222" s="53" t="inlineStr">
        <is>
          <t>Не определено</t>
        </is>
      </c>
      <c r="M8222" s="53" t="inlineStr"/>
      <c r="N8222" s="54" t="inlineStr"/>
      <c r="O8222" s="55" t="inlineStr"/>
      <c r="P8222" s="16" t="inlineStr">
        <is>
          <t>Требует обогащения</t>
        </is>
      </c>
      <c r="Q8222" s="16">
        <f>HYPERLINK("https://pb.nalog.ru/search.html?query=4100039440","ФНС: проверить")</f>
        <v/>
      </c>
      <c r="R8222" s="16">
        <f>HYPERLINK("https://checko.ru/search?query=3801001629","Чекко: проверить")</f>
        <v/>
      </c>
      <c r="S8222" t="n">
        <v>1</v>
      </c>
      <c r="T8222" s="35" t="inlineStr">
        <is>
          <t>4 — Не обогащён</t>
        </is>
      </c>
      <c r="U8222" s="35" t="inlineStr">
        <is>
          <t>Нет ОКВЭД/ССЧР</t>
        </is>
      </c>
      <c r="V8222" s="35" t="inlineStr">
        <is>
          <t>Не определено</t>
        </is>
      </c>
      <c r="W8222" s="35" t="inlineStr"/>
      <c r="X8222" s="35" t="inlineStr"/>
    </row>
    <row r="8223" ht="15" customHeight="1" s="24">
      <c r="A8223" s="13" t="n">
        <v>5000122679</v>
      </c>
      <c r="B8223" s="13" t="inlineStr">
        <is>
          <t>УПРАВЛЕНИЕ СОЦИАЛЬНОЙ ПОЛИТИКИ</t>
        </is>
      </c>
      <c r="C8223" s="13" t="n">
        <v>4100054254</v>
      </c>
      <c r="D8223" s="13" t="inlineStr">
        <is>
          <t>4100054254</t>
        </is>
      </c>
      <c r="E8223" s="13" t="inlineStr">
        <is>
          <t>ЮЛ РФ</t>
        </is>
      </c>
      <c r="F8223" s="13" t="n"/>
      <c r="G8223" s="14" t="n"/>
      <c r="H8223" s="14" t="n"/>
      <c r="I8223" s="14" t="n"/>
      <c r="J8223" s="14" t="n"/>
      <c r="K8223" s="53" t="inlineStr"/>
      <c r="L8223" s="53" t="inlineStr">
        <is>
          <t>Не определено</t>
        </is>
      </c>
      <c r="M8223" s="53" t="inlineStr"/>
      <c r="N8223" s="54" t="inlineStr"/>
      <c r="O8223" s="55" t="inlineStr"/>
      <c r="P8223" s="16" t="inlineStr">
        <is>
          <t>Требует обогащения</t>
        </is>
      </c>
      <c r="Q8223" s="16">
        <f>HYPERLINK("https://pb.nalog.ru/search.html?query=4100054254","ФНС: проверить")</f>
        <v/>
      </c>
      <c r="R8223" s="16">
        <f>HYPERLINK("https://checko.ru/search?query=3801001629","Чекко: проверить")</f>
        <v/>
      </c>
      <c r="S8223" t="n">
        <v>1</v>
      </c>
      <c r="T8223" s="35" t="inlineStr">
        <is>
          <t>4 — Не обогащён</t>
        </is>
      </c>
      <c r="U8223" s="35" t="inlineStr">
        <is>
          <t>Нет ОКВЭД/ССЧР</t>
        </is>
      </c>
      <c r="V8223" s="35" t="inlineStr">
        <is>
          <t>Не определено</t>
        </is>
      </c>
      <c r="W8223" s="35" t="inlineStr"/>
      <c r="X8223" s="35" t="inlineStr"/>
    </row>
    <row r="8224" ht="27.75" customHeight="1" s="24">
      <c r="A8224" s="13" t="n">
        <v>5000122680</v>
      </c>
      <c r="B8224" s="13" t="inlineStr">
        <is>
          <t>УПРАВЛЕНИЕ ЭКОНОМИЧЕСКОГО РАЗВИТИЯ И ПОДДЕРЖКИ ПРЕДПРИНИМАТЕЛЬСТВА</t>
        </is>
      </c>
      <c r="C8224" s="13" t="n">
        <v>4100054310</v>
      </c>
      <c r="D8224" s="13" t="inlineStr">
        <is>
          <t>4100054310</t>
        </is>
      </c>
      <c r="E8224" s="13" t="inlineStr">
        <is>
          <t>ЮЛ РФ</t>
        </is>
      </c>
      <c r="F8224" s="13" t="n"/>
      <c r="G8224" s="14" t="n"/>
      <c r="H8224" s="14" t="n"/>
      <c r="I8224" s="14" t="n"/>
      <c r="J8224" s="14" t="n"/>
      <c r="K8224" s="53" t="inlineStr"/>
      <c r="L8224" s="53" t="inlineStr">
        <is>
          <t>Не определено</t>
        </is>
      </c>
      <c r="M8224" s="53" t="inlineStr"/>
      <c r="N8224" s="54" t="inlineStr"/>
      <c r="O8224" s="55" t="inlineStr"/>
      <c r="P8224" s="16" t="inlineStr">
        <is>
          <t>Требует обогащения</t>
        </is>
      </c>
      <c r="Q8224" s="16">
        <f>HYPERLINK("https://pb.nalog.ru/search.html?query=4100054310","ФНС: проверить")</f>
        <v/>
      </c>
      <c r="R8224" s="16">
        <f>HYPERLINK("https://checko.ru/search?query=3801001629","Чекко: проверить")</f>
        <v/>
      </c>
      <c r="S8224" t="n">
        <v>1</v>
      </c>
      <c r="T8224" s="35" t="inlineStr">
        <is>
          <t>4 — Не обогащён</t>
        </is>
      </c>
      <c r="U8224" s="35" t="inlineStr">
        <is>
          <t>Нет ОКВЭД/ССЧР</t>
        </is>
      </c>
      <c r="V8224" s="35" t="inlineStr">
        <is>
          <t>Не определено</t>
        </is>
      </c>
      <c r="W8224" s="35" t="inlineStr"/>
      <c r="X8224" s="35" t="inlineStr"/>
    </row>
    <row r="8225" ht="15" customHeight="1" s="24">
      <c r="A8225" s="13" t="n">
        <v>5000122336</v>
      </c>
      <c r="B8225" s="13" t="inlineStr">
        <is>
          <t>МБУ ДО "ДШИ № 5 Г.КРАСНОЗАВОДСК"</t>
        </is>
      </c>
      <c r="C8225" s="13" t="n">
        <v>5042056967</v>
      </c>
      <c r="D8225" s="13" t="inlineStr">
        <is>
          <t>5042056967</t>
        </is>
      </c>
      <c r="E8225" s="13" t="inlineStr">
        <is>
          <t>ЮЛ РФ</t>
        </is>
      </c>
      <c r="F8225" s="13" t="n"/>
      <c r="G8225" s="14" t="n"/>
      <c r="H8225" s="14" t="n"/>
      <c r="I8225" s="14" t="n"/>
      <c r="J8225" s="14" t="n"/>
      <c r="K8225" s="53" t="inlineStr"/>
      <c r="L8225" s="53" t="inlineStr">
        <is>
          <t>Не определено</t>
        </is>
      </c>
      <c r="M8225" s="53" t="inlineStr"/>
      <c r="N8225" s="54" t="inlineStr"/>
      <c r="O8225" s="55" t="inlineStr"/>
      <c r="P8225" s="16" t="inlineStr">
        <is>
          <t>Требует обогащения</t>
        </is>
      </c>
      <c r="Q8225" s="16">
        <f>HYPERLINK("https://pb.nalog.ru/search.html?query=5042056967","ФНС: проверить")</f>
        <v/>
      </c>
      <c r="R8225" s="16">
        <f>HYPERLINK("https://checko.ru/search?query=3801001629","Чекко: проверить")</f>
        <v/>
      </c>
      <c r="S8225" t="n">
        <v>1</v>
      </c>
      <c r="T8225" s="35" t="inlineStr">
        <is>
          <t>4 — Не обогащён</t>
        </is>
      </c>
      <c r="U8225" s="35" t="inlineStr">
        <is>
          <t>Нет ОКВЭД/ССЧР</t>
        </is>
      </c>
      <c r="V8225" s="35" t="inlineStr">
        <is>
          <t>Не определено</t>
        </is>
      </c>
      <c r="W8225" s="35" t="inlineStr"/>
      <c r="X8225" s="35" t="inlineStr"/>
    </row>
    <row r="8226" ht="15" customHeight="1" s="24">
      <c r="A8226" s="13" t="n">
        <v>5000122337</v>
      </c>
      <c r="B8226" s="13" t="inlineStr">
        <is>
          <t>МБУ ДО ДШИ № 6</t>
        </is>
      </c>
      <c r="C8226" s="13" t="n">
        <v>5042056935</v>
      </c>
      <c r="D8226" s="13" t="inlineStr">
        <is>
          <t>5042056935</t>
        </is>
      </c>
      <c r="E8226" s="13" t="inlineStr">
        <is>
          <t>ЮЛ РФ</t>
        </is>
      </c>
      <c r="F8226" s="13" t="n"/>
      <c r="G8226" s="14" t="n"/>
      <c r="H8226" s="14" t="n"/>
      <c r="I8226" s="14" t="n"/>
      <c r="J8226" s="14" t="n"/>
      <c r="K8226" s="53" t="inlineStr"/>
      <c r="L8226" s="53" t="inlineStr">
        <is>
          <t>Не определено</t>
        </is>
      </c>
      <c r="M8226" s="53" t="inlineStr"/>
      <c r="N8226" s="54" t="inlineStr"/>
      <c r="O8226" s="55" t="inlineStr"/>
      <c r="P8226" s="16" t="inlineStr">
        <is>
          <t>Требует обогащения</t>
        </is>
      </c>
      <c r="Q8226" s="16">
        <f>HYPERLINK("https://pb.nalog.ru/search.html?query=5042056935","ФНС: проверить")</f>
        <v/>
      </c>
      <c r="R8226" s="16">
        <f>HYPERLINK("https://checko.ru/search?query=3801001629","Чекко: проверить")</f>
        <v/>
      </c>
      <c r="S8226" t="n">
        <v>1</v>
      </c>
      <c r="T8226" s="35" t="inlineStr">
        <is>
          <t>4 — Не обогащён</t>
        </is>
      </c>
      <c r="U8226" s="35" t="inlineStr">
        <is>
          <t>Нет ОКВЭД/ССЧР</t>
        </is>
      </c>
      <c r="V8226" s="35" t="inlineStr">
        <is>
          <t>Не определено</t>
        </is>
      </c>
      <c r="W8226" s="35" t="inlineStr"/>
      <c r="X8226" s="35" t="inlineStr"/>
    </row>
    <row r="8227" ht="15" customHeight="1" s="24">
      <c r="A8227" s="13" t="n">
        <v>5000122338</v>
      </c>
      <c r="B8227" s="13" t="inlineStr">
        <is>
          <t>МБУ "МК "АТМОСФЕРА"</t>
        </is>
      </c>
      <c r="C8227" s="13" t="n">
        <v>5042136965</v>
      </c>
      <c r="D8227" s="13" t="inlineStr">
        <is>
          <t>5042136965</t>
        </is>
      </c>
      <c r="E8227" s="13" t="inlineStr">
        <is>
          <t>ЮЛ РФ</t>
        </is>
      </c>
      <c r="F8227" s="13" t="n"/>
      <c r="G8227" s="14" t="n"/>
      <c r="H8227" s="14" t="n"/>
      <c r="I8227" s="14" t="n"/>
      <c r="J8227" s="14" t="n"/>
      <c r="K8227" s="53" t="inlineStr"/>
      <c r="L8227" s="53" t="inlineStr">
        <is>
          <t>Не определено</t>
        </is>
      </c>
      <c r="M8227" s="53" t="inlineStr"/>
      <c r="N8227" s="54" t="inlineStr"/>
      <c r="O8227" s="55" t="inlineStr"/>
      <c r="P8227" s="16" t="inlineStr">
        <is>
          <t>Требует обогащения</t>
        </is>
      </c>
      <c r="Q8227" s="16">
        <f>HYPERLINK("https://pb.nalog.ru/search.html?query=5042136965","ФНС: проверить")</f>
        <v/>
      </c>
      <c r="R8227" s="16">
        <f>HYPERLINK("https://checko.ru/search?query=3801001629","Чекко: проверить")</f>
        <v/>
      </c>
      <c r="S8227" t="n">
        <v>1</v>
      </c>
      <c r="T8227" s="35" t="inlineStr">
        <is>
          <t>4 — Не обогащён</t>
        </is>
      </c>
      <c r="U8227" s="35" t="inlineStr">
        <is>
          <t>Нет ОКВЭД/ССЧР</t>
        </is>
      </c>
      <c r="V8227" s="35" t="inlineStr">
        <is>
          <t>Не определено</t>
        </is>
      </c>
      <c r="W8227" s="35" t="inlineStr"/>
      <c r="X8227" s="35" t="inlineStr"/>
    </row>
    <row r="8228" ht="15" customHeight="1" s="24">
      <c r="A8228" s="13" t="n">
        <v>5000122339</v>
      </c>
      <c r="B8228" s="13" t="inlineStr">
        <is>
          <t>МБУ ДО ДШИ №3</t>
        </is>
      </c>
      <c r="C8228" s="13" t="n">
        <v>5042057030</v>
      </c>
      <c r="D8228" s="13" t="inlineStr">
        <is>
          <t>5042057030</t>
        </is>
      </c>
      <c r="E8228" s="13" t="inlineStr">
        <is>
          <t>ЮЛ РФ</t>
        </is>
      </c>
      <c r="F8228" s="13" t="n"/>
      <c r="G8228" s="14" t="n"/>
      <c r="H8228" s="14" t="n"/>
      <c r="I8228" s="14" t="n"/>
      <c r="J8228" s="14" t="n"/>
      <c r="K8228" s="53" t="inlineStr"/>
      <c r="L8228" s="53" t="inlineStr">
        <is>
          <t>Не определено</t>
        </is>
      </c>
      <c r="M8228" s="53" t="inlineStr"/>
      <c r="N8228" s="54" t="inlineStr"/>
      <c r="O8228" s="55" t="inlineStr"/>
      <c r="P8228" s="16" t="inlineStr">
        <is>
          <t>Требует обогащения</t>
        </is>
      </c>
      <c r="Q8228" s="16">
        <f>HYPERLINK("https://pb.nalog.ru/search.html?query=5042057030","ФНС: проверить")</f>
        <v/>
      </c>
      <c r="R8228" s="16">
        <f>HYPERLINK("https://checko.ru/search?query=3801001629","Чекко: проверить")</f>
        <v/>
      </c>
      <c r="S8228" t="n">
        <v>1</v>
      </c>
      <c r="T8228" s="35" t="inlineStr">
        <is>
          <t>4 — Не обогащён</t>
        </is>
      </c>
      <c r="U8228" s="35" t="inlineStr">
        <is>
          <t>Нет ОКВЭД/ССЧР</t>
        </is>
      </c>
      <c r="V8228" s="35" t="inlineStr">
        <is>
          <t>Не определено</t>
        </is>
      </c>
      <c r="W8228" s="35" t="inlineStr"/>
      <c r="X8228" s="35" t="inlineStr"/>
    </row>
    <row r="8229" ht="15" customHeight="1" s="24">
      <c r="A8229" s="13" t="n">
        <v>5000122340</v>
      </c>
      <c r="B8229" s="13" t="inlineStr">
        <is>
          <t>МБУ ДО ДШИ №8</t>
        </is>
      </c>
      <c r="C8229" s="13" t="n">
        <v>5042057093</v>
      </c>
      <c r="D8229" s="13" t="inlineStr">
        <is>
          <t>5042057093</t>
        </is>
      </c>
      <c r="E8229" s="13" t="inlineStr">
        <is>
          <t>ЮЛ РФ</t>
        </is>
      </c>
      <c r="F8229" s="13" t="n"/>
      <c r="G8229" s="14" t="n"/>
      <c r="H8229" s="14" t="n"/>
      <c r="I8229" s="14" t="n"/>
      <c r="J8229" s="14" t="n"/>
      <c r="K8229" s="53" t="inlineStr"/>
      <c r="L8229" s="53" t="inlineStr">
        <is>
          <t>Не определено</t>
        </is>
      </c>
      <c r="M8229" s="53" t="inlineStr"/>
      <c r="N8229" s="54" t="inlineStr"/>
      <c r="O8229" s="55" t="inlineStr"/>
      <c r="P8229" s="16" t="inlineStr">
        <is>
          <t>Требует обогащения</t>
        </is>
      </c>
      <c r="Q8229" s="16">
        <f>HYPERLINK("https://pb.nalog.ru/search.html?query=5042057093","ФНС: проверить")</f>
        <v/>
      </c>
      <c r="R8229" s="16">
        <f>HYPERLINK("https://checko.ru/search?query=3801001629","Чекко: проверить")</f>
        <v/>
      </c>
      <c r="S8229" t="n">
        <v>1</v>
      </c>
      <c r="T8229" s="35" t="inlineStr">
        <is>
          <t>4 — Не обогащён</t>
        </is>
      </c>
      <c r="U8229" s="35" t="inlineStr">
        <is>
          <t>Нет ОКВЭД/ССЧР</t>
        </is>
      </c>
      <c r="V8229" s="35" t="inlineStr">
        <is>
          <t>Не определено</t>
        </is>
      </c>
      <c r="W8229" s="35" t="inlineStr"/>
      <c r="X8229" s="35" t="inlineStr"/>
    </row>
    <row r="8230" ht="15" customHeight="1" s="24">
      <c r="A8230" s="13" t="n">
        <v>5000122342</v>
      </c>
      <c r="B8230" s="13" t="inlineStr">
        <is>
          <t>МБУ ДО СШ "СЕРГИЕВ ПОСАД"</t>
        </is>
      </c>
      <c r="C8230" s="13" t="n">
        <v>5042143306</v>
      </c>
      <c r="D8230" s="13" t="inlineStr">
        <is>
          <t>5042143306</t>
        </is>
      </c>
      <c r="E8230" s="13" t="inlineStr">
        <is>
          <t>ЮЛ РФ</t>
        </is>
      </c>
      <c r="F8230" s="13" t="n"/>
      <c r="G8230" s="14" t="n"/>
      <c r="H8230" s="14" t="n"/>
      <c r="I8230" s="14" t="n"/>
      <c r="J8230" s="14" t="n"/>
      <c r="K8230" s="53" t="inlineStr"/>
      <c r="L8230" s="53" t="inlineStr">
        <is>
          <t>Не определено</t>
        </is>
      </c>
      <c r="M8230" s="53" t="inlineStr"/>
      <c r="N8230" s="54" t="inlineStr"/>
      <c r="O8230" s="55" t="inlineStr"/>
      <c r="P8230" s="16" t="inlineStr">
        <is>
          <t>Требует обогащения</t>
        </is>
      </c>
      <c r="Q8230" s="16">
        <f>HYPERLINK("https://pb.nalog.ru/search.html?query=5042143306","ФНС: проверить")</f>
        <v/>
      </c>
      <c r="R8230" s="16">
        <f>HYPERLINK("https://checko.ru/search?query=3801001629","Чекко: проверить")</f>
        <v/>
      </c>
      <c r="S8230" t="n">
        <v>1</v>
      </c>
      <c r="T8230" s="35" t="inlineStr">
        <is>
          <t>4 — Не обогащён</t>
        </is>
      </c>
      <c r="U8230" s="35" t="inlineStr">
        <is>
          <t>Нет ОКВЭД/ССЧР</t>
        </is>
      </c>
      <c r="V8230" s="35" t="inlineStr">
        <is>
          <t>Не определено</t>
        </is>
      </c>
      <c r="W8230" s="35" t="inlineStr"/>
      <c r="X8230" s="35" t="inlineStr"/>
    </row>
    <row r="8231" ht="15" customHeight="1" s="24">
      <c r="A8231" s="13" t="n">
        <v>5000122699</v>
      </c>
      <c r="B8231" s="13" t="inlineStr">
        <is>
          <t>МБУС СК "Медведи"</t>
        </is>
      </c>
      <c r="C8231" s="13" t="n">
        <v>5030034704</v>
      </c>
      <c r="D8231" s="13" t="inlineStr">
        <is>
          <t>5030034704</t>
        </is>
      </c>
      <c r="E8231" s="13" t="inlineStr">
        <is>
          <t>ЮЛ РФ</t>
        </is>
      </c>
      <c r="F8231" s="13" t="n"/>
      <c r="G8231" s="14" t="n"/>
      <c r="H8231" s="14" t="n"/>
      <c r="I8231" s="14" t="n"/>
      <c r="J8231" s="14" t="n"/>
      <c r="K8231" s="53" t="inlineStr"/>
      <c r="L8231" s="53" t="inlineStr">
        <is>
          <t>Не определено</t>
        </is>
      </c>
      <c r="M8231" s="53" t="inlineStr"/>
      <c r="N8231" s="54" t="inlineStr"/>
      <c r="O8231" s="55" t="inlineStr"/>
      <c r="P8231" s="16" t="inlineStr">
        <is>
          <t>Требует обогащения</t>
        </is>
      </c>
      <c r="Q8231" s="16">
        <f>HYPERLINK("https://pb.nalog.ru/search.html?query=5030034704","ФНС: проверить")</f>
        <v/>
      </c>
      <c r="R8231" s="16">
        <f>HYPERLINK("https://checko.ru/search?query=3801001629","Чекко: проверить")</f>
        <v/>
      </c>
      <c r="S8231" t="n">
        <v>1</v>
      </c>
      <c r="T8231" s="35" t="inlineStr">
        <is>
          <t>4 — Не обогащён</t>
        </is>
      </c>
      <c r="U8231" s="35" t="inlineStr">
        <is>
          <t>Нет ОКВЭД/ССЧР</t>
        </is>
      </c>
      <c r="V8231" s="35" t="inlineStr">
        <is>
          <t>Не определено</t>
        </is>
      </c>
      <c r="W8231" s="35" t="inlineStr"/>
      <c r="X8231" s="35" t="inlineStr"/>
    </row>
    <row r="8232" ht="27.75" customHeight="1" s="24">
      <c r="A8232" s="13" t="n">
        <v>5000122681</v>
      </c>
      <c r="B8232" s="13" t="inlineStr">
        <is>
          <t>Финансовое управление администрации Вилючинского городского округа</t>
        </is>
      </c>
      <c r="C8232" s="13" t="n">
        <v>4102007309</v>
      </c>
      <c r="D8232" s="13" t="inlineStr">
        <is>
          <t>4102007309</t>
        </is>
      </c>
      <c r="E8232" s="13" t="inlineStr">
        <is>
          <t>ЮЛ РФ</t>
        </is>
      </c>
      <c r="F8232" s="13" t="n"/>
      <c r="G8232" s="14" t="n"/>
      <c r="H8232" s="14" t="n"/>
      <c r="I8232" s="14" t="n"/>
      <c r="J8232" s="14" t="n"/>
      <c r="K8232" s="53" t="inlineStr"/>
      <c r="L8232" s="53" t="inlineStr">
        <is>
          <t>Не определено</t>
        </is>
      </c>
      <c r="M8232" s="53" t="inlineStr"/>
      <c r="N8232" s="54" t="inlineStr"/>
      <c r="O8232" s="55" t="inlineStr"/>
      <c r="P8232" s="16" t="inlineStr">
        <is>
          <t>Требует обогащения</t>
        </is>
      </c>
      <c r="Q8232" s="16">
        <f>HYPERLINK("https://pb.nalog.ru/search.html?query=4102007309","ФНС: проверить")</f>
        <v/>
      </c>
      <c r="R8232" s="16">
        <f>HYPERLINK("https://checko.ru/search?query=3801001629","Чекко: проверить")</f>
        <v/>
      </c>
      <c r="S8232" t="n">
        <v>1</v>
      </c>
      <c r="T8232" s="35" t="inlineStr">
        <is>
          <t>4 — Не обогащён</t>
        </is>
      </c>
      <c r="U8232" s="35" t="inlineStr">
        <is>
          <t>Нет ОКВЭД/ССЧР</t>
        </is>
      </c>
      <c r="V8232" s="35" t="inlineStr">
        <is>
          <t>Не определено</t>
        </is>
      </c>
      <c r="W8232" s="35" t="inlineStr"/>
      <c r="X8232" s="35" t="inlineStr"/>
    </row>
    <row r="8233" ht="41.25" customHeight="1" s="24">
      <c r="A8233" s="13" t="n">
        <v>5000123114</v>
      </c>
      <c r="B8233" s="13" t="inlineStr">
        <is>
          <t>Областное государственное Казённое учреждение "Управление по Обеспечению Деятельности в Сфере Физической Культуры и Спорта"</t>
        </is>
      </c>
      <c r="C8233" s="13" t="n">
        <v>7300049232</v>
      </c>
      <c r="D8233" s="13" t="inlineStr">
        <is>
          <t>7300049232</t>
        </is>
      </c>
      <c r="E8233" s="13" t="inlineStr">
        <is>
          <t>ЮЛ РФ</t>
        </is>
      </c>
      <c r="F8233" s="13" t="n"/>
      <c r="G8233" s="14" t="n"/>
      <c r="H8233" s="14" t="n"/>
      <c r="I8233" s="14" t="n"/>
      <c r="J8233" s="14" t="n"/>
      <c r="K8233" s="53" t="inlineStr"/>
      <c r="L8233" s="53" t="inlineStr">
        <is>
          <t>Не определено</t>
        </is>
      </c>
      <c r="M8233" s="53" t="inlineStr"/>
      <c r="N8233" s="54" t="inlineStr"/>
      <c r="O8233" s="55" t="inlineStr"/>
      <c r="P8233" s="16" t="inlineStr">
        <is>
          <t>Требует обогащения</t>
        </is>
      </c>
      <c r="Q8233" s="16">
        <f>HYPERLINK("https://pb.nalog.ru/search.html?query=7300049232","ФНС: проверить")</f>
        <v/>
      </c>
      <c r="R8233" s="16">
        <f>HYPERLINK("https://checko.ru/search?query=3801001629","Чекко: проверить")</f>
        <v/>
      </c>
      <c r="S8233" t="n">
        <v>1</v>
      </c>
      <c r="T8233" s="35" t="inlineStr">
        <is>
          <t>4 — Не обогащён</t>
        </is>
      </c>
      <c r="U8233" s="35" t="inlineStr">
        <is>
          <t>Нет ОКВЭД/ССЧР</t>
        </is>
      </c>
      <c r="V8233" s="35" t="inlineStr">
        <is>
          <t>Не определено</t>
        </is>
      </c>
      <c r="W8233" s="35" t="inlineStr"/>
      <c r="X8233" s="35" t="inlineStr"/>
    </row>
    <row r="8234" ht="15" customHeight="1" s="24">
      <c r="A8234" s="13" t="n">
        <v>5000122060</v>
      </c>
      <c r="B8234" s="13" t="inlineStr">
        <is>
          <t>МАОУ СОШ №17 С УИОП ГОЩ</t>
        </is>
      </c>
      <c r="C8234" s="13" t="n">
        <v>5050119057</v>
      </c>
      <c r="D8234" s="13" t="inlineStr">
        <is>
          <t>5050119057</t>
        </is>
      </c>
      <c r="E8234" s="13" t="inlineStr">
        <is>
          <t>ЮЛ РФ</t>
        </is>
      </c>
      <c r="F8234" s="13" t="n"/>
      <c r="G8234" s="14" t="n"/>
      <c r="H8234" s="14" t="n"/>
      <c r="I8234" s="14" t="n"/>
      <c r="J8234" s="14" t="n"/>
      <c r="K8234" s="53" t="inlineStr"/>
      <c r="L8234" s="53" t="inlineStr">
        <is>
          <t>Не определено</t>
        </is>
      </c>
      <c r="M8234" s="53" t="inlineStr"/>
      <c r="N8234" s="54" t="inlineStr"/>
      <c r="O8234" s="55" t="inlineStr"/>
      <c r="P8234" s="16" t="inlineStr">
        <is>
          <t>Требует обогащения</t>
        </is>
      </c>
      <c r="Q8234" s="16">
        <f>HYPERLINK("https://pb.nalog.ru/search.html?query=5050119057","ФНС: проверить")</f>
        <v/>
      </c>
      <c r="R8234" s="16">
        <f>HYPERLINK("https://checko.ru/search?query=3801001629","Чекко: проверить")</f>
        <v/>
      </c>
      <c r="S8234" t="n">
        <v>1</v>
      </c>
      <c r="T8234" s="35" t="inlineStr">
        <is>
          <t>4 — Не обогащён</t>
        </is>
      </c>
      <c r="U8234" s="35" t="inlineStr">
        <is>
          <t>Нет ОКВЭД/ССЧР</t>
        </is>
      </c>
      <c r="V8234" s="35" t="inlineStr">
        <is>
          <t>Не определено</t>
        </is>
      </c>
      <c r="W8234" s="35" t="inlineStr"/>
      <c r="X8234" s="35" t="inlineStr"/>
    </row>
    <row r="8235" ht="15" customHeight="1" s="24">
      <c r="A8235" s="13" t="n">
        <v>5000122062</v>
      </c>
      <c r="B8235" s="13" t="inlineStr">
        <is>
          <t>МАОУ СОШ №8 ГОЩ</t>
        </is>
      </c>
      <c r="C8235" s="13" t="n">
        <v>5050031966</v>
      </c>
      <c r="D8235" s="13" t="inlineStr">
        <is>
          <t>5050031966</t>
        </is>
      </c>
      <c r="E8235" s="13" t="inlineStr">
        <is>
          <t>ЮЛ РФ</t>
        </is>
      </c>
      <c r="F8235" s="13" t="n"/>
      <c r="G8235" s="14" t="n"/>
      <c r="H8235" s="14" t="n"/>
      <c r="I8235" s="14" t="n"/>
      <c r="J8235" s="14" t="n"/>
      <c r="K8235" s="53" t="inlineStr"/>
      <c r="L8235" s="53" t="inlineStr">
        <is>
          <t>Не определено</t>
        </is>
      </c>
      <c r="M8235" s="53" t="inlineStr"/>
      <c r="N8235" s="54" t="inlineStr"/>
      <c r="O8235" s="55" t="inlineStr"/>
      <c r="P8235" s="16" t="inlineStr">
        <is>
          <t>Требует обогащения</t>
        </is>
      </c>
      <c r="Q8235" s="16">
        <f>HYPERLINK("https://pb.nalog.ru/search.html?query=5050031966","ФНС: проверить")</f>
        <v/>
      </c>
      <c r="R8235" s="16">
        <f>HYPERLINK("https://checko.ru/search?query=3801001629","Чекко: проверить")</f>
        <v/>
      </c>
      <c r="S8235" t="n">
        <v>1</v>
      </c>
      <c r="T8235" s="35" t="inlineStr">
        <is>
          <t>4 — Не обогащён</t>
        </is>
      </c>
      <c r="U8235" s="35" t="inlineStr">
        <is>
          <t>Нет ОКВЭД/ССЧР</t>
        </is>
      </c>
      <c r="V8235" s="35" t="inlineStr">
        <is>
          <t>Не определено</t>
        </is>
      </c>
      <c r="W8235" s="35" t="inlineStr"/>
      <c r="X8235" s="35" t="inlineStr"/>
    </row>
    <row r="8236" ht="15" customHeight="1" s="24">
      <c r="A8236" s="13" t="n">
        <v>5000122063</v>
      </c>
      <c r="B8236" s="13" t="inlineStr">
        <is>
          <t>МАОУ СОШ №16 ГОЩ</t>
        </is>
      </c>
      <c r="C8236" s="13" t="n">
        <v>5050032134</v>
      </c>
      <c r="D8236" s="13" t="inlineStr">
        <is>
          <t>5050032134</t>
        </is>
      </c>
      <c r="E8236" s="13" t="inlineStr">
        <is>
          <t>ЮЛ РФ</t>
        </is>
      </c>
      <c r="F8236" s="13" t="n"/>
      <c r="G8236" s="14" t="n"/>
      <c r="H8236" s="14" t="n"/>
      <c r="I8236" s="14" t="n"/>
      <c r="J8236" s="14" t="n"/>
      <c r="K8236" s="53" t="inlineStr"/>
      <c r="L8236" s="53" t="inlineStr">
        <is>
          <t>Не определено</t>
        </is>
      </c>
      <c r="M8236" s="53" t="inlineStr"/>
      <c r="N8236" s="54" t="inlineStr"/>
      <c r="O8236" s="55" t="inlineStr"/>
      <c r="P8236" s="16" t="inlineStr">
        <is>
          <t>Требует обогащения</t>
        </is>
      </c>
      <c r="Q8236" s="16">
        <f>HYPERLINK("https://pb.nalog.ru/search.html?query=5050032134","ФНС: проверить")</f>
        <v/>
      </c>
      <c r="R8236" s="16">
        <f>HYPERLINK("https://checko.ru/search?query=3801001629","Чекко: проверить")</f>
        <v/>
      </c>
      <c r="S8236" t="n">
        <v>1</v>
      </c>
      <c r="T8236" s="35" t="inlineStr">
        <is>
          <t>4 — Не обогащён</t>
        </is>
      </c>
      <c r="U8236" s="35" t="inlineStr">
        <is>
          <t>Нет ОКВЭД/ССЧР</t>
        </is>
      </c>
      <c r="V8236" s="35" t="inlineStr">
        <is>
          <t>Не определено</t>
        </is>
      </c>
      <c r="W8236" s="35" t="inlineStr"/>
      <c r="X8236" s="35" t="inlineStr"/>
    </row>
    <row r="8237" ht="15" customHeight="1" s="24">
      <c r="A8237" s="13" t="n">
        <v>5000122064</v>
      </c>
      <c r="B8237" s="13" t="inlineStr">
        <is>
          <t>МАОУ СОШ №11 ИМ.Г.С. ТИТОВА ГОЩ</t>
        </is>
      </c>
      <c r="C8237" s="13" t="n">
        <v>5050031839</v>
      </c>
      <c r="D8237" s="13" t="inlineStr">
        <is>
          <t>5050031839</t>
        </is>
      </c>
      <c r="E8237" s="13" t="inlineStr">
        <is>
          <t>ЮЛ РФ</t>
        </is>
      </c>
      <c r="F8237" s="13" t="n"/>
      <c r="G8237" s="14" t="n"/>
      <c r="H8237" s="14" t="n"/>
      <c r="I8237" s="14" t="n"/>
      <c r="J8237" s="14" t="n"/>
      <c r="K8237" s="53" t="inlineStr"/>
      <c r="L8237" s="53" t="inlineStr">
        <is>
          <t>Не определено</t>
        </is>
      </c>
      <c r="M8237" s="53" t="inlineStr"/>
      <c r="N8237" s="54" t="inlineStr"/>
      <c r="O8237" s="55" t="inlineStr"/>
      <c r="P8237" s="16" t="inlineStr">
        <is>
          <t>Требует обогащения</t>
        </is>
      </c>
      <c r="Q8237" s="16">
        <f>HYPERLINK("https://pb.nalog.ru/search.html?query=5050031839","ФНС: проверить")</f>
        <v/>
      </c>
      <c r="R8237" s="16">
        <f>HYPERLINK("https://checko.ru/search?query=3801001629","Чекко: проверить")</f>
        <v/>
      </c>
      <c r="S8237" t="n">
        <v>1</v>
      </c>
      <c r="T8237" s="35" t="inlineStr">
        <is>
          <t>4 — Не обогащён</t>
        </is>
      </c>
      <c r="U8237" s="35" t="inlineStr">
        <is>
          <t>Нет ОКВЭД/ССЧР</t>
        </is>
      </c>
      <c r="V8237" s="35" t="inlineStr">
        <is>
          <t>Не определено</t>
        </is>
      </c>
      <c r="W8237" s="35" t="inlineStr"/>
      <c r="X8237" s="35" t="inlineStr"/>
    </row>
    <row r="8238" ht="15" customHeight="1" s="24">
      <c r="A8238" s="13" t="n">
        <v>5000122068</v>
      </c>
      <c r="B8238" s="13" t="inlineStr">
        <is>
          <t>МАОУ СОШ №21 ГОЩ</t>
        </is>
      </c>
      <c r="C8238" s="13" t="n">
        <v>5050030320</v>
      </c>
      <c r="D8238" s="13" t="inlineStr">
        <is>
          <t>5050030320</t>
        </is>
      </c>
      <c r="E8238" s="13" t="inlineStr">
        <is>
          <t>ЮЛ РФ</t>
        </is>
      </c>
      <c r="F8238" s="13" t="n"/>
      <c r="G8238" s="14" t="n"/>
      <c r="H8238" s="14" t="n"/>
      <c r="I8238" s="14" t="n"/>
      <c r="J8238" s="14" t="n"/>
      <c r="K8238" s="53" t="inlineStr"/>
      <c r="L8238" s="53" t="inlineStr">
        <is>
          <t>Не определено</t>
        </is>
      </c>
      <c r="M8238" s="53" t="inlineStr"/>
      <c r="N8238" s="54" t="inlineStr"/>
      <c r="O8238" s="55" t="inlineStr"/>
      <c r="P8238" s="16" t="inlineStr">
        <is>
          <t>Требует обогащения</t>
        </is>
      </c>
      <c r="Q8238" s="16">
        <f>HYPERLINK("https://pb.nalog.ru/search.html?query=5050030320","ФНС: проверить")</f>
        <v/>
      </c>
      <c r="R8238" s="16">
        <f>HYPERLINK("https://checko.ru/search?query=3801001629","Чекко: проверить")</f>
        <v/>
      </c>
      <c r="S8238" t="n">
        <v>1</v>
      </c>
      <c r="T8238" s="35" t="inlineStr">
        <is>
          <t>4 — Не обогащён</t>
        </is>
      </c>
      <c r="U8238" s="35" t="inlineStr">
        <is>
          <t>Нет ОКВЭД/ССЧР</t>
        </is>
      </c>
      <c r="V8238" s="35" t="inlineStr">
        <is>
          <t>Не определено</t>
        </is>
      </c>
      <c r="W8238" s="35" t="inlineStr"/>
      <c r="X8238" s="35" t="inlineStr"/>
    </row>
    <row r="8239" ht="15" customHeight="1" s="24">
      <c r="A8239" s="13" t="n">
        <v>5000122069</v>
      </c>
      <c r="B8239" s="13" t="inlineStr">
        <is>
          <t>МАОУ СОШ №28 ГОЩ</t>
        </is>
      </c>
      <c r="C8239" s="13" t="n">
        <v>5050020185</v>
      </c>
      <c r="D8239" s="13" t="inlineStr">
        <is>
          <t>5050020185</t>
        </is>
      </c>
      <c r="E8239" s="13" t="inlineStr">
        <is>
          <t>ЮЛ РФ</t>
        </is>
      </c>
      <c r="F8239" s="13" t="n"/>
      <c r="G8239" s="14" t="n"/>
      <c r="H8239" s="14" t="n"/>
      <c r="I8239" s="14" t="n"/>
      <c r="J8239" s="14" t="n"/>
      <c r="K8239" s="53" t="inlineStr"/>
      <c r="L8239" s="53" t="inlineStr">
        <is>
          <t>Не определено</t>
        </is>
      </c>
      <c r="M8239" s="53" t="inlineStr"/>
      <c r="N8239" s="54" t="inlineStr"/>
      <c r="O8239" s="55" t="inlineStr"/>
      <c r="P8239" s="16" t="inlineStr">
        <is>
          <t>Требует обогащения</t>
        </is>
      </c>
      <c r="Q8239" s="16">
        <f>HYPERLINK("https://pb.nalog.ru/search.html?query=5050020185","ФНС: проверить")</f>
        <v/>
      </c>
      <c r="R8239" s="16">
        <f>HYPERLINK("https://checko.ru/search?query=3801001629","Чекко: проверить")</f>
        <v/>
      </c>
      <c r="S8239" t="n">
        <v>1</v>
      </c>
      <c r="T8239" s="35" t="inlineStr">
        <is>
          <t>4 — Не обогащён</t>
        </is>
      </c>
      <c r="U8239" s="35" t="inlineStr">
        <is>
          <t>Нет ОКВЭД/ССЧР</t>
        </is>
      </c>
      <c r="V8239" s="35" t="inlineStr">
        <is>
          <t>Не определено</t>
        </is>
      </c>
      <c r="W8239" s="35" t="inlineStr"/>
      <c r="X8239" s="35" t="inlineStr"/>
    </row>
    <row r="8240" ht="15" customHeight="1" s="24">
      <c r="A8240" s="13" t="n">
        <v>5000122070</v>
      </c>
      <c r="B8240" s="13" t="inlineStr">
        <is>
          <t>МБУ ДПО УМОЦ ГОЩ</t>
        </is>
      </c>
      <c r="C8240" s="13" t="n">
        <v>5050028674</v>
      </c>
      <c r="D8240" s="13" t="inlineStr">
        <is>
          <t>5050028674</t>
        </is>
      </c>
      <c r="E8240" s="13" t="inlineStr">
        <is>
          <t>ЮЛ РФ</t>
        </is>
      </c>
      <c r="F8240" s="13" t="n"/>
      <c r="G8240" s="14" t="n"/>
      <c r="H8240" s="14" t="n"/>
      <c r="I8240" s="14" t="n"/>
      <c r="J8240" s="14" t="n"/>
      <c r="K8240" s="53" t="inlineStr"/>
      <c r="L8240" s="53" t="inlineStr">
        <is>
          <t>Не определено</t>
        </is>
      </c>
      <c r="M8240" s="53" t="inlineStr"/>
      <c r="N8240" s="54" t="inlineStr"/>
      <c r="O8240" s="55" t="inlineStr"/>
      <c r="P8240" s="16" t="inlineStr">
        <is>
          <t>Требует обогащения</t>
        </is>
      </c>
      <c r="Q8240" s="16">
        <f>HYPERLINK("https://pb.nalog.ru/search.html?query=5050028674","ФНС: проверить")</f>
        <v/>
      </c>
      <c r="R8240" s="16">
        <f>HYPERLINK("https://checko.ru/search?query=3801001629","Чекко: проверить")</f>
        <v/>
      </c>
      <c r="S8240" t="n">
        <v>1</v>
      </c>
      <c r="T8240" s="35" t="inlineStr">
        <is>
          <t>4 — Не обогащён</t>
        </is>
      </c>
      <c r="U8240" s="35" t="inlineStr">
        <is>
          <t>Нет ОКВЭД/ССЧР</t>
        </is>
      </c>
      <c r="V8240" s="35" t="inlineStr">
        <is>
          <t>Не определено</t>
        </is>
      </c>
      <c r="W8240" s="35" t="inlineStr"/>
      <c r="X8240" s="35" t="inlineStr"/>
    </row>
    <row r="8241" ht="15" customHeight="1" s="24">
      <c r="A8241" s="13" t="n">
        <v>5000122084</v>
      </c>
      <c r="B8241" s="13" t="inlineStr">
        <is>
          <t>МКУ ГОЩ "ИНФОРМАЦИОННЫЙ ЦЕНТР"</t>
        </is>
      </c>
      <c r="C8241" s="13" t="n">
        <v>5050023683</v>
      </c>
      <c r="D8241" s="13" t="inlineStr">
        <is>
          <t>5050023683</t>
        </is>
      </c>
      <c r="E8241" s="13" t="inlineStr">
        <is>
          <t>ЮЛ РФ</t>
        </is>
      </c>
      <c r="F8241" s="13" t="n"/>
      <c r="G8241" s="14" t="n"/>
      <c r="H8241" s="14" t="n"/>
      <c r="I8241" s="14" t="n"/>
      <c r="J8241" s="14" t="n"/>
      <c r="K8241" s="53" t="inlineStr"/>
      <c r="L8241" s="53" t="inlineStr">
        <is>
          <t>Не определено</t>
        </is>
      </c>
      <c r="M8241" s="53" t="inlineStr"/>
      <c r="N8241" s="54" t="inlineStr"/>
      <c r="O8241" s="55" t="inlineStr"/>
      <c r="P8241" s="16" t="inlineStr">
        <is>
          <t>Требует обогащения</t>
        </is>
      </c>
      <c r="Q8241" s="16">
        <f>HYPERLINK("https://pb.nalog.ru/search.html?query=5050023683","ФНС: проверить")</f>
        <v/>
      </c>
      <c r="R8241" s="16">
        <f>HYPERLINK("https://checko.ru/search?query=3801001629","Чекко: проверить")</f>
        <v/>
      </c>
      <c r="S8241" t="n">
        <v>1</v>
      </c>
      <c r="T8241" s="35" t="inlineStr">
        <is>
          <t>4 — Не обогащён</t>
        </is>
      </c>
      <c r="U8241" s="35" t="inlineStr">
        <is>
          <t>Нет ОКВЭД/ССЧР</t>
        </is>
      </c>
      <c r="V8241" s="35" t="inlineStr">
        <is>
          <t>Не определено</t>
        </is>
      </c>
      <c r="W8241" s="35" t="inlineStr"/>
      <c r="X8241" s="35" t="inlineStr"/>
    </row>
    <row r="8242" ht="15" customHeight="1" s="24">
      <c r="A8242" s="13" t="n">
        <v>5000122087</v>
      </c>
      <c r="B8242" s="13" t="inlineStr">
        <is>
          <t>МКУ ГОЩ "ХТУ"</t>
        </is>
      </c>
      <c r="C8242" s="13" t="n">
        <v>5050055371</v>
      </c>
      <c r="D8242" s="13" t="inlineStr">
        <is>
          <t>5050055371</t>
        </is>
      </c>
      <c r="E8242" s="13" t="inlineStr">
        <is>
          <t>ЮЛ РФ</t>
        </is>
      </c>
      <c r="F8242" s="13" t="n"/>
      <c r="G8242" s="14" t="n"/>
      <c r="H8242" s="14" t="n"/>
      <c r="I8242" s="14" t="n"/>
      <c r="J8242" s="14" t="n"/>
      <c r="K8242" s="53" t="inlineStr"/>
      <c r="L8242" s="53" t="inlineStr">
        <is>
          <t>Не определено</t>
        </is>
      </c>
      <c r="M8242" s="53" t="inlineStr"/>
      <c r="N8242" s="54" t="inlineStr"/>
      <c r="O8242" s="55" t="inlineStr"/>
      <c r="P8242" s="16" t="inlineStr">
        <is>
          <t>Требует обогащения</t>
        </is>
      </c>
      <c r="Q8242" s="16">
        <f>HYPERLINK("https://pb.nalog.ru/search.html?query=5050055371","ФНС: проверить")</f>
        <v/>
      </c>
      <c r="R8242" s="16">
        <f>HYPERLINK("https://checko.ru/search?query=3801001629","Чекко: проверить")</f>
        <v/>
      </c>
      <c r="S8242" t="n">
        <v>1</v>
      </c>
      <c r="T8242" s="35" t="inlineStr">
        <is>
          <t>4 — Не обогащён</t>
        </is>
      </c>
      <c r="U8242" s="35" t="inlineStr">
        <is>
          <t>Нет ОКВЭД/ССЧР</t>
        </is>
      </c>
      <c r="V8242" s="35" t="inlineStr">
        <is>
          <t>Не определено</t>
        </is>
      </c>
      <c r="W8242" s="35" t="inlineStr"/>
      <c r="X8242" s="35" t="inlineStr"/>
    </row>
    <row r="8243" ht="15" customHeight="1" s="24">
      <c r="A8243" s="13" t="n">
        <v>5000122072</v>
      </c>
      <c r="B8243" s="13" t="inlineStr">
        <is>
          <t>МАУ ДО ДООЦ "ЛЕСНАЯ СКАЗКА"</t>
        </is>
      </c>
      <c r="C8243" s="13" t="n">
        <v>5050066373</v>
      </c>
      <c r="D8243" s="13" t="inlineStr">
        <is>
          <t>5050066373</t>
        </is>
      </c>
      <c r="E8243" s="13" t="inlineStr">
        <is>
          <t>ЮЛ РФ</t>
        </is>
      </c>
      <c r="F8243" s="13" t="n"/>
      <c r="G8243" s="14" t="n"/>
      <c r="H8243" s="14" t="n"/>
      <c r="I8243" s="14" t="n"/>
      <c r="J8243" s="14" t="n"/>
      <c r="K8243" s="53" t="inlineStr"/>
      <c r="L8243" s="53" t="inlineStr">
        <is>
          <t>Не определено</t>
        </is>
      </c>
      <c r="M8243" s="53" t="inlineStr"/>
      <c r="N8243" s="54" t="inlineStr"/>
      <c r="O8243" s="55" t="inlineStr"/>
      <c r="P8243" s="16" t="inlineStr">
        <is>
          <t>Требует обогащения</t>
        </is>
      </c>
      <c r="Q8243" s="16">
        <f>HYPERLINK("https://pb.nalog.ru/search.html?query=5050066373","ФНС: проверить")</f>
        <v/>
      </c>
      <c r="R8243" s="16">
        <f>HYPERLINK("https://checko.ru/search?query=3801001629","Чекко: проверить")</f>
        <v/>
      </c>
      <c r="S8243" t="n">
        <v>1</v>
      </c>
      <c r="T8243" s="35" t="inlineStr">
        <is>
          <t>4 — Не обогащён</t>
        </is>
      </c>
      <c r="U8243" s="35" t="inlineStr">
        <is>
          <t>Нет ОКВЭД/ССЧР</t>
        </is>
      </c>
      <c r="V8243" s="35" t="inlineStr">
        <is>
          <t>Не определено</t>
        </is>
      </c>
      <c r="W8243" s="35" t="inlineStr"/>
      <c r="X8243" s="35" t="inlineStr"/>
    </row>
    <row r="8244" ht="15" customHeight="1" s="24">
      <c r="A8244" s="13" t="n">
        <v>5000122090</v>
      </c>
      <c r="B8244" s="13" t="inlineStr">
        <is>
          <t>МКУ ГОЩ "ЦОМУ"</t>
        </is>
      </c>
      <c r="C8244" s="13" t="n">
        <v>5050145547</v>
      </c>
      <c r="D8244" s="13" t="inlineStr">
        <is>
          <t>5050145547</t>
        </is>
      </c>
      <c r="E8244" s="13" t="inlineStr">
        <is>
          <t>ЮЛ РФ</t>
        </is>
      </c>
      <c r="F8244" s="13" t="n"/>
      <c r="G8244" s="14" t="n"/>
      <c r="H8244" s="14" t="n"/>
      <c r="I8244" s="14" t="n"/>
      <c r="J8244" s="14" t="n"/>
      <c r="K8244" s="53" t="inlineStr"/>
      <c r="L8244" s="53" t="inlineStr">
        <is>
          <t>Не определено</t>
        </is>
      </c>
      <c r="M8244" s="53" t="inlineStr"/>
      <c r="N8244" s="54" t="inlineStr"/>
      <c r="O8244" s="55" t="inlineStr"/>
      <c r="P8244" s="16" t="inlineStr">
        <is>
          <t>Требует обогащения</t>
        </is>
      </c>
      <c r="Q8244" s="16">
        <f>HYPERLINK("https://pb.nalog.ru/search.html?query=5050145547","ФНС: проверить")</f>
        <v/>
      </c>
      <c r="R8244" s="16">
        <f>HYPERLINK("https://checko.ru/search?query=3801001629","Чекко: проверить")</f>
        <v/>
      </c>
      <c r="S8244" t="n">
        <v>1</v>
      </c>
      <c r="T8244" s="35" t="inlineStr">
        <is>
          <t>4 — Не обогащён</t>
        </is>
      </c>
      <c r="U8244" s="35" t="inlineStr">
        <is>
          <t>Нет ОКВЭД/ССЧР</t>
        </is>
      </c>
      <c r="V8244" s="35" t="inlineStr">
        <is>
          <t>Не определено</t>
        </is>
      </c>
      <c r="W8244" s="35" t="inlineStr"/>
      <c r="X8244" s="35" t="inlineStr"/>
    </row>
    <row r="8245" ht="15" customHeight="1" s="24">
      <c r="A8245" s="13" t="n">
        <v>5000122073</v>
      </c>
      <c r="B8245" s="13" t="inlineStr">
        <is>
          <t>МАУДО ДООПЦ "НЕПТУН" ГОЩ</t>
        </is>
      </c>
      <c r="C8245" s="13" t="n">
        <v>5050031910</v>
      </c>
      <c r="D8245" s="13" t="inlineStr">
        <is>
          <t>5050031910</t>
        </is>
      </c>
      <c r="E8245" s="13" t="inlineStr">
        <is>
          <t>ЮЛ РФ</t>
        </is>
      </c>
      <c r="F8245" s="13" t="n"/>
      <c r="G8245" s="14" t="n"/>
      <c r="H8245" s="14" t="n"/>
      <c r="I8245" s="14" t="n"/>
      <c r="J8245" s="14" t="n"/>
      <c r="K8245" s="53" t="inlineStr"/>
      <c r="L8245" s="53" t="inlineStr">
        <is>
          <t>Не определено</t>
        </is>
      </c>
      <c r="M8245" s="53" t="inlineStr"/>
      <c r="N8245" s="54" t="inlineStr"/>
      <c r="O8245" s="55" t="inlineStr"/>
      <c r="P8245" s="16" t="inlineStr">
        <is>
          <t>Требует обогащения</t>
        </is>
      </c>
      <c r="Q8245" s="16">
        <f>HYPERLINK("https://pb.nalog.ru/search.html?query=5050031910","ФНС: проверить")</f>
        <v/>
      </c>
      <c r="R8245" s="16">
        <f>HYPERLINK("https://checko.ru/search?query=3801001629","Чекко: проверить")</f>
        <v/>
      </c>
      <c r="S8245" t="n">
        <v>1</v>
      </c>
      <c r="T8245" s="35" t="inlineStr">
        <is>
          <t>4 — Не обогащён</t>
        </is>
      </c>
      <c r="U8245" s="35" t="inlineStr">
        <is>
          <t>Нет ОКВЭД/ССЧР</t>
        </is>
      </c>
      <c r="V8245" s="35" t="inlineStr">
        <is>
          <t>Не определено</t>
        </is>
      </c>
      <c r="W8245" s="35" t="inlineStr"/>
      <c r="X8245" s="35" t="inlineStr"/>
    </row>
    <row r="8246" ht="27.75" customHeight="1" s="24">
      <c r="A8246" s="13" t="n">
        <v>5000122093</v>
      </c>
      <c r="B8246" s="13" t="inlineStr">
        <is>
          <t>СОВЕТ ДЕПУТАТОВ ГОРОДСКОГО ОКРУГА ЩЁЛКОВО</t>
        </is>
      </c>
      <c r="C8246" s="13" t="n">
        <v>5050054762</v>
      </c>
      <c r="D8246" s="13" t="inlineStr">
        <is>
          <t>5050054762</t>
        </is>
      </c>
      <c r="E8246" s="13" t="inlineStr">
        <is>
          <t>ЮЛ РФ</t>
        </is>
      </c>
      <c r="F8246" s="13" t="n"/>
      <c r="G8246" s="14" t="n"/>
      <c r="H8246" s="14" t="n"/>
      <c r="I8246" s="14" t="n"/>
      <c r="J8246" s="14" t="n"/>
      <c r="K8246" s="53" t="inlineStr"/>
      <c r="L8246" s="53" t="inlineStr">
        <is>
          <t>Не определено</t>
        </is>
      </c>
      <c r="M8246" s="53" t="inlineStr"/>
      <c r="N8246" s="54" t="inlineStr"/>
      <c r="O8246" s="55" t="inlineStr"/>
      <c r="P8246" s="16" t="inlineStr">
        <is>
          <t>Требует обогащения</t>
        </is>
      </c>
      <c r="Q8246" s="16">
        <f>HYPERLINK("https://pb.nalog.ru/search.html?query=5050054762","ФНС: проверить")</f>
        <v/>
      </c>
      <c r="R8246" s="16">
        <f>HYPERLINK("https://checko.ru/search?query=3801001629","Чекко: проверить")</f>
        <v/>
      </c>
      <c r="S8246" t="n">
        <v>1</v>
      </c>
      <c r="T8246" s="35" t="inlineStr">
        <is>
          <t>4 — Не обогащён</t>
        </is>
      </c>
      <c r="U8246" s="35" t="inlineStr">
        <is>
          <t>Нет ОКВЭД/ССЧР</t>
        </is>
      </c>
      <c r="V8246" s="35" t="inlineStr">
        <is>
          <t>Не определено</t>
        </is>
      </c>
      <c r="W8246" s="35" t="inlineStr"/>
      <c r="X8246" s="35" t="inlineStr"/>
    </row>
    <row r="8247" ht="15" customHeight="1" s="24">
      <c r="A8247" s="13" t="n">
        <v>5000122075</v>
      </c>
      <c r="B8247" s="13" t="inlineStr">
        <is>
          <t>МАУ ЦППМС ГОЩ</t>
        </is>
      </c>
      <c r="C8247" s="13" t="n">
        <v>5050169587</v>
      </c>
      <c r="D8247" s="13" t="inlineStr">
        <is>
          <t>5050169587</t>
        </is>
      </c>
      <c r="E8247" s="13" t="inlineStr">
        <is>
          <t>ЮЛ РФ</t>
        </is>
      </c>
      <c r="F8247" s="13" t="n"/>
      <c r="G8247" s="14" t="n"/>
      <c r="H8247" s="14" t="n"/>
      <c r="I8247" s="14" t="n"/>
      <c r="J8247" s="14" t="n"/>
      <c r="K8247" s="53" t="inlineStr"/>
      <c r="L8247" s="53" t="inlineStr">
        <is>
          <t>Не определено</t>
        </is>
      </c>
      <c r="M8247" s="53" t="inlineStr"/>
      <c r="N8247" s="54" t="inlineStr"/>
      <c r="O8247" s="55" t="inlineStr"/>
      <c r="P8247" s="16" t="inlineStr">
        <is>
          <t>Требует обогащения</t>
        </is>
      </c>
      <c r="Q8247" s="16">
        <f>HYPERLINK("https://pb.nalog.ru/search.html?query=5050169587","ФНС: проверить")</f>
        <v/>
      </c>
      <c r="R8247" s="16">
        <f>HYPERLINK("https://checko.ru/search?query=3801001629","Чекко: проверить")</f>
        <v/>
      </c>
      <c r="S8247" t="n">
        <v>1</v>
      </c>
      <c r="T8247" s="35" t="inlineStr">
        <is>
          <t>4 — Не обогащён</t>
        </is>
      </c>
      <c r="U8247" s="35" t="inlineStr">
        <is>
          <t>Нет ОКВЭД/ССЧР</t>
        </is>
      </c>
      <c r="V8247" s="35" t="inlineStr">
        <is>
          <t>Не определено</t>
        </is>
      </c>
      <c r="W8247" s="35" t="inlineStr"/>
      <c r="X8247" s="35" t="inlineStr"/>
    </row>
    <row r="8248" ht="15" customHeight="1" s="24">
      <c r="A8248" s="13" t="n">
        <v>5000122076</v>
      </c>
      <c r="B8248" s="13" t="inlineStr">
        <is>
          <t>МБУК ГОЩ ЦКС "ФРЯНОВО"</t>
        </is>
      </c>
      <c r="C8248" s="13" t="n">
        <v>5050056294</v>
      </c>
      <c r="D8248" s="13" t="inlineStr">
        <is>
          <t>5050056294</t>
        </is>
      </c>
      <c r="E8248" s="13" t="inlineStr">
        <is>
          <t>ЮЛ РФ</t>
        </is>
      </c>
      <c r="F8248" s="13" t="n"/>
      <c r="G8248" s="14" t="n"/>
      <c r="H8248" s="14" t="n"/>
      <c r="I8248" s="14" t="n"/>
      <c r="J8248" s="14" t="n"/>
      <c r="K8248" s="53" t="inlineStr"/>
      <c r="L8248" s="53" t="inlineStr">
        <is>
          <t>Не определено</t>
        </is>
      </c>
      <c r="M8248" s="53" t="inlineStr"/>
      <c r="N8248" s="54" t="inlineStr"/>
      <c r="O8248" s="55" t="inlineStr"/>
      <c r="P8248" s="16" t="inlineStr">
        <is>
          <t>Требует обогащения</t>
        </is>
      </c>
      <c r="Q8248" s="16">
        <f>HYPERLINK("https://pb.nalog.ru/search.html?query=5050056294","ФНС: проверить")</f>
        <v/>
      </c>
      <c r="R8248" s="16">
        <f>HYPERLINK("https://checko.ru/search?query=3801001629","Чекко: проверить")</f>
        <v/>
      </c>
      <c r="S8248" t="n">
        <v>1</v>
      </c>
      <c r="T8248" s="35" t="inlineStr">
        <is>
          <t>4 — Не обогащён</t>
        </is>
      </c>
      <c r="U8248" s="35" t="inlineStr">
        <is>
          <t>Нет ОКВЭД/ССЧР</t>
        </is>
      </c>
      <c r="V8248" s="35" t="inlineStr">
        <is>
          <t>Не определено</t>
        </is>
      </c>
      <c r="W8248" s="35" t="inlineStr"/>
      <c r="X8248" s="35" t="inlineStr"/>
    </row>
    <row r="8249" ht="15" customHeight="1" s="24">
      <c r="A8249" s="13" t="n">
        <v>5000122077</v>
      </c>
      <c r="B8249" s="13" t="inlineStr">
        <is>
          <t>МБУК ГОЩ "МЕДВЕЖЬЕ-ОЗЕРСКАЯ ЦКС"</t>
        </is>
      </c>
      <c r="C8249" s="13" t="n">
        <v>5050042622</v>
      </c>
      <c r="D8249" s="13" t="inlineStr">
        <is>
          <t>5050042622</t>
        </is>
      </c>
      <c r="E8249" s="13" t="inlineStr">
        <is>
          <t>ЮЛ РФ</t>
        </is>
      </c>
      <c r="F8249" s="13" t="n"/>
      <c r="G8249" s="14" t="n"/>
      <c r="H8249" s="14" t="n"/>
      <c r="I8249" s="14" t="n"/>
      <c r="J8249" s="14" t="n"/>
      <c r="K8249" s="53" t="inlineStr"/>
      <c r="L8249" s="53" t="inlineStr">
        <is>
          <t>Не определено</t>
        </is>
      </c>
      <c r="M8249" s="53" t="inlineStr"/>
      <c r="N8249" s="54" t="inlineStr"/>
      <c r="O8249" s="55" t="inlineStr"/>
      <c r="P8249" s="16" t="inlineStr">
        <is>
          <t>Требует обогащения</t>
        </is>
      </c>
      <c r="Q8249" s="16">
        <f>HYPERLINK("https://pb.nalog.ru/search.html?query=5050042622","ФНС: проверить")</f>
        <v/>
      </c>
      <c r="R8249" s="16">
        <f>HYPERLINK("https://checko.ru/search?query=3801001629","Чекко: проверить")</f>
        <v/>
      </c>
      <c r="S8249" t="n">
        <v>1</v>
      </c>
      <c r="T8249" s="35" t="inlineStr">
        <is>
          <t>4 — Не обогащён</t>
        </is>
      </c>
      <c r="U8249" s="35" t="inlineStr">
        <is>
          <t>Нет ОКВЭД/ССЧР</t>
        </is>
      </c>
      <c r="V8249" s="35" t="inlineStr">
        <is>
          <t>Не определено</t>
        </is>
      </c>
      <c r="W8249" s="35" t="inlineStr"/>
      <c r="X8249" s="35" t="inlineStr"/>
    </row>
    <row r="8250" ht="15" customHeight="1" s="24">
      <c r="A8250" s="13" t="n">
        <v>5000122078</v>
      </c>
      <c r="B8250" s="13" t="inlineStr">
        <is>
          <t>МБУК ГОЩ ЦКД "ГРЕБНЕВО"</t>
        </is>
      </c>
      <c r="C8250" s="13" t="n">
        <v>5050060621</v>
      </c>
      <c r="D8250" s="13" t="inlineStr">
        <is>
          <t>5050060621</t>
        </is>
      </c>
      <c r="E8250" s="13" t="inlineStr">
        <is>
          <t>ЮЛ РФ</t>
        </is>
      </c>
      <c r="F8250" s="13" t="n"/>
      <c r="G8250" s="14" t="n"/>
      <c r="H8250" s="14" t="n"/>
      <c r="I8250" s="14" t="n"/>
      <c r="J8250" s="14" t="n"/>
      <c r="K8250" s="53" t="inlineStr"/>
      <c r="L8250" s="53" t="inlineStr">
        <is>
          <t>Не определено</t>
        </is>
      </c>
      <c r="M8250" s="53" t="inlineStr"/>
      <c r="N8250" s="54" t="inlineStr"/>
      <c r="O8250" s="55" t="inlineStr"/>
      <c r="P8250" s="16" t="inlineStr">
        <is>
          <t>Требует обогащения</t>
        </is>
      </c>
      <c r="Q8250" s="16">
        <f>HYPERLINK("https://pb.nalog.ru/search.html?query=5050060621","ФНС: проверить")</f>
        <v/>
      </c>
      <c r="R8250" s="16">
        <f>HYPERLINK("https://checko.ru/search?query=3801001629","Чекко: проверить")</f>
        <v/>
      </c>
      <c r="S8250" t="n">
        <v>1</v>
      </c>
      <c r="T8250" s="35" t="inlineStr">
        <is>
          <t>4 — Не обогащён</t>
        </is>
      </c>
      <c r="U8250" s="35" t="inlineStr">
        <is>
          <t>Нет ОКВЭД/ССЧР</t>
        </is>
      </c>
      <c r="V8250" s="35" t="inlineStr">
        <is>
          <t>Не определено</t>
        </is>
      </c>
      <c r="W8250" s="35" t="inlineStr"/>
      <c r="X8250" s="35" t="inlineStr"/>
    </row>
    <row r="8251" ht="27.75" customHeight="1" s="24">
      <c r="A8251" s="13" t="n">
        <v>5000042709</v>
      </c>
      <c r="B8251" s="13" t="inlineStr">
        <is>
          <t>МБОУ «Котельниковская  средняя общеобразовательная школа №2»</t>
        </is>
      </c>
      <c r="C8251" s="13" t="n">
        <v>5027057155</v>
      </c>
      <c r="D8251" s="13" t="inlineStr">
        <is>
          <t>5027057155</t>
        </is>
      </c>
      <c r="E8251" s="13" t="inlineStr">
        <is>
          <t>ЮЛ РФ</t>
        </is>
      </c>
      <c r="F8251" s="13" t="n"/>
      <c r="G8251" s="14" t="n"/>
      <c r="H8251" s="14" t="n"/>
      <c r="I8251" s="14" t="n"/>
      <c r="J8251" s="14" t="n"/>
      <c r="K8251" s="53" t="inlineStr"/>
      <c r="L8251" s="53" t="inlineStr">
        <is>
          <t>Не определено</t>
        </is>
      </c>
      <c r="M8251" s="53" t="inlineStr"/>
      <c r="N8251" s="54" t="inlineStr"/>
      <c r="O8251" s="55" t="inlineStr"/>
      <c r="P8251" s="16" t="inlineStr">
        <is>
          <t>Требует обогащения</t>
        </is>
      </c>
      <c r="Q8251" s="16">
        <f>HYPERLINK("https://pb.nalog.ru/search.html?query=5027057155","ФНС: проверить")</f>
        <v/>
      </c>
      <c r="R8251" s="16">
        <f>HYPERLINK("https://checko.ru/search?query=3801001629","Чекко: проверить")</f>
        <v/>
      </c>
      <c r="S8251" t="n">
        <v>1</v>
      </c>
      <c r="T8251" s="35" t="inlineStr">
        <is>
          <t>4 — Не обогащён</t>
        </is>
      </c>
      <c r="U8251" s="35" t="inlineStr">
        <is>
          <t>Нет ОКВЭД/ССЧР</t>
        </is>
      </c>
      <c r="V8251" s="35" t="inlineStr">
        <is>
          <t>Не определено</t>
        </is>
      </c>
      <c r="W8251" s="35" t="inlineStr"/>
      <c r="X8251" s="35" t="inlineStr"/>
    </row>
    <row r="8252" ht="41.25" customHeight="1" s="24">
      <c r="A8252" s="13" t="n">
        <v>5000122552</v>
      </c>
      <c r="B8252" s="13" t="inlineStr">
        <is>
          <t>КГКУ "Служба по охране животного мира и государственных природных заказников Камчатского края"</t>
        </is>
      </c>
      <c r="C8252" s="13" t="n">
        <v>4101104363</v>
      </c>
      <c r="D8252" s="13" t="inlineStr">
        <is>
          <t>4101104363</t>
        </is>
      </c>
      <c r="E8252" s="13" t="inlineStr">
        <is>
          <t>ЮЛ РФ</t>
        </is>
      </c>
      <c r="F8252" s="13" t="n"/>
      <c r="G8252" s="14" t="n"/>
      <c r="H8252" s="14" t="n"/>
      <c r="I8252" s="14" t="n"/>
      <c r="J8252" s="14" t="n"/>
      <c r="K8252" s="53" t="inlineStr"/>
      <c r="L8252" s="53" t="inlineStr">
        <is>
          <t>Не определено</t>
        </is>
      </c>
      <c r="M8252" s="53" t="inlineStr"/>
      <c r="N8252" s="54" t="inlineStr"/>
      <c r="O8252" s="55" t="inlineStr"/>
      <c r="P8252" s="16" t="inlineStr">
        <is>
          <t>Требует обогащения</t>
        </is>
      </c>
      <c r="Q8252" s="16">
        <f>HYPERLINK("https://pb.nalog.ru/search.html?query=4101104363","ФНС: проверить")</f>
        <v/>
      </c>
      <c r="R8252" s="16">
        <f>HYPERLINK("https://checko.ru/search?query=3801001629","Чекко: проверить")</f>
        <v/>
      </c>
      <c r="S8252" t="n">
        <v>1</v>
      </c>
      <c r="T8252" s="35" t="inlineStr">
        <is>
          <t>4 — Не обогащён</t>
        </is>
      </c>
      <c r="U8252" s="35" t="inlineStr">
        <is>
          <t>Нет ОКВЭД/ССЧР</t>
        </is>
      </c>
      <c r="V8252" s="35" t="inlineStr">
        <is>
          <t>Не определено</t>
        </is>
      </c>
      <c r="W8252" s="35" t="inlineStr"/>
      <c r="X8252" s="35" t="inlineStr"/>
    </row>
    <row r="8253" ht="27.75" customHeight="1" s="24">
      <c r="A8253" s="13" t="n">
        <v>5000122569</v>
      </c>
      <c r="B8253" s="13" t="inlineStr">
        <is>
          <t>Агентство по внутренней политике Камчатского края</t>
        </is>
      </c>
      <c r="C8253" s="13" t="n">
        <v>4101145031</v>
      </c>
      <c r="D8253" s="13" t="inlineStr">
        <is>
          <t>4101145031</t>
        </is>
      </c>
      <c r="E8253" s="13" t="inlineStr">
        <is>
          <t>ЮЛ РФ</t>
        </is>
      </c>
      <c r="F8253" s="13" t="n"/>
      <c r="G8253" s="14" t="n"/>
      <c r="H8253" s="14" t="n"/>
      <c r="I8253" s="14" t="n"/>
      <c r="J8253" s="14" t="n"/>
      <c r="K8253" s="53" t="inlineStr"/>
      <c r="L8253" s="53" t="inlineStr">
        <is>
          <t>Не определено</t>
        </is>
      </c>
      <c r="M8253" s="53" t="inlineStr"/>
      <c r="N8253" s="54" t="inlineStr"/>
      <c r="O8253" s="55" t="inlineStr"/>
      <c r="P8253" s="16" t="inlineStr">
        <is>
          <t>Требует обогащения</t>
        </is>
      </c>
      <c r="Q8253" s="16">
        <f>HYPERLINK("https://pb.nalog.ru/search.html?query=4101145031","ФНС: проверить")</f>
        <v/>
      </c>
      <c r="R8253" s="16">
        <f>HYPERLINK("https://checko.ru/search?query=3801001629","Чекко: проверить")</f>
        <v/>
      </c>
      <c r="S8253" t="n">
        <v>1</v>
      </c>
      <c r="T8253" s="35" t="inlineStr">
        <is>
          <t>4 — Не обогащён</t>
        </is>
      </c>
      <c r="U8253" s="35" t="inlineStr">
        <is>
          <t>Нет ОКВЭД/ССЧР</t>
        </is>
      </c>
      <c r="V8253" s="35" t="inlineStr">
        <is>
          <t>Не определено</t>
        </is>
      </c>
      <c r="W8253" s="35" t="inlineStr"/>
      <c r="X8253" s="35" t="inlineStr"/>
    </row>
    <row r="8254" ht="41.25" customHeight="1" s="24">
      <c r="A8254" s="13" t="n">
        <v>5000122353</v>
      </c>
      <c r="B8254" s="13" t="inlineStr">
        <is>
          <t>Управление муниципальной собственности и инвестиционного развития администрации Сергиево-Посадского муниципального района</t>
        </is>
      </c>
      <c r="C8254" s="13" t="n">
        <v>5042013787</v>
      </c>
      <c r="D8254" s="13" t="inlineStr">
        <is>
          <t>5042013787</t>
        </is>
      </c>
      <c r="E8254" s="13" t="inlineStr">
        <is>
          <t>ЮЛ РФ</t>
        </is>
      </c>
      <c r="F8254" s="13" t="n"/>
      <c r="G8254" s="14" t="n"/>
      <c r="H8254" s="14" t="n"/>
      <c r="I8254" s="14" t="n"/>
      <c r="J8254" s="14" t="n"/>
      <c r="K8254" s="53" t="inlineStr"/>
      <c r="L8254" s="53" t="inlineStr">
        <is>
          <t>Не определено</t>
        </is>
      </c>
      <c r="M8254" s="53" t="inlineStr"/>
      <c r="N8254" s="54" t="inlineStr"/>
      <c r="O8254" s="55" t="inlineStr"/>
      <c r="P8254" s="16" t="inlineStr">
        <is>
          <t>Требует обогащения</t>
        </is>
      </c>
      <c r="Q8254" s="16">
        <f>HYPERLINK("https://pb.nalog.ru/search.html?query=5042013787","ФНС: проверить")</f>
        <v/>
      </c>
      <c r="R8254" s="16">
        <f>HYPERLINK("https://checko.ru/search?query=3801001629","Чекко: проверить")</f>
        <v/>
      </c>
      <c r="S8254" t="n">
        <v>1</v>
      </c>
      <c r="T8254" s="35" t="inlineStr">
        <is>
          <t>4 — Не обогащён</t>
        </is>
      </c>
      <c r="U8254" s="35" t="inlineStr">
        <is>
          <t>Нет ОКВЭД/ССЧР</t>
        </is>
      </c>
      <c r="V8254" s="35" t="inlineStr">
        <is>
          <t>Не определено</t>
        </is>
      </c>
      <c r="W8254" s="35" t="inlineStr"/>
      <c r="X8254" s="35" t="inlineStr"/>
    </row>
    <row r="8255" ht="15" customHeight="1" s="24">
      <c r="A8255" s="13" t="n">
        <v>5000042713</v>
      </c>
      <c r="B8255" s="13" t="inlineStr">
        <is>
          <t>МБУ ДО ДШИ ИМ. В.К. АНДРЕЕВА</t>
        </is>
      </c>
      <c r="C8255" s="13" t="n">
        <v>5027064402</v>
      </c>
      <c r="D8255" s="13" t="inlineStr">
        <is>
          <t>5027064402</t>
        </is>
      </c>
      <c r="E8255" s="13" t="inlineStr">
        <is>
          <t>ЮЛ РФ</t>
        </is>
      </c>
      <c r="F8255" s="13" t="n"/>
      <c r="G8255" s="14" t="n"/>
      <c r="H8255" s="14" t="n"/>
      <c r="I8255" s="14" t="n"/>
      <c r="J8255" s="14" t="n"/>
      <c r="K8255" s="53" t="inlineStr"/>
      <c r="L8255" s="53" t="inlineStr">
        <is>
          <t>Не определено</t>
        </is>
      </c>
      <c r="M8255" s="53" t="inlineStr"/>
      <c r="N8255" s="54" t="inlineStr"/>
      <c r="O8255" s="55" t="inlineStr"/>
      <c r="P8255" s="16" t="inlineStr">
        <is>
          <t>Требует обогащения</t>
        </is>
      </c>
      <c r="Q8255" s="16">
        <f>HYPERLINK("https://pb.nalog.ru/search.html?query=5027064402","ФНС: проверить")</f>
        <v/>
      </c>
      <c r="R8255" s="16">
        <f>HYPERLINK("https://checko.ru/search?query=3801001629","Чекко: проверить")</f>
        <v/>
      </c>
      <c r="S8255" t="n">
        <v>1</v>
      </c>
      <c r="T8255" s="35" t="inlineStr">
        <is>
          <t>4 — Не обогащён</t>
        </is>
      </c>
      <c r="U8255" s="35" t="inlineStr">
        <is>
          <t>Нет ОКВЭД/ССЧР</t>
        </is>
      </c>
      <c r="V8255" s="35" t="inlineStr">
        <is>
          <t>Не определено</t>
        </is>
      </c>
      <c r="W8255" s="35" t="inlineStr"/>
      <c r="X8255" s="35" t="inlineStr"/>
    </row>
    <row r="8256" ht="15" customHeight="1" s="24">
      <c r="A8256" s="13" t="n">
        <v>5000122655</v>
      </c>
      <c r="B8256" s="13" t="inlineStr">
        <is>
          <t>МКДОУ №1 "ДЕТСКИЙ САД "РЯБИНКА"</t>
        </is>
      </c>
      <c r="C8256" s="13" t="n">
        <v>8202009120</v>
      </c>
      <c r="D8256" s="13" t="inlineStr">
        <is>
          <t>8202009120</t>
        </is>
      </c>
      <c r="E8256" s="13" t="inlineStr">
        <is>
          <t>ЮЛ РФ</t>
        </is>
      </c>
      <c r="F8256" s="13" t="n"/>
      <c r="G8256" s="14" t="n"/>
      <c r="H8256" s="14" t="n"/>
      <c r="I8256" s="14" t="n"/>
      <c r="J8256" s="14" t="n"/>
      <c r="K8256" s="53" t="inlineStr"/>
      <c r="L8256" s="53" t="inlineStr">
        <is>
          <t>Не определено</t>
        </is>
      </c>
      <c r="M8256" s="53" t="inlineStr"/>
      <c r="N8256" s="54" t="inlineStr"/>
      <c r="O8256" s="55" t="inlineStr"/>
      <c r="P8256" s="16" t="inlineStr">
        <is>
          <t>Требует обогащения</t>
        </is>
      </c>
      <c r="Q8256" s="16">
        <f>HYPERLINK("https://pb.nalog.ru/search.html?query=8202009120","ФНС: проверить")</f>
        <v/>
      </c>
      <c r="R8256" s="16">
        <f>HYPERLINK("https://checko.ru/search?query=3801001629","Чекко: проверить")</f>
        <v/>
      </c>
      <c r="S8256" t="n">
        <v>1</v>
      </c>
      <c r="T8256" s="35" t="inlineStr">
        <is>
          <t>4 — Не обогащён</t>
        </is>
      </c>
      <c r="U8256" s="35" t="inlineStr">
        <is>
          <t>Нет ОКВЭД/ССЧР</t>
        </is>
      </c>
      <c r="V8256" s="35" t="inlineStr">
        <is>
          <t>Не определено</t>
        </is>
      </c>
      <c r="W8256" s="35" t="inlineStr"/>
      <c r="X8256" s="35" t="inlineStr"/>
    </row>
    <row r="8257" ht="15" customHeight="1" s="24">
      <c r="A8257" s="13" t="n">
        <v>5000122372</v>
      </c>
      <c r="B8257" s="13" t="inlineStr">
        <is>
          <t>МАУ "Городские парки Сергиева Посада"</t>
        </is>
      </c>
      <c r="C8257" s="13" t="n">
        <v>5042127840</v>
      </c>
      <c r="D8257" s="13" t="inlineStr">
        <is>
          <t>5042127840</t>
        </is>
      </c>
      <c r="E8257" s="13" t="inlineStr">
        <is>
          <t>ЮЛ РФ</t>
        </is>
      </c>
      <c r="F8257" s="13" t="n"/>
      <c r="G8257" s="14" t="n"/>
      <c r="H8257" s="14" t="n"/>
      <c r="I8257" s="14" t="n"/>
      <c r="J8257" s="14" t="n"/>
      <c r="K8257" s="53" t="inlineStr"/>
      <c r="L8257" s="53" t="inlineStr">
        <is>
          <t>Не определено</t>
        </is>
      </c>
      <c r="M8257" s="53" t="inlineStr"/>
      <c r="N8257" s="54" t="inlineStr"/>
      <c r="O8257" s="55" t="inlineStr"/>
      <c r="P8257" s="16" t="inlineStr">
        <is>
          <t>Требует обогащения</t>
        </is>
      </c>
      <c r="Q8257" s="16">
        <f>HYPERLINK("https://pb.nalog.ru/search.html?query=5042127840","ФНС: проверить")</f>
        <v/>
      </c>
      <c r="R8257" s="16">
        <f>HYPERLINK("https://checko.ru/search?query=3801001629","Чекко: проверить")</f>
        <v/>
      </c>
      <c r="S8257" t="n">
        <v>1</v>
      </c>
      <c r="T8257" s="35" t="inlineStr">
        <is>
          <t>4 — Не обогащён</t>
        </is>
      </c>
      <c r="U8257" s="35" t="inlineStr">
        <is>
          <t>Нет ОКВЭД/ССЧР</t>
        </is>
      </c>
      <c r="V8257" s="35" t="inlineStr">
        <is>
          <t>Не определено</t>
        </is>
      </c>
      <c r="W8257" s="35" t="inlineStr"/>
      <c r="X8257" s="35" t="inlineStr"/>
    </row>
    <row r="8258" ht="27.75" customHeight="1" s="24">
      <c r="A8258" s="13" t="n">
        <v>5000122049</v>
      </c>
      <c r="B8258" s="13" t="inlineStr">
        <is>
          <t>МБОУ ДОД ДЮСШ Щелковского муниципального района</t>
        </is>
      </c>
      <c r="C8258" s="13" t="n">
        <v>5050034519</v>
      </c>
      <c r="D8258" s="13" t="inlineStr">
        <is>
          <t>5050034519</t>
        </is>
      </c>
      <c r="E8258" s="13" t="inlineStr">
        <is>
          <t>ЮЛ РФ</t>
        </is>
      </c>
      <c r="F8258" s="13" t="n"/>
      <c r="G8258" s="14" t="n"/>
      <c r="H8258" s="14" t="n"/>
      <c r="I8258" s="14" t="n"/>
      <c r="J8258" s="14" t="n"/>
      <c r="K8258" s="53" t="inlineStr"/>
      <c r="L8258" s="53" t="inlineStr">
        <is>
          <t>Не определено</t>
        </is>
      </c>
      <c r="M8258" s="53" t="inlineStr"/>
      <c r="N8258" s="54" t="inlineStr"/>
      <c r="O8258" s="55" t="inlineStr"/>
      <c r="P8258" s="16" t="inlineStr">
        <is>
          <t>Требует обогащения</t>
        </is>
      </c>
      <c r="Q8258" s="16">
        <f>HYPERLINK("https://pb.nalog.ru/search.html?query=5050034519","ФНС: проверить")</f>
        <v/>
      </c>
      <c r="R8258" s="16">
        <f>HYPERLINK("https://checko.ru/search?query=3801001629","Чекко: проверить")</f>
        <v/>
      </c>
      <c r="S8258" t="n">
        <v>1</v>
      </c>
      <c r="T8258" s="35" t="inlineStr">
        <is>
          <t>4 — Не обогащён</t>
        </is>
      </c>
      <c r="U8258" s="35" t="inlineStr">
        <is>
          <t>Нет ОКВЭД/ССЧР</t>
        </is>
      </c>
      <c r="V8258" s="35" t="inlineStr">
        <is>
          <t>Не определено</t>
        </is>
      </c>
      <c r="W8258" s="35" t="inlineStr"/>
      <c r="X8258" s="35" t="inlineStr"/>
    </row>
    <row r="8259" ht="27.75" customHeight="1" s="24">
      <c r="A8259" s="13" t="n">
        <v>5000100855</v>
      </c>
      <c r="B8259" s="13" t="inlineStr">
        <is>
          <t>МБОУ «Средняя общеобразовательная школа № 21»</t>
        </is>
      </c>
      <c r="C8259" s="13" t="n">
        <v>5042067983</v>
      </c>
      <c r="D8259" s="13" t="inlineStr">
        <is>
          <t>5042067983</t>
        </is>
      </c>
      <c r="E8259" s="13" t="inlineStr">
        <is>
          <t>ЮЛ РФ</t>
        </is>
      </c>
      <c r="F8259" s="13" t="n"/>
      <c r="G8259" s="14" t="n"/>
      <c r="H8259" s="14" t="n"/>
      <c r="I8259" s="14" t="n"/>
      <c r="J8259" s="14" t="n"/>
      <c r="K8259" s="53" t="inlineStr"/>
      <c r="L8259" s="53" t="inlineStr">
        <is>
          <t>Не определено</t>
        </is>
      </c>
      <c r="M8259" s="53" t="inlineStr"/>
      <c r="N8259" s="54" t="inlineStr"/>
      <c r="O8259" s="55" t="inlineStr"/>
      <c r="P8259" s="16" t="inlineStr">
        <is>
          <t>Требует обогащения</t>
        </is>
      </c>
      <c r="Q8259" s="16">
        <f>HYPERLINK("https://pb.nalog.ru/search.html?query=5042067983","ФНС: проверить")</f>
        <v/>
      </c>
      <c r="R8259" s="16">
        <f>HYPERLINK("https://checko.ru/search?query=3801001629","Чекко: проверить")</f>
        <v/>
      </c>
      <c r="S8259" t="n">
        <v>1</v>
      </c>
      <c r="T8259" s="35" t="inlineStr">
        <is>
          <t>4 — Не обогащён</t>
        </is>
      </c>
      <c r="U8259" s="35" t="inlineStr">
        <is>
          <t>Нет ОКВЭД/ССЧР</t>
        </is>
      </c>
      <c r="V8259" s="35" t="inlineStr">
        <is>
          <t>Не определено</t>
        </is>
      </c>
      <c r="W8259" s="35" t="inlineStr"/>
      <c r="X8259" s="35" t="inlineStr"/>
    </row>
    <row r="8260" ht="54.75" customHeight="1" s="24">
      <c r="A8260" s="13" t="n">
        <v>5000122055</v>
      </c>
      <c r="B8260" s="13" t="inlineStr">
        <is>
          <t>МУНИЦИПАЛЬНОЕ БЮДЖЕТНОЕ ОБЩЕОБРАЗОВАТЕЛЬНОЕ УЧРЕЖДЕНИЕ СРЕДНЯЯ ОБЩЕОБРАЗОВАТЕЛЬНАЯ ШКОЛА №25 ИМЕНИ И.А.КОПЫЛОВА ГОРОДСКОГО ОКРУГА ЩЁЛКОВО</t>
        </is>
      </c>
      <c r="C8260" s="13" t="n">
        <v>5050034491</v>
      </c>
      <c r="D8260" s="13" t="inlineStr">
        <is>
          <t>5050034491</t>
        </is>
      </c>
      <c r="E8260" s="13" t="inlineStr">
        <is>
          <t>ЮЛ РФ</t>
        </is>
      </c>
      <c r="F8260" s="13" t="n"/>
      <c r="G8260" s="14" t="n"/>
      <c r="H8260" s="14" t="n"/>
      <c r="I8260" s="14" t="n"/>
      <c r="J8260" s="14" t="n"/>
      <c r="K8260" s="53" t="inlineStr"/>
      <c r="L8260" s="53" t="inlineStr">
        <is>
          <t>Не определено</t>
        </is>
      </c>
      <c r="M8260" s="53" t="inlineStr"/>
      <c r="N8260" s="54" t="inlineStr"/>
      <c r="O8260" s="55" t="inlineStr"/>
      <c r="P8260" s="16" t="inlineStr">
        <is>
          <t>Требует обогащения</t>
        </is>
      </c>
      <c r="Q8260" s="16">
        <f>HYPERLINK("https://pb.nalog.ru/search.html?query=5050034491","ФНС: проверить")</f>
        <v/>
      </c>
      <c r="R8260" s="16">
        <f>HYPERLINK("https://checko.ru/search?query=3801001629","Чекко: проверить")</f>
        <v/>
      </c>
      <c r="S8260" t="n">
        <v>1</v>
      </c>
      <c r="T8260" s="35" t="inlineStr">
        <is>
          <t>4 — Не обогащён</t>
        </is>
      </c>
      <c r="U8260" s="35" t="inlineStr">
        <is>
          <t>Нет ОКВЭД/ССЧР</t>
        </is>
      </c>
      <c r="V8260" s="35" t="inlineStr">
        <is>
          <t>Не определено</t>
        </is>
      </c>
      <c r="W8260" s="35" t="inlineStr"/>
      <c r="X8260" s="35" t="inlineStr"/>
    </row>
    <row r="8261" ht="15" customHeight="1" s="24">
      <c r="A8261" s="13" t="n">
        <v>5000042697</v>
      </c>
      <c r="B8261" s="13" t="inlineStr">
        <is>
          <t>МКУ "ЦБ КОТЕЛЬНИКИ"</t>
        </is>
      </c>
      <c r="C8261" s="13" t="n">
        <v>5027256873</v>
      </c>
      <c r="D8261" s="13" t="inlineStr">
        <is>
          <t>5027256873</t>
        </is>
      </c>
      <c r="E8261" s="13" t="inlineStr">
        <is>
          <t>ЮЛ РФ</t>
        </is>
      </c>
      <c r="F8261" s="13" t="n"/>
      <c r="G8261" s="14" t="n"/>
      <c r="H8261" s="14" t="n"/>
      <c r="I8261" s="14" t="n"/>
      <c r="J8261" s="14" t="n"/>
      <c r="K8261" s="53" t="inlineStr"/>
      <c r="L8261" s="53" t="inlineStr">
        <is>
          <t>Не определено</t>
        </is>
      </c>
      <c r="M8261" s="53" t="inlineStr"/>
      <c r="N8261" s="54" t="inlineStr"/>
      <c r="O8261" s="55" t="inlineStr"/>
      <c r="P8261" s="16" t="inlineStr">
        <is>
          <t>Требует обогащения</t>
        </is>
      </c>
      <c r="Q8261" s="16">
        <f>HYPERLINK("https://pb.nalog.ru/search.html?query=5027256873","ФНС: проверить")</f>
        <v/>
      </c>
      <c r="R8261" s="16">
        <f>HYPERLINK("https://checko.ru/search?query=3801001629","Чекко: проверить")</f>
        <v/>
      </c>
      <c r="S8261" t="n">
        <v>1</v>
      </c>
      <c r="T8261" s="35" t="inlineStr">
        <is>
          <t>4 — Не обогащён</t>
        </is>
      </c>
      <c r="U8261" s="35" t="inlineStr">
        <is>
          <t>Нет ОКВЭД/ССЧР</t>
        </is>
      </c>
      <c r="V8261" s="35" t="inlineStr">
        <is>
          <t>Не определено</t>
        </is>
      </c>
      <c r="W8261" s="35" t="inlineStr"/>
      <c r="X8261" s="35" t="inlineStr"/>
    </row>
    <row r="8262" ht="41.25" customHeight="1" s="24">
      <c r="A8262" s="13" t="n">
        <v>5000122626</v>
      </c>
      <c r="B8262" s="13" t="inlineStr">
        <is>
          <t>Администрация Озерновского городского поселения Усть-Большерецкого муниципального района</t>
        </is>
      </c>
      <c r="C8262" s="13" t="n">
        <v>4108006397</v>
      </c>
      <c r="D8262" s="13" t="inlineStr">
        <is>
          <t>4108006397</t>
        </is>
      </c>
      <c r="E8262" s="13" t="inlineStr">
        <is>
          <t>ЮЛ РФ</t>
        </is>
      </c>
      <c r="F8262" s="13" t="n"/>
      <c r="G8262" s="14" t="n"/>
      <c r="H8262" s="14" t="n"/>
      <c r="I8262" s="14" t="n"/>
      <c r="J8262" s="14" t="n"/>
      <c r="K8262" s="53" t="inlineStr"/>
      <c r="L8262" s="53" t="inlineStr">
        <is>
          <t>Не определено</t>
        </is>
      </c>
      <c r="M8262" s="53" t="inlineStr"/>
      <c r="N8262" s="54" t="inlineStr"/>
      <c r="O8262" s="55" t="inlineStr"/>
      <c r="P8262" s="16" t="inlineStr">
        <is>
          <t>Требует обогащения</t>
        </is>
      </c>
      <c r="Q8262" s="16">
        <f>HYPERLINK("https://pb.nalog.ru/search.html?query=4108006397","ФНС: проверить")</f>
        <v/>
      </c>
      <c r="R8262" s="16">
        <f>HYPERLINK("https://checko.ru/search?query=3801001629","Чекко: проверить")</f>
        <v/>
      </c>
      <c r="S8262" t="n">
        <v>1</v>
      </c>
      <c r="T8262" s="35" t="inlineStr">
        <is>
          <t>4 — Не обогащён</t>
        </is>
      </c>
      <c r="U8262" s="35" t="inlineStr">
        <is>
          <t>Нет ОКВЭД/ССЧР</t>
        </is>
      </c>
      <c r="V8262" s="35" t="inlineStr">
        <is>
          <t>Не определено</t>
        </is>
      </c>
      <c r="W8262" s="35" t="inlineStr"/>
      <c r="X8262" s="35" t="inlineStr"/>
    </row>
    <row r="8263" ht="15" customHeight="1" s="24">
      <c r="A8263" s="13" t="n">
        <v>5000024322</v>
      </c>
      <c r="B8263" s="13" t="inlineStr">
        <is>
          <t>МАУК ЩМР "Щелковский драматический театр"</t>
        </is>
      </c>
      <c r="C8263" s="13" t="n">
        <v>5050101726</v>
      </c>
      <c r="D8263" s="13" t="inlineStr">
        <is>
          <t>5050101726</t>
        </is>
      </c>
      <c r="E8263" s="13" t="inlineStr">
        <is>
          <t>ЮЛ РФ</t>
        </is>
      </c>
      <c r="F8263" s="13" t="n"/>
      <c r="G8263" s="14" t="n"/>
      <c r="H8263" s="14" t="n"/>
      <c r="I8263" s="14" t="n"/>
      <c r="J8263" s="14" t="n"/>
      <c r="K8263" s="53" t="inlineStr"/>
      <c r="L8263" s="53" t="inlineStr">
        <is>
          <t>Не определено</t>
        </is>
      </c>
      <c r="M8263" s="53" t="inlineStr"/>
      <c r="N8263" s="54" t="inlineStr"/>
      <c r="O8263" s="55" t="inlineStr"/>
      <c r="P8263" s="16" t="inlineStr">
        <is>
          <t>Требует обогащения</t>
        </is>
      </c>
      <c r="Q8263" s="16">
        <f>HYPERLINK("https://pb.nalog.ru/search.html?query=5050101726","ФНС: проверить")</f>
        <v/>
      </c>
      <c r="R8263" s="16">
        <f>HYPERLINK("https://checko.ru/search?query=3801001629","Чекко: проверить")</f>
        <v/>
      </c>
      <c r="S8263" t="n">
        <v>1</v>
      </c>
      <c r="T8263" s="35" t="inlineStr">
        <is>
          <t>4 — Не обогащён</t>
        </is>
      </c>
      <c r="U8263" s="35" t="inlineStr">
        <is>
          <t>Нет ОКВЭД/ССЧР</t>
        </is>
      </c>
      <c r="V8263" s="35" t="inlineStr">
        <is>
          <t>Не определено</t>
        </is>
      </c>
      <c r="W8263" s="35" t="inlineStr"/>
      <c r="X8263" s="35" t="inlineStr"/>
    </row>
    <row r="8264" ht="54.75" customHeight="1" s="24">
      <c r="A8264" s="13" t="n">
        <v>5000122038</v>
      </c>
      <c r="B8264" s="13" t="inlineStr">
        <is>
          <t>МУНИЦИПАЛЬНОЕ АВТОНОМНОЕ УЧРЕЖДЕНИЕ ДОПОЛНИТЕЛЬНОГО ОБРАЗОВАНИЯ ДЕТСКАЯ ШКОЛА ИСКУССТВ ИМ. Ю.А. РОЗУМА ГОРОДСКОГО ОКРУГА ЩЁЛКОВО</t>
        </is>
      </c>
      <c r="C8264" s="13" t="n">
        <v>5050120729</v>
      </c>
      <c r="D8264" s="13" t="inlineStr">
        <is>
          <t>5050120729</t>
        </is>
      </c>
      <c r="E8264" s="13" t="inlineStr">
        <is>
          <t>ЮЛ РФ</t>
        </is>
      </c>
      <c r="F8264" s="13" t="n"/>
      <c r="G8264" s="14" t="n"/>
      <c r="H8264" s="14" t="n"/>
      <c r="I8264" s="14" t="n"/>
      <c r="J8264" s="14" t="n"/>
      <c r="K8264" s="53" t="inlineStr"/>
      <c r="L8264" s="53" t="inlineStr">
        <is>
          <t>Не определено</t>
        </is>
      </c>
      <c r="M8264" s="53" t="inlineStr"/>
      <c r="N8264" s="54" t="inlineStr"/>
      <c r="O8264" s="55" t="inlineStr"/>
      <c r="P8264" s="16" t="inlineStr">
        <is>
          <t>Требует обогащения</t>
        </is>
      </c>
      <c r="Q8264" s="16">
        <f>HYPERLINK("https://pb.nalog.ru/search.html?query=5050120729","ФНС: проверить")</f>
        <v/>
      </c>
      <c r="R8264" s="16">
        <f>HYPERLINK("https://checko.ru/search?query=3801001629","Чекко: проверить")</f>
        <v/>
      </c>
      <c r="S8264" t="n">
        <v>1</v>
      </c>
      <c r="T8264" s="35" t="inlineStr">
        <is>
          <t>4 — Не обогащён</t>
        </is>
      </c>
      <c r="U8264" s="35" t="inlineStr">
        <is>
          <t>Нет ОКВЭД/ССЧР</t>
        </is>
      </c>
      <c r="V8264" s="35" t="inlineStr">
        <is>
          <t>Не определено</t>
        </is>
      </c>
      <c r="W8264" s="35" t="inlineStr"/>
      <c r="X8264" s="35" t="inlineStr"/>
    </row>
    <row r="8265" ht="15" customHeight="1" s="24">
      <c r="A8265" s="13" t="n">
        <v>5000042698</v>
      </c>
      <c r="B8265" s="13" t="inlineStr">
        <is>
          <t>МКУ "ЕДДС КОТЕЛЬНИКИ"</t>
        </is>
      </c>
      <c r="C8265" s="13" t="n">
        <v>5027228354</v>
      </c>
      <c r="D8265" s="13" t="inlineStr">
        <is>
          <t>5027228354</t>
        </is>
      </c>
      <c r="E8265" s="13" t="inlineStr">
        <is>
          <t>ЮЛ РФ</t>
        </is>
      </c>
      <c r="F8265" s="13" t="n"/>
      <c r="G8265" s="14" t="n"/>
      <c r="H8265" s="14" t="n"/>
      <c r="I8265" s="14" t="n"/>
      <c r="J8265" s="14" t="n"/>
      <c r="K8265" s="53" t="inlineStr"/>
      <c r="L8265" s="53" t="inlineStr">
        <is>
          <t>Не определено</t>
        </is>
      </c>
      <c r="M8265" s="53" t="inlineStr"/>
      <c r="N8265" s="54" t="inlineStr"/>
      <c r="O8265" s="55" t="inlineStr"/>
      <c r="P8265" s="16" t="inlineStr">
        <is>
          <t>Требует обогащения</t>
        </is>
      </c>
      <c r="Q8265" s="16">
        <f>HYPERLINK("https://pb.nalog.ru/search.html?query=5027228354","ФНС: проверить")</f>
        <v/>
      </c>
      <c r="R8265" s="16">
        <f>HYPERLINK("https://checko.ru/search?query=3801001629","Чекко: проверить")</f>
        <v/>
      </c>
      <c r="S8265" t="n">
        <v>1</v>
      </c>
      <c r="T8265" s="35" t="inlineStr">
        <is>
          <t>4 — Не обогащён</t>
        </is>
      </c>
      <c r="U8265" s="35" t="inlineStr">
        <is>
          <t>Нет ОКВЭД/ССЧР</t>
        </is>
      </c>
      <c r="V8265" s="35" t="inlineStr">
        <is>
          <t>Не определено</t>
        </is>
      </c>
      <c r="W8265" s="35" t="inlineStr"/>
      <c r="X8265" s="35" t="inlineStr"/>
    </row>
    <row r="8266" ht="27.75" customHeight="1" s="24">
      <c r="A8266" s="13" t="n">
        <v>5000122390</v>
      </c>
      <c r="B8266" s="13" t="inlineStr">
        <is>
          <t>МБОУ "СРЕДНЯЯ ОБЩЕОБРАЗОВАТЕЛЬНАЯ ШКОЛА №11"</t>
        </is>
      </c>
      <c r="C8266" s="13" t="n">
        <v>5042069532</v>
      </c>
      <c r="D8266" s="13" t="inlineStr">
        <is>
          <t>5042069532</t>
        </is>
      </c>
      <c r="E8266" s="13" t="inlineStr">
        <is>
          <t>ЮЛ РФ</t>
        </is>
      </c>
      <c r="F8266" s="13" t="n"/>
      <c r="G8266" s="14" t="n"/>
      <c r="H8266" s="14" t="n"/>
      <c r="I8266" s="14" t="n"/>
      <c r="J8266" s="14" t="n"/>
      <c r="K8266" s="53" t="inlineStr"/>
      <c r="L8266" s="53" t="inlineStr">
        <is>
          <t>Не определено</t>
        </is>
      </c>
      <c r="M8266" s="53" t="inlineStr"/>
      <c r="N8266" s="54" t="inlineStr"/>
      <c r="O8266" s="55" t="inlineStr"/>
      <c r="P8266" s="16" t="inlineStr">
        <is>
          <t>Требует обогащения</t>
        </is>
      </c>
      <c r="Q8266" s="16">
        <f>HYPERLINK("https://pb.nalog.ru/search.html?query=5042069532","ФНС: проверить")</f>
        <v/>
      </c>
      <c r="R8266" s="16">
        <f>HYPERLINK("https://checko.ru/search?query=3801001629","Чекко: проверить")</f>
        <v/>
      </c>
      <c r="S8266" t="n">
        <v>1</v>
      </c>
      <c r="T8266" s="35" t="inlineStr">
        <is>
          <t>4 — Не обогащён</t>
        </is>
      </c>
      <c r="U8266" s="35" t="inlineStr">
        <is>
          <t>Нет ОКВЭД/ССЧР</t>
        </is>
      </c>
      <c r="V8266" s="35" t="inlineStr">
        <is>
          <t>Не определено</t>
        </is>
      </c>
      <c r="W8266" s="35" t="inlineStr"/>
      <c r="X8266" s="35" t="inlineStr"/>
    </row>
    <row r="8267" ht="41.25" customHeight="1" s="24">
      <c r="A8267" s="13" t="n">
        <v>5000122388</v>
      </c>
      <c r="B8267" s="13" t="inlineStr">
        <is>
          <t>МБОУ "СРЕДНЯЯ ОБЩЕОБРАЗОВАТЕЛЬНАЯ ШКОЛА №18 С УГЛУБЛЕННЫМ ИЗУЧЕНИЕМ ОТДЕЛЬНЫХ ПРЕДМЕТОВ"</t>
        </is>
      </c>
      <c r="C8267" s="13" t="n">
        <v>5042010627</v>
      </c>
      <c r="D8267" s="13" t="inlineStr">
        <is>
          <t>5042010627</t>
        </is>
      </c>
      <c r="E8267" s="13" t="inlineStr">
        <is>
          <t>ЮЛ РФ</t>
        </is>
      </c>
      <c r="F8267" s="13" t="n"/>
      <c r="G8267" s="14" t="n"/>
      <c r="H8267" s="14" t="n"/>
      <c r="I8267" s="14" t="n"/>
      <c r="J8267" s="14" t="n"/>
      <c r="K8267" s="53" t="inlineStr"/>
      <c r="L8267" s="53" t="inlineStr">
        <is>
          <t>Не определено</t>
        </is>
      </c>
      <c r="M8267" s="53" t="inlineStr"/>
      <c r="N8267" s="54" t="inlineStr"/>
      <c r="O8267" s="55" t="inlineStr"/>
      <c r="P8267" s="16" t="inlineStr">
        <is>
          <t>Требует обогащения</t>
        </is>
      </c>
      <c r="Q8267" s="16">
        <f>HYPERLINK("https://pb.nalog.ru/search.html?query=5042010627","ФНС: проверить")</f>
        <v/>
      </c>
      <c r="R8267" s="16">
        <f>HYPERLINK("https://checko.ru/search?query=3801001629","Чекко: проверить")</f>
        <v/>
      </c>
      <c r="S8267" t="n">
        <v>1</v>
      </c>
      <c r="T8267" s="35" t="inlineStr">
        <is>
          <t>4 — Не обогащён</t>
        </is>
      </c>
      <c r="U8267" s="35" t="inlineStr">
        <is>
          <t>Нет ОКВЭД/ССЧР</t>
        </is>
      </c>
      <c r="V8267" s="35" t="inlineStr">
        <is>
          <t>Не определено</t>
        </is>
      </c>
      <c r="W8267" s="35" t="inlineStr"/>
      <c r="X8267" s="35" t="inlineStr"/>
    </row>
    <row r="8268" ht="15" customHeight="1" s="24">
      <c r="A8268" s="13" t="n">
        <v>5000042699</v>
      </c>
      <c r="B8268" s="13" t="inlineStr">
        <is>
          <t>МКУ«Центр закупок»</t>
        </is>
      </c>
      <c r="C8268" s="13" t="n">
        <v>5027233876</v>
      </c>
      <c r="D8268" s="13" t="inlineStr">
        <is>
          <t>5027233876</t>
        </is>
      </c>
      <c r="E8268" s="13" t="inlineStr">
        <is>
          <t>ЮЛ РФ</t>
        </is>
      </c>
      <c r="F8268" s="13" t="n"/>
      <c r="G8268" s="14" t="n"/>
      <c r="H8268" s="14" t="n"/>
      <c r="I8268" s="14" t="n"/>
      <c r="J8268" s="14" t="n"/>
      <c r="K8268" s="53" t="inlineStr"/>
      <c r="L8268" s="53" t="inlineStr">
        <is>
          <t>Не определено</t>
        </is>
      </c>
      <c r="M8268" s="53" t="inlineStr"/>
      <c r="N8268" s="54" t="inlineStr"/>
      <c r="O8268" s="55" t="inlineStr"/>
      <c r="P8268" s="16" t="inlineStr">
        <is>
          <t>Требует обогащения</t>
        </is>
      </c>
      <c r="Q8268" s="16">
        <f>HYPERLINK("https://pb.nalog.ru/search.html?query=5027233876","ФНС: проверить")</f>
        <v/>
      </c>
      <c r="R8268" s="16">
        <f>HYPERLINK("https://checko.ru/search?query=3801001629","Чекко: проверить")</f>
        <v/>
      </c>
      <c r="S8268" t="n">
        <v>1</v>
      </c>
      <c r="T8268" s="35" t="inlineStr">
        <is>
          <t>4 — Не обогащён</t>
        </is>
      </c>
      <c r="U8268" s="35" t="inlineStr">
        <is>
          <t>Нет ОКВЭД/ССЧР</t>
        </is>
      </c>
      <c r="V8268" s="35" t="inlineStr">
        <is>
          <t>Не определено</t>
        </is>
      </c>
      <c r="W8268" s="35" t="inlineStr"/>
      <c r="X8268" s="35" t="inlineStr"/>
    </row>
    <row r="8269" ht="15" customHeight="1" s="24">
      <c r="A8269" s="13" t="n">
        <v>5000042711</v>
      </c>
      <c r="B8269" s="13" t="inlineStr">
        <is>
          <t>МБУ "МФЦ ГО КОТЕЛЬНИКИ МО"</t>
        </is>
      </c>
      <c r="C8269" s="13" t="n">
        <v>5027228379</v>
      </c>
      <c r="D8269" s="13" t="inlineStr">
        <is>
          <t>5027228379</t>
        </is>
      </c>
      <c r="E8269" s="13" t="inlineStr">
        <is>
          <t>ЮЛ РФ</t>
        </is>
      </c>
      <c r="F8269" s="13" t="n"/>
      <c r="G8269" s="14" t="n"/>
      <c r="H8269" s="14" t="n"/>
      <c r="I8269" s="14" t="n"/>
      <c r="J8269" s="14" t="n"/>
      <c r="K8269" s="53" t="inlineStr"/>
      <c r="L8269" s="53" t="inlineStr">
        <is>
          <t>Не определено</t>
        </is>
      </c>
      <c r="M8269" s="53" t="inlineStr"/>
      <c r="N8269" s="54" t="inlineStr"/>
      <c r="O8269" s="55" t="inlineStr"/>
      <c r="P8269" s="16" t="inlineStr">
        <is>
          <t>Требует обогащения</t>
        </is>
      </c>
      <c r="Q8269" s="16">
        <f>HYPERLINK("https://pb.nalog.ru/search.html?query=5027228379","ФНС: проверить")</f>
        <v/>
      </c>
      <c r="R8269" s="16">
        <f>HYPERLINK("https://checko.ru/search?query=3801001629","Чекко: проверить")</f>
        <v/>
      </c>
      <c r="S8269" t="n">
        <v>1</v>
      </c>
      <c r="T8269" s="35" t="inlineStr">
        <is>
          <t>4 — Не обогащён</t>
        </is>
      </c>
      <c r="U8269" s="35" t="inlineStr">
        <is>
          <t>Нет ОКВЭД/ССЧР</t>
        </is>
      </c>
      <c r="V8269" s="35" t="inlineStr">
        <is>
          <t>Не определено</t>
        </is>
      </c>
      <c r="W8269" s="35" t="inlineStr"/>
      <c r="X8269" s="35" t="inlineStr"/>
    </row>
    <row r="8270" ht="27.75" customHeight="1" s="24">
      <c r="A8270" s="13" t="n">
        <v>5000122387</v>
      </c>
      <c r="B8270" s="13" t="inlineStr">
        <is>
          <t>МБОУ "Краснозаводская средняя общеобразовательная школа №1"</t>
        </is>
      </c>
      <c r="C8270" s="13" t="n">
        <v>5042068257</v>
      </c>
      <c r="D8270" s="13" t="inlineStr">
        <is>
          <t>5042068257</t>
        </is>
      </c>
      <c r="E8270" s="13" t="inlineStr">
        <is>
          <t>ЮЛ РФ</t>
        </is>
      </c>
      <c r="F8270" s="13" t="n"/>
      <c r="G8270" s="14" t="n"/>
      <c r="H8270" s="14" t="n"/>
      <c r="I8270" s="14" t="n"/>
      <c r="J8270" s="14" t="n"/>
      <c r="K8270" s="53" t="inlineStr"/>
      <c r="L8270" s="53" t="inlineStr">
        <is>
          <t>Не определено</t>
        </is>
      </c>
      <c r="M8270" s="53" t="inlineStr"/>
      <c r="N8270" s="54" t="inlineStr"/>
      <c r="O8270" s="55" t="inlineStr"/>
      <c r="P8270" s="16" t="inlineStr">
        <is>
          <t>Требует обогащения</t>
        </is>
      </c>
      <c r="Q8270" s="16">
        <f>HYPERLINK("https://pb.nalog.ru/search.html?query=5042068257","ФНС: проверить")</f>
        <v/>
      </c>
      <c r="R8270" s="16">
        <f>HYPERLINK("https://checko.ru/search?query=3801001629","Чекко: проверить")</f>
        <v/>
      </c>
      <c r="S8270" t="n">
        <v>1</v>
      </c>
      <c r="T8270" s="35" t="inlineStr">
        <is>
          <t>4 — Не обогащён</t>
        </is>
      </c>
      <c r="U8270" s="35" t="inlineStr">
        <is>
          <t>Нет ОКВЭД/ССЧР</t>
        </is>
      </c>
      <c r="V8270" s="35" t="inlineStr">
        <is>
          <t>Не определено</t>
        </is>
      </c>
      <c r="W8270" s="35" t="inlineStr"/>
      <c r="X8270" s="35" t="inlineStr"/>
    </row>
    <row r="8271" ht="27.75" customHeight="1" s="24">
      <c r="A8271" s="13" t="n">
        <v>5000122381</v>
      </c>
      <c r="B8271" s="13" t="inlineStr">
        <is>
          <t>МБОУ "Средняя общеобразовательная школа № 8 г. Пересвета"</t>
        </is>
      </c>
      <c r="C8271" s="13" t="n">
        <v>5042068673</v>
      </c>
      <c r="D8271" s="13" t="inlineStr">
        <is>
          <t>5042068673</t>
        </is>
      </c>
      <c r="E8271" s="13" t="inlineStr">
        <is>
          <t>ЮЛ РФ</t>
        </is>
      </c>
      <c r="F8271" s="13" t="n"/>
      <c r="G8271" s="14" t="n"/>
      <c r="H8271" s="14" t="n"/>
      <c r="I8271" s="14" t="n"/>
      <c r="J8271" s="14" t="n"/>
      <c r="K8271" s="53" t="inlineStr"/>
      <c r="L8271" s="53" t="inlineStr">
        <is>
          <t>Не определено</t>
        </is>
      </c>
      <c r="M8271" s="53" t="inlineStr"/>
      <c r="N8271" s="54" t="inlineStr"/>
      <c r="O8271" s="55" t="inlineStr"/>
      <c r="P8271" s="16" t="inlineStr">
        <is>
          <t>Требует обогащения</t>
        </is>
      </c>
      <c r="Q8271" s="16">
        <f>HYPERLINK("https://pb.nalog.ru/search.html?query=5042068673","ФНС: проверить")</f>
        <v/>
      </c>
      <c r="R8271" s="16">
        <f>HYPERLINK("https://checko.ru/search?query=3801001629","Чекко: проверить")</f>
        <v/>
      </c>
      <c r="S8271" t="n">
        <v>1</v>
      </c>
      <c r="T8271" s="35" t="inlineStr">
        <is>
          <t>4 — Не обогащён</t>
        </is>
      </c>
      <c r="U8271" s="35" t="inlineStr">
        <is>
          <t>Нет ОКВЭД/ССЧР</t>
        </is>
      </c>
      <c r="V8271" s="35" t="inlineStr">
        <is>
          <t>Не определено</t>
        </is>
      </c>
      <c r="W8271" s="35" t="inlineStr"/>
      <c r="X8271" s="35" t="inlineStr"/>
    </row>
    <row r="8272" ht="15" customHeight="1" s="24">
      <c r="A8272" s="13" t="n">
        <v>5000122368</v>
      </c>
      <c r="B8272" s="13" t="inlineStr">
        <is>
          <t>ФИНУПРАВЛЕНИЕ СПГО</t>
        </is>
      </c>
      <c r="C8272" s="13" t="n">
        <v>5042013410</v>
      </c>
      <c r="D8272" s="13" t="inlineStr">
        <is>
          <t>5042013410</t>
        </is>
      </c>
      <c r="E8272" s="13" t="inlineStr">
        <is>
          <t>ЮЛ РФ</t>
        </is>
      </c>
      <c r="F8272" s="13" t="n"/>
      <c r="G8272" s="14" t="n"/>
      <c r="H8272" s="14" t="n"/>
      <c r="I8272" s="14" t="n"/>
      <c r="J8272" s="14" t="n"/>
      <c r="K8272" s="53" t="inlineStr"/>
      <c r="L8272" s="53" t="inlineStr">
        <is>
          <t>Не определено</t>
        </is>
      </c>
      <c r="M8272" s="53" t="inlineStr"/>
      <c r="N8272" s="54" t="inlineStr"/>
      <c r="O8272" s="55" t="inlineStr"/>
      <c r="P8272" s="16" t="inlineStr">
        <is>
          <t>Требует обогащения</t>
        </is>
      </c>
      <c r="Q8272" s="16">
        <f>HYPERLINK("https://pb.nalog.ru/search.html?query=5042013410","ФНС: проверить")</f>
        <v/>
      </c>
      <c r="R8272" s="16">
        <f>HYPERLINK("https://checko.ru/search?query=3801001629","Чекко: проверить")</f>
        <v/>
      </c>
      <c r="S8272" t="n">
        <v>1</v>
      </c>
      <c r="T8272" s="35" t="inlineStr">
        <is>
          <t>4 — Не обогащён</t>
        </is>
      </c>
      <c r="U8272" s="35" t="inlineStr">
        <is>
          <t>Нет ОКВЭД/ССЧР</t>
        </is>
      </c>
      <c r="V8272" s="35" t="inlineStr">
        <is>
          <t>Не определено</t>
        </is>
      </c>
      <c r="W8272" s="35" t="inlineStr"/>
      <c r="X8272" s="35" t="inlineStr"/>
    </row>
    <row r="8273" ht="15" customHeight="1" s="24">
      <c r="A8273" s="13" t="n">
        <v>5000122380</v>
      </c>
      <c r="B8273" s="13" t="inlineStr">
        <is>
          <t>МБУК "Центр Елизаветы Мамонтовой"</t>
        </is>
      </c>
      <c r="C8273" s="13" t="n">
        <v>5042136002</v>
      </c>
      <c r="D8273" s="13" t="inlineStr">
        <is>
          <t>5042136002</t>
        </is>
      </c>
      <c r="E8273" s="13" t="inlineStr">
        <is>
          <t>ЮЛ РФ</t>
        </is>
      </c>
      <c r="F8273" s="13" t="n"/>
      <c r="G8273" s="14" t="n"/>
      <c r="H8273" s="14" t="n"/>
      <c r="I8273" s="14" t="n"/>
      <c r="J8273" s="14" t="n"/>
      <c r="K8273" s="53" t="inlineStr"/>
      <c r="L8273" s="53" t="inlineStr">
        <is>
          <t>Не определено</t>
        </is>
      </c>
      <c r="M8273" s="53" t="inlineStr"/>
      <c r="N8273" s="54" t="inlineStr"/>
      <c r="O8273" s="55" t="inlineStr"/>
      <c r="P8273" s="16" t="inlineStr">
        <is>
          <t>Требует обогащения</t>
        </is>
      </c>
      <c r="Q8273" s="16">
        <f>HYPERLINK("https://pb.nalog.ru/search.html?query=5042136002","ФНС: проверить")</f>
        <v/>
      </c>
      <c r="R8273" s="16">
        <f>HYPERLINK("https://checko.ru/search?query=3801001629","Чекко: проверить")</f>
        <v/>
      </c>
      <c r="S8273" t="n">
        <v>1</v>
      </c>
      <c r="T8273" s="35" t="inlineStr">
        <is>
          <t>4 — Не обогащён</t>
        </is>
      </c>
      <c r="U8273" s="35" t="inlineStr">
        <is>
          <t>Нет ОКВЭД/ССЧР</t>
        </is>
      </c>
      <c r="V8273" s="35" t="inlineStr">
        <is>
          <t>Не определено</t>
        </is>
      </c>
      <c r="W8273" s="35" t="inlineStr"/>
      <c r="X8273" s="35" t="inlineStr"/>
    </row>
    <row r="8274" ht="15" customHeight="1" s="24">
      <c r="A8274" s="13" t="n">
        <v>5000122343</v>
      </c>
      <c r="B8274" s="13" t="inlineStr">
        <is>
          <t>МБУ "ФСК "МЕТЕОР"</t>
        </is>
      </c>
      <c r="C8274" s="13" t="n">
        <v>5042073793</v>
      </c>
      <c r="D8274" s="13" t="inlineStr">
        <is>
          <t>5042073793</t>
        </is>
      </c>
      <c r="E8274" s="13" t="inlineStr">
        <is>
          <t>ЮЛ РФ</t>
        </is>
      </c>
      <c r="F8274" s="13" t="n"/>
      <c r="G8274" s="14" t="n"/>
      <c r="H8274" s="14" t="n"/>
      <c r="I8274" s="14" t="n"/>
      <c r="J8274" s="14" t="n"/>
      <c r="K8274" s="53" t="inlineStr"/>
      <c r="L8274" s="53" t="inlineStr">
        <is>
          <t>Не определено</t>
        </is>
      </c>
      <c r="M8274" s="53" t="inlineStr"/>
      <c r="N8274" s="54" t="inlineStr"/>
      <c r="O8274" s="55" t="inlineStr"/>
      <c r="P8274" s="16" t="inlineStr">
        <is>
          <t>Требует обогащения</t>
        </is>
      </c>
      <c r="Q8274" s="16">
        <f>HYPERLINK("https://pb.nalog.ru/search.html?query=5042073793","ФНС: проверить")</f>
        <v/>
      </c>
      <c r="R8274" s="16">
        <f>HYPERLINK("https://checko.ru/search?query=3801001629","Чекко: проверить")</f>
        <v/>
      </c>
      <c r="S8274" t="n">
        <v>1</v>
      </c>
      <c r="T8274" s="35" t="inlineStr">
        <is>
          <t>4 — Не обогащён</t>
        </is>
      </c>
      <c r="U8274" s="35" t="inlineStr">
        <is>
          <t>Нет ОКВЭД/ССЧР</t>
        </is>
      </c>
      <c r="V8274" s="35" t="inlineStr">
        <is>
          <t>Не определено</t>
        </is>
      </c>
      <c r="W8274" s="35" t="inlineStr"/>
      <c r="X8274" s="35" t="inlineStr"/>
    </row>
    <row r="8275" ht="15" customHeight="1" s="24">
      <c r="A8275" s="13" t="n">
        <v>5000122348</v>
      </c>
      <c r="B8275" s="13" t="inlineStr">
        <is>
          <t>МБУ "ФОК "ОРБИТА"</t>
        </is>
      </c>
      <c r="C8275" s="13" t="n">
        <v>5042072976</v>
      </c>
      <c r="D8275" s="13" t="inlineStr">
        <is>
          <t>5042072976</t>
        </is>
      </c>
      <c r="E8275" s="13" t="inlineStr">
        <is>
          <t>ЮЛ РФ</t>
        </is>
      </c>
      <c r="F8275" s="13" t="n"/>
      <c r="G8275" s="14" t="n"/>
      <c r="H8275" s="14" t="n"/>
      <c r="I8275" s="14" t="n"/>
      <c r="J8275" s="14" t="n"/>
      <c r="K8275" s="53" t="inlineStr"/>
      <c r="L8275" s="53" t="inlineStr">
        <is>
          <t>Не определено</t>
        </is>
      </c>
      <c r="M8275" s="53" t="inlineStr"/>
      <c r="N8275" s="54" t="inlineStr"/>
      <c r="O8275" s="55" t="inlineStr"/>
      <c r="P8275" s="16" t="inlineStr">
        <is>
          <t>Требует обогащения</t>
        </is>
      </c>
      <c r="Q8275" s="16">
        <f>HYPERLINK("https://pb.nalog.ru/search.html?query=5042072976","ФНС: проверить")</f>
        <v/>
      </c>
      <c r="R8275" s="16">
        <f>HYPERLINK("https://checko.ru/search?query=3801001629","Чекко: проверить")</f>
        <v/>
      </c>
      <c r="S8275" t="n">
        <v>1</v>
      </c>
      <c r="T8275" s="35" t="inlineStr">
        <is>
          <t>4 — Не обогащён</t>
        </is>
      </c>
      <c r="U8275" s="35" t="inlineStr">
        <is>
          <t>Нет ОКВЭД/ССЧР</t>
        </is>
      </c>
      <c r="V8275" s="35" t="inlineStr">
        <is>
          <t>Не определено</t>
        </is>
      </c>
      <c r="W8275" s="35" t="inlineStr"/>
      <c r="X8275" s="35" t="inlineStr"/>
    </row>
    <row r="8276" ht="15" customHeight="1" s="24">
      <c r="A8276" s="13" t="n">
        <v>5000122355</v>
      </c>
      <c r="B8276" s="13" t="inlineStr">
        <is>
          <t>МКУ "ХЭЦ"</t>
        </is>
      </c>
      <c r="C8276" s="13" t="n">
        <v>5042107918</v>
      </c>
      <c r="D8276" s="13" t="inlineStr">
        <is>
          <t>5042107918</t>
        </is>
      </c>
      <c r="E8276" s="13" t="inlineStr">
        <is>
          <t>ЮЛ РФ</t>
        </is>
      </c>
      <c r="F8276" s="13" t="n"/>
      <c r="G8276" s="14" t="n"/>
      <c r="H8276" s="14" t="n"/>
      <c r="I8276" s="14" t="n"/>
      <c r="J8276" s="14" t="n"/>
      <c r="K8276" s="53" t="inlineStr"/>
      <c r="L8276" s="53" t="inlineStr">
        <is>
          <t>Не определено</t>
        </is>
      </c>
      <c r="M8276" s="53" t="inlineStr"/>
      <c r="N8276" s="54" t="inlineStr"/>
      <c r="O8276" s="55" t="inlineStr"/>
      <c r="P8276" s="16" t="inlineStr">
        <is>
          <t>Требует обогащения</t>
        </is>
      </c>
      <c r="Q8276" s="16">
        <f>HYPERLINK("https://pb.nalog.ru/search.html?query=5042107918","ФНС: проверить")</f>
        <v/>
      </c>
      <c r="R8276" s="16">
        <f>HYPERLINK("https://checko.ru/search?query=3801001629","Чекко: проверить")</f>
        <v/>
      </c>
      <c r="S8276" t="n">
        <v>1</v>
      </c>
      <c r="T8276" s="35" t="inlineStr">
        <is>
          <t>4 — Не обогащён</t>
        </is>
      </c>
      <c r="U8276" s="35" t="inlineStr">
        <is>
          <t>Нет ОКВЭД/ССЧР</t>
        </is>
      </c>
      <c r="V8276" s="35" t="inlineStr">
        <is>
          <t>Не определено</t>
        </is>
      </c>
      <c r="W8276" s="35" t="inlineStr"/>
      <c r="X8276" s="35" t="inlineStr"/>
    </row>
    <row r="8277" ht="54.75" customHeight="1" s="24">
      <c r="A8277" s="13" t="n">
        <v>5000122360</v>
      </c>
      <c r="B8277" s="13" t="inlineStr">
        <is>
          <t>МБОУ "ОСНОВНАЯ ОБЩЕОБРАЗОВАТЕЛЬНАЯ ШКОЛА №7, ОСУЩЕСТВЛЯЮЩАЯ ДЕЯТЕЛЬНОСТЬ ПО АДАПТИРОВАННЫМ ОСНОВНЫМ ОБРАЗОВАТЕЛЬНЫМ ПРОГРАММАМ"</t>
        </is>
      </c>
      <c r="C8277" s="13" t="n">
        <v>5042068401</v>
      </c>
      <c r="D8277" s="13" t="inlineStr">
        <is>
          <t>5042068401</t>
        </is>
      </c>
      <c r="E8277" s="13" t="inlineStr">
        <is>
          <t>ЮЛ РФ</t>
        </is>
      </c>
      <c r="F8277" s="13" t="n"/>
      <c r="G8277" s="14" t="n"/>
      <c r="H8277" s="14" t="n"/>
      <c r="I8277" s="14" t="n"/>
      <c r="J8277" s="14" t="n"/>
      <c r="K8277" s="53" t="inlineStr"/>
      <c r="L8277" s="53" t="inlineStr">
        <is>
          <t>Не определено</t>
        </is>
      </c>
      <c r="M8277" s="53" t="inlineStr"/>
      <c r="N8277" s="54" t="inlineStr"/>
      <c r="O8277" s="55" t="inlineStr"/>
      <c r="P8277" s="16" t="inlineStr">
        <is>
          <t>Требует обогащения</t>
        </is>
      </c>
      <c r="Q8277" s="16">
        <f>HYPERLINK("https://pb.nalog.ru/search.html?query=5042068401","ФНС: проверить")</f>
        <v/>
      </c>
      <c r="R8277" s="16">
        <f>HYPERLINK("https://checko.ru/search?query=3801001629","Чекко: проверить")</f>
        <v/>
      </c>
      <c r="S8277" t="n">
        <v>1</v>
      </c>
      <c r="T8277" s="35" t="inlineStr">
        <is>
          <t>4 — Не обогащён</t>
        </is>
      </c>
      <c r="U8277" s="35" t="inlineStr">
        <is>
          <t>Нет ОКВЭД/ССЧР</t>
        </is>
      </c>
      <c r="V8277" s="35" t="inlineStr">
        <is>
          <t>Не определено</t>
        </is>
      </c>
      <c r="W8277" s="35" t="inlineStr"/>
      <c r="X8277" s="35" t="inlineStr"/>
    </row>
    <row r="8278" ht="15" customHeight="1" s="24">
      <c r="A8278" s="13" t="n">
        <v>5000122361</v>
      </c>
      <c r="B8278" s="13" t="inlineStr">
        <is>
          <t>МБУ ДО ДТДМ "ИСТОКИ"</t>
        </is>
      </c>
      <c r="C8278" s="13" t="n">
        <v>5042070030</v>
      </c>
      <c r="D8278" s="13" t="inlineStr">
        <is>
          <t>5042070030</t>
        </is>
      </c>
      <c r="E8278" s="13" t="inlineStr">
        <is>
          <t>ЮЛ РФ</t>
        </is>
      </c>
      <c r="F8278" s="13" t="n"/>
      <c r="G8278" s="14" t="n"/>
      <c r="H8278" s="14" t="n"/>
      <c r="I8278" s="14" t="n"/>
      <c r="J8278" s="14" t="n"/>
      <c r="K8278" s="53" t="inlineStr"/>
      <c r="L8278" s="53" t="inlineStr">
        <is>
          <t>Не определено</t>
        </is>
      </c>
      <c r="M8278" s="53" t="inlineStr"/>
      <c r="N8278" s="54" t="inlineStr"/>
      <c r="O8278" s="55" t="inlineStr"/>
      <c r="P8278" s="16" t="inlineStr">
        <is>
          <t>Требует обогащения</t>
        </is>
      </c>
      <c r="Q8278" s="16">
        <f>HYPERLINK("https://pb.nalog.ru/search.html?query=5042070030","ФНС: проверить")</f>
        <v/>
      </c>
      <c r="R8278" s="16">
        <f>HYPERLINK("https://checko.ru/search?query=3801001629","Чекко: проверить")</f>
        <v/>
      </c>
      <c r="S8278" t="n">
        <v>1</v>
      </c>
      <c r="T8278" s="35" t="inlineStr">
        <is>
          <t>4 — Не обогащён</t>
        </is>
      </c>
      <c r="U8278" s="35" t="inlineStr">
        <is>
          <t>Нет ОКВЭД/ССЧР</t>
        </is>
      </c>
      <c r="V8278" s="35" t="inlineStr">
        <is>
          <t>Не определено</t>
        </is>
      </c>
      <c r="W8278" s="35" t="inlineStr"/>
      <c r="X8278" s="35" t="inlineStr"/>
    </row>
    <row r="8279" ht="15" customHeight="1" s="24">
      <c r="A8279" s="13" t="n">
        <v>5000122085</v>
      </c>
      <c r="B8279" s="13" t="inlineStr">
        <is>
          <t>МКУ ГОЩ "КОМИТЕТ ПО ОРГАНИЗАЦИИ ЗАКУПОК"</t>
        </is>
      </c>
      <c r="C8279" s="13" t="n">
        <v>5050115038</v>
      </c>
      <c r="D8279" s="13" t="inlineStr">
        <is>
          <t>5050115038</t>
        </is>
      </c>
      <c r="E8279" s="13" t="inlineStr">
        <is>
          <t>ЮЛ РФ</t>
        </is>
      </c>
      <c r="F8279" s="13" t="n"/>
      <c r="G8279" s="14" t="n"/>
      <c r="H8279" s="14" t="n"/>
      <c r="I8279" s="14" t="n"/>
      <c r="J8279" s="14" t="n"/>
      <c r="K8279" s="53" t="inlineStr"/>
      <c r="L8279" s="53" t="inlineStr">
        <is>
          <t>Не определено</t>
        </is>
      </c>
      <c r="M8279" s="53" t="inlineStr"/>
      <c r="N8279" s="54" t="inlineStr"/>
      <c r="O8279" s="55" t="inlineStr"/>
      <c r="P8279" s="16" t="inlineStr">
        <is>
          <t>Требует обогащения</t>
        </is>
      </c>
      <c r="Q8279" s="16">
        <f>HYPERLINK("https://pb.nalog.ru/search.html?query=5050115038","ФНС: проверить")</f>
        <v/>
      </c>
      <c r="R8279" s="16">
        <f>HYPERLINK("https://checko.ru/search?query=3801001629","Чекко: проверить")</f>
        <v/>
      </c>
      <c r="S8279" t="n">
        <v>1</v>
      </c>
      <c r="T8279" s="35" t="inlineStr">
        <is>
          <t>4 — Не обогащён</t>
        </is>
      </c>
      <c r="U8279" s="35" t="inlineStr">
        <is>
          <t>Нет ОКВЭД/ССЧР</t>
        </is>
      </c>
      <c r="V8279" s="35" t="inlineStr">
        <is>
          <t>Не определено</t>
        </is>
      </c>
      <c r="W8279" s="35" t="inlineStr"/>
      <c r="X8279" s="35" t="inlineStr"/>
    </row>
    <row r="8280" ht="27.75" customHeight="1" s="24">
      <c r="A8280" s="13" t="n">
        <v>5000122094</v>
      </c>
      <c r="B8280" s="13" t="inlineStr">
        <is>
          <t>КОНТРОЛЬНО-СЧЁТНАЯ ПАЛАТА ГОРОДСКОГО ОКРУГА ЩЁЛКОВО</t>
        </is>
      </c>
      <c r="C8280" s="13" t="n">
        <v>5050072112</v>
      </c>
      <c r="D8280" s="13" t="inlineStr">
        <is>
          <t>5050072112</t>
        </is>
      </c>
      <c r="E8280" s="13" t="inlineStr">
        <is>
          <t>ЮЛ РФ</t>
        </is>
      </c>
      <c r="F8280" s="13" t="n"/>
      <c r="G8280" s="14" t="n"/>
      <c r="H8280" s="14" t="n"/>
      <c r="I8280" s="14" t="n"/>
      <c r="J8280" s="14" t="n"/>
      <c r="K8280" s="53" t="inlineStr"/>
      <c r="L8280" s="53" t="inlineStr">
        <is>
          <t>Не определено</t>
        </is>
      </c>
      <c r="M8280" s="53" t="inlineStr"/>
      <c r="N8280" s="54" t="inlineStr"/>
      <c r="O8280" s="55" t="inlineStr"/>
      <c r="P8280" s="16" t="inlineStr">
        <is>
          <t>Требует обогащения</t>
        </is>
      </c>
      <c r="Q8280" s="16">
        <f>HYPERLINK("https://pb.nalog.ru/search.html?query=5050072112","ФНС: проверить")</f>
        <v/>
      </c>
      <c r="R8280" s="16">
        <f>HYPERLINK("https://checko.ru/search?query=3801001629","Чекко: проверить")</f>
        <v/>
      </c>
      <c r="S8280" t="n">
        <v>1</v>
      </c>
      <c r="T8280" s="35" t="inlineStr">
        <is>
          <t>4 — Не обогащён</t>
        </is>
      </c>
      <c r="U8280" s="35" t="inlineStr">
        <is>
          <t>Нет ОКВЭД/ССЧР</t>
        </is>
      </c>
      <c r="V8280" s="35" t="inlineStr">
        <is>
          <t>Не определено</t>
        </is>
      </c>
      <c r="W8280" s="35" t="inlineStr"/>
      <c r="X8280" s="35" t="inlineStr"/>
    </row>
    <row r="8281" ht="15" customHeight="1" s="24">
      <c r="A8281" s="13" t="n">
        <v>5000122080</v>
      </c>
      <c r="B8281" s="13" t="inlineStr">
        <is>
          <t>МБУДО ФРЯНОВСКАЯ ДШИ ГОЩ</t>
        </is>
      </c>
      <c r="C8281" s="13" t="n">
        <v>5050034981</v>
      </c>
      <c r="D8281" s="13" t="inlineStr">
        <is>
          <t>5050034981</t>
        </is>
      </c>
      <c r="E8281" s="13" t="inlineStr">
        <is>
          <t>ЮЛ РФ</t>
        </is>
      </c>
      <c r="F8281" s="13" t="n"/>
      <c r="G8281" s="14" t="n"/>
      <c r="H8281" s="14" t="n"/>
      <c r="I8281" s="14" t="n"/>
      <c r="J8281" s="14" t="n"/>
      <c r="K8281" s="53" t="inlineStr"/>
      <c r="L8281" s="53" t="inlineStr">
        <is>
          <t>Не определено</t>
        </is>
      </c>
      <c r="M8281" s="53" t="inlineStr"/>
      <c r="N8281" s="54" t="inlineStr"/>
      <c r="O8281" s="55" t="inlineStr"/>
      <c r="P8281" s="16" t="inlineStr">
        <is>
          <t>Требует обогащения</t>
        </is>
      </c>
      <c r="Q8281" s="16">
        <f>HYPERLINK("https://pb.nalog.ru/search.html?query=5050034981","ФНС: проверить")</f>
        <v/>
      </c>
      <c r="R8281" s="16">
        <f>HYPERLINK("https://checko.ru/search?query=3801001629","Чекко: проверить")</f>
        <v/>
      </c>
      <c r="S8281" t="n">
        <v>1</v>
      </c>
      <c r="T8281" s="35" t="inlineStr">
        <is>
          <t>4 — Не обогащён</t>
        </is>
      </c>
      <c r="U8281" s="35" t="inlineStr">
        <is>
          <t>Нет ОКВЭД/ССЧР</t>
        </is>
      </c>
      <c r="V8281" s="35" t="inlineStr">
        <is>
          <t>Не определено</t>
        </is>
      </c>
      <c r="W8281" s="35" t="inlineStr"/>
      <c r="X8281" s="35" t="inlineStr"/>
    </row>
    <row r="8282" ht="15" customHeight="1" s="24">
      <c r="A8282" s="13" t="n">
        <v>5000122054</v>
      </c>
      <c r="B8282" s="13" t="inlineStr">
        <is>
          <t>МБОУ СОШ № 24 ИМ. С.А. КРАСОВСКОГО ГОЩ</t>
        </is>
      </c>
      <c r="C8282" s="13" t="n">
        <v>5050019768</v>
      </c>
      <c r="D8282" s="13" t="inlineStr">
        <is>
          <t>5050019768</t>
        </is>
      </c>
      <c r="E8282" s="13" t="inlineStr">
        <is>
          <t>ЮЛ РФ</t>
        </is>
      </c>
      <c r="F8282" s="13" t="n"/>
      <c r="G8282" s="14" t="n"/>
      <c r="H8282" s="14" t="n"/>
      <c r="I8282" s="14" t="n"/>
      <c r="J8282" s="14" t="n"/>
      <c r="K8282" s="53" t="inlineStr"/>
      <c r="L8282" s="53" t="inlineStr">
        <is>
          <t>Не определено</t>
        </is>
      </c>
      <c r="M8282" s="53" t="inlineStr"/>
      <c r="N8282" s="54" t="inlineStr"/>
      <c r="O8282" s="55" t="inlineStr"/>
      <c r="P8282" s="16" t="inlineStr">
        <is>
          <t>Требует обогащения</t>
        </is>
      </c>
      <c r="Q8282" s="16">
        <f>HYPERLINK("https://pb.nalog.ru/search.html?query=5050019768","ФНС: проверить")</f>
        <v/>
      </c>
      <c r="R8282" s="16">
        <f>HYPERLINK("https://checko.ru/search?query=3801001629","Чекко: проверить")</f>
        <v/>
      </c>
      <c r="S8282" t="n">
        <v>1</v>
      </c>
      <c r="T8282" s="35" t="inlineStr">
        <is>
          <t>4 — Не обогащён</t>
        </is>
      </c>
      <c r="U8282" s="35" t="inlineStr">
        <is>
          <t>Нет ОКВЭД/ССЧР</t>
        </is>
      </c>
      <c r="V8282" s="35" t="inlineStr">
        <is>
          <t>Не определено</t>
        </is>
      </c>
      <c r="W8282" s="35" t="inlineStr"/>
      <c r="X8282" s="35" t="inlineStr"/>
    </row>
    <row r="8283" ht="15" customHeight="1" s="24">
      <c r="A8283" s="13" t="n">
        <v>5000122061</v>
      </c>
      <c r="B8283" s="13" t="inlineStr">
        <is>
          <t>МАОУ СОШ №4 ИМ.П.И.КЛИМУКА ГОЩ</t>
        </is>
      </c>
      <c r="C8283" s="13" t="n">
        <v>5050040706</v>
      </c>
      <c r="D8283" s="13" t="inlineStr">
        <is>
          <t>5050040706</t>
        </is>
      </c>
      <c r="E8283" s="13" t="inlineStr">
        <is>
          <t>ЮЛ РФ</t>
        </is>
      </c>
      <c r="F8283" s="13" t="n"/>
      <c r="G8283" s="14" t="n"/>
      <c r="H8283" s="14" t="n"/>
      <c r="I8283" s="14" t="n"/>
      <c r="J8283" s="14" t="n"/>
      <c r="K8283" s="53" t="inlineStr"/>
      <c r="L8283" s="53" t="inlineStr">
        <is>
          <t>Не определено</t>
        </is>
      </c>
      <c r="M8283" s="53" t="inlineStr"/>
      <c r="N8283" s="54" t="inlineStr"/>
      <c r="O8283" s="55" t="inlineStr"/>
      <c r="P8283" s="16" t="inlineStr">
        <is>
          <t>Требует обогащения</t>
        </is>
      </c>
      <c r="Q8283" s="16">
        <f>HYPERLINK("https://pb.nalog.ru/search.html?query=5050040706","ФНС: проверить")</f>
        <v/>
      </c>
      <c r="R8283" s="16">
        <f>HYPERLINK("https://checko.ru/search?query=3801001629","Чекко: проверить")</f>
        <v/>
      </c>
      <c r="S8283" t="n">
        <v>1</v>
      </c>
      <c r="T8283" s="35" t="inlineStr">
        <is>
          <t>4 — Не обогащён</t>
        </is>
      </c>
      <c r="U8283" s="35" t="inlineStr">
        <is>
          <t>Нет ОКВЭД/ССЧР</t>
        </is>
      </c>
      <c r="V8283" s="35" t="inlineStr">
        <is>
          <t>Не определено</t>
        </is>
      </c>
      <c r="W8283" s="35" t="inlineStr"/>
      <c r="X8283" s="35" t="inlineStr"/>
    </row>
    <row r="8284" ht="41.25" customHeight="1" s="24">
      <c r="A8284" s="13" t="n">
        <v>5000122067</v>
      </c>
      <c r="B8284" s="13" t="inlineStr">
        <is>
          <t>МАОУ МЕДВЕЖЬЕ - ОЗЁРСКАЯ СОШ № 19 ИМ. ГЕРОЯ РОССИЙСКОЙ ФЕДЕРАЦИИ О.Г. ИЛЬИНА ГОЩ</t>
        </is>
      </c>
      <c r="C8284" s="13" t="n">
        <v>5050032092</v>
      </c>
      <c r="D8284" s="13" t="inlineStr">
        <is>
          <t>5050032092</t>
        </is>
      </c>
      <c r="E8284" s="13" t="inlineStr">
        <is>
          <t>ЮЛ РФ</t>
        </is>
      </c>
      <c r="F8284" s="13" t="n"/>
      <c r="G8284" s="14" t="n"/>
      <c r="H8284" s="14" t="n"/>
      <c r="I8284" s="14" t="n"/>
      <c r="J8284" s="14" t="n"/>
      <c r="K8284" s="53" t="inlineStr"/>
      <c r="L8284" s="53" t="inlineStr">
        <is>
          <t>Не определено</t>
        </is>
      </c>
      <c r="M8284" s="53" t="inlineStr"/>
      <c r="N8284" s="54" t="inlineStr"/>
      <c r="O8284" s="55" t="inlineStr"/>
      <c r="P8284" s="16" t="inlineStr">
        <is>
          <t>Требует обогащения</t>
        </is>
      </c>
      <c r="Q8284" s="16">
        <f>HYPERLINK("https://pb.nalog.ru/search.html?query=5050032092","ФНС: проверить")</f>
        <v/>
      </c>
      <c r="R8284" s="16">
        <f>HYPERLINK("https://checko.ru/search?query=3801001629","Чекко: проверить")</f>
        <v/>
      </c>
      <c r="S8284" t="n">
        <v>1</v>
      </c>
      <c r="T8284" s="35" t="inlineStr">
        <is>
          <t>4 — Не обогащён</t>
        </is>
      </c>
      <c r="U8284" s="35" t="inlineStr">
        <is>
          <t>Нет ОКВЭД/ССЧР</t>
        </is>
      </c>
      <c r="V8284" s="35" t="inlineStr">
        <is>
          <t>Не определено</t>
        </is>
      </c>
      <c r="W8284" s="35" t="inlineStr"/>
      <c r="X8284" s="35" t="inlineStr"/>
    </row>
    <row r="8285" ht="27.75" customHeight="1" s="24">
      <c r="A8285" s="13" t="n">
        <v>5000122074</v>
      </c>
      <c r="B8285" s="13" t="inlineStr">
        <is>
          <t>КОМИТЕТ ПО ОБРАЗОВАНИЮ АДМИНИСТРАЦИИ ГОРОДСКОГО ОКРУГА ЩЁЛКОВО</t>
        </is>
      </c>
      <c r="C8285" s="13" t="n">
        <v>5050078474</v>
      </c>
      <c r="D8285" s="13" t="inlineStr">
        <is>
          <t>5050078474</t>
        </is>
      </c>
      <c r="E8285" s="13" t="inlineStr">
        <is>
          <t>ЮЛ РФ</t>
        </is>
      </c>
      <c r="F8285" s="13" t="n"/>
      <c r="G8285" s="14" t="n"/>
      <c r="H8285" s="14" t="n"/>
      <c r="I8285" s="14" t="n"/>
      <c r="J8285" s="14" t="n"/>
      <c r="K8285" s="53" t="inlineStr"/>
      <c r="L8285" s="53" t="inlineStr">
        <is>
          <t>Не определено</t>
        </is>
      </c>
      <c r="M8285" s="53" t="inlineStr"/>
      <c r="N8285" s="54" t="inlineStr"/>
      <c r="O8285" s="55" t="inlineStr"/>
      <c r="P8285" s="16" t="inlineStr">
        <is>
          <t>Требует обогащения</t>
        </is>
      </c>
      <c r="Q8285" s="16">
        <f>HYPERLINK("https://pb.nalog.ru/search.html?query=5050078474","ФНС: проверить")</f>
        <v/>
      </c>
      <c r="R8285" s="16">
        <f>HYPERLINK("https://checko.ru/search?query=3801001629","Чекко: проверить")</f>
        <v/>
      </c>
      <c r="S8285" t="n">
        <v>1</v>
      </c>
      <c r="T8285" s="35" t="inlineStr">
        <is>
          <t>4 — Не обогащён</t>
        </is>
      </c>
      <c r="U8285" s="35" t="inlineStr">
        <is>
          <t>Нет ОКВЭД/ССЧР</t>
        </is>
      </c>
      <c r="V8285" s="35" t="inlineStr">
        <is>
          <t>Не определено</t>
        </is>
      </c>
      <c r="W8285" s="35" t="inlineStr"/>
      <c r="X8285" s="35" t="inlineStr"/>
    </row>
    <row r="8286" ht="27.75" customHeight="1" s="24">
      <c r="A8286" s="13" t="n">
        <v>5000122373</v>
      </c>
      <c r="B8286" s="13" t="inlineStr">
        <is>
          <t>МБУК городского поселения Краснозаводск «Культурно-досуговый центр «Радуга»</t>
        </is>
      </c>
      <c r="C8286" s="13" t="n">
        <v>5042085534</v>
      </c>
      <c r="D8286" s="13" t="inlineStr">
        <is>
          <t>5042085534</t>
        </is>
      </c>
      <c r="E8286" s="13" t="inlineStr">
        <is>
          <t>ЮЛ РФ</t>
        </is>
      </c>
      <c r="F8286" s="13" t="n"/>
      <c r="G8286" s="14" t="n"/>
      <c r="H8286" s="14" t="n"/>
      <c r="I8286" s="14" t="n"/>
      <c r="J8286" s="14" t="n"/>
      <c r="K8286" s="53" t="inlineStr"/>
      <c r="L8286" s="53" t="inlineStr">
        <is>
          <t>Не определено</t>
        </is>
      </c>
      <c r="M8286" s="53" t="inlineStr"/>
      <c r="N8286" s="54" t="inlineStr"/>
      <c r="O8286" s="55" t="inlineStr"/>
      <c r="P8286" s="16" t="inlineStr">
        <is>
          <t>Требует обогащения</t>
        </is>
      </c>
      <c r="Q8286" s="16">
        <f>HYPERLINK("https://pb.nalog.ru/search.html?query=5042085534","ФНС: проверить")</f>
        <v/>
      </c>
      <c r="R8286" s="16">
        <f>HYPERLINK("https://checko.ru/search?query=3801001629","Чекко: проверить")</f>
        <v/>
      </c>
      <c r="S8286" t="n">
        <v>1</v>
      </c>
      <c r="T8286" s="35" t="inlineStr">
        <is>
          <t>4 — Не обогащён</t>
        </is>
      </c>
      <c r="U8286" s="35" t="inlineStr">
        <is>
          <t>Нет ОКВЭД/ССЧР</t>
        </is>
      </c>
      <c r="V8286" s="35" t="inlineStr">
        <is>
          <t>Не определено</t>
        </is>
      </c>
      <c r="W8286" s="35" t="inlineStr"/>
      <c r="X8286" s="35" t="inlineStr"/>
    </row>
    <row r="8287" ht="15" customHeight="1" s="24">
      <c r="A8287" s="13" t="n">
        <v>5000122091</v>
      </c>
      <c r="B8287" s="13" t="inlineStr">
        <is>
          <t>МУ ГПЩ "Служба озеленения и благоустройства"</t>
        </is>
      </c>
      <c r="C8287" s="13" t="n">
        <v>5050084284</v>
      </c>
      <c r="D8287" s="13" t="inlineStr">
        <is>
          <t>5050084284</t>
        </is>
      </c>
      <c r="E8287" s="13" t="inlineStr">
        <is>
          <t>ЮЛ РФ</t>
        </is>
      </c>
      <c r="F8287" s="13" t="n"/>
      <c r="G8287" s="14" t="n"/>
      <c r="H8287" s="14" t="n"/>
      <c r="I8287" s="14" t="n"/>
      <c r="J8287" s="14" t="n"/>
      <c r="K8287" s="53" t="inlineStr"/>
      <c r="L8287" s="53" t="inlineStr">
        <is>
          <t>Не определено</t>
        </is>
      </c>
      <c r="M8287" s="53" t="inlineStr"/>
      <c r="N8287" s="54" t="inlineStr"/>
      <c r="O8287" s="55" t="inlineStr"/>
      <c r="P8287" s="16" t="inlineStr">
        <is>
          <t>Требует обогащения</t>
        </is>
      </c>
      <c r="Q8287" s="16">
        <f>HYPERLINK("https://pb.nalog.ru/search.html?query=5050084284","ФНС: проверить")</f>
        <v/>
      </c>
      <c r="R8287" s="16">
        <f>HYPERLINK("https://checko.ru/search?query=3801001629","Чекко: проверить")</f>
        <v/>
      </c>
      <c r="S8287" t="n">
        <v>1</v>
      </c>
      <c r="T8287" s="35" t="inlineStr">
        <is>
          <t>4 — Не обогащён</t>
        </is>
      </c>
      <c r="U8287" s="35" t="inlineStr">
        <is>
          <t>Нет ОКВЭД/ССЧР</t>
        </is>
      </c>
      <c r="V8287" s="35" t="inlineStr">
        <is>
          <t>Не определено</t>
        </is>
      </c>
      <c r="W8287" s="35" t="inlineStr"/>
      <c r="X8287" s="35" t="inlineStr"/>
    </row>
    <row r="8288" ht="15" customHeight="1" s="24">
      <c r="A8288" s="13" t="n">
        <v>5000122046</v>
      </c>
      <c r="B8288" s="13" t="inlineStr">
        <is>
          <t>МУЩМР РМ "КДЦ Навигатор"</t>
        </is>
      </c>
      <c r="C8288" s="13" t="n">
        <v>5050029886</v>
      </c>
      <c r="D8288" s="13" t="inlineStr">
        <is>
          <t>5050029886</t>
        </is>
      </c>
      <c r="E8288" s="13" t="inlineStr">
        <is>
          <t>ЮЛ РФ</t>
        </is>
      </c>
      <c r="F8288" s="13" t="n"/>
      <c r="G8288" s="14" t="n"/>
      <c r="H8288" s="14" t="n"/>
      <c r="I8288" s="14" t="n"/>
      <c r="J8288" s="14" t="n"/>
      <c r="K8288" s="53" t="inlineStr"/>
      <c r="L8288" s="53" t="inlineStr">
        <is>
          <t>Не определено</t>
        </is>
      </c>
      <c r="M8288" s="53" t="inlineStr"/>
      <c r="N8288" s="54" t="inlineStr"/>
      <c r="O8288" s="55" t="inlineStr"/>
      <c r="P8288" s="16" t="inlineStr">
        <is>
          <t>Требует обогащения</t>
        </is>
      </c>
      <c r="Q8288" s="16">
        <f>HYPERLINK("https://pb.nalog.ru/search.html?query=5050029886","ФНС: проверить")</f>
        <v/>
      </c>
      <c r="R8288" s="16">
        <f>HYPERLINK("https://checko.ru/search?query=3801001629","Чекко: проверить")</f>
        <v/>
      </c>
      <c r="S8288" t="n">
        <v>1</v>
      </c>
      <c r="T8288" s="35" t="inlineStr">
        <is>
          <t>4 — Не обогащён</t>
        </is>
      </c>
      <c r="U8288" s="35" t="inlineStr">
        <is>
          <t>Нет ОКВЭД/ССЧР</t>
        </is>
      </c>
      <c r="V8288" s="35" t="inlineStr">
        <is>
          <t>Не определено</t>
        </is>
      </c>
      <c r="W8288" s="35" t="inlineStr"/>
      <c r="X8288" s="35" t="inlineStr"/>
    </row>
    <row r="8289" ht="27.75" customHeight="1" s="24">
      <c r="A8289" s="13" t="n">
        <v>5000122089</v>
      </c>
      <c r="B8289" s="13" t="inlineStr">
        <is>
          <t>МБУ ЩЁЛКОВСКОГО МУНИЦИПАЛЬНОГО РАЙОНА "РИТУАЛ-СЕРВИС"</t>
        </is>
      </c>
      <c r="C8289" s="13" t="n">
        <v>5050116803</v>
      </c>
      <c r="D8289" s="13" t="inlineStr">
        <is>
          <t>5050116803</t>
        </is>
      </c>
      <c r="E8289" s="13" t="inlineStr">
        <is>
          <t>ЮЛ РФ</t>
        </is>
      </c>
      <c r="F8289" s="13" t="n"/>
      <c r="G8289" s="14" t="n"/>
      <c r="H8289" s="14" t="n"/>
      <c r="I8289" s="14" t="n"/>
      <c r="J8289" s="14" t="n"/>
      <c r="K8289" s="53" t="inlineStr"/>
      <c r="L8289" s="53" t="inlineStr">
        <is>
          <t>Не определено</t>
        </is>
      </c>
      <c r="M8289" s="53" t="inlineStr"/>
      <c r="N8289" s="54" t="inlineStr"/>
      <c r="O8289" s="55" t="inlineStr"/>
      <c r="P8289" s="16" t="inlineStr">
        <is>
          <t>Требует обогащения</t>
        </is>
      </c>
      <c r="Q8289" s="16">
        <f>HYPERLINK("https://pb.nalog.ru/search.html?query=5050116803","ФНС: проверить")</f>
        <v/>
      </c>
      <c r="R8289" s="16">
        <f>HYPERLINK("https://checko.ru/search?query=3801001629","Чекко: проверить")</f>
        <v/>
      </c>
      <c r="S8289" t="n">
        <v>1</v>
      </c>
      <c r="T8289" s="35" t="inlineStr">
        <is>
          <t>4 — Не обогащён</t>
        </is>
      </c>
      <c r="U8289" s="35" t="inlineStr">
        <is>
          <t>Нет ОКВЭД/ССЧР</t>
        </is>
      </c>
      <c r="V8289" s="35" t="inlineStr">
        <is>
          <t>Не определено</t>
        </is>
      </c>
      <c r="W8289" s="35" t="inlineStr"/>
      <c r="X8289" s="35" t="inlineStr"/>
    </row>
    <row r="8290" ht="15" customHeight="1" s="24">
      <c r="A8290" s="13" t="n">
        <v>5000122071</v>
      </c>
      <c r="B8290" s="13" t="inlineStr">
        <is>
          <t>МАОУ Дополнительного образования "Романтик</t>
        </is>
      </c>
      <c r="C8290" s="13" t="n">
        <v>5050029396</v>
      </c>
      <c r="D8290" s="13" t="inlineStr">
        <is>
          <t>5050029396</t>
        </is>
      </c>
      <c r="E8290" s="13" t="inlineStr">
        <is>
          <t>ЮЛ РФ</t>
        </is>
      </c>
      <c r="F8290" s="13" t="n"/>
      <c r="G8290" s="14" t="n"/>
      <c r="H8290" s="14" t="n"/>
      <c r="I8290" s="14" t="n"/>
      <c r="J8290" s="14" t="n"/>
      <c r="K8290" s="53" t="inlineStr"/>
      <c r="L8290" s="53" t="inlineStr">
        <is>
          <t>Не определено</t>
        </is>
      </c>
      <c r="M8290" s="53" t="inlineStr"/>
      <c r="N8290" s="54" t="inlineStr"/>
      <c r="O8290" s="55" t="inlineStr"/>
      <c r="P8290" s="16" t="inlineStr">
        <is>
          <t>Требует обогащения</t>
        </is>
      </c>
      <c r="Q8290" s="16">
        <f>HYPERLINK("https://pb.nalog.ru/search.html?query=5050029396","ФНС: проверить")</f>
        <v/>
      </c>
      <c r="R8290" s="16">
        <f>HYPERLINK("https://checko.ru/search?query=3801001629","Чекко: проверить")</f>
        <v/>
      </c>
      <c r="S8290" t="n">
        <v>1</v>
      </c>
      <c r="T8290" s="35" t="inlineStr">
        <is>
          <t>4 — Не обогащён</t>
        </is>
      </c>
      <c r="U8290" s="35" t="inlineStr">
        <is>
          <t>Нет ОКВЭД/ССЧР</t>
        </is>
      </c>
      <c r="V8290" s="35" t="inlineStr">
        <is>
          <t>Не определено</t>
        </is>
      </c>
      <c r="W8290" s="35" t="inlineStr"/>
      <c r="X8290" s="35" t="inlineStr"/>
    </row>
    <row r="8291" ht="15" customHeight="1" s="24">
      <c r="A8291" s="13" t="n">
        <v>5000122086</v>
      </c>
      <c r="B8291" s="13" t="inlineStr">
        <is>
          <t>МКУ ЩМР «Стройинвест»</t>
        </is>
      </c>
      <c r="C8291" s="13" t="n">
        <v>5050019366</v>
      </c>
      <c r="D8291" s="13" t="inlineStr">
        <is>
          <t>5050019366</t>
        </is>
      </c>
      <c r="E8291" s="13" t="inlineStr">
        <is>
          <t>ЮЛ РФ</t>
        </is>
      </c>
      <c r="F8291" s="13" t="n"/>
      <c r="G8291" s="14" t="n"/>
      <c r="H8291" s="14" t="n"/>
      <c r="I8291" s="14" t="n"/>
      <c r="J8291" s="14" t="n"/>
      <c r="K8291" s="53" t="inlineStr"/>
      <c r="L8291" s="53" t="inlineStr">
        <is>
          <t>Не определено</t>
        </is>
      </c>
      <c r="M8291" s="53" t="inlineStr"/>
      <c r="N8291" s="54" t="inlineStr"/>
      <c r="O8291" s="55" t="inlineStr"/>
      <c r="P8291" s="16" t="inlineStr">
        <is>
          <t>Требует обогащения</t>
        </is>
      </c>
      <c r="Q8291" s="16">
        <f>HYPERLINK("https://pb.nalog.ru/search.html?query=5050019366","ФНС: проверить")</f>
        <v/>
      </c>
      <c r="R8291" s="16">
        <f>HYPERLINK("https://checko.ru/search?query=3801001629","Чекко: проверить")</f>
        <v/>
      </c>
      <c r="S8291" t="n">
        <v>1</v>
      </c>
      <c r="T8291" s="35" t="inlineStr">
        <is>
          <t>4 — Не обогащён</t>
        </is>
      </c>
      <c r="U8291" s="35" t="inlineStr">
        <is>
          <t>Нет ОКВЭД/ССЧР</t>
        </is>
      </c>
      <c r="V8291" s="35" t="inlineStr">
        <is>
          <t>Не определено</t>
        </is>
      </c>
      <c r="W8291" s="35" t="inlineStr"/>
      <c r="X8291" s="35" t="inlineStr"/>
    </row>
    <row r="8292" ht="41.25" customHeight="1" s="24">
      <c r="A8292" s="13" t="n">
        <v>5000122040</v>
      </c>
      <c r="B8292" s="13" t="inlineStr">
        <is>
          <t>Управление по вопросам культуры, физической культуры , спорта и туризма Администрации Щелковского МР</t>
        </is>
      </c>
      <c r="C8292" s="13" t="n">
        <v>5050078481</v>
      </c>
      <c r="D8292" s="13" t="inlineStr">
        <is>
          <t>5050078481</t>
        </is>
      </c>
      <c r="E8292" s="13" t="inlineStr">
        <is>
          <t>ЮЛ РФ</t>
        </is>
      </c>
      <c r="F8292" s="13" t="n"/>
      <c r="G8292" s="14" t="n"/>
      <c r="H8292" s="14" t="n"/>
      <c r="I8292" s="14" t="n"/>
      <c r="J8292" s="14" t="n"/>
      <c r="K8292" s="53" t="inlineStr"/>
      <c r="L8292" s="53" t="inlineStr">
        <is>
          <t>Не определено</t>
        </is>
      </c>
      <c r="M8292" s="53" t="inlineStr"/>
      <c r="N8292" s="54" t="inlineStr"/>
      <c r="O8292" s="55" t="inlineStr"/>
      <c r="P8292" s="16" t="inlineStr">
        <is>
          <t>Требует обогащения</t>
        </is>
      </c>
      <c r="Q8292" s="16">
        <f>HYPERLINK("https://pb.nalog.ru/search.html?query=5050078481","ФНС: проверить")</f>
        <v/>
      </c>
      <c r="R8292" s="16">
        <f>HYPERLINK("https://checko.ru/search?query=3801001629","Чекко: проверить")</f>
        <v/>
      </c>
      <c r="S8292" t="n">
        <v>1</v>
      </c>
      <c r="T8292" s="35" t="inlineStr">
        <is>
          <t>4 — Не обогащён</t>
        </is>
      </c>
      <c r="U8292" s="35" t="inlineStr">
        <is>
          <t>Нет ОКВЭД/ССЧР</t>
        </is>
      </c>
      <c r="V8292" s="35" t="inlineStr">
        <is>
          <t>Не определено</t>
        </is>
      </c>
      <c r="W8292" s="35" t="inlineStr"/>
      <c r="X8292" s="35" t="inlineStr"/>
    </row>
    <row r="8293" ht="41.25" customHeight="1" s="24">
      <c r="A8293" s="13" t="n">
        <v>5000123026</v>
      </c>
      <c r="B8293" s="13" t="inlineStr">
        <is>
          <t>МБОУ КСОШ №1 (КОТЕЛЬНИКОВСКАЯ СРЕДНЯЯ ОБЩЕОБРАЗОВАТЕЛЬНАЯ ШКОЛА №1 ИМЕНИ ГЕРОЯ СОВЕТСКОГО СОЮЗА Л.Д. ЧУРИЛОВА"</t>
        </is>
      </c>
      <c r="C8293" s="13" t="n">
        <v>5027017762</v>
      </c>
      <c r="D8293" s="13" t="inlineStr">
        <is>
          <t>5027017762</t>
        </is>
      </c>
      <c r="E8293" s="13" t="inlineStr">
        <is>
          <t>ЮЛ РФ</t>
        </is>
      </c>
      <c r="F8293" s="13" t="n"/>
      <c r="G8293" s="14" t="n"/>
      <c r="H8293" s="14" t="n"/>
      <c r="I8293" s="14" t="n"/>
      <c r="J8293" s="14" t="n"/>
      <c r="K8293" s="53" t="inlineStr"/>
      <c r="L8293" s="53" t="inlineStr">
        <is>
          <t>Не определено</t>
        </is>
      </c>
      <c r="M8293" s="53" t="inlineStr"/>
      <c r="N8293" s="54" t="inlineStr"/>
      <c r="O8293" s="55" t="inlineStr"/>
      <c r="P8293" s="16" t="inlineStr">
        <is>
          <t>Требует обогащения</t>
        </is>
      </c>
      <c r="Q8293" s="16">
        <f>HYPERLINK("https://pb.nalog.ru/search.html?query=5027017762","ФНС: проверить")</f>
        <v/>
      </c>
      <c r="R8293" s="16">
        <f>HYPERLINK("https://checko.ru/search?query=3801001629","Чекко: проверить")</f>
        <v/>
      </c>
      <c r="S8293" t="n">
        <v>1</v>
      </c>
      <c r="T8293" s="35" t="inlineStr">
        <is>
          <t>4 — Не обогащён</t>
        </is>
      </c>
      <c r="U8293" s="35" t="inlineStr">
        <is>
          <t>Нет ОКВЭД/ССЧР</t>
        </is>
      </c>
      <c r="V8293" s="35" t="inlineStr">
        <is>
          <t>Не определено</t>
        </is>
      </c>
      <c r="W8293" s="35" t="inlineStr"/>
      <c r="X8293" s="35" t="inlineStr"/>
    </row>
    <row r="8294" ht="27.75" customHeight="1" s="24">
      <c r="A8294" s="13" t="n">
        <v>5000042710</v>
      </c>
      <c r="B8294" s="13" t="inlineStr">
        <is>
          <t>МБОУ КСОШ №3 (КОТЕЛЬНИКОВСКАЯ СРЕДНЯЯ ОБЩЕОБРАЗОВАТЕЛЬНАЯ ШКОЛА №3"</t>
        </is>
      </c>
      <c r="C8294" s="13" t="n">
        <v>5027059226</v>
      </c>
      <c r="D8294" s="13" t="inlineStr">
        <is>
          <t>5027059226</t>
        </is>
      </c>
      <c r="E8294" s="13" t="inlineStr">
        <is>
          <t>ЮЛ РФ</t>
        </is>
      </c>
      <c r="F8294" s="13" t="n"/>
      <c r="G8294" s="14" t="n"/>
      <c r="H8294" s="14" t="n"/>
      <c r="I8294" s="14" t="n"/>
      <c r="J8294" s="14" t="n"/>
      <c r="K8294" s="53" t="inlineStr"/>
      <c r="L8294" s="53" t="inlineStr">
        <is>
          <t>Не определено</t>
        </is>
      </c>
      <c r="M8294" s="53" t="inlineStr"/>
      <c r="N8294" s="54" t="inlineStr"/>
      <c r="O8294" s="55" t="inlineStr"/>
      <c r="P8294" s="16" t="inlineStr">
        <is>
          <t>Требует обогащения</t>
        </is>
      </c>
      <c r="Q8294" s="16">
        <f>HYPERLINK("https://pb.nalog.ru/search.html?query=5027059226","ФНС: проверить")</f>
        <v/>
      </c>
      <c r="R8294" s="16">
        <f>HYPERLINK("https://checko.ru/search?query=3801001629","Чекко: проверить")</f>
        <v/>
      </c>
      <c r="S8294" t="n">
        <v>1</v>
      </c>
      <c r="T8294" s="35" t="inlineStr">
        <is>
          <t>4 — Не обогащён</t>
        </is>
      </c>
      <c r="U8294" s="35" t="inlineStr">
        <is>
          <t>Нет ОКВЭД/ССЧР</t>
        </is>
      </c>
      <c r="V8294" s="35" t="inlineStr">
        <is>
          <t>Не определено</t>
        </is>
      </c>
      <c r="W8294" s="35" t="inlineStr"/>
      <c r="X8294" s="35" t="inlineStr"/>
    </row>
    <row r="8295" ht="15" customHeight="1" s="24">
      <c r="A8295" s="13" t="n">
        <v>5000104565</v>
      </c>
      <c r="B8295" s="13" t="inlineStr">
        <is>
          <t>Обособленное подразделение МБУ "СПЕЦТРАНС"</t>
        </is>
      </c>
      <c r="C8295" s="13" t="n">
        <v>5027236309</v>
      </c>
      <c r="D8295" s="13" t="inlineStr">
        <is>
          <t>5027236309</t>
        </is>
      </c>
      <c r="E8295" s="13" t="inlineStr">
        <is>
          <t>ЮЛ РФ</t>
        </is>
      </c>
      <c r="F8295" s="13" t="n"/>
      <c r="G8295" s="14" t="n"/>
      <c r="H8295" s="14" t="n"/>
      <c r="I8295" s="14" t="n"/>
      <c r="J8295" s="14" t="n"/>
      <c r="K8295" s="53" t="inlineStr"/>
      <c r="L8295" s="53" t="inlineStr">
        <is>
          <t>Не определено</t>
        </is>
      </c>
      <c r="M8295" s="53" t="inlineStr"/>
      <c r="N8295" s="54" t="inlineStr"/>
      <c r="O8295" s="55" t="inlineStr"/>
      <c r="P8295" s="16" t="inlineStr">
        <is>
          <t>Требует обогащения</t>
        </is>
      </c>
      <c r="Q8295" s="16">
        <f>HYPERLINK("https://pb.nalog.ru/search.html?query=5027236309","ФНС: проверить")</f>
        <v/>
      </c>
      <c r="R8295" s="16">
        <f>HYPERLINK("https://checko.ru/search?query=3801001629","Чекко: проверить")</f>
        <v/>
      </c>
      <c r="S8295" t="n">
        <v>1</v>
      </c>
      <c r="T8295" s="35" t="inlineStr">
        <is>
          <t>4 — Не обогащён</t>
        </is>
      </c>
      <c r="U8295" s="35" t="inlineStr">
        <is>
          <t>Нет ОКВЭД/ССЧР</t>
        </is>
      </c>
      <c r="V8295" s="35" t="inlineStr">
        <is>
          <t>Не определено</t>
        </is>
      </c>
      <c r="W8295" s="35" t="inlineStr"/>
      <c r="X8295" s="35" t="inlineStr"/>
    </row>
    <row r="8296" ht="68.25" customHeight="1" s="24">
      <c r="A8296" s="13" t="n">
        <v>5000122065</v>
      </c>
      <c r="B8296" s="13" t="inlineStr">
        <is>
          <t>МУНИЦИПАЛЬНОЕ АВТОНОМНОЕ ОБЩЕОБРАЗОВАТЕЛЬНОЕ УЧРЕЖДЕНИЕ СРЕДНЯЯ ОБЩЕОБРАЗОВАТЕЛЬНАЯ ШКОЛА №12 ИМЕНИ В.П. ЧКАЛОВА ЩЁЛКОВСКОГО МУНИЦИПАЛЬНОГО РАЙОНА МОС</t>
        </is>
      </c>
      <c r="C8296" s="13" t="n">
        <v>5050032078</v>
      </c>
      <c r="D8296" s="13" t="inlineStr">
        <is>
          <t>5050032078</t>
        </is>
      </c>
      <c r="E8296" s="13" t="inlineStr">
        <is>
          <t>ЮЛ РФ</t>
        </is>
      </c>
      <c r="F8296" s="13" t="n"/>
      <c r="G8296" s="14" t="n"/>
      <c r="H8296" s="14" t="n"/>
      <c r="I8296" s="14" t="n"/>
      <c r="J8296" s="14" t="n"/>
      <c r="K8296" s="53" t="inlineStr"/>
      <c r="L8296" s="53" t="inlineStr">
        <is>
          <t>Не определено</t>
        </is>
      </c>
      <c r="M8296" s="53" t="inlineStr"/>
      <c r="N8296" s="54" t="inlineStr"/>
      <c r="O8296" s="55" t="inlineStr"/>
      <c r="P8296" s="16" t="inlineStr">
        <is>
          <t>Требует обогащения</t>
        </is>
      </c>
      <c r="Q8296" s="16">
        <f>HYPERLINK("https://pb.nalog.ru/search.html?query=5050032078","ФНС: проверить")</f>
        <v/>
      </c>
      <c r="R8296" s="16">
        <f>HYPERLINK("https://checko.ru/search?query=3801001629","Чекко: проверить")</f>
        <v/>
      </c>
      <c r="S8296" t="n">
        <v>1</v>
      </c>
      <c r="T8296" s="35" t="inlineStr">
        <is>
          <t>4 — Не обогащён</t>
        </is>
      </c>
      <c r="U8296" s="35" t="inlineStr">
        <is>
          <t>Нет ОКВЭД/ССЧР</t>
        </is>
      </c>
      <c r="V8296" s="35" t="inlineStr">
        <is>
          <t>Не определено</t>
        </is>
      </c>
      <c r="W8296" s="35" t="inlineStr"/>
      <c r="X8296" s="35" t="inlineStr"/>
    </row>
    <row r="8297" ht="15" customHeight="1" s="24">
      <c r="A8297" s="13" t="n">
        <v>5000122332</v>
      </c>
      <c r="B8297" s="13" t="inlineStr">
        <is>
          <t>МБУК "ДК "Космос"</t>
        </is>
      </c>
      <c r="C8297" s="13" t="n">
        <v>5042074589</v>
      </c>
      <c r="D8297" s="13" t="inlineStr">
        <is>
          <t>5042074589</t>
        </is>
      </c>
      <c r="E8297" s="13" t="inlineStr">
        <is>
          <t>ЮЛ РФ</t>
        </is>
      </c>
      <c r="F8297" s="13" t="n"/>
      <c r="G8297" s="14" t="n"/>
      <c r="H8297" s="14" t="n"/>
      <c r="I8297" s="14" t="n"/>
      <c r="J8297" s="14" t="n"/>
      <c r="K8297" s="53" t="inlineStr"/>
      <c r="L8297" s="53" t="inlineStr">
        <is>
          <t>Не определено</t>
        </is>
      </c>
      <c r="M8297" s="53" t="inlineStr"/>
      <c r="N8297" s="54" t="inlineStr"/>
      <c r="O8297" s="55" t="inlineStr"/>
      <c r="P8297" s="16" t="inlineStr">
        <is>
          <t>Требует обогащения</t>
        </is>
      </c>
      <c r="Q8297" s="16">
        <f>HYPERLINK("https://pb.nalog.ru/search.html?query=5042074589","ФНС: проверить")</f>
        <v/>
      </c>
      <c r="R8297" s="16">
        <f>HYPERLINK("https://checko.ru/search?query=3801001629","Чекко: проверить")</f>
        <v/>
      </c>
      <c r="S8297" t="n">
        <v>1</v>
      </c>
      <c r="T8297" s="35" t="inlineStr">
        <is>
          <t>4 — Не обогащён</t>
        </is>
      </c>
      <c r="U8297" s="35" t="inlineStr">
        <is>
          <t>Нет ОКВЭД/ССЧР</t>
        </is>
      </c>
      <c r="V8297" s="35" t="inlineStr">
        <is>
          <t>Не определено</t>
        </is>
      </c>
      <c r="W8297" s="35" t="inlineStr"/>
      <c r="X8297" s="35" t="inlineStr"/>
    </row>
    <row r="8298" ht="27.75" customHeight="1" s="24">
      <c r="A8298" s="13" t="n">
        <v>5000123031</v>
      </c>
      <c r="B8298" s="13" t="inlineStr">
        <is>
          <t>Совет депутатов городского округа Котельники Московской области</t>
        </is>
      </c>
      <c r="C8298" s="13" t="n">
        <v>5027023036</v>
      </c>
      <c r="D8298" s="13" t="inlineStr">
        <is>
          <t>5027023036</t>
        </is>
      </c>
      <c r="E8298" s="13" t="inlineStr">
        <is>
          <t>ЮЛ РФ</t>
        </is>
      </c>
      <c r="F8298" s="13" t="n"/>
      <c r="G8298" s="14" t="n"/>
      <c r="H8298" s="14" t="n"/>
      <c r="I8298" s="14" t="n"/>
      <c r="J8298" s="14" t="n"/>
      <c r="K8298" s="53" t="inlineStr"/>
      <c r="L8298" s="53" t="inlineStr">
        <is>
          <t>Не определено</t>
        </is>
      </c>
      <c r="M8298" s="53" t="inlineStr"/>
      <c r="N8298" s="54" t="inlineStr"/>
      <c r="O8298" s="55" t="inlineStr"/>
      <c r="P8298" s="16" t="inlineStr">
        <is>
          <t>Требует обогащения</t>
        </is>
      </c>
      <c r="Q8298" s="16">
        <f>HYPERLINK("https://pb.nalog.ru/search.html?query=5027023036","ФНС: проверить")</f>
        <v/>
      </c>
      <c r="R8298" s="16">
        <f>HYPERLINK("https://checko.ru/search?query=3801001629","Чекко: проверить")</f>
        <v/>
      </c>
      <c r="S8298" t="n">
        <v>1</v>
      </c>
      <c r="T8298" s="35" t="inlineStr">
        <is>
          <t>4 — Не обогащён</t>
        </is>
      </c>
      <c r="U8298" s="35" t="inlineStr">
        <is>
          <t>Нет ОКВЭД/ССЧР</t>
        </is>
      </c>
      <c r="V8298" s="35" t="inlineStr">
        <is>
          <t>Не определено</t>
        </is>
      </c>
      <c r="W8298" s="35" t="inlineStr"/>
      <c r="X8298" s="35" t="inlineStr"/>
    </row>
    <row r="8299" ht="15" customHeight="1" s="24">
      <c r="A8299" s="13" t="n">
        <v>5000122590</v>
      </c>
      <c r="B8299" s="13" t="inlineStr">
        <is>
          <t>АДМИНИСТРАЦИЯ ЕГП</t>
        </is>
      </c>
      <c r="C8299" s="13" t="n">
        <v>4105030360</v>
      </c>
      <c r="D8299" s="13" t="inlineStr">
        <is>
          <t>4105030360</t>
        </is>
      </c>
      <c r="E8299" s="13" t="inlineStr">
        <is>
          <t>ЮЛ РФ</t>
        </is>
      </c>
      <c r="F8299" s="13" t="n"/>
      <c r="G8299" s="14" t="n"/>
      <c r="H8299" s="14" t="n"/>
      <c r="I8299" s="14" t="n"/>
      <c r="J8299" s="14" t="n"/>
      <c r="K8299" s="53" t="inlineStr"/>
      <c r="L8299" s="53" t="inlineStr">
        <is>
          <t>Не определено</t>
        </is>
      </c>
      <c r="M8299" s="53" t="inlineStr"/>
      <c r="N8299" s="54" t="inlineStr"/>
      <c r="O8299" s="55" t="inlineStr"/>
      <c r="P8299" s="16" t="inlineStr">
        <is>
          <t>Требует обогащения</t>
        </is>
      </c>
      <c r="Q8299" s="16">
        <f>HYPERLINK("https://pb.nalog.ru/search.html?query=4105030360","ФНС: проверить")</f>
        <v/>
      </c>
      <c r="R8299" s="16">
        <f>HYPERLINK("https://checko.ru/search?query=3801001629","Чекко: проверить")</f>
        <v/>
      </c>
      <c r="S8299" t="n">
        <v>1</v>
      </c>
      <c r="T8299" s="35" t="inlineStr">
        <is>
          <t>4 — Не обогащён</t>
        </is>
      </c>
      <c r="U8299" s="35" t="inlineStr">
        <is>
          <t>Нет ОКВЭД/ССЧР</t>
        </is>
      </c>
      <c r="V8299" s="35" t="inlineStr">
        <is>
          <t>Не определено</t>
        </is>
      </c>
      <c r="W8299" s="35" t="inlineStr"/>
      <c r="X8299" s="35" t="inlineStr"/>
    </row>
    <row r="8300" ht="15" customHeight="1" s="24">
      <c r="A8300" s="13" t="n">
        <v>5000122644</v>
      </c>
      <c r="B8300" s="13" t="inlineStr">
        <is>
          <t>МБДОУ "Детский сад "Родничок"</t>
        </is>
      </c>
      <c r="C8300" s="13" t="n">
        <v>4104002401</v>
      </c>
      <c r="D8300" s="13" t="inlineStr">
        <is>
          <t>4104002401</t>
        </is>
      </c>
      <c r="E8300" s="13" t="inlineStr">
        <is>
          <t>ЮЛ РФ</t>
        </is>
      </c>
      <c r="F8300" s="13" t="n"/>
      <c r="G8300" s="14" t="n"/>
      <c r="H8300" s="14" t="n"/>
      <c r="I8300" s="14" t="n"/>
      <c r="J8300" s="14" t="n"/>
      <c r="K8300" s="53" t="inlineStr"/>
      <c r="L8300" s="53" t="inlineStr">
        <is>
          <t>Не определено</t>
        </is>
      </c>
      <c r="M8300" s="53" t="inlineStr"/>
      <c r="N8300" s="54" t="inlineStr"/>
      <c r="O8300" s="55" t="inlineStr"/>
      <c r="P8300" s="16" t="inlineStr">
        <is>
          <t>Требует обогащения</t>
        </is>
      </c>
      <c r="Q8300" s="16">
        <f>HYPERLINK("https://pb.nalog.ru/search.html?query=4104002401","ФНС: проверить")</f>
        <v/>
      </c>
      <c r="R8300" s="16">
        <f>HYPERLINK("https://checko.ru/search?query=3801001629","Чекко: проверить")</f>
        <v/>
      </c>
      <c r="S8300" t="n">
        <v>1</v>
      </c>
      <c r="T8300" s="35" t="inlineStr">
        <is>
          <t>4 — Не обогащён</t>
        </is>
      </c>
      <c r="U8300" s="35" t="inlineStr">
        <is>
          <t>Нет ОКВЭД/ССЧР</t>
        </is>
      </c>
      <c r="V8300" s="35" t="inlineStr">
        <is>
          <t>Не определено</t>
        </is>
      </c>
      <c r="W8300" s="35" t="inlineStr"/>
      <c r="X8300" s="35" t="inlineStr"/>
    </row>
    <row r="8301" ht="15" customHeight="1" s="24">
      <c r="A8301" s="13" t="n">
        <v>5000122658</v>
      </c>
      <c r="B8301" s="13" t="inlineStr">
        <is>
          <t>МКДОУ № 2 детский сад "Солнышко"</t>
        </is>
      </c>
      <c r="C8301" s="13" t="n">
        <v>8202009113</v>
      </c>
      <c r="D8301" s="13" t="inlineStr">
        <is>
          <t>8202009113</t>
        </is>
      </c>
      <c r="E8301" s="13" t="inlineStr">
        <is>
          <t>ЮЛ РФ</t>
        </is>
      </c>
      <c r="F8301" s="13" t="n"/>
      <c r="G8301" s="14" t="n"/>
      <c r="H8301" s="14" t="n"/>
      <c r="I8301" s="14" t="n"/>
      <c r="J8301" s="14" t="n"/>
      <c r="K8301" s="53" t="inlineStr"/>
      <c r="L8301" s="53" t="inlineStr">
        <is>
          <t>Не определено</t>
        </is>
      </c>
      <c r="M8301" s="53" t="inlineStr"/>
      <c r="N8301" s="54" t="inlineStr"/>
      <c r="O8301" s="55" t="inlineStr"/>
      <c r="P8301" s="16" t="inlineStr">
        <is>
          <t>Требует обогащения</t>
        </is>
      </c>
      <c r="Q8301" s="16">
        <f>HYPERLINK("https://pb.nalog.ru/search.html?query=8202009113","ФНС: проверить")</f>
        <v/>
      </c>
      <c r="R8301" s="16">
        <f>HYPERLINK("https://checko.ru/search?query=3801001629","Чекко: проверить")</f>
        <v/>
      </c>
      <c r="S8301" t="n">
        <v>1</v>
      </c>
      <c r="T8301" s="35" t="inlineStr">
        <is>
          <t>4 — Не обогащён</t>
        </is>
      </c>
      <c r="U8301" s="35" t="inlineStr">
        <is>
          <t>Нет ОКВЭД/ССЧР</t>
        </is>
      </c>
      <c r="V8301" s="35" t="inlineStr">
        <is>
          <t>Не определено</t>
        </is>
      </c>
      <c r="W8301" s="35" t="inlineStr"/>
      <c r="X8301" s="35" t="inlineStr"/>
    </row>
    <row r="8302" ht="15" customHeight="1" s="24">
      <c r="A8302" s="13" t="n">
        <v>5000122665</v>
      </c>
      <c r="B8302" s="13" t="inlineStr">
        <is>
          <t>Сельское поселение "село Тиличики"</t>
        </is>
      </c>
      <c r="C8302" s="13" t="n">
        <v>8201001249</v>
      </c>
      <c r="D8302" s="13" t="inlineStr">
        <is>
          <t>8201001249</t>
        </is>
      </c>
      <c r="E8302" s="13" t="inlineStr">
        <is>
          <t>ЮЛ РФ</t>
        </is>
      </c>
      <c r="F8302" s="13" t="n"/>
      <c r="G8302" s="14" t="n"/>
      <c r="H8302" s="14" t="n"/>
      <c r="I8302" s="14" t="n"/>
      <c r="J8302" s="14" t="n"/>
      <c r="K8302" s="53" t="inlineStr"/>
      <c r="L8302" s="53" t="inlineStr">
        <is>
          <t>Не определено</t>
        </is>
      </c>
      <c r="M8302" s="53" t="inlineStr"/>
      <c r="N8302" s="54" t="inlineStr"/>
      <c r="O8302" s="55" t="inlineStr"/>
      <c r="P8302" s="16" t="inlineStr">
        <is>
          <t>Требует обогащения</t>
        </is>
      </c>
      <c r="Q8302" s="16">
        <f>HYPERLINK("https://pb.nalog.ru/search.html?query=8201001249","ФНС: проверить")</f>
        <v/>
      </c>
      <c r="R8302" s="16">
        <f>HYPERLINK("https://checko.ru/search?query=3801001629","Чекко: проверить")</f>
        <v/>
      </c>
      <c r="S8302" t="n">
        <v>1</v>
      </c>
      <c r="T8302" s="35" t="inlineStr">
        <is>
          <t>4 — Не обогащён</t>
        </is>
      </c>
      <c r="U8302" s="35" t="inlineStr">
        <is>
          <t>Нет ОКВЭД/ССЧР</t>
        </is>
      </c>
      <c r="V8302" s="35" t="inlineStr">
        <is>
          <t>Не определено</t>
        </is>
      </c>
      <c r="W8302" s="35" t="inlineStr"/>
      <c r="X8302" s="35" t="inlineStr"/>
    </row>
    <row r="8303" ht="41.25" customHeight="1" s="24">
      <c r="A8303" s="13" t="n">
        <v>5000122043</v>
      </c>
      <c r="B8303" s="13" t="inlineStr">
        <is>
          <t>МАУ Щелковского муниципального района Универсальный спортивный комплекс «Подмосковье»</t>
        </is>
      </c>
      <c r="C8303" s="13" t="n">
        <v>5050042213</v>
      </c>
      <c r="D8303" s="13" t="inlineStr">
        <is>
          <t>5050042213</t>
        </is>
      </c>
      <c r="E8303" s="13" t="inlineStr">
        <is>
          <t>ЮЛ РФ</t>
        </is>
      </c>
      <c r="F8303" s="13" t="n"/>
      <c r="G8303" s="14" t="n"/>
      <c r="H8303" s="14" t="n"/>
      <c r="I8303" s="14" t="n"/>
      <c r="J8303" s="14" t="n"/>
      <c r="K8303" s="53" t="inlineStr"/>
      <c r="L8303" s="53" t="inlineStr">
        <is>
          <t>Не определено</t>
        </is>
      </c>
      <c r="M8303" s="53" t="inlineStr"/>
      <c r="N8303" s="54" t="inlineStr"/>
      <c r="O8303" s="55" t="inlineStr"/>
      <c r="P8303" s="16" t="inlineStr">
        <is>
          <t>Требует обогащения</t>
        </is>
      </c>
      <c r="Q8303" s="16">
        <f>HYPERLINK("https://pb.nalog.ru/search.html?query=5050042213","ФНС: проверить")</f>
        <v/>
      </c>
      <c r="R8303" s="16">
        <f>HYPERLINK("https://checko.ru/search?query=3801001629","Чекко: проверить")</f>
        <v/>
      </c>
      <c r="S8303" t="n">
        <v>1</v>
      </c>
      <c r="T8303" s="35" t="inlineStr">
        <is>
          <t>4 — Не обогащён</t>
        </is>
      </c>
      <c r="U8303" s="35" t="inlineStr">
        <is>
          <t>Нет ОКВЭД/ССЧР</t>
        </is>
      </c>
      <c r="V8303" s="35" t="inlineStr">
        <is>
          <t>Не определено</t>
        </is>
      </c>
      <c r="W8303" s="35" t="inlineStr"/>
      <c r="X8303" s="35" t="inlineStr"/>
    </row>
    <row r="8304" ht="15" customHeight="1" s="24">
      <c r="A8304" s="13" t="n">
        <v>5000100856</v>
      </c>
      <c r="B8304" s="13" t="inlineStr">
        <is>
          <t>МБОУ ХОТЬКОВСКАЯ СОШ №1</t>
        </is>
      </c>
      <c r="C8304" s="13" t="n">
        <v>5042068730</v>
      </c>
      <c r="D8304" s="13" t="inlineStr">
        <is>
          <t>5042068730</t>
        </is>
      </c>
      <c r="E8304" s="13" t="inlineStr">
        <is>
          <t>ЮЛ РФ</t>
        </is>
      </c>
      <c r="F8304" s="13" t="n"/>
      <c r="G8304" s="14" t="n"/>
      <c r="H8304" s="14" t="n"/>
      <c r="I8304" s="14" t="n"/>
      <c r="J8304" s="14" t="n"/>
      <c r="K8304" s="53" t="inlineStr"/>
      <c r="L8304" s="53" t="inlineStr">
        <is>
          <t>Не определено</t>
        </is>
      </c>
      <c r="M8304" s="53" t="inlineStr"/>
      <c r="N8304" s="54" t="inlineStr"/>
      <c r="O8304" s="55" t="inlineStr"/>
      <c r="P8304" s="16" t="inlineStr">
        <is>
          <t>Требует обогащения</t>
        </is>
      </c>
      <c r="Q8304" s="16">
        <f>HYPERLINK("https://pb.nalog.ru/search.html?query=5042068730","ФНС: проверить")</f>
        <v/>
      </c>
      <c r="R8304" s="16">
        <f>HYPERLINK("https://checko.ru/search?query=3801001629","Чекко: проверить")</f>
        <v/>
      </c>
      <c r="S8304" t="n">
        <v>1</v>
      </c>
      <c r="T8304" s="35" t="inlineStr">
        <is>
          <t>4 — Не обогащён</t>
        </is>
      </c>
      <c r="U8304" s="35" t="inlineStr">
        <is>
          <t>Нет ОКВЭД/ССЧР</t>
        </is>
      </c>
      <c r="V8304" s="35" t="inlineStr">
        <is>
          <t>Не определено</t>
        </is>
      </c>
      <c r="W8304" s="35" t="inlineStr"/>
      <c r="X8304" s="35" t="inlineStr"/>
    </row>
    <row r="8305" ht="15" customHeight="1" s="24">
      <c r="A8305" s="13" t="n">
        <v>5000122088</v>
      </c>
      <c r="B8305" s="13" t="inlineStr">
        <is>
          <t>МКУ ГОЩ "ЦЕНТР ГЗ"</t>
        </is>
      </c>
      <c r="C8305" s="13" t="n">
        <v>5050102293</v>
      </c>
      <c r="D8305" s="13" t="inlineStr">
        <is>
          <t>5050102293</t>
        </is>
      </c>
      <c r="E8305" s="13" t="inlineStr">
        <is>
          <t>ЮЛ РФ</t>
        </is>
      </c>
      <c r="F8305" s="13" t="n"/>
      <c r="G8305" s="14" t="n"/>
      <c r="H8305" s="14" t="n"/>
      <c r="I8305" s="14" t="n"/>
      <c r="J8305" s="14" t="n"/>
      <c r="K8305" s="53" t="inlineStr"/>
      <c r="L8305" s="53" t="inlineStr">
        <is>
          <t>Не определено</t>
        </is>
      </c>
      <c r="M8305" s="53" t="inlineStr"/>
      <c r="N8305" s="54" t="inlineStr"/>
      <c r="O8305" s="55" t="inlineStr"/>
      <c r="P8305" s="16" t="inlineStr">
        <is>
          <t>Требует обогащения</t>
        </is>
      </c>
      <c r="Q8305" s="16">
        <f>HYPERLINK("https://pb.nalog.ru/search.html?query=5050102293","ФНС: проверить")</f>
        <v/>
      </c>
      <c r="R8305" s="16">
        <f>HYPERLINK("https://checko.ru/search?query=3801001629","Чекко: проверить")</f>
        <v/>
      </c>
      <c r="S8305" t="n">
        <v>1</v>
      </c>
      <c r="T8305" s="35" t="inlineStr">
        <is>
          <t>4 — Не обогащён</t>
        </is>
      </c>
      <c r="U8305" s="35" t="inlineStr">
        <is>
          <t>Нет ОКВЭД/ССЧР</t>
        </is>
      </c>
      <c r="V8305" s="35" t="inlineStr">
        <is>
          <t>Не определено</t>
        </is>
      </c>
      <c r="W8305" s="35" t="inlineStr"/>
      <c r="X8305" s="35" t="inlineStr"/>
    </row>
    <row r="8306" ht="15" customHeight="1" s="24">
      <c r="A8306" s="13" t="n">
        <v>5000122044</v>
      </c>
      <c r="B8306" s="13" t="inlineStr">
        <is>
          <t>Крылья, МБУ ГПМ МОЛОДЕЖНЫЙ ЦЕНТР</t>
        </is>
      </c>
      <c r="C8306" s="13" t="n">
        <v>5050066006</v>
      </c>
      <c r="D8306" s="13" t="inlineStr">
        <is>
          <t>5050066006</t>
        </is>
      </c>
      <c r="E8306" s="13" t="inlineStr">
        <is>
          <t>ЮЛ РФ</t>
        </is>
      </c>
      <c r="F8306" s="13" t="n"/>
      <c r="G8306" s="14" t="n"/>
      <c r="H8306" s="14" t="n"/>
      <c r="I8306" s="14" t="n"/>
      <c r="J8306" s="14" t="n"/>
      <c r="K8306" s="53" t="inlineStr"/>
      <c r="L8306" s="53" t="inlineStr">
        <is>
          <t>Не определено</t>
        </is>
      </c>
      <c r="M8306" s="53" t="inlineStr"/>
      <c r="N8306" s="54" t="inlineStr"/>
      <c r="O8306" s="55" t="inlineStr"/>
      <c r="P8306" s="16" t="inlineStr">
        <is>
          <t>Требует обогащения</t>
        </is>
      </c>
      <c r="Q8306" s="16">
        <f>HYPERLINK("https://pb.nalog.ru/search.html?query=5050066006","ФНС: проверить")</f>
        <v/>
      </c>
      <c r="R8306" s="16">
        <f>HYPERLINK("https://checko.ru/search?query=3801001629","Чекко: проверить")</f>
        <v/>
      </c>
      <c r="S8306" t="n">
        <v>1</v>
      </c>
      <c r="T8306" s="35" t="inlineStr">
        <is>
          <t>4 — Не обогащён</t>
        </is>
      </c>
      <c r="U8306" s="35" t="inlineStr">
        <is>
          <t>Нет ОКВЭД/ССЧР</t>
        </is>
      </c>
      <c r="V8306" s="35" t="inlineStr">
        <is>
          <t>Не определено</t>
        </is>
      </c>
      <c r="W8306" s="35" t="inlineStr"/>
      <c r="X8306" s="35" t="inlineStr"/>
    </row>
    <row r="8307" ht="15" customHeight="1" s="24">
      <c r="A8307" s="13" t="n">
        <v>5000123027</v>
      </c>
      <c r="B8307" s="13" t="inlineStr">
        <is>
          <t>МБОУ ДОД СДЮСШОР "Котельники"</t>
        </is>
      </c>
      <c r="C8307" s="13" t="n">
        <v>5027035970</v>
      </c>
      <c r="D8307" s="13" t="inlineStr">
        <is>
          <t>5027035970</t>
        </is>
      </c>
      <c r="E8307" s="13" t="inlineStr">
        <is>
          <t>ЮЛ РФ</t>
        </is>
      </c>
      <c r="F8307" s="13" t="n"/>
      <c r="G8307" s="14" t="n"/>
      <c r="H8307" s="14" t="n"/>
      <c r="I8307" s="14" t="n"/>
      <c r="J8307" s="14" t="n"/>
      <c r="K8307" s="53" t="inlineStr"/>
      <c r="L8307" s="53" t="inlineStr">
        <is>
          <t>Не определено</t>
        </is>
      </c>
      <c r="M8307" s="53" t="inlineStr"/>
      <c r="N8307" s="54" t="inlineStr"/>
      <c r="O8307" s="55" t="inlineStr"/>
      <c r="P8307" s="16" t="inlineStr">
        <is>
          <t>Требует обогащения</t>
        </is>
      </c>
      <c r="Q8307" s="16">
        <f>HYPERLINK("https://pb.nalog.ru/search.html?query=5027035970","ФНС: проверить")</f>
        <v/>
      </c>
      <c r="R8307" s="16">
        <f>HYPERLINK("https://checko.ru/search?query=3801001629","Чекко: проверить")</f>
        <v/>
      </c>
      <c r="S8307" t="n">
        <v>1</v>
      </c>
      <c r="T8307" s="35" t="inlineStr">
        <is>
          <t>4 — Не обогащён</t>
        </is>
      </c>
      <c r="U8307" s="35" t="inlineStr">
        <is>
          <t>Нет ОКВЭД/ССЧР</t>
        </is>
      </c>
      <c r="V8307" s="35" t="inlineStr">
        <is>
          <t>Не определено</t>
        </is>
      </c>
      <c r="W8307" s="35" t="inlineStr"/>
      <c r="X8307" s="35" t="inlineStr"/>
    </row>
    <row r="8308" ht="27.75" customHeight="1" s="24">
      <c r="A8308" s="13" t="n">
        <v>5000024323</v>
      </c>
      <c r="B8308" s="13" t="inlineStr">
        <is>
          <t>МАУ ЩМР "Щёлковский Районный Культурный Комплекс</t>
        </is>
      </c>
      <c r="C8308" s="13" t="n">
        <v>5050011688</v>
      </c>
      <c r="D8308" s="13" t="inlineStr">
        <is>
          <t>5050011688</t>
        </is>
      </c>
      <c r="E8308" s="13" t="inlineStr">
        <is>
          <t>ЮЛ РФ</t>
        </is>
      </c>
      <c r="F8308" s="13" t="n"/>
      <c r="G8308" s="14" t="n"/>
      <c r="H8308" s="14" t="n"/>
      <c r="I8308" s="14" t="n"/>
      <c r="J8308" s="14" t="n"/>
      <c r="K8308" s="53" t="inlineStr"/>
      <c r="L8308" s="53" t="inlineStr">
        <is>
          <t>Не определено</t>
        </is>
      </c>
      <c r="M8308" s="53" t="inlineStr"/>
      <c r="N8308" s="54" t="inlineStr"/>
      <c r="O8308" s="55" t="inlineStr"/>
      <c r="P8308" s="16" t="inlineStr">
        <is>
          <t>Требует обогащения</t>
        </is>
      </c>
      <c r="Q8308" s="16">
        <f>HYPERLINK("https://pb.nalog.ru/search.html?query=5050011688","ФНС: проверить")</f>
        <v/>
      </c>
      <c r="R8308" s="16">
        <f>HYPERLINK("https://checko.ru/search?query=3801001629","Чекко: проверить")</f>
        <v/>
      </c>
      <c r="S8308" t="n">
        <v>1</v>
      </c>
      <c r="T8308" s="35" t="inlineStr">
        <is>
          <t>4 — Не обогащён</t>
        </is>
      </c>
      <c r="U8308" s="35" t="inlineStr">
        <is>
          <t>Нет ОКВЭД/ССЧР</t>
        </is>
      </c>
      <c r="V8308" s="35" t="inlineStr">
        <is>
          <t>Не определено</t>
        </is>
      </c>
      <c r="W8308" s="35" t="inlineStr"/>
      <c r="X8308" s="35" t="inlineStr"/>
    </row>
    <row r="8309" ht="15" customHeight="1" s="24">
      <c r="A8309" s="13" t="n">
        <v>5000122092</v>
      </c>
      <c r="B8309" s="13" t="inlineStr">
        <is>
          <t>МАУ ГОЩ "МФЦ ГОРОДСКОГО ОКРУГА ЩЁЛКОВО"</t>
        </is>
      </c>
      <c r="C8309" s="13" t="n">
        <v>5050112735</v>
      </c>
      <c r="D8309" s="13" t="inlineStr">
        <is>
          <t>5050112735</t>
        </is>
      </c>
      <c r="E8309" s="13" t="inlineStr">
        <is>
          <t>ЮЛ РФ</t>
        </is>
      </c>
      <c r="F8309" s="13" t="n"/>
      <c r="G8309" s="14" t="n"/>
      <c r="H8309" s="14" t="n"/>
      <c r="I8309" s="14" t="n"/>
      <c r="J8309" s="14" t="n"/>
      <c r="K8309" s="53" t="inlineStr"/>
      <c r="L8309" s="53" t="inlineStr">
        <is>
          <t>Не определено</t>
        </is>
      </c>
      <c r="M8309" s="53" t="inlineStr"/>
      <c r="N8309" s="54" t="inlineStr"/>
      <c r="O8309" s="55" t="inlineStr"/>
      <c r="P8309" s="16" t="inlineStr">
        <is>
          <t>Требует обогащения</t>
        </is>
      </c>
      <c r="Q8309" s="16">
        <f>HYPERLINK("https://pb.nalog.ru/search.html?query=5050112735","ФНС: проверить")</f>
        <v/>
      </c>
      <c r="R8309" s="16">
        <f>HYPERLINK("https://checko.ru/search?query=3801001629","Чекко: проверить")</f>
        <v/>
      </c>
      <c r="S8309" t="n">
        <v>1</v>
      </c>
      <c r="T8309" s="35" t="inlineStr">
        <is>
          <t>4 — Не обогащён</t>
        </is>
      </c>
      <c r="U8309" s="35" t="inlineStr">
        <is>
          <t>Нет ОКВЭД/ССЧР</t>
        </is>
      </c>
      <c r="V8309" s="35" t="inlineStr">
        <is>
          <t>Не определено</t>
        </is>
      </c>
      <c r="W8309" s="35" t="inlineStr"/>
      <c r="X8309" s="35" t="inlineStr"/>
    </row>
    <row r="8310" ht="27.75" customHeight="1" s="24">
      <c r="A8310" s="13" t="n">
        <v>5000024314</v>
      </c>
      <c r="B8310" s="13" t="inlineStr">
        <is>
          <t>Комитет по Культуре и Туризму Администрации городского округа Щёлково</t>
        </is>
      </c>
      <c r="C8310" s="13" t="n">
        <v>5050115422</v>
      </c>
      <c r="D8310" s="13" t="inlineStr">
        <is>
          <t>5050115422</t>
        </is>
      </c>
      <c r="E8310" s="13" t="inlineStr">
        <is>
          <t>ЮЛ РФ</t>
        </is>
      </c>
      <c r="F8310" s="13" t="n"/>
      <c r="G8310" s="14" t="n"/>
      <c r="H8310" s="14" t="n"/>
      <c r="I8310" s="14" t="n"/>
      <c r="J8310" s="14" t="n"/>
      <c r="K8310" s="53" t="inlineStr"/>
      <c r="L8310" s="53" t="inlineStr">
        <is>
          <t>Не определено</t>
        </is>
      </c>
      <c r="M8310" s="53" t="inlineStr"/>
      <c r="N8310" s="54" t="inlineStr"/>
      <c r="O8310" s="55" t="inlineStr"/>
      <c r="P8310" s="16" t="inlineStr">
        <is>
          <t>Требует обогащения</t>
        </is>
      </c>
      <c r="Q8310" s="16">
        <f>HYPERLINK("https://pb.nalog.ru/search.html?query=5050115422","ФНС: проверить")</f>
        <v/>
      </c>
      <c r="R8310" s="16">
        <f>HYPERLINK("https://checko.ru/search?query=3801001629","Чекко: проверить")</f>
        <v/>
      </c>
      <c r="S8310" t="n">
        <v>1</v>
      </c>
      <c r="T8310" s="35" t="inlineStr">
        <is>
          <t>4 — Не обогащён</t>
        </is>
      </c>
      <c r="U8310" s="35" t="inlineStr">
        <is>
          <t>Нет ОКВЭД/ССЧР</t>
        </is>
      </c>
      <c r="V8310" s="35" t="inlineStr">
        <is>
          <t>Не определено</t>
        </is>
      </c>
      <c r="W8310" s="35" t="inlineStr"/>
      <c r="X8310" s="35" t="inlineStr"/>
    </row>
    <row r="8311" ht="15" customHeight="1" s="24">
      <c r="A8311" s="13" t="n">
        <v>5000024316</v>
      </c>
      <c r="B8311" s="13" t="inlineStr">
        <is>
          <t>МБУК ЩМР "МЦРБ"</t>
        </is>
      </c>
      <c r="C8311" s="13" t="n">
        <v>5050023933</v>
      </c>
      <c r="D8311" s="13" t="inlineStr">
        <is>
          <t>5050023933</t>
        </is>
      </c>
      <c r="E8311" s="13" t="inlineStr">
        <is>
          <t>ЮЛ РФ</t>
        </is>
      </c>
      <c r="F8311" s="13" t="n"/>
      <c r="G8311" s="14" t="n"/>
      <c r="H8311" s="14" t="n"/>
      <c r="I8311" s="14" t="n"/>
      <c r="J8311" s="14" t="n"/>
      <c r="K8311" s="53" t="inlineStr"/>
      <c r="L8311" s="53" t="inlineStr">
        <is>
          <t>Не определено</t>
        </is>
      </c>
      <c r="M8311" s="53" t="inlineStr"/>
      <c r="N8311" s="54" t="inlineStr"/>
      <c r="O8311" s="55" t="inlineStr"/>
      <c r="P8311" s="16" t="inlineStr">
        <is>
          <t>Требует обогащения</t>
        </is>
      </c>
      <c r="Q8311" s="16">
        <f>HYPERLINK("https://pb.nalog.ru/search.html?query=5050023933","ФНС: проверить")</f>
        <v/>
      </c>
      <c r="R8311" s="16">
        <f>HYPERLINK("https://checko.ru/search?query=3801001629","Чекко: проверить")</f>
        <v/>
      </c>
      <c r="S8311" t="n">
        <v>1</v>
      </c>
      <c r="T8311" s="35" t="inlineStr">
        <is>
          <t>4 — Не обогащён</t>
        </is>
      </c>
      <c r="U8311" s="35" t="inlineStr">
        <is>
          <t>Нет ОКВЭД/ССЧР</t>
        </is>
      </c>
      <c r="V8311" s="35" t="inlineStr">
        <is>
          <t>Не определено</t>
        </is>
      </c>
      <c r="W8311" s="35" t="inlineStr"/>
      <c r="X8311" s="35" t="inlineStr"/>
    </row>
    <row r="8312" ht="15" customHeight="1" s="24">
      <c r="A8312" s="13" t="n">
        <v>5000024318</v>
      </c>
      <c r="B8312" s="13" t="inlineStr">
        <is>
          <t>МБУК ГПЩ "ЩИКМ"</t>
        </is>
      </c>
      <c r="C8312" s="13" t="n">
        <v>5050030384</v>
      </c>
      <c r="D8312" s="13" t="inlineStr">
        <is>
          <t>5050030384</t>
        </is>
      </c>
      <c r="E8312" s="13" t="inlineStr">
        <is>
          <t>ЮЛ РФ</t>
        </is>
      </c>
      <c r="F8312" s="13" t="n"/>
      <c r="G8312" s="14" t="n"/>
      <c r="H8312" s="14" t="n"/>
      <c r="I8312" s="14" t="n"/>
      <c r="J8312" s="14" t="n"/>
      <c r="K8312" s="53" t="inlineStr"/>
      <c r="L8312" s="53" t="inlineStr">
        <is>
          <t>Не определено</t>
        </is>
      </c>
      <c r="M8312" s="53" t="inlineStr"/>
      <c r="N8312" s="54" t="inlineStr"/>
      <c r="O8312" s="55" t="inlineStr"/>
      <c r="P8312" s="16" t="inlineStr">
        <is>
          <t>Требует обогащения</t>
        </is>
      </c>
      <c r="Q8312" s="16">
        <f>HYPERLINK("https://pb.nalog.ru/search.html?query=5050030384","ФНС: проверить")</f>
        <v/>
      </c>
      <c r="R8312" s="16">
        <f>HYPERLINK("https://checko.ru/search?query=3801001629","Чекко: проверить")</f>
        <v/>
      </c>
      <c r="S8312" t="n">
        <v>1</v>
      </c>
      <c r="T8312" s="35" t="inlineStr">
        <is>
          <t>4 — Не обогащён</t>
        </is>
      </c>
      <c r="U8312" s="35" t="inlineStr">
        <is>
          <t>Нет ОКВЭД/ССЧР</t>
        </is>
      </c>
      <c r="V8312" s="35" t="inlineStr">
        <is>
          <t>Не определено</t>
        </is>
      </c>
      <c r="W8312" s="35" t="inlineStr"/>
      <c r="X8312" s="35" t="inlineStr"/>
    </row>
    <row r="8313" ht="27.75" customHeight="1" s="24">
      <c r="A8313" s="13" t="n">
        <v>5000122369</v>
      </c>
      <c r="B8313" s="13" t="inlineStr">
        <is>
          <t>Контрольно-счетная комиссия Сергиево-Посадского муниципального района</t>
        </is>
      </c>
      <c r="C8313" s="13" t="n">
        <v>5042090982</v>
      </c>
      <c r="D8313" s="13" t="inlineStr">
        <is>
          <t>5042090982</t>
        </is>
      </c>
      <c r="E8313" s="13" t="inlineStr">
        <is>
          <t>ЮЛ РФ</t>
        </is>
      </c>
      <c r="F8313" s="13" t="n"/>
      <c r="G8313" s="14" t="n"/>
      <c r="H8313" s="14" t="n"/>
      <c r="I8313" s="14" t="n"/>
      <c r="J8313" s="14" t="n"/>
      <c r="K8313" s="53" t="inlineStr"/>
      <c r="L8313" s="53" t="inlineStr">
        <is>
          <t>Не определено</t>
        </is>
      </c>
      <c r="M8313" s="53" t="inlineStr"/>
      <c r="N8313" s="54" t="inlineStr"/>
      <c r="O8313" s="55" t="inlineStr"/>
      <c r="P8313" s="16" t="inlineStr">
        <is>
          <t>Требует обогащения</t>
        </is>
      </c>
      <c r="Q8313" s="16">
        <f>HYPERLINK("https://pb.nalog.ru/search.html?query=5042090982","ФНС: проверить")</f>
        <v/>
      </c>
      <c r="R8313" s="16">
        <f>HYPERLINK("https://checko.ru/search?query=3801001629","Чекко: проверить")</f>
        <v/>
      </c>
      <c r="S8313" t="n">
        <v>1</v>
      </c>
      <c r="T8313" s="35" t="inlineStr">
        <is>
          <t>4 — Не обогащён</t>
        </is>
      </c>
      <c r="U8313" s="35" t="inlineStr">
        <is>
          <t>Нет ОКВЭД/ССЧР</t>
        </is>
      </c>
      <c r="V8313" s="35" t="inlineStr">
        <is>
          <t>Не определено</t>
        </is>
      </c>
      <c r="W8313" s="35" t="inlineStr"/>
      <c r="X8313" s="35" t="inlineStr"/>
    </row>
    <row r="8314" ht="27.75" customHeight="1" s="24">
      <c r="A8314" s="13" t="n">
        <v>5000122359</v>
      </c>
      <c r="B8314" s="13" t="inlineStr">
        <is>
          <t>МКУ "Единая дежурно-диспетчерская служба - 112 Сергиево-Посадского муниципального района"</t>
        </is>
      </c>
      <c r="C8314" s="13" t="n">
        <v>5042132640</v>
      </c>
      <c r="D8314" s="13" t="inlineStr">
        <is>
          <t>5042132640</t>
        </is>
      </c>
      <c r="E8314" s="13" t="inlineStr">
        <is>
          <t>ЮЛ РФ</t>
        </is>
      </c>
      <c r="F8314" s="13" t="n"/>
      <c r="G8314" s="14" t="n"/>
      <c r="H8314" s="14" t="n"/>
      <c r="I8314" s="14" t="n"/>
      <c r="J8314" s="14" t="n"/>
      <c r="K8314" s="53" t="inlineStr"/>
      <c r="L8314" s="53" t="inlineStr">
        <is>
          <t>Не определено</t>
        </is>
      </c>
      <c r="M8314" s="53" t="inlineStr"/>
      <c r="N8314" s="54" t="inlineStr"/>
      <c r="O8314" s="55" t="inlineStr"/>
      <c r="P8314" s="16" t="inlineStr">
        <is>
          <t>Требует обогащения</t>
        </is>
      </c>
      <c r="Q8314" s="16">
        <f>HYPERLINK("https://pb.nalog.ru/search.html?query=5042132640","ФНС: проверить")</f>
        <v/>
      </c>
      <c r="R8314" s="16">
        <f>HYPERLINK("https://checko.ru/search?query=3801001629","Чекко: проверить")</f>
        <v/>
      </c>
      <c r="S8314" t="n">
        <v>1</v>
      </c>
      <c r="T8314" s="35" t="inlineStr">
        <is>
          <t>4 — Не обогащён</t>
        </is>
      </c>
      <c r="U8314" s="35" t="inlineStr">
        <is>
          <t>Нет ОКВЭД/ССЧР</t>
        </is>
      </c>
      <c r="V8314" s="35" t="inlineStr">
        <is>
          <t>Не определено</t>
        </is>
      </c>
      <c r="W8314" s="35" t="inlineStr"/>
      <c r="X8314" s="35" t="inlineStr"/>
    </row>
    <row r="8315" ht="54.75" customHeight="1" s="24">
      <c r="A8315" s="13" t="n">
        <v>5000122331</v>
      </c>
      <c r="B8315" s="13" t="inlineStr">
        <is>
          <t>МУНИЦИПАЛЬНОЕ БЮДЖЕТНОЕ УЧРЕЖДЕНИЕ КУЛЬТУРЫ "ДОМ-МУЗЕЙ ПОЭТА В.Ф. БОКОВА" СЕРГИЕВО-ПОСАДСКОГО ГОРОДСКОГО ОКРУГА МОСКОВСКОЙ ОБЛАСТИ</t>
        </is>
      </c>
      <c r="C8315" s="13" t="n">
        <v>5042074596</v>
      </c>
      <c r="D8315" s="13" t="inlineStr">
        <is>
          <t>5042074596</t>
        </is>
      </c>
      <c r="E8315" s="13" t="inlineStr">
        <is>
          <t>ЮЛ РФ</t>
        </is>
      </c>
      <c r="F8315" s="13" t="n"/>
      <c r="G8315" s="14" t="n"/>
      <c r="H8315" s="14" t="n"/>
      <c r="I8315" s="14" t="n"/>
      <c r="J8315" s="14" t="n"/>
      <c r="K8315" s="53" t="inlineStr"/>
      <c r="L8315" s="53" t="inlineStr">
        <is>
          <t>Не определено</t>
        </is>
      </c>
      <c r="M8315" s="53" t="inlineStr"/>
      <c r="N8315" s="54" t="inlineStr"/>
      <c r="O8315" s="55" t="inlineStr"/>
      <c r="P8315" s="16" t="inlineStr">
        <is>
          <t>Требует обогащения</t>
        </is>
      </c>
      <c r="Q8315" s="16">
        <f>HYPERLINK("https://pb.nalog.ru/search.html?query=5042074596","ФНС: проверить")</f>
        <v/>
      </c>
      <c r="R8315" s="16">
        <f>HYPERLINK("https://checko.ru/search?query=3801001629","Чекко: проверить")</f>
        <v/>
      </c>
      <c r="S8315" t="n">
        <v>1</v>
      </c>
      <c r="T8315" s="35" t="inlineStr">
        <is>
          <t>4 — Не обогащён</t>
        </is>
      </c>
      <c r="U8315" s="35" t="inlineStr">
        <is>
          <t>Нет ОКВЭД/ССЧР</t>
        </is>
      </c>
      <c r="V8315" s="35" t="inlineStr">
        <is>
          <t>Не определено</t>
        </is>
      </c>
      <c r="W8315" s="35" t="inlineStr"/>
      <c r="X8315" s="35" t="inlineStr"/>
    </row>
    <row r="8316" ht="41.25" customHeight="1" s="24">
      <c r="A8316" s="13" t="n">
        <v>5000042701</v>
      </c>
      <c r="B8316" s="13" t="inlineStr">
        <is>
          <t>МУНИЦИПАЛЬНОЕ КАЗЕННОЕ УЧРЕЖДЕНИЕ ГОРОДСКОГО ОКРУГА КОТЕЛЬНИКИ МОСКОВСКОЙ ОБЛАСТИ "РАЗВИТИЕ КОТЕЛЬНИКИ"</t>
        </is>
      </c>
      <c r="C8316" s="13" t="n">
        <v>5027222994</v>
      </c>
      <c r="D8316" s="13" t="inlineStr">
        <is>
          <t>5027222994</t>
        </is>
      </c>
      <c r="E8316" s="13" t="inlineStr">
        <is>
          <t>ЮЛ РФ</t>
        </is>
      </c>
      <c r="F8316" s="13" t="n"/>
      <c r="G8316" s="14" t="n"/>
      <c r="H8316" s="14" t="n"/>
      <c r="I8316" s="14" t="n"/>
      <c r="J8316" s="14" t="n"/>
      <c r="K8316" s="53" t="inlineStr"/>
      <c r="L8316" s="53" t="inlineStr">
        <is>
          <t>Не определено</t>
        </is>
      </c>
      <c r="M8316" s="53" t="inlineStr"/>
      <c r="N8316" s="54" t="inlineStr"/>
      <c r="O8316" s="55" t="inlineStr"/>
      <c r="P8316" s="16" t="inlineStr">
        <is>
          <t>Требует обогащения</t>
        </is>
      </c>
      <c r="Q8316" s="16">
        <f>HYPERLINK("https://pb.nalog.ru/search.html?query=5027222994","ФНС: проверить")</f>
        <v/>
      </c>
      <c r="R8316" s="16">
        <f>HYPERLINK("https://checko.ru/search?query=3801001629","Чекко: проверить")</f>
        <v/>
      </c>
      <c r="S8316" t="n">
        <v>1</v>
      </c>
      <c r="T8316" s="35" t="inlineStr">
        <is>
          <t>4 — Не обогащён</t>
        </is>
      </c>
      <c r="U8316" s="35" t="inlineStr">
        <is>
          <t>Нет ОКВЭД/ССЧР</t>
        </is>
      </c>
      <c r="V8316" s="35" t="inlineStr">
        <is>
          <t>Не определено</t>
        </is>
      </c>
      <c r="W8316" s="35" t="inlineStr"/>
      <c r="X8316" s="35" t="inlineStr"/>
    </row>
    <row r="8317" ht="27.75" customHeight="1" s="24">
      <c r="A8317" s="13" t="n">
        <v>5000122095</v>
      </c>
      <c r="B8317" s="13" t="inlineStr">
        <is>
          <t>Финансовое управление Администрации городского округа Щелокво</t>
        </is>
      </c>
      <c r="C8317" s="13" t="n">
        <v>5050079012</v>
      </c>
      <c r="D8317" s="13" t="inlineStr">
        <is>
          <t>5050079012</t>
        </is>
      </c>
      <c r="E8317" s="13" t="inlineStr">
        <is>
          <t>ЮЛ РФ</t>
        </is>
      </c>
      <c r="F8317" s="13" t="n"/>
      <c r="G8317" s="14" t="n"/>
      <c r="H8317" s="14" t="n"/>
      <c r="I8317" s="14" t="n"/>
      <c r="J8317" s="14" t="n"/>
      <c r="K8317" s="53" t="inlineStr"/>
      <c r="L8317" s="53" t="inlineStr">
        <is>
          <t>Не определено</t>
        </is>
      </c>
      <c r="M8317" s="53" t="inlineStr"/>
      <c r="N8317" s="54" t="inlineStr"/>
      <c r="O8317" s="55" t="inlineStr"/>
      <c r="P8317" s="16" t="inlineStr">
        <is>
          <t>Требует обогащения</t>
        </is>
      </c>
      <c r="Q8317" s="16">
        <f>HYPERLINK("https://pb.nalog.ru/search.html?query=5050079012","ФНС: проверить")</f>
        <v/>
      </c>
      <c r="R8317" s="16">
        <f>HYPERLINK("https://checko.ru/search?query=3801001629","Чекко: проверить")</f>
        <v/>
      </c>
      <c r="S8317" t="n">
        <v>1</v>
      </c>
      <c r="T8317" s="35" t="inlineStr">
        <is>
          <t>4 — Не обогащён</t>
        </is>
      </c>
      <c r="U8317" s="35" t="inlineStr">
        <is>
          <t>Нет ОКВЭД/ССЧР</t>
        </is>
      </c>
      <c r="V8317" s="35" t="inlineStr">
        <is>
          <t>Не определено</t>
        </is>
      </c>
      <c r="W8317" s="35" t="inlineStr"/>
      <c r="X8317" s="35" t="inlineStr"/>
    </row>
    <row r="8318" ht="15" customHeight="1" s="24">
      <c r="A8318" s="13" t="n">
        <v>5000122378</v>
      </c>
      <c r="B8318" s="13" t="inlineStr">
        <is>
          <t>МКУК ДК "ГОРИЗОНТ"</t>
        </is>
      </c>
      <c r="C8318" s="13" t="n">
        <v>5042072493</v>
      </c>
      <c r="D8318" s="13" t="inlineStr">
        <is>
          <t>5042072493</t>
        </is>
      </c>
      <c r="E8318" s="13" t="inlineStr">
        <is>
          <t>ЮЛ РФ</t>
        </is>
      </c>
      <c r="F8318" s="13" t="n"/>
      <c r="G8318" s="14" t="n"/>
      <c r="H8318" s="14" t="n"/>
      <c r="I8318" s="14" t="n"/>
      <c r="J8318" s="14" t="n"/>
      <c r="K8318" s="53" t="inlineStr"/>
      <c r="L8318" s="53" t="inlineStr">
        <is>
          <t>Не определено</t>
        </is>
      </c>
      <c r="M8318" s="53" t="inlineStr"/>
      <c r="N8318" s="54" t="inlineStr"/>
      <c r="O8318" s="55" t="inlineStr"/>
      <c r="P8318" s="16" t="inlineStr">
        <is>
          <t>Требует обогащения</t>
        </is>
      </c>
      <c r="Q8318" s="16">
        <f>HYPERLINK("https://pb.nalog.ru/search.html?query=5042072493","ФНС: проверить")</f>
        <v/>
      </c>
      <c r="R8318" s="16">
        <f>HYPERLINK("https://checko.ru/search?query=3801001629","Чекко: проверить")</f>
        <v/>
      </c>
      <c r="S8318" t="n">
        <v>1</v>
      </c>
      <c r="T8318" s="35" t="inlineStr">
        <is>
          <t>4 — Не обогащён</t>
        </is>
      </c>
      <c r="U8318" s="35" t="inlineStr">
        <is>
          <t>Нет ОКВЭД/ССЧР</t>
        </is>
      </c>
      <c r="V8318" s="35" t="inlineStr">
        <is>
          <t>Не определено</t>
        </is>
      </c>
      <c r="W8318" s="35" t="inlineStr"/>
      <c r="X8318" s="35" t="inlineStr"/>
    </row>
    <row r="8319" ht="27.75" customHeight="1" s="24">
      <c r="A8319" s="13" t="n">
        <v>5000122066</v>
      </c>
      <c r="B8319" s="13" t="inlineStr">
        <is>
          <t>МОАУ СОШ № 2 Щелковского муниципального района МО</t>
        </is>
      </c>
      <c r="C8319" s="13" t="n">
        <v>5050032039</v>
      </c>
      <c r="D8319" s="13" t="inlineStr">
        <is>
          <t>5050032039</t>
        </is>
      </c>
      <c r="E8319" s="13" t="inlineStr">
        <is>
          <t>ЮЛ РФ</t>
        </is>
      </c>
      <c r="F8319" s="13" t="n"/>
      <c r="G8319" s="14" t="n"/>
      <c r="H8319" s="14" t="n"/>
      <c r="I8319" s="14" t="n"/>
      <c r="J8319" s="14" t="n"/>
      <c r="K8319" s="53" t="inlineStr"/>
      <c r="L8319" s="53" t="inlineStr">
        <is>
          <t>Не определено</t>
        </is>
      </c>
      <c r="M8319" s="53" t="inlineStr"/>
      <c r="N8319" s="54" t="inlineStr"/>
      <c r="O8319" s="55" t="inlineStr"/>
      <c r="P8319" s="16" t="inlineStr">
        <is>
          <t>Требует обогащения</t>
        </is>
      </c>
      <c r="Q8319" s="16">
        <f>HYPERLINK("https://pb.nalog.ru/search.html?query=5050032039","ФНС: проверить")</f>
        <v/>
      </c>
      <c r="R8319" s="16">
        <f>HYPERLINK("https://checko.ru/search?query=3801001629","Чекко: проверить")</f>
        <v/>
      </c>
      <c r="S8319" t="n">
        <v>1</v>
      </c>
      <c r="T8319" s="35" t="inlineStr">
        <is>
          <t>4 — Не обогащён</t>
        </is>
      </c>
      <c r="U8319" s="35" t="inlineStr">
        <is>
          <t>Нет ОКВЭД/ССЧР</t>
        </is>
      </c>
      <c r="V8319" s="35" t="inlineStr">
        <is>
          <t>Не определено</t>
        </is>
      </c>
      <c r="W8319" s="35" t="inlineStr"/>
      <c r="X8319" s="35" t="inlineStr"/>
    </row>
    <row r="8320" ht="27.75" customHeight="1" s="24">
      <c r="A8320" s="13" t="n">
        <v>5000122635</v>
      </c>
      <c r="B8320" s="13" t="inlineStr">
        <is>
          <t>Администрация Соболевского СП Соболевского муниципального района Камчатского края</t>
        </is>
      </c>
      <c r="C8320" s="13" t="n">
        <v>4107001903</v>
      </c>
      <c r="D8320" s="13" t="inlineStr">
        <is>
          <t>4107001903</t>
        </is>
      </c>
      <c r="E8320" s="13" t="inlineStr">
        <is>
          <t>ЮЛ РФ</t>
        </is>
      </c>
      <c r="F8320" s="13" t="n"/>
      <c r="G8320" s="14" t="n"/>
      <c r="H8320" s="14" t="n"/>
      <c r="I8320" s="14" t="n"/>
      <c r="J8320" s="14" t="n"/>
      <c r="K8320" s="53" t="inlineStr"/>
      <c r="L8320" s="53" t="inlineStr">
        <is>
          <t>Не определено</t>
        </is>
      </c>
      <c r="M8320" s="53" t="inlineStr"/>
      <c r="N8320" s="54" t="inlineStr"/>
      <c r="O8320" s="55" t="inlineStr"/>
      <c r="P8320" s="16" t="inlineStr">
        <is>
          <t>Требует обогащения</t>
        </is>
      </c>
      <c r="Q8320" s="16">
        <f>HYPERLINK("https://pb.nalog.ru/search.html?query=4107001903","ФНС: проверить")</f>
        <v/>
      </c>
      <c r="R8320" s="16">
        <f>HYPERLINK("https://checko.ru/search?query=3801001629","Чекко: проверить")</f>
        <v/>
      </c>
      <c r="S8320" t="n">
        <v>1</v>
      </c>
      <c r="T8320" s="35" t="inlineStr">
        <is>
          <t>4 — Не обогащён</t>
        </is>
      </c>
      <c r="U8320" s="35" t="inlineStr">
        <is>
          <t>Нет ОКВЭД/ССЧР</t>
        </is>
      </c>
      <c r="V8320" s="35" t="inlineStr">
        <is>
          <t>Не определено</t>
        </is>
      </c>
      <c r="W8320" s="35" t="inlineStr"/>
      <c r="X8320" s="35" t="inlineStr"/>
    </row>
    <row r="8321" ht="15" customHeight="1" s="24">
      <c r="A8321" s="13" t="n">
        <v>5000122341</v>
      </c>
      <c r="B8321" s="13" t="inlineStr">
        <is>
          <t>МУДОД ДЮСШ "Центр"</t>
        </is>
      </c>
      <c r="C8321" s="13" t="n">
        <v>5042074028</v>
      </c>
      <c r="D8321" s="13" t="inlineStr">
        <is>
          <t>5042074028</t>
        </is>
      </c>
      <c r="E8321" s="13" t="inlineStr">
        <is>
          <t>ЮЛ РФ</t>
        </is>
      </c>
      <c r="F8321" s="13" t="n"/>
      <c r="G8321" s="14" t="n"/>
      <c r="H8321" s="14" t="n"/>
      <c r="I8321" s="14" t="n"/>
      <c r="J8321" s="14" t="n"/>
      <c r="K8321" s="53" t="inlineStr"/>
      <c r="L8321" s="53" t="inlineStr">
        <is>
          <t>Не определено</t>
        </is>
      </c>
      <c r="M8321" s="53" t="inlineStr"/>
      <c r="N8321" s="54" t="inlineStr"/>
      <c r="O8321" s="55" t="inlineStr"/>
      <c r="P8321" s="16" t="inlineStr">
        <is>
          <t>Требует обогащения</t>
        </is>
      </c>
      <c r="Q8321" s="16">
        <f>HYPERLINK("https://pb.nalog.ru/search.html?query=5042074028","ФНС: проверить")</f>
        <v/>
      </c>
      <c r="R8321" s="16">
        <f>HYPERLINK("https://checko.ru/search?query=3801001629","Чекко: проверить")</f>
        <v/>
      </c>
      <c r="S8321" t="n">
        <v>1</v>
      </c>
      <c r="T8321" s="35" t="inlineStr">
        <is>
          <t>4 — Не обогащён</t>
        </is>
      </c>
      <c r="U8321" s="35" t="inlineStr">
        <is>
          <t>Нет ОКВЭД/ССЧР</t>
        </is>
      </c>
      <c r="V8321" s="35" t="inlineStr">
        <is>
          <t>Не определено</t>
        </is>
      </c>
      <c r="W8321" s="35" t="inlineStr"/>
      <c r="X8321" s="35" t="inlineStr"/>
    </row>
    <row r="8322" ht="41.25" customHeight="1" s="24">
      <c r="A8322" s="13" t="n">
        <v>5000122585</v>
      </c>
      <c r="B8322" s="13" t="inlineStr">
        <is>
          <t>Управление экономического развития Администрации Елизовского МР - муниципальное казенное  учреждение</t>
        </is>
      </c>
      <c r="C8322" s="13" t="n">
        <v>4105031028</v>
      </c>
      <c r="D8322" s="13" t="inlineStr">
        <is>
          <t>4105031028</t>
        </is>
      </c>
      <c r="E8322" s="13" t="inlineStr">
        <is>
          <t>ЮЛ РФ</t>
        </is>
      </c>
      <c r="F8322" s="13" t="n"/>
      <c r="G8322" s="14" t="n"/>
      <c r="H8322" s="14" t="n"/>
      <c r="I8322" s="14" t="n"/>
      <c r="J8322" s="14" t="n"/>
      <c r="K8322" s="53" t="inlineStr"/>
      <c r="L8322" s="53" t="inlineStr">
        <is>
          <t>Не определено</t>
        </is>
      </c>
      <c r="M8322" s="53" t="inlineStr"/>
      <c r="N8322" s="54" t="inlineStr"/>
      <c r="O8322" s="55" t="inlineStr"/>
      <c r="P8322" s="16" t="inlineStr">
        <is>
          <t>Требует обогащения</t>
        </is>
      </c>
      <c r="Q8322" s="16">
        <f>HYPERLINK("https://pb.nalog.ru/search.html?query=4105031028","ФНС: проверить")</f>
        <v/>
      </c>
      <c r="R8322" s="16">
        <f>HYPERLINK("https://checko.ru/search?query=3801001629","Чекко: проверить")</f>
        <v/>
      </c>
      <c r="S8322" t="n">
        <v>1</v>
      </c>
      <c r="T8322" s="35" t="inlineStr">
        <is>
          <t>4 — Не обогащён</t>
        </is>
      </c>
      <c r="U8322" s="35" t="inlineStr">
        <is>
          <t>Нет ОКВЭД/ССЧР</t>
        </is>
      </c>
      <c r="V8322" s="35" t="inlineStr">
        <is>
          <t>Не определено</t>
        </is>
      </c>
      <c r="W8322" s="35" t="inlineStr"/>
      <c r="X8322" s="35" t="inlineStr"/>
    </row>
    <row r="8323" ht="27.75" customHeight="1" s="24">
      <c r="A8323" s="13" t="n">
        <v>5000122624</v>
      </c>
      <c r="B8323" s="13" t="inlineStr">
        <is>
          <t>Администрация Апачинского сельского поселения Усть-Большерецкого муниципального района</t>
        </is>
      </c>
      <c r="C8323" s="13" t="n">
        <v>4108006380</v>
      </c>
      <c r="D8323" s="13" t="inlineStr">
        <is>
          <t>4108006380</t>
        </is>
      </c>
      <c r="E8323" s="13" t="inlineStr">
        <is>
          <t>ЮЛ РФ</t>
        </is>
      </c>
      <c r="F8323" s="13" t="n"/>
      <c r="G8323" s="14" t="n"/>
      <c r="H8323" s="14" t="n"/>
      <c r="I8323" s="14" t="n"/>
      <c r="J8323" s="14" t="n"/>
      <c r="K8323" s="53" t="inlineStr"/>
      <c r="L8323" s="53" t="inlineStr">
        <is>
          <t>Не определено</t>
        </is>
      </c>
      <c r="M8323" s="53" t="inlineStr"/>
      <c r="N8323" s="54" t="inlineStr"/>
      <c r="O8323" s="55" t="inlineStr"/>
      <c r="P8323" s="16" t="inlineStr">
        <is>
          <t>Требует обогащения</t>
        </is>
      </c>
      <c r="Q8323" s="16">
        <f>HYPERLINK("https://pb.nalog.ru/search.html?query=4108006380","ФНС: проверить")</f>
        <v/>
      </c>
      <c r="R8323" s="16">
        <f>HYPERLINK("https://checko.ru/search?query=3801001629","Чекко: проверить")</f>
        <v/>
      </c>
      <c r="S8323" t="n">
        <v>1</v>
      </c>
      <c r="T8323" s="35" t="inlineStr">
        <is>
          <t>4 — Не обогащён</t>
        </is>
      </c>
      <c r="U8323" s="35" t="inlineStr">
        <is>
          <t>Нет ОКВЭД/ССЧР</t>
        </is>
      </c>
      <c r="V8323" s="35" t="inlineStr">
        <is>
          <t>Не определено</t>
        </is>
      </c>
      <c r="W8323" s="35" t="inlineStr"/>
      <c r="X8323" s="35" t="inlineStr"/>
    </row>
    <row r="8324" ht="41.25" customHeight="1" s="24">
      <c r="A8324" s="13" t="n">
        <v>5000051734</v>
      </c>
      <c r="B8324" s="13" t="inlineStr">
        <is>
          <t>Муниципальное бюджетное общеобразовательное учреждение «Средняя общеобразовательная школа № 6 с. Троицкое»</t>
        </is>
      </c>
      <c r="C8324" s="13" t="n">
        <v>6510005381</v>
      </c>
      <c r="D8324" s="13" t="inlineStr">
        <is>
          <t>6510005381</t>
        </is>
      </c>
      <c r="E8324" s="13" t="inlineStr">
        <is>
          <t>ЮЛ РФ</t>
        </is>
      </c>
      <c r="F8324" s="13" t="n"/>
      <c r="G8324" s="14" t="n"/>
      <c r="H8324" s="14" t="n"/>
      <c r="I8324" s="14" t="n"/>
      <c r="J8324" s="14" t="n"/>
      <c r="K8324" s="53" t="inlineStr"/>
      <c r="L8324" s="53" t="inlineStr">
        <is>
          <t>Не определено</t>
        </is>
      </c>
      <c r="M8324" s="53" t="inlineStr"/>
      <c r="N8324" s="54" t="inlineStr"/>
      <c r="O8324" s="55" t="inlineStr"/>
      <c r="P8324" s="16" t="inlineStr">
        <is>
          <t>Требует обогащения</t>
        </is>
      </c>
      <c r="Q8324" s="16">
        <f>HYPERLINK("https://pb.nalog.ru/search.html?query=6510005381","ФНС: проверить")</f>
        <v/>
      </c>
      <c r="R8324" s="16">
        <f>HYPERLINK("https://checko.ru/search?query=3801001629","Чекко: проверить")</f>
        <v/>
      </c>
      <c r="S8324" t="n">
        <v>1</v>
      </c>
      <c r="T8324" s="35" t="inlineStr">
        <is>
          <t>4 — Не обогащён</t>
        </is>
      </c>
      <c r="U8324" s="35" t="inlineStr">
        <is>
          <t>Нет ОКВЭД/ССЧР</t>
        </is>
      </c>
      <c r="V8324" s="35" t="inlineStr">
        <is>
          <t>Не определено</t>
        </is>
      </c>
      <c r="W8324" s="35" t="inlineStr"/>
      <c r="X8324" s="35" t="inlineStr"/>
    </row>
    <row r="8325" ht="15" customHeight="1" s="24">
      <c r="A8325" s="13" t="n">
        <v>5000122900</v>
      </c>
      <c r="B8325" s="13" t="inlineStr">
        <is>
          <t>КОМИТЕТ ОБРАЗОВАНИЯ</t>
        </is>
      </c>
      <c r="C8325" s="13" t="n">
        <v>5018035638</v>
      </c>
      <c r="D8325" s="13" t="inlineStr">
        <is>
          <t>5018035638</t>
        </is>
      </c>
      <c r="E8325" s="13" t="inlineStr">
        <is>
          <t>ЮЛ РФ</t>
        </is>
      </c>
      <c r="F8325" s="13" t="n"/>
      <c r="G8325" s="14" t="n"/>
      <c r="H8325" s="14" t="n"/>
      <c r="I8325" s="14" t="n"/>
      <c r="J8325" s="14" t="n"/>
      <c r="K8325" s="53" t="inlineStr"/>
      <c r="L8325" s="53" t="inlineStr">
        <is>
          <t>Не определено</t>
        </is>
      </c>
      <c r="M8325" s="53" t="inlineStr"/>
      <c r="N8325" s="54" t="inlineStr"/>
      <c r="O8325" s="55" t="inlineStr"/>
      <c r="P8325" s="16" t="inlineStr">
        <is>
          <t>Требует обогащения</t>
        </is>
      </c>
      <c r="Q8325" s="16">
        <f>HYPERLINK("https://pb.nalog.ru/search.html?query=5018035638","ФНС: проверить")</f>
        <v/>
      </c>
      <c r="R8325" s="16">
        <f>HYPERLINK("https://checko.ru/search?query=3801001629","Чекко: проверить")</f>
        <v/>
      </c>
      <c r="S8325" t="n">
        <v>1</v>
      </c>
      <c r="T8325" s="35" t="inlineStr">
        <is>
          <t>4 — Не обогащён</t>
        </is>
      </c>
      <c r="U8325" s="35" t="inlineStr">
        <is>
          <t>Нет ОКВЭД/ССЧР</t>
        </is>
      </c>
      <c r="V8325" s="35" t="inlineStr">
        <is>
          <t>Не определено</t>
        </is>
      </c>
      <c r="W8325" s="35" t="inlineStr"/>
      <c r="X8325" s="35" t="inlineStr"/>
    </row>
    <row r="8326" ht="15" customHeight="1" s="24">
      <c r="A8326" s="13" t="n">
        <v>5000122902</v>
      </c>
      <c r="B8326" s="13" t="inlineStr">
        <is>
          <t>МБОУ СОШ № 2 ИМ. В.Н. МИХАЙЛОВА</t>
        </is>
      </c>
      <c r="C8326" s="13" t="n">
        <v>5018044777</v>
      </c>
      <c r="D8326" s="13" t="inlineStr">
        <is>
          <t>5018044777</t>
        </is>
      </c>
      <c r="E8326" s="13" t="inlineStr">
        <is>
          <t>ЮЛ РФ</t>
        </is>
      </c>
      <c r="F8326" s="13" t="n"/>
      <c r="G8326" s="14" t="n"/>
      <c r="H8326" s="14" t="n"/>
      <c r="I8326" s="14" t="n"/>
      <c r="J8326" s="14" t="n"/>
      <c r="K8326" s="53" t="inlineStr"/>
      <c r="L8326" s="53" t="inlineStr">
        <is>
          <t>Не определено</t>
        </is>
      </c>
      <c r="M8326" s="53" t="inlineStr"/>
      <c r="N8326" s="54" t="inlineStr"/>
      <c r="O8326" s="55" t="inlineStr"/>
      <c r="P8326" s="16" t="inlineStr">
        <is>
          <t>Требует обогащения</t>
        </is>
      </c>
      <c r="Q8326" s="16">
        <f>HYPERLINK("https://pb.nalog.ru/search.html?query=5018044777","ФНС: проверить")</f>
        <v/>
      </c>
      <c r="R8326" s="16">
        <f>HYPERLINK("https://checko.ru/search?query=3801001629","Чекко: проверить")</f>
        <v/>
      </c>
      <c r="S8326" t="n">
        <v>1</v>
      </c>
      <c r="T8326" s="35" t="inlineStr">
        <is>
          <t>4 — Не обогащён</t>
        </is>
      </c>
      <c r="U8326" s="35" t="inlineStr">
        <is>
          <t>Нет ОКВЭД/ССЧР</t>
        </is>
      </c>
      <c r="V8326" s="35" t="inlineStr">
        <is>
          <t>Не определено</t>
        </is>
      </c>
      <c r="W8326" s="35" t="inlineStr"/>
      <c r="X8326" s="35" t="inlineStr"/>
    </row>
    <row r="8327" ht="15" customHeight="1" s="24">
      <c r="A8327" s="13" t="n">
        <v>5000122904</v>
      </c>
      <c r="B8327" s="13" t="inlineStr">
        <is>
          <t>МБОУ СОШ № 3</t>
        </is>
      </c>
      <c r="C8327" s="13" t="n">
        <v>5018045121</v>
      </c>
      <c r="D8327" s="13" t="inlineStr">
        <is>
          <t>5018045121</t>
        </is>
      </c>
      <c r="E8327" s="13" t="inlineStr">
        <is>
          <t>ЮЛ РФ</t>
        </is>
      </c>
      <c r="F8327" s="13" t="n"/>
      <c r="G8327" s="14" t="n"/>
      <c r="H8327" s="14" t="n"/>
      <c r="I8327" s="14" t="n"/>
      <c r="J8327" s="14" t="n"/>
      <c r="K8327" s="53" t="inlineStr"/>
      <c r="L8327" s="53" t="inlineStr">
        <is>
          <t>Не определено</t>
        </is>
      </c>
      <c r="M8327" s="53" t="inlineStr"/>
      <c r="N8327" s="54" t="inlineStr"/>
      <c r="O8327" s="55" t="inlineStr"/>
      <c r="P8327" s="16" t="inlineStr">
        <is>
          <t>Требует обогащения</t>
        </is>
      </c>
      <c r="Q8327" s="16">
        <f>HYPERLINK("https://pb.nalog.ru/search.html?query=5018045121","ФНС: проверить")</f>
        <v/>
      </c>
      <c r="R8327" s="16">
        <f>HYPERLINK("https://checko.ru/search?query=3801001629","Чекко: проверить")</f>
        <v/>
      </c>
      <c r="S8327" t="n">
        <v>1</v>
      </c>
      <c r="T8327" s="35" t="inlineStr">
        <is>
          <t>4 — Не обогащён</t>
        </is>
      </c>
      <c r="U8327" s="35" t="inlineStr">
        <is>
          <t>Нет ОКВЭД/ССЧР</t>
        </is>
      </c>
      <c r="V8327" s="35" t="inlineStr">
        <is>
          <t>Не определено</t>
        </is>
      </c>
      <c r="W8327" s="35" t="inlineStr"/>
      <c r="X8327" s="35" t="inlineStr"/>
    </row>
    <row r="8328" ht="15" customHeight="1" s="24">
      <c r="A8328" s="13" t="n">
        <v>5000122905</v>
      </c>
      <c r="B8328" s="13" t="inlineStr">
        <is>
          <t>МБОУ СОШ № 5</t>
        </is>
      </c>
      <c r="C8328" s="13" t="n">
        <v>5018044784</v>
      </c>
      <c r="D8328" s="13" t="inlineStr">
        <is>
          <t>5018044784</t>
        </is>
      </c>
      <c r="E8328" s="13" t="inlineStr">
        <is>
          <t>ЮЛ РФ</t>
        </is>
      </c>
      <c r="F8328" s="13" t="n"/>
      <c r="G8328" s="14" t="n"/>
      <c r="H8328" s="14" t="n"/>
      <c r="I8328" s="14" t="n"/>
      <c r="J8328" s="14" t="n"/>
      <c r="K8328" s="53" t="inlineStr"/>
      <c r="L8328" s="53" t="inlineStr">
        <is>
          <t>Не определено</t>
        </is>
      </c>
      <c r="M8328" s="53" t="inlineStr"/>
      <c r="N8328" s="54" t="inlineStr"/>
      <c r="O8328" s="55" t="inlineStr"/>
      <c r="P8328" s="16" t="inlineStr">
        <is>
          <t>Требует обогащения</t>
        </is>
      </c>
      <c r="Q8328" s="16">
        <f>HYPERLINK("https://pb.nalog.ru/search.html?query=5018044784","ФНС: проверить")</f>
        <v/>
      </c>
      <c r="R8328" s="16">
        <f>HYPERLINK("https://checko.ru/search?query=3801001629","Чекко: проверить")</f>
        <v/>
      </c>
      <c r="S8328" t="n">
        <v>1</v>
      </c>
      <c r="T8328" s="35" t="inlineStr">
        <is>
          <t>4 — Не обогащён</t>
        </is>
      </c>
      <c r="U8328" s="35" t="inlineStr">
        <is>
          <t>Нет ОКВЭД/ССЧР</t>
        </is>
      </c>
      <c r="V8328" s="35" t="inlineStr">
        <is>
          <t>Не определено</t>
        </is>
      </c>
      <c r="W8328" s="35" t="inlineStr"/>
      <c r="X8328" s="35" t="inlineStr"/>
    </row>
    <row r="8329" ht="15" customHeight="1" s="24">
      <c r="A8329" s="13" t="n">
        <v>5000122907</v>
      </c>
      <c r="B8329" s="13" t="inlineStr">
        <is>
          <t>МБОУ СОШ № 10</t>
        </is>
      </c>
      <c r="C8329" s="13" t="n">
        <v>5018045072</v>
      </c>
      <c r="D8329" s="13" t="inlineStr">
        <is>
          <t>5018045072</t>
        </is>
      </c>
      <c r="E8329" s="13" t="inlineStr">
        <is>
          <t>ЮЛ РФ</t>
        </is>
      </c>
      <c r="F8329" s="13" t="n"/>
      <c r="G8329" s="14" t="n"/>
      <c r="H8329" s="14" t="n"/>
      <c r="I8329" s="14" t="n"/>
      <c r="J8329" s="14" t="n"/>
      <c r="K8329" s="53" t="inlineStr"/>
      <c r="L8329" s="53" t="inlineStr">
        <is>
          <t>Не определено</t>
        </is>
      </c>
      <c r="M8329" s="53" t="inlineStr"/>
      <c r="N8329" s="54" t="inlineStr"/>
      <c r="O8329" s="55" t="inlineStr"/>
      <c r="P8329" s="16" t="inlineStr">
        <is>
          <t>Требует обогащения</t>
        </is>
      </c>
      <c r="Q8329" s="16">
        <f>HYPERLINK("https://pb.nalog.ru/search.html?query=5018045072","ФНС: проверить")</f>
        <v/>
      </c>
      <c r="R8329" s="16">
        <f>HYPERLINK("https://checko.ru/search?query=3801001629","Чекко: проверить")</f>
        <v/>
      </c>
      <c r="S8329" t="n">
        <v>1</v>
      </c>
      <c r="T8329" s="35" t="inlineStr">
        <is>
          <t>4 — Не обогащён</t>
        </is>
      </c>
      <c r="U8329" s="35" t="inlineStr">
        <is>
          <t>Нет ОКВЭД/ССЧР</t>
        </is>
      </c>
      <c r="V8329" s="35" t="inlineStr">
        <is>
          <t>Не определено</t>
        </is>
      </c>
      <c r="W8329" s="35" t="inlineStr"/>
      <c r="X8329" s="35" t="inlineStr"/>
    </row>
    <row r="8330" ht="15" customHeight="1" s="24">
      <c r="A8330" s="13" t="n">
        <v>5000122917</v>
      </c>
      <c r="B8330" s="13" t="inlineStr">
        <is>
          <t>МБОУ "ГИМНАЗИЯ №5"</t>
        </is>
      </c>
      <c r="C8330" s="13" t="n">
        <v>5054009263</v>
      </c>
      <c r="D8330" s="13" t="inlineStr">
        <is>
          <t>5054009263</t>
        </is>
      </c>
      <c r="E8330" s="13" t="inlineStr">
        <is>
          <t>ЮЛ РФ</t>
        </is>
      </c>
      <c r="F8330" s="13" t="n"/>
      <c r="G8330" s="14" t="n"/>
      <c r="H8330" s="14" t="n"/>
      <c r="I8330" s="14" t="n"/>
      <c r="J8330" s="14" t="n"/>
      <c r="K8330" s="53" t="inlineStr"/>
      <c r="L8330" s="53" t="inlineStr">
        <is>
          <t>Не определено</t>
        </is>
      </c>
      <c r="M8330" s="53" t="inlineStr"/>
      <c r="N8330" s="54" t="inlineStr"/>
      <c r="O8330" s="55" t="inlineStr"/>
      <c r="P8330" s="16" t="inlineStr">
        <is>
          <t>Требует обогащения</t>
        </is>
      </c>
      <c r="Q8330" s="16">
        <f>HYPERLINK("https://pb.nalog.ru/search.html?query=5054009263","ФНС: проверить")</f>
        <v/>
      </c>
      <c r="R8330" s="16">
        <f>HYPERLINK("https://checko.ru/search?query=3801001629","Чекко: проверить")</f>
        <v/>
      </c>
      <c r="S8330" t="n">
        <v>1</v>
      </c>
      <c r="T8330" s="35" t="inlineStr">
        <is>
          <t>4 — Не обогащён</t>
        </is>
      </c>
      <c r="U8330" s="35" t="inlineStr">
        <is>
          <t>Нет ОКВЭД/ССЧР</t>
        </is>
      </c>
      <c r="V8330" s="35" t="inlineStr">
        <is>
          <t>Не определено</t>
        </is>
      </c>
      <c r="W8330" s="35" t="inlineStr"/>
      <c r="X8330" s="35" t="inlineStr"/>
    </row>
    <row r="8331" ht="15" customHeight="1" s="24">
      <c r="A8331" s="13" t="n">
        <v>5000122926</v>
      </c>
      <c r="B8331" s="13" t="inlineStr">
        <is>
          <t>МБУДО ЦРТДИЮ</t>
        </is>
      </c>
      <c r="C8331" s="13" t="n">
        <v>5018045280</v>
      </c>
      <c r="D8331" s="13" t="inlineStr">
        <is>
          <t>5018045280</t>
        </is>
      </c>
      <c r="E8331" s="13" t="inlineStr">
        <is>
          <t>ЮЛ РФ</t>
        </is>
      </c>
      <c r="F8331" s="13" t="n"/>
      <c r="G8331" s="14" t="n"/>
      <c r="H8331" s="14" t="n"/>
      <c r="I8331" s="14" t="n"/>
      <c r="J8331" s="14" t="n"/>
      <c r="K8331" s="53" t="inlineStr"/>
      <c r="L8331" s="53" t="inlineStr">
        <is>
          <t>Не определено</t>
        </is>
      </c>
      <c r="M8331" s="53" t="inlineStr"/>
      <c r="N8331" s="54" t="inlineStr"/>
      <c r="O8331" s="55" t="inlineStr"/>
      <c r="P8331" s="16" t="inlineStr">
        <is>
          <t>Требует обогащения</t>
        </is>
      </c>
      <c r="Q8331" s="16">
        <f>HYPERLINK("https://pb.nalog.ru/search.html?query=5018045280","ФНС: проверить")</f>
        <v/>
      </c>
      <c r="R8331" s="16">
        <f>HYPERLINK("https://checko.ru/search?query=3801001629","Чекко: проверить")</f>
        <v/>
      </c>
      <c r="S8331" t="n">
        <v>1</v>
      </c>
      <c r="T8331" s="35" t="inlineStr">
        <is>
          <t>4 — Не обогащён</t>
        </is>
      </c>
      <c r="U8331" s="35" t="inlineStr">
        <is>
          <t>Нет ОКВЭД/ССЧР</t>
        </is>
      </c>
      <c r="V8331" s="35" t="inlineStr">
        <is>
          <t>Не определено</t>
        </is>
      </c>
      <c r="W8331" s="35" t="inlineStr"/>
      <c r="X8331" s="35" t="inlineStr"/>
    </row>
    <row r="8332" ht="15" customHeight="1" s="24">
      <c r="A8332" s="13" t="n">
        <v>5000122931</v>
      </c>
      <c r="B8332" s="13" t="inlineStr">
        <is>
          <t>МБУ ДПО "УМОЦ"</t>
        </is>
      </c>
      <c r="C8332" s="13" t="n">
        <v>5018045308</v>
      </c>
      <c r="D8332" s="13" t="inlineStr">
        <is>
          <t>5018045308</t>
        </is>
      </c>
      <c r="E8332" s="13" t="inlineStr">
        <is>
          <t>ЮЛ РФ</t>
        </is>
      </c>
      <c r="F8332" s="13" t="n"/>
      <c r="G8332" s="14" t="n"/>
      <c r="H8332" s="14" t="n"/>
      <c r="I8332" s="14" t="n"/>
      <c r="J8332" s="14" t="n"/>
      <c r="K8332" s="53" t="inlineStr"/>
      <c r="L8332" s="53" t="inlineStr">
        <is>
          <t>Не определено</t>
        </is>
      </c>
      <c r="M8332" s="53" t="inlineStr"/>
      <c r="N8332" s="54" t="inlineStr"/>
      <c r="O8332" s="55" t="inlineStr"/>
      <c r="P8332" s="16" t="inlineStr">
        <is>
          <t>Требует обогащения</t>
        </is>
      </c>
      <c r="Q8332" s="16">
        <f>HYPERLINK("https://pb.nalog.ru/search.html?query=5018045308","ФНС: проверить")</f>
        <v/>
      </c>
      <c r="R8332" s="16">
        <f>HYPERLINK("https://checko.ru/search?query=3801001629","Чекко: проверить")</f>
        <v/>
      </c>
      <c r="S8332" t="n">
        <v>1</v>
      </c>
      <c r="T8332" s="35" t="inlineStr">
        <is>
          <t>4 — Не обогащён</t>
        </is>
      </c>
      <c r="U8332" s="35" t="inlineStr">
        <is>
          <t>Нет ОКВЭД/ССЧР</t>
        </is>
      </c>
      <c r="V8332" s="35" t="inlineStr">
        <is>
          <t>Не определено</t>
        </is>
      </c>
      <c r="W8332" s="35" t="inlineStr"/>
      <c r="X8332" s="35" t="inlineStr"/>
    </row>
    <row r="8333" ht="54.75" customHeight="1" s="24">
      <c r="A8333" s="13" t="n">
        <v>5000061487</v>
      </c>
      <c r="B8333" s="13" t="inlineStr">
        <is>
          <t>Муниципальное бюджетное общеобразовательное учреждение "Средняя общеобразовательная школа № 1" г.Долинска Сахалинской области</t>
        </is>
      </c>
      <c r="C8333" s="13" t="n">
        <v>6503009233</v>
      </c>
      <c r="D8333" s="13" t="inlineStr">
        <is>
          <t>6503009233</t>
        </is>
      </c>
      <c r="E8333" s="13" t="inlineStr">
        <is>
          <t>ЮЛ РФ</t>
        </is>
      </c>
      <c r="F8333" s="13" t="n"/>
      <c r="G8333" s="14" t="n"/>
      <c r="H8333" s="14" t="n"/>
      <c r="I8333" s="14" t="n"/>
      <c r="J8333" s="14" t="n"/>
      <c r="K8333" s="53" t="inlineStr"/>
      <c r="L8333" s="53" t="inlineStr">
        <is>
          <t>Не определено</t>
        </is>
      </c>
      <c r="M8333" s="53" t="inlineStr"/>
      <c r="N8333" s="54" t="inlineStr"/>
      <c r="O8333" s="55" t="inlineStr"/>
      <c r="P8333" s="16" t="inlineStr">
        <is>
          <t>Требует обогащения</t>
        </is>
      </c>
      <c r="Q8333" s="16">
        <f>HYPERLINK("https://pb.nalog.ru/search.html?query=6503009233","ФНС: проверить")</f>
        <v/>
      </c>
      <c r="R8333" s="16">
        <f>HYPERLINK("https://checko.ru/search?query=3801001629","Чекко: проверить")</f>
        <v/>
      </c>
      <c r="S8333" t="n">
        <v>1</v>
      </c>
      <c r="T8333" s="35" t="inlineStr">
        <is>
          <t>4 — Не обогащён</t>
        </is>
      </c>
      <c r="U8333" s="35" t="inlineStr">
        <is>
          <t>Нет ОКВЭД/ССЧР</t>
        </is>
      </c>
      <c r="V8333" s="35" t="inlineStr">
        <is>
          <t>Не определено</t>
        </is>
      </c>
      <c r="W8333" s="35" t="inlineStr"/>
      <c r="X8333" s="35" t="inlineStr"/>
    </row>
    <row r="8334" ht="15" customHeight="1" s="24">
      <c r="A8334" s="13" t="n">
        <v>5000122933</v>
      </c>
      <c r="B8334" s="13" t="inlineStr">
        <is>
          <t>МАОУ ГИМНАЗИЯ "РОССИЙСКАЯ ШКОЛА"</t>
        </is>
      </c>
      <c r="C8334" s="13" t="n">
        <v>5018020751</v>
      </c>
      <c r="D8334" s="13" t="inlineStr">
        <is>
          <t>5018020751</t>
        </is>
      </c>
      <c r="E8334" s="13" t="inlineStr">
        <is>
          <t>ЮЛ РФ</t>
        </is>
      </c>
      <c r="F8334" s="13" t="n"/>
      <c r="G8334" s="14" t="n"/>
      <c r="H8334" s="14" t="n"/>
      <c r="I8334" s="14" t="n"/>
      <c r="J8334" s="14" t="n"/>
      <c r="K8334" s="53" t="inlineStr"/>
      <c r="L8334" s="53" t="inlineStr">
        <is>
          <t>Не определено</t>
        </is>
      </c>
      <c r="M8334" s="53" t="inlineStr"/>
      <c r="N8334" s="54" t="inlineStr"/>
      <c r="O8334" s="55" t="inlineStr"/>
      <c r="P8334" s="16" t="inlineStr">
        <is>
          <t>Требует обогащения</t>
        </is>
      </c>
      <c r="Q8334" s="16">
        <f>HYPERLINK("https://pb.nalog.ru/search.html?query=5018020751","ФНС: проверить")</f>
        <v/>
      </c>
      <c r="R8334" s="16">
        <f>HYPERLINK("https://checko.ru/search?query=3801001629","Чекко: проверить")</f>
        <v/>
      </c>
      <c r="S8334" t="n">
        <v>1</v>
      </c>
      <c r="T8334" s="35" t="inlineStr">
        <is>
          <t>4 — Не обогащён</t>
        </is>
      </c>
      <c r="U8334" s="35" t="inlineStr">
        <is>
          <t>Нет ОКВЭД/ССЧР</t>
        </is>
      </c>
      <c r="V8334" s="35" t="inlineStr">
        <is>
          <t>Не определено</t>
        </is>
      </c>
      <c r="W8334" s="35" t="inlineStr"/>
      <c r="X8334" s="35" t="inlineStr"/>
    </row>
    <row r="8335" ht="27.75" customHeight="1" s="24">
      <c r="A8335" s="13" t="n">
        <v>5000013014</v>
      </c>
      <c r="B8335" s="13" t="inlineStr">
        <is>
          <t>МКУ культуры «Межпоселенческая библиотечная система Тайшетского района»</t>
        </is>
      </c>
      <c r="C8335" s="13" t="n">
        <v>3815010373</v>
      </c>
      <c r="D8335" s="13" t="inlineStr">
        <is>
          <t>3815010373</t>
        </is>
      </c>
      <c r="E8335" s="13" t="inlineStr">
        <is>
          <t>ЮЛ РФ</t>
        </is>
      </c>
      <c r="F8335" s="13" t="n"/>
      <c r="G8335" s="14" t="n"/>
      <c r="H8335" s="14" t="n"/>
      <c r="I8335" s="14" t="n"/>
      <c r="J8335" s="14" t="n"/>
      <c r="K8335" s="53" t="inlineStr"/>
      <c r="L8335" s="53" t="inlineStr">
        <is>
          <t>Не определено</t>
        </is>
      </c>
      <c r="M8335" s="53" t="inlineStr"/>
      <c r="N8335" s="54" t="inlineStr"/>
      <c r="O8335" s="55" t="inlineStr"/>
      <c r="P8335" s="16" t="inlineStr">
        <is>
          <t>Требует обогащения</t>
        </is>
      </c>
      <c r="Q8335" s="16">
        <f>HYPERLINK("https://pb.nalog.ru/search.html?query=3815010373","ФНС: проверить")</f>
        <v/>
      </c>
      <c r="R8335" s="16">
        <f>HYPERLINK("https://checko.ru/search?query=3801001629","Чекко: проверить")</f>
        <v/>
      </c>
      <c r="S8335" t="n">
        <v>1</v>
      </c>
      <c r="T8335" s="35" t="inlineStr">
        <is>
          <t>4 — Не обогащён</t>
        </is>
      </c>
      <c r="U8335" s="35" t="inlineStr">
        <is>
          <t>Нет ОКВЭД/ССЧР</t>
        </is>
      </c>
      <c r="V8335" s="35" t="inlineStr">
        <is>
          <t>Не определено</t>
        </is>
      </c>
      <c r="W8335" s="35" t="inlineStr"/>
      <c r="X8335" s="35" t="inlineStr"/>
    </row>
    <row r="8336" ht="54.75" customHeight="1" s="24">
      <c r="A8336" s="13" t="n">
        <v>5000061518</v>
      </c>
      <c r="B8336" s="13" t="inlineStr">
        <is>
          <t>Муниципальное казённое учреждение "Управление по делам гражданской обороны и чрезвычайным ситуациям" муниципального образования городской округ "Долин</t>
        </is>
      </c>
      <c r="C8336" s="13" t="n">
        <v>6504023248</v>
      </c>
      <c r="D8336" s="13" t="inlineStr">
        <is>
          <t>6504023248</t>
        </is>
      </c>
      <c r="E8336" s="13" t="inlineStr">
        <is>
          <t>ЮЛ РФ</t>
        </is>
      </c>
      <c r="F8336" s="13" t="n"/>
      <c r="G8336" s="14" t="n"/>
      <c r="H8336" s="14" t="n"/>
      <c r="I8336" s="14" t="n"/>
      <c r="J8336" s="14" t="n"/>
      <c r="K8336" s="53" t="inlineStr"/>
      <c r="L8336" s="53" t="inlineStr">
        <is>
          <t>Не определено</t>
        </is>
      </c>
      <c r="M8336" s="53" t="inlineStr"/>
      <c r="N8336" s="54" t="inlineStr"/>
      <c r="O8336" s="55" t="inlineStr"/>
      <c r="P8336" s="16" t="inlineStr">
        <is>
          <t>Требует обогащения</t>
        </is>
      </c>
      <c r="Q8336" s="16">
        <f>HYPERLINK("https://pb.nalog.ru/search.html?query=6504023248","ФНС: проверить")</f>
        <v/>
      </c>
      <c r="R8336" s="16">
        <f>HYPERLINK("https://checko.ru/search?query=3801001629","Чекко: проверить")</f>
        <v/>
      </c>
      <c r="S8336" t="n">
        <v>1</v>
      </c>
      <c r="T8336" s="35" t="inlineStr">
        <is>
          <t>4 — Не обогащён</t>
        </is>
      </c>
      <c r="U8336" s="35" t="inlineStr">
        <is>
          <t>Нет ОКВЭД/ССЧР</t>
        </is>
      </c>
      <c r="V8336" s="35" t="inlineStr">
        <is>
          <t>Не определено</t>
        </is>
      </c>
      <c r="W8336" s="35" t="inlineStr"/>
      <c r="X8336" s="35" t="inlineStr"/>
    </row>
    <row r="8337" ht="41.25" customHeight="1" s="24">
      <c r="A8337" s="13" t="n">
        <v>5000123240</v>
      </c>
      <c r="B8337" s="13" t="inlineStr">
        <is>
          <t>Муниципальное казенное учреждение "Физкультурно-Оздоровительный Комплекс Тайшетского Муниципального Округа"</t>
        </is>
      </c>
      <c r="C8337" s="13" t="n">
        <v>3816034200</v>
      </c>
      <c r="D8337" s="13" t="inlineStr">
        <is>
          <t>3816034200</t>
        </is>
      </c>
      <c r="E8337" s="13" t="inlineStr">
        <is>
          <t>ЮЛ РФ</t>
        </is>
      </c>
      <c r="F8337" s="13" t="n"/>
      <c r="G8337" s="14" t="n"/>
      <c r="H8337" s="14" t="n"/>
      <c r="I8337" s="14" t="n"/>
      <c r="J8337" s="14" t="n"/>
      <c r="K8337" s="53" t="inlineStr"/>
      <c r="L8337" s="53" t="inlineStr">
        <is>
          <t>Не определено</t>
        </is>
      </c>
      <c r="M8337" s="53" t="inlineStr"/>
      <c r="N8337" s="54" t="inlineStr"/>
      <c r="O8337" s="55" t="inlineStr"/>
      <c r="P8337" s="16" t="inlineStr">
        <is>
          <t>Требует обогащения</t>
        </is>
      </c>
      <c r="Q8337" s="16">
        <f>HYPERLINK("https://pb.nalog.ru/search.html?query=3816034200","ФНС: проверить")</f>
        <v/>
      </c>
      <c r="R8337" s="16">
        <f>HYPERLINK("https://checko.ru/search?query=3801001629","Чекко: проверить")</f>
        <v/>
      </c>
      <c r="S8337" t="n">
        <v>1</v>
      </c>
      <c r="T8337" s="35" t="inlineStr">
        <is>
          <t>4 — Не обогащён</t>
        </is>
      </c>
      <c r="U8337" s="35" t="inlineStr">
        <is>
          <t>Нет ОКВЭД/ССЧР</t>
        </is>
      </c>
      <c r="V8337" s="35" t="inlineStr">
        <is>
          <t>Не определено</t>
        </is>
      </c>
      <c r="W8337" s="35" t="inlineStr"/>
      <c r="X8337" s="35" t="inlineStr"/>
    </row>
    <row r="8338" ht="41.25" customHeight="1" s="24">
      <c r="A8338" s="13" t="n">
        <v>5000123296</v>
      </c>
      <c r="B8338" s="13" t="inlineStr">
        <is>
          <t>МУНИЦИПАЛЬНОЕ БЮДЖЕТНОЕ ДОШКОЛЬНОЕ ОБРАЗОВАТЕЛЬНОЕ УЧРЕЖДЕНИЕ "ДЕТСКИЙ САД "РОМАШКА"</t>
        </is>
      </c>
      <c r="C8338" s="13" t="n">
        <v>3836002207</v>
      </c>
      <c r="D8338" s="13" t="inlineStr">
        <is>
          <t>3836002207</t>
        </is>
      </c>
      <c r="E8338" s="13" t="inlineStr">
        <is>
          <t>ЮЛ РФ</t>
        </is>
      </c>
      <c r="F8338" s="13" t="n"/>
      <c r="G8338" s="14" t="n"/>
      <c r="H8338" s="14" t="n"/>
      <c r="I8338" s="14" t="n"/>
      <c r="J8338" s="14" t="n"/>
      <c r="K8338" s="53" t="inlineStr"/>
      <c r="L8338" s="53" t="inlineStr">
        <is>
          <t>Не определено</t>
        </is>
      </c>
      <c r="M8338" s="53" t="inlineStr"/>
      <c r="N8338" s="54" t="inlineStr"/>
      <c r="O8338" s="55" t="inlineStr"/>
      <c r="P8338" s="16" t="inlineStr">
        <is>
          <t>Требует обогащения</t>
        </is>
      </c>
      <c r="Q8338" s="16">
        <f>HYPERLINK("https://pb.nalog.ru/search.html?query=3836002207","ФНС: проверить")</f>
        <v/>
      </c>
      <c r="R8338" s="16">
        <f>HYPERLINK("https://checko.ru/search?query=3801001629","Чекко: проверить")</f>
        <v/>
      </c>
      <c r="S8338" t="n">
        <v>1</v>
      </c>
      <c r="T8338" s="35" t="inlineStr">
        <is>
          <t>4 — Не обогащён</t>
        </is>
      </c>
      <c r="U8338" s="35" t="inlineStr">
        <is>
          <t>Нет ОКВЭД/ССЧР</t>
        </is>
      </c>
      <c r="V8338" s="35" t="inlineStr">
        <is>
          <t>Не определено</t>
        </is>
      </c>
      <c r="W8338" s="35" t="inlineStr"/>
      <c r="X8338" s="35" t="inlineStr"/>
    </row>
    <row r="8339" ht="54.75" customHeight="1" s="24">
      <c r="A8339" s="13" t="n">
        <v>5000061522</v>
      </c>
      <c r="B8339" s="13" t="inlineStr">
        <is>
          <t>Муниципальное бюджетное учреждение культуры "Централизованная клубная система" муниципального образования городской округ "Долинский" Сахалинской обла</t>
        </is>
      </c>
      <c r="C8339" s="13" t="n">
        <v>6503011899</v>
      </c>
      <c r="D8339" s="13" t="inlineStr">
        <is>
          <t>6503011899</t>
        </is>
      </c>
      <c r="E8339" s="13" t="inlineStr">
        <is>
          <t>ЮЛ РФ</t>
        </is>
      </c>
      <c r="F8339" s="13" t="n"/>
      <c r="G8339" s="14" t="n"/>
      <c r="H8339" s="14" t="n"/>
      <c r="I8339" s="14" t="n"/>
      <c r="J8339" s="14" t="n"/>
      <c r="K8339" s="53" t="inlineStr"/>
      <c r="L8339" s="53" t="inlineStr">
        <is>
          <t>Не определено</t>
        </is>
      </c>
      <c r="M8339" s="53" t="inlineStr"/>
      <c r="N8339" s="54" t="inlineStr"/>
      <c r="O8339" s="55" t="inlineStr"/>
      <c r="P8339" s="16" t="inlineStr">
        <is>
          <t>Требует обогащения</t>
        </is>
      </c>
      <c r="Q8339" s="16">
        <f>HYPERLINK("https://pb.nalog.ru/search.html?query=6503011899","ФНС: проверить")</f>
        <v/>
      </c>
      <c r="R8339" s="16">
        <f>HYPERLINK("https://checko.ru/search?query=3801001629","Чекко: проверить")</f>
        <v/>
      </c>
      <c r="S8339" t="n">
        <v>1</v>
      </c>
      <c r="T8339" s="35" t="inlineStr">
        <is>
          <t>4 — Не обогащён</t>
        </is>
      </c>
      <c r="U8339" s="35" t="inlineStr">
        <is>
          <t>Нет ОКВЭД/ССЧР</t>
        </is>
      </c>
      <c r="V8339" s="35" t="inlineStr">
        <is>
          <t>Не определено</t>
        </is>
      </c>
      <c r="W8339" s="35" t="inlineStr"/>
      <c r="X8339" s="35" t="inlineStr"/>
    </row>
    <row r="8340" ht="15" customHeight="1" s="24">
      <c r="A8340" s="13" t="n">
        <v>5000122894</v>
      </c>
      <c r="B8340" s="13" t="inlineStr">
        <is>
          <t>МКУ "Муниципальный заказ"</t>
        </is>
      </c>
      <c r="C8340" s="13" t="n">
        <v>5018181974</v>
      </c>
      <c r="D8340" s="13" t="inlineStr">
        <is>
          <t>5018181974</t>
        </is>
      </c>
      <c r="E8340" s="13" t="inlineStr">
        <is>
          <t>ЮЛ РФ</t>
        </is>
      </c>
      <c r="F8340" s="13" t="n"/>
      <c r="G8340" s="14" t="n"/>
      <c r="H8340" s="14" t="n"/>
      <c r="I8340" s="14" t="n"/>
      <c r="J8340" s="14" t="n"/>
      <c r="K8340" s="53" t="inlineStr"/>
      <c r="L8340" s="53" t="inlineStr">
        <is>
          <t>Не определено</t>
        </is>
      </c>
      <c r="M8340" s="53" t="inlineStr"/>
      <c r="N8340" s="54" t="inlineStr"/>
      <c r="O8340" s="55" t="inlineStr"/>
      <c r="P8340" s="16" t="inlineStr">
        <is>
          <t>Требует обогащения</t>
        </is>
      </c>
      <c r="Q8340" s="16">
        <f>HYPERLINK("https://pb.nalog.ru/search.html?query=5018181974","ФНС: проверить")</f>
        <v/>
      </c>
      <c r="R8340" s="16">
        <f>HYPERLINK("https://checko.ru/search?query=3801001629","Чекко: проверить")</f>
        <v/>
      </c>
      <c r="S8340" t="n">
        <v>1</v>
      </c>
      <c r="T8340" s="35" t="inlineStr">
        <is>
          <t>4 — Не обогащён</t>
        </is>
      </c>
      <c r="U8340" s="35" t="inlineStr">
        <is>
          <t>Нет ОКВЭД/ССЧР</t>
        </is>
      </c>
      <c r="V8340" s="35" t="inlineStr">
        <is>
          <t>Не определено</t>
        </is>
      </c>
      <c r="W8340" s="35" t="inlineStr"/>
      <c r="X8340" s="35" t="inlineStr"/>
    </row>
    <row r="8341" ht="15" customHeight="1" s="24">
      <c r="A8341" s="13" t="n">
        <v>5000093194</v>
      </c>
      <c r="B8341" s="13" t="inlineStr">
        <is>
          <t>МБОУДО ДШИ Г. ПОРОНАЙСКА</t>
        </is>
      </c>
      <c r="C8341" s="13" t="n">
        <v>6507010141</v>
      </c>
      <c r="D8341" s="13" t="inlineStr">
        <is>
          <t>6507010141</t>
        </is>
      </c>
      <c r="E8341" s="13" t="inlineStr">
        <is>
          <t>ЮЛ РФ</t>
        </is>
      </c>
      <c r="F8341" s="13" t="n"/>
      <c r="G8341" s="14" t="n"/>
      <c r="H8341" s="14" t="n"/>
      <c r="I8341" s="14" t="n"/>
      <c r="J8341" s="14" t="n"/>
      <c r="K8341" s="53" t="inlineStr"/>
      <c r="L8341" s="53" t="inlineStr">
        <is>
          <t>Не определено</t>
        </is>
      </c>
      <c r="M8341" s="53" t="inlineStr"/>
      <c r="N8341" s="54" t="inlineStr"/>
      <c r="O8341" s="55" t="inlineStr"/>
      <c r="P8341" s="16" t="inlineStr">
        <is>
          <t>Требует обогащения</t>
        </is>
      </c>
      <c r="Q8341" s="16">
        <f>HYPERLINK("https://pb.nalog.ru/search.html?query=6507010141","ФНС: проверить")</f>
        <v/>
      </c>
      <c r="R8341" s="16">
        <f>HYPERLINK("https://checko.ru/search?query=3801001629","Чекко: проверить")</f>
        <v/>
      </c>
      <c r="S8341" t="n">
        <v>1</v>
      </c>
      <c r="T8341" s="35" t="inlineStr">
        <is>
          <t>4 — Не обогащён</t>
        </is>
      </c>
      <c r="U8341" s="35" t="inlineStr">
        <is>
          <t>Нет ОКВЭД/ССЧР</t>
        </is>
      </c>
      <c r="V8341" s="35" t="inlineStr">
        <is>
          <t>Не определено</t>
        </is>
      </c>
      <c r="W8341" s="35" t="inlineStr"/>
      <c r="X8341" s="35" t="inlineStr"/>
    </row>
    <row r="8342" ht="27.75" customHeight="1" s="24">
      <c r="A8342" s="13" t="n">
        <v>5000106616</v>
      </c>
      <c r="B8342" s="13" t="inlineStr">
        <is>
          <t>Александровск-Сахалинский филиал ГБПОУ «Сахалинский базовый медицинский колледж» (</t>
        </is>
      </c>
      <c r="C8342" s="13" t="n">
        <v>6501069759</v>
      </c>
      <c r="D8342" s="13" t="inlineStr">
        <is>
          <t>6501069759</t>
        </is>
      </c>
      <c r="E8342" s="13" t="inlineStr">
        <is>
          <t>ЮЛ РФ</t>
        </is>
      </c>
      <c r="F8342" s="13" t="n"/>
      <c r="G8342" s="14" t="n"/>
      <c r="H8342" s="14" t="n"/>
      <c r="I8342" s="14" t="n"/>
      <c r="J8342" s="14" t="n"/>
      <c r="K8342" s="53" t="inlineStr"/>
      <c r="L8342" s="53" t="inlineStr">
        <is>
          <t>Не определено</t>
        </is>
      </c>
      <c r="M8342" s="53" t="inlineStr"/>
      <c r="N8342" s="54" t="inlineStr"/>
      <c r="O8342" s="55" t="inlineStr"/>
      <c r="P8342" s="16" t="inlineStr">
        <is>
          <t>Требует обогащения</t>
        </is>
      </c>
      <c r="Q8342" s="16">
        <f>HYPERLINK("https://pb.nalog.ru/search.html?query=6501069759","ФНС: проверить")</f>
        <v/>
      </c>
      <c r="R8342" s="16">
        <f>HYPERLINK("https://checko.ru/search?query=3801001629","Чекко: проверить")</f>
        <v/>
      </c>
      <c r="S8342" t="n">
        <v>0</v>
      </c>
      <c r="T8342" s="35" t="inlineStr">
        <is>
          <t>4 — Не обогащён</t>
        </is>
      </c>
      <c r="U8342" s="35" t="inlineStr">
        <is>
          <t>Нет ОКВЭД/ССЧР</t>
        </is>
      </c>
      <c r="V8342" s="35" t="inlineStr">
        <is>
          <t>Не определено</t>
        </is>
      </c>
      <c r="W8342" s="35" t="inlineStr"/>
      <c r="X8342" s="35" t="inlineStr"/>
    </row>
    <row r="8343" ht="15" customHeight="1" s="24">
      <c r="A8343" s="13" t="n">
        <v>5000122901</v>
      </c>
      <c r="B8343" s="13" t="inlineStr">
        <is>
          <t>МБОУ СОШ № 1</t>
        </is>
      </c>
      <c r="C8343" s="13" t="n">
        <v>5018044833</v>
      </c>
      <c r="D8343" s="13" t="inlineStr">
        <is>
          <t>5018044833</t>
        </is>
      </c>
      <c r="E8343" s="13" t="inlineStr">
        <is>
          <t>ЮЛ РФ</t>
        </is>
      </c>
      <c r="F8343" s="13" t="n"/>
      <c r="G8343" s="14" t="n"/>
      <c r="H8343" s="14" t="n"/>
      <c r="I8343" s="14" t="n"/>
      <c r="J8343" s="14" t="n"/>
      <c r="K8343" s="53" t="inlineStr"/>
      <c r="L8343" s="53" t="inlineStr">
        <is>
          <t>Не определено</t>
        </is>
      </c>
      <c r="M8343" s="53" t="inlineStr"/>
      <c r="N8343" s="54" t="inlineStr"/>
      <c r="O8343" s="55" t="inlineStr"/>
      <c r="P8343" s="16" t="inlineStr">
        <is>
          <t>Требует обогащения</t>
        </is>
      </c>
      <c r="Q8343" s="16">
        <f>HYPERLINK("https://pb.nalog.ru/search.html?query=5018044833","ФНС: проверить")</f>
        <v/>
      </c>
      <c r="R8343" s="16">
        <f>HYPERLINK("https://checko.ru/search?query=3801001629","Чекко: проверить")</f>
        <v/>
      </c>
      <c r="S8343" t="n">
        <v>1</v>
      </c>
      <c r="T8343" s="35" t="inlineStr">
        <is>
          <t>4 — Не обогащён</t>
        </is>
      </c>
      <c r="U8343" s="35" t="inlineStr">
        <is>
          <t>Нет ОКВЭД/ССЧР</t>
        </is>
      </c>
      <c r="V8343" s="35" t="inlineStr">
        <is>
          <t>Не определено</t>
        </is>
      </c>
      <c r="W8343" s="35" t="inlineStr"/>
      <c r="X8343" s="35" t="inlineStr"/>
    </row>
    <row r="8344" ht="15" customHeight="1" s="24">
      <c r="A8344" s="13" t="n">
        <v>5000122899</v>
      </c>
      <c r="B8344" s="13" t="inlineStr">
        <is>
          <t>МАУ СТАДИОН ЧАЙКА</t>
        </is>
      </c>
      <c r="C8344" s="13" t="n">
        <v>5054088794</v>
      </c>
      <c r="D8344" s="13" t="inlineStr">
        <is>
          <t>5054088794</t>
        </is>
      </c>
      <c r="E8344" s="13" t="inlineStr">
        <is>
          <t>ЮЛ РФ</t>
        </is>
      </c>
      <c r="F8344" s="13" t="n"/>
      <c r="G8344" s="14" t="n"/>
      <c r="H8344" s="14" t="n"/>
      <c r="I8344" s="14" t="n"/>
      <c r="J8344" s="14" t="n"/>
      <c r="K8344" s="53" t="inlineStr"/>
      <c r="L8344" s="53" t="inlineStr">
        <is>
          <t>Не определено</t>
        </is>
      </c>
      <c r="M8344" s="53" t="inlineStr"/>
      <c r="N8344" s="54" t="inlineStr"/>
      <c r="O8344" s="55" t="inlineStr"/>
      <c r="P8344" s="16" t="inlineStr">
        <is>
          <t>Требует обогащения</t>
        </is>
      </c>
      <c r="Q8344" s="16">
        <f>HYPERLINK("https://pb.nalog.ru/search.html?query=5054088794","ФНС: проверить")</f>
        <v/>
      </c>
      <c r="R8344" s="16">
        <f>HYPERLINK("https://checko.ru/search?query=3801001629","Чекко: проверить")</f>
        <v/>
      </c>
      <c r="S8344" t="n">
        <v>1</v>
      </c>
      <c r="T8344" s="35" t="inlineStr">
        <is>
          <t>4 — Не обогащён</t>
        </is>
      </c>
      <c r="U8344" s="35" t="inlineStr">
        <is>
          <t>Нет ОКВЭД/ССЧР</t>
        </is>
      </c>
      <c r="V8344" s="35" t="inlineStr">
        <is>
          <t>Не определено</t>
        </is>
      </c>
      <c r="W8344" s="35" t="inlineStr"/>
      <c r="X8344" s="35" t="inlineStr"/>
    </row>
    <row r="8345" ht="15" customHeight="1" s="24">
      <c r="A8345" s="13" t="n">
        <v>5000119675</v>
      </c>
      <c r="B8345" s="13" t="inlineStr">
        <is>
          <t>ГБУ СО "ПТУ"</t>
        </is>
      </c>
      <c r="C8345" s="13" t="n">
        <v>6500021634</v>
      </c>
      <c r="D8345" s="13" t="inlineStr">
        <is>
          <t>6500021634</t>
        </is>
      </c>
      <c r="E8345" s="13" t="inlineStr">
        <is>
          <t>ЮЛ РФ</t>
        </is>
      </c>
      <c r="F8345" s="13" t="n"/>
      <c r="G8345" s="14" t="n"/>
      <c r="H8345" s="14" t="n"/>
      <c r="I8345" s="14" t="n"/>
      <c r="J8345" s="14" t="n"/>
      <c r="K8345" s="53" t="inlineStr"/>
      <c r="L8345" s="53" t="inlineStr">
        <is>
          <t>Не определено</t>
        </is>
      </c>
      <c r="M8345" s="53" t="inlineStr"/>
      <c r="N8345" s="54" t="inlineStr"/>
      <c r="O8345" s="55" t="inlineStr"/>
      <c r="P8345" s="16" t="inlineStr">
        <is>
          <t>Требует обогащения</t>
        </is>
      </c>
      <c r="Q8345" s="16">
        <f>HYPERLINK("https://pb.nalog.ru/search.html?query=6500021634","ФНС: проверить")</f>
        <v/>
      </c>
      <c r="R8345" s="16">
        <f>HYPERLINK("https://checko.ru/search?query=3801001629","Чекко: проверить")</f>
        <v/>
      </c>
      <c r="S8345" t="n">
        <v>1</v>
      </c>
      <c r="T8345" s="35" t="inlineStr">
        <is>
          <t>4 — Не обогащён</t>
        </is>
      </c>
      <c r="U8345" s="35" t="inlineStr">
        <is>
          <t>Нет ОКВЭД/ССЧР</t>
        </is>
      </c>
      <c r="V8345" s="35" t="inlineStr">
        <is>
          <t>Не определено</t>
        </is>
      </c>
      <c r="W8345" s="35" t="inlineStr"/>
      <c r="X8345" s="35" t="inlineStr"/>
    </row>
    <row r="8346" ht="15" customHeight="1" s="24">
      <c r="A8346" s="13" t="n">
        <v>5000119181</v>
      </c>
      <c r="B8346" s="13" t="inlineStr">
        <is>
          <t>МКУ "СЛУЖБА "ЗАКАЗЧИК"</t>
        </is>
      </c>
      <c r="C8346" s="13" t="n">
        <v>6517008769</v>
      </c>
      <c r="D8346" s="13" t="inlineStr">
        <is>
          <t>6517008769</t>
        </is>
      </c>
      <c r="E8346" s="13" t="inlineStr">
        <is>
          <t>ЮЛ РФ</t>
        </is>
      </c>
      <c r="F8346" s="13" t="n"/>
      <c r="G8346" s="14" t="n"/>
      <c r="H8346" s="14" t="n"/>
      <c r="I8346" s="14" t="n"/>
      <c r="J8346" s="14" t="n"/>
      <c r="K8346" s="53" t="inlineStr"/>
      <c r="L8346" s="53" t="inlineStr">
        <is>
          <t>Не определено</t>
        </is>
      </c>
      <c r="M8346" s="53" t="inlineStr"/>
      <c r="N8346" s="54" t="inlineStr"/>
      <c r="O8346" s="55" t="inlineStr"/>
      <c r="P8346" s="16" t="inlineStr">
        <is>
          <t>Требует обогащения</t>
        </is>
      </c>
      <c r="Q8346" s="16">
        <f>HYPERLINK("https://pb.nalog.ru/search.html?query=6517008769","ФНС: проверить")</f>
        <v/>
      </c>
      <c r="R8346" s="16">
        <f>HYPERLINK("https://checko.ru/search?query=3801001629","Чекко: проверить")</f>
        <v/>
      </c>
      <c r="S8346" t="n">
        <v>1</v>
      </c>
      <c r="T8346" s="35" t="inlineStr">
        <is>
          <t>4 — Не обогащён</t>
        </is>
      </c>
      <c r="U8346" s="35" t="inlineStr">
        <is>
          <t>Нет ОКВЭД/ССЧР</t>
        </is>
      </c>
      <c r="V8346" s="35" t="inlineStr">
        <is>
          <t>Не определено</t>
        </is>
      </c>
      <c r="W8346" s="35" t="inlineStr"/>
      <c r="X8346" s="35" t="inlineStr"/>
    </row>
    <row r="8347" ht="15" customHeight="1" s="24">
      <c r="A8347" s="13" t="n">
        <v>5000123178</v>
      </c>
      <c r="B8347" s="13" t="inlineStr">
        <is>
          <t>ГАПОУ "ПККК"</t>
        </is>
      </c>
      <c r="C8347" s="13" t="n">
        <v>2511009092</v>
      </c>
      <c r="D8347" s="13" t="inlineStr">
        <is>
          <t>2511009092</t>
        </is>
      </c>
      <c r="E8347" s="13" t="inlineStr">
        <is>
          <t>ЮЛ РФ</t>
        </is>
      </c>
      <c r="F8347" s="13" t="n"/>
      <c r="G8347" s="14" t="n"/>
      <c r="H8347" s="14" t="n"/>
      <c r="I8347" s="14" t="n"/>
      <c r="J8347" s="14" t="n"/>
      <c r="K8347" s="53" t="inlineStr"/>
      <c r="L8347" s="53" t="inlineStr">
        <is>
          <t>Не определено</t>
        </is>
      </c>
      <c r="M8347" s="53" t="inlineStr"/>
      <c r="N8347" s="54" t="inlineStr"/>
      <c r="O8347" s="55" t="inlineStr"/>
      <c r="P8347" s="16" t="inlineStr">
        <is>
          <t>Требует обогащения</t>
        </is>
      </c>
      <c r="Q8347" s="16">
        <f>HYPERLINK("https://pb.nalog.ru/search.html?query=2511009092","ФНС: проверить")</f>
        <v/>
      </c>
      <c r="R8347" s="16">
        <f>HYPERLINK("https://checko.ru/search?query=3801001629","Чекко: проверить")</f>
        <v/>
      </c>
      <c r="S8347" t="n">
        <v>1</v>
      </c>
      <c r="T8347" s="35" t="inlineStr">
        <is>
          <t>4 — Не обогащён</t>
        </is>
      </c>
      <c r="U8347" s="35" t="inlineStr">
        <is>
          <t>Нет ОКВЭД/ССЧР</t>
        </is>
      </c>
      <c r="V8347" s="35" t="inlineStr">
        <is>
          <t>Не определено</t>
        </is>
      </c>
      <c r="W8347" s="35" t="inlineStr"/>
      <c r="X8347" s="35" t="inlineStr"/>
    </row>
    <row r="8348" ht="15" customHeight="1" s="24">
      <c r="A8348" s="13" t="n">
        <v>5000122903</v>
      </c>
      <c r="B8348" s="13" t="inlineStr">
        <is>
          <t>МБОУ ПСОШ № 2 ИМ. М.Ф. ТИХОНОВА</t>
        </is>
      </c>
      <c r="C8348" s="13" t="n">
        <v>5018048370</v>
      </c>
      <c r="D8348" s="13" t="inlineStr">
        <is>
          <t>5018048370</t>
        </is>
      </c>
      <c r="E8348" s="13" t="inlineStr">
        <is>
          <t>ЮЛ РФ</t>
        </is>
      </c>
      <c r="F8348" s="13" t="n"/>
      <c r="G8348" s="14" t="n"/>
      <c r="H8348" s="14" t="n"/>
      <c r="I8348" s="14" t="n"/>
      <c r="J8348" s="14" t="n"/>
      <c r="K8348" s="53" t="inlineStr"/>
      <c r="L8348" s="53" t="inlineStr">
        <is>
          <t>Не определено</t>
        </is>
      </c>
      <c r="M8348" s="53" t="inlineStr"/>
      <c r="N8348" s="54" t="inlineStr"/>
      <c r="O8348" s="55" t="inlineStr"/>
      <c r="P8348" s="16" t="inlineStr">
        <is>
          <t>Требует обогащения</t>
        </is>
      </c>
      <c r="Q8348" s="16">
        <f>HYPERLINK("https://pb.nalog.ru/search.html?query=5018048370","ФНС: проверить")</f>
        <v/>
      </c>
      <c r="R8348" s="16">
        <f>HYPERLINK("https://checko.ru/search?query=3801001629","Чекко: проверить")</f>
        <v/>
      </c>
      <c r="S8348" t="n">
        <v>1</v>
      </c>
      <c r="T8348" s="35" t="inlineStr">
        <is>
          <t>4 — Не обогащён</t>
        </is>
      </c>
      <c r="U8348" s="35" t="inlineStr">
        <is>
          <t>Нет ОКВЭД/ССЧР</t>
        </is>
      </c>
      <c r="V8348" s="35" t="inlineStr">
        <is>
          <t>Не определено</t>
        </is>
      </c>
      <c r="W8348" s="35" t="inlineStr"/>
      <c r="X8348" s="35" t="inlineStr"/>
    </row>
    <row r="8349" ht="15" customHeight="1" s="24">
      <c r="A8349" s="13" t="n">
        <v>5000122906</v>
      </c>
      <c r="B8349" s="13" t="inlineStr">
        <is>
          <t>МБОУ СОШ № 7</t>
        </is>
      </c>
      <c r="C8349" s="13" t="n">
        <v>5018219321</v>
      </c>
      <c r="D8349" s="13" t="inlineStr">
        <is>
          <t>5018219321</t>
        </is>
      </c>
      <c r="E8349" s="13" t="inlineStr">
        <is>
          <t>ЮЛ РФ</t>
        </is>
      </c>
      <c r="F8349" s="13" t="n"/>
      <c r="G8349" s="14" t="n"/>
      <c r="H8349" s="14" t="n"/>
      <c r="I8349" s="14" t="n"/>
      <c r="J8349" s="14" t="n"/>
      <c r="K8349" s="53" t="inlineStr"/>
      <c r="L8349" s="53" t="inlineStr">
        <is>
          <t>Не определено</t>
        </is>
      </c>
      <c r="M8349" s="53" t="inlineStr"/>
      <c r="N8349" s="54" t="inlineStr"/>
      <c r="O8349" s="55" t="inlineStr"/>
      <c r="P8349" s="16" t="inlineStr">
        <is>
          <t>Требует обогащения</t>
        </is>
      </c>
      <c r="Q8349" s="16">
        <f>HYPERLINK("https://pb.nalog.ru/search.html?query=5018219321","ФНС: проверить")</f>
        <v/>
      </c>
      <c r="R8349" s="16">
        <f>HYPERLINK("https://checko.ru/search?query=3801001629","Чекко: проверить")</f>
        <v/>
      </c>
      <c r="S8349" t="n">
        <v>1</v>
      </c>
      <c r="T8349" s="35" t="inlineStr">
        <is>
          <t>4 — Не обогащён</t>
        </is>
      </c>
      <c r="U8349" s="35" t="inlineStr">
        <is>
          <t>Нет ОКВЭД/ССЧР</t>
        </is>
      </c>
      <c r="V8349" s="35" t="inlineStr">
        <is>
          <t>Не определено</t>
        </is>
      </c>
      <c r="W8349" s="35" t="inlineStr"/>
      <c r="X8349" s="35" t="inlineStr"/>
    </row>
    <row r="8350" ht="15" customHeight="1" s="24">
      <c r="A8350" s="13" t="n">
        <v>5000122908</v>
      </c>
      <c r="B8350" s="13" t="inlineStr">
        <is>
          <t>МБОУ СОШ № 12</t>
        </is>
      </c>
      <c r="C8350" s="13" t="n">
        <v>5018044801</v>
      </c>
      <c r="D8350" s="13" t="inlineStr">
        <is>
          <t>5018044801</t>
        </is>
      </c>
      <c r="E8350" s="13" t="inlineStr">
        <is>
          <t>ЮЛ РФ</t>
        </is>
      </c>
      <c r="F8350" s="13" t="n"/>
      <c r="G8350" s="14" t="n"/>
      <c r="H8350" s="14" t="n"/>
      <c r="I8350" s="14" t="n"/>
      <c r="J8350" s="14" t="n"/>
      <c r="K8350" s="53" t="inlineStr"/>
      <c r="L8350" s="53" t="inlineStr">
        <is>
          <t>Не определено</t>
        </is>
      </c>
      <c r="M8350" s="53" t="inlineStr"/>
      <c r="N8350" s="54" t="inlineStr"/>
      <c r="O8350" s="55" t="inlineStr"/>
      <c r="P8350" s="16" t="inlineStr">
        <is>
          <t>Требует обогащения</t>
        </is>
      </c>
      <c r="Q8350" s="16">
        <f>HYPERLINK("https://pb.nalog.ru/search.html?query=5018044801","ФНС: проверить")</f>
        <v/>
      </c>
      <c r="R8350" s="16">
        <f>HYPERLINK("https://checko.ru/search?query=3801001629","Чекко: проверить")</f>
        <v/>
      </c>
      <c r="S8350" t="n">
        <v>1</v>
      </c>
      <c r="T8350" s="35" t="inlineStr">
        <is>
          <t>4 — Не обогащён</t>
        </is>
      </c>
      <c r="U8350" s="35" t="inlineStr">
        <is>
          <t>Нет ОКВЭД/ССЧР</t>
        </is>
      </c>
      <c r="V8350" s="35" t="inlineStr">
        <is>
          <t>Не определено</t>
        </is>
      </c>
      <c r="W8350" s="35" t="inlineStr"/>
      <c r="X8350" s="35" t="inlineStr"/>
    </row>
    <row r="8351" ht="15" customHeight="1" s="24">
      <c r="A8351" s="13" t="n">
        <v>5000122909</v>
      </c>
      <c r="B8351" s="13" t="inlineStr">
        <is>
          <t>МБОУ СОШ № 13</t>
        </is>
      </c>
      <c r="C8351" s="13" t="n">
        <v>5018044978</v>
      </c>
      <c r="D8351" s="13" t="inlineStr">
        <is>
          <t>5018044978</t>
        </is>
      </c>
      <c r="E8351" s="13" t="inlineStr">
        <is>
          <t>ЮЛ РФ</t>
        </is>
      </c>
      <c r="F8351" s="13" t="n"/>
      <c r="G8351" s="14" t="n"/>
      <c r="H8351" s="14" t="n"/>
      <c r="I8351" s="14" t="n"/>
      <c r="J8351" s="14" t="n"/>
      <c r="K8351" s="53" t="inlineStr"/>
      <c r="L8351" s="53" t="inlineStr">
        <is>
          <t>Не определено</t>
        </is>
      </c>
      <c r="M8351" s="53" t="inlineStr"/>
      <c r="N8351" s="54" t="inlineStr"/>
      <c r="O8351" s="55" t="inlineStr"/>
      <c r="P8351" s="16" t="inlineStr">
        <is>
          <t>Требует обогащения</t>
        </is>
      </c>
      <c r="Q8351" s="16">
        <f>HYPERLINK("https://pb.nalog.ru/search.html?query=5018044978","ФНС: проверить")</f>
        <v/>
      </c>
      <c r="R8351" s="16">
        <f>HYPERLINK("https://checko.ru/search?query=3801001629","Чекко: проверить")</f>
        <v/>
      </c>
      <c r="S8351" t="n">
        <v>1</v>
      </c>
      <c r="T8351" s="35" t="inlineStr">
        <is>
          <t>4 — Не обогащён</t>
        </is>
      </c>
      <c r="U8351" s="35" t="inlineStr">
        <is>
          <t>Нет ОКВЭД/ССЧР</t>
        </is>
      </c>
      <c r="V8351" s="35" t="inlineStr">
        <is>
          <t>Не определено</t>
        </is>
      </c>
      <c r="W8351" s="35" t="inlineStr"/>
      <c r="X8351" s="35" t="inlineStr"/>
    </row>
    <row r="8352" ht="15" customHeight="1" s="24">
      <c r="A8352" s="13" t="n">
        <v>5000122910</v>
      </c>
      <c r="B8352" s="13" t="inlineStr">
        <is>
          <t>МБОУ СОШ № 15 ИМ. Б.Н. ФЛЁРОВА</t>
        </is>
      </c>
      <c r="C8352" s="13" t="n">
        <v>5018044431</v>
      </c>
      <c r="D8352" s="13" t="inlineStr">
        <is>
          <t>5018044431</t>
        </is>
      </c>
      <c r="E8352" s="13" t="inlineStr">
        <is>
          <t>ЮЛ РФ</t>
        </is>
      </c>
      <c r="F8352" s="13" t="n"/>
      <c r="G8352" s="14" t="n"/>
      <c r="H8352" s="14" t="n"/>
      <c r="I8352" s="14" t="n"/>
      <c r="J8352" s="14" t="n"/>
      <c r="K8352" s="53" t="inlineStr"/>
      <c r="L8352" s="53" t="inlineStr">
        <is>
          <t>Не определено</t>
        </is>
      </c>
      <c r="M8352" s="53" t="inlineStr"/>
      <c r="N8352" s="54" t="inlineStr"/>
      <c r="O8352" s="55" t="inlineStr"/>
      <c r="P8352" s="16" t="inlineStr">
        <is>
          <t>Требует обогащения</t>
        </is>
      </c>
      <c r="Q8352" s="16">
        <f>HYPERLINK("https://pb.nalog.ru/search.html?query=5018044431","ФНС: проверить")</f>
        <v/>
      </c>
      <c r="R8352" s="16">
        <f>HYPERLINK("https://checko.ru/search?query=3801001629","Чекко: проверить")</f>
        <v/>
      </c>
      <c r="S8352" t="n">
        <v>1</v>
      </c>
      <c r="T8352" s="35" t="inlineStr">
        <is>
          <t>4 — Не обогащён</t>
        </is>
      </c>
      <c r="U8352" s="35" t="inlineStr">
        <is>
          <t>Нет ОКВЭД/ССЧР</t>
        </is>
      </c>
      <c r="V8352" s="35" t="inlineStr">
        <is>
          <t>Не определено</t>
        </is>
      </c>
      <c r="W8352" s="35" t="inlineStr"/>
      <c r="X8352" s="35" t="inlineStr"/>
    </row>
    <row r="8353" ht="15" customHeight="1" s="24">
      <c r="A8353" s="13" t="n">
        <v>5000122911</v>
      </c>
      <c r="B8353" s="13" t="inlineStr">
        <is>
          <t>МБОУ СОШ № 20</t>
        </is>
      </c>
      <c r="C8353" s="13" t="n">
        <v>5018047947</v>
      </c>
      <c r="D8353" s="13" t="inlineStr">
        <is>
          <t>5018047947</t>
        </is>
      </c>
      <c r="E8353" s="13" t="inlineStr">
        <is>
          <t>ЮЛ РФ</t>
        </is>
      </c>
      <c r="F8353" s="13" t="n"/>
      <c r="G8353" s="14" t="n"/>
      <c r="H8353" s="14" t="n"/>
      <c r="I8353" s="14" t="n"/>
      <c r="J8353" s="14" t="n"/>
      <c r="K8353" s="53" t="inlineStr"/>
      <c r="L8353" s="53" t="inlineStr">
        <is>
          <t>Не определено</t>
        </is>
      </c>
      <c r="M8353" s="53" t="inlineStr"/>
      <c r="N8353" s="54" t="inlineStr"/>
      <c r="O8353" s="55" t="inlineStr"/>
      <c r="P8353" s="16" t="inlineStr">
        <is>
          <t>Требует обогащения</t>
        </is>
      </c>
      <c r="Q8353" s="16">
        <f>HYPERLINK("https://pb.nalog.ru/search.html?query=5018047947","ФНС: проверить")</f>
        <v/>
      </c>
      <c r="R8353" s="16">
        <f>HYPERLINK("https://checko.ru/search?query=3801001629","Чекко: проверить")</f>
        <v/>
      </c>
      <c r="S8353" t="n">
        <v>1</v>
      </c>
      <c r="T8353" s="35" t="inlineStr">
        <is>
          <t>4 — Не обогащён</t>
        </is>
      </c>
      <c r="U8353" s="35" t="inlineStr">
        <is>
          <t>Нет ОКВЭД/ССЧР</t>
        </is>
      </c>
      <c r="V8353" s="35" t="inlineStr">
        <is>
          <t>Не определено</t>
        </is>
      </c>
      <c r="W8353" s="35" t="inlineStr"/>
      <c r="X8353" s="35" t="inlineStr"/>
    </row>
    <row r="8354" ht="15" customHeight="1" s="24">
      <c r="A8354" s="13" t="n">
        <v>5000122912</v>
      </c>
      <c r="B8354" s="13" t="inlineStr">
        <is>
          <t>МБОУ СОШ № 22</t>
        </is>
      </c>
      <c r="C8354" s="13" t="n">
        <v>5018045058</v>
      </c>
      <c r="D8354" s="13" t="inlineStr">
        <is>
          <t>5018045058</t>
        </is>
      </c>
      <c r="E8354" s="13" t="inlineStr">
        <is>
          <t>ЮЛ РФ</t>
        </is>
      </c>
      <c r="F8354" s="13" t="n"/>
      <c r="G8354" s="14" t="n"/>
      <c r="H8354" s="14" t="n"/>
      <c r="I8354" s="14" t="n"/>
      <c r="J8354" s="14" t="n"/>
      <c r="K8354" s="53" t="inlineStr"/>
      <c r="L8354" s="53" t="inlineStr">
        <is>
          <t>Не определено</t>
        </is>
      </c>
      <c r="M8354" s="53" t="inlineStr"/>
      <c r="N8354" s="54" t="inlineStr"/>
      <c r="O8354" s="55" t="inlineStr"/>
      <c r="P8354" s="16" t="inlineStr">
        <is>
          <t>Требует обогащения</t>
        </is>
      </c>
      <c r="Q8354" s="16">
        <f>HYPERLINK("https://pb.nalog.ru/search.html?query=5018045058","ФНС: проверить")</f>
        <v/>
      </c>
      <c r="R8354" s="16">
        <f>HYPERLINK("https://checko.ru/search?query=3801001629","Чекко: проверить")</f>
        <v/>
      </c>
      <c r="S8354" t="n">
        <v>1</v>
      </c>
      <c r="T8354" s="35" t="inlineStr">
        <is>
          <t>4 — Не обогащён</t>
        </is>
      </c>
      <c r="U8354" s="35" t="inlineStr">
        <is>
          <t>Нет ОКВЭД/ССЧР</t>
        </is>
      </c>
      <c r="V8354" s="35" t="inlineStr">
        <is>
          <t>Не определено</t>
        </is>
      </c>
      <c r="W8354" s="35" t="inlineStr"/>
      <c r="X8354" s="35" t="inlineStr"/>
    </row>
    <row r="8355" ht="15" customHeight="1" s="24">
      <c r="A8355" s="13" t="n">
        <v>5000122913</v>
      </c>
      <c r="B8355" s="13" t="inlineStr">
        <is>
          <t>МБОУ "Лицей № 4"</t>
        </is>
      </c>
      <c r="C8355" s="13" t="n">
        <v>5054009288</v>
      </c>
      <c r="D8355" s="13" t="inlineStr">
        <is>
          <t>5054009288</t>
        </is>
      </c>
      <c r="E8355" s="13" t="inlineStr">
        <is>
          <t>ЮЛ РФ</t>
        </is>
      </c>
      <c r="F8355" s="13" t="n"/>
      <c r="G8355" s="14" t="n"/>
      <c r="H8355" s="14" t="n"/>
      <c r="I8355" s="14" t="n"/>
      <c r="J8355" s="14" t="n"/>
      <c r="K8355" s="53" t="inlineStr"/>
      <c r="L8355" s="53" t="inlineStr">
        <is>
          <t>Не определено</t>
        </is>
      </c>
      <c r="M8355" s="53" t="inlineStr"/>
      <c r="N8355" s="54" t="inlineStr"/>
      <c r="O8355" s="55" t="inlineStr"/>
      <c r="P8355" s="16" t="inlineStr">
        <is>
          <t>Требует обогащения</t>
        </is>
      </c>
      <c r="Q8355" s="16">
        <f>HYPERLINK("https://pb.nalog.ru/search.html?query=5054009288","ФНС: проверить")</f>
        <v/>
      </c>
      <c r="R8355" s="16">
        <f>HYPERLINK("https://checko.ru/search?query=3801001629","Чекко: проверить")</f>
        <v/>
      </c>
      <c r="S8355" t="n">
        <v>1</v>
      </c>
      <c r="T8355" s="35" t="inlineStr">
        <is>
          <t>4 — Не обогащён</t>
        </is>
      </c>
      <c r="U8355" s="35" t="inlineStr">
        <is>
          <t>Нет ОКВЭД/ССЧР</t>
        </is>
      </c>
      <c r="V8355" s="35" t="inlineStr">
        <is>
          <t>Не определено</t>
        </is>
      </c>
      <c r="W8355" s="35" t="inlineStr"/>
      <c r="X8355" s="35" t="inlineStr"/>
    </row>
    <row r="8356" ht="15" customHeight="1" s="24">
      <c r="A8356" s="13" t="n">
        <v>5000122914</v>
      </c>
      <c r="B8356" s="13" t="inlineStr">
        <is>
          <t>МБОУ "ЛИЦЕЙ № 5"</t>
        </is>
      </c>
      <c r="C8356" s="13" t="n">
        <v>5018195293</v>
      </c>
      <c r="D8356" s="13" t="inlineStr">
        <is>
          <t>5018195293</t>
        </is>
      </c>
      <c r="E8356" s="13" t="inlineStr">
        <is>
          <t>ЮЛ РФ</t>
        </is>
      </c>
      <c r="F8356" s="13" t="n"/>
      <c r="G8356" s="14" t="n"/>
      <c r="H8356" s="14" t="n"/>
      <c r="I8356" s="14" t="n"/>
      <c r="J8356" s="14" t="n"/>
      <c r="K8356" s="53" t="inlineStr"/>
      <c r="L8356" s="53" t="inlineStr">
        <is>
          <t>Не определено</t>
        </is>
      </c>
      <c r="M8356" s="53" t="inlineStr"/>
      <c r="N8356" s="54" t="inlineStr"/>
      <c r="O8356" s="55" t="inlineStr"/>
      <c r="P8356" s="16" t="inlineStr">
        <is>
          <t>Требует обогащения</t>
        </is>
      </c>
      <c r="Q8356" s="16">
        <f>HYPERLINK("https://pb.nalog.ru/search.html?query=5018195293","ФНС: проверить")</f>
        <v/>
      </c>
      <c r="R8356" s="16">
        <f>HYPERLINK("https://checko.ru/search?query=3801001629","Чекко: проверить")</f>
        <v/>
      </c>
      <c r="S8356" t="n">
        <v>1</v>
      </c>
      <c r="T8356" s="35" t="inlineStr">
        <is>
          <t>4 — Не обогащён</t>
        </is>
      </c>
      <c r="U8356" s="35" t="inlineStr">
        <is>
          <t>Нет ОКВЭД/ССЧР</t>
        </is>
      </c>
      <c r="V8356" s="35" t="inlineStr">
        <is>
          <t>Не определено</t>
        </is>
      </c>
      <c r="W8356" s="35" t="inlineStr"/>
      <c r="X8356" s="35" t="inlineStr"/>
    </row>
    <row r="8357" ht="15" customHeight="1" s="24">
      <c r="A8357" s="13" t="n">
        <v>5000122915</v>
      </c>
      <c r="B8357" s="13" t="inlineStr">
        <is>
          <t>МАОУ "ЛИЦЕЙ № 19"</t>
        </is>
      </c>
      <c r="C8357" s="13" t="n">
        <v>5018045065</v>
      </c>
      <c r="D8357" s="13" t="inlineStr">
        <is>
          <t>5018045065</t>
        </is>
      </c>
      <c r="E8357" s="13" t="inlineStr">
        <is>
          <t>ЮЛ РФ</t>
        </is>
      </c>
      <c r="F8357" s="13" t="n"/>
      <c r="G8357" s="14" t="n"/>
      <c r="H8357" s="14" t="n"/>
      <c r="I8357" s="14" t="n"/>
      <c r="J8357" s="14" t="n"/>
      <c r="K8357" s="53" t="inlineStr"/>
      <c r="L8357" s="53" t="inlineStr">
        <is>
          <t>Не определено</t>
        </is>
      </c>
      <c r="M8357" s="53" t="inlineStr"/>
      <c r="N8357" s="54" t="inlineStr"/>
      <c r="O8357" s="55" t="inlineStr"/>
      <c r="P8357" s="16" t="inlineStr">
        <is>
          <t>Требует обогащения</t>
        </is>
      </c>
      <c r="Q8357" s="16">
        <f>HYPERLINK("https://pb.nalog.ru/search.html?query=5018045065","ФНС: проверить")</f>
        <v/>
      </c>
      <c r="R8357" s="16">
        <f>HYPERLINK("https://checko.ru/search?query=3801001629","Чекко: проверить")</f>
        <v/>
      </c>
      <c r="S8357" t="n">
        <v>1</v>
      </c>
      <c r="T8357" s="35" t="inlineStr">
        <is>
          <t>4 — Не обогащён</t>
        </is>
      </c>
      <c r="U8357" s="35" t="inlineStr">
        <is>
          <t>Нет ОКВЭД/ССЧР</t>
        </is>
      </c>
      <c r="V8357" s="35" t="inlineStr">
        <is>
          <t>Не определено</t>
        </is>
      </c>
      <c r="W8357" s="35" t="inlineStr"/>
      <c r="X8357" s="35" t="inlineStr"/>
    </row>
    <row r="8358" ht="15" customHeight="1" s="24">
      <c r="A8358" s="13" t="n">
        <v>5000122916</v>
      </c>
      <c r="B8358" s="13" t="inlineStr">
        <is>
          <t>МБОУ "ГИМНАЗИЯ № 3 ИМ. Л.П. ДАНИЛИНОЙ"</t>
        </is>
      </c>
      <c r="C8358" s="13" t="n">
        <v>5054009256</v>
      </c>
      <c r="D8358" s="13" t="inlineStr">
        <is>
          <t>5054009256</t>
        </is>
      </c>
      <c r="E8358" s="13" t="inlineStr">
        <is>
          <t>ЮЛ РФ</t>
        </is>
      </c>
      <c r="F8358" s="13" t="n"/>
      <c r="G8358" s="14" t="n"/>
      <c r="H8358" s="14" t="n"/>
      <c r="I8358" s="14" t="n"/>
      <c r="J8358" s="14" t="n"/>
      <c r="K8358" s="53" t="inlineStr"/>
      <c r="L8358" s="53" t="inlineStr">
        <is>
          <t>Не определено</t>
        </is>
      </c>
      <c r="M8358" s="53" t="inlineStr"/>
      <c r="N8358" s="54" t="inlineStr"/>
      <c r="O8358" s="55" t="inlineStr"/>
      <c r="P8358" s="16" t="inlineStr">
        <is>
          <t>Требует обогащения</t>
        </is>
      </c>
      <c r="Q8358" s="16">
        <f>HYPERLINK("https://pb.nalog.ru/search.html?query=5054009256","ФНС: проверить")</f>
        <v/>
      </c>
      <c r="R8358" s="16">
        <f>HYPERLINK("https://checko.ru/search?query=3801001629","Чекко: проверить")</f>
        <v/>
      </c>
      <c r="S8358" t="n">
        <v>1</v>
      </c>
      <c r="T8358" s="35" t="inlineStr">
        <is>
          <t>4 — Не обогащён</t>
        </is>
      </c>
      <c r="U8358" s="35" t="inlineStr">
        <is>
          <t>Нет ОКВЭД/ССЧР</t>
        </is>
      </c>
      <c r="V8358" s="35" t="inlineStr">
        <is>
          <t>Не определено</t>
        </is>
      </c>
      <c r="W8358" s="35" t="inlineStr"/>
      <c r="X8358" s="35" t="inlineStr"/>
    </row>
    <row r="8359" ht="15" customHeight="1" s="24">
      <c r="A8359" s="13" t="n">
        <v>5000122918</v>
      </c>
      <c r="B8359" s="13" t="inlineStr">
        <is>
          <t>МАОУ "ГИМНАЗИЯ №9"</t>
        </is>
      </c>
      <c r="C8359" s="13" t="n">
        <v>5018044865</v>
      </c>
      <c r="D8359" s="13" t="inlineStr">
        <is>
          <t>5018044865</t>
        </is>
      </c>
      <c r="E8359" s="13" t="inlineStr">
        <is>
          <t>ЮЛ РФ</t>
        </is>
      </c>
      <c r="F8359" s="13" t="n"/>
      <c r="G8359" s="14" t="n"/>
      <c r="H8359" s="14" t="n"/>
      <c r="I8359" s="14" t="n"/>
      <c r="J8359" s="14" t="n"/>
      <c r="K8359" s="53" t="inlineStr"/>
      <c r="L8359" s="53" t="inlineStr">
        <is>
          <t>Не определено</t>
        </is>
      </c>
      <c r="M8359" s="53" t="inlineStr"/>
      <c r="N8359" s="54" t="inlineStr"/>
      <c r="O8359" s="55" t="inlineStr"/>
      <c r="P8359" s="16" t="inlineStr">
        <is>
          <t>Требует обогащения</t>
        </is>
      </c>
      <c r="Q8359" s="16">
        <f>HYPERLINK("https://pb.nalog.ru/search.html?query=5018044865","ФНС: проверить")</f>
        <v/>
      </c>
      <c r="R8359" s="16">
        <f>HYPERLINK("https://checko.ru/search?query=3801001629","Чекко: проверить")</f>
        <v/>
      </c>
      <c r="S8359" t="n">
        <v>1</v>
      </c>
      <c r="T8359" s="35" t="inlineStr">
        <is>
          <t>4 — Не обогащён</t>
        </is>
      </c>
      <c r="U8359" s="35" t="inlineStr">
        <is>
          <t>Нет ОКВЭД/ССЧР</t>
        </is>
      </c>
      <c r="V8359" s="35" t="inlineStr">
        <is>
          <t>Не определено</t>
        </is>
      </c>
      <c r="W8359" s="35" t="inlineStr"/>
      <c r="X8359" s="35" t="inlineStr"/>
    </row>
    <row r="8360" ht="15" customHeight="1" s="24">
      <c r="A8360" s="13" t="n">
        <v>5000122919</v>
      </c>
      <c r="B8360" s="13" t="inlineStr">
        <is>
          <t>МБОУ "ГИМНАЗИЯ № 17"</t>
        </is>
      </c>
      <c r="C8360" s="13" t="n">
        <v>5018044921</v>
      </c>
      <c r="D8360" s="13" t="inlineStr">
        <is>
          <t>5018044921</t>
        </is>
      </c>
      <c r="E8360" s="13" t="inlineStr">
        <is>
          <t>ЮЛ РФ</t>
        </is>
      </c>
      <c r="F8360" s="13" t="n"/>
      <c r="G8360" s="14" t="n"/>
      <c r="H8360" s="14" t="n"/>
      <c r="I8360" s="14" t="n"/>
      <c r="J8360" s="14" t="n"/>
      <c r="K8360" s="53" t="inlineStr"/>
      <c r="L8360" s="53" t="inlineStr">
        <is>
          <t>Не определено</t>
        </is>
      </c>
      <c r="M8360" s="53" t="inlineStr"/>
      <c r="N8360" s="54" t="inlineStr"/>
      <c r="O8360" s="55" t="inlineStr"/>
      <c r="P8360" s="16" t="inlineStr">
        <is>
          <t>Требует обогащения</t>
        </is>
      </c>
      <c r="Q8360" s="16">
        <f>HYPERLINK("https://pb.nalog.ru/search.html?query=5018044921","ФНС: проверить")</f>
        <v/>
      </c>
      <c r="R8360" s="16">
        <f>HYPERLINK("https://checko.ru/search?query=3801001629","Чекко: проверить")</f>
        <v/>
      </c>
      <c r="S8360" t="n">
        <v>1</v>
      </c>
      <c r="T8360" s="35" t="inlineStr">
        <is>
          <t>4 — Не обогащён</t>
        </is>
      </c>
      <c r="U8360" s="35" t="inlineStr">
        <is>
          <t>Нет ОКВЭД/ССЧР</t>
        </is>
      </c>
      <c r="V8360" s="35" t="inlineStr">
        <is>
          <t>Не определено</t>
        </is>
      </c>
      <c r="W8360" s="35" t="inlineStr"/>
      <c r="X8360" s="35" t="inlineStr"/>
    </row>
    <row r="8361" ht="15" customHeight="1" s="24">
      <c r="A8361" s="13" t="n">
        <v>5000122920</v>
      </c>
      <c r="B8361" s="13" t="inlineStr">
        <is>
          <t>МБОУ "ГИМНАЗИЯ № 18 ИМЕНИ И.Я. ИЛЮШИНА"</t>
        </is>
      </c>
      <c r="C8361" s="13" t="n">
        <v>5018047288</v>
      </c>
      <c r="D8361" s="13" t="inlineStr">
        <is>
          <t>5018047288</t>
        </is>
      </c>
      <c r="E8361" s="13" t="inlineStr">
        <is>
          <t>ЮЛ РФ</t>
        </is>
      </c>
      <c r="F8361" s="13" t="n"/>
      <c r="G8361" s="14" t="n"/>
      <c r="H8361" s="14" t="n"/>
      <c r="I8361" s="14" t="n"/>
      <c r="J8361" s="14" t="n"/>
      <c r="K8361" s="53" t="inlineStr"/>
      <c r="L8361" s="53" t="inlineStr">
        <is>
          <t>Не определено</t>
        </is>
      </c>
      <c r="M8361" s="53" t="inlineStr"/>
      <c r="N8361" s="54" t="inlineStr"/>
      <c r="O8361" s="55" t="inlineStr"/>
      <c r="P8361" s="16" t="inlineStr">
        <is>
          <t>Требует обогащения</t>
        </is>
      </c>
      <c r="Q8361" s="16">
        <f>HYPERLINK("https://pb.nalog.ru/search.html?query=5018047288","ФНС: проверить")</f>
        <v/>
      </c>
      <c r="R8361" s="16">
        <f>HYPERLINK("https://checko.ru/search?query=3801001629","Чекко: проверить")</f>
        <v/>
      </c>
      <c r="S8361" t="n">
        <v>1</v>
      </c>
      <c r="T8361" s="35" t="inlineStr">
        <is>
          <t>4 — Не обогащён</t>
        </is>
      </c>
      <c r="U8361" s="35" t="inlineStr">
        <is>
          <t>Нет ОКВЭД/ССЧР</t>
        </is>
      </c>
      <c r="V8361" s="35" t="inlineStr">
        <is>
          <t>Не определено</t>
        </is>
      </c>
      <c r="W8361" s="35" t="inlineStr"/>
      <c r="X8361" s="35" t="inlineStr"/>
    </row>
    <row r="8362" ht="15" customHeight="1" s="24">
      <c r="A8362" s="13" t="n">
        <v>5000122921</v>
      </c>
      <c r="B8362" s="13" t="inlineStr">
        <is>
          <t>МБОУ ШИ ДЛЯ СЛЕПЫХ И СЛАБОВИДЯЩИХ ДЕТЕЙ</t>
        </is>
      </c>
      <c r="C8362" s="13" t="n">
        <v>5018044960</v>
      </c>
      <c r="D8362" s="13" t="inlineStr">
        <is>
          <t>5018044960</t>
        </is>
      </c>
      <c r="E8362" s="13" t="inlineStr">
        <is>
          <t>ЮЛ РФ</t>
        </is>
      </c>
      <c r="F8362" s="13" t="n"/>
      <c r="G8362" s="14" t="n"/>
      <c r="H8362" s="14" t="n"/>
      <c r="I8362" s="14" t="n"/>
      <c r="J8362" s="14" t="n"/>
      <c r="K8362" s="53" t="inlineStr"/>
      <c r="L8362" s="53" t="inlineStr">
        <is>
          <t>Не определено</t>
        </is>
      </c>
      <c r="M8362" s="53" t="inlineStr"/>
      <c r="N8362" s="54" t="inlineStr"/>
      <c r="O8362" s="55" t="inlineStr"/>
      <c r="P8362" s="16" t="inlineStr">
        <is>
          <t>Требует обогащения</t>
        </is>
      </c>
      <c r="Q8362" s="16">
        <f>HYPERLINK("https://pb.nalog.ru/search.html?query=5018044960","ФНС: проверить")</f>
        <v/>
      </c>
      <c r="R8362" s="16">
        <f>HYPERLINK("https://checko.ru/search?query=3801001629","Чекко: проверить")</f>
        <v/>
      </c>
      <c r="S8362" t="n">
        <v>1</v>
      </c>
      <c r="T8362" s="35" t="inlineStr">
        <is>
          <t>4 — Не обогащён</t>
        </is>
      </c>
      <c r="U8362" s="35" t="inlineStr">
        <is>
          <t>Нет ОКВЭД/ССЧР</t>
        </is>
      </c>
      <c r="V8362" s="35" t="inlineStr">
        <is>
          <t>Не определено</t>
        </is>
      </c>
      <c r="W8362" s="35" t="inlineStr"/>
      <c r="X8362" s="35" t="inlineStr"/>
    </row>
    <row r="8363" ht="15" customHeight="1" s="24">
      <c r="A8363" s="13" t="n">
        <v>5000122922</v>
      </c>
      <c r="B8363" s="13" t="inlineStr">
        <is>
          <t>МКОУ ШИ</t>
        </is>
      </c>
      <c r="C8363" s="13" t="n">
        <v>5018045890</v>
      </c>
      <c r="D8363" s="13" t="inlineStr">
        <is>
          <t>5018045890</t>
        </is>
      </c>
      <c r="E8363" s="13" t="inlineStr">
        <is>
          <t>ЮЛ РФ</t>
        </is>
      </c>
      <c r="F8363" s="13" t="n"/>
      <c r="G8363" s="14" t="n"/>
      <c r="H8363" s="14" t="n"/>
      <c r="I8363" s="14" t="n"/>
      <c r="J8363" s="14" t="n"/>
      <c r="K8363" s="53" t="inlineStr"/>
      <c r="L8363" s="53" t="inlineStr">
        <is>
          <t>Не определено</t>
        </is>
      </c>
      <c r="M8363" s="53" t="inlineStr"/>
      <c r="N8363" s="54" t="inlineStr"/>
      <c r="O8363" s="55" t="inlineStr"/>
      <c r="P8363" s="16" t="inlineStr">
        <is>
          <t>Требует обогащения</t>
        </is>
      </c>
      <c r="Q8363" s="16">
        <f>HYPERLINK("https://pb.nalog.ru/search.html?query=5018045890","ФНС: проверить")</f>
        <v/>
      </c>
      <c r="R8363" s="16">
        <f>HYPERLINK("https://checko.ru/search?query=3801001629","Чекко: проверить")</f>
        <v/>
      </c>
      <c r="S8363" t="n">
        <v>1</v>
      </c>
      <c r="T8363" s="35" t="inlineStr">
        <is>
          <t>4 — Не обогащён</t>
        </is>
      </c>
      <c r="U8363" s="35" t="inlineStr">
        <is>
          <t>Нет ОКВЭД/ССЧР</t>
        </is>
      </c>
      <c r="V8363" s="35" t="inlineStr">
        <is>
          <t>Не определено</t>
        </is>
      </c>
      <c r="W8363" s="35" t="inlineStr"/>
      <c r="X8363" s="35" t="inlineStr"/>
    </row>
    <row r="8364" ht="15" customHeight="1" s="24">
      <c r="A8364" s="13" t="n">
        <v>5000122923</v>
      </c>
      <c r="B8364" s="13" t="inlineStr">
        <is>
          <t>МБУ ДО "ЦЕНТР ОРБИТА"</t>
        </is>
      </c>
      <c r="C8364" s="13" t="n">
        <v>5018045241</v>
      </c>
      <c r="D8364" s="13" t="inlineStr">
        <is>
          <t>5018045241</t>
        </is>
      </c>
      <c r="E8364" s="13" t="inlineStr">
        <is>
          <t>ЮЛ РФ</t>
        </is>
      </c>
      <c r="F8364" s="13" t="n"/>
      <c r="G8364" s="14" t="n"/>
      <c r="H8364" s="14" t="n"/>
      <c r="I8364" s="14" t="n"/>
      <c r="J8364" s="14" t="n"/>
      <c r="K8364" s="53" t="inlineStr"/>
      <c r="L8364" s="53" t="inlineStr">
        <is>
          <t>Не определено</t>
        </is>
      </c>
      <c r="M8364" s="53" t="inlineStr"/>
      <c r="N8364" s="54" t="inlineStr"/>
      <c r="O8364" s="55" t="inlineStr"/>
      <c r="P8364" s="16" t="inlineStr">
        <is>
          <t>Требует обогащения</t>
        </is>
      </c>
      <c r="Q8364" s="16">
        <f>HYPERLINK("https://pb.nalog.ru/search.html?query=5018045241","ФНС: проверить")</f>
        <v/>
      </c>
      <c r="R8364" s="16">
        <f>HYPERLINK("https://checko.ru/search?query=3801001629","Чекко: проверить")</f>
        <v/>
      </c>
      <c r="S8364" t="n">
        <v>1</v>
      </c>
      <c r="T8364" s="35" t="inlineStr">
        <is>
          <t>4 — Не обогащён</t>
        </is>
      </c>
      <c r="U8364" s="35" t="inlineStr">
        <is>
          <t>Нет ОКВЭД/ССЧР</t>
        </is>
      </c>
      <c r="V8364" s="35" t="inlineStr">
        <is>
          <t>Не определено</t>
        </is>
      </c>
      <c r="W8364" s="35" t="inlineStr"/>
      <c r="X8364" s="35" t="inlineStr"/>
    </row>
    <row r="8365" ht="15" customHeight="1" s="24">
      <c r="A8365" s="13" t="n">
        <v>5000122924</v>
      </c>
      <c r="B8365" s="13" t="inlineStr">
        <is>
          <t>МБУ ДО ЦХИГО "ШКОЛА КЛАССИКА-АРТ"</t>
        </is>
      </c>
      <c r="C8365" s="13" t="n">
        <v>5054009619</v>
      </c>
      <c r="D8365" s="13" t="inlineStr">
        <is>
          <t>5054009619</t>
        </is>
      </c>
      <c r="E8365" s="13" t="inlineStr">
        <is>
          <t>ЮЛ РФ</t>
        </is>
      </c>
      <c r="F8365" s="13" t="n"/>
      <c r="G8365" s="14" t="n"/>
      <c r="H8365" s="14" t="n"/>
      <c r="I8365" s="14" t="n"/>
      <c r="J8365" s="14" t="n"/>
      <c r="K8365" s="53" t="inlineStr"/>
      <c r="L8365" s="53" t="inlineStr">
        <is>
          <t>Не определено</t>
        </is>
      </c>
      <c r="M8365" s="53" t="inlineStr"/>
      <c r="N8365" s="54" t="inlineStr"/>
      <c r="O8365" s="55" t="inlineStr"/>
      <c r="P8365" s="16" t="inlineStr">
        <is>
          <t>Требует обогащения</t>
        </is>
      </c>
      <c r="Q8365" s="16">
        <f>HYPERLINK("https://pb.nalog.ru/search.html?query=5054009619","ФНС: проверить")</f>
        <v/>
      </c>
      <c r="R8365" s="16">
        <f>HYPERLINK("https://checko.ru/search?query=3801001629","Чекко: проверить")</f>
        <v/>
      </c>
      <c r="S8365" t="n">
        <v>1</v>
      </c>
      <c r="T8365" s="35" t="inlineStr">
        <is>
          <t>4 — Не обогащён</t>
        </is>
      </c>
      <c r="U8365" s="35" t="inlineStr">
        <is>
          <t>Нет ОКВЭД/ССЧР</t>
        </is>
      </c>
      <c r="V8365" s="35" t="inlineStr">
        <is>
          <t>Не определено</t>
        </is>
      </c>
      <c r="W8365" s="35" t="inlineStr"/>
      <c r="X8365" s="35" t="inlineStr"/>
    </row>
    <row r="8366" ht="15" customHeight="1" s="24">
      <c r="A8366" s="13" t="n">
        <v>5000122925</v>
      </c>
      <c r="B8366" s="13" t="inlineStr">
        <is>
          <t>МБУДО ДЮТ</t>
        </is>
      </c>
      <c r="C8366" s="13" t="n">
        <v>5018048154</v>
      </c>
      <c r="D8366" s="13" t="inlineStr">
        <is>
          <t>5018048154</t>
        </is>
      </c>
      <c r="E8366" s="13" t="inlineStr">
        <is>
          <t>ЮЛ РФ</t>
        </is>
      </c>
      <c r="F8366" s="13" t="n"/>
      <c r="G8366" s="14" t="n"/>
      <c r="H8366" s="14" t="n"/>
      <c r="I8366" s="14" t="n"/>
      <c r="J8366" s="14" t="n"/>
      <c r="K8366" s="53" t="inlineStr"/>
      <c r="L8366" s="53" t="inlineStr">
        <is>
          <t>Не определено</t>
        </is>
      </c>
      <c r="M8366" s="53" t="inlineStr"/>
      <c r="N8366" s="54" t="inlineStr"/>
      <c r="O8366" s="55" t="inlineStr"/>
      <c r="P8366" s="16" t="inlineStr">
        <is>
          <t>Требует обогащения</t>
        </is>
      </c>
      <c r="Q8366" s="16">
        <f>HYPERLINK("https://pb.nalog.ru/search.html?query=5018048154","ФНС: проверить")</f>
        <v/>
      </c>
      <c r="R8366" s="16">
        <f>HYPERLINK("https://checko.ru/search?query=3801001629","Чекко: проверить")</f>
        <v/>
      </c>
      <c r="S8366" t="n">
        <v>1</v>
      </c>
      <c r="T8366" s="35" t="inlineStr">
        <is>
          <t>4 — Не обогащён</t>
        </is>
      </c>
      <c r="U8366" s="35" t="inlineStr">
        <is>
          <t>Нет ОКВЭД/ССЧР</t>
        </is>
      </c>
      <c r="V8366" s="35" t="inlineStr">
        <is>
          <t>Не определено</t>
        </is>
      </c>
      <c r="W8366" s="35" t="inlineStr"/>
      <c r="X8366" s="35" t="inlineStr"/>
    </row>
    <row r="8367" ht="15" customHeight="1" s="24">
      <c r="A8367" s="13" t="n">
        <v>5000122927</v>
      </c>
      <c r="B8367" s="13" t="inlineStr">
        <is>
          <t>МАУДО "ЦЕНТР ХУДОЖЕСТВЕННОГО МАСТЕРСТВА"</t>
        </is>
      </c>
      <c r="C8367" s="13" t="n">
        <v>5018048901</v>
      </c>
      <c r="D8367" s="13" t="inlineStr">
        <is>
          <t>5018048901</t>
        </is>
      </c>
      <c r="E8367" s="13" t="inlineStr">
        <is>
          <t>ЮЛ РФ</t>
        </is>
      </c>
      <c r="F8367" s="13" t="n"/>
      <c r="G8367" s="14" t="n"/>
      <c r="H8367" s="14" t="n"/>
      <c r="I8367" s="14" t="n"/>
      <c r="J8367" s="14" t="n"/>
      <c r="K8367" s="53" t="inlineStr"/>
      <c r="L8367" s="53" t="inlineStr">
        <is>
          <t>Не определено</t>
        </is>
      </c>
      <c r="M8367" s="53" t="inlineStr"/>
      <c r="N8367" s="54" t="inlineStr"/>
      <c r="O8367" s="55" t="inlineStr"/>
      <c r="P8367" s="16" t="inlineStr">
        <is>
          <t>Требует обогащения</t>
        </is>
      </c>
      <c r="Q8367" s="16">
        <f>HYPERLINK("https://pb.nalog.ru/search.html?query=5018048901","ФНС: проверить")</f>
        <v/>
      </c>
      <c r="R8367" s="16">
        <f>HYPERLINK("https://checko.ru/search?query=3801001629","Чекко: проверить")</f>
        <v/>
      </c>
      <c r="S8367" t="n">
        <v>1</v>
      </c>
      <c r="T8367" s="35" t="inlineStr">
        <is>
          <t>4 — Не обогащён</t>
        </is>
      </c>
      <c r="U8367" s="35" t="inlineStr">
        <is>
          <t>Нет ОКВЭД/ССЧР</t>
        </is>
      </c>
      <c r="V8367" s="35" t="inlineStr">
        <is>
          <t>Не определено</t>
        </is>
      </c>
      <c r="W8367" s="35" t="inlineStr"/>
      <c r="X8367" s="35" t="inlineStr"/>
    </row>
    <row r="8368" ht="15" customHeight="1" s="24">
      <c r="A8368" s="13" t="n">
        <v>5000122928</v>
      </c>
      <c r="B8368" s="13" t="inlineStr">
        <is>
          <t>МАУ ДО "ЦЕНТР ГАРМОНИЯ"</t>
        </is>
      </c>
      <c r="C8368" s="13" t="n">
        <v>5018082998</v>
      </c>
      <c r="D8368" s="13" t="inlineStr">
        <is>
          <t>5018082998</t>
        </is>
      </c>
      <c r="E8368" s="13" t="inlineStr">
        <is>
          <t>ЮЛ РФ</t>
        </is>
      </c>
      <c r="F8368" s="13" t="n"/>
      <c r="G8368" s="14" t="n"/>
      <c r="H8368" s="14" t="n"/>
      <c r="I8368" s="14" t="n"/>
      <c r="J8368" s="14" t="n"/>
      <c r="K8368" s="53" t="inlineStr"/>
      <c r="L8368" s="53" t="inlineStr">
        <is>
          <t>Не определено</t>
        </is>
      </c>
      <c r="M8368" s="53" t="inlineStr"/>
      <c r="N8368" s="54" t="inlineStr"/>
      <c r="O8368" s="55" t="inlineStr"/>
      <c r="P8368" s="16" t="inlineStr">
        <is>
          <t>Требует обогащения</t>
        </is>
      </c>
      <c r="Q8368" s="16">
        <f>HYPERLINK("https://pb.nalog.ru/search.html?query=5018082998","ФНС: проверить")</f>
        <v/>
      </c>
      <c r="R8368" s="16">
        <f>HYPERLINK("https://checko.ru/search?query=3801001629","Чекко: проверить")</f>
        <v/>
      </c>
      <c r="S8368" t="n">
        <v>1</v>
      </c>
      <c r="T8368" s="35" t="inlineStr">
        <is>
          <t>4 — Не обогащён</t>
        </is>
      </c>
      <c r="U8368" s="35" t="inlineStr">
        <is>
          <t>Нет ОКВЭД/ССЧР</t>
        </is>
      </c>
      <c r="V8368" s="35" t="inlineStr">
        <is>
          <t>Не определено</t>
        </is>
      </c>
      <c r="W8368" s="35" t="inlineStr"/>
      <c r="X8368" s="35" t="inlineStr"/>
    </row>
    <row r="8369" ht="15" customHeight="1" s="24">
      <c r="A8369" s="13" t="n">
        <v>5000122929</v>
      </c>
      <c r="B8369" s="13" t="inlineStr">
        <is>
          <t>МАУ ЦЕНТР "РОДНИК"</t>
        </is>
      </c>
      <c r="C8369" s="13" t="n">
        <v>5018098116</v>
      </c>
      <c r="D8369" s="13" t="inlineStr">
        <is>
          <t>5018098116</t>
        </is>
      </c>
      <c r="E8369" s="13" t="inlineStr">
        <is>
          <t>ЮЛ РФ</t>
        </is>
      </c>
      <c r="F8369" s="13" t="n"/>
      <c r="G8369" s="14" t="n"/>
      <c r="H8369" s="14" t="n"/>
      <c r="I8369" s="14" t="n"/>
      <c r="J8369" s="14" t="n"/>
      <c r="K8369" s="53" t="inlineStr"/>
      <c r="L8369" s="53" t="inlineStr">
        <is>
          <t>Не определено</t>
        </is>
      </c>
      <c r="M8369" s="53" t="inlineStr"/>
      <c r="N8369" s="54" t="inlineStr"/>
      <c r="O8369" s="55" t="inlineStr"/>
      <c r="P8369" s="16" t="inlineStr">
        <is>
          <t>Требует обогащения</t>
        </is>
      </c>
      <c r="Q8369" s="16">
        <f>HYPERLINK("https://pb.nalog.ru/search.html?query=5018098116","ФНС: проверить")</f>
        <v/>
      </c>
      <c r="R8369" s="16">
        <f>HYPERLINK("https://checko.ru/search?query=3801001629","Чекко: проверить")</f>
        <v/>
      </c>
      <c r="S8369" t="n">
        <v>1</v>
      </c>
      <c r="T8369" s="35" t="inlineStr">
        <is>
          <t>4 — Не обогащён</t>
        </is>
      </c>
      <c r="U8369" s="35" t="inlineStr">
        <is>
          <t>Нет ОКВЭД/ССЧР</t>
        </is>
      </c>
      <c r="V8369" s="35" t="inlineStr">
        <is>
          <t>Не определено</t>
        </is>
      </c>
      <c r="W8369" s="35" t="inlineStr"/>
      <c r="X8369" s="35" t="inlineStr"/>
    </row>
    <row r="8370" ht="15" customHeight="1" s="24">
      <c r="A8370" s="13" t="n">
        <v>5000122930</v>
      </c>
      <c r="B8370" s="13" t="inlineStr">
        <is>
          <t>МБУ ХЭК КО</t>
        </is>
      </c>
      <c r="C8370" s="13" t="n">
        <v>5018138633</v>
      </c>
      <c r="D8370" s="13" t="inlineStr">
        <is>
          <t>5018138633</t>
        </is>
      </c>
      <c r="E8370" s="13" t="inlineStr">
        <is>
          <t>ЮЛ РФ</t>
        </is>
      </c>
      <c r="F8370" s="13" t="n"/>
      <c r="G8370" s="14" t="n"/>
      <c r="H8370" s="14" t="n"/>
      <c r="I8370" s="14" t="n"/>
      <c r="J8370" s="14" t="n"/>
      <c r="K8370" s="53" t="inlineStr"/>
      <c r="L8370" s="53" t="inlineStr">
        <is>
          <t>Не определено</t>
        </is>
      </c>
      <c r="M8370" s="53" t="inlineStr"/>
      <c r="N8370" s="54" t="inlineStr"/>
      <c r="O8370" s="55" t="inlineStr"/>
      <c r="P8370" s="16" t="inlineStr">
        <is>
          <t>Требует обогащения</t>
        </is>
      </c>
      <c r="Q8370" s="16">
        <f>HYPERLINK("https://pb.nalog.ru/search.html?query=5018138633","ФНС: проверить")</f>
        <v/>
      </c>
      <c r="R8370" s="16">
        <f>HYPERLINK("https://checko.ru/search?query=3801001629","Чекко: проверить")</f>
        <v/>
      </c>
      <c r="S8370" t="n">
        <v>1</v>
      </c>
      <c r="T8370" s="35" t="inlineStr">
        <is>
          <t>4 — Не обогащён</t>
        </is>
      </c>
      <c r="U8370" s="35" t="inlineStr">
        <is>
          <t>Нет ОКВЭД/ССЧР</t>
        </is>
      </c>
      <c r="V8370" s="35" t="inlineStr">
        <is>
          <t>Не определено</t>
        </is>
      </c>
      <c r="W8370" s="35" t="inlineStr"/>
      <c r="X8370" s="35" t="inlineStr"/>
    </row>
    <row r="8371" ht="15" customHeight="1" s="24">
      <c r="A8371" s="13" t="n">
        <v>5000122897</v>
      </c>
      <c r="B8371" s="13" t="inlineStr">
        <is>
          <t>МБУ ДО "ДЕТСКАЯ МУЗЫКАЛЬНАЯ ШКОЛА"</t>
        </is>
      </c>
      <c r="C8371" s="13" t="n">
        <v>5054009626</v>
      </c>
      <c r="D8371" s="13" t="inlineStr">
        <is>
          <t>5054009626</t>
        </is>
      </c>
      <c r="E8371" s="13" t="inlineStr">
        <is>
          <t>ЮЛ РФ</t>
        </is>
      </c>
      <c r="F8371" s="13" t="n"/>
      <c r="G8371" s="14" t="n"/>
      <c r="H8371" s="14" t="n"/>
      <c r="I8371" s="14" t="n"/>
      <c r="J8371" s="14" t="n"/>
      <c r="K8371" s="53" t="inlineStr"/>
      <c r="L8371" s="53" t="inlineStr">
        <is>
          <t>Не определено</t>
        </is>
      </c>
      <c r="M8371" s="53" t="inlineStr"/>
      <c r="N8371" s="54" t="inlineStr"/>
      <c r="O8371" s="55" t="inlineStr"/>
      <c r="P8371" s="16" t="inlineStr">
        <is>
          <t>Требует обогащения</t>
        </is>
      </c>
      <c r="Q8371" s="16">
        <f>HYPERLINK("https://pb.nalog.ru/search.html?query=5054009626","ФНС: проверить")</f>
        <v/>
      </c>
      <c r="R8371" s="16">
        <f>HYPERLINK("https://checko.ru/search?query=3801001629","Чекко: проверить")</f>
        <v/>
      </c>
      <c r="S8371" t="n">
        <v>1</v>
      </c>
      <c r="T8371" s="35" t="inlineStr">
        <is>
          <t>4 — Не обогащён</t>
        </is>
      </c>
      <c r="U8371" s="35" t="inlineStr">
        <is>
          <t>Нет ОКВЭД/ССЧР</t>
        </is>
      </c>
      <c r="V8371" s="35" t="inlineStr">
        <is>
          <t>Не определено</t>
        </is>
      </c>
      <c r="W8371" s="35" t="inlineStr"/>
      <c r="X8371" s="35" t="inlineStr"/>
    </row>
    <row r="8372" ht="15" customHeight="1" s="24">
      <c r="A8372" s="13" t="n">
        <v>5000122883</v>
      </c>
      <c r="B8372" s="13" t="inlineStr">
        <is>
          <t>МБУК "ТЮЗ ИМ. Н.Н. ЕРМАКОВОЙ"</t>
        </is>
      </c>
      <c r="C8372" s="13" t="n">
        <v>5018042650</v>
      </c>
      <c r="D8372" s="13" t="inlineStr">
        <is>
          <t>5018042650</t>
        </is>
      </c>
      <c r="E8372" s="13" t="inlineStr">
        <is>
          <t>ЮЛ РФ</t>
        </is>
      </c>
      <c r="F8372" s="13" t="n"/>
      <c r="G8372" s="14" t="n"/>
      <c r="H8372" s="14" t="n"/>
      <c r="I8372" s="14" t="n"/>
      <c r="J8372" s="14" t="n"/>
      <c r="K8372" s="53" t="inlineStr"/>
      <c r="L8372" s="53" t="inlineStr">
        <is>
          <t>Не определено</t>
        </is>
      </c>
      <c r="M8372" s="53" t="inlineStr"/>
      <c r="N8372" s="54" t="inlineStr"/>
      <c r="O8372" s="55" t="inlineStr"/>
      <c r="P8372" s="16" t="inlineStr">
        <is>
          <t>Требует обогащения</t>
        </is>
      </c>
      <c r="Q8372" s="16">
        <f>HYPERLINK("https://pb.nalog.ru/search.html?query=5018042650","ФНС: проверить")</f>
        <v/>
      </c>
      <c r="R8372" s="16">
        <f>HYPERLINK("https://checko.ru/search?query=3801001629","Чекко: проверить")</f>
        <v/>
      </c>
      <c r="S8372" t="n">
        <v>1</v>
      </c>
      <c r="T8372" s="35" t="inlineStr">
        <is>
          <t>4 — Не обогащён</t>
        </is>
      </c>
      <c r="U8372" s="35" t="inlineStr">
        <is>
          <t>Нет ОКВЭД/ССЧР</t>
        </is>
      </c>
      <c r="V8372" s="35" t="inlineStr">
        <is>
          <t>Не определено</t>
        </is>
      </c>
      <c r="W8372" s="35" t="inlineStr"/>
      <c r="X8372" s="35" t="inlineStr"/>
    </row>
    <row r="8373" ht="27.75" customHeight="1" s="24">
      <c r="A8373" s="13" t="n">
        <v>5000122884</v>
      </c>
      <c r="B8373" s="13" t="inlineStr">
        <is>
          <t>Контрольно-счётная палата городского округа Королёв Московской области</t>
        </is>
      </c>
      <c r="C8373" s="13" t="n">
        <v>5018167514</v>
      </c>
      <c r="D8373" s="13" t="inlineStr">
        <is>
          <t>5018167514</t>
        </is>
      </c>
      <c r="E8373" s="13" t="inlineStr">
        <is>
          <t>ЮЛ РФ</t>
        </is>
      </c>
      <c r="F8373" s="13" t="n"/>
      <c r="G8373" s="14" t="n"/>
      <c r="H8373" s="14" t="n"/>
      <c r="I8373" s="14" t="n"/>
      <c r="J8373" s="14" t="n"/>
      <c r="K8373" s="53" t="inlineStr"/>
      <c r="L8373" s="53" t="inlineStr">
        <is>
          <t>Не определено</t>
        </is>
      </c>
      <c r="M8373" s="53" t="inlineStr"/>
      <c r="N8373" s="54" t="inlineStr"/>
      <c r="O8373" s="55" t="inlineStr"/>
      <c r="P8373" s="16" t="inlineStr">
        <is>
          <t>Требует обогащения</t>
        </is>
      </c>
      <c r="Q8373" s="16">
        <f>HYPERLINK("https://pb.nalog.ru/search.html?query=5018167514","ФНС: проверить")</f>
        <v/>
      </c>
      <c r="R8373" s="16">
        <f>HYPERLINK("https://checko.ru/search?query=3801001629","Чекко: проверить")</f>
        <v/>
      </c>
      <c r="S8373" t="n">
        <v>1</v>
      </c>
      <c r="T8373" s="35" t="inlineStr">
        <is>
          <t>4 — Не обогащён</t>
        </is>
      </c>
      <c r="U8373" s="35" t="inlineStr">
        <is>
          <t>Нет ОКВЭД/ССЧР</t>
        </is>
      </c>
      <c r="V8373" s="35" t="inlineStr">
        <is>
          <t>Не определено</t>
        </is>
      </c>
      <c r="W8373" s="35" t="inlineStr"/>
      <c r="X8373" s="35" t="inlineStr"/>
    </row>
    <row r="8374" ht="15" customHeight="1" s="24">
      <c r="A8374" s="13" t="n">
        <v>5000122891</v>
      </c>
      <c r="B8374" s="13" t="inlineStr">
        <is>
          <t>МКУ "Управление статистики"</t>
        </is>
      </c>
      <c r="C8374" s="13" t="n">
        <v>5018048524</v>
      </c>
      <c r="D8374" s="13" t="inlineStr">
        <is>
          <t>5018048524</t>
        </is>
      </c>
      <c r="E8374" s="13" t="inlineStr">
        <is>
          <t>ЮЛ РФ</t>
        </is>
      </c>
      <c r="F8374" s="13" t="n"/>
      <c r="G8374" s="14" t="n"/>
      <c r="H8374" s="14" t="n"/>
      <c r="I8374" s="14" t="n"/>
      <c r="J8374" s="14" t="n"/>
      <c r="K8374" s="53" t="inlineStr"/>
      <c r="L8374" s="53" t="inlineStr">
        <is>
          <t>Не определено</t>
        </is>
      </c>
      <c r="M8374" s="53" t="inlineStr"/>
      <c r="N8374" s="54" t="inlineStr"/>
      <c r="O8374" s="55" t="inlineStr"/>
      <c r="P8374" s="16" t="inlineStr">
        <is>
          <t>Требует обогащения</t>
        </is>
      </c>
      <c r="Q8374" s="16">
        <f>HYPERLINK("https://pb.nalog.ru/search.html?query=5018048524","ФНС: проверить")</f>
        <v/>
      </c>
      <c r="R8374" s="16">
        <f>HYPERLINK("https://checko.ru/search?query=3801001629","Чекко: проверить")</f>
        <v/>
      </c>
      <c r="S8374" t="n">
        <v>1</v>
      </c>
      <c r="T8374" s="35" t="inlineStr">
        <is>
          <t>4 — Не обогащён</t>
        </is>
      </c>
      <c r="U8374" s="35" t="inlineStr">
        <is>
          <t>Нет ОКВЭД/ССЧР</t>
        </is>
      </c>
      <c r="V8374" s="35" t="inlineStr">
        <is>
          <t>Не определено</t>
        </is>
      </c>
      <c r="W8374" s="35" t="inlineStr"/>
      <c r="X8374" s="35" t="inlineStr"/>
    </row>
    <row r="8375" ht="15" customHeight="1" s="24">
      <c r="A8375" s="13" t="n">
        <v>5000122892</v>
      </c>
      <c r="B8375" s="13" t="inlineStr">
        <is>
          <t>МКУ "Муниципальное юридическое бюро"</t>
        </is>
      </c>
      <c r="C8375" s="13" t="n">
        <v>5018181861</v>
      </c>
      <c r="D8375" s="13" t="inlineStr">
        <is>
          <t>5018181861</t>
        </is>
      </c>
      <c r="E8375" s="13" t="inlineStr">
        <is>
          <t>ЮЛ РФ</t>
        </is>
      </c>
      <c r="F8375" s="13" t="n"/>
      <c r="G8375" s="14" t="n"/>
      <c r="H8375" s="14" t="n"/>
      <c r="I8375" s="14" t="n"/>
      <c r="J8375" s="14" t="n"/>
      <c r="K8375" s="53" t="inlineStr"/>
      <c r="L8375" s="53" t="inlineStr">
        <is>
          <t>Не определено</t>
        </is>
      </c>
      <c r="M8375" s="53" t="inlineStr"/>
      <c r="N8375" s="54" t="inlineStr"/>
      <c r="O8375" s="55" t="inlineStr"/>
      <c r="P8375" s="16" t="inlineStr">
        <is>
          <t>Требует обогащения</t>
        </is>
      </c>
      <c r="Q8375" s="16">
        <f>HYPERLINK("https://pb.nalog.ru/search.html?query=5018181861","ФНС: проверить")</f>
        <v/>
      </c>
      <c r="R8375" s="16">
        <f>HYPERLINK("https://checko.ru/search?query=3801001629","Чекко: проверить")</f>
        <v/>
      </c>
      <c r="S8375" t="n">
        <v>1</v>
      </c>
      <c r="T8375" s="35" t="inlineStr">
        <is>
          <t>4 — Не обогащён</t>
        </is>
      </c>
      <c r="U8375" s="35" t="inlineStr">
        <is>
          <t>Нет ОКВЭД/ССЧР</t>
        </is>
      </c>
      <c r="V8375" s="35" t="inlineStr">
        <is>
          <t>Не определено</t>
        </is>
      </c>
      <c r="W8375" s="35" t="inlineStr"/>
      <c r="X8375" s="35" t="inlineStr"/>
    </row>
    <row r="8376" ht="15" customHeight="1" s="24">
      <c r="A8376" s="13" t="n">
        <v>5000122896</v>
      </c>
      <c r="B8376" s="13" t="inlineStr">
        <is>
          <t>Совет депутатов городского округа Королёв</t>
        </is>
      </c>
      <c r="C8376" s="13" t="n">
        <v>5018166743</v>
      </c>
      <c r="D8376" s="13" t="inlineStr">
        <is>
          <t>5018166743</t>
        </is>
      </c>
      <c r="E8376" s="13" t="inlineStr">
        <is>
          <t>ЮЛ РФ</t>
        </is>
      </c>
      <c r="F8376" s="13" t="n"/>
      <c r="G8376" s="14" t="n"/>
      <c r="H8376" s="14" t="n"/>
      <c r="I8376" s="14" t="n"/>
      <c r="J8376" s="14" t="n"/>
      <c r="K8376" s="53" t="inlineStr"/>
      <c r="L8376" s="53" t="inlineStr">
        <is>
          <t>Не определено</t>
        </is>
      </c>
      <c r="M8376" s="53" t="inlineStr"/>
      <c r="N8376" s="54" t="inlineStr"/>
      <c r="O8376" s="55" t="inlineStr"/>
      <c r="P8376" s="16" t="inlineStr">
        <is>
          <t>Требует обогащения</t>
        </is>
      </c>
      <c r="Q8376" s="16">
        <f>HYPERLINK("https://pb.nalog.ru/search.html?query=5018166743","ФНС: проверить")</f>
        <v/>
      </c>
      <c r="R8376" s="16">
        <f>HYPERLINK("https://checko.ru/search?query=3801001629","Чекко: проверить")</f>
        <v/>
      </c>
      <c r="S8376" t="n">
        <v>1</v>
      </c>
      <c r="T8376" s="35" t="inlineStr">
        <is>
          <t>4 — Не обогащён</t>
        </is>
      </c>
      <c r="U8376" s="35" t="inlineStr">
        <is>
          <t>Нет ОКВЭД/ССЧР</t>
        </is>
      </c>
      <c r="V8376" s="35" t="inlineStr">
        <is>
          <t>Не определено</t>
        </is>
      </c>
      <c r="W8376" s="35" t="inlineStr"/>
      <c r="X8376" s="35" t="inlineStr"/>
    </row>
    <row r="8377" ht="54.75" customHeight="1" s="24">
      <c r="A8377" s="13" t="n">
        <v>5000123533</v>
      </c>
      <c r="B8377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"Алтарикская Сельская Админис</t>
        </is>
      </c>
      <c r="C8377" s="13" t="n">
        <v>3801166290</v>
      </c>
      <c r="D8377" s="13" t="inlineStr">
        <is>
          <t>3801166290</t>
        </is>
      </c>
      <c r="E8377" s="13" t="inlineStr">
        <is>
          <t>ЮЛ РФ</t>
        </is>
      </c>
      <c r="F8377" s="13" t="n"/>
      <c r="G8377" s="14" t="n"/>
      <c r="H8377" s="14" t="n"/>
      <c r="I8377" s="14" t="n"/>
      <c r="J8377" s="14" t="n"/>
      <c r="K8377" s="53" t="inlineStr"/>
      <c r="L8377" s="53" t="inlineStr">
        <is>
          <t>Не определено</t>
        </is>
      </c>
      <c r="M8377" s="53" t="inlineStr"/>
      <c r="N8377" s="54" t="inlineStr"/>
      <c r="O8377" s="55" t="inlineStr"/>
      <c r="P8377" s="16" t="inlineStr">
        <is>
          <t>Требует обогащения</t>
        </is>
      </c>
      <c r="Q8377" s="16">
        <f>HYPERLINK("https://pb.nalog.ru/search.html?query=3801166290","ФНС: проверить")</f>
        <v/>
      </c>
      <c r="R8377" s="16">
        <f>HYPERLINK("https://checko.ru/search?query=3801001629","Чекко: проверить")</f>
        <v/>
      </c>
      <c r="S8377" t="n">
        <v>1</v>
      </c>
      <c r="T8377" s="35" t="inlineStr">
        <is>
          <t>4 — Не обогащён</t>
        </is>
      </c>
      <c r="U8377" s="35" t="inlineStr">
        <is>
          <t>Нет ОКВЭД/ССЧР</t>
        </is>
      </c>
      <c r="V8377" s="35" t="inlineStr">
        <is>
          <t>Не определено</t>
        </is>
      </c>
      <c r="W8377" s="35" t="inlineStr"/>
      <c r="X8377" s="35" t="inlineStr"/>
    </row>
    <row r="8378" ht="54.75" customHeight="1" s="24">
      <c r="A8378" s="13" t="n">
        <v>5000123535</v>
      </c>
      <c r="B8378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"Первомайская Сельская Админи</t>
        </is>
      </c>
      <c r="C8378" s="13" t="n">
        <v>3801166204</v>
      </c>
      <c r="D8378" s="13" t="inlineStr">
        <is>
          <t>3801166204</t>
        </is>
      </c>
      <c r="E8378" s="13" t="inlineStr">
        <is>
          <t>ЮЛ РФ</t>
        </is>
      </c>
      <c r="F8378" s="13" t="n"/>
      <c r="G8378" s="14" t="n"/>
      <c r="H8378" s="14" t="n"/>
      <c r="I8378" s="14" t="n"/>
      <c r="J8378" s="14" t="n"/>
      <c r="K8378" s="53" t="inlineStr"/>
      <c r="L8378" s="53" t="inlineStr">
        <is>
          <t>Не определено</t>
        </is>
      </c>
      <c r="M8378" s="53" t="inlineStr"/>
      <c r="N8378" s="54" t="inlineStr"/>
      <c r="O8378" s="55" t="inlineStr"/>
      <c r="P8378" s="16" t="inlineStr">
        <is>
          <t>Требует обогащения</t>
        </is>
      </c>
      <c r="Q8378" s="16">
        <f>HYPERLINK("https://pb.nalog.ru/search.html?query=3801166204","ФНС: проверить")</f>
        <v/>
      </c>
      <c r="R8378" s="16">
        <f>HYPERLINK("https://checko.ru/search?query=3801001629","Чекко: проверить")</f>
        <v/>
      </c>
      <c r="S8378" t="n">
        <v>1</v>
      </c>
      <c r="T8378" s="35" t="inlineStr">
        <is>
          <t>4 — Не обогащён</t>
        </is>
      </c>
      <c r="U8378" s="35" t="inlineStr">
        <is>
          <t>Нет ОКВЭД/ССЧР</t>
        </is>
      </c>
      <c r="V8378" s="35" t="inlineStr">
        <is>
          <t>Не определено</t>
        </is>
      </c>
      <c r="W8378" s="35" t="inlineStr"/>
      <c r="X8378" s="35" t="inlineStr"/>
    </row>
    <row r="8379" ht="54.75" customHeight="1" s="24">
      <c r="A8379" s="13" t="n">
        <v>5000123536</v>
      </c>
      <c r="B8379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"Хадаханская Сельская Админис</t>
        </is>
      </c>
      <c r="C8379" s="13" t="n">
        <v>3801166250</v>
      </c>
      <c r="D8379" s="13" t="inlineStr">
        <is>
          <t>3801166250</t>
        </is>
      </c>
      <c r="E8379" s="13" t="inlineStr">
        <is>
          <t>ЮЛ РФ</t>
        </is>
      </c>
      <c r="F8379" s="13" t="n"/>
      <c r="G8379" s="14" t="n"/>
      <c r="H8379" s="14" t="n"/>
      <c r="I8379" s="14" t="n"/>
      <c r="J8379" s="14" t="n"/>
      <c r="K8379" s="53" t="inlineStr"/>
      <c r="L8379" s="53" t="inlineStr">
        <is>
          <t>Не определено</t>
        </is>
      </c>
      <c r="M8379" s="53" t="inlineStr"/>
      <c r="N8379" s="54" t="inlineStr"/>
      <c r="O8379" s="55" t="inlineStr"/>
      <c r="P8379" s="16" t="inlineStr">
        <is>
          <t>Требует обогащения</t>
        </is>
      </c>
      <c r="Q8379" s="16">
        <f>HYPERLINK("https://pb.nalog.ru/search.html?query=3801166250","ФНС: проверить")</f>
        <v/>
      </c>
      <c r="R8379" s="16">
        <f>HYPERLINK("https://checko.ru/search?query=3801001629","Чекко: проверить")</f>
        <v/>
      </c>
      <c r="S8379" t="n">
        <v>1</v>
      </c>
      <c r="T8379" s="35" t="inlineStr">
        <is>
          <t>4 — Не обогащён</t>
        </is>
      </c>
      <c r="U8379" s="35" t="inlineStr">
        <is>
          <t>Нет ОКВЭД/ССЧР</t>
        </is>
      </c>
      <c r="V8379" s="35" t="inlineStr">
        <is>
          <t>Не определено</t>
        </is>
      </c>
      <c r="W8379" s="35" t="inlineStr"/>
      <c r="X8379" s="35" t="inlineStr"/>
    </row>
    <row r="8380" ht="54.75" customHeight="1" s="24">
      <c r="A8380" s="13" t="n">
        <v>5000123537</v>
      </c>
      <c r="B8380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"Харетская Сельская Администр</t>
        </is>
      </c>
      <c r="C8380" s="13" t="n">
        <v>3801166243</v>
      </c>
      <c r="D8380" s="13" t="inlineStr">
        <is>
          <t>3801166243</t>
        </is>
      </c>
      <c r="E8380" s="13" t="inlineStr">
        <is>
          <t>ЮЛ РФ</t>
        </is>
      </c>
      <c r="F8380" s="13" t="n"/>
      <c r="G8380" s="14" t="n"/>
      <c r="H8380" s="14" t="n"/>
      <c r="I8380" s="14" t="n"/>
      <c r="J8380" s="14" t="n"/>
      <c r="K8380" s="53" t="inlineStr"/>
      <c r="L8380" s="53" t="inlineStr">
        <is>
          <t>Не определено</t>
        </is>
      </c>
      <c r="M8380" s="53" t="inlineStr"/>
      <c r="N8380" s="54" t="inlineStr"/>
      <c r="O8380" s="55" t="inlineStr"/>
      <c r="P8380" s="16" t="inlineStr">
        <is>
          <t>Требует обогащения</t>
        </is>
      </c>
      <c r="Q8380" s="16">
        <f>HYPERLINK("https://pb.nalog.ru/search.html?query=3801166243","ФНС: проверить")</f>
        <v/>
      </c>
      <c r="R8380" s="16">
        <f>HYPERLINK("https://checko.ru/search?query=3801001629","Чекко: проверить")</f>
        <v/>
      </c>
      <c r="S8380" t="n">
        <v>1</v>
      </c>
      <c r="T8380" s="35" t="inlineStr">
        <is>
          <t>4 — Не обогащён</t>
        </is>
      </c>
      <c r="U8380" s="35" t="inlineStr">
        <is>
          <t>Нет ОКВЭД/ССЧР</t>
        </is>
      </c>
      <c r="V8380" s="35" t="inlineStr">
        <is>
          <t>Не определено</t>
        </is>
      </c>
      <c r="W8380" s="35" t="inlineStr"/>
      <c r="X8380" s="35" t="inlineStr"/>
    </row>
    <row r="8381" ht="54.75" customHeight="1" s="24">
      <c r="A8381" s="13" t="n">
        <v>5000123538</v>
      </c>
      <c r="B8381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"Целинная Сельская Администра</t>
        </is>
      </c>
      <c r="C8381" s="13" t="n">
        <v>3801166236</v>
      </c>
      <c r="D8381" s="13" t="inlineStr">
        <is>
          <t>3801166236</t>
        </is>
      </c>
      <c r="E8381" s="13" t="inlineStr">
        <is>
          <t>ЮЛ РФ</t>
        </is>
      </c>
      <c r="F8381" s="13" t="n"/>
      <c r="G8381" s="14" t="n"/>
      <c r="H8381" s="14" t="n"/>
      <c r="I8381" s="14" t="n"/>
      <c r="J8381" s="14" t="n"/>
      <c r="K8381" s="53" t="inlineStr"/>
      <c r="L8381" s="53" t="inlineStr">
        <is>
          <t>Не определено</t>
        </is>
      </c>
      <c r="M8381" s="53" t="inlineStr"/>
      <c r="N8381" s="54" t="inlineStr"/>
      <c r="O8381" s="55" t="inlineStr"/>
      <c r="P8381" s="16" t="inlineStr">
        <is>
          <t>Требует обогащения</t>
        </is>
      </c>
      <c r="Q8381" s="16">
        <f>HYPERLINK("https://pb.nalog.ru/search.html?query=3801166236","ФНС: проверить")</f>
        <v/>
      </c>
      <c r="R8381" s="16">
        <f>HYPERLINK("https://checko.ru/search?query=3801001629","Чекко: проверить")</f>
        <v/>
      </c>
      <c r="S8381" t="n">
        <v>1</v>
      </c>
      <c r="T8381" s="35" t="inlineStr">
        <is>
          <t>4 — Не обогащён</t>
        </is>
      </c>
      <c r="U8381" s="35" t="inlineStr">
        <is>
          <t>Нет ОКВЭД/ССЧР</t>
        </is>
      </c>
      <c r="V8381" s="35" t="inlineStr">
        <is>
          <t>Не определено</t>
        </is>
      </c>
      <c r="W8381" s="35" t="inlineStr"/>
      <c r="X8381" s="35" t="inlineStr"/>
    </row>
    <row r="8382" ht="15" customHeight="1" s="24">
      <c r="A8382" s="13" t="n">
        <v>5000123539</v>
      </c>
      <c r="B8382" s="13" t="inlineStr">
        <is>
          <t>ТО "ШАРАТСКАЯ СЕЛЬСКАЯ АДМИНИСТРАЦИЯ"</t>
        </is>
      </c>
      <c r="C8382" s="13" t="n">
        <v>3801166229</v>
      </c>
      <c r="D8382" s="13" t="inlineStr">
        <is>
          <t>3801166229</t>
        </is>
      </c>
      <c r="E8382" s="13" t="inlineStr">
        <is>
          <t>ЮЛ РФ</t>
        </is>
      </c>
      <c r="F8382" s="13" t="n"/>
      <c r="G8382" s="14" t="n"/>
      <c r="H8382" s="14" t="n"/>
      <c r="I8382" s="14" t="n"/>
      <c r="J8382" s="14" t="n"/>
      <c r="K8382" s="53" t="inlineStr"/>
      <c r="L8382" s="53" t="inlineStr">
        <is>
          <t>Не определено</t>
        </is>
      </c>
      <c r="M8382" s="53" t="inlineStr"/>
      <c r="N8382" s="54" t="inlineStr"/>
      <c r="O8382" s="55" t="inlineStr"/>
      <c r="P8382" s="16" t="inlineStr">
        <is>
          <t>Требует обогащения</t>
        </is>
      </c>
      <c r="Q8382" s="16">
        <f>HYPERLINK("https://pb.nalog.ru/search.html?query=3801166229","ФНС: проверить")</f>
        <v/>
      </c>
      <c r="R8382" s="16">
        <f>HYPERLINK("https://checko.ru/search?query=3801001629","Чекко: проверить")</f>
        <v/>
      </c>
      <c r="S8382" t="n">
        <v>1</v>
      </c>
      <c r="T8382" s="35" t="inlineStr">
        <is>
          <t>4 — Не обогащён</t>
        </is>
      </c>
      <c r="U8382" s="35" t="inlineStr">
        <is>
          <t>Нет ОКВЭД/ССЧР</t>
        </is>
      </c>
      <c r="V8382" s="35" t="inlineStr">
        <is>
          <t>Не определено</t>
        </is>
      </c>
      <c r="W8382" s="35" t="inlineStr"/>
      <c r="X8382" s="35" t="inlineStr"/>
    </row>
    <row r="8383" ht="54.75" customHeight="1" s="24">
      <c r="A8383" s="13" t="n">
        <v>5000123534</v>
      </c>
      <c r="B8383" s="13" t="inlineStr">
        <is>
          <t>Муниципальное казенное учреждение Территориальный Отдел Администрации Нукутского Муниципального Округа Иркутской Области "Нукутская Сельская Администр</t>
        </is>
      </c>
      <c r="C8383" s="13" t="n">
        <v>3801166282</v>
      </c>
      <c r="D8383" s="13" t="inlineStr">
        <is>
          <t>3801166282</t>
        </is>
      </c>
      <c r="E8383" s="13" t="inlineStr">
        <is>
          <t>ЮЛ РФ</t>
        </is>
      </c>
      <c r="F8383" s="13" t="n"/>
      <c r="G8383" s="14" t="n"/>
      <c r="H8383" s="14" t="n"/>
      <c r="I8383" s="14" t="n"/>
      <c r="J8383" s="14" t="n"/>
      <c r="K8383" s="53" t="inlineStr"/>
      <c r="L8383" s="53" t="inlineStr">
        <is>
          <t>Не определено</t>
        </is>
      </c>
      <c r="M8383" s="53" t="inlineStr"/>
      <c r="N8383" s="54" t="inlineStr"/>
      <c r="O8383" s="55" t="inlineStr"/>
      <c r="P8383" s="16" t="inlineStr">
        <is>
          <t>Требует обогащения</t>
        </is>
      </c>
      <c r="Q8383" s="16">
        <f>HYPERLINK("https://pb.nalog.ru/search.html?query=3801166282","ФНС: проверить")</f>
        <v/>
      </c>
      <c r="R8383" s="16">
        <f>HYPERLINK("https://checko.ru/search?query=3801001629","Чекко: проверить")</f>
        <v/>
      </c>
      <c r="S8383" t="n">
        <v>1</v>
      </c>
      <c r="T8383" s="35" t="inlineStr">
        <is>
          <t>4 — Не обогащён</t>
        </is>
      </c>
      <c r="U8383" s="35" t="inlineStr">
        <is>
          <t>Нет ОКВЭД/ССЧР</t>
        </is>
      </c>
      <c r="V8383" s="35" t="inlineStr">
        <is>
          <t>Не определено</t>
        </is>
      </c>
      <c r="W8383" s="35" t="inlineStr"/>
      <c r="X8383" s="35" t="inlineStr"/>
    </row>
    <row r="8384" ht="15" customHeight="1" s="24">
      <c r="A8384" s="13" t="n">
        <v>5000123652</v>
      </c>
      <c r="B8384" s="13" t="inlineStr">
        <is>
          <t>МКУ "ЕДДС ЗАТО Г.О. ВОСХОД"</t>
        </is>
      </c>
      <c r="C8384" s="13" t="n">
        <v>5017108499</v>
      </c>
      <c r="D8384" s="13" t="inlineStr">
        <is>
          <t>5017108499</t>
        </is>
      </c>
      <c r="E8384" s="13" t="inlineStr">
        <is>
          <t>ЮЛ РФ</t>
        </is>
      </c>
      <c r="F8384" s="13" t="n"/>
      <c r="G8384" s="14" t="n"/>
      <c r="H8384" s="14" t="n"/>
      <c r="I8384" s="14" t="n"/>
      <c r="J8384" s="14" t="n"/>
      <c r="K8384" s="53" t="inlineStr"/>
      <c r="L8384" s="53" t="inlineStr">
        <is>
          <t>Не определено</t>
        </is>
      </c>
      <c r="M8384" s="53" t="inlineStr"/>
      <c r="N8384" s="54" t="inlineStr"/>
      <c r="O8384" s="55" t="inlineStr"/>
      <c r="P8384" s="16" t="inlineStr">
        <is>
          <t>Требует обогащения</t>
        </is>
      </c>
      <c r="Q8384" s="16">
        <f>HYPERLINK("https://pb.nalog.ru/search.html?query=5017108499","ФНС: проверить")</f>
        <v/>
      </c>
      <c r="R8384" s="16">
        <f>HYPERLINK("https://checko.ru/search?query=3801001629","Чекко: проверить")</f>
        <v/>
      </c>
      <c r="S8384" t="n">
        <v>1</v>
      </c>
      <c r="T8384" s="35" t="inlineStr">
        <is>
          <t>4 — Не обогащён</t>
        </is>
      </c>
      <c r="U8384" s="35" t="inlineStr">
        <is>
          <t>Нет ОКВЭД/ССЧР</t>
        </is>
      </c>
      <c r="V8384" s="35" t="inlineStr">
        <is>
          <t>Не определено</t>
        </is>
      </c>
      <c r="W8384" s="35" t="inlineStr"/>
      <c r="X8384" s="35" t="inlineStr"/>
    </row>
    <row r="8385" ht="27.75" customHeight="1" s="24">
      <c r="A8385" s="13" t="n">
        <v>5000123650</v>
      </c>
      <c r="B8385" s="13" t="inlineStr">
        <is>
          <t>МОУ СОШ городского округа Восход Московской области</t>
        </is>
      </c>
      <c r="C8385" s="13" t="n">
        <v>5017051210</v>
      </c>
      <c r="D8385" s="13" t="inlineStr">
        <is>
          <t>5017051210</t>
        </is>
      </c>
      <c r="E8385" s="13" t="inlineStr">
        <is>
          <t>ЮЛ РФ</t>
        </is>
      </c>
      <c r="F8385" s="13" t="n"/>
      <c r="G8385" s="14" t="n"/>
      <c r="H8385" s="14" t="n"/>
      <c r="I8385" s="14" t="n"/>
      <c r="J8385" s="14" t="n"/>
      <c r="K8385" s="53" t="inlineStr"/>
      <c r="L8385" s="53" t="inlineStr">
        <is>
          <t>Не определено</t>
        </is>
      </c>
      <c r="M8385" s="53" t="inlineStr"/>
      <c r="N8385" s="54" t="inlineStr"/>
      <c r="O8385" s="55" t="inlineStr"/>
      <c r="P8385" s="16" t="inlineStr">
        <is>
          <t>Требует обогащения</t>
        </is>
      </c>
      <c r="Q8385" s="16">
        <f>HYPERLINK("https://pb.nalog.ru/search.html?query=5017051210","ФНС: проверить")</f>
        <v/>
      </c>
      <c r="R8385" s="16">
        <f>HYPERLINK("https://checko.ru/search?query=3801001629","Чекко: проверить")</f>
        <v/>
      </c>
      <c r="S8385" t="n">
        <v>1</v>
      </c>
      <c r="T8385" s="35" t="inlineStr">
        <is>
          <t>4 — Не обогащён</t>
        </is>
      </c>
      <c r="U8385" s="35" t="inlineStr">
        <is>
          <t>Нет ОКВЭД/ССЧР</t>
        </is>
      </c>
      <c r="V8385" s="35" t="inlineStr">
        <is>
          <t>Не определено</t>
        </is>
      </c>
      <c r="W8385" s="35" t="inlineStr"/>
      <c r="X8385" s="35" t="inlineStr"/>
    </row>
    <row r="8386" ht="15" customHeight="1" s="24">
      <c r="A8386" s="13" t="n">
        <v>5000123651</v>
      </c>
      <c r="B8386" s="13" t="inlineStr">
        <is>
          <t>МКУК МОБ г.о. Восход</t>
        </is>
      </c>
      <c r="C8386" s="13" t="n">
        <v>5017071760</v>
      </c>
      <c r="D8386" s="13" t="inlineStr">
        <is>
          <t>5017071760</t>
        </is>
      </c>
      <c r="E8386" s="13" t="inlineStr">
        <is>
          <t>ЮЛ РФ</t>
        </is>
      </c>
      <c r="F8386" s="13" t="n"/>
      <c r="G8386" s="14" t="n"/>
      <c r="H8386" s="14" t="n"/>
      <c r="I8386" s="14" t="n"/>
      <c r="J8386" s="14" t="n"/>
      <c r="K8386" s="53" t="inlineStr"/>
      <c r="L8386" s="53" t="inlineStr">
        <is>
          <t>Не определено</t>
        </is>
      </c>
      <c r="M8386" s="53" t="inlineStr"/>
      <c r="N8386" s="54" t="inlineStr"/>
      <c r="O8386" s="55" t="inlineStr"/>
      <c r="P8386" s="16" t="inlineStr">
        <is>
          <t>Требует обогащения</t>
        </is>
      </c>
      <c r="Q8386" s="16">
        <f>HYPERLINK("https://pb.nalog.ru/search.html?query=5017071760","ФНС: проверить")</f>
        <v/>
      </c>
      <c r="R8386" s="16">
        <f>HYPERLINK("https://checko.ru/search?query=3801001629","Чекко: проверить")</f>
        <v/>
      </c>
      <c r="S8386" t="n">
        <v>1</v>
      </c>
      <c r="T8386" s="35" t="inlineStr">
        <is>
          <t>4 — Не обогащён</t>
        </is>
      </c>
      <c r="U8386" s="35" t="inlineStr">
        <is>
          <t>Нет ОКВЭД/ССЧР</t>
        </is>
      </c>
      <c r="V8386" s="35" t="inlineStr">
        <is>
          <t>Не определено</t>
        </is>
      </c>
      <c r="W8386" s="35" t="inlineStr"/>
      <c r="X8386" s="35" t="inlineStr"/>
    </row>
    <row r="8387" ht="15" customHeight="1" s="24">
      <c r="A8387" s="13" t="n">
        <v>5000123653</v>
      </c>
      <c r="B8387" s="13" t="inlineStr">
        <is>
          <t>МКУ "МФЦ ГОРОДСКОГО ОКРУГА ВОСХОД"</t>
        </is>
      </c>
      <c r="C8387" s="13" t="n">
        <v>5017103250</v>
      </c>
      <c r="D8387" s="13" t="inlineStr">
        <is>
          <t>5017103250</t>
        </is>
      </c>
      <c r="E8387" s="13" t="inlineStr">
        <is>
          <t>ЮЛ РФ</t>
        </is>
      </c>
      <c r="F8387" s="13" t="n"/>
      <c r="G8387" s="14" t="n"/>
      <c r="H8387" s="14" t="n"/>
      <c r="I8387" s="14" t="n"/>
      <c r="J8387" s="14" t="n"/>
      <c r="K8387" s="53" t="inlineStr"/>
      <c r="L8387" s="53" t="inlineStr">
        <is>
          <t>Не определено</t>
        </is>
      </c>
      <c r="M8387" s="53" t="inlineStr"/>
      <c r="N8387" s="54" t="inlineStr"/>
      <c r="O8387" s="55" t="inlineStr"/>
      <c r="P8387" s="16" t="inlineStr">
        <is>
          <t>Требует обогащения</t>
        </is>
      </c>
      <c r="Q8387" s="16">
        <f>HYPERLINK("https://pb.nalog.ru/search.html?query=5017103250","ФНС: проверить")</f>
        <v/>
      </c>
      <c r="R8387" s="16">
        <f>HYPERLINK("https://checko.ru/search?query=3801001629","Чекко: проверить")</f>
        <v/>
      </c>
      <c r="S8387" t="n">
        <v>1</v>
      </c>
      <c r="T8387" s="35" t="inlineStr">
        <is>
          <t>4 — Не обогащён</t>
        </is>
      </c>
      <c r="U8387" s="35" t="inlineStr">
        <is>
          <t>Нет ОКВЭД/ССЧР</t>
        </is>
      </c>
      <c r="V8387" s="35" t="inlineStr">
        <is>
          <t>Не определено</t>
        </is>
      </c>
      <c r="W8387" s="35" t="inlineStr"/>
      <c r="X8387" s="35" t="inlineStr"/>
    </row>
    <row r="8388" ht="15" customHeight="1" s="24">
      <c r="A8388" s="13" t="n">
        <v>5000123654</v>
      </c>
      <c r="B8388" s="13" t="inlineStr">
        <is>
          <t>МКУК КДЦ</t>
        </is>
      </c>
      <c r="C8388" s="13" t="n">
        <v>5017096821</v>
      </c>
      <c r="D8388" s="13" t="inlineStr">
        <is>
          <t>5017096821</t>
        </is>
      </c>
      <c r="E8388" s="13" t="inlineStr">
        <is>
          <t>ЮЛ РФ</t>
        </is>
      </c>
      <c r="F8388" s="13" t="n"/>
      <c r="G8388" s="14" t="n"/>
      <c r="H8388" s="14" t="n"/>
      <c r="I8388" s="14" t="n"/>
      <c r="J8388" s="14" t="n"/>
      <c r="K8388" s="53" t="inlineStr"/>
      <c r="L8388" s="53" t="inlineStr">
        <is>
          <t>Не определено</t>
        </is>
      </c>
      <c r="M8388" s="53" t="inlineStr"/>
      <c r="N8388" s="54" t="inlineStr"/>
      <c r="O8388" s="55" t="inlineStr"/>
      <c r="P8388" s="16" t="inlineStr">
        <is>
          <t>Требует обогащения</t>
        </is>
      </c>
      <c r="Q8388" s="16">
        <f>HYPERLINK("https://pb.nalog.ru/search.html?query=5017096821","ФНС: проверить")</f>
        <v/>
      </c>
      <c r="R8388" s="16">
        <f>HYPERLINK("https://checko.ru/search?query=3801001629","Чекко: проверить")</f>
        <v/>
      </c>
      <c r="S8388" t="n">
        <v>1</v>
      </c>
      <c r="T8388" s="35" t="inlineStr">
        <is>
          <t>4 — Не обогащён</t>
        </is>
      </c>
      <c r="U8388" s="35" t="inlineStr">
        <is>
          <t>Нет ОКВЭД/ССЧР</t>
        </is>
      </c>
      <c r="V8388" s="35" t="inlineStr">
        <is>
          <t>Не определено</t>
        </is>
      </c>
      <c r="W8388" s="35" t="inlineStr"/>
      <c r="X8388" s="35" t="inlineStr"/>
    </row>
    <row r="8389" ht="54.75" customHeight="1" s="24">
      <c r="A8389" s="13" t="n">
        <v>5000123678</v>
      </c>
      <c r="B8389" s="13" t="inlineStr">
        <is>
          <t>Краевое государственное автономное Нетиповое Образовательное учреждение "Региональный Центр Выявления, Поддержки и Развития Способностей и Талантов У</t>
        </is>
      </c>
      <c r="C8389" s="13" t="n">
        <v>2536353474</v>
      </c>
      <c r="D8389" s="13" t="inlineStr">
        <is>
          <t>2536353474</t>
        </is>
      </c>
      <c r="E8389" s="13" t="inlineStr">
        <is>
          <t>ЮЛ РФ</t>
        </is>
      </c>
      <c r="F8389" s="13" t="n"/>
      <c r="G8389" s="14" t="n"/>
      <c r="H8389" s="14" t="n"/>
      <c r="I8389" s="14" t="n"/>
      <c r="J8389" s="14" t="n"/>
      <c r="K8389" s="53" t="inlineStr"/>
      <c r="L8389" s="53" t="inlineStr">
        <is>
          <t>Не определено</t>
        </is>
      </c>
      <c r="M8389" s="53" t="inlineStr"/>
      <c r="N8389" s="54" t="inlineStr"/>
      <c r="O8389" s="55" t="inlineStr"/>
      <c r="P8389" s="16" t="inlineStr">
        <is>
          <t>Требует обогащения</t>
        </is>
      </c>
      <c r="Q8389" s="16">
        <f>HYPERLINK("https://pb.nalog.ru/search.html?query=2536353474","ФНС: проверить")</f>
        <v/>
      </c>
      <c r="R8389" s="16">
        <f>HYPERLINK("https://checko.ru/search?query=3801001629","Чекко: проверить")</f>
        <v/>
      </c>
      <c r="S8389" t="n">
        <v>1</v>
      </c>
      <c r="T8389" s="35" t="inlineStr">
        <is>
          <t>4 — Не обогащён</t>
        </is>
      </c>
      <c r="U8389" s="35" t="inlineStr">
        <is>
          <t>Нет ОКВЭД/ССЧР</t>
        </is>
      </c>
      <c r="V8389" s="35" t="inlineStr">
        <is>
          <t>Не определено</t>
        </is>
      </c>
      <c r="W8389" s="35" t="inlineStr"/>
      <c r="X8389" s="35" t="inlineStr"/>
    </row>
    <row r="8390" ht="27.75" customHeight="1" s="24">
      <c r="A8390" s="13" t="n">
        <v>5000123531</v>
      </c>
      <c r="B8390" s="13" t="inlineStr">
        <is>
          <t>Ревизионная комиссия муниципального образования г.Бодайбо и района</t>
        </is>
      </c>
      <c r="C8390" s="13" t="n">
        <v>3802999880</v>
      </c>
      <c r="D8390" s="13" t="inlineStr">
        <is>
          <t>3802999880</t>
        </is>
      </c>
      <c r="E8390" s="13" t="inlineStr">
        <is>
          <t>ЮЛ РФ</t>
        </is>
      </c>
      <c r="F8390" s="13" t="n"/>
      <c r="G8390" s="14" t="n"/>
      <c r="H8390" s="14" t="n"/>
      <c r="I8390" s="14" t="n"/>
      <c r="J8390" s="14" t="n"/>
      <c r="K8390" s="53" t="inlineStr"/>
      <c r="L8390" s="53" t="inlineStr">
        <is>
          <t>Не определено</t>
        </is>
      </c>
      <c r="M8390" s="53" t="inlineStr"/>
      <c r="N8390" s="54" t="inlineStr"/>
      <c r="O8390" s="55" t="inlineStr"/>
      <c r="P8390" s="16" t="inlineStr">
        <is>
          <t>Требует обогащения</t>
        </is>
      </c>
      <c r="Q8390" s="16">
        <f>HYPERLINK("https://pb.nalog.ru/search.html?query=3802999880","ФНС: проверить")</f>
        <v/>
      </c>
      <c r="R8390" s="16">
        <f>HYPERLINK("https://checko.ru/search?query=3801001629","Чекко: проверить")</f>
        <v/>
      </c>
      <c r="S8390" t="n">
        <v>1</v>
      </c>
      <c r="T8390" s="35" t="inlineStr">
        <is>
          <t>4 — Не обогащён</t>
        </is>
      </c>
      <c r="U8390" s="35" t="inlineStr">
        <is>
          <t>Нет ОКВЭД/ССЧР</t>
        </is>
      </c>
      <c r="V8390" s="35" t="inlineStr">
        <is>
          <t>Не определено</t>
        </is>
      </c>
      <c r="W8390" s="35" t="inlineStr"/>
      <c r="X8390" s="35" t="inlineStr"/>
    </row>
    <row r="8391" ht="27.75" customHeight="1" s="24">
      <c r="A8391" s="13" t="n">
        <v>804696578</v>
      </c>
      <c r="B8391" s="13" t="inlineStr">
        <is>
          <t>Общество с ограниченной ответственностью "ПАРТНЁР"</t>
        </is>
      </c>
      <c r="C8391" s="13" t="n">
        <v>3818051307</v>
      </c>
      <c r="D8391" s="13" t="inlineStr">
        <is>
          <t>3818051307</t>
        </is>
      </c>
      <c r="E8391" s="13" t="inlineStr">
        <is>
          <t>ЮЛ РФ</t>
        </is>
      </c>
      <c r="F8391" s="13" t="n"/>
      <c r="G8391" s="52" t="n">
        <v>27</v>
      </c>
      <c r="H8391" s="52" t="n">
        <v>2025</v>
      </c>
      <c r="I8391" s="52" t="inlineStr">
        <is>
          <t>47.11</t>
        </is>
      </c>
      <c r="J8391" s="52" t="inlineStr">
        <is>
          <t>47.11; 46.17; 46.19; 46.34; 46.38.2; 46.49; 46.90; 47.19; 47.21; 47.22; 47.23; 47.24; 47.25; 47.26; 47.29.39; 47.51.1; 47.51.2; 47.53.3; 47.75; 47.75.2; 47.78</t>
        </is>
      </c>
      <c r="K8391" s="53" t="inlineStr">
        <is>
          <t>Да</t>
        </is>
      </c>
      <c r="L8391" s="53" t="inlineStr">
        <is>
          <t>Да</t>
        </is>
      </c>
      <c r="M8391" s="53" t="inlineStr">
        <is>
          <t>До 50</t>
        </is>
      </c>
      <c r="N8391" s="54" t="n">
        <v>16800</v>
      </c>
      <c r="O8391" s="55" t="inlineStr">
        <is>
          <t>16–30</t>
        </is>
      </c>
      <c r="P8391" s="16" t="inlineStr">
        <is>
          <t>ССЧР + ОКВЭД обогащены</t>
        </is>
      </c>
      <c r="Q8391" s="16" t="inlineStr">
        <is>
          <t>ФНС открытые данные ССЧР (ДатаСост 31.12.2025; набор 7707329152-sshr2019)</t>
        </is>
      </c>
      <c r="R8391" s="16" t="inlineStr">
        <is>
          <t>ЕГРЮЛ / egrul.nalog.ru (выписка)</t>
        </is>
      </c>
      <c r="S8391" t="n">
        <v>1</v>
      </c>
      <c r="T8391" s="35" t="inlineStr">
        <is>
          <t>1 — Горячий</t>
        </is>
      </c>
      <c r="U8391" s="35" t="inlineStr">
        <is>
          <t>ОКВЭД + 22+</t>
        </is>
      </c>
      <c r="V8391" s="35" t="inlineStr">
        <is>
          <t>Да</t>
        </is>
      </c>
      <c r="W8391" s="35" t="inlineStr">
        <is>
          <t>Да</t>
        </is>
      </c>
      <c r="X8391" s="35" t="inlineStr">
        <is>
          <t>Да</t>
        </is>
      </c>
    </row>
    <row r="8392" ht="15" customHeight="1" s="24">
      <c r="A8392" s="13" t="n">
        <v>802471220</v>
      </c>
      <c r="B8392" s="13" t="inlineStr">
        <is>
          <t>ООО "Терминал"</t>
        </is>
      </c>
      <c r="C8392" s="13" t="n">
        <v>3819010832</v>
      </c>
      <c r="D8392" s="13" t="inlineStr">
        <is>
          <t>3819010832</t>
        </is>
      </c>
      <c r="E8392" s="13" t="inlineStr">
        <is>
          <t>ЮЛ РФ</t>
        </is>
      </c>
      <c r="F8392" s="13" t="n"/>
      <c r="G8392" s="52" t="n">
        <v>3</v>
      </c>
      <c r="H8392" s="52" t="n">
        <v>2025</v>
      </c>
      <c r="I8392" s="14" t="n"/>
      <c r="J8392" s="14" t="n"/>
      <c r="K8392" s="53" t="inlineStr">
        <is>
          <t>Нет</t>
        </is>
      </c>
      <c r="L8392" s="53" t="inlineStr">
        <is>
          <t>Не определено</t>
        </is>
      </c>
      <c r="M8392" s="53" t="inlineStr">
        <is>
          <t>До 10</t>
        </is>
      </c>
      <c r="N8392" s="54" t="n">
        <v>3360</v>
      </c>
      <c r="O8392" s="55" t="inlineStr">
        <is>
          <t>1–15</t>
        </is>
      </c>
      <c r="P8392" s="16" t="inlineStr">
        <is>
          <t>ССЧР обогащена; ОКВЭД не найден/не загружен</t>
        </is>
      </c>
      <c r="Q8392" s="16" t="inlineStr">
        <is>
          <t>ФНС открытые данные ССЧР (ДатаСост 31.12.2025; набор 7707329152-sshr2019)</t>
        </is>
      </c>
      <c r="R8392" s="16">
        <f>HYPERLINK("https://checko.ru/search?query=3801001629","Чекко: проверить")</f>
        <v/>
      </c>
      <c r="S8392" t="n">
        <v>1</v>
      </c>
      <c r="T8392" s="35" t="inlineStr">
        <is>
          <t>4 — Не обогащён</t>
        </is>
      </c>
      <c r="U8392" s="35" t="inlineStr">
        <is>
          <t>Нет ОКВЭД/ССЧР</t>
        </is>
      </c>
      <c r="V8392" s="35" t="inlineStr">
        <is>
          <t>Не определено</t>
        </is>
      </c>
      <c r="W8392" s="35" t="inlineStr">
        <is>
          <t>Нет</t>
        </is>
      </c>
      <c r="X8392" s="35" t="inlineStr"/>
    </row>
    <row r="8393" ht="15" customHeight="1" s="24">
      <c r="A8393" s="13" t="n">
        <v>9148751</v>
      </c>
      <c r="B8393" s="13" t="inlineStr">
        <is>
          <t>Сиб-Авто ООО</t>
        </is>
      </c>
      <c r="C8393" s="13" t="n">
        <v>3816008909</v>
      </c>
      <c r="D8393" s="13" t="inlineStr">
        <is>
          <t>3816008909</t>
        </is>
      </c>
      <c r="E8393" s="13" t="inlineStr">
        <is>
          <t>ЮЛ РФ</t>
        </is>
      </c>
      <c r="F8393" s="13" t="n"/>
      <c r="G8393" s="52" t="n">
        <v>3</v>
      </c>
      <c r="H8393" s="52" t="n">
        <v>2025</v>
      </c>
      <c r="I8393" s="14" t="n"/>
      <c r="J8393" s="14" t="n"/>
      <c r="K8393" s="53" t="inlineStr">
        <is>
          <t>Нет</t>
        </is>
      </c>
      <c r="L8393" s="53" t="inlineStr">
        <is>
          <t>Не определено</t>
        </is>
      </c>
      <c r="M8393" s="53" t="inlineStr">
        <is>
          <t>До 10</t>
        </is>
      </c>
      <c r="N8393" s="54" t="n">
        <v>3360</v>
      </c>
      <c r="O8393" s="55" t="inlineStr">
        <is>
          <t>1–15</t>
        </is>
      </c>
      <c r="P8393" s="16" t="inlineStr">
        <is>
          <t>ССЧР обогащена; ОКВЭД не найден/не загружен</t>
        </is>
      </c>
      <c r="Q8393" s="16" t="inlineStr">
        <is>
          <t>ФНС открытые данные ССЧР (ДатаСост 31.12.2025; набор 7707329152-sshr2019)</t>
        </is>
      </c>
      <c r="R8393" s="16">
        <f>HYPERLINK("https://checko.ru/search?query=3801001629","Чекко: проверить")</f>
        <v/>
      </c>
      <c r="S8393" t="n">
        <v>1</v>
      </c>
      <c r="T8393" s="35" t="inlineStr">
        <is>
          <t>4 — Не обогащён</t>
        </is>
      </c>
      <c r="U8393" s="35" t="inlineStr">
        <is>
          <t>Нет ОКВЭД/ССЧР</t>
        </is>
      </c>
      <c r="V8393" s="35" t="inlineStr">
        <is>
          <t>Не определено</t>
        </is>
      </c>
      <c r="W8393" s="35" t="inlineStr">
        <is>
          <t>Нет</t>
        </is>
      </c>
      <c r="X8393" s="35" t="inlineStr"/>
    </row>
    <row r="8394" ht="27.75" customHeight="1" s="24">
      <c r="A8394" s="13" t="n">
        <v>804707961</v>
      </c>
      <c r="B8394" s="13" t="inlineStr">
        <is>
          <t>Индивидуальный предприниматель Манукян Наталья Эдуардовна</t>
        </is>
      </c>
      <c r="C8394" s="13" t="n">
        <v>380503554043</v>
      </c>
      <c r="D8394" s="13" t="inlineStr">
        <is>
          <t>380503554043</t>
        </is>
      </c>
      <c r="E8394" s="13" t="inlineStr">
        <is>
          <t>ИП РФ / физлицо</t>
        </is>
      </c>
      <c r="F8394" s="13" t="n"/>
      <c r="G8394" s="14" t="n"/>
      <c r="H8394" s="14" t="n"/>
      <c r="I8394" s="14" t="n"/>
      <c r="J8394" s="14" t="n"/>
      <c r="K8394" s="53" t="inlineStr"/>
      <c r="L8394" s="53" t="inlineStr">
        <is>
          <t>Не определено</t>
        </is>
      </c>
      <c r="M8394" s="53" t="inlineStr"/>
      <c r="N8394" s="54" t="inlineStr"/>
      <c r="O8394" s="55" t="inlineStr"/>
      <c r="P8394" s="16" t="inlineStr">
        <is>
          <t>Требует обогащения</t>
        </is>
      </c>
      <c r="Q8394" s="16">
        <f>HYPERLINK("https://pb.nalog.ru/search.html?query=380503554043","ФНС: проверить")</f>
        <v/>
      </c>
      <c r="R8394" s="16">
        <f>HYPERLINK("https://checko.ru/search?query=3801001629","Чекко: проверить")</f>
        <v/>
      </c>
      <c r="S8394" t="n">
        <v>1</v>
      </c>
      <c r="T8394" s="35" t="inlineStr">
        <is>
          <t>4 — Не обогащён</t>
        </is>
      </c>
      <c r="U8394" s="35" t="inlineStr">
        <is>
          <t>Нет ОКВЭД/ССЧР</t>
        </is>
      </c>
      <c r="V8394" s="35" t="inlineStr">
        <is>
          <t>Не определено</t>
        </is>
      </c>
      <c r="W8394" s="35" t="inlineStr"/>
      <c r="X8394" s="35" t="inlineStr"/>
    </row>
    <row r="8395" ht="27.75" customHeight="1" s="24">
      <c r="A8395" s="13" t="n">
        <v>9962894</v>
      </c>
      <c r="B8395" s="13" t="inlineStr">
        <is>
          <t>ОБЩЕСТВО С ОГРАНИЧЕННОЙ ОТВЕТСТВЕННОСТЬЮ "СИБ-ЭКОЛОГИЯ"</t>
        </is>
      </c>
      <c r="C8395" s="13" t="n">
        <v>3803202458</v>
      </c>
      <c r="D8395" s="13" t="inlineStr">
        <is>
          <t>3803202458</t>
        </is>
      </c>
      <c r="E8395" s="13" t="inlineStr">
        <is>
          <t>ЮЛ РФ</t>
        </is>
      </c>
      <c r="F8395" s="13" t="n"/>
      <c r="G8395" s="52" t="n">
        <v>209</v>
      </c>
      <c r="H8395" s="52" t="n">
        <v>2025</v>
      </c>
      <c r="I8395" s="52" t="inlineStr">
        <is>
          <t>16.10.1</t>
        </is>
      </c>
      <c r="J8395" s="52" t="inlineStr">
        <is>
          <t>16.10.1; 16.10.2; 16.10; 16.10.3; 16.21.22; 68.20.2; 77.11; 77.33.1; 77.39.1; 77.39.2</t>
        </is>
      </c>
      <c r="K8395" s="53" t="inlineStr">
        <is>
          <t>Да</t>
        </is>
      </c>
      <c r="L8395" s="53" t="inlineStr">
        <is>
          <t>Да</t>
        </is>
      </c>
      <c r="M8395" s="53" t="inlineStr">
        <is>
          <t>До 500</t>
        </is>
      </c>
      <c r="N8395" s="54" t="n">
        <v>144000</v>
      </c>
      <c r="O8395" s="55" t="inlineStr">
        <is>
          <t>201–500</t>
        </is>
      </c>
      <c r="P8395" s="16" t="inlineStr">
        <is>
          <t>ССЧР + ОКВЭД обогащены</t>
        </is>
      </c>
      <c r="Q8395" s="16" t="inlineStr">
        <is>
          <t>ФНС открытые данные ССЧР (ДатаСост 31.12.2025; набор 7707329152-sshr2019)</t>
        </is>
      </c>
      <c r="R8395" s="16" t="inlineStr">
        <is>
          <t>ЕГРЮЛ / egrul.nalog.ru (выписка)</t>
        </is>
      </c>
      <c r="S8395" t="n">
        <v>1</v>
      </c>
      <c r="T8395" s="35" t="inlineStr">
        <is>
          <t>1 — Горячий</t>
        </is>
      </c>
      <c r="U8395" s="35" t="inlineStr">
        <is>
          <t>ОКВЭД + 22+</t>
        </is>
      </c>
      <c r="V8395" s="35" t="inlineStr">
        <is>
          <t>Да</t>
        </is>
      </c>
      <c r="W8395" s="35" t="inlineStr">
        <is>
          <t>Да</t>
        </is>
      </c>
      <c r="X8395" s="35" t="inlineStr">
        <is>
          <t>Да</t>
        </is>
      </c>
    </row>
    <row r="8396" ht="15" customHeight="1" s="24">
      <c r="A8396" s="13" t="n">
        <v>9869617</v>
      </c>
      <c r="B8396" s="13" t="inlineStr">
        <is>
          <t>ООО "ФОРТУНА ПЛЮС"</t>
        </is>
      </c>
      <c r="C8396" s="13" t="n">
        <v>3804028033</v>
      </c>
      <c r="D8396" s="13" t="inlineStr">
        <is>
          <t>3804028033</t>
        </is>
      </c>
      <c r="E8396" s="13" t="inlineStr">
        <is>
          <t>ЮЛ РФ</t>
        </is>
      </c>
      <c r="F8396" s="13" t="n"/>
      <c r="G8396" s="52" t="n">
        <v>8</v>
      </c>
      <c r="H8396" s="52" t="n">
        <v>2025</v>
      </c>
      <c r="I8396" s="14" t="n"/>
      <c r="J8396" s="14" t="n"/>
      <c r="K8396" s="53" t="inlineStr">
        <is>
          <t>Нет</t>
        </is>
      </c>
      <c r="L8396" s="53" t="inlineStr">
        <is>
          <t>Не определено</t>
        </is>
      </c>
      <c r="M8396" s="53" t="inlineStr">
        <is>
          <t>До 10</t>
        </is>
      </c>
      <c r="N8396" s="54" t="n">
        <v>3360</v>
      </c>
      <c r="O8396" s="55" t="inlineStr">
        <is>
          <t>1–15</t>
        </is>
      </c>
      <c r="P8396" s="16" t="inlineStr">
        <is>
          <t>ССЧР обогащена; ОКВЭД не найден/не загружен</t>
        </is>
      </c>
      <c r="Q8396" s="16" t="inlineStr">
        <is>
          <t>ФНС открытые данные ССЧР (ДатаСост 31.12.2025; набор 7707329152-sshr2019)</t>
        </is>
      </c>
      <c r="R8396" s="16">
        <f>HYPERLINK("https://checko.ru/search?query=3801001629","Чекко: проверить")</f>
        <v/>
      </c>
      <c r="S8396" t="n">
        <v>1</v>
      </c>
      <c r="T8396" s="35" t="inlineStr">
        <is>
          <t>4 — Не обогащён</t>
        </is>
      </c>
      <c r="U8396" s="35" t="inlineStr">
        <is>
          <t>Нет ОКВЭД/ССЧР</t>
        </is>
      </c>
      <c r="V8396" s="35" t="inlineStr">
        <is>
          <t>Не определено</t>
        </is>
      </c>
      <c r="W8396" s="35" t="inlineStr">
        <is>
          <t>Нет</t>
        </is>
      </c>
      <c r="X8396" s="35" t="inlineStr"/>
    </row>
    <row r="8397" ht="15" customHeight="1" s="24">
      <c r="A8397" s="13" t="n">
        <v>802323829</v>
      </c>
      <c r="B8397" s="13" t="inlineStr">
        <is>
          <t>ООО "АТАНОР"</t>
        </is>
      </c>
      <c r="C8397" s="13" t="n">
        <v>3849098351</v>
      </c>
      <c r="D8397" s="13" t="inlineStr">
        <is>
          <t>3849098351</t>
        </is>
      </c>
      <c r="E8397" s="13" t="inlineStr">
        <is>
          <t>ЮЛ РФ</t>
        </is>
      </c>
      <c r="F8397" s="13" t="n"/>
      <c r="G8397" s="52" t="n">
        <v>2</v>
      </c>
      <c r="H8397" s="52" t="n">
        <v>2025</v>
      </c>
      <c r="I8397" s="14" t="n"/>
      <c r="J8397" s="14" t="n"/>
      <c r="K8397" s="53" t="inlineStr">
        <is>
          <t>Нет</t>
        </is>
      </c>
      <c r="L8397" s="53" t="inlineStr">
        <is>
          <t>Не определено</t>
        </is>
      </c>
      <c r="M8397" s="53" t="inlineStr">
        <is>
          <t>До 10</t>
        </is>
      </c>
      <c r="N8397" s="54" t="n">
        <v>3360</v>
      </c>
      <c r="O8397" s="55" t="inlineStr">
        <is>
          <t>1–15</t>
        </is>
      </c>
      <c r="P8397" s="16" t="inlineStr">
        <is>
          <t>ССЧР обогащена; ОКВЭД не найден/не загружен</t>
        </is>
      </c>
      <c r="Q8397" s="16" t="inlineStr">
        <is>
          <t>ФНС открытые данные ССЧР (ДатаСост 31.12.2025; набор 7707329152-sshr2019)</t>
        </is>
      </c>
      <c r="R8397" s="16">
        <f>HYPERLINK("https://checko.ru/search?query=3801001629","Чекко: проверить")</f>
        <v/>
      </c>
      <c r="S8397" t="n">
        <v>1</v>
      </c>
      <c r="T8397" s="35" t="inlineStr">
        <is>
          <t>4 — Не обогащён</t>
        </is>
      </c>
      <c r="U8397" s="35" t="inlineStr">
        <is>
          <t>Нет ОКВЭД/ССЧР</t>
        </is>
      </c>
      <c r="V8397" s="35" t="inlineStr">
        <is>
          <t>Не определено</t>
        </is>
      </c>
      <c r="W8397" s="35" t="inlineStr">
        <is>
          <t>Нет</t>
        </is>
      </c>
      <c r="X8397" s="35" t="inlineStr"/>
    </row>
    <row r="8398" ht="15" customHeight="1" s="24">
      <c r="A8398" s="13" t="n">
        <v>9556361</v>
      </c>
      <c r="B8398" s="13" t="inlineStr">
        <is>
          <t>ЗАО "Восток-Центр "</t>
        </is>
      </c>
      <c r="C8398" s="13" t="n">
        <v>3826003787</v>
      </c>
      <c r="D8398" s="13" t="inlineStr">
        <is>
          <t>3826003787</t>
        </is>
      </c>
      <c r="E8398" s="13" t="inlineStr">
        <is>
          <t>ЮЛ РФ</t>
        </is>
      </c>
      <c r="F8398" s="13" t="n"/>
      <c r="G8398" s="52" t="n">
        <v>48</v>
      </c>
      <c r="H8398" s="52" t="n">
        <v>2025</v>
      </c>
      <c r="I8398" s="52" t="inlineStr">
        <is>
          <t>41.20</t>
        </is>
      </c>
      <c r="J8398" s="52" t="inlineStr">
        <is>
          <t>41.20; 02.20; 16.23.1; 23.32; 33.12; 43.99.9; 46.73.6; 47.52.7</t>
        </is>
      </c>
      <c r="K8398" s="53" t="inlineStr">
        <is>
          <t>Да</t>
        </is>
      </c>
      <c r="L8398" s="53" t="inlineStr">
        <is>
          <t>Да</t>
        </is>
      </c>
      <c r="M8398" s="53" t="inlineStr">
        <is>
          <t>До 50</t>
        </is>
      </c>
      <c r="N8398" s="54" t="n">
        <v>16800</v>
      </c>
      <c r="O8398" s="55" t="inlineStr">
        <is>
          <t>31–50</t>
        </is>
      </c>
      <c r="P8398" s="16" t="inlineStr">
        <is>
          <t>ССЧР + ОКВЭД обогащены</t>
        </is>
      </c>
      <c r="Q8398" s="16" t="inlineStr">
        <is>
          <t>ФНС открытые данные ССЧР (ДатаСост 31.12.2025; набор 7707329152-sshr2019)</t>
        </is>
      </c>
      <c r="R8398" s="16" t="inlineStr">
        <is>
          <t>ЕГРЮЛ / egrul.nalog.ru (выписка)</t>
        </is>
      </c>
      <c r="S8398" t="n">
        <v>1</v>
      </c>
      <c r="T8398" s="35" t="inlineStr">
        <is>
          <t>1 — Горячий</t>
        </is>
      </c>
      <c r="U8398" s="35" t="inlineStr">
        <is>
          <t>ОКВЭД + 22+</t>
        </is>
      </c>
      <c r="V8398" s="35" t="inlineStr">
        <is>
          <t>Да</t>
        </is>
      </c>
      <c r="W8398" s="35" t="inlineStr">
        <is>
          <t>Да</t>
        </is>
      </c>
      <c r="X8398" s="35" t="inlineStr">
        <is>
          <t>Да</t>
        </is>
      </c>
    </row>
    <row r="8399" ht="15" customHeight="1" s="24">
      <c r="A8399" s="13" t="n">
        <v>801618495</v>
      </c>
      <c r="B8399" s="13" t="inlineStr">
        <is>
          <t>ООО "ИННОВАЦИЯ"</t>
        </is>
      </c>
      <c r="C8399" s="13" t="n">
        <v>3805708151</v>
      </c>
      <c r="D8399" s="13" t="inlineStr">
        <is>
          <t>3805708151</t>
        </is>
      </c>
      <c r="E8399" s="13" t="inlineStr">
        <is>
          <t>ЮЛ РФ</t>
        </is>
      </c>
      <c r="F8399" s="13" t="n"/>
      <c r="G8399" s="52" t="n">
        <v>8</v>
      </c>
      <c r="H8399" s="52" t="n">
        <v>2025</v>
      </c>
      <c r="I8399" s="14" t="n"/>
      <c r="J8399" s="14" t="n"/>
      <c r="K8399" s="53" t="inlineStr">
        <is>
          <t>Нет</t>
        </is>
      </c>
      <c r="L8399" s="53" t="inlineStr">
        <is>
          <t>Не определено</t>
        </is>
      </c>
      <c r="M8399" s="53" t="inlineStr">
        <is>
          <t>До 10</t>
        </is>
      </c>
      <c r="N8399" s="54" t="n">
        <v>3360</v>
      </c>
      <c r="O8399" s="55" t="inlineStr">
        <is>
          <t>1–15</t>
        </is>
      </c>
      <c r="P8399" s="16" t="inlineStr">
        <is>
          <t>ССЧР обогащена; ОКВЭД не найден/не загружен</t>
        </is>
      </c>
      <c r="Q8399" s="16" t="inlineStr">
        <is>
          <t>ФНС открытые данные ССЧР (ДатаСост 31.12.2025; набор 7707329152-sshr2019)</t>
        </is>
      </c>
      <c r="R8399" s="16">
        <f>HYPERLINK("https://checko.ru/search?query=3801001629","Чекко: проверить")</f>
        <v/>
      </c>
      <c r="S8399" t="n">
        <v>1</v>
      </c>
      <c r="T8399" s="35" t="inlineStr">
        <is>
          <t>4 — Не обогащён</t>
        </is>
      </c>
      <c r="U8399" s="35" t="inlineStr">
        <is>
          <t>Нет ОКВЭД/ССЧР</t>
        </is>
      </c>
      <c r="V8399" s="35" t="inlineStr">
        <is>
          <t>Не определено</t>
        </is>
      </c>
      <c r="W8399" s="35" t="inlineStr">
        <is>
          <t>Нет</t>
        </is>
      </c>
      <c r="X8399" s="35" t="inlineStr"/>
    </row>
    <row r="8400" ht="27.75" customHeight="1" s="24">
      <c r="A8400" s="13" t="n">
        <v>802404308</v>
      </c>
      <c r="B8400" s="13" t="inlineStr">
        <is>
          <t>Индивидуальный предприниматель Харланов Андрей Сергеевич</t>
        </is>
      </c>
      <c r="C8400" s="13" t="n">
        <v>381806610404</v>
      </c>
      <c r="D8400" s="13" t="inlineStr">
        <is>
          <t>381806610404</t>
        </is>
      </c>
      <c r="E8400" s="13" t="inlineStr">
        <is>
          <t>ИП РФ / физлицо</t>
        </is>
      </c>
      <c r="F8400" s="13" t="n"/>
      <c r="G8400" s="14" t="n"/>
      <c r="H8400" s="14" t="n"/>
      <c r="I8400" s="14" t="n"/>
      <c r="J8400" s="14" t="n"/>
      <c r="K8400" s="53" t="inlineStr"/>
      <c r="L8400" s="53" t="inlineStr">
        <is>
          <t>Не определено</t>
        </is>
      </c>
      <c r="M8400" s="53" t="inlineStr"/>
      <c r="N8400" s="54" t="inlineStr"/>
      <c r="O8400" s="55" t="inlineStr"/>
      <c r="P8400" s="16" t="inlineStr">
        <is>
          <t>Требует обогащения</t>
        </is>
      </c>
      <c r="Q8400" s="16">
        <f>HYPERLINK("https://pb.nalog.ru/search.html?query=381806610404","ФНС: проверить")</f>
        <v/>
      </c>
      <c r="R8400" s="16">
        <f>HYPERLINK("https://checko.ru/search?query=3801001629","Чекко: проверить")</f>
        <v/>
      </c>
      <c r="S8400" t="n">
        <v>1</v>
      </c>
      <c r="T8400" s="35" t="inlineStr">
        <is>
          <t>4 — Не обогащён</t>
        </is>
      </c>
      <c r="U8400" s="35" t="inlineStr">
        <is>
          <t>Нет ОКВЭД/ССЧР</t>
        </is>
      </c>
      <c r="V8400" s="35" t="inlineStr">
        <is>
          <t>Не определено</t>
        </is>
      </c>
      <c r="W8400" s="35" t="inlineStr"/>
      <c r="X8400" s="35" t="inlineStr"/>
    </row>
    <row r="8401" ht="27.75" customHeight="1" s="24">
      <c r="A8401" s="13" t="n">
        <v>804955887</v>
      </c>
      <c r="B8401" s="13" t="inlineStr">
        <is>
          <t>ИНДИВИДУАЛЬНЫЙ ПРЕДПРИНИМАТЕЛЬ Хабитуев Александр Валерьевич</t>
        </is>
      </c>
      <c r="C8401" s="13" t="n">
        <v>32500004408</v>
      </c>
      <c r="D8401" s="13" t="n"/>
      <c r="E8401" s="13" t="inlineStr">
        <is>
          <t>Не определён</t>
        </is>
      </c>
      <c r="F8401" s="13" t="n"/>
      <c r="G8401" s="14" t="n"/>
      <c r="H8401" s="14" t="n"/>
      <c r="I8401" s="14" t="n"/>
      <c r="J8401" s="14" t="n"/>
      <c r="K8401" s="13">
        <f>IF(G8401="","",IF(G8401&gt;=22,"Да","Нет"))</f>
        <v/>
      </c>
      <c r="L8401" s="13">
        <f>IF(OR(I8401="",J8401=""),"Не определено",IF(OR(COUNTIF(I8401,"45*")&gt;0,COUNTIF(J8401,"*45*")&gt;0,COUNTIF(I8401,"46*")&gt;0,COUNTIF(J8401,"*46*")&gt;0,COUNTIF(I8401,"47*")&gt;0,COUNTIF(J8401,"*47*")&gt;0,COUNTIF(I8401,"10*")&gt;0,COUNTIF(J8401,"*10*")&gt;0,COUNTIF(I8401,"11*")&gt;0,COUNTIF(J8401,"*11*")&gt;0,COUNTIF(I8401,"12*")&gt;0,COUNTIF(J8401,"*12*")&gt;0,COUNTIF(I8401,"13*")&gt;0,COUNTIF(J8401,"*13*")&gt;0,COUNTIF(I8401,"14*")&gt;0,COUNTIF(J8401,"*14*")&gt;0,COUNTIF(I8401,"15*")&gt;0,COUNTIF(J8401,"*15*")&gt;0,COUNTIF(I8401,"16*")&gt;0,COUNTIF(J8401,"*16*")&gt;0,COUNTIF(I8401,"17*")&gt;0,COUNTIF(J8401,"*17*")&gt;0,COUNTIF(I8401,"18*")&gt;0,COUNTIF(J8401,"*18*")&gt;0,COUNTIF(I8401,"19*")&gt;0,COUNTIF(J8401,"*19*")&gt;0,COUNTIF(I8401,"20*")&gt;0,COUNTIF(J8401,"*20*")&gt;0,COUNTIF(I8401,"21*")&gt;0,COUNTIF(J8401,"*21*")&gt;0,COUNTIF(I8401,"22*")&gt;0,COUNTIF(J8401,"*22*")&gt;0,COUNTIF(I8401,"23*")&gt;0,COUNTIF(J8401,"*23*")&gt;0,COUNTIF(I8401,"24*")&gt;0,COUNTIF(J8401,"*24*")&gt;0,COUNTIF(I8401,"25*")&gt;0,COUNTIF(J8401,"*25*")&gt;0,COUNTIF(I8401,"26*")&gt;0,COUNTIF(J8401,"*26*")&gt;0,COUNTIF(I8401,"27*")&gt;0,COUNTIF(J8401,"*27*")&gt;0,COUNTIF(I8401,"28*")&gt;0,COUNTIF(J8401,"*28*")&gt;0,COUNTIF(I8401,"29*")&gt;0,COUNTIF(J8401,"*29*")&gt;0,COUNTIF(I8401,"30*")&gt;0,COUNTIF(J8401,"*30*")&gt;0,COUNTIF(I8401,"31*")&gt;0,COUNTIF(J8401,"*31*")&gt;0,COUNTIF(I8401,"32*")&gt;0,COUNTIF(J8401,"*32*")&gt;0,COUNTIF(I8401,"33*")&gt;0,COUNTIF(J8401,"*33*")&gt;0,COUNTIF(I8401,"41*")&gt;0,COUNTIF(J8401,"*41*")&gt;0,COUNTIF(I8401,"42*")&gt;0,COUNTIF(J8401,"*42*")&gt;0,COUNTIF(I8401,"43*")&gt;0,COUNTIF(J8401,"*43*")&gt;0,COUNTIF(I8401,"49*")&gt;0,COUNTIF(J8401,"*49*")&gt;0,COUNTIF(I8401,"52*")&gt;0,COUNTIF(J8401,"*52*")&gt;0,COUNTIF(I8401,"55*")&gt;0,COUNTIF(J8401,"*55*")&gt;0,COUNTIF(I8401,"56*")&gt;0,COUNTIF(J8401,"*56*")&gt;0,COUNTIF(I8401,"68*")&gt;0,COUNTIF(J8401,"*68*")&gt;0,COUNTIF(I8401,"78*")&gt;0,COUNTIF(J8401,"*78*")&gt;0,COUNTIF(I8401,"81*")&gt;0,COUNTIF(J8401,"*81*")&gt;0,COUNTIF(I8401,"82*")&gt;0,COUNTIF(J8401,"*82*")&gt;0,COUNTIF(I8401,"64*")&gt;0,COUNTIF(J8401,"*64*")&gt;0,COUNTIF(I8401,"65*")&gt;0,COUNTIF(J8401,"*65*")&gt;0,COUNTIF(I8401,"66*")&gt;0,COUNTIF(J8401,"*66*")&gt;0,COUNTIF(I8401,"61*")&gt;0,COUNTIF(J8401,"*61*")&gt;0,COUNTIF(I8401,"62*")&gt;0,COUNTIF(J8401,"*62*")&gt;0,COUNTIF(I8401,"63*")&gt;0,COUNTIF(J8401,"*63*")&gt;0,COUNTIF(I8401,"85*")&gt;0,COUNTIF(J8401,"*85*")&gt;0,COUNTIF(I8401,"86*")&gt;0,COUNTIF(J8401,"*86*")&gt;0),"Да","Нет"))</f>
        <v/>
      </c>
      <c r="M8401" s="13">
        <f>IF(OR(G8401="",L8401&lt;&gt;"Да"),"",IF(G8401&lt;=100,"До 100",IF(G8401&lt;=200,"До 200",IF(G8401&lt;=500,"До 500","Отдельное КП"))))</f>
        <v/>
      </c>
      <c r="N8401" s="15">
        <f>IF(OR(G8401="",L8401&lt;&gt;"Да"),"",IF(G8401&lt;=100,33600,IF(G8401&lt;=200,62400,IF(G8401&lt;=500,144000,""))))</f>
        <v/>
      </c>
      <c r="O8401" s="16">
        <f>IF(G8401="","",IF(G8401&lt;=15,"1–15",IF(G8401&lt;=30,"16–30",IF(G8401&lt;=50,"31–50",IF(G8401&lt;=100,"51–100",IF(G8401&lt;=150,"101–150",IF(G8401&lt;=200,"151–200",IF(G8401&lt;=500,"201–500","500+"))))))))</f>
        <v/>
      </c>
      <c r="P8401" s="16" t="inlineStr">
        <is>
          <t>Нет совпадения в предоставленной выгрузке ССЧР</t>
        </is>
      </c>
      <c r="Q8401" s="16" t="n"/>
      <c r="R8401" s="16">
        <f>HYPERLINK("https://checko.ru/search?query=3801001629","Чекко: проверить")</f>
        <v/>
      </c>
      <c r="S8401" t="n">
        <v>0</v>
      </c>
    </row>
    <row r="8402" ht="15" customHeight="1" s="24">
      <c r="A8402" s="13" t="n">
        <v>800558809</v>
      </c>
      <c r="B8402" s="13" t="inlineStr">
        <is>
          <t>ТЕХНО БАЗИС ООО</t>
        </is>
      </c>
      <c r="C8402" s="13" t="n">
        <v>3812143992</v>
      </c>
      <c r="D8402" s="13" t="inlineStr">
        <is>
          <t>3812143992</t>
        </is>
      </c>
      <c r="E8402" s="13" t="inlineStr">
        <is>
          <t>ЮЛ РФ</t>
        </is>
      </c>
      <c r="F8402" s="13" t="n"/>
      <c r="G8402" s="52" t="n">
        <v>8</v>
      </c>
      <c r="H8402" s="52" t="n">
        <v>2025</v>
      </c>
      <c r="I8402" s="14" t="n"/>
      <c r="J8402" s="14" t="n"/>
      <c r="K8402" s="53" t="inlineStr">
        <is>
          <t>Нет</t>
        </is>
      </c>
      <c r="L8402" s="53" t="inlineStr">
        <is>
          <t>Не определено</t>
        </is>
      </c>
      <c r="M8402" s="53" t="inlineStr">
        <is>
          <t>До 10</t>
        </is>
      </c>
      <c r="N8402" s="54" t="n">
        <v>3360</v>
      </c>
      <c r="O8402" s="55" t="inlineStr">
        <is>
          <t>1–15</t>
        </is>
      </c>
      <c r="P8402" s="16" t="inlineStr">
        <is>
          <t>ССЧР обогащена; ОКВЭД не найден/не загружен</t>
        </is>
      </c>
      <c r="Q8402" s="16" t="inlineStr">
        <is>
          <t>ФНС открытые данные ССЧР (ДатаСост 31.12.2025; набор 7707329152-sshr2019)</t>
        </is>
      </c>
      <c r="R8402" s="16">
        <f>HYPERLINK("https://checko.ru/search?query=3801001629","Чекко: проверить")</f>
        <v/>
      </c>
      <c r="S8402" t="n">
        <v>1</v>
      </c>
      <c r="T8402" s="35" t="inlineStr">
        <is>
          <t>4 — Не обогащён</t>
        </is>
      </c>
      <c r="U8402" s="35" t="inlineStr">
        <is>
          <t>Нет ОКВЭД/ССЧР</t>
        </is>
      </c>
      <c r="V8402" s="35" t="inlineStr">
        <is>
          <t>Не определено</t>
        </is>
      </c>
      <c r="W8402" s="35" t="inlineStr">
        <is>
          <t>Нет</t>
        </is>
      </c>
      <c r="X8402" s="35" t="inlineStr"/>
    </row>
    <row r="8403" ht="27.75" customHeight="1" s="24">
      <c r="A8403" s="13" t="n">
        <v>804701436</v>
      </c>
      <c r="B8403" s="13" t="inlineStr">
        <is>
          <t>Индивидуальный предприниматель Авсеницкая Ксения Вячеславовна</t>
        </is>
      </c>
      <c r="C8403" s="13" t="n">
        <v>381002676684</v>
      </c>
      <c r="D8403" s="13" t="inlineStr">
        <is>
          <t>381002676684</t>
        </is>
      </c>
      <c r="E8403" s="13" t="inlineStr">
        <is>
          <t>ИП РФ / физлицо</t>
        </is>
      </c>
      <c r="F8403" s="13" t="n"/>
      <c r="G8403" s="14" t="n"/>
      <c r="H8403" s="14" t="n"/>
      <c r="I8403" s="14" t="n"/>
      <c r="J8403" s="14" t="n"/>
      <c r="K8403" s="53" t="inlineStr"/>
      <c r="L8403" s="53" t="inlineStr">
        <is>
          <t>Не определено</t>
        </is>
      </c>
      <c r="M8403" s="53" t="inlineStr"/>
      <c r="N8403" s="54" t="inlineStr"/>
      <c r="O8403" s="55" t="inlineStr"/>
      <c r="P8403" s="16" t="inlineStr">
        <is>
          <t>Требует обогащения</t>
        </is>
      </c>
      <c r="Q8403" s="16">
        <f>HYPERLINK("https://pb.nalog.ru/search.html?query=381002676684","ФНС: проверить")</f>
        <v/>
      </c>
      <c r="R8403" s="16">
        <f>HYPERLINK("https://checko.ru/search?query=3801001629","Чекко: проверить")</f>
        <v/>
      </c>
      <c r="S8403" t="n">
        <v>1</v>
      </c>
      <c r="T8403" s="35" t="inlineStr">
        <is>
          <t>4 — Не обогащён</t>
        </is>
      </c>
      <c r="U8403" s="35" t="inlineStr">
        <is>
          <t>Нет ОКВЭД/ССЧР</t>
        </is>
      </c>
      <c r="V8403" s="35" t="inlineStr">
        <is>
          <t>Не определено</t>
        </is>
      </c>
      <c r="W8403" s="35" t="inlineStr"/>
      <c r="X8403" s="35" t="inlineStr"/>
    </row>
    <row r="8404" ht="15" customHeight="1" s="24">
      <c r="A8404" s="13" t="n">
        <v>800440727</v>
      </c>
      <c r="B8404" s="13" t="inlineStr">
        <is>
          <t>ИП Белобородова Татьяна Анатольевна</t>
        </is>
      </c>
      <c r="C8404" s="13" t="n">
        <v>381201291449</v>
      </c>
      <c r="D8404" s="13" t="inlineStr">
        <is>
          <t>381201291449</t>
        </is>
      </c>
      <c r="E8404" s="13" t="inlineStr">
        <is>
          <t>ИП РФ / физлицо</t>
        </is>
      </c>
      <c r="F8404" s="13" t="n"/>
      <c r="G8404" s="14" t="n"/>
      <c r="H8404" s="14" t="n"/>
      <c r="I8404" s="14" t="n"/>
      <c r="J8404" s="14" t="n"/>
      <c r="K8404" s="53" t="inlineStr"/>
      <c r="L8404" s="53" t="inlineStr">
        <is>
          <t>Не определено</t>
        </is>
      </c>
      <c r="M8404" s="53" t="inlineStr"/>
      <c r="N8404" s="54" t="inlineStr"/>
      <c r="O8404" s="55" t="inlineStr"/>
      <c r="P8404" s="16" t="inlineStr">
        <is>
          <t>Требует обогащения</t>
        </is>
      </c>
      <c r="Q8404" s="16">
        <f>HYPERLINK("https://pb.nalog.ru/search.html?query=381201291449","ФНС: проверить")</f>
        <v/>
      </c>
      <c r="R8404" s="16">
        <f>HYPERLINK("https://checko.ru/search?query=3801001629","Чекко: проверить")</f>
        <v/>
      </c>
      <c r="S8404" t="n">
        <v>1</v>
      </c>
      <c r="T8404" s="35" t="inlineStr">
        <is>
          <t>4 — Не обогащён</t>
        </is>
      </c>
      <c r="U8404" s="35" t="inlineStr">
        <is>
          <t>Нет ОКВЭД/ССЧР</t>
        </is>
      </c>
      <c r="V8404" s="35" t="inlineStr">
        <is>
          <t>Не определено</t>
        </is>
      </c>
      <c r="W8404" s="35" t="inlineStr"/>
      <c r="X8404" s="35" t="inlineStr"/>
    </row>
    <row r="8405" ht="15" customHeight="1" s="24">
      <c r="A8405" s="13" t="n">
        <v>800459182</v>
      </c>
      <c r="B8405" s="13" t="inlineStr">
        <is>
          <t>ООО ФСК "Промстроймонтаж"</t>
        </is>
      </c>
      <c r="C8405" s="13" t="n">
        <v>3811157488</v>
      </c>
      <c r="D8405" s="13" t="inlineStr">
        <is>
          <t>3811157488</t>
        </is>
      </c>
      <c r="E8405" s="13" t="inlineStr">
        <is>
          <t>ЮЛ РФ</t>
        </is>
      </c>
      <c r="F8405" s="13" t="n"/>
      <c r="G8405" s="52" t="n">
        <v>28</v>
      </c>
      <c r="H8405" s="52" t="n">
        <v>2025</v>
      </c>
      <c r="I8405" s="52" t="inlineStr">
        <is>
          <t>43.12</t>
        </is>
      </c>
      <c r="J8405" s="52" t="inlineStr">
        <is>
          <t>43.12; 43.99; 46.44; 46.73; 46.74; 47.52; 47.59; 77.11; 77.39</t>
        </is>
      </c>
      <c r="K8405" s="53" t="inlineStr">
        <is>
          <t>Да</t>
        </is>
      </c>
      <c r="L8405" s="53" t="inlineStr">
        <is>
          <t>Да</t>
        </is>
      </c>
      <c r="M8405" s="53" t="inlineStr">
        <is>
          <t>До 50</t>
        </is>
      </c>
      <c r="N8405" s="54" t="n">
        <v>16800</v>
      </c>
      <c r="O8405" s="55" t="inlineStr">
        <is>
          <t>16–30</t>
        </is>
      </c>
      <c r="P8405" s="16" t="inlineStr">
        <is>
          <t>ССЧР + ОКВЭД обогащены</t>
        </is>
      </c>
      <c r="Q8405" s="16" t="inlineStr">
        <is>
          <t>ФНС открытые данные ССЧР (ДатаСост 31.12.2025; набор 7707329152-sshr2019)</t>
        </is>
      </c>
      <c r="R8405" s="16" t="inlineStr">
        <is>
          <t>ЕГРЮЛ / egrul.nalog.ru (выписка)</t>
        </is>
      </c>
      <c r="S8405" t="n">
        <v>1</v>
      </c>
      <c r="T8405" s="35" t="inlineStr">
        <is>
          <t>1 — Горячий</t>
        </is>
      </c>
      <c r="U8405" s="35" t="inlineStr">
        <is>
          <t>ОКВЭД + 22+</t>
        </is>
      </c>
      <c r="V8405" s="35" t="inlineStr">
        <is>
          <t>Да</t>
        </is>
      </c>
      <c r="W8405" s="35" t="inlineStr">
        <is>
          <t>Да</t>
        </is>
      </c>
      <c r="X8405" s="35" t="inlineStr">
        <is>
          <t>Да</t>
        </is>
      </c>
    </row>
    <row r="8406" ht="15" customHeight="1" s="24">
      <c r="A8406" s="13" t="n">
        <v>801633512</v>
      </c>
      <c r="B8406" s="13" t="inlineStr">
        <is>
          <t>ООО "Медицинский центр для всей семьи"</t>
        </is>
      </c>
      <c r="C8406" s="13" t="n">
        <v>3811069418</v>
      </c>
      <c r="D8406" s="13" t="inlineStr">
        <is>
          <t>3811069418</t>
        </is>
      </c>
      <c r="E8406" s="13" t="inlineStr">
        <is>
          <t>ЮЛ РФ</t>
        </is>
      </c>
      <c r="F8406" s="13" t="n"/>
      <c r="G8406" s="52" t="n">
        <v>30</v>
      </c>
      <c r="H8406" s="52" t="n">
        <v>2025</v>
      </c>
      <c r="I8406" s="52" t="inlineStr">
        <is>
          <t>86.21</t>
        </is>
      </c>
      <c r="J8406" s="52" t="inlineStr">
        <is>
          <t>86.21; 46.18; 46.19; 47.73; 55.10; 56.10.1; 66.11.2; 68.31; 86.23</t>
        </is>
      </c>
      <c r="K8406" s="53" t="inlineStr">
        <is>
          <t>Да</t>
        </is>
      </c>
      <c r="L8406" s="53" t="inlineStr">
        <is>
          <t>Да</t>
        </is>
      </c>
      <c r="M8406" s="53" t="inlineStr">
        <is>
          <t>До 50</t>
        </is>
      </c>
      <c r="N8406" s="54" t="n">
        <v>16800</v>
      </c>
      <c r="O8406" s="55" t="inlineStr">
        <is>
          <t>16–30</t>
        </is>
      </c>
      <c r="P8406" s="16" t="inlineStr">
        <is>
          <t>ССЧР + ОКВЭД обогащены</t>
        </is>
      </c>
      <c r="Q8406" s="16" t="inlineStr">
        <is>
          <t>ФНС открытые данные ССЧР (ДатаСост 31.12.2025; набор 7707329152-sshr2019)</t>
        </is>
      </c>
      <c r="R8406" s="16" t="inlineStr">
        <is>
          <t>ЕГРЮЛ / egrul.nalog.ru (выписка)</t>
        </is>
      </c>
      <c r="S8406" t="n">
        <v>1</v>
      </c>
      <c r="T8406" s="35" t="inlineStr">
        <is>
          <t>1 — Горячий</t>
        </is>
      </c>
      <c r="U8406" s="35" t="inlineStr">
        <is>
          <t>ОКВЭД + 22+</t>
        </is>
      </c>
      <c r="V8406" s="35" t="inlineStr">
        <is>
          <t>Да</t>
        </is>
      </c>
      <c r="W8406" s="35" t="inlineStr">
        <is>
          <t>Да</t>
        </is>
      </c>
      <c r="X8406" s="35" t="inlineStr">
        <is>
          <t>Да</t>
        </is>
      </c>
    </row>
    <row r="8407" ht="15" customHeight="1" s="24">
      <c r="A8407" s="13" t="n">
        <v>802160139</v>
      </c>
      <c r="B8407" s="13" t="inlineStr">
        <is>
          <t>ООО «Грэйс»</t>
        </is>
      </c>
      <c r="C8407" s="13" t="n">
        <v>3808136456</v>
      </c>
      <c r="D8407" s="13" t="inlineStr">
        <is>
          <t>3808136456</t>
        </is>
      </c>
      <c r="E8407" s="13" t="inlineStr">
        <is>
          <t>ЮЛ РФ</t>
        </is>
      </c>
      <c r="F8407" s="13" t="n"/>
      <c r="G8407" s="52" t="n">
        <v>0</v>
      </c>
      <c r="H8407" s="52" t="n">
        <v>2025</v>
      </c>
      <c r="I8407" s="14" t="n"/>
      <c r="J8407" s="14" t="n"/>
      <c r="K8407" s="53" t="inlineStr">
        <is>
          <t>Нет</t>
        </is>
      </c>
      <c r="L8407" s="53" t="inlineStr">
        <is>
          <t>Не определено</t>
        </is>
      </c>
      <c r="M8407" s="53" t="inlineStr">
        <is>
          <t>До 10</t>
        </is>
      </c>
      <c r="N8407" s="54" t="n">
        <v>3360</v>
      </c>
      <c r="O8407" s="55" t="inlineStr">
        <is>
          <t>1–15</t>
        </is>
      </c>
      <c r="P8407" s="16" t="inlineStr">
        <is>
          <t>ССЧР обогащена; ОКВЭД не найден/не загружен</t>
        </is>
      </c>
      <c r="Q8407" s="16" t="inlineStr">
        <is>
          <t>ФНС открытые данные ССЧР (ДатаСост 31.12.2025; набор 7707329152-sshr2019)</t>
        </is>
      </c>
      <c r="R8407" s="16">
        <f>HYPERLINK("https://checko.ru/search?query=3801001629","Чекко: проверить")</f>
        <v/>
      </c>
      <c r="S8407" t="n">
        <v>1</v>
      </c>
      <c r="T8407" s="35" t="inlineStr">
        <is>
          <t>4 — Не обогащён</t>
        </is>
      </c>
      <c r="U8407" s="35" t="inlineStr">
        <is>
          <t>Нет ОКВЭД/ССЧР</t>
        </is>
      </c>
      <c r="V8407" s="35" t="inlineStr">
        <is>
          <t>Не определено</t>
        </is>
      </c>
      <c r="W8407" s="35" t="inlineStr">
        <is>
          <t>Нет</t>
        </is>
      </c>
      <c r="X8407" s="35" t="inlineStr"/>
    </row>
    <row r="8408" ht="15" customHeight="1" s="24">
      <c r="A8408" s="13" t="n">
        <v>800723535</v>
      </c>
      <c r="B8408" s="13" t="inlineStr">
        <is>
          <t>ИП Демин Андрей Владиславович</t>
        </is>
      </c>
      <c r="C8408" s="13" t="n">
        <v>380501438010</v>
      </c>
      <c r="D8408" s="13" t="inlineStr">
        <is>
          <t>380501438010</t>
        </is>
      </c>
      <c r="E8408" s="13" t="inlineStr">
        <is>
          <t>ИП РФ / физлицо</t>
        </is>
      </c>
      <c r="F8408" s="13" t="n"/>
      <c r="G8408" s="14" t="n"/>
      <c r="H8408" s="14" t="n"/>
      <c r="I8408" s="14" t="n"/>
      <c r="J8408" s="14" t="n"/>
      <c r="K8408" s="53" t="inlineStr"/>
      <c r="L8408" s="53" t="inlineStr">
        <is>
          <t>Не определено</t>
        </is>
      </c>
      <c r="M8408" s="53" t="inlineStr"/>
      <c r="N8408" s="54" t="inlineStr"/>
      <c r="O8408" s="55" t="inlineStr"/>
      <c r="P8408" s="16" t="inlineStr">
        <is>
          <t>Требует обогащения</t>
        </is>
      </c>
      <c r="Q8408" s="16">
        <f>HYPERLINK("https://pb.nalog.ru/search.html?query=380501438010","ФНС: проверить")</f>
        <v/>
      </c>
      <c r="R8408" s="16">
        <f>HYPERLINK("https://checko.ru/search?query=3801001629","Чекко: проверить")</f>
        <v/>
      </c>
      <c r="S8408" t="n">
        <v>1</v>
      </c>
      <c r="T8408" s="35" t="inlineStr">
        <is>
          <t>4 — Не обогащён</t>
        </is>
      </c>
      <c r="U8408" s="35" t="inlineStr">
        <is>
          <t>Нет ОКВЭД/ССЧР</t>
        </is>
      </c>
      <c r="V8408" s="35" t="inlineStr">
        <is>
          <t>Не определено</t>
        </is>
      </c>
      <c r="W8408" s="35" t="inlineStr"/>
      <c r="X8408" s="35" t="inlineStr"/>
    </row>
    <row r="8409" ht="15" customHeight="1" s="24">
      <c r="A8409" s="13" t="n">
        <v>9121911</v>
      </c>
      <c r="B8409" s="13" t="inlineStr">
        <is>
          <t>ООО ФИРМА "АЛЬЯНС"</t>
        </is>
      </c>
      <c r="C8409" s="13" t="n">
        <v>3805401272</v>
      </c>
      <c r="D8409" s="13" t="inlineStr">
        <is>
          <t>3805401272</t>
        </is>
      </c>
      <c r="E8409" s="13" t="inlineStr">
        <is>
          <t>ЮЛ РФ</t>
        </is>
      </c>
      <c r="F8409" s="13" t="n"/>
      <c r="G8409" s="52" t="n">
        <v>4</v>
      </c>
      <c r="H8409" s="52" t="n">
        <v>2025</v>
      </c>
      <c r="I8409" s="14" t="n"/>
      <c r="J8409" s="14" t="n"/>
      <c r="K8409" s="53" t="inlineStr">
        <is>
          <t>Нет</t>
        </is>
      </c>
      <c r="L8409" s="53" t="inlineStr">
        <is>
          <t>Не определено</t>
        </is>
      </c>
      <c r="M8409" s="53" t="inlineStr">
        <is>
          <t>До 10</t>
        </is>
      </c>
      <c r="N8409" s="54" t="n">
        <v>3360</v>
      </c>
      <c r="O8409" s="55" t="inlineStr">
        <is>
          <t>1–15</t>
        </is>
      </c>
      <c r="P8409" s="16" t="inlineStr">
        <is>
          <t>ССЧР обогащена; ОКВЭД не найден/не загружен</t>
        </is>
      </c>
      <c r="Q8409" s="16" t="inlineStr">
        <is>
          <t>ФНС открытые данные ССЧР (ДатаСост 31.12.2025; набор 7707329152-sshr2019)</t>
        </is>
      </c>
      <c r="R8409" s="16">
        <f>HYPERLINK("https://checko.ru/search?query=3801001629","Чекко: проверить")</f>
        <v/>
      </c>
      <c r="S8409" t="n">
        <v>1</v>
      </c>
      <c r="T8409" s="35" t="inlineStr">
        <is>
          <t>4 — Не обогащён</t>
        </is>
      </c>
      <c r="U8409" s="35" t="inlineStr">
        <is>
          <t>Нет ОКВЭД/ССЧР</t>
        </is>
      </c>
      <c r="V8409" s="35" t="inlineStr">
        <is>
          <t>Не определено</t>
        </is>
      </c>
      <c r="W8409" s="35" t="inlineStr">
        <is>
          <t>Нет</t>
        </is>
      </c>
      <c r="X8409" s="35" t="inlineStr"/>
    </row>
    <row r="8410" ht="15" customHeight="1" s="24">
      <c r="A8410" s="13" t="n">
        <v>801332636</v>
      </c>
      <c r="B8410" s="13" t="inlineStr">
        <is>
          <t>ООО "ОЗЕРО БАЙКАЛ - ЛУН ЧУАН"</t>
        </is>
      </c>
      <c r="C8410" s="13" t="n">
        <v>3810058484</v>
      </c>
      <c r="D8410" s="13" t="inlineStr">
        <is>
          <t>3810058484</t>
        </is>
      </c>
      <c r="E8410" s="13" t="inlineStr">
        <is>
          <t>ЮЛ РФ</t>
        </is>
      </c>
      <c r="F8410" s="13" t="n"/>
      <c r="G8410" s="52" t="n">
        <v>15</v>
      </c>
      <c r="H8410" s="52" t="n">
        <v>2025</v>
      </c>
      <c r="I8410" s="14" t="n"/>
      <c r="J8410" s="14" t="n"/>
      <c r="K8410" s="53" t="inlineStr">
        <is>
          <t>Нет</t>
        </is>
      </c>
      <c r="L8410" s="53" t="inlineStr">
        <is>
          <t>Не определено</t>
        </is>
      </c>
      <c r="M8410" s="53" t="inlineStr">
        <is>
          <t>До 25</t>
        </is>
      </c>
      <c r="N8410" s="54" t="n">
        <v>8400</v>
      </c>
      <c r="O8410" s="55" t="inlineStr">
        <is>
          <t>1–15</t>
        </is>
      </c>
      <c r="P8410" s="16" t="inlineStr">
        <is>
          <t>ССЧР обогащена; ОКВЭД не найден/не загружен</t>
        </is>
      </c>
      <c r="Q8410" s="16" t="inlineStr">
        <is>
          <t>ФНС открытые данные ССЧР (ДатаСост 31.12.2025; набор 7707329152-sshr2019)</t>
        </is>
      </c>
      <c r="R8410" s="16">
        <f>HYPERLINK("https://checko.ru/search?query=3801001629","Чекко: проверить")</f>
        <v/>
      </c>
      <c r="S8410" t="n">
        <v>1</v>
      </c>
      <c r="T8410" s="35" t="inlineStr">
        <is>
          <t>4 — Не обогащён</t>
        </is>
      </c>
      <c r="U8410" s="35" t="inlineStr">
        <is>
          <t>Нет ОКВЭД/ССЧР</t>
        </is>
      </c>
      <c r="V8410" s="35" t="inlineStr">
        <is>
          <t>Не определено</t>
        </is>
      </c>
      <c r="W8410" s="35" t="inlineStr">
        <is>
          <t>Нет</t>
        </is>
      </c>
      <c r="X8410" s="35" t="inlineStr"/>
    </row>
    <row r="8411" ht="15" customHeight="1" s="24">
      <c r="A8411" s="13" t="n">
        <v>800502793</v>
      </c>
      <c r="B8411" s="13" t="inlineStr">
        <is>
          <t>ООО "ЮТА"</t>
        </is>
      </c>
      <c r="C8411" s="13" t="n">
        <v>3805705560</v>
      </c>
      <c r="D8411" s="13" t="inlineStr">
        <is>
          <t>3805705560</t>
        </is>
      </c>
      <c r="E8411" s="13" t="inlineStr">
        <is>
          <t>ЮЛ РФ</t>
        </is>
      </c>
      <c r="F8411" s="13" t="n"/>
      <c r="G8411" s="52" t="n">
        <v>5</v>
      </c>
      <c r="H8411" s="52" t="n">
        <v>2025</v>
      </c>
      <c r="I8411" s="14" t="n"/>
      <c r="J8411" s="14" t="n"/>
      <c r="K8411" s="53" t="inlineStr">
        <is>
          <t>Нет</t>
        </is>
      </c>
      <c r="L8411" s="53" t="inlineStr">
        <is>
          <t>Не определено</t>
        </is>
      </c>
      <c r="M8411" s="53" t="inlineStr">
        <is>
          <t>До 10</t>
        </is>
      </c>
      <c r="N8411" s="54" t="n">
        <v>3360</v>
      </c>
      <c r="O8411" s="55" t="inlineStr">
        <is>
          <t>1–15</t>
        </is>
      </c>
      <c r="P8411" s="16" t="inlineStr">
        <is>
          <t>ССЧР обогащена; ОКВЭД не найден/не загружен</t>
        </is>
      </c>
      <c r="Q8411" s="16" t="inlineStr">
        <is>
          <t>ФНС открытые данные ССЧР (ДатаСост 31.12.2025; набор 7707329152-sshr2019)</t>
        </is>
      </c>
      <c r="R8411" s="16">
        <f>HYPERLINK("https://checko.ru/search?query=3801001629","Чекко: проверить")</f>
        <v/>
      </c>
      <c r="S8411" t="n">
        <v>1</v>
      </c>
      <c r="T8411" s="35" t="inlineStr">
        <is>
          <t>4 — Не обогащён</t>
        </is>
      </c>
      <c r="U8411" s="35" t="inlineStr">
        <is>
          <t>Нет ОКВЭД/ССЧР</t>
        </is>
      </c>
      <c r="V8411" s="35" t="inlineStr">
        <is>
          <t>Не определено</t>
        </is>
      </c>
      <c r="W8411" s="35" t="inlineStr">
        <is>
          <t>Нет</t>
        </is>
      </c>
      <c r="X8411" s="35" t="inlineStr"/>
    </row>
    <row r="8412" ht="27.75" customHeight="1" s="24">
      <c r="A8412" s="13" t="n">
        <v>14126375</v>
      </c>
      <c r="B8412" s="13" t="inlineStr">
        <is>
          <t>ОБЩЕСТВО С ОГРАНИЧЕННОЙ ОТВЕТСТВЕННОСТЬЮ "ШЕРАГУЛЬСКОЕ"</t>
        </is>
      </c>
      <c r="C8412" s="13" t="n">
        <v>3816005168</v>
      </c>
      <c r="D8412" s="13" t="inlineStr">
        <is>
          <t>3816005168</t>
        </is>
      </c>
      <c r="E8412" s="13" t="inlineStr">
        <is>
          <t>ЮЛ РФ</t>
        </is>
      </c>
      <c r="F8412" s="13" t="n"/>
      <c r="G8412" s="52" t="n">
        <v>16</v>
      </c>
      <c r="H8412" s="52" t="n">
        <v>2025</v>
      </c>
      <c r="I8412" s="14" t="n"/>
      <c r="J8412" s="14" t="n"/>
      <c r="K8412" s="53" t="inlineStr">
        <is>
          <t>Нет</t>
        </is>
      </c>
      <c r="L8412" s="53" t="inlineStr">
        <is>
          <t>Не определено</t>
        </is>
      </c>
      <c r="M8412" s="53" t="inlineStr">
        <is>
          <t>До 25</t>
        </is>
      </c>
      <c r="N8412" s="54" t="n">
        <v>8400</v>
      </c>
      <c r="O8412" s="55" t="inlineStr">
        <is>
          <t>16–30</t>
        </is>
      </c>
      <c r="P8412" s="16" t="inlineStr">
        <is>
          <t>ССЧР обогащена; ОКВЭД не найден/не загружен</t>
        </is>
      </c>
      <c r="Q8412" s="16" t="inlineStr">
        <is>
          <t>ФНС открытые данные ССЧР (ДатаСост 31.12.2025; набор 7707329152-sshr2019)</t>
        </is>
      </c>
      <c r="R8412" s="16">
        <f>HYPERLINK("https://checko.ru/search?query=3801001629","Чекко: проверить")</f>
        <v/>
      </c>
      <c r="S8412" t="n">
        <v>1</v>
      </c>
      <c r="T8412" s="35" t="inlineStr">
        <is>
          <t>4 — Не обогащён</t>
        </is>
      </c>
      <c r="U8412" s="35" t="inlineStr">
        <is>
          <t>Нет ОКВЭД/ССЧР</t>
        </is>
      </c>
      <c r="V8412" s="35" t="inlineStr">
        <is>
          <t>Не определено</t>
        </is>
      </c>
      <c r="W8412" s="35" t="inlineStr">
        <is>
          <t>Нет</t>
        </is>
      </c>
      <c r="X8412" s="35" t="inlineStr"/>
    </row>
    <row r="8413" ht="27.75" customHeight="1" s="24">
      <c r="A8413" s="13" t="n">
        <v>802450553</v>
      </c>
      <c r="B8413" s="13" t="inlineStr">
        <is>
          <t>Общество с ограниченной ответственностью "БИТСТРОЙ"</t>
        </is>
      </c>
      <c r="C8413" s="13" t="n">
        <v>3811108057</v>
      </c>
      <c r="D8413" s="13" t="inlineStr">
        <is>
          <t>3811108057</t>
        </is>
      </c>
      <c r="E8413" s="13" t="inlineStr">
        <is>
          <t>ЮЛ РФ</t>
        </is>
      </c>
      <c r="F8413" s="13" t="n"/>
      <c r="G8413" s="14" t="n"/>
      <c r="H8413" s="14" t="n"/>
      <c r="I8413" s="14" t="n"/>
      <c r="J8413" s="14" t="n"/>
      <c r="K8413" s="53" t="inlineStr"/>
      <c r="L8413" s="53" t="inlineStr">
        <is>
          <t>Не определено</t>
        </is>
      </c>
      <c r="M8413" s="53" t="inlineStr"/>
      <c r="N8413" s="54" t="inlineStr"/>
      <c r="O8413" s="55" t="inlineStr"/>
      <c r="P8413" s="16" t="inlineStr">
        <is>
          <t>Требует обогащения</t>
        </is>
      </c>
      <c r="Q8413" s="16">
        <f>HYPERLINK("https://pb.nalog.ru/search.html?query=3811108057","ФНС: проверить")</f>
        <v/>
      </c>
      <c r="R8413" s="16">
        <f>HYPERLINK("https://checko.ru/search?query=3801001629","Чекко: проверить")</f>
        <v/>
      </c>
      <c r="S8413" t="n">
        <v>1</v>
      </c>
      <c r="T8413" s="35" t="inlineStr">
        <is>
          <t>4 — Не обогащён</t>
        </is>
      </c>
      <c r="U8413" s="35" t="inlineStr">
        <is>
          <t>Нет ОКВЭД/ССЧР</t>
        </is>
      </c>
      <c r="V8413" s="35" t="inlineStr">
        <is>
          <t>Не определено</t>
        </is>
      </c>
      <c r="W8413" s="35" t="inlineStr"/>
      <c r="X8413" s="35" t="inlineStr"/>
    </row>
    <row r="8414" ht="15" customHeight="1" s="24">
      <c r="A8414" s="13" t="n">
        <v>800656733</v>
      </c>
      <c r="B8414" s="13" t="inlineStr">
        <is>
          <t>ИП Шахунова Галина Юрьевна</t>
        </is>
      </c>
      <c r="C8414" s="13" t="n">
        <v>382305077515</v>
      </c>
      <c r="D8414" s="13" t="inlineStr">
        <is>
          <t>382305077515</t>
        </is>
      </c>
      <c r="E8414" s="13" t="inlineStr">
        <is>
          <t>ИП РФ / физлицо</t>
        </is>
      </c>
      <c r="F8414" s="13" t="n"/>
      <c r="G8414" s="14" t="n"/>
      <c r="H8414" s="14" t="n"/>
      <c r="I8414" s="14" t="n"/>
      <c r="J8414" s="14" t="n"/>
      <c r="K8414" s="53" t="inlineStr"/>
      <c r="L8414" s="53" t="inlineStr">
        <is>
          <t>Не определено</t>
        </is>
      </c>
      <c r="M8414" s="53" t="inlineStr"/>
      <c r="N8414" s="54" t="inlineStr"/>
      <c r="O8414" s="55" t="inlineStr"/>
      <c r="P8414" s="16" t="inlineStr">
        <is>
          <t>Требует обогащения</t>
        </is>
      </c>
      <c r="Q8414" s="16">
        <f>HYPERLINK("https://pb.nalog.ru/search.html?query=382305077515","ФНС: проверить")</f>
        <v/>
      </c>
      <c r="R8414" s="16">
        <f>HYPERLINK("https://checko.ru/search?query=3801001629","Чекко: проверить")</f>
        <v/>
      </c>
      <c r="S8414" t="n">
        <v>0</v>
      </c>
      <c r="T8414" s="35" t="inlineStr">
        <is>
          <t>4 — Не обогащён</t>
        </is>
      </c>
      <c r="U8414" s="35" t="inlineStr">
        <is>
          <t>Нет ОКВЭД/ССЧР</t>
        </is>
      </c>
      <c r="V8414" s="35" t="inlineStr">
        <is>
          <t>Не определено</t>
        </is>
      </c>
      <c r="W8414" s="35" t="inlineStr"/>
      <c r="X8414" s="35" t="inlineStr"/>
    </row>
    <row r="8415" ht="15" customHeight="1" s="24">
      <c r="A8415" s="13" t="n">
        <v>801608145</v>
      </c>
      <c r="B8415" s="13" t="inlineStr">
        <is>
          <t>ИП Мансуров Сергей Ренадович</t>
        </is>
      </c>
      <c r="C8415" s="13" t="n">
        <v>381103768282</v>
      </c>
      <c r="D8415" s="13" t="inlineStr">
        <is>
          <t>381103768282</t>
        </is>
      </c>
      <c r="E8415" s="13" t="inlineStr">
        <is>
          <t>ИП РФ / физлицо</t>
        </is>
      </c>
      <c r="F8415" s="13" t="n"/>
      <c r="G8415" s="14" t="n"/>
      <c r="H8415" s="14" t="n"/>
      <c r="I8415" s="14" t="n"/>
      <c r="J8415" s="14" t="n"/>
      <c r="K8415" s="53" t="inlineStr"/>
      <c r="L8415" s="53" t="inlineStr">
        <is>
          <t>Не определено</t>
        </is>
      </c>
      <c r="M8415" s="53" t="inlineStr"/>
      <c r="N8415" s="54" t="inlineStr"/>
      <c r="O8415" s="55" t="inlineStr"/>
      <c r="P8415" s="16" t="inlineStr">
        <is>
          <t>Требует обогащения</t>
        </is>
      </c>
      <c r="Q8415" s="16">
        <f>HYPERLINK("https://pb.nalog.ru/search.html?query=381103768282","ФНС: проверить")</f>
        <v/>
      </c>
      <c r="R8415" s="16">
        <f>HYPERLINK("https://checko.ru/search?query=3801001629","Чекко: проверить")</f>
        <v/>
      </c>
      <c r="S8415" t="n">
        <v>1</v>
      </c>
      <c r="T8415" s="35" t="inlineStr">
        <is>
          <t>4 — Не обогащён</t>
        </is>
      </c>
      <c r="U8415" s="35" t="inlineStr">
        <is>
          <t>Нет ОКВЭД/ССЧР</t>
        </is>
      </c>
      <c r="V8415" s="35" t="inlineStr">
        <is>
          <t>Не определено</t>
        </is>
      </c>
      <c r="W8415" s="35" t="inlineStr"/>
      <c r="X8415" s="35" t="inlineStr"/>
    </row>
    <row r="8416" ht="15" customHeight="1" s="24">
      <c r="A8416" s="13" t="n">
        <v>9073967</v>
      </c>
      <c r="B8416" s="13" t="inlineStr">
        <is>
          <t>ООО "ТД Братсклеском"</t>
        </is>
      </c>
      <c r="C8416" s="13" t="n">
        <v>3804022070</v>
      </c>
      <c r="D8416" s="13" t="inlineStr">
        <is>
          <t>3804022070</t>
        </is>
      </c>
      <c r="E8416" s="13" t="inlineStr">
        <is>
          <t>ЮЛ РФ</t>
        </is>
      </c>
      <c r="F8416" s="13" t="n"/>
      <c r="G8416" s="52" t="n">
        <v>4</v>
      </c>
      <c r="H8416" s="52" t="n">
        <v>2025</v>
      </c>
      <c r="I8416" s="14" t="n"/>
      <c r="J8416" s="14" t="n"/>
      <c r="K8416" s="53" t="inlineStr">
        <is>
          <t>Нет</t>
        </is>
      </c>
      <c r="L8416" s="53" t="inlineStr">
        <is>
          <t>Не определено</t>
        </is>
      </c>
      <c r="M8416" s="53" t="inlineStr">
        <is>
          <t>До 10</t>
        </is>
      </c>
      <c r="N8416" s="54" t="n">
        <v>3360</v>
      </c>
      <c r="O8416" s="55" t="inlineStr">
        <is>
          <t>1–15</t>
        </is>
      </c>
      <c r="P8416" s="16" t="inlineStr">
        <is>
          <t>ССЧР обогащена; ОКВЭД не найден/не загружен</t>
        </is>
      </c>
      <c r="Q8416" s="16" t="inlineStr">
        <is>
          <t>ФНС открытые данные ССЧР (ДатаСост 31.12.2025; набор 7707329152-sshr2019)</t>
        </is>
      </c>
      <c r="R8416" s="16">
        <f>HYPERLINK("https://checko.ru/search?query=3801001629","Чекко: проверить")</f>
        <v/>
      </c>
      <c r="S8416" t="n">
        <v>1</v>
      </c>
      <c r="T8416" s="35" t="inlineStr">
        <is>
          <t>4 — Не обогащён</t>
        </is>
      </c>
      <c r="U8416" s="35" t="inlineStr">
        <is>
          <t>Нет ОКВЭД/ССЧР</t>
        </is>
      </c>
      <c r="V8416" s="35" t="inlineStr">
        <is>
          <t>Не определено</t>
        </is>
      </c>
      <c r="W8416" s="35" t="inlineStr">
        <is>
          <t>Нет</t>
        </is>
      </c>
      <c r="X8416" s="35" t="inlineStr"/>
    </row>
    <row r="8417" ht="27.75" customHeight="1" s="24">
      <c r="A8417" s="13" t="n">
        <v>804881009</v>
      </c>
      <c r="B8417" s="13" t="inlineStr">
        <is>
          <t>Восточно-Сибирский филиал Акционерного общества "Федеральная пассажирская компания"</t>
        </is>
      </c>
      <c r="C8417" s="13" t="n">
        <v>7708709686</v>
      </c>
      <c r="D8417" s="13" t="inlineStr">
        <is>
          <t>7708709686</t>
        </is>
      </c>
      <c r="E8417" s="13" t="inlineStr">
        <is>
          <t>ЮЛ РФ</t>
        </is>
      </c>
      <c r="F8417" s="13" t="n"/>
      <c r="G8417" s="14" t="n"/>
      <c r="H8417" s="14" t="n"/>
      <c r="I8417" s="14" t="n"/>
      <c r="J8417" s="14" t="n"/>
      <c r="K8417" s="53" t="inlineStr"/>
      <c r="L8417" s="53" t="inlineStr">
        <is>
          <t>Не определено</t>
        </is>
      </c>
      <c r="M8417" s="53" t="inlineStr"/>
      <c r="N8417" s="54" t="inlineStr"/>
      <c r="O8417" s="55" t="inlineStr"/>
      <c r="P8417" s="16" t="inlineStr">
        <is>
          <t>Требует обогащения</t>
        </is>
      </c>
      <c r="Q8417" s="16">
        <f>HYPERLINK("https://pb.nalog.ru/search.html?query=7708709686","ФНС: проверить")</f>
        <v/>
      </c>
      <c r="R8417" s="16">
        <f>HYPERLINK("https://checko.ru/search?query=3801001629","Чекко: проверить")</f>
        <v/>
      </c>
      <c r="S8417" t="n">
        <v>1</v>
      </c>
      <c r="T8417" s="35" t="inlineStr">
        <is>
          <t>4 — Не обогащён</t>
        </is>
      </c>
      <c r="U8417" s="35" t="inlineStr">
        <is>
          <t>Нет ОКВЭД/ССЧР</t>
        </is>
      </c>
      <c r="V8417" s="35" t="inlineStr">
        <is>
          <t>Не определено</t>
        </is>
      </c>
      <c r="W8417" s="35" t="inlineStr"/>
      <c r="X8417" s="35" t="inlineStr"/>
    </row>
    <row r="8418" ht="15" customHeight="1" s="24">
      <c r="A8418" s="13" t="n">
        <v>802796342</v>
      </c>
      <c r="B8418" s="13" t="inlineStr">
        <is>
          <t>ОАО "РЖД"</t>
        </is>
      </c>
      <c r="C8418" s="13" t="n">
        <v>7708503727</v>
      </c>
      <c r="D8418" s="13" t="inlineStr">
        <is>
          <t>7708503727</t>
        </is>
      </c>
      <c r="E8418" s="13" t="inlineStr">
        <is>
          <t>ЮЛ РФ</t>
        </is>
      </c>
      <c r="F8418" s="13" t="n"/>
      <c r="G8418" s="14" t="n"/>
      <c r="H8418" s="14" t="n"/>
      <c r="I8418" s="14" t="n"/>
      <c r="J8418" s="14" t="n"/>
      <c r="K8418" s="53" t="inlineStr"/>
      <c r="L8418" s="53" t="inlineStr">
        <is>
          <t>Не определено</t>
        </is>
      </c>
      <c r="M8418" s="53" t="inlineStr"/>
      <c r="N8418" s="54" t="inlineStr"/>
      <c r="O8418" s="55" t="inlineStr"/>
      <c r="P8418" s="16" t="inlineStr">
        <is>
          <t>Требует обогащения</t>
        </is>
      </c>
      <c r="Q8418" s="16">
        <f>HYPERLINK("https://pb.nalog.ru/search.html?query=7708503727","ФНС: проверить")</f>
        <v/>
      </c>
      <c r="R8418" s="16">
        <f>HYPERLINK("https://checko.ru/search?query=3801001629","Чекко: проверить")</f>
        <v/>
      </c>
      <c r="S8418" t="n">
        <v>1</v>
      </c>
      <c r="T8418" s="35" t="inlineStr">
        <is>
          <t>4 — Не обогащён</t>
        </is>
      </c>
      <c r="U8418" s="35" t="inlineStr">
        <is>
          <t>Нет ОКВЭД/ССЧР</t>
        </is>
      </c>
      <c r="V8418" s="35" t="inlineStr">
        <is>
          <t>Не определено</t>
        </is>
      </c>
      <c r="W8418" s="35" t="inlineStr"/>
      <c r="X8418" s="35" t="inlineStr"/>
    </row>
    <row r="8419" ht="27.75" customHeight="1" s="24">
      <c r="A8419" s="13" t="n">
        <v>804701709</v>
      </c>
      <c r="B8419" s="13" t="inlineStr">
        <is>
          <t>Общество с ограниченной ответственностью "АЛБЕРГ"</t>
        </is>
      </c>
      <c r="C8419" s="13" t="n">
        <v>3849090659</v>
      </c>
      <c r="D8419" s="13" t="inlineStr">
        <is>
          <t>3849090659</t>
        </is>
      </c>
      <c r="E8419" s="13" t="inlineStr">
        <is>
          <t>ЮЛ РФ</t>
        </is>
      </c>
      <c r="F8419" s="13" t="n"/>
      <c r="G8419" s="52" t="n">
        <v>8</v>
      </c>
      <c r="H8419" s="52" t="n">
        <v>2025</v>
      </c>
      <c r="I8419" s="14" t="n"/>
      <c r="J8419" s="14" t="n"/>
      <c r="K8419" s="53" t="inlineStr">
        <is>
          <t>Нет</t>
        </is>
      </c>
      <c r="L8419" s="53" t="inlineStr">
        <is>
          <t>Не определено</t>
        </is>
      </c>
      <c r="M8419" s="53" t="inlineStr">
        <is>
          <t>До 10</t>
        </is>
      </c>
      <c r="N8419" s="54" t="n">
        <v>3360</v>
      </c>
      <c r="O8419" s="55" t="inlineStr">
        <is>
          <t>1–15</t>
        </is>
      </c>
      <c r="P8419" s="16" t="inlineStr">
        <is>
          <t>ССЧР обогащена; ОКВЭД не найден/не загружен</t>
        </is>
      </c>
      <c r="Q8419" s="16" t="inlineStr">
        <is>
          <t>ФНС открытые данные ССЧР (ДатаСост 31.12.2025; набор 7707329152-sshr2019)</t>
        </is>
      </c>
      <c r="R8419" s="16">
        <f>HYPERLINK("https://checko.ru/search?query=3801001629","Чекко: проверить")</f>
        <v/>
      </c>
      <c r="S8419" t="n">
        <v>1</v>
      </c>
      <c r="T8419" s="35" t="inlineStr">
        <is>
          <t>4 — Не обогащён</t>
        </is>
      </c>
      <c r="U8419" s="35" t="inlineStr">
        <is>
          <t>Нет ОКВЭД/ССЧР</t>
        </is>
      </c>
      <c r="V8419" s="35" t="inlineStr">
        <is>
          <t>Не определено</t>
        </is>
      </c>
      <c r="W8419" s="35" t="inlineStr">
        <is>
          <t>Нет</t>
        </is>
      </c>
      <c r="X8419" s="35" t="inlineStr"/>
    </row>
    <row r="8420" ht="27.75" customHeight="1" s="24">
      <c r="A8420" s="13" t="n">
        <v>75027380</v>
      </c>
      <c r="B8420" s="13" t="inlineStr">
        <is>
          <t>Общество с ограниченной ответственностью "Газпром добыча Иркутск"</t>
        </is>
      </c>
      <c r="C8420" s="13" t="n">
        <v>3812100646</v>
      </c>
      <c r="D8420" s="13" t="inlineStr">
        <is>
          <t>3812100646</t>
        </is>
      </c>
      <c r="E8420" s="13" t="inlineStr">
        <is>
          <t>ЮЛ РФ</t>
        </is>
      </c>
      <c r="F8420" s="13" t="n"/>
      <c r="G8420" s="14" t="n"/>
      <c r="H8420" s="14" t="n"/>
      <c r="I8420" s="14" t="n"/>
      <c r="J8420" s="14" t="n"/>
      <c r="K8420" s="53" t="inlineStr"/>
      <c r="L8420" s="53" t="inlineStr">
        <is>
          <t>Не определено</t>
        </is>
      </c>
      <c r="M8420" s="53" t="inlineStr"/>
      <c r="N8420" s="54" t="inlineStr"/>
      <c r="O8420" s="55" t="inlineStr"/>
      <c r="P8420" s="16" t="inlineStr">
        <is>
          <t>Требует обогащения</t>
        </is>
      </c>
      <c r="Q8420" s="16">
        <f>HYPERLINK("https://pb.nalog.ru/search.html?query=3812100646","ФНС: проверить")</f>
        <v/>
      </c>
      <c r="R8420" s="16">
        <f>HYPERLINK("https://checko.ru/search?query=3801001629","Чекко: проверить")</f>
        <v/>
      </c>
      <c r="S8420" t="n">
        <v>1</v>
      </c>
      <c r="T8420" s="35" t="inlineStr">
        <is>
          <t>4 — Не обогащён</t>
        </is>
      </c>
      <c r="U8420" s="35" t="inlineStr">
        <is>
          <t>Нет ОКВЭД/ССЧР</t>
        </is>
      </c>
      <c r="V8420" s="35" t="inlineStr">
        <is>
          <t>Не определено</t>
        </is>
      </c>
      <c r="W8420" s="35" t="inlineStr"/>
      <c r="X8420" s="35" t="inlineStr"/>
    </row>
    <row r="8421" ht="15" customHeight="1" s="24">
      <c r="A8421" s="13" t="n">
        <v>11815407</v>
      </c>
      <c r="B8421" s="13" t="inlineStr">
        <is>
          <t>МУП "УК Коммунальные услуги"</t>
        </is>
      </c>
      <c r="C8421" s="13" t="n">
        <v>3834009920</v>
      </c>
      <c r="D8421" s="13" t="inlineStr">
        <is>
          <t>3834009920</t>
        </is>
      </c>
      <c r="E8421" s="13" t="inlineStr">
        <is>
          <t>ЮЛ РФ</t>
        </is>
      </c>
      <c r="F8421" s="13" t="n"/>
      <c r="G8421" s="14" t="n"/>
      <c r="H8421" s="14" t="n"/>
      <c r="I8421" s="14" t="n"/>
      <c r="J8421" s="14" t="n"/>
      <c r="K8421" s="53" t="inlineStr"/>
      <c r="L8421" s="53" t="inlineStr">
        <is>
          <t>Не определено</t>
        </is>
      </c>
      <c r="M8421" s="53" t="inlineStr"/>
      <c r="N8421" s="54" t="inlineStr"/>
      <c r="O8421" s="55" t="inlineStr"/>
      <c r="P8421" s="16" t="inlineStr">
        <is>
          <t>Требует обогащения</t>
        </is>
      </c>
      <c r="Q8421" s="16">
        <f>HYPERLINK("https://pb.nalog.ru/search.html?query=3834009920","ФНС: проверить")</f>
        <v/>
      </c>
      <c r="R8421" s="16">
        <f>HYPERLINK("https://checko.ru/search?query=3801001629","Чекко: проверить")</f>
        <v/>
      </c>
      <c r="S8421" t="n">
        <v>1</v>
      </c>
      <c r="T8421" s="35" t="inlineStr">
        <is>
          <t>4 — Не обогащён</t>
        </is>
      </c>
      <c r="U8421" s="35" t="inlineStr">
        <is>
          <t>Нет ОКВЭД/ССЧР</t>
        </is>
      </c>
      <c r="V8421" s="35" t="inlineStr">
        <is>
          <t>Не определено</t>
        </is>
      </c>
      <c r="W8421" s="35" t="inlineStr"/>
      <c r="X8421" s="35" t="inlineStr"/>
    </row>
    <row r="8422" ht="27.75" customHeight="1" s="24">
      <c r="A8422" s="13" t="n">
        <v>801618906</v>
      </c>
      <c r="B8422" s="13" t="inlineStr">
        <is>
          <t>ОБЩЕСТВО С ОГРАНИЧЕННОЙ ОТВЕТСТВЕННОСТЬЮ "СТРОЙКОМПЛЕКТ"</t>
        </is>
      </c>
      <c r="C8422" s="13" t="n">
        <v>3808211618</v>
      </c>
      <c r="D8422" s="13" t="inlineStr">
        <is>
          <t>3808211618</t>
        </is>
      </c>
      <c r="E8422" s="13" t="inlineStr">
        <is>
          <t>ЮЛ РФ</t>
        </is>
      </c>
      <c r="F8422" s="13" t="n"/>
      <c r="G8422" s="52" t="n">
        <v>14</v>
      </c>
      <c r="H8422" s="52" t="n">
        <v>2025</v>
      </c>
      <c r="I8422" s="14" t="n"/>
      <c r="J8422" s="14" t="n"/>
      <c r="K8422" s="53" t="inlineStr">
        <is>
          <t>Нет</t>
        </is>
      </c>
      <c r="L8422" s="53" t="inlineStr">
        <is>
          <t>Не определено</t>
        </is>
      </c>
      <c r="M8422" s="53" t="inlineStr">
        <is>
          <t>До 25</t>
        </is>
      </c>
      <c r="N8422" s="54" t="n">
        <v>8400</v>
      </c>
      <c r="O8422" s="55" t="inlineStr">
        <is>
          <t>1–15</t>
        </is>
      </c>
      <c r="P8422" s="16" t="inlineStr">
        <is>
          <t>ССЧР обогащена; ОКВЭД не найден/не загружен</t>
        </is>
      </c>
      <c r="Q8422" s="16" t="inlineStr">
        <is>
          <t>ФНС открытые данные ССЧР (ДатаСост 31.12.2025; набор 7707329152-sshr2019)</t>
        </is>
      </c>
      <c r="R8422" s="16">
        <f>HYPERLINK("https://checko.ru/search?query=3801001629","Чекко: проверить")</f>
        <v/>
      </c>
      <c r="S8422" t="n">
        <v>1</v>
      </c>
      <c r="T8422" s="35" t="inlineStr">
        <is>
          <t>4 — Не обогащён</t>
        </is>
      </c>
      <c r="U8422" s="35" t="inlineStr">
        <is>
          <t>Нет ОКВЭД/ССЧР</t>
        </is>
      </c>
      <c r="V8422" s="35" t="inlineStr">
        <is>
          <t>Не определено</t>
        </is>
      </c>
      <c r="W8422" s="35" t="inlineStr">
        <is>
          <t>Нет</t>
        </is>
      </c>
      <c r="X8422" s="35" t="inlineStr"/>
    </row>
    <row r="8423" ht="15" customHeight="1" s="24">
      <c r="A8423" s="13" t="n">
        <v>13613751</v>
      </c>
      <c r="B8423" s="13" t="inlineStr">
        <is>
          <t>ООО "ЖЭУ-6"</t>
        </is>
      </c>
      <c r="C8423" s="13" t="n">
        <v>3801066231</v>
      </c>
      <c r="D8423" s="13" t="inlineStr">
        <is>
          <t>3801066231</t>
        </is>
      </c>
      <c r="E8423" s="13" t="inlineStr">
        <is>
          <t>ЮЛ РФ</t>
        </is>
      </c>
      <c r="F8423" s="13" t="n"/>
      <c r="G8423" s="52" t="n">
        <v>9</v>
      </c>
      <c r="H8423" s="52" t="n">
        <v>2025</v>
      </c>
      <c r="I8423" s="14" t="n"/>
      <c r="J8423" s="14" t="n"/>
      <c r="K8423" s="53" t="inlineStr">
        <is>
          <t>Нет</t>
        </is>
      </c>
      <c r="L8423" s="53" t="inlineStr">
        <is>
          <t>Не определено</t>
        </is>
      </c>
      <c r="M8423" s="53" t="inlineStr">
        <is>
          <t>До 10</t>
        </is>
      </c>
      <c r="N8423" s="54" t="n">
        <v>3360</v>
      </c>
      <c r="O8423" s="55" t="inlineStr">
        <is>
          <t>1–15</t>
        </is>
      </c>
      <c r="P8423" s="16" t="inlineStr">
        <is>
          <t>ССЧР обогащена; ОКВЭД не найден/не загружен</t>
        </is>
      </c>
      <c r="Q8423" s="16" t="inlineStr">
        <is>
          <t>ФНС открытые данные ССЧР (ДатаСост 31.12.2025; набор 7707329152-sshr2019)</t>
        </is>
      </c>
      <c r="R8423" s="16">
        <f>HYPERLINK("https://checko.ru/search?query=3801001629","Чекко: проверить")</f>
        <v/>
      </c>
      <c r="S8423" t="n">
        <v>1</v>
      </c>
      <c r="T8423" s="35" t="inlineStr">
        <is>
          <t>4 — Не обогащён</t>
        </is>
      </c>
      <c r="U8423" s="35" t="inlineStr">
        <is>
          <t>Нет ОКВЭД/ССЧР</t>
        </is>
      </c>
      <c r="V8423" s="35" t="inlineStr">
        <is>
          <t>Не определено</t>
        </is>
      </c>
      <c r="W8423" s="35" t="inlineStr">
        <is>
          <t>Нет</t>
        </is>
      </c>
      <c r="X8423" s="35" t="inlineStr"/>
    </row>
    <row r="8424" ht="27.75" customHeight="1" s="24">
      <c r="A8424" s="13" t="n">
        <v>800621664</v>
      </c>
      <c r="B8424" s="13" t="inlineStr">
        <is>
          <t>Муниципальное Унитарное сельскохозяйственное предриятие "Центральное"</t>
        </is>
      </c>
      <c r="C8424" s="13" t="n">
        <v>3816006186</v>
      </c>
      <c r="D8424" s="13" t="inlineStr">
        <is>
          <t>3816006186</t>
        </is>
      </c>
      <c r="E8424" s="13" t="inlineStr">
        <is>
          <t>ЮЛ РФ</t>
        </is>
      </c>
      <c r="F8424" s="13" t="n"/>
      <c r="G8424" s="14" t="n"/>
      <c r="H8424" s="14" t="n"/>
      <c r="I8424" s="14" t="n"/>
      <c r="J8424" s="14" t="n"/>
      <c r="K8424" s="53" t="inlineStr"/>
      <c r="L8424" s="53" t="inlineStr">
        <is>
          <t>Не определено</t>
        </is>
      </c>
      <c r="M8424" s="53" t="inlineStr"/>
      <c r="N8424" s="54" t="inlineStr"/>
      <c r="O8424" s="55" t="inlineStr"/>
      <c r="P8424" s="16" t="inlineStr">
        <is>
          <t>Требует обогащения</t>
        </is>
      </c>
      <c r="Q8424" s="16">
        <f>HYPERLINK("https://pb.nalog.ru/search.html?query=3816006186","ФНС: проверить")</f>
        <v/>
      </c>
      <c r="R8424" s="16">
        <f>HYPERLINK("https://checko.ru/search?query=3801001629","Чекко: проверить")</f>
        <v/>
      </c>
      <c r="S8424" t="n">
        <v>1</v>
      </c>
      <c r="T8424" s="35" t="inlineStr">
        <is>
          <t>4 — Не обогащён</t>
        </is>
      </c>
      <c r="U8424" s="35" t="inlineStr">
        <is>
          <t>Нет ОКВЭД/ССЧР</t>
        </is>
      </c>
      <c r="V8424" s="35" t="inlineStr">
        <is>
          <t>Не определено</t>
        </is>
      </c>
      <c r="W8424" s="35" t="inlineStr"/>
      <c r="X8424" s="35" t="inlineStr"/>
    </row>
    <row r="8425" ht="15" customHeight="1" s="24">
      <c r="A8425" s="13" t="n">
        <v>9793666</v>
      </c>
      <c r="B8425" s="13" t="inlineStr">
        <is>
          <t>АО "Чукотэнерго"</t>
        </is>
      </c>
      <c r="C8425" s="13" t="n">
        <v>8700000339</v>
      </c>
      <c r="D8425" s="13" t="inlineStr">
        <is>
          <t>8700000339</t>
        </is>
      </c>
      <c r="E8425" s="13" t="inlineStr">
        <is>
          <t>ЮЛ РФ</t>
        </is>
      </c>
      <c r="F8425" s="13" t="n"/>
      <c r="G8425" s="52" t="n">
        <v>1024</v>
      </c>
      <c r="H8425" s="52" t="n">
        <v>2025</v>
      </c>
      <c r="I8425" s="52" t="inlineStr">
        <is>
          <t>35.12.1</t>
        </is>
      </c>
      <c r="J8425" s="52" t="inlineStr">
        <is>
          <t>35.12.1; 20.11; 35.11.1; 35.12.2; 35.30.11; 36.00.2; 49.41.3; 55.90; 56.29.2; 68.20.1; 68.20.29; 71.20.3; 77.12; 77.39.11; 86.90.9; 35.11; 35.11.3; 35.12; 35.13; 35.30.2; 35.30.3; 35.30.5; 41.20; 42.22.3; 42.91.2; 68.20</t>
        </is>
      </c>
      <c r="K8425" s="53" t="inlineStr">
        <is>
          <t>Да</t>
        </is>
      </c>
      <c r="L8425" s="53" t="inlineStr">
        <is>
          <t>Да</t>
        </is>
      </c>
      <c r="M8425" s="53" t="inlineStr">
        <is>
          <t>До 2000</t>
        </is>
      </c>
      <c r="N8425" s="54" t="n">
        <v>528000</v>
      </c>
      <c r="O8425" s="55" t="inlineStr">
        <is>
          <t>500+</t>
        </is>
      </c>
      <c r="P8425" s="16" t="inlineStr">
        <is>
          <t>ССЧР + ОКВЭД обогащены</t>
        </is>
      </c>
      <c r="Q8425" s="16" t="inlineStr">
        <is>
          <t>ФНС открытые данные ССЧР (ДатаСост 31.12.2025; набор 7707329152-sshr2019)</t>
        </is>
      </c>
      <c r="R8425" s="16" t="inlineStr">
        <is>
          <t>ЕГРЮЛ / egrul.nalog.ru (выписка)</t>
        </is>
      </c>
      <c r="S8425" t="n">
        <v>1</v>
      </c>
      <c r="T8425" s="35" t="inlineStr">
        <is>
          <t>1 — Горячий</t>
        </is>
      </c>
      <c r="U8425" s="35" t="inlineStr">
        <is>
          <t>ОКВЭД + 22+</t>
        </is>
      </c>
      <c r="V8425" s="35" t="inlineStr">
        <is>
          <t>Да</t>
        </is>
      </c>
      <c r="W8425" s="35" t="inlineStr">
        <is>
          <t>Да</t>
        </is>
      </c>
      <c r="X8425" s="35" t="inlineStr">
        <is>
          <t>Да</t>
        </is>
      </c>
    </row>
    <row r="8426" ht="15" customHeight="1" s="24">
      <c r="A8426" s="13" t="n">
        <v>804667333</v>
      </c>
      <c r="B8426" s="13" t="inlineStr">
        <is>
          <t>ЧЗМК ООО</t>
        </is>
      </c>
      <c r="C8426" s="13" t="n">
        <v>3851023561</v>
      </c>
      <c r="D8426" s="13" t="inlineStr">
        <is>
          <t>3851023561</t>
        </is>
      </c>
      <c r="E8426" s="13" t="inlineStr">
        <is>
          <t>ЮЛ РФ</t>
        </is>
      </c>
      <c r="F8426" s="13" t="n"/>
      <c r="G8426" s="52" t="n">
        <v>52</v>
      </c>
      <c r="H8426" s="52" t="n">
        <v>2025</v>
      </c>
      <c r="I8426" s="52" t="inlineStr">
        <is>
          <t>25.11</t>
        </is>
      </c>
      <c r="J8426" s="52" t="inlineStr">
        <is>
          <t>25.11; 25.12; 25.21; 25.29; 25.30; 25.61; 25.62; 25.72; 25.73; 25.91; 25.92; 25.93; 25.94; 25.99; 33.11; 41.10; 41.20; 42.11; 42.12; 42.13; 42.21; 42.22; 42.99; 43.11; 43.12; 43.13; 43.21; 43.22; 43.29; 43.31; 43.32; 43.33; 43.34; 43.39; 43.91; 43.99; 45.11; 45.19; 45.20; 45.31; 45.32; 46.12.1; 46.12.22; 46.14; 49.31; 52.10; 52.24; 52.29; 55.10; 55.20; 56.29; 64.91; 68.10; 68.20; 68.32; 69.20; 73.12; 77.11; 77.12; 77.32; 77.39.1; 77.39.23; 77.39.25</t>
        </is>
      </c>
      <c r="K8426" s="53" t="inlineStr">
        <is>
          <t>Да</t>
        </is>
      </c>
      <c r="L8426" s="53" t="inlineStr">
        <is>
          <t>Да</t>
        </is>
      </c>
      <c r="M8426" s="53" t="inlineStr">
        <is>
          <t>До 100</t>
        </is>
      </c>
      <c r="N8426" s="54" t="n">
        <v>33600</v>
      </c>
      <c r="O8426" s="55" t="inlineStr">
        <is>
          <t>51–100</t>
        </is>
      </c>
      <c r="P8426" s="16" t="inlineStr">
        <is>
          <t>ССЧР + ОКВЭД обогащены</t>
        </is>
      </c>
      <c r="Q8426" s="16" t="inlineStr">
        <is>
          <t>ФНС открытые данные ССЧР (ДатаСост 31.12.2025; набор 7707329152-sshr2019)</t>
        </is>
      </c>
      <c r="R8426" s="16" t="inlineStr">
        <is>
          <t>ЕГРЮЛ / egrul.nalog.ru (выписка)</t>
        </is>
      </c>
      <c r="S8426" t="n">
        <v>1</v>
      </c>
      <c r="T8426" s="35" t="inlineStr">
        <is>
          <t>1 — Горячий</t>
        </is>
      </c>
      <c r="U8426" s="35" t="inlineStr">
        <is>
          <t>ОКВЭД + 22+</t>
        </is>
      </c>
      <c r="V8426" s="35" t="inlineStr">
        <is>
          <t>Да</t>
        </is>
      </c>
      <c r="W8426" s="35" t="inlineStr">
        <is>
          <t>Да</t>
        </is>
      </c>
      <c r="X8426" s="35" t="inlineStr">
        <is>
          <t>Да</t>
        </is>
      </c>
    </row>
    <row r="8427" ht="27.75" customHeight="1" s="24">
      <c r="A8427" s="13" t="n">
        <v>18278568</v>
      </c>
      <c r="B8427" s="13" t="inlineStr">
        <is>
          <t>ОБЩЕСТВО С ОГРАНИЧЕННОЙ ОТВЕТСТВЕННОСТЬЮ "КОММУНАЛЬНЫЙ СЕРВИС"</t>
        </is>
      </c>
      <c r="C8427" s="13" t="n">
        <v>3815012395</v>
      </c>
      <c r="D8427" s="13" t="inlineStr">
        <is>
          <t>3815012395</t>
        </is>
      </c>
      <c r="E8427" s="13" t="inlineStr">
        <is>
          <t>ЮЛ РФ</t>
        </is>
      </c>
      <c r="F8427" s="13" t="n"/>
      <c r="G8427" s="52" t="n">
        <v>1</v>
      </c>
      <c r="H8427" s="52" t="n">
        <v>2025</v>
      </c>
      <c r="I8427" s="14" t="n"/>
      <c r="J8427" s="14" t="n"/>
      <c r="K8427" s="53" t="inlineStr">
        <is>
          <t>Нет</t>
        </is>
      </c>
      <c r="L8427" s="53" t="inlineStr">
        <is>
          <t>Не определено</t>
        </is>
      </c>
      <c r="M8427" s="53" t="inlineStr">
        <is>
          <t>До 10</t>
        </is>
      </c>
      <c r="N8427" s="54" t="n">
        <v>3360</v>
      </c>
      <c r="O8427" s="55" t="inlineStr">
        <is>
          <t>1–15</t>
        </is>
      </c>
      <c r="P8427" s="16" t="inlineStr">
        <is>
          <t>ССЧР обогащена; ОКВЭД не найден/не загружен</t>
        </is>
      </c>
      <c r="Q8427" s="16" t="inlineStr">
        <is>
          <t>ФНС открытые данные ССЧР (ДатаСост 31.12.2025; набор 7707329152-sshr2019)</t>
        </is>
      </c>
      <c r="R8427" s="16">
        <f>HYPERLINK("https://checko.ru/search?query=3801001629","Чекко: проверить")</f>
        <v/>
      </c>
      <c r="S8427" t="n">
        <v>1</v>
      </c>
      <c r="T8427" s="35" t="inlineStr">
        <is>
          <t>4 — Не обогащён</t>
        </is>
      </c>
      <c r="U8427" s="35" t="inlineStr">
        <is>
          <t>Нет ОКВЭД/ССЧР</t>
        </is>
      </c>
      <c r="V8427" s="35" t="inlineStr">
        <is>
          <t>Не определено</t>
        </is>
      </c>
      <c r="W8427" s="35" t="inlineStr">
        <is>
          <t>Нет</t>
        </is>
      </c>
      <c r="X8427" s="35" t="inlineStr"/>
    </row>
    <row r="8428" ht="41.25" customHeight="1" s="24">
      <c r="A8428" s="13" t="n">
        <v>804951462</v>
      </c>
      <c r="B8428" s="13" t="inlineStr">
        <is>
          <t>ОБЩЕСТВО С ОГРАНИЧЕННОЙ ОТВЕТСТВЕННОСТЬЮ "КОМПЛЕКСНАЯ СИСТЕМА СНАБЖЕНИЯ НЕФТЕПРОДУКТАМИ"</t>
        </is>
      </c>
      <c r="C8428" s="13" t="n">
        <v>3812532004</v>
      </c>
      <c r="D8428" s="13" t="inlineStr">
        <is>
          <t>3812532004</t>
        </is>
      </c>
      <c r="E8428" s="13" t="inlineStr">
        <is>
          <t>ЮЛ РФ</t>
        </is>
      </c>
      <c r="F8428" s="13" t="n"/>
      <c r="G8428" s="52" t="n">
        <v>0</v>
      </c>
      <c r="H8428" s="52" t="n">
        <v>2025</v>
      </c>
      <c r="I8428" s="14" t="n"/>
      <c r="J8428" s="14" t="n"/>
      <c r="K8428" s="53" t="inlineStr">
        <is>
          <t>Нет</t>
        </is>
      </c>
      <c r="L8428" s="53" t="inlineStr">
        <is>
          <t>Не определено</t>
        </is>
      </c>
      <c r="M8428" s="53" t="inlineStr">
        <is>
          <t>До 10</t>
        </is>
      </c>
      <c r="N8428" s="54" t="n">
        <v>3360</v>
      </c>
      <c r="O8428" s="55" t="inlineStr">
        <is>
          <t>1–15</t>
        </is>
      </c>
      <c r="P8428" s="16" t="inlineStr">
        <is>
          <t>ССЧР обогащена; ОКВЭД не найден/не загружен</t>
        </is>
      </c>
      <c r="Q8428" s="16" t="inlineStr">
        <is>
          <t>ФНС открытые данные ССЧР (ДатаСост 31.12.2025; набор 7707329152-sshr2019)</t>
        </is>
      </c>
      <c r="R8428" s="16">
        <f>HYPERLINK("https://checko.ru/search?query=3801001629","Чекко: проверить")</f>
        <v/>
      </c>
      <c r="S8428" t="n">
        <v>1</v>
      </c>
      <c r="T8428" s="35" t="inlineStr">
        <is>
          <t>4 — Не обогащён</t>
        </is>
      </c>
      <c r="U8428" s="35" t="inlineStr">
        <is>
          <t>Нет ОКВЭД/ССЧР</t>
        </is>
      </c>
      <c r="V8428" s="35" t="inlineStr">
        <is>
          <t>Не определено</t>
        </is>
      </c>
      <c r="W8428" s="35" t="inlineStr">
        <is>
          <t>Нет</t>
        </is>
      </c>
      <c r="X8428" s="35" t="inlineStr"/>
    </row>
    <row r="8429" ht="27.75" customHeight="1" s="24">
      <c r="A8429" s="13" t="n">
        <v>804951977</v>
      </c>
      <c r="B8429" s="13" t="inlineStr">
        <is>
          <t>Индивидуальный Предприниматель Алёшкина Елена Викторовна</t>
        </is>
      </c>
      <c r="C8429" s="13" t="n">
        <v>381254249306</v>
      </c>
      <c r="D8429" s="13" t="inlineStr">
        <is>
          <t>381254249306</t>
        </is>
      </c>
      <c r="E8429" s="13" t="inlineStr">
        <is>
          <t>ИП РФ / физлицо</t>
        </is>
      </c>
      <c r="F8429" s="13" t="n"/>
      <c r="G8429" s="14" t="n"/>
      <c r="H8429" s="14" t="n"/>
      <c r="I8429" s="14" t="n"/>
      <c r="J8429" s="14" t="n"/>
      <c r="K8429" s="53" t="inlineStr"/>
      <c r="L8429" s="53" t="inlineStr">
        <is>
          <t>Не определено</t>
        </is>
      </c>
      <c r="M8429" s="53" t="inlineStr"/>
      <c r="N8429" s="54" t="inlineStr"/>
      <c r="O8429" s="55" t="inlineStr"/>
      <c r="P8429" s="16" t="inlineStr">
        <is>
          <t>Требует обогащения</t>
        </is>
      </c>
      <c r="Q8429" s="16">
        <f>HYPERLINK("https://pb.nalog.ru/search.html?query=381254249306","ФНС: проверить")</f>
        <v/>
      </c>
      <c r="R8429" s="16">
        <f>HYPERLINK("https://checko.ru/search?query=3801001629","Чекко: проверить")</f>
        <v/>
      </c>
      <c r="S8429" t="n">
        <v>1</v>
      </c>
      <c r="T8429" s="35" t="inlineStr">
        <is>
          <t>4 — Не обогащён</t>
        </is>
      </c>
      <c r="U8429" s="35" t="inlineStr">
        <is>
          <t>Нет ОКВЭД/ССЧР</t>
        </is>
      </c>
      <c r="V8429" s="35" t="inlineStr">
        <is>
          <t>Не определено</t>
        </is>
      </c>
      <c r="W8429" s="35" t="inlineStr"/>
      <c r="X8429" s="35" t="inlineStr"/>
    </row>
    <row r="8430" ht="27.75" customHeight="1" s="24">
      <c r="A8430" s="13" t="n">
        <v>804952745</v>
      </c>
      <c r="B8430" s="13" t="inlineStr">
        <is>
          <t>ИНДИВИДУАЛЬНЫЙ ПРЕДПРИНИМАТЕЛЬ Ильин Павел Алексеевич</t>
        </is>
      </c>
      <c r="C8430" s="13" t="n">
        <v>380126901690</v>
      </c>
      <c r="D8430" s="13" t="inlineStr">
        <is>
          <t>380126901690</t>
        </is>
      </c>
      <c r="E8430" s="13" t="inlineStr">
        <is>
          <t>ИП РФ / физлицо</t>
        </is>
      </c>
      <c r="F8430" s="13" t="n"/>
      <c r="G8430" s="14" t="n"/>
      <c r="H8430" s="14" t="n"/>
      <c r="I8430" s="14" t="n"/>
      <c r="J8430" s="14" t="n"/>
      <c r="K8430" s="53" t="inlineStr"/>
      <c r="L8430" s="53" t="inlineStr">
        <is>
          <t>Не определено</t>
        </is>
      </c>
      <c r="M8430" s="53" t="inlineStr"/>
      <c r="N8430" s="54" t="inlineStr"/>
      <c r="O8430" s="55" t="inlineStr"/>
      <c r="P8430" s="16" t="inlineStr">
        <is>
          <t>Требует обогащения</t>
        </is>
      </c>
      <c r="Q8430" s="16">
        <f>HYPERLINK("https://pb.nalog.ru/search.html?query=380126901690","ФНС: проверить")</f>
        <v/>
      </c>
      <c r="R8430" s="16">
        <f>HYPERLINK("https://checko.ru/search?query=3801001629","Чекко: проверить")</f>
        <v/>
      </c>
      <c r="S8430" t="n">
        <v>1</v>
      </c>
      <c r="T8430" s="35" t="inlineStr">
        <is>
          <t>4 — Не обогащён</t>
        </is>
      </c>
      <c r="U8430" s="35" t="inlineStr">
        <is>
          <t>Нет ОКВЭД/ССЧР</t>
        </is>
      </c>
      <c r="V8430" s="35" t="inlineStr">
        <is>
          <t>Не определено</t>
        </is>
      </c>
      <c r="W8430" s="35" t="inlineStr"/>
      <c r="X8430" s="35" t="inlineStr"/>
    </row>
    <row r="8431" ht="27.75" customHeight="1" s="24">
      <c r="A8431" s="13" t="n">
        <v>804952776</v>
      </c>
      <c r="B8431" s="13" t="inlineStr">
        <is>
          <t>Индивидуальный предприниматель Новожилова Виктория Анатольевна</t>
        </is>
      </c>
      <c r="C8431" s="13" t="n">
        <v>380411477906</v>
      </c>
      <c r="D8431" s="13" t="inlineStr">
        <is>
          <t>380411477906</t>
        </is>
      </c>
      <c r="E8431" s="13" t="inlineStr">
        <is>
          <t>ИП РФ / физлицо</t>
        </is>
      </c>
      <c r="F8431" s="13" t="n"/>
      <c r="G8431" s="14" t="n"/>
      <c r="H8431" s="14" t="n"/>
      <c r="I8431" s="14" t="n"/>
      <c r="J8431" s="14" t="n"/>
      <c r="K8431" s="53" t="inlineStr"/>
      <c r="L8431" s="53" t="inlineStr">
        <is>
          <t>Не определено</t>
        </is>
      </c>
      <c r="M8431" s="53" t="inlineStr"/>
      <c r="N8431" s="54" t="inlineStr"/>
      <c r="O8431" s="55" t="inlineStr"/>
      <c r="P8431" s="16" t="inlineStr">
        <is>
          <t>Требует обогащения</t>
        </is>
      </c>
      <c r="Q8431" s="16">
        <f>HYPERLINK("https://pb.nalog.ru/search.html?query=380411477906","ФНС: проверить")</f>
        <v/>
      </c>
      <c r="R8431" s="16">
        <f>HYPERLINK("https://checko.ru/search?query=3801001629","Чекко: проверить")</f>
        <v/>
      </c>
      <c r="S8431" t="n">
        <v>1</v>
      </c>
      <c r="T8431" s="35" t="inlineStr">
        <is>
          <t>4 — Не обогащён</t>
        </is>
      </c>
      <c r="U8431" s="35" t="inlineStr">
        <is>
          <t>Нет ОКВЭД/ССЧР</t>
        </is>
      </c>
      <c r="V8431" s="35" t="inlineStr">
        <is>
          <t>Не определено</t>
        </is>
      </c>
      <c r="W8431" s="35" t="inlineStr"/>
      <c r="X8431" s="35" t="inlineStr"/>
    </row>
    <row r="8432" ht="27.75" customHeight="1" s="24">
      <c r="A8432" s="13" t="n">
        <v>802331973</v>
      </c>
      <c r="B8432" s="13" t="inlineStr">
        <is>
          <t>Индивидуальный Предприниматель Буянова Мария Александровна</t>
        </is>
      </c>
      <c r="C8432" s="13" t="n">
        <v>380123217002</v>
      </c>
      <c r="D8432" s="13" t="inlineStr">
        <is>
          <t>380123217002</t>
        </is>
      </c>
      <c r="E8432" s="13" t="inlineStr">
        <is>
          <t>ИП РФ / физлицо</t>
        </is>
      </c>
      <c r="F8432" s="13" t="n"/>
      <c r="G8432" s="14" t="n"/>
      <c r="H8432" s="14" t="n"/>
      <c r="I8432" s="14" t="n"/>
      <c r="J8432" s="14" t="n"/>
      <c r="K8432" s="53" t="inlineStr"/>
      <c r="L8432" s="53" t="inlineStr">
        <is>
          <t>Не определено</t>
        </is>
      </c>
      <c r="M8432" s="53" t="inlineStr"/>
      <c r="N8432" s="54" t="inlineStr"/>
      <c r="O8432" s="55" t="inlineStr"/>
      <c r="P8432" s="16" t="inlineStr">
        <is>
          <t>Требует обогащения</t>
        </is>
      </c>
      <c r="Q8432" s="16">
        <f>HYPERLINK("https://pb.nalog.ru/search.html?query=380123217002","ФНС: проверить")</f>
        <v/>
      </c>
      <c r="R8432" s="16">
        <f>HYPERLINK("https://checko.ru/search?query=3801001629","Чекко: проверить")</f>
        <v/>
      </c>
      <c r="S8432" t="n">
        <v>1</v>
      </c>
      <c r="T8432" s="35" t="inlineStr">
        <is>
          <t>4 — Не обогащён</t>
        </is>
      </c>
      <c r="U8432" s="35" t="inlineStr">
        <is>
          <t>Нет ОКВЭД/ССЧР</t>
        </is>
      </c>
      <c r="V8432" s="35" t="inlineStr">
        <is>
          <t>Не определено</t>
        </is>
      </c>
      <c r="W8432" s="35" t="inlineStr"/>
      <c r="X8432" s="35" t="inlineStr"/>
    </row>
    <row r="8433" ht="41.25" customHeight="1" s="24">
      <c r="A8433" s="13" t="n">
        <v>804953963</v>
      </c>
      <c r="B8433" s="13" t="inlineStr">
        <is>
          <t>Общество с ограниченной ответственностью СТРОИТЕЛЬНО-МОНТАЖНАЯ КОМПАНИЯ "СИБИРЬСТРОЙКОНТРОЛЬ"</t>
        </is>
      </c>
      <c r="C8433" s="13" t="n">
        <v>3827064278</v>
      </c>
      <c r="D8433" s="13" t="inlineStr">
        <is>
          <t>3827064278</t>
        </is>
      </c>
      <c r="E8433" s="13" t="inlineStr">
        <is>
          <t>ЮЛ РФ</t>
        </is>
      </c>
      <c r="F8433" s="13" t="n"/>
      <c r="G8433" s="52" t="n">
        <v>2</v>
      </c>
      <c r="H8433" s="52" t="n">
        <v>2025</v>
      </c>
      <c r="I8433" s="14" t="n"/>
      <c r="J8433" s="14" t="n"/>
      <c r="K8433" s="53" t="inlineStr">
        <is>
          <t>Нет</t>
        </is>
      </c>
      <c r="L8433" s="53" t="inlineStr">
        <is>
          <t>Не определено</t>
        </is>
      </c>
      <c r="M8433" s="53" t="inlineStr">
        <is>
          <t>До 10</t>
        </is>
      </c>
      <c r="N8433" s="54" t="n">
        <v>3360</v>
      </c>
      <c r="O8433" s="55" t="inlineStr">
        <is>
          <t>1–15</t>
        </is>
      </c>
      <c r="P8433" s="16" t="inlineStr">
        <is>
          <t>ССЧР обогащена; ОКВЭД не найден/не загружен</t>
        </is>
      </c>
      <c r="Q8433" s="16" t="inlineStr">
        <is>
          <t>ФНС открытые данные ССЧР (ДатаСост 31.12.2025; набор 7707329152-sshr2019)</t>
        </is>
      </c>
      <c r="R8433" s="16">
        <f>HYPERLINK("https://checko.ru/search?query=3801001629","Чекко: проверить")</f>
        <v/>
      </c>
      <c r="S8433" t="n">
        <v>1</v>
      </c>
      <c r="T8433" s="35" t="inlineStr">
        <is>
          <t>4 — Не обогащён</t>
        </is>
      </c>
      <c r="U8433" s="35" t="inlineStr">
        <is>
          <t>Нет ОКВЭД/ССЧР</t>
        </is>
      </c>
      <c r="V8433" s="35" t="inlineStr">
        <is>
          <t>Не определено</t>
        </is>
      </c>
      <c r="W8433" s="35" t="inlineStr">
        <is>
          <t>Нет</t>
        </is>
      </c>
      <c r="X8433" s="35" t="inlineStr"/>
    </row>
    <row r="8434" ht="27.75" customHeight="1" s="24">
      <c r="A8434" s="13" t="n">
        <v>804954196</v>
      </c>
      <c r="B8434" s="13" t="inlineStr">
        <is>
          <t>ОБЩЕСТВО С ОГРАНИЧЕННОЙ ОТВЕТСТВЕННОСТЬЮ "ВЕРШИНА"</t>
        </is>
      </c>
      <c r="C8434" s="13" t="n">
        <v>1434051521</v>
      </c>
      <c r="D8434" s="13" t="inlineStr">
        <is>
          <t>1434051521</t>
        </is>
      </c>
      <c r="E8434" s="13" t="inlineStr">
        <is>
          <t>ЮЛ РФ</t>
        </is>
      </c>
      <c r="F8434" s="13" t="n"/>
      <c r="G8434" s="52" t="n">
        <v>11</v>
      </c>
      <c r="H8434" s="52" t="n">
        <v>2025</v>
      </c>
      <c r="I8434" s="14" t="n"/>
      <c r="J8434" s="14" t="n"/>
      <c r="K8434" s="53" t="inlineStr">
        <is>
          <t>Нет</t>
        </is>
      </c>
      <c r="L8434" s="53" t="inlineStr">
        <is>
          <t>Не определено</t>
        </is>
      </c>
      <c r="M8434" s="53" t="inlineStr">
        <is>
          <t>До 25</t>
        </is>
      </c>
      <c r="N8434" s="54" t="n">
        <v>8400</v>
      </c>
      <c r="O8434" s="55" t="inlineStr">
        <is>
          <t>1–15</t>
        </is>
      </c>
      <c r="P8434" s="16" t="inlineStr">
        <is>
          <t>ССЧР обогащена; ОКВЭД не найден/не загружен</t>
        </is>
      </c>
      <c r="Q8434" s="16" t="inlineStr">
        <is>
          <t>ФНС открытые данные ССЧР (ДатаСост 31.12.2025; набор 7707329152-sshr2019)</t>
        </is>
      </c>
      <c r="R8434" s="16">
        <f>HYPERLINK("https://checko.ru/search?query=3801001629","Чекко: проверить")</f>
        <v/>
      </c>
      <c r="S8434" t="n">
        <v>1</v>
      </c>
      <c r="T8434" s="35" t="inlineStr">
        <is>
          <t>4 — Не обогащён</t>
        </is>
      </c>
      <c r="U8434" s="35" t="inlineStr">
        <is>
          <t>Нет ОКВЭД/ССЧР</t>
        </is>
      </c>
      <c r="V8434" s="35" t="inlineStr">
        <is>
          <t>Не определено</t>
        </is>
      </c>
      <c r="W8434" s="35" t="inlineStr">
        <is>
          <t>Нет</t>
        </is>
      </c>
      <c r="X8434" s="35" t="inlineStr"/>
    </row>
    <row r="8435" ht="27.75" customHeight="1" s="24">
      <c r="A8435" s="13" t="n">
        <v>804954835</v>
      </c>
      <c r="B8435" s="13" t="inlineStr">
        <is>
          <t>ОБЩЕСТВО С ОГРАНИЧЕННОЙ ОТВЕТСТВЕННОСТЬЮ "АНТАРЕС-СМК"</t>
        </is>
      </c>
      <c r="C8435" s="13" t="n">
        <v>3849104809</v>
      </c>
      <c r="D8435" s="13" t="inlineStr">
        <is>
          <t>3849104809</t>
        </is>
      </c>
      <c r="E8435" s="13" t="inlineStr">
        <is>
          <t>ЮЛ РФ</t>
        </is>
      </c>
      <c r="F8435" s="13" t="n"/>
      <c r="G8435" s="52" t="n">
        <v>1</v>
      </c>
      <c r="H8435" s="52" t="n">
        <v>2025</v>
      </c>
      <c r="I8435" s="14" t="n"/>
      <c r="J8435" s="14" t="n"/>
      <c r="K8435" s="53" t="inlineStr">
        <is>
          <t>Нет</t>
        </is>
      </c>
      <c r="L8435" s="53" t="inlineStr">
        <is>
          <t>Не определено</t>
        </is>
      </c>
      <c r="M8435" s="53" t="inlineStr">
        <is>
          <t>До 10</t>
        </is>
      </c>
      <c r="N8435" s="54" t="n">
        <v>3360</v>
      </c>
      <c r="O8435" s="55" t="inlineStr">
        <is>
          <t>1–15</t>
        </is>
      </c>
      <c r="P8435" s="16" t="inlineStr">
        <is>
          <t>ССЧР обогащена; ОКВЭД не найден/не загружен</t>
        </is>
      </c>
      <c r="Q8435" s="16" t="inlineStr">
        <is>
          <t>ФНС открытые данные ССЧР (ДатаСост 31.12.2025; набор 7707329152-sshr2019)</t>
        </is>
      </c>
      <c r="R8435" s="16">
        <f>HYPERLINK("https://checko.ru/search?query=3801001629","Чекко: проверить")</f>
        <v/>
      </c>
      <c r="S8435" t="n">
        <v>1</v>
      </c>
      <c r="T8435" s="35" t="inlineStr">
        <is>
          <t>4 — Не обогащён</t>
        </is>
      </c>
      <c r="U8435" s="35" t="inlineStr">
        <is>
          <t>Нет ОКВЭД/ССЧР</t>
        </is>
      </c>
      <c r="V8435" s="35" t="inlineStr">
        <is>
          <t>Не определено</t>
        </is>
      </c>
      <c r="W8435" s="35" t="inlineStr">
        <is>
          <t>Нет</t>
        </is>
      </c>
      <c r="X8435" s="35" t="inlineStr"/>
    </row>
    <row r="8436" ht="27.75" customHeight="1" s="24">
      <c r="A8436" s="13" t="n">
        <v>802399168</v>
      </c>
      <c r="B8436" s="13" t="inlineStr">
        <is>
          <t>Индивидуальный предприниматель Падалец Николай Викторович</t>
        </is>
      </c>
      <c r="C8436" s="13" t="n">
        <v>381100907555</v>
      </c>
      <c r="D8436" s="13" t="inlineStr">
        <is>
          <t>381100907555</t>
        </is>
      </c>
      <c r="E8436" s="13" t="inlineStr">
        <is>
          <t>ИП РФ / физлицо</t>
        </is>
      </c>
      <c r="F8436" s="13" t="n"/>
      <c r="G8436" s="14" t="n"/>
      <c r="H8436" s="14" t="n"/>
      <c r="I8436" s="14" t="n"/>
      <c r="J8436" s="14" t="n"/>
      <c r="K8436" s="53" t="inlineStr"/>
      <c r="L8436" s="53" t="inlineStr">
        <is>
          <t>Не определено</t>
        </is>
      </c>
      <c r="M8436" s="53" t="inlineStr"/>
      <c r="N8436" s="54" t="inlineStr"/>
      <c r="O8436" s="55" t="inlineStr"/>
      <c r="P8436" s="16" t="inlineStr">
        <is>
          <t>Требует обогащения</t>
        </is>
      </c>
      <c r="Q8436" s="16">
        <f>HYPERLINK("https://pb.nalog.ru/search.html?query=381100907555","ФНС: проверить")</f>
        <v/>
      </c>
      <c r="R8436" s="16">
        <f>HYPERLINK("https://checko.ru/search?query=3801001629","Чекко: проверить")</f>
        <v/>
      </c>
      <c r="S8436" t="n">
        <v>1</v>
      </c>
      <c r="T8436" s="35" t="inlineStr">
        <is>
          <t>4 — Не обогащён</t>
        </is>
      </c>
      <c r="U8436" s="35" t="inlineStr">
        <is>
          <t>Нет ОКВЭД/ССЧР</t>
        </is>
      </c>
      <c r="V8436" s="35" t="inlineStr">
        <is>
          <t>Не определено</t>
        </is>
      </c>
      <c r="W8436" s="35" t="inlineStr"/>
      <c r="X8436" s="35" t="inlineStr"/>
    </row>
    <row r="8437" ht="27.75" customHeight="1" s="24">
      <c r="A8437" s="13" t="n">
        <v>802332630</v>
      </c>
      <c r="B8437" s="13" t="inlineStr">
        <is>
          <t>Индивидуальный предприниматель Акимин Сергей Николаевич</t>
        </is>
      </c>
      <c r="C8437" s="13" t="n">
        <v>382000076490</v>
      </c>
      <c r="D8437" s="13" t="inlineStr">
        <is>
          <t>382000076490</t>
        </is>
      </c>
      <c r="E8437" s="13" t="inlineStr">
        <is>
          <t>ИП РФ / физлицо</t>
        </is>
      </c>
      <c r="F8437" s="13" t="n"/>
      <c r="G8437" s="14" t="n"/>
      <c r="H8437" s="14" t="n"/>
      <c r="I8437" s="14" t="n"/>
      <c r="J8437" s="14" t="n"/>
      <c r="K8437" s="53" t="inlineStr"/>
      <c r="L8437" s="53" t="inlineStr">
        <is>
          <t>Не определено</t>
        </is>
      </c>
      <c r="M8437" s="53" t="inlineStr"/>
      <c r="N8437" s="54" t="inlineStr"/>
      <c r="O8437" s="55" t="inlineStr"/>
      <c r="P8437" s="16" t="inlineStr">
        <is>
          <t>Требует обогащения</t>
        </is>
      </c>
      <c r="Q8437" s="16">
        <f>HYPERLINK("https://pb.nalog.ru/search.html?query=382000076490","ФНС: проверить")</f>
        <v/>
      </c>
      <c r="R8437" s="16">
        <f>HYPERLINK("https://checko.ru/search?query=3801001629","Чекко: проверить")</f>
        <v/>
      </c>
      <c r="S8437" t="n">
        <v>1</v>
      </c>
      <c r="T8437" s="35" t="inlineStr">
        <is>
          <t>4 — Не обогащён</t>
        </is>
      </c>
      <c r="U8437" s="35" t="inlineStr">
        <is>
          <t>Нет ОКВЭД/ССЧР</t>
        </is>
      </c>
      <c r="V8437" s="35" t="inlineStr">
        <is>
          <t>Не определено</t>
        </is>
      </c>
      <c r="W8437" s="35" t="inlineStr"/>
      <c r="X8437" s="35" t="inlineStr"/>
    </row>
    <row r="8438" ht="41.25" customHeight="1" s="24">
      <c r="A8438" s="13" t="n">
        <v>804956667</v>
      </c>
      <c r="B8438" s="13" t="inlineStr">
        <is>
          <t>МУНИЦИПАЛЬНОЕ УНИТАРНОЕ ПРЕДПРИЯТИЕ "КАНАЛИЗАЦИОННЫЕ ОЧИСТНЫЕ СООРУЖЕНИЯ ЛЕВОГО БЕРЕГА" ГОРОДА ИРКУТСКА</t>
        </is>
      </c>
      <c r="C8438" s="13" t="n">
        <v>3812169430</v>
      </c>
      <c r="D8438" s="13" t="inlineStr">
        <is>
          <t>3812169430</t>
        </is>
      </c>
      <c r="E8438" s="13" t="inlineStr">
        <is>
          <t>ЮЛ РФ</t>
        </is>
      </c>
      <c r="F8438" s="13" t="n"/>
      <c r="G8438" s="14" t="n"/>
      <c r="H8438" s="14" t="n"/>
      <c r="I8438" s="14" t="n"/>
      <c r="J8438" s="14" t="n"/>
      <c r="K8438" s="53" t="inlineStr"/>
      <c r="L8438" s="53" t="inlineStr">
        <is>
          <t>Не определено</t>
        </is>
      </c>
      <c r="M8438" s="53" t="inlineStr"/>
      <c r="N8438" s="54" t="inlineStr"/>
      <c r="O8438" s="55" t="inlineStr"/>
      <c r="P8438" s="16" t="inlineStr">
        <is>
          <t>Требует обогащения</t>
        </is>
      </c>
      <c r="Q8438" s="16">
        <f>HYPERLINK("https://pb.nalog.ru/search.html?query=3812169430","ФНС: проверить")</f>
        <v/>
      </c>
      <c r="R8438" s="16">
        <f>HYPERLINK("https://checko.ru/search?query=3801001629","Чекко: проверить")</f>
        <v/>
      </c>
      <c r="S8438" t="n">
        <v>1</v>
      </c>
      <c r="T8438" s="35" t="inlineStr">
        <is>
          <t>4 — Не обогащён</t>
        </is>
      </c>
      <c r="U8438" s="35" t="inlineStr">
        <is>
          <t>Нет ОКВЭД/ССЧР</t>
        </is>
      </c>
      <c r="V8438" s="35" t="inlineStr">
        <is>
          <t>Не определено</t>
        </is>
      </c>
      <c r="W8438" s="35" t="inlineStr"/>
      <c r="X8438" s="35" t="inlineStr"/>
    </row>
    <row r="8439" ht="27.75" customHeight="1" s="24">
      <c r="A8439" s="13" t="n">
        <v>804954326</v>
      </c>
      <c r="B8439" s="13" t="inlineStr">
        <is>
          <t>ОБЩЕСТВО С ОГРАНИЧЕННОЙ ОТВЕТСТВЕННОСТЬЮ "ПРОМТЕХМЕХАНИЗАЦИЯ"</t>
        </is>
      </c>
      <c r="C8439" s="13" t="n">
        <v>3849110954</v>
      </c>
      <c r="D8439" s="13" t="inlineStr">
        <is>
          <t>3849110954</t>
        </is>
      </c>
      <c r="E8439" s="13" t="inlineStr">
        <is>
          <t>ЮЛ РФ</t>
        </is>
      </c>
      <c r="F8439" s="13" t="n"/>
      <c r="G8439" s="52" t="n">
        <v>3</v>
      </c>
      <c r="H8439" s="52" t="n">
        <v>2025</v>
      </c>
      <c r="I8439" s="14" t="n"/>
      <c r="J8439" s="14" t="n"/>
      <c r="K8439" s="53" t="inlineStr">
        <is>
          <t>Нет</t>
        </is>
      </c>
      <c r="L8439" s="53" t="inlineStr">
        <is>
          <t>Не определено</t>
        </is>
      </c>
      <c r="M8439" s="53" t="inlineStr">
        <is>
          <t>До 10</t>
        </is>
      </c>
      <c r="N8439" s="54" t="n">
        <v>3360</v>
      </c>
      <c r="O8439" s="55" t="inlineStr">
        <is>
          <t>1–15</t>
        </is>
      </c>
      <c r="P8439" s="16" t="inlineStr">
        <is>
          <t>ССЧР обогащена; ОКВЭД не найден/не загружен</t>
        </is>
      </c>
      <c r="Q8439" s="16" t="inlineStr">
        <is>
          <t>ФНС открытые данные ССЧР (ДатаСост 31.12.2025; набор 7707329152-sshr2019)</t>
        </is>
      </c>
      <c r="R8439" s="16">
        <f>HYPERLINK("https://checko.ru/search?query=3801001629","Чекко: проверить")</f>
        <v/>
      </c>
      <c r="S8439" t="n">
        <v>1</v>
      </c>
      <c r="T8439" s="35" t="inlineStr">
        <is>
          <t>4 — Не обогащён</t>
        </is>
      </c>
      <c r="U8439" s="35" t="inlineStr">
        <is>
          <t>Нет ОКВЭД/ССЧР</t>
        </is>
      </c>
      <c r="V8439" s="35" t="inlineStr">
        <is>
          <t>Не определено</t>
        </is>
      </c>
      <c r="W8439" s="35" t="inlineStr">
        <is>
          <t>Нет</t>
        </is>
      </c>
      <c r="X8439" s="35" t="inlineStr"/>
    </row>
    <row r="8440" ht="41.25" customHeight="1" s="24">
      <c r="A8440" s="13" t="n">
        <v>802333330</v>
      </c>
      <c r="B8440" s="13" t="inlineStr">
        <is>
          <t>ОБЩЕСТВО С ОГРАНИЧЕННОЙ ОТВЕТСТВЕННОСТЬЮ "ИРКУТСКАЯ ПРОИЗВОДСТВЕННАЯ КОМПАНИЯ-ЛАСМА"</t>
        </is>
      </c>
      <c r="C8440" s="13" t="n">
        <v>3812117463</v>
      </c>
      <c r="D8440" s="13" t="inlineStr">
        <is>
          <t>3812117463</t>
        </is>
      </c>
      <c r="E8440" s="13" t="inlineStr">
        <is>
          <t>ЮЛ РФ</t>
        </is>
      </c>
      <c r="F8440" s="13" t="n"/>
      <c r="G8440" s="52" t="n">
        <v>4</v>
      </c>
      <c r="H8440" s="52" t="n">
        <v>2025</v>
      </c>
      <c r="I8440" s="14" t="n"/>
      <c r="J8440" s="14" t="n"/>
      <c r="K8440" s="53" t="inlineStr">
        <is>
          <t>Нет</t>
        </is>
      </c>
      <c r="L8440" s="53" t="inlineStr">
        <is>
          <t>Не определено</t>
        </is>
      </c>
      <c r="M8440" s="53" t="inlineStr">
        <is>
          <t>До 10</t>
        </is>
      </c>
      <c r="N8440" s="54" t="n">
        <v>3360</v>
      </c>
      <c r="O8440" s="55" t="inlineStr">
        <is>
          <t>1–15</t>
        </is>
      </c>
      <c r="P8440" s="16" t="inlineStr">
        <is>
          <t>ССЧР обогащена; ОКВЭД не найден/не загружен</t>
        </is>
      </c>
      <c r="Q8440" s="16" t="inlineStr">
        <is>
          <t>ФНС открытые данные ССЧР (ДатаСост 31.12.2025; набор 7707329152-sshr2019)</t>
        </is>
      </c>
      <c r="R8440" s="16">
        <f>HYPERLINK("https://checko.ru/search?query=3801001629","Чекко: проверить")</f>
        <v/>
      </c>
      <c r="S8440" t="n">
        <v>1</v>
      </c>
      <c r="T8440" s="35" t="inlineStr">
        <is>
          <t>4 — Не обогащён</t>
        </is>
      </c>
      <c r="U8440" s="35" t="inlineStr">
        <is>
          <t>Нет ОКВЭД/ССЧР</t>
        </is>
      </c>
      <c r="V8440" s="35" t="inlineStr">
        <is>
          <t>Не определено</t>
        </is>
      </c>
      <c r="W8440" s="35" t="inlineStr">
        <is>
          <t>Нет</t>
        </is>
      </c>
      <c r="X8440" s="35" t="inlineStr"/>
    </row>
    <row r="8441" ht="27.75" customHeight="1" s="24">
      <c r="A8441" s="13" t="n">
        <v>802516578</v>
      </c>
      <c r="B8441" s="13" t="inlineStr">
        <is>
          <t>ИНДИВИДУАЛЬНЫЙ ПРЕДПРИНИМАТЕЛЬ ФЕДОРОВА ДАРЬЯ ДАНИЛОВНА</t>
        </is>
      </c>
      <c r="C8441" s="13" t="n">
        <v>380583663415</v>
      </c>
      <c r="D8441" s="13" t="inlineStr">
        <is>
          <t>380583663415</t>
        </is>
      </c>
      <c r="E8441" s="13" t="inlineStr">
        <is>
          <t>ИП РФ / физлицо</t>
        </is>
      </c>
      <c r="F8441" s="13" t="n"/>
      <c r="G8441" s="14" t="n"/>
      <c r="H8441" s="14" t="n"/>
      <c r="I8441" s="14" t="n"/>
      <c r="J8441" s="14" t="n"/>
      <c r="K8441" s="53" t="inlineStr"/>
      <c r="L8441" s="53" t="inlineStr">
        <is>
          <t>Не определено</t>
        </is>
      </c>
      <c r="M8441" s="53" t="inlineStr"/>
      <c r="N8441" s="54" t="inlineStr"/>
      <c r="O8441" s="55" t="inlineStr"/>
      <c r="P8441" s="16" t="inlineStr">
        <is>
          <t>Требует обогащения</t>
        </is>
      </c>
      <c r="Q8441" s="16">
        <f>HYPERLINK("https://pb.nalog.ru/search.html?query=380583663415","ФНС: проверить")</f>
        <v/>
      </c>
      <c r="R8441" s="16">
        <f>HYPERLINK("https://checko.ru/search?query=3801001629","Чекко: проверить")</f>
        <v/>
      </c>
      <c r="S8441" t="n">
        <v>1</v>
      </c>
      <c r="T8441" s="35" t="inlineStr">
        <is>
          <t>4 — Не обогащён</t>
        </is>
      </c>
      <c r="U8441" s="35" t="inlineStr">
        <is>
          <t>Нет ОКВЭД/ССЧР</t>
        </is>
      </c>
      <c r="V8441" s="35" t="inlineStr">
        <is>
          <t>Не определено</t>
        </is>
      </c>
      <c r="W8441" s="35" t="inlineStr"/>
      <c r="X8441" s="35" t="inlineStr"/>
    </row>
    <row r="8442" ht="41.25" customHeight="1" s="24">
      <c r="A8442" s="13" t="n">
        <v>804957515</v>
      </c>
      <c r="B8442" s="13" t="inlineStr">
        <is>
          <t>Общество с ограниченной ответственностью "МНОГОФУНКЦИОНАЛЬНОЕ ТРАНСПОРТНОЕ ПРЕДПРИЯТИЕ"</t>
        </is>
      </c>
      <c r="C8442" s="13" t="n">
        <v>3816036783</v>
      </c>
      <c r="D8442" s="13" t="inlineStr">
        <is>
          <t>3816036783</t>
        </is>
      </c>
      <c r="E8442" s="13" t="inlineStr">
        <is>
          <t>ЮЛ РФ</t>
        </is>
      </c>
      <c r="F8442" s="13" t="n"/>
      <c r="G8442" s="52" t="n">
        <v>48</v>
      </c>
      <c r="H8442" s="52" t="n">
        <v>2025</v>
      </c>
      <c r="I8442" s="52" t="inlineStr">
        <is>
          <t>49.31.21</t>
        </is>
      </c>
      <c r="J8442" s="52" t="inlineStr">
        <is>
          <t>49.31.21; 45.20.2; 49.39.39; 52.21.21; 52.21.24; 68.20.29; 86.90.9; 45.20; 49.31; 49.39; 52.21; 68.20.2; 86.90</t>
        </is>
      </c>
      <c r="K8442" s="53" t="inlineStr">
        <is>
          <t>Да</t>
        </is>
      </c>
      <c r="L8442" s="53" t="inlineStr">
        <is>
          <t>Да</t>
        </is>
      </c>
      <c r="M8442" s="53" t="inlineStr">
        <is>
          <t>До 50</t>
        </is>
      </c>
      <c r="N8442" s="54" t="n">
        <v>16800</v>
      </c>
      <c r="O8442" s="55" t="inlineStr">
        <is>
          <t>31–50</t>
        </is>
      </c>
      <c r="P8442" s="16" t="inlineStr">
        <is>
          <t>ССЧР + ОКВЭД обогащены</t>
        </is>
      </c>
      <c r="Q8442" s="16" t="inlineStr">
        <is>
          <t>ФНС открытые данные ССЧР (ДатаСост 31.12.2025; набор 7707329152-sshr2019)</t>
        </is>
      </c>
      <c r="R8442" s="16" t="inlineStr">
        <is>
          <t>ЕГРЮЛ / egrul.nalog.ru (выписка)</t>
        </is>
      </c>
      <c r="S8442" t="n">
        <v>1</v>
      </c>
      <c r="T8442" s="35" t="inlineStr">
        <is>
          <t>1 — Горячий</t>
        </is>
      </c>
      <c r="U8442" s="35" t="inlineStr">
        <is>
          <t>ОКВЭД + 22+</t>
        </is>
      </c>
      <c r="V8442" s="35" t="inlineStr">
        <is>
          <t>Да</t>
        </is>
      </c>
      <c r="W8442" s="35" t="inlineStr">
        <is>
          <t>Да</t>
        </is>
      </c>
      <c r="X8442" s="35" t="inlineStr">
        <is>
          <t>Да</t>
        </is>
      </c>
    </row>
    <row r="8443" ht="27.75" customHeight="1" s="24">
      <c r="A8443" s="13" t="n">
        <v>802178726</v>
      </c>
      <c r="B8443" s="13" t="inlineStr">
        <is>
          <t>Индивидуальный предприниматель Еремейцев Кирилл Вадимович</t>
        </is>
      </c>
      <c r="C8443" s="13" t="n">
        <v>505013804756</v>
      </c>
      <c r="D8443" s="13" t="inlineStr">
        <is>
          <t>505013804756</t>
        </is>
      </c>
      <c r="E8443" s="13" t="inlineStr">
        <is>
          <t>ИП РФ / физлицо</t>
        </is>
      </c>
      <c r="F8443" s="13" t="n"/>
      <c r="G8443" s="14" t="n"/>
      <c r="H8443" s="14" t="n"/>
      <c r="I8443" s="14" t="n"/>
      <c r="J8443" s="14" t="n"/>
      <c r="K8443" s="53" t="inlineStr"/>
      <c r="L8443" s="53" t="inlineStr">
        <is>
          <t>Не определено</t>
        </is>
      </c>
      <c r="M8443" s="53" t="inlineStr"/>
      <c r="N8443" s="54" t="inlineStr"/>
      <c r="O8443" s="55" t="inlineStr"/>
      <c r="P8443" s="16" t="inlineStr">
        <is>
          <t>Требует обогащения</t>
        </is>
      </c>
      <c r="Q8443" s="16">
        <f>HYPERLINK("https://pb.nalog.ru/search.html?query=505013804756","ФНС: проверить")</f>
        <v/>
      </c>
      <c r="R8443" s="16">
        <f>HYPERLINK("https://checko.ru/search?query=3801001629","Чекко: проверить")</f>
        <v/>
      </c>
      <c r="S8443" t="n">
        <v>1</v>
      </c>
      <c r="T8443" s="35" t="inlineStr">
        <is>
          <t>4 — Не обогащён</t>
        </is>
      </c>
      <c r="U8443" s="35" t="inlineStr">
        <is>
          <t>Нет ОКВЭД/ССЧР</t>
        </is>
      </c>
      <c r="V8443" s="35" t="inlineStr">
        <is>
          <t>Не определено</t>
        </is>
      </c>
      <c r="W8443" s="35" t="inlineStr"/>
      <c r="X8443" s="35" t="inlineStr"/>
    </row>
    <row r="8444" ht="27.75" customHeight="1" s="24">
      <c r="A8444" s="13" t="n">
        <v>804957606</v>
      </c>
      <c r="B8444" s="13" t="inlineStr">
        <is>
          <t>ИНДИВИДУАЛЬНЫЙ ПРЕДПРИНИМАТЕЛЬ МАРКОВА ЮЛИЯ АНДРЕЕВНА</t>
        </is>
      </c>
      <c r="C8444" s="13" t="n">
        <v>381205412133</v>
      </c>
      <c r="D8444" s="13" t="inlineStr">
        <is>
          <t>381205412133</t>
        </is>
      </c>
      <c r="E8444" s="13" t="inlineStr">
        <is>
          <t>ИП РФ / физлицо</t>
        </is>
      </c>
      <c r="F8444" s="13" t="n"/>
      <c r="G8444" s="14" t="n"/>
      <c r="H8444" s="14" t="n"/>
      <c r="I8444" s="14" t="n"/>
      <c r="J8444" s="14" t="n"/>
      <c r="K8444" s="53" t="inlineStr"/>
      <c r="L8444" s="53" t="inlineStr">
        <is>
          <t>Не определено</t>
        </is>
      </c>
      <c r="M8444" s="53" t="inlineStr"/>
      <c r="N8444" s="54" t="inlineStr"/>
      <c r="O8444" s="55" t="inlineStr"/>
      <c r="P8444" s="16" t="inlineStr">
        <is>
          <t>Требует обогащения</t>
        </is>
      </c>
      <c r="Q8444" s="16">
        <f>HYPERLINK("https://pb.nalog.ru/search.html?query=381205412133","ФНС: проверить")</f>
        <v/>
      </c>
      <c r="R8444" s="16">
        <f>HYPERLINK("https://checko.ru/search?query=3801001629","Чекко: проверить")</f>
        <v/>
      </c>
      <c r="S8444" t="n">
        <v>1</v>
      </c>
      <c r="T8444" s="35" t="inlineStr">
        <is>
          <t>4 — Не обогащён</t>
        </is>
      </c>
      <c r="U8444" s="35" t="inlineStr">
        <is>
          <t>Нет ОКВЭД/ССЧР</t>
        </is>
      </c>
      <c r="V8444" s="35" t="inlineStr">
        <is>
          <t>Не определено</t>
        </is>
      </c>
      <c r="W8444" s="35" t="inlineStr"/>
      <c r="X8444" s="35" t="inlineStr"/>
    </row>
    <row r="8445" ht="27.75" customHeight="1" s="24">
      <c r="A8445" s="13" t="n">
        <v>802516753</v>
      </c>
      <c r="B8445" s="13" t="inlineStr">
        <is>
          <t>ОБЩЕСТВО С ОГРАНИЧЕННОЙ ОТВЕТСТВЕННОСТЬЮ "АЛЬЯНС"</t>
        </is>
      </c>
      <c r="C8445" s="13" t="n">
        <v>1400025587</v>
      </c>
      <c r="D8445" s="13" t="inlineStr">
        <is>
          <t>1400025587</t>
        </is>
      </c>
      <c r="E8445" s="13" t="inlineStr">
        <is>
          <t>ЮЛ РФ</t>
        </is>
      </c>
      <c r="F8445" s="13" t="n"/>
      <c r="G8445" s="52" t="n">
        <v>10</v>
      </c>
      <c r="H8445" s="52" t="n">
        <v>2025</v>
      </c>
      <c r="I8445" s="14" t="n"/>
      <c r="J8445" s="14" t="n"/>
      <c r="K8445" s="53" t="inlineStr">
        <is>
          <t>Нет</t>
        </is>
      </c>
      <c r="L8445" s="53" t="inlineStr">
        <is>
          <t>Не определено</t>
        </is>
      </c>
      <c r="M8445" s="53" t="inlineStr">
        <is>
          <t>До 10</t>
        </is>
      </c>
      <c r="N8445" s="54" t="n">
        <v>3360</v>
      </c>
      <c r="O8445" s="55" t="inlineStr">
        <is>
          <t>1–15</t>
        </is>
      </c>
      <c r="P8445" s="16" t="inlineStr">
        <is>
          <t>ССЧР обогащена; ОКВЭД не найден/не загружен</t>
        </is>
      </c>
      <c r="Q8445" s="16" t="inlineStr">
        <is>
          <t>ФНС открытые данные ССЧР (ДатаСост 31.12.2025; набор 7707329152-sshr2019)</t>
        </is>
      </c>
      <c r="R8445" s="16">
        <f>HYPERLINK("https://checko.ru/search?query=3801001629","Чекко: проверить")</f>
        <v/>
      </c>
      <c r="S8445" t="n">
        <v>1</v>
      </c>
      <c r="T8445" s="35" t="inlineStr">
        <is>
          <t>4 — Не обогащён</t>
        </is>
      </c>
      <c r="U8445" s="35" t="inlineStr">
        <is>
          <t>Нет ОКВЭД/ССЧР</t>
        </is>
      </c>
      <c r="V8445" s="35" t="inlineStr">
        <is>
          <t>Не определено</t>
        </is>
      </c>
      <c r="W8445" s="35" t="inlineStr">
        <is>
          <t>Нет</t>
        </is>
      </c>
      <c r="X8445" s="35" t="inlineStr"/>
    </row>
    <row r="8446" ht="27.75" customHeight="1" s="24">
      <c r="A8446" s="13" t="n">
        <v>802517066</v>
      </c>
      <c r="B8446" s="13" t="inlineStr">
        <is>
          <t>Общество с ограниченной ответственностью НАУЧНО-МЕДИЦИНСКИЙ ЦЕНТР "ФЕНИКС"</t>
        </is>
      </c>
      <c r="C8446" s="13" t="n">
        <v>3805705993</v>
      </c>
      <c r="D8446" s="13" t="inlineStr">
        <is>
          <t>3805705993</t>
        </is>
      </c>
      <c r="E8446" s="13" t="inlineStr">
        <is>
          <t>ЮЛ РФ</t>
        </is>
      </c>
      <c r="F8446" s="13" t="n"/>
      <c r="G8446" s="52" t="n">
        <v>52</v>
      </c>
      <c r="H8446" s="52" t="n">
        <v>2025</v>
      </c>
      <c r="I8446" s="52" t="inlineStr">
        <is>
          <t>86.21</t>
        </is>
      </c>
      <c r="J8446" s="52" t="inlineStr">
        <is>
          <t>86.21; 47.73; 47.74; 47.75; 72.19; 86.10; 86.22.9; 86.23; 86.90; 86.90.4; 86.90.9; 96.04</t>
        </is>
      </c>
      <c r="K8446" s="53" t="inlineStr">
        <is>
          <t>Да</t>
        </is>
      </c>
      <c r="L8446" s="53" t="inlineStr">
        <is>
          <t>Да</t>
        </is>
      </c>
      <c r="M8446" s="53" t="inlineStr">
        <is>
          <t>До 100</t>
        </is>
      </c>
      <c r="N8446" s="54" t="n">
        <v>33600</v>
      </c>
      <c r="O8446" s="55" t="inlineStr">
        <is>
          <t>51–100</t>
        </is>
      </c>
      <c r="P8446" s="16" t="inlineStr">
        <is>
          <t>ССЧР + ОКВЭД обогащены</t>
        </is>
      </c>
      <c r="Q8446" s="16" t="inlineStr">
        <is>
          <t>ФНС открытые данные ССЧР (ДатаСост 31.12.2025; набор 7707329152-sshr2019)</t>
        </is>
      </c>
      <c r="R8446" s="16" t="inlineStr">
        <is>
          <t>ЕГРЮЛ / egrul.nalog.ru (выписка)</t>
        </is>
      </c>
      <c r="S8446" t="n">
        <v>1</v>
      </c>
      <c r="T8446" s="35" t="inlineStr">
        <is>
          <t>1 — Горячий</t>
        </is>
      </c>
      <c r="U8446" s="35" t="inlineStr">
        <is>
          <t>ОКВЭД + 22+</t>
        </is>
      </c>
      <c r="V8446" s="35" t="inlineStr">
        <is>
          <t>Да</t>
        </is>
      </c>
      <c r="W8446" s="35" t="inlineStr">
        <is>
          <t>Да</t>
        </is>
      </c>
      <c r="X8446" s="35" t="inlineStr">
        <is>
          <t>Да</t>
        </is>
      </c>
    </row>
    <row r="8447" ht="15" customHeight="1" s="24">
      <c r="A8447" s="13" t="n">
        <v>804953012</v>
      </c>
      <c r="B8447" s="13" t="inlineStr">
        <is>
          <t>ООО "ПРОМТЕХРЕСУРС"</t>
        </is>
      </c>
      <c r="C8447" s="13" t="n">
        <v>5405970334</v>
      </c>
      <c r="D8447" s="13" t="inlineStr">
        <is>
          <t>5405970334</t>
        </is>
      </c>
      <c r="E8447" s="13" t="inlineStr">
        <is>
          <t>ЮЛ РФ</t>
        </is>
      </c>
      <c r="F8447" s="13" t="n"/>
      <c r="G8447" s="52" t="n">
        <v>11</v>
      </c>
      <c r="H8447" s="52" t="n">
        <v>2025</v>
      </c>
      <c r="I8447" s="14" t="n"/>
      <c r="J8447" s="14" t="n"/>
      <c r="K8447" s="53" t="inlineStr">
        <is>
          <t>Нет</t>
        </is>
      </c>
      <c r="L8447" s="53" t="inlineStr">
        <is>
          <t>Не определено</t>
        </is>
      </c>
      <c r="M8447" s="53" t="inlineStr">
        <is>
          <t>До 25</t>
        </is>
      </c>
      <c r="N8447" s="54" t="n">
        <v>8400</v>
      </c>
      <c r="O8447" s="55" t="inlineStr">
        <is>
          <t>1–15</t>
        </is>
      </c>
      <c r="P8447" s="16" t="inlineStr">
        <is>
          <t>ССЧР обогащена; ОКВЭД не найден/не загружен</t>
        </is>
      </c>
      <c r="Q8447" s="16" t="inlineStr">
        <is>
          <t>ФНС открытые данные ССЧР (ДатаСост 31.12.2025; набор 7707329152-sshr2019)</t>
        </is>
      </c>
      <c r="R8447" s="16">
        <f>HYPERLINK("https://checko.ru/search?query=3801001629","Чекко: проверить")</f>
        <v/>
      </c>
      <c r="S8447" t="n">
        <v>1</v>
      </c>
      <c r="T8447" s="35" t="inlineStr">
        <is>
          <t>4 — Не обогащён</t>
        </is>
      </c>
      <c r="U8447" s="35" t="inlineStr">
        <is>
          <t>Нет ОКВЭД/ССЧР</t>
        </is>
      </c>
      <c r="V8447" s="35" t="inlineStr">
        <is>
          <t>Не определено</t>
        </is>
      </c>
      <c r="W8447" s="35" t="inlineStr">
        <is>
          <t>Нет</t>
        </is>
      </c>
      <c r="X8447" s="35" t="inlineStr"/>
    </row>
    <row r="8448" ht="15" customHeight="1" s="24">
      <c r="A8448" s="13" t="n">
        <v>804956602</v>
      </c>
      <c r="B8448" s="13" t="inlineStr">
        <is>
          <t>ООО "ВТОРМА-БАЙКАЛ"</t>
        </is>
      </c>
      <c r="C8448" s="13" t="n">
        <v>3810034451</v>
      </c>
      <c r="D8448" s="13" t="inlineStr">
        <is>
          <t>3810034451</t>
        </is>
      </c>
      <c r="E8448" s="13" t="inlineStr">
        <is>
          <t>ЮЛ РФ</t>
        </is>
      </c>
      <c r="F8448" s="13" t="n"/>
      <c r="G8448" s="52" t="n">
        <v>33</v>
      </c>
      <c r="H8448" s="52" t="n">
        <v>2025</v>
      </c>
      <c r="I8448" s="52" t="inlineStr">
        <is>
          <t>03.12</t>
        </is>
      </c>
      <c r="J8448" s="52" t="inlineStr">
        <is>
          <t>03.12; 20.30; 22.29.2; 38.32.51; 46.19; 46.49; 46.77; 47.78.9; 73.20.1</t>
        </is>
      </c>
      <c r="K8448" s="53" t="inlineStr">
        <is>
          <t>Да</t>
        </is>
      </c>
      <c r="L8448" s="53" t="inlineStr">
        <is>
          <t>Да</t>
        </is>
      </c>
      <c r="M8448" s="53" t="inlineStr">
        <is>
          <t>До 50</t>
        </is>
      </c>
      <c r="N8448" s="54" t="n">
        <v>16800</v>
      </c>
      <c r="O8448" s="55" t="inlineStr">
        <is>
          <t>31–50</t>
        </is>
      </c>
      <c r="P8448" s="16" t="inlineStr">
        <is>
          <t>ССЧР + ОКВЭД обогащены</t>
        </is>
      </c>
      <c r="Q8448" s="16" t="inlineStr">
        <is>
          <t>ФНС открытые данные ССЧР (ДатаСост 31.12.2025; набор 7707329152-sshr2019)</t>
        </is>
      </c>
      <c r="R8448" s="16" t="inlineStr">
        <is>
          <t>ЕГРЮЛ / egrul.nalog.ru (выписка)</t>
        </is>
      </c>
      <c r="S8448" t="n">
        <v>1</v>
      </c>
      <c r="T8448" s="35" t="inlineStr">
        <is>
          <t>1 — Горячий</t>
        </is>
      </c>
      <c r="U8448" s="35" t="inlineStr">
        <is>
          <t>ОКВЭД + 22+</t>
        </is>
      </c>
      <c r="V8448" s="35" t="inlineStr">
        <is>
          <t>Да</t>
        </is>
      </c>
      <c r="W8448" s="35" t="inlineStr">
        <is>
          <t>Да</t>
        </is>
      </c>
      <c r="X8448" s="35" t="inlineStr">
        <is>
          <t>Да</t>
        </is>
      </c>
    </row>
    <row r="8449" ht="27.75" customHeight="1" s="24">
      <c r="A8449" s="13" t="n">
        <v>802616150</v>
      </c>
      <c r="B8449" s="13" t="inlineStr">
        <is>
          <t>Индивидуальный предприниматель Веретнова Ирина Сергеевна</t>
        </is>
      </c>
      <c r="C8449" s="13" t="n">
        <v>381015803516</v>
      </c>
      <c r="D8449" s="13" t="inlineStr">
        <is>
          <t>381015803516</t>
        </is>
      </c>
      <c r="E8449" s="13" t="inlineStr">
        <is>
          <t>ИП РФ / физлицо</t>
        </is>
      </c>
      <c r="F8449" s="13" t="n"/>
      <c r="G8449" s="14" t="n"/>
      <c r="H8449" s="14" t="n"/>
      <c r="I8449" s="14" t="n"/>
      <c r="J8449" s="14" t="n"/>
      <c r="K8449" s="53" t="inlineStr"/>
      <c r="L8449" s="53" t="inlineStr">
        <is>
          <t>Не определено</t>
        </is>
      </c>
      <c r="M8449" s="53" t="inlineStr"/>
      <c r="N8449" s="54" t="inlineStr"/>
      <c r="O8449" s="55" t="inlineStr"/>
      <c r="P8449" s="16" t="inlineStr">
        <is>
          <t>Требует обогащения</t>
        </is>
      </c>
      <c r="Q8449" s="16">
        <f>HYPERLINK("https://pb.nalog.ru/search.html?query=381015803516","ФНС: проверить")</f>
        <v/>
      </c>
      <c r="R8449" s="16">
        <f>HYPERLINK("https://checko.ru/search?query=3801001629","Чекко: проверить")</f>
        <v/>
      </c>
      <c r="S8449" t="n">
        <v>1</v>
      </c>
      <c r="T8449" s="35" t="inlineStr">
        <is>
          <t>4 — Не обогащён</t>
        </is>
      </c>
      <c r="U8449" s="35" t="inlineStr">
        <is>
          <t>Нет ОКВЭД/ССЧР</t>
        </is>
      </c>
      <c r="V8449" s="35" t="inlineStr">
        <is>
          <t>Не определено</t>
        </is>
      </c>
      <c r="W8449" s="35" t="inlineStr"/>
      <c r="X8449" s="35" t="inlineStr"/>
    </row>
    <row r="8450" ht="27.75" customHeight="1" s="24">
      <c r="A8450" s="13" t="n">
        <v>804956257</v>
      </c>
      <c r="B8450" s="13" t="inlineStr">
        <is>
          <t>Общество с ограниченной ответственностью "ЭНЕРГОКИПАВТОМАТИЗАЦИЯ"</t>
        </is>
      </c>
      <c r="C8450" s="13" t="n">
        <v>9724090654</v>
      </c>
      <c r="D8450" s="13" t="inlineStr">
        <is>
          <t>9724090654</t>
        </is>
      </c>
      <c r="E8450" s="13" t="inlineStr">
        <is>
          <t>ЮЛ РФ</t>
        </is>
      </c>
      <c r="F8450" s="13" t="n"/>
      <c r="G8450" s="52" t="n">
        <v>2</v>
      </c>
      <c r="H8450" s="52" t="n">
        <v>2025</v>
      </c>
      <c r="I8450" s="14" t="n"/>
      <c r="J8450" s="14" t="n"/>
      <c r="K8450" s="53" t="inlineStr">
        <is>
          <t>Нет</t>
        </is>
      </c>
      <c r="L8450" s="53" t="inlineStr">
        <is>
          <t>Не определено</t>
        </is>
      </c>
      <c r="M8450" s="53" t="inlineStr">
        <is>
          <t>До 10</t>
        </is>
      </c>
      <c r="N8450" s="54" t="n">
        <v>3360</v>
      </c>
      <c r="O8450" s="55" t="inlineStr">
        <is>
          <t>1–15</t>
        </is>
      </c>
      <c r="P8450" s="16" t="inlineStr">
        <is>
          <t>ССЧР обогащена; ОКВЭД не найден/не загружен</t>
        </is>
      </c>
      <c r="Q8450" s="16" t="inlineStr">
        <is>
          <t>ФНС открытые данные ССЧР (ДатаСост 31.12.2025; набор 7707329152-sshr2019)</t>
        </is>
      </c>
      <c r="R8450" s="16">
        <f>HYPERLINK("https://checko.ru/search?query=3801001629","Чекко: проверить")</f>
        <v/>
      </c>
      <c r="S8450" t="n">
        <v>0</v>
      </c>
      <c r="T8450" s="35" t="inlineStr">
        <is>
          <t>4 — Не обогащён</t>
        </is>
      </c>
      <c r="U8450" s="35" t="inlineStr">
        <is>
          <t>Нет ОКВЭД/ССЧР</t>
        </is>
      </c>
      <c r="V8450" s="35" t="inlineStr">
        <is>
          <t>Не определено</t>
        </is>
      </c>
      <c r="W8450" s="35" t="inlineStr">
        <is>
          <t>Нет</t>
        </is>
      </c>
      <c r="X8450" s="35" t="inlineStr"/>
    </row>
    <row r="8451" ht="27.75" customHeight="1" s="24">
      <c r="A8451" s="13" t="n">
        <v>802178823</v>
      </c>
      <c r="B8451" s="13" t="inlineStr">
        <is>
          <t>Индивидуальный предприниматель Комиссарова Людмила Григорьевна</t>
        </is>
      </c>
      <c r="C8451" s="13" t="n">
        <v>540715649723</v>
      </c>
      <c r="D8451" s="13" t="inlineStr">
        <is>
          <t>540715649723</t>
        </is>
      </c>
      <c r="E8451" s="13" t="inlineStr">
        <is>
          <t>ИП РФ / физлицо</t>
        </is>
      </c>
      <c r="F8451" s="13" t="n"/>
      <c r="G8451" s="14" t="n"/>
      <c r="H8451" s="14" t="n"/>
      <c r="I8451" s="14" t="n"/>
      <c r="J8451" s="14" t="n"/>
      <c r="K8451" s="53" t="inlineStr"/>
      <c r="L8451" s="53" t="inlineStr">
        <is>
          <t>Не определено</t>
        </is>
      </c>
      <c r="M8451" s="53" t="inlineStr"/>
      <c r="N8451" s="54" t="inlineStr"/>
      <c r="O8451" s="55" t="inlineStr"/>
      <c r="P8451" s="16" t="inlineStr">
        <is>
          <t>Требует обогащения</t>
        </is>
      </c>
      <c r="Q8451" s="16">
        <f>HYPERLINK("https://pb.nalog.ru/search.html?query=540715649723","ФНС: проверить")</f>
        <v/>
      </c>
      <c r="R8451" s="16">
        <f>HYPERLINK("https://checko.ru/search?query=3801001629","Чекко: проверить")</f>
        <v/>
      </c>
      <c r="S8451" t="n">
        <v>1</v>
      </c>
      <c r="T8451" s="35" t="inlineStr">
        <is>
          <t>4 — Не обогащён</t>
        </is>
      </c>
      <c r="U8451" s="35" t="inlineStr">
        <is>
          <t>Нет ОКВЭД/ССЧР</t>
        </is>
      </c>
      <c r="V8451" s="35" t="inlineStr">
        <is>
          <t>Не определено</t>
        </is>
      </c>
      <c r="W8451" s="35" t="inlineStr"/>
      <c r="X8451" s="35" t="inlineStr"/>
    </row>
    <row r="8452" ht="27.75" customHeight="1" s="24">
      <c r="A8452" s="13" t="n">
        <v>804958858</v>
      </c>
      <c r="B8452" s="13" t="inlineStr">
        <is>
          <t>ОБЩЕСТВО С ОГРАНИЧЕННОЙ ОТВЕТСТВЕННОСТЬЮ "ВИТА"</t>
        </is>
      </c>
      <c r="C8452" s="13" t="n">
        <v>3814018620</v>
      </c>
      <c r="D8452" s="13" t="inlineStr">
        <is>
          <t>3814018620</t>
        </is>
      </c>
      <c r="E8452" s="13" t="inlineStr">
        <is>
          <t>ЮЛ РФ</t>
        </is>
      </c>
      <c r="F8452" s="13" t="n"/>
      <c r="G8452" s="52" t="n">
        <v>8</v>
      </c>
      <c r="H8452" s="52" t="n">
        <v>2025</v>
      </c>
      <c r="I8452" s="14" t="n"/>
      <c r="J8452" s="14" t="n"/>
      <c r="K8452" s="53" t="inlineStr">
        <is>
          <t>Нет</t>
        </is>
      </c>
      <c r="L8452" s="53" t="inlineStr">
        <is>
          <t>Не определено</t>
        </is>
      </c>
      <c r="M8452" s="53" t="inlineStr">
        <is>
          <t>До 10</t>
        </is>
      </c>
      <c r="N8452" s="54" t="n">
        <v>3360</v>
      </c>
      <c r="O8452" s="55" t="inlineStr">
        <is>
          <t>1–15</t>
        </is>
      </c>
      <c r="P8452" s="16" t="inlineStr">
        <is>
          <t>ССЧР обогащена; ОКВЭД не найден/не загружен</t>
        </is>
      </c>
      <c r="Q8452" s="16" t="inlineStr">
        <is>
          <t>ФНС открытые данные ССЧР (ДатаСост 31.12.2025; набор 7707329152-sshr2019)</t>
        </is>
      </c>
      <c r="R8452" s="16">
        <f>HYPERLINK("https://checko.ru/search?query=3801001629","Чекко: проверить")</f>
        <v/>
      </c>
      <c r="S8452" t="n">
        <v>1</v>
      </c>
      <c r="T8452" s="35" t="inlineStr">
        <is>
          <t>4 — Не обогащён</t>
        </is>
      </c>
      <c r="U8452" s="35" t="inlineStr">
        <is>
          <t>Нет ОКВЭД/ССЧР</t>
        </is>
      </c>
      <c r="V8452" s="35" t="inlineStr">
        <is>
          <t>Не определено</t>
        </is>
      </c>
      <c r="W8452" s="35" t="inlineStr">
        <is>
          <t>Нет</t>
        </is>
      </c>
      <c r="X8452" s="35" t="inlineStr"/>
    </row>
    <row r="8453" ht="27.75" customHeight="1" s="24">
      <c r="A8453" s="13" t="n">
        <v>804959032</v>
      </c>
      <c r="B8453" s="13" t="inlineStr">
        <is>
          <t>ОБЩЕСТВО С ОГРАНИЧЕННОЙ ОТВЕТСТВЕННОСТЬЮ "ТРАНССЕРВИС"</t>
        </is>
      </c>
      <c r="C8453" s="13" t="n">
        <v>3801076889</v>
      </c>
      <c r="D8453" s="13" t="inlineStr">
        <is>
          <t>3801076889</t>
        </is>
      </c>
      <c r="E8453" s="13" t="inlineStr">
        <is>
          <t>ЮЛ РФ</t>
        </is>
      </c>
      <c r="F8453" s="13" t="n"/>
      <c r="G8453" s="52" t="n">
        <v>9</v>
      </c>
      <c r="H8453" s="52" t="n">
        <v>2025</v>
      </c>
      <c r="I8453" s="14" t="n"/>
      <c r="J8453" s="14" t="n"/>
      <c r="K8453" s="53" t="inlineStr">
        <is>
          <t>Нет</t>
        </is>
      </c>
      <c r="L8453" s="53" t="inlineStr">
        <is>
          <t>Не определено</t>
        </is>
      </c>
      <c r="M8453" s="53" t="inlineStr">
        <is>
          <t>До 10</t>
        </is>
      </c>
      <c r="N8453" s="54" t="n">
        <v>3360</v>
      </c>
      <c r="O8453" s="55" t="inlineStr">
        <is>
          <t>1–15</t>
        </is>
      </c>
      <c r="P8453" s="16" t="inlineStr">
        <is>
          <t>ССЧР обогащена; ОКВЭД не найден/не загружен</t>
        </is>
      </c>
      <c r="Q8453" s="16" t="inlineStr">
        <is>
          <t>ФНС открытые данные ССЧР (ДатаСост 31.12.2025; набор 7707329152-sshr2019)</t>
        </is>
      </c>
      <c r="R8453" s="16">
        <f>HYPERLINK("https://checko.ru/search?query=3801001629","Чекко: проверить")</f>
        <v/>
      </c>
      <c r="S8453" t="n">
        <v>1</v>
      </c>
      <c r="T8453" s="35" t="inlineStr">
        <is>
          <t>4 — Не обогащён</t>
        </is>
      </c>
      <c r="U8453" s="35" t="inlineStr">
        <is>
          <t>Нет ОКВЭД/ССЧР</t>
        </is>
      </c>
      <c r="V8453" s="35" t="inlineStr">
        <is>
          <t>Не определено</t>
        </is>
      </c>
      <c r="W8453" s="35" t="inlineStr">
        <is>
          <t>Нет</t>
        </is>
      </c>
      <c r="X8453" s="35" t="inlineStr"/>
    </row>
    <row r="8454" ht="27.75" customHeight="1" s="24">
      <c r="A8454" s="13" t="n">
        <v>804959401</v>
      </c>
      <c r="B8454" s="13" t="inlineStr">
        <is>
          <t>ОБЩЕСТВО С ОГРАНИЧЕННОЙ ОТВЕТСТВЕННОСТЬЮ "ЭКО-ЛЕС"</t>
        </is>
      </c>
      <c r="C8454" s="13" t="n">
        <v>3808293466</v>
      </c>
      <c r="D8454" s="13" t="inlineStr">
        <is>
          <t>3808293466</t>
        </is>
      </c>
      <c r="E8454" s="13" t="inlineStr">
        <is>
          <t>ЮЛ РФ</t>
        </is>
      </c>
      <c r="F8454" s="13" t="n"/>
      <c r="G8454" s="52" t="n">
        <v>2</v>
      </c>
      <c r="H8454" s="52" t="n">
        <v>2025</v>
      </c>
      <c r="I8454" s="14" t="n"/>
      <c r="J8454" s="14" t="n"/>
      <c r="K8454" s="53" t="inlineStr">
        <is>
          <t>Нет</t>
        </is>
      </c>
      <c r="L8454" s="53" t="inlineStr">
        <is>
          <t>Не определено</t>
        </is>
      </c>
      <c r="M8454" s="53" t="inlineStr">
        <is>
          <t>До 10</t>
        </is>
      </c>
      <c r="N8454" s="54" t="n">
        <v>3360</v>
      </c>
      <c r="O8454" s="55" t="inlineStr">
        <is>
          <t>1–15</t>
        </is>
      </c>
      <c r="P8454" s="16" t="inlineStr">
        <is>
          <t>ССЧР обогащена; ОКВЭД не найден/не загружен</t>
        </is>
      </c>
      <c r="Q8454" s="16" t="inlineStr">
        <is>
          <t>ФНС открытые данные ССЧР (ДатаСост 31.12.2025; набор 7707329152-sshr2019)</t>
        </is>
      </c>
      <c r="R8454" s="16">
        <f>HYPERLINK("https://checko.ru/search?query=3801001629","Чекко: проверить")</f>
        <v/>
      </c>
      <c r="S8454" t="n">
        <v>1</v>
      </c>
      <c r="T8454" s="35" t="inlineStr">
        <is>
          <t>4 — Не обогащён</t>
        </is>
      </c>
      <c r="U8454" s="35" t="inlineStr">
        <is>
          <t>Нет ОКВЭД/ССЧР</t>
        </is>
      </c>
      <c r="V8454" s="35" t="inlineStr">
        <is>
          <t>Не определено</t>
        </is>
      </c>
      <c r="W8454" s="35" t="inlineStr">
        <is>
          <t>Нет</t>
        </is>
      </c>
      <c r="X8454" s="35" t="inlineStr"/>
    </row>
    <row r="8455" ht="15" customHeight="1" s="24">
      <c r="A8455" s="13" t="n">
        <v>805167339</v>
      </c>
      <c r="B8455" s="13" t="inlineStr">
        <is>
          <t>1С:БО Форус</t>
        </is>
      </c>
      <c r="C8455" s="13" t="n">
        <v>3811168176</v>
      </c>
      <c r="D8455" s="13" t="inlineStr">
        <is>
          <t>3811168176</t>
        </is>
      </c>
      <c r="E8455" s="13" t="inlineStr">
        <is>
          <t>ЮЛ РФ</t>
        </is>
      </c>
      <c r="F8455" s="13" t="n"/>
      <c r="G8455" s="52" t="n">
        <v>77</v>
      </c>
      <c r="H8455" s="52" t="n">
        <v>2025</v>
      </c>
      <c r="I8455" s="52" t="inlineStr">
        <is>
          <t>69.20.2</t>
        </is>
      </c>
      <c r="J8455" s="52" t="inlineStr">
        <is>
          <t>69.20.2; 18.12; 18.13; 22.19; 46.51; 62.02; 63.11; 63.11.1; 68.20; 69.10; 69.20; 69.20.1; 70.22; 73.11; 82.99; 85.42.9</t>
        </is>
      </c>
      <c r="K8455" s="53" t="inlineStr">
        <is>
          <t>Да</t>
        </is>
      </c>
      <c r="L8455" s="53" t="inlineStr">
        <is>
          <t>Да</t>
        </is>
      </c>
      <c r="M8455" s="53" t="inlineStr">
        <is>
          <t>До 100</t>
        </is>
      </c>
      <c r="N8455" s="54" t="n">
        <v>33600</v>
      </c>
      <c r="O8455" s="55" t="inlineStr">
        <is>
          <t>51–100</t>
        </is>
      </c>
      <c r="P8455" s="16" t="inlineStr">
        <is>
          <t>ССЧР + ОКВЭД обогащены</t>
        </is>
      </c>
      <c r="Q8455" s="16" t="inlineStr">
        <is>
          <t>ФНС открытые данные ССЧР (ДатаСост 31.12.2025; набор 7707329152-sshr2019)</t>
        </is>
      </c>
      <c r="R8455" s="16" t="inlineStr">
        <is>
          <t>ЕГРЮЛ / egrul.nalog.ru (выписка)</t>
        </is>
      </c>
      <c r="S8455" t="n">
        <v>0</v>
      </c>
      <c r="T8455" s="35" t="inlineStr">
        <is>
          <t>1 — Горячий</t>
        </is>
      </c>
      <c r="U8455" s="35" t="inlineStr">
        <is>
          <t>ОКВЭД + 22+</t>
        </is>
      </c>
      <c r="V8455" s="35" t="inlineStr">
        <is>
          <t>Да</t>
        </is>
      </c>
      <c r="W8455" s="35" t="inlineStr">
        <is>
          <t>Да</t>
        </is>
      </c>
      <c r="X8455" s="35" t="inlineStr">
        <is>
          <t>Да</t>
        </is>
      </c>
    </row>
    <row r="8456" ht="15" customHeight="1" s="24">
      <c r="A8456" s="13" t="n">
        <v>804960894</v>
      </c>
      <c r="B8456" s="13" t="inlineStr">
        <is>
          <t>ООО "АРТСТРОЙ"</t>
        </is>
      </c>
      <c r="C8456" s="13" t="n">
        <v>3827054390</v>
      </c>
      <c r="D8456" s="13" t="inlineStr">
        <is>
          <t>3827054390</t>
        </is>
      </c>
      <c r="E8456" s="13" t="inlineStr">
        <is>
          <t>ЮЛ РФ</t>
        </is>
      </c>
      <c r="F8456" s="13" t="n"/>
      <c r="G8456" s="52" t="n">
        <v>11</v>
      </c>
      <c r="H8456" s="52" t="n">
        <v>2025</v>
      </c>
      <c r="I8456" s="14" t="n"/>
      <c r="J8456" s="14" t="n"/>
      <c r="K8456" s="53" t="inlineStr">
        <is>
          <t>Нет</t>
        </is>
      </c>
      <c r="L8456" s="53" t="inlineStr">
        <is>
          <t>Не определено</t>
        </is>
      </c>
      <c r="M8456" s="53" t="inlineStr">
        <is>
          <t>До 25</t>
        </is>
      </c>
      <c r="N8456" s="54" t="n">
        <v>8400</v>
      </c>
      <c r="O8456" s="55" t="inlineStr">
        <is>
          <t>1–15</t>
        </is>
      </c>
      <c r="P8456" s="16" t="inlineStr">
        <is>
          <t>ССЧР обогащена; ОКВЭД не найден/не загружен</t>
        </is>
      </c>
      <c r="Q8456" s="16" t="inlineStr">
        <is>
          <t>ФНС открытые данные ССЧР (ДатаСост 31.12.2025; набор 7707329152-sshr2019)</t>
        </is>
      </c>
      <c r="R8456" s="16">
        <f>HYPERLINK("https://checko.ru/search?query=3801001629","Чекко: проверить")</f>
        <v/>
      </c>
      <c r="S8456" t="n">
        <v>1</v>
      </c>
      <c r="T8456" s="35" t="inlineStr">
        <is>
          <t>4 — Не обогащён</t>
        </is>
      </c>
      <c r="U8456" s="35" t="inlineStr">
        <is>
          <t>Нет ОКВЭД/ССЧР</t>
        </is>
      </c>
      <c r="V8456" s="35" t="inlineStr">
        <is>
          <t>Не определено</t>
        </is>
      </c>
      <c r="W8456" s="35" t="inlineStr">
        <is>
          <t>Нет</t>
        </is>
      </c>
      <c r="X8456" s="35" t="inlineStr"/>
    </row>
    <row r="8457" ht="27.75" customHeight="1" s="24">
      <c r="A8457" s="13" t="n">
        <v>805041148</v>
      </c>
      <c r="B8457" s="13" t="inlineStr">
        <is>
          <t>ОБЩЕСТВО С ОГРАНИЧЕННОЙ ОТВЕТСТВЕННОСТЬЮ "СНЕКС УК"</t>
        </is>
      </c>
      <c r="C8457" s="13" t="n">
        <v>2502081938</v>
      </c>
      <c r="D8457" s="13" t="inlineStr">
        <is>
          <t>2502081938</t>
        </is>
      </c>
      <c r="E8457" s="13" t="inlineStr">
        <is>
          <t>ЮЛ РФ</t>
        </is>
      </c>
      <c r="F8457" s="13" t="n"/>
      <c r="G8457" s="52" t="n">
        <v>0</v>
      </c>
      <c r="H8457" s="52" t="n">
        <v>2025</v>
      </c>
      <c r="I8457" s="14" t="n"/>
      <c r="J8457" s="14" t="n"/>
      <c r="K8457" s="53" t="inlineStr">
        <is>
          <t>Нет</t>
        </is>
      </c>
      <c r="L8457" s="53" t="inlineStr">
        <is>
          <t>Не определено</t>
        </is>
      </c>
      <c r="M8457" s="53" t="inlineStr">
        <is>
          <t>До 10</t>
        </is>
      </c>
      <c r="N8457" s="54" t="n">
        <v>3360</v>
      </c>
      <c r="O8457" s="55" t="inlineStr">
        <is>
          <t>1–15</t>
        </is>
      </c>
      <c r="P8457" s="16" t="inlineStr">
        <is>
          <t>ССЧР обогащена; ОКВЭД не найден/не загружен</t>
        </is>
      </c>
      <c r="Q8457" s="16" t="inlineStr">
        <is>
          <t>ФНС открытые данные ССЧР (ДатаСост 31.12.2025; набор 7707329152-sshr2019)</t>
        </is>
      </c>
      <c r="R8457" s="16">
        <f>HYPERLINK("https://checko.ru/search?query=3801001629","Чекко: проверить")</f>
        <v/>
      </c>
      <c r="S8457" t="n">
        <v>1</v>
      </c>
      <c r="T8457" s="35" t="inlineStr">
        <is>
          <t>4 — Не обогащён</t>
        </is>
      </c>
      <c r="U8457" s="35" t="inlineStr">
        <is>
          <t>Нет ОКВЭД/ССЧР</t>
        </is>
      </c>
      <c r="V8457" s="35" t="inlineStr">
        <is>
          <t>Не определено</t>
        </is>
      </c>
      <c r="W8457" s="35" t="inlineStr">
        <is>
          <t>Нет</t>
        </is>
      </c>
      <c r="X8457" s="35" t="inlineStr"/>
    </row>
    <row r="8458" ht="15" customHeight="1" s="24">
      <c r="A8458" s="13" t="n">
        <v>800131916</v>
      </c>
      <c r="B8458" s="13" t="inlineStr">
        <is>
          <t>КОМИТЕТ ПО УПРАВЛЕНИЮ П. ЮРТЫ</t>
        </is>
      </c>
      <c r="C8458" s="13" t="n">
        <v>3816038396</v>
      </c>
      <c r="D8458" s="13" t="inlineStr">
        <is>
          <t>3816038396</t>
        </is>
      </c>
      <c r="E8458" s="13" t="inlineStr">
        <is>
          <t>ЮЛ РФ</t>
        </is>
      </c>
      <c r="F8458" s="13" t="n"/>
      <c r="G8458" s="14" t="n"/>
      <c r="H8458" s="14" t="n"/>
      <c r="I8458" s="14" t="n"/>
      <c r="J8458" s="14" t="n"/>
      <c r="K8458" s="53" t="inlineStr"/>
      <c r="L8458" s="53" t="inlineStr">
        <is>
          <t>Не определено</t>
        </is>
      </c>
      <c r="M8458" s="53" t="inlineStr"/>
      <c r="N8458" s="54" t="inlineStr"/>
      <c r="O8458" s="55" t="inlineStr"/>
      <c r="P8458" s="16" t="inlineStr">
        <is>
          <t>Требует обогащения</t>
        </is>
      </c>
      <c r="Q8458" s="16">
        <f>HYPERLINK("https://pb.nalog.ru/search.html?query=3816038396","ФНС: проверить")</f>
        <v/>
      </c>
      <c r="R8458" s="16">
        <f>HYPERLINK("https://checko.ru/search?query=3801001629","Чекко: проверить")</f>
        <v/>
      </c>
      <c r="S8458" t="n">
        <v>1</v>
      </c>
      <c r="T8458" s="35" t="inlineStr">
        <is>
          <t>4 — Не обогащён</t>
        </is>
      </c>
      <c r="U8458" s="35" t="inlineStr">
        <is>
          <t>Нет ОКВЭД/ССЧР</t>
        </is>
      </c>
      <c r="V8458" s="35" t="inlineStr">
        <is>
          <t>Не определено</t>
        </is>
      </c>
      <c r="W8458" s="35" t="inlineStr"/>
      <c r="X8458" s="35" t="inlineStr"/>
    </row>
    <row r="8459" ht="41.25" customHeight="1" s="24">
      <c r="A8459" s="13" t="n">
        <v>17847067</v>
      </c>
      <c r="B8459" s="13" t="inlineStr">
        <is>
          <t>Частное учреждение Профессионального Образования Иркутский Гуманитарно-Технический Колледж (г. Усть-Кут)</t>
        </is>
      </c>
      <c r="C8459" s="13" t="n">
        <v>3811181875</v>
      </c>
      <c r="D8459" s="13" t="inlineStr">
        <is>
          <t>3811181875</t>
        </is>
      </c>
      <c r="E8459" s="13" t="inlineStr">
        <is>
          <t>ЮЛ РФ</t>
        </is>
      </c>
      <c r="F8459" s="13" t="n"/>
      <c r="G8459" s="14" t="n"/>
      <c r="H8459" s="14" t="n"/>
      <c r="I8459" s="14" t="n"/>
      <c r="J8459" s="14" t="n"/>
      <c r="K8459" s="53" t="inlineStr"/>
      <c r="L8459" s="53" t="inlineStr">
        <is>
          <t>Не определено</t>
        </is>
      </c>
      <c r="M8459" s="53" t="inlineStr"/>
      <c r="N8459" s="54" t="inlineStr"/>
      <c r="O8459" s="55" t="inlineStr"/>
      <c r="P8459" s="16" t="inlineStr">
        <is>
          <t>Требует обогащения</t>
        </is>
      </c>
      <c r="Q8459" s="16">
        <f>HYPERLINK("https://pb.nalog.ru/search.html?query=3811181875","ФНС: проверить")</f>
        <v/>
      </c>
      <c r="R8459" s="16">
        <f>HYPERLINK("https://checko.ru/search?query=3801001629","Чекко: проверить")</f>
        <v/>
      </c>
      <c r="S8459" t="n">
        <v>1</v>
      </c>
      <c r="T8459" s="35" t="inlineStr">
        <is>
          <t>4 — Не обогащён</t>
        </is>
      </c>
      <c r="U8459" s="35" t="inlineStr">
        <is>
          <t>Нет ОКВЭД/ССЧР</t>
        </is>
      </c>
      <c r="V8459" s="35" t="inlineStr">
        <is>
          <t>Не определено</t>
        </is>
      </c>
      <c r="W8459" s="35" t="inlineStr"/>
      <c r="X8459" s="35" t="inlineStr"/>
    </row>
    <row r="8460" ht="15" customHeight="1" s="24">
      <c r="A8460" s="13" t="inlineStr">
        <is>
          <t>FR1278701</t>
        </is>
      </c>
      <c r="B8460" s="13" t="inlineStr">
        <is>
          <t>ИП Токарева Ева Фёдоровна</t>
        </is>
      </c>
      <c r="C8460" s="13" t="n">
        <v>381506157511</v>
      </c>
      <c r="D8460" s="13" t="inlineStr">
        <is>
          <t>381506157511</t>
        </is>
      </c>
      <c r="E8460" s="13" t="inlineStr">
        <is>
          <t>ИП РФ / физлицо</t>
        </is>
      </c>
      <c r="F8460" s="13" t="n"/>
      <c r="G8460" s="14" t="n"/>
      <c r="H8460" s="14" t="n"/>
      <c r="I8460" s="14" t="n"/>
      <c r="J8460" s="14" t="n"/>
      <c r="K8460" s="53" t="inlineStr"/>
      <c r="L8460" s="53" t="inlineStr">
        <is>
          <t>Не определено</t>
        </is>
      </c>
      <c r="M8460" s="53" t="inlineStr"/>
      <c r="N8460" s="54" t="inlineStr"/>
      <c r="O8460" s="55" t="inlineStr"/>
      <c r="P8460" s="16" t="inlineStr">
        <is>
          <t>Требует обогащения</t>
        </is>
      </c>
      <c r="Q8460" s="16">
        <f>HYPERLINK("https://pb.nalog.ru/search.html?query=381506157511","ФНС: проверить")</f>
        <v/>
      </c>
      <c r="R8460" s="16">
        <f>HYPERLINK("https://checko.ru/search?query=3801001629","Чекко: проверить")</f>
        <v/>
      </c>
      <c r="S8460" t="n">
        <v>1</v>
      </c>
      <c r="T8460" s="35" t="inlineStr">
        <is>
          <t>4 — Не обогащён</t>
        </is>
      </c>
      <c r="U8460" s="35" t="inlineStr">
        <is>
          <t>Нет ОКВЭД/ССЧР</t>
        </is>
      </c>
      <c r="V8460" s="35" t="inlineStr">
        <is>
          <t>Не определено</t>
        </is>
      </c>
      <c r="W8460" s="35" t="inlineStr"/>
      <c r="X8460" s="35" t="inlineStr"/>
    </row>
    <row r="8461" ht="27.75" customHeight="1" s="24">
      <c r="A8461" s="13" t="inlineStr">
        <is>
          <t>FR740663</t>
        </is>
      </c>
      <c r="B8461" s="13" t="inlineStr">
        <is>
          <t>Общество с ограниченной ответственностью "АЛЗ-ИНЖИНИРИНГ"</t>
        </is>
      </c>
      <c r="C8461" s="13" t="n">
        <v>3849067508</v>
      </c>
      <c r="D8461" s="13" t="inlineStr">
        <is>
          <t>3849067508</t>
        </is>
      </c>
      <c r="E8461" s="13" t="inlineStr">
        <is>
          <t>ЮЛ РФ</t>
        </is>
      </c>
      <c r="F8461" s="13" t="n"/>
      <c r="G8461" s="52" t="n">
        <v>6</v>
      </c>
      <c r="H8461" s="52" t="n">
        <v>2025</v>
      </c>
      <c r="I8461" s="14" t="n"/>
      <c r="J8461" s="14" t="n"/>
      <c r="K8461" s="53" t="inlineStr">
        <is>
          <t>Нет</t>
        </is>
      </c>
      <c r="L8461" s="53" t="inlineStr">
        <is>
          <t>Не определено</t>
        </is>
      </c>
      <c r="M8461" s="53" t="inlineStr">
        <is>
          <t>До 10</t>
        </is>
      </c>
      <c r="N8461" s="54" t="n">
        <v>3360</v>
      </c>
      <c r="O8461" s="55" t="inlineStr">
        <is>
          <t>1–15</t>
        </is>
      </c>
      <c r="P8461" s="16" t="inlineStr">
        <is>
          <t>ССЧР обогащена; ОКВЭД не найден/не загружен</t>
        </is>
      </c>
      <c r="Q8461" s="16" t="inlineStr">
        <is>
          <t>ФНС открытые данные ССЧР (ДатаСост 31.12.2025; набор 7707329152-sshr2019)</t>
        </is>
      </c>
      <c r="R8461" s="16">
        <f>HYPERLINK("https://checko.ru/search?query=3801001629","Чекко: проверить")</f>
        <v/>
      </c>
      <c r="S8461" t="n">
        <v>1</v>
      </c>
      <c r="T8461" s="35" t="inlineStr">
        <is>
          <t>4 — Не обогащён</t>
        </is>
      </c>
      <c r="U8461" s="35" t="inlineStr">
        <is>
          <t>Нет ОКВЭД/ССЧР</t>
        </is>
      </c>
      <c r="V8461" s="35" t="inlineStr">
        <is>
          <t>Не определено</t>
        </is>
      </c>
      <c r="W8461" s="35" t="inlineStr">
        <is>
          <t>Нет</t>
        </is>
      </c>
      <c r="X8461" s="35" t="inlineStr"/>
    </row>
    <row r="8462" ht="27.75" customHeight="1" s="24">
      <c r="A8462" s="13" t="inlineStr">
        <is>
          <t>FR653614</t>
        </is>
      </c>
      <c r="B8462" s="13" t="inlineStr">
        <is>
          <t>Общество с ограниченной ответственностью "ЦЕНТР МЕБЕЛЬ"</t>
        </is>
      </c>
      <c r="C8462" s="13" t="n">
        <v>9108127249</v>
      </c>
      <c r="D8462" s="13" t="inlineStr">
        <is>
          <t>9108127249</t>
        </is>
      </c>
      <c r="E8462" s="13" t="inlineStr">
        <is>
          <t>ЮЛ РФ</t>
        </is>
      </c>
      <c r="F8462" s="13" t="n"/>
      <c r="G8462" s="52" t="n">
        <v>0</v>
      </c>
      <c r="H8462" s="52" t="n">
        <v>2025</v>
      </c>
      <c r="I8462" s="14" t="n"/>
      <c r="J8462" s="14" t="n"/>
      <c r="K8462" s="53" t="inlineStr">
        <is>
          <t>Нет</t>
        </is>
      </c>
      <c r="L8462" s="53" t="inlineStr">
        <is>
          <t>Не определено</t>
        </is>
      </c>
      <c r="M8462" s="53" t="inlineStr">
        <is>
          <t>До 10</t>
        </is>
      </c>
      <c r="N8462" s="54" t="n">
        <v>3360</v>
      </c>
      <c r="O8462" s="55" t="inlineStr">
        <is>
          <t>1–15</t>
        </is>
      </c>
      <c r="P8462" s="16" t="inlineStr">
        <is>
          <t>ССЧР обогащена; ОКВЭД не найден/не загружен</t>
        </is>
      </c>
      <c r="Q8462" s="16" t="inlineStr">
        <is>
          <t>ФНС открытые данные ССЧР (ДатаСост 31.12.2025; набор 7707329152-sshr2019)</t>
        </is>
      </c>
      <c r="R8462" s="16">
        <f>HYPERLINK("https://checko.ru/search?query=3801001629","Чекко: проверить")</f>
        <v/>
      </c>
      <c r="S8462" t="n">
        <v>1</v>
      </c>
      <c r="T8462" s="35" t="inlineStr">
        <is>
          <t>4 — Не обогащён</t>
        </is>
      </c>
      <c r="U8462" s="35" t="inlineStr">
        <is>
          <t>Нет ОКВЭД/ССЧР</t>
        </is>
      </c>
      <c r="V8462" s="35" t="inlineStr">
        <is>
          <t>Не определено</t>
        </is>
      </c>
      <c r="W8462" s="35" t="inlineStr">
        <is>
          <t>Нет</t>
        </is>
      </c>
      <c r="X8462" s="35" t="inlineStr"/>
    </row>
    <row r="8463" ht="27.75" customHeight="1" s="24">
      <c r="A8463" s="13" t="inlineStr">
        <is>
          <t>FR964101</t>
        </is>
      </c>
      <c r="B8463" s="13" t="inlineStr">
        <is>
          <t>Общество с ограниченной ответственностью "БАЙКАЛ-ПРОЕКТ"</t>
        </is>
      </c>
      <c r="C8463" s="13" t="n">
        <v>3808278531</v>
      </c>
      <c r="D8463" s="13" t="inlineStr">
        <is>
          <t>3808278531</t>
        </is>
      </c>
      <c r="E8463" s="13" t="inlineStr">
        <is>
          <t>ЮЛ РФ</t>
        </is>
      </c>
      <c r="F8463" s="13" t="n"/>
      <c r="G8463" s="52" t="n">
        <v>1</v>
      </c>
      <c r="H8463" s="52" t="n">
        <v>2025</v>
      </c>
      <c r="I8463" s="14" t="n"/>
      <c r="J8463" s="14" t="n"/>
      <c r="K8463" s="53" t="inlineStr">
        <is>
          <t>Нет</t>
        </is>
      </c>
      <c r="L8463" s="53" t="inlineStr">
        <is>
          <t>Не определено</t>
        </is>
      </c>
      <c r="M8463" s="53" t="inlineStr">
        <is>
          <t>До 10</t>
        </is>
      </c>
      <c r="N8463" s="54" t="n">
        <v>3360</v>
      </c>
      <c r="O8463" s="55" t="inlineStr">
        <is>
          <t>1–15</t>
        </is>
      </c>
      <c r="P8463" s="16" t="inlineStr">
        <is>
          <t>ССЧР обогащена; ОКВЭД не найден/не загружен</t>
        </is>
      </c>
      <c r="Q8463" s="16" t="inlineStr">
        <is>
          <t>ФНС открытые данные ССЧР (ДатаСост 31.12.2025; набор 7707329152-sshr2019)</t>
        </is>
      </c>
      <c r="R8463" s="16">
        <f>HYPERLINK("https://checko.ru/search?query=3801001629","Чекко: проверить")</f>
        <v/>
      </c>
      <c r="S8463" t="n">
        <v>1</v>
      </c>
      <c r="T8463" s="35" t="inlineStr">
        <is>
          <t>4 — Не обогащён</t>
        </is>
      </c>
      <c r="U8463" s="35" t="inlineStr">
        <is>
          <t>Нет ОКВЭД/ССЧР</t>
        </is>
      </c>
      <c r="V8463" s="35" t="inlineStr">
        <is>
          <t>Не определено</t>
        </is>
      </c>
      <c r="W8463" s="35" t="inlineStr">
        <is>
          <t>Нет</t>
        </is>
      </c>
      <c r="X8463" s="35" t="inlineStr"/>
    </row>
    <row r="8464" ht="27.75" customHeight="1" s="24">
      <c r="A8464" s="13" t="inlineStr">
        <is>
          <t>FR1315325</t>
        </is>
      </c>
      <c r="B8464" s="13" t="inlineStr">
        <is>
          <t>Общество с ограниченной ответственностью "ПАРАЛЛЕЛЬ ГРУПП"</t>
        </is>
      </c>
      <c r="C8464" s="13" t="n">
        <v>5406711004</v>
      </c>
      <c r="D8464" s="13" t="inlineStr">
        <is>
          <t>5406711004</t>
        </is>
      </c>
      <c r="E8464" s="13" t="inlineStr">
        <is>
          <t>ЮЛ РФ</t>
        </is>
      </c>
      <c r="F8464" s="13" t="n"/>
      <c r="G8464" s="52" t="n">
        <v>2</v>
      </c>
      <c r="H8464" s="52" t="n">
        <v>2025</v>
      </c>
      <c r="I8464" s="14" t="n"/>
      <c r="J8464" s="14" t="n"/>
      <c r="K8464" s="53" t="inlineStr">
        <is>
          <t>Нет</t>
        </is>
      </c>
      <c r="L8464" s="53" t="inlineStr">
        <is>
          <t>Не определено</t>
        </is>
      </c>
      <c r="M8464" s="53" t="inlineStr">
        <is>
          <t>До 10</t>
        </is>
      </c>
      <c r="N8464" s="54" t="n">
        <v>3360</v>
      </c>
      <c r="O8464" s="55" t="inlineStr">
        <is>
          <t>1–15</t>
        </is>
      </c>
      <c r="P8464" s="16" t="inlineStr">
        <is>
          <t>ССЧР обогащена; ОКВЭД не найден/не загружен</t>
        </is>
      </c>
      <c r="Q8464" s="16" t="inlineStr">
        <is>
          <t>ФНС открытые данные ССЧР (ДатаСост 31.12.2025; набор 7707329152-sshr2019)</t>
        </is>
      </c>
      <c r="R8464" s="16">
        <f>HYPERLINK("https://checko.ru/search?query=3801001629","Чекко: проверить")</f>
        <v/>
      </c>
      <c r="S8464" t="n">
        <v>1</v>
      </c>
      <c r="T8464" s="35" t="inlineStr">
        <is>
          <t>4 — Не обогащён</t>
        </is>
      </c>
      <c r="U8464" s="35" t="inlineStr">
        <is>
          <t>Нет ОКВЭД/ССЧР</t>
        </is>
      </c>
      <c r="V8464" s="35" t="inlineStr">
        <is>
          <t>Не определено</t>
        </is>
      </c>
      <c r="W8464" s="35" t="inlineStr">
        <is>
          <t>Нет</t>
        </is>
      </c>
      <c r="X8464" s="35" t="inlineStr"/>
    </row>
    <row r="8465" ht="27.75" customHeight="1" s="24">
      <c r="A8465" s="13" t="inlineStr">
        <is>
          <t>FR378197</t>
        </is>
      </c>
      <c r="B8465" s="13" t="inlineStr">
        <is>
          <t>ОБЩЕСТВО С ОГРАНИЧЕННОЙ ОТВЕТСТВЕННОСТЬЮ "РАЗУМНЫЕ РЕШЕНИЯ"</t>
        </is>
      </c>
      <c r="C8465" s="13" t="n">
        <v>1655412222</v>
      </c>
      <c r="D8465" s="13" t="inlineStr">
        <is>
          <t>1655412222</t>
        </is>
      </c>
      <c r="E8465" s="13" t="inlineStr">
        <is>
          <t>ЮЛ РФ</t>
        </is>
      </c>
      <c r="F8465" s="13" t="n"/>
      <c r="G8465" s="52" t="n">
        <v>72</v>
      </c>
      <c r="H8465" s="52" t="n">
        <v>2025</v>
      </c>
      <c r="I8465" s="52" t="inlineStr">
        <is>
          <t>33.13</t>
        </is>
      </c>
      <c r="J8465" s="52" t="inlineStr">
        <is>
          <t>33.13; 26.20; 26.30; 26.40; 28.23; 33.14; 33.20; 43.21; 46.14; 46.15; 46.18; 46.19; 46.43; 46.51; 46.52; 46.69; 46.90; 61.10; 62.01; 62.02.1; 62.02.2; 62.02.3; 62.02.9; 62.03; 62.03.11; 62.03.12; 62.03.13; 62.03.19; 62.09; 63.11; 63.11.1; 63.99.1; 63.99.11; 70.22; 73.11; 74.90; 82.99; 95.11</t>
        </is>
      </c>
      <c r="K8465" s="53" t="inlineStr">
        <is>
          <t>Да</t>
        </is>
      </c>
      <c r="L8465" s="53" t="inlineStr">
        <is>
          <t>Да</t>
        </is>
      </c>
      <c r="M8465" s="53" t="inlineStr">
        <is>
          <t>До 100</t>
        </is>
      </c>
      <c r="N8465" s="54" t="n">
        <v>33600</v>
      </c>
      <c r="O8465" s="55" t="inlineStr">
        <is>
          <t>51–100</t>
        </is>
      </c>
      <c r="P8465" s="16" t="inlineStr">
        <is>
          <t>ССЧР + ОКВЭД обогащены</t>
        </is>
      </c>
      <c r="Q8465" s="16" t="inlineStr">
        <is>
          <t>ФНС открытые данные ССЧР (ДатаСост 31.12.2025; набор 7707329152-sshr2019)</t>
        </is>
      </c>
      <c r="R8465" s="16" t="inlineStr">
        <is>
          <t>ЕГРЮЛ / egrul.nalog.ru (выписка)</t>
        </is>
      </c>
      <c r="S8465" t="n">
        <v>0</v>
      </c>
      <c r="T8465" s="35" t="inlineStr">
        <is>
          <t>1 — Горячий</t>
        </is>
      </c>
      <c r="U8465" s="35" t="inlineStr">
        <is>
          <t>ОКВЭД + 22+</t>
        </is>
      </c>
      <c r="V8465" s="35" t="inlineStr">
        <is>
          <t>Да</t>
        </is>
      </c>
      <c r="W8465" s="35" t="inlineStr">
        <is>
          <t>Да</t>
        </is>
      </c>
      <c r="X8465" s="35" t="inlineStr">
        <is>
          <t>Да</t>
        </is>
      </c>
    </row>
    <row r="8466" ht="15" customHeight="1" s="24">
      <c r="A8466" s="13" t="n">
        <v>9103660</v>
      </c>
      <c r="B8466" s="13" t="inlineStr">
        <is>
          <t>Типография ИРКУТ</t>
        </is>
      </c>
      <c r="C8466" s="13" t="n">
        <v>3810035293</v>
      </c>
      <c r="D8466" s="13" t="inlineStr">
        <is>
          <t>3810035293</t>
        </is>
      </c>
      <c r="E8466" s="13" t="inlineStr">
        <is>
          <t>ЮЛ РФ</t>
        </is>
      </c>
      <c r="F8466" s="13" t="n"/>
      <c r="G8466" s="52" t="n">
        <v>44</v>
      </c>
      <c r="H8466" s="52" t="n">
        <v>2025</v>
      </c>
      <c r="I8466" s="52" t="inlineStr">
        <is>
          <t>18.12.9</t>
        </is>
      </c>
      <c r="J8466" s="52" t="inlineStr">
        <is>
          <t>18.12.9; 17.23; 17.29; 18.11; 18.12; 18.13; 18.14; 18.20; 46.49.3; 47.61; 58.11.1; 58.13; 58.14; 58.19</t>
        </is>
      </c>
      <c r="K8466" s="53" t="inlineStr">
        <is>
          <t>Да</t>
        </is>
      </c>
      <c r="L8466" s="53" t="inlineStr">
        <is>
          <t>Да</t>
        </is>
      </c>
      <c r="M8466" s="53" t="inlineStr">
        <is>
          <t>До 50</t>
        </is>
      </c>
      <c r="N8466" s="54" t="n">
        <v>16800</v>
      </c>
      <c r="O8466" s="55" t="inlineStr">
        <is>
          <t>31–50</t>
        </is>
      </c>
      <c r="P8466" s="16" t="inlineStr">
        <is>
          <t>ССЧР + ОКВЭД обогащены</t>
        </is>
      </c>
      <c r="Q8466" s="16" t="inlineStr">
        <is>
          <t>ФНС открытые данные ССЧР (ДатаСост 31.12.2025; набор 7707329152-sshr2019)</t>
        </is>
      </c>
      <c r="R8466" s="16" t="inlineStr">
        <is>
          <t>ЕГРЮЛ / egrul.nalog.ru (выписка)</t>
        </is>
      </c>
      <c r="S8466" t="n">
        <v>0</v>
      </c>
      <c r="T8466" s="35" t="inlineStr">
        <is>
          <t>1 — Горячий</t>
        </is>
      </c>
      <c r="U8466" s="35" t="inlineStr">
        <is>
          <t>ОКВЭД + 22+</t>
        </is>
      </c>
      <c r="V8466" s="35" t="inlineStr">
        <is>
          <t>Да</t>
        </is>
      </c>
      <c r="W8466" s="35" t="inlineStr">
        <is>
          <t>Да</t>
        </is>
      </c>
      <c r="X8466" s="35" t="inlineStr">
        <is>
          <t>Да</t>
        </is>
      </c>
    </row>
    <row r="8467" ht="15" customHeight="1" s="24">
      <c r="A8467" s="13" t="n">
        <v>802507164</v>
      </c>
      <c r="B8467" s="13" t="inlineStr">
        <is>
          <t>ООО "АЙХАЛ"</t>
        </is>
      </c>
      <c r="C8467" s="13" t="n">
        <v>3827024814</v>
      </c>
      <c r="D8467" s="13" t="inlineStr">
        <is>
          <t>3827024814</t>
        </is>
      </c>
      <c r="E8467" s="13" t="inlineStr">
        <is>
          <t>ЮЛ РФ</t>
        </is>
      </c>
      <c r="F8467" s="13" t="n"/>
      <c r="G8467" s="52" t="n">
        <v>64</v>
      </c>
      <c r="H8467" s="52" t="n">
        <v>2025</v>
      </c>
      <c r="I8467" s="52" t="inlineStr">
        <is>
          <t>15.20</t>
        </is>
      </c>
      <c r="J8467" s="52" t="inlineStr">
        <is>
          <t>15.20</t>
        </is>
      </c>
      <c r="K8467" s="53" t="inlineStr">
        <is>
          <t>Да</t>
        </is>
      </c>
      <c r="L8467" s="53" t="inlineStr">
        <is>
          <t>Да</t>
        </is>
      </c>
      <c r="M8467" s="53" t="inlineStr">
        <is>
          <t>До 100</t>
        </is>
      </c>
      <c r="N8467" s="54" t="n">
        <v>33600</v>
      </c>
      <c r="O8467" s="55" t="inlineStr">
        <is>
          <t>51–100</t>
        </is>
      </c>
      <c r="P8467" s="16" t="inlineStr">
        <is>
          <t>ССЧР + ОКВЭД обогащены</t>
        </is>
      </c>
      <c r="Q8467" s="16" t="inlineStr">
        <is>
          <t>ФНС открытые данные ССЧР (ДатаСост 31.12.2025; набор 7707329152-sshr2019)</t>
        </is>
      </c>
      <c r="R8467" s="16" t="inlineStr">
        <is>
          <t>ЕГРЮЛ / egrul.nalog.ru (выписка)</t>
        </is>
      </c>
      <c r="S8467" t="n">
        <v>0</v>
      </c>
      <c r="T8467" s="35" t="inlineStr">
        <is>
          <t>1 — Горячий</t>
        </is>
      </c>
      <c r="U8467" s="35" t="inlineStr">
        <is>
          <t>ОКВЭД + 22+</t>
        </is>
      </c>
      <c r="V8467" s="35" t="inlineStr">
        <is>
          <t>Да</t>
        </is>
      </c>
      <c r="W8467" s="35" t="inlineStr">
        <is>
          <t>Да</t>
        </is>
      </c>
      <c r="X8467" s="35" t="inlineStr">
        <is>
          <t>Да</t>
        </is>
      </c>
    </row>
    <row r="8468" ht="15" customHeight="1" s="24">
      <c r="A8468" s="13" t="n">
        <v>9818175</v>
      </c>
      <c r="B8468" s="13" t="inlineStr">
        <is>
          <t>ООО "ВСТК"</t>
        </is>
      </c>
      <c r="C8468" s="13" t="n">
        <v>3810313286</v>
      </c>
      <c r="D8468" s="13" t="inlineStr">
        <is>
          <t>3810313286</t>
        </is>
      </c>
      <c r="E8468" s="13" t="inlineStr">
        <is>
          <t>ЮЛ РФ</t>
        </is>
      </c>
      <c r="F8468" s="13" t="n"/>
      <c r="G8468" s="52" t="n">
        <v>40</v>
      </c>
      <c r="H8468" s="52" t="n">
        <v>2025</v>
      </c>
      <c r="I8468" s="52" t="inlineStr">
        <is>
          <t>52.29</t>
        </is>
      </c>
      <c r="J8468" s="52" t="inlineStr">
        <is>
          <t>52.29; 49.41.1; 42.11; 43.12.3; 46.64; 46.69.2; 49.10; 49.20; 49.41; 52.10; 52.24; 52.24.2</t>
        </is>
      </c>
      <c r="K8468" s="53" t="inlineStr">
        <is>
          <t>Да</t>
        </is>
      </c>
      <c r="L8468" s="53" t="inlineStr">
        <is>
          <t>Да</t>
        </is>
      </c>
      <c r="M8468" s="53" t="inlineStr">
        <is>
          <t>До 50</t>
        </is>
      </c>
      <c r="N8468" s="54" t="n">
        <v>16800</v>
      </c>
      <c r="O8468" s="55" t="inlineStr">
        <is>
          <t>31–50</t>
        </is>
      </c>
      <c r="P8468" s="16" t="inlineStr">
        <is>
          <t>ССЧР + ОКВЭД обогащены</t>
        </is>
      </c>
      <c r="Q8468" s="16" t="inlineStr">
        <is>
          <t>ФНС открытые данные ССЧР (ДатаСост 31.12.2025; набор 7707329152-sshr2019)</t>
        </is>
      </c>
      <c r="R8468" s="16" t="inlineStr">
        <is>
          <t>ЕГРЮЛ / egrul.nalog.ru (выписка)</t>
        </is>
      </c>
      <c r="S8468" t="n">
        <v>0</v>
      </c>
      <c r="T8468" s="35" t="inlineStr">
        <is>
          <t>1 — Горячий</t>
        </is>
      </c>
      <c r="U8468" s="35" t="inlineStr">
        <is>
          <t>ОКВЭД + 22+</t>
        </is>
      </c>
      <c r="V8468" s="35" t="inlineStr">
        <is>
          <t>Да</t>
        </is>
      </c>
      <c r="W8468" s="35" t="inlineStr">
        <is>
          <t>Да</t>
        </is>
      </c>
      <c r="X8468" s="35" t="inlineStr">
        <is>
          <t>Да</t>
        </is>
      </c>
    </row>
    <row r="8469" ht="27.75" customHeight="1" s="24">
      <c r="A8469" s="13" t="n">
        <v>802456225</v>
      </c>
      <c r="B8469" s="13" t="inlineStr">
        <is>
          <t>ООО "Байкальский Горнолыжный Курорт "Гора Соболиная"</t>
        </is>
      </c>
      <c r="C8469" s="13" t="n">
        <v>3837002418</v>
      </c>
      <c r="D8469" s="13" t="inlineStr">
        <is>
          <t>3837002418</t>
        </is>
      </c>
      <c r="E8469" s="13" t="inlineStr">
        <is>
          <t>ЮЛ РФ</t>
        </is>
      </c>
      <c r="F8469" s="13" t="n"/>
      <c r="G8469" s="52" t="n">
        <v>213</v>
      </c>
      <c r="H8469" s="52" t="n">
        <v>2025</v>
      </c>
      <c r="I8469" s="52" t="inlineStr">
        <is>
          <t>55.10</t>
        </is>
      </c>
      <c r="J8469" s="52" t="inlineStr">
        <is>
          <t>55.10; 47.11; 56.10.1; 68.20.29; 73.11.9; 77.21; 86.90.9; 93.29.9; 96.04; 41.20; 42.91.5; 46.90; 47.64; 47.78.9; 49.39.2; 50.30; 56.10; 56.10.3; 56.30; 68.10; 68.20; 68.31.1; 68.31.2; 68.31.3; 68.31.4; 73.11; 77.11; 79.11; 86.90.4; 93.29; 95.29.2; 95.29.11; 96.01; 96.02</t>
        </is>
      </c>
      <c r="K8469" s="53" t="inlineStr">
        <is>
          <t>Да</t>
        </is>
      </c>
      <c r="L8469" s="53" t="inlineStr">
        <is>
          <t>Да</t>
        </is>
      </c>
      <c r="M8469" s="53" t="inlineStr">
        <is>
          <t>До 500</t>
        </is>
      </c>
      <c r="N8469" s="54" t="n">
        <v>144000</v>
      </c>
      <c r="O8469" s="55" t="inlineStr">
        <is>
          <t>201–500</t>
        </is>
      </c>
      <c r="P8469" s="16" t="inlineStr">
        <is>
          <t>ССЧР + ОКВЭД обогащены</t>
        </is>
      </c>
      <c r="Q8469" s="16" t="inlineStr">
        <is>
          <t>ФНС открытые данные ССЧР (ДатаСост 31.12.2025; набор 7707329152-sshr2019)</t>
        </is>
      </c>
      <c r="R8469" s="16" t="inlineStr">
        <is>
          <t>ЕГРЮЛ / egrul.nalog.ru (выписка)</t>
        </is>
      </c>
      <c r="S8469" t="n">
        <v>1</v>
      </c>
      <c r="T8469" s="35" t="inlineStr">
        <is>
          <t>1 — Горячий</t>
        </is>
      </c>
      <c r="U8469" s="35" t="inlineStr">
        <is>
          <t>ОКВЭД + 22+</t>
        </is>
      </c>
      <c r="V8469" s="35" t="inlineStr">
        <is>
          <t>Да</t>
        </is>
      </c>
      <c r="W8469" s="35" t="inlineStr">
        <is>
          <t>Да</t>
        </is>
      </c>
      <c r="X8469" s="35" t="inlineStr">
        <is>
          <t>Да</t>
        </is>
      </c>
    </row>
    <row r="8470" ht="27.75" customHeight="1" s="24">
      <c r="A8470" s="13" t="n">
        <v>800839999</v>
      </c>
      <c r="B8470" s="13" t="inlineStr">
        <is>
          <t>ОБЩЕСТВО С ОГРАНИЧЕННОЙ ОТВЕТСТВЕННОСТЬЮ "ВОСТОКСВЯЗЬ"</t>
        </is>
      </c>
      <c r="C8470" s="13" t="n">
        <v>3812534523</v>
      </c>
      <c r="D8470" s="13" t="inlineStr">
        <is>
          <t>3812534523</t>
        </is>
      </c>
      <c r="E8470" s="13" t="inlineStr">
        <is>
          <t>ЮЛ РФ</t>
        </is>
      </c>
      <c r="F8470" s="13" t="n"/>
      <c r="G8470" s="52" t="n">
        <v>10</v>
      </c>
      <c r="H8470" s="52" t="n">
        <v>2025</v>
      </c>
      <c r="I8470" s="14" t="n"/>
      <c r="J8470" s="14" t="n"/>
      <c r="K8470" s="53" t="inlineStr">
        <is>
          <t>Нет</t>
        </is>
      </c>
      <c r="L8470" s="53" t="inlineStr">
        <is>
          <t>Не определено</t>
        </is>
      </c>
      <c r="M8470" s="53" t="inlineStr">
        <is>
          <t>До 10</t>
        </is>
      </c>
      <c r="N8470" s="54" t="n">
        <v>3360</v>
      </c>
      <c r="O8470" s="55" t="inlineStr">
        <is>
          <t>1–15</t>
        </is>
      </c>
      <c r="P8470" s="16" t="inlineStr">
        <is>
          <t>ССЧР обогащена; ОКВЭД не найден/не загружен</t>
        </is>
      </c>
      <c r="Q8470" s="16" t="inlineStr">
        <is>
          <t>ФНС открытые данные ССЧР (ДатаСост 31.12.2025; набор 7707329152-sshr2019)</t>
        </is>
      </c>
      <c r="R8470" s="16">
        <f>HYPERLINK("https://checko.ru/search?query=3801001629","Чекко: проверить")</f>
        <v/>
      </c>
      <c r="S8470" t="n">
        <v>0</v>
      </c>
      <c r="T8470" s="35" t="inlineStr">
        <is>
          <t>4 — Не обогащён</t>
        </is>
      </c>
      <c r="U8470" s="35" t="inlineStr">
        <is>
          <t>Нет ОКВЭД/ССЧР</t>
        </is>
      </c>
      <c r="V8470" s="35" t="inlineStr">
        <is>
          <t>Не определено</t>
        </is>
      </c>
      <c r="W8470" s="35" t="inlineStr">
        <is>
          <t>Нет</t>
        </is>
      </c>
      <c r="X8470" s="35" t="inlineStr"/>
    </row>
    <row r="8471" ht="15" customHeight="1" s="24">
      <c r="A8471" s="13" t="n">
        <v>800834171</v>
      </c>
      <c r="B8471" s="13" t="inlineStr">
        <is>
          <t>ООО СЗ "ГОРОЖАНЕ"</t>
        </is>
      </c>
      <c r="C8471" s="13" t="n">
        <v>3849067610</v>
      </c>
      <c r="D8471" s="13" t="inlineStr">
        <is>
          <t>3849067610</t>
        </is>
      </c>
      <c r="E8471" s="13" t="inlineStr">
        <is>
          <t>ЮЛ РФ</t>
        </is>
      </c>
      <c r="F8471" s="13" t="n"/>
      <c r="G8471" s="52" t="n">
        <v>4</v>
      </c>
      <c r="H8471" s="52" t="n">
        <v>2025</v>
      </c>
      <c r="I8471" s="14" t="n"/>
      <c r="J8471" s="14" t="n"/>
      <c r="K8471" s="53" t="inlineStr">
        <is>
          <t>Нет</t>
        </is>
      </c>
      <c r="L8471" s="53" t="inlineStr">
        <is>
          <t>Не определено</t>
        </is>
      </c>
      <c r="M8471" s="53" t="inlineStr">
        <is>
          <t>До 10</t>
        </is>
      </c>
      <c r="N8471" s="54" t="n">
        <v>3360</v>
      </c>
      <c r="O8471" s="55" t="inlineStr">
        <is>
          <t>1–15</t>
        </is>
      </c>
      <c r="P8471" s="16" t="inlineStr">
        <is>
          <t>ССЧР обогащена; ОКВЭД не найден/не загружен</t>
        </is>
      </c>
      <c r="Q8471" s="16" t="inlineStr">
        <is>
          <t>ФНС открытые данные ССЧР (ДатаСост 31.12.2025; набор 7707329152-sshr2019)</t>
        </is>
      </c>
      <c r="R8471" s="16">
        <f>HYPERLINK("https://checko.ru/search?query=3801001629","Чекко: проверить")</f>
        <v/>
      </c>
      <c r="S8471" t="n">
        <v>0</v>
      </c>
      <c r="T8471" s="35" t="inlineStr">
        <is>
          <t>4 — Не обогащён</t>
        </is>
      </c>
      <c r="U8471" s="35" t="inlineStr">
        <is>
          <t>Нет ОКВЭД/ССЧР</t>
        </is>
      </c>
      <c r="V8471" s="35" t="inlineStr">
        <is>
          <t>Не определено</t>
        </is>
      </c>
      <c r="W8471" s="35" t="inlineStr">
        <is>
          <t>Нет</t>
        </is>
      </c>
      <c r="X8471" s="35" t="inlineStr"/>
    </row>
    <row r="8472" ht="15" customHeight="1" s="24">
      <c r="A8472" s="13" t="n">
        <v>802327259</v>
      </c>
      <c r="B8472" s="13" t="inlineStr">
        <is>
          <t>ИП Буланова Татьяна Вячеславовна</t>
        </is>
      </c>
      <c r="C8472" s="13" t="n">
        <v>384800695005</v>
      </c>
      <c r="D8472" s="13" t="inlineStr">
        <is>
          <t>384800695005</t>
        </is>
      </c>
      <c r="E8472" s="13" t="inlineStr">
        <is>
          <t>ИП РФ / физлицо</t>
        </is>
      </c>
      <c r="F8472" s="13" t="n"/>
      <c r="G8472" s="14" t="n"/>
      <c r="H8472" s="14" t="n"/>
      <c r="I8472" s="14" t="n"/>
      <c r="J8472" s="14" t="n"/>
      <c r="K8472" s="53" t="inlineStr"/>
      <c r="L8472" s="53" t="inlineStr">
        <is>
          <t>Не определено</t>
        </is>
      </c>
      <c r="M8472" s="53" t="inlineStr"/>
      <c r="N8472" s="54" t="inlineStr"/>
      <c r="O8472" s="55" t="inlineStr"/>
      <c r="P8472" s="16" t="inlineStr">
        <is>
          <t>Требует обогащения</t>
        </is>
      </c>
      <c r="Q8472" s="16">
        <f>HYPERLINK("https://pb.nalog.ru/search.html?query=384800695005","ФНС: проверить")</f>
        <v/>
      </c>
      <c r="R8472" s="16">
        <f>HYPERLINK("https://checko.ru/search?query=3801001629","Чекко: проверить")</f>
        <v/>
      </c>
      <c r="S8472" t="n">
        <v>0</v>
      </c>
      <c r="T8472" s="35" t="inlineStr">
        <is>
          <t>4 — Не обогащён</t>
        </is>
      </c>
      <c r="U8472" s="35" t="inlineStr">
        <is>
          <t>Нет ОКВЭД/ССЧР</t>
        </is>
      </c>
      <c r="V8472" s="35" t="inlineStr">
        <is>
          <t>Не определено</t>
        </is>
      </c>
      <c r="W8472" s="35" t="inlineStr"/>
      <c r="X8472" s="35" t="inlineStr"/>
    </row>
    <row r="8473" ht="15" customHeight="1" s="24">
      <c r="A8473" s="13" t="inlineStr">
        <is>
          <t>FR332971</t>
        </is>
      </c>
      <c r="B8473" s="13" t="inlineStr">
        <is>
          <t>М2М-ТРЕЙД ООО</t>
        </is>
      </c>
      <c r="C8473" s="13" t="n">
        <v>7705867941</v>
      </c>
      <c r="D8473" s="13" t="inlineStr">
        <is>
          <t>7705867941</t>
        </is>
      </c>
      <c r="E8473" s="13" t="inlineStr">
        <is>
          <t>ЮЛ РФ</t>
        </is>
      </c>
      <c r="F8473" s="13" t="n"/>
      <c r="G8473" s="52" t="n">
        <v>40</v>
      </c>
      <c r="H8473" s="52" t="n">
        <v>2025</v>
      </c>
      <c r="I8473" s="52" t="inlineStr">
        <is>
          <t>63.11.1</t>
        </is>
      </c>
      <c r="J8473" s="52" t="inlineStr">
        <is>
          <t>63.11.1; 18.12; 33.14; 33.17; 45.20; 45.20.1; 45.20.2; 45.20.4; 45.40; 45.40.5; 46.18; 46.19; 46.46; 46.49; 46.69.5; 46.73; 46.90; 47.19; 52.29; 61.10; 62.01; 62.02; 63.11; 64.19; 64.91; 64.92; 64.99; 66.19; 68.31.1; 68.31.2; 68.31.3; 68.31.4; 69.10; 69.20; 69.20.1; 69.20.2; 70.10.1; 70.10.2; 70.22; 73.11; 73.20; 73.20.1; 73.20.2; 78.10; 80.20; 82.99; 95.12; 95.21</t>
        </is>
      </c>
      <c r="K8473" s="53" t="inlineStr">
        <is>
          <t>Да</t>
        </is>
      </c>
      <c r="L8473" s="53" t="inlineStr">
        <is>
          <t>Да</t>
        </is>
      </c>
      <c r="M8473" s="53" t="inlineStr">
        <is>
          <t>До 50</t>
        </is>
      </c>
      <c r="N8473" s="54" t="n">
        <v>16800</v>
      </c>
      <c r="O8473" s="55" t="inlineStr">
        <is>
          <t>31–50</t>
        </is>
      </c>
      <c r="P8473" s="16" t="inlineStr">
        <is>
          <t>ССЧР + ОКВЭД обогащены</t>
        </is>
      </c>
      <c r="Q8473" s="16" t="inlineStr">
        <is>
          <t>ФНС открытые данные ССЧР (ДатаСост 31.12.2025; набор 7707329152-sshr2019)</t>
        </is>
      </c>
      <c r="R8473" s="16" t="inlineStr">
        <is>
          <t>ЕГРЮЛ / egrul.nalog.ru (выписка)</t>
        </is>
      </c>
      <c r="S8473" t="n">
        <v>1</v>
      </c>
      <c r="T8473" s="35" t="inlineStr">
        <is>
          <t>1 — Горячий</t>
        </is>
      </c>
      <c r="U8473" s="35" t="inlineStr">
        <is>
          <t>ОКВЭД + 22+</t>
        </is>
      </c>
      <c r="V8473" s="35" t="inlineStr">
        <is>
          <t>Да</t>
        </is>
      </c>
      <c r="W8473" s="35" t="inlineStr">
        <is>
          <t>Да</t>
        </is>
      </c>
      <c r="X8473" s="35" t="inlineStr">
        <is>
          <t>Да</t>
        </is>
      </c>
    </row>
    <row r="8474" ht="15" customHeight="1" s="24">
      <c r="A8474" s="13" t="n">
        <v>9891478</v>
      </c>
      <c r="B8474" s="13" t="inlineStr">
        <is>
          <t>ООО Торгово-Строительная компания "ТОН-М"</t>
        </is>
      </c>
      <c r="C8474" s="13" t="n">
        <v>3849054080</v>
      </c>
      <c r="D8474" s="13" t="inlineStr">
        <is>
          <t>3849054080</t>
        </is>
      </c>
      <c r="E8474" s="13" t="inlineStr">
        <is>
          <t>ЮЛ РФ</t>
        </is>
      </c>
      <c r="F8474" s="13" t="n"/>
      <c r="G8474" s="52" t="n">
        <v>46</v>
      </c>
      <c r="H8474" s="52" t="n">
        <v>2025</v>
      </c>
      <c r="I8474" s="52" t="inlineStr">
        <is>
          <t>46.73</t>
        </is>
      </c>
      <c r="J8474" s="52" t="inlineStr">
        <is>
          <t>46.73; 41.20; 42.11; 42.91; 43.11; 43.12.3; 43.12.4; 43.13; 43.21; 43.22; 43.29; 43.31; 43.32; 43.33; 43.34; 43.39; 43.91; 43.99; 43.99.1; 43.99.7; 45.20; 45.20.2; 46.12; 46.13; 46.18; 46.19; 46.34; 46.35; 46.44.2; 46.45; 46.62; 46.63; 46.71; 46.72; 46.72.23; 46.73.3; 46.73.4; 46.73.5; 46.73.6; 46.73.7; 46.74; 46.75; 46.75.2; 46.76; 46.76.1; 46.76.2; 46.76.4; 46.77; 46.90; 47.52; 47.52.7; 47.52.71; 47.52.72; 47.52.73; 47.53.3; 47.78; 47.91.2; 47.91.3; 47.91.4; 49.41.3; 52.10; 52.21; 52.21.24; 52.24; 52.24.1; 52.29; 68.10; 68.10.1; 68.20; 68.31.1; 68.31.2; 68.31.3; 68.31.4; 68.32; 71.12.3; 71.12.5; 71.12.6; 71.12.9; 71.12.45; 71.20; 77.11; 77.32; 77.33; 77.34; 77.35; 77.39.1; 77.39.2; 77.39.11; 77.39.23; 77.39.25</t>
        </is>
      </c>
      <c r="K8474" s="53" t="inlineStr">
        <is>
          <t>Да</t>
        </is>
      </c>
      <c r="L8474" s="53" t="inlineStr">
        <is>
          <t>Да</t>
        </is>
      </c>
      <c r="M8474" s="53" t="inlineStr">
        <is>
          <t>До 50</t>
        </is>
      </c>
      <c r="N8474" s="54" t="n">
        <v>16800</v>
      </c>
      <c r="O8474" s="55" t="inlineStr">
        <is>
          <t>31–50</t>
        </is>
      </c>
      <c r="P8474" s="16" t="inlineStr">
        <is>
          <t>ССЧР + ОКВЭД обогащены</t>
        </is>
      </c>
      <c r="Q8474" s="16" t="inlineStr">
        <is>
          <t>ФНС открытые данные ССЧР (ДатаСост 31.12.2025; набор 7707329152-sshr2019)</t>
        </is>
      </c>
      <c r="R8474" s="16" t="inlineStr">
        <is>
          <t>ЕГРЮЛ / egrul.nalog.ru (выписка)</t>
        </is>
      </c>
      <c r="S8474" t="n">
        <v>0</v>
      </c>
      <c r="T8474" s="35" t="inlineStr">
        <is>
          <t>1 — Горячий</t>
        </is>
      </c>
      <c r="U8474" s="35" t="inlineStr">
        <is>
          <t>ОКВЭД + 22+</t>
        </is>
      </c>
      <c r="V8474" s="35" t="inlineStr">
        <is>
          <t>Да</t>
        </is>
      </c>
      <c r="W8474" s="35" t="inlineStr">
        <is>
          <t>Да</t>
        </is>
      </c>
      <c r="X8474" s="35" t="inlineStr">
        <is>
          <t>Да</t>
        </is>
      </c>
    </row>
    <row r="8475" ht="15" customHeight="1" s="24">
      <c r="A8475" s="13" t="n">
        <v>9256151</v>
      </c>
      <c r="B8475" s="13" t="inlineStr">
        <is>
          <t>ООО Иркутская грузовая компания</t>
        </is>
      </c>
      <c r="C8475" s="13" t="n">
        <v>3808072964</v>
      </c>
      <c r="D8475" s="13" t="inlineStr">
        <is>
          <t>3808072964</t>
        </is>
      </c>
      <c r="E8475" s="13" t="inlineStr">
        <is>
          <t>ЮЛ РФ</t>
        </is>
      </c>
      <c r="F8475" s="13" t="n"/>
      <c r="G8475" s="52" t="n">
        <v>13</v>
      </c>
      <c r="H8475" s="52" t="n">
        <v>2025</v>
      </c>
      <c r="I8475" s="14" t="n"/>
      <c r="J8475" s="14" t="n"/>
      <c r="K8475" s="53" t="inlineStr">
        <is>
          <t>Нет</t>
        </is>
      </c>
      <c r="L8475" s="53" t="inlineStr">
        <is>
          <t>Не определено</t>
        </is>
      </c>
      <c r="M8475" s="53" t="inlineStr">
        <is>
          <t>До 25</t>
        </is>
      </c>
      <c r="N8475" s="54" t="n">
        <v>8400</v>
      </c>
      <c r="O8475" s="55" t="inlineStr">
        <is>
          <t>1–15</t>
        </is>
      </c>
      <c r="P8475" s="16" t="inlineStr">
        <is>
          <t>ССЧР обогащена; ОКВЭД не найден/не загружен</t>
        </is>
      </c>
      <c r="Q8475" s="16" t="inlineStr">
        <is>
          <t>ФНС открытые данные ССЧР (ДатаСост 31.12.2025; набор 7707329152-sshr2019)</t>
        </is>
      </c>
      <c r="R8475" s="16">
        <f>HYPERLINK("https://checko.ru/search?query=3801001629","Чекко: проверить")</f>
        <v/>
      </c>
      <c r="S8475" t="n">
        <v>1</v>
      </c>
      <c r="T8475" s="35" t="inlineStr">
        <is>
          <t>4 — Не обогащён</t>
        </is>
      </c>
      <c r="U8475" s="35" t="inlineStr">
        <is>
          <t>Нет ОКВЭД/ССЧР</t>
        </is>
      </c>
      <c r="V8475" s="35" t="inlineStr">
        <is>
          <t>Не определено</t>
        </is>
      </c>
      <c r="W8475" s="35" t="inlineStr">
        <is>
          <t>Нет</t>
        </is>
      </c>
      <c r="X8475" s="35" t="inlineStr"/>
    </row>
    <row r="8476" ht="27.75" customHeight="1" s="24">
      <c r="A8476" s="13" t="n">
        <v>9988516</v>
      </c>
      <c r="B8476" s="13" t="inlineStr">
        <is>
          <t>Общество с ограниченной ответственностью "ИНК-СИНЕРГИЯ"</t>
        </is>
      </c>
      <c r="C8476" s="13" t="n">
        <v>3849092173</v>
      </c>
      <c r="D8476" s="13" t="inlineStr">
        <is>
          <t>3849092173</t>
        </is>
      </c>
      <c r="E8476" s="13" t="inlineStr">
        <is>
          <t>ЮЛ РФ</t>
        </is>
      </c>
      <c r="F8476" s="13" t="n"/>
      <c r="G8476" s="14" t="n"/>
      <c r="H8476" s="14" t="n"/>
      <c r="I8476" s="14" t="n"/>
      <c r="J8476" s="14" t="n"/>
      <c r="K8476" s="53" t="inlineStr"/>
      <c r="L8476" s="53" t="inlineStr">
        <is>
          <t>Не определено</t>
        </is>
      </c>
      <c r="M8476" s="53" t="inlineStr"/>
      <c r="N8476" s="54" t="inlineStr"/>
      <c r="O8476" s="55" t="inlineStr"/>
      <c r="P8476" s="16" t="inlineStr">
        <is>
          <t>Требует обогащения</t>
        </is>
      </c>
      <c r="Q8476" s="16">
        <f>HYPERLINK("https://pb.nalog.ru/search.html?query=3849092173","ФНС: проверить")</f>
        <v/>
      </c>
      <c r="R8476" s="16">
        <f>HYPERLINK("https://checko.ru/search?query=3801001629","Чекко: проверить")</f>
        <v/>
      </c>
      <c r="S8476" t="n">
        <v>0</v>
      </c>
      <c r="T8476" s="35" t="inlineStr">
        <is>
          <t>4 — Не обогащён</t>
        </is>
      </c>
      <c r="U8476" s="35" t="inlineStr">
        <is>
          <t>Нет ОКВЭД/ССЧР</t>
        </is>
      </c>
      <c r="V8476" s="35" t="inlineStr">
        <is>
          <t>Не определено</t>
        </is>
      </c>
      <c r="W8476" s="35" t="inlineStr"/>
      <c r="X8476" s="35" t="inlineStr"/>
    </row>
    <row r="8477" ht="15" customHeight="1" s="24">
      <c r="A8477" s="13" t="inlineStr">
        <is>
          <t>FR343702</t>
        </is>
      </c>
      <c r="B8477" s="13" t="inlineStr">
        <is>
          <t>ООО Глинки</t>
        </is>
      </c>
      <c r="C8477" s="13" t="n">
        <v>3826003667</v>
      </c>
      <c r="D8477" s="13" t="inlineStr">
        <is>
          <t>3826003667</t>
        </is>
      </c>
      <c r="E8477" s="13" t="inlineStr">
        <is>
          <t>ЮЛ РФ</t>
        </is>
      </c>
      <c r="F8477" s="13" t="n"/>
      <c r="G8477" s="52" t="n">
        <v>17</v>
      </c>
      <c r="H8477" s="52" t="n">
        <v>2025</v>
      </c>
      <c r="I8477" s="14" t="n"/>
      <c r="J8477" s="14" t="n"/>
      <c r="K8477" s="53" t="inlineStr">
        <is>
          <t>Нет</t>
        </is>
      </c>
      <c r="L8477" s="53" t="inlineStr">
        <is>
          <t>Не определено</t>
        </is>
      </c>
      <c r="M8477" s="53" t="inlineStr">
        <is>
          <t>До 25</t>
        </is>
      </c>
      <c r="N8477" s="54" t="n">
        <v>8400</v>
      </c>
      <c r="O8477" s="55" t="inlineStr">
        <is>
          <t>16–30</t>
        </is>
      </c>
      <c r="P8477" s="16" t="inlineStr">
        <is>
          <t>ССЧР обогащена; ОКВЭД не найден/не загружен</t>
        </is>
      </c>
      <c r="Q8477" s="16" t="inlineStr">
        <is>
          <t>ФНС открытые данные ССЧР (ДатаСост 31.12.2025; набор 7707329152-sshr2019)</t>
        </is>
      </c>
      <c r="R8477" s="16">
        <f>HYPERLINK("https://checko.ru/search?query=3801001629","Чекко: проверить")</f>
        <v/>
      </c>
      <c r="S8477" t="n">
        <v>0</v>
      </c>
      <c r="T8477" s="35" t="inlineStr">
        <is>
          <t>4 — Не обогащён</t>
        </is>
      </c>
      <c r="U8477" s="35" t="inlineStr">
        <is>
          <t>Нет ОКВЭД/ССЧР</t>
        </is>
      </c>
      <c r="V8477" s="35" t="inlineStr">
        <is>
          <t>Не определено</t>
        </is>
      </c>
      <c r="W8477" s="35" t="inlineStr">
        <is>
          <t>Нет</t>
        </is>
      </c>
      <c r="X8477" s="35" t="inlineStr"/>
    </row>
    <row r="8478" ht="15" customHeight="1" s="24">
      <c r="A8478" s="13" t="n">
        <v>800430484</v>
      </c>
      <c r="B8478" s="13" t="inlineStr">
        <is>
          <t>ЗАО "Новые Дороги"</t>
        </is>
      </c>
      <c r="C8478" s="13" t="n">
        <v>3849021951</v>
      </c>
      <c r="D8478" s="13" t="inlineStr">
        <is>
          <t>3849021951</t>
        </is>
      </c>
      <c r="E8478" s="13" t="inlineStr">
        <is>
          <t>ЮЛ РФ</t>
        </is>
      </c>
      <c r="F8478" s="13" t="n"/>
      <c r="G8478" s="52" t="n">
        <v>127</v>
      </c>
      <c r="H8478" s="52" t="n">
        <v>2025</v>
      </c>
      <c r="I8478" s="52" t="inlineStr">
        <is>
          <t>42.11</t>
        </is>
      </c>
      <c r="J8478" s="52" t="inlineStr">
        <is>
          <t>42.11; 23.99; 08.11; 08.12; 25.11; 41.20; 42.12; 42.13; 42.99; 43.12; 43.21; 43.22; 43.91; 43.99; 43.99.1; 43.99.4; 43.99.5; 43.99.6; 45.11; 46.69; 46.73; 49.31; 49.32; 49.39; 49.41; 52.21.22; 52.21.23; 68.20; 71.12; 77.11; 77.12; 77.32; 77.33; 77.39</t>
        </is>
      </c>
      <c r="K8478" s="53" t="inlineStr">
        <is>
          <t>Да</t>
        </is>
      </c>
      <c r="L8478" s="53" t="inlineStr">
        <is>
          <t>Да</t>
        </is>
      </c>
      <c r="M8478" s="53" t="inlineStr">
        <is>
          <t>До 200</t>
        </is>
      </c>
      <c r="N8478" s="54" t="n">
        <v>62400</v>
      </c>
      <c r="O8478" s="55" t="inlineStr">
        <is>
          <t>101–200</t>
        </is>
      </c>
      <c r="P8478" s="16" t="inlineStr">
        <is>
          <t>ССЧР + ОКВЭД обогащены</t>
        </is>
      </c>
      <c r="Q8478" s="16" t="inlineStr">
        <is>
          <t>ФНС открытые данные ССЧР (ДатаСост 31.12.2025; набор 7707329152-sshr2019)</t>
        </is>
      </c>
      <c r="R8478" s="16" t="inlineStr">
        <is>
          <t>ЕГРЮЛ / egrul.nalog.ru (выписка)</t>
        </is>
      </c>
      <c r="S8478" t="n">
        <v>1</v>
      </c>
      <c r="T8478" s="35" t="inlineStr">
        <is>
          <t>1 — Горячий</t>
        </is>
      </c>
      <c r="U8478" s="35" t="inlineStr">
        <is>
          <t>ОКВЭД + 22+</t>
        </is>
      </c>
      <c r="V8478" s="35" t="inlineStr">
        <is>
          <t>Да</t>
        </is>
      </c>
      <c r="W8478" s="35" t="inlineStr">
        <is>
          <t>Да</t>
        </is>
      </c>
      <c r="X8478" s="35" t="inlineStr">
        <is>
          <t>Да</t>
        </is>
      </c>
    </row>
    <row r="8479" ht="15" customHeight="1" s="24">
      <c r="A8479" s="13" t="n">
        <v>12063753</v>
      </c>
      <c r="B8479" s="13" t="inlineStr">
        <is>
          <t>ООО "Рассвет"</t>
        </is>
      </c>
      <c r="C8479" s="13" t="n">
        <v>3823032638</v>
      </c>
      <c r="D8479" s="13" t="inlineStr">
        <is>
          <t>3823032638</t>
        </is>
      </c>
      <c r="E8479" s="13" t="inlineStr">
        <is>
          <t>ЮЛ РФ</t>
        </is>
      </c>
      <c r="F8479" s="13" t="n"/>
      <c r="G8479" s="52" t="n">
        <v>159</v>
      </c>
      <c r="H8479" s="52" t="n">
        <v>2025</v>
      </c>
      <c r="I8479" s="52" t="inlineStr">
        <is>
          <t>01.50</t>
        </is>
      </c>
      <c r="J8479" s="52" t="inlineStr">
        <is>
          <t>01.50; 10.41; 10.71; 43.29; 45.31; 45.32; 46.11.34; 46.11.39; 46.36.4; 46.38.23; 46.38.24; 46.61; 46.90; 47.19; 47.76; 49.20; 49.41; 52.10; 52.29; 77.39.1</t>
        </is>
      </c>
      <c r="K8479" s="53" t="inlineStr">
        <is>
          <t>Да</t>
        </is>
      </c>
      <c r="L8479" s="53" t="inlineStr">
        <is>
          <t>Да</t>
        </is>
      </c>
      <c r="M8479" s="53" t="inlineStr">
        <is>
          <t>До 200</t>
        </is>
      </c>
      <c r="N8479" s="54" t="n">
        <v>62400</v>
      </c>
      <c r="O8479" s="55" t="inlineStr">
        <is>
          <t>101–200</t>
        </is>
      </c>
      <c r="P8479" s="16" t="inlineStr">
        <is>
          <t>ССЧР + ОКВЭД обогащены</t>
        </is>
      </c>
      <c r="Q8479" s="16" t="inlineStr">
        <is>
          <t>ФНС открытые данные ССЧР (ДатаСост 31.12.2025; набор 7707329152-sshr2019)</t>
        </is>
      </c>
      <c r="R8479" s="16" t="inlineStr">
        <is>
          <t>ЕГРЮЛ / egrul.nalog.ru (выписка)</t>
        </is>
      </c>
      <c r="S8479" t="n">
        <v>0</v>
      </c>
      <c r="T8479" s="35" t="inlineStr">
        <is>
          <t>1 — Горячий</t>
        </is>
      </c>
      <c r="U8479" s="35" t="inlineStr">
        <is>
          <t>ОКВЭД + 22+</t>
        </is>
      </c>
      <c r="V8479" s="35" t="inlineStr">
        <is>
          <t>Да</t>
        </is>
      </c>
      <c r="W8479" s="35" t="inlineStr">
        <is>
          <t>Да</t>
        </is>
      </c>
      <c r="X8479" s="35" t="inlineStr">
        <is>
          <t>Да</t>
        </is>
      </c>
    </row>
    <row r="8480" ht="15" customHeight="1" s="24">
      <c r="A8480" s="13" t="n">
        <v>800301889</v>
      </c>
      <c r="B8480" s="13" t="inlineStr">
        <is>
          <t>ООО "ВИКО-ИРКУТСК"</t>
        </is>
      </c>
      <c r="C8480" s="13" t="n">
        <v>3810076028</v>
      </c>
      <c r="D8480" s="13" t="inlineStr">
        <is>
          <t>3810076028</t>
        </is>
      </c>
      <c r="E8480" s="13" t="inlineStr">
        <is>
          <t>ЮЛ РФ</t>
        </is>
      </c>
      <c r="F8480" s="13" t="n"/>
      <c r="G8480" s="52" t="n">
        <v>596</v>
      </c>
      <c r="H8480" s="52" t="n">
        <v>2025</v>
      </c>
      <c r="I8480" s="52" t="inlineStr">
        <is>
          <t>46.90</t>
        </is>
      </c>
      <c r="J8480" s="52" t="inlineStr">
        <is>
          <t>46.90; 46.31; 46.34.1; 46.35; 46.38; 46.38.22; 46.73; 47.25.1; 47.25.2; 47.25.12; 47.26; 49.41; 49.42; 52.29; 56.10; 56.10.1; 56.10.3; 56.30; 68.32; 73.11; 77.39</t>
        </is>
      </c>
      <c r="K8480" s="53" t="inlineStr">
        <is>
          <t>Да</t>
        </is>
      </c>
      <c r="L8480" s="53" t="inlineStr">
        <is>
          <t>Да</t>
        </is>
      </c>
      <c r="M8480" s="53" t="inlineStr">
        <is>
          <t>До 2000</t>
        </is>
      </c>
      <c r="N8480" s="54" t="n">
        <v>528000</v>
      </c>
      <c r="O8480" s="55" t="inlineStr">
        <is>
          <t>500+</t>
        </is>
      </c>
      <c r="P8480" s="16" t="inlineStr">
        <is>
          <t>ССЧР + ОКВЭД обогащены</t>
        </is>
      </c>
      <c r="Q8480" s="16" t="inlineStr">
        <is>
          <t>ФНС открытые данные ССЧР (ДатаСост 31.12.2025; набор 7707329152-sshr2019)</t>
        </is>
      </c>
      <c r="R8480" s="16" t="inlineStr">
        <is>
          <t>ЕГРЮЛ / egrul.nalog.ru (выписка)</t>
        </is>
      </c>
      <c r="S8480" t="n">
        <v>0</v>
      </c>
      <c r="T8480" s="35" t="inlineStr">
        <is>
          <t>1 — Горячий</t>
        </is>
      </c>
      <c r="U8480" s="35" t="inlineStr">
        <is>
          <t>ОКВЭД + 22+</t>
        </is>
      </c>
      <c r="V8480" s="35" t="inlineStr">
        <is>
          <t>Да</t>
        </is>
      </c>
      <c r="W8480" s="35" t="inlineStr">
        <is>
          <t>Да</t>
        </is>
      </c>
      <c r="X8480" s="35" t="inlineStr">
        <is>
          <t>Да</t>
        </is>
      </c>
    </row>
    <row r="8481" ht="15" customHeight="1" s="24">
      <c r="A8481" s="13" t="inlineStr">
        <is>
          <t>FR496231</t>
        </is>
      </c>
      <c r="B8481" s="13" t="inlineStr">
        <is>
          <t>ИП Пасынков Дмитрий Сергеевич</t>
        </is>
      </c>
      <c r="C8481" s="13" t="n">
        <v>381108958488</v>
      </c>
      <c r="D8481" s="13" t="inlineStr">
        <is>
          <t>381108958488</t>
        </is>
      </c>
      <c r="E8481" s="13" t="inlineStr">
        <is>
          <t>ИП РФ / физлицо</t>
        </is>
      </c>
      <c r="F8481" s="13" t="n"/>
      <c r="G8481" s="14" t="n"/>
      <c r="H8481" s="14" t="n"/>
      <c r="I8481" s="14" t="n"/>
      <c r="J8481" s="14" t="n"/>
      <c r="K8481" s="53" t="inlineStr"/>
      <c r="L8481" s="53" t="inlineStr">
        <is>
          <t>Не определено</t>
        </is>
      </c>
      <c r="M8481" s="53" t="inlineStr"/>
      <c r="N8481" s="54" t="inlineStr"/>
      <c r="O8481" s="55" t="inlineStr"/>
      <c r="P8481" s="16" t="inlineStr">
        <is>
          <t>Требует обогащения</t>
        </is>
      </c>
      <c r="Q8481" s="16">
        <f>HYPERLINK("https://pb.nalog.ru/search.html?query=381108958488","ФНС: проверить")</f>
        <v/>
      </c>
      <c r="R8481" s="16">
        <f>HYPERLINK("https://checko.ru/search?query=3801001629","Чекко: проверить")</f>
        <v/>
      </c>
      <c r="S8481" t="n">
        <v>1</v>
      </c>
      <c r="T8481" s="35" t="inlineStr">
        <is>
          <t>4 — Не обогащён</t>
        </is>
      </c>
      <c r="U8481" s="35" t="inlineStr">
        <is>
          <t>Нет ОКВЭД/ССЧР</t>
        </is>
      </c>
      <c r="V8481" s="35" t="inlineStr">
        <is>
          <t>Не определено</t>
        </is>
      </c>
      <c r="W8481" s="35" t="inlineStr"/>
      <c r="X8481" s="35" t="inlineStr"/>
    </row>
    <row r="8482" ht="15" customHeight="1" s="24">
      <c r="A8482" s="13" t="inlineStr">
        <is>
          <t>FR1209855</t>
        </is>
      </c>
      <c r="B8482" s="13" t="inlineStr">
        <is>
          <t>ИП Балданова Туяна Владимировна</t>
        </is>
      </c>
      <c r="C8482" s="13" t="n">
        <v>32611002910</v>
      </c>
      <c r="D8482" s="13" t="n"/>
      <c r="E8482" s="13" t="inlineStr">
        <is>
          <t>Не определён</t>
        </is>
      </c>
      <c r="F8482" s="13" t="n"/>
      <c r="G8482" s="14" t="n"/>
      <c r="H8482" s="14" t="n"/>
      <c r="I8482" s="14" t="n"/>
      <c r="J8482" s="14" t="n"/>
      <c r="K8482" s="13">
        <f>IF(G8482="","",IF(G8482&gt;=22,"Да","Нет"))</f>
        <v/>
      </c>
      <c r="L8482" s="13">
        <f>IF(OR(I8482="",J8482=""),"Не определено",IF(OR(COUNTIF(I8482,"45*")&gt;0,COUNTIF(J8482,"*45*")&gt;0,COUNTIF(I8482,"46*")&gt;0,COUNTIF(J8482,"*46*")&gt;0,COUNTIF(I8482,"47*")&gt;0,COUNTIF(J8482,"*47*")&gt;0,COUNTIF(I8482,"10*")&gt;0,COUNTIF(J8482,"*10*")&gt;0,COUNTIF(I8482,"11*")&gt;0,COUNTIF(J8482,"*11*")&gt;0,COUNTIF(I8482,"12*")&gt;0,COUNTIF(J8482,"*12*")&gt;0,COUNTIF(I8482,"13*")&gt;0,COUNTIF(J8482,"*13*")&gt;0,COUNTIF(I8482,"14*")&gt;0,COUNTIF(J8482,"*14*")&gt;0,COUNTIF(I8482,"15*")&gt;0,COUNTIF(J8482,"*15*")&gt;0,COUNTIF(I8482,"16*")&gt;0,COUNTIF(J8482,"*16*")&gt;0,COUNTIF(I8482,"17*")&gt;0,COUNTIF(J8482,"*17*")&gt;0,COUNTIF(I8482,"18*")&gt;0,COUNTIF(J8482,"*18*")&gt;0,COUNTIF(I8482,"19*")&gt;0,COUNTIF(J8482,"*19*")&gt;0,COUNTIF(I8482,"20*")&gt;0,COUNTIF(J8482,"*20*")&gt;0,COUNTIF(I8482,"21*")&gt;0,COUNTIF(J8482,"*21*")&gt;0,COUNTIF(I8482,"22*")&gt;0,COUNTIF(J8482,"*22*")&gt;0,COUNTIF(I8482,"23*")&gt;0,COUNTIF(J8482,"*23*")&gt;0,COUNTIF(I8482,"24*")&gt;0,COUNTIF(J8482,"*24*")&gt;0,COUNTIF(I8482,"25*")&gt;0,COUNTIF(J8482,"*25*")&gt;0,COUNTIF(I8482,"26*")&gt;0,COUNTIF(J8482,"*26*")&gt;0,COUNTIF(I8482,"27*")&gt;0,COUNTIF(J8482,"*27*")&gt;0,COUNTIF(I8482,"28*")&gt;0,COUNTIF(J8482,"*28*")&gt;0,COUNTIF(I8482,"29*")&gt;0,COUNTIF(J8482,"*29*")&gt;0,COUNTIF(I8482,"30*")&gt;0,COUNTIF(J8482,"*30*")&gt;0,COUNTIF(I8482,"31*")&gt;0,COUNTIF(J8482,"*31*")&gt;0,COUNTIF(I8482,"32*")&gt;0,COUNTIF(J8482,"*32*")&gt;0,COUNTIF(I8482,"33*")&gt;0,COUNTIF(J8482,"*33*")&gt;0,COUNTIF(I8482,"41*")&gt;0,COUNTIF(J8482,"*41*")&gt;0,COUNTIF(I8482,"42*")&gt;0,COUNTIF(J8482,"*42*")&gt;0,COUNTIF(I8482,"43*")&gt;0,COUNTIF(J8482,"*43*")&gt;0,COUNTIF(I8482,"49*")&gt;0,COUNTIF(J8482,"*49*")&gt;0,COUNTIF(I8482,"52*")&gt;0,COUNTIF(J8482,"*52*")&gt;0,COUNTIF(I8482,"55*")&gt;0,COUNTIF(J8482,"*55*")&gt;0,COUNTIF(I8482,"56*")&gt;0,COUNTIF(J8482,"*56*")&gt;0,COUNTIF(I8482,"68*")&gt;0,COUNTIF(J8482,"*68*")&gt;0,COUNTIF(I8482,"78*")&gt;0,COUNTIF(J8482,"*78*")&gt;0,COUNTIF(I8482,"81*")&gt;0,COUNTIF(J8482,"*81*")&gt;0,COUNTIF(I8482,"82*")&gt;0,COUNTIF(J8482,"*82*")&gt;0,COUNTIF(I8482,"64*")&gt;0,COUNTIF(J8482,"*64*")&gt;0,COUNTIF(I8482,"65*")&gt;0,COUNTIF(J8482,"*65*")&gt;0,COUNTIF(I8482,"66*")&gt;0,COUNTIF(J8482,"*66*")&gt;0,COUNTIF(I8482,"61*")&gt;0,COUNTIF(J8482,"*61*")&gt;0,COUNTIF(I8482,"62*")&gt;0,COUNTIF(J8482,"*62*")&gt;0,COUNTIF(I8482,"63*")&gt;0,COUNTIF(J8482,"*63*")&gt;0,COUNTIF(I8482,"85*")&gt;0,COUNTIF(J8482,"*85*")&gt;0,COUNTIF(I8482,"86*")&gt;0,COUNTIF(J8482,"*86*")&gt;0),"Да","Нет"))</f>
        <v/>
      </c>
      <c r="M8482" s="13">
        <f>IF(OR(G8482="",L8482&lt;&gt;"Да"),"",IF(G8482&lt;=100,"До 100",IF(G8482&lt;=200,"До 200",IF(G8482&lt;=500,"До 500","Отдельное КП"))))</f>
        <v/>
      </c>
      <c r="N8482" s="15">
        <f>IF(OR(G8482="",L8482&lt;&gt;"Да"),"",IF(G8482&lt;=100,33600,IF(G8482&lt;=200,62400,IF(G8482&lt;=500,144000,""))))</f>
        <v/>
      </c>
      <c r="O8482" s="16">
        <f>IF(G8482="","",IF(G8482&lt;=15,"1–15",IF(G8482&lt;=30,"16–30",IF(G8482&lt;=50,"31–50",IF(G8482&lt;=100,"51–100",IF(G8482&lt;=150,"101–150",IF(G8482&lt;=200,"151–200",IF(G8482&lt;=500,"201–500","500+"))))))))</f>
        <v/>
      </c>
      <c r="P8482" s="16" t="inlineStr">
        <is>
          <t>Нет совпадения в предоставленной выгрузке ССЧР</t>
        </is>
      </c>
      <c r="Q8482" s="16" t="n"/>
      <c r="R8482" s="16">
        <f>HYPERLINK("https://checko.ru/search?query=3801001629","Чекко: проверить")</f>
        <v/>
      </c>
      <c r="S8482" t="n">
        <v>0</v>
      </c>
    </row>
    <row r="8483" ht="15" customHeight="1" s="24">
      <c r="A8483" s="13" t="inlineStr">
        <is>
          <t>FR1206393</t>
        </is>
      </c>
      <c r="B8483" s="13" t="inlineStr">
        <is>
          <t>ИП Жигжитова Марина Николаевна</t>
        </is>
      </c>
      <c r="C8483" s="13" t="n">
        <v>143410859600</v>
      </c>
      <c r="D8483" s="13" t="inlineStr">
        <is>
          <t>143410859600</t>
        </is>
      </c>
      <c r="E8483" s="13" t="inlineStr">
        <is>
          <t>ИП РФ / физлицо</t>
        </is>
      </c>
      <c r="F8483" s="13" t="n"/>
      <c r="G8483" s="14" t="n"/>
      <c r="H8483" s="14" t="n"/>
      <c r="I8483" s="14" t="n"/>
      <c r="J8483" s="14" t="n"/>
      <c r="K8483" s="53" t="inlineStr"/>
      <c r="L8483" s="53" t="inlineStr">
        <is>
          <t>Не определено</t>
        </is>
      </c>
      <c r="M8483" s="53" t="inlineStr"/>
      <c r="N8483" s="54" t="inlineStr"/>
      <c r="O8483" s="55" t="inlineStr"/>
      <c r="P8483" s="16" t="inlineStr">
        <is>
          <t>Требует обогащения</t>
        </is>
      </c>
      <c r="Q8483" s="16">
        <f>HYPERLINK("https://pb.nalog.ru/search.html?query=143410859600","ФНС: проверить")</f>
        <v/>
      </c>
      <c r="R8483" s="16">
        <f>HYPERLINK("https://checko.ru/search?query=3801001629","Чекко: проверить")</f>
        <v/>
      </c>
      <c r="S8483" t="n">
        <v>1</v>
      </c>
      <c r="T8483" s="35" t="inlineStr">
        <is>
          <t>4 — Не обогащён</t>
        </is>
      </c>
      <c r="U8483" s="35" t="inlineStr">
        <is>
          <t>Нет ОКВЭД/ССЧР</t>
        </is>
      </c>
      <c r="V8483" s="35" t="inlineStr">
        <is>
          <t>Не определено</t>
        </is>
      </c>
      <c r="W8483" s="35" t="inlineStr"/>
      <c r="X8483" s="35" t="inlineStr"/>
    </row>
    <row r="8484" ht="15" customHeight="1" s="24">
      <c r="A8484" s="13" t="inlineStr">
        <is>
          <t>FR1207624</t>
        </is>
      </c>
      <c r="B8484" s="13" t="inlineStr">
        <is>
          <t>ИП Тихомирова Анастасия Борисовна</t>
        </is>
      </c>
      <c r="C8484" s="13" t="n">
        <v>32396235607</v>
      </c>
      <c r="D8484" s="13" t="n"/>
      <c r="E8484" s="13" t="inlineStr">
        <is>
          <t>Не определён</t>
        </is>
      </c>
      <c r="F8484" s="13" t="n"/>
      <c r="G8484" s="14" t="n"/>
      <c r="H8484" s="14" t="n"/>
      <c r="I8484" s="14" t="n"/>
      <c r="J8484" s="14" t="n"/>
      <c r="K8484" s="13">
        <f>IF(G8484="","",IF(G8484&gt;=22,"Да","Нет"))</f>
        <v/>
      </c>
      <c r="L8484" s="13">
        <f>IF(OR(I8484="",J8484=""),"Не определено",IF(OR(COUNTIF(I8484,"45*")&gt;0,COUNTIF(J8484,"*45*")&gt;0,COUNTIF(I8484,"46*")&gt;0,COUNTIF(J8484,"*46*")&gt;0,COUNTIF(I8484,"47*")&gt;0,COUNTIF(J8484,"*47*")&gt;0,COUNTIF(I8484,"10*")&gt;0,COUNTIF(J8484,"*10*")&gt;0,COUNTIF(I8484,"11*")&gt;0,COUNTIF(J8484,"*11*")&gt;0,COUNTIF(I8484,"12*")&gt;0,COUNTIF(J8484,"*12*")&gt;0,COUNTIF(I8484,"13*")&gt;0,COUNTIF(J8484,"*13*")&gt;0,COUNTIF(I8484,"14*")&gt;0,COUNTIF(J8484,"*14*")&gt;0,COUNTIF(I8484,"15*")&gt;0,COUNTIF(J8484,"*15*")&gt;0,COUNTIF(I8484,"16*")&gt;0,COUNTIF(J8484,"*16*")&gt;0,COUNTIF(I8484,"17*")&gt;0,COUNTIF(J8484,"*17*")&gt;0,COUNTIF(I8484,"18*")&gt;0,COUNTIF(J8484,"*18*")&gt;0,COUNTIF(I8484,"19*")&gt;0,COUNTIF(J8484,"*19*")&gt;0,COUNTIF(I8484,"20*")&gt;0,COUNTIF(J8484,"*20*")&gt;0,COUNTIF(I8484,"21*")&gt;0,COUNTIF(J8484,"*21*")&gt;0,COUNTIF(I8484,"22*")&gt;0,COUNTIF(J8484,"*22*")&gt;0,COUNTIF(I8484,"23*")&gt;0,COUNTIF(J8484,"*23*")&gt;0,COUNTIF(I8484,"24*")&gt;0,COUNTIF(J8484,"*24*")&gt;0,COUNTIF(I8484,"25*")&gt;0,COUNTIF(J8484,"*25*")&gt;0,COUNTIF(I8484,"26*")&gt;0,COUNTIF(J8484,"*26*")&gt;0,COUNTIF(I8484,"27*")&gt;0,COUNTIF(J8484,"*27*")&gt;0,COUNTIF(I8484,"28*")&gt;0,COUNTIF(J8484,"*28*")&gt;0,COUNTIF(I8484,"29*")&gt;0,COUNTIF(J8484,"*29*")&gt;0,COUNTIF(I8484,"30*")&gt;0,COUNTIF(J8484,"*30*")&gt;0,COUNTIF(I8484,"31*")&gt;0,COUNTIF(J8484,"*31*")&gt;0,COUNTIF(I8484,"32*")&gt;0,COUNTIF(J8484,"*32*")&gt;0,COUNTIF(I8484,"33*")&gt;0,COUNTIF(J8484,"*33*")&gt;0,COUNTIF(I8484,"41*")&gt;0,COUNTIF(J8484,"*41*")&gt;0,COUNTIF(I8484,"42*")&gt;0,COUNTIF(J8484,"*42*")&gt;0,COUNTIF(I8484,"43*")&gt;0,COUNTIF(J8484,"*43*")&gt;0,COUNTIF(I8484,"49*")&gt;0,COUNTIF(J8484,"*49*")&gt;0,COUNTIF(I8484,"52*")&gt;0,COUNTIF(J8484,"*52*")&gt;0,COUNTIF(I8484,"55*")&gt;0,COUNTIF(J8484,"*55*")&gt;0,COUNTIF(I8484,"56*")&gt;0,COUNTIF(J8484,"*56*")&gt;0,COUNTIF(I8484,"68*")&gt;0,COUNTIF(J8484,"*68*")&gt;0,COUNTIF(I8484,"78*")&gt;0,COUNTIF(J8484,"*78*")&gt;0,COUNTIF(I8484,"81*")&gt;0,COUNTIF(J8484,"*81*")&gt;0,COUNTIF(I8484,"82*")&gt;0,COUNTIF(J8484,"*82*")&gt;0,COUNTIF(I8484,"64*")&gt;0,COUNTIF(J8484,"*64*")&gt;0,COUNTIF(I8484,"65*")&gt;0,COUNTIF(J8484,"*65*")&gt;0,COUNTIF(I8484,"66*")&gt;0,COUNTIF(J8484,"*66*")&gt;0,COUNTIF(I8484,"61*")&gt;0,COUNTIF(J8484,"*61*")&gt;0,COUNTIF(I8484,"62*")&gt;0,COUNTIF(J8484,"*62*")&gt;0,COUNTIF(I8484,"63*")&gt;0,COUNTIF(J8484,"*63*")&gt;0,COUNTIF(I8484,"85*")&gt;0,COUNTIF(J8484,"*85*")&gt;0,COUNTIF(I8484,"86*")&gt;0,COUNTIF(J8484,"*86*")&gt;0),"Да","Нет"))</f>
        <v/>
      </c>
      <c r="M8484" s="13">
        <f>IF(OR(G8484="",L8484&lt;&gt;"Да"),"",IF(G8484&lt;=100,"До 100",IF(G8484&lt;=200,"До 200",IF(G8484&lt;=500,"До 500","Отдельное КП"))))</f>
        <v/>
      </c>
      <c r="N8484" s="15">
        <f>IF(OR(G8484="",L8484&lt;&gt;"Да"),"",IF(G8484&lt;=100,33600,IF(G8484&lt;=200,62400,IF(G8484&lt;=500,144000,""))))</f>
        <v/>
      </c>
      <c r="O8484" s="16">
        <f>IF(G8484="","",IF(G8484&lt;=15,"1–15",IF(G8484&lt;=30,"16–30",IF(G8484&lt;=50,"31–50",IF(G8484&lt;=100,"51–100",IF(G8484&lt;=150,"101–150",IF(G8484&lt;=200,"151–200",IF(G8484&lt;=500,"201–500","500+"))))))))</f>
        <v/>
      </c>
      <c r="P8484" s="16" t="inlineStr">
        <is>
          <t>Нет совпадения в предоставленной выгрузке ССЧР</t>
        </is>
      </c>
      <c r="Q8484" s="16" t="n"/>
      <c r="R8484" s="16">
        <f>HYPERLINK("https://checko.ru/search?query=3801001629","Чекко: проверить")</f>
        <v/>
      </c>
      <c r="S8484" t="n">
        <v>0</v>
      </c>
    </row>
    <row r="8485" ht="15" customHeight="1" s="24">
      <c r="A8485" s="13" t="inlineStr">
        <is>
          <t>FR824621</t>
        </is>
      </c>
      <c r="B8485" s="13" t="inlineStr">
        <is>
          <t>ИП Венцак Ирина Владимировна</t>
        </is>
      </c>
      <c r="C8485" s="13" t="n">
        <v>381201093951</v>
      </c>
      <c r="D8485" s="13" t="inlineStr">
        <is>
          <t>381201093951</t>
        </is>
      </c>
      <c r="E8485" s="13" t="inlineStr">
        <is>
          <t>ИП РФ / физлицо</t>
        </is>
      </c>
      <c r="F8485" s="13" t="n"/>
      <c r="G8485" s="14" t="n"/>
      <c r="H8485" s="14" t="n"/>
      <c r="I8485" s="14" t="n"/>
      <c r="J8485" s="14" t="n"/>
      <c r="K8485" s="53" t="inlineStr"/>
      <c r="L8485" s="53" t="inlineStr">
        <is>
          <t>Не определено</t>
        </is>
      </c>
      <c r="M8485" s="53" t="inlineStr"/>
      <c r="N8485" s="54" t="inlineStr"/>
      <c r="O8485" s="55" t="inlineStr"/>
      <c r="P8485" s="16" t="inlineStr">
        <is>
          <t>Требует обогащения</t>
        </is>
      </c>
      <c r="Q8485" s="16">
        <f>HYPERLINK("https://pb.nalog.ru/search.html?query=381201093951","ФНС: проверить")</f>
        <v/>
      </c>
      <c r="R8485" s="16">
        <f>HYPERLINK("https://checko.ru/search?query=3801001629","Чекко: проверить")</f>
        <v/>
      </c>
      <c r="S8485" t="n">
        <v>1</v>
      </c>
      <c r="T8485" s="35" t="inlineStr">
        <is>
          <t>4 — Не обогащён</t>
        </is>
      </c>
      <c r="U8485" s="35" t="inlineStr">
        <is>
          <t>Нет ОКВЭД/ССЧР</t>
        </is>
      </c>
      <c r="V8485" s="35" t="inlineStr">
        <is>
          <t>Не определено</t>
        </is>
      </c>
      <c r="W8485" s="35" t="inlineStr"/>
      <c r="X8485" s="35" t="inlineStr"/>
    </row>
    <row r="8486" ht="15" customHeight="1" s="24">
      <c r="A8486" s="13" t="inlineStr">
        <is>
          <t>FR1221080</t>
        </is>
      </c>
      <c r="B8486" s="13" t="inlineStr">
        <is>
          <t>ИП Селецкая Галина Николаевна</t>
        </is>
      </c>
      <c r="C8486" s="13" t="n">
        <v>381005390475</v>
      </c>
      <c r="D8486" s="13" t="inlineStr">
        <is>
          <t>381005390475</t>
        </is>
      </c>
      <c r="E8486" s="13" t="inlineStr">
        <is>
          <t>ИП РФ / физлицо</t>
        </is>
      </c>
      <c r="F8486" s="13" t="n"/>
      <c r="G8486" s="14" t="n"/>
      <c r="H8486" s="14" t="n"/>
      <c r="I8486" s="14" t="n"/>
      <c r="J8486" s="14" t="n"/>
      <c r="K8486" s="53" t="inlineStr"/>
      <c r="L8486" s="53" t="inlineStr">
        <is>
          <t>Не определено</t>
        </is>
      </c>
      <c r="M8486" s="53" t="inlineStr"/>
      <c r="N8486" s="54" t="inlineStr"/>
      <c r="O8486" s="55" t="inlineStr"/>
      <c r="P8486" s="16" t="inlineStr">
        <is>
          <t>Требует обогащения</t>
        </is>
      </c>
      <c r="Q8486" s="16">
        <f>HYPERLINK("https://pb.nalog.ru/search.html?query=381005390475","ФНС: проверить")</f>
        <v/>
      </c>
      <c r="R8486" s="16">
        <f>HYPERLINK("https://checko.ru/search?query=3801001629","Чекко: проверить")</f>
        <v/>
      </c>
      <c r="S8486" t="n">
        <v>1</v>
      </c>
      <c r="T8486" s="35" t="inlineStr">
        <is>
          <t>4 — Не обогащён</t>
        </is>
      </c>
      <c r="U8486" s="35" t="inlineStr">
        <is>
          <t>Нет ОКВЭД/ССЧР</t>
        </is>
      </c>
      <c r="V8486" s="35" t="inlineStr">
        <is>
          <t>Не определено</t>
        </is>
      </c>
      <c r="W8486" s="35" t="inlineStr"/>
      <c r="X8486" s="35" t="inlineStr"/>
    </row>
    <row r="8487" ht="27.75" customHeight="1" s="24">
      <c r="A8487" s="13" t="inlineStr">
        <is>
          <t>FR1147901</t>
        </is>
      </c>
      <c r="B8487" s="13" t="inlineStr">
        <is>
          <t>Общество с ограниченной ответственностью "ОКАТРАНСНЕФТЬ"</t>
        </is>
      </c>
      <c r="C8487" s="13" t="n">
        <v>309407514</v>
      </c>
      <c r="D8487" s="13" t="n"/>
      <c r="E8487" s="13" t="inlineStr">
        <is>
          <t>Не определён</t>
        </is>
      </c>
      <c r="F8487" s="13" t="inlineStr">
        <is>
          <t>309407514</t>
        </is>
      </c>
      <c r="G8487" s="14" t="n"/>
      <c r="H8487" s="14" t="n"/>
      <c r="I8487" s="14" t="n"/>
      <c r="J8487" s="14" t="n"/>
      <c r="K8487" s="13">
        <f>IF(G8487="","",IF(G8487&gt;=22,"Да","Нет"))</f>
        <v/>
      </c>
      <c r="L8487" s="13">
        <f>IF(OR(I8487="",J8487=""),"Не определено",IF(OR(COUNTIF(I8487,"45*")&gt;0,COUNTIF(J8487,"*45*")&gt;0,COUNTIF(I8487,"46*")&gt;0,COUNTIF(J8487,"*46*")&gt;0,COUNTIF(I8487,"47*")&gt;0,COUNTIF(J8487,"*47*")&gt;0,COUNTIF(I8487,"10*")&gt;0,COUNTIF(J8487,"*10*")&gt;0,COUNTIF(I8487,"11*")&gt;0,COUNTIF(J8487,"*11*")&gt;0,COUNTIF(I8487,"12*")&gt;0,COUNTIF(J8487,"*12*")&gt;0,COUNTIF(I8487,"13*")&gt;0,COUNTIF(J8487,"*13*")&gt;0,COUNTIF(I8487,"14*")&gt;0,COUNTIF(J8487,"*14*")&gt;0,COUNTIF(I8487,"15*")&gt;0,COUNTIF(J8487,"*15*")&gt;0,COUNTIF(I8487,"16*")&gt;0,COUNTIF(J8487,"*16*")&gt;0,COUNTIF(I8487,"17*")&gt;0,COUNTIF(J8487,"*17*")&gt;0,COUNTIF(I8487,"18*")&gt;0,COUNTIF(J8487,"*18*")&gt;0,COUNTIF(I8487,"19*")&gt;0,COUNTIF(J8487,"*19*")&gt;0,COUNTIF(I8487,"20*")&gt;0,COUNTIF(J8487,"*20*")&gt;0,COUNTIF(I8487,"21*")&gt;0,COUNTIF(J8487,"*21*")&gt;0,COUNTIF(I8487,"22*")&gt;0,COUNTIF(J8487,"*22*")&gt;0,COUNTIF(I8487,"23*")&gt;0,COUNTIF(J8487,"*23*")&gt;0,COUNTIF(I8487,"24*")&gt;0,COUNTIF(J8487,"*24*")&gt;0,COUNTIF(I8487,"25*")&gt;0,COUNTIF(J8487,"*25*")&gt;0,COUNTIF(I8487,"26*")&gt;0,COUNTIF(J8487,"*26*")&gt;0,COUNTIF(I8487,"27*")&gt;0,COUNTIF(J8487,"*27*")&gt;0,COUNTIF(I8487,"28*")&gt;0,COUNTIF(J8487,"*28*")&gt;0,COUNTIF(I8487,"29*")&gt;0,COUNTIF(J8487,"*29*")&gt;0,COUNTIF(I8487,"30*")&gt;0,COUNTIF(J8487,"*30*")&gt;0,COUNTIF(I8487,"31*")&gt;0,COUNTIF(J8487,"*31*")&gt;0,COUNTIF(I8487,"32*")&gt;0,COUNTIF(J8487,"*32*")&gt;0,COUNTIF(I8487,"33*")&gt;0,COUNTIF(J8487,"*33*")&gt;0,COUNTIF(I8487,"41*")&gt;0,COUNTIF(J8487,"*41*")&gt;0,COUNTIF(I8487,"42*")&gt;0,COUNTIF(J8487,"*42*")&gt;0,COUNTIF(I8487,"43*")&gt;0,COUNTIF(J8487,"*43*")&gt;0,COUNTIF(I8487,"49*")&gt;0,COUNTIF(J8487,"*49*")&gt;0,COUNTIF(I8487,"52*")&gt;0,COUNTIF(J8487,"*52*")&gt;0,COUNTIF(I8487,"55*")&gt;0,COUNTIF(J8487,"*55*")&gt;0,COUNTIF(I8487,"56*")&gt;0,COUNTIF(J8487,"*56*")&gt;0,COUNTIF(I8487,"68*")&gt;0,COUNTIF(J8487,"*68*")&gt;0,COUNTIF(I8487,"78*")&gt;0,COUNTIF(J8487,"*78*")&gt;0,COUNTIF(I8487,"81*")&gt;0,COUNTIF(J8487,"*81*")&gt;0,COUNTIF(I8487,"82*")&gt;0,COUNTIF(J8487,"*82*")&gt;0,COUNTIF(I8487,"64*")&gt;0,COUNTIF(J8487,"*64*")&gt;0,COUNTIF(I8487,"65*")&gt;0,COUNTIF(J8487,"*65*")&gt;0,COUNTIF(I8487,"66*")&gt;0,COUNTIF(J8487,"*66*")&gt;0,COUNTIF(I8487,"61*")&gt;0,COUNTIF(J8487,"*61*")&gt;0,COUNTIF(I8487,"62*")&gt;0,COUNTIF(J8487,"*62*")&gt;0,COUNTIF(I8487,"63*")&gt;0,COUNTIF(J8487,"*63*")&gt;0,COUNTIF(I8487,"85*")&gt;0,COUNTIF(J8487,"*85*")&gt;0,COUNTIF(I8487,"86*")&gt;0,COUNTIF(J8487,"*86*")&gt;0),"Да","Нет"))</f>
        <v/>
      </c>
      <c r="M8487" s="13">
        <f>IF(OR(G8487="",L8487&lt;&gt;"Да"),"",IF(G8487&lt;=100,"До 100",IF(G8487&lt;=200,"До 200",IF(G8487&lt;=500,"До 500","Отдельное КП"))))</f>
        <v/>
      </c>
      <c r="N8487" s="15">
        <f>IF(OR(G8487="",L8487&lt;&gt;"Да"),"",IF(G8487&lt;=100,33600,IF(G8487&lt;=200,62400,IF(G8487&lt;=500,144000,""))))</f>
        <v/>
      </c>
      <c r="O8487" s="16">
        <f>IF(G8487="","",IF(G8487&lt;=15,"1–15",IF(G8487&lt;=30,"16–30",IF(G8487&lt;=50,"31–50",IF(G8487&lt;=100,"51–100",IF(G8487&lt;=150,"101–150",IF(G8487&lt;=200,"151–200",IF(G8487&lt;=500,"201–500","500+"))))))))</f>
        <v/>
      </c>
      <c r="P8487" s="16" t="inlineStr">
        <is>
          <t>Нет совпадения в предоставленной выгрузке ССЧР</t>
        </is>
      </c>
      <c r="Q8487" s="16" t="n"/>
      <c r="R8487" s="16">
        <f>HYPERLINK("https://checko.ru/search?query=3801001629","Чекко: проверить")</f>
        <v/>
      </c>
      <c r="S8487" t="n">
        <v>0</v>
      </c>
    </row>
    <row r="8488" ht="27.75" customHeight="1" s="24">
      <c r="A8488" s="13" t="inlineStr">
        <is>
          <t>FR1250417</t>
        </is>
      </c>
      <c r="B8488" s="13" t="inlineStr">
        <is>
          <t>Общество с ограниченной ответственностью "ДЕЛЬТА"</t>
        </is>
      </c>
      <c r="C8488" s="13" t="n">
        <v>318014855</v>
      </c>
      <c r="D8488" s="13" t="n"/>
      <c r="E8488" s="13" t="inlineStr">
        <is>
          <t>Не определён</t>
        </is>
      </c>
      <c r="F8488" s="13" t="inlineStr">
        <is>
          <t>318014855</t>
        </is>
      </c>
      <c r="G8488" s="14" t="n"/>
      <c r="H8488" s="14" t="n"/>
      <c r="I8488" s="14" t="n"/>
      <c r="J8488" s="14" t="n"/>
      <c r="K8488" s="13">
        <f>IF(G8488="","",IF(G8488&gt;=22,"Да","Нет"))</f>
        <v/>
      </c>
      <c r="L8488" s="13">
        <f>IF(OR(I8488="",J8488=""),"Не определено",IF(OR(COUNTIF(I8488,"45*")&gt;0,COUNTIF(J8488,"*45*")&gt;0,COUNTIF(I8488,"46*")&gt;0,COUNTIF(J8488,"*46*")&gt;0,COUNTIF(I8488,"47*")&gt;0,COUNTIF(J8488,"*47*")&gt;0,COUNTIF(I8488,"10*")&gt;0,COUNTIF(J8488,"*10*")&gt;0,COUNTIF(I8488,"11*")&gt;0,COUNTIF(J8488,"*11*")&gt;0,COUNTIF(I8488,"12*")&gt;0,COUNTIF(J8488,"*12*")&gt;0,COUNTIF(I8488,"13*")&gt;0,COUNTIF(J8488,"*13*")&gt;0,COUNTIF(I8488,"14*")&gt;0,COUNTIF(J8488,"*14*")&gt;0,COUNTIF(I8488,"15*")&gt;0,COUNTIF(J8488,"*15*")&gt;0,COUNTIF(I8488,"16*")&gt;0,COUNTIF(J8488,"*16*")&gt;0,COUNTIF(I8488,"17*")&gt;0,COUNTIF(J8488,"*17*")&gt;0,COUNTIF(I8488,"18*")&gt;0,COUNTIF(J8488,"*18*")&gt;0,COUNTIF(I8488,"19*")&gt;0,COUNTIF(J8488,"*19*")&gt;0,COUNTIF(I8488,"20*")&gt;0,COUNTIF(J8488,"*20*")&gt;0,COUNTIF(I8488,"21*")&gt;0,COUNTIF(J8488,"*21*")&gt;0,COUNTIF(I8488,"22*")&gt;0,COUNTIF(J8488,"*22*")&gt;0,COUNTIF(I8488,"23*")&gt;0,COUNTIF(J8488,"*23*")&gt;0,COUNTIF(I8488,"24*")&gt;0,COUNTIF(J8488,"*24*")&gt;0,COUNTIF(I8488,"25*")&gt;0,COUNTIF(J8488,"*25*")&gt;0,COUNTIF(I8488,"26*")&gt;0,COUNTIF(J8488,"*26*")&gt;0,COUNTIF(I8488,"27*")&gt;0,COUNTIF(J8488,"*27*")&gt;0,COUNTIF(I8488,"28*")&gt;0,COUNTIF(J8488,"*28*")&gt;0,COUNTIF(I8488,"29*")&gt;0,COUNTIF(J8488,"*29*")&gt;0,COUNTIF(I8488,"30*")&gt;0,COUNTIF(J8488,"*30*")&gt;0,COUNTIF(I8488,"31*")&gt;0,COUNTIF(J8488,"*31*")&gt;0,COUNTIF(I8488,"32*")&gt;0,COUNTIF(J8488,"*32*")&gt;0,COUNTIF(I8488,"33*")&gt;0,COUNTIF(J8488,"*33*")&gt;0,COUNTIF(I8488,"41*")&gt;0,COUNTIF(J8488,"*41*")&gt;0,COUNTIF(I8488,"42*")&gt;0,COUNTIF(J8488,"*42*")&gt;0,COUNTIF(I8488,"43*")&gt;0,COUNTIF(J8488,"*43*")&gt;0,COUNTIF(I8488,"49*")&gt;0,COUNTIF(J8488,"*49*")&gt;0,COUNTIF(I8488,"52*")&gt;0,COUNTIF(J8488,"*52*")&gt;0,COUNTIF(I8488,"55*")&gt;0,COUNTIF(J8488,"*55*")&gt;0,COUNTIF(I8488,"56*")&gt;0,COUNTIF(J8488,"*56*")&gt;0,COUNTIF(I8488,"68*")&gt;0,COUNTIF(J8488,"*68*")&gt;0,COUNTIF(I8488,"78*")&gt;0,COUNTIF(J8488,"*78*")&gt;0,COUNTIF(I8488,"81*")&gt;0,COUNTIF(J8488,"*81*")&gt;0,COUNTIF(I8488,"82*")&gt;0,COUNTIF(J8488,"*82*")&gt;0,COUNTIF(I8488,"64*")&gt;0,COUNTIF(J8488,"*64*")&gt;0,COUNTIF(I8488,"65*")&gt;0,COUNTIF(J8488,"*65*")&gt;0,COUNTIF(I8488,"66*")&gt;0,COUNTIF(J8488,"*66*")&gt;0,COUNTIF(I8488,"61*")&gt;0,COUNTIF(J8488,"*61*")&gt;0,COUNTIF(I8488,"62*")&gt;0,COUNTIF(J8488,"*62*")&gt;0,COUNTIF(I8488,"63*")&gt;0,COUNTIF(J8488,"*63*")&gt;0,COUNTIF(I8488,"85*")&gt;0,COUNTIF(J8488,"*85*")&gt;0,COUNTIF(I8488,"86*")&gt;0,COUNTIF(J8488,"*86*")&gt;0),"Да","Нет"))</f>
        <v/>
      </c>
      <c r="M8488" s="13">
        <f>IF(OR(G8488="",L8488&lt;&gt;"Да"),"",IF(G8488&lt;=100,"До 100",IF(G8488&lt;=200,"До 200",IF(G8488&lt;=500,"До 500","Отдельное КП"))))</f>
        <v/>
      </c>
      <c r="N8488" s="15">
        <f>IF(OR(G8488="",L8488&lt;&gt;"Да"),"",IF(G8488&lt;=100,33600,IF(G8488&lt;=200,62400,IF(G8488&lt;=500,144000,""))))</f>
        <v/>
      </c>
      <c r="O8488" s="16">
        <f>IF(G8488="","",IF(G8488&lt;=15,"1–15",IF(G8488&lt;=30,"16–30",IF(G8488&lt;=50,"31–50",IF(G8488&lt;=100,"51–100",IF(G8488&lt;=150,"101–150",IF(G8488&lt;=200,"151–200",IF(G8488&lt;=500,"201–500","500+"))))))))</f>
        <v/>
      </c>
      <c r="P8488" s="16" t="inlineStr">
        <is>
          <t>Нет совпадения в предоставленной выгрузке ССЧР</t>
        </is>
      </c>
      <c r="Q8488" s="16" t="n"/>
      <c r="R8488" s="16">
        <f>HYPERLINK("https://checko.ru/search?query=3801001629","Чекко: проверить")</f>
        <v/>
      </c>
      <c r="S8488" t="n">
        <v>0</v>
      </c>
    </row>
    <row r="8489" ht="15" customHeight="1" s="24">
      <c r="A8489" s="13" t="inlineStr">
        <is>
          <t>FR1249513</t>
        </is>
      </c>
      <c r="B8489" s="13" t="inlineStr">
        <is>
          <t>ИП Федотова Елена Алексеевна</t>
        </is>
      </c>
      <c r="C8489" s="13" t="n">
        <v>525403132044</v>
      </c>
      <c r="D8489" s="13" t="inlineStr">
        <is>
          <t>525403132044</t>
        </is>
      </c>
      <c r="E8489" s="13" t="inlineStr">
        <is>
          <t>ИП РФ / физлицо</t>
        </is>
      </c>
      <c r="F8489" s="13" t="n"/>
      <c r="G8489" s="14" t="n"/>
      <c r="H8489" s="14" t="n"/>
      <c r="I8489" s="14" t="n"/>
      <c r="J8489" s="14" t="n"/>
      <c r="K8489" s="53" t="inlineStr"/>
      <c r="L8489" s="53" t="inlineStr">
        <is>
          <t>Не определено</t>
        </is>
      </c>
      <c r="M8489" s="53" t="inlineStr"/>
      <c r="N8489" s="54" t="inlineStr"/>
      <c r="O8489" s="55" t="inlineStr"/>
      <c r="P8489" s="16" t="inlineStr">
        <is>
          <t>Требует обогащения</t>
        </is>
      </c>
      <c r="Q8489" s="16">
        <f>HYPERLINK("https://pb.nalog.ru/search.html?query=525403132044","ФНС: проверить")</f>
        <v/>
      </c>
      <c r="R8489" s="16">
        <f>HYPERLINK("https://checko.ru/search?query=3801001629","Чекко: проверить")</f>
        <v/>
      </c>
      <c r="S8489" t="n">
        <v>1</v>
      </c>
      <c r="T8489" s="35" t="inlineStr">
        <is>
          <t>4 — Не обогащён</t>
        </is>
      </c>
      <c r="U8489" s="35" t="inlineStr">
        <is>
          <t>Нет ОКВЭД/ССЧР</t>
        </is>
      </c>
      <c r="V8489" s="35" t="inlineStr">
        <is>
          <t>Не определено</t>
        </is>
      </c>
      <c r="W8489" s="35" t="inlineStr"/>
      <c r="X8489" s="35" t="inlineStr"/>
    </row>
    <row r="8490" ht="15" customHeight="1" s="24">
      <c r="A8490" s="13" t="inlineStr">
        <is>
          <t>FR1247884</t>
        </is>
      </c>
      <c r="B8490" s="13" t="inlineStr">
        <is>
          <t>ИП Оглоблина Елена Николаевна</t>
        </is>
      </c>
      <c r="C8490" s="13" t="n">
        <v>381600109956</v>
      </c>
      <c r="D8490" s="13" t="inlineStr">
        <is>
          <t>381600109956</t>
        </is>
      </c>
      <c r="E8490" s="13" t="inlineStr">
        <is>
          <t>ИП РФ / физлицо</t>
        </is>
      </c>
      <c r="F8490" s="13" t="n"/>
      <c r="G8490" s="14" t="n"/>
      <c r="H8490" s="14" t="n"/>
      <c r="I8490" s="14" t="n"/>
      <c r="J8490" s="14" t="n"/>
      <c r="K8490" s="53" t="inlineStr"/>
      <c r="L8490" s="53" t="inlineStr">
        <is>
          <t>Не определено</t>
        </is>
      </c>
      <c r="M8490" s="53" t="inlineStr"/>
      <c r="N8490" s="54" t="inlineStr"/>
      <c r="O8490" s="55" t="inlineStr"/>
      <c r="P8490" s="16" t="inlineStr">
        <is>
          <t>Требует обогащения</t>
        </is>
      </c>
      <c r="Q8490" s="16">
        <f>HYPERLINK("https://pb.nalog.ru/search.html?query=381600109956","ФНС: проверить")</f>
        <v/>
      </c>
      <c r="R8490" s="16">
        <f>HYPERLINK("https://checko.ru/search?query=3801001629","Чекко: проверить")</f>
        <v/>
      </c>
      <c r="S8490" t="n">
        <v>1</v>
      </c>
      <c r="T8490" s="35" t="inlineStr">
        <is>
          <t>4 — Не обогащён</t>
        </is>
      </c>
      <c r="U8490" s="35" t="inlineStr">
        <is>
          <t>Нет ОКВЭД/ССЧР</t>
        </is>
      </c>
      <c r="V8490" s="35" t="inlineStr">
        <is>
          <t>Не определено</t>
        </is>
      </c>
      <c r="W8490" s="35" t="inlineStr"/>
      <c r="X8490" s="35" t="inlineStr"/>
    </row>
    <row r="8491" ht="15" customHeight="1" s="24">
      <c r="A8491" s="13" t="inlineStr">
        <is>
          <t>FR1275177</t>
        </is>
      </c>
      <c r="B8491" s="13" t="inlineStr">
        <is>
          <t>Хабеева Лариса Борисовна</t>
        </is>
      </c>
      <c r="C8491" s="13" t="n">
        <v>32500531203</v>
      </c>
      <c r="D8491" s="13" t="n"/>
      <c r="E8491" s="13" t="inlineStr">
        <is>
          <t>Не определён</t>
        </is>
      </c>
      <c r="F8491" s="13" t="n"/>
      <c r="G8491" s="14" t="n"/>
      <c r="H8491" s="14" t="n"/>
      <c r="I8491" s="14" t="n"/>
      <c r="J8491" s="14" t="n"/>
      <c r="K8491" s="13">
        <f>IF(G8491="","",IF(G8491&gt;=22,"Да","Нет"))</f>
        <v/>
      </c>
      <c r="L8491" s="13">
        <f>IF(OR(I8491="",J8491=""),"Не определено",IF(OR(COUNTIF(I8491,"45*")&gt;0,COUNTIF(J8491,"*45*")&gt;0,COUNTIF(I8491,"46*")&gt;0,COUNTIF(J8491,"*46*")&gt;0,COUNTIF(I8491,"47*")&gt;0,COUNTIF(J8491,"*47*")&gt;0,COUNTIF(I8491,"10*")&gt;0,COUNTIF(J8491,"*10*")&gt;0,COUNTIF(I8491,"11*")&gt;0,COUNTIF(J8491,"*11*")&gt;0,COUNTIF(I8491,"12*")&gt;0,COUNTIF(J8491,"*12*")&gt;0,COUNTIF(I8491,"13*")&gt;0,COUNTIF(J8491,"*13*")&gt;0,COUNTIF(I8491,"14*")&gt;0,COUNTIF(J8491,"*14*")&gt;0,COUNTIF(I8491,"15*")&gt;0,COUNTIF(J8491,"*15*")&gt;0,COUNTIF(I8491,"16*")&gt;0,COUNTIF(J8491,"*16*")&gt;0,COUNTIF(I8491,"17*")&gt;0,COUNTIF(J8491,"*17*")&gt;0,COUNTIF(I8491,"18*")&gt;0,COUNTIF(J8491,"*18*")&gt;0,COUNTIF(I8491,"19*")&gt;0,COUNTIF(J8491,"*19*")&gt;0,COUNTIF(I8491,"20*")&gt;0,COUNTIF(J8491,"*20*")&gt;0,COUNTIF(I8491,"21*")&gt;0,COUNTIF(J8491,"*21*")&gt;0,COUNTIF(I8491,"22*")&gt;0,COUNTIF(J8491,"*22*")&gt;0,COUNTIF(I8491,"23*")&gt;0,COUNTIF(J8491,"*23*")&gt;0,COUNTIF(I8491,"24*")&gt;0,COUNTIF(J8491,"*24*")&gt;0,COUNTIF(I8491,"25*")&gt;0,COUNTIF(J8491,"*25*")&gt;0,COUNTIF(I8491,"26*")&gt;0,COUNTIF(J8491,"*26*")&gt;0,COUNTIF(I8491,"27*")&gt;0,COUNTIF(J8491,"*27*")&gt;0,COUNTIF(I8491,"28*")&gt;0,COUNTIF(J8491,"*28*")&gt;0,COUNTIF(I8491,"29*")&gt;0,COUNTIF(J8491,"*29*")&gt;0,COUNTIF(I8491,"30*")&gt;0,COUNTIF(J8491,"*30*")&gt;0,COUNTIF(I8491,"31*")&gt;0,COUNTIF(J8491,"*31*")&gt;0,COUNTIF(I8491,"32*")&gt;0,COUNTIF(J8491,"*32*")&gt;0,COUNTIF(I8491,"33*")&gt;0,COUNTIF(J8491,"*33*")&gt;0,COUNTIF(I8491,"41*")&gt;0,COUNTIF(J8491,"*41*")&gt;0,COUNTIF(I8491,"42*")&gt;0,COUNTIF(J8491,"*42*")&gt;0,COUNTIF(I8491,"43*")&gt;0,COUNTIF(J8491,"*43*")&gt;0,COUNTIF(I8491,"49*")&gt;0,COUNTIF(J8491,"*49*")&gt;0,COUNTIF(I8491,"52*")&gt;0,COUNTIF(J8491,"*52*")&gt;0,COUNTIF(I8491,"55*")&gt;0,COUNTIF(J8491,"*55*")&gt;0,COUNTIF(I8491,"56*")&gt;0,COUNTIF(J8491,"*56*")&gt;0,COUNTIF(I8491,"68*")&gt;0,COUNTIF(J8491,"*68*")&gt;0,COUNTIF(I8491,"78*")&gt;0,COUNTIF(J8491,"*78*")&gt;0,COUNTIF(I8491,"81*")&gt;0,COUNTIF(J8491,"*81*")&gt;0,COUNTIF(I8491,"82*")&gt;0,COUNTIF(J8491,"*82*")&gt;0,COUNTIF(I8491,"64*")&gt;0,COUNTIF(J8491,"*64*")&gt;0,COUNTIF(I8491,"65*")&gt;0,COUNTIF(J8491,"*65*")&gt;0,COUNTIF(I8491,"66*")&gt;0,COUNTIF(J8491,"*66*")&gt;0,COUNTIF(I8491,"61*")&gt;0,COUNTIF(J8491,"*61*")&gt;0,COUNTIF(I8491,"62*")&gt;0,COUNTIF(J8491,"*62*")&gt;0,COUNTIF(I8491,"63*")&gt;0,COUNTIF(J8491,"*63*")&gt;0,COUNTIF(I8491,"85*")&gt;0,COUNTIF(J8491,"*85*")&gt;0,COUNTIF(I8491,"86*")&gt;0,COUNTIF(J8491,"*86*")&gt;0),"Да","Нет"))</f>
        <v/>
      </c>
      <c r="M8491" s="13">
        <f>IF(OR(G8491="",L8491&lt;&gt;"Да"),"",IF(G8491&lt;=100,"До 100",IF(G8491&lt;=200,"До 200",IF(G8491&lt;=500,"До 500","Отдельное КП"))))</f>
        <v/>
      </c>
      <c r="N8491" s="15">
        <f>IF(OR(G8491="",L8491&lt;&gt;"Да"),"",IF(G8491&lt;=100,33600,IF(G8491&lt;=200,62400,IF(G8491&lt;=500,144000,""))))</f>
        <v/>
      </c>
      <c r="O8491" s="16">
        <f>IF(G8491="","",IF(G8491&lt;=15,"1–15",IF(G8491&lt;=30,"16–30",IF(G8491&lt;=50,"31–50",IF(G8491&lt;=100,"51–100",IF(G8491&lt;=150,"101–150",IF(G8491&lt;=200,"151–200",IF(G8491&lt;=500,"201–500","500+"))))))))</f>
        <v/>
      </c>
      <c r="P8491" s="16" t="inlineStr">
        <is>
          <t>Нет совпадения в предоставленной выгрузке ССЧР</t>
        </is>
      </c>
      <c r="Q8491" s="16" t="n"/>
      <c r="R8491" s="16">
        <f>HYPERLINK("https://checko.ru/search?query=3801001629","Чекко: проверить")</f>
        <v/>
      </c>
      <c r="S8491" t="n">
        <v>0</v>
      </c>
    </row>
    <row r="8492" ht="15" customHeight="1" s="24">
      <c r="A8492" s="13" t="inlineStr">
        <is>
          <t>FR442860</t>
        </is>
      </c>
      <c r="B8492" s="13" t="inlineStr">
        <is>
          <t>ИП Башмаков Алексей Владимирович</t>
        </is>
      </c>
      <c r="C8492" s="13" t="n">
        <v>861801654737</v>
      </c>
      <c r="D8492" s="13" t="inlineStr">
        <is>
          <t>861801654737</t>
        </is>
      </c>
      <c r="E8492" s="13" t="inlineStr">
        <is>
          <t>ИП РФ / физлицо</t>
        </is>
      </c>
      <c r="F8492" s="13" t="n"/>
      <c r="G8492" s="14" t="n"/>
      <c r="H8492" s="14" t="n"/>
      <c r="I8492" s="14" t="n"/>
      <c r="J8492" s="14" t="n"/>
      <c r="K8492" s="53" t="inlineStr"/>
      <c r="L8492" s="53" t="inlineStr">
        <is>
          <t>Не определено</t>
        </is>
      </c>
      <c r="M8492" s="53" t="inlineStr"/>
      <c r="N8492" s="54" t="inlineStr"/>
      <c r="O8492" s="55" t="inlineStr"/>
      <c r="P8492" s="16" t="inlineStr">
        <is>
          <t>Требует обогащения</t>
        </is>
      </c>
      <c r="Q8492" s="16">
        <f>HYPERLINK("https://pb.nalog.ru/search.html?query=861801654737","ФНС: проверить")</f>
        <v/>
      </c>
      <c r="R8492" s="16">
        <f>HYPERLINK("https://checko.ru/search?query=3801001629","Чекко: проверить")</f>
        <v/>
      </c>
      <c r="S8492" t="n">
        <v>1</v>
      </c>
      <c r="T8492" s="35" t="inlineStr">
        <is>
          <t>4 — Не обогащён</t>
        </is>
      </c>
      <c r="U8492" s="35" t="inlineStr">
        <is>
          <t>Нет ОКВЭД/ССЧР</t>
        </is>
      </c>
      <c r="V8492" s="35" t="inlineStr">
        <is>
          <t>Не определено</t>
        </is>
      </c>
      <c r="W8492" s="35" t="inlineStr"/>
      <c r="X8492" s="35" t="inlineStr"/>
    </row>
    <row r="8493" ht="15" customHeight="1" s="24">
      <c r="A8493" s="13" t="inlineStr">
        <is>
          <t>FR1282610</t>
        </is>
      </c>
      <c r="B8493" s="13" t="inlineStr">
        <is>
          <t>ИП Багдуев Алексей Владимирович</t>
        </is>
      </c>
      <c r="C8493" s="13" t="n">
        <v>850502160058</v>
      </c>
      <c r="D8493" s="13" t="inlineStr">
        <is>
          <t>850502160058</t>
        </is>
      </c>
      <c r="E8493" s="13" t="inlineStr">
        <is>
          <t>ИП РФ / физлицо</t>
        </is>
      </c>
      <c r="F8493" s="13" t="n"/>
      <c r="G8493" s="14" t="n"/>
      <c r="H8493" s="14" t="n"/>
      <c r="I8493" s="14" t="n"/>
      <c r="J8493" s="14" t="n"/>
      <c r="K8493" s="53" t="inlineStr"/>
      <c r="L8493" s="53" t="inlineStr">
        <is>
          <t>Не определено</t>
        </is>
      </c>
      <c r="M8493" s="53" t="inlineStr"/>
      <c r="N8493" s="54" t="inlineStr"/>
      <c r="O8493" s="55" t="inlineStr"/>
      <c r="P8493" s="16" t="inlineStr">
        <is>
          <t>Требует обогащения</t>
        </is>
      </c>
      <c r="Q8493" s="16">
        <f>HYPERLINK("https://pb.nalog.ru/search.html?query=850502160058","ФНС: проверить")</f>
        <v/>
      </c>
      <c r="R8493" s="16">
        <f>HYPERLINK("https://checko.ru/search?query=3801001629","Чекко: проверить")</f>
        <v/>
      </c>
      <c r="S8493" t="n">
        <v>1</v>
      </c>
      <c r="T8493" s="35" t="inlineStr">
        <is>
          <t>4 — Не обогащён</t>
        </is>
      </c>
      <c r="U8493" s="35" t="inlineStr">
        <is>
          <t>Нет ОКВЭД/ССЧР</t>
        </is>
      </c>
      <c r="V8493" s="35" t="inlineStr">
        <is>
          <t>Не определено</t>
        </is>
      </c>
      <c r="W8493" s="35" t="inlineStr"/>
      <c r="X8493" s="35" t="inlineStr"/>
    </row>
    <row r="8494" ht="15" customHeight="1" s="24">
      <c r="A8494" s="13" t="inlineStr">
        <is>
          <t>FR589028</t>
        </is>
      </c>
      <c r="B8494" s="13" t="inlineStr">
        <is>
          <t>ИП Моськин Виталий Геннадьевич</t>
        </is>
      </c>
      <c r="C8494" s="13" t="n">
        <v>382200329571</v>
      </c>
      <c r="D8494" s="13" t="inlineStr">
        <is>
          <t>382200329571</t>
        </is>
      </c>
      <c r="E8494" s="13" t="inlineStr">
        <is>
          <t>ИП РФ / физлицо</t>
        </is>
      </c>
      <c r="F8494" s="13" t="n"/>
      <c r="G8494" s="14" t="n"/>
      <c r="H8494" s="14" t="n"/>
      <c r="I8494" s="14" t="n"/>
      <c r="J8494" s="14" t="n"/>
      <c r="K8494" s="53" t="inlineStr"/>
      <c r="L8494" s="53" t="inlineStr">
        <is>
          <t>Не определено</t>
        </is>
      </c>
      <c r="M8494" s="53" t="inlineStr"/>
      <c r="N8494" s="54" t="inlineStr"/>
      <c r="O8494" s="55" t="inlineStr"/>
      <c r="P8494" s="16" t="inlineStr">
        <is>
          <t>Требует обогащения</t>
        </is>
      </c>
      <c r="Q8494" s="16">
        <f>HYPERLINK("https://pb.nalog.ru/search.html?query=382200329571","ФНС: проверить")</f>
        <v/>
      </c>
      <c r="R8494" s="16">
        <f>HYPERLINK("https://checko.ru/search?query=3801001629","Чекко: проверить")</f>
        <v/>
      </c>
      <c r="S8494" t="n">
        <v>1</v>
      </c>
      <c r="T8494" s="35" t="inlineStr">
        <is>
          <t>4 — Не обогащён</t>
        </is>
      </c>
      <c r="U8494" s="35" t="inlineStr">
        <is>
          <t>Нет ОКВЭД/ССЧР</t>
        </is>
      </c>
      <c r="V8494" s="35" t="inlineStr">
        <is>
          <t>Не определено</t>
        </is>
      </c>
      <c r="W8494" s="35" t="inlineStr"/>
      <c r="X8494" s="35" t="inlineStr"/>
    </row>
    <row r="8495" ht="27.75" customHeight="1" s="24">
      <c r="A8495" s="13" t="inlineStr">
        <is>
          <t>FR586658</t>
        </is>
      </c>
      <c r="B8495" s="13" t="inlineStr">
        <is>
          <t>Общество с ограниченной ответственностью "ДАР"</t>
        </is>
      </c>
      <c r="C8495" s="13" t="n">
        <v>3849084454</v>
      </c>
      <c r="D8495" s="13" t="inlineStr">
        <is>
          <t>3849084454</t>
        </is>
      </c>
      <c r="E8495" s="13" t="inlineStr">
        <is>
          <t>ЮЛ РФ</t>
        </is>
      </c>
      <c r="F8495" s="13" t="n"/>
      <c r="G8495" s="14" t="n"/>
      <c r="H8495" s="14" t="n"/>
      <c r="I8495" s="14" t="n"/>
      <c r="J8495" s="14" t="n"/>
      <c r="K8495" s="53" t="inlineStr"/>
      <c r="L8495" s="53" t="inlineStr">
        <is>
          <t>Не определено</t>
        </is>
      </c>
      <c r="M8495" s="53" t="inlineStr"/>
      <c r="N8495" s="54" t="inlineStr"/>
      <c r="O8495" s="55" t="inlineStr"/>
      <c r="P8495" s="16" t="inlineStr">
        <is>
          <t>Требует обогащения</t>
        </is>
      </c>
      <c r="Q8495" s="16">
        <f>HYPERLINK("https://pb.nalog.ru/search.html?query=3849084454","ФНС: проверить")</f>
        <v/>
      </c>
      <c r="R8495" s="16">
        <f>HYPERLINK("https://checko.ru/search?query=3801001629","Чекко: проверить")</f>
        <v/>
      </c>
      <c r="S8495" t="n">
        <v>1</v>
      </c>
      <c r="T8495" s="35" t="inlineStr">
        <is>
          <t>4 — Не обогащён</t>
        </is>
      </c>
      <c r="U8495" s="35" t="inlineStr">
        <is>
          <t>Нет ОКВЭД/ССЧР</t>
        </is>
      </c>
      <c r="V8495" s="35" t="inlineStr">
        <is>
          <t>Не определено</t>
        </is>
      </c>
      <c r="W8495" s="35" t="inlineStr"/>
      <c r="X8495" s="35" t="inlineStr"/>
    </row>
    <row r="8496" ht="15" customHeight="1" s="24">
      <c r="A8496" s="13" t="inlineStr">
        <is>
          <t>FR1297742</t>
        </is>
      </c>
      <c r="B8496" s="13" t="inlineStr">
        <is>
          <t>ИП Санжеева Дарима Санжеевна</t>
        </is>
      </c>
      <c r="C8496" s="13" t="n">
        <v>32612997296</v>
      </c>
      <c r="D8496" s="13" t="n"/>
      <c r="E8496" s="13" t="inlineStr">
        <is>
          <t>Не определён</t>
        </is>
      </c>
      <c r="F8496" s="13" t="n"/>
      <c r="G8496" s="14" t="n"/>
      <c r="H8496" s="14" t="n"/>
      <c r="I8496" s="14" t="n"/>
      <c r="J8496" s="14" t="n"/>
      <c r="K8496" s="13">
        <f>IF(G8496="","",IF(G8496&gt;=22,"Да","Нет"))</f>
        <v/>
      </c>
      <c r="L8496" s="13">
        <f>IF(OR(I8496="",J8496=""),"Не определено",IF(OR(COUNTIF(I8496,"45*")&gt;0,COUNTIF(J8496,"*45*")&gt;0,COUNTIF(I8496,"46*")&gt;0,COUNTIF(J8496,"*46*")&gt;0,COUNTIF(I8496,"47*")&gt;0,COUNTIF(J8496,"*47*")&gt;0,COUNTIF(I8496,"10*")&gt;0,COUNTIF(J8496,"*10*")&gt;0,COUNTIF(I8496,"11*")&gt;0,COUNTIF(J8496,"*11*")&gt;0,COUNTIF(I8496,"12*")&gt;0,COUNTIF(J8496,"*12*")&gt;0,COUNTIF(I8496,"13*")&gt;0,COUNTIF(J8496,"*13*")&gt;0,COUNTIF(I8496,"14*")&gt;0,COUNTIF(J8496,"*14*")&gt;0,COUNTIF(I8496,"15*")&gt;0,COUNTIF(J8496,"*15*")&gt;0,COUNTIF(I8496,"16*")&gt;0,COUNTIF(J8496,"*16*")&gt;0,COUNTIF(I8496,"17*")&gt;0,COUNTIF(J8496,"*17*")&gt;0,COUNTIF(I8496,"18*")&gt;0,COUNTIF(J8496,"*18*")&gt;0,COUNTIF(I8496,"19*")&gt;0,COUNTIF(J8496,"*19*")&gt;0,COUNTIF(I8496,"20*")&gt;0,COUNTIF(J8496,"*20*")&gt;0,COUNTIF(I8496,"21*")&gt;0,COUNTIF(J8496,"*21*")&gt;0,COUNTIF(I8496,"22*")&gt;0,COUNTIF(J8496,"*22*")&gt;0,COUNTIF(I8496,"23*")&gt;0,COUNTIF(J8496,"*23*")&gt;0,COUNTIF(I8496,"24*")&gt;0,COUNTIF(J8496,"*24*")&gt;0,COUNTIF(I8496,"25*")&gt;0,COUNTIF(J8496,"*25*")&gt;0,COUNTIF(I8496,"26*")&gt;0,COUNTIF(J8496,"*26*")&gt;0,COUNTIF(I8496,"27*")&gt;0,COUNTIF(J8496,"*27*")&gt;0,COUNTIF(I8496,"28*")&gt;0,COUNTIF(J8496,"*28*")&gt;0,COUNTIF(I8496,"29*")&gt;0,COUNTIF(J8496,"*29*")&gt;0,COUNTIF(I8496,"30*")&gt;0,COUNTIF(J8496,"*30*")&gt;0,COUNTIF(I8496,"31*")&gt;0,COUNTIF(J8496,"*31*")&gt;0,COUNTIF(I8496,"32*")&gt;0,COUNTIF(J8496,"*32*")&gt;0,COUNTIF(I8496,"33*")&gt;0,COUNTIF(J8496,"*33*")&gt;0,COUNTIF(I8496,"41*")&gt;0,COUNTIF(J8496,"*41*")&gt;0,COUNTIF(I8496,"42*")&gt;0,COUNTIF(J8496,"*42*")&gt;0,COUNTIF(I8496,"43*")&gt;0,COUNTIF(J8496,"*43*")&gt;0,COUNTIF(I8496,"49*")&gt;0,COUNTIF(J8496,"*49*")&gt;0,COUNTIF(I8496,"52*")&gt;0,COUNTIF(J8496,"*52*")&gt;0,COUNTIF(I8496,"55*")&gt;0,COUNTIF(J8496,"*55*")&gt;0,COUNTIF(I8496,"56*")&gt;0,COUNTIF(J8496,"*56*")&gt;0,COUNTIF(I8496,"68*")&gt;0,COUNTIF(J8496,"*68*")&gt;0,COUNTIF(I8496,"78*")&gt;0,COUNTIF(J8496,"*78*")&gt;0,COUNTIF(I8496,"81*")&gt;0,COUNTIF(J8496,"*81*")&gt;0,COUNTIF(I8496,"82*")&gt;0,COUNTIF(J8496,"*82*")&gt;0,COUNTIF(I8496,"64*")&gt;0,COUNTIF(J8496,"*64*")&gt;0,COUNTIF(I8496,"65*")&gt;0,COUNTIF(J8496,"*65*")&gt;0,COUNTIF(I8496,"66*")&gt;0,COUNTIF(J8496,"*66*")&gt;0,COUNTIF(I8496,"61*")&gt;0,COUNTIF(J8496,"*61*")&gt;0,COUNTIF(I8496,"62*")&gt;0,COUNTIF(J8496,"*62*")&gt;0,COUNTIF(I8496,"63*")&gt;0,COUNTIF(J8496,"*63*")&gt;0,COUNTIF(I8496,"85*")&gt;0,COUNTIF(J8496,"*85*")&gt;0,COUNTIF(I8496,"86*")&gt;0,COUNTIF(J8496,"*86*")&gt;0),"Да","Нет"))</f>
        <v/>
      </c>
      <c r="M8496" s="13">
        <f>IF(OR(G8496="",L8496&lt;&gt;"Да"),"",IF(G8496&lt;=100,"До 100",IF(G8496&lt;=200,"До 200",IF(G8496&lt;=500,"До 500","Отдельное КП"))))</f>
        <v/>
      </c>
      <c r="N8496" s="15">
        <f>IF(OR(G8496="",L8496&lt;&gt;"Да"),"",IF(G8496&lt;=100,33600,IF(G8496&lt;=200,62400,IF(G8496&lt;=500,144000,""))))</f>
        <v/>
      </c>
      <c r="O8496" s="16">
        <f>IF(G8496="","",IF(G8496&lt;=15,"1–15",IF(G8496&lt;=30,"16–30",IF(G8496&lt;=50,"31–50",IF(G8496&lt;=100,"51–100",IF(G8496&lt;=150,"101–150",IF(G8496&lt;=200,"151–200",IF(G8496&lt;=500,"201–500","500+"))))))))</f>
        <v/>
      </c>
      <c r="P8496" s="16" t="inlineStr">
        <is>
          <t>Нет совпадения в предоставленной выгрузке ССЧР</t>
        </is>
      </c>
      <c r="Q8496" s="16" t="n"/>
      <c r="R8496" s="16">
        <f>HYPERLINK("https://checko.ru/search?query=3801001629","Чекко: проверить")</f>
        <v/>
      </c>
      <c r="S8496" t="n">
        <v>0</v>
      </c>
    </row>
    <row r="8497" ht="15" customHeight="1" s="24">
      <c r="A8497" s="13" t="inlineStr">
        <is>
          <t>FR1308318</t>
        </is>
      </c>
      <c r="B8497" s="13" t="inlineStr">
        <is>
          <t>ИП Тожулук Алена Дим-Ооловна</t>
        </is>
      </c>
      <c r="C8497" s="13" t="n">
        <v>170100054705</v>
      </c>
      <c r="D8497" s="13" t="inlineStr">
        <is>
          <t>170100054705</t>
        </is>
      </c>
      <c r="E8497" s="13" t="inlineStr">
        <is>
          <t>ИП РФ / физлицо</t>
        </is>
      </c>
      <c r="F8497" s="13" t="n"/>
      <c r="G8497" s="14" t="n"/>
      <c r="H8497" s="14" t="n"/>
      <c r="I8497" s="14" t="n"/>
      <c r="J8497" s="14" t="n"/>
      <c r="K8497" s="53" t="inlineStr"/>
      <c r="L8497" s="53" t="inlineStr">
        <is>
          <t>Не определено</t>
        </is>
      </c>
      <c r="M8497" s="53" t="inlineStr"/>
      <c r="N8497" s="54" t="inlineStr"/>
      <c r="O8497" s="55" t="inlineStr"/>
      <c r="P8497" s="16" t="inlineStr">
        <is>
          <t>Требует обогащения</t>
        </is>
      </c>
      <c r="Q8497" s="16">
        <f>HYPERLINK("https://pb.nalog.ru/search.html?query=170100054705","ФНС: проверить")</f>
        <v/>
      </c>
      <c r="R8497" s="16">
        <f>HYPERLINK("https://checko.ru/search?query=3801001629","Чекко: проверить")</f>
        <v/>
      </c>
      <c r="S8497" t="n">
        <v>1</v>
      </c>
      <c r="T8497" s="35" t="inlineStr">
        <is>
          <t>4 — Не обогащён</t>
        </is>
      </c>
      <c r="U8497" s="35" t="inlineStr">
        <is>
          <t>Нет ОКВЭД/ССЧР</t>
        </is>
      </c>
      <c r="V8497" s="35" t="inlineStr">
        <is>
          <t>Не определено</t>
        </is>
      </c>
      <c r="W8497" s="35" t="inlineStr"/>
      <c r="X8497" s="35" t="inlineStr"/>
    </row>
    <row r="8498" ht="15" customHeight="1" s="24">
      <c r="A8498" s="13" t="inlineStr">
        <is>
          <t>FR760863</t>
        </is>
      </c>
      <c r="B8498" s="13" t="inlineStr">
        <is>
          <t>ИП Перевозина Альбина Ивановна</t>
        </is>
      </c>
      <c r="C8498" s="13" t="n">
        <v>753600146449</v>
      </c>
      <c r="D8498" s="13" t="inlineStr">
        <is>
          <t>753600146449</t>
        </is>
      </c>
      <c r="E8498" s="13" t="inlineStr">
        <is>
          <t>ИП РФ / физлицо</t>
        </is>
      </c>
      <c r="F8498" s="13" t="n"/>
      <c r="G8498" s="14" t="n"/>
      <c r="H8498" s="14" t="n"/>
      <c r="I8498" s="14" t="n"/>
      <c r="J8498" s="14" t="n"/>
      <c r="K8498" s="53" t="inlineStr"/>
      <c r="L8498" s="53" t="inlineStr">
        <is>
          <t>Не определено</t>
        </is>
      </c>
      <c r="M8498" s="53" t="inlineStr"/>
      <c r="N8498" s="54" t="inlineStr"/>
      <c r="O8498" s="55" t="inlineStr"/>
      <c r="P8498" s="16" t="inlineStr">
        <is>
          <t>Требует обогащения</t>
        </is>
      </c>
      <c r="Q8498" s="16">
        <f>HYPERLINK("https://pb.nalog.ru/search.html?query=753600146449","ФНС: проверить")</f>
        <v/>
      </c>
      <c r="R8498" s="16">
        <f>HYPERLINK("https://checko.ru/search?query=3801001629","Чекко: проверить")</f>
        <v/>
      </c>
      <c r="S8498" t="n">
        <v>1</v>
      </c>
      <c r="T8498" s="35" t="inlineStr">
        <is>
          <t>4 — Не обогащён</t>
        </is>
      </c>
      <c r="U8498" s="35" t="inlineStr">
        <is>
          <t>Нет ОКВЭД/ССЧР</t>
        </is>
      </c>
      <c r="V8498" s="35" t="inlineStr">
        <is>
          <t>Не определено</t>
        </is>
      </c>
      <c r="W8498" s="35" t="inlineStr"/>
      <c r="X8498" s="35" t="inlineStr"/>
    </row>
    <row r="8499" ht="15" customHeight="1" s="24">
      <c r="A8499" s="13" t="inlineStr">
        <is>
          <t>FR921685</t>
        </is>
      </c>
      <c r="B8499" s="13" t="inlineStr">
        <is>
          <t>ИП Матвеев Никита Сергеевич</t>
        </is>
      </c>
      <c r="C8499" s="13" t="n">
        <v>381901730596</v>
      </c>
      <c r="D8499" s="13" t="inlineStr">
        <is>
          <t>381901730596</t>
        </is>
      </c>
      <c r="E8499" s="13" t="inlineStr">
        <is>
          <t>ИП РФ / физлицо</t>
        </is>
      </c>
      <c r="F8499" s="13" t="n"/>
      <c r="G8499" s="14" t="n"/>
      <c r="H8499" s="14" t="n"/>
      <c r="I8499" s="14" t="n"/>
      <c r="J8499" s="14" t="n"/>
      <c r="K8499" s="53" t="inlineStr"/>
      <c r="L8499" s="53" t="inlineStr">
        <is>
          <t>Не определено</t>
        </is>
      </c>
      <c r="M8499" s="53" t="inlineStr"/>
      <c r="N8499" s="54" t="inlineStr"/>
      <c r="O8499" s="55" t="inlineStr"/>
      <c r="P8499" s="16" t="inlineStr">
        <is>
          <t>Требует обогащения</t>
        </is>
      </c>
      <c r="Q8499" s="16">
        <f>HYPERLINK("https://pb.nalog.ru/search.html?query=381901730596","ФНС: проверить")</f>
        <v/>
      </c>
      <c r="R8499" s="16">
        <f>HYPERLINK("https://checko.ru/search?query=3801001629","Чекко: проверить")</f>
        <v/>
      </c>
      <c r="S8499" t="n">
        <v>1</v>
      </c>
      <c r="T8499" s="35" t="inlineStr">
        <is>
          <t>4 — Не обогащён</t>
        </is>
      </c>
      <c r="U8499" s="35" t="inlineStr">
        <is>
          <t>Нет ОКВЭД/ССЧР</t>
        </is>
      </c>
      <c r="V8499" s="35" t="inlineStr">
        <is>
          <t>Не определено</t>
        </is>
      </c>
      <c r="W8499" s="35" t="inlineStr"/>
      <c r="X8499" s="35" t="inlineStr"/>
    </row>
    <row r="8500" ht="15" customHeight="1" s="24">
      <c r="A8500" s="13" t="inlineStr">
        <is>
          <t>FR1334027</t>
        </is>
      </c>
      <c r="B8500" s="13" t="inlineStr">
        <is>
          <t>ИП Гомбоева Сэсэг Баторовна</t>
        </is>
      </c>
      <c r="C8500" s="13" t="n">
        <v>31002112198</v>
      </c>
      <c r="D8500" s="13" t="n"/>
      <c r="E8500" s="13" t="inlineStr">
        <is>
          <t>Не определён</t>
        </is>
      </c>
      <c r="F8500" s="13" t="n"/>
      <c r="G8500" s="14" t="n"/>
      <c r="H8500" s="14" t="n"/>
      <c r="I8500" s="14" t="n"/>
      <c r="J8500" s="14" t="n"/>
      <c r="K8500" s="13">
        <f>IF(G8500="","",IF(G8500&gt;=22,"Да","Нет"))</f>
        <v/>
      </c>
      <c r="L8500" s="13">
        <f>IF(OR(I8500="",J8500=""),"Не определено",IF(OR(COUNTIF(I8500,"45*")&gt;0,COUNTIF(J8500,"*45*")&gt;0,COUNTIF(I8500,"46*")&gt;0,COUNTIF(J8500,"*46*")&gt;0,COUNTIF(I8500,"47*")&gt;0,COUNTIF(J8500,"*47*")&gt;0,COUNTIF(I8500,"10*")&gt;0,COUNTIF(J8500,"*10*")&gt;0,COUNTIF(I8500,"11*")&gt;0,COUNTIF(J8500,"*11*")&gt;0,COUNTIF(I8500,"12*")&gt;0,COUNTIF(J8500,"*12*")&gt;0,COUNTIF(I8500,"13*")&gt;0,COUNTIF(J8500,"*13*")&gt;0,COUNTIF(I8500,"14*")&gt;0,COUNTIF(J8500,"*14*")&gt;0,COUNTIF(I8500,"15*")&gt;0,COUNTIF(J8500,"*15*")&gt;0,COUNTIF(I8500,"16*")&gt;0,COUNTIF(J8500,"*16*")&gt;0,COUNTIF(I8500,"17*")&gt;0,COUNTIF(J8500,"*17*")&gt;0,COUNTIF(I8500,"18*")&gt;0,COUNTIF(J8500,"*18*")&gt;0,COUNTIF(I8500,"19*")&gt;0,COUNTIF(J8500,"*19*")&gt;0,COUNTIF(I8500,"20*")&gt;0,COUNTIF(J8500,"*20*")&gt;0,COUNTIF(I8500,"21*")&gt;0,COUNTIF(J8500,"*21*")&gt;0,COUNTIF(I8500,"22*")&gt;0,COUNTIF(J8500,"*22*")&gt;0,COUNTIF(I8500,"23*")&gt;0,COUNTIF(J8500,"*23*")&gt;0,COUNTIF(I8500,"24*")&gt;0,COUNTIF(J8500,"*24*")&gt;0,COUNTIF(I8500,"25*")&gt;0,COUNTIF(J8500,"*25*")&gt;0,COUNTIF(I8500,"26*")&gt;0,COUNTIF(J8500,"*26*")&gt;0,COUNTIF(I8500,"27*")&gt;0,COUNTIF(J8500,"*27*")&gt;0,COUNTIF(I8500,"28*")&gt;0,COUNTIF(J8500,"*28*")&gt;0,COUNTIF(I8500,"29*")&gt;0,COUNTIF(J8500,"*29*")&gt;0,COUNTIF(I8500,"30*")&gt;0,COUNTIF(J8500,"*30*")&gt;0,COUNTIF(I8500,"31*")&gt;0,COUNTIF(J8500,"*31*")&gt;0,COUNTIF(I8500,"32*")&gt;0,COUNTIF(J8500,"*32*")&gt;0,COUNTIF(I8500,"33*")&gt;0,COUNTIF(J8500,"*33*")&gt;0,COUNTIF(I8500,"41*")&gt;0,COUNTIF(J8500,"*41*")&gt;0,COUNTIF(I8500,"42*")&gt;0,COUNTIF(J8500,"*42*")&gt;0,COUNTIF(I8500,"43*")&gt;0,COUNTIF(J8500,"*43*")&gt;0,COUNTIF(I8500,"49*")&gt;0,COUNTIF(J8500,"*49*")&gt;0,COUNTIF(I8500,"52*")&gt;0,COUNTIF(J8500,"*52*")&gt;0,COUNTIF(I8500,"55*")&gt;0,COUNTIF(J8500,"*55*")&gt;0,COUNTIF(I8500,"56*")&gt;0,COUNTIF(J8500,"*56*")&gt;0,COUNTIF(I8500,"68*")&gt;0,COUNTIF(J8500,"*68*")&gt;0,COUNTIF(I8500,"78*")&gt;0,COUNTIF(J8500,"*78*")&gt;0,COUNTIF(I8500,"81*")&gt;0,COUNTIF(J8500,"*81*")&gt;0,COUNTIF(I8500,"82*")&gt;0,COUNTIF(J8500,"*82*")&gt;0,COUNTIF(I8500,"64*")&gt;0,COUNTIF(J8500,"*64*")&gt;0,COUNTIF(I8500,"65*")&gt;0,COUNTIF(J8500,"*65*")&gt;0,COUNTIF(I8500,"66*")&gt;0,COUNTIF(J8500,"*66*")&gt;0,COUNTIF(I8500,"61*")&gt;0,COUNTIF(J8500,"*61*")&gt;0,COUNTIF(I8500,"62*")&gt;0,COUNTIF(J8500,"*62*")&gt;0,COUNTIF(I8500,"63*")&gt;0,COUNTIF(J8500,"*63*")&gt;0,COUNTIF(I8500,"85*")&gt;0,COUNTIF(J8500,"*85*")&gt;0,COUNTIF(I8500,"86*")&gt;0,COUNTIF(J8500,"*86*")&gt;0),"Да","Нет"))</f>
        <v/>
      </c>
      <c r="M8500" s="13">
        <f>IF(OR(G8500="",L8500&lt;&gt;"Да"),"",IF(G8500&lt;=100,"До 100",IF(G8500&lt;=200,"До 200",IF(G8500&lt;=500,"До 500","Отдельное КП"))))</f>
        <v/>
      </c>
      <c r="N8500" s="15">
        <f>IF(OR(G8500="",L8500&lt;&gt;"Да"),"",IF(G8500&lt;=100,33600,IF(G8500&lt;=200,62400,IF(G8500&lt;=500,144000,""))))</f>
        <v/>
      </c>
      <c r="O8500" s="16">
        <f>IF(G8500="","",IF(G8500&lt;=15,"1–15",IF(G8500&lt;=30,"16–30",IF(G8500&lt;=50,"31–50",IF(G8500&lt;=100,"51–100",IF(G8500&lt;=150,"101–150",IF(G8500&lt;=200,"151–200",IF(G8500&lt;=500,"201–500","500+"))))))))</f>
        <v/>
      </c>
      <c r="P8500" s="16" t="inlineStr">
        <is>
          <t>Нет совпадения в предоставленной выгрузке ССЧР</t>
        </is>
      </c>
      <c r="Q8500" s="16" t="n"/>
      <c r="R8500" s="16">
        <f>HYPERLINK("https://checko.ru/search?query=3801001629","Чекко: проверить")</f>
        <v/>
      </c>
      <c r="S8500" t="n">
        <v>0</v>
      </c>
    </row>
    <row r="8501" ht="15" customHeight="1" s="24">
      <c r="A8501" s="13" t="n">
        <v>20015427134</v>
      </c>
      <c r="B8501" s="13" t="inlineStr">
        <is>
          <t>ООО "ГСМ-Авиасервис"</t>
        </is>
      </c>
      <c r="C8501" s="13" t="n">
        <v>3848001374</v>
      </c>
      <c r="D8501" s="13" t="inlineStr">
        <is>
          <t>3848001374</t>
        </is>
      </c>
      <c r="E8501" s="13" t="inlineStr">
        <is>
          <t>ЮЛ РФ</t>
        </is>
      </c>
      <c r="F8501" s="13" t="n"/>
      <c r="G8501" s="52" t="n">
        <v>14</v>
      </c>
      <c r="H8501" s="52" t="n">
        <v>2025</v>
      </c>
      <c r="I8501" s="14" t="n"/>
      <c r="J8501" s="14" t="n"/>
      <c r="K8501" s="53" t="inlineStr">
        <is>
          <t>Нет</t>
        </is>
      </c>
      <c r="L8501" s="53" t="inlineStr">
        <is>
          <t>Не определено</t>
        </is>
      </c>
      <c r="M8501" s="53" t="inlineStr">
        <is>
          <t>До 25</t>
        </is>
      </c>
      <c r="N8501" s="54" t="n">
        <v>8400</v>
      </c>
      <c r="O8501" s="55" t="inlineStr">
        <is>
          <t>1–15</t>
        </is>
      </c>
      <c r="P8501" s="16" t="inlineStr">
        <is>
          <t>ССЧР обогащена; ОКВЭД не найден/не загружен</t>
        </is>
      </c>
      <c r="Q8501" s="16" t="inlineStr">
        <is>
          <t>ФНС открытые данные ССЧР (ДатаСост 31.12.2025; набор 7707329152-sshr2019)</t>
        </is>
      </c>
      <c r="R8501" s="16">
        <f>HYPERLINK("https://checko.ru/search?query=3801001629","Чекко: проверить")</f>
        <v/>
      </c>
      <c r="S8501" t="n">
        <v>0</v>
      </c>
      <c r="T8501" s="35" t="inlineStr">
        <is>
          <t>4 — Не обогащён</t>
        </is>
      </c>
      <c r="U8501" s="35" t="inlineStr">
        <is>
          <t>Нет ОКВЭД/ССЧР</t>
        </is>
      </c>
      <c r="V8501" s="35" t="inlineStr">
        <is>
          <t>Не определено</t>
        </is>
      </c>
      <c r="W8501" s="35" t="inlineStr">
        <is>
          <t>Нет</t>
        </is>
      </c>
      <c r="X8501" s="35" t="inlineStr"/>
    </row>
    <row r="8502" ht="15" customHeight="1" s="24">
      <c r="A8502" s="13" t="inlineStr">
        <is>
          <t>FR741</t>
        </is>
      </c>
      <c r="B8502" s="13" t="inlineStr">
        <is>
          <t>ООО "ГРУППА КОМПАНИЙ "ГЛОБАЛ"</t>
        </is>
      </c>
      <c r="C8502" s="13" t="n">
        <v>2724212211</v>
      </c>
      <c r="D8502" s="13" t="inlineStr">
        <is>
          <t>2724212211</t>
        </is>
      </c>
      <c r="E8502" s="13" t="inlineStr">
        <is>
          <t>ЮЛ РФ</t>
        </is>
      </c>
      <c r="F8502" s="13" t="n"/>
      <c r="G8502" s="52" t="n">
        <v>677</v>
      </c>
      <c r="H8502" s="52" t="n">
        <v>2025</v>
      </c>
      <c r="I8502" s="52" t="inlineStr">
        <is>
          <t>49.41.1</t>
        </is>
      </c>
      <c r="J8502" s="52" t="inlineStr">
        <is>
          <t>49.41.1; 41.20; 42.11; 42.12; 42.13; 43.11; 43.12.1; 43.13; 43.99.5; 43.99.7; 46.13; 46.13.1; 46.13.2; 46.19; 46.49; 46.71; 46.73.6; 46.90; 47.91.2; 47.91.3; 47.91.4; 49.31.25; 49.32; 49.41.2; 49.41.3; 52.29; 53.20.3; 62.01; 62.02; 68.10; 71.12.3; 73.11; 79.11; 82.99</t>
        </is>
      </c>
      <c r="K8502" s="53" t="inlineStr">
        <is>
          <t>Да</t>
        </is>
      </c>
      <c r="L8502" s="53" t="inlineStr">
        <is>
          <t>Да</t>
        </is>
      </c>
      <c r="M8502" s="53" t="inlineStr">
        <is>
          <t>До 2000</t>
        </is>
      </c>
      <c r="N8502" s="54" t="n">
        <v>528000</v>
      </c>
      <c r="O8502" s="55" t="inlineStr">
        <is>
          <t>500+</t>
        </is>
      </c>
      <c r="P8502" s="16" t="inlineStr">
        <is>
          <t>ССЧР + ОКВЭД обогащены</t>
        </is>
      </c>
      <c r="Q8502" s="16" t="inlineStr">
        <is>
          <t>ФНС открытые данные ССЧР (ДатаСост 31.12.2025; набор 7707329152-sshr2019)</t>
        </is>
      </c>
      <c r="R8502" s="16" t="inlineStr">
        <is>
          <t>ЕГРЮЛ / egrul.nalog.ru (выписка)</t>
        </is>
      </c>
      <c r="S8502" t="n">
        <v>0</v>
      </c>
      <c r="T8502" s="35" t="inlineStr">
        <is>
          <t>1 — Горячий</t>
        </is>
      </c>
      <c r="U8502" s="35" t="inlineStr">
        <is>
          <t>ОКВЭД + 22+</t>
        </is>
      </c>
      <c r="V8502" s="35" t="inlineStr">
        <is>
          <t>Да</t>
        </is>
      </c>
      <c r="W8502" s="35" t="inlineStr">
        <is>
          <t>Да</t>
        </is>
      </c>
      <c r="X8502" s="35" t="inlineStr">
        <is>
          <t>Да</t>
        </is>
      </c>
    </row>
    <row r="8503" ht="15" customHeight="1" s="24">
      <c r="A8503" s="13" t="n">
        <v>9248367</v>
      </c>
      <c r="B8503" s="13" t="inlineStr">
        <is>
          <t>ООО «Частное охранное предприятие «БрАЗ»</t>
        </is>
      </c>
      <c r="C8503" s="13" t="n">
        <v>3804029823</v>
      </c>
      <c r="D8503" s="13" t="inlineStr">
        <is>
          <t>3804029823</t>
        </is>
      </c>
      <c r="E8503" s="13" t="inlineStr">
        <is>
          <t>ЮЛ РФ</t>
        </is>
      </c>
      <c r="F8503" s="13" t="n"/>
      <c r="G8503" s="52" t="n">
        <v>142</v>
      </c>
      <c r="H8503" s="52" t="n">
        <v>2025</v>
      </c>
      <c r="I8503" s="52" t="inlineStr">
        <is>
          <t>80.10.2</t>
        </is>
      </c>
      <c r="J8503" s="52" t="inlineStr">
        <is>
          <t>80.10.2; 80.10</t>
        </is>
      </c>
      <c r="K8503" s="53" t="inlineStr">
        <is>
          <t>Да</t>
        </is>
      </c>
      <c r="L8503" s="53" t="inlineStr">
        <is>
          <t>Да</t>
        </is>
      </c>
      <c r="M8503" s="53" t="inlineStr">
        <is>
          <t>До 200</t>
        </is>
      </c>
      <c r="N8503" s="54" t="n">
        <v>62400</v>
      </c>
      <c r="O8503" s="55" t="inlineStr">
        <is>
          <t>101–200</t>
        </is>
      </c>
      <c r="P8503" s="16" t="inlineStr">
        <is>
          <t>ССЧР + ОКВЭД обогащены</t>
        </is>
      </c>
      <c r="Q8503" s="16" t="inlineStr">
        <is>
          <t>ФНС открытые данные ССЧР (ДатаСост 31.12.2025; набор 7707329152-sshr2019)</t>
        </is>
      </c>
      <c r="R8503" s="16" t="inlineStr">
        <is>
          <t>ЕГРЮЛ / egrul.nalog.ru (выписка)</t>
        </is>
      </c>
      <c r="S8503" t="n">
        <v>0</v>
      </c>
      <c r="T8503" s="35" t="inlineStr">
        <is>
          <t>1 — Горячий</t>
        </is>
      </c>
      <c r="U8503" s="35" t="inlineStr">
        <is>
          <t>ОКВЭД + 22+</t>
        </is>
      </c>
      <c r="V8503" s="35" t="inlineStr">
        <is>
          <t>Да</t>
        </is>
      </c>
      <c r="W8503" s="35" t="inlineStr">
        <is>
          <t>Да</t>
        </is>
      </c>
      <c r="X8503" s="35" t="inlineStr">
        <is>
          <t>Да</t>
        </is>
      </c>
    </row>
    <row r="8504" ht="27.75" customHeight="1" s="24">
      <c r="A8504" s="13" t="n">
        <v>804707180</v>
      </c>
      <c r="B8504" s="13" t="inlineStr">
        <is>
          <t>ОБЩЕСТВО С ОГРАНИЧЕННОЙ ОТВЕТСТВЕННОСТЬЮ "РОЩА"</t>
        </is>
      </c>
      <c r="C8504" s="13" t="n">
        <v>3808290105</v>
      </c>
      <c r="D8504" s="13" t="inlineStr">
        <is>
          <t>3808290105</t>
        </is>
      </c>
      <c r="E8504" s="13" t="inlineStr">
        <is>
          <t>ЮЛ РФ</t>
        </is>
      </c>
      <c r="F8504" s="13" t="n"/>
      <c r="G8504" s="52" t="n">
        <v>156</v>
      </c>
      <c r="H8504" s="52" t="n">
        <v>2025</v>
      </c>
      <c r="I8504" s="52" t="inlineStr">
        <is>
          <t>47.78</t>
        </is>
      </c>
      <c r="J8504" s="52" t="inlineStr">
        <is>
          <t>47.78; 49.41.1; 46.73; 46.74; 46.90; 47.19; 47.52; 47.54; 47.59; 49.41; 52.10; 52.21.29; 52.29</t>
        </is>
      </c>
      <c r="K8504" s="53" t="inlineStr">
        <is>
          <t>Да</t>
        </is>
      </c>
      <c r="L8504" s="53" t="inlineStr">
        <is>
          <t>Да</t>
        </is>
      </c>
      <c r="M8504" s="53" t="inlineStr">
        <is>
          <t>До 200</t>
        </is>
      </c>
      <c r="N8504" s="54" t="n">
        <v>62400</v>
      </c>
      <c r="O8504" s="55" t="inlineStr">
        <is>
          <t>101–200</t>
        </is>
      </c>
      <c r="P8504" s="16" t="inlineStr">
        <is>
          <t>ССЧР + ОКВЭД обогащены</t>
        </is>
      </c>
      <c r="Q8504" s="16" t="inlineStr">
        <is>
          <t>ФНС открытые данные ССЧР (ДатаСост 31.12.2025; набор 7707329152-sshr2019)</t>
        </is>
      </c>
      <c r="R8504" s="16" t="inlineStr">
        <is>
          <t>ЕГРЮЛ / egrul.nalog.ru (выписка)</t>
        </is>
      </c>
      <c r="S8504" t="n">
        <v>0</v>
      </c>
      <c r="T8504" s="35" t="inlineStr">
        <is>
          <t>1 — Горячий</t>
        </is>
      </c>
      <c r="U8504" s="35" t="inlineStr">
        <is>
          <t>ОКВЭД + 22+</t>
        </is>
      </c>
      <c r="V8504" s="35" t="inlineStr">
        <is>
          <t>Да</t>
        </is>
      </c>
      <c r="W8504" s="35" t="inlineStr">
        <is>
          <t>Да</t>
        </is>
      </c>
      <c r="X8504" s="35" t="inlineStr">
        <is>
          <t>Да</t>
        </is>
      </c>
    </row>
    <row r="8505" ht="27.75" customHeight="1" s="24">
      <c r="A8505" s="13" t="n">
        <v>802514063</v>
      </c>
      <c r="B8505" s="13" t="inlineStr">
        <is>
          <t>Общество с ограниченной ответственностью "СК ЛЕГЕНДАСТРОЙ"</t>
        </is>
      </c>
      <c r="C8505" s="13" t="n">
        <v>3810084710</v>
      </c>
      <c r="D8505" s="13" t="inlineStr">
        <is>
          <t>3810084710</t>
        </is>
      </c>
      <c r="E8505" s="13" t="inlineStr">
        <is>
          <t>ЮЛ РФ</t>
        </is>
      </c>
      <c r="F8505" s="13" t="n"/>
      <c r="G8505" s="52" t="n">
        <v>53</v>
      </c>
      <c r="H8505" s="52" t="n">
        <v>2025</v>
      </c>
      <c r="I8505" s="52" t="inlineStr">
        <is>
          <t>49.41</t>
        </is>
      </c>
      <c r="J8505" s="52" t="inlineStr">
        <is>
          <t>49.41; 41.20; 42.11; 42.21; 42.22; 42.99; 43.11; 43.12; 43.31; 43.33; 43.34; 43.39; 45.32; 56.10; 71.11</t>
        </is>
      </c>
      <c r="K8505" s="53" t="inlineStr">
        <is>
          <t>Да</t>
        </is>
      </c>
      <c r="L8505" s="53" t="inlineStr">
        <is>
          <t>Да</t>
        </is>
      </c>
      <c r="M8505" s="53" t="inlineStr">
        <is>
          <t>До 100</t>
        </is>
      </c>
      <c r="N8505" s="54" t="n">
        <v>33600</v>
      </c>
      <c r="O8505" s="55" t="inlineStr">
        <is>
          <t>51–100</t>
        </is>
      </c>
      <c r="P8505" s="16" t="inlineStr">
        <is>
          <t>ССЧР + ОКВЭД обогащены</t>
        </is>
      </c>
      <c r="Q8505" s="16" t="inlineStr">
        <is>
          <t>ФНС открытые данные ССЧР (ДатаСост 31.12.2025; набор 7707329152-sshr2019)</t>
        </is>
      </c>
      <c r="R8505" s="16" t="inlineStr">
        <is>
          <t>ЕГРЮЛ / egrul.nalog.ru (выписка)</t>
        </is>
      </c>
      <c r="S8505" t="n">
        <v>0</v>
      </c>
      <c r="T8505" s="35" t="inlineStr">
        <is>
          <t>1 — Горячий</t>
        </is>
      </c>
      <c r="U8505" s="35" t="inlineStr">
        <is>
          <t>ОКВЭД + 22+</t>
        </is>
      </c>
      <c r="V8505" s="35" t="inlineStr">
        <is>
          <t>Да</t>
        </is>
      </c>
      <c r="W8505" s="35" t="inlineStr">
        <is>
          <t>Да</t>
        </is>
      </c>
      <c r="X8505" s="35" t="inlineStr">
        <is>
          <t>Да</t>
        </is>
      </c>
    </row>
    <row r="8506" ht="15" customHeight="1" s="24">
      <c r="A8506" s="13" t="inlineStr">
        <is>
          <t>FR63493</t>
        </is>
      </c>
      <c r="B8506" s="13" t="inlineStr">
        <is>
          <t>ИП Шмонин Дмитрий Игоревич</t>
        </is>
      </c>
      <c r="C8506" s="13" t="n">
        <v>381257049760</v>
      </c>
      <c r="D8506" s="13" t="inlineStr">
        <is>
          <t>381257049760</t>
        </is>
      </c>
      <c r="E8506" s="13" t="inlineStr">
        <is>
          <t>ИП РФ / физлицо</t>
        </is>
      </c>
      <c r="F8506" s="13" t="n"/>
      <c r="G8506" s="14" t="n"/>
      <c r="H8506" s="14" t="n"/>
      <c r="I8506" s="14" t="n"/>
      <c r="J8506" s="14" t="n"/>
      <c r="K8506" s="53" t="inlineStr"/>
      <c r="L8506" s="53" t="inlineStr">
        <is>
          <t>Не определено</t>
        </is>
      </c>
      <c r="M8506" s="53" t="inlineStr"/>
      <c r="N8506" s="54" t="inlineStr"/>
      <c r="O8506" s="55" t="inlineStr"/>
      <c r="P8506" s="16" t="inlineStr">
        <is>
          <t>Требует обогащения</t>
        </is>
      </c>
      <c r="Q8506" s="16">
        <f>HYPERLINK("https://pb.nalog.ru/search.html?query=381257049760","ФНС: проверить")</f>
        <v/>
      </c>
      <c r="R8506" s="16">
        <f>HYPERLINK("https://checko.ru/search?query=3801001629","Чекко: проверить")</f>
        <v/>
      </c>
      <c r="S8506" t="n">
        <v>0</v>
      </c>
      <c r="T8506" s="35" t="inlineStr">
        <is>
          <t>4 — Не обогащён</t>
        </is>
      </c>
      <c r="U8506" s="35" t="inlineStr">
        <is>
          <t>Нет ОКВЭД/ССЧР</t>
        </is>
      </c>
      <c r="V8506" s="35" t="inlineStr">
        <is>
          <t>Не определено</t>
        </is>
      </c>
      <c r="W8506" s="35" t="inlineStr"/>
      <c r="X8506" s="35" t="inlineStr"/>
    </row>
    <row r="8507" ht="27.75" customHeight="1" s="24">
      <c r="A8507" s="13" t="inlineStr">
        <is>
          <t>FR1196146</t>
        </is>
      </c>
      <c r="B8507" s="13" t="inlineStr">
        <is>
          <t>САДОВОДЧЕСКОЕ НЕКОММЕРЧЕСКОЕ ТОВАРИЩЕСТВО "РОДНИК"</t>
        </is>
      </c>
      <c r="C8507" s="13" t="n">
        <v>3805106358</v>
      </c>
      <c r="D8507" s="13" t="inlineStr">
        <is>
          <t>3805106358</t>
        </is>
      </c>
      <c r="E8507" s="13" t="inlineStr">
        <is>
          <t>ЮЛ РФ</t>
        </is>
      </c>
      <c r="F8507" s="13" t="n"/>
      <c r="G8507" s="14" t="n"/>
      <c r="H8507" s="14" t="n"/>
      <c r="I8507" s="14" t="n"/>
      <c r="J8507" s="14" t="n"/>
      <c r="K8507" s="53" t="inlineStr"/>
      <c r="L8507" s="53" t="inlineStr">
        <is>
          <t>Не определено</t>
        </is>
      </c>
      <c r="M8507" s="53" t="inlineStr"/>
      <c r="N8507" s="54" t="inlineStr"/>
      <c r="O8507" s="55" t="inlineStr"/>
      <c r="P8507" s="16" t="inlineStr">
        <is>
          <t>Требует обогащения</t>
        </is>
      </c>
      <c r="Q8507" s="16">
        <f>HYPERLINK("https://pb.nalog.ru/search.html?query=3805106358","ФНС: проверить")</f>
        <v/>
      </c>
      <c r="R8507" s="16">
        <f>HYPERLINK("https://checko.ru/search?query=3801001629","Чекко: проверить")</f>
        <v/>
      </c>
      <c r="S8507" t="n">
        <v>1</v>
      </c>
      <c r="T8507" s="35" t="inlineStr">
        <is>
          <t>4 — Не обогащён</t>
        </is>
      </c>
      <c r="U8507" s="35" t="inlineStr">
        <is>
          <t>Нет ОКВЭД/ССЧР</t>
        </is>
      </c>
      <c r="V8507" s="35" t="inlineStr">
        <is>
          <t>Не определено</t>
        </is>
      </c>
      <c r="W8507" s="35" t="inlineStr"/>
      <c r="X8507" s="35" t="inlineStr"/>
    </row>
    <row r="8508" ht="27.75" customHeight="1" s="24">
      <c r="A8508" s="13" t="inlineStr">
        <is>
          <t>FR1020730</t>
        </is>
      </c>
      <c r="B8508" s="13" t="inlineStr">
        <is>
          <t>САДОВОДЧЕСКОЕ НЕКОММЕРЧЕСКОЕ ТОВАРИЩЕСТВО "МИЧУРИНЕЦ"</t>
        </is>
      </c>
      <c r="C8508" s="13" t="n">
        <v>3805106340</v>
      </c>
      <c r="D8508" s="13" t="inlineStr">
        <is>
          <t>3805106340</t>
        </is>
      </c>
      <c r="E8508" s="13" t="inlineStr">
        <is>
          <t>ЮЛ РФ</t>
        </is>
      </c>
      <c r="F8508" s="13" t="n"/>
      <c r="G8508" s="14" t="n"/>
      <c r="H8508" s="14" t="n"/>
      <c r="I8508" s="14" t="n"/>
      <c r="J8508" s="14" t="n"/>
      <c r="K8508" s="53" t="inlineStr"/>
      <c r="L8508" s="53" t="inlineStr">
        <is>
          <t>Не определено</t>
        </is>
      </c>
      <c r="M8508" s="53" t="inlineStr"/>
      <c r="N8508" s="54" t="inlineStr"/>
      <c r="O8508" s="55" t="inlineStr"/>
      <c r="P8508" s="16" t="inlineStr">
        <is>
          <t>Требует обогащения</t>
        </is>
      </c>
      <c r="Q8508" s="16">
        <f>HYPERLINK("https://pb.nalog.ru/search.html?query=3805106340","ФНС: проверить")</f>
        <v/>
      </c>
      <c r="R8508" s="16">
        <f>HYPERLINK("https://checko.ru/search?query=3801001629","Чекко: проверить")</f>
        <v/>
      </c>
      <c r="S8508" t="n">
        <v>1</v>
      </c>
      <c r="T8508" s="35" t="inlineStr">
        <is>
          <t>4 — Не обогащён</t>
        </is>
      </c>
      <c r="U8508" s="35" t="inlineStr">
        <is>
          <t>Нет ОКВЭД/ССЧР</t>
        </is>
      </c>
      <c r="V8508" s="35" t="inlineStr">
        <is>
          <t>Не определено</t>
        </is>
      </c>
      <c r="W8508" s="35" t="inlineStr"/>
      <c r="X8508" s="35" t="inlineStr"/>
    </row>
    <row r="8509" ht="27.75" customHeight="1" s="24">
      <c r="A8509" s="13" t="inlineStr">
        <is>
          <t>FR274576</t>
        </is>
      </c>
      <c r="B8509" s="13" t="inlineStr">
        <is>
          <t>ДАЧНОЕ НЕКОММЕРЧЕСКОЕ ТОВАРИЩЕСТВО "СКИФ"</t>
        </is>
      </c>
      <c r="C8509" s="13" t="n">
        <v>3827007897</v>
      </c>
      <c r="D8509" s="13" t="inlineStr">
        <is>
          <t>3827007897</t>
        </is>
      </c>
      <c r="E8509" s="13" t="inlineStr">
        <is>
          <t>ЮЛ РФ</t>
        </is>
      </c>
      <c r="F8509" s="13" t="n"/>
      <c r="G8509" s="14" t="n"/>
      <c r="H8509" s="14" t="n"/>
      <c r="I8509" s="14" t="n"/>
      <c r="J8509" s="14" t="n"/>
      <c r="K8509" s="53" t="inlineStr"/>
      <c r="L8509" s="53" t="inlineStr">
        <is>
          <t>Не определено</t>
        </is>
      </c>
      <c r="M8509" s="53" t="inlineStr"/>
      <c r="N8509" s="54" t="inlineStr"/>
      <c r="O8509" s="55" t="inlineStr"/>
      <c r="P8509" s="16" t="inlineStr">
        <is>
          <t>Требует обогащения</t>
        </is>
      </c>
      <c r="Q8509" s="16">
        <f>HYPERLINK("https://pb.nalog.ru/search.html?query=3827007897","ФНС: проверить")</f>
        <v/>
      </c>
      <c r="R8509" s="16">
        <f>HYPERLINK("https://checko.ru/search?query=3801001629","Чекко: проверить")</f>
        <v/>
      </c>
      <c r="S8509" t="n">
        <v>1</v>
      </c>
      <c r="T8509" s="35" t="inlineStr">
        <is>
          <t>4 — Не обогащён</t>
        </is>
      </c>
      <c r="U8509" s="35" t="inlineStr">
        <is>
          <t>Нет ОКВЭД/ССЧР</t>
        </is>
      </c>
      <c r="V8509" s="35" t="inlineStr">
        <is>
          <t>Не определено</t>
        </is>
      </c>
      <c r="W8509" s="35" t="inlineStr"/>
      <c r="X8509" s="35" t="inlineStr"/>
    </row>
    <row r="8510" ht="27.75" customHeight="1" s="24">
      <c r="A8510" s="13" t="inlineStr">
        <is>
          <t>FR830427</t>
        </is>
      </c>
      <c r="B8510" s="13" t="inlineStr">
        <is>
          <t>САДОВОДЧЕСКОЕ НЕКОММЕРЧЕСКОЕ ТОВАРИЩЕСТВО "ДОРОЖНИК"</t>
        </is>
      </c>
      <c r="C8510" s="13" t="n">
        <v>3827008266</v>
      </c>
      <c r="D8510" s="13" t="inlineStr">
        <is>
          <t>3827008266</t>
        </is>
      </c>
      <c r="E8510" s="13" t="inlineStr">
        <is>
          <t>ЮЛ РФ</t>
        </is>
      </c>
      <c r="F8510" s="13" t="n"/>
      <c r="G8510" s="14" t="n"/>
      <c r="H8510" s="14" t="n"/>
      <c r="I8510" s="14" t="n"/>
      <c r="J8510" s="14" t="n"/>
      <c r="K8510" s="53" t="inlineStr"/>
      <c r="L8510" s="53" t="inlineStr">
        <is>
          <t>Не определено</t>
        </is>
      </c>
      <c r="M8510" s="53" t="inlineStr"/>
      <c r="N8510" s="54" t="inlineStr"/>
      <c r="O8510" s="55" t="inlineStr"/>
      <c r="P8510" s="16" t="inlineStr">
        <is>
          <t>Требует обогащения</t>
        </is>
      </c>
      <c r="Q8510" s="16">
        <f>HYPERLINK("https://pb.nalog.ru/search.html?query=3827008266","ФНС: проверить")</f>
        <v/>
      </c>
      <c r="R8510" s="16">
        <f>HYPERLINK("https://checko.ru/search?query=3801001629","Чекко: проверить")</f>
        <v/>
      </c>
      <c r="S8510" t="n">
        <v>1</v>
      </c>
      <c r="T8510" s="35" t="inlineStr">
        <is>
          <t>4 — Не обогащён</t>
        </is>
      </c>
      <c r="U8510" s="35" t="inlineStr">
        <is>
          <t>Нет ОКВЭД/ССЧР</t>
        </is>
      </c>
      <c r="V8510" s="35" t="inlineStr">
        <is>
          <t>Не определено</t>
        </is>
      </c>
      <c r="W8510" s="35" t="inlineStr"/>
      <c r="X8510" s="35" t="inlineStr"/>
    </row>
    <row r="8511" ht="27.75" customHeight="1" s="24">
      <c r="A8511" s="13" t="inlineStr">
        <is>
          <t>FR847567</t>
        </is>
      </c>
      <c r="B8511" s="13" t="inlineStr">
        <is>
          <t>САДОВОДЧЕСКОЕ НЕКОММЕРЧЕСКОЕ ТОВАРИЩЕСТВО "МЕТРОЛОГ"</t>
        </is>
      </c>
      <c r="C8511" s="13" t="n">
        <v>3827008114</v>
      </c>
      <c r="D8511" s="13" t="inlineStr">
        <is>
          <t>3827008114</t>
        </is>
      </c>
      <c r="E8511" s="13" t="inlineStr">
        <is>
          <t>ЮЛ РФ</t>
        </is>
      </c>
      <c r="F8511" s="13" t="n"/>
      <c r="G8511" s="14" t="n"/>
      <c r="H8511" s="14" t="n"/>
      <c r="I8511" s="14" t="n"/>
      <c r="J8511" s="14" t="n"/>
      <c r="K8511" s="53" t="inlineStr"/>
      <c r="L8511" s="53" t="inlineStr">
        <is>
          <t>Не определено</t>
        </is>
      </c>
      <c r="M8511" s="53" t="inlineStr"/>
      <c r="N8511" s="54" t="inlineStr"/>
      <c r="O8511" s="55" t="inlineStr"/>
      <c r="P8511" s="16" t="inlineStr">
        <is>
          <t>Требует обогащения</t>
        </is>
      </c>
      <c r="Q8511" s="16">
        <f>HYPERLINK("https://pb.nalog.ru/search.html?query=3827008114","ФНС: проверить")</f>
        <v/>
      </c>
      <c r="R8511" s="16">
        <f>HYPERLINK("https://checko.ru/search?query=3801001629","Чекко: проверить")</f>
        <v/>
      </c>
      <c r="S8511" t="n">
        <v>1</v>
      </c>
      <c r="T8511" s="35" t="inlineStr">
        <is>
          <t>4 — Не обогащён</t>
        </is>
      </c>
      <c r="U8511" s="35" t="inlineStr">
        <is>
          <t>Нет ОКВЭД/ССЧР</t>
        </is>
      </c>
      <c r="V8511" s="35" t="inlineStr">
        <is>
          <t>Не определено</t>
        </is>
      </c>
      <c r="W8511" s="35" t="inlineStr"/>
      <c r="X8511" s="35" t="inlineStr"/>
    </row>
    <row r="8512" ht="27.75" customHeight="1" s="24">
      <c r="A8512" s="13" t="inlineStr">
        <is>
          <t>FR1066477</t>
        </is>
      </c>
      <c r="B8512" s="13" t="inlineStr">
        <is>
          <t>ТОВАРИЩЕСТВО СОБСТВЕННИКОВ НЕДВИЖИМОСТИ "СКАЛА"</t>
        </is>
      </c>
      <c r="C8512" s="13" t="n">
        <v>3827009816</v>
      </c>
      <c r="D8512" s="13" t="inlineStr">
        <is>
          <t>3827009816</t>
        </is>
      </c>
      <c r="E8512" s="13" t="inlineStr">
        <is>
          <t>ЮЛ РФ</t>
        </is>
      </c>
      <c r="F8512" s="13" t="n"/>
      <c r="G8512" s="14" t="n"/>
      <c r="H8512" s="14" t="n"/>
      <c r="I8512" s="14" t="n"/>
      <c r="J8512" s="14" t="n"/>
      <c r="K8512" s="53" t="inlineStr"/>
      <c r="L8512" s="53" t="inlineStr">
        <is>
          <t>Не определено</t>
        </is>
      </c>
      <c r="M8512" s="53" t="inlineStr"/>
      <c r="N8512" s="54" t="inlineStr"/>
      <c r="O8512" s="55" t="inlineStr"/>
      <c r="P8512" s="16" t="inlineStr">
        <is>
          <t>Требует обогащения</t>
        </is>
      </c>
      <c r="Q8512" s="16">
        <f>HYPERLINK("https://pb.nalog.ru/search.html?query=3827009816","ФНС: проверить")</f>
        <v/>
      </c>
      <c r="R8512" s="16">
        <f>HYPERLINK("https://checko.ru/search?query=3801001629","Чекко: проверить")</f>
        <v/>
      </c>
      <c r="S8512" t="n">
        <v>1</v>
      </c>
      <c r="T8512" s="35" t="inlineStr">
        <is>
          <t>4 — Не обогащён</t>
        </is>
      </c>
      <c r="U8512" s="35" t="inlineStr">
        <is>
          <t>Нет ОКВЭД/ССЧР</t>
        </is>
      </c>
      <c r="V8512" s="35" t="inlineStr">
        <is>
          <t>Не определено</t>
        </is>
      </c>
      <c r="W8512" s="35" t="inlineStr"/>
      <c r="X8512" s="35" t="inlineStr"/>
    </row>
    <row r="8513" ht="27.75" customHeight="1" s="24">
      <c r="A8513" s="13" t="inlineStr">
        <is>
          <t>FR1252983</t>
        </is>
      </c>
      <c r="B8513" s="13" t="inlineStr">
        <is>
          <t>САДОВОДЧЕСКОЕ НЕКОММЕРЧЕСКОЕ ТОВАРИЩЕСТВО "ВАГОННИК"</t>
        </is>
      </c>
      <c r="C8513" s="13" t="n">
        <v>3801024016</v>
      </c>
      <c r="D8513" s="13" t="inlineStr">
        <is>
          <t>3801024016</t>
        </is>
      </c>
      <c r="E8513" s="13" t="inlineStr">
        <is>
          <t>ЮЛ РФ</t>
        </is>
      </c>
      <c r="F8513" s="13" t="n"/>
      <c r="G8513" s="14" t="n"/>
      <c r="H8513" s="14" t="n"/>
      <c r="I8513" s="14" t="n"/>
      <c r="J8513" s="14" t="n"/>
      <c r="K8513" s="53" t="inlineStr"/>
      <c r="L8513" s="53" t="inlineStr">
        <is>
          <t>Не определено</t>
        </is>
      </c>
      <c r="M8513" s="53" t="inlineStr"/>
      <c r="N8513" s="54" t="inlineStr"/>
      <c r="O8513" s="55" t="inlineStr"/>
      <c r="P8513" s="16" t="inlineStr">
        <is>
          <t>Требует обогащения</t>
        </is>
      </c>
      <c r="Q8513" s="16">
        <f>HYPERLINK("https://pb.nalog.ru/search.html?query=3801024016","ФНС: проверить")</f>
        <v/>
      </c>
      <c r="R8513" s="16">
        <f>HYPERLINK("https://checko.ru/search?query=3801001629","Чекко: проверить")</f>
        <v/>
      </c>
      <c r="S8513" t="n">
        <v>1</v>
      </c>
      <c r="T8513" s="35" t="inlineStr">
        <is>
          <t>4 — Не обогащён</t>
        </is>
      </c>
      <c r="U8513" s="35" t="inlineStr">
        <is>
          <t>Нет ОКВЭД/ССЧР</t>
        </is>
      </c>
      <c r="V8513" s="35" t="inlineStr">
        <is>
          <t>Не определено</t>
        </is>
      </c>
      <c r="W8513" s="35" t="inlineStr"/>
      <c r="X8513" s="35" t="inlineStr"/>
    </row>
    <row r="8514" ht="15" customHeight="1" s="24">
      <c r="A8514" s="13" t="inlineStr">
        <is>
          <t>FR501292</t>
        </is>
      </c>
      <c r="B8514" s="13" t="inlineStr">
        <is>
          <t>ИП Тепцов Роман Геннадьевич</t>
        </is>
      </c>
      <c r="C8514" s="13" t="n">
        <v>503112426780</v>
      </c>
      <c r="D8514" s="13" t="inlineStr">
        <is>
          <t>503112426780</t>
        </is>
      </c>
      <c r="E8514" s="13" t="inlineStr">
        <is>
          <t>ИП РФ / физлицо</t>
        </is>
      </c>
      <c r="F8514" s="13" t="n"/>
      <c r="G8514" s="14" t="n"/>
      <c r="H8514" s="14" t="n"/>
      <c r="I8514" s="14" t="n"/>
      <c r="J8514" s="14" t="n"/>
      <c r="K8514" s="53" t="inlineStr"/>
      <c r="L8514" s="53" t="inlineStr">
        <is>
          <t>Не определено</t>
        </is>
      </c>
      <c r="M8514" s="53" t="inlineStr"/>
      <c r="N8514" s="54" t="inlineStr"/>
      <c r="O8514" s="55" t="inlineStr"/>
      <c r="P8514" s="16" t="inlineStr">
        <is>
          <t>Требует обогащения</t>
        </is>
      </c>
      <c r="Q8514" s="16">
        <f>HYPERLINK("https://pb.nalog.ru/search.html?query=503112426780","ФНС: проверить")</f>
        <v/>
      </c>
      <c r="R8514" s="16">
        <f>HYPERLINK("https://checko.ru/search?query=3801001629","Чекко: проверить")</f>
        <v/>
      </c>
      <c r="S8514" t="n">
        <v>1</v>
      </c>
      <c r="T8514" s="35" t="inlineStr">
        <is>
          <t>4 — Не обогащён</t>
        </is>
      </c>
      <c r="U8514" s="35" t="inlineStr">
        <is>
          <t>Нет ОКВЭД/ССЧР</t>
        </is>
      </c>
      <c r="V8514" s="35" t="inlineStr">
        <is>
          <t>Не определено</t>
        </is>
      </c>
      <c r="W8514" s="35" t="inlineStr"/>
      <c r="X8514" s="35" t="inlineStr"/>
    </row>
    <row r="8515" ht="15" customHeight="1" s="24">
      <c r="A8515" s="13" t="inlineStr">
        <is>
          <t>FR505623</t>
        </is>
      </c>
      <c r="B8515" s="13" t="inlineStr">
        <is>
          <t>ИП Тепцов Роман Геннадьевич</t>
        </is>
      </c>
      <c r="C8515" s="13" t="n">
        <v>503112426780</v>
      </c>
      <c r="D8515" s="13" t="inlineStr">
        <is>
          <t>503112426780</t>
        </is>
      </c>
      <c r="E8515" s="13" t="inlineStr">
        <is>
          <t>ИП РФ / физлицо</t>
        </is>
      </c>
      <c r="F8515" s="13" t="n"/>
      <c r="G8515" s="14" t="n"/>
      <c r="H8515" s="14" t="n"/>
      <c r="I8515" s="14" t="n"/>
      <c r="J8515" s="14" t="n"/>
      <c r="K8515" s="53" t="inlineStr"/>
      <c r="L8515" s="53" t="inlineStr">
        <is>
          <t>Не определено</t>
        </is>
      </c>
      <c r="M8515" s="53" t="inlineStr"/>
      <c r="N8515" s="54" t="inlineStr"/>
      <c r="O8515" s="55" t="inlineStr"/>
      <c r="P8515" s="16" t="inlineStr">
        <is>
          <t>Требует обогащения</t>
        </is>
      </c>
      <c r="Q8515" s="16">
        <f>HYPERLINK("https://pb.nalog.ru/search.html?query=503112426780","ФНС: проверить")</f>
        <v/>
      </c>
      <c r="R8515" s="16">
        <f>HYPERLINK("https://checko.ru/search?query=3801001629","Чекко: проверить")</f>
        <v/>
      </c>
      <c r="S8515" t="n">
        <v>0</v>
      </c>
      <c r="T8515" s="35" t="inlineStr">
        <is>
          <t>4 — Не обогащён</t>
        </is>
      </c>
      <c r="U8515" s="35" t="inlineStr">
        <is>
          <t>Нет ОКВЭД/ССЧР</t>
        </is>
      </c>
      <c r="V8515" s="35" t="inlineStr">
        <is>
          <t>Не определено</t>
        </is>
      </c>
      <c r="W8515" s="35" t="inlineStr"/>
      <c r="X8515" s="35" t="inlineStr"/>
    </row>
    <row r="8516" ht="15" customHeight="1" s="24">
      <c r="A8516" s="13" t="inlineStr">
        <is>
          <t>FR250733</t>
        </is>
      </c>
      <c r="B8516" s="13" t="inlineStr">
        <is>
          <t>СНТ "БИРЮСИНКА-2"</t>
        </is>
      </c>
      <c r="C8516" s="13" t="n">
        <v>3827008386</v>
      </c>
      <c r="D8516" s="13" t="inlineStr">
        <is>
          <t>3827008386</t>
        </is>
      </c>
      <c r="E8516" s="13" t="inlineStr">
        <is>
          <t>ЮЛ РФ</t>
        </is>
      </c>
      <c r="F8516" s="13" t="n"/>
      <c r="G8516" s="14" t="n"/>
      <c r="H8516" s="14" t="n"/>
      <c r="I8516" s="14" t="n"/>
      <c r="J8516" s="14" t="n"/>
      <c r="K8516" s="53" t="inlineStr"/>
      <c r="L8516" s="53" t="inlineStr">
        <is>
          <t>Не определено</t>
        </is>
      </c>
      <c r="M8516" s="53" t="inlineStr"/>
      <c r="N8516" s="54" t="inlineStr"/>
      <c r="O8516" s="55" t="inlineStr"/>
      <c r="P8516" s="16" t="inlineStr">
        <is>
          <t>Требует обогащения</t>
        </is>
      </c>
      <c r="Q8516" s="16">
        <f>HYPERLINK("https://pb.nalog.ru/search.html?query=3827008386","ФНС: проверить")</f>
        <v/>
      </c>
      <c r="R8516" s="16">
        <f>HYPERLINK("https://checko.ru/search?query=3801001629","Чекко: проверить")</f>
        <v/>
      </c>
      <c r="S8516" t="n">
        <v>1</v>
      </c>
      <c r="T8516" s="35" t="inlineStr">
        <is>
          <t>4 — Не обогащён</t>
        </is>
      </c>
      <c r="U8516" s="35" t="inlineStr">
        <is>
          <t>Нет ОКВЭД/ССЧР</t>
        </is>
      </c>
      <c r="V8516" s="35" t="inlineStr">
        <is>
          <t>Не определено</t>
        </is>
      </c>
      <c r="W8516" s="35" t="inlineStr"/>
      <c r="X8516" s="35" t="inlineStr"/>
    </row>
    <row r="8517" ht="27.75" customHeight="1" s="24">
      <c r="A8517" s="13" t="inlineStr">
        <is>
          <t>FR731085</t>
        </is>
      </c>
      <c r="B8517" s="13" t="inlineStr">
        <is>
          <t>САДОВОДЧЕСКОЕ НЕКОММЕРЧЕСКОЕ ТОВАРИЩЕСТВО "ЛЕСОХИМИК"</t>
        </is>
      </c>
      <c r="C8517" s="13" t="n">
        <v>3823027557</v>
      </c>
      <c r="D8517" s="13" t="inlineStr">
        <is>
          <t>3823027557</t>
        </is>
      </c>
      <c r="E8517" s="13" t="inlineStr">
        <is>
          <t>ЮЛ РФ</t>
        </is>
      </c>
      <c r="F8517" s="13" t="n"/>
      <c r="G8517" s="14" t="n"/>
      <c r="H8517" s="14" t="n"/>
      <c r="I8517" s="14" t="n"/>
      <c r="J8517" s="14" t="n"/>
      <c r="K8517" s="53" t="inlineStr"/>
      <c r="L8517" s="53" t="inlineStr">
        <is>
          <t>Не определено</t>
        </is>
      </c>
      <c r="M8517" s="53" t="inlineStr"/>
      <c r="N8517" s="54" t="inlineStr"/>
      <c r="O8517" s="55" t="inlineStr"/>
      <c r="P8517" s="16" t="inlineStr">
        <is>
          <t>Требует обогащения</t>
        </is>
      </c>
      <c r="Q8517" s="16">
        <f>HYPERLINK("https://pb.nalog.ru/search.html?query=3823027557","ФНС: проверить")</f>
        <v/>
      </c>
      <c r="R8517" s="16">
        <f>HYPERLINK("https://checko.ru/search?query=3801001629","Чекко: проверить")</f>
        <v/>
      </c>
      <c r="S8517" t="n">
        <v>1</v>
      </c>
      <c r="T8517" s="35" t="inlineStr">
        <is>
          <t>4 — Не обогащён</t>
        </is>
      </c>
      <c r="U8517" s="35" t="inlineStr">
        <is>
          <t>Нет ОКВЭД/ССЧР</t>
        </is>
      </c>
      <c r="V8517" s="35" t="inlineStr">
        <is>
          <t>Не определено</t>
        </is>
      </c>
      <c r="W8517" s="35" t="inlineStr"/>
      <c r="X8517" s="35" t="inlineStr"/>
    </row>
    <row r="8518" ht="27.75" customHeight="1" s="24">
      <c r="A8518" s="13" t="inlineStr">
        <is>
          <t>FR908555</t>
        </is>
      </c>
      <c r="B8518" s="13" t="inlineStr">
        <is>
          <t>САДОВОДЧЕСКОЕ НЕКОММЕРЧЕСКОЕ ТОВАРИЩЕСТВО "СОСНОВЫЙ"</t>
        </is>
      </c>
      <c r="C8518" s="13" t="n">
        <v>3821006336</v>
      </c>
      <c r="D8518" s="13" t="inlineStr">
        <is>
          <t>3821006336</t>
        </is>
      </c>
      <c r="E8518" s="13" t="inlineStr">
        <is>
          <t>ЮЛ РФ</t>
        </is>
      </c>
      <c r="F8518" s="13" t="n"/>
      <c r="G8518" s="14" t="n"/>
      <c r="H8518" s="14" t="n"/>
      <c r="I8518" s="14" t="n"/>
      <c r="J8518" s="14" t="n"/>
      <c r="K8518" s="53" t="inlineStr"/>
      <c r="L8518" s="53" t="inlineStr">
        <is>
          <t>Не определено</t>
        </is>
      </c>
      <c r="M8518" s="53" t="inlineStr"/>
      <c r="N8518" s="54" t="inlineStr"/>
      <c r="O8518" s="55" t="inlineStr"/>
      <c r="P8518" s="16" t="inlineStr">
        <is>
          <t>Требует обогащения</t>
        </is>
      </c>
      <c r="Q8518" s="16">
        <f>HYPERLINK("https://pb.nalog.ru/search.html?query=3821006336","ФНС: проверить")</f>
        <v/>
      </c>
      <c r="R8518" s="16">
        <f>HYPERLINK("https://checko.ru/search?query=3801001629","Чекко: проверить")</f>
        <v/>
      </c>
      <c r="S8518" t="n">
        <v>1</v>
      </c>
      <c r="T8518" s="35" t="inlineStr">
        <is>
          <t>4 — Не обогащён</t>
        </is>
      </c>
      <c r="U8518" s="35" t="inlineStr">
        <is>
          <t>Нет ОКВЭД/ССЧР</t>
        </is>
      </c>
      <c r="V8518" s="35" t="inlineStr">
        <is>
          <t>Не определено</t>
        </is>
      </c>
      <c r="W8518" s="35" t="inlineStr"/>
      <c r="X8518" s="35" t="inlineStr"/>
    </row>
    <row r="8519" ht="27.75" customHeight="1" s="24">
      <c r="A8519" s="13" t="inlineStr">
        <is>
          <t>FR271592</t>
        </is>
      </c>
      <c r="B8519" s="13" t="inlineStr">
        <is>
          <t>Садоводческое некоммерческое товарищество "АНГАРА"</t>
        </is>
      </c>
      <c r="C8519" s="13" t="n">
        <v>3809021472</v>
      </c>
      <c r="D8519" s="13" t="inlineStr">
        <is>
          <t>3809021472</t>
        </is>
      </c>
      <c r="E8519" s="13" t="inlineStr">
        <is>
          <t>ЮЛ РФ</t>
        </is>
      </c>
      <c r="F8519" s="13" t="n"/>
      <c r="G8519" s="14" t="n"/>
      <c r="H8519" s="14" t="n"/>
      <c r="I8519" s="14" t="n"/>
      <c r="J8519" s="14" t="n"/>
      <c r="K8519" s="53" t="inlineStr"/>
      <c r="L8519" s="53" t="inlineStr">
        <is>
          <t>Не определено</t>
        </is>
      </c>
      <c r="M8519" s="53" t="inlineStr"/>
      <c r="N8519" s="54" t="inlineStr"/>
      <c r="O8519" s="55" t="inlineStr"/>
      <c r="P8519" s="16" t="inlineStr">
        <is>
          <t>Требует обогащения</t>
        </is>
      </c>
      <c r="Q8519" s="16">
        <f>HYPERLINK("https://pb.nalog.ru/search.html?query=3809021472","ФНС: проверить")</f>
        <v/>
      </c>
      <c r="R8519" s="16">
        <f>HYPERLINK("https://checko.ru/search?query=3801001629","Чекко: проверить")</f>
        <v/>
      </c>
      <c r="S8519" t="n">
        <v>1</v>
      </c>
      <c r="T8519" s="35" t="inlineStr">
        <is>
          <t>4 — Не обогащён</t>
        </is>
      </c>
      <c r="U8519" s="35" t="inlineStr">
        <is>
          <t>Нет ОКВЭД/ССЧР</t>
        </is>
      </c>
      <c r="V8519" s="35" t="inlineStr">
        <is>
          <t>Не определено</t>
        </is>
      </c>
      <c r="W8519" s="35" t="inlineStr"/>
      <c r="X8519" s="35" t="inlineStr"/>
    </row>
    <row r="8520" ht="27.75" customHeight="1" s="24">
      <c r="A8520" s="13" t="inlineStr">
        <is>
          <t>FR554871</t>
        </is>
      </c>
      <c r="B8520" s="13" t="inlineStr">
        <is>
          <t>САДОВОДЧЕСКОЕ НЕКОММЕРЧЕСКОЕ ТОВАРИЩЕСТВО "ЛЕСОСПЛАВЩИК"</t>
        </is>
      </c>
      <c r="C8520" s="13" t="n">
        <v>3804016380</v>
      </c>
      <c r="D8520" s="13" t="inlineStr">
        <is>
          <t>3804016380</t>
        </is>
      </c>
      <c r="E8520" s="13" t="inlineStr">
        <is>
          <t>ЮЛ РФ</t>
        </is>
      </c>
      <c r="F8520" s="13" t="n"/>
      <c r="G8520" s="14" t="n"/>
      <c r="H8520" s="14" t="n"/>
      <c r="I8520" s="14" t="n"/>
      <c r="J8520" s="14" t="n"/>
      <c r="K8520" s="53" t="inlineStr"/>
      <c r="L8520" s="53" t="inlineStr">
        <is>
          <t>Не определено</t>
        </is>
      </c>
      <c r="M8520" s="53" t="inlineStr"/>
      <c r="N8520" s="54" t="inlineStr"/>
      <c r="O8520" s="55" t="inlineStr"/>
      <c r="P8520" s="16" t="inlineStr">
        <is>
          <t>Требует обогащения</t>
        </is>
      </c>
      <c r="Q8520" s="16">
        <f>HYPERLINK("https://pb.nalog.ru/search.html?query=3804016380","ФНС: проверить")</f>
        <v/>
      </c>
      <c r="R8520" s="16">
        <f>HYPERLINK("https://checko.ru/search?query=3801001629","Чекко: проверить")</f>
        <v/>
      </c>
      <c r="S8520" t="n">
        <v>1</v>
      </c>
      <c r="T8520" s="35" t="inlineStr">
        <is>
          <t>4 — Не обогащён</t>
        </is>
      </c>
      <c r="U8520" s="35" t="inlineStr">
        <is>
          <t>Нет ОКВЭД/ССЧР</t>
        </is>
      </c>
      <c r="V8520" s="35" t="inlineStr">
        <is>
          <t>Не определено</t>
        </is>
      </c>
      <c r="W8520" s="35" t="inlineStr"/>
      <c r="X8520" s="35" t="inlineStr"/>
    </row>
    <row r="8521" ht="27.75" customHeight="1" s="24">
      <c r="A8521" s="13" t="inlineStr">
        <is>
          <t>FR879591</t>
        </is>
      </c>
      <c r="B8521" s="13" t="inlineStr">
        <is>
          <t>ТОВАРИЩЕСТВО СОБСТВЕННИКОВ НЕДВИЖИМОСТИ "МЕЧТА"</t>
        </is>
      </c>
      <c r="C8521" s="13" t="n">
        <v>3849014094</v>
      </c>
      <c r="D8521" s="13" t="inlineStr">
        <is>
          <t>3849014094</t>
        </is>
      </c>
      <c r="E8521" s="13" t="inlineStr">
        <is>
          <t>ЮЛ РФ</t>
        </is>
      </c>
      <c r="F8521" s="13" t="n"/>
      <c r="G8521" s="14" t="n"/>
      <c r="H8521" s="14" t="n"/>
      <c r="I8521" s="14" t="n"/>
      <c r="J8521" s="14" t="n"/>
      <c r="K8521" s="53" t="inlineStr"/>
      <c r="L8521" s="53" t="inlineStr">
        <is>
          <t>Не определено</t>
        </is>
      </c>
      <c r="M8521" s="53" t="inlineStr"/>
      <c r="N8521" s="54" t="inlineStr"/>
      <c r="O8521" s="55" t="inlineStr"/>
      <c r="P8521" s="16" t="inlineStr">
        <is>
          <t>Требует обогащения</t>
        </is>
      </c>
      <c r="Q8521" s="16">
        <f>HYPERLINK("https://pb.nalog.ru/search.html?query=3849014094","ФНС: проверить")</f>
        <v/>
      </c>
      <c r="R8521" s="16">
        <f>HYPERLINK("https://checko.ru/search?query=3801001629","Чекко: проверить")</f>
        <v/>
      </c>
      <c r="S8521" t="n">
        <v>1</v>
      </c>
      <c r="T8521" s="35" t="inlineStr">
        <is>
          <t>4 — Не обогащён</t>
        </is>
      </c>
      <c r="U8521" s="35" t="inlineStr">
        <is>
          <t>Нет ОКВЭД/ССЧР</t>
        </is>
      </c>
      <c r="V8521" s="35" t="inlineStr">
        <is>
          <t>Не определено</t>
        </is>
      </c>
      <c r="W8521" s="35" t="inlineStr"/>
      <c r="X8521" s="35" t="inlineStr"/>
    </row>
    <row r="8522" ht="27.75" customHeight="1" s="24">
      <c r="A8522" s="13" t="inlineStr">
        <is>
          <t>FR737636</t>
        </is>
      </c>
      <c r="B8522" s="13" t="inlineStr">
        <is>
          <t>САДОВОДЧЕСКОЕ НЕКОММЕРЧЕСКОЕ ТОВАРИЩЕСТВО "СОДРУЖЕСТВО"</t>
        </is>
      </c>
      <c r="C8522" s="13" t="n">
        <v>3827008033</v>
      </c>
      <c r="D8522" s="13" t="inlineStr">
        <is>
          <t>3827008033</t>
        </is>
      </c>
      <c r="E8522" s="13" t="inlineStr">
        <is>
          <t>ЮЛ РФ</t>
        </is>
      </c>
      <c r="F8522" s="13" t="n"/>
      <c r="G8522" s="14" t="n"/>
      <c r="H8522" s="14" t="n"/>
      <c r="I8522" s="14" t="n"/>
      <c r="J8522" s="14" t="n"/>
      <c r="K8522" s="53" t="inlineStr"/>
      <c r="L8522" s="53" t="inlineStr">
        <is>
          <t>Не определено</t>
        </is>
      </c>
      <c r="M8522" s="53" t="inlineStr"/>
      <c r="N8522" s="54" t="inlineStr"/>
      <c r="O8522" s="55" t="inlineStr"/>
      <c r="P8522" s="16" t="inlineStr">
        <is>
          <t>Требует обогащения</t>
        </is>
      </c>
      <c r="Q8522" s="16">
        <f>HYPERLINK("https://pb.nalog.ru/search.html?query=3827008033","ФНС: проверить")</f>
        <v/>
      </c>
      <c r="R8522" s="16">
        <f>HYPERLINK("https://checko.ru/search?query=3801001629","Чекко: проверить")</f>
        <v/>
      </c>
      <c r="S8522" t="n">
        <v>1</v>
      </c>
      <c r="T8522" s="35" t="inlineStr">
        <is>
          <t>4 — Не обогащён</t>
        </is>
      </c>
      <c r="U8522" s="35" t="inlineStr">
        <is>
          <t>Нет ОКВЭД/ССЧР</t>
        </is>
      </c>
      <c r="V8522" s="35" t="inlineStr">
        <is>
          <t>Не определено</t>
        </is>
      </c>
      <c r="W8522" s="35" t="inlineStr"/>
      <c r="X8522" s="35" t="inlineStr"/>
    </row>
    <row r="8523" ht="27.75" customHeight="1" s="24">
      <c r="A8523" s="13" t="inlineStr">
        <is>
          <t>FR317926</t>
        </is>
      </c>
      <c r="B8523" s="13" t="inlineStr">
        <is>
          <t>САДОВОДЧЕСКОЕ НЕКОММЕРЧЕСКОЕ ТОВАРИЩЕСТВО "МИЧУРИНЕЦ"</t>
        </is>
      </c>
      <c r="C8523" s="13" t="n">
        <v>3801038410</v>
      </c>
      <c r="D8523" s="13" t="inlineStr">
        <is>
          <t>3801038410</t>
        </is>
      </c>
      <c r="E8523" s="13" t="inlineStr">
        <is>
          <t>ЮЛ РФ</t>
        </is>
      </c>
      <c r="F8523" s="13" t="n"/>
      <c r="G8523" s="14" t="n"/>
      <c r="H8523" s="14" t="n"/>
      <c r="I8523" s="14" t="n"/>
      <c r="J8523" s="14" t="n"/>
      <c r="K8523" s="53" t="inlineStr"/>
      <c r="L8523" s="53" t="inlineStr">
        <is>
          <t>Не определено</t>
        </is>
      </c>
      <c r="M8523" s="53" t="inlineStr"/>
      <c r="N8523" s="54" t="inlineStr"/>
      <c r="O8523" s="55" t="inlineStr"/>
      <c r="P8523" s="16" t="inlineStr">
        <is>
          <t>Требует обогащения</t>
        </is>
      </c>
      <c r="Q8523" s="16">
        <f>HYPERLINK("https://pb.nalog.ru/search.html?query=3801038410","ФНС: проверить")</f>
        <v/>
      </c>
      <c r="R8523" s="16">
        <f>HYPERLINK("https://checko.ru/search?query=3801001629","Чекко: проверить")</f>
        <v/>
      </c>
      <c r="S8523" t="n">
        <v>1</v>
      </c>
      <c r="T8523" s="35" t="inlineStr">
        <is>
          <t>4 — Не обогащён</t>
        </is>
      </c>
      <c r="U8523" s="35" t="inlineStr">
        <is>
          <t>Нет ОКВЭД/ССЧР</t>
        </is>
      </c>
      <c r="V8523" s="35" t="inlineStr">
        <is>
          <t>Не определено</t>
        </is>
      </c>
      <c r="W8523" s="35" t="inlineStr"/>
      <c r="X8523" s="35" t="inlineStr"/>
    </row>
    <row r="8524" ht="27.75" customHeight="1" s="24">
      <c r="A8524" s="13" t="inlineStr">
        <is>
          <t>FR743261</t>
        </is>
      </c>
      <c r="B8524" s="13" t="inlineStr">
        <is>
          <t>САДОВОДЧЕСКОЕ НЕКОММЕРЧЕСКОЕ ТОВАРИЩЕСТВО "КОММУНАЛЬНИК"</t>
        </is>
      </c>
      <c r="C8524" s="13" t="n">
        <v>3827007939</v>
      </c>
      <c r="D8524" s="13" t="inlineStr">
        <is>
          <t>3827007939</t>
        </is>
      </c>
      <c r="E8524" s="13" t="inlineStr">
        <is>
          <t>ЮЛ РФ</t>
        </is>
      </c>
      <c r="F8524" s="13" t="n"/>
      <c r="G8524" s="14" t="n"/>
      <c r="H8524" s="14" t="n"/>
      <c r="I8524" s="14" t="n"/>
      <c r="J8524" s="14" t="n"/>
      <c r="K8524" s="53" t="inlineStr"/>
      <c r="L8524" s="53" t="inlineStr">
        <is>
          <t>Не определено</t>
        </is>
      </c>
      <c r="M8524" s="53" t="inlineStr"/>
      <c r="N8524" s="54" t="inlineStr"/>
      <c r="O8524" s="55" t="inlineStr"/>
      <c r="P8524" s="16" t="inlineStr">
        <is>
          <t>Требует обогащения</t>
        </is>
      </c>
      <c r="Q8524" s="16">
        <f>HYPERLINK("https://pb.nalog.ru/search.html?query=3827007939","ФНС: проверить")</f>
        <v/>
      </c>
      <c r="R8524" s="16">
        <f>HYPERLINK("https://checko.ru/search?query=3801001629","Чекко: проверить")</f>
        <v/>
      </c>
      <c r="S8524" t="n">
        <v>1</v>
      </c>
      <c r="T8524" s="35" t="inlineStr">
        <is>
          <t>4 — Не обогащён</t>
        </is>
      </c>
      <c r="U8524" s="35" t="inlineStr">
        <is>
          <t>Нет ОКВЭД/ССЧР</t>
        </is>
      </c>
      <c r="V8524" s="35" t="inlineStr">
        <is>
          <t>Не определено</t>
        </is>
      </c>
      <c r="W8524" s="35" t="inlineStr"/>
      <c r="X8524" s="35" t="inlineStr"/>
    </row>
    <row r="8525" ht="27.75" customHeight="1" s="24">
      <c r="A8525" s="13" t="n">
        <v>20017314056</v>
      </c>
      <c r="B8525" s="13" t="inlineStr">
        <is>
          <t>Индивидуальный предприниматель Каблов Игорь Алексеевич</t>
        </is>
      </c>
      <c r="C8525" s="13" t="n">
        <v>382800219813</v>
      </c>
      <c r="D8525" s="13" t="inlineStr">
        <is>
          <t>382800219813</t>
        </is>
      </c>
      <c r="E8525" s="13" t="inlineStr">
        <is>
          <t>ИП РФ / физлицо</t>
        </is>
      </c>
      <c r="F8525" s="13" t="n"/>
      <c r="G8525" s="14" t="n"/>
      <c r="H8525" s="14" t="n"/>
      <c r="I8525" s="14" t="n"/>
      <c r="J8525" s="14" t="n"/>
      <c r="K8525" s="53" t="inlineStr"/>
      <c r="L8525" s="53" t="inlineStr">
        <is>
          <t>Не определено</t>
        </is>
      </c>
      <c r="M8525" s="53" t="inlineStr"/>
      <c r="N8525" s="54" t="inlineStr"/>
      <c r="O8525" s="55" t="inlineStr"/>
      <c r="P8525" s="16" t="inlineStr">
        <is>
          <t>Требует обогащения</t>
        </is>
      </c>
      <c r="Q8525" s="16">
        <f>HYPERLINK("https://pb.nalog.ru/search.html?query=382800219813","ФНС: проверить")</f>
        <v/>
      </c>
      <c r="R8525" s="16">
        <f>HYPERLINK("https://checko.ru/search?query=3801001629","Чекко: проверить")</f>
        <v/>
      </c>
      <c r="S8525" t="n">
        <v>1</v>
      </c>
      <c r="T8525" s="35" t="inlineStr">
        <is>
          <t>4 — Не обогащён</t>
        </is>
      </c>
      <c r="U8525" s="35" t="inlineStr">
        <is>
          <t>Нет ОКВЭД/ССЧР</t>
        </is>
      </c>
      <c r="V8525" s="35" t="inlineStr">
        <is>
          <t>Не определено</t>
        </is>
      </c>
      <c r="W8525" s="35" t="inlineStr"/>
      <c r="X8525" s="35" t="inlineStr"/>
    </row>
    <row r="8526" ht="15" customHeight="1" s="24">
      <c r="A8526" s="13" t="n">
        <v>801483858</v>
      </c>
      <c r="B8526" s="13" t="inlineStr">
        <is>
          <t>АО "ИРЗ"</t>
        </is>
      </c>
      <c r="C8526" s="13" t="n">
        <v>3811016215</v>
      </c>
      <c r="D8526" s="13" t="inlineStr">
        <is>
          <t>3811016215</t>
        </is>
      </c>
      <c r="E8526" s="13" t="inlineStr">
        <is>
          <t>ЮЛ РФ</t>
        </is>
      </c>
      <c r="F8526" s="13" t="n"/>
      <c r="G8526" s="14" t="n"/>
      <c r="H8526" s="14" t="n"/>
      <c r="I8526" s="14" t="n"/>
      <c r="J8526" s="14" t="n"/>
      <c r="K8526" s="53" t="inlineStr"/>
      <c r="L8526" s="53" t="inlineStr">
        <is>
          <t>Не определено</t>
        </is>
      </c>
      <c r="M8526" s="53" t="inlineStr"/>
      <c r="N8526" s="54" t="inlineStr"/>
      <c r="O8526" s="55" t="inlineStr"/>
      <c r="P8526" s="16" t="inlineStr">
        <is>
          <t>Требует обогащения</t>
        </is>
      </c>
      <c r="Q8526" s="16">
        <f>HYPERLINK("https://pb.nalog.ru/search.html?query=3811016215","ФНС: проверить")</f>
        <v/>
      </c>
      <c r="R8526" s="16">
        <f>HYPERLINK("https://checko.ru/search?query=3801001629","Чекко: проверить")</f>
        <v/>
      </c>
      <c r="S8526" t="n">
        <v>1</v>
      </c>
      <c r="T8526" s="35" t="inlineStr">
        <is>
          <t>4 — Не обогащён</t>
        </is>
      </c>
      <c r="U8526" s="35" t="inlineStr">
        <is>
          <t>Нет ОКВЭД/ССЧР</t>
        </is>
      </c>
      <c r="V8526" s="35" t="inlineStr">
        <is>
          <t>Не определено</t>
        </is>
      </c>
      <c r="W8526" s="35" t="inlineStr"/>
      <c r="X8526" s="35" t="inlineStr"/>
    </row>
    <row r="8527" ht="15" customHeight="1" s="24">
      <c r="A8527" s="13" t="n">
        <v>801483858</v>
      </c>
      <c r="B8527" s="13" t="inlineStr">
        <is>
          <t>АО "ИРЗ"</t>
        </is>
      </c>
      <c r="C8527" s="13" t="n">
        <v>3811016215</v>
      </c>
      <c r="D8527" s="13" t="inlineStr">
        <is>
          <t>3811016215</t>
        </is>
      </c>
      <c r="E8527" s="13" t="inlineStr">
        <is>
          <t>ЮЛ РФ</t>
        </is>
      </c>
      <c r="F8527" s="13" t="n"/>
      <c r="G8527" s="14" t="n"/>
      <c r="H8527" s="14" t="n"/>
      <c r="I8527" s="14" t="n"/>
      <c r="J8527" s="14" t="n"/>
      <c r="K8527" s="53" t="inlineStr"/>
      <c r="L8527" s="53" t="inlineStr">
        <is>
          <t>Не определено</t>
        </is>
      </c>
      <c r="M8527" s="53" t="inlineStr"/>
      <c r="N8527" s="54" t="inlineStr"/>
      <c r="O8527" s="55" t="inlineStr"/>
      <c r="P8527" s="16" t="inlineStr">
        <is>
          <t>Требует обогащения</t>
        </is>
      </c>
      <c r="Q8527" s="16">
        <f>HYPERLINK("https://pb.nalog.ru/search.html?query=3811016215","ФНС: проверить")</f>
        <v/>
      </c>
      <c r="R8527" s="16">
        <f>HYPERLINK("https://checko.ru/search?query=3801001629","Чекко: проверить")</f>
        <v/>
      </c>
      <c r="S8527" t="n">
        <v>0</v>
      </c>
      <c r="T8527" s="35" t="inlineStr">
        <is>
          <t>4 — Не обогащён</t>
        </is>
      </c>
      <c r="U8527" s="35" t="inlineStr">
        <is>
          <t>Нет ОКВЭД/ССЧР</t>
        </is>
      </c>
      <c r="V8527" s="35" t="inlineStr">
        <is>
          <t>Не определено</t>
        </is>
      </c>
      <c r="W8527" s="35" t="inlineStr"/>
      <c r="X8527" s="35" t="inlineStr"/>
    </row>
    <row r="8528" ht="15" customHeight="1" s="24">
      <c r="A8528" s="13" t="n">
        <v>801483858</v>
      </c>
      <c r="B8528" s="13" t="inlineStr">
        <is>
          <t>АО "ИРЗ"</t>
        </is>
      </c>
      <c r="C8528" s="13" t="n">
        <v>3811016215</v>
      </c>
      <c r="D8528" s="13" t="inlineStr">
        <is>
          <t>3811016215</t>
        </is>
      </c>
      <c r="E8528" s="13" t="inlineStr">
        <is>
          <t>ЮЛ РФ</t>
        </is>
      </c>
      <c r="F8528" s="13" t="n"/>
      <c r="G8528" s="14" t="n"/>
      <c r="H8528" s="14" t="n"/>
      <c r="I8528" s="14" t="n"/>
      <c r="J8528" s="14" t="n"/>
      <c r="K8528" s="53" t="inlineStr"/>
      <c r="L8528" s="53" t="inlineStr">
        <is>
          <t>Не определено</t>
        </is>
      </c>
      <c r="M8528" s="53" t="inlineStr"/>
      <c r="N8528" s="54" t="inlineStr"/>
      <c r="O8528" s="55" t="inlineStr"/>
      <c r="P8528" s="16" t="inlineStr">
        <is>
          <t>Требует обогащения</t>
        </is>
      </c>
      <c r="Q8528" s="16">
        <f>HYPERLINK("https://pb.nalog.ru/search.html?query=3811016215","ФНС: проверить")</f>
        <v/>
      </c>
      <c r="R8528" s="16">
        <f>HYPERLINK("https://checko.ru/search?query=3801001629","Чекко: проверить")</f>
        <v/>
      </c>
      <c r="S8528" t="n">
        <v>0</v>
      </c>
      <c r="T8528" s="35" t="inlineStr">
        <is>
          <t>4 — Не обогащён</t>
        </is>
      </c>
      <c r="U8528" s="35" t="inlineStr">
        <is>
          <t>Нет ОКВЭД/ССЧР</t>
        </is>
      </c>
      <c r="V8528" s="35" t="inlineStr">
        <is>
          <t>Не определено</t>
        </is>
      </c>
      <c r="W8528" s="35" t="inlineStr"/>
      <c r="X8528" s="35" t="inlineStr"/>
    </row>
    <row r="8529" ht="15" customHeight="1" s="24">
      <c r="A8529" s="13" t="n">
        <v>801483858</v>
      </c>
      <c r="B8529" s="13" t="inlineStr">
        <is>
          <t>АО "ИРЗ"</t>
        </is>
      </c>
      <c r="C8529" s="13" t="n">
        <v>3811016215</v>
      </c>
      <c r="D8529" s="13" t="inlineStr">
        <is>
          <t>3811016215</t>
        </is>
      </c>
      <c r="E8529" s="13" t="inlineStr">
        <is>
          <t>ЮЛ РФ</t>
        </is>
      </c>
      <c r="F8529" s="13" t="n"/>
      <c r="G8529" s="14" t="n"/>
      <c r="H8529" s="14" t="n"/>
      <c r="I8529" s="14" t="n"/>
      <c r="J8529" s="14" t="n"/>
      <c r="K8529" s="53" t="inlineStr"/>
      <c r="L8529" s="53" t="inlineStr">
        <is>
          <t>Не определено</t>
        </is>
      </c>
      <c r="M8529" s="53" t="inlineStr"/>
      <c r="N8529" s="54" t="inlineStr"/>
      <c r="O8529" s="55" t="inlineStr"/>
      <c r="P8529" s="16" t="inlineStr">
        <is>
          <t>Требует обогащения</t>
        </is>
      </c>
      <c r="Q8529" s="16">
        <f>HYPERLINK("https://pb.nalog.ru/search.html?query=3811016215","ФНС: проверить")</f>
        <v/>
      </c>
      <c r="R8529" s="16">
        <f>HYPERLINK("https://checko.ru/search?query=3801001629","Чекко: проверить")</f>
        <v/>
      </c>
      <c r="S8529" t="n">
        <v>0</v>
      </c>
      <c r="T8529" s="35" t="inlineStr">
        <is>
          <t>4 — Не обогащён</t>
        </is>
      </c>
      <c r="U8529" s="35" t="inlineStr">
        <is>
          <t>Нет ОКВЭД/ССЧР</t>
        </is>
      </c>
      <c r="V8529" s="35" t="inlineStr">
        <is>
          <t>Не определено</t>
        </is>
      </c>
      <c r="W8529" s="35" t="inlineStr"/>
      <c r="X8529" s="35" t="inlineStr"/>
    </row>
    <row r="8530" ht="15" customHeight="1" s="24">
      <c r="A8530" s="13" t="n">
        <v>801483858</v>
      </c>
      <c r="B8530" s="13" t="inlineStr">
        <is>
          <t>АО "ИРЗ"</t>
        </is>
      </c>
      <c r="C8530" s="13" t="n">
        <v>3811016215</v>
      </c>
      <c r="D8530" s="13" t="inlineStr">
        <is>
          <t>3811016215</t>
        </is>
      </c>
      <c r="E8530" s="13" t="inlineStr">
        <is>
          <t>ЮЛ РФ</t>
        </is>
      </c>
      <c r="F8530" s="13" t="n"/>
      <c r="G8530" s="14" t="n"/>
      <c r="H8530" s="14" t="n"/>
      <c r="I8530" s="14" t="n"/>
      <c r="J8530" s="14" t="n"/>
      <c r="K8530" s="53" t="inlineStr"/>
      <c r="L8530" s="53" t="inlineStr">
        <is>
          <t>Не определено</t>
        </is>
      </c>
      <c r="M8530" s="53" t="inlineStr"/>
      <c r="N8530" s="54" t="inlineStr"/>
      <c r="O8530" s="55" t="inlineStr"/>
      <c r="P8530" s="16" t="inlineStr">
        <is>
          <t>Требует обогащения</t>
        </is>
      </c>
      <c r="Q8530" s="16">
        <f>HYPERLINK("https://pb.nalog.ru/search.html?query=3811016215","ФНС: проверить")</f>
        <v/>
      </c>
      <c r="R8530" s="16">
        <f>HYPERLINK("https://checko.ru/search?query=3801001629","Чекко: проверить")</f>
        <v/>
      </c>
      <c r="S8530" t="n">
        <v>0</v>
      </c>
      <c r="T8530" s="35" t="inlineStr">
        <is>
          <t>4 — Не обогащён</t>
        </is>
      </c>
      <c r="U8530" s="35" t="inlineStr">
        <is>
          <t>Нет ОКВЭД/ССЧР</t>
        </is>
      </c>
      <c r="V8530" s="35" t="inlineStr">
        <is>
          <t>Не определено</t>
        </is>
      </c>
      <c r="W8530" s="35" t="inlineStr"/>
      <c r="X8530" s="35" t="inlineStr"/>
    </row>
    <row r="8531" ht="15" customHeight="1" s="24">
      <c r="A8531" s="13" t="n">
        <v>801483858</v>
      </c>
      <c r="B8531" s="13" t="inlineStr">
        <is>
          <t>АО "ИРЗ"</t>
        </is>
      </c>
      <c r="C8531" s="13" t="n">
        <v>3811016215</v>
      </c>
      <c r="D8531" s="13" t="inlineStr">
        <is>
          <t>3811016215</t>
        </is>
      </c>
      <c r="E8531" s="13" t="inlineStr">
        <is>
          <t>ЮЛ РФ</t>
        </is>
      </c>
      <c r="F8531" s="13" t="n"/>
      <c r="G8531" s="14" t="n"/>
      <c r="H8531" s="14" t="n"/>
      <c r="I8531" s="14" t="n"/>
      <c r="J8531" s="14" t="n"/>
      <c r="K8531" s="53" t="inlineStr"/>
      <c r="L8531" s="53" t="inlineStr">
        <is>
          <t>Не определено</t>
        </is>
      </c>
      <c r="M8531" s="53" t="inlineStr"/>
      <c r="N8531" s="54" t="inlineStr"/>
      <c r="O8531" s="55" t="inlineStr"/>
      <c r="P8531" s="16" t="inlineStr">
        <is>
          <t>Требует обогащения</t>
        </is>
      </c>
      <c r="Q8531" s="16">
        <f>HYPERLINK("https://pb.nalog.ru/search.html?query=3811016215","ФНС: проверить")</f>
        <v/>
      </c>
      <c r="R8531" s="16">
        <f>HYPERLINK("https://checko.ru/search?query=3801001629","Чекко: проверить")</f>
        <v/>
      </c>
      <c r="S8531" t="n">
        <v>0</v>
      </c>
      <c r="T8531" s="35" t="inlineStr">
        <is>
          <t>4 — Не обогащён</t>
        </is>
      </c>
      <c r="U8531" s="35" t="inlineStr">
        <is>
          <t>Нет ОКВЭД/ССЧР</t>
        </is>
      </c>
      <c r="V8531" s="35" t="inlineStr">
        <is>
          <t>Не определено</t>
        </is>
      </c>
      <c r="W8531" s="35" t="inlineStr"/>
      <c r="X8531" s="35" t="inlineStr"/>
    </row>
    <row r="8532" ht="15" customHeight="1" s="24">
      <c r="A8532" s="13" t="n">
        <v>801483858</v>
      </c>
      <c r="B8532" s="13" t="inlineStr">
        <is>
          <t>АО "ИРЗ"</t>
        </is>
      </c>
      <c r="C8532" s="13" t="n">
        <v>3811016215</v>
      </c>
      <c r="D8532" s="13" t="inlineStr">
        <is>
          <t>3811016215</t>
        </is>
      </c>
      <c r="E8532" s="13" t="inlineStr">
        <is>
          <t>ЮЛ РФ</t>
        </is>
      </c>
      <c r="F8532" s="13" t="n"/>
      <c r="G8532" s="14" t="n"/>
      <c r="H8532" s="14" t="n"/>
      <c r="I8532" s="14" t="n"/>
      <c r="J8532" s="14" t="n"/>
      <c r="K8532" s="53" t="inlineStr"/>
      <c r="L8532" s="53" t="inlineStr">
        <is>
          <t>Не определено</t>
        </is>
      </c>
      <c r="M8532" s="53" t="inlineStr"/>
      <c r="N8532" s="54" t="inlineStr"/>
      <c r="O8532" s="55" t="inlineStr"/>
      <c r="P8532" s="16" t="inlineStr">
        <is>
          <t>Требует обогащения</t>
        </is>
      </c>
      <c r="Q8532" s="16">
        <f>HYPERLINK("https://pb.nalog.ru/search.html?query=3811016215","ФНС: проверить")</f>
        <v/>
      </c>
      <c r="R8532" s="16">
        <f>HYPERLINK("https://checko.ru/search?query=3801001629","Чекко: проверить")</f>
        <v/>
      </c>
      <c r="S8532" t="n">
        <v>0</v>
      </c>
      <c r="T8532" s="35" t="inlineStr">
        <is>
          <t>4 — Не обогащён</t>
        </is>
      </c>
      <c r="U8532" s="35" t="inlineStr">
        <is>
          <t>Нет ОКВЭД/ССЧР</t>
        </is>
      </c>
      <c r="V8532" s="35" t="inlineStr">
        <is>
          <t>Не определено</t>
        </is>
      </c>
      <c r="W8532" s="35" t="inlineStr"/>
      <c r="X8532" s="35" t="inlineStr"/>
    </row>
    <row r="8533" ht="15" customHeight="1" s="24">
      <c r="A8533" s="13" t="n">
        <v>801483858</v>
      </c>
      <c r="B8533" s="13" t="inlineStr">
        <is>
          <t>АО "ИРЗ"</t>
        </is>
      </c>
      <c r="C8533" s="13" t="n">
        <v>3811016215</v>
      </c>
      <c r="D8533" s="13" t="inlineStr">
        <is>
          <t>3811016215</t>
        </is>
      </c>
      <c r="E8533" s="13" t="inlineStr">
        <is>
          <t>ЮЛ РФ</t>
        </is>
      </c>
      <c r="F8533" s="13" t="n"/>
      <c r="G8533" s="14" t="n"/>
      <c r="H8533" s="14" t="n"/>
      <c r="I8533" s="14" t="n"/>
      <c r="J8533" s="14" t="n"/>
      <c r="K8533" s="53" t="inlineStr"/>
      <c r="L8533" s="53" t="inlineStr">
        <is>
          <t>Не определено</t>
        </is>
      </c>
      <c r="M8533" s="53" t="inlineStr"/>
      <c r="N8533" s="54" t="inlineStr"/>
      <c r="O8533" s="55" t="inlineStr"/>
      <c r="P8533" s="16" t="inlineStr">
        <is>
          <t>Требует обогащения</t>
        </is>
      </c>
      <c r="Q8533" s="16">
        <f>HYPERLINK("https://pb.nalog.ru/search.html?query=3811016215","ФНС: проверить")</f>
        <v/>
      </c>
      <c r="R8533" s="16">
        <f>HYPERLINK("https://checko.ru/search?query=3801001629","Чекко: проверить")</f>
        <v/>
      </c>
      <c r="S8533" t="n">
        <v>0</v>
      </c>
      <c r="T8533" s="35" t="inlineStr">
        <is>
          <t>4 — Не обогащён</t>
        </is>
      </c>
      <c r="U8533" s="35" t="inlineStr">
        <is>
          <t>Нет ОКВЭД/ССЧР</t>
        </is>
      </c>
      <c r="V8533" s="35" t="inlineStr">
        <is>
          <t>Не определено</t>
        </is>
      </c>
      <c r="W8533" s="35" t="inlineStr"/>
      <c r="X8533" s="35" t="inlineStr"/>
    </row>
    <row r="8534" ht="15" customHeight="1" s="24">
      <c r="A8534" s="13" t="n">
        <v>801483858</v>
      </c>
      <c r="B8534" s="13" t="inlineStr">
        <is>
          <t>АО "ИРЗ"</t>
        </is>
      </c>
      <c r="C8534" s="13" t="n">
        <v>3811016215</v>
      </c>
      <c r="D8534" s="13" t="inlineStr">
        <is>
          <t>3811016215</t>
        </is>
      </c>
      <c r="E8534" s="13" t="inlineStr">
        <is>
          <t>ЮЛ РФ</t>
        </is>
      </c>
      <c r="F8534" s="13" t="n"/>
      <c r="G8534" s="14" t="n"/>
      <c r="H8534" s="14" t="n"/>
      <c r="I8534" s="14" t="n"/>
      <c r="J8534" s="14" t="n"/>
      <c r="K8534" s="53" t="inlineStr"/>
      <c r="L8534" s="53" t="inlineStr">
        <is>
          <t>Не определено</t>
        </is>
      </c>
      <c r="M8534" s="53" t="inlineStr"/>
      <c r="N8534" s="54" t="inlineStr"/>
      <c r="O8534" s="55" t="inlineStr"/>
      <c r="P8534" s="16" t="inlineStr">
        <is>
          <t>Требует обогащения</t>
        </is>
      </c>
      <c r="Q8534" s="16">
        <f>HYPERLINK("https://pb.nalog.ru/search.html?query=3811016215","ФНС: проверить")</f>
        <v/>
      </c>
      <c r="R8534" s="16">
        <f>HYPERLINK("https://checko.ru/search?query=3801001629","Чекко: проверить")</f>
        <v/>
      </c>
      <c r="S8534" t="n">
        <v>0</v>
      </c>
      <c r="T8534" s="35" t="inlineStr">
        <is>
          <t>4 — Не обогащён</t>
        </is>
      </c>
      <c r="U8534" s="35" t="inlineStr">
        <is>
          <t>Нет ОКВЭД/ССЧР</t>
        </is>
      </c>
      <c r="V8534" s="35" t="inlineStr">
        <is>
          <t>Не определено</t>
        </is>
      </c>
      <c r="W8534" s="35" t="inlineStr"/>
      <c r="X8534" s="35" t="inlineStr"/>
    </row>
    <row r="8535" ht="15" customHeight="1" s="24">
      <c r="A8535" s="13" t="n">
        <v>801483858</v>
      </c>
      <c r="B8535" s="13" t="inlineStr">
        <is>
          <t>АО "ИРЗ"</t>
        </is>
      </c>
      <c r="C8535" s="13" t="n">
        <v>3811016215</v>
      </c>
      <c r="D8535" s="13" t="inlineStr">
        <is>
          <t>3811016215</t>
        </is>
      </c>
      <c r="E8535" s="13" t="inlineStr">
        <is>
          <t>ЮЛ РФ</t>
        </is>
      </c>
      <c r="F8535" s="13" t="n"/>
      <c r="G8535" s="14" t="n"/>
      <c r="H8535" s="14" t="n"/>
      <c r="I8535" s="14" t="n"/>
      <c r="J8535" s="14" t="n"/>
      <c r="K8535" s="53" t="inlineStr"/>
      <c r="L8535" s="53" t="inlineStr">
        <is>
          <t>Не определено</t>
        </is>
      </c>
      <c r="M8535" s="53" t="inlineStr"/>
      <c r="N8535" s="54" t="inlineStr"/>
      <c r="O8535" s="55" t="inlineStr"/>
      <c r="P8535" s="16" t="inlineStr">
        <is>
          <t>Требует обогащения</t>
        </is>
      </c>
      <c r="Q8535" s="16">
        <f>HYPERLINK("https://pb.nalog.ru/search.html?query=3811016215","ФНС: проверить")</f>
        <v/>
      </c>
      <c r="R8535" s="16">
        <f>HYPERLINK("https://checko.ru/search?query=3801001629","Чекко: проверить")</f>
        <v/>
      </c>
      <c r="S8535" t="n">
        <v>0</v>
      </c>
      <c r="T8535" s="35" t="inlineStr">
        <is>
          <t>4 — Не обогащён</t>
        </is>
      </c>
      <c r="U8535" s="35" t="inlineStr">
        <is>
          <t>Нет ОКВЭД/ССЧР</t>
        </is>
      </c>
      <c r="V8535" s="35" t="inlineStr">
        <is>
          <t>Не определено</t>
        </is>
      </c>
      <c r="W8535" s="35" t="inlineStr"/>
      <c r="X8535" s="35" t="inlineStr"/>
    </row>
    <row r="8536" ht="15" customHeight="1" s="24">
      <c r="A8536" s="13" t="n">
        <v>801483858</v>
      </c>
      <c r="B8536" s="13" t="inlineStr">
        <is>
          <t>АО "ИРЗ"</t>
        </is>
      </c>
      <c r="C8536" s="13" t="n">
        <v>3811016215</v>
      </c>
      <c r="D8536" s="13" t="inlineStr">
        <is>
          <t>3811016215</t>
        </is>
      </c>
      <c r="E8536" s="13" t="inlineStr">
        <is>
          <t>ЮЛ РФ</t>
        </is>
      </c>
      <c r="F8536" s="13" t="n"/>
      <c r="G8536" s="14" t="n"/>
      <c r="H8536" s="14" t="n"/>
      <c r="I8536" s="14" t="n"/>
      <c r="J8536" s="14" t="n"/>
      <c r="K8536" s="53" t="inlineStr"/>
      <c r="L8536" s="53" t="inlineStr">
        <is>
          <t>Не определено</t>
        </is>
      </c>
      <c r="M8536" s="53" t="inlineStr"/>
      <c r="N8536" s="54" t="inlineStr"/>
      <c r="O8536" s="55" t="inlineStr"/>
      <c r="P8536" s="16" t="inlineStr">
        <is>
          <t>Требует обогащения</t>
        </is>
      </c>
      <c r="Q8536" s="16">
        <f>HYPERLINK("https://pb.nalog.ru/search.html?query=3811016215","ФНС: проверить")</f>
        <v/>
      </c>
      <c r="R8536" s="16">
        <f>HYPERLINK("https://checko.ru/search?query=3801001629","Чекко: проверить")</f>
        <v/>
      </c>
      <c r="S8536" t="n">
        <v>0</v>
      </c>
      <c r="T8536" s="35" t="inlineStr">
        <is>
          <t>4 — Не обогащён</t>
        </is>
      </c>
      <c r="U8536" s="35" t="inlineStr">
        <is>
          <t>Нет ОКВЭД/ССЧР</t>
        </is>
      </c>
      <c r="V8536" s="35" t="inlineStr">
        <is>
          <t>Не определено</t>
        </is>
      </c>
      <c r="W8536" s="35" t="inlineStr"/>
      <c r="X8536" s="35" t="inlineStr"/>
    </row>
    <row r="8537" ht="15" customHeight="1" s="24">
      <c r="A8537" s="13" t="n">
        <v>801483858</v>
      </c>
      <c r="B8537" s="13" t="inlineStr">
        <is>
          <t>АО "ИРЗ"</t>
        </is>
      </c>
      <c r="C8537" s="13" t="n">
        <v>3811016215</v>
      </c>
      <c r="D8537" s="13" t="inlineStr">
        <is>
          <t>3811016215</t>
        </is>
      </c>
      <c r="E8537" s="13" t="inlineStr">
        <is>
          <t>ЮЛ РФ</t>
        </is>
      </c>
      <c r="F8537" s="13" t="n"/>
      <c r="G8537" s="14" t="n"/>
      <c r="H8537" s="14" t="n"/>
      <c r="I8537" s="14" t="n"/>
      <c r="J8537" s="14" t="n"/>
      <c r="K8537" s="53" t="inlineStr"/>
      <c r="L8537" s="53" t="inlineStr">
        <is>
          <t>Не определено</t>
        </is>
      </c>
      <c r="M8537" s="53" t="inlineStr"/>
      <c r="N8537" s="54" t="inlineStr"/>
      <c r="O8537" s="55" t="inlineStr"/>
      <c r="P8537" s="16" t="inlineStr">
        <is>
          <t>Требует обогащения</t>
        </is>
      </c>
      <c r="Q8537" s="16">
        <f>HYPERLINK("https://pb.nalog.ru/search.html?query=3811016215","ФНС: проверить")</f>
        <v/>
      </c>
      <c r="R8537" s="16">
        <f>HYPERLINK("https://checko.ru/search?query=3801001629","Чекко: проверить")</f>
        <v/>
      </c>
      <c r="S8537" t="n">
        <v>0</v>
      </c>
      <c r="T8537" s="35" t="inlineStr">
        <is>
          <t>4 — Не обогащён</t>
        </is>
      </c>
      <c r="U8537" s="35" t="inlineStr">
        <is>
          <t>Нет ОКВЭД/ССЧР</t>
        </is>
      </c>
      <c r="V8537" s="35" t="inlineStr">
        <is>
          <t>Не определено</t>
        </is>
      </c>
      <c r="W8537" s="35" t="inlineStr"/>
      <c r="X8537" s="35" t="inlineStr"/>
    </row>
    <row r="8538" ht="15" customHeight="1" s="24">
      <c r="A8538" s="13" t="n">
        <v>801483858</v>
      </c>
      <c r="B8538" s="13" t="inlineStr">
        <is>
          <t>АО "ИРЗ"</t>
        </is>
      </c>
      <c r="C8538" s="13" t="n">
        <v>3811016215</v>
      </c>
      <c r="D8538" s="13" t="inlineStr">
        <is>
          <t>3811016215</t>
        </is>
      </c>
      <c r="E8538" s="13" t="inlineStr">
        <is>
          <t>ЮЛ РФ</t>
        </is>
      </c>
      <c r="F8538" s="13" t="n"/>
      <c r="G8538" s="14" t="n"/>
      <c r="H8538" s="14" t="n"/>
      <c r="I8538" s="14" t="n"/>
      <c r="J8538" s="14" t="n"/>
      <c r="K8538" s="53" t="inlineStr"/>
      <c r="L8538" s="53" t="inlineStr">
        <is>
          <t>Не определено</t>
        </is>
      </c>
      <c r="M8538" s="53" t="inlineStr"/>
      <c r="N8538" s="54" t="inlineStr"/>
      <c r="O8538" s="55" t="inlineStr"/>
      <c r="P8538" s="16" t="inlineStr">
        <is>
          <t>Требует обогащения</t>
        </is>
      </c>
      <c r="Q8538" s="16">
        <f>HYPERLINK("https://pb.nalog.ru/search.html?query=3811016215","ФНС: проверить")</f>
        <v/>
      </c>
      <c r="R8538" s="16">
        <f>HYPERLINK("https://checko.ru/search?query=3801001629","Чекко: проверить")</f>
        <v/>
      </c>
      <c r="S8538" t="n">
        <v>0</v>
      </c>
      <c r="T8538" s="35" t="inlineStr">
        <is>
          <t>4 — Не обогащён</t>
        </is>
      </c>
      <c r="U8538" s="35" t="inlineStr">
        <is>
          <t>Нет ОКВЭД/ССЧР</t>
        </is>
      </c>
      <c r="V8538" s="35" t="inlineStr">
        <is>
          <t>Не определено</t>
        </is>
      </c>
      <c r="W8538" s="35" t="inlineStr"/>
      <c r="X8538" s="35" t="inlineStr"/>
    </row>
    <row r="8539" ht="15" customHeight="1" s="24">
      <c r="A8539" s="13" t="n">
        <v>802451732</v>
      </c>
      <c r="B8539" s="13" t="inlineStr">
        <is>
          <t>ООО "Регион"</t>
        </is>
      </c>
      <c r="C8539" s="13" t="n">
        <v>3810044361</v>
      </c>
      <c r="D8539" s="13" t="inlineStr">
        <is>
          <t>3810044361</t>
        </is>
      </c>
      <c r="E8539" s="13" t="inlineStr">
        <is>
          <t>ЮЛ РФ</t>
        </is>
      </c>
      <c r="F8539" s="13" t="n"/>
      <c r="G8539" s="52" t="n">
        <v>60</v>
      </c>
      <c r="H8539" s="52" t="n">
        <v>2025</v>
      </c>
      <c r="I8539" s="52" t="inlineStr">
        <is>
          <t>46.38</t>
        </is>
      </c>
      <c r="J8539" s="52" t="inlineStr">
        <is>
          <t>46.38; 49.41.2; 52.10.9; 46.21</t>
        </is>
      </c>
      <c r="K8539" s="53" t="inlineStr">
        <is>
          <t>Да</t>
        </is>
      </c>
      <c r="L8539" s="53" t="inlineStr">
        <is>
          <t>Да</t>
        </is>
      </c>
      <c r="M8539" s="53" t="inlineStr">
        <is>
          <t>До 100</t>
        </is>
      </c>
      <c r="N8539" s="54" t="n">
        <v>33600</v>
      </c>
      <c r="O8539" s="55" t="inlineStr">
        <is>
          <t>51–100</t>
        </is>
      </c>
      <c r="P8539" s="16" t="inlineStr">
        <is>
          <t>ССЧР + ОКВЭД обогащены</t>
        </is>
      </c>
      <c r="Q8539" s="16" t="inlineStr">
        <is>
          <t>ФНС открытые данные ССЧР (ДатаСост 31.12.2025; набор 7707329152-sshr2019)</t>
        </is>
      </c>
      <c r="R8539" s="16" t="inlineStr">
        <is>
          <t>ЕГРЮЛ / egrul.nalog.ru (выписка)</t>
        </is>
      </c>
      <c r="S8539" t="n">
        <v>0</v>
      </c>
      <c r="T8539" s="35" t="inlineStr">
        <is>
          <t>1 — Горячий</t>
        </is>
      </c>
      <c r="U8539" s="35" t="inlineStr">
        <is>
          <t>ОКВЭД + 22+</t>
        </is>
      </c>
      <c r="V8539" s="35" t="inlineStr">
        <is>
          <t>Да</t>
        </is>
      </c>
      <c r="W8539" s="35" t="inlineStr">
        <is>
          <t>Да</t>
        </is>
      </c>
      <c r="X8539" s="35" t="inlineStr">
        <is>
          <t>Да</t>
        </is>
      </c>
    </row>
    <row r="8540" ht="15" customHeight="1" s="24">
      <c r="A8540" s="13" t="n">
        <v>9892288</v>
      </c>
      <c r="B8540" s="13" t="inlineStr">
        <is>
          <t>ООО "Оптима"</t>
        </is>
      </c>
      <c r="C8540" s="13" t="n">
        <v>3812137188</v>
      </c>
      <c r="D8540" s="13" t="inlineStr">
        <is>
          <t>3812137188</t>
        </is>
      </c>
      <c r="E8540" s="13" t="inlineStr">
        <is>
          <t>ЮЛ РФ</t>
        </is>
      </c>
      <c r="F8540" s="13" t="n"/>
      <c r="G8540" s="52" t="n">
        <v>17</v>
      </c>
      <c r="H8540" s="52" t="n">
        <v>2025</v>
      </c>
      <c r="I8540" s="14" t="n"/>
      <c r="J8540" s="14" t="n"/>
      <c r="K8540" s="53" t="inlineStr">
        <is>
          <t>Нет</t>
        </is>
      </c>
      <c r="L8540" s="53" t="inlineStr">
        <is>
          <t>Не определено</t>
        </is>
      </c>
      <c r="M8540" s="53" t="inlineStr">
        <is>
          <t>До 25</t>
        </is>
      </c>
      <c r="N8540" s="54" t="n">
        <v>8400</v>
      </c>
      <c r="O8540" s="55" t="inlineStr">
        <is>
          <t>16–30</t>
        </is>
      </c>
      <c r="P8540" s="16" t="inlineStr">
        <is>
          <t>ССЧР обогащена; ОКВЭД не найден/не загружен</t>
        </is>
      </c>
      <c r="Q8540" s="16" t="inlineStr">
        <is>
          <t>ФНС открытые данные ССЧР (ДатаСост 31.12.2025; набор 7707329152-sshr2019)</t>
        </is>
      </c>
      <c r="R8540" s="16">
        <f>HYPERLINK("https://checko.ru/search?query=3801001629","Чекко: проверить")</f>
        <v/>
      </c>
      <c r="S8540" t="n">
        <v>1</v>
      </c>
      <c r="T8540" s="35" t="inlineStr">
        <is>
          <t>4 — Не обогащён</t>
        </is>
      </c>
      <c r="U8540" s="35" t="inlineStr">
        <is>
          <t>Нет ОКВЭД/ССЧР</t>
        </is>
      </c>
      <c r="V8540" s="35" t="inlineStr">
        <is>
          <t>Не определено</t>
        </is>
      </c>
      <c r="W8540" s="35" t="inlineStr">
        <is>
          <t>Нет</t>
        </is>
      </c>
      <c r="X8540" s="35" t="inlineStr"/>
    </row>
    <row r="8541" ht="15" customHeight="1" s="24">
      <c r="A8541" s="13" t="inlineStr">
        <is>
          <t>FR821357</t>
        </is>
      </c>
      <c r="B8541" s="13" t="inlineStr">
        <is>
          <t>ФЛ Устинова Анастасия Алексеевна</t>
        </is>
      </c>
      <c r="C8541" s="13" t="n">
        <v>381712554754</v>
      </c>
      <c r="D8541" s="13" t="inlineStr">
        <is>
          <t>381712554754</t>
        </is>
      </c>
      <c r="E8541" s="13" t="inlineStr">
        <is>
          <t>ИП РФ / физлицо</t>
        </is>
      </c>
      <c r="F8541" s="13" t="n"/>
      <c r="G8541" s="14" t="n"/>
      <c r="H8541" s="14" t="n"/>
      <c r="I8541" s="14" t="n"/>
      <c r="J8541" s="14" t="n"/>
      <c r="K8541" s="53" t="inlineStr"/>
      <c r="L8541" s="53" t="inlineStr">
        <is>
          <t>Не определено</t>
        </is>
      </c>
      <c r="M8541" s="53" t="inlineStr"/>
      <c r="N8541" s="54" t="inlineStr"/>
      <c r="O8541" s="55" t="inlineStr"/>
      <c r="P8541" s="16" t="inlineStr">
        <is>
          <t>Требует обогащения</t>
        </is>
      </c>
      <c r="Q8541" s="16">
        <f>HYPERLINK("https://pb.nalog.ru/search.html?query=381712554754","ФНС: проверить")</f>
        <v/>
      </c>
      <c r="R8541" s="16">
        <f>HYPERLINK("https://checko.ru/search?query=3801001629","Чекко: проверить")</f>
        <v/>
      </c>
      <c r="S8541" t="n">
        <v>1</v>
      </c>
      <c r="T8541" s="35" t="inlineStr">
        <is>
          <t>4 — Не обогащён</t>
        </is>
      </c>
      <c r="U8541" s="35" t="inlineStr">
        <is>
          <t>Нет ОКВЭД/ССЧР</t>
        </is>
      </c>
      <c r="V8541" s="35" t="inlineStr">
        <is>
          <t>Не определено</t>
        </is>
      </c>
      <c r="W8541" s="35" t="inlineStr"/>
      <c r="X8541" s="35" t="inlineStr"/>
    </row>
    <row r="8542" ht="15" customHeight="1" s="24">
      <c r="A8542" s="13" t="inlineStr">
        <is>
          <t>FR821357</t>
        </is>
      </c>
      <c r="B8542" s="13" t="inlineStr">
        <is>
          <t>ФЛ Устинова Анастасия Алексеевна</t>
        </is>
      </c>
      <c r="C8542" s="13" t="n">
        <v>381712554754</v>
      </c>
      <c r="D8542" s="13" t="inlineStr">
        <is>
          <t>381712554754</t>
        </is>
      </c>
      <c r="E8542" s="13" t="inlineStr">
        <is>
          <t>ИП РФ / физлицо</t>
        </is>
      </c>
      <c r="F8542" s="13" t="n"/>
      <c r="G8542" s="14" t="n"/>
      <c r="H8542" s="14" t="n"/>
      <c r="I8542" s="14" t="n"/>
      <c r="J8542" s="14" t="n"/>
      <c r="K8542" s="53" t="inlineStr"/>
      <c r="L8542" s="53" t="inlineStr">
        <is>
          <t>Не определено</t>
        </is>
      </c>
      <c r="M8542" s="53" t="inlineStr"/>
      <c r="N8542" s="54" t="inlineStr"/>
      <c r="O8542" s="55" t="inlineStr"/>
      <c r="P8542" s="16" t="inlineStr">
        <is>
          <t>Требует обогащения</t>
        </is>
      </c>
      <c r="Q8542" s="16">
        <f>HYPERLINK("https://pb.nalog.ru/search.html?query=381712554754","ФНС: проверить")</f>
        <v/>
      </c>
      <c r="R8542" s="16">
        <f>HYPERLINK("https://checko.ru/search?query=3801001629","Чекко: проверить")</f>
        <v/>
      </c>
      <c r="S8542" t="n">
        <v>0</v>
      </c>
      <c r="T8542" s="35" t="inlineStr">
        <is>
          <t>4 — Не обогащён</t>
        </is>
      </c>
      <c r="U8542" s="35" t="inlineStr">
        <is>
          <t>Нет ОКВЭД/ССЧР</t>
        </is>
      </c>
      <c r="V8542" s="35" t="inlineStr">
        <is>
          <t>Не определено</t>
        </is>
      </c>
      <c r="W8542" s="35" t="inlineStr"/>
      <c r="X8542" s="35" t="inlineStr"/>
    </row>
    <row r="8543" ht="15" customHeight="1" s="24">
      <c r="A8543" s="13" t="n">
        <v>800764823</v>
      </c>
      <c r="B8543" s="13" t="inlineStr">
        <is>
          <t>ООО "ШИНТРЕЙД"</t>
        </is>
      </c>
      <c r="C8543" s="13" t="n">
        <v>3811444683</v>
      </c>
      <c r="D8543" s="13" t="inlineStr">
        <is>
          <t>3811444683</t>
        </is>
      </c>
      <c r="E8543" s="13" t="inlineStr">
        <is>
          <t>ЮЛ РФ</t>
        </is>
      </c>
      <c r="F8543" s="13" t="n"/>
      <c r="G8543" s="52" t="n">
        <v>4</v>
      </c>
      <c r="H8543" s="52" t="n">
        <v>2025</v>
      </c>
      <c r="I8543" s="14" t="n"/>
      <c r="J8543" s="14" t="n"/>
      <c r="K8543" s="53" t="inlineStr">
        <is>
          <t>Нет</t>
        </is>
      </c>
      <c r="L8543" s="53" t="inlineStr">
        <is>
          <t>Не определено</t>
        </is>
      </c>
      <c r="M8543" s="53" t="inlineStr">
        <is>
          <t>До 10</t>
        </is>
      </c>
      <c r="N8543" s="54" t="n">
        <v>3360</v>
      </c>
      <c r="O8543" s="55" t="inlineStr">
        <is>
          <t>1–15</t>
        </is>
      </c>
      <c r="P8543" s="16" t="inlineStr">
        <is>
          <t>ССЧР обогащена; ОКВЭД не найден/не загружен</t>
        </is>
      </c>
      <c r="Q8543" s="16" t="inlineStr">
        <is>
          <t>ФНС открытые данные ССЧР (ДатаСост 31.12.2025; набор 7707329152-sshr2019)</t>
        </is>
      </c>
      <c r="R8543" s="16">
        <f>HYPERLINK("https://checko.ru/search?query=3801001629","Чекко: проверить")</f>
        <v/>
      </c>
      <c r="S8543" t="n">
        <v>0</v>
      </c>
      <c r="T8543" s="35" t="inlineStr">
        <is>
          <t>4 — Не обогащён</t>
        </is>
      </c>
      <c r="U8543" s="35" t="inlineStr">
        <is>
          <t>Нет ОКВЭД/ССЧР</t>
        </is>
      </c>
      <c r="V8543" s="35" t="inlineStr">
        <is>
          <t>Не определено</t>
        </is>
      </c>
      <c r="W8543" s="35" t="inlineStr">
        <is>
          <t>Нет</t>
        </is>
      </c>
      <c r="X8543" s="35" t="inlineStr"/>
    </row>
    <row r="8544" ht="15" customHeight="1" s="24">
      <c r="A8544" s="13" t="n">
        <v>802400982</v>
      </c>
      <c r="B8544" s="13" t="inlineStr">
        <is>
          <t>ООО "Форвард"</t>
        </is>
      </c>
      <c r="C8544" s="13" t="n">
        <v>3808089020</v>
      </c>
      <c r="D8544" s="13" t="inlineStr">
        <is>
          <t>3808089020</t>
        </is>
      </c>
      <c r="E8544" s="13" t="inlineStr">
        <is>
          <t>ЮЛ РФ</t>
        </is>
      </c>
      <c r="F8544" s="13" t="n"/>
      <c r="G8544" s="52" t="n">
        <v>45</v>
      </c>
      <c r="H8544" s="52" t="n">
        <v>2025</v>
      </c>
      <c r="I8544" s="14" t="n"/>
      <c r="J8544" s="14" t="n"/>
      <c r="K8544" s="53" t="inlineStr">
        <is>
          <t>Да</t>
        </is>
      </c>
      <c r="L8544" s="53" t="inlineStr">
        <is>
          <t>Не определено</t>
        </is>
      </c>
      <c r="M8544" s="53" t="inlineStr">
        <is>
          <t>До 50</t>
        </is>
      </c>
      <c r="N8544" s="54" t="n">
        <v>16800</v>
      </c>
      <c r="O8544" s="55" t="inlineStr">
        <is>
          <t>31–50</t>
        </is>
      </c>
      <c r="P8544" s="16" t="inlineStr">
        <is>
          <t>ССЧР обогащена; ОКВЭД не найден/не загружен</t>
        </is>
      </c>
      <c r="Q8544" s="16" t="inlineStr">
        <is>
          <t>ФНС открытые данные ССЧР (ДатаСост 31.12.2025; набор 7707329152-sshr2019)</t>
        </is>
      </c>
      <c r="R8544" s="16">
        <f>HYPERLINK("https://checko.ru/search?query=3801001629","Чекко: проверить")</f>
        <v/>
      </c>
      <c r="S8544" t="n">
        <v>0</v>
      </c>
      <c r="T8544" s="35" t="inlineStr">
        <is>
          <t>3 — 22+ без ОКВЭД</t>
        </is>
      </c>
      <c r="U8544" s="35" t="inlineStr">
        <is>
          <t>22+ без целевого ОКВЭД</t>
        </is>
      </c>
      <c r="V8544" s="35" t="inlineStr">
        <is>
          <t>Не определено</t>
        </is>
      </c>
      <c r="W8544" s="35" t="inlineStr">
        <is>
          <t>Да</t>
        </is>
      </c>
      <c r="X8544" s="35" t="inlineStr"/>
    </row>
    <row r="8545" ht="27.75" customHeight="1" s="24">
      <c r="A8545" s="13" t="inlineStr">
        <is>
          <t>FR19406</t>
        </is>
      </c>
      <c r="B8545" s="13" t="inlineStr">
        <is>
          <t>Общество с ограниченной ответственностью "1С:БО ФОРУС"</t>
        </is>
      </c>
      <c r="C8545" s="13" t="n">
        <v>3811168176</v>
      </c>
      <c r="D8545" s="13" t="inlineStr">
        <is>
          <t>3811168176</t>
        </is>
      </c>
      <c r="E8545" s="13" t="inlineStr">
        <is>
          <t>ЮЛ РФ</t>
        </is>
      </c>
      <c r="F8545" s="13" t="n"/>
      <c r="G8545" s="52" t="n">
        <v>77</v>
      </c>
      <c r="H8545" s="52" t="n">
        <v>2025</v>
      </c>
      <c r="I8545" s="52" t="inlineStr">
        <is>
          <t>69.20.2</t>
        </is>
      </c>
      <c r="J8545" s="52" t="inlineStr">
        <is>
          <t>69.20.2; 18.12; 18.13; 22.19; 46.51; 62.02; 63.11; 63.11.1; 68.20; 69.10; 69.20; 69.20.1; 70.22; 73.11; 82.99; 85.42.9</t>
        </is>
      </c>
      <c r="K8545" s="53" t="inlineStr">
        <is>
          <t>Да</t>
        </is>
      </c>
      <c r="L8545" s="53" t="inlineStr">
        <is>
          <t>Да</t>
        </is>
      </c>
      <c r="M8545" s="53" t="inlineStr">
        <is>
          <t>До 100</t>
        </is>
      </c>
      <c r="N8545" s="54" t="n">
        <v>33600</v>
      </c>
      <c r="O8545" s="55" t="inlineStr">
        <is>
          <t>51–100</t>
        </is>
      </c>
      <c r="P8545" s="16" t="inlineStr">
        <is>
          <t>ССЧР + ОКВЭД обогащены</t>
        </is>
      </c>
      <c r="Q8545" s="16" t="inlineStr">
        <is>
          <t>ФНС открытые данные ССЧР (ДатаСост 31.12.2025; набор 7707329152-sshr2019)</t>
        </is>
      </c>
      <c r="R8545" s="16" t="inlineStr">
        <is>
          <t>ЕГРЮЛ / egrul.nalog.ru (выписка)</t>
        </is>
      </c>
      <c r="S8545" t="n">
        <v>0</v>
      </c>
      <c r="T8545" s="35" t="inlineStr">
        <is>
          <t>1 — Горячий</t>
        </is>
      </c>
      <c r="U8545" s="35" t="inlineStr">
        <is>
          <t>ОКВЭД + 22+</t>
        </is>
      </c>
      <c r="V8545" s="35" t="inlineStr">
        <is>
          <t>Да</t>
        </is>
      </c>
      <c r="W8545" s="35" t="inlineStr">
        <is>
          <t>Да</t>
        </is>
      </c>
      <c r="X8545" s="35" t="inlineStr">
        <is>
          <t>Да</t>
        </is>
      </c>
    </row>
    <row r="8546" ht="15" customHeight="1" s="24">
      <c r="A8546" s="13" t="n">
        <v>801483858</v>
      </c>
      <c r="B8546" s="13" t="inlineStr">
        <is>
          <t>АО "ИРЗ"</t>
        </is>
      </c>
      <c r="C8546" s="13" t="n">
        <v>3811016215</v>
      </c>
      <c r="D8546" s="13" t="inlineStr">
        <is>
          <t>3811016215</t>
        </is>
      </c>
      <c r="E8546" s="13" t="inlineStr">
        <is>
          <t>ЮЛ РФ</t>
        </is>
      </c>
      <c r="F8546" s="13" t="n"/>
      <c r="G8546" s="14" t="n"/>
      <c r="H8546" s="14" t="n"/>
      <c r="I8546" s="14" t="n"/>
      <c r="J8546" s="14" t="n"/>
      <c r="K8546" s="53" t="inlineStr"/>
      <c r="L8546" s="53" t="inlineStr">
        <is>
          <t>Не определено</t>
        </is>
      </c>
      <c r="M8546" s="53" t="inlineStr"/>
      <c r="N8546" s="54" t="inlineStr"/>
      <c r="O8546" s="55" t="inlineStr"/>
      <c r="P8546" s="16" t="inlineStr">
        <is>
          <t>Требует обогащения</t>
        </is>
      </c>
      <c r="Q8546" s="16">
        <f>HYPERLINK("https://pb.nalog.ru/search.html?query=3811016215","ФНС: проверить")</f>
        <v/>
      </c>
      <c r="R8546" s="16">
        <f>HYPERLINK("https://checko.ru/search?query=3801001629","Чекко: проверить")</f>
        <v/>
      </c>
      <c r="S8546" t="n">
        <v>0</v>
      </c>
      <c r="T8546" s="35" t="inlineStr">
        <is>
          <t>4 — Не обогащён</t>
        </is>
      </c>
      <c r="U8546" s="35" t="inlineStr">
        <is>
          <t>Нет ОКВЭД/ССЧР</t>
        </is>
      </c>
      <c r="V8546" s="35" t="inlineStr">
        <is>
          <t>Не определено</t>
        </is>
      </c>
      <c r="W8546" s="35" t="inlineStr"/>
      <c r="X8546" s="35" t="inlineStr"/>
    </row>
    <row r="8547" ht="15" customHeight="1" s="24">
      <c r="A8547" s="13" t="n">
        <v>801483858</v>
      </c>
      <c r="B8547" s="13" t="inlineStr">
        <is>
          <t>АО "ИРЗ"</t>
        </is>
      </c>
      <c r="C8547" s="13" t="n">
        <v>3811016215</v>
      </c>
      <c r="D8547" s="13" t="inlineStr">
        <is>
          <t>3811016215</t>
        </is>
      </c>
      <c r="E8547" s="13" t="inlineStr">
        <is>
          <t>ЮЛ РФ</t>
        </is>
      </c>
      <c r="F8547" s="13" t="n"/>
      <c r="G8547" s="14" t="n"/>
      <c r="H8547" s="14" t="n"/>
      <c r="I8547" s="14" t="n"/>
      <c r="J8547" s="14" t="n"/>
      <c r="K8547" s="53" t="inlineStr"/>
      <c r="L8547" s="53" t="inlineStr">
        <is>
          <t>Не определено</t>
        </is>
      </c>
      <c r="M8547" s="53" t="inlineStr"/>
      <c r="N8547" s="54" t="inlineStr"/>
      <c r="O8547" s="55" t="inlineStr"/>
      <c r="P8547" s="16" t="inlineStr">
        <is>
          <t>Требует обогащения</t>
        </is>
      </c>
      <c r="Q8547" s="16">
        <f>HYPERLINK("https://pb.nalog.ru/search.html?query=3811016215","ФНС: проверить")</f>
        <v/>
      </c>
      <c r="R8547" s="16">
        <f>HYPERLINK("https://checko.ru/search?query=3801001629","Чекко: проверить")</f>
        <v/>
      </c>
      <c r="S8547" t="n">
        <v>0</v>
      </c>
      <c r="T8547" s="35" t="inlineStr">
        <is>
          <t>4 — Не обогащён</t>
        </is>
      </c>
      <c r="U8547" s="35" t="inlineStr">
        <is>
          <t>Нет ОКВЭД/ССЧР</t>
        </is>
      </c>
      <c r="V8547" s="35" t="inlineStr">
        <is>
          <t>Не определено</t>
        </is>
      </c>
      <c r="W8547" s="35" t="inlineStr"/>
      <c r="X8547" s="35" t="inlineStr"/>
    </row>
    <row r="8548" ht="15" customHeight="1" s="24">
      <c r="A8548" s="13" t="n">
        <v>801483858</v>
      </c>
      <c r="B8548" s="13" t="inlineStr">
        <is>
          <t>АО "ИРЗ"</t>
        </is>
      </c>
      <c r="C8548" s="13" t="n">
        <v>3811016215</v>
      </c>
      <c r="D8548" s="13" t="inlineStr">
        <is>
          <t>3811016215</t>
        </is>
      </c>
      <c r="E8548" s="13" t="inlineStr">
        <is>
          <t>ЮЛ РФ</t>
        </is>
      </c>
      <c r="F8548" s="13" t="n"/>
      <c r="G8548" s="14" t="n"/>
      <c r="H8548" s="14" t="n"/>
      <c r="I8548" s="14" t="n"/>
      <c r="J8548" s="14" t="n"/>
      <c r="K8548" s="53" t="inlineStr"/>
      <c r="L8548" s="53" t="inlineStr">
        <is>
          <t>Не определено</t>
        </is>
      </c>
      <c r="M8548" s="53" t="inlineStr"/>
      <c r="N8548" s="54" t="inlineStr"/>
      <c r="O8548" s="55" t="inlineStr"/>
      <c r="P8548" s="16" t="inlineStr">
        <is>
          <t>Требует обогащения</t>
        </is>
      </c>
      <c r="Q8548" s="16">
        <f>HYPERLINK("https://pb.nalog.ru/search.html?query=3811016215","ФНС: проверить")</f>
        <v/>
      </c>
      <c r="R8548" s="16">
        <f>HYPERLINK("https://checko.ru/search?query=3801001629","Чекко: проверить")</f>
        <v/>
      </c>
      <c r="S8548" t="n">
        <v>0</v>
      </c>
      <c r="T8548" s="35" t="inlineStr">
        <is>
          <t>4 — Не обогащён</t>
        </is>
      </c>
      <c r="U8548" s="35" t="inlineStr">
        <is>
          <t>Нет ОКВЭД/ССЧР</t>
        </is>
      </c>
      <c r="V8548" s="35" t="inlineStr">
        <is>
          <t>Не определено</t>
        </is>
      </c>
      <c r="W8548" s="35" t="inlineStr"/>
      <c r="X8548" s="35" t="inlineStr"/>
    </row>
    <row r="8549" ht="15" customHeight="1" s="24">
      <c r="A8549" s="13" t="n">
        <v>801483858</v>
      </c>
      <c r="B8549" s="13" t="inlineStr">
        <is>
          <t>АО "ИРЗ"</t>
        </is>
      </c>
      <c r="C8549" s="13" t="n">
        <v>3811016215</v>
      </c>
      <c r="D8549" s="13" t="inlineStr">
        <is>
          <t>3811016215</t>
        </is>
      </c>
      <c r="E8549" s="13" t="inlineStr">
        <is>
          <t>ЮЛ РФ</t>
        </is>
      </c>
      <c r="F8549" s="13" t="n"/>
      <c r="G8549" s="14" t="n"/>
      <c r="H8549" s="14" t="n"/>
      <c r="I8549" s="14" t="n"/>
      <c r="J8549" s="14" t="n"/>
      <c r="K8549" s="53" t="inlineStr"/>
      <c r="L8549" s="53" t="inlineStr">
        <is>
          <t>Не определено</t>
        </is>
      </c>
      <c r="M8549" s="53" t="inlineStr"/>
      <c r="N8549" s="54" t="inlineStr"/>
      <c r="O8549" s="55" t="inlineStr"/>
      <c r="P8549" s="16" t="inlineStr">
        <is>
          <t>Требует обогащения</t>
        </is>
      </c>
      <c r="Q8549" s="16">
        <f>HYPERLINK("https://pb.nalog.ru/search.html?query=3811016215","ФНС: проверить")</f>
        <v/>
      </c>
      <c r="R8549" s="16">
        <f>HYPERLINK("https://checko.ru/search?query=3801001629","Чекко: проверить")</f>
        <v/>
      </c>
      <c r="S8549" t="n">
        <v>0</v>
      </c>
      <c r="T8549" s="35" t="inlineStr">
        <is>
          <t>4 — Не обогащён</t>
        </is>
      </c>
      <c r="U8549" s="35" t="inlineStr">
        <is>
          <t>Нет ОКВЭД/ССЧР</t>
        </is>
      </c>
      <c r="V8549" s="35" t="inlineStr">
        <is>
          <t>Не определено</t>
        </is>
      </c>
      <c r="W8549" s="35" t="inlineStr"/>
      <c r="X8549" s="35" t="inlineStr"/>
    </row>
    <row r="8550" ht="15" customHeight="1" s="24">
      <c r="A8550" s="13" t="n">
        <v>801483858</v>
      </c>
      <c r="B8550" s="13" t="inlineStr">
        <is>
          <t>АО "ИРЗ"</t>
        </is>
      </c>
      <c r="C8550" s="13" t="n">
        <v>3811016215</v>
      </c>
      <c r="D8550" s="13" t="inlineStr">
        <is>
          <t>3811016215</t>
        </is>
      </c>
      <c r="E8550" s="13" t="inlineStr">
        <is>
          <t>ЮЛ РФ</t>
        </is>
      </c>
      <c r="F8550" s="13" t="n"/>
      <c r="G8550" s="14" t="n"/>
      <c r="H8550" s="14" t="n"/>
      <c r="I8550" s="14" t="n"/>
      <c r="J8550" s="14" t="n"/>
      <c r="K8550" s="53" t="inlineStr"/>
      <c r="L8550" s="53" t="inlineStr">
        <is>
          <t>Не определено</t>
        </is>
      </c>
      <c r="M8550" s="53" t="inlineStr"/>
      <c r="N8550" s="54" t="inlineStr"/>
      <c r="O8550" s="55" t="inlineStr"/>
      <c r="P8550" s="16" t="inlineStr">
        <is>
          <t>Требует обогащения</t>
        </is>
      </c>
      <c r="Q8550" s="16">
        <f>HYPERLINK("https://pb.nalog.ru/search.html?query=3811016215","ФНС: проверить")</f>
        <v/>
      </c>
      <c r="R8550" s="16">
        <f>HYPERLINK("https://checko.ru/search?query=3801001629","Чекко: проверить")</f>
        <v/>
      </c>
      <c r="S8550" t="n">
        <v>0</v>
      </c>
      <c r="T8550" s="35" t="inlineStr">
        <is>
          <t>4 — Не обогащён</t>
        </is>
      </c>
      <c r="U8550" s="35" t="inlineStr">
        <is>
          <t>Нет ОКВЭД/ССЧР</t>
        </is>
      </c>
      <c r="V8550" s="35" t="inlineStr">
        <is>
          <t>Не определено</t>
        </is>
      </c>
      <c r="W8550" s="35" t="inlineStr"/>
      <c r="X8550" s="35" t="inlineStr"/>
    </row>
    <row r="8551" ht="15" customHeight="1" s="24">
      <c r="A8551" s="13" t="n">
        <v>801483858</v>
      </c>
      <c r="B8551" s="13" t="inlineStr">
        <is>
          <t>АО "ИРЗ"</t>
        </is>
      </c>
      <c r="C8551" s="13" t="n">
        <v>3811016215</v>
      </c>
      <c r="D8551" s="13" t="inlineStr">
        <is>
          <t>3811016215</t>
        </is>
      </c>
      <c r="E8551" s="13" t="inlineStr">
        <is>
          <t>ЮЛ РФ</t>
        </is>
      </c>
      <c r="F8551" s="13" t="n"/>
      <c r="G8551" s="14" t="n"/>
      <c r="H8551" s="14" t="n"/>
      <c r="I8551" s="14" t="n"/>
      <c r="J8551" s="14" t="n"/>
      <c r="K8551" s="53" t="inlineStr"/>
      <c r="L8551" s="53" t="inlineStr">
        <is>
          <t>Не определено</t>
        </is>
      </c>
      <c r="M8551" s="53" t="inlineStr"/>
      <c r="N8551" s="54" t="inlineStr"/>
      <c r="O8551" s="55" t="inlineStr"/>
      <c r="P8551" s="16" t="inlineStr">
        <is>
          <t>Требует обогащения</t>
        </is>
      </c>
      <c r="Q8551" s="16">
        <f>HYPERLINK("https://pb.nalog.ru/search.html?query=3811016215","ФНС: проверить")</f>
        <v/>
      </c>
      <c r="R8551" s="16">
        <f>HYPERLINK("https://checko.ru/search?query=3801001629","Чекко: проверить")</f>
        <v/>
      </c>
      <c r="S8551" t="n">
        <v>0</v>
      </c>
      <c r="T8551" s="35" t="inlineStr">
        <is>
          <t>4 — Не обогащён</t>
        </is>
      </c>
      <c r="U8551" s="35" t="inlineStr">
        <is>
          <t>Нет ОКВЭД/ССЧР</t>
        </is>
      </c>
      <c r="V8551" s="35" t="inlineStr">
        <is>
          <t>Не определено</t>
        </is>
      </c>
      <c r="W8551" s="35" t="inlineStr"/>
      <c r="X8551" s="35" t="inlineStr"/>
    </row>
    <row r="8552" ht="15" customHeight="1" s="24">
      <c r="A8552" s="13" t="n">
        <v>801483858</v>
      </c>
      <c r="B8552" s="13" t="inlineStr">
        <is>
          <t>АО "ИРЗ"</t>
        </is>
      </c>
      <c r="C8552" s="13" t="n">
        <v>3811016215</v>
      </c>
      <c r="D8552" s="13" t="inlineStr">
        <is>
          <t>3811016215</t>
        </is>
      </c>
      <c r="E8552" s="13" t="inlineStr">
        <is>
          <t>ЮЛ РФ</t>
        </is>
      </c>
      <c r="F8552" s="13" t="n"/>
      <c r="G8552" s="14" t="n"/>
      <c r="H8552" s="14" t="n"/>
      <c r="I8552" s="14" t="n"/>
      <c r="J8552" s="14" t="n"/>
      <c r="K8552" s="53" t="inlineStr"/>
      <c r="L8552" s="53" t="inlineStr">
        <is>
          <t>Не определено</t>
        </is>
      </c>
      <c r="M8552" s="53" t="inlineStr"/>
      <c r="N8552" s="54" t="inlineStr"/>
      <c r="O8552" s="55" t="inlineStr"/>
      <c r="P8552" s="16" t="inlineStr">
        <is>
          <t>Требует обогащения</t>
        </is>
      </c>
      <c r="Q8552" s="16">
        <f>HYPERLINK("https://pb.nalog.ru/search.html?query=3811016215","ФНС: проверить")</f>
        <v/>
      </c>
      <c r="R8552" s="16">
        <f>HYPERLINK("https://checko.ru/search?query=3801001629","Чекко: проверить")</f>
        <v/>
      </c>
      <c r="S8552" t="n">
        <v>0</v>
      </c>
      <c r="T8552" s="35" t="inlineStr">
        <is>
          <t>4 — Не обогащён</t>
        </is>
      </c>
      <c r="U8552" s="35" t="inlineStr">
        <is>
          <t>Нет ОКВЭД/ССЧР</t>
        </is>
      </c>
      <c r="V8552" s="35" t="inlineStr">
        <is>
          <t>Не определено</t>
        </is>
      </c>
      <c r="W8552" s="35" t="inlineStr"/>
      <c r="X8552" s="35" t="inlineStr"/>
    </row>
    <row r="8553" ht="27.75" customHeight="1" s="24">
      <c r="A8553" s="13" t="inlineStr">
        <is>
          <t>FR262803</t>
        </is>
      </c>
      <c r="B8553" s="13" t="inlineStr">
        <is>
          <t>Общество с ограниченной ответственностью "ПРОМСТРОЙ"</t>
        </is>
      </c>
      <c r="C8553" s="13" t="n">
        <v>7838069740</v>
      </c>
      <c r="D8553" s="13" t="inlineStr">
        <is>
          <t>7838069740</t>
        </is>
      </c>
      <c r="E8553" s="13" t="inlineStr">
        <is>
          <t>ЮЛ РФ</t>
        </is>
      </c>
      <c r="F8553" s="13" t="n"/>
      <c r="G8553" s="52" t="n">
        <v>0</v>
      </c>
      <c r="H8553" s="52" t="n">
        <v>2025</v>
      </c>
      <c r="I8553" s="14" t="n"/>
      <c r="J8553" s="14" t="n"/>
      <c r="K8553" s="53" t="inlineStr">
        <is>
          <t>Нет</t>
        </is>
      </c>
      <c r="L8553" s="53" t="inlineStr">
        <is>
          <t>Не определено</t>
        </is>
      </c>
      <c r="M8553" s="53" t="inlineStr">
        <is>
          <t>До 10</t>
        </is>
      </c>
      <c r="N8553" s="54" t="n">
        <v>3360</v>
      </c>
      <c r="O8553" s="55" t="inlineStr">
        <is>
          <t>1–15</t>
        </is>
      </c>
      <c r="P8553" s="16" t="inlineStr">
        <is>
          <t>ССЧР обогащена; ОКВЭД не найден/не загружен</t>
        </is>
      </c>
      <c r="Q8553" s="16" t="inlineStr">
        <is>
          <t>ФНС открытые данные ССЧР (ДатаСост 31.12.2025; набор 7707329152-sshr2019)</t>
        </is>
      </c>
      <c r="R8553" s="16">
        <f>HYPERLINK("https://checko.ru/search?query=3801001629","Чекко: проверить")</f>
        <v/>
      </c>
      <c r="S8553" t="n">
        <v>0</v>
      </c>
      <c r="T8553" s="35" t="inlineStr">
        <is>
          <t>4 — Не обогащён</t>
        </is>
      </c>
      <c r="U8553" s="35" t="inlineStr">
        <is>
          <t>Нет ОКВЭД/ССЧР</t>
        </is>
      </c>
      <c r="V8553" s="35" t="inlineStr">
        <is>
          <t>Не определено</t>
        </is>
      </c>
      <c r="W8553" s="35" t="inlineStr">
        <is>
          <t>Нет</t>
        </is>
      </c>
      <c r="X8553" s="35" t="inlineStr"/>
    </row>
    <row r="8554" ht="27.75" customHeight="1" s="24">
      <c r="A8554" s="13" t="inlineStr">
        <is>
          <t>FR19406</t>
        </is>
      </c>
      <c r="B8554" s="13" t="inlineStr">
        <is>
          <t>Общество с ограниченной ответственностью "1С:БО ФОРУС"</t>
        </is>
      </c>
      <c r="C8554" s="13" t="n">
        <v>3811168176</v>
      </c>
      <c r="D8554" s="13" t="inlineStr">
        <is>
          <t>3811168176</t>
        </is>
      </c>
      <c r="E8554" s="13" t="inlineStr">
        <is>
          <t>ЮЛ РФ</t>
        </is>
      </c>
      <c r="F8554" s="13" t="n"/>
      <c r="G8554" s="52" t="n">
        <v>77</v>
      </c>
      <c r="H8554" s="52" t="n">
        <v>2025</v>
      </c>
      <c r="I8554" s="52" t="inlineStr">
        <is>
          <t>69.20.2</t>
        </is>
      </c>
      <c r="J8554" s="52" t="inlineStr">
        <is>
          <t>69.20.2; 18.12; 18.13; 22.19; 46.51; 62.02; 63.11; 63.11.1; 68.20; 69.10; 69.20; 69.20.1; 70.22; 73.11; 82.99; 85.42.9</t>
        </is>
      </c>
      <c r="K8554" s="53" t="inlineStr">
        <is>
          <t>Да</t>
        </is>
      </c>
      <c r="L8554" s="53" t="inlineStr">
        <is>
          <t>Да</t>
        </is>
      </c>
      <c r="M8554" s="53" t="inlineStr">
        <is>
          <t>До 100</t>
        </is>
      </c>
      <c r="N8554" s="54" t="n">
        <v>33600</v>
      </c>
      <c r="O8554" s="55" t="inlineStr">
        <is>
          <t>51–100</t>
        </is>
      </c>
      <c r="P8554" s="16" t="inlineStr">
        <is>
          <t>ССЧР + ОКВЭД обогащены</t>
        </is>
      </c>
      <c r="Q8554" s="16" t="inlineStr">
        <is>
          <t>ФНС открытые данные ССЧР (ДатаСост 31.12.2025; набор 7707329152-sshr2019)</t>
        </is>
      </c>
      <c r="R8554" s="16" t="inlineStr">
        <is>
          <t>ЕГРЮЛ / egrul.nalog.ru (выписка)</t>
        </is>
      </c>
      <c r="S8554" t="n">
        <v>0</v>
      </c>
      <c r="T8554" s="35" t="inlineStr">
        <is>
          <t>1 — Горячий</t>
        </is>
      </c>
      <c r="U8554" s="35" t="inlineStr">
        <is>
          <t>ОКВЭД + 22+</t>
        </is>
      </c>
      <c r="V8554" s="35" t="inlineStr">
        <is>
          <t>Да</t>
        </is>
      </c>
      <c r="W8554" s="35" t="inlineStr">
        <is>
          <t>Да</t>
        </is>
      </c>
      <c r="X8554" s="35" t="inlineStr">
        <is>
          <t>Да</t>
        </is>
      </c>
    </row>
    <row r="8555" ht="27.75" customHeight="1" s="24">
      <c r="A8555" s="13" t="inlineStr">
        <is>
          <t>FR19406</t>
        </is>
      </c>
      <c r="B8555" s="13" t="inlineStr">
        <is>
          <t>Общество с ограниченной ответственностью "1С:БО ФОРУС"</t>
        </is>
      </c>
      <c r="C8555" s="13" t="n">
        <v>3811168176</v>
      </c>
      <c r="D8555" s="13" t="inlineStr">
        <is>
          <t>3811168176</t>
        </is>
      </c>
      <c r="E8555" s="13" t="inlineStr">
        <is>
          <t>ЮЛ РФ</t>
        </is>
      </c>
      <c r="F8555" s="13" t="n"/>
      <c r="G8555" s="52" t="n">
        <v>77</v>
      </c>
      <c r="H8555" s="52" t="n">
        <v>2025</v>
      </c>
      <c r="I8555" s="52" t="inlineStr">
        <is>
          <t>69.20.2</t>
        </is>
      </c>
      <c r="J8555" s="52" t="inlineStr">
        <is>
          <t>69.20.2; 18.12; 18.13; 22.19; 46.51; 62.02; 63.11; 63.11.1; 68.20; 69.10; 69.20; 69.20.1; 70.22; 73.11; 82.99; 85.42.9</t>
        </is>
      </c>
      <c r="K8555" s="53" t="inlineStr">
        <is>
          <t>Да</t>
        </is>
      </c>
      <c r="L8555" s="53" t="inlineStr">
        <is>
          <t>Да</t>
        </is>
      </c>
      <c r="M8555" s="53" t="inlineStr">
        <is>
          <t>До 100</t>
        </is>
      </c>
      <c r="N8555" s="54" t="n">
        <v>33600</v>
      </c>
      <c r="O8555" s="55" t="inlineStr">
        <is>
          <t>51–100</t>
        </is>
      </c>
      <c r="P8555" s="16" t="inlineStr">
        <is>
          <t>ССЧР + ОКВЭД обогащены</t>
        </is>
      </c>
      <c r="Q8555" s="16" t="inlineStr">
        <is>
          <t>ФНС открытые данные ССЧР (ДатаСост 31.12.2025; набор 7707329152-sshr2019)</t>
        </is>
      </c>
      <c r="R8555" s="16" t="inlineStr">
        <is>
          <t>ЕГРЮЛ / egrul.nalog.ru (выписка)</t>
        </is>
      </c>
      <c r="S8555" t="n">
        <v>0</v>
      </c>
      <c r="T8555" s="35" t="inlineStr">
        <is>
          <t>1 — Горячий</t>
        </is>
      </c>
      <c r="U8555" s="35" t="inlineStr">
        <is>
          <t>ОКВЭД + 22+</t>
        </is>
      </c>
      <c r="V8555" s="35" t="inlineStr">
        <is>
          <t>Да</t>
        </is>
      </c>
      <c r="W8555" s="35" t="inlineStr">
        <is>
          <t>Да</t>
        </is>
      </c>
      <c r="X8555" s="35" t="inlineStr">
        <is>
          <t>Да</t>
        </is>
      </c>
    </row>
    <row r="8556" ht="27.75" customHeight="1" s="24">
      <c r="A8556" s="13" t="inlineStr">
        <is>
          <t>FR573710</t>
        </is>
      </c>
      <c r="B8556" s="13" t="inlineStr">
        <is>
          <t>ОБЩЕСТВО С ОГРАНИЧЕННОЙ ОТВЕТСТВЕННОСТЬЮ "АВТО-СИБИРЬ 38"</t>
        </is>
      </c>
      <c r="C8556" s="13" t="n">
        <v>3817049930</v>
      </c>
      <c r="D8556" s="13" t="inlineStr">
        <is>
          <t>3817049930</t>
        </is>
      </c>
      <c r="E8556" s="13" t="inlineStr">
        <is>
          <t>ЮЛ РФ</t>
        </is>
      </c>
      <c r="F8556" s="13" t="n"/>
      <c r="G8556" s="52" t="n">
        <v>14</v>
      </c>
      <c r="H8556" s="52" t="n">
        <v>2025</v>
      </c>
      <c r="I8556" s="14" t="n"/>
      <c r="J8556" s="14" t="n"/>
      <c r="K8556" s="53" t="inlineStr">
        <is>
          <t>Нет</t>
        </is>
      </c>
      <c r="L8556" s="53" t="inlineStr">
        <is>
          <t>Не определено</t>
        </is>
      </c>
      <c r="M8556" s="53" t="inlineStr">
        <is>
          <t>До 25</t>
        </is>
      </c>
      <c r="N8556" s="54" t="n">
        <v>8400</v>
      </c>
      <c r="O8556" s="55" t="inlineStr">
        <is>
          <t>1–15</t>
        </is>
      </c>
      <c r="P8556" s="16" t="inlineStr">
        <is>
          <t>ССЧР обогащена; ОКВЭД не найден/не загружен</t>
        </is>
      </c>
      <c r="Q8556" s="16" t="inlineStr">
        <is>
          <t>ФНС открытые данные ССЧР (ДатаСост 31.12.2025; набор 7707329152-sshr2019)</t>
        </is>
      </c>
      <c r="R8556" s="16">
        <f>HYPERLINK("https://checko.ru/search?query=3801001629","Чекко: проверить")</f>
        <v/>
      </c>
      <c r="S8556" t="n">
        <v>0</v>
      </c>
      <c r="T8556" s="35" t="inlineStr">
        <is>
          <t>4 — Не обогащён</t>
        </is>
      </c>
      <c r="U8556" s="35" t="inlineStr">
        <is>
          <t>Нет ОКВЭД/ССЧР</t>
        </is>
      </c>
      <c r="V8556" s="35" t="inlineStr">
        <is>
          <t>Не определено</t>
        </is>
      </c>
      <c r="W8556" s="35" t="inlineStr">
        <is>
          <t>Нет</t>
        </is>
      </c>
      <c r="X8556" s="35" t="inlineStr"/>
    </row>
    <row r="8557" ht="41.25" customHeight="1" s="24">
      <c r="A8557" s="13" t="inlineStr">
        <is>
          <t>FR1241296</t>
        </is>
      </c>
      <c r="B8557" s="13" t="inlineStr">
        <is>
          <t>Общество с ограниченной ответственностью "БАЙКАЛЬСКАЯ ТЕПЛОЭНЕРГЕТИЧЕСКАЯ КОМПАНИЯ"</t>
        </is>
      </c>
      <c r="C8557" s="13" t="n">
        <v>3812989721</v>
      </c>
      <c r="D8557" s="13" t="inlineStr">
        <is>
          <t>3812989721</t>
        </is>
      </c>
      <c r="E8557" s="13" t="inlineStr">
        <is>
          <t>ЮЛ РФ</t>
        </is>
      </c>
      <c r="F8557" s="13" t="n"/>
      <c r="G8557" s="52" t="n">
        <v>9</v>
      </c>
      <c r="H8557" s="52" t="n">
        <v>2025</v>
      </c>
      <c r="I8557" s="14" t="n"/>
      <c r="J8557" s="14" t="n"/>
      <c r="K8557" s="53" t="inlineStr">
        <is>
          <t>Нет</t>
        </is>
      </c>
      <c r="L8557" s="53" t="inlineStr">
        <is>
          <t>Не определено</t>
        </is>
      </c>
      <c r="M8557" s="53" t="inlineStr">
        <is>
          <t>До 10</t>
        </is>
      </c>
      <c r="N8557" s="54" t="n">
        <v>3360</v>
      </c>
      <c r="O8557" s="55" t="inlineStr">
        <is>
          <t>1–15</t>
        </is>
      </c>
      <c r="P8557" s="16" t="inlineStr">
        <is>
          <t>ССЧР обогащена; ОКВЭД не найден/не загружен</t>
        </is>
      </c>
      <c r="Q8557" s="16" t="inlineStr">
        <is>
          <t>ФНС открытые данные ССЧР (ДатаСост 31.12.2025; набор 7707329152-sshr2019)</t>
        </is>
      </c>
      <c r="R8557" s="16">
        <f>HYPERLINK("https://checko.ru/search?query=3801001629","Чекко: проверить")</f>
        <v/>
      </c>
      <c r="S8557" t="n">
        <v>1</v>
      </c>
      <c r="T8557" s="35" t="inlineStr">
        <is>
          <t>4 — Не обогащён</t>
        </is>
      </c>
      <c r="U8557" s="35" t="inlineStr">
        <is>
          <t>Нет ОКВЭД/ССЧР</t>
        </is>
      </c>
      <c r="V8557" s="35" t="inlineStr">
        <is>
          <t>Не определено</t>
        </is>
      </c>
      <c r="W8557" s="35" t="inlineStr">
        <is>
          <t>Нет</t>
        </is>
      </c>
      <c r="X8557" s="35" t="inlineStr"/>
    </row>
    <row r="8558" ht="41.25" customHeight="1" s="24">
      <c r="A8558" s="13" t="inlineStr">
        <is>
          <t>FR1241296</t>
        </is>
      </c>
      <c r="B8558" s="13" t="inlineStr">
        <is>
          <t>Общество с ограниченной ответственностью "БАЙКАЛЬСКАЯ ТЕПЛОЭНЕРГЕТИЧЕСКАЯ КОМПАНИЯ"</t>
        </is>
      </c>
      <c r="C8558" s="13" t="n">
        <v>3812989721</v>
      </c>
      <c r="D8558" s="13" t="inlineStr">
        <is>
          <t>3812989721</t>
        </is>
      </c>
      <c r="E8558" s="13" t="inlineStr">
        <is>
          <t>ЮЛ РФ</t>
        </is>
      </c>
      <c r="F8558" s="13" t="n"/>
      <c r="G8558" s="52" t="n">
        <v>9</v>
      </c>
      <c r="H8558" s="52" t="n">
        <v>2025</v>
      </c>
      <c r="I8558" s="14" t="n"/>
      <c r="J8558" s="14" t="n"/>
      <c r="K8558" s="53" t="inlineStr">
        <is>
          <t>Нет</t>
        </is>
      </c>
      <c r="L8558" s="53" t="inlineStr">
        <is>
          <t>Не определено</t>
        </is>
      </c>
      <c r="M8558" s="53" t="inlineStr">
        <is>
          <t>До 10</t>
        </is>
      </c>
      <c r="N8558" s="54" t="n">
        <v>3360</v>
      </c>
      <c r="O8558" s="55" t="inlineStr">
        <is>
          <t>1–15</t>
        </is>
      </c>
      <c r="P8558" s="16" t="inlineStr">
        <is>
          <t>ССЧР обогащена; ОКВЭД не найден/не загружен</t>
        </is>
      </c>
      <c r="Q8558" s="16" t="inlineStr">
        <is>
          <t>ФНС открытые данные ССЧР (ДатаСост 31.12.2025; набор 7707329152-sshr2019)</t>
        </is>
      </c>
      <c r="R8558" s="16">
        <f>HYPERLINK("https://checko.ru/search?query=3801001629","Чекко: проверить")</f>
        <v/>
      </c>
      <c r="S8558" t="n">
        <v>0</v>
      </c>
      <c r="T8558" s="35" t="inlineStr">
        <is>
          <t>4 — Не обогащён</t>
        </is>
      </c>
      <c r="U8558" s="35" t="inlineStr">
        <is>
          <t>Нет ОКВЭД/ССЧР</t>
        </is>
      </c>
      <c r="V8558" s="35" t="inlineStr">
        <is>
          <t>Не определено</t>
        </is>
      </c>
      <c r="W8558" s="35" t="inlineStr">
        <is>
          <t>Нет</t>
        </is>
      </c>
      <c r="X8558" s="35" t="inlineStr"/>
    </row>
    <row r="8559" ht="41.25" customHeight="1" s="24">
      <c r="A8559" s="13" t="inlineStr">
        <is>
          <t>FR1241296</t>
        </is>
      </c>
      <c r="B8559" s="13" t="inlineStr">
        <is>
          <t>Общество с ограниченной ответственностью "БАЙКАЛЬСКАЯ ТЕПЛОЭНЕРГЕТИЧЕСКАЯ КОМПАНИЯ"</t>
        </is>
      </c>
      <c r="C8559" s="13" t="n">
        <v>3812989721</v>
      </c>
      <c r="D8559" s="13" t="inlineStr">
        <is>
          <t>3812989721</t>
        </is>
      </c>
      <c r="E8559" s="13" t="inlineStr">
        <is>
          <t>ЮЛ РФ</t>
        </is>
      </c>
      <c r="F8559" s="13" t="n"/>
      <c r="G8559" s="52" t="n">
        <v>9</v>
      </c>
      <c r="H8559" s="52" t="n">
        <v>2025</v>
      </c>
      <c r="I8559" s="14" t="n"/>
      <c r="J8559" s="14" t="n"/>
      <c r="K8559" s="53" t="inlineStr">
        <is>
          <t>Нет</t>
        </is>
      </c>
      <c r="L8559" s="53" t="inlineStr">
        <is>
          <t>Не определено</t>
        </is>
      </c>
      <c r="M8559" s="53" t="inlineStr">
        <is>
          <t>До 10</t>
        </is>
      </c>
      <c r="N8559" s="54" t="n">
        <v>3360</v>
      </c>
      <c r="O8559" s="55" t="inlineStr">
        <is>
          <t>1–15</t>
        </is>
      </c>
      <c r="P8559" s="16" t="inlineStr">
        <is>
          <t>ССЧР обогащена; ОКВЭД не найден/не загружен</t>
        </is>
      </c>
      <c r="Q8559" s="16" t="inlineStr">
        <is>
          <t>ФНС открытые данные ССЧР (ДатаСост 31.12.2025; набор 7707329152-sshr2019)</t>
        </is>
      </c>
      <c r="R8559" s="16">
        <f>HYPERLINK("https://checko.ru/search?query=3801001629","Чекко: проверить")</f>
        <v/>
      </c>
      <c r="S8559" t="n">
        <v>0</v>
      </c>
      <c r="T8559" s="35" t="inlineStr">
        <is>
          <t>4 — Не обогащён</t>
        </is>
      </c>
      <c r="U8559" s="35" t="inlineStr">
        <is>
          <t>Нет ОКВЭД/ССЧР</t>
        </is>
      </c>
      <c r="V8559" s="35" t="inlineStr">
        <is>
          <t>Не определено</t>
        </is>
      </c>
      <c r="W8559" s="35" t="inlineStr">
        <is>
          <t>Нет</t>
        </is>
      </c>
      <c r="X8559" s="35" t="inlineStr"/>
    </row>
    <row r="8560" ht="41.25" customHeight="1" s="24">
      <c r="A8560" s="13" t="inlineStr">
        <is>
          <t>FR1241296</t>
        </is>
      </c>
      <c r="B8560" s="13" t="inlineStr">
        <is>
          <t>Общество с ограниченной ответственностью "БАЙКАЛЬСКАЯ ТЕПЛОЭНЕРГЕТИЧЕСКАЯ КОМПАНИЯ"</t>
        </is>
      </c>
      <c r="C8560" s="13" t="n">
        <v>3812989721</v>
      </c>
      <c r="D8560" s="13" t="inlineStr">
        <is>
          <t>3812989721</t>
        </is>
      </c>
      <c r="E8560" s="13" t="inlineStr">
        <is>
          <t>ЮЛ РФ</t>
        </is>
      </c>
      <c r="F8560" s="13" t="n"/>
      <c r="G8560" s="52" t="n">
        <v>9</v>
      </c>
      <c r="H8560" s="52" t="n">
        <v>2025</v>
      </c>
      <c r="I8560" s="14" t="n"/>
      <c r="J8560" s="14" t="n"/>
      <c r="K8560" s="53" t="inlineStr">
        <is>
          <t>Нет</t>
        </is>
      </c>
      <c r="L8560" s="53" t="inlineStr">
        <is>
          <t>Не определено</t>
        </is>
      </c>
      <c r="M8560" s="53" t="inlineStr">
        <is>
          <t>До 10</t>
        </is>
      </c>
      <c r="N8560" s="54" t="n">
        <v>3360</v>
      </c>
      <c r="O8560" s="55" t="inlineStr">
        <is>
          <t>1–15</t>
        </is>
      </c>
      <c r="P8560" s="16" t="inlineStr">
        <is>
          <t>ССЧР обогащена; ОКВЭД не найден/не загружен</t>
        </is>
      </c>
      <c r="Q8560" s="16" t="inlineStr">
        <is>
          <t>ФНС открытые данные ССЧР (ДатаСост 31.12.2025; набор 7707329152-sshr2019)</t>
        </is>
      </c>
      <c r="R8560" s="16">
        <f>HYPERLINK("https://checko.ru/search?query=3801001629","Чекко: проверить")</f>
        <v/>
      </c>
      <c r="S8560" t="n">
        <v>0</v>
      </c>
      <c r="T8560" s="35" t="inlineStr">
        <is>
          <t>4 — Не обогащён</t>
        </is>
      </c>
      <c r="U8560" s="35" t="inlineStr">
        <is>
          <t>Нет ОКВЭД/ССЧР</t>
        </is>
      </c>
      <c r="V8560" s="35" t="inlineStr">
        <is>
          <t>Не определено</t>
        </is>
      </c>
      <c r="W8560" s="35" t="inlineStr">
        <is>
          <t>Нет</t>
        </is>
      </c>
      <c r="X8560" s="35" t="inlineStr"/>
    </row>
    <row r="8561" ht="41.25" customHeight="1" s="24">
      <c r="A8561" s="13" t="inlineStr">
        <is>
          <t>FR1241296</t>
        </is>
      </c>
      <c r="B8561" s="13" t="inlineStr">
        <is>
          <t>Общество с ограниченной ответственностью "БАЙКАЛЬСКАЯ ТЕПЛОЭНЕРГЕТИЧЕСКАЯ КОМПАНИЯ"</t>
        </is>
      </c>
      <c r="C8561" s="13" t="n">
        <v>3812989721</v>
      </c>
      <c r="D8561" s="13" t="inlineStr">
        <is>
          <t>3812989721</t>
        </is>
      </c>
      <c r="E8561" s="13" t="inlineStr">
        <is>
          <t>ЮЛ РФ</t>
        </is>
      </c>
      <c r="F8561" s="13" t="n"/>
      <c r="G8561" s="52" t="n">
        <v>9</v>
      </c>
      <c r="H8561" s="52" t="n">
        <v>2025</v>
      </c>
      <c r="I8561" s="14" t="n"/>
      <c r="J8561" s="14" t="n"/>
      <c r="K8561" s="53" t="inlineStr">
        <is>
          <t>Нет</t>
        </is>
      </c>
      <c r="L8561" s="53" t="inlineStr">
        <is>
          <t>Не определено</t>
        </is>
      </c>
      <c r="M8561" s="53" t="inlineStr">
        <is>
          <t>До 10</t>
        </is>
      </c>
      <c r="N8561" s="54" t="n">
        <v>3360</v>
      </c>
      <c r="O8561" s="55" t="inlineStr">
        <is>
          <t>1–15</t>
        </is>
      </c>
      <c r="P8561" s="16" t="inlineStr">
        <is>
          <t>ССЧР обогащена; ОКВЭД не найден/не загружен</t>
        </is>
      </c>
      <c r="Q8561" s="16" t="inlineStr">
        <is>
          <t>ФНС открытые данные ССЧР (ДатаСост 31.12.2025; набор 7707329152-sshr2019)</t>
        </is>
      </c>
      <c r="R8561" s="16">
        <f>HYPERLINK("https://checko.ru/search?query=3801001629","Чекко: проверить")</f>
        <v/>
      </c>
      <c r="S8561" t="n">
        <v>0</v>
      </c>
      <c r="T8561" s="35" t="inlineStr">
        <is>
          <t>4 — Не обогащён</t>
        </is>
      </c>
      <c r="U8561" s="35" t="inlineStr">
        <is>
          <t>Нет ОКВЭД/ССЧР</t>
        </is>
      </c>
      <c r="V8561" s="35" t="inlineStr">
        <is>
          <t>Не определено</t>
        </is>
      </c>
      <c r="W8561" s="35" t="inlineStr">
        <is>
          <t>Нет</t>
        </is>
      </c>
      <c r="X8561" s="35" t="inlineStr"/>
    </row>
    <row r="8562" ht="41.25" customHeight="1" s="24">
      <c r="A8562" s="13" t="inlineStr">
        <is>
          <t>FR1241296</t>
        </is>
      </c>
      <c r="B8562" s="13" t="inlineStr">
        <is>
          <t>Общество с ограниченной ответственностью "БАЙКАЛЬСКАЯ ТЕПЛОЭНЕРГЕТИЧЕСКАЯ КОМПАНИЯ"</t>
        </is>
      </c>
      <c r="C8562" s="13" t="n">
        <v>3812989721</v>
      </c>
      <c r="D8562" s="13" t="inlineStr">
        <is>
          <t>3812989721</t>
        </is>
      </c>
      <c r="E8562" s="13" t="inlineStr">
        <is>
          <t>ЮЛ РФ</t>
        </is>
      </c>
      <c r="F8562" s="13" t="n"/>
      <c r="G8562" s="52" t="n">
        <v>9</v>
      </c>
      <c r="H8562" s="52" t="n">
        <v>2025</v>
      </c>
      <c r="I8562" s="14" t="n"/>
      <c r="J8562" s="14" t="n"/>
      <c r="K8562" s="53" t="inlineStr">
        <is>
          <t>Нет</t>
        </is>
      </c>
      <c r="L8562" s="53" t="inlineStr">
        <is>
          <t>Не определено</t>
        </is>
      </c>
      <c r="M8562" s="53" t="inlineStr">
        <is>
          <t>До 10</t>
        </is>
      </c>
      <c r="N8562" s="54" t="n">
        <v>3360</v>
      </c>
      <c r="O8562" s="55" t="inlineStr">
        <is>
          <t>1–15</t>
        </is>
      </c>
      <c r="P8562" s="16" t="inlineStr">
        <is>
          <t>ССЧР обогащена; ОКВЭД не найден/не загружен</t>
        </is>
      </c>
      <c r="Q8562" s="16" t="inlineStr">
        <is>
          <t>ФНС открытые данные ССЧР (ДатаСост 31.12.2025; набор 7707329152-sshr2019)</t>
        </is>
      </c>
      <c r="R8562" s="16">
        <f>HYPERLINK("https://checko.ru/search?query=3801001629","Чекко: проверить")</f>
        <v/>
      </c>
      <c r="S8562" t="n">
        <v>0</v>
      </c>
      <c r="T8562" s="35" t="inlineStr">
        <is>
          <t>4 — Не обогащён</t>
        </is>
      </c>
      <c r="U8562" s="35" t="inlineStr">
        <is>
          <t>Нет ОКВЭД/ССЧР</t>
        </is>
      </c>
      <c r="V8562" s="35" t="inlineStr">
        <is>
          <t>Не определено</t>
        </is>
      </c>
      <c r="W8562" s="35" t="inlineStr">
        <is>
          <t>Нет</t>
        </is>
      </c>
      <c r="X8562" s="35" t="inlineStr"/>
    </row>
    <row r="8563" ht="41.25" customHeight="1" s="24">
      <c r="A8563" s="13" t="inlineStr">
        <is>
          <t>FR1241296</t>
        </is>
      </c>
      <c r="B8563" s="13" t="inlineStr">
        <is>
          <t>Общество с ограниченной ответственностью "БАЙКАЛЬСКАЯ ТЕПЛОЭНЕРГЕТИЧЕСКАЯ КОМПАНИЯ"</t>
        </is>
      </c>
      <c r="C8563" s="13" t="n">
        <v>3812989721</v>
      </c>
      <c r="D8563" s="13" t="inlineStr">
        <is>
          <t>3812989721</t>
        </is>
      </c>
      <c r="E8563" s="13" t="inlineStr">
        <is>
          <t>ЮЛ РФ</t>
        </is>
      </c>
      <c r="F8563" s="13" t="n"/>
      <c r="G8563" s="52" t="n">
        <v>9</v>
      </c>
      <c r="H8563" s="52" t="n">
        <v>2025</v>
      </c>
      <c r="I8563" s="14" t="n"/>
      <c r="J8563" s="14" t="n"/>
      <c r="K8563" s="53" t="inlineStr">
        <is>
          <t>Нет</t>
        </is>
      </c>
      <c r="L8563" s="53" t="inlineStr">
        <is>
          <t>Не определено</t>
        </is>
      </c>
      <c r="M8563" s="53" t="inlineStr">
        <is>
          <t>До 10</t>
        </is>
      </c>
      <c r="N8563" s="54" t="n">
        <v>3360</v>
      </c>
      <c r="O8563" s="55" t="inlineStr">
        <is>
          <t>1–15</t>
        </is>
      </c>
      <c r="P8563" s="16" t="inlineStr">
        <is>
          <t>ССЧР обогащена; ОКВЭД не найден/не загружен</t>
        </is>
      </c>
      <c r="Q8563" s="16" t="inlineStr">
        <is>
          <t>ФНС открытые данные ССЧР (ДатаСост 31.12.2025; набор 7707329152-sshr2019)</t>
        </is>
      </c>
      <c r="R8563" s="16">
        <f>HYPERLINK("https://checko.ru/search?query=3801001629","Чекко: проверить")</f>
        <v/>
      </c>
      <c r="S8563" t="n">
        <v>0</v>
      </c>
      <c r="T8563" s="35" t="inlineStr">
        <is>
          <t>4 — Не обогащён</t>
        </is>
      </c>
      <c r="U8563" s="35" t="inlineStr">
        <is>
          <t>Нет ОКВЭД/ССЧР</t>
        </is>
      </c>
      <c r="V8563" s="35" t="inlineStr">
        <is>
          <t>Не определено</t>
        </is>
      </c>
      <c r="W8563" s="35" t="inlineStr">
        <is>
          <t>Нет</t>
        </is>
      </c>
      <c r="X8563" s="35" t="inlineStr"/>
    </row>
    <row r="8564" ht="15" customHeight="1" s="24">
      <c r="A8564" s="13" t="n">
        <v>802451732</v>
      </c>
      <c r="B8564" s="13" t="inlineStr">
        <is>
          <t>ООО "Регион"</t>
        </is>
      </c>
      <c r="C8564" s="13" t="n">
        <v>3810044361</v>
      </c>
      <c r="D8564" s="13" t="inlineStr">
        <is>
          <t>3810044361</t>
        </is>
      </c>
      <c r="E8564" s="13" t="inlineStr">
        <is>
          <t>ЮЛ РФ</t>
        </is>
      </c>
      <c r="F8564" s="13" t="n"/>
      <c r="G8564" s="52" t="n">
        <v>60</v>
      </c>
      <c r="H8564" s="52" t="n">
        <v>2025</v>
      </c>
      <c r="I8564" s="52" t="inlineStr">
        <is>
          <t>46.38</t>
        </is>
      </c>
      <c r="J8564" s="52" t="inlineStr">
        <is>
          <t>46.38; 49.41.2; 52.10.9; 46.21</t>
        </is>
      </c>
      <c r="K8564" s="53" t="inlineStr">
        <is>
          <t>Да</t>
        </is>
      </c>
      <c r="L8564" s="53" t="inlineStr">
        <is>
          <t>Да</t>
        </is>
      </c>
      <c r="M8564" s="53" t="inlineStr">
        <is>
          <t>До 100</t>
        </is>
      </c>
      <c r="N8564" s="54" t="n">
        <v>33600</v>
      </c>
      <c r="O8564" s="55" t="inlineStr">
        <is>
          <t>51–100</t>
        </is>
      </c>
      <c r="P8564" s="16" t="inlineStr">
        <is>
          <t>ССЧР + ОКВЭД обогащены</t>
        </is>
      </c>
      <c r="Q8564" s="16" t="inlineStr">
        <is>
          <t>ФНС открытые данные ССЧР (ДатаСост 31.12.2025; набор 7707329152-sshr2019)</t>
        </is>
      </c>
      <c r="R8564" s="16" t="inlineStr">
        <is>
          <t>ЕГРЮЛ / egrul.nalog.ru (выписка)</t>
        </is>
      </c>
      <c r="S8564" t="n">
        <v>0</v>
      </c>
      <c r="T8564" s="35" t="inlineStr">
        <is>
          <t>1 — Горячий</t>
        </is>
      </c>
      <c r="U8564" s="35" t="inlineStr">
        <is>
          <t>ОКВЭД + 22+</t>
        </is>
      </c>
      <c r="V8564" s="35" t="inlineStr">
        <is>
          <t>Да</t>
        </is>
      </c>
      <c r="W8564" s="35" t="inlineStr">
        <is>
          <t>Да</t>
        </is>
      </c>
      <c r="X8564" s="35" t="inlineStr">
        <is>
          <t>Да</t>
        </is>
      </c>
    </row>
    <row r="8565" ht="15" customHeight="1" s="24">
      <c r="A8565" s="13" t="n">
        <v>9786130</v>
      </c>
      <c r="B8565" s="13" t="inlineStr">
        <is>
          <t>Филиал Илим Тимбер в г.Братске</t>
        </is>
      </c>
      <c r="C8565" s="13" t="n">
        <v>7838407799</v>
      </c>
      <c r="D8565" s="13" t="inlineStr">
        <is>
          <t>7838407799</t>
        </is>
      </c>
      <c r="E8565" s="13" t="inlineStr">
        <is>
          <t>ЮЛ РФ</t>
        </is>
      </c>
      <c r="F8565" s="13" t="n"/>
      <c r="G8565" s="14" t="n"/>
      <c r="H8565" s="14" t="n"/>
      <c r="I8565" s="14" t="n"/>
      <c r="J8565" s="14" t="n"/>
      <c r="K8565" s="53" t="inlineStr"/>
      <c r="L8565" s="53" t="inlineStr">
        <is>
          <t>Не определено</t>
        </is>
      </c>
      <c r="M8565" s="53" t="inlineStr"/>
      <c r="N8565" s="54" t="inlineStr"/>
      <c r="O8565" s="55" t="inlineStr"/>
      <c r="P8565" s="16" t="inlineStr">
        <is>
          <t>Требует обогащения</t>
        </is>
      </c>
      <c r="Q8565" s="16">
        <f>HYPERLINK("https://pb.nalog.ru/search.html?query=7838407799","ФНС: проверить")</f>
        <v/>
      </c>
      <c r="R8565" s="16">
        <f>HYPERLINK("https://checko.ru/search?query=3801001629","Чекко: проверить")</f>
        <v/>
      </c>
      <c r="S8565" t="n">
        <v>0</v>
      </c>
      <c r="T8565" s="35" t="inlineStr">
        <is>
          <t>4 — Не обогащён</t>
        </is>
      </c>
      <c r="U8565" s="35" t="inlineStr">
        <is>
          <t>Нет ОКВЭД/ССЧР</t>
        </is>
      </c>
      <c r="V8565" s="35" t="inlineStr">
        <is>
          <t>Не определено</t>
        </is>
      </c>
      <c r="W8565" s="35" t="inlineStr"/>
      <c r="X8565" s="35" t="inlineStr"/>
    </row>
    <row r="8566" ht="15" customHeight="1" s="24">
      <c r="A8566" s="13" t="n">
        <v>800499045</v>
      </c>
      <c r="B8566" s="13" t="inlineStr">
        <is>
          <t>ООО "БОМОНД"</t>
        </is>
      </c>
      <c r="C8566" s="13" t="n">
        <v>3804045656</v>
      </c>
      <c r="D8566" s="13" t="inlineStr">
        <is>
          <t>3804045656</t>
        </is>
      </c>
      <c r="E8566" s="13" t="inlineStr">
        <is>
          <t>ЮЛ РФ</t>
        </is>
      </c>
      <c r="F8566" s="13" t="n"/>
      <c r="G8566" s="52" t="n">
        <v>16</v>
      </c>
      <c r="H8566" s="52" t="n">
        <v>2025</v>
      </c>
      <c r="I8566" s="14" t="n"/>
      <c r="J8566" s="14" t="n"/>
      <c r="K8566" s="53" t="inlineStr">
        <is>
          <t>Нет</t>
        </is>
      </c>
      <c r="L8566" s="53" t="inlineStr">
        <is>
          <t>Не определено</t>
        </is>
      </c>
      <c r="M8566" s="53" t="inlineStr">
        <is>
          <t>До 25</t>
        </is>
      </c>
      <c r="N8566" s="54" t="n">
        <v>8400</v>
      </c>
      <c r="O8566" s="55" t="inlineStr">
        <is>
          <t>16–30</t>
        </is>
      </c>
      <c r="P8566" s="16" t="inlineStr">
        <is>
          <t>ССЧР обогащена; ОКВЭД не найден/не загружен</t>
        </is>
      </c>
      <c r="Q8566" s="16" t="inlineStr">
        <is>
          <t>ФНС открытые данные ССЧР (ДатаСост 31.12.2025; набор 7707329152-sshr2019)</t>
        </is>
      </c>
      <c r="R8566" s="16">
        <f>HYPERLINK("https://checko.ru/search?query=3801001629","Чекко: проверить")</f>
        <v/>
      </c>
      <c r="S8566" t="n">
        <v>0</v>
      </c>
      <c r="T8566" s="35" t="inlineStr">
        <is>
          <t>4 — Не обогащён</t>
        </is>
      </c>
      <c r="U8566" s="35" t="inlineStr">
        <is>
          <t>Нет ОКВЭД/ССЧР</t>
        </is>
      </c>
      <c r="V8566" s="35" t="inlineStr">
        <is>
          <t>Не определено</t>
        </is>
      </c>
      <c r="W8566" s="35" t="inlineStr">
        <is>
          <t>Нет</t>
        </is>
      </c>
      <c r="X8566" s="35" t="inlineStr"/>
    </row>
    <row r="8567" ht="15" customHeight="1" s="24">
      <c r="A8567" s="13" t="n">
        <v>800499045</v>
      </c>
      <c r="B8567" s="13" t="inlineStr">
        <is>
          <t>ООО "БОМОНД"</t>
        </is>
      </c>
      <c r="C8567" s="13" t="n">
        <v>3804045656</v>
      </c>
      <c r="D8567" s="13" t="inlineStr">
        <is>
          <t>3804045656</t>
        </is>
      </c>
      <c r="E8567" s="13" t="inlineStr">
        <is>
          <t>ЮЛ РФ</t>
        </is>
      </c>
      <c r="F8567" s="13" t="n"/>
      <c r="G8567" s="52" t="n">
        <v>16</v>
      </c>
      <c r="H8567" s="52" t="n">
        <v>2025</v>
      </c>
      <c r="I8567" s="14" t="n"/>
      <c r="J8567" s="14" t="n"/>
      <c r="K8567" s="53" t="inlineStr">
        <is>
          <t>Нет</t>
        </is>
      </c>
      <c r="L8567" s="53" t="inlineStr">
        <is>
          <t>Не определено</t>
        </is>
      </c>
      <c r="M8567" s="53" t="inlineStr">
        <is>
          <t>До 25</t>
        </is>
      </c>
      <c r="N8567" s="54" t="n">
        <v>8400</v>
      </c>
      <c r="O8567" s="55" t="inlineStr">
        <is>
          <t>16–30</t>
        </is>
      </c>
      <c r="P8567" s="16" t="inlineStr">
        <is>
          <t>ССЧР обогащена; ОКВЭД не найден/не загружен</t>
        </is>
      </c>
      <c r="Q8567" s="16" t="inlineStr">
        <is>
          <t>ФНС открытые данные ССЧР (ДатаСост 31.12.2025; набор 7707329152-sshr2019)</t>
        </is>
      </c>
      <c r="R8567" s="16">
        <f>HYPERLINK("https://checko.ru/search?query=3801001629","Чекко: проверить")</f>
        <v/>
      </c>
      <c r="S8567" t="n">
        <v>0</v>
      </c>
      <c r="T8567" s="35" t="inlineStr">
        <is>
          <t>4 — Не обогащён</t>
        </is>
      </c>
      <c r="U8567" s="35" t="inlineStr">
        <is>
          <t>Нет ОКВЭД/ССЧР</t>
        </is>
      </c>
      <c r="V8567" s="35" t="inlineStr">
        <is>
          <t>Не определено</t>
        </is>
      </c>
      <c r="W8567" s="35" t="inlineStr">
        <is>
          <t>Нет</t>
        </is>
      </c>
      <c r="X8567" s="35" t="inlineStr"/>
    </row>
    <row r="8568" ht="15" customHeight="1" s="24">
      <c r="A8568" s="13" t="n">
        <v>20005708794</v>
      </c>
      <c r="B8568" s="13" t="inlineStr">
        <is>
          <t>ООО "Талар"</t>
        </is>
      </c>
      <c r="C8568" s="13" t="n">
        <v>3812078655</v>
      </c>
      <c r="D8568" s="13" t="inlineStr">
        <is>
          <t>3812078655</t>
        </is>
      </c>
      <c r="E8568" s="13" t="inlineStr">
        <is>
          <t>ЮЛ РФ</t>
        </is>
      </c>
      <c r="F8568" s="13" t="n"/>
      <c r="G8568" s="52" t="n">
        <v>0</v>
      </c>
      <c r="H8568" s="52" t="n">
        <v>2025</v>
      </c>
      <c r="I8568" s="14" t="n"/>
      <c r="J8568" s="14" t="n"/>
      <c r="K8568" s="53" t="inlineStr">
        <is>
          <t>Нет</t>
        </is>
      </c>
      <c r="L8568" s="53" t="inlineStr">
        <is>
          <t>Не определено</t>
        </is>
      </c>
      <c r="M8568" s="53" t="inlineStr">
        <is>
          <t>До 10</t>
        </is>
      </c>
      <c r="N8568" s="54" t="n">
        <v>3360</v>
      </c>
      <c r="O8568" s="55" t="inlineStr">
        <is>
          <t>1–15</t>
        </is>
      </c>
      <c r="P8568" s="16" t="inlineStr">
        <is>
          <t>ССЧР обогащена; ОКВЭД не найден/не загружен</t>
        </is>
      </c>
      <c r="Q8568" s="16" t="inlineStr">
        <is>
          <t>ФНС открытые данные ССЧР (ДатаСост 31.12.2025; набор 7707329152-sshr2019)</t>
        </is>
      </c>
      <c r="R8568" s="16">
        <f>HYPERLINK("https://checko.ru/search?query=3801001629","Чекко: проверить")</f>
        <v/>
      </c>
      <c r="S8568" t="n">
        <v>1</v>
      </c>
      <c r="T8568" s="35" t="inlineStr">
        <is>
          <t>4 — Не обогащён</t>
        </is>
      </c>
      <c r="U8568" s="35" t="inlineStr">
        <is>
          <t>Нет ОКВЭД/ССЧР</t>
        </is>
      </c>
      <c r="V8568" s="35" t="inlineStr">
        <is>
          <t>Не определено</t>
        </is>
      </c>
      <c r="W8568" s="35" t="inlineStr">
        <is>
          <t>Нет</t>
        </is>
      </c>
      <c r="X8568" s="35" t="inlineStr"/>
    </row>
    <row r="8569" ht="15" customHeight="1" s="24">
      <c r="A8569" s="13" t="inlineStr">
        <is>
          <t>FR18444</t>
        </is>
      </c>
      <c r="B8569" s="13" t="inlineStr">
        <is>
          <t>ООО "ТК АПРЕЛЬ"</t>
        </is>
      </c>
      <c r="C8569" s="13" t="n">
        <v>3811440696</v>
      </c>
      <c r="D8569" s="13" t="inlineStr">
        <is>
          <t>3811440696</t>
        </is>
      </c>
      <c r="E8569" s="13" t="inlineStr">
        <is>
          <t>ЮЛ РФ</t>
        </is>
      </c>
      <c r="F8569" s="13" t="n"/>
      <c r="G8569" s="52" t="n">
        <v>0</v>
      </c>
      <c r="H8569" s="52" t="n">
        <v>2025</v>
      </c>
      <c r="I8569" s="14" t="n"/>
      <c r="J8569" s="14" t="n"/>
      <c r="K8569" s="53" t="inlineStr">
        <is>
          <t>Нет</t>
        </is>
      </c>
      <c r="L8569" s="53" t="inlineStr">
        <is>
          <t>Не определено</t>
        </is>
      </c>
      <c r="M8569" s="53" t="inlineStr">
        <is>
          <t>До 10</t>
        </is>
      </c>
      <c r="N8569" s="54" t="n">
        <v>3360</v>
      </c>
      <c r="O8569" s="55" t="inlineStr">
        <is>
          <t>1–15</t>
        </is>
      </c>
      <c r="P8569" s="16" t="inlineStr">
        <is>
          <t>ССЧР обогащена; ОКВЭД не найден/не загружен</t>
        </is>
      </c>
      <c r="Q8569" s="16" t="inlineStr">
        <is>
          <t>ФНС открытые данные ССЧР (ДатаСост 31.12.2025; набор 7707329152-sshr2019)</t>
        </is>
      </c>
      <c r="R8569" s="16">
        <f>HYPERLINK("https://checko.ru/search?query=3801001629","Чекко: проверить")</f>
        <v/>
      </c>
      <c r="S8569" t="n">
        <v>1</v>
      </c>
      <c r="T8569" s="35" t="inlineStr">
        <is>
          <t>4 — Не обогащён</t>
        </is>
      </c>
      <c r="U8569" s="35" t="inlineStr">
        <is>
          <t>Нет ОКВЭД/ССЧР</t>
        </is>
      </c>
      <c r="V8569" s="35" t="inlineStr">
        <is>
          <t>Не определено</t>
        </is>
      </c>
      <c r="W8569" s="35" t="inlineStr">
        <is>
          <t>Нет</t>
        </is>
      </c>
      <c r="X8569" s="35" t="inlineStr"/>
    </row>
    <row r="8570" ht="27.75" customHeight="1" s="24">
      <c r="A8570" s="13" t="n">
        <v>802490710</v>
      </c>
      <c r="B8570" s="13" t="inlineStr">
        <is>
          <t>Индивидуальный предприниматель Яковлев Евгений Иванович</t>
        </is>
      </c>
      <c r="C8570" s="13" t="n">
        <v>141400336661</v>
      </c>
      <c r="D8570" s="13" t="inlineStr">
        <is>
          <t>141400336661</t>
        </is>
      </c>
      <c r="E8570" s="13" t="inlineStr">
        <is>
          <t>ИП РФ / физлицо</t>
        </is>
      </c>
      <c r="F8570" s="13" t="n"/>
      <c r="G8570" s="14" t="n"/>
      <c r="H8570" s="14" t="n"/>
      <c r="I8570" s="14" t="n"/>
      <c r="J8570" s="14" t="n"/>
      <c r="K8570" s="53" t="inlineStr"/>
      <c r="L8570" s="53" t="inlineStr">
        <is>
          <t>Не определено</t>
        </is>
      </c>
      <c r="M8570" s="53" t="inlineStr"/>
      <c r="N8570" s="54" t="inlineStr"/>
      <c r="O8570" s="55" t="inlineStr"/>
      <c r="P8570" s="16" t="inlineStr">
        <is>
          <t>Требует обогащения</t>
        </is>
      </c>
      <c r="Q8570" s="16">
        <f>HYPERLINK("https://pb.nalog.ru/search.html?query=141400336661","ФНС: проверить")</f>
        <v/>
      </c>
      <c r="R8570" s="16">
        <f>HYPERLINK("https://checko.ru/search?query=3801001629","Чекко: проверить")</f>
        <v/>
      </c>
      <c r="S8570" t="n">
        <v>1</v>
      </c>
      <c r="T8570" s="35" t="inlineStr">
        <is>
          <t>4 — Не обогащён</t>
        </is>
      </c>
      <c r="U8570" s="35" t="inlineStr">
        <is>
          <t>Нет ОКВЭД/ССЧР</t>
        </is>
      </c>
      <c r="V8570" s="35" t="inlineStr">
        <is>
          <t>Не определено</t>
        </is>
      </c>
      <c r="W8570" s="35" t="inlineStr"/>
      <c r="X8570" s="35" t="inlineStr"/>
    </row>
    <row r="8571" ht="27.75" customHeight="1" s="24">
      <c r="A8571" s="13" t="n">
        <v>802490710</v>
      </c>
      <c r="B8571" s="13" t="inlineStr">
        <is>
          <t>Индивидуальный предприниматель Яковлев Евгений Иванович</t>
        </is>
      </c>
      <c r="C8571" s="13" t="n">
        <v>141400336661</v>
      </c>
      <c r="D8571" s="13" t="inlineStr">
        <is>
          <t>141400336661</t>
        </is>
      </c>
      <c r="E8571" s="13" t="inlineStr">
        <is>
          <t>ИП РФ / физлицо</t>
        </is>
      </c>
      <c r="F8571" s="13" t="n"/>
      <c r="G8571" s="14" t="n"/>
      <c r="H8571" s="14" t="n"/>
      <c r="I8571" s="14" t="n"/>
      <c r="J8571" s="14" t="n"/>
      <c r="K8571" s="53" t="inlineStr"/>
      <c r="L8571" s="53" t="inlineStr">
        <is>
          <t>Не определено</t>
        </is>
      </c>
      <c r="M8571" s="53" t="inlineStr"/>
      <c r="N8571" s="54" t="inlineStr"/>
      <c r="O8571" s="55" t="inlineStr"/>
      <c r="P8571" s="16" t="inlineStr">
        <is>
          <t>Требует обогащения</t>
        </is>
      </c>
      <c r="Q8571" s="16">
        <f>HYPERLINK("https://pb.nalog.ru/search.html?query=141400336661","ФНС: проверить")</f>
        <v/>
      </c>
      <c r="R8571" s="16">
        <f>HYPERLINK("https://checko.ru/search?query=3801001629","Чекко: проверить")</f>
        <v/>
      </c>
      <c r="S8571" t="n">
        <v>0</v>
      </c>
      <c r="T8571" s="35" t="inlineStr">
        <is>
          <t>4 — Не обогащён</t>
        </is>
      </c>
      <c r="U8571" s="35" t="inlineStr">
        <is>
          <t>Нет ОКВЭД/ССЧР</t>
        </is>
      </c>
      <c r="V8571" s="35" t="inlineStr">
        <is>
          <t>Не определено</t>
        </is>
      </c>
      <c r="W8571" s="35" t="inlineStr"/>
      <c r="X8571" s="35" t="inlineStr"/>
    </row>
    <row r="8572" ht="27.75" customHeight="1" s="24">
      <c r="A8572" s="13" t="n">
        <v>802490710</v>
      </c>
      <c r="B8572" s="13" t="inlineStr">
        <is>
          <t>Индивидуальный предприниматель Яковлев Евгений Иванович</t>
        </is>
      </c>
      <c r="C8572" s="13" t="n">
        <v>141400336661</v>
      </c>
      <c r="D8572" s="13" t="inlineStr">
        <is>
          <t>141400336661</t>
        </is>
      </c>
      <c r="E8572" s="13" t="inlineStr">
        <is>
          <t>ИП РФ / физлицо</t>
        </is>
      </c>
      <c r="F8572" s="13" t="n"/>
      <c r="G8572" s="14" t="n"/>
      <c r="H8572" s="14" t="n"/>
      <c r="I8572" s="14" t="n"/>
      <c r="J8572" s="14" t="n"/>
      <c r="K8572" s="53" t="inlineStr"/>
      <c r="L8572" s="53" t="inlineStr">
        <is>
          <t>Не определено</t>
        </is>
      </c>
      <c r="M8572" s="53" t="inlineStr"/>
      <c r="N8572" s="54" t="inlineStr"/>
      <c r="O8572" s="55" t="inlineStr"/>
      <c r="P8572" s="16" t="inlineStr">
        <is>
          <t>Требует обогащения</t>
        </is>
      </c>
      <c r="Q8572" s="16">
        <f>HYPERLINK("https://pb.nalog.ru/search.html?query=141400336661","ФНС: проверить")</f>
        <v/>
      </c>
      <c r="R8572" s="16">
        <f>HYPERLINK("https://checko.ru/search?query=3801001629","Чекко: проверить")</f>
        <v/>
      </c>
      <c r="S8572" t="n">
        <v>0</v>
      </c>
      <c r="T8572" s="35" t="inlineStr">
        <is>
          <t>4 — Не обогащён</t>
        </is>
      </c>
      <c r="U8572" s="35" t="inlineStr">
        <is>
          <t>Нет ОКВЭД/ССЧР</t>
        </is>
      </c>
      <c r="V8572" s="35" t="inlineStr">
        <is>
          <t>Не определено</t>
        </is>
      </c>
      <c r="W8572" s="35" t="inlineStr"/>
      <c r="X8572" s="35" t="inlineStr"/>
    </row>
    <row r="8573" ht="27.75" customHeight="1" s="24">
      <c r="A8573" s="13" t="n">
        <v>802490710</v>
      </c>
      <c r="B8573" s="13" t="inlineStr">
        <is>
          <t>Индивидуальный предприниматель Яковлев Евгений Иванович</t>
        </is>
      </c>
      <c r="C8573" s="13" t="n">
        <v>141400336661</v>
      </c>
      <c r="D8573" s="13" t="inlineStr">
        <is>
          <t>141400336661</t>
        </is>
      </c>
      <c r="E8573" s="13" t="inlineStr">
        <is>
          <t>ИП РФ / физлицо</t>
        </is>
      </c>
      <c r="F8573" s="13" t="n"/>
      <c r="G8573" s="14" t="n"/>
      <c r="H8573" s="14" t="n"/>
      <c r="I8573" s="14" t="n"/>
      <c r="J8573" s="14" t="n"/>
      <c r="K8573" s="53" t="inlineStr"/>
      <c r="L8573" s="53" t="inlineStr">
        <is>
          <t>Не определено</t>
        </is>
      </c>
      <c r="M8573" s="53" t="inlineStr"/>
      <c r="N8573" s="54" t="inlineStr"/>
      <c r="O8573" s="55" t="inlineStr"/>
      <c r="P8573" s="16" t="inlineStr">
        <is>
          <t>Требует обогащения</t>
        </is>
      </c>
      <c r="Q8573" s="16">
        <f>HYPERLINK("https://pb.nalog.ru/search.html?query=141400336661","ФНС: проверить")</f>
        <v/>
      </c>
      <c r="R8573" s="16">
        <f>HYPERLINK("https://checko.ru/search?query=3801001629","Чекко: проверить")</f>
        <v/>
      </c>
      <c r="S8573" t="n">
        <v>0</v>
      </c>
      <c r="T8573" s="35" t="inlineStr">
        <is>
          <t>4 — Не обогащён</t>
        </is>
      </c>
      <c r="U8573" s="35" t="inlineStr">
        <is>
          <t>Нет ОКВЭД/ССЧР</t>
        </is>
      </c>
      <c r="V8573" s="35" t="inlineStr">
        <is>
          <t>Не определено</t>
        </is>
      </c>
      <c r="W8573" s="35" t="inlineStr"/>
      <c r="X8573" s="35" t="inlineStr"/>
    </row>
    <row r="8574" ht="27.75" customHeight="1" s="24">
      <c r="A8574" s="13" t="n">
        <v>802490710</v>
      </c>
      <c r="B8574" s="13" t="inlineStr">
        <is>
          <t>Индивидуальный предприниматель Яковлев Евгений Иванович</t>
        </is>
      </c>
      <c r="C8574" s="13" t="n">
        <v>141400336661</v>
      </c>
      <c r="D8574" s="13" t="inlineStr">
        <is>
          <t>141400336661</t>
        </is>
      </c>
      <c r="E8574" s="13" t="inlineStr">
        <is>
          <t>ИП РФ / физлицо</t>
        </is>
      </c>
      <c r="F8574" s="13" t="n"/>
      <c r="G8574" s="14" t="n"/>
      <c r="H8574" s="14" t="n"/>
      <c r="I8574" s="14" t="n"/>
      <c r="J8574" s="14" t="n"/>
      <c r="K8574" s="53" t="inlineStr"/>
      <c r="L8574" s="53" t="inlineStr">
        <is>
          <t>Не определено</t>
        </is>
      </c>
      <c r="M8574" s="53" t="inlineStr"/>
      <c r="N8574" s="54" t="inlineStr"/>
      <c r="O8574" s="55" t="inlineStr"/>
      <c r="P8574" s="16" t="inlineStr">
        <is>
          <t>Требует обогащения</t>
        </is>
      </c>
      <c r="Q8574" s="16">
        <f>HYPERLINK("https://pb.nalog.ru/search.html?query=141400336661","ФНС: проверить")</f>
        <v/>
      </c>
      <c r="R8574" s="16">
        <f>HYPERLINK("https://checko.ru/search?query=3801001629","Чекко: проверить")</f>
        <v/>
      </c>
      <c r="S8574" t="n">
        <v>0</v>
      </c>
      <c r="T8574" s="35" t="inlineStr">
        <is>
          <t>4 — Не обогащён</t>
        </is>
      </c>
      <c r="U8574" s="35" t="inlineStr">
        <is>
          <t>Нет ОКВЭД/ССЧР</t>
        </is>
      </c>
      <c r="V8574" s="35" t="inlineStr">
        <is>
          <t>Не определено</t>
        </is>
      </c>
      <c r="W8574" s="35" t="inlineStr"/>
      <c r="X8574" s="35" t="inlineStr"/>
    </row>
    <row r="8575" ht="15" customHeight="1" s="24">
      <c r="A8575" s="13" t="inlineStr">
        <is>
          <t>FR53533</t>
        </is>
      </c>
      <c r="B8575" s="13" t="inlineStr">
        <is>
          <t>ООО Авто Лайт</t>
        </is>
      </c>
      <c r="C8575" s="13" t="n">
        <v>3804013446</v>
      </c>
      <c r="D8575" s="13" t="inlineStr">
        <is>
          <t>3804013446</t>
        </is>
      </c>
      <c r="E8575" s="13" t="inlineStr">
        <is>
          <t>ЮЛ РФ</t>
        </is>
      </c>
      <c r="F8575" s="13" t="n"/>
      <c r="G8575" s="52" t="n">
        <v>4</v>
      </c>
      <c r="H8575" s="52" t="n">
        <v>2025</v>
      </c>
      <c r="I8575" s="14" t="n"/>
      <c r="J8575" s="14" t="n"/>
      <c r="K8575" s="53" t="inlineStr">
        <is>
          <t>Нет</t>
        </is>
      </c>
      <c r="L8575" s="53" t="inlineStr">
        <is>
          <t>Не определено</t>
        </is>
      </c>
      <c r="M8575" s="53" t="inlineStr">
        <is>
          <t>До 10</t>
        </is>
      </c>
      <c r="N8575" s="54" t="n">
        <v>3360</v>
      </c>
      <c r="O8575" s="55" t="inlineStr">
        <is>
          <t>1–15</t>
        </is>
      </c>
      <c r="P8575" s="16" t="inlineStr">
        <is>
          <t>ССЧР обогащена; ОКВЭД не найден/не загружен</t>
        </is>
      </c>
      <c r="Q8575" s="16" t="inlineStr">
        <is>
          <t>ФНС открытые данные ССЧР (ДатаСост 31.12.2025; набор 7707329152-sshr2019)</t>
        </is>
      </c>
      <c r="R8575" s="16">
        <f>HYPERLINK("https://checko.ru/search?query=3801001629","Чекко: проверить")</f>
        <v/>
      </c>
      <c r="S8575" t="n">
        <v>1</v>
      </c>
      <c r="T8575" s="35" t="inlineStr">
        <is>
          <t>4 — Не обогащён</t>
        </is>
      </c>
      <c r="U8575" s="35" t="inlineStr">
        <is>
          <t>Нет ОКВЭД/ССЧР</t>
        </is>
      </c>
      <c r="V8575" s="35" t="inlineStr">
        <is>
          <t>Не определено</t>
        </is>
      </c>
      <c r="W8575" s="35" t="inlineStr">
        <is>
          <t>Нет</t>
        </is>
      </c>
      <c r="X8575" s="35" t="inlineStr"/>
    </row>
    <row r="8576" ht="15" customHeight="1" s="24">
      <c r="A8576" s="13" t="inlineStr">
        <is>
          <t>FR53533</t>
        </is>
      </c>
      <c r="B8576" s="13" t="inlineStr">
        <is>
          <t>ООО Авто Лайт</t>
        </is>
      </c>
      <c r="C8576" s="13" t="n">
        <v>3804013446</v>
      </c>
      <c r="D8576" s="13" t="inlineStr">
        <is>
          <t>3804013446</t>
        </is>
      </c>
      <c r="E8576" s="13" t="inlineStr">
        <is>
          <t>ЮЛ РФ</t>
        </is>
      </c>
      <c r="F8576" s="13" t="n"/>
      <c r="G8576" s="52" t="n">
        <v>4</v>
      </c>
      <c r="H8576" s="52" t="n">
        <v>2025</v>
      </c>
      <c r="I8576" s="14" t="n"/>
      <c r="J8576" s="14" t="n"/>
      <c r="K8576" s="53" t="inlineStr">
        <is>
          <t>Нет</t>
        </is>
      </c>
      <c r="L8576" s="53" t="inlineStr">
        <is>
          <t>Не определено</t>
        </is>
      </c>
      <c r="M8576" s="53" t="inlineStr">
        <is>
          <t>До 10</t>
        </is>
      </c>
      <c r="N8576" s="54" t="n">
        <v>3360</v>
      </c>
      <c r="O8576" s="55" t="inlineStr">
        <is>
          <t>1–15</t>
        </is>
      </c>
      <c r="P8576" s="16" t="inlineStr">
        <is>
          <t>ССЧР обогащена; ОКВЭД не найден/не загружен</t>
        </is>
      </c>
      <c r="Q8576" s="16" t="inlineStr">
        <is>
          <t>ФНС открытые данные ССЧР (ДатаСост 31.12.2025; набор 7707329152-sshr2019)</t>
        </is>
      </c>
      <c r="R8576" s="16">
        <f>HYPERLINK("https://checko.ru/search?query=3801001629","Чекко: проверить")</f>
        <v/>
      </c>
      <c r="S8576" t="n">
        <v>0</v>
      </c>
      <c r="T8576" s="35" t="inlineStr">
        <is>
          <t>4 — Не обогащён</t>
        </is>
      </c>
      <c r="U8576" s="35" t="inlineStr">
        <is>
          <t>Нет ОКВЭД/ССЧР</t>
        </is>
      </c>
      <c r="V8576" s="35" t="inlineStr">
        <is>
          <t>Не определено</t>
        </is>
      </c>
      <c r="W8576" s="35" t="inlineStr">
        <is>
          <t>Нет</t>
        </is>
      </c>
      <c r="X8576" s="35" t="inlineStr"/>
    </row>
    <row r="8577" ht="15" customHeight="1" s="24">
      <c r="A8577" s="13" t="inlineStr">
        <is>
          <t>FR53533</t>
        </is>
      </c>
      <c r="B8577" s="13" t="inlineStr">
        <is>
          <t>ООО Авто Лайт</t>
        </is>
      </c>
      <c r="C8577" s="13" t="n">
        <v>3804013446</v>
      </c>
      <c r="D8577" s="13" t="inlineStr">
        <is>
          <t>3804013446</t>
        </is>
      </c>
      <c r="E8577" s="13" t="inlineStr">
        <is>
          <t>ЮЛ РФ</t>
        </is>
      </c>
      <c r="F8577" s="13" t="n"/>
      <c r="G8577" s="52" t="n">
        <v>4</v>
      </c>
      <c r="H8577" s="52" t="n">
        <v>2025</v>
      </c>
      <c r="I8577" s="14" t="n"/>
      <c r="J8577" s="14" t="n"/>
      <c r="K8577" s="53" t="inlineStr">
        <is>
          <t>Нет</t>
        </is>
      </c>
      <c r="L8577" s="53" t="inlineStr">
        <is>
          <t>Не определено</t>
        </is>
      </c>
      <c r="M8577" s="53" t="inlineStr">
        <is>
          <t>До 10</t>
        </is>
      </c>
      <c r="N8577" s="54" t="n">
        <v>3360</v>
      </c>
      <c r="O8577" s="55" t="inlineStr">
        <is>
          <t>1–15</t>
        </is>
      </c>
      <c r="P8577" s="16" t="inlineStr">
        <is>
          <t>ССЧР обогащена; ОКВЭД не найден/не загружен</t>
        </is>
      </c>
      <c r="Q8577" s="16" t="inlineStr">
        <is>
          <t>ФНС открытые данные ССЧР (ДатаСост 31.12.2025; набор 7707329152-sshr2019)</t>
        </is>
      </c>
      <c r="R8577" s="16">
        <f>HYPERLINK("https://checko.ru/search?query=3801001629","Чекко: проверить")</f>
        <v/>
      </c>
      <c r="S8577" t="n">
        <v>0</v>
      </c>
      <c r="T8577" s="35" t="inlineStr">
        <is>
          <t>4 — Не обогащён</t>
        </is>
      </c>
      <c r="U8577" s="35" t="inlineStr">
        <is>
          <t>Нет ОКВЭД/ССЧР</t>
        </is>
      </c>
      <c r="V8577" s="35" t="inlineStr">
        <is>
          <t>Не определено</t>
        </is>
      </c>
      <c r="W8577" s="35" t="inlineStr">
        <is>
          <t>Нет</t>
        </is>
      </c>
      <c r="X8577" s="35" t="inlineStr"/>
    </row>
    <row r="8578" ht="15" customHeight="1" s="24">
      <c r="A8578" s="13" t="inlineStr">
        <is>
          <t>FR713338</t>
        </is>
      </c>
      <c r="B8578" s="13" t="inlineStr">
        <is>
          <t>ИП Личман Веста Олеговна</t>
        </is>
      </c>
      <c r="C8578" s="13" t="n">
        <v>381297369301</v>
      </c>
      <c r="D8578" s="13" t="inlineStr">
        <is>
          <t>381297369301</t>
        </is>
      </c>
      <c r="E8578" s="13" t="inlineStr">
        <is>
          <t>ИП РФ / физлицо</t>
        </is>
      </c>
      <c r="F8578" s="13" t="n"/>
      <c r="G8578" s="14" t="n"/>
      <c r="H8578" s="14" t="n"/>
      <c r="I8578" s="14" t="n"/>
      <c r="J8578" s="14" t="n"/>
      <c r="K8578" s="53" t="inlineStr"/>
      <c r="L8578" s="53" t="inlineStr">
        <is>
          <t>Не определено</t>
        </is>
      </c>
      <c r="M8578" s="53" t="inlineStr"/>
      <c r="N8578" s="54" t="inlineStr"/>
      <c r="O8578" s="55" t="inlineStr"/>
      <c r="P8578" s="16" t="inlineStr">
        <is>
          <t>Требует обогащения</t>
        </is>
      </c>
      <c r="Q8578" s="16">
        <f>HYPERLINK("https://pb.nalog.ru/search.html?query=381297369301","ФНС: проверить")</f>
        <v/>
      </c>
      <c r="R8578" s="16">
        <f>HYPERLINK("https://checko.ru/search?query=3801001629","Чекко: проверить")</f>
        <v/>
      </c>
      <c r="S8578" t="n">
        <v>0</v>
      </c>
      <c r="T8578" s="35" t="inlineStr">
        <is>
          <t>4 — Не обогащён</t>
        </is>
      </c>
      <c r="U8578" s="35" t="inlineStr">
        <is>
          <t>Нет ОКВЭД/ССЧР</t>
        </is>
      </c>
      <c r="V8578" s="35" t="inlineStr">
        <is>
          <t>Не определено</t>
        </is>
      </c>
      <c r="W8578" s="35" t="inlineStr"/>
      <c r="X8578" s="35" t="inlineStr"/>
    </row>
    <row r="8579" ht="27.75" customHeight="1" s="24">
      <c r="A8579" s="13" t="inlineStr">
        <is>
          <t>FR19406</t>
        </is>
      </c>
      <c r="B8579" s="13" t="inlineStr">
        <is>
          <t>Общество с ограниченной ответственностью "1С:БО ФОРУС"</t>
        </is>
      </c>
      <c r="C8579" s="13" t="n">
        <v>3811168176</v>
      </c>
      <c r="D8579" s="13" t="inlineStr">
        <is>
          <t>3811168176</t>
        </is>
      </c>
      <c r="E8579" s="13" t="inlineStr">
        <is>
          <t>ЮЛ РФ</t>
        </is>
      </c>
      <c r="F8579" s="13" t="n"/>
      <c r="G8579" s="52" t="n">
        <v>77</v>
      </c>
      <c r="H8579" s="52" t="n">
        <v>2025</v>
      </c>
      <c r="I8579" s="52" t="inlineStr">
        <is>
          <t>69.20.2</t>
        </is>
      </c>
      <c r="J8579" s="52" t="inlineStr">
        <is>
          <t>69.20.2; 18.12; 18.13; 22.19; 46.51; 62.02; 63.11; 63.11.1; 68.20; 69.10; 69.20; 69.20.1; 70.22; 73.11; 82.99; 85.42.9</t>
        </is>
      </c>
      <c r="K8579" s="53" t="inlineStr">
        <is>
          <t>Да</t>
        </is>
      </c>
      <c r="L8579" s="53" t="inlineStr">
        <is>
          <t>Да</t>
        </is>
      </c>
      <c r="M8579" s="53" t="inlineStr">
        <is>
          <t>До 100</t>
        </is>
      </c>
      <c r="N8579" s="54" t="n">
        <v>33600</v>
      </c>
      <c r="O8579" s="55" t="inlineStr">
        <is>
          <t>51–100</t>
        </is>
      </c>
      <c r="P8579" s="16" t="inlineStr">
        <is>
          <t>ССЧР + ОКВЭД обогащены</t>
        </is>
      </c>
      <c r="Q8579" s="16" t="inlineStr">
        <is>
          <t>ФНС открытые данные ССЧР (ДатаСост 31.12.2025; набор 7707329152-sshr2019)</t>
        </is>
      </c>
      <c r="R8579" s="16" t="inlineStr">
        <is>
          <t>ЕГРЮЛ / egrul.nalog.ru (выписка)</t>
        </is>
      </c>
      <c r="S8579" t="n">
        <v>0</v>
      </c>
      <c r="T8579" s="35" t="inlineStr">
        <is>
          <t>1 — Горячий</t>
        </is>
      </c>
      <c r="U8579" s="35" t="inlineStr">
        <is>
          <t>ОКВЭД + 22+</t>
        </is>
      </c>
      <c r="V8579" s="35" t="inlineStr">
        <is>
          <t>Да</t>
        </is>
      </c>
      <c r="W8579" s="35" t="inlineStr">
        <is>
          <t>Да</t>
        </is>
      </c>
      <c r="X8579" s="35" t="inlineStr">
        <is>
          <t>Да</t>
        </is>
      </c>
    </row>
    <row r="8580" ht="27.75" customHeight="1" s="24">
      <c r="A8580" s="13" t="inlineStr">
        <is>
          <t>FR622030</t>
        </is>
      </c>
      <c r="B8580" s="13" t="inlineStr">
        <is>
          <t>Общество с ограниченной ответственностью "БУХГАЛТЕРЪ"</t>
        </is>
      </c>
      <c r="C8580" s="13" t="n">
        <v>3812989263</v>
      </c>
      <c r="D8580" s="13" t="inlineStr">
        <is>
          <t>3812989263</t>
        </is>
      </c>
      <c r="E8580" s="13" t="inlineStr">
        <is>
          <t>ЮЛ РФ</t>
        </is>
      </c>
      <c r="F8580" s="13" t="n"/>
      <c r="G8580" s="52" t="n">
        <v>1</v>
      </c>
      <c r="H8580" s="52" t="n">
        <v>2025</v>
      </c>
      <c r="I8580" s="14" t="n"/>
      <c r="J8580" s="14" t="n"/>
      <c r="K8580" s="53" t="inlineStr">
        <is>
          <t>Нет</t>
        </is>
      </c>
      <c r="L8580" s="53" t="inlineStr">
        <is>
          <t>Не определено</t>
        </is>
      </c>
      <c r="M8580" s="53" t="inlineStr">
        <is>
          <t>До 10</t>
        </is>
      </c>
      <c r="N8580" s="54" t="n">
        <v>3360</v>
      </c>
      <c r="O8580" s="55" t="inlineStr">
        <is>
          <t>1–15</t>
        </is>
      </c>
      <c r="P8580" s="16" t="inlineStr">
        <is>
          <t>ССЧР обогащена; ОКВЭД не найден/не загружен</t>
        </is>
      </c>
      <c r="Q8580" s="16" t="inlineStr">
        <is>
          <t>ФНС открытые данные ССЧР (ДатаСост 31.12.2025; набор 7707329152-sshr2019)</t>
        </is>
      </c>
      <c r="R8580" s="16">
        <f>HYPERLINK("https://checko.ru/search?query=3801001629","Чекко: проверить")</f>
        <v/>
      </c>
      <c r="S8580" t="n">
        <v>1</v>
      </c>
      <c r="T8580" s="35" t="inlineStr">
        <is>
          <t>4 — Не обогащён</t>
        </is>
      </c>
      <c r="U8580" s="35" t="inlineStr">
        <is>
          <t>Нет ОКВЭД/ССЧР</t>
        </is>
      </c>
      <c r="V8580" s="35" t="inlineStr">
        <is>
          <t>Не определено</t>
        </is>
      </c>
      <c r="W8580" s="35" t="inlineStr">
        <is>
          <t>Нет</t>
        </is>
      </c>
      <c r="X8580" s="35" t="inlineStr"/>
    </row>
    <row r="8581" ht="15" customHeight="1" s="24">
      <c r="A8581" s="13" t="n">
        <v>20005738294</v>
      </c>
      <c r="B8581" s="13" t="inlineStr">
        <is>
          <t>ООО "ЭТАЛВЕС"</t>
        </is>
      </c>
      <c r="C8581" s="13" t="n">
        <v>3808076038</v>
      </c>
      <c r="D8581" s="13" t="inlineStr">
        <is>
          <t>3808076038</t>
        </is>
      </c>
      <c r="E8581" s="13" t="inlineStr">
        <is>
          <t>ЮЛ РФ</t>
        </is>
      </c>
      <c r="F8581" s="13" t="n"/>
      <c r="G8581" s="52" t="n">
        <v>3</v>
      </c>
      <c r="H8581" s="52" t="n">
        <v>2025</v>
      </c>
      <c r="I8581" s="14" t="n"/>
      <c r="J8581" s="14" t="n"/>
      <c r="K8581" s="53" t="inlineStr">
        <is>
          <t>Нет</t>
        </is>
      </c>
      <c r="L8581" s="53" t="inlineStr">
        <is>
          <t>Не определено</t>
        </is>
      </c>
      <c r="M8581" s="53" t="inlineStr">
        <is>
          <t>До 10</t>
        </is>
      </c>
      <c r="N8581" s="54" t="n">
        <v>3360</v>
      </c>
      <c r="O8581" s="55" t="inlineStr">
        <is>
          <t>1–15</t>
        </is>
      </c>
      <c r="P8581" s="16" t="inlineStr">
        <is>
          <t>ССЧР обогащена; ОКВЭД не найден/не загружен</t>
        </is>
      </c>
      <c r="Q8581" s="16" t="inlineStr">
        <is>
          <t>ФНС открытые данные ССЧР (ДатаСост 31.12.2025; набор 7707329152-sshr2019)</t>
        </is>
      </c>
      <c r="R8581" s="16">
        <f>HYPERLINK("https://checko.ru/search?query=3801001629","Чекко: проверить")</f>
        <v/>
      </c>
      <c r="S8581" t="n">
        <v>0</v>
      </c>
      <c r="T8581" s="35" t="inlineStr">
        <is>
          <t>4 — Не обогащён</t>
        </is>
      </c>
      <c r="U8581" s="35" t="inlineStr">
        <is>
          <t>Нет ОКВЭД/ССЧР</t>
        </is>
      </c>
      <c r="V8581" s="35" t="inlineStr">
        <is>
          <t>Не определено</t>
        </is>
      </c>
      <c r="W8581" s="35" t="inlineStr">
        <is>
          <t>Нет</t>
        </is>
      </c>
      <c r="X8581" s="35" t="inlineStr"/>
    </row>
    <row r="8582" ht="27.75" customHeight="1" s="24">
      <c r="A8582" s="13" t="n">
        <v>800485447</v>
      </c>
      <c r="B8582" s="13" t="inlineStr">
        <is>
          <t>Общество с ограниченной ответственностью "АВТОПРОФИ"</t>
        </is>
      </c>
      <c r="C8582" s="13" t="n">
        <v>3805702914</v>
      </c>
      <c r="D8582" s="13" t="inlineStr">
        <is>
          <t>3805702914</t>
        </is>
      </c>
      <c r="E8582" s="13" t="inlineStr">
        <is>
          <t>ЮЛ РФ</t>
        </is>
      </c>
      <c r="F8582" s="13" t="n"/>
      <c r="G8582" s="52" t="n">
        <v>4</v>
      </c>
      <c r="H8582" s="52" t="n">
        <v>2025</v>
      </c>
      <c r="I8582" s="14" t="n"/>
      <c r="J8582" s="14" t="n"/>
      <c r="K8582" s="53" t="inlineStr">
        <is>
          <t>Нет</t>
        </is>
      </c>
      <c r="L8582" s="53" t="inlineStr">
        <is>
          <t>Не определено</t>
        </is>
      </c>
      <c r="M8582" s="53" t="inlineStr">
        <is>
          <t>До 10</t>
        </is>
      </c>
      <c r="N8582" s="54" t="n">
        <v>3360</v>
      </c>
      <c r="O8582" s="55" t="inlineStr">
        <is>
          <t>1–15</t>
        </is>
      </c>
      <c r="P8582" s="16" t="inlineStr">
        <is>
          <t>ССЧР обогащена; ОКВЭД не найден/не загружен</t>
        </is>
      </c>
      <c r="Q8582" s="16" t="inlineStr">
        <is>
          <t>ФНС открытые данные ССЧР (ДатаСост 31.12.2025; набор 7707329152-sshr2019)</t>
        </is>
      </c>
      <c r="R8582" s="16">
        <f>HYPERLINK("https://checko.ru/search?query=3801001629","Чекко: проверить")</f>
        <v/>
      </c>
      <c r="S8582" t="n">
        <v>0</v>
      </c>
      <c r="T8582" s="35" t="inlineStr">
        <is>
          <t>4 — Не обогащён</t>
        </is>
      </c>
      <c r="U8582" s="35" t="inlineStr">
        <is>
          <t>Нет ОКВЭД/ССЧР</t>
        </is>
      </c>
      <c r="V8582" s="35" t="inlineStr">
        <is>
          <t>Не определено</t>
        </is>
      </c>
      <c r="W8582" s="35" t="inlineStr">
        <is>
          <t>Нет</t>
        </is>
      </c>
      <c r="X8582" s="35" t="inlineStr"/>
    </row>
    <row r="8583" ht="15" customHeight="1" s="24">
      <c r="A8583" s="13" t="n">
        <v>800499045</v>
      </c>
      <c r="B8583" s="13" t="inlineStr">
        <is>
          <t>ООО "БОМОНД"</t>
        </is>
      </c>
      <c r="C8583" s="13" t="n">
        <v>3804045656</v>
      </c>
      <c r="D8583" s="13" t="inlineStr">
        <is>
          <t>3804045656</t>
        </is>
      </c>
      <c r="E8583" s="13" t="inlineStr">
        <is>
          <t>ЮЛ РФ</t>
        </is>
      </c>
      <c r="F8583" s="13" t="n"/>
      <c r="G8583" s="52" t="n">
        <v>16</v>
      </c>
      <c r="H8583" s="52" t="n">
        <v>2025</v>
      </c>
      <c r="I8583" s="14" t="n"/>
      <c r="J8583" s="14" t="n"/>
      <c r="K8583" s="53" t="inlineStr">
        <is>
          <t>Нет</t>
        </is>
      </c>
      <c r="L8583" s="53" t="inlineStr">
        <is>
          <t>Не определено</t>
        </is>
      </c>
      <c r="M8583" s="53" t="inlineStr">
        <is>
          <t>До 25</t>
        </is>
      </c>
      <c r="N8583" s="54" t="n">
        <v>8400</v>
      </c>
      <c r="O8583" s="55" t="inlineStr">
        <is>
          <t>16–30</t>
        </is>
      </c>
      <c r="P8583" s="16" t="inlineStr">
        <is>
          <t>ССЧР обогащена; ОКВЭД не найден/не загружен</t>
        </is>
      </c>
      <c r="Q8583" s="16" t="inlineStr">
        <is>
          <t>ФНС открытые данные ССЧР (ДатаСост 31.12.2025; набор 7707329152-sshr2019)</t>
        </is>
      </c>
      <c r="R8583" s="16">
        <f>HYPERLINK("https://checko.ru/search?query=3801001629","Чекко: проверить")</f>
        <v/>
      </c>
      <c r="S8583" t="n">
        <v>0</v>
      </c>
      <c r="T8583" s="35" t="inlineStr">
        <is>
          <t>4 — Не обогащён</t>
        </is>
      </c>
      <c r="U8583" s="35" t="inlineStr">
        <is>
          <t>Нет ОКВЭД/ССЧР</t>
        </is>
      </c>
      <c r="V8583" s="35" t="inlineStr">
        <is>
          <t>Не определено</t>
        </is>
      </c>
      <c r="W8583" s="35" t="inlineStr">
        <is>
          <t>Нет</t>
        </is>
      </c>
      <c r="X8583" s="35" t="inlineStr"/>
    </row>
    <row r="8584" ht="15" customHeight="1" s="24">
      <c r="A8584" s="13" t="n">
        <v>9786130</v>
      </c>
      <c r="B8584" s="13" t="inlineStr">
        <is>
          <t>Филиал Илим Тимбер в г.Братске</t>
        </is>
      </c>
      <c r="C8584" s="13" t="n">
        <v>7838407799</v>
      </c>
      <c r="D8584" s="13" t="inlineStr">
        <is>
          <t>7838407799</t>
        </is>
      </c>
      <c r="E8584" s="13" t="inlineStr">
        <is>
          <t>ЮЛ РФ</t>
        </is>
      </c>
      <c r="F8584" s="13" t="n"/>
      <c r="G8584" s="14" t="n"/>
      <c r="H8584" s="14" t="n"/>
      <c r="I8584" s="14" t="n"/>
      <c r="J8584" s="14" t="n"/>
      <c r="K8584" s="53" t="inlineStr"/>
      <c r="L8584" s="53" t="inlineStr">
        <is>
          <t>Не определено</t>
        </is>
      </c>
      <c r="M8584" s="53" t="inlineStr"/>
      <c r="N8584" s="54" t="inlineStr"/>
      <c r="O8584" s="55" t="inlineStr"/>
      <c r="P8584" s="16" t="inlineStr">
        <is>
          <t>Требует обогащения</t>
        </is>
      </c>
      <c r="Q8584" s="16">
        <f>HYPERLINK("https://pb.nalog.ru/search.html?query=7838407799","ФНС: проверить")</f>
        <v/>
      </c>
      <c r="R8584" s="16">
        <f>HYPERLINK("https://checko.ru/search?query=3801001629","Чекко: проверить")</f>
        <v/>
      </c>
      <c r="S8584" t="n">
        <v>0</v>
      </c>
      <c r="T8584" s="35" t="inlineStr">
        <is>
          <t>4 — Не обогащён</t>
        </is>
      </c>
      <c r="U8584" s="35" t="inlineStr">
        <is>
          <t>Нет ОКВЭД/ССЧР</t>
        </is>
      </c>
      <c r="V8584" s="35" t="inlineStr">
        <is>
          <t>Не определено</t>
        </is>
      </c>
      <c r="W8584" s="35" t="inlineStr"/>
      <c r="X8584" s="35" t="inlineStr"/>
    </row>
    <row r="8585" ht="15" customHeight="1" s="24">
      <c r="A8585" s="13" t="n">
        <v>9786130</v>
      </c>
      <c r="B8585" s="13" t="inlineStr">
        <is>
          <t>Филиал Илим Тимбер в г.Братске</t>
        </is>
      </c>
      <c r="C8585" s="13" t="n">
        <v>7838407799</v>
      </c>
      <c r="D8585" s="13" t="inlineStr">
        <is>
          <t>7838407799</t>
        </is>
      </c>
      <c r="E8585" s="13" t="inlineStr">
        <is>
          <t>ЮЛ РФ</t>
        </is>
      </c>
      <c r="F8585" s="13" t="n"/>
      <c r="G8585" s="14" t="n"/>
      <c r="H8585" s="14" t="n"/>
      <c r="I8585" s="14" t="n"/>
      <c r="J8585" s="14" t="n"/>
      <c r="K8585" s="53" t="inlineStr"/>
      <c r="L8585" s="53" t="inlineStr">
        <is>
          <t>Не определено</t>
        </is>
      </c>
      <c r="M8585" s="53" t="inlineStr"/>
      <c r="N8585" s="54" t="inlineStr"/>
      <c r="O8585" s="55" t="inlineStr"/>
      <c r="P8585" s="16" t="inlineStr">
        <is>
          <t>Требует обогащения</t>
        </is>
      </c>
      <c r="Q8585" s="16">
        <f>HYPERLINK("https://pb.nalog.ru/search.html?query=7838407799","ФНС: проверить")</f>
        <v/>
      </c>
      <c r="R8585" s="16">
        <f>HYPERLINK("https://checko.ru/search?query=3801001629","Чекко: проверить")</f>
        <v/>
      </c>
      <c r="S8585" t="n">
        <v>0</v>
      </c>
      <c r="T8585" s="35" t="inlineStr">
        <is>
          <t>4 — Не обогащён</t>
        </is>
      </c>
      <c r="U8585" s="35" t="inlineStr">
        <is>
          <t>Нет ОКВЭД/ССЧР</t>
        </is>
      </c>
      <c r="V8585" s="35" t="inlineStr">
        <is>
          <t>Не определено</t>
        </is>
      </c>
      <c r="W8585" s="35" t="inlineStr"/>
      <c r="X8585" s="35" t="inlineStr"/>
    </row>
    <row r="8586" ht="15" customHeight="1" s="24">
      <c r="A8586" s="13" t="inlineStr">
        <is>
          <t>FR53533</t>
        </is>
      </c>
      <c r="B8586" s="13" t="inlineStr">
        <is>
          <t>ООО Авто Лайт</t>
        </is>
      </c>
      <c r="C8586" s="13" t="n">
        <v>3804013446</v>
      </c>
      <c r="D8586" s="13" t="inlineStr">
        <is>
          <t>3804013446</t>
        </is>
      </c>
      <c r="E8586" s="13" t="inlineStr">
        <is>
          <t>ЮЛ РФ</t>
        </is>
      </c>
      <c r="F8586" s="13" t="n"/>
      <c r="G8586" s="52" t="n">
        <v>4</v>
      </c>
      <c r="H8586" s="52" t="n">
        <v>2025</v>
      </c>
      <c r="I8586" s="14" t="n"/>
      <c r="J8586" s="14" t="n"/>
      <c r="K8586" s="53" t="inlineStr">
        <is>
          <t>Нет</t>
        </is>
      </c>
      <c r="L8586" s="53" t="inlineStr">
        <is>
          <t>Не определено</t>
        </is>
      </c>
      <c r="M8586" s="53" t="inlineStr">
        <is>
          <t>До 10</t>
        </is>
      </c>
      <c r="N8586" s="54" t="n">
        <v>3360</v>
      </c>
      <c r="O8586" s="55" t="inlineStr">
        <is>
          <t>1–15</t>
        </is>
      </c>
      <c r="P8586" s="16" t="inlineStr">
        <is>
          <t>ССЧР обогащена; ОКВЭД не найден/не загружен</t>
        </is>
      </c>
      <c r="Q8586" s="16" t="inlineStr">
        <is>
          <t>ФНС открытые данные ССЧР (ДатаСост 31.12.2025; набор 7707329152-sshr2019)</t>
        </is>
      </c>
      <c r="R8586" s="16">
        <f>HYPERLINK("https://checko.ru/search?query=3801001629","Чекко: проверить")</f>
        <v/>
      </c>
      <c r="S8586" t="n">
        <v>0</v>
      </c>
      <c r="T8586" s="35" t="inlineStr">
        <is>
          <t>4 — Не обогащён</t>
        </is>
      </c>
      <c r="U8586" s="35" t="inlineStr">
        <is>
          <t>Нет ОКВЭД/ССЧР</t>
        </is>
      </c>
      <c r="V8586" s="35" t="inlineStr">
        <is>
          <t>Не определено</t>
        </is>
      </c>
      <c r="W8586" s="35" t="inlineStr">
        <is>
          <t>Нет</t>
        </is>
      </c>
      <c r="X8586" s="35" t="inlineStr"/>
    </row>
    <row r="8587" ht="15" customHeight="1" s="24">
      <c r="A8587" s="13" t="inlineStr">
        <is>
          <t>FR53533</t>
        </is>
      </c>
      <c r="B8587" s="13" t="inlineStr">
        <is>
          <t>ООО Авто Лайт</t>
        </is>
      </c>
      <c r="C8587" s="13" t="n">
        <v>3804013446</v>
      </c>
      <c r="D8587" s="13" t="inlineStr">
        <is>
          <t>3804013446</t>
        </is>
      </c>
      <c r="E8587" s="13" t="inlineStr">
        <is>
          <t>ЮЛ РФ</t>
        </is>
      </c>
      <c r="F8587" s="13" t="n"/>
      <c r="G8587" s="52" t="n">
        <v>4</v>
      </c>
      <c r="H8587" s="52" t="n">
        <v>2025</v>
      </c>
      <c r="I8587" s="14" t="n"/>
      <c r="J8587" s="14" t="n"/>
      <c r="K8587" s="53" t="inlineStr">
        <is>
          <t>Нет</t>
        </is>
      </c>
      <c r="L8587" s="53" t="inlineStr">
        <is>
          <t>Не определено</t>
        </is>
      </c>
      <c r="M8587" s="53" t="inlineStr">
        <is>
          <t>До 10</t>
        </is>
      </c>
      <c r="N8587" s="54" t="n">
        <v>3360</v>
      </c>
      <c r="O8587" s="55" t="inlineStr">
        <is>
          <t>1–15</t>
        </is>
      </c>
      <c r="P8587" s="16" t="inlineStr">
        <is>
          <t>ССЧР обогащена; ОКВЭД не найден/не загружен</t>
        </is>
      </c>
      <c r="Q8587" s="16" t="inlineStr">
        <is>
          <t>ФНС открытые данные ССЧР (ДатаСост 31.12.2025; набор 7707329152-sshr2019)</t>
        </is>
      </c>
      <c r="R8587" s="16">
        <f>HYPERLINK("https://checko.ru/search?query=3801001629","Чекко: проверить")</f>
        <v/>
      </c>
      <c r="S8587" t="n">
        <v>0</v>
      </c>
      <c r="T8587" s="35" t="inlineStr">
        <is>
          <t>4 — Не обогащён</t>
        </is>
      </c>
      <c r="U8587" s="35" t="inlineStr">
        <is>
          <t>Нет ОКВЭД/ССЧР</t>
        </is>
      </c>
      <c r="V8587" s="35" t="inlineStr">
        <is>
          <t>Не определено</t>
        </is>
      </c>
      <c r="W8587" s="35" t="inlineStr">
        <is>
          <t>Нет</t>
        </is>
      </c>
      <c r="X8587" s="35" t="inlineStr"/>
    </row>
    <row r="8588" ht="15" customHeight="1" s="24">
      <c r="A8588" s="13" t="inlineStr">
        <is>
          <t>FR53533</t>
        </is>
      </c>
      <c r="B8588" s="13" t="inlineStr">
        <is>
          <t>ООО Авто Лайт</t>
        </is>
      </c>
      <c r="C8588" s="13" t="n">
        <v>3804013446</v>
      </c>
      <c r="D8588" s="13" t="inlineStr">
        <is>
          <t>3804013446</t>
        </is>
      </c>
      <c r="E8588" s="13" t="inlineStr">
        <is>
          <t>ЮЛ РФ</t>
        </is>
      </c>
      <c r="F8588" s="13" t="n"/>
      <c r="G8588" s="52" t="n">
        <v>4</v>
      </c>
      <c r="H8588" s="52" t="n">
        <v>2025</v>
      </c>
      <c r="I8588" s="14" t="n"/>
      <c r="J8588" s="14" t="n"/>
      <c r="K8588" s="53" t="inlineStr">
        <is>
          <t>Нет</t>
        </is>
      </c>
      <c r="L8588" s="53" t="inlineStr">
        <is>
          <t>Не определено</t>
        </is>
      </c>
      <c r="M8588" s="53" t="inlineStr">
        <is>
          <t>До 10</t>
        </is>
      </c>
      <c r="N8588" s="54" t="n">
        <v>3360</v>
      </c>
      <c r="O8588" s="55" t="inlineStr">
        <is>
          <t>1–15</t>
        </is>
      </c>
      <c r="P8588" s="16" t="inlineStr">
        <is>
          <t>ССЧР обогащена; ОКВЭД не найден/не загружен</t>
        </is>
      </c>
      <c r="Q8588" s="16" t="inlineStr">
        <is>
          <t>ФНС открытые данные ССЧР (ДатаСост 31.12.2025; набор 7707329152-sshr2019)</t>
        </is>
      </c>
      <c r="R8588" s="16">
        <f>HYPERLINK("https://checko.ru/search?query=3801001629","Чекко: проверить")</f>
        <v/>
      </c>
      <c r="S8588" t="n">
        <v>0</v>
      </c>
      <c r="T8588" s="35" t="inlineStr">
        <is>
          <t>4 — Не обогащён</t>
        </is>
      </c>
      <c r="U8588" s="35" t="inlineStr">
        <is>
          <t>Нет ОКВЭД/ССЧР</t>
        </is>
      </c>
      <c r="V8588" s="35" t="inlineStr">
        <is>
          <t>Не определено</t>
        </is>
      </c>
      <c r="W8588" s="35" t="inlineStr">
        <is>
          <t>Нет</t>
        </is>
      </c>
      <c r="X8588" s="35" t="inlineStr"/>
    </row>
    <row r="8589" ht="15" customHeight="1" s="24">
      <c r="A8589" s="13" t="n">
        <v>800499045</v>
      </c>
      <c r="B8589" s="13" t="inlineStr">
        <is>
          <t>ООО "БОМОНД"</t>
        </is>
      </c>
      <c r="C8589" s="13" t="n">
        <v>3804045656</v>
      </c>
      <c r="D8589" s="13" t="inlineStr">
        <is>
          <t>3804045656</t>
        </is>
      </c>
      <c r="E8589" s="13" t="inlineStr">
        <is>
          <t>ЮЛ РФ</t>
        </is>
      </c>
      <c r="F8589" s="13" t="n"/>
      <c r="G8589" s="52" t="n">
        <v>16</v>
      </c>
      <c r="H8589" s="52" t="n">
        <v>2025</v>
      </c>
      <c r="I8589" s="14" t="n"/>
      <c r="J8589" s="14" t="n"/>
      <c r="K8589" s="53" t="inlineStr">
        <is>
          <t>Нет</t>
        </is>
      </c>
      <c r="L8589" s="53" t="inlineStr">
        <is>
          <t>Не определено</t>
        </is>
      </c>
      <c r="M8589" s="53" t="inlineStr">
        <is>
          <t>До 25</t>
        </is>
      </c>
      <c r="N8589" s="54" t="n">
        <v>8400</v>
      </c>
      <c r="O8589" s="55" t="inlineStr">
        <is>
          <t>16–30</t>
        </is>
      </c>
      <c r="P8589" s="16" t="inlineStr">
        <is>
          <t>ССЧР обогащена; ОКВЭД не найден/не загружен</t>
        </is>
      </c>
      <c r="Q8589" s="16" t="inlineStr">
        <is>
          <t>ФНС открытые данные ССЧР (ДатаСост 31.12.2025; набор 7707329152-sshr2019)</t>
        </is>
      </c>
      <c r="R8589" s="16">
        <f>HYPERLINK("https://checko.ru/search?query=3801001629","Чекко: проверить")</f>
        <v/>
      </c>
      <c r="S8589" t="n">
        <v>0</v>
      </c>
      <c r="T8589" s="35" t="inlineStr">
        <is>
          <t>4 — Не обогащён</t>
        </is>
      </c>
      <c r="U8589" s="35" t="inlineStr">
        <is>
          <t>Нет ОКВЭД/ССЧР</t>
        </is>
      </c>
      <c r="V8589" s="35" t="inlineStr">
        <is>
          <t>Не определено</t>
        </is>
      </c>
      <c r="W8589" s="35" t="inlineStr">
        <is>
          <t>Нет</t>
        </is>
      </c>
      <c r="X8589" s="35" t="inlineStr"/>
    </row>
    <row r="8590" ht="15" customHeight="1" s="24">
      <c r="A8590" s="13" t="n">
        <v>801604056</v>
      </c>
      <c r="B8590" s="13" t="inlineStr">
        <is>
          <t>МУП "Посадочная площадка "Казачинск"</t>
        </is>
      </c>
      <c r="C8590" s="13" t="n">
        <v>3818030226</v>
      </c>
      <c r="D8590" s="13" t="inlineStr">
        <is>
          <t>3818030226</t>
        </is>
      </c>
      <c r="E8590" s="13" t="inlineStr">
        <is>
          <t>ЮЛ РФ</t>
        </is>
      </c>
      <c r="F8590" s="13" t="n"/>
      <c r="G8590" s="14" t="n"/>
      <c r="H8590" s="14" t="n"/>
      <c r="I8590" s="14" t="n"/>
      <c r="J8590" s="14" t="n"/>
      <c r="K8590" s="53" t="inlineStr"/>
      <c r="L8590" s="53" t="inlineStr">
        <is>
          <t>Не определено</t>
        </is>
      </c>
      <c r="M8590" s="53" t="inlineStr"/>
      <c r="N8590" s="54" t="inlineStr"/>
      <c r="O8590" s="55" t="inlineStr"/>
      <c r="P8590" s="16" t="inlineStr">
        <is>
          <t>Требует обогащения</t>
        </is>
      </c>
      <c r="Q8590" s="16">
        <f>HYPERLINK("https://pb.nalog.ru/search.html?query=3818030226","ФНС: проверить")</f>
        <v/>
      </c>
      <c r="R8590" s="16">
        <f>HYPERLINK("https://checko.ru/search?query=3801001629","Чекко: проверить")</f>
        <v/>
      </c>
      <c r="S8590" t="n">
        <v>0</v>
      </c>
      <c r="T8590" s="35" t="inlineStr">
        <is>
          <t>4 — Не обогащён</t>
        </is>
      </c>
      <c r="U8590" s="35" t="inlineStr">
        <is>
          <t>Нет ОКВЭД/ССЧР</t>
        </is>
      </c>
      <c r="V8590" s="35" t="inlineStr">
        <is>
          <t>Не определено</t>
        </is>
      </c>
      <c r="W8590" s="35" t="inlineStr"/>
      <c r="X8590" s="35" t="inlineStr"/>
    </row>
    <row r="8591" ht="15" customHeight="1" s="24">
      <c r="A8591" s="13" t="n">
        <v>805167339</v>
      </c>
      <c r="B8591" s="13" t="inlineStr">
        <is>
          <t>1С:БО Форус</t>
        </is>
      </c>
      <c r="C8591" s="13" t="n">
        <v>3811168176</v>
      </c>
      <c r="D8591" s="13" t="inlineStr">
        <is>
          <t>3811168176</t>
        </is>
      </c>
      <c r="E8591" s="13" t="inlineStr">
        <is>
          <t>ЮЛ РФ</t>
        </is>
      </c>
      <c r="F8591" s="13" t="n"/>
      <c r="G8591" s="52" t="n">
        <v>77</v>
      </c>
      <c r="H8591" s="52" t="n">
        <v>2025</v>
      </c>
      <c r="I8591" s="52" t="inlineStr">
        <is>
          <t>69.20.2</t>
        </is>
      </c>
      <c r="J8591" s="52" t="inlineStr">
        <is>
          <t>69.20.2; 18.12; 18.13; 22.19; 46.51; 62.02; 63.11; 63.11.1; 68.20; 69.10; 69.20; 69.20.1; 70.22; 73.11; 82.99; 85.42.9</t>
        </is>
      </c>
      <c r="K8591" s="53" t="inlineStr">
        <is>
          <t>Да</t>
        </is>
      </c>
      <c r="L8591" s="53" t="inlineStr">
        <is>
          <t>Да</t>
        </is>
      </c>
      <c r="M8591" s="53" t="inlineStr">
        <is>
          <t>До 100</t>
        </is>
      </c>
      <c r="N8591" s="54" t="n">
        <v>33600</v>
      </c>
      <c r="O8591" s="55" t="inlineStr">
        <is>
          <t>51–100</t>
        </is>
      </c>
      <c r="P8591" s="16" t="inlineStr">
        <is>
          <t>ССЧР + ОКВЭД обогащены</t>
        </is>
      </c>
      <c r="Q8591" s="16" t="inlineStr">
        <is>
          <t>ФНС открытые данные ССЧР (ДатаСост 31.12.2025; набор 7707329152-sshr2019)</t>
        </is>
      </c>
      <c r="R8591" s="16" t="inlineStr">
        <is>
          <t>ЕГРЮЛ / egrul.nalog.ru (выписка)</t>
        </is>
      </c>
      <c r="S8591" t="n">
        <v>0</v>
      </c>
      <c r="T8591" s="35" t="inlineStr">
        <is>
          <t>1 — Горячий</t>
        </is>
      </c>
      <c r="U8591" s="35" t="inlineStr">
        <is>
          <t>ОКВЭД + 22+</t>
        </is>
      </c>
      <c r="V8591" s="35" t="inlineStr">
        <is>
          <t>Да</t>
        </is>
      </c>
      <c r="W8591" s="35" t="inlineStr">
        <is>
          <t>Да</t>
        </is>
      </c>
      <c r="X8591" s="35" t="inlineStr">
        <is>
          <t>Да</t>
        </is>
      </c>
    </row>
    <row r="8592" ht="15" customHeight="1" s="24">
      <c r="A8592" s="13" t="n">
        <v>805167339</v>
      </c>
      <c r="B8592" s="13" t="inlineStr">
        <is>
          <t>1С:БО Форус</t>
        </is>
      </c>
      <c r="C8592" s="13" t="n">
        <v>3811168176</v>
      </c>
      <c r="D8592" s="13" t="inlineStr">
        <is>
          <t>3811168176</t>
        </is>
      </c>
      <c r="E8592" s="13" t="inlineStr">
        <is>
          <t>ЮЛ РФ</t>
        </is>
      </c>
      <c r="F8592" s="13" t="n"/>
      <c r="G8592" s="52" t="n">
        <v>77</v>
      </c>
      <c r="H8592" s="52" t="n">
        <v>2025</v>
      </c>
      <c r="I8592" s="52" t="inlineStr">
        <is>
          <t>69.20.2</t>
        </is>
      </c>
      <c r="J8592" s="52" t="inlineStr">
        <is>
          <t>69.20.2; 18.12; 18.13; 22.19; 46.51; 62.02; 63.11; 63.11.1; 68.20; 69.10; 69.20; 69.20.1; 70.22; 73.11; 82.99; 85.42.9</t>
        </is>
      </c>
      <c r="K8592" s="53" t="inlineStr">
        <is>
          <t>Да</t>
        </is>
      </c>
      <c r="L8592" s="53" t="inlineStr">
        <is>
          <t>Да</t>
        </is>
      </c>
      <c r="M8592" s="53" t="inlineStr">
        <is>
          <t>До 100</t>
        </is>
      </c>
      <c r="N8592" s="54" t="n">
        <v>33600</v>
      </c>
      <c r="O8592" s="55" t="inlineStr">
        <is>
          <t>51–100</t>
        </is>
      </c>
      <c r="P8592" s="16" t="inlineStr">
        <is>
          <t>ССЧР + ОКВЭД обогащены</t>
        </is>
      </c>
      <c r="Q8592" s="16" t="inlineStr">
        <is>
          <t>ФНС открытые данные ССЧР (ДатаСост 31.12.2025; набор 7707329152-sshr2019)</t>
        </is>
      </c>
      <c r="R8592" s="16" t="inlineStr">
        <is>
          <t>ЕГРЮЛ / egrul.nalog.ru (выписка)</t>
        </is>
      </c>
      <c r="S8592" t="n">
        <v>0</v>
      </c>
      <c r="T8592" s="35" t="inlineStr">
        <is>
          <t>1 — Горячий</t>
        </is>
      </c>
      <c r="U8592" s="35" t="inlineStr">
        <is>
          <t>ОКВЭД + 22+</t>
        </is>
      </c>
      <c r="V8592" s="35" t="inlineStr">
        <is>
          <t>Да</t>
        </is>
      </c>
      <c r="W8592" s="35" t="inlineStr">
        <is>
          <t>Да</t>
        </is>
      </c>
      <c r="X8592" s="35" t="inlineStr">
        <is>
          <t>Да</t>
        </is>
      </c>
    </row>
    <row r="8593" ht="15" customHeight="1" s="24">
      <c r="A8593" s="13" t="n">
        <v>800499045</v>
      </c>
      <c r="B8593" s="13" t="inlineStr">
        <is>
          <t>ООО "БОМОНД"</t>
        </is>
      </c>
      <c r="C8593" s="13" t="n">
        <v>3804045656</v>
      </c>
      <c r="D8593" s="13" t="inlineStr">
        <is>
          <t>3804045656</t>
        </is>
      </c>
      <c r="E8593" s="13" t="inlineStr">
        <is>
          <t>ЮЛ РФ</t>
        </is>
      </c>
      <c r="F8593" s="13" t="n"/>
      <c r="G8593" s="52" t="n">
        <v>16</v>
      </c>
      <c r="H8593" s="52" t="n">
        <v>2025</v>
      </c>
      <c r="I8593" s="14" t="n"/>
      <c r="J8593" s="14" t="n"/>
      <c r="K8593" s="53" t="inlineStr">
        <is>
          <t>Нет</t>
        </is>
      </c>
      <c r="L8593" s="53" t="inlineStr">
        <is>
          <t>Не определено</t>
        </is>
      </c>
      <c r="M8593" s="53" t="inlineStr">
        <is>
          <t>До 25</t>
        </is>
      </c>
      <c r="N8593" s="54" t="n">
        <v>8400</v>
      </c>
      <c r="O8593" s="55" t="inlineStr">
        <is>
          <t>16–30</t>
        </is>
      </c>
      <c r="P8593" s="16" t="inlineStr">
        <is>
          <t>ССЧР обогащена; ОКВЭД не найден/не загружен</t>
        </is>
      </c>
      <c r="Q8593" s="16" t="inlineStr">
        <is>
          <t>ФНС открытые данные ССЧР (ДатаСост 31.12.2025; набор 7707329152-sshr2019)</t>
        </is>
      </c>
      <c r="R8593" s="16">
        <f>HYPERLINK("https://checko.ru/search?query=3801001629","Чекко: проверить")</f>
        <v/>
      </c>
      <c r="S8593" t="n">
        <v>0</v>
      </c>
      <c r="T8593" s="35" t="inlineStr">
        <is>
          <t>4 — Не обогащён</t>
        </is>
      </c>
      <c r="U8593" s="35" t="inlineStr">
        <is>
          <t>Нет ОКВЭД/ССЧР</t>
        </is>
      </c>
      <c r="V8593" s="35" t="inlineStr">
        <is>
          <t>Не определено</t>
        </is>
      </c>
      <c r="W8593" s="35" t="inlineStr">
        <is>
          <t>Нет</t>
        </is>
      </c>
      <c r="X8593" s="35" t="inlineStr"/>
    </row>
    <row r="8594" ht="15" customHeight="1" s="24">
      <c r="A8594" s="13" t="n">
        <v>800499045</v>
      </c>
      <c r="B8594" s="13" t="inlineStr">
        <is>
          <t>ООО "БОМОНД"</t>
        </is>
      </c>
      <c r="C8594" s="13" t="n">
        <v>3804045656</v>
      </c>
      <c r="D8594" s="13" t="inlineStr">
        <is>
          <t>3804045656</t>
        </is>
      </c>
      <c r="E8594" s="13" t="inlineStr">
        <is>
          <t>ЮЛ РФ</t>
        </is>
      </c>
      <c r="F8594" s="13" t="n"/>
      <c r="G8594" s="52" t="n">
        <v>16</v>
      </c>
      <c r="H8594" s="52" t="n">
        <v>2025</v>
      </c>
      <c r="I8594" s="14" t="n"/>
      <c r="J8594" s="14" t="n"/>
      <c r="K8594" s="53" t="inlineStr">
        <is>
          <t>Нет</t>
        </is>
      </c>
      <c r="L8594" s="53" t="inlineStr">
        <is>
          <t>Не определено</t>
        </is>
      </c>
      <c r="M8594" s="53" t="inlineStr">
        <is>
          <t>До 25</t>
        </is>
      </c>
      <c r="N8594" s="54" t="n">
        <v>8400</v>
      </c>
      <c r="O8594" s="55" t="inlineStr">
        <is>
          <t>16–30</t>
        </is>
      </c>
      <c r="P8594" s="16" t="inlineStr">
        <is>
          <t>ССЧР обогащена; ОКВЭД не найден/не загружен</t>
        </is>
      </c>
      <c r="Q8594" s="16" t="inlineStr">
        <is>
          <t>ФНС открытые данные ССЧР (ДатаСост 31.12.2025; набор 7707329152-sshr2019)</t>
        </is>
      </c>
      <c r="R8594" s="16">
        <f>HYPERLINK("https://checko.ru/search?query=3801001629","Чекко: проверить")</f>
        <v/>
      </c>
      <c r="S8594" t="n">
        <v>0</v>
      </c>
      <c r="T8594" s="35" t="inlineStr">
        <is>
          <t>4 — Не обогащён</t>
        </is>
      </c>
      <c r="U8594" s="35" t="inlineStr">
        <is>
          <t>Нет ОКВЭД/ССЧР</t>
        </is>
      </c>
      <c r="V8594" s="35" t="inlineStr">
        <is>
          <t>Не определено</t>
        </is>
      </c>
      <c r="W8594" s="35" t="inlineStr">
        <is>
          <t>Нет</t>
        </is>
      </c>
      <c r="X8594" s="35" t="inlineStr"/>
    </row>
    <row r="8595" ht="15" customHeight="1" s="24">
      <c r="A8595" s="13" t="n">
        <v>800499045</v>
      </c>
      <c r="B8595" s="13" t="inlineStr">
        <is>
          <t>ООО "БОМОНД"</t>
        </is>
      </c>
      <c r="C8595" s="13" t="n">
        <v>3804045656</v>
      </c>
      <c r="D8595" s="13" t="inlineStr">
        <is>
          <t>3804045656</t>
        </is>
      </c>
      <c r="E8595" s="13" t="inlineStr">
        <is>
          <t>ЮЛ РФ</t>
        </is>
      </c>
      <c r="F8595" s="13" t="n"/>
      <c r="G8595" s="52" t="n">
        <v>16</v>
      </c>
      <c r="H8595" s="52" t="n">
        <v>2025</v>
      </c>
      <c r="I8595" s="14" t="n"/>
      <c r="J8595" s="14" t="n"/>
      <c r="K8595" s="53" t="inlineStr">
        <is>
          <t>Нет</t>
        </is>
      </c>
      <c r="L8595" s="53" t="inlineStr">
        <is>
          <t>Не определено</t>
        </is>
      </c>
      <c r="M8595" s="53" t="inlineStr">
        <is>
          <t>До 25</t>
        </is>
      </c>
      <c r="N8595" s="54" t="n">
        <v>8400</v>
      </c>
      <c r="O8595" s="55" t="inlineStr">
        <is>
          <t>16–30</t>
        </is>
      </c>
      <c r="P8595" s="16" t="inlineStr">
        <is>
          <t>ССЧР обогащена; ОКВЭД не найден/не загружен</t>
        </is>
      </c>
      <c r="Q8595" s="16" t="inlineStr">
        <is>
          <t>ФНС открытые данные ССЧР (ДатаСост 31.12.2025; набор 7707329152-sshr2019)</t>
        </is>
      </c>
      <c r="R8595" s="16">
        <f>HYPERLINK("https://checko.ru/search?query=3801001629","Чекко: проверить")</f>
        <v/>
      </c>
      <c r="S8595" t="n">
        <v>0</v>
      </c>
      <c r="T8595" s="35" t="inlineStr">
        <is>
          <t>4 — Не обогащён</t>
        </is>
      </c>
      <c r="U8595" s="35" t="inlineStr">
        <is>
          <t>Нет ОКВЭД/ССЧР</t>
        </is>
      </c>
      <c r="V8595" s="35" t="inlineStr">
        <is>
          <t>Не определено</t>
        </is>
      </c>
      <c r="W8595" s="35" t="inlineStr">
        <is>
          <t>Нет</t>
        </is>
      </c>
      <c r="X8595" s="35" t="inlineStr"/>
    </row>
    <row r="8596" ht="15" customHeight="1" s="24">
      <c r="A8596" s="13" t="n">
        <v>800499045</v>
      </c>
      <c r="B8596" s="13" t="inlineStr">
        <is>
          <t>ООО "БОМОНД"</t>
        </is>
      </c>
      <c r="C8596" s="13" t="n">
        <v>3804045656</v>
      </c>
      <c r="D8596" s="13" t="inlineStr">
        <is>
          <t>3804045656</t>
        </is>
      </c>
      <c r="E8596" s="13" t="inlineStr">
        <is>
          <t>ЮЛ РФ</t>
        </is>
      </c>
      <c r="F8596" s="13" t="n"/>
      <c r="G8596" s="52" t="n">
        <v>16</v>
      </c>
      <c r="H8596" s="52" t="n">
        <v>2025</v>
      </c>
      <c r="I8596" s="14" t="n"/>
      <c r="J8596" s="14" t="n"/>
      <c r="K8596" s="53" t="inlineStr">
        <is>
          <t>Нет</t>
        </is>
      </c>
      <c r="L8596" s="53" t="inlineStr">
        <is>
          <t>Не определено</t>
        </is>
      </c>
      <c r="M8596" s="53" t="inlineStr">
        <is>
          <t>До 25</t>
        </is>
      </c>
      <c r="N8596" s="54" t="n">
        <v>8400</v>
      </c>
      <c r="O8596" s="55" t="inlineStr">
        <is>
          <t>16–30</t>
        </is>
      </c>
      <c r="P8596" s="16" t="inlineStr">
        <is>
          <t>ССЧР обогащена; ОКВЭД не найден/не загружен</t>
        </is>
      </c>
      <c r="Q8596" s="16" t="inlineStr">
        <is>
          <t>ФНС открытые данные ССЧР (ДатаСост 31.12.2025; набор 7707329152-sshr2019)</t>
        </is>
      </c>
      <c r="R8596" s="16">
        <f>HYPERLINK("https://checko.ru/search?query=3801001629","Чекко: проверить")</f>
        <v/>
      </c>
      <c r="S8596" t="n">
        <v>0</v>
      </c>
      <c r="T8596" s="35" t="inlineStr">
        <is>
          <t>4 — Не обогащён</t>
        </is>
      </c>
      <c r="U8596" s="35" t="inlineStr">
        <is>
          <t>Нет ОКВЭД/ССЧР</t>
        </is>
      </c>
      <c r="V8596" s="35" t="inlineStr">
        <is>
          <t>Не определено</t>
        </is>
      </c>
      <c r="W8596" s="35" t="inlineStr">
        <is>
          <t>Нет</t>
        </is>
      </c>
      <c r="X8596" s="35" t="inlineStr"/>
    </row>
    <row r="8597" ht="15" customHeight="1" s="24">
      <c r="A8597" s="13" t="n">
        <v>20015453962</v>
      </c>
      <c r="B8597" s="13" t="inlineStr">
        <is>
          <t>ООО "Купец"</t>
        </is>
      </c>
      <c r="C8597" s="13" t="n">
        <v>3805703121</v>
      </c>
      <c r="D8597" s="13" t="inlineStr">
        <is>
          <t>3805703121</t>
        </is>
      </c>
      <c r="E8597" s="13" t="inlineStr">
        <is>
          <t>ЮЛ РФ</t>
        </is>
      </c>
      <c r="F8597" s="13" t="n"/>
      <c r="G8597" s="52" t="n">
        <v>0</v>
      </c>
      <c r="H8597" s="52" t="n">
        <v>2025</v>
      </c>
      <c r="I8597" s="14" t="n"/>
      <c r="J8597" s="14" t="n"/>
      <c r="K8597" s="53" t="inlineStr">
        <is>
          <t>Нет</t>
        </is>
      </c>
      <c r="L8597" s="53" t="inlineStr">
        <is>
          <t>Не определено</t>
        </is>
      </c>
      <c r="M8597" s="53" t="inlineStr">
        <is>
          <t>До 10</t>
        </is>
      </c>
      <c r="N8597" s="54" t="n">
        <v>3360</v>
      </c>
      <c r="O8597" s="55" t="inlineStr">
        <is>
          <t>1–15</t>
        </is>
      </c>
      <c r="P8597" s="16" t="inlineStr">
        <is>
          <t>ССЧР обогащена; ОКВЭД не найден/не загружен</t>
        </is>
      </c>
      <c r="Q8597" s="16" t="inlineStr">
        <is>
          <t>ФНС открытые данные ССЧР (ДатаСост 31.12.2025; набор 7707329152-sshr2019)</t>
        </is>
      </c>
      <c r="R8597" s="16">
        <f>HYPERLINK("https://checko.ru/search?query=3801001629","Чекко: проверить")</f>
        <v/>
      </c>
      <c r="S8597" t="n">
        <v>1</v>
      </c>
      <c r="T8597" s="35" t="inlineStr">
        <is>
          <t>4 — Не обогащён</t>
        </is>
      </c>
      <c r="U8597" s="35" t="inlineStr">
        <is>
          <t>Нет ОКВЭД/ССЧР</t>
        </is>
      </c>
      <c r="V8597" s="35" t="inlineStr">
        <is>
          <t>Не определено</t>
        </is>
      </c>
      <c r="W8597" s="35" t="inlineStr">
        <is>
          <t>Нет</t>
        </is>
      </c>
      <c r="X8597" s="35" t="inlineStr"/>
    </row>
    <row r="8598" ht="15" customHeight="1" s="24">
      <c r="A8598" s="13" t="n">
        <v>800728878</v>
      </c>
      <c r="B8598" s="13" t="inlineStr">
        <is>
          <t>ООО "Легион"</t>
        </is>
      </c>
      <c r="C8598" s="13" t="n">
        <v>3804018050</v>
      </c>
      <c r="D8598" s="13" t="inlineStr">
        <is>
          <t>3804018050</t>
        </is>
      </c>
      <c r="E8598" s="13" t="inlineStr">
        <is>
          <t>ЮЛ РФ</t>
        </is>
      </c>
      <c r="F8598" s="13" t="n"/>
      <c r="G8598" s="52" t="n">
        <v>3</v>
      </c>
      <c r="H8598" s="52" t="n">
        <v>2025</v>
      </c>
      <c r="I8598" s="14" t="n"/>
      <c r="J8598" s="14" t="n"/>
      <c r="K8598" s="53" t="inlineStr">
        <is>
          <t>Нет</t>
        </is>
      </c>
      <c r="L8598" s="53" t="inlineStr">
        <is>
          <t>Не определено</t>
        </is>
      </c>
      <c r="M8598" s="53" t="inlineStr">
        <is>
          <t>До 10</t>
        </is>
      </c>
      <c r="N8598" s="54" t="n">
        <v>3360</v>
      </c>
      <c r="O8598" s="55" t="inlineStr">
        <is>
          <t>1–15</t>
        </is>
      </c>
      <c r="P8598" s="16" t="inlineStr">
        <is>
          <t>ССЧР обогащена; ОКВЭД не найден/не загружен</t>
        </is>
      </c>
      <c r="Q8598" s="16" t="inlineStr">
        <is>
          <t>ФНС открытые данные ССЧР (ДатаСост 31.12.2025; набор 7707329152-sshr2019)</t>
        </is>
      </c>
      <c r="R8598" s="16">
        <f>HYPERLINK("https://checko.ru/search?query=3801001629","Чекко: проверить")</f>
        <v/>
      </c>
      <c r="S8598" t="n">
        <v>1</v>
      </c>
      <c r="T8598" s="35" t="inlineStr">
        <is>
          <t>4 — Не обогащён</t>
        </is>
      </c>
      <c r="U8598" s="35" t="inlineStr">
        <is>
          <t>Нет ОКВЭД/ССЧР</t>
        </is>
      </c>
      <c r="V8598" s="35" t="inlineStr">
        <is>
          <t>Не определено</t>
        </is>
      </c>
      <c r="W8598" s="35" t="inlineStr">
        <is>
          <t>Нет</t>
        </is>
      </c>
      <c r="X8598" s="35" t="inlineStr"/>
    </row>
    <row r="8599" ht="15" customHeight="1" s="24">
      <c r="A8599" s="13" t="n">
        <v>801483858</v>
      </c>
      <c r="B8599" s="13" t="inlineStr">
        <is>
          <t>АО "ИРЗ"</t>
        </is>
      </c>
      <c r="C8599" s="13" t="n">
        <v>3811016215</v>
      </c>
      <c r="D8599" s="13" t="inlineStr">
        <is>
          <t>3811016215</t>
        </is>
      </c>
      <c r="E8599" s="13" t="inlineStr">
        <is>
          <t>ЮЛ РФ</t>
        </is>
      </c>
      <c r="F8599" s="13" t="n"/>
      <c r="G8599" s="14" t="n"/>
      <c r="H8599" s="14" t="n"/>
      <c r="I8599" s="14" t="n"/>
      <c r="J8599" s="14" t="n"/>
      <c r="K8599" s="53" t="inlineStr"/>
      <c r="L8599" s="53" t="inlineStr">
        <is>
          <t>Не определено</t>
        </is>
      </c>
      <c r="M8599" s="53" t="inlineStr"/>
      <c r="N8599" s="54" t="inlineStr"/>
      <c r="O8599" s="55" t="inlineStr"/>
      <c r="P8599" s="16" t="inlineStr">
        <is>
          <t>Требует обогащения</t>
        </is>
      </c>
      <c r="Q8599" s="16">
        <f>HYPERLINK("https://pb.nalog.ru/search.html?query=3811016215","ФНС: проверить")</f>
        <v/>
      </c>
      <c r="R8599" s="16">
        <f>HYPERLINK("https://checko.ru/search?query=3801001629","Чекко: проверить")</f>
        <v/>
      </c>
      <c r="S8599" t="n">
        <v>0</v>
      </c>
      <c r="T8599" s="35" t="inlineStr">
        <is>
          <t>4 — Не обогащён</t>
        </is>
      </c>
      <c r="U8599" s="35" t="inlineStr">
        <is>
          <t>Нет ОКВЭД/ССЧР</t>
        </is>
      </c>
      <c r="V8599" s="35" t="inlineStr">
        <is>
          <t>Не определено</t>
        </is>
      </c>
      <c r="W8599" s="35" t="inlineStr"/>
      <c r="X8599" s="35" t="inlineStr"/>
    </row>
    <row r="8600" ht="15" customHeight="1" s="24">
      <c r="A8600" s="13" t="n">
        <v>9892288</v>
      </c>
      <c r="B8600" s="13" t="inlineStr">
        <is>
          <t>ООО "Оптима"</t>
        </is>
      </c>
      <c r="C8600" s="13" t="n">
        <v>3812137188</v>
      </c>
      <c r="D8600" s="13" t="inlineStr">
        <is>
          <t>3812137188</t>
        </is>
      </c>
      <c r="E8600" s="13" t="inlineStr">
        <is>
          <t>ЮЛ РФ</t>
        </is>
      </c>
      <c r="F8600" s="13" t="n"/>
      <c r="G8600" s="52" t="n">
        <v>17</v>
      </c>
      <c r="H8600" s="52" t="n">
        <v>2025</v>
      </c>
      <c r="I8600" s="14" t="n"/>
      <c r="J8600" s="14" t="n"/>
      <c r="K8600" s="53" t="inlineStr">
        <is>
          <t>Нет</t>
        </is>
      </c>
      <c r="L8600" s="53" t="inlineStr">
        <is>
          <t>Не определено</t>
        </is>
      </c>
      <c r="M8600" s="53" t="inlineStr">
        <is>
          <t>До 25</t>
        </is>
      </c>
      <c r="N8600" s="54" t="n">
        <v>8400</v>
      </c>
      <c r="O8600" s="55" t="inlineStr">
        <is>
          <t>16–30</t>
        </is>
      </c>
      <c r="P8600" s="16" t="inlineStr">
        <is>
          <t>ССЧР обогащена; ОКВЭД не найден/не загружен</t>
        </is>
      </c>
      <c r="Q8600" s="16" t="inlineStr">
        <is>
          <t>ФНС открытые данные ССЧР (ДатаСост 31.12.2025; набор 7707329152-sshr2019)</t>
        </is>
      </c>
      <c r="R8600" s="16">
        <f>HYPERLINK("https://checko.ru/search?query=3801001629","Чекко: проверить")</f>
        <v/>
      </c>
      <c r="S8600" t="n">
        <v>0</v>
      </c>
      <c r="T8600" s="35" t="inlineStr">
        <is>
          <t>4 — Не обогащён</t>
        </is>
      </c>
      <c r="U8600" s="35" t="inlineStr">
        <is>
          <t>Нет ОКВЭД/ССЧР</t>
        </is>
      </c>
      <c r="V8600" s="35" t="inlineStr">
        <is>
          <t>Не определено</t>
        </is>
      </c>
      <c r="W8600" s="35" t="inlineStr">
        <is>
          <t>Нет</t>
        </is>
      </c>
      <c r="X8600" s="35" t="inlineStr"/>
    </row>
    <row r="8601" ht="15" customHeight="1" s="24">
      <c r="A8601" s="13" t="n">
        <v>9892288</v>
      </c>
      <c r="B8601" s="13" t="inlineStr">
        <is>
          <t>ООО "Оптима"</t>
        </is>
      </c>
      <c r="C8601" s="13" t="n">
        <v>3812137188</v>
      </c>
      <c r="D8601" s="13" t="inlineStr">
        <is>
          <t>3812137188</t>
        </is>
      </c>
      <c r="E8601" s="13" t="inlineStr">
        <is>
          <t>ЮЛ РФ</t>
        </is>
      </c>
      <c r="F8601" s="13" t="n"/>
      <c r="G8601" s="52" t="n">
        <v>17</v>
      </c>
      <c r="H8601" s="52" t="n">
        <v>2025</v>
      </c>
      <c r="I8601" s="14" t="n"/>
      <c r="J8601" s="14" t="n"/>
      <c r="K8601" s="53" t="inlineStr">
        <is>
          <t>Нет</t>
        </is>
      </c>
      <c r="L8601" s="53" t="inlineStr">
        <is>
          <t>Не определено</t>
        </is>
      </c>
      <c r="M8601" s="53" t="inlineStr">
        <is>
          <t>До 25</t>
        </is>
      </c>
      <c r="N8601" s="54" t="n">
        <v>8400</v>
      </c>
      <c r="O8601" s="55" t="inlineStr">
        <is>
          <t>16–30</t>
        </is>
      </c>
      <c r="P8601" s="16" t="inlineStr">
        <is>
          <t>ССЧР обогащена; ОКВЭД не найден/не загружен</t>
        </is>
      </c>
      <c r="Q8601" s="16" t="inlineStr">
        <is>
          <t>ФНС открытые данные ССЧР (ДатаСост 31.12.2025; набор 7707329152-sshr2019)</t>
        </is>
      </c>
      <c r="R8601" s="16">
        <f>HYPERLINK("https://checko.ru/search?query=3801001629","Чекко: проверить")</f>
        <v/>
      </c>
      <c r="S8601" t="n">
        <v>0</v>
      </c>
      <c r="T8601" s="35" t="inlineStr">
        <is>
          <t>4 — Не обогащён</t>
        </is>
      </c>
      <c r="U8601" s="35" t="inlineStr">
        <is>
          <t>Нет ОКВЭД/ССЧР</t>
        </is>
      </c>
      <c r="V8601" s="35" t="inlineStr">
        <is>
          <t>Не определено</t>
        </is>
      </c>
      <c r="W8601" s="35" t="inlineStr">
        <is>
          <t>Нет</t>
        </is>
      </c>
      <c r="X8601" s="35" t="inlineStr"/>
    </row>
    <row r="8602" ht="15" customHeight="1" s="24">
      <c r="A8602" s="13" t="n">
        <v>9892288</v>
      </c>
      <c r="B8602" s="13" t="inlineStr">
        <is>
          <t>ООО "Оптима"</t>
        </is>
      </c>
      <c r="C8602" s="13" t="n">
        <v>3812137188</v>
      </c>
      <c r="D8602" s="13" t="inlineStr">
        <is>
          <t>3812137188</t>
        </is>
      </c>
      <c r="E8602" s="13" t="inlineStr">
        <is>
          <t>ЮЛ РФ</t>
        </is>
      </c>
      <c r="F8602" s="13" t="n"/>
      <c r="G8602" s="52" t="n">
        <v>17</v>
      </c>
      <c r="H8602" s="52" t="n">
        <v>2025</v>
      </c>
      <c r="I8602" s="14" t="n"/>
      <c r="J8602" s="14" t="n"/>
      <c r="K8602" s="53" t="inlineStr">
        <is>
          <t>Нет</t>
        </is>
      </c>
      <c r="L8602" s="53" t="inlineStr">
        <is>
          <t>Не определено</t>
        </is>
      </c>
      <c r="M8602" s="53" t="inlineStr">
        <is>
          <t>До 25</t>
        </is>
      </c>
      <c r="N8602" s="54" t="n">
        <v>8400</v>
      </c>
      <c r="O8602" s="55" t="inlineStr">
        <is>
          <t>16–30</t>
        </is>
      </c>
      <c r="P8602" s="16" t="inlineStr">
        <is>
          <t>ССЧР обогащена; ОКВЭД не найден/не загружен</t>
        </is>
      </c>
      <c r="Q8602" s="16" t="inlineStr">
        <is>
          <t>ФНС открытые данные ССЧР (ДатаСост 31.12.2025; набор 7707329152-sshr2019)</t>
        </is>
      </c>
      <c r="R8602" s="16">
        <f>HYPERLINK("https://checko.ru/search?query=3801001629","Чекко: проверить")</f>
        <v/>
      </c>
      <c r="S8602" t="n">
        <v>0</v>
      </c>
      <c r="T8602" s="35" t="inlineStr">
        <is>
          <t>4 — Не обогащён</t>
        </is>
      </c>
      <c r="U8602" s="35" t="inlineStr">
        <is>
          <t>Нет ОКВЭД/ССЧР</t>
        </is>
      </c>
      <c r="V8602" s="35" t="inlineStr">
        <is>
          <t>Не определено</t>
        </is>
      </c>
      <c r="W8602" s="35" t="inlineStr">
        <is>
          <t>Нет</t>
        </is>
      </c>
      <c r="X8602" s="35" t="inlineStr"/>
    </row>
    <row r="8603" ht="15" customHeight="1" s="24">
      <c r="A8603" s="13" t="n">
        <v>20022305366</v>
      </c>
      <c r="B8603" s="13" t="inlineStr">
        <is>
          <t>ООО "АГРОХИМ"</t>
        </is>
      </c>
      <c r="C8603" s="13" t="n">
        <v>3849014986</v>
      </c>
      <c r="D8603" s="13" t="inlineStr">
        <is>
          <t>3849014986</t>
        </is>
      </c>
      <c r="E8603" s="13" t="inlineStr">
        <is>
          <t>ЮЛ РФ</t>
        </is>
      </c>
      <c r="F8603" s="13" t="n"/>
      <c r="G8603" s="52" t="n">
        <v>3</v>
      </c>
      <c r="H8603" s="52" t="n">
        <v>2025</v>
      </c>
      <c r="I8603" s="14" t="n"/>
      <c r="J8603" s="14" t="n"/>
      <c r="K8603" s="53" t="inlineStr">
        <is>
          <t>Нет</t>
        </is>
      </c>
      <c r="L8603" s="53" t="inlineStr">
        <is>
          <t>Не определено</t>
        </is>
      </c>
      <c r="M8603" s="53" t="inlineStr">
        <is>
          <t>До 10</t>
        </is>
      </c>
      <c r="N8603" s="54" t="n">
        <v>3360</v>
      </c>
      <c r="O8603" s="55" t="inlineStr">
        <is>
          <t>1–15</t>
        </is>
      </c>
      <c r="P8603" s="16" t="inlineStr">
        <is>
          <t>ССЧР обогащена; ОКВЭД не найден/не загружен</t>
        </is>
      </c>
      <c r="Q8603" s="16" t="inlineStr">
        <is>
          <t>ФНС открытые данные ССЧР (ДатаСост 31.12.2025; набор 7707329152-sshr2019)</t>
        </is>
      </c>
      <c r="R8603" s="16">
        <f>HYPERLINK("https://checko.ru/search?query=3801001629","Чекко: проверить")</f>
        <v/>
      </c>
      <c r="S8603" t="n">
        <v>1</v>
      </c>
      <c r="T8603" s="35" t="inlineStr">
        <is>
          <t>4 — Не обогащён</t>
        </is>
      </c>
      <c r="U8603" s="35" t="inlineStr">
        <is>
          <t>Нет ОКВЭД/ССЧР</t>
        </is>
      </c>
      <c r="V8603" s="35" t="inlineStr">
        <is>
          <t>Не определено</t>
        </is>
      </c>
      <c r="W8603" s="35" t="inlineStr">
        <is>
          <t>Нет</t>
        </is>
      </c>
      <c r="X8603" s="35" t="inlineStr"/>
    </row>
    <row r="8604" ht="27.75" customHeight="1" s="24">
      <c r="A8604" s="13" t="inlineStr">
        <is>
          <t>FR454879</t>
        </is>
      </c>
      <c r="B8604" s="13" t="inlineStr">
        <is>
          <t>ОБЩЕСТВО С ОГРАНИЧЕННОЙ ОТВЕТСТВЕННОСТЬЮ "АРИСТА"</t>
        </is>
      </c>
      <c r="C8604" s="13" t="n">
        <v>3811458333</v>
      </c>
      <c r="D8604" s="13" t="inlineStr">
        <is>
          <t>3811458333</t>
        </is>
      </c>
      <c r="E8604" s="13" t="inlineStr">
        <is>
          <t>ЮЛ РФ</t>
        </is>
      </c>
      <c r="F8604" s="13" t="n"/>
      <c r="G8604" s="52" t="n">
        <v>2</v>
      </c>
      <c r="H8604" s="52" t="n">
        <v>2025</v>
      </c>
      <c r="I8604" s="14" t="n"/>
      <c r="J8604" s="14" t="n"/>
      <c r="K8604" s="53" t="inlineStr">
        <is>
          <t>Нет</t>
        </is>
      </c>
      <c r="L8604" s="53" t="inlineStr">
        <is>
          <t>Не определено</t>
        </is>
      </c>
      <c r="M8604" s="53" t="inlineStr">
        <is>
          <t>До 10</t>
        </is>
      </c>
      <c r="N8604" s="54" t="n">
        <v>3360</v>
      </c>
      <c r="O8604" s="55" t="inlineStr">
        <is>
          <t>1–15</t>
        </is>
      </c>
      <c r="P8604" s="16" t="inlineStr">
        <is>
          <t>ССЧР обогащена; ОКВЭД не найден/не загружен</t>
        </is>
      </c>
      <c r="Q8604" s="16" t="inlineStr">
        <is>
          <t>ФНС открытые данные ССЧР (ДатаСост 31.12.2025; набор 7707329152-sshr2019)</t>
        </is>
      </c>
      <c r="R8604" s="16">
        <f>HYPERLINK("https://checko.ru/search?query=3801001629","Чекко: проверить")</f>
        <v/>
      </c>
      <c r="S8604" t="n">
        <v>0</v>
      </c>
      <c r="T8604" s="35" t="inlineStr">
        <is>
          <t>4 — Не обогащён</t>
        </is>
      </c>
      <c r="U8604" s="35" t="inlineStr">
        <is>
          <t>Нет ОКВЭД/ССЧР</t>
        </is>
      </c>
      <c r="V8604" s="35" t="inlineStr">
        <is>
          <t>Не определено</t>
        </is>
      </c>
      <c r="W8604" s="35" t="inlineStr">
        <is>
          <t>Нет</t>
        </is>
      </c>
      <c r="X8604" s="35" t="inlineStr"/>
    </row>
    <row r="8605" ht="15" customHeight="1" s="24">
      <c r="A8605" s="13" t="inlineStr">
        <is>
          <t>FR713338</t>
        </is>
      </c>
      <c r="B8605" s="13" t="inlineStr">
        <is>
          <t>ИП Личман Веста Олеговна</t>
        </is>
      </c>
      <c r="C8605" s="13" t="n">
        <v>381297369301</v>
      </c>
      <c r="D8605" s="13" t="inlineStr">
        <is>
          <t>381297369301</t>
        </is>
      </c>
      <c r="E8605" s="13" t="inlineStr">
        <is>
          <t>ИП РФ / физлицо</t>
        </is>
      </c>
      <c r="F8605" s="13" t="n"/>
      <c r="G8605" s="14" t="n"/>
      <c r="H8605" s="14" t="n"/>
      <c r="I8605" s="14" t="n"/>
      <c r="J8605" s="14" t="n"/>
      <c r="K8605" s="53" t="inlineStr"/>
      <c r="L8605" s="53" t="inlineStr">
        <is>
          <t>Не определено</t>
        </is>
      </c>
      <c r="M8605" s="53" t="inlineStr"/>
      <c r="N8605" s="54" t="inlineStr"/>
      <c r="O8605" s="55" t="inlineStr"/>
      <c r="P8605" s="16" t="inlineStr">
        <is>
          <t>Требует обогащения</t>
        </is>
      </c>
      <c r="Q8605" s="16">
        <f>HYPERLINK("https://pb.nalog.ru/search.html?query=381297369301","ФНС: проверить")</f>
        <v/>
      </c>
      <c r="R8605" s="16">
        <f>HYPERLINK("https://checko.ru/search?query=3801001629","Чекко: проверить")</f>
        <v/>
      </c>
      <c r="S8605" t="n">
        <v>0</v>
      </c>
      <c r="T8605" s="35" t="inlineStr">
        <is>
          <t>4 — Не обогащён</t>
        </is>
      </c>
      <c r="U8605" s="35" t="inlineStr">
        <is>
          <t>Нет ОКВЭД/ССЧР</t>
        </is>
      </c>
      <c r="V8605" s="35" t="inlineStr">
        <is>
          <t>Не определено</t>
        </is>
      </c>
      <c r="W8605" s="35" t="inlineStr"/>
      <c r="X8605" s="35" t="inlineStr"/>
    </row>
    <row r="8606" ht="15" customHeight="1" s="24">
      <c r="A8606" s="13" t="inlineStr">
        <is>
          <t>FR713338</t>
        </is>
      </c>
      <c r="B8606" s="13" t="inlineStr">
        <is>
          <t>ИП Личман Веста Олеговна</t>
        </is>
      </c>
      <c r="C8606" s="13" t="n">
        <v>381297369301</v>
      </c>
      <c r="D8606" s="13" t="inlineStr">
        <is>
          <t>381297369301</t>
        </is>
      </c>
      <c r="E8606" s="13" t="inlineStr">
        <is>
          <t>ИП РФ / физлицо</t>
        </is>
      </c>
      <c r="F8606" s="13" t="n"/>
      <c r="G8606" s="14" t="n"/>
      <c r="H8606" s="14" t="n"/>
      <c r="I8606" s="14" t="n"/>
      <c r="J8606" s="14" t="n"/>
      <c r="K8606" s="53" t="inlineStr"/>
      <c r="L8606" s="53" t="inlineStr">
        <is>
          <t>Не определено</t>
        </is>
      </c>
      <c r="M8606" s="53" t="inlineStr"/>
      <c r="N8606" s="54" t="inlineStr"/>
      <c r="O8606" s="55" t="inlineStr"/>
      <c r="P8606" s="16" t="inlineStr">
        <is>
          <t>Требует обогащения</t>
        </is>
      </c>
      <c r="Q8606" s="16">
        <f>HYPERLINK("https://pb.nalog.ru/search.html?query=381297369301","ФНС: проверить")</f>
        <v/>
      </c>
      <c r="R8606" s="16">
        <f>HYPERLINK("https://checko.ru/search?query=3801001629","Чекко: проверить")</f>
        <v/>
      </c>
      <c r="S8606" t="n">
        <v>0</v>
      </c>
      <c r="T8606" s="35" t="inlineStr">
        <is>
          <t>4 — Не обогащён</t>
        </is>
      </c>
      <c r="U8606" s="35" t="inlineStr">
        <is>
          <t>Нет ОКВЭД/ССЧР</t>
        </is>
      </c>
      <c r="V8606" s="35" t="inlineStr">
        <is>
          <t>Не определено</t>
        </is>
      </c>
      <c r="W8606" s="35" t="inlineStr"/>
      <c r="X8606" s="35" t="inlineStr"/>
    </row>
    <row r="8607" ht="15" customHeight="1" s="24">
      <c r="A8607" s="13" t="inlineStr">
        <is>
          <t>FR713338</t>
        </is>
      </c>
      <c r="B8607" s="13" t="inlineStr">
        <is>
          <t>ИП Личман Веста Олеговна</t>
        </is>
      </c>
      <c r="C8607" s="13" t="n">
        <v>381297369301</v>
      </c>
      <c r="D8607" s="13" t="inlineStr">
        <is>
          <t>381297369301</t>
        </is>
      </c>
      <c r="E8607" s="13" t="inlineStr">
        <is>
          <t>ИП РФ / физлицо</t>
        </is>
      </c>
      <c r="F8607" s="13" t="n"/>
      <c r="G8607" s="14" t="n"/>
      <c r="H8607" s="14" t="n"/>
      <c r="I8607" s="14" t="n"/>
      <c r="J8607" s="14" t="n"/>
      <c r="K8607" s="53" t="inlineStr"/>
      <c r="L8607" s="53" t="inlineStr">
        <is>
          <t>Не определено</t>
        </is>
      </c>
      <c r="M8607" s="53" t="inlineStr"/>
      <c r="N8607" s="54" t="inlineStr"/>
      <c r="O8607" s="55" t="inlineStr"/>
      <c r="P8607" s="16" t="inlineStr">
        <is>
          <t>Требует обогащения</t>
        </is>
      </c>
      <c r="Q8607" s="16">
        <f>HYPERLINK("https://pb.nalog.ru/search.html?query=381297369301","ФНС: проверить")</f>
        <v/>
      </c>
      <c r="R8607" s="16">
        <f>HYPERLINK("https://checko.ru/search?query=3801001629","Чекко: проверить")</f>
        <v/>
      </c>
      <c r="S8607" t="n">
        <v>0</v>
      </c>
      <c r="T8607" s="35" t="inlineStr">
        <is>
          <t>4 — Не обогащён</t>
        </is>
      </c>
      <c r="U8607" s="35" t="inlineStr">
        <is>
          <t>Нет ОКВЭД/ССЧР</t>
        </is>
      </c>
      <c r="V8607" s="35" t="inlineStr">
        <is>
          <t>Не определено</t>
        </is>
      </c>
      <c r="W8607" s="35" t="inlineStr"/>
      <c r="X8607" s="35" t="inlineStr"/>
    </row>
    <row r="8608" ht="15" customHeight="1" s="24">
      <c r="A8608" s="13" t="inlineStr">
        <is>
          <t>FR713338</t>
        </is>
      </c>
      <c r="B8608" s="13" t="inlineStr">
        <is>
          <t>ИП Личман Веста Олеговна</t>
        </is>
      </c>
      <c r="C8608" s="13" t="n">
        <v>381297369301</v>
      </c>
      <c r="D8608" s="13" t="inlineStr">
        <is>
          <t>381297369301</t>
        </is>
      </c>
      <c r="E8608" s="13" t="inlineStr">
        <is>
          <t>ИП РФ / физлицо</t>
        </is>
      </c>
      <c r="F8608" s="13" t="n"/>
      <c r="G8608" s="14" t="n"/>
      <c r="H8608" s="14" t="n"/>
      <c r="I8608" s="14" t="n"/>
      <c r="J8608" s="14" t="n"/>
      <c r="K8608" s="53" t="inlineStr"/>
      <c r="L8608" s="53" t="inlineStr">
        <is>
          <t>Не определено</t>
        </is>
      </c>
      <c r="M8608" s="53" t="inlineStr"/>
      <c r="N8608" s="54" t="inlineStr"/>
      <c r="O8608" s="55" t="inlineStr"/>
      <c r="P8608" s="16" t="inlineStr">
        <is>
          <t>Требует обогащения</t>
        </is>
      </c>
      <c r="Q8608" s="16">
        <f>HYPERLINK("https://pb.nalog.ru/search.html?query=381297369301","ФНС: проверить")</f>
        <v/>
      </c>
      <c r="R8608" s="16">
        <f>HYPERLINK("https://checko.ru/search?query=3801001629","Чекко: проверить")</f>
        <v/>
      </c>
      <c r="S8608" t="n">
        <v>0</v>
      </c>
      <c r="T8608" s="35" t="inlineStr">
        <is>
          <t>4 — Не обогащён</t>
        </is>
      </c>
      <c r="U8608" s="35" t="inlineStr">
        <is>
          <t>Нет ОКВЭД/ССЧР</t>
        </is>
      </c>
      <c r="V8608" s="35" t="inlineStr">
        <is>
          <t>Не определено</t>
        </is>
      </c>
      <c r="W8608" s="35" t="inlineStr"/>
      <c r="X8608" s="35" t="inlineStr"/>
    </row>
    <row r="8609" ht="27.75" customHeight="1" s="24">
      <c r="A8609" s="13" t="inlineStr">
        <is>
          <t>FR639095</t>
        </is>
      </c>
      <c r="B8609" s="13" t="inlineStr">
        <is>
          <t>Общество с ограниченной ответственностью "ЭВЕРЕСТ"</t>
        </is>
      </c>
      <c r="C8609" s="13" t="n">
        <v>3804116473</v>
      </c>
      <c r="D8609" s="13" t="inlineStr">
        <is>
          <t>3804116473</t>
        </is>
      </c>
      <c r="E8609" s="13" t="inlineStr">
        <is>
          <t>ЮЛ РФ</t>
        </is>
      </c>
      <c r="F8609" s="13" t="n"/>
      <c r="G8609" s="52" t="n">
        <v>1</v>
      </c>
      <c r="H8609" s="52" t="n">
        <v>2025</v>
      </c>
      <c r="I8609" s="14" t="n"/>
      <c r="J8609" s="14" t="n"/>
      <c r="K8609" s="53" t="inlineStr">
        <is>
          <t>Нет</t>
        </is>
      </c>
      <c r="L8609" s="53" t="inlineStr">
        <is>
          <t>Не определено</t>
        </is>
      </c>
      <c r="M8609" s="53" t="inlineStr">
        <is>
          <t>До 10</t>
        </is>
      </c>
      <c r="N8609" s="54" t="n">
        <v>3360</v>
      </c>
      <c r="O8609" s="55" t="inlineStr">
        <is>
          <t>1–15</t>
        </is>
      </c>
      <c r="P8609" s="16" t="inlineStr">
        <is>
          <t>ССЧР обогащена; ОКВЭД не найден/не загружен</t>
        </is>
      </c>
      <c r="Q8609" s="16" t="inlineStr">
        <is>
          <t>ФНС открытые данные ССЧР (ДатаСост 31.12.2025; набор 7707329152-sshr2019)</t>
        </is>
      </c>
      <c r="R8609" s="16">
        <f>HYPERLINK("https://checko.ru/search?query=3801001629","Чекко: проверить")</f>
        <v/>
      </c>
      <c r="S8609" t="n">
        <v>1</v>
      </c>
      <c r="T8609" s="35" t="inlineStr">
        <is>
          <t>4 — Не обогащён</t>
        </is>
      </c>
      <c r="U8609" s="35" t="inlineStr">
        <is>
          <t>Нет ОКВЭД/ССЧР</t>
        </is>
      </c>
      <c r="V8609" s="35" t="inlineStr">
        <is>
          <t>Не определено</t>
        </is>
      </c>
      <c r="W8609" s="35" t="inlineStr">
        <is>
          <t>Нет</t>
        </is>
      </c>
      <c r="X8609" s="35" t="inlineStr"/>
    </row>
    <row r="8610" ht="27.75" customHeight="1" s="24">
      <c r="A8610" s="13" t="n">
        <v>20000198616</v>
      </c>
      <c r="B8610" s="13" t="inlineStr">
        <is>
          <t>Индивидуальный предприниматель Мельникова Надежда Владимировна</t>
        </is>
      </c>
      <c r="C8610" s="13" t="n">
        <v>382700028068</v>
      </c>
      <c r="D8610" s="13" t="inlineStr">
        <is>
          <t>382700028068</t>
        </is>
      </c>
      <c r="E8610" s="13" t="inlineStr">
        <is>
          <t>ИП РФ / физлицо</t>
        </is>
      </c>
      <c r="F8610" s="13" t="n"/>
      <c r="G8610" s="14" t="n"/>
      <c r="H8610" s="14" t="n"/>
      <c r="I8610" s="14" t="n"/>
      <c r="J8610" s="14" t="n"/>
      <c r="K8610" s="53" t="inlineStr"/>
      <c r="L8610" s="53" t="inlineStr">
        <is>
          <t>Не определено</t>
        </is>
      </c>
      <c r="M8610" s="53" t="inlineStr"/>
      <c r="N8610" s="54" t="inlineStr"/>
      <c r="O8610" s="55" t="inlineStr"/>
      <c r="P8610" s="16" t="inlineStr">
        <is>
          <t>Требует обогащения</t>
        </is>
      </c>
      <c r="Q8610" s="16">
        <f>HYPERLINK("https://pb.nalog.ru/search.html?query=382700028068","ФНС: проверить")</f>
        <v/>
      </c>
      <c r="R8610" s="16">
        <f>HYPERLINK("https://checko.ru/search?query=3801001629","Чекко: проверить")</f>
        <v/>
      </c>
      <c r="S8610" t="n">
        <v>1</v>
      </c>
      <c r="T8610" s="35" t="inlineStr">
        <is>
          <t>4 — Не обогащён</t>
        </is>
      </c>
      <c r="U8610" s="35" t="inlineStr">
        <is>
          <t>Нет ОКВЭД/ССЧР</t>
        </is>
      </c>
      <c r="V8610" s="35" t="inlineStr">
        <is>
          <t>Не определено</t>
        </is>
      </c>
      <c r="W8610" s="35" t="inlineStr"/>
      <c r="X8610" s="35" t="inlineStr"/>
    </row>
    <row r="8611" ht="15" customHeight="1" s="24">
      <c r="A8611" s="13" t="inlineStr">
        <is>
          <t>FR172451</t>
        </is>
      </c>
      <c r="B8611" s="13" t="inlineStr">
        <is>
          <t>ООО "ПОЛЮС АВТОМАТИКА"</t>
        </is>
      </c>
      <c r="C8611" s="13" t="n">
        <v>5506145955</v>
      </c>
      <c r="D8611" s="13" t="inlineStr">
        <is>
          <t>5506145955</t>
        </is>
      </c>
      <c r="E8611" s="13" t="inlineStr">
        <is>
          <t>ЮЛ РФ</t>
        </is>
      </c>
      <c r="F8611" s="13" t="n"/>
      <c r="G8611" s="52" t="n">
        <v>59</v>
      </c>
      <c r="H8611" s="52" t="n">
        <v>2025</v>
      </c>
      <c r="I8611" s="52" t="inlineStr">
        <is>
          <t>27.12</t>
        </is>
      </c>
      <c r="J8611" s="52" t="inlineStr">
        <is>
          <t>27.12; 26.30.6; 26.51; 28.99.9; 33.14; 33.20; 43.21; 46.14; 46.51; 46.69; 47.19; 62.01; 62.02; 71.11; 71.12; 72.19</t>
        </is>
      </c>
      <c r="K8611" s="53" t="inlineStr">
        <is>
          <t>Да</t>
        </is>
      </c>
      <c r="L8611" s="53" t="inlineStr">
        <is>
          <t>Да</t>
        </is>
      </c>
      <c r="M8611" s="53" t="inlineStr">
        <is>
          <t>До 100</t>
        </is>
      </c>
      <c r="N8611" s="54" t="n">
        <v>33600</v>
      </c>
      <c r="O8611" s="55" t="inlineStr">
        <is>
          <t>51–100</t>
        </is>
      </c>
      <c r="P8611" s="16" t="inlineStr">
        <is>
          <t>ССЧР + ОКВЭД обогащены</t>
        </is>
      </c>
      <c r="Q8611" s="16" t="inlineStr">
        <is>
          <t>ФНС открытые данные ССЧР (ДатаСост 31.12.2025; набор 7707329152-sshr2019)</t>
        </is>
      </c>
      <c r="R8611" s="16" t="inlineStr">
        <is>
          <t>ЕГРЮЛ / egrul.nalog.ru (выписка)</t>
        </is>
      </c>
      <c r="S8611" t="n">
        <v>1</v>
      </c>
      <c r="T8611" s="35" t="inlineStr">
        <is>
          <t>1 — Горячий</t>
        </is>
      </c>
      <c r="U8611" s="35" t="inlineStr">
        <is>
          <t>ОКВЭД + 22+</t>
        </is>
      </c>
      <c r="V8611" s="35" t="inlineStr">
        <is>
          <t>Да</t>
        </is>
      </c>
      <c r="W8611" s="35" t="inlineStr">
        <is>
          <t>Да</t>
        </is>
      </c>
      <c r="X8611" s="35" t="inlineStr">
        <is>
          <t>Да</t>
        </is>
      </c>
    </row>
    <row r="8612" ht="41.25" customHeight="1" s="24">
      <c r="A8612" s="13" t="inlineStr">
        <is>
          <t>FR672156</t>
        </is>
      </c>
      <c r="B8612" s="13" t="inlineStr">
        <is>
          <t>Общество с ограниченной ответственностью "ТЕРМИНАЛЬНО-ЛОГИСТИЧЕСКИЙ КОМПЛЕКС "ХОРСКИЙ"</t>
        </is>
      </c>
      <c r="C8612" s="13" t="n">
        <v>2713021335</v>
      </c>
      <c r="D8612" s="13" t="inlineStr">
        <is>
          <t>2713021335</t>
        </is>
      </c>
      <c r="E8612" s="13" t="inlineStr">
        <is>
          <t>ЮЛ РФ</t>
        </is>
      </c>
      <c r="F8612" s="13" t="n"/>
      <c r="G8612" s="52" t="n">
        <v>2</v>
      </c>
      <c r="H8612" s="52" t="n">
        <v>2025</v>
      </c>
      <c r="I8612" s="14" t="n"/>
      <c r="J8612" s="14" t="n"/>
      <c r="K8612" s="53" t="inlineStr">
        <is>
          <t>Нет</t>
        </is>
      </c>
      <c r="L8612" s="53" t="inlineStr">
        <is>
          <t>Не определено</t>
        </is>
      </c>
      <c r="M8612" s="53" t="inlineStr">
        <is>
          <t>До 10</t>
        </is>
      </c>
      <c r="N8612" s="54" t="n">
        <v>3360</v>
      </c>
      <c r="O8612" s="55" t="inlineStr">
        <is>
          <t>1–15</t>
        </is>
      </c>
      <c r="P8612" s="16" t="inlineStr">
        <is>
          <t>ССЧР обогащена; ОКВЭД не найден/не загружен</t>
        </is>
      </c>
      <c r="Q8612" s="16" t="inlineStr">
        <is>
          <t>ФНС открытые данные ССЧР (ДатаСост 31.12.2025; набор 7707329152-sshr2019)</t>
        </is>
      </c>
      <c r="R8612" s="16">
        <f>HYPERLINK("https://checko.ru/search?query=3801001629","Чекко: проверить")</f>
        <v/>
      </c>
      <c r="S8612" t="n">
        <v>1</v>
      </c>
      <c r="T8612" s="35" t="inlineStr">
        <is>
          <t>4 — Не обогащён</t>
        </is>
      </c>
      <c r="U8612" s="35" t="inlineStr">
        <is>
          <t>Нет ОКВЭД/ССЧР</t>
        </is>
      </c>
      <c r="V8612" s="35" t="inlineStr">
        <is>
          <t>Не определено</t>
        </is>
      </c>
      <c r="W8612" s="35" t="inlineStr">
        <is>
          <t>Нет</t>
        </is>
      </c>
      <c r="X8612" s="35" t="inlineStr"/>
    </row>
    <row r="8613" ht="27.75" customHeight="1" s="24">
      <c r="A8613" s="13" t="inlineStr">
        <is>
          <t>FR1210546</t>
        </is>
      </c>
      <c r="B8613" s="13" t="inlineStr">
        <is>
          <t>Общество с ограниченной ответственностью "АПЕЛЬСИН"</t>
        </is>
      </c>
      <c r="C8613" s="13" t="n">
        <v>3849102657</v>
      </c>
      <c r="D8613" s="13" t="inlineStr">
        <is>
          <t>3849102657</t>
        </is>
      </c>
      <c r="E8613" s="13" t="inlineStr">
        <is>
          <t>ЮЛ РФ</t>
        </is>
      </c>
      <c r="F8613" s="13" t="n"/>
      <c r="G8613" s="52" t="n">
        <v>54</v>
      </c>
      <c r="H8613" s="52" t="n">
        <v>2025</v>
      </c>
      <c r="I8613" s="52" t="inlineStr">
        <is>
          <t>93.29.9</t>
        </is>
      </c>
      <c r="J8613" s="52" t="inlineStr">
        <is>
          <t>93.29.9; 47.11; 47.19; 47.24.2; 47.24.3; 47.65; 56.10; 56.30; 68.20; 68.31.2; 73.11; 74.20; 93.11; 93.12; 93.13; 93.21; 93.29</t>
        </is>
      </c>
      <c r="K8613" s="53" t="inlineStr">
        <is>
          <t>Да</t>
        </is>
      </c>
      <c r="L8613" s="53" t="inlineStr">
        <is>
          <t>Да</t>
        </is>
      </c>
      <c r="M8613" s="53" t="inlineStr">
        <is>
          <t>До 100</t>
        </is>
      </c>
      <c r="N8613" s="54" t="n">
        <v>33600</v>
      </c>
      <c r="O8613" s="55" t="inlineStr">
        <is>
          <t>51–100</t>
        </is>
      </c>
      <c r="P8613" s="16" t="inlineStr">
        <is>
          <t>ССЧР + ОКВЭД обогащены</t>
        </is>
      </c>
      <c r="Q8613" s="16" t="inlineStr">
        <is>
          <t>ФНС открытые данные ССЧР (ДатаСост 31.12.2025; набор 7707329152-sshr2019)</t>
        </is>
      </c>
      <c r="R8613" s="16" t="inlineStr">
        <is>
          <t>ЕГРЮЛ / egrul.nalog.ru (выписка)</t>
        </is>
      </c>
      <c r="S8613" t="n">
        <v>1</v>
      </c>
      <c r="T8613" s="35" t="inlineStr">
        <is>
          <t>1 — Горячий</t>
        </is>
      </c>
      <c r="U8613" s="35" t="inlineStr">
        <is>
          <t>ОКВЭД + 22+</t>
        </is>
      </c>
      <c r="V8613" s="35" t="inlineStr">
        <is>
          <t>Да</t>
        </is>
      </c>
      <c r="W8613" s="35" t="inlineStr">
        <is>
          <t>Да</t>
        </is>
      </c>
      <c r="X8613" s="35" t="inlineStr">
        <is>
          <t>Да</t>
        </is>
      </c>
    </row>
    <row r="8614" ht="27.75" customHeight="1" s="24">
      <c r="A8614" s="13" t="inlineStr">
        <is>
          <t>FR1225093</t>
        </is>
      </c>
      <c r="B8614" s="13" t="inlineStr">
        <is>
          <t>Общество с ограниченной ответственностью "СВИТИ"</t>
        </is>
      </c>
      <c r="C8614" s="13" t="n">
        <v>3849109187</v>
      </c>
      <c r="D8614" s="13" t="inlineStr">
        <is>
          <t>3849109187</t>
        </is>
      </c>
      <c r="E8614" s="13" t="inlineStr">
        <is>
          <t>ЮЛ РФ</t>
        </is>
      </c>
      <c r="F8614" s="13" t="n"/>
      <c r="G8614" s="52" t="n">
        <v>0</v>
      </c>
      <c r="H8614" s="52" t="n">
        <v>2025</v>
      </c>
      <c r="I8614" s="14" t="n"/>
      <c r="J8614" s="14" t="n"/>
      <c r="K8614" s="53" t="inlineStr">
        <is>
          <t>Нет</t>
        </is>
      </c>
      <c r="L8614" s="53" t="inlineStr">
        <is>
          <t>Не определено</t>
        </is>
      </c>
      <c r="M8614" s="53" t="inlineStr">
        <is>
          <t>До 10</t>
        </is>
      </c>
      <c r="N8614" s="54" t="n">
        <v>3360</v>
      </c>
      <c r="O8614" s="55" t="inlineStr">
        <is>
          <t>1–15</t>
        </is>
      </c>
      <c r="P8614" s="16" t="inlineStr">
        <is>
          <t>ССЧР обогащена; ОКВЭД не найден/не загружен</t>
        </is>
      </c>
      <c r="Q8614" s="16" t="inlineStr">
        <is>
          <t>ФНС открытые данные ССЧР (ДатаСост 31.12.2025; набор 7707329152-sshr2019)</t>
        </is>
      </c>
      <c r="R8614" s="16">
        <f>HYPERLINK("https://checko.ru/search?query=3801001629","Чекко: проверить")</f>
        <v/>
      </c>
      <c r="S8614" t="n">
        <v>1</v>
      </c>
      <c r="T8614" s="35" t="inlineStr">
        <is>
          <t>4 — Не обогащён</t>
        </is>
      </c>
      <c r="U8614" s="35" t="inlineStr">
        <is>
          <t>Нет ОКВЭД/ССЧР</t>
        </is>
      </c>
      <c r="V8614" s="35" t="inlineStr">
        <is>
          <t>Не определено</t>
        </is>
      </c>
      <c r="W8614" s="35" t="inlineStr">
        <is>
          <t>Нет</t>
        </is>
      </c>
      <c r="X8614" s="35" t="inlineStr"/>
    </row>
    <row r="8615" ht="15" customHeight="1" s="24">
      <c r="A8615" s="13" t="inlineStr">
        <is>
          <t>FR172519</t>
        </is>
      </c>
      <c r="B8615" s="13" t="inlineStr">
        <is>
          <t>ООО "АВАКОН"</t>
        </is>
      </c>
      <c r="C8615" s="13" t="n">
        <v>3811070879</v>
      </c>
      <c r="D8615" s="13" t="inlineStr">
        <is>
          <t>3811070879</t>
        </is>
      </c>
      <c r="E8615" s="13" t="inlineStr">
        <is>
          <t>ЮЛ РФ</t>
        </is>
      </c>
      <c r="F8615" s="13" t="n"/>
      <c r="G8615" s="52" t="n">
        <v>192</v>
      </c>
      <c r="H8615" s="52" t="n">
        <v>2025</v>
      </c>
      <c r="I8615" s="52" t="inlineStr">
        <is>
          <t>38.12</t>
        </is>
      </c>
      <c r="J8615" s="52" t="inlineStr">
        <is>
          <t>38.12; 09.10; 16.10.9; 16.23; 16.29; 28.29.12; 33.12; 37.00; 38.21.2; 38.22; 38.32; 38.32.3; 38.32.4; 38.32.5; 39.00; 43.12; 43.99; 45.19; 46.71; 47.73; 47.74; 47.75; 49.41; 49.42; 52.10; 52.24; 52.29; 56.10; 56.29.2; 60.10; 60.20; 62.02; 63.11.1; 63.91; 68.32; 68.32.1; 71.12.5; 71.12.6; 74.20; 74.30; 77.39; 81.22; 81.29.9; 82.92; 84.21; 86.10; 86.21; 86.90.9</t>
        </is>
      </c>
      <c r="K8615" s="53" t="inlineStr">
        <is>
          <t>Да</t>
        </is>
      </c>
      <c r="L8615" s="53" t="inlineStr">
        <is>
          <t>Да</t>
        </is>
      </c>
      <c r="M8615" s="53" t="inlineStr">
        <is>
          <t>До 200</t>
        </is>
      </c>
      <c r="N8615" s="54" t="n">
        <v>62400</v>
      </c>
      <c r="O8615" s="55" t="inlineStr">
        <is>
          <t>101–200</t>
        </is>
      </c>
      <c r="P8615" s="16" t="inlineStr">
        <is>
          <t>ССЧР + ОКВЭД обогащены</t>
        </is>
      </c>
      <c r="Q8615" s="16" t="inlineStr">
        <is>
          <t>ФНС открытые данные ССЧР (ДатаСост 31.12.2025; набор 7707329152-sshr2019)</t>
        </is>
      </c>
      <c r="R8615" s="16" t="inlineStr">
        <is>
          <t>ЕГРЮЛ / egrul.nalog.ru (выписка)</t>
        </is>
      </c>
      <c r="S8615" t="n">
        <v>1</v>
      </c>
      <c r="T8615" s="35" t="inlineStr">
        <is>
          <t>1 — Горячий</t>
        </is>
      </c>
      <c r="U8615" s="35" t="inlineStr">
        <is>
          <t>ОКВЭД + 22+</t>
        </is>
      </c>
      <c r="V8615" s="35" t="inlineStr">
        <is>
          <t>Да</t>
        </is>
      </c>
      <c r="W8615" s="35" t="inlineStr">
        <is>
          <t>Да</t>
        </is>
      </c>
      <c r="X8615" s="35" t="inlineStr">
        <is>
          <t>Да</t>
        </is>
      </c>
    </row>
    <row r="8616" ht="27.75" customHeight="1" s="24">
      <c r="A8616" s="13" t="inlineStr">
        <is>
          <t>FR1229481</t>
        </is>
      </c>
      <c r="B8616" s="13" t="inlineStr">
        <is>
          <t>Общество с ограниченной ответственностью "МАНДАРИН"</t>
        </is>
      </c>
      <c r="C8616" s="13" t="n">
        <v>3460086588</v>
      </c>
      <c r="D8616" s="13" t="inlineStr">
        <is>
          <t>3460086588</t>
        </is>
      </c>
      <c r="E8616" s="13" t="inlineStr">
        <is>
          <t>ЮЛ РФ</t>
        </is>
      </c>
      <c r="F8616" s="13" t="n"/>
      <c r="G8616" s="52" t="n">
        <v>36</v>
      </c>
      <c r="H8616" s="52" t="n">
        <v>2025</v>
      </c>
      <c r="I8616" s="52" t="inlineStr">
        <is>
          <t>93.29.9</t>
        </is>
      </c>
      <c r="J8616" s="52" t="inlineStr">
        <is>
          <t>93.29.9; 47.11; 47.19; 47.24.2; 47.24.3; 47.65; 56.10; 56.30; 68.20; 68.31.2; 73.11; 74.20; 93.11; 93.12; 93.13; 93.21; 93.29</t>
        </is>
      </c>
      <c r="K8616" s="53" t="inlineStr">
        <is>
          <t>Да</t>
        </is>
      </c>
      <c r="L8616" s="53" t="inlineStr">
        <is>
          <t>Да</t>
        </is>
      </c>
      <c r="M8616" s="53" t="inlineStr">
        <is>
          <t>До 50</t>
        </is>
      </c>
      <c r="N8616" s="54" t="n">
        <v>16800</v>
      </c>
      <c r="O8616" s="55" t="inlineStr">
        <is>
          <t>31–50</t>
        </is>
      </c>
      <c r="P8616" s="16" t="inlineStr">
        <is>
          <t>ССЧР + ОКВЭД обогащены</t>
        </is>
      </c>
      <c r="Q8616" s="16" t="inlineStr">
        <is>
          <t>ФНС открытые данные ССЧР (ДатаСост 31.12.2025; набор 7707329152-sshr2019)</t>
        </is>
      </c>
      <c r="R8616" s="16" t="inlineStr">
        <is>
          <t>ЕГРЮЛ / egrul.nalog.ru (выписка)</t>
        </is>
      </c>
      <c r="S8616" t="n">
        <v>1</v>
      </c>
      <c r="T8616" s="35" t="inlineStr">
        <is>
          <t>1 — Горячий</t>
        </is>
      </c>
      <c r="U8616" s="35" t="inlineStr">
        <is>
          <t>ОКВЭД + 22+</t>
        </is>
      </c>
      <c r="V8616" s="35" t="inlineStr">
        <is>
          <t>Да</t>
        </is>
      </c>
      <c r="W8616" s="35" t="inlineStr">
        <is>
          <t>Да</t>
        </is>
      </c>
      <c r="X8616" s="35" t="inlineStr">
        <is>
          <t>Да</t>
        </is>
      </c>
    </row>
    <row r="8617" ht="15" customHeight="1" s="24">
      <c r="A8617" s="13" t="inlineStr">
        <is>
          <t>FR280459</t>
        </is>
      </c>
      <c r="B8617" s="13" t="inlineStr">
        <is>
          <t>ООО "АВТОСИЛА"</t>
        </is>
      </c>
      <c r="C8617" s="13" t="n">
        <v>3804112750</v>
      </c>
      <c r="D8617" s="13" t="inlineStr">
        <is>
          <t>3804112750</t>
        </is>
      </c>
      <c r="E8617" s="13" t="inlineStr">
        <is>
          <t>ЮЛ РФ</t>
        </is>
      </c>
      <c r="F8617" s="13" t="n"/>
      <c r="G8617" s="52" t="n">
        <v>15</v>
      </c>
      <c r="H8617" s="52" t="n">
        <v>2025</v>
      </c>
      <c r="I8617" s="14" t="n"/>
      <c r="J8617" s="14" t="n"/>
      <c r="K8617" s="53" t="inlineStr">
        <is>
          <t>Нет</t>
        </is>
      </c>
      <c r="L8617" s="53" t="inlineStr">
        <is>
          <t>Не определено</t>
        </is>
      </c>
      <c r="M8617" s="53" t="inlineStr">
        <is>
          <t>До 25</t>
        </is>
      </c>
      <c r="N8617" s="54" t="n">
        <v>8400</v>
      </c>
      <c r="O8617" s="55" t="inlineStr">
        <is>
          <t>1–15</t>
        </is>
      </c>
      <c r="P8617" s="16" t="inlineStr">
        <is>
          <t>ССЧР обогащена; ОКВЭД не найден/не загружен</t>
        </is>
      </c>
      <c r="Q8617" s="16" t="inlineStr">
        <is>
          <t>ФНС открытые данные ССЧР (ДатаСост 31.12.2025; набор 7707329152-sshr2019)</t>
        </is>
      </c>
      <c r="R8617" s="16">
        <f>HYPERLINK("https://checko.ru/search?query=3801001629","Чекко: проверить")</f>
        <v/>
      </c>
      <c r="S8617" t="n">
        <v>1</v>
      </c>
      <c r="T8617" s="35" t="inlineStr">
        <is>
          <t>4 — Не обогащён</t>
        </is>
      </c>
      <c r="U8617" s="35" t="inlineStr">
        <is>
          <t>Нет ОКВЭД/ССЧР</t>
        </is>
      </c>
      <c r="V8617" s="35" t="inlineStr">
        <is>
          <t>Не определено</t>
        </is>
      </c>
      <c r="W8617" s="35" t="inlineStr">
        <is>
          <t>Нет</t>
        </is>
      </c>
      <c r="X8617" s="35" t="inlineStr"/>
    </row>
    <row r="8618" ht="27.75" customHeight="1" s="24">
      <c r="A8618" s="13" t="inlineStr">
        <is>
          <t>FR179302</t>
        </is>
      </c>
      <c r="B8618" s="13" t="inlineStr">
        <is>
          <t>Акционерное общество "ЦЕНТР ИНФОРМАЦИОННОЙ БЕЗОПАСНОСТИ"</t>
        </is>
      </c>
      <c r="C8618" s="13" t="n">
        <v>3808276020</v>
      </c>
      <c r="D8618" s="13" t="inlineStr">
        <is>
          <t>3808276020</t>
        </is>
      </c>
      <c r="E8618" s="13" t="inlineStr">
        <is>
          <t>ЮЛ РФ</t>
        </is>
      </c>
      <c r="F8618" s="13" t="n"/>
      <c r="G8618" s="52" t="n">
        <v>7</v>
      </c>
      <c r="H8618" s="52" t="n">
        <v>2025</v>
      </c>
      <c r="I8618" s="14" t="n"/>
      <c r="J8618" s="14" t="n"/>
      <c r="K8618" s="53" t="inlineStr">
        <is>
          <t>Нет</t>
        </is>
      </c>
      <c r="L8618" s="53" t="inlineStr">
        <is>
          <t>Не определено</t>
        </is>
      </c>
      <c r="M8618" s="53" t="inlineStr">
        <is>
          <t>До 10</t>
        </is>
      </c>
      <c r="N8618" s="54" t="n">
        <v>3360</v>
      </c>
      <c r="O8618" s="55" t="inlineStr">
        <is>
          <t>1–15</t>
        </is>
      </c>
      <c r="P8618" s="16" t="inlineStr">
        <is>
          <t>ССЧР обогащена; ОКВЭД не найден/не загружен</t>
        </is>
      </c>
      <c r="Q8618" s="16" t="inlineStr">
        <is>
          <t>ФНС открытые данные ССЧР (ДатаСост 31.12.2025; набор 7707329152-sshr2019)</t>
        </is>
      </c>
      <c r="R8618" s="16">
        <f>HYPERLINK("https://checko.ru/search?query=3801001629","Чекко: проверить")</f>
        <v/>
      </c>
      <c r="S8618" t="n">
        <v>1</v>
      </c>
      <c r="T8618" s="35" t="inlineStr">
        <is>
          <t>4 — Не обогащён</t>
        </is>
      </c>
      <c r="U8618" s="35" t="inlineStr">
        <is>
          <t>Нет ОКВЭД/ССЧР</t>
        </is>
      </c>
      <c r="V8618" s="35" t="inlineStr">
        <is>
          <t>Не определено</t>
        </is>
      </c>
      <c r="W8618" s="35" t="inlineStr">
        <is>
          <t>Нет</t>
        </is>
      </c>
      <c r="X8618" s="35" t="inlineStr"/>
    </row>
    <row r="8619" ht="15" customHeight="1" s="24">
      <c r="A8619" s="13" t="inlineStr">
        <is>
          <t>FR187338</t>
        </is>
      </c>
      <c r="B8619" s="13" t="inlineStr">
        <is>
          <t>ООО "Бланкиздат"</t>
        </is>
      </c>
      <c r="C8619" s="13" t="n">
        <v>3808086830</v>
      </c>
      <c r="D8619" s="13" t="inlineStr">
        <is>
          <t>3808086830</t>
        </is>
      </c>
      <c r="E8619" s="13" t="inlineStr">
        <is>
          <t>ЮЛ РФ</t>
        </is>
      </c>
      <c r="F8619" s="13" t="n"/>
      <c r="G8619" s="52" t="n">
        <v>11</v>
      </c>
      <c r="H8619" s="52" t="n">
        <v>2025</v>
      </c>
      <c r="I8619" s="14" t="n"/>
      <c r="J8619" s="14" t="n"/>
      <c r="K8619" s="53" t="inlineStr">
        <is>
          <t>Нет</t>
        </is>
      </c>
      <c r="L8619" s="53" t="inlineStr">
        <is>
          <t>Не определено</t>
        </is>
      </c>
      <c r="M8619" s="53" t="inlineStr">
        <is>
          <t>До 25</t>
        </is>
      </c>
      <c r="N8619" s="54" t="n">
        <v>8400</v>
      </c>
      <c r="O8619" s="55" t="inlineStr">
        <is>
          <t>1–15</t>
        </is>
      </c>
      <c r="P8619" s="16" t="inlineStr">
        <is>
          <t>ССЧР обогащена; ОКВЭД не найден/не загружен</t>
        </is>
      </c>
      <c r="Q8619" s="16" t="inlineStr">
        <is>
          <t>ФНС открытые данные ССЧР (ДатаСост 31.12.2025; набор 7707329152-sshr2019)</t>
        </is>
      </c>
      <c r="R8619" s="16">
        <f>HYPERLINK("https://checko.ru/search?query=3801001629","Чекко: проверить")</f>
        <v/>
      </c>
      <c r="S8619" t="n">
        <v>1</v>
      </c>
      <c r="T8619" s="35" t="inlineStr">
        <is>
          <t>4 — Не обогащён</t>
        </is>
      </c>
      <c r="U8619" s="35" t="inlineStr">
        <is>
          <t>Нет ОКВЭД/ССЧР</t>
        </is>
      </c>
      <c r="V8619" s="35" t="inlineStr">
        <is>
          <t>Не определено</t>
        </is>
      </c>
      <c r="W8619" s="35" t="inlineStr">
        <is>
          <t>Нет</t>
        </is>
      </c>
      <c r="X8619" s="35" t="inlineStr"/>
    </row>
    <row r="8620" ht="41.25" customHeight="1" s="24">
      <c r="A8620" s="13" t="inlineStr">
        <is>
          <t>FR872993</t>
        </is>
      </c>
      <c r="B8620" s="13" t="inlineStr">
        <is>
          <t>Акционерное общество "ПОРОНАЙСКОЕ ДОРОЖНОЕ РЕМОНТНО-СТРОИТЕЛЬНОЕ УПРАВЛЕНИЕ"</t>
        </is>
      </c>
      <c r="C8620" s="13" t="n">
        <v>6500020126</v>
      </c>
      <c r="D8620" s="13" t="inlineStr">
        <is>
          <t>6500020126</t>
        </is>
      </c>
      <c r="E8620" s="13" t="inlineStr">
        <is>
          <t>ЮЛ РФ</t>
        </is>
      </c>
      <c r="F8620" s="13" t="n"/>
      <c r="G8620" s="52" t="n">
        <v>95</v>
      </c>
      <c r="H8620" s="52" t="n">
        <v>2025</v>
      </c>
      <c r="I8620" s="52" t="inlineStr">
        <is>
          <t>52.21.22</t>
        </is>
      </c>
      <c r="J8620" s="52" t="inlineStr">
        <is>
          <t>52.21.22; 08.12.1; 23.99; 08.11; 08.12; 23.99.3; 42.12; 42.21; 43.11; 43.12; 43.12.3; 43.31; 43.33; 43.91; 43.99; 43.99.1; 43.99.2; 43.99.3; 43.99.4; 43.99.5; 43.99.6; 43.99.7; 45.20; 45.20.2; 46.71; 46.71.2; 46.73.1; 46.73.2; 46.73.6; 47.52.79; 47.78.9; 49.41.1; 49.41.3; 52.10.21; 52.21.2; 52.21.24; 68.20; 71.12.2; 77.11; 77.12; 77.32; 77.39.11</t>
        </is>
      </c>
      <c r="K8620" s="53" t="inlineStr">
        <is>
          <t>Да</t>
        </is>
      </c>
      <c r="L8620" s="53" t="inlineStr">
        <is>
          <t>Да</t>
        </is>
      </c>
      <c r="M8620" s="53" t="inlineStr">
        <is>
          <t>До 100</t>
        </is>
      </c>
      <c r="N8620" s="54" t="n">
        <v>33600</v>
      </c>
      <c r="O8620" s="55" t="inlineStr">
        <is>
          <t>51–100</t>
        </is>
      </c>
      <c r="P8620" s="16" t="inlineStr">
        <is>
          <t>ССЧР + ОКВЭД обогащены</t>
        </is>
      </c>
      <c r="Q8620" s="16" t="inlineStr">
        <is>
          <t>ФНС открытые данные ССЧР (ДатаСост 31.12.2025; набор 7707329152-sshr2019)</t>
        </is>
      </c>
      <c r="R8620" s="16" t="inlineStr">
        <is>
          <t>ЕГРЮЛ / egrul.nalog.ru (выписка)</t>
        </is>
      </c>
      <c r="S8620" t="n">
        <v>1</v>
      </c>
      <c r="T8620" s="35" t="inlineStr">
        <is>
          <t>1 — Горячий</t>
        </is>
      </c>
      <c r="U8620" s="35" t="inlineStr">
        <is>
          <t>ОКВЭД + 22+</t>
        </is>
      </c>
      <c r="V8620" s="35" t="inlineStr">
        <is>
          <t>Да</t>
        </is>
      </c>
      <c r="W8620" s="35" t="inlineStr">
        <is>
          <t>Да</t>
        </is>
      </c>
      <c r="X8620" s="35" t="inlineStr">
        <is>
          <t>Да</t>
        </is>
      </c>
    </row>
    <row r="8621" ht="27.75" customHeight="1" s="24">
      <c r="A8621" s="13" t="inlineStr">
        <is>
          <t>FR1059464</t>
        </is>
      </c>
      <c r="B8621" s="13" t="inlineStr">
        <is>
          <t>Общество с ограниченной ответственностью "СУПЕР"</t>
        </is>
      </c>
      <c r="C8621" s="13" t="n">
        <v>3816032796</v>
      </c>
      <c r="D8621" s="13" t="inlineStr">
        <is>
          <t>3816032796</t>
        </is>
      </c>
      <c r="E8621" s="13" t="inlineStr">
        <is>
          <t>ЮЛ РФ</t>
        </is>
      </c>
      <c r="F8621" s="13" t="n"/>
      <c r="G8621" s="52" t="n">
        <v>36</v>
      </c>
      <c r="H8621" s="52" t="n">
        <v>2025</v>
      </c>
      <c r="I8621" s="52" t="inlineStr">
        <is>
          <t>47.11</t>
        </is>
      </c>
      <c r="J8621" s="52" t="inlineStr">
        <is>
          <t>47.11; 10.71; 10.71.1; 10.71.2; 10.71.3; 10.72; 10.72.1; 10.72.2; 10.72.3; 10.72.4; 10.72.31; 10.72.32; 10.72.33; 10.72.34; 10.72.35; 10.72.39; 10.82; 10.82.1; 10.82.3; 10.82.4; 10.82.5; 10.82.6; 10.89; 10.89.1; 10.89.2; 10.89.3; 10.89.4; 10.89.5; 10.89.6; 10.89.7; 10.89.8; 10.89.9; 46.17.1; 47.11.1; 47.11.2; 47.11.3; 47.21; 47.21.1; 47.21.2; 47.22; 47.22.1; 47.22.2; 47.22.3; 47.23; 47.23.1; 47.23.2; 47.24; 47.24.1; 47.24.2; 47.24.3; 47.24.21; 47.24.22; 47.25; 47.25.1; 47.25.2; 47.25.11; 47.25.12; 47.29; 47.29.1; 47.29.2; 47.29.3; 47.29.11; 47.29.12; 47.29.21; 47.29.22; 47.29.31; 47.29.32; 47.29.33; 47.29.34; 47.29.35; 47.29.36; 47.29.39; 49.41.1; 68.20.2</t>
        </is>
      </c>
      <c r="K8621" s="53" t="inlineStr">
        <is>
          <t>Да</t>
        </is>
      </c>
      <c r="L8621" s="53" t="inlineStr">
        <is>
          <t>Да</t>
        </is>
      </c>
      <c r="M8621" s="53" t="inlineStr">
        <is>
          <t>До 50</t>
        </is>
      </c>
      <c r="N8621" s="54" t="n">
        <v>16800</v>
      </c>
      <c r="O8621" s="55" t="inlineStr">
        <is>
          <t>31–50</t>
        </is>
      </c>
      <c r="P8621" s="16" t="inlineStr">
        <is>
          <t>ССЧР + ОКВЭД обогащены</t>
        </is>
      </c>
      <c r="Q8621" s="16" t="inlineStr">
        <is>
          <t>ФНС открытые данные ССЧР (ДатаСост 31.12.2025; набор 7707329152-sshr2019)</t>
        </is>
      </c>
      <c r="R8621" s="16" t="inlineStr">
        <is>
          <t>ЕГРЮЛ / egrul.nalog.ru (выписка)</t>
        </is>
      </c>
      <c r="S8621" t="n">
        <v>1</v>
      </c>
      <c r="T8621" s="35" t="inlineStr">
        <is>
          <t>1 — Горячий</t>
        </is>
      </c>
      <c r="U8621" s="35" t="inlineStr">
        <is>
          <t>ОКВЭД + 22+</t>
        </is>
      </c>
      <c r="V8621" s="35" t="inlineStr">
        <is>
          <t>Да</t>
        </is>
      </c>
      <c r="W8621" s="35" t="inlineStr">
        <is>
          <t>Да</t>
        </is>
      </c>
      <c r="X8621" s="35" t="inlineStr">
        <is>
          <t>Да</t>
        </is>
      </c>
    </row>
    <row r="8622" ht="15" customHeight="1" s="24">
      <c r="A8622" s="13" t="inlineStr">
        <is>
          <t>FR725190</t>
        </is>
      </c>
      <c r="B8622" s="13" t="inlineStr">
        <is>
          <t>Акционерное общество "ПАНЕЛИ"</t>
        </is>
      </c>
      <c r="C8622" s="13" t="n">
        <v>6671213128</v>
      </c>
      <c r="D8622" s="13" t="inlineStr">
        <is>
          <t>6671213128</t>
        </is>
      </c>
      <c r="E8622" s="13" t="inlineStr">
        <is>
          <t>ЮЛ РФ</t>
        </is>
      </c>
      <c r="F8622" s="13" t="n"/>
      <c r="G8622" s="52" t="n">
        <v>44</v>
      </c>
      <c r="H8622" s="52" t="n">
        <v>2025</v>
      </c>
      <c r="I8622" s="52" t="inlineStr">
        <is>
          <t>16.21</t>
        </is>
      </c>
      <c r="J8622" s="52" t="inlineStr">
        <is>
          <t>16.21; 16.10; 16.22; 16.23; 16.24; 16.29; 46.13; 46.73</t>
        </is>
      </c>
      <c r="K8622" s="53" t="inlineStr">
        <is>
          <t>Да</t>
        </is>
      </c>
      <c r="L8622" s="53" t="inlineStr">
        <is>
          <t>Да</t>
        </is>
      </c>
      <c r="M8622" s="53" t="inlineStr">
        <is>
          <t>До 50</t>
        </is>
      </c>
      <c r="N8622" s="54" t="n">
        <v>16800</v>
      </c>
      <c r="O8622" s="55" t="inlineStr">
        <is>
          <t>31–50</t>
        </is>
      </c>
      <c r="P8622" s="16" t="inlineStr">
        <is>
          <t>ССЧР + ОКВЭД обогащены</t>
        </is>
      </c>
      <c r="Q8622" s="16" t="inlineStr">
        <is>
          <t>ФНС открытые данные ССЧР (ДатаСост 31.12.2025; набор 7707329152-sshr2019)</t>
        </is>
      </c>
      <c r="R8622" s="16" t="inlineStr">
        <is>
          <t>ЕГРЮЛ / egrul.nalog.ru (выписка)</t>
        </is>
      </c>
      <c r="S8622" t="n">
        <v>1</v>
      </c>
      <c r="T8622" s="35" t="inlineStr">
        <is>
          <t>1 — Горячий</t>
        </is>
      </c>
      <c r="U8622" s="35" t="inlineStr">
        <is>
          <t>ОКВЭД + 22+</t>
        </is>
      </c>
      <c r="V8622" s="35" t="inlineStr">
        <is>
          <t>Да</t>
        </is>
      </c>
      <c r="W8622" s="35" t="inlineStr">
        <is>
          <t>Да</t>
        </is>
      </c>
      <c r="X8622" s="35" t="inlineStr">
        <is>
          <t>Да</t>
        </is>
      </c>
    </row>
    <row r="8623" ht="15" customHeight="1" s="24">
      <c r="A8623" s="13" t="inlineStr">
        <is>
          <t>FR84465</t>
        </is>
      </c>
      <c r="B8623" s="13" t="inlineStr">
        <is>
          <t>ООО "ИНТЕХ"</t>
        </is>
      </c>
      <c r="C8623" s="13" t="n">
        <v>9715303296</v>
      </c>
      <c r="D8623" s="13" t="inlineStr">
        <is>
          <t>9715303296</t>
        </is>
      </c>
      <c r="E8623" s="13" t="inlineStr">
        <is>
          <t>ЮЛ РФ</t>
        </is>
      </c>
      <c r="F8623" s="13" t="n"/>
      <c r="G8623" s="52" t="n">
        <v>8</v>
      </c>
      <c r="H8623" s="52" t="n">
        <v>2025</v>
      </c>
      <c r="I8623" s="14" t="n"/>
      <c r="J8623" s="14" t="n"/>
      <c r="K8623" s="53" t="inlineStr">
        <is>
          <t>Нет</t>
        </is>
      </c>
      <c r="L8623" s="53" t="inlineStr">
        <is>
          <t>Не определено</t>
        </is>
      </c>
      <c r="M8623" s="53" t="inlineStr">
        <is>
          <t>До 10</t>
        </is>
      </c>
      <c r="N8623" s="54" t="n">
        <v>3360</v>
      </c>
      <c r="O8623" s="55" t="inlineStr">
        <is>
          <t>1–15</t>
        </is>
      </c>
      <c r="P8623" s="16" t="inlineStr">
        <is>
          <t>ССЧР обогащена; ОКВЭД не найден/не загружен</t>
        </is>
      </c>
      <c r="Q8623" s="16" t="inlineStr">
        <is>
          <t>ФНС открытые данные ССЧР (ДатаСост 31.12.2025; набор 7707329152-sshr2019)</t>
        </is>
      </c>
      <c r="R8623" s="16">
        <f>HYPERLINK("https://checko.ru/search?query=3801001629","Чекко: проверить")</f>
        <v/>
      </c>
      <c r="S8623" t="n">
        <v>1</v>
      </c>
      <c r="T8623" s="35" t="inlineStr">
        <is>
          <t>4 — Не обогащён</t>
        </is>
      </c>
      <c r="U8623" s="35" t="inlineStr">
        <is>
          <t>Нет ОКВЭД/ССЧР</t>
        </is>
      </c>
      <c r="V8623" s="35" t="inlineStr">
        <is>
          <t>Не определено</t>
        </is>
      </c>
      <c r="W8623" s="35" t="inlineStr">
        <is>
          <t>Нет</t>
        </is>
      </c>
      <c r="X8623" s="35" t="inlineStr"/>
    </row>
    <row r="8624" ht="15" customHeight="1" s="24">
      <c r="A8624" s="13" t="inlineStr">
        <is>
          <t>FR188570</t>
        </is>
      </c>
      <c r="B8624" s="13" t="inlineStr">
        <is>
          <t>ООО "РУБИКОН"</t>
        </is>
      </c>
      <c r="C8624" s="13" t="n">
        <v>7901529917</v>
      </c>
      <c r="D8624" s="13" t="inlineStr">
        <is>
          <t>7901529917</t>
        </is>
      </c>
      <c r="E8624" s="13" t="inlineStr">
        <is>
          <t>ЮЛ РФ</t>
        </is>
      </c>
      <c r="F8624" s="13" t="n"/>
      <c r="G8624" s="52" t="n">
        <v>8</v>
      </c>
      <c r="H8624" s="52" t="n">
        <v>2025</v>
      </c>
      <c r="I8624" s="14" t="n"/>
      <c r="J8624" s="14" t="n"/>
      <c r="K8624" s="53" t="inlineStr">
        <is>
          <t>Нет</t>
        </is>
      </c>
      <c r="L8624" s="53" t="inlineStr">
        <is>
          <t>Не определено</t>
        </is>
      </c>
      <c r="M8624" s="53" t="inlineStr">
        <is>
          <t>До 10</t>
        </is>
      </c>
      <c r="N8624" s="54" t="n">
        <v>3360</v>
      </c>
      <c r="O8624" s="55" t="inlineStr">
        <is>
          <t>1–15</t>
        </is>
      </c>
      <c r="P8624" s="16" t="inlineStr">
        <is>
          <t>ССЧР обогащена; ОКВЭД не найден/не загружен</t>
        </is>
      </c>
      <c r="Q8624" s="16" t="inlineStr">
        <is>
          <t>ФНС открытые данные ССЧР (ДатаСост 31.12.2025; набор 7707329152-sshr2019)</t>
        </is>
      </c>
      <c r="R8624" s="16">
        <f>HYPERLINK("https://checko.ru/search?query=3801001629","Чекко: проверить")</f>
        <v/>
      </c>
      <c r="S8624" t="n">
        <v>1</v>
      </c>
      <c r="T8624" s="35" t="inlineStr">
        <is>
          <t>4 — Не обогащён</t>
        </is>
      </c>
      <c r="U8624" s="35" t="inlineStr">
        <is>
          <t>Нет ОКВЭД/ССЧР</t>
        </is>
      </c>
      <c r="V8624" s="35" t="inlineStr">
        <is>
          <t>Не определено</t>
        </is>
      </c>
      <c r="W8624" s="35" t="inlineStr">
        <is>
          <t>Нет</t>
        </is>
      </c>
      <c r="X8624" s="35" t="inlineStr"/>
    </row>
    <row r="8625" ht="41.25" customHeight="1" s="24">
      <c r="A8625" s="13" t="inlineStr">
        <is>
          <t>FR25191</t>
        </is>
      </c>
      <c r="B8625" s="13" t="inlineStr">
        <is>
          <t>ОБЩЕСТВО С ОГРАНИЧЕННОЙ ОТВЕТСТВЕННОСТЬЮ "МЕГАПОЛИС-ТЕЛЕКОМ РЕГИОН"</t>
        </is>
      </c>
      <c r="C8625" s="13" t="n">
        <v>3808059931</v>
      </c>
      <c r="D8625" s="13" t="inlineStr">
        <is>
          <t>3808059931</t>
        </is>
      </c>
      <c r="E8625" s="13" t="inlineStr">
        <is>
          <t>ЮЛ РФ</t>
        </is>
      </c>
      <c r="F8625" s="13" t="n"/>
      <c r="G8625" s="52" t="n">
        <v>20</v>
      </c>
      <c r="H8625" s="52" t="n">
        <v>2025</v>
      </c>
      <c r="I8625" s="14" t="n"/>
      <c r="J8625" s="14" t="n"/>
      <c r="K8625" s="53" t="inlineStr">
        <is>
          <t>Нет</t>
        </is>
      </c>
      <c r="L8625" s="53" t="inlineStr">
        <is>
          <t>Не определено</t>
        </is>
      </c>
      <c r="M8625" s="53" t="inlineStr">
        <is>
          <t>До 25</t>
        </is>
      </c>
      <c r="N8625" s="54" t="n">
        <v>8400</v>
      </c>
      <c r="O8625" s="55" t="inlineStr">
        <is>
          <t>16–30</t>
        </is>
      </c>
      <c r="P8625" s="16" t="inlineStr">
        <is>
          <t>ССЧР обогащена; ОКВЭД не найден/не загружен</t>
        </is>
      </c>
      <c r="Q8625" s="16" t="inlineStr">
        <is>
          <t>ФНС открытые данные ССЧР (ДатаСост 31.12.2025; набор 7707329152-sshr2019)</t>
        </is>
      </c>
      <c r="R8625" s="16">
        <f>HYPERLINK("https://checko.ru/search?query=3801001629","Чекко: проверить")</f>
        <v/>
      </c>
      <c r="S8625" t="n">
        <v>1</v>
      </c>
      <c r="T8625" s="35" t="inlineStr">
        <is>
          <t>4 — Не обогащён</t>
        </is>
      </c>
      <c r="U8625" s="35" t="inlineStr">
        <is>
          <t>Нет ОКВЭД/ССЧР</t>
        </is>
      </c>
      <c r="V8625" s="35" t="inlineStr">
        <is>
          <t>Не определено</t>
        </is>
      </c>
      <c r="W8625" s="35" t="inlineStr">
        <is>
          <t>Нет</t>
        </is>
      </c>
      <c r="X8625" s="35" t="inlineStr"/>
    </row>
    <row r="8626" ht="15" customHeight="1" s="24">
      <c r="A8626" s="13" t="inlineStr">
        <is>
          <t>FR59475</t>
        </is>
      </c>
      <c r="B8626" s="13" t="inlineStr">
        <is>
          <t>ООО "Юник"</t>
        </is>
      </c>
      <c r="C8626" s="13" t="n">
        <v>3812035228</v>
      </c>
      <c r="D8626" s="13" t="inlineStr">
        <is>
          <t>3812035228</t>
        </is>
      </c>
      <c r="E8626" s="13" t="inlineStr">
        <is>
          <t>ЮЛ РФ</t>
        </is>
      </c>
      <c r="F8626" s="13" t="n"/>
      <c r="G8626" s="52" t="n">
        <v>18</v>
      </c>
      <c r="H8626" s="52" t="n">
        <v>2025</v>
      </c>
      <c r="I8626" s="14" t="n"/>
      <c r="J8626" s="14" t="n"/>
      <c r="K8626" s="53" t="inlineStr">
        <is>
          <t>Нет</t>
        </is>
      </c>
      <c r="L8626" s="53" t="inlineStr">
        <is>
          <t>Не определено</t>
        </is>
      </c>
      <c r="M8626" s="53" t="inlineStr">
        <is>
          <t>До 25</t>
        </is>
      </c>
      <c r="N8626" s="54" t="n">
        <v>8400</v>
      </c>
      <c r="O8626" s="55" t="inlineStr">
        <is>
          <t>16–30</t>
        </is>
      </c>
      <c r="P8626" s="16" t="inlineStr">
        <is>
          <t>ССЧР обогащена; ОКВЭД не найден/не загружен</t>
        </is>
      </c>
      <c r="Q8626" s="16" t="inlineStr">
        <is>
          <t>ФНС открытые данные ССЧР (ДатаСост 31.12.2025; набор 7707329152-sshr2019)</t>
        </is>
      </c>
      <c r="R8626" s="16">
        <f>HYPERLINK("https://checko.ru/search?query=3801001629","Чекко: проверить")</f>
        <v/>
      </c>
      <c r="S8626" t="n">
        <v>1</v>
      </c>
      <c r="T8626" s="35" t="inlineStr">
        <is>
          <t>4 — Не обогащён</t>
        </is>
      </c>
      <c r="U8626" s="35" t="inlineStr">
        <is>
          <t>Нет ОКВЭД/ССЧР</t>
        </is>
      </c>
      <c r="V8626" s="35" t="inlineStr">
        <is>
          <t>Не определено</t>
        </is>
      </c>
      <c r="W8626" s="35" t="inlineStr">
        <is>
          <t>Нет</t>
        </is>
      </c>
      <c r="X8626" s="35" t="inlineStr"/>
    </row>
    <row r="8627" ht="15" customHeight="1" s="24">
      <c r="A8627" s="13" t="inlineStr">
        <is>
          <t>FR621533</t>
        </is>
      </c>
      <c r="B8627" s="13" t="inlineStr">
        <is>
          <t>ООО "Карьерные технологии"</t>
        </is>
      </c>
      <c r="C8627" s="13" t="n">
        <v>9718214855</v>
      </c>
      <c r="D8627" s="13" t="inlineStr">
        <is>
          <t>9718214855</t>
        </is>
      </c>
      <c r="E8627" s="13" t="inlineStr">
        <is>
          <t>ЮЛ РФ</t>
        </is>
      </c>
      <c r="F8627" s="13" t="n"/>
      <c r="G8627" s="52" t="n">
        <v>12</v>
      </c>
      <c r="H8627" s="52" t="n">
        <v>2025</v>
      </c>
      <c r="I8627" s="14" t="n"/>
      <c r="J8627" s="14" t="n"/>
      <c r="K8627" s="53" t="inlineStr">
        <is>
          <t>Нет</t>
        </is>
      </c>
      <c r="L8627" s="53" t="inlineStr">
        <is>
          <t>Не определено</t>
        </is>
      </c>
      <c r="M8627" s="53" t="inlineStr">
        <is>
          <t>До 25</t>
        </is>
      </c>
      <c r="N8627" s="54" t="n">
        <v>8400</v>
      </c>
      <c r="O8627" s="55" t="inlineStr">
        <is>
          <t>1–15</t>
        </is>
      </c>
      <c r="P8627" s="16" t="inlineStr">
        <is>
          <t>ССЧР обогащена; ОКВЭД не найден/не загружен</t>
        </is>
      </c>
      <c r="Q8627" s="16" t="inlineStr">
        <is>
          <t>ФНС открытые данные ССЧР (ДатаСост 31.12.2025; набор 7707329152-sshr2019)</t>
        </is>
      </c>
      <c r="R8627" s="16">
        <f>HYPERLINK("https://checko.ru/search?query=3801001629","Чекко: проверить")</f>
        <v/>
      </c>
      <c r="S8627" t="n">
        <v>1</v>
      </c>
      <c r="T8627" s="35" t="inlineStr">
        <is>
          <t>4 — Не обогащён</t>
        </is>
      </c>
      <c r="U8627" s="35" t="inlineStr">
        <is>
          <t>Нет ОКВЭД/ССЧР</t>
        </is>
      </c>
      <c r="V8627" s="35" t="inlineStr">
        <is>
          <t>Не определено</t>
        </is>
      </c>
      <c r="W8627" s="35" t="inlineStr">
        <is>
          <t>Нет</t>
        </is>
      </c>
      <c r="X8627" s="35" t="inlineStr"/>
    </row>
    <row r="8628" ht="15" customHeight="1" s="24">
      <c r="A8628" s="13" t="inlineStr">
        <is>
          <t>FR222105</t>
        </is>
      </c>
      <c r="B8628" s="13" t="inlineStr">
        <is>
          <t>ИСТЛАЙТ ООО</t>
        </is>
      </c>
      <c r="C8628" s="13" t="n">
        <v>2721232107</v>
      </c>
      <c r="D8628" s="13" t="inlineStr">
        <is>
          <t>2721232107</t>
        </is>
      </c>
      <c r="E8628" s="13" t="inlineStr">
        <is>
          <t>ЮЛ РФ</t>
        </is>
      </c>
      <c r="F8628" s="13" t="n"/>
      <c r="G8628" s="52" t="n">
        <v>3</v>
      </c>
      <c r="H8628" s="52" t="n">
        <v>2025</v>
      </c>
      <c r="I8628" s="14" t="n"/>
      <c r="J8628" s="14" t="n"/>
      <c r="K8628" s="53" t="inlineStr">
        <is>
          <t>Нет</t>
        </is>
      </c>
      <c r="L8628" s="53" t="inlineStr">
        <is>
          <t>Не определено</t>
        </is>
      </c>
      <c r="M8628" s="53" t="inlineStr">
        <is>
          <t>До 10</t>
        </is>
      </c>
      <c r="N8628" s="54" t="n">
        <v>3360</v>
      </c>
      <c r="O8628" s="55" t="inlineStr">
        <is>
          <t>1–15</t>
        </is>
      </c>
      <c r="P8628" s="16" t="inlineStr">
        <is>
          <t>ССЧР обогащена; ОКВЭД не найден/не загружен</t>
        </is>
      </c>
      <c r="Q8628" s="16" t="inlineStr">
        <is>
          <t>ФНС открытые данные ССЧР (ДатаСост 31.12.2025; набор 7707329152-sshr2019)</t>
        </is>
      </c>
      <c r="R8628" s="16">
        <f>HYPERLINK("https://checko.ru/search?query=3801001629","Чекко: проверить")</f>
        <v/>
      </c>
      <c r="S8628" t="n">
        <v>1</v>
      </c>
      <c r="T8628" s="35" t="inlineStr">
        <is>
          <t>4 — Не обогащён</t>
        </is>
      </c>
      <c r="U8628" s="35" t="inlineStr">
        <is>
          <t>Нет ОКВЭД/ССЧР</t>
        </is>
      </c>
      <c r="V8628" s="35" t="inlineStr">
        <is>
          <t>Не определено</t>
        </is>
      </c>
      <c r="W8628" s="35" t="inlineStr">
        <is>
          <t>Нет</t>
        </is>
      </c>
      <c r="X8628" s="35" t="inlineStr"/>
    </row>
    <row r="8629" ht="27.75" customHeight="1" s="24">
      <c r="A8629" s="13" t="inlineStr">
        <is>
          <t>FR195771</t>
        </is>
      </c>
      <c r="B8629" s="13" t="inlineStr">
        <is>
          <t>ОБЩЕСТВО С ОГРАНИЧЕННОЙ ОТВЕТСТВЕННОСТЬЮ "КОМПАНИЯ БЕЛЫЙ БАБР"</t>
        </is>
      </c>
      <c r="C8629" s="13" t="n">
        <v>3810060109</v>
      </c>
      <c r="D8629" s="13" t="inlineStr">
        <is>
          <t>3810060109</t>
        </is>
      </c>
      <c r="E8629" s="13" t="inlineStr">
        <is>
          <t>ЮЛ РФ</t>
        </is>
      </c>
      <c r="F8629" s="13" t="n"/>
      <c r="G8629" s="52" t="n">
        <v>49</v>
      </c>
      <c r="H8629" s="52" t="n">
        <v>2025</v>
      </c>
      <c r="I8629" s="52" t="inlineStr">
        <is>
          <t>56.29.2</t>
        </is>
      </c>
      <c r="J8629" s="52" t="inlineStr">
        <is>
          <t>56.29.2; 10.71; 10.72; 10.85; 10.89; 46.44.2; 46.45.2; 46.49; 46.49.49; 46.90; 47.11; 47.24; 47.25.2; 47.75; 47.78; 47.89; 47.99; 47.99.2; 49.42; 52.29; 55.10; 55.90; 56.21; 56.29; 56.30; 68.20; 81.10; 81.21; 81.22; 81.29; 81.29.9; 81.30; 96.01</t>
        </is>
      </c>
      <c r="K8629" s="53" t="inlineStr">
        <is>
          <t>Да</t>
        </is>
      </c>
      <c r="L8629" s="53" t="inlineStr">
        <is>
          <t>Да</t>
        </is>
      </c>
      <c r="M8629" s="53" t="inlineStr">
        <is>
          <t>До 50</t>
        </is>
      </c>
      <c r="N8629" s="54" t="n">
        <v>16800</v>
      </c>
      <c r="O8629" s="55" t="inlineStr">
        <is>
          <t>31–50</t>
        </is>
      </c>
      <c r="P8629" s="16" t="inlineStr">
        <is>
          <t>ССЧР + ОКВЭД обогащены</t>
        </is>
      </c>
      <c r="Q8629" s="16" t="inlineStr">
        <is>
          <t>ФНС открытые данные ССЧР (ДатаСост 31.12.2025; набор 7707329152-sshr2019)</t>
        </is>
      </c>
      <c r="R8629" s="16" t="inlineStr">
        <is>
          <t>ЕГРЮЛ / egrul.nalog.ru (выписка)</t>
        </is>
      </c>
      <c r="S8629" t="n">
        <v>1</v>
      </c>
      <c r="T8629" s="35" t="inlineStr">
        <is>
          <t>1 — Горячий</t>
        </is>
      </c>
      <c r="U8629" s="35" t="inlineStr">
        <is>
          <t>ОКВЭД + 22+</t>
        </is>
      </c>
      <c r="V8629" s="35" t="inlineStr">
        <is>
          <t>Да</t>
        </is>
      </c>
      <c r="W8629" s="35" t="inlineStr">
        <is>
          <t>Да</t>
        </is>
      </c>
      <c r="X8629" s="35" t="inlineStr">
        <is>
          <t>Да</t>
        </is>
      </c>
    </row>
    <row r="8630" ht="15" customHeight="1" s="24">
      <c r="A8630" s="13" t="n">
        <v>10708635</v>
      </c>
      <c r="B8630" s="13" t="inlineStr">
        <is>
          <t>Форус НПФ ООО</t>
        </is>
      </c>
      <c r="C8630" s="13" t="n">
        <v>3812023430</v>
      </c>
      <c r="D8630" s="13" t="inlineStr">
        <is>
          <t>3812023430</t>
        </is>
      </c>
      <c r="E8630" s="13" t="inlineStr">
        <is>
          <t>ЮЛ РФ</t>
        </is>
      </c>
      <c r="F8630" s="13" t="n"/>
      <c r="G8630" s="52" t="n">
        <v>272</v>
      </c>
      <c r="H8630" s="52" t="n">
        <v>2025</v>
      </c>
      <c r="I8630" s="52" t="inlineStr">
        <is>
          <t>62.01</t>
        </is>
      </c>
      <c r="J8630" s="52" t="inlineStr">
        <is>
          <t>62.01; 46.51; 62.02.9; 18.11; 46.43; 46.43.3; 46.49.32; 46.52.3; 46.66; 46.90; 47.41; 47.62.1; 47.63.1; 47.63.2; 58.13; 62.03; 62.09; 63.11; 63.11.1; 68.20; 69.20.2; 70.22; 72.19; 73.11; 73.20.1; 82.99</t>
        </is>
      </c>
      <c r="K8630" s="53" t="inlineStr">
        <is>
          <t>Да</t>
        </is>
      </c>
      <c r="L8630" s="53" t="inlineStr">
        <is>
          <t>Да</t>
        </is>
      </c>
      <c r="M8630" s="53" t="inlineStr">
        <is>
          <t>До 500</t>
        </is>
      </c>
      <c r="N8630" s="54" t="n">
        <v>144000</v>
      </c>
      <c r="O8630" s="55" t="inlineStr">
        <is>
          <t>201–500</t>
        </is>
      </c>
      <c r="P8630" s="16" t="inlineStr">
        <is>
          <t>ССЧР + ОКВЭД обогащены</t>
        </is>
      </c>
      <c r="Q8630" s="16" t="inlineStr">
        <is>
          <t>ФНС открытые данные ССЧР (ДатаСост 31.12.2025; набор 7707329152-sshr2019)</t>
        </is>
      </c>
      <c r="R8630" s="16" t="inlineStr">
        <is>
          <t>ЕГРЮЛ / egrul.nalog.ru (выписка)</t>
        </is>
      </c>
      <c r="S8630" t="n">
        <v>1</v>
      </c>
      <c r="T8630" s="35" t="inlineStr">
        <is>
          <t>1 — Горячий</t>
        </is>
      </c>
      <c r="U8630" s="35" t="inlineStr">
        <is>
          <t>ОКВЭД + 22+</t>
        </is>
      </c>
      <c r="V8630" s="35" t="inlineStr">
        <is>
          <t>Да</t>
        </is>
      </c>
      <c r="W8630" s="35" t="inlineStr">
        <is>
          <t>Да</t>
        </is>
      </c>
      <c r="X8630" s="35" t="inlineStr">
        <is>
          <t>Да</t>
        </is>
      </c>
    </row>
    <row r="8631" ht="15" customHeight="1" s="24">
      <c r="A8631" s="13" t="n">
        <v>9130492</v>
      </c>
      <c r="B8631" s="13" t="inlineStr">
        <is>
          <t>УПАК Байкал ООО</t>
        </is>
      </c>
      <c r="C8631" s="13" t="n">
        <v>8506005030</v>
      </c>
      <c r="D8631" s="13" t="inlineStr">
        <is>
          <t>8506005030</t>
        </is>
      </c>
      <c r="E8631" s="13" t="inlineStr">
        <is>
          <t>ЮЛ РФ</t>
        </is>
      </c>
      <c r="F8631" s="13" t="n"/>
      <c r="G8631" s="52" t="n">
        <v>12</v>
      </c>
      <c r="H8631" s="52" t="n">
        <v>2025</v>
      </c>
      <c r="I8631" s="14" t="n"/>
      <c r="J8631" s="14" t="n"/>
      <c r="K8631" s="53" t="inlineStr">
        <is>
          <t>Нет</t>
        </is>
      </c>
      <c r="L8631" s="53" t="inlineStr">
        <is>
          <t>Не определено</t>
        </is>
      </c>
      <c r="M8631" s="53" t="inlineStr">
        <is>
          <t>До 25</t>
        </is>
      </c>
      <c r="N8631" s="54" t="n">
        <v>8400</v>
      </c>
      <c r="O8631" s="55" t="inlineStr">
        <is>
          <t>1–15</t>
        </is>
      </c>
      <c r="P8631" s="16" t="inlineStr">
        <is>
          <t>ССЧР обогащена; ОКВЭД не найден/не загружен</t>
        </is>
      </c>
      <c r="Q8631" s="16" t="inlineStr">
        <is>
          <t>ФНС открытые данные ССЧР (ДатаСост 31.12.2025; набор 7707329152-sshr2019)</t>
        </is>
      </c>
      <c r="R8631" s="16">
        <f>HYPERLINK("https://checko.ru/search?query=3801001629","Чекко: проверить")</f>
        <v/>
      </c>
      <c r="S8631" t="n">
        <v>1</v>
      </c>
      <c r="T8631" s="35" t="inlineStr">
        <is>
          <t>4 — Не обогащён</t>
        </is>
      </c>
      <c r="U8631" s="35" t="inlineStr">
        <is>
          <t>Нет ОКВЭД/ССЧР</t>
        </is>
      </c>
      <c r="V8631" s="35" t="inlineStr">
        <is>
          <t>Не определено</t>
        </is>
      </c>
      <c r="W8631" s="35" t="inlineStr">
        <is>
          <t>Нет</t>
        </is>
      </c>
      <c r="X8631" s="35" t="inlineStr"/>
    </row>
    <row r="8632" ht="15" customHeight="1" s="24">
      <c r="A8632" s="13" t="n">
        <v>802173547</v>
      </c>
      <c r="B8632" s="13" t="inlineStr">
        <is>
          <t>УПАК Байкал ООО</t>
        </is>
      </c>
      <c r="C8632" s="13" t="n">
        <v>8506005030</v>
      </c>
      <c r="D8632" s="13" t="inlineStr">
        <is>
          <t>8506005030</t>
        </is>
      </c>
      <c r="E8632" s="13" t="inlineStr">
        <is>
          <t>ЮЛ РФ</t>
        </is>
      </c>
      <c r="F8632" s="13" t="n"/>
      <c r="G8632" s="52" t="n">
        <v>12</v>
      </c>
      <c r="H8632" s="52" t="n">
        <v>2025</v>
      </c>
      <c r="I8632" s="14" t="n"/>
      <c r="J8632" s="14" t="n"/>
      <c r="K8632" s="53" t="inlineStr">
        <is>
          <t>Нет</t>
        </is>
      </c>
      <c r="L8632" s="53" t="inlineStr">
        <is>
          <t>Не определено</t>
        </is>
      </c>
      <c r="M8632" s="53" t="inlineStr">
        <is>
          <t>До 25</t>
        </is>
      </c>
      <c r="N8632" s="54" t="n">
        <v>8400</v>
      </c>
      <c r="O8632" s="55" t="inlineStr">
        <is>
          <t>1–15</t>
        </is>
      </c>
      <c r="P8632" s="16" t="inlineStr">
        <is>
          <t>ССЧР обогащена; ОКВЭД не найден/не загружен</t>
        </is>
      </c>
      <c r="Q8632" s="16" t="inlineStr">
        <is>
          <t>ФНС открытые данные ССЧР (ДатаСост 31.12.2025; набор 7707329152-sshr2019)</t>
        </is>
      </c>
      <c r="R8632" s="16">
        <f>HYPERLINK("https://checko.ru/search?query=3801001629","Чекко: проверить")</f>
        <v/>
      </c>
      <c r="S8632" t="n">
        <v>0</v>
      </c>
      <c r="T8632" s="35" t="inlineStr">
        <is>
          <t>4 — Не обогащён</t>
        </is>
      </c>
      <c r="U8632" s="35" t="inlineStr">
        <is>
          <t>Нет ОКВЭД/ССЧР</t>
        </is>
      </c>
      <c r="V8632" s="35" t="inlineStr">
        <is>
          <t>Не определено</t>
        </is>
      </c>
      <c r="W8632" s="35" t="inlineStr">
        <is>
          <t>Нет</t>
        </is>
      </c>
      <c r="X8632" s="35" t="inlineStr"/>
    </row>
    <row r="8633" ht="15" customHeight="1" s="24">
      <c r="A8633" s="13" t="n">
        <v>802400970</v>
      </c>
      <c r="B8633" s="13" t="inlineStr">
        <is>
          <t>КМП "Автодор" УКМО (ГП)"</t>
        </is>
      </c>
      <c r="C8633" s="13" t="n">
        <v>3818043560</v>
      </c>
      <c r="D8633" s="13" t="inlineStr">
        <is>
          <t>3818043560</t>
        </is>
      </c>
      <c r="E8633" s="13" t="inlineStr">
        <is>
          <t>ЮЛ РФ</t>
        </is>
      </c>
      <c r="F8633" s="13" t="n"/>
      <c r="G8633" s="14" t="n"/>
      <c r="H8633" s="14" t="n"/>
      <c r="I8633" s="14" t="n"/>
      <c r="J8633" s="14" t="n"/>
      <c r="K8633" s="53" t="inlineStr"/>
      <c r="L8633" s="53" t="inlineStr">
        <is>
          <t>Не определено</t>
        </is>
      </c>
      <c r="M8633" s="53" t="inlineStr"/>
      <c r="N8633" s="54" t="inlineStr"/>
      <c r="O8633" s="55" t="inlineStr"/>
      <c r="P8633" s="16" t="inlineStr">
        <is>
          <t>Требует обогащения</t>
        </is>
      </c>
      <c r="Q8633" s="16">
        <f>HYPERLINK("https://pb.nalog.ru/search.html?query=3818043560","ФНС: проверить")</f>
        <v/>
      </c>
      <c r="R8633" s="16">
        <f>HYPERLINK("https://checko.ru/search?query=3801001629","Чекко: проверить")</f>
        <v/>
      </c>
      <c r="S8633" t="n">
        <v>0</v>
      </c>
      <c r="T8633" s="35" t="inlineStr">
        <is>
          <t>4 — Не обогащён</t>
        </is>
      </c>
      <c r="U8633" s="35" t="inlineStr">
        <is>
          <t>Нет ОКВЭД/ССЧР</t>
        </is>
      </c>
      <c r="V8633" s="35" t="inlineStr">
        <is>
          <t>Не определено</t>
        </is>
      </c>
      <c r="W8633" s="35" t="inlineStr"/>
      <c r="X8633" s="35" t="inlineStr"/>
    </row>
    <row r="8634" ht="27.75" customHeight="1" s="24">
      <c r="A8634" s="13" t="n">
        <v>804665259</v>
      </c>
      <c r="B8634" s="13" t="inlineStr">
        <is>
          <t>ОБЩЕСТВО С ОГРАНИЧЕННОЙ ОТВЕТСТВЕННОСТЬЮ "КАРДАН-СЕРВИС"</t>
        </is>
      </c>
      <c r="C8634" s="13" t="n">
        <v>3849014792</v>
      </c>
      <c r="D8634" s="13" t="inlineStr">
        <is>
          <t>3849014792</t>
        </is>
      </c>
      <c r="E8634" s="13" t="inlineStr">
        <is>
          <t>ЮЛ РФ</t>
        </is>
      </c>
      <c r="F8634" s="13" t="n"/>
      <c r="G8634" s="52" t="n">
        <v>15</v>
      </c>
      <c r="H8634" s="52" t="n">
        <v>2025</v>
      </c>
      <c r="I8634" s="14" t="n"/>
      <c r="J8634" s="14" t="n"/>
      <c r="K8634" s="53" t="inlineStr">
        <is>
          <t>Нет</t>
        </is>
      </c>
      <c r="L8634" s="53" t="inlineStr">
        <is>
          <t>Не определено</t>
        </is>
      </c>
      <c r="M8634" s="53" t="inlineStr">
        <is>
          <t>До 25</t>
        </is>
      </c>
      <c r="N8634" s="54" t="n">
        <v>8400</v>
      </c>
      <c r="O8634" s="55" t="inlineStr">
        <is>
          <t>1–15</t>
        </is>
      </c>
      <c r="P8634" s="16" t="inlineStr">
        <is>
          <t>ССЧР обогащена; ОКВЭД не найден/не загружен</t>
        </is>
      </c>
      <c r="Q8634" s="16" t="inlineStr">
        <is>
          <t>ФНС открытые данные ССЧР (ДатаСост 31.12.2025; набор 7707329152-sshr2019)</t>
        </is>
      </c>
      <c r="R8634" s="16">
        <f>HYPERLINK("https://checko.ru/search?query=3801001629","Чекко: проверить")</f>
        <v/>
      </c>
      <c r="S8634" t="n">
        <v>0</v>
      </c>
      <c r="T8634" s="35" t="inlineStr">
        <is>
          <t>4 — Не обогащён</t>
        </is>
      </c>
      <c r="U8634" s="35" t="inlineStr">
        <is>
          <t>Нет ОКВЭД/ССЧР</t>
        </is>
      </c>
      <c r="V8634" s="35" t="inlineStr">
        <is>
          <t>Не определено</t>
        </is>
      </c>
      <c r="W8634" s="35" t="inlineStr">
        <is>
          <t>Нет</t>
        </is>
      </c>
      <c r="X8634" s="35" t="inlineStr"/>
    </row>
    <row r="8635" ht="15" customHeight="1" s="24">
      <c r="A8635" s="13" t="n">
        <v>12204387</v>
      </c>
      <c r="B8635" s="13" t="inlineStr">
        <is>
          <t>ИП Аксютенков Василий Александрович</t>
        </is>
      </c>
      <c r="C8635" s="13" t="n">
        <v>381504416182</v>
      </c>
      <c r="D8635" s="13" t="inlineStr">
        <is>
          <t>381504416182</t>
        </is>
      </c>
      <c r="E8635" s="13" t="inlineStr">
        <is>
          <t>ИП РФ / физлицо</t>
        </is>
      </c>
      <c r="F8635" s="13" t="n"/>
      <c r="G8635" s="14" t="n"/>
      <c r="H8635" s="14" t="n"/>
      <c r="I8635" s="14" t="n"/>
      <c r="J8635" s="14" t="n"/>
      <c r="K8635" s="53" t="inlineStr"/>
      <c r="L8635" s="53" t="inlineStr">
        <is>
          <t>Не определено</t>
        </is>
      </c>
      <c r="M8635" s="53" t="inlineStr"/>
      <c r="N8635" s="54" t="inlineStr"/>
      <c r="O8635" s="55" t="inlineStr"/>
      <c r="P8635" s="16" t="inlineStr">
        <is>
          <t>Требует обогащения</t>
        </is>
      </c>
      <c r="Q8635" s="16">
        <f>HYPERLINK("https://pb.nalog.ru/search.html?query=381504416182","ФНС: проверить")</f>
        <v/>
      </c>
      <c r="R8635" s="16">
        <f>HYPERLINK("https://checko.ru/search?query=3801001629","Чекко: проверить")</f>
        <v/>
      </c>
      <c r="S8635" t="n">
        <v>1</v>
      </c>
      <c r="T8635" s="35" t="inlineStr">
        <is>
          <t>4 — Не обогащён</t>
        </is>
      </c>
      <c r="U8635" s="35" t="inlineStr">
        <is>
          <t>Нет ОКВЭД/ССЧР</t>
        </is>
      </c>
      <c r="V8635" s="35" t="inlineStr">
        <is>
          <t>Не определено</t>
        </is>
      </c>
      <c r="W8635" s="35" t="inlineStr"/>
      <c r="X8635" s="35" t="inlineStr"/>
    </row>
    <row r="8636" ht="27.75" customHeight="1" s="24">
      <c r="A8636" s="13" t="n">
        <v>804693759</v>
      </c>
      <c r="B8636" s="13" t="inlineStr">
        <is>
          <t>Общество с ограниченной ответственностью "НОВЫЙБАЙКАЛ"</t>
        </is>
      </c>
      <c r="C8636" s="13" t="n">
        <v>3812159801</v>
      </c>
      <c r="D8636" s="13" t="inlineStr">
        <is>
          <t>3812159801</t>
        </is>
      </c>
      <c r="E8636" s="13" t="inlineStr">
        <is>
          <t>ЮЛ РФ</t>
        </is>
      </c>
      <c r="F8636" s="13" t="n"/>
      <c r="G8636" s="52" t="n">
        <v>8</v>
      </c>
      <c r="H8636" s="52" t="n">
        <v>2025</v>
      </c>
      <c r="I8636" s="14" t="n"/>
      <c r="J8636" s="14" t="n"/>
      <c r="K8636" s="53" t="inlineStr">
        <is>
          <t>Нет</t>
        </is>
      </c>
      <c r="L8636" s="53" t="inlineStr">
        <is>
          <t>Не определено</t>
        </is>
      </c>
      <c r="M8636" s="53" t="inlineStr">
        <is>
          <t>До 10</t>
        </is>
      </c>
      <c r="N8636" s="54" t="n">
        <v>3360</v>
      </c>
      <c r="O8636" s="55" t="inlineStr">
        <is>
          <t>1–15</t>
        </is>
      </c>
      <c r="P8636" s="16" t="inlineStr">
        <is>
          <t>ССЧР обогащена; ОКВЭД не найден/не загружен</t>
        </is>
      </c>
      <c r="Q8636" s="16" t="inlineStr">
        <is>
          <t>ФНС открытые данные ССЧР (ДатаСост 31.12.2025; набор 7707329152-sshr2019)</t>
        </is>
      </c>
      <c r="R8636" s="16">
        <f>HYPERLINK("https://checko.ru/search?query=3801001629","Чекко: проверить")</f>
        <v/>
      </c>
      <c r="S8636" t="n">
        <v>0</v>
      </c>
      <c r="T8636" s="35" t="inlineStr">
        <is>
          <t>4 — Не обогащён</t>
        </is>
      </c>
      <c r="U8636" s="35" t="inlineStr">
        <is>
          <t>Нет ОКВЭД/ССЧР</t>
        </is>
      </c>
      <c r="V8636" s="35" t="inlineStr">
        <is>
          <t>Не определено</t>
        </is>
      </c>
      <c r="W8636" s="35" t="inlineStr">
        <is>
          <t>Нет</t>
        </is>
      </c>
      <c r="X8636" s="35" t="inlineStr"/>
    </row>
    <row r="8637" ht="15" customHeight="1" s="24">
      <c r="A8637" s="13" t="n">
        <v>9152795</v>
      </c>
      <c r="B8637" s="13" t="inlineStr">
        <is>
          <t>ООО "Звуковые системы Проект"</t>
        </is>
      </c>
      <c r="C8637" s="13" t="n">
        <v>3811106902</v>
      </c>
      <c r="D8637" s="13" t="inlineStr">
        <is>
          <t>3811106902</t>
        </is>
      </c>
      <c r="E8637" s="13" t="inlineStr">
        <is>
          <t>ЮЛ РФ</t>
        </is>
      </c>
      <c r="F8637" s="13" t="n"/>
      <c r="G8637" s="52" t="n">
        <v>2</v>
      </c>
      <c r="H8637" s="52" t="n">
        <v>2025</v>
      </c>
      <c r="I8637" s="14" t="n"/>
      <c r="J8637" s="14" t="n"/>
      <c r="K8637" s="53" t="inlineStr">
        <is>
          <t>Нет</t>
        </is>
      </c>
      <c r="L8637" s="53" t="inlineStr">
        <is>
          <t>Не определено</t>
        </is>
      </c>
      <c r="M8637" s="53" t="inlineStr">
        <is>
          <t>До 10</t>
        </is>
      </c>
      <c r="N8637" s="54" t="n">
        <v>3360</v>
      </c>
      <c r="O8637" s="55" t="inlineStr">
        <is>
          <t>1–15</t>
        </is>
      </c>
      <c r="P8637" s="16" t="inlineStr">
        <is>
          <t>ССЧР обогащена; ОКВЭД не найден/не загружен</t>
        </is>
      </c>
      <c r="Q8637" s="16" t="inlineStr">
        <is>
          <t>ФНС открытые данные ССЧР (ДатаСост 31.12.2025; набор 7707329152-sshr2019)</t>
        </is>
      </c>
      <c r="R8637" s="16">
        <f>HYPERLINK("https://checko.ru/search?query=3801001629","Чекко: проверить")</f>
        <v/>
      </c>
      <c r="S8637" t="n">
        <v>1</v>
      </c>
      <c r="T8637" s="35" t="inlineStr">
        <is>
          <t>4 — Не обогащён</t>
        </is>
      </c>
      <c r="U8637" s="35" t="inlineStr">
        <is>
          <t>Нет ОКВЭД/ССЧР</t>
        </is>
      </c>
      <c r="V8637" s="35" t="inlineStr">
        <is>
          <t>Не определено</t>
        </is>
      </c>
      <c r="W8637" s="35" t="inlineStr">
        <is>
          <t>Нет</t>
        </is>
      </c>
      <c r="X8637" s="35" t="inlineStr"/>
    </row>
    <row r="8638" ht="27.75" customHeight="1" s="24">
      <c r="A8638" s="13" t="inlineStr">
        <is>
          <t>WZ0015165250</t>
        </is>
      </c>
      <c r="B8638" s="13" t="inlineStr">
        <is>
          <t>Форус НПФ ООО</t>
        </is>
      </c>
      <c r="C8638" s="13" t="n">
        <v>3812023430</v>
      </c>
      <c r="D8638" s="13" t="inlineStr">
        <is>
          <t>3812023430</t>
        </is>
      </c>
      <c r="E8638" s="13" t="inlineStr">
        <is>
          <t>ЮЛ РФ</t>
        </is>
      </c>
      <c r="F8638" s="13" t="n"/>
      <c r="G8638" s="52" t="n">
        <v>272</v>
      </c>
      <c r="H8638" s="52" t="n">
        <v>2025</v>
      </c>
      <c r="I8638" s="52" t="inlineStr">
        <is>
          <t>62.01</t>
        </is>
      </c>
      <c r="J8638" s="52" t="inlineStr">
        <is>
          <t>62.01; 46.51; 62.02.9; 18.11; 46.43; 46.43.3; 46.49.32; 46.52.3; 46.66; 46.90; 47.41; 47.62.1; 47.63.1; 47.63.2; 58.13; 62.03; 62.09; 63.11; 63.11.1; 68.20; 69.20.2; 70.22; 72.19; 73.11; 73.20.1; 82.99</t>
        </is>
      </c>
      <c r="K8638" s="53" t="inlineStr">
        <is>
          <t>Да</t>
        </is>
      </c>
      <c r="L8638" s="53" t="inlineStr">
        <is>
          <t>Да</t>
        </is>
      </c>
      <c r="M8638" s="53" t="inlineStr">
        <is>
          <t>До 500</t>
        </is>
      </c>
      <c r="N8638" s="54" t="n">
        <v>144000</v>
      </c>
      <c r="O8638" s="55" t="inlineStr">
        <is>
          <t>201–500</t>
        </is>
      </c>
      <c r="P8638" s="16" t="inlineStr">
        <is>
          <t>ССЧР + ОКВЭД обогащены</t>
        </is>
      </c>
      <c r="Q8638" s="16" t="inlineStr">
        <is>
          <t>ФНС открытые данные ССЧР (ДатаСост 31.12.2025; набор 7707329152-sshr2019)</t>
        </is>
      </c>
      <c r="R8638" s="16" t="inlineStr">
        <is>
          <t>ЕГРЮЛ / egrul.nalog.ru (выписка)</t>
        </is>
      </c>
      <c r="S8638" t="n">
        <v>0</v>
      </c>
      <c r="T8638" s="35" t="inlineStr">
        <is>
          <t>1 — Горячий</t>
        </is>
      </c>
      <c r="U8638" s="35" t="inlineStr">
        <is>
          <t>ОКВЭД + 22+</t>
        </is>
      </c>
      <c r="V8638" s="35" t="inlineStr">
        <is>
          <t>Да</t>
        </is>
      </c>
      <c r="W8638" s="35" t="inlineStr">
        <is>
          <t>Да</t>
        </is>
      </c>
      <c r="X8638" s="35" t="inlineStr">
        <is>
          <t>Да</t>
        </is>
      </c>
    </row>
    <row r="8639" ht="54.75" customHeight="1" s="24">
      <c r="A8639" s="13" t="inlineStr">
        <is>
          <t>MKUCB_409</t>
        </is>
      </c>
      <c r="B8639" s="13" t="inlineStr">
        <is>
          <t>МУ(гол) Централизованная бухгалтерия по обслуживанию муниципальных учреждений образования Истринского муниципального района</t>
        </is>
      </c>
      <c r="C8639" s="13" t="n">
        <v>5017003619</v>
      </c>
      <c r="D8639" s="13" t="inlineStr">
        <is>
          <t>5017003619</t>
        </is>
      </c>
      <c r="E8639" s="13" t="inlineStr">
        <is>
          <t>ЮЛ РФ</t>
        </is>
      </c>
      <c r="F8639" s="13" t="n"/>
      <c r="G8639" s="14" t="n"/>
      <c r="H8639" s="14" t="n"/>
      <c r="I8639" s="14" t="n"/>
      <c r="J8639" s="14" t="n"/>
      <c r="K8639" s="53" t="inlineStr"/>
      <c r="L8639" s="53" t="inlineStr">
        <is>
          <t>Не определено</t>
        </is>
      </c>
      <c r="M8639" s="53" t="inlineStr"/>
      <c r="N8639" s="54" t="inlineStr"/>
      <c r="O8639" s="55" t="inlineStr"/>
      <c r="P8639" s="16" t="inlineStr">
        <is>
          <t>Требует обогащения</t>
        </is>
      </c>
      <c r="Q8639" s="16">
        <f>HYPERLINK("https://pb.nalog.ru/search.html?query=5017003619","ФНС: проверить")</f>
        <v/>
      </c>
      <c r="R8639" s="16">
        <f>HYPERLINK("https://checko.ru/search?query=3801001629","Чекко: проверить")</f>
        <v/>
      </c>
      <c r="S8639" t="n">
        <v>0</v>
      </c>
      <c r="T8639" s="35" t="inlineStr">
        <is>
          <t>4 — Не обогащён</t>
        </is>
      </c>
      <c r="U8639" s="35" t="inlineStr">
        <is>
          <t>Нет ОКВЭД/ССЧР</t>
        </is>
      </c>
      <c r="V8639" s="35" t="inlineStr">
        <is>
          <t>Не определено</t>
        </is>
      </c>
      <c r="W8639" s="35" t="inlineStr"/>
      <c r="X8639" s="35" t="inlineStr"/>
    </row>
    <row r="8640" ht="27.75" customHeight="1" s="24">
      <c r="A8640" s="13" t="inlineStr">
        <is>
          <t>AGI26</t>
        </is>
      </c>
      <c r="B8640" s="13" t="inlineStr">
        <is>
          <t>Министерство имущественных отношений Иркутской области</t>
        </is>
      </c>
      <c r="C8640" s="13" t="n">
        <v>0</v>
      </c>
      <c r="D8640" s="13" t="n"/>
      <c r="E8640" s="13" t="inlineStr">
        <is>
          <t>Не определён</t>
        </is>
      </c>
      <c r="F8640" s="13" t="inlineStr">
        <is>
          <t>0</t>
        </is>
      </c>
      <c r="G8640" s="14" t="n"/>
      <c r="H8640" s="14" t="n"/>
      <c r="I8640" s="14" t="n"/>
      <c r="J8640" s="14" t="n"/>
      <c r="K8640" s="13">
        <f>IF(G8640="","",IF(G8640&gt;=22,"Да","Нет"))</f>
        <v/>
      </c>
      <c r="L8640" s="13">
        <f>IF(OR(I8640="",J8640=""),"Не определено",IF(OR(COUNTIF(I8640,"45*")&gt;0,COUNTIF(J8640,"*45*")&gt;0,COUNTIF(I8640,"46*")&gt;0,COUNTIF(J8640,"*46*")&gt;0,COUNTIF(I8640,"47*")&gt;0,COUNTIF(J8640,"*47*")&gt;0,COUNTIF(I8640,"10*")&gt;0,COUNTIF(J8640,"*10*")&gt;0,COUNTIF(I8640,"11*")&gt;0,COUNTIF(J8640,"*11*")&gt;0,COUNTIF(I8640,"12*")&gt;0,COUNTIF(J8640,"*12*")&gt;0,COUNTIF(I8640,"13*")&gt;0,COUNTIF(J8640,"*13*")&gt;0,COUNTIF(I8640,"14*")&gt;0,COUNTIF(J8640,"*14*")&gt;0,COUNTIF(I8640,"15*")&gt;0,COUNTIF(J8640,"*15*")&gt;0,COUNTIF(I8640,"16*")&gt;0,COUNTIF(J8640,"*16*")&gt;0,COUNTIF(I8640,"17*")&gt;0,COUNTIF(J8640,"*17*")&gt;0,COUNTIF(I8640,"18*")&gt;0,COUNTIF(J8640,"*18*")&gt;0,COUNTIF(I8640,"19*")&gt;0,COUNTIF(J8640,"*19*")&gt;0,COUNTIF(I8640,"20*")&gt;0,COUNTIF(J8640,"*20*")&gt;0,COUNTIF(I8640,"21*")&gt;0,COUNTIF(J8640,"*21*")&gt;0,COUNTIF(I8640,"22*")&gt;0,COUNTIF(J8640,"*22*")&gt;0,COUNTIF(I8640,"23*")&gt;0,COUNTIF(J8640,"*23*")&gt;0,COUNTIF(I8640,"24*")&gt;0,COUNTIF(J8640,"*24*")&gt;0,COUNTIF(I8640,"25*")&gt;0,COUNTIF(J8640,"*25*")&gt;0,COUNTIF(I8640,"26*")&gt;0,COUNTIF(J8640,"*26*")&gt;0,COUNTIF(I8640,"27*")&gt;0,COUNTIF(J8640,"*27*")&gt;0,COUNTIF(I8640,"28*")&gt;0,COUNTIF(J8640,"*28*")&gt;0,COUNTIF(I8640,"29*")&gt;0,COUNTIF(J8640,"*29*")&gt;0,COUNTIF(I8640,"30*")&gt;0,COUNTIF(J8640,"*30*")&gt;0,COUNTIF(I8640,"31*")&gt;0,COUNTIF(J8640,"*31*")&gt;0,COUNTIF(I8640,"32*")&gt;0,COUNTIF(J8640,"*32*")&gt;0,COUNTIF(I8640,"33*")&gt;0,COUNTIF(J8640,"*33*")&gt;0,COUNTIF(I8640,"41*")&gt;0,COUNTIF(J8640,"*41*")&gt;0,COUNTIF(I8640,"42*")&gt;0,COUNTIF(J8640,"*42*")&gt;0,COUNTIF(I8640,"43*")&gt;0,COUNTIF(J8640,"*43*")&gt;0,COUNTIF(I8640,"49*")&gt;0,COUNTIF(J8640,"*49*")&gt;0,COUNTIF(I8640,"52*")&gt;0,COUNTIF(J8640,"*52*")&gt;0,COUNTIF(I8640,"55*")&gt;0,COUNTIF(J8640,"*55*")&gt;0,COUNTIF(I8640,"56*")&gt;0,COUNTIF(J8640,"*56*")&gt;0,COUNTIF(I8640,"68*")&gt;0,COUNTIF(J8640,"*68*")&gt;0,COUNTIF(I8640,"78*")&gt;0,COUNTIF(J8640,"*78*")&gt;0,COUNTIF(I8640,"81*")&gt;0,COUNTIF(J8640,"*81*")&gt;0,COUNTIF(I8640,"82*")&gt;0,COUNTIF(J8640,"*82*")&gt;0,COUNTIF(I8640,"64*")&gt;0,COUNTIF(J8640,"*64*")&gt;0,COUNTIF(I8640,"65*")&gt;0,COUNTIF(J8640,"*65*")&gt;0,COUNTIF(I8640,"66*")&gt;0,COUNTIF(J8640,"*66*")&gt;0,COUNTIF(I8640,"61*")&gt;0,COUNTIF(J8640,"*61*")&gt;0,COUNTIF(I8640,"62*")&gt;0,COUNTIF(J8640,"*62*")&gt;0,COUNTIF(I8640,"63*")&gt;0,COUNTIF(J8640,"*63*")&gt;0,COUNTIF(I8640,"85*")&gt;0,COUNTIF(J8640,"*85*")&gt;0,COUNTIF(I8640,"86*")&gt;0,COUNTIF(J8640,"*86*")&gt;0),"Да","Нет"))</f>
        <v/>
      </c>
      <c r="M8640" s="13">
        <f>IF(OR(G8640="",L8640&lt;&gt;"Да"),"",IF(G8640&lt;=100,"До 100",IF(G8640&lt;=200,"До 200",IF(G8640&lt;=500,"До 500","Отдельное КП"))))</f>
        <v/>
      </c>
      <c r="N8640" s="15">
        <f>IF(OR(G8640="",L8640&lt;&gt;"Да"),"",IF(G8640&lt;=100,33600,IF(G8640&lt;=200,62400,IF(G8640&lt;=500,144000,""))))</f>
        <v/>
      </c>
      <c r="O8640" s="16">
        <f>IF(G8640="","",IF(G8640&lt;=15,"1–15",IF(G8640&lt;=30,"16–30",IF(G8640&lt;=50,"31–50",IF(G8640&lt;=100,"51–100",IF(G8640&lt;=150,"101–150",IF(G8640&lt;=200,"151–200",IF(G8640&lt;=500,"201–500","500+"))))))))</f>
        <v/>
      </c>
      <c r="P8640" s="16" t="inlineStr">
        <is>
          <t>Нет совпадения в предоставленной выгрузке ССЧР</t>
        </is>
      </c>
      <c r="Q8640" s="16" t="n"/>
      <c r="R8640" s="16">
        <f>HYPERLINK("https://checko.ru/search?query=3801001629","Чекко: проверить")</f>
        <v/>
      </c>
      <c r="S8640" t="n">
        <v>0</v>
      </c>
    </row>
    <row r="8641" ht="27.75" customHeight="1" s="24">
      <c r="A8641" s="13" t="n">
        <v>804949539</v>
      </c>
      <c r="B8641" s="13" t="inlineStr">
        <is>
          <t>ОБЩЕСТВО С ОГРАНИЧЕННОЙ ОТВЕТСТВЕННОСТЬЮ "ДНС АРЕНДА"</t>
        </is>
      </c>
      <c r="C8641" s="13" t="n">
        <v>2502081543</v>
      </c>
      <c r="D8641" s="13" t="inlineStr">
        <is>
          <t>2502081543</t>
        </is>
      </c>
      <c r="E8641" s="13" t="inlineStr">
        <is>
          <t>ЮЛ РФ</t>
        </is>
      </c>
      <c r="F8641" s="13" t="n"/>
      <c r="G8641" s="52" t="n">
        <v>2</v>
      </c>
      <c r="H8641" s="52" t="n">
        <v>2025</v>
      </c>
      <c r="I8641" s="14" t="n"/>
      <c r="J8641" s="14" t="n"/>
      <c r="K8641" s="53" t="inlineStr">
        <is>
          <t>Нет</t>
        </is>
      </c>
      <c r="L8641" s="53" t="inlineStr">
        <is>
          <t>Не определено</t>
        </is>
      </c>
      <c r="M8641" s="53" t="inlineStr">
        <is>
          <t>До 10</t>
        </is>
      </c>
      <c r="N8641" s="54" t="n">
        <v>3360</v>
      </c>
      <c r="O8641" s="55" t="inlineStr">
        <is>
          <t>1–15</t>
        </is>
      </c>
      <c r="P8641" s="16" t="inlineStr">
        <is>
          <t>ССЧР обогащена; ОКВЭД не найден/не загружен</t>
        </is>
      </c>
      <c r="Q8641" s="16" t="inlineStr">
        <is>
          <t>ФНС открытые данные ССЧР (ДатаСост 31.12.2025; набор 7707329152-sshr2019)</t>
        </is>
      </c>
      <c r="R8641" s="16">
        <f>HYPERLINK("https://checko.ru/search?query=3801001629","Чекко: проверить")</f>
        <v/>
      </c>
      <c r="S8641" t="n">
        <v>1</v>
      </c>
      <c r="T8641" s="35" t="inlineStr">
        <is>
          <t>4 — Не обогащён</t>
        </is>
      </c>
      <c r="U8641" s="35" t="inlineStr">
        <is>
          <t>Нет ОКВЭД/ССЧР</t>
        </is>
      </c>
      <c r="V8641" s="35" t="inlineStr">
        <is>
          <t>Не определено</t>
        </is>
      </c>
      <c r="W8641" s="35" t="inlineStr">
        <is>
          <t>Нет</t>
        </is>
      </c>
      <c r="X8641" s="35" t="inlineStr"/>
    </row>
    <row r="8642" ht="15" customHeight="1" s="24">
      <c r="A8642" s="13" t="inlineStr">
        <is>
          <t>FR332971</t>
        </is>
      </c>
      <c r="B8642" s="13" t="inlineStr">
        <is>
          <t>М2М-ТРЕЙД ООО</t>
        </is>
      </c>
      <c r="C8642" s="13" t="n">
        <v>7705867941</v>
      </c>
      <c r="D8642" s="13" t="inlineStr">
        <is>
          <t>7705867941</t>
        </is>
      </c>
      <c r="E8642" s="13" t="inlineStr">
        <is>
          <t>ЮЛ РФ</t>
        </is>
      </c>
      <c r="F8642" s="13" t="n"/>
      <c r="G8642" s="52" t="n">
        <v>40</v>
      </c>
      <c r="H8642" s="52" t="n">
        <v>2025</v>
      </c>
      <c r="I8642" s="52" t="inlineStr">
        <is>
          <t>63.11.1</t>
        </is>
      </c>
      <c r="J8642" s="52" t="inlineStr">
        <is>
          <t>63.11.1; 18.12; 33.14; 33.17; 45.20; 45.20.1; 45.20.2; 45.20.4; 45.40; 45.40.5; 46.18; 46.19; 46.46; 46.49; 46.69.5; 46.73; 46.90; 47.19; 52.29; 61.10; 62.01; 62.02; 63.11; 64.19; 64.91; 64.92; 64.99; 66.19; 68.31.1; 68.31.2; 68.31.3; 68.31.4; 69.10; 69.20; 69.20.1; 69.20.2; 70.10.1; 70.10.2; 70.22; 73.11; 73.20; 73.20.1; 73.20.2; 78.10; 80.20; 82.99; 95.12; 95.21</t>
        </is>
      </c>
      <c r="K8642" s="53" t="inlineStr">
        <is>
          <t>Да</t>
        </is>
      </c>
      <c r="L8642" s="53" t="inlineStr">
        <is>
          <t>Да</t>
        </is>
      </c>
      <c r="M8642" s="53" t="inlineStr">
        <is>
          <t>До 50</t>
        </is>
      </c>
      <c r="N8642" s="54" t="n">
        <v>16800</v>
      </c>
      <c r="O8642" s="55" t="inlineStr">
        <is>
          <t>31–50</t>
        </is>
      </c>
      <c r="P8642" s="16" t="inlineStr">
        <is>
          <t>ССЧР + ОКВЭД обогащены</t>
        </is>
      </c>
      <c r="Q8642" s="16" t="inlineStr">
        <is>
          <t>ФНС открытые данные ССЧР (ДатаСост 31.12.2025; набор 7707329152-sshr2019)</t>
        </is>
      </c>
      <c r="R8642" s="16" t="inlineStr">
        <is>
          <t>ЕГРЮЛ / egrul.nalog.ru (выписка)</t>
        </is>
      </c>
      <c r="S8642" t="n">
        <v>0</v>
      </c>
      <c r="T8642" s="35" t="inlineStr">
        <is>
          <t>1 — Горячий</t>
        </is>
      </c>
      <c r="U8642" s="35" t="inlineStr">
        <is>
          <t>ОКВЭД + 22+</t>
        </is>
      </c>
      <c r="V8642" s="35" t="inlineStr">
        <is>
          <t>Да</t>
        </is>
      </c>
      <c r="W8642" s="35" t="inlineStr">
        <is>
          <t>Да</t>
        </is>
      </c>
      <c r="X8642" s="35" t="inlineStr">
        <is>
          <t>Да</t>
        </is>
      </c>
    </row>
    <row r="8643" ht="15" customHeight="1" s="24">
      <c r="A8643" s="13" t="inlineStr">
        <is>
          <t>FR564099</t>
        </is>
      </c>
      <c r="B8643" s="13" t="inlineStr">
        <is>
          <t>ООО "ИНФОРМСЕРВИС"</t>
        </is>
      </c>
      <c r="C8643" s="13" t="n">
        <v>3849105672</v>
      </c>
      <c r="D8643" s="13" t="inlineStr">
        <is>
          <t>3849105672</t>
        </is>
      </c>
      <c r="E8643" s="13" t="inlineStr">
        <is>
          <t>ЮЛ РФ</t>
        </is>
      </c>
      <c r="F8643" s="13" t="n"/>
      <c r="G8643" s="52" t="n">
        <v>41</v>
      </c>
      <c r="H8643" s="52" t="n">
        <v>2025</v>
      </c>
      <c r="I8643" s="52" t="inlineStr">
        <is>
          <t>63.11.1</t>
        </is>
      </c>
      <c r="J8643" s="52" t="inlineStr">
        <is>
          <t>63.11.1; 46.18; 46.19; 69.10; 96.09</t>
        </is>
      </c>
      <c r="K8643" s="53" t="inlineStr">
        <is>
          <t>Да</t>
        </is>
      </c>
      <c r="L8643" s="53" t="inlineStr">
        <is>
          <t>Да</t>
        </is>
      </c>
      <c r="M8643" s="53" t="inlineStr">
        <is>
          <t>До 50</t>
        </is>
      </c>
      <c r="N8643" s="54" t="n">
        <v>16800</v>
      </c>
      <c r="O8643" s="55" t="inlineStr">
        <is>
          <t>31–50</t>
        </is>
      </c>
      <c r="P8643" s="16" t="inlineStr">
        <is>
          <t>ССЧР + ОКВЭД обогащены</t>
        </is>
      </c>
      <c r="Q8643" s="16" t="inlineStr">
        <is>
          <t>ФНС открытые данные ССЧР (ДатаСост 31.12.2025; набор 7707329152-sshr2019)</t>
        </is>
      </c>
      <c r="R8643" s="16" t="inlineStr">
        <is>
          <t>ЕГРЮЛ / egrul.nalog.ru (выписка)</t>
        </is>
      </c>
      <c r="S8643" t="n">
        <v>0</v>
      </c>
      <c r="T8643" s="35" t="inlineStr">
        <is>
          <t>1 — Горячий</t>
        </is>
      </c>
      <c r="U8643" s="35" t="inlineStr">
        <is>
          <t>ОКВЭД + 22+</t>
        </is>
      </c>
      <c r="V8643" s="35" t="inlineStr">
        <is>
          <t>Да</t>
        </is>
      </c>
      <c r="W8643" s="35" t="inlineStr">
        <is>
          <t>Да</t>
        </is>
      </c>
      <c r="X8643" s="35" t="inlineStr">
        <is>
          <t>Да</t>
        </is>
      </c>
    </row>
    <row r="8644" ht="27.75" customHeight="1" s="24">
      <c r="A8644" s="13" t="n">
        <v>802523727</v>
      </c>
      <c r="B8644" s="13" t="inlineStr">
        <is>
          <t>ОБЩЕСТВО С ОГРАНИЧЕННОЙ ОТВЕТСТВЕННОСТЬЮ "КВАНТ РИТЕЙЛ"</t>
        </is>
      </c>
      <c r="C8644" s="13" t="n">
        <v>2543136230</v>
      </c>
      <c r="D8644" s="13" t="inlineStr">
        <is>
          <t>2543136230</t>
        </is>
      </c>
      <c r="E8644" s="13" t="inlineStr">
        <is>
          <t>ЮЛ РФ</t>
        </is>
      </c>
      <c r="F8644" s="13" t="n"/>
      <c r="G8644" s="52" t="n">
        <v>336</v>
      </c>
      <c r="H8644" s="52" t="n">
        <v>2025</v>
      </c>
      <c r="I8644" s="52" t="inlineStr">
        <is>
          <t>47.11</t>
        </is>
      </c>
      <c r="J8644" s="52" t="inlineStr">
        <is>
          <t>47.11; 68.20.29; 10.83; 46.76; 47.19; 47.25; 47.26; 47.29; 52.10; 52.29; 66.19; 68.20; 82.92; 82.99</t>
        </is>
      </c>
      <c r="K8644" s="53" t="inlineStr">
        <is>
          <t>Да</t>
        </is>
      </c>
      <c r="L8644" s="53" t="inlineStr">
        <is>
          <t>Да</t>
        </is>
      </c>
      <c r="M8644" s="53" t="inlineStr">
        <is>
          <t>До 500</t>
        </is>
      </c>
      <c r="N8644" s="54" t="n">
        <v>144000</v>
      </c>
      <c r="O8644" s="55" t="inlineStr">
        <is>
          <t>201–500</t>
        </is>
      </c>
      <c r="P8644" s="16" t="inlineStr">
        <is>
          <t>ССЧР + ОКВЭД обогащены</t>
        </is>
      </c>
      <c r="Q8644" s="16" t="inlineStr">
        <is>
          <t>ФНС открытые данные ССЧР (ДатаСост 31.12.2025; набор 7707329152-sshr2019)</t>
        </is>
      </c>
      <c r="R8644" s="16" t="inlineStr">
        <is>
          <t>ЕГРЮЛ / egrul.nalog.ru (выписка)</t>
        </is>
      </c>
      <c r="S8644" t="n">
        <v>1</v>
      </c>
      <c r="T8644" s="35" t="inlineStr">
        <is>
          <t>1 — Горячий</t>
        </is>
      </c>
      <c r="U8644" s="35" t="inlineStr">
        <is>
          <t>ОКВЭД + 22+</t>
        </is>
      </c>
      <c r="V8644" s="35" t="inlineStr">
        <is>
          <t>Да</t>
        </is>
      </c>
      <c r="W8644" s="35" t="inlineStr">
        <is>
          <t>Да</t>
        </is>
      </c>
      <c r="X8644" s="35" t="inlineStr">
        <is>
          <t>Да</t>
        </is>
      </c>
    </row>
    <row r="8645" ht="27.75" customHeight="1" s="24">
      <c r="A8645" s="13" t="inlineStr">
        <is>
          <t>AGI26</t>
        </is>
      </c>
      <c r="B8645" s="13" t="inlineStr">
        <is>
          <t>Министерство имущественных отношений Иркутской области</t>
        </is>
      </c>
      <c r="C8645" s="13" t="n">
        <v>0</v>
      </c>
      <c r="D8645" s="13" t="n"/>
      <c r="E8645" s="13" t="inlineStr">
        <is>
          <t>Не определён</t>
        </is>
      </c>
      <c r="F8645" s="13" t="inlineStr">
        <is>
          <t>0</t>
        </is>
      </c>
      <c r="G8645" s="14" t="n"/>
      <c r="H8645" s="14" t="n"/>
      <c r="I8645" s="14" t="n"/>
      <c r="J8645" s="14" t="n"/>
      <c r="K8645" s="13">
        <f>IF(G8645="","",IF(G8645&gt;=22,"Да","Нет"))</f>
        <v/>
      </c>
      <c r="L8645" s="13">
        <f>IF(OR(I8645="",J8645=""),"Не определено",IF(OR(COUNTIF(I8645,"45*")&gt;0,COUNTIF(J8645,"*45*")&gt;0,COUNTIF(I8645,"46*")&gt;0,COUNTIF(J8645,"*46*")&gt;0,COUNTIF(I8645,"47*")&gt;0,COUNTIF(J8645,"*47*")&gt;0,COUNTIF(I8645,"10*")&gt;0,COUNTIF(J8645,"*10*")&gt;0,COUNTIF(I8645,"11*")&gt;0,COUNTIF(J8645,"*11*")&gt;0,COUNTIF(I8645,"12*")&gt;0,COUNTIF(J8645,"*12*")&gt;0,COUNTIF(I8645,"13*")&gt;0,COUNTIF(J8645,"*13*")&gt;0,COUNTIF(I8645,"14*")&gt;0,COUNTIF(J8645,"*14*")&gt;0,COUNTIF(I8645,"15*")&gt;0,COUNTIF(J8645,"*15*")&gt;0,COUNTIF(I8645,"16*")&gt;0,COUNTIF(J8645,"*16*")&gt;0,COUNTIF(I8645,"17*")&gt;0,COUNTIF(J8645,"*17*")&gt;0,COUNTIF(I8645,"18*")&gt;0,COUNTIF(J8645,"*18*")&gt;0,COUNTIF(I8645,"19*")&gt;0,COUNTIF(J8645,"*19*")&gt;0,COUNTIF(I8645,"20*")&gt;0,COUNTIF(J8645,"*20*")&gt;0,COUNTIF(I8645,"21*")&gt;0,COUNTIF(J8645,"*21*")&gt;0,COUNTIF(I8645,"22*")&gt;0,COUNTIF(J8645,"*22*")&gt;0,COUNTIF(I8645,"23*")&gt;0,COUNTIF(J8645,"*23*")&gt;0,COUNTIF(I8645,"24*")&gt;0,COUNTIF(J8645,"*24*")&gt;0,COUNTIF(I8645,"25*")&gt;0,COUNTIF(J8645,"*25*")&gt;0,COUNTIF(I8645,"26*")&gt;0,COUNTIF(J8645,"*26*")&gt;0,COUNTIF(I8645,"27*")&gt;0,COUNTIF(J8645,"*27*")&gt;0,COUNTIF(I8645,"28*")&gt;0,COUNTIF(J8645,"*28*")&gt;0,COUNTIF(I8645,"29*")&gt;0,COUNTIF(J8645,"*29*")&gt;0,COUNTIF(I8645,"30*")&gt;0,COUNTIF(J8645,"*30*")&gt;0,COUNTIF(I8645,"31*")&gt;0,COUNTIF(J8645,"*31*")&gt;0,COUNTIF(I8645,"32*")&gt;0,COUNTIF(J8645,"*32*")&gt;0,COUNTIF(I8645,"33*")&gt;0,COUNTIF(J8645,"*33*")&gt;0,COUNTIF(I8645,"41*")&gt;0,COUNTIF(J8645,"*41*")&gt;0,COUNTIF(I8645,"42*")&gt;0,COUNTIF(J8645,"*42*")&gt;0,COUNTIF(I8645,"43*")&gt;0,COUNTIF(J8645,"*43*")&gt;0,COUNTIF(I8645,"49*")&gt;0,COUNTIF(J8645,"*49*")&gt;0,COUNTIF(I8645,"52*")&gt;0,COUNTIF(J8645,"*52*")&gt;0,COUNTIF(I8645,"55*")&gt;0,COUNTIF(J8645,"*55*")&gt;0,COUNTIF(I8645,"56*")&gt;0,COUNTIF(J8645,"*56*")&gt;0,COUNTIF(I8645,"68*")&gt;0,COUNTIF(J8645,"*68*")&gt;0,COUNTIF(I8645,"78*")&gt;0,COUNTIF(J8645,"*78*")&gt;0,COUNTIF(I8645,"81*")&gt;0,COUNTIF(J8645,"*81*")&gt;0,COUNTIF(I8645,"82*")&gt;0,COUNTIF(J8645,"*82*")&gt;0,COUNTIF(I8645,"64*")&gt;0,COUNTIF(J8645,"*64*")&gt;0,COUNTIF(I8645,"65*")&gt;0,COUNTIF(J8645,"*65*")&gt;0,COUNTIF(I8645,"66*")&gt;0,COUNTIF(J8645,"*66*")&gt;0,COUNTIF(I8645,"61*")&gt;0,COUNTIF(J8645,"*61*")&gt;0,COUNTIF(I8645,"62*")&gt;0,COUNTIF(J8645,"*62*")&gt;0,COUNTIF(I8645,"63*")&gt;0,COUNTIF(J8645,"*63*")&gt;0,COUNTIF(I8645,"85*")&gt;0,COUNTIF(J8645,"*85*")&gt;0,COUNTIF(I8645,"86*")&gt;0,COUNTIF(J8645,"*86*")&gt;0),"Да","Нет"))</f>
        <v/>
      </c>
      <c r="M8645" s="13">
        <f>IF(OR(G8645="",L8645&lt;&gt;"Да"),"",IF(G8645&lt;=100,"До 100",IF(G8645&lt;=200,"До 200",IF(G8645&lt;=500,"До 500","Отдельное КП"))))</f>
        <v/>
      </c>
      <c r="N8645" s="15">
        <f>IF(OR(G8645="",L8645&lt;&gt;"Да"),"",IF(G8645&lt;=100,33600,IF(G8645&lt;=200,62400,IF(G8645&lt;=500,144000,""))))</f>
        <v/>
      </c>
      <c r="O8645" s="16">
        <f>IF(G8645="","",IF(G8645&lt;=15,"1–15",IF(G8645&lt;=30,"16–30",IF(G8645&lt;=50,"31–50",IF(G8645&lt;=100,"51–100",IF(G8645&lt;=150,"101–150",IF(G8645&lt;=200,"151–200",IF(G8645&lt;=500,"201–500","500+"))))))))</f>
        <v/>
      </c>
      <c r="P8645" s="16" t="inlineStr">
        <is>
          <t>Нет совпадения в предоставленной выгрузке ССЧР</t>
        </is>
      </c>
      <c r="Q8645" s="16" t="n"/>
      <c r="R8645" s="16">
        <f>HYPERLINK("https://checko.ru/search?query=3801001629","Чекко: проверить")</f>
        <v/>
      </c>
      <c r="S8645" t="n">
        <v>0</v>
      </c>
    </row>
    <row r="8646" ht="15" customHeight="1" s="24">
      <c r="A8646" s="13" t="n">
        <v>804670629</v>
      </c>
      <c r="B8646" s="13" t="inlineStr">
        <is>
          <t>ООО "ДОМСТИЛЬ"</t>
        </is>
      </c>
      <c r="C8646" s="13" t="n">
        <v>3801156301</v>
      </c>
      <c r="D8646" s="13" t="inlineStr">
        <is>
          <t>3801156301</t>
        </is>
      </c>
      <c r="E8646" s="13" t="inlineStr">
        <is>
          <t>ЮЛ РФ</t>
        </is>
      </c>
      <c r="F8646" s="13" t="n"/>
      <c r="G8646" s="52" t="n">
        <v>74</v>
      </c>
      <c r="H8646" s="52" t="n">
        <v>2025</v>
      </c>
      <c r="I8646" s="52" t="inlineStr">
        <is>
          <t>47.19</t>
        </is>
      </c>
      <c r="J8646" s="52" t="inlineStr">
        <is>
          <t>47.19; 45.40.1; 45.40.3; 46.14.1; 46.15; 46.43; 46.47; 46.51.1; 46.52; 46.65; 47.41; 47.42; 47.43; 47.59; 52.29; 68.20.2</t>
        </is>
      </c>
      <c r="K8646" s="53" t="inlineStr">
        <is>
          <t>Да</t>
        </is>
      </c>
      <c r="L8646" s="53" t="inlineStr">
        <is>
          <t>Да</t>
        </is>
      </c>
      <c r="M8646" s="53" t="inlineStr">
        <is>
          <t>До 100</t>
        </is>
      </c>
      <c r="N8646" s="54" t="n">
        <v>33600</v>
      </c>
      <c r="O8646" s="55" t="inlineStr">
        <is>
          <t>51–100</t>
        </is>
      </c>
      <c r="P8646" s="16" t="inlineStr">
        <is>
          <t>ССЧР + ОКВЭД обогащены</t>
        </is>
      </c>
      <c r="Q8646" s="16" t="inlineStr">
        <is>
          <t>ФНС открытые данные ССЧР (ДатаСост 31.12.2025; набор 7707329152-sshr2019)</t>
        </is>
      </c>
      <c r="R8646" s="16" t="inlineStr">
        <is>
          <t>ЕГРЮЛ / egrul.nalog.ru (выписка)</t>
        </is>
      </c>
      <c r="S8646" t="n">
        <v>0</v>
      </c>
      <c r="T8646" s="35" t="inlineStr">
        <is>
          <t>1 — Горячий</t>
        </is>
      </c>
      <c r="U8646" s="35" t="inlineStr">
        <is>
          <t>ОКВЭД + 22+</t>
        </is>
      </c>
      <c r="V8646" s="35" t="inlineStr">
        <is>
          <t>Да</t>
        </is>
      </c>
      <c r="W8646" s="35" t="inlineStr">
        <is>
          <t>Да</t>
        </is>
      </c>
      <c r="X8646" s="35" t="inlineStr">
        <is>
          <t>Да</t>
        </is>
      </c>
    </row>
    <row r="8647" ht="27.75" customHeight="1" s="24">
      <c r="A8647" s="13" t="n">
        <v>802523727</v>
      </c>
      <c r="B8647" s="13" t="inlineStr">
        <is>
          <t>ОБЩЕСТВО С ОГРАНИЧЕННОЙ ОТВЕТСТВЕННОСТЬЮ "КВАНТ РИТЕЙЛ"</t>
        </is>
      </c>
      <c r="C8647" s="13" t="n">
        <v>2543136230</v>
      </c>
      <c r="D8647" s="13" t="inlineStr">
        <is>
          <t>2543136230</t>
        </is>
      </c>
      <c r="E8647" s="13" t="inlineStr">
        <is>
          <t>ЮЛ РФ</t>
        </is>
      </c>
      <c r="F8647" s="13" t="n"/>
      <c r="G8647" s="52" t="n">
        <v>336</v>
      </c>
      <c r="H8647" s="52" t="n">
        <v>2025</v>
      </c>
      <c r="I8647" s="52" t="inlineStr">
        <is>
          <t>47.11</t>
        </is>
      </c>
      <c r="J8647" s="52" t="inlineStr">
        <is>
          <t>47.11; 68.20.29; 10.83; 46.76; 47.19; 47.25; 47.26; 47.29; 52.10; 52.29; 66.19; 68.20; 82.92; 82.99</t>
        </is>
      </c>
      <c r="K8647" s="53" t="inlineStr">
        <is>
          <t>Да</t>
        </is>
      </c>
      <c r="L8647" s="53" t="inlineStr">
        <is>
          <t>Да</t>
        </is>
      </c>
      <c r="M8647" s="53" t="inlineStr">
        <is>
          <t>До 500</t>
        </is>
      </c>
      <c r="N8647" s="54" t="n">
        <v>144000</v>
      </c>
      <c r="O8647" s="55" t="inlineStr">
        <is>
          <t>201–500</t>
        </is>
      </c>
      <c r="P8647" s="16" t="inlineStr">
        <is>
          <t>ССЧР + ОКВЭД обогащены</t>
        </is>
      </c>
      <c r="Q8647" s="16" t="inlineStr">
        <is>
          <t>ФНС открытые данные ССЧР (ДатаСост 31.12.2025; набор 7707329152-sshr2019)</t>
        </is>
      </c>
      <c r="R8647" s="16" t="inlineStr">
        <is>
          <t>ЕГРЮЛ / egrul.nalog.ru (выписка)</t>
        </is>
      </c>
      <c r="S8647" t="n">
        <v>0</v>
      </c>
      <c r="T8647" s="35" t="inlineStr">
        <is>
          <t>1 — Горячий</t>
        </is>
      </c>
      <c r="U8647" s="35" t="inlineStr">
        <is>
          <t>ОКВЭД + 22+</t>
        </is>
      </c>
      <c r="V8647" s="35" t="inlineStr">
        <is>
          <t>Да</t>
        </is>
      </c>
      <c r="W8647" s="35" t="inlineStr">
        <is>
          <t>Да</t>
        </is>
      </c>
      <c r="X8647" s="35" t="inlineStr">
        <is>
          <t>Да</t>
        </is>
      </c>
    </row>
    <row r="8648" ht="54.75" customHeight="1" s="24">
      <c r="A8648" s="13" t="n">
        <v>802873294</v>
      </c>
      <c r="B8648" s="13" t="inlineStr">
        <is>
          <t>ФЕДЕРАЛЬНОЕ ГОСУДАРСТВЕННОЕ БЮДЖЕТНОЕ ОБРАЗОВАТЕЛЬНОЕ УЧРЕЖДЕНИЕ ВЫСШЕГО ОБРАЗОВАНИЯ "ТУВИНСКИЙ ГОСУДАРСТВЕННЫЙ УНИВЕРСИТЕТ"</t>
        </is>
      </c>
      <c r="C8648" s="13" t="n">
        <v>1701010778</v>
      </c>
      <c r="D8648" s="13" t="inlineStr">
        <is>
          <t>1701010778</t>
        </is>
      </c>
      <c r="E8648" s="13" t="inlineStr">
        <is>
          <t>ЮЛ РФ</t>
        </is>
      </c>
      <c r="F8648" s="13" t="n"/>
      <c r="G8648" s="14" t="n"/>
      <c r="H8648" s="14" t="n"/>
      <c r="I8648" s="14" t="n"/>
      <c r="J8648" s="14" t="n"/>
      <c r="K8648" s="53" t="inlineStr"/>
      <c r="L8648" s="53" t="inlineStr">
        <is>
          <t>Не определено</t>
        </is>
      </c>
      <c r="M8648" s="53" t="inlineStr"/>
      <c r="N8648" s="54" t="inlineStr"/>
      <c r="O8648" s="55" t="inlineStr"/>
      <c r="P8648" s="16" t="inlineStr">
        <is>
          <t>Требует обогащения</t>
        </is>
      </c>
      <c r="Q8648" s="16">
        <f>HYPERLINK("https://pb.nalog.ru/search.html?query=1701010778","ФНС: проверить")</f>
        <v/>
      </c>
      <c r="R8648" s="16">
        <f>HYPERLINK("https://checko.ru/search?query=3801001629","Чекко: проверить")</f>
        <v/>
      </c>
      <c r="S8648" t="n">
        <v>1</v>
      </c>
      <c r="T8648" s="35" t="inlineStr">
        <is>
          <t>4 — Не обогащён</t>
        </is>
      </c>
      <c r="U8648" s="35" t="inlineStr">
        <is>
          <t>Нет ОКВЭД/ССЧР</t>
        </is>
      </c>
      <c r="V8648" s="35" t="inlineStr">
        <is>
          <t>Не определено</t>
        </is>
      </c>
      <c r="W8648" s="35" t="inlineStr"/>
      <c r="X8648" s="35" t="inlineStr"/>
    </row>
    <row r="8649" ht="54.75" customHeight="1" s="24">
      <c r="A8649" s="13" t="n">
        <v>9058787</v>
      </c>
      <c r="B8649" s="13" t="inlineStr">
        <is>
          <t>ФГАУ «Национальный медицинский исследовательский центр «МНТК «Микрохирургия глаза» имени академика С.Н. Федорова» Министерства здравоохранения РФ</t>
        </is>
      </c>
      <c r="C8649" s="13" t="n">
        <v>7713059497</v>
      </c>
      <c r="D8649" s="13" t="inlineStr">
        <is>
          <t>7713059497</t>
        </is>
      </c>
      <c r="E8649" s="13" t="inlineStr">
        <is>
          <t>ЮЛ РФ</t>
        </is>
      </c>
      <c r="F8649" s="13" t="n"/>
      <c r="G8649" s="14" t="n"/>
      <c r="H8649" s="14" t="n"/>
      <c r="I8649" s="14" t="n"/>
      <c r="J8649" s="14" t="n"/>
      <c r="K8649" s="53" t="inlineStr"/>
      <c r="L8649" s="53" t="inlineStr">
        <is>
          <t>Не определено</t>
        </is>
      </c>
      <c r="M8649" s="53" t="inlineStr"/>
      <c r="N8649" s="54" t="inlineStr"/>
      <c r="O8649" s="55" t="inlineStr"/>
      <c r="P8649" s="16" t="inlineStr">
        <is>
          <t>Требует обогащения</t>
        </is>
      </c>
      <c r="Q8649" s="16">
        <f>HYPERLINK("https://pb.nalog.ru/search.html?query=7713059497","ФНС: проверить")</f>
        <v/>
      </c>
      <c r="R8649" s="16">
        <f>HYPERLINK("https://checko.ru/search?query=3801001629","Чекко: проверить")</f>
        <v/>
      </c>
      <c r="S8649" t="n">
        <v>0</v>
      </c>
      <c r="T8649" s="35" t="inlineStr">
        <is>
          <t>4 — Не обогащён</t>
        </is>
      </c>
      <c r="U8649" s="35" t="inlineStr">
        <is>
          <t>Нет ОКВЭД/ССЧР</t>
        </is>
      </c>
      <c r="V8649" s="35" t="inlineStr">
        <is>
          <t>Не определено</t>
        </is>
      </c>
      <c r="W8649" s="35" t="inlineStr"/>
      <c r="X8649" s="35" t="inlineStr"/>
    </row>
    <row r="8650" ht="27.75" customHeight="1" s="24">
      <c r="A8650" s="13" t="inlineStr">
        <is>
          <t>AGI4</t>
        </is>
      </c>
      <c r="B8650" s="13" t="inlineStr">
        <is>
          <t>Министерство здравоохранения Иркутской области</t>
        </is>
      </c>
      <c r="C8650" s="13" t="n">
        <v>0</v>
      </c>
      <c r="D8650" s="13" t="n"/>
      <c r="E8650" s="13" t="inlineStr">
        <is>
          <t>Не определён</t>
        </is>
      </c>
      <c r="F8650" s="13" t="inlineStr">
        <is>
          <t>0</t>
        </is>
      </c>
      <c r="G8650" s="14" t="n"/>
      <c r="H8650" s="14" t="n"/>
      <c r="I8650" s="14" t="n"/>
      <c r="J8650" s="14" t="n"/>
      <c r="K8650" s="13">
        <f>IF(G8650="","",IF(G8650&gt;=22,"Да","Нет"))</f>
        <v/>
      </c>
      <c r="L8650" s="13">
        <f>IF(OR(I8650="",J8650=""),"Не определено",IF(OR(COUNTIF(I8650,"45*")&gt;0,COUNTIF(J8650,"*45*")&gt;0,COUNTIF(I8650,"46*")&gt;0,COUNTIF(J8650,"*46*")&gt;0,COUNTIF(I8650,"47*")&gt;0,COUNTIF(J8650,"*47*")&gt;0,COUNTIF(I8650,"10*")&gt;0,COUNTIF(J8650,"*10*")&gt;0,COUNTIF(I8650,"11*")&gt;0,COUNTIF(J8650,"*11*")&gt;0,COUNTIF(I8650,"12*")&gt;0,COUNTIF(J8650,"*12*")&gt;0,COUNTIF(I8650,"13*")&gt;0,COUNTIF(J8650,"*13*")&gt;0,COUNTIF(I8650,"14*")&gt;0,COUNTIF(J8650,"*14*")&gt;0,COUNTIF(I8650,"15*")&gt;0,COUNTIF(J8650,"*15*")&gt;0,COUNTIF(I8650,"16*")&gt;0,COUNTIF(J8650,"*16*")&gt;0,COUNTIF(I8650,"17*")&gt;0,COUNTIF(J8650,"*17*")&gt;0,COUNTIF(I8650,"18*")&gt;0,COUNTIF(J8650,"*18*")&gt;0,COUNTIF(I8650,"19*")&gt;0,COUNTIF(J8650,"*19*")&gt;0,COUNTIF(I8650,"20*")&gt;0,COUNTIF(J8650,"*20*")&gt;0,COUNTIF(I8650,"21*")&gt;0,COUNTIF(J8650,"*21*")&gt;0,COUNTIF(I8650,"22*")&gt;0,COUNTIF(J8650,"*22*")&gt;0,COUNTIF(I8650,"23*")&gt;0,COUNTIF(J8650,"*23*")&gt;0,COUNTIF(I8650,"24*")&gt;0,COUNTIF(J8650,"*24*")&gt;0,COUNTIF(I8650,"25*")&gt;0,COUNTIF(J8650,"*25*")&gt;0,COUNTIF(I8650,"26*")&gt;0,COUNTIF(J8650,"*26*")&gt;0,COUNTIF(I8650,"27*")&gt;0,COUNTIF(J8650,"*27*")&gt;0,COUNTIF(I8650,"28*")&gt;0,COUNTIF(J8650,"*28*")&gt;0,COUNTIF(I8650,"29*")&gt;0,COUNTIF(J8650,"*29*")&gt;0,COUNTIF(I8650,"30*")&gt;0,COUNTIF(J8650,"*30*")&gt;0,COUNTIF(I8650,"31*")&gt;0,COUNTIF(J8650,"*31*")&gt;0,COUNTIF(I8650,"32*")&gt;0,COUNTIF(J8650,"*32*")&gt;0,COUNTIF(I8650,"33*")&gt;0,COUNTIF(J8650,"*33*")&gt;0,COUNTIF(I8650,"41*")&gt;0,COUNTIF(J8650,"*41*")&gt;0,COUNTIF(I8650,"42*")&gt;0,COUNTIF(J8650,"*42*")&gt;0,COUNTIF(I8650,"43*")&gt;0,COUNTIF(J8650,"*43*")&gt;0,COUNTIF(I8650,"49*")&gt;0,COUNTIF(J8650,"*49*")&gt;0,COUNTIF(I8650,"52*")&gt;0,COUNTIF(J8650,"*52*")&gt;0,COUNTIF(I8650,"55*")&gt;0,COUNTIF(J8650,"*55*")&gt;0,COUNTIF(I8650,"56*")&gt;0,COUNTIF(J8650,"*56*")&gt;0,COUNTIF(I8650,"68*")&gt;0,COUNTIF(J8650,"*68*")&gt;0,COUNTIF(I8650,"78*")&gt;0,COUNTIF(J8650,"*78*")&gt;0,COUNTIF(I8650,"81*")&gt;0,COUNTIF(J8650,"*81*")&gt;0,COUNTIF(I8650,"82*")&gt;0,COUNTIF(J8650,"*82*")&gt;0,COUNTIF(I8650,"64*")&gt;0,COUNTIF(J8650,"*64*")&gt;0,COUNTIF(I8650,"65*")&gt;0,COUNTIF(J8650,"*65*")&gt;0,COUNTIF(I8650,"66*")&gt;0,COUNTIF(J8650,"*66*")&gt;0,COUNTIF(I8650,"61*")&gt;0,COUNTIF(J8650,"*61*")&gt;0,COUNTIF(I8650,"62*")&gt;0,COUNTIF(J8650,"*62*")&gt;0,COUNTIF(I8650,"63*")&gt;0,COUNTIF(J8650,"*63*")&gt;0,COUNTIF(I8650,"85*")&gt;0,COUNTIF(J8650,"*85*")&gt;0,COUNTIF(I8650,"86*")&gt;0,COUNTIF(J8650,"*86*")&gt;0),"Да","Нет"))</f>
        <v/>
      </c>
      <c r="M8650" s="13">
        <f>IF(OR(G8650="",L8650&lt;&gt;"Да"),"",IF(G8650&lt;=100,"До 100",IF(G8650&lt;=200,"До 200",IF(G8650&lt;=500,"До 500","Отдельное КП"))))</f>
        <v/>
      </c>
      <c r="N8650" s="15">
        <f>IF(OR(G8650="",L8650&lt;&gt;"Да"),"",IF(G8650&lt;=100,33600,IF(G8650&lt;=200,62400,IF(G8650&lt;=500,144000,""))))</f>
        <v/>
      </c>
      <c r="O8650" s="16">
        <f>IF(G8650="","",IF(G8650&lt;=15,"1–15",IF(G8650&lt;=30,"16–30",IF(G8650&lt;=50,"31–50",IF(G8650&lt;=100,"51–100",IF(G8650&lt;=150,"101–150",IF(G8650&lt;=200,"151–200",IF(G8650&lt;=500,"201–500","500+"))))))))</f>
        <v/>
      </c>
      <c r="P8650" s="16" t="inlineStr">
        <is>
          <t>Нет совпадения в предоставленной выгрузке ССЧР</t>
        </is>
      </c>
      <c r="Q8650" s="16" t="n"/>
      <c r="R8650" s="16">
        <f>HYPERLINK("https://checko.ru/search?query=3801001629","Чекко: проверить")</f>
        <v/>
      </c>
      <c r="S8650" t="n">
        <v>0</v>
      </c>
    </row>
    <row r="8651" ht="27.75" customHeight="1" s="24">
      <c r="A8651" s="13" t="inlineStr">
        <is>
          <t>AGI4</t>
        </is>
      </c>
      <c r="B8651" s="13" t="inlineStr">
        <is>
          <t>Министерство здравоохранения Иркутской области</t>
        </is>
      </c>
      <c r="C8651" s="13" t="n">
        <v>0</v>
      </c>
      <c r="D8651" s="13" t="n"/>
      <c r="E8651" s="13" t="inlineStr">
        <is>
          <t>Не определён</t>
        </is>
      </c>
      <c r="F8651" s="13" t="inlineStr">
        <is>
          <t>0</t>
        </is>
      </c>
      <c r="G8651" s="14" t="n"/>
      <c r="H8651" s="14" t="n"/>
      <c r="I8651" s="14" t="n"/>
      <c r="J8651" s="14" t="n"/>
      <c r="K8651" s="13">
        <f>IF(G8651="","",IF(G8651&gt;=22,"Да","Нет"))</f>
        <v/>
      </c>
      <c r="L8651" s="13">
        <f>IF(OR(I8651="",J8651=""),"Не определено",IF(OR(COUNTIF(I8651,"45*")&gt;0,COUNTIF(J8651,"*45*")&gt;0,COUNTIF(I8651,"46*")&gt;0,COUNTIF(J8651,"*46*")&gt;0,COUNTIF(I8651,"47*")&gt;0,COUNTIF(J8651,"*47*")&gt;0,COUNTIF(I8651,"10*")&gt;0,COUNTIF(J8651,"*10*")&gt;0,COUNTIF(I8651,"11*")&gt;0,COUNTIF(J8651,"*11*")&gt;0,COUNTIF(I8651,"12*")&gt;0,COUNTIF(J8651,"*12*")&gt;0,COUNTIF(I8651,"13*")&gt;0,COUNTIF(J8651,"*13*")&gt;0,COUNTIF(I8651,"14*")&gt;0,COUNTIF(J8651,"*14*")&gt;0,COUNTIF(I8651,"15*")&gt;0,COUNTIF(J8651,"*15*")&gt;0,COUNTIF(I8651,"16*")&gt;0,COUNTIF(J8651,"*16*")&gt;0,COUNTIF(I8651,"17*")&gt;0,COUNTIF(J8651,"*17*")&gt;0,COUNTIF(I8651,"18*")&gt;0,COUNTIF(J8651,"*18*")&gt;0,COUNTIF(I8651,"19*")&gt;0,COUNTIF(J8651,"*19*")&gt;0,COUNTIF(I8651,"20*")&gt;0,COUNTIF(J8651,"*20*")&gt;0,COUNTIF(I8651,"21*")&gt;0,COUNTIF(J8651,"*21*")&gt;0,COUNTIF(I8651,"22*")&gt;0,COUNTIF(J8651,"*22*")&gt;0,COUNTIF(I8651,"23*")&gt;0,COUNTIF(J8651,"*23*")&gt;0,COUNTIF(I8651,"24*")&gt;0,COUNTIF(J8651,"*24*")&gt;0,COUNTIF(I8651,"25*")&gt;0,COUNTIF(J8651,"*25*")&gt;0,COUNTIF(I8651,"26*")&gt;0,COUNTIF(J8651,"*26*")&gt;0,COUNTIF(I8651,"27*")&gt;0,COUNTIF(J8651,"*27*")&gt;0,COUNTIF(I8651,"28*")&gt;0,COUNTIF(J8651,"*28*")&gt;0,COUNTIF(I8651,"29*")&gt;0,COUNTIF(J8651,"*29*")&gt;0,COUNTIF(I8651,"30*")&gt;0,COUNTIF(J8651,"*30*")&gt;0,COUNTIF(I8651,"31*")&gt;0,COUNTIF(J8651,"*31*")&gt;0,COUNTIF(I8651,"32*")&gt;0,COUNTIF(J8651,"*32*")&gt;0,COUNTIF(I8651,"33*")&gt;0,COUNTIF(J8651,"*33*")&gt;0,COUNTIF(I8651,"41*")&gt;0,COUNTIF(J8651,"*41*")&gt;0,COUNTIF(I8651,"42*")&gt;0,COUNTIF(J8651,"*42*")&gt;0,COUNTIF(I8651,"43*")&gt;0,COUNTIF(J8651,"*43*")&gt;0,COUNTIF(I8651,"49*")&gt;0,COUNTIF(J8651,"*49*")&gt;0,COUNTIF(I8651,"52*")&gt;0,COUNTIF(J8651,"*52*")&gt;0,COUNTIF(I8651,"55*")&gt;0,COUNTIF(J8651,"*55*")&gt;0,COUNTIF(I8651,"56*")&gt;0,COUNTIF(J8651,"*56*")&gt;0,COUNTIF(I8651,"68*")&gt;0,COUNTIF(J8651,"*68*")&gt;0,COUNTIF(I8651,"78*")&gt;0,COUNTIF(J8651,"*78*")&gt;0,COUNTIF(I8651,"81*")&gt;0,COUNTIF(J8651,"*81*")&gt;0,COUNTIF(I8651,"82*")&gt;0,COUNTIF(J8651,"*82*")&gt;0,COUNTIF(I8651,"64*")&gt;0,COUNTIF(J8651,"*64*")&gt;0,COUNTIF(I8651,"65*")&gt;0,COUNTIF(J8651,"*65*")&gt;0,COUNTIF(I8651,"66*")&gt;0,COUNTIF(J8651,"*66*")&gt;0,COUNTIF(I8651,"61*")&gt;0,COUNTIF(J8651,"*61*")&gt;0,COUNTIF(I8651,"62*")&gt;0,COUNTIF(J8651,"*62*")&gt;0,COUNTIF(I8651,"63*")&gt;0,COUNTIF(J8651,"*63*")&gt;0,COUNTIF(I8651,"85*")&gt;0,COUNTIF(J8651,"*85*")&gt;0,COUNTIF(I8651,"86*")&gt;0,COUNTIF(J8651,"*86*")&gt;0),"Да","Нет"))</f>
        <v/>
      </c>
      <c r="M8651" s="13">
        <f>IF(OR(G8651="",L8651&lt;&gt;"Да"),"",IF(G8651&lt;=100,"До 100",IF(G8651&lt;=200,"До 200",IF(G8651&lt;=500,"До 500","Отдельное КП"))))</f>
        <v/>
      </c>
      <c r="N8651" s="15">
        <f>IF(OR(G8651="",L8651&lt;&gt;"Да"),"",IF(G8651&lt;=100,33600,IF(G8651&lt;=200,62400,IF(G8651&lt;=500,144000,""))))</f>
        <v/>
      </c>
      <c r="O8651" s="16">
        <f>IF(G8651="","",IF(G8651&lt;=15,"1–15",IF(G8651&lt;=30,"16–30",IF(G8651&lt;=50,"31–50",IF(G8651&lt;=100,"51–100",IF(G8651&lt;=150,"101–150",IF(G8651&lt;=200,"151–200",IF(G8651&lt;=500,"201–500","500+"))))))))</f>
        <v/>
      </c>
      <c r="P8651" s="16" t="inlineStr">
        <is>
          <t>Нет совпадения в предоставленной выгрузке ССЧР</t>
        </is>
      </c>
      <c r="Q8651" s="16" t="n"/>
      <c r="R8651" s="16">
        <f>HYPERLINK("https://checko.ru/search?query=3801001629","Чекко: проверить")</f>
        <v/>
      </c>
      <c r="S8651" t="n">
        <v>0</v>
      </c>
    </row>
    <row r="8652" ht="15" customHeight="1" s="24">
      <c r="A8652" s="13" t="inlineStr">
        <is>
          <t>FR23097</t>
        </is>
      </c>
      <c r="B8652" s="13" t="inlineStr">
        <is>
          <t>ООО "Кёнигзи-Сибирь"</t>
        </is>
      </c>
      <c r="C8652" s="13" t="n">
        <v>7536103723</v>
      </c>
      <c r="D8652" s="13" t="inlineStr">
        <is>
          <t>7536103723</t>
        </is>
      </c>
      <c r="E8652" s="13" t="inlineStr">
        <is>
          <t>ЮЛ РФ</t>
        </is>
      </c>
      <c r="F8652" s="13" t="n"/>
      <c r="G8652" s="52" t="n">
        <v>25</v>
      </c>
      <c r="H8652" s="52" t="n">
        <v>2025</v>
      </c>
      <c r="I8652" s="52" t="inlineStr">
        <is>
          <t>46.46</t>
        </is>
      </c>
      <c r="J8652" s="52" t="inlineStr">
        <is>
          <t>46.46; 33.13; 46.90; 47.74; 52.29; 64.91; 86.10; 86.21; 86.90.9</t>
        </is>
      </c>
      <c r="K8652" s="53" t="inlineStr">
        <is>
          <t>Да</t>
        </is>
      </c>
      <c r="L8652" s="53" t="inlineStr">
        <is>
          <t>Да</t>
        </is>
      </c>
      <c r="M8652" s="53" t="inlineStr">
        <is>
          <t>До 25</t>
        </is>
      </c>
      <c r="N8652" s="54" t="n">
        <v>8400</v>
      </c>
      <c r="O8652" s="55" t="inlineStr">
        <is>
          <t>16–30</t>
        </is>
      </c>
      <c r="P8652" s="16" t="inlineStr">
        <is>
          <t>ССЧР + ОКВЭД обогащены</t>
        </is>
      </c>
      <c r="Q8652" s="16" t="inlineStr">
        <is>
          <t>ФНС открытые данные ССЧР (ДатаСост 31.12.2025; набор 7707329152-sshr2019)</t>
        </is>
      </c>
      <c r="R8652" s="16" t="inlineStr">
        <is>
          <t>ЕГРЮЛ / egrul.nalog.ru (выписка)</t>
        </is>
      </c>
      <c r="S8652" t="n">
        <v>0</v>
      </c>
      <c r="T8652" s="35" t="inlineStr">
        <is>
          <t>1 — Горячий</t>
        </is>
      </c>
      <c r="U8652" s="35" t="inlineStr">
        <is>
          <t>ОКВЭД + 22+</t>
        </is>
      </c>
      <c r="V8652" s="35" t="inlineStr">
        <is>
          <t>Да</t>
        </is>
      </c>
      <c r="W8652" s="35" t="inlineStr">
        <is>
          <t>Да</t>
        </is>
      </c>
      <c r="X8652" s="35" t="inlineStr">
        <is>
          <t>Да</t>
        </is>
      </c>
    </row>
    <row r="8653" ht="15" customHeight="1" s="24">
      <c r="A8653" s="13" t="inlineStr">
        <is>
          <t>FR171544</t>
        </is>
      </c>
      <c r="B8653" s="13" t="inlineStr">
        <is>
          <t>ИООООО Российский красный крест</t>
        </is>
      </c>
      <c r="C8653" s="13" t="n">
        <v>3808016470</v>
      </c>
      <c r="D8653" s="13" t="inlineStr">
        <is>
          <t>3808016470</t>
        </is>
      </c>
      <c r="E8653" s="13" t="inlineStr">
        <is>
          <t>ЮЛ РФ</t>
        </is>
      </c>
      <c r="F8653" s="13" t="n"/>
      <c r="G8653" s="14" t="n"/>
      <c r="H8653" s="14" t="n"/>
      <c r="I8653" s="14" t="n"/>
      <c r="J8653" s="14" t="n"/>
      <c r="K8653" s="53" t="inlineStr"/>
      <c r="L8653" s="53" t="inlineStr">
        <is>
          <t>Не определено</t>
        </is>
      </c>
      <c r="M8653" s="53" t="inlineStr"/>
      <c r="N8653" s="54" t="inlineStr"/>
      <c r="O8653" s="55" t="inlineStr"/>
      <c r="P8653" s="16" t="inlineStr">
        <is>
          <t>Требует обогащения</t>
        </is>
      </c>
      <c r="Q8653" s="16">
        <f>HYPERLINK("https://pb.nalog.ru/search.html?query=3808016470","ФНС: проверить")</f>
        <v/>
      </c>
      <c r="R8653" s="16">
        <f>HYPERLINK("https://checko.ru/search?query=3801001629","Чекко: проверить")</f>
        <v/>
      </c>
      <c r="S8653" t="n">
        <v>0</v>
      </c>
      <c r="T8653" s="35" t="inlineStr">
        <is>
          <t>4 — Не обогащён</t>
        </is>
      </c>
      <c r="U8653" s="35" t="inlineStr">
        <is>
          <t>Нет ОКВЭД/ССЧР</t>
        </is>
      </c>
      <c r="V8653" s="35" t="inlineStr">
        <is>
          <t>Не определено</t>
        </is>
      </c>
      <c r="W8653" s="35" t="inlineStr"/>
      <c r="X8653" s="35" t="inlineStr"/>
    </row>
    <row r="8654" ht="27.75" customHeight="1" s="24">
      <c r="A8654" s="13" t="inlineStr">
        <is>
          <t>FR1224340</t>
        </is>
      </c>
      <c r="B8654" s="13" t="inlineStr">
        <is>
          <t>Общество с ограниченной ответственностью "ФИНАНСОВАЯ ЗАЩИТА"</t>
        </is>
      </c>
      <c r="C8654" s="13" t="n">
        <v>3849088716</v>
      </c>
      <c r="D8654" s="13" t="inlineStr">
        <is>
          <t>3849088716</t>
        </is>
      </c>
      <c r="E8654" s="13" t="inlineStr">
        <is>
          <t>ЮЛ РФ</t>
        </is>
      </c>
      <c r="F8654" s="13" t="n"/>
      <c r="G8654" s="52" t="n">
        <v>6</v>
      </c>
      <c r="H8654" s="52" t="n">
        <v>2025</v>
      </c>
      <c r="I8654" s="14" t="n"/>
      <c r="J8654" s="14" t="n"/>
      <c r="K8654" s="53" t="inlineStr">
        <is>
          <t>Нет</t>
        </is>
      </c>
      <c r="L8654" s="53" t="inlineStr">
        <is>
          <t>Не определено</t>
        </is>
      </c>
      <c r="M8654" s="53" t="inlineStr">
        <is>
          <t>До 10</t>
        </is>
      </c>
      <c r="N8654" s="54" t="n">
        <v>3360</v>
      </c>
      <c r="O8654" s="55" t="inlineStr">
        <is>
          <t>1–15</t>
        </is>
      </c>
      <c r="P8654" s="16" t="inlineStr">
        <is>
          <t>ССЧР обогащена; ОКВЭД не найден/не загружен</t>
        </is>
      </c>
      <c r="Q8654" s="16" t="inlineStr">
        <is>
          <t>ФНС открытые данные ССЧР (ДатаСост 31.12.2025; набор 7707329152-sshr2019)</t>
        </is>
      </c>
      <c r="R8654" s="16">
        <f>HYPERLINK("https://checko.ru/search?query=3801001629","Чекко: проверить")</f>
        <v/>
      </c>
      <c r="S8654" t="n">
        <v>0</v>
      </c>
      <c r="T8654" s="35" t="inlineStr">
        <is>
          <t>4 — Не обогащён</t>
        </is>
      </c>
      <c r="U8654" s="35" t="inlineStr">
        <is>
          <t>Нет ОКВЭД/ССЧР</t>
        </is>
      </c>
      <c r="V8654" s="35" t="inlineStr">
        <is>
          <t>Не определено</t>
        </is>
      </c>
      <c r="W8654" s="35" t="inlineStr">
        <is>
          <t>Нет</t>
        </is>
      </c>
      <c r="X8654" s="35" t="inlineStr"/>
    </row>
    <row r="8655" ht="15" customHeight="1" s="24">
      <c r="A8655" s="13" t="inlineStr">
        <is>
          <t>FR802704</t>
        </is>
      </c>
      <c r="B8655" s="13" t="inlineStr">
        <is>
          <t>МЕДВЕДЕВ ГРУПП</t>
        </is>
      </c>
      <c r="C8655" s="13" t="n">
        <v>3801094165</v>
      </c>
      <c r="D8655" s="13" t="inlineStr">
        <is>
          <t>3801094165</t>
        </is>
      </c>
      <c r="E8655" s="13" t="inlineStr">
        <is>
          <t>ЮЛ РФ</t>
        </is>
      </c>
      <c r="F8655" s="13" t="n"/>
      <c r="G8655" s="52" t="n">
        <v>12</v>
      </c>
      <c r="H8655" s="52" t="n">
        <v>2025</v>
      </c>
      <c r="I8655" s="14" t="n"/>
      <c r="J8655" s="14" t="n"/>
      <c r="K8655" s="53" t="inlineStr">
        <is>
          <t>Нет</t>
        </is>
      </c>
      <c r="L8655" s="53" t="inlineStr">
        <is>
          <t>Не определено</t>
        </is>
      </c>
      <c r="M8655" s="53" t="inlineStr">
        <is>
          <t>До 25</t>
        </is>
      </c>
      <c r="N8655" s="54" t="n">
        <v>8400</v>
      </c>
      <c r="O8655" s="55" t="inlineStr">
        <is>
          <t>1–15</t>
        </is>
      </c>
      <c r="P8655" s="16" t="inlineStr">
        <is>
          <t>ССЧР обогащена; ОКВЭД не найден/не загружен</t>
        </is>
      </c>
      <c r="Q8655" s="16" t="inlineStr">
        <is>
          <t>ФНС открытые данные ССЧР (ДатаСост 31.12.2025; набор 7707329152-sshr2019)</t>
        </is>
      </c>
      <c r="R8655" s="16">
        <f>HYPERLINK("https://checko.ru/search?query=3801001629","Чекко: проверить")</f>
        <v/>
      </c>
      <c r="S8655" t="n">
        <v>1</v>
      </c>
      <c r="T8655" s="35" t="inlineStr">
        <is>
          <t>4 — Не обогащён</t>
        </is>
      </c>
      <c r="U8655" s="35" t="inlineStr">
        <is>
          <t>Нет ОКВЭД/ССЧР</t>
        </is>
      </c>
      <c r="V8655" s="35" t="inlineStr">
        <is>
          <t>Не определено</t>
        </is>
      </c>
      <c r="W8655" s="35" t="inlineStr">
        <is>
          <t>Нет</t>
        </is>
      </c>
      <c r="X8655" s="35" t="inlineStr"/>
    </row>
    <row r="8656" ht="15" customHeight="1" s="24">
      <c r="A8656" s="13" t="inlineStr">
        <is>
          <t>FR613645</t>
        </is>
      </c>
      <c r="B8656" s="13" t="inlineStr">
        <is>
          <t>АО "РИЦ ИРКУТСКОЙ ОБЛАСТИ"</t>
        </is>
      </c>
      <c r="C8656" s="13" t="n">
        <v>3812155469</v>
      </c>
      <c r="D8656" s="13" t="inlineStr">
        <is>
          <t>3812155469</t>
        </is>
      </c>
      <c r="E8656" s="13" t="inlineStr">
        <is>
          <t>ЮЛ РФ</t>
        </is>
      </c>
      <c r="F8656" s="13" t="n"/>
      <c r="G8656" s="52" t="n">
        <v>6</v>
      </c>
      <c r="H8656" s="52" t="n">
        <v>2025</v>
      </c>
      <c r="I8656" s="14" t="n"/>
      <c r="J8656" s="14" t="n"/>
      <c r="K8656" s="53" t="inlineStr">
        <is>
          <t>Нет</t>
        </is>
      </c>
      <c r="L8656" s="53" t="inlineStr">
        <is>
          <t>Не определено</t>
        </is>
      </c>
      <c r="M8656" s="53" t="inlineStr">
        <is>
          <t>До 10</t>
        </is>
      </c>
      <c r="N8656" s="54" t="n">
        <v>3360</v>
      </c>
      <c r="O8656" s="55" t="inlineStr">
        <is>
          <t>1–15</t>
        </is>
      </c>
      <c r="P8656" s="16" t="inlineStr">
        <is>
          <t>ССЧР обогащена; ОКВЭД не найден/не загружен</t>
        </is>
      </c>
      <c r="Q8656" s="16" t="inlineStr">
        <is>
          <t>ФНС открытые данные ССЧР (ДатаСост 31.12.2025; набор 7707329152-sshr2019)</t>
        </is>
      </c>
      <c r="R8656" s="16">
        <f>HYPERLINK("https://checko.ru/search?query=3801001629","Чекко: проверить")</f>
        <v/>
      </c>
      <c r="S8656" t="n">
        <v>0</v>
      </c>
      <c r="T8656" s="35" t="inlineStr">
        <is>
          <t>4 — Не обогащён</t>
        </is>
      </c>
      <c r="U8656" s="35" t="inlineStr">
        <is>
          <t>Нет ОКВЭД/ССЧР</t>
        </is>
      </c>
      <c r="V8656" s="35" t="inlineStr">
        <is>
          <t>Не определено</t>
        </is>
      </c>
      <c r="W8656" s="35" t="inlineStr">
        <is>
          <t>Нет</t>
        </is>
      </c>
      <c r="X8656" s="35" t="inlineStr"/>
    </row>
    <row r="8657" ht="15" customHeight="1" s="24">
      <c r="A8657" s="13" t="inlineStr">
        <is>
          <t>FR23097</t>
        </is>
      </c>
      <c r="B8657" s="13" t="inlineStr">
        <is>
          <t>ООО "Кёнигзи-Сибирь"</t>
        </is>
      </c>
      <c r="C8657" s="13" t="n">
        <v>7536103723</v>
      </c>
      <c r="D8657" s="13" t="inlineStr">
        <is>
          <t>7536103723</t>
        </is>
      </c>
      <c r="E8657" s="13" t="inlineStr">
        <is>
          <t>ЮЛ РФ</t>
        </is>
      </c>
      <c r="F8657" s="13" t="n"/>
      <c r="G8657" s="52" t="n">
        <v>25</v>
      </c>
      <c r="H8657" s="52" t="n">
        <v>2025</v>
      </c>
      <c r="I8657" s="52" t="inlineStr">
        <is>
          <t>46.46</t>
        </is>
      </c>
      <c r="J8657" s="52" t="inlineStr">
        <is>
          <t>46.46; 33.13; 46.90; 47.74; 52.29; 64.91; 86.10; 86.21; 86.90.9</t>
        </is>
      </c>
      <c r="K8657" s="53" t="inlineStr">
        <is>
          <t>Да</t>
        </is>
      </c>
      <c r="L8657" s="53" t="inlineStr">
        <is>
          <t>Да</t>
        </is>
      </c>
      <c r="M8657" s="53" t="inlineStr">
        <is>
          <t>До 25</t>
        </is>
      </c>
      <c r="N8657" s="54" t="n">
        <v>8400</v>
      </c>
      <c r="O8657" s="55" t="inlineStr">
        <is>
          <t>16–30</t>
        </is>
      </c>
      <c r="P8657" s="16" t="inlineStr">
        <is>
          <t>ССЧР + ОКВЭД обогащены</t>
        </is>
      </c>
      <c r="Q8657" s="16" t="inlineStr">
        <is>
          <t>ФНС открытые данные ССЧР (ДатаСост 31.12.2025; набор 7707329152-sshr2019)</t>
        </is>
      </c>
      <c r="R8657" s="16" t="inlineStr">
        <is>
          <t>ЕГРЮЛ / egrul.nalog.ru (выписка)</t>
        </is>
      </c>
      <c r="S8657" t="n">
        <v>0</v>
      </c>
      <c r="T8657" s="35" t="inlineStr">
        <is>
          <t>1 — Горячий</t>
        </is>
      </c>
      <c r="U8657" s="35" t="inlineStr">
        <is>
          <t>ОКВЭД + 22+</t>
        </is>
      </c>
      <c r="V8657" s="35" t="inlineStr">
        <is>
          <t>Да</t>
        </is>
      </c>
      <c r="W8657" s="35" t="inlineStr">
        <is>
          <t>Да</t>
        </is>
      </c>
      <c r="X8657" s="35" t="inlineStr">
        <is>
          <t>Да</t>
        </is>
      </c>
    </row>
    <row r="8658" ht="15" customHeight="1" s="24">
      <c r="A8658" s="13" t="n">
        <v>802406250</v>
      </c>
      <c r="B8658" s="13" t="inlineStr">
        <is>
          <t>ООО "РТС"</t>
        </is>
      </c>
      <c r="C8658" s="13" t="n">
        <v>326481236</v>
      </c>
      <c r="D8658" s="13" t="n"/>
      <c r="E8658" s="13" t="inlineStr">
        <is>
          <t>Не определён</t>
        </is>
      </c>
      <c r="F8658" s="13" t="inlineStr">
        <is>
          <t>326481236</t>
        </is>
      </c>
      <c r="G8658" s="14" t="n"/>
      <c r="H8658" s="14" t="n"/>
      <c r="I8658" s="14" t="n"/>
      <c r="J8658" s="14" t="n"/>
      <c r="K8658" s="13">
        <f>IF(G8658="","",IF(G8658&gt;=22,"Да","Нет"))</f>
        <v/>
      </c>
      <c r="L8658" s="13">
        <f>IF(OR(I8658="",J8658=""),"Не определено",IF(OR(COUNTIF(I8658,"45*")&gt;0,COUNTIF(J8658,"*45*")&gt;0,COUNTIF(I8658,"46*")&gt;0,COUNTIF(J8658,"*46*")&gt;0,COUNTIF(I8658,"47*")&gt;0,COUNTIF(J8658,"*47*")&gt;0,COUNTIF(I8658,"10*")&gt;0,COUNTIF(J8658,"*10*")&gt;0,COUNTIF(I8658,"11*")&gt;0,COUNTIF(J8658,"*11*")&gt;0,COUNTIF(I8658,"12*")&gt;0,COUNTIF(J8658,"*12*")&gt;0,COUNTIF(I8658,"13*")&gt;0,COUNTIF(J8658,"*13*")&gt;0,COUNTIF(I8658,"14*")&gt;0,COUNTIF(J8658,"*14*")&gt;0,COUNTIF(I8658,"15*")&gt;0,COUNTIF(J8658,"*15*")&gt;0,COUNTIF(I8658,"16*")&gt;0,COUNTIF(J8658,"*16*")&gt;0,COUNTIF(I8658,"17*")&gt;0,COUNTIF(J8658,"*17*")&gt;0,COUNTIF(I8658,"18*")&gt;0,COUNTIF(J8658,"*18*")&gt;0,COUNTIF(I8658,"19*")&gt;0,COUNTIF(J8658,"*19*")&gt;0,COUNTIF(I8658,"20*")&gt;0,COUNTIF(J8658,"*20*")&gt;0,COUNTIF(I8658,"21*")&gt;0,COUNTIF(J8658,"*21*")&gt;0,COUNTIF(I8658,"22*")&gt;0,COUNTIF(J8658,"*22*")&gt;0,COUNTIF(I8658,"23*")&gt;0,COUNTIF(J8658,"*23*")&gt;0,COUNTIF(I8658,"24*")&gt;0,COUNTIF(J8658,"*24*")&gt;0,COUNTIF(I8658,"25*")&gt;0,COUNTIF(J8658,"*25*")&gt;0,COUNTIF(I8658,"26*")&gt;0,COUNTIF(J8658,"*26*")&gt;0,COUNTIF(I8658,"27*")&gt;0,COUNTIF(J8658,"*27*")&gt;0,COUNTIF(I8658,"28*")&gt;0,COUNTIF(J8658,"*28*")&gt;0,COUNTIF(I8658,"29*")&gt;0,COUNTIF(J8658,"*29*")&gt;0,COUNTIF(I8658,"30*")&gt;0,COUNTIF(J8658,"*30*")&gt;0,COUNTIF(I8658,"31*")&gt;0,COUNTIF(J8658,"*31*")&gt;0,COUNTIF(I8658,"32*")&gt;0,COUNTIF(J8658,"*32*")&gt;0,COUNTIF(I8658,"33*")&gt;0,COUNTIF(J8658,"*33*")&gt;0,COUNTIF(I8658,"41*")&gt;0,COUNTIF(J8658,"*41*")&gt;0,COUNTIF(I8658,"42*")&gt;0,COUNTIF(J8658,"*42*")&gt;0,COUNTIF(I8658,"43*")&gt;0,COUNTIF(J8658,"*43*")&gt;0,COUNTIF(I8658,"49*")&gt;0,COUNTIF(J8658,"*49*")&gt;0,COUNTIF(I8658,"52*")&gt;0,COUNTIF(J8658,"*52*")&gt;0,COUNTIF(I8658,"55*")&gt;0,COUNTIF(J8658,"*55*")&gt;0,COUNTIF(I8658,"56*")&gt;0,COUNTIF(J8658,"*56*")&gt;0,COUNTIF(I8658,"68*")&gt;0,COUNTIF(J8658,"*68*")&gt;0,COUNTIF(I8658,"78*")&gt;0,COUNTIF(J8658,"*78*")&gt;0,COUNTIF(I8658,"81*")&gt;0,COUNTIF(J8658,"*81*")&gt;0,COUNTIF(I8658,"82*")&gt;0,COUNTIF(J8658,"*82*")&gt;0,COUNTIF(I8658,"64*")&gt;0,COUNTIF(J8658,"*64*")&gt;0,COUNTIF(I8658,"65*")&gt;0,COUNTIF(J8658,"*65*")&gt;0,COUNTIF(I8658,"66*")&gt;0,COUNTIF(J8658,"*66*")&gt;0,COUNTIF(I8658,"61*")&gt;0,COUNTIF(J8658,"*61*")&gt;0,COUNTIF(I8658,"62*")&gt;0,COUNTIF(J8658,"*62*")&gt;0,COUNTIF(I8658,"63*")&gt;0,COUNTIF(J8658,"*63*")&gt;0,COUNTIF(I8658,"85*")&gt;0,COUNTIF(J8658,"*85*")&gt;0,COUNTIF(I8658,"86*")&gt;0,COUNTIF(J8658,"*86*")&gt;0),"Да","Нет"))</f>
        <v/>
      </c>
      <c r="M8658" s="13">
        <f>IF(OR(G8658="",L8658&lt;&gt;"Да"),"",IF(G8658&lt;=100,"До 100",IF(G8658&lt;=200,"До 200",IF(G8658&lt;=500,"До 500","Отдельное КП"))))</f>
        <v/>
      </c>
      <c r="N8658" s="15">
        <f>IF(OR(G8658="",L8658&lt;&gt;"Да"),"",IF(G8658&lt;=100,33600,IF(G8658&lt;=200,62400,IF(G8658&lt;=500,144000,""))))</f>
        <v/>
      </c>
      <c r="O8658" s="16">
        <f>IF(G8658="","",IF(G8658&lt;=15,"1–15",IF(G8658&lt;=30,"16–30",IF(G8658&lt;=50,"31–50",IF(G8658&lt;=100,"51–100",IF(G8658&lt;=150,"101–150",IF(G8658&lt;=200,"151–200",IF(G8658&lt;=500,"201–500","500+"))))))))</f>
        <v/>
      </c>
      <c r="P8658" s="16" t="inlineStr">
        <is>
          <t>Нет совпадения в предоставленной выгрузке ССЧР</t>
        </is>
      </c>
      <c r="Q8658" s="16" t="n"/>
      <c r="R8658" s="16">
        <f>HYPERLINK("https://checko.ru/search?query=3801001629","Чекко: проверить")</f>
        <v/>
      </c>
      <c r="S8658" t="n">
        <v>0</v>
      </c>
    </row>
    <row r="8659" ht="15" customHeight="1" s="24">
      <c r="A8659" s="13" t="n">
        <v>802481424</v>
      </c>
      <c r="B8659" s="13" t="inlineStr">
        <is>
          <t>ООО "РТС"</t>
        </is>
      </c>
      <c r="C8659" s="13" t="n">
        <v>326481236</v>
      </c>
      <c r="D8659" s="13" t="n"/>
      <c r="E8659" s="13" t="inlineStr">
        <is>
          <t>Не определён</t>
        </is>
      </c>
      <c r="F8659" s="13" t="inlineStr">
        <is>
          <t>326481236</t>
        </is>
      </c>
      <c r="G8659" s="14" t="n"/>
      <c r="H8659" s="14" t="n"/>
      <c r="I8659" s="14" t="n"/>
      <c r="J8659" s="14" t="n"/>
      <c r="K8659" s="13">
        <f>IF(G8659="","",IF(G8659&gt;=22,"Да","Нет"))</f>
        <v/>
      </c>
      <c r="L8659" s="13">
        <f>IF(OR(I8659="",J8659=""),"Не определено",IF(OR(COUNTIF(I8659,"45*")&gt;0,COUNTIF(J8659,"*45*")&gt;0,COUNTIF(I8659,"46*")&gt;0,COUNTIF(J8659,"*46*")&gt;0,COUNTIF(I8659,"47*")&gt;0,COUNTIF(J8659,"*47*")&gt;0,COUNTIF(I8659,"10*")&gt;0,COUNTIF(J8659,"*10*")&gt;0,COUNTIF(I8659,"11*")&gt;0,COUNTIF(J8659,"*11*")&gt;0,COUNTIF(I8659,"12*")&gt;0,COUNTIF(J8659,"*12*")&gt;0,COUNTIF(I8659,"13*")&gt;0,COUNTIF(J8659,"*13*")&gt;0,COUNTIF(I8659,"14*")&gt;0,COUNTIF(J8659,"*14*")&gt;0,COUNTIF(I8659,"15*")&gt;0,COUNTIF(J8659,"*15*")&gt;0,COUNTIF(I8659,"16*")&gt;0,COUNTIF(J8659,"*16*")&gt;0,COUNTIF(I8659,"17*")&gt;0,COUNTIF(J8659,"*17*")&gt;0,COUNTIF(I8659,"18*")&gt;0,COUNTIF(J8659,"*18*")&gt;0,COUNTIF(I8659,"19*")&gt;0,COUNTIF(J8659,"*19*")&gt;0,COUNTIF(I8659,"20*")&gt;0,COUNTIF(J8659,"*20*")&gt;0,COUNTIF(I8659,"21*")&gt;0,COUNTIF(J8659,"*21*")&gt;0,COUNTIF(I8659,"22*")&gt;0,COUNTIF(J8659,"*22*")&gt;0,COUNTIF(I8659,"23*")&gt;0,COUNTIF(J8659,"*23*")&gt;0,COUNTIF(I8659,"24*")&gt;0,COUNTIF(J8659,"*24*")&gt;0,COUNTIF(I8659,"25*")&gt;0,COUNTIF(J8659,"*25*")&gt;0,COUNTIF(I8659,"26*")&gt;0,COUNTIF(J8659,"*26*")&gt;0,COUNTIF(I8659,"27*")&gt;0,COUNTIF(J8659,"*27*")&gt;0,COUNTIF(I8659,"28*")&gt;0,COUNTIF(J8659,"*28*")&gt;0,COUNTIF(I8659,"29*")&gt;0,COUNTIF(J8659,"*29*")&gt;0,COUNTIF(I8659,"30*")&gt;0,COUNTIF(J8659,"*30*")&gt;0,COUNTIF(I8659,"31*")&gt;0,COUNTIF(J8659,"*31*")&gt;0,COUNTIF(I8659,"32*")&gt;0,COUNTIF(J8659,"*32*")&gt;0,COUNTIF(I8659,"33*")&gt;0,COUNTIF(J8659,"*33*")&gt;0,COUNTIF(I8659,"41*")&gt;0,COUNTIF(J8659,"*41*")&gt;0,COUNTIF(I8659,"42*")&gt;0,COUNTIF(J8659,"*42*")&gt;0,COUNTIF(I8659,"43*")&gt;0,COUNTIF(J8659,"*43*")&gt;0,COUNTIF(I8659,"49*")&gt;0,COUNTIF(J8659,"*49*")&gt;0,COUNTIF(I8659,"52*")&gt;0,COUNTIF(J8659,"*52*")&gt;0,COUNTIF(I8659,"55*")&gt;0,COUNTIF(J8659,"*55*")&gt;0,COUNTIF(I8659,"56*")&gt;0,COUNTIF(J8659,"*56*")&gt;0,COUNTIF(I8659,"68*")&gt;0,COUNTIF(J8659,"*68*")&gt;0,COUNTIF(I8659,"78*")&gt;0,COUNTIF(J8659,"*78*")&gt;0,COUNTIF(I8659,"81*")&gt;0,COUNTIF(J8659,"*81*")&gt;0,COUNTIF(I8659,"82*")&gt;0,COUNTIF(J8659,"*82*")&gt;0,COUNTIF(I8659,"64*")&gt;0,COUNTIF(J8659,"*64*")&gt;0,COUNTIF(I8659,"65*")&gt;0,COUNTIF(J8659,"*65*")&gt;0,COUNTIF(I8659,"66*")&gt;0,COUNTIF(J8659,"*66*")&gt;0,COUNTIF(I8659,"61*")&gt;0,COUNTIF(J8659,"*61*")&gt;0,COUNTIF(I8659,"62*")&gt;0,COUNTIF(J8659,"*62*")&gt;0,COUNTIF(I8659,"63*")&gt;0,COUNTIF(J8659,"*63*")&gt;0,COUNTIF(I8659,"85*")&gt;0,COUNTIF(J8659,"*85*")&gt;0,COUNTIF(I8659,"86*")&gt;0,COUNTIF(J8659,"*86*")&gt;0),"Да","Нет"))</f>
        <v/>
      </c>
      <c r="M8659" s="13">
        <f>IF(OR(G8659="",L8659&lt;&gt;"Да"),"",IF(G8659&lt;=100,"До 100",IF(G8659&lt;=200,"До 200",IF(G8659&lt;=500,"До 500","Отдельное КП"))))</f>
        <v/>
      </c>
      <c r="N8659" s="15">
        <f>IF(OR(G8659="",L8659&lt;&gt;"Да"),"",IF(G8659&lt;=100,33600,IF(G8659&lt;=200,62400,IF(G8659&lt;=500,144000,""))))</f>
        <v/>
      </c>
      <c r="O8659" s="16">
        <f>IF(G8659="","",IF(G8659&lt;=15,"1–15",IF(G8659&lt;=30,"16–30",IF(G8659&lt;=50,"31–50",IF(G8659&lt;=100,"51–100",IF(G8659&lt;=150,"101–150",IF(G8659&lt;=200,"151–200",IF(G8659&lt;=500,"201–500","500+"))))))))</f>
        <v/>
      </c>
      <c r="P8659" s="16" t="inlineStr">
        <is>
          <t>Нет совпадения в предоставленной выгрузке ССЧР</t>
        </is>
      </c>
      <c r="Q8659" s="16" t="n"/>
      <c r="R8659" s="16">
        <f>HYPERLINK("https://checko.ru/search?query=3801001629","Чекко: проверить")</f>
        <v/>
      </c>
      <c r="S8659" t="n">
        <v>0</v>
      </c>
    </row>
    <row r="8660" ht="15" customHeight="1" s="24">
      <c r="A8660" s="13" t="inlineStr">
        <is>
          <t>FR564099</t>
        </is>
      </c>
      <c r="B8660" s="13" t="inlineStr">
        <is>
          <t>ООО "ИНФОРМСЕРВИС"</t>
        </is>
      </c>
      <c r="C8660" s="13" t="n">
        <v>3849105672</v>
      </c>
      <c r="D8660" s="13" t="inlineStr">
        <is>
          <t>3849105672</t>
        </is>
      </c>
      <c r="E8660" s="13" t="inlineStr">
        <is>
          <t>ЮЛ РФ</t>
        </is>
      </c>
      <c r="F8660" s="13" t="n"/>
      <c r="G8660" s="52" t="n">
        <v>41</v>
      </c>
      <c r="H8660" s="52" t="n">
        <v>2025</v>
      </c>
      <c r="I8660" s="52" t="inlineStr">
        <is>
          <t>63.11.1</t>
        </is>
      </c>
      <c r="J8660" s="52" t="inlineStr">
        <is>
          <t>63.11.1; 46.18; 46.19; 69.10; 96.09</t>
        </is>
      </c>
      <c r="K8660" s="53" t="inlineStr">
        <is>
          <t>Да</t>
        </is>
      </c>
      <c r="L8660" s="53" t="inlineStr">
        <is>
          <t>Да</t>
        </is>
      </c>
      <c r="M8660" s="53" t="inlineStr">
        <is>
          <t>До 50</t>
        </is>
      </c>
      <c r="N8660" s="54" t="n">
        <v>16800</v>
      </c>
      <c r="O8660" s="55" t="inlineStr">
        <is>
          <t>31–50</t>
        </is>
      </c>
      <c r="P8660" s="16" t="inlineStr">
        <is>
          <t>ССЧР + ОКВЭД обогащены</t>
        </is>
      </c>
      <c r="Q8660" s="16" t="inlineStr">
        <is>
          <t>ФНС открытые данные ССЧР (ДатаСост 31.12.2025; набор 7707329152-sshr2019)</t>
        </is>
      </c>
      <c r="R8660" s="16" t="inlineStr">
        <is>
          <t>ЕГРЮЛ / egrul.nalog.ru (выписка)</t>
        </is>
      </c>
      <c r="S8660" t="n">
        <v>0</v>
      </c>
      <c r="T8660" s="35" t="inlineStr">
        <is>
          <t>1 — Горячий</t>
        </is>
      </c>
      <c r="U8660" s="35" t="inlineStr">
        <is>
          <t>ОКВЭД + 22+</t>
        </is>
      </c>
      <c r="V8660" s="35" t="inlineStr">
        <is>
          <t>Да</t>
        </is>
      </c>
      <c r="W8660" s="35" t="inlineStr">
        <is>
          <t>Да</t>
        </is>
      </c>
      <c r="X8660" s="35" t="inlineStr">
        <is>
          <t>Да</t>
        </is>
      </c>
    </row>
    <row r="8661" ht="27.75" customHeight="1" s="24">
      <c r="A8661" s="13" t="n">
        <v>802523727</v>
      </c>
      <c r="B8661" s="13" t="inlineStr">
        <is>
          <t>ОБЩЕСТВО С ОГРАНИЧЕННОЙ ОТВЕТСТВЕННОСТЬЮ "КВАНТ РИТЕЙЛ"</t>
        </is>
      </c>
      <c r="C8661" s="13" t="n">
        <v>2543136230</v>
      </c>
      <c r="D8661" s="13" t="inlineStr">
        <is>
          <t>2543136230</t>
        </is>
      </c>
      <c r="E8661" s="13" t="inlineStr">
        <is>
          <t>ЮЛ РФ</t>
        </is>
      </c>
      <c r="F8661" s="13" t="n"/>
      <c r="G8661" s="52" t="n">
        <v>336</v>
      </c>
      <c r="H8661" s="52" t="n">
        <v>2025</v>
      </c>
      <c r="I8661" s="52" t="inlineStr">
        <is>
          <t>47.11</t>
        </is>
      </c>
      <c r="J8661" s="52" t="inlineStr">
        <is>
          <t>47.11; 68.20.29; 10.83; 46.76; 47.19; 47.25; 47.26; 47.29; 52.10; 52.29; 66.19; 68.20; 82.92; 82.99</t>
        </is>
      </c>
      <c r="K8661" s="53" t="inlineStr">
        <is>
          <t>Да</t>
        </is>
      </c>
      <c r="L8661" s="53" t="inlineStr">
        <is>
          <t>Да</t>
        </is>
      </c>
      <c r="M8661" s="53" t="inlineStr">
        <is>
          <t>До 500</t>
        </is>
      </c>
      <c r="N8661" s="54" t="n">
        <v>144000</v>
      </c>
      <c r="O8661" s="55" t="inlineStr">
        <is>
          <t>201–500</t>
        </is>
      </c>
      <c r="P8661" s="16" t="inlineStr">
        <is>
          <t>ССЧР + ОКВЭД обогащены</t>
        </is>
      </c>
      <c r="Q8661" s="16" t="inlineStr">
        <is>
          <t>ФНС открытые данные ССЧР (ДатаСост 31.12.2025; набор 7707329152-sshr2019)</t>
        </is>
      </c>
      <c r="R8661" s="16" t="inlineStr">
        <is>
          <t>ЕГРЮЛ / egrul.nalog.ru (выписка)</t>
        </is>
      </c>
      <c r="S8661" t="n">
        <v>0</v>
      </c>
      <c r="T8661" s="35" t="inlineStr">
        <is>
          <t>1 — Горячий</t>
        </is>
      </c>
      <c r="U8661" s="35" t="inlineStr">
        <is>
          <t>ОКВЭД + 22+</t>
        </is>
      </c>
      <c r="V8661" s="35" t="inlineStr">
        <is>
          <t>Да</t>
        </is>
      </c>
      <c r="W8661" s="35" t="inlineStr">
        <is>
          <t>Да</t>
        </is>
      </c>
      <c r="X8661" s="35" t="inlineStr">
        <is>
          <t>Да</t>
        </is>
      </c>
    </row>
    <row r="8662" ht="27.75" customHeight="1" s="24">
      <c r="A8662" s="13" t="n">
        <v>802523727</v>
      </c>
      <c r="B8662" s="13" t="inlineStr">
        <is>
          <t>ОБЩЕСТВО С ОГРАНИЧЕННОЙ ОТВЕТСТВЕННОСТЬЮ "КВАНТ РИТЕЙЛ"</t>
        </is>
      </c>
      <c r="C8662" s="13" t="n">
        <v>2543136230</v>
      </c>
      <c r="D8662" s="13" t="inlineStr">
        <is>
          <t>2543136230</t>
        </is>
      </c>
      <c r="E8662" s="13" t="inlineStr">
        <is>
          <t>ЮЛ РФ</t>
        </is>
      </c>
      <c r="F8662" s="13" t="n"/>
      <c r="G8662" s="52" t="n">
        <v>336</v>
      </c>
      <c r="H8662" s="52" t="n">
        <v>2025</v>
      </c>
      <c r="I8662" s="52" t="inlineStr">
        <is>
          <t>47.11</t>
        </is>
      </c>
      <c r="J8662" s="52" t="inlineStr">
        <is>
          <t>47.11; 68.20.29; 10.83; 46.76; 47.19; 47.25; 47.26; 47.29; 52.10; 52.29; 66.19; 68.20; 82.92; 82.99</t>
        </is>
      </c>
      <c r="K8662" s="53" t="inlineStr">
        <is>
          <t>Да</t>
        </is>
      </c>
      <c r="L8662" s="53" t="inlineStr">
        <is>
          <t>Да</t>
        </is>
      </c>
      <c r="M8662" s="53" t="inlineStr">
        <is>
          <t>До 500</t>
        </is>
      </c>
      <c r="N8662" s="54" t="n">
        <v>144000</v>
      </c>
      <c r="O8662" s="55" t="inlineStr">
        <is>
          <t>201–500</t>
        </is>
      </c>
      <c r="P8662" s="16" t="inlineStr">
        <is>
          <t>ССЧР + ОКВЭД обогащены</t>
        </is>
      </c>
      <c r="Q8662" s="16" t="inlineStr">
        <is>
          <t>ФНС открытые данные ССЧР (ДатаСост 31.12.2025; набор 7707329152-sshr2019)</t>
        </is>
      </c>
      <c r="R8662" s="16" t="inlineStr">
        <is>
          <t>ЕГРЮЛ / egrul.nalog.ru (выписка)</t>
        </is>
      </c>
      <c r="S8662" t="n">
        <v>0</v>
      </c>
      <c r="T8662" s="35" t="inlineStr">
        <is>
          <t>1 — Горячий</t>
        </is>
      </c>
      <c r="U8662" s="35" t="inlineStr">
        <is>
          <t>ОКВЭД + 22+</t>
        </is>
      </c>
      <c r="V8662" s="35" t="inlineStr">
        <is>
          <t>Да</t>
        </is>
      </c>
      <c r="W8662" s="35" t="inlineStr">
        <is>
          <t>Да</t>
        </is>
      </c>
      <c r="X8662" s="35" t="inlineStr">
        <is>
          <t>Да</t>
        </is>
      </c>
    </row>
    <row r="8663" ht="27.75" customHeight="1" s="24">
      <c r="A8663" s="13" t="n">
        <v>802523727</v>
      </c>
      <c r="B8663" s="13" t="inlineStr">
        <is>
          <t>ОБЩЕСТВО С ОГРАНИЧЕННОЙ ОТВЕТСТВЕННОСТЬЮ "КВАНТ РИТЕЙЛ"</t>
        </is>
      </c>
      <c r="C8663" s="13" t="n">
        <v>2543136230</v>
      </c>
      <c r="D8663" s="13" t="inlineStr">
        <is>
          <t>2543136230</t>
        </is>
      </c>
      <c r="E8663" s="13" t="inlineStr">
        <is>
          <t>ЮЛ РФ</t>
        </is>
      </c>
      <c r="F8663" s="13" t="n"/>
      <c r="G8663" s="52" t="n">
        <v>336</v>
      </c>
      <c r="H8663" s="52" t="n">
        <v>2025</v>
      </c>
      <c r="I8663" s="52" t="inlineStr">
        <is>
          <t>47.11</t>
        </is>
      </c>
      <c r="J8663" s="52" t="inlineStr">
        <is>
          <t>47.11; 68.20.29; 10.83; 46.76; 47.19; 47.25; 47.26; 47.29; 52.10; 52.29; 66.19; 68.20; 82.92; 82.99</t>
        </is>
      </c>
      <c r="K8663" s="53" t="inlineStr">
        <is>
          <t>Да</t>
        </is>
      </c>
      <c r="L8663" s="53" t="inlineStr">
        <is>
          <t>Да</t>
        </is>
      </c>
      <c r="M8663" s="53" t="inlineStr">
        <is>
          <t>До 500</t>
        </is>
      </c>
      <c r="N8663" s="54" t="n">
        <v>144000</v>
      </c>
      <c r="O8663" s="55" t="inlineStr">
        <is>
          <t>201–500</t>
        </is>
      </c>
      <c r="P8663" s="16" t="inlineStr">
        <is>
          <t>ССЧР + ОКВЭД обогащены</t>
        </is>
      </c>
      <c r="Q8663" s="16" t="inlineStr">
        <is>
          <t>ФНС открытые данные ССЧР (ДатаСост 31.12.2025; набор 7707329152-sshr2019)</t>
        </is>
      </c>
      <c r="R8663" s="16" t="inlineStr">
        <is>
          <t>ЕГРЮЛ / egrul.nalog.ru (выписка)</t>
        </is>
      </c>
      <c r="S8663" t="n">
        <v>0</v>
      </c>
      <c r="T8663" s="35" t="inlineStr">
        <is>
          <t>1 — Горячий</t>
        </is>
      </c>
      <c r="U8663" s="35" t="inlineStr">
        <is>
          <t>ОКВЭД + 22+</t>
        </is>
      </c>
      <c r="V8663" s="35" t="inlineStr">
        <is>
          <t>Да</t>
        </is>
      </c>
      <c r="W8663" s="35" t="inlineStr">
        <is>
          <t>Да</t>
        </is>
      </c>
      <c r="X8663" s="35" t="inlineStr">
        <is>
          <t>Да</t>
        </is>
      </c>
    </row>
    <row r="8664" ht="41.25" customHeight="1" s="24">
      <c r="A8664" s="13" t="n">
        <v>800150954</v>
      </c>
      <c r="B8664" s="13" t="inlineStr">
        <is>
          <t>МУНИЦИПАЛЬНОЕ КАЗЕННОЕ УЧРЕЖДЕНИЕ "УПРАВЛЕНИЕ КАПИТАЛЬНОГО СТРОИТЕЛЬСТВА ГОРОДА ИРКУТСКА"</t>
        </is>
      </c>
      <c r="C8664" s="13" t="n">
        <v>3808193380</v>
      </c>
      <c r="D8664" s="13" t="inlineStr">
        <is>
          <t>3808193380</t>
        </is>
      </c>
      <c r="E8664" s="13" t="inlineStr">
        <is>
          <t>ЮЛ РФ</t>
        </is>
      </c>
      <c r="F8664" s="13" t="n"/>
      <c r="G8664" s="14" t="n"/>
      <c r="H8664" s="14" t="n"/>
      <c r="I8664" s="14" t="n"/>
      <c r="J8664" s="14" t="n"/>
      <c r="K8664" s="53" t="inlineStr"/>
      <c r="L8664" s="53" t="inlineStr">
        <is>
          <t>Не определено</t>
        </is>
      </c>
      <c r="M8664" s="53" t="inlineStr"/>
      <c r="N8664" s="54" t="inlineStr"/>
      <c r="O8664" s="55" t="inlineStr"/>
      <c r="P8664" s="16" t="inlineStr">
        <is>
          <t>Требует обогащения</t>
        </is>
      </c>
      <c r="Q8664" s="16">
        <f>HYPERLINK("https://pb.nalog.ru/search.html?query=3808193380","ФНС: проверить")</f>
        <v/>
      </c>
      <c r="R8664" s="16">
        <f>HYPERLINK("https://checko.ru/search?query=3801001629","Чекко: проверить")</f>
        <v/>
      </c>
      <c r="S8664" t="n">
        <v>0</v>
      </c>
      <c r="T8664" s="35" t="inlineStr">
        <is>
          <t>4 — Не обогащён</t>
        </is>
      </c>
      <c r="U8664" s="35" t="inlineStr">
        <is>
          <t>Нет ОКВЭД/ССЧР</t>
        </is>
      </c>
      <c r="V8664" s="35" t="inlineStr">
        <is>
          <t>Не определено</t>
        </is>
      </c>
      <c r="W8664" s="35" t="inlineStr"/>
      <c r="X8664" s="35" t="inlineStr"/>
    </row>
    <row r="8665" ht="27.75" customHeight="1" s="24">
      <c r="A8665" s="13" t="inlineStr">
        <is>
          <t>FR525736</t>
        </is>
      </c>
      <c r="B8665" s="13" t="inlineStr">
        <is>
          <t>ОБЩЕСТВО С ОГРАНИЧЕННОЙ ОТВЕТСТВЕННОСТЬЮ "ВЕРНЫЙ КОД"</t>
        </is>
      </c>
      <c r="C8665" s="13" t="n">
        <v>3811076486</v>
      </c>
      <c r="D8665" s="13" t="inlineStr">
        <is>
          <t>3811076486</t>
        </is>
      </c>
      <c r="E8665" s="13" t="inlineStr">
        <is>
          <t>ЮЛ РФ</t>
        </is>
      </c>
      <c r="F8665" s="13" t="n"/>
      <c r="G8665" s="52" t="n">
        <v>8</v>
      </c>
      <c r="H8665" s="52" t="n">
        <v>2025</v>
      </c>
      <c r="I8665" s="14" t="n"/>
      <c r="J8665" s="14" t="n"/>
      <c r="K8665" s="53" t="inlineStr">
        <is>
          <t>Нет</t>
        </is>
      </c>
      <c r="L8665" s="53" t="inlineStr">
        <is>
          <t>Не определено</t>
        </is>
      </c>
      <c r="M8665" s="53" t="inlineStr">
        <is>
          <t>До 10</t>
        </is>
      </c>
      <c r="N8665" s="54" t="n">
        <v>3360</v>
      </c>
      <c r="O8665" s="55" t="inlineStr">
        <is>
          <t>1–15</t>
        </is>
      </c>
      <c r="P8665" s="16" t="inlineStr">
        <is>
          <t>ССЧР обогащена; ОКВЭД не найден/не загружен</t>
        </is>
      </c>
      <c r="Q8665" s="16" t="inlineStr">
        <is>
          <t>ФНС открытые данные ССЧР (ДатаСост 31.12.2025; набор 7707329152-sshr2019)</t>
        </is>
      </c>
      <c r="R8665" s="16">
        <f>HYPERLINK("https://checko.ru/search?query=3801001629","Чекко: проверить")</f>
        <v/>
      </c>
      <c r="S8665" t="n">
        <v>0</v>
      </c>
      <c r="T8665" s="35" t="inlineStr">
        <is>
          <t>4 — Не обогащён</t>
        </is>
      </c>
      <c r="U8665" s="35" t="inlineStr">
        <is>
          <t>Нет ОКВЭД/ССЧР</t>
        </is>
      </c>
      <c r="V8665" s="35" t="inlineStr">
        <is>
          <t>Не определено</t>
        </is>
      </c>
      <c r="W8665" s="35" t="inlineStr">
        <is>
          <t>Нет</t>
        </is>
      </c>
      <c r="X8665" s="35" t="inlineStr"/>
    </row>
    <row r="8666" ht="15" customHeight="1" s="24">
      <c r="A8666" s="13" t="n">
        <v>804670629</v>
      </c>
      <c r="B8666" s="13" t="inlineStr">
        <is>
          <t>ООО "ДОМСТИЛЬ"</t>
        </is>
      </c>
      <c r="C8666" s="13" t="n">
        <v>3801156301</v>
      </c>
      <c r="D8666" s="13" t="inlineStr">
        <is>
          <t>3801156301</t>
        </is>
      </c>
      <c r="E8666" s="13" t="inlineStr">
        <is>
          <t>ЮЛ РФ</t>
        </is>
      </c>
      <c r="F8666" s="13" t="n"/>
      <c r="G8666" s="52" t="n">
        <v>74</v>
      </c>
      <c r="H8666" s="52" t="n">
        <v>2025</v>
      </c>
      <c r="I8666" s="52" t="inlineStr">
        <is>
          <t>47.19</t>
        </is>
      </c>
      <c r="J8666" s="52" t="inlineStr">
        <is>
          <t>47.19; 45.40.1; 45.40.3; 46.14.1; 46.15; 46.43; 46.47; 46.51.1; 46.52; 46.65; 47.41; 47.42; 47.43; 47.59; 52.29; 68.20.2</t>
        </is>
      </c>
      <c r="K8666" s="53" t="inlineStr">
        <is>
          <t>Да</t>
        </is>
      </c>
      <c r="L8666" s="53" t="inlineStr">
        <is>
          <t>Да</t>
        </is>
      </c>
      <c r="M8666" s="53" t="inlineStr">
        <is>
          <t>До 100</t>
        </is>
      </c>
      <c r="N8666" s="54" t="n">
        <v>33600</v>
      </c>
      <c r="O8666" s="55" t="inlineStr">
        <is>
          <t>51–100</t>
        </is>
      </c>
      <c r="P8666" s="16" t="inlineStr">
        <is>
          <t>ССЧР + ОКВЭД обогащены</t>
        </is>
      </c>
      <c r="Q8666" s="16" t="inlineStr">
        <is>
          <t>ФНС открытые данные ССЧР (ДатаСост 31.12.2025; набор 7707329152-sshr2019)</t>
        </is>
      </c>
      <c r="R8666" s="16" t="inlineStr">
        <is>
          <t>ЕГРЮЛ / egrul.nalog.ru (выписка)</t>
        </is>
      </c>
      <c r="S8666" t="n">
        <v>0</v>
      </c>
      <c r="T8666" s="35" t="inlineStr">
        <is>
          <t>1 — Горячий</t>
        </is>
      </c>
      <c r="U8666" s="35" t="inlineStr">
        <is>
          <t>ОКВЭД + 22+</t>
        </is>
      </c>
      <c r="V8666" s="35" t="inlineStr">
        <is>
          <t>Да</t>
        </is>
      </c>
      <c r="W8666" s="35" t="inlineStr">
        <is>
          <t>Да</t>
        </is>
      </c>
      <c r="X8666" s="35" t="inlineStr">
        <is>
          <t>Да</t>
        </is>
      </c>
    </row>
    <row r="8667" ht="15" customHeight="1" s="24">
      <c r="A8667" s="13" t="n">
        <v>802402417</v>
      </c>
      <c r="B8667" s="13" t="inlineStr">
        <is>
          <t>ООО "АвтоКосметик38"</t>
        </is>
      </c>
      <c r="C8667" s="13" t="n">
        <v>3849027625</v>
      </c>
      <c r="D8667" s="13" t="inlineStr">
        <is>
          <t>3849027625</t>
        </is>
      </c>
      <c r="E8667" s="13" t="inlineStr">
        <is>
          <t>ЮЛ РФ</t>
        </is>
      </c>
      <c r="F8667" s="13" t="n"/>
      <c r="G8667" s="52" t="n">
        <v>8</v>
      </c>
      <c r="H8667" s="52" t="n">
        <v>2025</v>
      </c>
      <c r="I8667" s="14" t="n"/>
      <c r="J8667" s="14" t="n"/>
      <c r="K8667" s="53" t="inlineStr">
        <is>
          <t>Нет</t>
        </is>
      </c>
      <c r="L8667" s="53" t="inlineStr">
        <is>
          <t>Не определено</t>
        </is>
      </c>
      <c r="M8667" s="53" t="inlineStr">
        <is>
          <t>До 10</t>
        </is>
      </c>
      <c r="N8667" s="54" t="n">
        <v>3360</v>
      </c>
      <c r="O8667" s="55" t="inlineStr">
        <is>
          <t>1–15</t>
        </is>
      </c>
      <c r="P8667" s="16" t="inlineStr">
        <is>
          <t>ССЧР обогащена; ОКВЭД не найден/не загружен</t>
        </is>
      </c>
      <c r="Q8667" s="16" t="inlineStr">
        <is>
          <t>ФНС открытые данные ССЧР (ДатаСост 31.12.2025; набор 7707329152-sshr2019)</t>
        </is>
      </c>
      <c r="R8667" s="16">
        <f>HYPERLINK("https://checko.ru/search?query=3801001629","Чекко: проверить")</f>
        <v/>
      </c>
      <c r="S8667" t="n">
        <v>0</v>
      </c>
      <c r="T8667" s="35" t="inlineStr">
        <is>
          <t>4 — Не обогащён</t>
        </is>
      </c>
      <c r="U8667" s="35" t="inlineStr">
        <is>
          <t>Нет ОКВЭД/ССЧР</t>
        </is>
      </c>
      <c r="V8667" s="35" t="inlineStr">
        <is>
          <t>Не определено</t>
        </is>
      </c>
      <c r="W8667" s="35" t="inlineStr">
        <is>
          <t>Нет</t>
        </is>
      </c>
      <c r="X8667" s="35" t="inlineStr"/>
    </row>
    <row r="8668" ht="15" customHeight="1" s="24">
      <c r="A8668" s="13" t="inlineStr">
        <is>
          <t>FR466331</t>
        </is>
      </c>
      <c r="B8668" s="13" t="inlineStr">
        <is>
          <t>АЙФОРС ООО</t>
        </is>
      </c>
      <c r="C8668" s="13" t="n">
        <v>3849069819</v>
      </c>
      <c r="D8668" s="13" t="inlineStr">
        <is>
          <t>3849069819</t>
        </is>
      </c>
      <c r="E8668" s="13" t="inlineStr">
        <is>
          <t>ЮЛ РФ</t>
        </is>
      </c>
      <c r="F8668" s="13" t="n"/>
      <c r="G8668" s="52" t="n">
        <v>9</v>
      </c>
      <c r="H8668" s="52" t="n">
        <v>2025</v>
      </c>
      <c r="I8668" s="14" t="n"/>
      <c r="J8668" s="14" t="n"/>
      <c r="K8668" s="53" t="inlineStr">
        <is>
          <t>Нет</t>
        </is>
      </c>
      <c r="L8668" s="53" t="inlineStr">
        <is>
          <t>Не определено</t>
        </is>
      </c>
      <c r="M8668" s="53" t="inlineStr">
        <is>
          <t>До 10</t>
        </is>
      </c>
      <c r="N8668" s="54" t="n">
        <v>3360</v>
      </c>
      <c r="O8668" s="55" t="inlineStr">
        <is>
          <t>1–15</t>
        </is>
      </c>
      <c r="P8668" s="16" t="inlineStr">
        <is>
          <t>ССЧР обогащена; ОКВЭД не найден/не загружен</t>
        </is>
      </c>
      <c r="Q8668" s="16" t="inlineStr">
        <is>
          <t>ФНС открытые данные ССЧР (ДатаСост 31.12.2025; набор 7707329152-sshr2019)</t>
        </is>
      </c>
      <c r="R8668" s="16">
        <f>HYPERLINK("https://checko.ru/search?query=3801001629","Чекко: проверить")</f>
        <v/>
      </c>
      <c r="S8668" t="n">
        <v>0</v>
      </c>
      <c r="T8668" s="35" t="inlineStr">
        <is>
          <t>4 — Не обогащён</t>
        </is>
      </c>
      <c r="U8668" s="35" t="inlineStr">
        <is>
          <t>Нет ОКВЭД/ССЧР</t>
        </is>
      </c>
      <c r="V8668" s="35" t="inlineStr">
        <is>
          <t>Не определено</t>
        </is>
      </c>
      <c r="W8668" s="35" t="inlineStr">
        <is>
          <t>Нет</t>
        </is>
      </c>
      <c r="X8668" s="35" t="inlineStr"/>
    </row>
    <row r="8669" ht="15" customHeight="1" s="24">
      <c r="A8669" s="13" t="inlineStr">
        <is>
          <t>FR943069</t>
        </is>
      </c>
      <c r="B8669" s="13" t="inlineStr">
        <is>
          <t>ООО "Меди"</t>
        </is>
      </c>
      <c r="C8669" s="13" t="n">
        <v>3803204504</v>
      </c>
      <c r="D8669" s="13" t="inlineStr">
        <is>
          <t>3803204504</t>
        </is>
      </c>
      <c r="E8669" s="13" t="inlineStr">
        <is>
          <t>ЮЛ РФ</t>
        </is>
      </c>
      <c r="F8669" s="13" t="n"/>
      <c r="G8669" s="52" t="n">
        <v>13</v>
      </c>
      <c r="H8669" s="52" t="n">
        <v>2025</v>
      </c>
      <c r="I8669" s="14" t="n"/>
      <c r="J8669" s="14" t="n"/>
      <c r="K8669" s="53" t="inlineStr">
        <is>
          <t>Нет</t>
        </is>
      </c>
      <c r="L8669" s="53" t="inlineStr">
        <is>
          <t>Не определено</t>
        </is>
      </c>
      <c r="M8669" s="53" t="inlineStr">
        <is>
          <t>До 25</t>
        </is>
      </c>
      <c r="N8669" s="54" t="n">
        <v>8400</v>
      </c>
      <c r="O8669" s="55" t="inlineStr">
        <is>
          <t>1–15</t>
        </is>
      </c>
      <c r="P8669" s="16" t="inlineStr">
        <is>
          <t>ССЧР обогащена; ОКВЭД не найден/не загружен</t>
        </is>
      </c>
      <c r="Q8669" s="16" t="inlineStr">
        <is>
          <t>ФНС открытые данные ССЧР (ДатаСост 31.12.2025; набор 7707329152-sshr2019)</t>
        </is>
      </c>
      <c r="R8669" s="16">
        <f>HYPERLINK("https://checko.ru/search?query=3801001629","Чекко: проверить")</f>
        <v/>
      </c>
      <c r="S8669" t="n">
        <v>1</v>
      </c>
      <c r="T8669" s="35" t="inlineStr">
        <is>
          <t>4 — Не обогащён</t>
        </is>
      </c>
      <c r="U8669" s="35" t="inlineStr">
        <is>
          <t>Нет ОКВЭД/ССЧР</t>
        </is>
      </c>
      <c r="V8669" s="35" t="inlineStr">
        <is>
          <t>Не определено</t>
        </is>
      </c>
      <c r="W8669" s="35" t="inlineStr">
        <is>
          <t>Нет</t>
        </is>
      </c>
      <c r="X8669" s="35" t="inlineStr"/>
    </row>
    <row r="8670" ht="15" customHeight="1" s="24">
      <c r="A8670" s="13" t="n">
        <v>801639853</v>
      </c>
      <c r="B8670" s="13" t="inlineStr">
        <is>
          <t>ИП Кончакова Светлана Дмитриевна</t>
        </is>
      </c>
      <c r="C8670" s="13" t="n">
        <v>380104089316</v>
      </c>
      <c r="D8670" s="13" t="inlineStr">
        <is>
          <t>380104089316</t>
        </is>
      </c>
      <c r="E8670" s="13" t="inlineStr">
        <is>
          <t>ИП РФ / физлицо</t>
        </is>
      </c>
      <c r="F8670" s="13" t="n"/>
      <c r="G8670" s="14" t="n"/>
      <c r="H8670" s="14" t="n"/>
      <c r="I8670" s="14" t="n"/>
      <c r="J8670" s="14" t="n"/>
      <c r="K8670" s="53" t="inlineStr"/>
      <c r="L8670" s="53" t="inlineStr">
        <is>
          <t>Не определено</t>
        </is>
      </c>
      <c r="M8670" s="53" t="inlineStr"/>
      <c r="N8670" s="54" t="inlineStr"/>
      <c r="O8670" s="55" t="inlineStr"/>
      <c r="P8670" s="16" t="inlineStr">
        <is>
          <t>Требует обогащения</t>
        </is>
      </c>
      <c r="Q8670" s="16">
        <f>HYPERLINK("https://pb.nalog.ru/search.html?query=380104089316","ФНС: проверить")</f>
        <v/>
      </c>
      <c r="R8670" s="16">
        <f>HYPERLINK("https://checko.ru/search?query=3801001629","Чекко: проверить")</f>
        <v/>
      </c>
      <c r="S8670" t="n">
        <v>0</v>
      </c>
      <c r="T8670" s="35" t="inlineStr">
        <is>
          <t>4 — Не обогащён</t>
        </is>
      </c>
      <c r="U8670" s="35" t="inlineStr">
        <is>
          <t>Нет ОКВЭД/ССЧР</t>
        </is>
      </c>
      <c r="V8670" s="35" t="inlineStr">
        <is>
          <t>Не определено</t>
        </is>
      </c>
      <c r="W8670" s="35" t="inlineStr"/>
      <c r="X8670" s="35" t="inlineStr"/>
    </row>
    <row r="8671" ht="27.75" customHeight="1" s="24">
      <c r="A8671" s="13" t="inlineStr">
        <is>
          <t>FR525736</t>
        </is>
      </c>
      <c r="B8671" s="13" t="inlineStr">
        <is>
          <t>ОБЩЕСТВО С ОГРАНИЧЕННОЙ ОТВЕТСТВЕННОСТЬЮ "ВЕРНЫЙ КОД"</t>
        </is>
      </c>
      <c r="C8671" s="13" t="n">
        <v>3811076486</v>
      </c>
      <c r="D8671" s="13" t="inlineStr">
        <is>
          <t>3811076486</t>
        </is>
      </c>
      <c r="E8671" s="13" t="inlineStr">
        <is>
          <t>ЮЛ РФ</t>
        </is>
      </c>
      <c r="F8671" s="13" t="n"/>
      <c r="G8671" s="52" t="n">
        <v>8</v>
      </c>
      <c r="H8671" s="52" t="n">
        <v>2025</v>
      </c>
      <c r="I8671" s="14" t="n"/>
      <c r="J8671" s="14" t="n"/>
      <c r="K8671" s="53" t="inlineStr">
        <is>
          <t>Нет</t>
        </is>
      </c>
      <c r="L8671" s="53" t="inlineStr">
        <is>
          <t>Не определено</t>
        </is>
      </c>
      <c r="M8671" s="53" t="inlineStr">
        <is>
          <t>До 10</t>
        </is>
      </c>
      <c r="N8671" s="54" t="n">
        <v>3360</v>
      </c>
      <c r="O8671" s="55" t="inlineStr">
        <is>
          <t>1–15</t>
        </is>
      </c>
      <c r="P8671" s="16" t="inlineStr">
        <is>
          <t>ССЧР обогащена; ОКВЭД не найден/не загружен</t>
        </is>
      </c>
      <c r="Q8671" s="16" t="inlineStr">
        <is>
          <t>ФНС открытые данные ССЧР (ДатаСост 31.12.2025; набор 7707329152-sshr2019)</t>
        </is>
      </c>
      <c r="R8671" s="16">
        <f>HYPERLINK("https://checko.ru/search?query=3801001629","Чекко: проверить")</f>
        <v/>
      </c>
      <c r="S8671" t="n">
        <v>0</v>
      </c>
      <c r="T8671" s="35" t="inlineStr">
        <is>
          <t>4 — Не обогащён</t>
        </is>
      </c>
      <c r="U8671" s="35" t="inlineStr">
        <is>
          <t>Нет ОКВЭД/ССЧР</t>
        </is>
      </c>
      <c r="V8671" s="35" t="inlineStr">
        <is>
          <t>Не определено</t>
        </is>
      </c>
      <c r="W8671" s="35" t="inlineStr">
        <is>
          <t>Нет</t>
        </is>
      </c>
      <c r="X8671" s="35" t="inlineStr"/>
    </row>
    <row r="8672" ht="15" customHeight="1" s="24">
      <c r="A8672" s="13" t="n">
        <v>801639853</v>
      </c>
      <c r="B8672" s="13" t="inlineStr">
        <is>
          <t>ИП Кончакова Светлана Дмитриевна</t>
        </is>
      </c>
      <c r="C8672" s="13" t="n">
        <v>380104089316</v>
      </c>
      <c r="D8672" s="13" t="inlineStr">
        <is>
          <t>380104089316</t>
        </is>
      </c>
      <c r="E8672" s="13" t="inlineStr">
        <is>
          <t>ИП РФ / физлицо</t>
        </is>
      </c>
      <c r="F8672" s="13" t="n"/>
      <c r="G8672" s="14" t="n"/>
      <c r="H8672" s="14" t="n"/>
      <c r="I8672" s="14" t="n"/>
      <c r="J8672" s="14" t="n"/>
      <c r="K8672" s="53" t="inlineStr"/>
      <c r="L8672" s="53" t="inlineStr">
        <is>
          <t>Не определено</t>
        </is>
      </c>
      <c r="M8672" s="53" t="inlineStr"/>
      <c r="N8672" s="54" t="inlineStr"/>
      <c r="O8672" s="55" t="inlineStr"/>
      <c r="P8672" s="16" t="inlineStr">
        <is>
          <t>Требует обогащения</t>
        </is>
      </c>
      <c r="Q8672" s="16">
        <f>HYPERLINK("https://pb.nalog.ru/search.html?query=380104089316","ФНС: проверить")</f>
        <v/>
      </c>
      <c r="R8672" s="16">
        <f>HYPERLINK("https://checko.ru/search?query=3801001629","Чекко: проверить")</f>
        <v/>
      </c>
      <c r="S8672" t="n">
        <v>0</v>
      </c>
      <c r="T8672" s="35" t="inlineStr">
        <is>
          <t>4 — Не обогащён</t>
        </is>
      </c>
      <c r="U8672" s="35" t="inlineStr">
        <is>
          <t>Нет ОКВЭД/ССЧР</t>
        </is>
      </c>
      <c r="V8672" s="35" t="inlineStr">
        <is>
          <t>Не определено</t>
        </is>
      </c>
      <c r="W8672" s="35" t="inlineStr"/>
      <c r="X8672" s="35" t="inlineStr"/>
    </row>
    <row r="8673" ht="15" customHeight="1" s="24">
      <c r="A8673" s="13" t="inlineStr">
        <is>
          <t>FR23097</t>
        </is>
      </c>
      <c r="B8673" s="13" t="inlineStr">
        <is>
          <t>ООО "Кёнигзи-Сибирь"</t>
        </is>
      </c>
      <c r="C8673" s="13" t="n">
        <v>7536103723</v>
      </c>
      <c r="D8673" s="13" t="inlineStr">
        <is>
          <t>7536103723</t>
        </is>
      </c>
      <c r="E8673" s="13" t="inlineStr">
        <is>
          <t>ЮЛ РФ</t>
        </is>
      </c>
      <c r="F8673" s="13" t="n"/>
      <c r="G8673" s="52" t="n">
        <v>25</v>
      </c>
      <c r="H8673" s="52" t="n">
        <v>2025</v>
      </c>
      <c r="I8673" s="52" t="inlineStr">
        <is>
          <t>46.46</t>
        </is>
      </c>
      <c r="J8673" s="52" t="inlineStr">
        <is>
          <t>46.46; 33.13; 46.90; 47.74; 52.29; 64.91; 86.10; 86.21; 86.90.9</t>
        </is>
      </c>
      <c r="K8673" s="53" t="inlineStr">
        <is>
          <t>Да</t>
        </is>
      </c>
      <c r="L8673" s="53" t="inlineStr">
        <is>
          <t>Да</t>
        </is>
      </c>
      <c r="M8673" s="53" t="inlineStr">
        <is>
          <t>До 25</t>
        </is>
      </c>
      <c r="N8673" s="54" t="n">
        <v>8400</v>
      </c>
      <c r="O8673" s="55" t="inlineStr">
        <is>
          <t>16–30</t>
        </is>
      </c>
      <c r="P8673" s="16" t="inlineStr">
        <is>
          <t>ССЧР + ОКВЭД обогащены</t>
        </is>
      </c>
      <c r="Q8673" s="16" t="inlineStr">
        <is>
          <t>ФНС открытые данные ССЧР (ДатаСост 31.12.2025; набор 7707329152-sshr2019)</t>
        </is>
      </c>
      <c r="R8673" s="16" t="inlineStr">
        <is>
          <t>ЕГРЮЛ / egrul.nalog.ru (выписка)</t>
        </is>
      </c>
      <c r="S8673" t="n">
        <v>0</v>
      </c>
      <c r="T8673" s="35" t="inlineStr">
        <is>
          <t>1 — Горячий</t>
        </is>
      </c>
      <c r="U8673" s="35" t="inlineStr">
        <is>
          <t>ОКВЭД + 22+</t>
        </is>
      </c>
      <c r="V8673" s="35" t="inlineStr">
        <is>
          <t>Да</t>
        </is>
      </c>
      <c r="W8673" s="35" t="inlineStr">
        <is>
          <t>Да</t>
        </is>
      </c>
      <c r="X8673" s="35" t="inlineStr">
        <is>
          <t>Да</t>
        </is>
      </c>
    </row>
    <row r="8674" ht="27.75" customHeight="1" s="24">
      <c r="A8674" s="13" t="n">
        <v>804686412</v>
      </c>
      <c r="B8674" s="13" t="inlineStr">
        <is>
          <t>Общество с ограниченной ответственностью "ТЦ ИРКУТ"</t>
        </is>
      </c>
      <c r="C8674" s="13" t="n">
        <v>3808099540</v>
      </c>
      <c r="D8674" s="13" t="inlineStr">
        <is>
          <t>3808099540</t>
        </is>
      </c>
      <c r="E8674" s="13" t="inlineStr">
        <is>
          <t>ЮЛ РФ</t>
        </is>
      </c>
      <c r="F8674" s="13" t="n"/>
      <c r="G8674" s="52" t="n">
        <v>8</v>
      </c>
      <c r="H8674" s="52" t="n">
        <v>2025</v>
      </c>
      <c r="I8674" s="14" t="n"/>
      <c r="J8674" s="14" t="n"/>
      <c r="K8674" s="53" t="inlineStr">
        <is>
          <t>Нет</t>
        </is>
      </c>
      <c r="L8674" s="53" t="inlineStr">
        <is>
          <t>Не определено</t>
        </is>
      </c>
      <c r="M8674" s="53" t="inlineStr">
        <is>
          <t>До 10</t>
        </is>
      </c>
      <c r="N8674" s="54" t="n">
        <v>3360</v>
      </c>
      <c r="O8674" s="55" t="inlineStr">
        <is>
          <t>1–15</t>
        </is>
      </c>
      <c r="P8674" s="16" t="inlineStr">
        <is>
          <t>ССЧР обогащена; ОКВЭД не найден/не загружен</t>
        </is>
      </c>
      <c r="Q8674" s="16" t="inlineStr">
        <is>
          <t>ФНС открытые данные ССЧР (ДатаСост 31.12.2025; набор 7707329152-sshr2019)</t>
        </is>
      </c>
      <c r="R8674" s="16">
        <f>HYPERLINK("https://checko.ru/search?query=3801001629","Чекко: проверить")</f>
        <v/>
      </c>
      <c r="S8674" t="n">
        <v>0</v>
      </c>
      <c r="T8674" s="35" t="inlineStr">
        <is>
          <t>4 — Не обогащён</t>
        </is>
      </c>
      <c r="U8674" s="35" t="inlineStr">
        <is>
          <t>Нет ОКВЭД/ССЧР</t>
        </is>
      </c>
      <c r="V8674" s="35" t="inlineStr">
        <is>
          <t>Не определено</t>
        </is>
      </c>
      <c r="W8674" s="35" t="inlineStr">
        <is>
          <t>Нет</t>
        </is>
      </c>
      <c r="X8674" s="35" t="inlineStr"/>
    </row>
    <row r="8675" ht="27.75" customHeight="1" s="24">
      <c r="A8675" s="13" t="inlineStr">
        <is>
          <t>FR1224340</t>
        </is>
      </c>
      <c r="B8675" s="13" t="inlineStr">
        <is>
          <t>Общество с ограниченной ответственностью "ФИНАНСОВАЯ ЗАЩИТА"</t>
        </is>
      </c>
      <c r="C8675" s="13" t="n">
        <v>3849088716</v>
      </c>
      <c r="D8675" s="13" t="inlineStr">
        <is>
          <t>3849088716</t>
        </is>
      </c>
      <c r="E8675" s="13" t="inlineStr">
        <is>
          <t>ЮЛ РФ</t>
        </is>
      </c>
      <c r="F8675" s="13" t="n"/>
      <c r="G8675" s="52" t="n">
        <v>6</v>
      </c>
      <c r="H8675" s="52" t="n">
        <v>2025</v>
      </c>
      <c r="I8675" s="14" t="n"/>
      <c r="J8675" s="14" t="n"/>
      <c r="K8675" s="53" t="inlineStr">
        <is>
          <t>Нет</t>
        </is>
      </c>
      <c r="L8675" s="53" t="inlineStr">
        <is>
          <t>Не определено</t>
        </is>
      </c>
      <c r="M8675" s="53" t="inlineStr">
        <is>
          <t>До 10</t>
        </is>
      </c>
      <c r="N8675" s="54" t="n">
        <v>3360</v>
      </c>
      <c r="O8675" s="55" t="inlineStr">
        <is>
          <t>1–15</t>
        </is>
      </c>
      <c r="P8675" s="16" t="inlineStr">
        <is>
          <t>ССЧР обогащена; ОКВЭД не найден/не загружен</t>
        </is>
      </c>
      <c r="Q8675" s="16" t="inlineStr">
        <is>
          <t>ФНС открытые данные ССЧР (ДатаСост 31.12.2025; набор 7707329152-sshr2019)</t>
        </is>
      </c>
      <c r="R8675" s="16">
        <f>HYPERLINK("https://checko.ru/search?query=3801001629","Чекко: проверить")</f>
        <v/>
      </c>
      <c r="S8675" t="n">
        <v>0</v>
      </c>
      <c r="T8675" s="35" t="inlineStr">
        <is>
          <t>4 — Не обогащён</t>
        </is>
      </c>
      <c r="U8675" s="35" t="inlineStr">
        <is>
          <t>Нет ОКВЭД/ССЧР</t>
        </is>
      </c>
      <c r="V8675" s="35" t="inlineStr">
        <is>
          <t>Не определено</t>
        </is>
      </c>
      <c r="W8675" s="35" t="inlineStr">
        <is>
          <t>Нет</t>
        </is>
      </c>
      <c r="X8675" s="35" t="inlineStr"/>
    </row>
    <row r="8676" ht="15" customHeight="1" s="24">
      <c r="A8676" s="13" t="inlineStr">
        <is>
          <t>FR802704</t>
        </is>
      </c>
      <c r="B8676" s="13" t="inlineStr">
        <is>
          <t>МЕДВЕДЕВ ГРУПП</t>
        </is>
      </c>
      <c r="C8676" s="13" t="n">
        <v>3801094165</v>
      </c>
      <c r="D8676" s="13" t="inlineStr">
        <is>
          <t>3801094165</t>
        </is>
      </c>
      <c r="E8676" s="13" t="inlineStr">
        <is>
          <t>ЮЛ РФ</t>
        </is>
      </c>
      <c r="F8676" s="13" t="n"/>
      <c r="G8676" s="52" t="n">
        <v>12</v>
      </c>
      <c r="H8676" s="52" t="n">
        <v>2025</v>
      </c>
      <c r="I8676" s="14" t="n"/>
      <c r="J8676" s="14" t="n"/>
      <c r="K8676" s="53" t="inlineStr">
        <is>
          <t>Нет</t>
        </is>
      </c>
      <c r="L8676" s="53" t="inlineStr">
        <is>
          <t>Не определено</t>
        </is>
      </c>
      <c r="M8676" s="53" t="inlineStr">
        <is>
          <t>До 25</t>
        </is>
      </c>
      <c r="N8676" s="54" t="n">
        <v>8400</v>
      </c>
      <c r="O8676" s="55" t="inlineStr">
        <is>
          <t>1–15</t>
        </is>
      </c>
      <c r="P8676" s="16" t="inlineStr">
        <is>
          <t>ССЧР обогащена; ОКВЭД не найден/не загружен</t>
        </is>
      </c>
      <c r="Q8676" s="16" t="inlineStr">
        <is>
          <t>ФНС открытые данные ССЧР (ДатаСост 31.12.2025; набор 7707329152-sshr2019)</t>
        </is>
      </c>
      <c r="R8676" s="16">
        <f>HYPERLINK("https://checko.ru/search?query=3801001629","Чекко: проверить")</f>
        <v/>
      </c>
      <c r="S8676" t="n">
        <v>0</v>
      </c>
      <c r="T8676" s="35" t="inlineStr">
        <is>
          <t>4 — Не обогащён</t>
        </is>
      </c>
      <c r="U8676" s="35" t="inlineStr">
        <is>
          <t>Нет ОКВЭД/ССЧР</t>
        </is>
      </c>
      <c r="V8676" s="35" t="inlineStr">
        <is>
          <t>Не определено</t>
        </is>
      </c>
      <c r="W8676" s="35" t="inlineStr">
        <is>
          <t>Нет</t>
        </is>
      </c>
      <c r="X8676" s="35" t="inlineStr"/>
    </row>
    <row r="8677" ht="15" customHeight="1" s="24">
      <c r="A8677" s="13" t="n">
        <v>801639853</v>
      </c>
      <c r="B8677" s="13" t="inlineStr">
        <is>
          <t>ИП Кончакова Светлана Дмитриевна</t>
        </is>
      </c>
      <c r="C8677" s="13" t="n">
        <v>380104089316</v>
      </c>
      <c r="D8677" s="13" t="inlineStr">
        <is>
          <t>380104089316</t>
        </is>
      </c>
      <c r="E8677" s="13" t="inlineStr">
        <is>
          <t>ИП РФ / физлицо</t>
        </is>
      </c>
      <c r="F8677" s="13" t="n"/>
      <c r="G8677" s="14" t="n"/>
      <c r="H8677" s="14" t="n"/>
      <c r="I8677" s="14" t="n"/>
      <c r="J8677" s="14" t="n"/>
      <c r="K8677" s="53" t="inlineStr"/>
      <c r="L8677" s="53" t="inlineStr">
        <is>
          <t>Не определено</t>
        </is>
      </c>
      <c r="M8677" s="53" t="inlineStr"/>
      <c r="N8677" s="54" t="inlineStr"/>
      <c r="O8677" s="55" t="inlineStr"/>
      <c r="P8677" s="16" t="inlineStr">
        <is>
          <t>Требует обогащения</t>
        </is>
      </c>
      <c r="Q8677" s="16">
        <f>HYPERLINK("https://pb.nalog.ru/search.html?query=380104089316","ФНС: проверить")</f>
        <v/>
      </c>
      <c r="R8677" s="16">
        <f>HYPERLINK("https://checko.ru/search?query=3801001629","Чекко: проверить")</f>
        <v/>
      </c>
      <c r="S8677" t="n">
        <v>0</v>
      </c>
      <c r="T8677" s="35" t="inlineStr">
        <is>
          <t>4 — Не обогащён</t>
        </is>
      </c>
      <c r="U8677" s="35" t="inlineStr">
        <is>
          <t>Нет ОКВЭД/ССЧР</t>
        </is>
      </c>
      <c r="V8677" s="35" t="inlineStr">
        <is>
          <t>Не определено</t>
        </is>
      </c>
      <c r="W8677" s="35" t="inlineStr"/>
      <c r="X8677" s="35" t="inlineStr"/>
    </row>
    <row r="8678" ht="15" customHeight="1" s="24">
      <c r="A8678" s="13" t="n">
        <v>800439050</v>
      </c>
      <c r="B8678" s="13" t="inlineStr">
        <is>
          <t>ООО "Аптека "Панацея"</t>
        </is>
      </c>
      <c r="C8678" s="13" t="n">
        <v>3834009260</v>
      </c>
      <c r="D8678" s="13" t="inlineStr">
        <is>
          <t>3834009260</t>
        </is>
      </c>
      <c r="E8678" s="13" t="inlineStr">
        <is>
          <t>ЮЛ РФ</t>
        </is>
      </c>
      <c r="F8678" s="13" t="n"/>
      <c r="G8678" s="52" t="n">
        <v>18</v>
      </c>
      <c r="H8678" s="52" t="n">
        <v>2025</v>
      </c>
      <c r="I8678" s="14" t="n"/>
      <c r="J8678" s="14" t="n"/>
      <c r="K8678" s="53" t="inlineStr">
        <is>
          <t>Нет</t>
        </is>
      </c>
      <c r="L8678" s="53" t="inlineStr">
        <is>
          <t>Не определено</t>
        </is>
      </c>
      <c r="M8678" s="53" t="inlineStr">
        <is>
          <t>До 25</t>
        </is>
      </c>
      <c r="N8678" s="54" t="n">
        <v>8400</v>
      </c>
      <c r="O8678" s="55" t="inlineStr">
        <is>
          <t>16–30</t>
        </is>
      </c>
      <c r="P8678" s="16" t="inlineStr">
        <is>
          <t>ССЧР обогащена; ОКВЭД не найден/не загружен</t>
        </is>
      </c>
      <c r="Q8678" s="16" t="inlineStr">
        <is>
          <t>ФНС открытые данные ССЧР (ДатаСост 31.12.2025; набор 7707329152-sshr2019)</t>
        </is>
      </c>
      <c r="R8678" s="16">
        <f>HYPERLINK("https://checko.ru/search?query=3801001629","Чекко: проверить")</f>
        <v/>
      </c>
      <c r="S8678" t="n">
        <v>0</v>
      </c>
      <c r="T8678" s="35" t="inlineStr">
        <is>
          <t>4 — Не обогащён</t>
        </is>
      </c>
      <c r="U8678" s="35" t="inlineStr">
        <is>
          <t>Нет ОКВЭД/ССЧР</t>
        </is>
      </c>
      <c r="V8678" s="35" t="inlineStr">
        <is>
          <t>Не определено</t>
        </is>
      </c>
      <c r="W8678" s="35" t="inlineStr">
        <is>
          <t>Нет</t>
        </is>
      </c>
      <c r="X8678" s="35" t="inlineStr"/>
    </row>
    <row r="8679" ht="27.75" customHeight="1" s="24">
      <c r="A8679" s="13" t="inlineStr">
        <is>
          <t>AGI26</t>
        </is>
      </c>
      <c r="B8679" s="13" t="inlineStr">
        <is>
          <t>Министерство имущественных отношений Иркутской области</t>
        </is>
      </c>
      <c r="C8679" s="13" t="n">
        <v>0</v>
      </c>
      <c r="D8679" s="13" t="n"/>
      <c r="E8679" s="13" t="inlineStr">
        <is>
          <t>Не определён</t>
        </is>
      </c>
      <c r="F8679" s="13" t="inlineStr">
        <is>
          <t>0</t>
        </is>
      </c>
      <c r="G8679" s="14" t="n"/>
      <c r="H8679" s="14" t="n"/>
      <c r="I8679" s="14" t="n"/>
      <c r="J8679" s="14" t="n"/>
      <c r="K8679" s="13">
        <f>IF(G8679="","",IF(G8679&gt;=22,"Да","Нет"))</f>
        <v/>
      </c>
      <c r="L8679" s="13">
        <f>IF(OR(I8679="",J8679=""),"Не определено",IF(OR(COUNTIF(I8679,"45*")&gt;0,COUNTIF(J8679,"*45*")&gt;0,COUNTIF(I8679,"46*")&gt;0,COUNTIF(J8679,"*46*")&gt;0,COUNTIF(I8679,"47*")&gt;0,COUNTIF(J8679,"*47*")&gt;0,COUNTIF(I8679,"10*")&gt;0,COUNTIF(J8679,"*10*")&gt;0,COUNTIF(I8679,"11*")&gt;0,COUNTIF(J8679,"*11*")&gt;0,COUNTIF(I8679,"12*")&gt;0,COUNTIF(J8679,"*12*")&gt;0,COUNTIF(I8679,"13*")&gt;0,COUNTIF(J8679,"*13*")&gt;0,COUNTIF(I8679,"14*")&gt;0,COUNTIF(J8679,"*14*")&gt;0,COUNTIF(I8679,"15*")&gt;0,COUNTIF(J8679,"*15*")&gt;0,COUNTIF(I8679,"16*")&gt;0,COUNTIF(J8679,"*16*")&gt;0,COUNTIF(I8679,"17*")&gt;0,COUNTIF(J8679,"*17*")&gt;0,COUNTIF(I8679,"18*")&gt;0,COUNTIF(J8679,"*18*")&gt;0,COUNTIF(I8679,"19*")&gt;0,COUNTIF(J8679,"*19*")&gt;0,COUNTIF(I8679,"20*")&gt;0,COUNTIF(J8679,"*20*")&gt;0,COUNTIF(I8679,"21*")&gt;0,COUNTIF(J8679,"*21*")&gt;0,COUNTIF(I8679,"22*")&gt;0,COUNTIF(J8679,"*22*")&gt;0,COUNTIF(I8679,"23*")&gt;0,COUNTIF(J8679,"*23*")&gt;0,COUNTIF(I8679,"24*")&gt;0,COUNTIF(J8679,"*24*")&gt;0,COUNTIF(I8679,"25*")&gt;0,COUNTIF(J8679,"*25*")&gt;0,COUNTIF(I8679,"26*")&gt;0,COUNTIF(J8679,"*26*")&gt;0,COUNTIF(I8679,"27*")&gt;0,COUNTIF(J8679,"*27*")&gt;0,COUNTIF(I8679,"28*")&gt;0,COUNTIF(J8679,"*28*")&gt;0,COUNTIF(I8679,"29*")&gt;0,COUNTIF(J8679,"*29*")&gt;0,COUNTIF(I8679,"30*")&gt;0,COUNTIF(J8679,"*30*")&gt;0,COUNTIF(I8679,"31*")&gt;0,COUNTIF(J8679,"*31*")&gt;0,COUNTIF(I8679,"32*")&gt;0,COUNTIF(J8679,"*32*")&gt;0,COUNTIF(I8679,"33*")&gt;0,COUNTIF(J8679,"*33*")&gt;0,COUNTIF(I8679,"41*")&gt;0,COUNTIF(J8679,"*41*")&gt;0,COUNTIF(I8679,"42*")&gt;0,COUNTIF(J8679,"*42*")&gt;0,COUNTIF(I8679,"43*")&gt;0,COUNTIF(J8679,"*43*")&gt;0,COUNTIF(I8679,"49*")&gt;0,COUNTIF(J8679,"*49*")&gt;0,COUNTIF(I8679,"52*")&gt;0,COUNTIF(J8679,"*52*")&gt;0,COUNTIF(I8679,"55*")&gt;0,COUNTIF(J8679,"*55*")&gt;0,COUNTIF(I8679,"56*")&gt;0,COUNTIF(J8679,"*56*")&gt;0,COUNTIF(I8679,"68*")&gt;0,COUNTIF(J8679,"*68*")&gt;0,COUNTIF(I8679,"78*")&gt;0,COUNTIF(J8679,"*78*")&gt;0,COUNTIF(I8679,"81*")&gt;0,COUNTIF(J8679,"*81*")&gt;0,COUNTIF(I8679,"82*")&gt;0,COUNTIF(J8679,"*82*")&gt;0,COUNTIF(I8679,"64*")&gt;0,COUNTIF(J8679,"*64*")&gt;0,COUNTIF(I8679,"65*")&gt;0,COUNTIF(J8679,"*65*")&gt;0,COUNTIF(I8679,"66*")&gt;0,COUNTIF(J8679,"*66*")&gt;0,COUNTIF(I8679,"61*")&gt;0,COUNTIF(J8679,"*61*")&gt;0,COUNTIF(I8679,"62*")&gt;0,COUNTIF(J8679,"*62*")&gt;0,COUNTIF(I8679,"63*")&gt;0,COUNTIF(J8679,"*63*")&gt;0,COUNTIF(I8679,"85*")&gt;0,COUNTIF(J8679,"*85*")&gt;0,COUNTIF(I8679,"86*")&gt;0,COUNTIF(J8679,"*86*")&gt;0),"Да","Нет"))</f>
        <v/>
      </c>
      <c r="M8679" s="13">
        <f>IF(OR(G8679="",L8679&lt;&gt;"Да"),"",IF(G8679&lt;=100,"До 100",IF(G8679&lt;=200,"До 200",IF(G8679&lt;=500,"До 500","Отдельное КП"))))</f>
        <v/>
      </c>
      <c r="N8679" s="15">
        <f>IF(OR(G8679="",L8679&lt;&gt;"Да"),"",IF(G8679&lt;=100,33600,IF(G8679&lt;=200,62400,IF(G8679&lt;=500,144000,""))))</f>
        <v/>
      </c>
      <c r="O8679" s="16">
        <f>IF(G8679="","",IF(G8679&lt;=15,"1–15",IF(G8679&lt;=30,"16–30",IF(G8679&lt;=50,"31–50",IF(G8679&lt;=100,"51–100",IF(G8679&lt;=150,"101–150",IF(G8679&lt;=200,"151–200",IF(G8679&lt;=500,"201–500","500+"))))))))</f>
        <v/>
      </c>
      <c r="P8679" s="16" t="inlineStr">
        <is>
          <t>Нет совпадения в предоставленной выгрузке ССЧР</t>
        </is>
      </c>
      <c r="Q8679" s="16" t="n"/>
      <c r="R8679" s="16">
        <f>HYPERLINK("https://checko.ru/search?query=3801001629","Чекко: проверить")</f>
        <v/>
      </c>
      <c r="S8679" t="n">
        <v>0</v>
      </c>
    </row>
    <row r="8680" ht="15" customHeight="1" s="24">
      <c r="A8680" s="13" t="n">
        <v>804670629</v>
      </c>
      <c r="B8680" s="13" t="inlineStr">
        <is>
          <t>ООО "ДОМСТИЛЬ"</t>
        </is>
      </c>
      <c r="C8680" s="13" t="n">
        <v>3801156301</v>
      </c>
      <c r="D8680" s="13" t="inlineStr">
        <is>
          <t>3801156301</t>
        </is>
      </c>
      <c r="E8680" s="13" t="inlineStr">
        <is>
          <t>ЮЛ РФ</t>
        </is>
      </c>
      <c r="F8680" s="13" t="n"/>
      <c r="G8680" s="52" t="n">
        <v>74</v>
      </c>
      <c r="H8680" s="52" t="n">
        <v>2025</v>
      </c>
      <c r="I8680" s="52" t="inlineStr">
        <is>
          <t>47.19</t>
        </is>
      </c>
      <c r="J8680" s="52" t="inlineStr">
        <is>
          <t>47.19; 45.40.1; 45.40.3; 46.14.1; 46.15; 46.43; 46.47; 46.51.1; 46.52; 46.65; 47.41; 47.42; 47.43; 47.59; 52.29; 68.20.2</t>
        </is>
      </c>
      <c r="K8680" s="53" t="inlineStr">
        <is>
          <t>Да</t>
        </is>
      </c>
      <c r="L8680" s="53" t="inlineStr">
        <is>
          <t>Да</t>
        </is>
      </c>
      <c r="M8680" s="53" t="inlineStr">
        <is>
          <t>До 100</t>
        </is>
      </c>
      <c r="N8680" s="54" t="n">
        <v>33600</v>
      </c>
      <c r="O8680" s="55" t="inlineStr">
        <is>
          <t>51–100</t>
        </is>
      </c>
      <c r="P8680" s="16" t="inlineStr">
        <is>
          <t>ССЧР + ОКВЭД обогащены</t>
        </is>
      </c>
      <c r="Q8680" s="16" t="inlineStr">
        <is>
          <t>ФНС открытые данные ССЧР (ДатаСост 31.12.2025; набор 7707329152-sshr2019)</t>
        </is>
      </c>
      <c r="R8680" s="16" t="inlineStr">
        <is>
          <t>ЕГРЮЛ / egrul.nalog.ru (выписка)</t>
        </is>
      </c>
      <c r="S8680" t="n">
        <v>0</v>
      </c>
      <c r="T8680" s="35" t="inlineStr">
        <is>
          <t>1 — Горячий</t>
        </is>
      </c>
      <c r="U8680" s="35" t="inlineStr">
        <is>
          <t>ОКВЭД + 22+</t>
        </is>
      </c>
      <c r="V8680" s="35" t="inlineStr">
        <is>
          <t>Да</t>
        </is>
      </c>
      <c r="W8680" s="35" t="inlineStr">
        <is>
          <t>Да</t>
        </is>
      </c>
      <c r="X8680" s="35" t="inlineStr">
        <is>
          <t>Да</t>
        </is>
      </c>
    </row>
    <row r="8681" ht="27.75" customHeight="1" s="24">
      <c r="A8681" s="13" t="inlineStr">
        <is>
          <t>FR812526</t>
        </is>
      </c>
      <c r="B8681" s="13" t="inlineStr">
        <is>
          <t>ТОВАРИЩЕСТВО СОБСТВЕННИКОВ ЖИЛЬЯ "ПОБЕДА"</t>
        </is>
      </c>
      <c r="C8681" s="13" t="n">
        <v>3804033080</v>
      </c>
      <c r="D8681" s="13" t="inlineStr">
        <is>
          <t>3804033080</t>
        </is>
      </c>
      <c r="E8681" s="13" t="inlineStr">
        <is>
          <t>ЮЛ РФ</t>
        </is>
      </c>
      <c r="F8681" s="13" t="n"/>
      <c r="G8681" s="14" t="n"/>
      <c r="H8681" s="14" t="n"/>
      <c r="I8681" s="14" t="n"/>
      <c r="J8681" s="14" t="n"/>
      <c r="K8681" s="53" t="inlineStr"/>
      <c r="L8681" s="53" t="inlineStr">
        <is>
          <t>Не определено</t>
        </is>
      </c>
      <c r="M8681" s="53" t="inlineStr"/>
      <c r="N8681" s="54" t="inlineStr"/>
      <c r="O8681" s="55" t="inlineStr"/>
      <c r="P8681" s="16" t="inlineStr">
        <is>
          <t>Требует обогащения</t>
        </is>
      </c>
      <c r="Q8681" s="16">
        <f>HYPERLINK("https://pb.nalog.ru/search.html?query=3804033080","ФНС: проверить")</f>
        <v/>
      </c>
      <c r="R8681" s="16">
        <f>HYPERLINK("https://checko.ru/search?query=3801001629","Чекко: проверить")</f>
        <v/>
      </c>
      <c r="S8681" t="n">
        <v>1</v>
      </c>
      <c r="T8681" s="35" t="inlineStr">
        <is>
          <t>4 — Не обогащён</t>
        </is>
      </c>
      <c r="U8681" s="35" t="inlineStr">
        <is>
          <t>Нет ОКВЭД/ССЧР</t>
        </is>
      </c>
      <c r="V8681" s="35" t="inlineStr">
        <is>
          <t>Не определено</t>
        </is>
      </c>
      <c r="W8681" s="35" t="inlineStr"/>
      <c r="X8681" s="35" t="inlineStr"/>
    </row>
    <row r="8682" ht="27.75" customHeight="1" s="24">
      <c r="A8682" s="13" t="inlineStr">
        <is>
          <t>FR1242415</t>
        </is>
      </c>
      <c r="B8682" s="13" t="inlineStr">
        <is>
          <t>ОБЩЕСТВО С ОГРАНИЧЕННОЙ ОТВЕТСТВЕННОСТЬЮ "АРМАДА"</t>
        </is>
      </c>
      <c r="C8682" s="13" t="n">
        <v>3818051441</v>
      </c>
      <c r="D8682" s="13" t="inlineStr">
        <is>
          <t>3818051441</t>
        </is>
      </c>
      <c r="E8682" s="13" t="inlineStr">
        <is>
          <t>ЮЛ РФ</t>
        </is>
      </c>
      <c r="F8682" s="13" t="n"/>
      <c r="G8682" s="52" t="n">
        <v>10</v>
      </c>
      <c r="H8682" s="52" t="n">
        <v>2025</v>
      </c>
      <c r="I8682" s="14" t="n"/>
      <c r="J8682" s="14" t="n"/>
      <c r="K8682" s="53" t="inlineStr">
        <is>
          <t>Нет</t>
        </is>
      </c>
      <c r="L8682" s="53" t="inlineStr">
        <is>
          <t>Не определено</t>
        </is>
      </c>
      <c r="M8682" s="53" t="inlineStr">
        <is>
          <t>До 10</t>
        </is>
      </c>
      <c r="N8682" s="54" t="n">
        <v>3360</v>
      </c>
      <c r="O8682" s="55" t="inlineStr">
        <is>
          <t>1–15</t>
        </is>
      </c>
      <c r="P8682" s="16" t="inlineStr">
        <is>
          <t>ССЧР обогащена; ОКВЭД не найден/не загружен</t>
        </is>
      </c>
      <c r="Q8682" s="16" t="inlineStr">
        <is>
          <t>ФНС открытые данные ССЧР (ДатаСост 31.12.2025; набор 7707329152-sshr2019)</t>
        </is>
      </c>
      <c r="R8682" s="16">
        <f>HYPERLINK("https://checko.ru/search?query=3801001629","Чекко: проверить")</f>
        <v/>
      </c>
      <c r="S8682" t="n">
        <v>1</v>
      </c>
      <c r="T8682" s="35" t="inlineStr">
        <is>
          <t>4 — Не обогащён</t>
        </is>
      </c>
      <c r="U8682" s="35" t="inlineStr">
        <is>
          <t>Нет ОКВЭД/ССЧР</t>
        </is>
      </c>
      <c r="V8682" s="35" t="inlineStr">
        <is>
          <t>Не определено</t>
        </is>
      </c>
      <c r="W8682" s="35" t="inlineStr">
        <is>
          <t>Нет</t>
        </is>
      </c>
      <c r="X8682" s="35" t="inlineStr"/>
    </row>
    <row r="8683" ht="27.75" customHeight="1" s="24">
      <c r="A8683" s="13" t="inlineStr">
        <is>
          <t>FR818777</t>
        </is>
      </c>
      <c r="B8683" s="13" t="inlineStr">
        <is>
          <t>Общество с ограниченной ответственностью "ТЕПЛОСЕРВИС"</t>
        </is>
      </c>
      <c r="C8683" s="13" t="n">
        <v>3834016606</v>
      </c>
      <c r="D8683" s="13" t="inlineStr">
        <is>
          <t>3834016606</t>
        </is>
      </c>
      <c r="E8683" s="13" t="inlineStr">
        <is>
          <t>ЮЛ РФ</t>
        </is>
      </c>
      <c r="F8683" s="13" t="n"/>
      <c r="G8683" s="52" t="n">
        <v>11</v>
      </c>
      <c r="H8683" s="52" t="n">
        <v>2025</v>
      </c>
      <c r="I8683" s="14" t="n"/>
      <c r="J8683" s="14" t="n"/>
      <c r="K8683" s="53" t="inlineStr">
        <is>
          <t>Нет</t>
        </is>
      </c>
      <c r="L8683" s="53" t="inlineStr">
        <is>
          <t>Не определено</t>
        </is>
      </c>
      <c r="M8683" s="53" t="inlineStr">
        <is>
          <t>До 25</t>
        </is>
      </c>
      <c r="N8683" s="54" t="n">
        <v>8400</v>
      </c>
      <c r="O8683" s="55" t="inlineStr">
        <is>
          <t>1–15</t>
        </is>
      </c>
      <c r="P8683" s="16" t="inlineStr">
        <is>
          <t>ССЧР обогащена; ОКВЭД не найден/не загружен</t>
        </is>
      </c>
      <c r="Q8683" s="16" t="inlineStr">
        <is>
          <t>ФНС открытые данные ССЧР (ДатаСост 31.12.2025; набор 7707329152-sshr2019)</t>
        </is>
      </c>
      <c r="R8683" s="16">
        <f>HYPERLINK("https://checko.ru/search?query=3801001629","Чекко: проверить")</f>
        <v/>
      </c>
      <c r="S8683" t="n">
        <v>1</v>
      </c>
      <c r="T8683" s="35" t="inlineStr">
        <is>
          <t>4 — Не обогащён</t>
        </is>
      </c>
      <c r="U8683" s="35" t="inlineStr">
        <is>
          <t>Нет ОКВЭД/ССЧР</t>
        </is>
      </c>
      <c r="V8683" s="35" t="inlineStr">
        <is>
          <t>Не определено</t>
        </is>
      </c>
      <c r="W8683" s="35" t="inlineStr">
        <is>
          <t>Нет</t>
        </is>
      </c>
      <c r="X8683" s="35" t="inlineStr"/>
    </row>
    <row r="8684" ht="27.75" customHeight="1" s="24">
      <c r="A8684" s="13" t="inlineStr">
        <is>
          <t>FR835502</t>
        </is>
      </c>
      <c r="B8684" s="13" t="inlineStr">
        <is>
          <t>Общество с ограниченной ответственностью УПРАВЛЯЮЩАЯ КОМПАНИЯ "ДВЕНАДЦАТЬ"</t>
        </is>
      </c>
      <c r="C8684" s="13" t="n">
        <v>3805728292</v>
      </c>
      <c r="D8684" s="13" t="inlineStr">
        <is>
          <t>3805728292</t>
        </is>
      </c>
      <c r="E8684" s="13" t="inlineStr">
        <is>
          <t>ЮЛ РФ</t>
        </is>
      </c>
      <c r="F8684" s="13" t="n"/>
      <c r="G8684" s="52" t="n">
        <v>17</v>
      </c>
      <c r="H8684" s="52" t="n">
        <v>2025</v>
      </c>
      <c r="I8684" s="14" t="n"/>
      <c r="J8684" s="14" t="n"/>
      <c r="K8684" s="53" t="inlineStr">
        <is>
          <t>Нет</t>
        </is>
      </c>
      <c r="L8684" s="53" t="inlineStr">
        <is>
          <t>Не определено</t>
        </is>
      </c>
      <c r="M8684" s="53" t="inlineStr">
        <is>
          <t>До 25</t>
        </is>
      </c>
      <c r="N8684" s="54" t="n">
        <v>8400</v>
      </c>
      <c r="O8684" s="55" t="inlineStr">
        <is>
          <t>16–30</t>
        </is>
      </c>
      <c r="P8684" s="16" t="inlineStr">
        <is>
          <t>ССЧР обогащена; ОКВЭД не найден/не загружен</t>
        </is>
      </c>
      <c r="Q8684" s="16" t="inlineStr">
        <is>
          <t>ФНС открытые данные ССЧР (ДатаСост 31.12.2025; набор 7707329152-sshr2019)</t>
        </is>
      </c>
      <c r="R8684" s="16">
        <f>HYPERLINK("https://checko.ru/search?query=3801001629","Чекко: проверить")</f>
        <v/>
      </c>
      <c r="S8684" t="n">
        <v>1</v>
      </c>
      <c r="T8684" s="35" t="inlineStr">
        <is>
          <t>4 — Не обогащён</t>
        </is>
      </c>
      <c r="U8684" s="35" t="inlineStr">
        <is>
          <t>Нет ОКВЭД/ССЧР</t>
        </is>
      </c>
      <c r="V8684" s="35" t="inlineStr">
        <is>
          <t>Не определено</t>
        </is>
      </c>
      <c r="W8684" s="35" t="inlineStr">
        <is>
          <t>Нет</t>
        </is>
      </c>
      <c r="X8684" s="35" t="inlineStr"/>
    </row>
    <row r="8685" ht="27.75" customHeight="1" s="24">
      <c r="A8685" s="13" t="inlineStr">
        <is>
          <t>FR920186</t>
        </is>
      </c>
      <c r="B8685" s="13" t="inlineStr">
        <is>
          <t>Общество с Ограниченной Ответственностью "Невонские Теплосети"</t>
        </is>
      </c>
      <c r="C8685" s="13" t="n">
        <v>3804122861</v>
      </c>
      <c r="D8685" s="13" t="inlineStr">
        <is>
          <t>3804122861</t>
        </is>
      </c>
      <c r="E8685" s="13" t="inlineStr">
        <is>
          <t>ЮЛ РФ</t>
        </is>
      </c>
      <c r="F8685" s="13" t="n"/>
      <c r="G8685" s="52" t="n">
        <v>8</v>
      </c>
      <c r="H8685" s="52" t="n">
        <v>2025</v>
      </c>
      <c r="I8685" s="14" t="n"/>
      <c r="J8685" s="14" t="n"/>
      <c r="K8685" s="53" t="inlineStr">
        <is>
          <t>Нет</t>
        </is>
      </c>
      <c r="L8685" s="53" t="inlineStr">
        <is>
          <t>Не определено</t>
        </is>
      </c>
      <c r="M8685" s="53" t="inlineStr">
        <is>
          <t>До 10</t>
        </is>
      </c>
      <c r="N8685" s="54" t="n">
        <v>3360</v>
      </c>
      <c r="O8685" s="55" t="inlineStr">
        <is>
          <t>1–15</t>
        </is>
      </c>
      <c r="P8685" s="16" t="inlineStr">
        <is>
          <t>ССЧР обогащена; ОКВЭД не найден/не загружен</t>
        </is>
      </c>
      <c r="Q8685" s="16" t="inlineStr">
        <is>
          <t>ФНС открытые данные ССЧР (ДатаСост 31.12.2025; набор 7707329152-sshr2019)</t>
        </is>
      </c>
      <c r="R8685" s="16">
        <f>HYPERLINK("https://checko.ru/search?query=3801001629","Чекко: проверить")</f>
        <v/>
      </c>
      <c r="S8685" t="n">
        <v>1</v>
      </c>
      <c r="T8685" s="35" t="inlineStr">
        <is>
          <t>4 — Не обогащён</t>
        </is>
      </c>
      <c r="U8685" s="35" t="inlineStr">
        <is>
          <t>Нет ОКВЭД/ССЧР</t>
        </is>
      </c>
      <c r="V8685" s="35" t="inlineStr">
        <is>
          <t>Не определено</t>
        </is>
      </c>
      <c r="W8685" s="35" t="inlineStr">
        <is>
          <t>Нет</t>
        </is>
      </c>
      <c r="X8685" s="35" t="inlineStr"/>
    </row>
    <row r="8686" ht="41.25" customHeight="1" s="24">
      <c r="A8686" s="13" t="inlineStr">
        <is>
          <t>FR833351</t>
        </is>
      </c>
      <c r="B8686" s="13" t="inlineStr">
        <is>
          <t>МУНИЦИПАЛЬНОЕ УНИТАРНОЕ ПРЕДПРИЯТИЕ МУНИЦИПАЛЬНОГО ОБРАЗОВАНИЯ "БРАТСКИЙ РАЙОН" "РЕСУРСОСНАБЖАЮЩАЯ О</t>
        </is>
      </c>
      <c r="C8686" s="13" t="n">
        <v>3804117244</v>
      </c>
      <c r="D8686" s="13" t="inlineStr">
        <is>
          <t>3804117244</t>
        </is>
      </c>
      <c r="E8686" s="13" t="inlineStr">
        <is>
          <t>ЮЛ РФ</t>
        </is>
      </c>
      <c r="F8686" s="13" t="n"/>
      <c r="G8686" s="14" t="n"/>
      <c r="H8686" s="14" t="n"/>
      <c r="I8686" s="14" t="n"/>
      <c r="J8686" s="14" t="n"/>
      <c r="K8686" s="53" t="inlineStr"/>
      <c r="L8686" s="53" t="inlineStr">
        <is>
          <t>Не определено</t>
        </is>
      </c>
      <c r="M8686" s="53" t="inlineStr"/>
      <c r="N8686" s="54" t="inlineStr"/>
      <c r="O8686" s="55" t="inlineStr"/>
      <c r="P8686" s="16" t="inlineStr">
        <is>
          <t>Требует обогащения</t>
        </is>
      </c>
      <c r="Q8686" s="16">
        <f>HYPERLINK("https://pb.nalog.ru/search.html?query=3804117244","ФНС: проверить")</f>
        <v/>
      </c>
      <c r="R8686" s="16">
        <f>HYPERLINK("https://checko.ru/search?query=3801001629","Чекко: проверить")</f>
        <v/>
      </c>
      <c r="S8686" t="n">
        <v>1</v>
      </c>
      <c r="T8686" s="35" t="inlineStr">
        <is>
          <t>4 — Не обогащён</t>
        </is>
      </c>
      <c r="U8686" s="35" t="inlineStr">
        <is>
          <t>Нет ОКВЭД/ССЧР</t>
        </is>
      </c>
      <c r="V8686" s="35" t="inlineStr">
        <is>
          <t>Не определено</t>
        </is>
      </c>
      <c r="W8686" s="35" t="inlineStr"/>
      <c r="X8686" s="35" t="inlineStr"/>
    </row>
    <row r="8687" ht="41.25" customHeight="1" s="24">
      <c r="A8687" s="13" t="inlineStr">
        <is>
          <t>FR847134</t>
        </is>
      </c>
      <c r="B8687" s="13" t="inlineStr">
        <is>
          <t>МУНИЦИПАЛЬНОЕ УНИТАРНОЕ ПРЕДПРИЯТИЕ МУНИЦИПАЛЬНОГО ОБРАЗОВАНИЯ "БРАТСКИЙ РАЙОН""МОДУЛЬ"</t>
        </is>
      </c>
      <c r="C8687" s="13" t="n">
        <v>3805736046</v>
      </c>
      <c r="D8687" s="13" t="inlineStr">
        <is>
          <t>3805736046</t>
        </is>
      </c>
      <c r="E8687" s="13" t="inlineStr">
        <is>
          <t>ЮЛ РФ</t>
        </is>
      </c>
      <c r="F8687" s="13" t="n"/>
      <c r="G8687" s="14" t="n"/>
      <c r="H8687" s="14" t="n"/>
      <c r="I8687" s="14" t="n"/>
      <c r="J8687" s="14" t="n"/>
      <c r="K8687" s="53" t="inlineStr"/>
      <c r="L8687" s="53" t="inlineStr">
        <is>
          <t>Не определено</t>
        </is>
      </c>
      <c r="M8687" s="53" t="inlineStr"/>
      <c r="N8687" s="54" t="inlineStr"/>
      <c r="O8687" s="55" t="inlineStr"/>
      <c r="P8687" s="16" t="inlineStr">
        <is>
          <t>Требует обогащения</t>
        </is>
      </c>
      <c r="Q8687" s="16">
        <f>HYPERLINK("https://pb.nalog.ru/search.html?query=3805736046","ФНС: проверить")</f>
        <v/>
      </c>
      <c r="R8687" s="16">
        <f>HYPERLINK("https://checko.ru/search?query=3801001629","Чекко: проверить")</f>
        <v/>
      </c>
      <c r="S8687" t="n">
        <v>0</v>
      </c>
      <c r="T8687" s="35" t="inlineStr">
        <is>
          <t>4 — Не обогащён</t>
        </is>
      </c>
      <c r="U8687" s="35" t="inlineStr">
        <is>
          <t>Нет ОКВЭД/ССЧР</t>
        </is>
      </c>
      <c r="V8687" s="35" t="inlineStr">
        <is>
          <t>Не определено</t>
        </is>
      </c>
      <c r="W8687" s="35" t="inlineStr"/>
      <c r="X8687" s="35" t="inlineStr"/>
    </row>
    <row r="8688" ht="15" customHeight="1" s="24">
      <c r="A8688" s="13" t="inlineStr">
        <is>
          <t>FR833352</t>
        </is>
      </c>
      <c r="B8688" s="13" t="inlineStr">
        <is>
          <t>Терехова Елена Степановна</t>
        </is>
      </c>
      <c r="C8688" s="13" t="n">
        <v>383200042620</v>
      </c>
      <c r="D8688" s="13" t="inlineStr">
        <is>
          <t>383200042620</t>
        </is>
      </c>
      <c r="E8688" s="13" t="inlineStr">
        <is>
          <t>ИП РФ / физлицо</t>
        </is>
      </c>
      <c r="F8688" s="13" t="n"/>
      <c r="G8688" s="14" t="n"/>
      <c r="H8688" s="14" t="n"/>
      <c r="I8688" s="14" t="n"/>
      <c r="J8688" s="14" t="n"/>
      <c r="K8688" s="53" t="inlineStr"/>
      <c r="L8688" s="53" t="inlineStr">
        <is>
          <t>Не определено</t>
        </is>
      </c>
      <c r="M8688" s="53" t="inlineStr"/>
      <c r="N8688" s="54" t="inlineStr"/>
      <c r="O8688" s="55" t="inlineStr"/>
      <c r="P8688" s="16" t="inlineStr">
        <is>
          <t>Требует обогащения</t>
        </is>
      </c>
      <c r="Q8688" s="16">
        <f>HYPERLINK("https://pb.nalog.ru/search.html?query=383200042620","ФНС: проверить")</f>
        <v/>
      </c>
      <c r="R8688" s="16">
        <f>HYPERLINK("https://checko.ru/search?query=3801001629","Чекко: проверить")</f>
        <v/>
      </c>
      <c r="S8688" t="n">
        <v>1</v>
      </c>
      <c r="T8688" s="35" t="inlineStr">
        <is>
          <t>4 — Не обогащён</t>
        </is>
      </c>
      <c r="U8688" s="35" t="inlineStr">
        <is>
          <t>Нет ОКВЭД/ССЧР</t>
        </is>
      </c>
      <c r="V8688" s="35" t="inlineStr">
        <is>
          <t>Не определено</t>
        </is>
      </c>
      <c r="W8688" s="35" t="inlineStr"/>
      <c r="X8688" s="35" t="inlineStr"/>
    </row>
    <row r="8689" ht="15" customHeight="1" s="24">
      <c r="A8689" s="13" t="inlineStr">
        <is>
          <t>FR1224945</t>
        </is>
      </c>
      <c r="B8689" s="13" t="inlineStr">
        <is>
          <t>КФХ Прохватилин Евгений Сергеевич</t>
        </is>
      </c>
      <c r="C8689" s="13" t="n">
        <v>381452421598</v>
      </c>
      <c r="D8689" s="13" t="inlineStr">
        <is>
          <t>381452421598</t>
        </is>
      </c>
      <c r="E8689" s="13" t="inlineStr">
        <is>
          <t>ИП РФ / физлицо</t>
        </is>
      </c>
      <c r="F8689" s="13" t="n"/>
      <c r="G8689" s="14" t="n"/>
      <c r="H8689" s="14" t="n"/>
      <c r="I8689" s="14" t="n"/>
      <c r="J8689" s="14" t="n"/>
      <c r="K8689" s="53" t="inlineStr"/>
      <c r="L8689" s="53" t="inlineStr">
        <is>
          <t>Не определено</t>
        </is>
      </c>
      <c r="M8689" s="53" t="inlineStr"/>
      <c r="N8689" s="54" t="inlineStr"/>
      <c r="O8689" s="55" t="inlineStr"/>
      <c r="P8689" s="16" t="inlineStr">
        <is>
          <t>Требует обогащения</t>
        </is>
      </c>
      <c r="Q8689" s="16">
        <f>HYPERLINK("https://pb.nalog.ru/search.html?query=381452421598","ФНС: проверить")</f>
        <v/>
      </c>
      <c r="R8689" s="16">
        <f>HYPERLINK("https://checko.ru/search?query=3801001629","Чекко: проверить")</f>
        <v/>
      </c>
      <c r="S8689" t="n">
        <v>1</v>
      </c>
      <c r="T8689" s="35" t="inlineStr">
        <is>
          <t>4 — Не обогащён</t>
        </is>
      </c>
      <c r="U8689" s="35" t="inlineStr">
        <is>
          <t>Нет ОКВЭД/ССЧР</t>
        </is>
      </c>
      <c r="V8689" s="35" t="inlineStr">
        <is>
          <t>Не определено</t>
        </is>
      </c>
      <c r="W8689" s="35" t="inlineStr"/>
      <c r="X8689" s="35" t="inlineStr"/>
    </row>
    <row r="8690" ht="41.25" customHeight="1" s="24">
      <c r="A8690" s="13" t="inlineStr">
        <is>
          <t>FR1232816</t>
        </is>
      </c>
      <c r="B8690" s="13" t="inlineStr">
        <is>
          <t>СЕЛЬСКОХОЗЯЙСТВЕННЫЙ ПЕРЕРАБАТЫВАЮЩИЙ СНАБЖЕНЧЕСКО-СБЫТОВОЙ ПОТРЕБИТЕЛЬСКИЙ КООПЕРАТИВ "ЛАРА"</t>
        </is>
      </c>
      <c r="C8690" s="13" t="n">
        <v>3849086363</v>
      </c>
      <c r="D8690" s="13" t="inlineStr">
        <is>
          <t>3849086363</t>
        </is>
      </c>
      <c r="E8690" s="13" t="inlineStr">
        <is>
          <t>ЮЛ РФ</t>
        </is>
      </c>
      <c r="F8690" s="13" t="n"/>
      <c r="G8690" s="14" t="n"/>
      <c r="H8690" s="14" t="n"/>
      <c r="I8690" s="14" t="n"/>
      <c r="J8690" s="14" t="n"/>
      <c r="K8690" s="53" t="inlineStr"/>
      <c r="L8690" s="53" t="inlineStr">
        <is>
          <t>Не определено</t>
        </is>
      </c>
      <c r="M8690" s="53" t="inlineStr"/>
      <c r="N8690" s="54" t="inlineStr"/>
      <c r="O8690" s="55" t="inlineStr"/>
      <c r="P8690" s="16" t="inlineStr">
        <is>
          <t>Требует обогащения</t>
        </is>
      </c>
      <c r="Q8690" s="16">
        <f>HYPERLINK("https://pb.nalog.ru/search.html?query=3849086363","ФНС: проверить")</f>
        <v/>
      </c>
      <c r="R8690" s="16">
        <f>HYPERLINK("https://checko.ru/search?query=3801001629","Чекко: проверить")</f>
        <v/>
      </c>
      <c r="S8690" t="n">
        <v>1</v>
      </c>
      <c r="T8690" s="35" t="inlineStr">
        <is>
          <t>4 — Не обогащён</t>
        </is>
      </c>
      <c r="U8690" s="35" t="inlineStr">
        <is>
          <t>Нет ОКВЭД/ССЧР</t>
        </is>
      </c>
      <c r="V8690" s="35" t="inlineStr">
        <is>
          <t>Не определено</t>
        </is>
      </c>
      <c r="W8690" s="35" t="inlineStr"/>
      <c r="X8690" s="35" t="inlineStr"/>
    </row>
    <row r="8691" ht="15" customHeight="1" s="24">
      <c r="A8691" s="13" t="inlineStr">
        <is>
          <t>FR871141</t>
        </is>
      </c>
      <c r="B8691" s="13" t="inlineStr">
        <is>
          <t>СПССПК "Мясолюбы"</t>
        </is>
      </c>
      <c r="C8691" s="13" t="n">
        <v>3801155393</v>
      </c>
      <c r="D8691" s="13" t="inlineStr">
        <is>
          <t>3801155393</t>
        </is>
      </c>
      <c r="E8691" s="13" t="inlineStr">
        <is>
          <t>ЮЛ РФ</t>
        </is>
      </c>
      <c r="F8691" s="13" t="n"/>
      <c r="G8691" s="14" t="n"/>
      <c r="H8691" s="14" t="n"/>
      <c r="I8691" s="14" t="n"/>
      <c r="J8691" s="14" t="n"/>
      <c r="K8691" s="53" t="inlineStr"/>
      <c r="L8691" s="53" t="inlineStr">
        <is>
          <t>Не определено</t>
        </is>
      </c>
      <c r="M8691" s="53" t="inlineStr"/>
      <c r="N8691" s="54" t="inlineStr"/>
      <c r="O8691" s="55" t="inlineStr"/>
      <c r="P8691" s="16" t="inlineStr">
        <is>
          <t>Требует обогащения</t>
        </is>
      </c>
      <c r="Q8691" s="16">
        <f>HYPERLINK("https://pb.nalog.ru/search.html?query=3801155393","ФНС: проверить")</f>
        <v/>
      </c>
      <c r="R8691" s="16">
        <f>HYPERLINK("https://checko.ru/search?query=3801001629","Чекко: проверить")</f>
        <v/>
      </c>
      <c r="S8691" t="n">
        <v>1</v>
      </c>
      <c r="T8691" s="35" t="inlineStr">
        <is>
          <t>4 — Не обогащён</t>
        </is>
      </c>
      <c r="U8691" s="35" t="inlineStr">
        <is>
          <t>Нет ОКВЭД/ССЧР</t>
        </is>
      </c>
      <c r="V8691" s="35" t="inlineStr">
        <is>
          <t>Не определено</t>
        </is>
      </c>
      <c r="W8691" s="35" t="inlineStr"/>
      <c r="X8691" s="35" t="inlineStr"/>
    </row>
    <row r="8692" ht="15" customHeight="1" s="24">
      <c r="A8692" s="13" t="inlineStr">
        <is>
          <t>FR882630</t>
        </is>
      </c>
      <c r="B8692" s="13" t="inlineStr">
        <is>
          <t>Ткачёв Алексей Алексеевич</t>
        </is>
      </c>
      <c r="C8692" s="13" t="n">
        <v>383200051857</v>
      </c>
      <c r="D8692" s="13" t="inlineStr">
        <is>
          <t>383200051857</t>
        </is>
      </c>
      <c r="E8692" s="13" t="inlineStr">
        <is>
          <t>ИП РФ / физлицо</t>
        </is>
      </c>
      <c r="F8692" s="13" t="n"/>
      <c r="G8692" s="14" t="n"/>
      <c r="H8692" s="14" t="n"/>
      <c r="I8692" s="14" t="n"/>
      <c r="J8692" s="14" t="n"/>
      <c r="K8692" s="53" t="inlineStr"/>
      <c r="L8692" s="53" t="inlineStr">
        <is>
          <t>Не определено</t>
        </is>
      </c>
      <c r="M8692" s="53" t="inlineStr"/>
      <c r="N8692" s="54" t="inlineStr"/>
      <c r="O8692" s="55" t="inlineStr"/>
      <c r="P8692" s="16" t="inlineStr">
        <is>
          <t>Требует обогащения</t>
        </is>
      </c>
      <c r="Q8692" s="16">
        <f>HYPERLINK("https://pb.nalog.ru/search.html?query=383200051857","ФНС: проверить")</f>
        <v/>
      </c>
      <c r="R8692" s="16">
        <f>HYPERLINK("https://checko.ru/search?query=3801001629","Чекко: проверить")</f>
        <v/>
      </c>
      <c r="S8692" t="n">
        <v>1</v>
      </c>
      <c r="T8692" s="35" t="inlineStr">
        <is>
          <t>4 — Не обогащён</t>
        </is>
      </c>
      <c r="U8692" s="35" t="inlineStr">
        <is>
          <t>Нет ОКВЭД/ССЧР</t>
        </is>
      </c>
      <c r="V8692" s="35" t="inlineStr">
        <is>
          <t>Не определено</t>
        </is>
      </c>
      <c r="W8692" s="35" t="inlineStr"/>
      <c r="X8692" s="35" t="inlineStr"/>
    </row>
    <row r="8693" ht="15" customHeight="1" s="24">
      <c r="A8693" s="13" t="inlineStr">
        <is>
          <t>FR895699</t>
        </is>
      </c>
      <c r="B8693" s="13" t="inlineStr">
        <is>
          <t>ИП Пальчик Артём Павлович</t>
        </is>
      </c>
      <c r="C8693" s="13" t="n">
        <v>383202721419</v>
      </c>
      <c r="D8693" s="13" t="inlineStr">
        <is>
          <t>383202721419</t>
        </is>
      </c>
      <c r="E8693" s="13" t="inlineStr">
        <is>
          <t>ИП РФ / физлицо</t>
        </is>
      </c>
      <c r="F8693" s="13" t="n"/>
      <c r="G8693" s="14" t="n"/>
      <c r="H8693" s="14" t="n"/>
      <c r="I8693" s="14" t="n"/>
      <c r="J8693" s="14" t="n"/>
      <c r="K8693" s="53" t="inlineStr"/>
      <c r="L8693" s="53" t="inlineStr">
        <is>
          <t>Не определено</t>
        </is>
      </c>
      <c r="M8693" s="53" t="inlineStr"/>
      <c r="N8693" s="54" t="inlineStr"/>
      <c r="O8693" s="55" t="inlineStr"/>
      <c r="P8693" s="16" t="inlineStr">
        <is>
          <t>Требует обогащения</t>
        </is>
      </c>
      <c r="Q8693" s="16">
        <f>HYPERLINK("https://pb.nalog.ru/search.html?query=383202721419","ФНС: проверить")</f>
        <v/>
      </c>
      <c r="R8693" s="16">
        <f>HYPERLINK("https://checko.ru/search?query=3801001629","Чекко: проверить")</f>
        <v/>
      </c>
      <c r="S8693" t="n">
        <v>1</v>
      </c>
      <c r="T8693" s="35" t="inlineStr">
        <is>
          <t>4 — Не обогащён</t>
        </is>
      </c>
      <c r="U8693" s="35" t="inlineStr">
        <is>
          <t>Нет ОКВЭД/ССЧР</t>
        </is>
      </c>
      <c r="V8693" s="35" t="inlineStr">
        <is>
          <t>Не определено</t>
        </is>
      </c>
      <c r="W8693" s="35" t="inlineStr"/>
      <c r="X8693" s="35" t="inlineStr"/>
    </row>
    <row r="8694" ht="27.75" customHeight="1" s="24">
      <c r="A8694" s="13" t="inlineStr">
        <is>
          <t>FR892976</t>
        </is>
      </c>
      <c r="B8694" s="13" t="inlineStr">
        <is>
          <t>Общество с ограниченной ответственностью  "АГРОБИОФЕРМА "ГОРНАЯ ДОЛИНА"</t>
        </is>
      </c>
      <c r="C8694" s="13" t="n">
        <v>7457004840</v>
      </c>
      <c r="D8694" s="13" t="inlineStr">
        <is>
          <t>7457004840</t>
        </is>
      </c>
      <c r="E8694" s="13" t="inlineStr">
        <is>
          <t>ЮЛ РФ</t>
        </is>
      </c>
      <c r="F8694" s="13" t="n"/>
      <c r="G8694" s="52" t="n">
        <v>6</v>
      </c>
      <c r="H8694" s="52" t="n">
        <v>2025</v>
      </c>
      <c r="I8694" s="14" t="n"/>
      <c r="J8694" s="14" t="n"/>
      <c r="K8694" s="53" t="inlineStr">
        <is>
          <t>Нет</t>
        </is>
      </c>
      <c r="L8694" s="53" t="inlineStr">
        <is>
          <t>Не определено</t>
        </is>
      </c>
      <c r="M8694" s="53" t="inlineStr">
        <is>
          <t>До 10</t>
        </is>
      </c>
      <c r="N8694" s="54" t="n">
        <v>3360</v>
      </c>
      <c r="O8694" s="55" t="inlineStr">
        <is>
          <t>1–15</t>
        </is>
      </c>
      <c r="P8694" s="16" t="inlineStr">
        <is>
          <t>ССЧР обогащена; ОКВЭД не найден/не загружен</t>
        </is>
      </c>
      <c r="Q8694" s="16" t="inlineStr">
        <is>
          <t>ФНС открытые данные ССЧР (ДатаСост 31.12.2025; набор 7707329152-sshr2019)</t>
        </is>
      </c>
      <c r="R8694" s="16">
        <f>HYPERLINK("https://checko.ru/search?query=3801001629","Чекко: проверить")</f>
        <v/>
      </c>
      <c r="S8694" t="n">
        <v>1</v>
      </c>
      <c r="T8694" s="35" t="inlineStr">
        <is>
          <t>4 — Не обогащён</t>
        </is>
      </c>
      <c r="U8694" s="35" t="inlineStr">
        <is>
          <t>Нет ОКВЭД/ССЧР</t>
        </is>
      </c>
      <c r="V8694" s="35" t="inlineStr">
        <is>
          <t>Не определено</t>
        </is>
      </c>
      <c r="W8694" s="35" t="inlineStr">
        <is>
          <t>Нет</t>
        </is>
      </c>
      <c r="X8694" s="35" t="inlineStr"/>
    </row>
    <row r="8695" ht="27.75" customHeight="1" s="24">
      <c r="A8695" s="13" t="inlineStr">
        <is>
          <t>FR18854</t>
        </is>
      </c>
      <c r="B8695" s="13" t="inlineStr">
        <is>
          <t>ОБЩЕСТВО С ОГРАНИЧЕННОЙ ОТВЕТСТВЕННОСТЬЮ "ДА ЛИ"</t>
        </is>
      </c>
      <c r="C8695" s="13" t="n">
        <v>2506009964</v>
      </c>
      <c r="D8695" s="13" t="inlineStr">
        <is>
          <t>2506009964</t>
        </is>
      </c>
      <c r="E8695" s="13" t="inlineStr">
        <is>
          <t>ЮЛ РФ</t>
        </is>
      </c>
      <c r="F8695" s="13" t="n"/>
      <c r="G8695" s="52" t="n">
        <v>25</v>
      </c>
      <c r="H8695" s="52" t="n">
        <v>2025</v>
      </c>
      <c r="I8695" s="52" t="inlineStr">
        <is>
          <t>01.11</t>
        </is>
      </c>
      <c r="J8695" s="52" t="inlineStr">
        <is>
          <t>01.11; 01.13; 01.25; 01.30; 01.41; 01.42; 01.43.1; 01.45.1; 01.46; 01.47; 01.61; 02.20; 10.11; 10.41; 10.51; 10.61; 10.91; 16.10; 16.10.9; 46.21; 46.23; 46.32; 46.32.3; 47.21; 47.22; 68.20</t>
        </is>
      </c>
      <c r="K8695" s="53" t="inlineStr">
        <is>
          <t>Да</t>
        </is>
      </c>
      <c r="L8695" s="53" t="inlineStr">
        <is>
          <t>Да</t>
        </is>
      </c>
      <c r="M8695" s="53" t="inlineStr">
        <is>
          <t>До 25</t>
        </is>
      </c>
      <c r="N8695" s="54" t="n">
        <v>8400</v>
      </c>
      <c r="O8695" s="55" t="inlineStr">
        <is>
          <t>16–30</t>
        </is>
      </c>
      <c r="P8695" s="16" t="inlineStr">
        <is>
          <t>ССЧР + ОКВЭД обогащены</t>
        </is>
      </c>
      <c r="Q8695" s="16" t="inlineStr">
        <is>
          <t>ФНС открытые данные ССЧР (ДатаСост 31.12.2025; набор 7707329152-sshr2019)</t>
        </is>
      </c>
      <c r="R8695" s="16" t="inlineStr">
        <is>
          <t>ЕГРЮЛ / egrul.nalog.ru (выписка)</t>
        </is>
      </c>
      <c r="S8695" t="n">
        <v>1</v>
      </c>
      <c r="T8695" s="35" t="inlineStr">
        <is>
          <t>1 — Горячий</t>
        </is>
      </c>
      <c r="U8695" s="35" t="inlineStr">
        <is>
          <t>ОКВЭД + 22+</t>
        </is>
      </c>
      <c r="V8695" s="35" t="inlineStr">
        <is>
          <t>Да</t>
        </is>
      </c>
      <c r="W8695" s="35" t="inlineStr">
        <is>
          <t>Да</t>
        </is>
      </c>
      <c r="X8695" s="35" t="inlineStr">
        <is>
          <t>Да</t>
        </is>
      </c>
    </row>
    <row r="8696" ht="27.75" customHeight="1" s="24">
      <c r="A8696" s="13" t="inlineStr">
        <is>
          <t>FR1302204</t>
        </is>
      </c>
      <c r="B8696" s="13" t="inlineStr">
        <is>
          <t>Общество с ограниченной ответственностью "ГРИНЛАБ"</t>
        </is>
      </c>
      <c r="C8696" s="13" t="n">
        <v>3812164752</v>
      </c>
      <c r="D8696" s="13" t="inlineStr">
        <is>
          <t>3812164752</t>
        </is>
      </c>
      <c r="E8696" s="13" t="inlineStr">
        <is>
          <t>ЮЛ РФ</t>
        </is>
      </c>
      <c r="F8696" s="13" t="n"/>
      <c r="G8696" s="52" t="n">
        <v>0</v>
      </c>
      <c r="H8696" s="52" t="n">
        <v>2025</v>
      </c>
      <c r="I8696" s="14" t="n"/>
      <c r="J8696" s="14" t="n"/>
      <c r="K8696" s="53" t="inlineStr">
        <is>
          <t>Нет</t>
        </is>
      </c>
      <c r="L8696" s="53" t="inlineStr">
        <is>
          <t>Не определено</t>
        </is>
      </c>
      <c r="M8696" s="53" t="inlineStr">
        <is>
          <t>До 10</t>
        </is>
      </c>
      <c r="N8696" s="54" t="n">
        <v>3360</v>
      </c>
      <c r="O8696" s="55" t="inlineStr">
        <is>
          <t>1–15</t>
        </is>
      </c>
      <c r="P8696" s="16" t="inlineStr">
        <is>
          <t>ССЧР обогащена; ОКВЭД не найден/не загружен</t>
        </is>
      </c>
      <c r="Q8696" s="16" t="inlineStr">
        <is>
          <t>ФНС открытые данные ССЧР (ДатаСост 31.12.2025; набор 7707329152-sshr2019)</t>
        </is>
      </c>
      <c r="R8696" s="16">
        <f>HYPERLINK("https://checko.ru/search?query=3801001629","Чекко: проверить")</f>
        <v/>
      </c>
      <c r="S8696" t="n">
        <v>1</v>
      </c>
      <c r="T8696" s="35" t="inlineStr">
        <is>
          <t>4 — Не обогащён</t>
        </is>
      </c>
      <c r="U8696" s="35" t="inlineStr">
        <is>
          <t>Нет ОКВЭД/ССЧР</t>
        </is>
      </c>
      <c r="V8696" s="35" t="inlineStr">
        <is>
          <t>Не определено</t>
        </is>
      </c>
      <c r="W8696" s="35" t="inlineStr">
        <is>
          <t>Нет</t>
        </is>
      </c>
      <c r="X8696" s="35" t="inlineStr"/>
    </row>
    <row r="8697" ht="27.75" customHeight="1" s="24">
      <c r="A8697" s="13" t="inlineStr">
        <is>
          <t>FR832873</t>
        </is>
      </c>
      <c r="B8697" s="13" t="inlineStr">
        <is>
          <t>Общество с ограниченной ответственностью "БАЙКАЛ-БИОТЕХ"</t>
        </is>
      </c>
      <c r="C8697" s="13" t="n">
        <v>8505006640</v>
      </c>
      <c r="D8697" s="13" t="inlineStr">
        <is>
          <t>8505006640</t>
        </is>
      </c>
      <c r="E8697" s="13" t="inlineStr">
        <is>
          <t>ЮЛ РФ</t>
        </is>
      </c>
      <c r="F8697" s="13" t="n"/>
      <c r="G8697" s="52" t="n">
        <v>9</v>
      </c>
      <c r="H8697" s="52" t="n">
        <v>2025</v>
      </c>
      <c r="I8697" s="14" t="n"/>
      <c r="J8697" s="14" t="n"/>
      <c r="K8697" s="53" t="inlineStr">
        <is>
          <t>Нет</t>
        </is>
      </c>
      <c r="L8697" s="53" t="inlineStr">
        <is>
          <t>Не определено</t>
        </is>
      </c>
      <c r="M8697" s="53" t="inlineStr">
        <is>
          <t>До 10</t>
        </is>
      </c>
      <c r="N8697" s="54" t="n">
        <v>3360</v>
      </c>
      <c r="O8697" s="55" t="inlineStr">
        <is>
          <t>1–15</t>
        </is>
      </c>
      <c r="P8697" s="16" t="inlineStr">
        <is>
          <t>ССЧР обогащена; ОКВЭД не найден/не загружен</t>
        </is>
      </c>
      <c r="Q8697" s="16" t="inlineStr">
        <is>
          <t>ФНС открытые данные ССЧР (ДатаСост 31.12.2025; набор 7707329152-sshr2019)</t>
        </is>
      </c>
      <c r="R8697" s="16">
        <f>HYPERLINK("https://checko.ru/search?query=3801001629","Чекко: проверить")</f>
        <v/>
      </c>
      <c r="S8697" t="n">
        <v>1</v>
      </c>
      <c r="T8697" s="35" t="inlineStr">
        <is>
          <t>4 — Не обогащён</t>
        </is>
      </c>
      <c r="U8697" s="35" t="inlineStr">
        <is>
          <t>Нет ОКВЭД/ССЧР</t>
        </is>
      </c>
      <c r="V8697" s="35" t="inlineStr">
        <is>
          <t>Не определено</t>
        </is>
      </c>
      <c r="W8697" s="35" t="inlineStr">
        <is>
          <t>Нет</t>
        </is>
      </c>
      <c r="X8697" s="35" t="inlineStr"/>
    </row>
    <row r="8698" ht="27.75" customHeight="1" s="24">
      <c r="A8698" s="13" t="inlineStr">
        <is>
          <t>FR19406</t>
        </is>
      </c>
      <c r="B8698" s="13" t="inlineStr">
        <is>
          <t>Общество с ограниченной ответственностью "1С:БО ФОРУС"</t>
        </is>
      </c>
      <c r="C8698" s="13" t="n">
        <v>3811168176</v>
      </c>
      <c r="D8698" s="13" t="inlineStr">
        <is>
          <t>3811168176</t>
        </is>
      </c>
      <c r="E8698" s="13" t="inlineStr">
        <is>
          <t>ЮЛ РФ</t>
        </is>
      </c>
      <c r="F8698" s="13" t="n"/>
      <c r="G8698" s="52" t="n">
        <v>77</v>
      </c>
      <c r="H8698" s="52" t="n">
        <v>2025</v>
      </c>
      <c r="I8698" s="52" t="inlineStr">
        <is>
          <t>69.20.2</t>
        </is>
      </c>
      <c r="J8698" s="52" t="inlineStr">
        <is>
          <t>69.20.2; 18.12; 18.13; 22.19; 46.51; 62.02; 63.11; 63.11.1; 68.20; 69.10; 69.20; 69.20.1; 70.22; 73.11; 82.99; 85.42.9</t>
        </is>
      </c>
      <c r="K8698" s="53" t="inlineStr">
        <is>
          <t>Да</t>
        </is>
      </c>
      <c r="L8698" s="53" t="inlineStr">
        <is>
          <t>Да</t>
        </is>
      </c>
      <c r="M8698" s="53" t="inlineStr">
        <is>
          <t>До 100</t>
        </is>
      </c>
      <c r="N8698" s="54" t="n">
        <v>33600</v>
      </c>
      <c r="O8698" s="55" t="inlineStr">
        <is>
          <t>51–100</t>
        </is>
      </c>
      <c r="P8698" s="16" t="inlineStr">
        <is>
          <t>ССЧР + ОКВЭД обогащены</t>
        </is>
      </c>
      <c r="Q8698" s="16" t="inlineStr">
        <is>
          <t>ФНС открытые данные ССЧР (ДатаСост 31.12.2025; набор 7707329152-sshr2019)</t>
        </is>
      </c>
      <c r="R8698" s="16" t="inlineStr">
        <is>
          <t>ЕГРЮЛ / egrul.nalog.ru (выписка)</t>
        </is>
      </c>
      <c r="S8698" t="n">
        <v>0</v>
      </c>
      <c r="T8698" s="35" t="inlineStr">
        <is>
          <t>1 — Горячий</t>
        </is>
      </c>
      <c r="U8698" s="35" t="inlineStr">
        <is>
          <t>ОКВЭД + 22+</t>
        </is>
      </c>
      <c r="V8698" s="35" t="inlineStr">
        <is>
          <t>Да</t>
        </is>
      </c>
      <c r="W8698" s="35" t="inlineStr">
        <is>
          <t>Да</t>
        </is>
      </c>
      <c r="X8698" s="35" t="inlineStr">
        <is>
          <t>Да</t>
        </is>
      </c>
    </row>
    <row r="8699" ht="41.25" customHeight="1" s="24">
      <c r="A8699" s="13" t="inlineStr">
        <is>
          <t>FR885237</t>
        </is>
      </c>
      <c r="B8699" s="13" t="inlineStr">
        <is>
          <t>СЕЛЬСКОХОЗЯЙСТВЕННЫЙ ПОТРЕБИТЕЛЬСКИЙ ПЕРЕРАБАТЫВАЮЩИЙ СНАБЖЕНЧЕСКО-СБЫТОВОЙ КООПЕРАТИВ "СИБИРСКИЙ КА</t>
        </is>
      </c>
      <c r="C8699" s="13" t="n">
        <v>3806004207</v>
      </c>
      <c r="D8699" s="13" t="inlineStr">
        <is>
          <t>3806004207</t>
        </is>
      </c>
      <c r="E8699" s="13" t="inlineStr">
        <is>
          <t>ЮЛ РФ</t>
        </is>
      </c>
      <c r="F8699" s="13" t="n"/>
      <c r="G8699" s="14" t="n"/>
      <c r="H8699" s="14" t="n"/>
      <c r="I8699" s="14" t="n"/>
      <c r="J8699" s="14" t="n"/>
      <c r="K8699" s="53" t="inlineStr"/>
      <c r="L8699" s="53" t="inlineStr">
        <is>
          <t>Не определено</t>
        </is>
      </c>
      <c r="M8699" s="53" t="inlineStr"/>
      <c r="N8699" s="54" t="inlineStr"/>
      <c r="O8699" s="55" t="inlineStr"/>
      <c r="P8699" s="16" t="inlineStr">
        <is>
          <t>Требует обогащения</t>
        </is>
      </c>
      <c r="Q8699" s="16">
        <f>HYPERLINK("https://pb.nalog.ru/search.html?query=3806004207","ФНС: проверить")</f>
        <v/>
      </c>
      <c r="R8699" s="16">
        <f>HYPERLINK("https://checko.ru/search?query=3801001629","Чекко: проверить")</f>
        <v/>
      </c>
      <c r="S8699" t="n">
        <v>1</v>
      </c>
      <c r="T8699" s="35" t="inlineStr">
        <is>
          <t>4 — Не обогащён</t>
        </is>
      </c>
      <c r="U8699" s="35" t="inlineStr">
        <is>
          <t>Нет ОКВЭД/ССЧР</t>
        </is>
      </c>
      <c r="V8699" s="35" t="inlineStr">
        <is>
          <t>Не определено</t>
        </is>
      </c>
      <c r="W8699" s="35" t="inlineStr"/>
      <c r="X8699" s="35" t="inlineStr"/>
    </row>
    <row r="8700" ht="15" customHeight="1" s="24">
      <c r="A8700" s="13" t="inlineStr">
        <is>
          <t>FR224279</t>
        </is>
      </c>
      <c r="B8700" s="13" t="inlineStr">
        <is>
          <t>ИП Лизина Анна Александровна</t>
        </is>
      </c>
      <c r="C8700" s="13" t="n">
        <v>380121141580</v>
      </c>
      <c r="D8700" s="13" t="inlineStr">
        <is>
          <t>380121141580</t>
        </is>
      </c>
      <c r="E8700" s="13" t="inlineStr">
        <is>
          <t>ИП РФ / физлицо</t>
        </is>
      </c>
      <c r="F8700" s="13" t="n"/>
      <c r="G8700" s="14" t="n"/>
      <c r="H8700" s="14" t="n"/>
      <c r="I8700" s="14" t="n"/>
      <c r="J8700" s="14" t="n"/>
      <c r="K8700" s="53" t="inlineStr"/>
      <c r="L8700" s="53" t="inlineStr">
        <is>
          <t>Не определено</t>
        </is>
      </c>
      <c r="M8700" s="53" t="inlineStr"/>
      <c r="N8700" s="54" t="inlineStr"/>
      <c r="O8700" s="55" t="inlineStr"/>
      <c r="P8700" s="16" t="inlineStr">
        <is>
          <t>Требует обогащения</t>
        </is>
      </c>
      <c r="Q8700" s="16">
        <f>HYPERLINK("https://pb.nalog.ru/search.html?query=380121141580","ФНС: проверить")</f>
        <v/>
      </c>
      <c r="R8700" s="16">
        <f>HYPERLINK("https://checko.ru/search?query=3801001629","Чекко: проверить")</f>
        <v/>
      </c>
      <c r="S8700" t="n">
        <v>1</v>
      </c>
      <c r="T8700" s="35" t="inlineStr">
        <is>
          <t>4 — Не обогащён</t>
        </is>
      </c>
      <c r="U8700" s="35" t="inlineStr">
        <is>
          <t>Нет ОКВЭД/ССЧР</t>
        </is>
      </c>
      <c r="V8700" s="35" t="inlineStr">
        <is>
          <t>Не определено</t>
        </is>
      </c>
      <c r="W8700" s="35" t="inlineStr"/>
      <c r="X8700" s="35" t="inlineStr"/>
    </row>
    <row r="8701" ht="27.75" customHeight="1" s="24">
      <c r="A8701" s="13" t="n">
        <v>800761514</v>
      </c>
      <c r="B8701" s="13" t="inlineStr">
        <is>
          <t>ОБЩЕСТВО С ОГРАНИЧЕННОЙ ОТВЕТСТВЕННОСТЬЮ "ЛАВ - ПРОДУКТ"</t>
        </is>
      </c>
      <c r="C8701" s="13" t="n">
        <v>3810314219</v>
      </c>
      <c r="D8701" s="13" t="inlineStr">
        <is>
          <t>3810314219</t>
        </is>
      </c>
      <c r="E8701" s="13" t="inlineStr">
        <is>
          <t>ЮЛ РФ</t>
        </is>
      </c>
      <c r="F8701" s="13" t="n"/>
      <c r="G8701" s="52" t="n">
        <v>30</v>
      </c>
      <c r="H8701" s="52" t="n">
        <v>2025</v>
      </c>
      <c r="I8701" s="52" t="inlineStr">
        <is>
          <t>46.32.1</t>
        </is>
      </c>
      <c r="J8701" s="52" t="inlineStr">
        <is>
          <t>46.32.1; 42.11; 42.99; 43.99; 46.21.13; 47.11; 47.21; 47.22.1; 47.24; 47.25; 47.29; 49.41; 49.41.1; 49.41.2; 49.41.3; 49.42</t>
        </is>
      </c>
      <c r="K8701" s="53" t="inlineStr">
        <is>
          <t>Да</t>
        </is>
      </c>
      <c r="L8701" s="53" t="inlineStr">
        <is>
          <t>Да</t>
        </is>
      </c>
      <c r="M8701" s="53" t="inlineStr">
        <is>
          <t>До 50</t>
        </is>
      </c>
      <c r="N8701" s="54" t="n">
        <v>16800</v>
      </c>
      <c r="O8701" s="55" t="inlineStr">
        <is>
          <t>16–30</t>
        </is>
      </c>
      <c r="P8701" s="16" t="inlineStr">
        <is>
          <t>ССЧР + ОКВЭД обогащены</t>
        </is>
      </c>
      <c r="Q8701" s="16" t="inlineStr">
        <is>
          <t>ФНС открытые данные ССЧР (ДатаСост 31.12.2025; набор 7707329152-sshr2019)</t>
        </is>
      </c>
      <c r="R8701" s="16" t="inlineStr">
        <is>
          <t>ЕГРЮЛ / egrul.nalog.ru (выписка)</t>
        </is>
      </c>
      <c r="S8701" t="n">
        <v>0</v>
      </c>
      <c r="T8701" s="35" t="inlineStr">
        <is>
          <t>1 — Горячий</t>
        </is>
      </c>
      <c r="U8701" s="35" t="inlineStr">
        <is>
          <t>ОКВЭД + 22+</t>
        </is>
      </c>
      <c r="V8701" s="35" t="inlineStr">
        <is>
          <t>Да</t>
        </is>
      </c>
      <c r="W8701" s="35" t="inlineStr">
        <is>
          <t>Да</t>
        </is>
      </c>
      <c r="X8701" s="35" t="inlineStr">
        <is>
          <t>Да</t>
        </is>
      </c>
    </row>
    <row r="8702" ht="27.75" customHeight="1" s="24">
      <c r="A8702" s="13" t="n">
        <v>802873194</v>
      </c>
      <c r="B8702" s="13" t="inlineStr">
        <is>
          <t>МИНИСТЕРСТВО ЦИФРОВОГО РАЗВИТИЯ И СВЯЗИ ОРЕНБУРГСКОЙ ОБЛАСТИ (головн</t>
        </is>
      </c>
      <c r="C8702" s="13" t="n">
        <v>5610151539</v>
      </c>
      <c r="D8702" s="13" t="inlineStr">
        <is>
          <t>5610151539</t>
        </is>
      </c>
      <c r="E8702" s="13" t="inlineStr">
        <is>
          <t>ЮЛ РФ</t>
        </is>
      </c>
      <c r="F8702" s="13" t="n"/>
      <c r="G8702" s="14" t="n"/>
      <c r="H8702" s="14" t="n"/>
      <c r="I8702" s="14" t="n"/>
      <c r="J8702" s="14" t="n"/>
      <c r="K8702" s="53" t="inlineStr"/>
      <c r="L8702" s="53" t="inlineStr">
        <is>
          <t>Не определено</t>
        </is>
      </c>
      <c r="M8702" s="53" t="inlineStr"/>
      <c r="N8702" s="54" t="inlineStr"/>
      <c r="O8702" s="55" t="inlineStr"/>
      <c r="P8702" s="16" t="inlineStr">
        <is>
          <t>Требует обогащения</t>
        </is>
      </c>
      <c r="Q8702" s="16">
        <f>HYPERLINK("https://pb.nalog.ru/search.html?query=5610151539","ФНС: проверить")</f>
        <v/>
      </c>
      <c r="R8702" s="16">
        <f>HYPERLINK("https://checko.ru/search?query=3801001629","Чекко: проверить")</f>
        <v/>
      </c>
      <c r="S8702" t="n">
        <v>0</v>
      </c>
      <c r="T8702" s="35" t="inlineStr">
        <is>
          <t>4 — Не обогащён</t>
        </is>
      </c>
      <c r="U8702" s="35" t="inlineStr">
        <is>
          <t>Нет ОКВЭД/ССЧР</t>
        </is>
      </c>
      <c r="V8702" s="35" t="inlineStr">
        <is>
          <t>Не определено</t>
        </is>
      </c>
      <c r="W8702" s="35" t="inlineStr"/>
      <c r="X8702" s="35" t="inlineStr"/>
    </row>
    <row r="8703" ht="27.75" customHeight="1" s="24">
      <c r="A8703" s="13" t="n">
        <v>802873194</v>
      </c>
      <c r="B8703" s="13" t="inlineStr">
        <is>
          <t>МИНИСТЕРСТВО ЦИФРОВОГО РАЗВИТИЯ И СВЯЗИ ОРЕНБУРГСКОЙ ОБЛАСТИ (головн</t>
        </is>
      </c>
      <c r="C8703" s="13" t="n">
        <v>5610151539</v>
      </c>
      <c r="D8703" s="13" t="inlineStr">
        <is>
          <t>5610151539</t>
        </is>
      </c>
      <c r="E8703" s="13" t="inlineStr">
        <is>
          <t>ЮЛ РФ</t>
        </is>
      </c>
      <c r="F8703" s="13" t="n"/>
      <c r="G8703" s="14" t="n"/>
      <c r="H8703" s="14" t="n"/>
      <c r="I8703" s="14" t="n"/>
      <c r="J8703" s="14" t="n"/>
      <c r="K8703" s="53" t="inlineStr"/>
      <c r="L8703" s="53" t="inlineStr">
        <is>
          <t>Не определено</t>
        </is>
      </c>
      <c r="M8703" s="53" t="inlineStr"/>
      <c r="N8703" s="54" t="inlineStr"/>
      <c r="O8703" s="55" t="inlineStr"/>
      <c r="P8703" s="16" t="inlineStr">
        <is>
          <t>Требует обогащения</t>
        </is>
      </c>
      <c r="Q8703" s="16">
        <f>HYPERLINK("https://pb.nalog.ru/search.html?query=5610151539","ФНС: проверить")</f>
        <v/>
      </c>
      <c r="R8703" s="16">
        <f>HYPERLINK("https://checko.ru/search?query=3801001629","Чекко: проверить")</f>
        <v/>
      </c>
      <c r="S8703" t="n">
        <v>0</v>
      </c>
      <c r="T8703" s="35" t="inlineStr">
        <is>
          <t>4 — Не обогащён</t>
        </is>
      </c>
      <c r="U8703" s="35" t="inlineStr">
        <is>
          <t>Нет ОКВЭД/ССЧР</t>
        </is>
      </c>
      <c r="V8703" s="35" t="inlineStr">
        <is>
          <t>Не определено</t>
        </is>
      </c>
      <c r="W8703" s="35" t="inlineStr"/>
      <c r="X8703" s="35" t="inlineStr"/>
    </row>
    <row r="8704" ht="15" customHeight="1" s="24">
      <c r="A8704" s="13" t="n">
        <v>9989191</v>
      </c>
      <c r="B8704" s="13" t="inlineStr">
        <is>
          <t>ООО "ДНС Ритейл"</t>
        </is>
      </c>
      <c r="C8704" s="13" t="n">
        <v>2540167061</v>
      </c>
      <c r="D8704" s="13" t="inlineStr">
        <is>
          <t>2540167061</t>
        </is>
      </c>
      <c r="E8704" s="13" t="inlineStr">
        <is>
          <t>ЮЛ РФ</t>
        </is>
      </c>
      <c r="F8704" s="13" t="n"/>
      <c r="G8704" s="14" t="n"/>
      <c r="H8704" s="14" t="n"/>
      <c r="I8704" s="14" t="n"/>
      <c r="J8704" s="14" t="n"/>
      <c r="K8704" s="53" t="inlineStr"/>
      <c r="L8704" s="53" t="inlineStr">
        <is>
          <t>Не определено</t>
        </is>
      </c>
      <c r="M8704" s="53" t="inlineStr"/>
      <c r="N8704" s="54" t="inlineStr"/>
      <c r="O8704" s="55" t="inlineStr"/>
      <c r="P8704" s="16" t="inlineStr">
        <is>
          <t>Требует обогащения</t>
        </is>
      </c>
      <c r="Q8704" s="16">
        <f>HYPERLINK("https://pb.nalog.ru/search.html?query=2540167061","ФНС: проверить")</f>
        <v/>
      </c>
      <c r="R8704" s="16">
        <f>HYPERLINK("https://checko.ru/search?query=3801001629","Чекко: проверить")</f>
        <v/>
      </c>
      <c r="S8704" t="n">
        <v>1</v>
      </c>
      <c r="T8704" s="35" t="inlineStr">
        <is>
          <t>4 — Не обогащён</t>
        </is>
      </c>
      <c r="U8704" s="35" t="inlineStr">
        <is>
          <t>Нет ОКВЭД/ССЧР</t>
        </is>
      </c>
      <c r="V8704" s="35" t="inlineStr">
        <is>
          <t>Не определено</t>
        </is>
      </c>
      <c r="W8704" s="35" t="inlineStr"/>
      <c r="X8704" s="35" t="inlineStr"/>
    </row>
    <row r="8705" ht="15" customHeight="1" s="24">
      <c r="A8705" s="13" t="n">
        <v>9989191</v>
      </c>
      <c r="B8705" s="13" t="inlineStr">
        <is>
          <t>ООО "ДНС Ритейл"</t>
        </is>
      </c>
      <c r="C8705" s="13" t="n">
        <v>2540167061</v>
      </c>
      <c r="D8705" s="13" t="inlineStr">
        <is>
          <t>2540167061</t>
        </is>
      </c>
      <c r="E8705" s="13" t="inlineStr">
        <is>
          <t>ЮЛ РФ</t>
        </is>
      </c>
      <c r="F8705" s="13" t="n"/>
      <c r="G8705" s="14" t="n"/>
      <c r="H8705" s="14" t="n"/>
      <c r="I8705" s="14" t="n"/>
      <c r="J8705" s="14" t="n"/>
      <c r="K8705" s="53" t="inlineStr"/>
      <c r="L8705" s="53" t="inlineStr">
        <is>
          <t>Не определено</t>
        </is>
      </c>
      <c r="M8705" s="53" t="inlineStr"/>
      <c r="N8705" s="54" t="inlineStr"/>
      <c r="O8705" s="55" t="inlineStr"/>
      <c r="P8705" s="16" t="inlineStr">
        <is>
          <t>Требует обогащения</t>
        </is>
      </c>
      <c r="Q8705" s="16">
        <f>HYPERLINK("https://pb.nalog.ru/search.html?query=2540167061","ФНС: проверить")</f>
        <v/>
      </c>
      <c r="R8705" s="16">
        <f>HYPERLINK("https://checko.ru/search?query=3801001629","Чекко: проверить")</f>
        <v/>
      </c>
      <c r="S8705" t="n">
        <v>0</v>
      </c>
      <c r="T8705" s="35" t="inlineStr">
        <is>
          <t>4 — Не обогащён</t>
        </is>
      </c>
      <c r="U8705" s="35" t="inlineStr">
        <is>
          <t>Нет ОКВЭД/ССЧР</t>
        </is>
      </c>
      <c r="V8705" s="35" t="inlineStr">
        <is>
          <t>Не определено</t>
        </is>
      </c>
      <c r="W8705" s="35" t="inlineStr"/>
      <c r="X8705" s="35" t="inlineStr"/>
    </row>
    <row r="8706" ht="15" customHeight="1" s="24">
      <c r="A8706" s="13" t="n">
        <v>9989191</v>
      </c>
      <c r="B8706" s="13" t="inlineStr">
        <is>
          <t>ООО "ДНС Ритейл"</t>
        </is>
      </c>
      <c r="C8706" s="13" t="n">
        <v>2540167061</v>
      </c>
      <c r="D8706" s="13" t="inlineStr">
        <is>
          <t>2540167061</t>
        </is>
      </c>
      <c r="E8706" s="13" t="inlineStr">
        <is>
          <t>ЮЛ РФ</t>
        </is>
      </c>
      <c r="F8706" s="13" t="n"/>
      <c r="G8706" s="14" t="n"/>
      <c r="H8706" s="14" t="n"/>
      <c r="I8706" s="14" t="n"/>
      <c r="J8706" s="14" t="n"/>
      <c r="K8706" s="53" t="inlineStr"/>
      <c r="L8706" s="53" t="inlineStr">
        <is>
          <t>Не определено</t>
        </is>
      </c>
      <c r="M8706" s="53" t="inlineStr"/>
      <c r="N8706" s="54" t="inlineStr"/>
      <c r="O8706" s="55" t="inlineStr"/>
      <c r="P8706" s="16" t="inlineStr">
        <is>
          <t>Требует обогащения</t>
        </is>
      </c>
      <c r="Q8706" s="16">
        <f>HYPERLINK("https://pb.nalog.ru/search.html?query=2540167061","ФНС: проверить")</f>
        <v/>
      </c>
      <c r="R8706" s="16">
        <f>HYPERLINK("https://checko.ru/search?query=3801001629","Чекко: проверить")</f>
        <v/>
      </c>
      <c r="S8706" t="n">
        <v>0</v>
      </c>
      <c r="T8706" s="35" t="inlineStr">
        <is>
          <t>4 — Не обогащён</t>
        </is>
      </c>
      <c r="U8706" s="35" t="inlineStr">
        <is>
          <t>Нет ОКВЭД/ССЧР</t>
        </is>
      </c>
      <c r="V8706" s="35" t="inlineStr">
        <is>
          <t>Не определено</t>
        </is>
      </c>
      <c r="W8706" s="35" t="inlineStr"/>
      <c r="X8706" s="35" t="inlineStr"/>
    </row>
    <row r="8707" ht="15" customHeight="1" s="24">
      <c r="A8707" s="13" t="n">
        <v>9989191</v>
      </c>
      <c r="B8707" s="13" t="inlineStr">
        <is>
          <t>ООО "ДНС Ритейл"</t>
        </is>
      </c>
      <c r="C8707" s="13" t="n">
        <v>2540167061</v>
      </c>
      <c r="D8707" s="13" t="inlineStr">
        <is>
          <t>2540167061</t>
        </is>
      </c>
      <c r="E8707" s="13" t="inlineStr">
        <is>
          <t>ЮЛ РФ</t>
        </is>
      </c>
      <c r="F8707" s="13" t="n"/>
      <c r="G8707" s="14" t="n"/>
      <c r="H8707" s="14" t="n"/>
      <c r="I8707" s="14" t="n"/>
      <c r="J8707" s="14" t="n"/>
      <c r="K8707" s="53" t="inlineStr"/>
      <c r="L8707" s="53" t="inlineStr">
        <is>
          <t>Не определено</t>
        </is>
      </c>
      <c r="M8707" s="53" t="inlineStr"/>
      <c r="N8707" s="54" t="inlineStr"/>
      <c r="O8707" s="55" t="inlineStr"/>
      <c r="P8707" s="16" t="inlineStr">
        <is>
          <t>Требует обогащения</t>
        </is>
      </c>
      <c r="Q8707" s="16">
        <f>HYPERLINK("https://pb.nalog.ru/search.html?query=2540167061","ФНС: проверить")</f>
        <v/>
      </c>
      <c r="R8707" s="16">
        <f>HYPERLINK("https://checko.ru/search?query=3801001629","Чекко: проверить")</f>
        <v/>
      </c>
      <c r="S8707" t="n">
        <v>0</v>
      </c>
      <c r="T8707" s="35" t="inlineStr">
        <is>
          <t>4 — Не обогащён</t>
        </is>
      </c>
      <c r="U8707" s="35" t="inlineStr">
        <is>
          <t>Нет ОКВЭД/ССЧР</t>
        </is>
      </c>
      <c r="V8707" s="35" t="inlineStr">
        <is>
          <t>Не определено</t>
        </is>
      </c>
      <c r="W8707" s="35" t="inlineStr"/>
      <c r="X8707" s="35" t="inlineStr"/>
    </row>
    <row r="8708" ht="15" customHeight="1" s="24">
      <c r="A8708" s="13" t="n">
        <v>9989191</v>
      </c>
      <c r="B8708" s="13" t="inlineStr">
        <is>
          <t>ООО "ДНС Ритейл"</t>
        </is>
      </c>
      <c r="C8708" s="13" t="n">
        <v>2540167061</v>
      </c>
      <c r="D8708" s="13" t="inlineStr">
        <is>
          <t>2540167061</t>
        </is>
      </c>
      <c r="E8708" s="13" t="inlineStr">
        <is>
          <t>ЮЛ РФ</t>
        </is>
      </c>
      <c r="F8708" s="13" t="n"/>
      <c r="G8708" s="14" t="n"/>
      <c r="H8708" s="14" t="n"/>
      <c r="I8708" s="14" t="n"/>
      <c r="J8708" s="14" t="n"/>
      <c r="K8708" s="53" t="inlineStr"/>
      <c r="L8708" s="53" t="inlineStr">
        <is>
          <t>Не определено</t>
        </is>
      </c>
      <c r="M8708" s="53" t="inlineStr"/>
      <c r="N8708" s="54" t="inlineStr"/>
      <c r="O8708" s="55" t="inlineStr"/>
      <c r="P8708" s="16" t="inlineStr">
        <is>
          <t>Требует обогащения</t>
        </is>
      </c>
      <c r="Q8708" s="16">
        <f>HYPERLINK("https://pb.nalog.ru/search.html?query=2540167061","ФНС: проверить")</f>
        <v/>
      </c>
      <c r="R8708" s="16">
        <f>HYPERLINK("https://checko.ru/search?query=3801001629","Чекко: проверить")</f>
        <v/>
      </c>
      <c r="S8708" t="n">
        <v>0</v>
      </c>
      <c r="T8708" s="35" t="inlineStr">
        <is>
          <t>4 — Не обогащён</t>
        </is>
      </c>
      <c r="U8708" s="35" t="inlineStr">
        <is>
          <t>Нет ОКВЭД/ССЧР</t>
        </is>
      </c>
      <c r="V8708" s="35" t="inlineStr">
        <is>
          <t>Не определено</t>
        </is>
      </c>
      <c r="W8708" s="35" t="inlineStr"/>
      <c r="X8708" s="35" t="inlineStr"/>
    </row>
    <row r="8709" ht="15" customHeight="1" s="24">
      <c r="A8709" s="13" t="n">
        <v>10528003</v>
      </c>
      <c r="B8709" s="13" t="inlineStr">
        <is>
          <t>ООО "Иркутская нефтяная компания"</t>
        </is>
      </c>
      <c r="C8709" s="13" t="n"/>
      <c r="D8709" s="13" t="n"/>
      <c r="E8709" s="13" t="inlineStr">
        <is>
          <t>Не определён</t>
        </is>
      </c>
      <c r="F8709" s="13" t="n"/>
      <c r="G8709" s="14" t="n"/>
      <c r="H8709" s="14" t="n"/>
      <c r="I8709" s="14" t="n"/>
      <c r="J8709" s="14" t="n"/>
      <c r="K8709" s="13">
        <f>IF(G8709="","",IF(G8709&gt;=22,"Да","Нет"))</f>
        <v/>
      </c>
      <c r="L8709" s="13">
        <f>IF(OR(I8709="",J8709=""),"Не определено",IF(OR(COUNTIF(I8709,"45*")&gt;0,COUNTIF(J8709,"*45*")&gt;0,COUNTIF(I8709,"46*")&gt;0,COUNTIF(J8709,"*46*")&gt;0,COUNTIF(I8709,"47*")&gt;0,COUNTIF(J8709,"*47*")&gt;0,COUNTIF(I8709,"10*")&gt;0,COUNTIF(J8709,"*10*")&gt;0,COUNTIF(I8709,"11*")&gt;0,COUNTIF(J8709,"*11*")&gt;0,COUNTIF(I8709,"12*")&gt;0,COUNTIF(J8709,"*12*")&gt;0,COUNTIF(I8709,"13*")&gt;0,COUNTIF(J8709,"*13*")&gt;0,COUNTIF(I8709,"14*")&gt;0,COUNTIF(J8709,"*14*")&gt;0,COUNTIF(I8709,"15*")&gt;0,COUNTIF(J8709,"*15*")&gt;0,COUNTIF(I8709,"16*")&gt;0,COUNTIF(J8709,"*16*")&gt;0,COUNTIF(I8709,"17*")&gt;0,COUNTIF(J8709,"*17*")&gt;0,COUNTIF(I8709,"18*")&gt;0,COUNTIF(J8709,"*18*")&gt;0,COUNTIF(I8709,"19*")&gt;0,COUNTIF(J8709,"*19*")&gt;0,COUNTIF(I8709,"20*")&gt;0,COUNTIF(J8709,"*20*")&gt;0,COUNTIF(I8709,"21*")&gt;0,COUNTIF(J8709,"*21*")&gt;0,COUNTIF(I8709,"22*")&gt;0,COUNTIF(J8709,"*22*")&gt;0,COUNTIF(I8709,"23*")&gt;0,COUNTIF(J8709,"*23*")&gt;0,COUNTIF(I8709,"24*")&gt;0,COUNTIF(J8709,"*24*")&gt;0,COUNTIF(I8709,"25*")&gt;0,COUNTIF(J8709,"*25*")&gt;0,COUNTIF(I8709,"26*")&gt;0,COUNTIF(J8709,"*26*")&gt;0,COUNTIF(I8709,"27*")&gt;0,COUNTIF(J8709,"*27*")&gt;0,COUNTIF(I8709,"28*")&gt;0,COUNTIF(J8709,"*28*")&gt;0,COUNTIF(I8709,"29*")&gt;0,COUNTIF(J8709,"*29*")&gt;0,COUNTIF(I8709,"30*")&gt;0,COUNTIF(J8709,"*30*")&gt;0,COUNTIF(I8709,"31*")&gt;0,COUNTIF(J8709,"*31*")&gt;0,COUNTIF(I8709,"32*")&gt;0,COUNTIF(J8709,"*32*")&gt;0,COUNTIF(I8709,"33*")&gt;0,COUNTIF(J8709,"*33*")&gt;0,COUNTIF(I8709,"41*")&gt;0,COUNTIF(J8709,"*41*")&gt;0,COUNTIF(I8709,"42*")&gt;0,COUNTIF(J8709,"*42*")&gt;0,COUNTIF(I8709,"43*")&gt;0,COUNTIF(J8709,"*43*")&gt;0,COUNTIF(I8709,"49*")&gt;0,COUNTIF(J8709,"*49*")&gt;0,COUNTIF(I8709,"52*")&gt;0,COUNTIF(J8709,"*52*")&gt;0,COUNTIF(I8709,"55*")&gt;0,COUNTIF(J8709,"*55*")&gt;0,COUNTIF(I8709,"56*")&gt;0,COUNTIF(J8709,"*56*")&gt;0,COUNTIF(I8709,"68*")&gt;0,COUNTIF(J8709,"*68*")&gt;0,COUNTIF(I8709,"78*")&gt;0,COUNTIF(J8709,"*78*")&gt;0,COUNTIF(I8709,"81*")&gt;0,COUNTIF(J8709,"*81*")&gt;0,COUNTIF(I8709,"82*")&gt;0,COUNTIF(J8709,"*82*")&gt;0,COUNTIF(I8709,"64*")&gt;0,COUNTIF(J8709,"*64*")&gt;0,COUNTIF(I8709,"65*")&gt;0,COUNTIF(J8709,"*65*")&gt;0,COUNTIF(I8709,"66*")&gt;0,COUNTIF(J8709,"*66*")&gt;0,COUNTIF(I8709,"61*")&gt;0,COUNTIF(J8709,"*61*")&gt;0,COUNTIF(I8709,"62*")&gt;0,COUNTIF(J8709,"*62*")&gt;0,COUNTIF(I8709,"63*")&gt;0,COUNTIF(J8709,"*63*")&gt;0,COUNTIF(I8709,"85*")&gt;0,COUNTIF(J8709,"*85*")&gt;0,COUNTIF(I8709,"86*")&gt;0,COUNTIF(J8709,"*86*")&gt;0),"Да","Нет"))</f>
        <v/>
      </c>
      <c r="M8709" s="13">
        <f>IF(OR(G8709="",L8709&lt;&gt;"Да"),"",IF(G8709&lt;=100,"До 100",IF(G8709&lt;=200,"До 200",IF(G8709&lt;=500,"До 500","Отдельное КП"))))</f>
        <v/>
      </c>
      <c r="N8709" s="15">
        <f>IF(OR(G8709="",L8709&lt;&gt;"Да"),"",IF(G8709&lt;=100,33600,IF(G8709&lt;=200,62400,IF(G8709&lt;=500,144000,""))))</f>
        <v/>
      </c>
      <c r="O8709" s="16">
        <f>IF(G8709="","",IF(G8709&lt;=15,"1–15",IF(G8709&lt;=30,"16–30",IF(G8709&lt;=50,"31–50",IF(G8709&lt;=100,"51–100",IF(G8709&lt;=150,"101–150",IF(G8709&lt;=200,"151–200",IF(G8709&lt;=500,"201–500","500+"))))))))</f>
        <v/>
      </c>
      <c r="P8709" s="16" t="inlineStr">
        <is>
          <t>Нет совпадения в предоставленной выгрузке ССЧР</t>
        </is>
      </c>
      <c r="Q8709" s="16" t="n"/>
      <c r="R8709" s="16">
        <f>HYPERLINK("https://checko.ru/search?query=3801001629","Чекко: проверить")</f>
        <v/>
      </c>
      <c r="S8709" t="n">
        <v>0</v>
      </c>
    </row>
    <row r="8710" ht="41.25" customHeight="1" s="24">
      <c r="A8710" s="13" t="n">
        <v>803730041</v>
      </c>
      <c r="B8710" s="13" t="inlineStr">
        <is>
          <t>ОБЩЕСТВО С ОГРАНИЧЕННОЙ ОТВЕТСТВЕННОСТЬЮ "ИРКУТСКАЯ НЕФТЯНАЯ КОМПАНИЯ"</t>
        </is>
      </c>
      <c r="C8710" s="13" t="n">
        <v>3808066311</v>
      </c>
      <c r="D8710" s="13" t="inlineStr">
        <is>
          <t>3808066311</t>
        </is>
      </c>
      <c r="E8710" s="13" t="inlineStr">
        <is>
          <t>ЮЛ РФ</t>
        </is>
      </c>
      <c r="F8710" s="13" t="n"/>
      <c r="G8710" s="14" t="n"/>
      <c r="H8710" s="14" t="n"/>
      <c r="I8710" s="14" t="n"/>
      <c r="J8710" s="14" t="n"/>
      <c r="K8710" s="53" t="inlineStr"/>
      <c r="L8710" s="53" t="inlineStr">
        <is>
          <t>Не определено</t>
        </is>
      </c>
      <c r="M8710" s="53" t="inlineStr"/>
      <c r="N8710" s="54" t="inlineStr"/>
      <c r="O8710" s="55" t="inlineStr"/>
      <c r="P8710" s="16" t="inlineStr">
        <is>
          <t>Требует обогащения</t>
        </is>
      </c>
      <c r="Q8710" s="16">
        <f>HYPERLINK("https://pb.nalog.ru/search.html?query=3808066311","ФНС: проверить")</f>
        <v/>
      </c>
      <c r="R8710" s="16">
        <f>HYPERLINK("https://checko.ru/search?query=3801001629","Чекко: проверить")</f>
        <v/>
      </c>
      <c r="S8710" t="n">
        <v>1</v>
      </c>
      <c r="T8710" s="35" t="inlineStr">
        <is>
          <t>4 — Не обогащён</t>
        </is>
      </c>
      <c r="U8710" s="35" t="inlineStr">
        <is>
          <t>Нет ОКВЭД/ССЧР</t>
        </is>
      </c>
      <c r="V8710" s="35" t="inlineStr">
        <is>
          <t>Не определено</t>
        </is>
      </c>
      <c r="W8710" s="35" t="inlineStr"/>
      <c r="X8710" s="35" t="inlineStr"/>
    </row>
    <row r="8711" ht="41.25" customHeight="1" s="24">
      <c r="A8711" s="13" t="n">
        <v>802790199</v>
      </c>
      <c r="B8711" s="13" t="inlineStr">
        <is>
          <t>ОБЩЕСТВО С ОГРАНИЧЕННОЙ ОТВЕТСТВЕННОСТЬЮ "ИРКУТСКАЯ НЕФТЯНАЯ КОМПАНИЯ"</t>
        </is>
      </c>
      <c r="C8711" s="13" t="n">
        <v>3808066311</v>
      </c>
      <c r="D8711" s="13" t="inlineStr">
        <is>
          <t>3808066311</t>
        </is>
      </c>
      <c r="E8711" s="13" t="inlineStr">
        <is>
          <t>ЮЛ РФ</t>
        </is>
      </c>
      <c r="F8711" s="13" t="n"/>
      <c r="G8711" s="14" t="n"/>
      <c r="H8711" s="14" t="n"/>
      <c r="I8711" s="14" t="n"/>
      <c r="J8711" s="14" t="n"/>
      <c r="K8711" s="53" t="inlineStr"/>
      <c r="L8711" s="53" t="inlineStr">
        <is>
          <t>Не определено</t>
        </is>
      </c>
      <c r="M8711" s="53" t="inlineStr"/>
      <c r="N8711" s="54" t="inlineStr"/>
      <c r="O8711" s="55" t="inlineStr"/>
      <c r="P8711" s="16" t="inlineStr">
        <is>
          <t>Требует обогащения</t>
        </is>
      </c>
      <c r="Q8711" s="16">
        <f>HYPERLINK("https://pb.nalog.ru/search.html?query=3808066311","ФНС: проверить")</f>
        <v/>
      </c>
      <c r="R8711" s="16">
        <f>HYPERLINK("https://checko.ru/search?query=3801001629","Чекко: проверить")</f>
        <v/>
      </c>
      <c r="S8711" t="n">
        <v>0</v>
      </c>
      <c r="T8711" s="35" t="inlineStr">
        <is>
          <t>4 — Не обогащён</t>
        </is>
      </c>
      <c r="U8711" s="35" t="inlineStr">
        <is>
          <t>Нет ОКВЭД/ССЧР</t>
        </is>
      </c>
      <c r="V8711" s="35" t="inlineStr">
        <is>
          <t>Не определено</t>
        </is>
      </c>
      <c r="W8711" s="35" t="inlineStr"/>
      <c r="X8711" s="35" t="inlineStr"/>
    </row>
    <row r="8712" ht="41.25" customHeight="1" s="24">
      <c r="A8712" s="13" t="n">
        <v>15635003</v>
      </c>
      <c r="B8712" s="13" t="inlineStr">
        <is>
          <t>ОБЩЕСТВО С ОГРАНИЧЕННОЙ ОТВЕТСТВЕННОСТЬЮ "ИРКУТСКАЯ НЕФТЯНАЯ КОМПАНИЯ"</t>
        </is>
      </c>
      <c r="C8712" s="13" t="n">
        <v>3808066311</v>
      </c>
      <c r="D8712" s="13" t="inlineStr">
        <is>
          <t>3808066311</t>
        </is>
      </c>
      <c r="E8712" s="13" t="inlineStr">
        <is>
          <t>ЮЛ РФ</t>
        </is>
      </c>
      <c r="F8712" s="13" t="n"/>
      <c r="G8712" s="14" t="n"/>
      <c r="H8712" s="14" t="n"/>
      <c r="I8712" s="14" t="n"/>
      <c r="J8712" s="14" t="n"/>
      <c r="K8712" s="53" t="inlineStr"/>
      <c r="L8712" s="53" t="inlineStr">
        <is>
          <t>Не определено</t>
        </is>
      </c>
      <c r="M8712" s="53" t="inlineStr"/>
      <c r="N8712" s="54" t="inlineStr"/>
      <c r="O8712" s="55" t="inlineStr"/>
      <c r="P8712" s="16" t="inlineStr">
        <is>
          <t>Требует обогащения</t>
        </is>
      </c>
      <c r="Q8712" s="16">
        <f>HYPERLINK("https://pb.nalog.ru/search.html?query=3808066311","ФНС: проверить")</f>
        <v/>
      </c>
      <c r="R8712" s="16">
        <f>HYPERLINK("https://checko.ru/search?query=3801001629","Чекко: проверить")</f>
        <v/>
      </c>
      <c r="S8712" t="n">
        <v>0</v>
      </c>
      <c r="T8712" s="35" t="inlineStr">
        <is>
          <t>4 — Не обогащён</t>
        </is>
      </c>
      <c r="U8712" s="35" t="inlineStr">
        <is>
          <t>Нет ОКВЭД/ССЧР</t>
        </is>
      </c>
      <c r="V8712" s="35" t="inlineStr">
        <is>
          <t>Не определено</t>
        </is>
      </c>
      <c r="W8712" s="35" t="inlineStr"/>
      <c r="X8712" s="35" t="inlineStr"/>
    </row>
    <row r="8713" ht="15" customHeight="1" s="24">
      <c r="A8713" s="13" t="n">
        <v>15723040</v>
      </c>
      <c r="B8713" s="13" t="inlineStr">
        <is>
          <t>ООО "ИНК-СЕРВИС"</t>
        </is>
      </c>
      <c r="C8713" s="13" t="n">
        <v>3849037856</v>
      </c>
      <c r="D8713" s="13" t="inlineStr">
        <is>
          <t>3849037856</t>
        </is>
      </c>
      <c r="E8713" s="13" t="inlineStr">
        <is>
          <t>ЮЛ РФ</t>
        </is>
      </c>
      <c r="F8713" s="13" t="n"/>
      <c r="G8713" s="14" t="n"/>
      <c r="H8713" s="14" t="n"/>
      <c r="I8713" s="14" t="n"/>
      <c r="J8713" s="14" t="n"/>
      <c r="K8713" s="53" t="inlineStr"/>
      <c r="L8713" s="53" t="inlineStr">
        <is>
          <t>Не определено</t>
        </is>
      </c>
      <c r="M8713" s="53" t="inlineStr"/>
      <c r="N8713" s="54" t="inlineStr"/>
      <c r="O8713" s="55" t="inlineStr"/>
      <c r="P8713" s="16" t="inlineStr">
        <is>
          <t>Требует обогащения</t>
        </is>
      </c>
      <c r="Q8713" s="16">
        <f>HYPERLINK("https://pb.nalog.ru/search.html?query=3849037856","ФНС: проверить")</f>
        <v/>
      </c>
      <c r="R8713" s="16">
        <f>HYPERLINK("https://checko.ru/search?query=3801001629","Чекко: проверить")</f>
        <v/>
      </c>
      <c r="S8713" t="n">
        <v>0</v>
      </c>
      <c r="T8713" s="35" t="inlineStr">
        <is>
          <t>4 — Не обогащён</t>
        </is>
      </c>
      <c r="U8713" s="35" t="inlineStr">
        <is>
          <t>Нет ОКВЭД/ССЧР</t>
        </is>
      </c>
      <c r="V8713" s="35" t="inlineStr">
        <is>
          <t>Не определено</t>
        </is>
      </c>
      <c r="W8713" s="35" t="inlineStr"/>
      <c r="X8713" s="35" t="inlineStr"/>
    </row>
    <row r="8714" ht="41.25" customHeight="1" s="24">
      <c r="A8714" s="13" t="n">
        <v>801894522</v>
      </c>
      <c r="B8714" s="13" t="inlineStr">
        <is>
          <t>ОБЩЕСТВО С ОГРАНИЧЕННОЙ ОТВЕТСТВЕННОСТЬЮ "ИРКУТСКАЯ НЕФТЯНАЯ КОМПАНИЯ"</t>
        </is>
      </c>
      <c r="C8714" s="13" t="n">
        <v>3808066311</v>
      </c>
      <c r="D8714" s="13" t="inlineStr">
        <is>
          <t>3808066311</t>
        </is>
      </c>
      <c r="E8714" s="13" t="inlineStr">
        <is>
          <t>ЮЛ РФ</t>
        </is>
      </c>
      <c r="F8714" s="13" t="n"/>
      <c r="G8714" s="14" t="n"/>
      <c r="H8714" s="14" t="n"/>
      <c r="I8714" s="14" t="n"/>
      <c r="J8714" s="14" t="n"/>
      <c r="K8714" s="53" t="inlineStr"/>
      <c r="L8714" s="53" t="inlineStr">
        <is>
          <t>Не определено</t>
        </is>
      </c>
      <c r="M8714" s="53" t="inlineStr"/>
      <c r="N8714" s="54" t="inlineStr"/>
      <c r="O8714" s="55" t="inlineStr"/>
      <c r="P8714" s="16" t="inlineStr">
        <is>
          <t>Требует обогащения</t>
        </is>
      </c>
      <c r="Q8714" s="16">
        <f>HYPERLINK("https://pb.nalog.ru/search.html?query=3808066311","ФНС: проверить")</f>
        <v/>
      </c>
      <c r="R8714" s="16">
        <f>HYPERLINK("https://checko.ru/search?query=3801001629","Чекко: проверить")</f>
        <v/>
      </c>
      <c r="S8714" t="n">
        <v>0</v>
      </c>
      <c r="T8714" s="35" t="inlineStr">
        <is>
          <t>4 — Не обогащён</t>
        </is>
      </c>
      <c r="U8714" s="35" t="inlineStr">
        <is>
          <t>Нет ОКВЭД/ССЧР</t>
        </is>
      </c>
      <c r="V8714" s="35" t="inlineStr">
        <is>
          <t>Не определено</t>
        </is>
      </c>
      <c r="W8714" s="35" t="inlineStr"/>
      <c r="X8714" s="35" t="inlineStr"/>
    </row>
    <row r="8715" ht="27.75" customHeight="1" s="24">
      <c r="A8715" s="13" t="n">
        <v>800309873</v>
      </c>
      <c r="B8715" s="13" t="inlineStr">
        <is>
          <t>Общество с ограниченной ответственностью "ИНК-Текущий и капитальный ремонт скважин"</t>
        </is>
      </c>
      <c r="C8715" s="13" t="n">
        <v>3849060301</v>
      </c>
      <c r="D8715" s="13" t="inlineStr">
        <is>
          <t>3849060301</t>
        </is>
      </c>
      <c r="E8715" s="13" t="inlineStr">
        <is>
          <t>ЮЛ РФ</t>
        </is>
      </c>
      <c r="F8715" s="13" t="n"/>
      <c r="G8715" s="14" t="n"/>
      <c r="H8715" s="14" t="n"/>
      <c r="I8715" s="14" t="n"/>
      <c r="J8715" s="14" t="n"/>
      <c r="K8715" s="53" t="inlineStr"/>
      <c r="L8715" s="53" t="inlineStr">
        <is>
          <t>Не определено</t>
        </is>
      </c>
      <c r="M8715" s="53" t="inlineStr"/>
      <c r="N8715" s="54" t="inlineStr"/>
      <c r="O8715" s="55" t="inlineStr"/>
      <c r="P8715" s="16" t="inlineStr">
        <is>
          <t>Требует обогащения</t>
        </is>
      </c>
      <c r="Q8715" s="16">
        <f>HYPERLINK("https://pb.nalog.ru/search.html?query=3849060301","ФНС: проверить")</f>
        <v/>
      </c>
      <c r="R8715" s="16">
        <f>HYPERLINK("https://checko.ru/search?query=3801001629","Чекко: проверить")</f>
        <v/>
      </c>
      <c r="S8715" t="n">
        <v>1</v>
      </c>
      <c r="T8715" s="35" t="inlineStr">
        <is>
          <t>4 — Не обогащён</t>
        </is>
      </c>
      <c r="U8715" s="35" t="inlineStr">
        <is>
          <t>Нет ОКВЭД/ССЧР</t>
        </is>
      </c>
      <c r="V8715" s="35" t="inlineStr">
        <is>
          <t>Не определено</t>
        </is>
      </c>
      <c r="W8715" s="35" t="inlineStr"/>
      <c r="X8715" s="35" t="inlineStr"/>
    </row>
    <row r="8716" ht="15" customHeight="1" s="24">
      <c r="A8716" s="13" t="inlineStr">
        <is>
          <t>FR553797</t>
        </is>
      </c>
      <c r="B8716" s="13" t="inlineStr">
        <is>
          <t>ООО "ПУТЬСЕРВИС М"</t>
        </is>
      </c>
      <c r="C8716" s="13" t="n">
        <v>3818047854</v>
      </c>
      <c r="D8716" s="13" t="inlineStr">
        <is>
          <t>3818047854</t>
        </is>
      </c>
      <c r="E8716" s="13" t="inlineStr">
        <is>
          <t>ЮЛ РФ</t>
        </is>
      </c>
      <c r="F8716" s="13" t="n"/>
      <c r="G8716" s="52" t="n">
        <v>12</v>
      </c>
      <c r="H8716" s="52" t="n">
        <v>2025</v>
      </c>
      <c r="I8716" s="14" t="n"/>
      <c r="J8716" s="14" t="n"/>
      <c r="K8716" s="53" t="inlineStr">
        <is>
          <t>Нет</t>
        </is>
      </c>
      <c r="L8716" s="53" t="inlineStr">
        <is>
          <t>Не определено</t>
        </is>
      </c>
      <c r="M8716" s="53" t="inlineStr">
        <is>
          <t>До 25</t>
        </is>
      </c>
      <c r="N8716" s="54" t="n">
        <v>8400</v>
      </c>
      <c r="O8716" s="55" t="inlineStr">
        <is>
          <t>1–15</t>
        </is>
      </c>
      <c r="P8716" s="16" t="inlineStr">
        <is>
          <t>ССЧР обогащена; ОКВЭД не найден/не загружен</t>
        </is>
      </c>
      <c r="Q8716" s="16" t="inlineStr">
        <is>
          <t>ФНС открытые данные ССЧР (ДатаСост 31.12.2025; набор 7707329152-sshr2019)</t>
        </is>
      </c>
      <c r="R8716" s="16">
        <f>HYPERLINK("https://checko.ru/search?query=3801001629","Чекко: проверить")</f>
        <v/>
      </c>
      <c r="S8716" t="n">
        <v>0</v>
      </c>
      <c r="T8716" s="35" t="inlineStr">
        <is>
          <t>4 — Не обогащён</t>
        </is>
      </c>
      <c r="U8716" s="35" t="inlineStr">
        <is>
          <t>Нет ОКВЭД/ССЧР</t>
        </is>
      </c>
      <c r="V8716" s="35" t="inlineStr">
        <is>
          <t>Не определено</t>
        </is>
      </c>
      <c r="W8716" s="35" t="inlineStr">
        <is>
          <t>Нет</t>
        </is>
      </c>
      <c r="X8716" s="35" t="inlineStr"/>
    </row>
    <row r="8717" ht="15" customHeight="1" s="24">
      <c r="A8717" s="13" t="n">
        <v>800833387</v>
      </c>
      <c r="B8717" s="13" t="inlineStr">
        <is>
          <t>ООО "ВОСТСИБТРАНС"</t>
        </is>
      </c>
      <c r="C8717" s="13" t="n">
        <v>3811094686</v>
      </c>
      <c r="D8717" s="13" t="inlineStr">
        <is>
          <t>3811094686</t>
        </is>
      </c>
      <c r="E8717" s="13" t="inlineStr">
        <is>
          <t>ЮЛ РФ</t>
        </is>
      </c>
      <c r="F8717" s="13" t="n"/>
      <c r="G8717" s="52" t="n">
        <v>63</v>
      </c>
      <c r="H8717" s="52" t="n">
        <v>2025</v>
      </c>
      <c r="I8717" s="52" t="inlineStr">
        <is>
          <t>49.20</t>
        </is>
      </c>
      <c r="J8717" s="52" t="inlineStr">
        <is>
          <t>49.20; 49.10; 49.10.1; 52.10; 52.24; 52.24.1; 52.29; 56.10; 56.10.1; 56.10.3</t>
        </is>
      </c>
      <c r="K8717" s="53" t="inlineStr">
        <is>
          <t>Да</t>
        </is>
      </c>
      <c r="L8717" s="53" t="inlineStr">
        <is>
          <t>Да</t>
        </is>
      </c>
      <c r="M8717" s="53" t="inlineStr">
        <is>
          <t>До 100</t>
        </is>
      </c>
      <c r="N8717" s="54" t="n">
        <v>33600</v>
      </c>
      <c r="O8717" s="55" t="inlineStr">
        <is>
          <t>51–100</t>
        </is>
      </c>
      <c r="P8717" s="16" t="inlineStr">
        <is>
          <t>ССЧР + ОКВЭД обогащены</t>
        </is>
      </c>
      <c r="Q8717" s="16" t="inlineStr">
        <is>
          <t>ФНС открытые данные ССЧР (ДатаСост 31.12.2025; набор 7707329152-sshr2019)</t>
        </is>
      </c>
      <c r="R8717" s="16" t="inlineStr">
        <is>
          <t>ЕГРЮЛ / egrul.nalog.ru (выписка)</t>
        </is>
      </c>
      <c r="S8717" t="n">
        <v>1</v>
      </c>
      <c r="T8717" s="35" t="inlineStr">
        <is>
          <t>1 — Горячий</t>
        </is>
      </c>
      <c r="U8717" s="35" t="inlineStr">
        <is>
          <t>ОКВЭД + 22+</t>
        </is>
      </c>
      <c r="V8717" s="35" t="inlineStr">
        <is>
          <t>Да</t>
        </is>
      </c>
      <c r="W8717" s="35" t="inlineStr">
        <is>
          <t>Да</t>
        </is>
      </c>
      <c r="X8717" s="35" t="inlineStr">
        <is>
          <t>Да</t>
        </is>
      </c>
    </row>
    <row r="8718" ht="15" customHeight="1" s="24">
      <c r="A8718" s="13" t="inlineStr">
        <is>
          <t>FR823665</t>
        </is>
      </c>
      <c r="B8718" s="13" t="inlineStr">
        <is>
          <t>ИП Мельников Тимофей Викторович</t>
        </is>
      </c>
      <c r="C8718" s="13" t="n">
        <v>384900036292</v>
      </c>
      <c r="D8718" s="13" t="inlineStr">
        <is>
          <t>384900036292</t>
        </is>
      </c>
      <c r="E8718" s="13" t="inlineStr">
        <is>
          <t>ИП РФ / физлицо</t>
        </is>
      </c>
      <c r="F8718" s="13" t="n"/>
      <c r="G8718" s="14" t="n"/>
      <c r="H8718" s="14" t="n"/>
      <c r="I8718" s="14" t="n"/>
      <c r="J8718" s="14" t="n"/>
      <c r="K8718" s="53" t="inlineStr"/>
      <c r="L8718" s="53" t="inlineStr">
        <is>
          <t>Не определено</t>
        </is>
      </c>
      <c r="M8718" s="53" t="inlineStr"/>
      <c r="N8718" s="54" t="inlineStr"/>
      <c r="O8718" s="55" t="inlineStr"/>
      <c r="P8718" s="16" t="inlineStr">
        <is>
          <t>Требует обогащения</t>
        </is>
      </c>
      <c r="Q8718" s="16">
        <f>HYPERLINK("https://pb.nalog.ru/search.html?query=384900036292","ФНС: проверить")</f>
        <v/>
      </c>
      <c r="R8718" s="16">
        <f>HYPERLINK("https://checko.ru/search?query=3801001629","Чекко: проверить")</f>
        <v/>
      </c>
      <c r="S8718" t="n">
        <v>0</v>
      </c>
      <c r="T8718" s="35" t="inlineStr">
        <is>
          <t>4 — Не обогащён</t>
        </is>
      </c>
      <c r="U8718" s="35" t="inlineStr">
        <is>
          <t>Нет ОКВЭД/ССЧР</t>
        </is>
      </c>
      <c r="V8718" s="35" t="inlineStr">
        <is>
          <t>Не определено</t>
        </is>
      </c>
      <c r="W8718" s="35" t="inlineStr"/>
      <c r="X8718" s="35" t="inlineStr"/>
    </row>
    <row r="8719" ht="15" customHeight="1" s="24">
      <c r="A8719" s="13" t="inlineStr">
        <is>
          <t>FR734634</t>
        </is>
      </c>
      <c r="B8719" s="13" t="inlineStr">
        <is>
          <t>ООО "Инженерные технологии ИНТЕГРА"</t>
        </is>
      </c>
      <c r="C8719" s="13" t="n">
        <v>3811434276</v>
      </c>
      <c r="D8719" s="13" t="inlineStr">
        <is>
          <t>3811434276</t>
        </is>
      </c>
      <c r="E8719" s="13" t="inlineStr">
        <is>
          <t>ЮЛ РФ</t>
        </is>
      </c>
      <c r="F8719" s="13" t="n"/>
      <c r="G8719" s="52" t="n">
        <v>2</v>
      </c>
      <c r="H8719" s="52" t="n">
        <v>2025</v>
      </c>
      <c r="I8719" s="14" t="n"/>
      <c r="J8719" s="14" t="n"/>
      <c r="K8719" s="53" t="inlineStr">
        <is>
          <t>Нет</t>
        </is>
      </c>
      <c r="L8719" s="53" t="inlineStr">
        <is>
          <t>Не определено</t>
        </is>
      </c>
      <c r="M8719" s="53" t="inlineStr">
        <is>
          <t>До 10</t>
        </is>
      </c>
      <c r="N8719" s="54" t="n">
        <v>3360</v>
      </c>
      <c r="O8719" s="55" t="inlineStr">
        <is>
          <t>1–15</t>
        </is>
      </c>
      <c r="P8719" s="16" t="inlineStr">
        <is>
          <t>ССЧР обогащена; ОКВЭД не найден/не загружен</t>
        </is>
      </c>
      <c r="Q8719" s="16" t="inlineStr">
        <is>
          <t>ФНС открытые данные ССЧР (ДатаСост 31.12.2025; набор 7707329152-sshr2019)</t>
        </is>
      </c>
      <c r="R8719" s="16">
        <f>HYPERLINK("https://checko.ru/search?query=3801001629","Чекко: проверить")</f>
        <v/>
      </c>
      <c r="S8719" t="n">
        <v>0</v>
      </c>
      <c r="T8719" s="35" t="inlineStr">
        <is>
          <t>4 — Не обогащён</t>
        </is>
      </c>
      <c r="U8719" s="35" t="inlineStr">
        <is>
          <t>Нет ОКВЭД/ССЧР</t>
        </is>
      </c>
      <c r="V8719" s="35" t="inlineStr">
        <is>
          <t>Не определено</t>
        </is>
      </c>
      <c r="W8719" s="35" t="inlineStr">
        <is>
          <t>Нет</t>
        </is>
      </c>
      <c r="X8719" s="35" t="inlineStr"/>
    </row>
    <row r="8720" ht="15" customHeight="1" s="24">
      <c r="A8720" s="13" t="inlineStr">
        <is>
          <t>FR731938</t>
        </is>
      </c>
      <c r="B8720" s="13" t="inlineStr">
        <is>
          <t>ГАРАЖНО-СТРОИТЕЛЬНЫЙ КООПЕРАТИВ №149</t>
        </is>
      </c>
      <c r="C8720" s="13" t="n">
        <v>3812053876</v>
      </c>
      <c r="D8720" s="13" t="inlineStr">
        <is>
          <t>3812053876</t>
        </is>
      </c>
      <c r="E8720" s="13" t="inlineStr">
        <is>
          <t>ЮЛ РФ</t>
        </is>
      </c>
      <c r="F8720" s="13" t="n"/>
      <c r="G8720" s="14" t="n"/>
      <c r="H8720" s="14" t="n"/>
      <c r="I8720" s="14" t="n"/>
      <c r="J8720" s="14" t="n"/>
      <c r="K8720" s="53" t="inlineStr"/>
      <c r="L8720" s="53" t="inlineStr">
        <is>
          <t>Не определено</t>
        </is>
      </c>
      <c r="M8720" s="53" t="inlineStr"/>
      <c r="N8720" s="54" t="inlineStr"/>
      <c r="O8720" s="55" t="inlineStr"/>
      <c r="P8720" s="16" t="inlineStr">
        <is>
          <t>Требует обогащения</t>
        </is>
      </c>
      <c r="Q8720" s="16">
        <f>HYPERLINK("https://pb.nalog.ru/search.html?query=3812053876","ФНС: проверить")</f>
        <v/>
      </c>
      <c r="R8720" s="16">
        <f>HYPERLINK("https://checko.ru/search?query=3801001629","Чекко: проверить")</f>
        <v/>
      </c>
      <c r="S8720" t="n">
        <v>1</v>
      </c>
      <c r="T8720" s="35" t="inlineStr">
        <is>
          <t>4 — Не обогащён</t>
        </is>
      </c>
      <c r="U8720" s="35" t="inlineStr">
        <is>
          <t>Нет ОКВЭД/ССЧР</t>
        </is>
      </c>
      <c r="V8720" s="35" t="inlineStr">
        <is>
          <t>Не определено</t>
        </is>
      </c>
      <c r="W8720" s="35" t="inlineStr"/>
      <c r="X8720" s="35" t="inlineStr"/>
    </row>
    <row r="8721" ht="15" customHeight="1" s="24">
      <c r="A8721" s="13" t="inlineStr">
        <is>
          <t>FR1335831</t>
        </is>
      </c>
      <c r="B8721" s="13" t="inlineStr">
        <is>
          <t>ГАРАЖНЫЙ КООПЕРАТИВ №15</t>
        </is>
      </c>
      <c r="C8721" s="13" t="n">
        <v>3811020204</v>
      </c>
      <c r="D8721" s="13" t="inlineStr">
        <is>
          <t>3811020204</t>
        </is>
      </c>
      <c r="E8721" s="13" t="inlineStr">
        <is>
          <t>ЮЛ РФ</t>
        </is>
      </c>
      <c r="F8721" s="13" t="n"/>
      <c r="G8721" s="14" t="n"/>
      <c r="H8721" s="14" t="n"/>
      <c r="I8721" s="14" t="n"/>
      <c r="J8721" s="14" t="n"/>
      <c r="K8721" s="53" t="inlineStr"/>
      <c r="L8721" s="53" t="inlineStr">
        <is>
          <t>Не определено</t>
        </is>
      </c>
      <c r="M8721" s="53" t="inlineStr"/>
      <c r="N8721" s="54" t="inlineStr"/>
      <c r="O8721" s="55" t="inlineStr"/>
      <c r="P8721" s="16" t="inlineStr">
        <is>
          <t>Требует обогащения</t>
        </is>
      </c>
      <c r="Q8721" s="16">
        <f>HYPERLINK("https://pb.nalog.ru/search.html?query=3811020204","ФНС: проверить")</f>
        <v/>
      </c>
      <c r="R8721" s="16">
        <f>HYPERLINK("https://checko.ru/search?query=3801001629","Чекко: проверить")</f>
        <v/>
      </c>
      <c r="S8721" t="n">
        <v>1</v>
      </c>
      <c r="T8721" s="35" t="inlineStr">
        <is>
          <t>4 — Не обогащён</t>
        </is>
      </c>
      <c r="U8721" s="35" t="inlineStr">
        <is>
          <t>Нет ОКВЭД/ССЧР</t>
        </is>
      </c>
      <c r="V8721" s="35" t="inlineStr">
        <is>
          <t>Не определено</t>
        </is>
      </c>
      <c r="W8721" s="35" t="inlineStr"/>
      <c r="X8721" s="35" t="inlineStr"/>
    </row>
    <row r="8722" ht="27.75" customHeight="1" s="24">
      <c r="A8722" s="13" t="inlineStr">
        <is>
          <t>FR552771</t>
        </is>
      </c>
      <c r="B8722" s="13" t="inlineStr">
        <is>
          <t>ГАРАЖНЫЙ КООПЕРАТИВ № 5 В МИКРОРАЙОНЕ "ЮБИЛЕЙНЫЙ"</t>
        </is>
      </c>
      <c r="C8722" s="13" t="n">
        <v>3812053763</v>
      </c>
      <c r="D8722" s="13" t="inlineStr">
        <is>
          <t>3812053763</t>
        </is>
      </c>
      <c r="E8722" s="13" t="inlineStr">
        <is>
          <t>ЮЛ РФ</t>
        </is>
      </c>
      <c r="F8722" s="13" t="n"/>
      <c r="G8722" s="14" t="n"/>
      <c r="H8722" s="14" t="n"/>
      <c r="I8722" s="14" t="n"/>
      <c r="J8722" s="14" t="n"/>
      <c r="K8722" s="53" t="inlineStr"/>
      <c r="L8722" s="53" t="inlineStr">
        <is>
          <t>Не определено</t>
        </is>
      </c>
      <c r="M8722" s="53" t="inlineStr"/>
      <c r="N8722" s="54" t="inlineStr"/>
      <c r="O8722" s="55" t="inlineStr"/>
      <c r="P8722" s="16" t="inlineStr">
        <is>
          <t>Требует обогащения</t>
        </is>
      </c>
      <c r="Q8722" s="16">
        <f>HYPERLINK("https://pb.nalog.ru/search.html?query=3812053763","ФНС: проверить")</f>
        <v/>
      </c>
      <c r="R8722" s="16">
        <f>HYPERLINK("https://checko.ru/search?query=3801001629","Чекко: проверить")</f>
        <v/>
      </c>
      <c r="S8722" t="n">
        <v>1</v>
      </c>
      <c r="T8722" s="35" t="inlineStr">
        <is>
          <t>4 — Не обогащён</t>
        </is>
      </c>
      <c r="U8722" s="35" t="inlineStr">
        <is>
          <t>Нет ОКВЭД/ССЧР</t>
        </is>
      </c>
      <c r="V8722" s="35" t="inlineStr">
        <is>
          <t>Не определено</t>
        </is>
      </c>
      <c r="W8722" s="35" t="inlineStr"/>
      <c r="X8722" s="35" t="inlineStr"/>
    </row>
    <row r="8723" ht="15" customHeight="1" s="24">
      <c r="A8723" s="13" t="inlineStr">
        <is>
          <t>FR1056577</t>
        </is>
      </c>
      <c r="B8723" s="13" t="inlineStr">
        <is>
          <t>ГАРАЖНЫЙ КООПЕРАТИВ №9 ОКТЯБРЬСКИЙ</t>
        </is>
      </c>
      <c r="C8723" s="13" t="n">
        <v>3811020162</v>
      </c>
      <c r="D8723" s="13" t="inlineStr">
        <is>
          <t>3811020162</t>
        </is>
      </c>
      <c r="E8723" s="13" t="inlineStr">
        <is>
          <t>ЮЛ РФ</t>
        </is>
      </c>
      <c r="F8723" s="13" t="n"/>
      <c r="G8723" s="14" t="n"/>
      <c r="H8723" s="14" t="n"/>
      <c r="I8723" s="14" t="n"/>
      <c r="J8723" s="14" t="n"/>
      <c r="K8723" s="53" t="inlineStr"/>
      <c r="L8723" s="53" t="inlineStr">
        <is>
          <t>Не определено</t>
        </is>
      </c>
      <c r="M8723" s="53" t="inlineStr"/>
      <c r="N8723" s="54" t="inlineStr"/>
      <c r="O8723" s="55" t="inlineStr"/>
      <c r="P8723" s="16" t="inlineStr">
        <is>
          <t>Требует обогащения</t>
        </is>
      </c>
      <c r="Q8723" s="16">
        <f>HYPERLINK("https://pb.nalog.ru/search.html?query=3811020162","ФНС: проверить")</f>
        <v/>
      </c>
      <c r="R8723" s="16">
        <f>HYPERLINK("https://checko.ru/search?query=3801001629","Чекко: проверить")</f>
        <v/>
      </c>
      <c r="S8723" t="n">
        <v>1</v>
      </c>
      <c r="T8723" s="35" t="inlineStr">
        <is>
          <t>4 — Не обогащён</t>
        </is>
      </c>
      <c r="U8723" s="35" t="inlineStr">
        <is>
          <t>Нет ОКВЭД/ССЧР</t>
        </is>
      </c>
      <c r="V8723" s="35" t="inlineStr">
        <is>
          <t>Не определено</t>
        </is>
      </c>
      <c r="W8723" s="35" t="inlineStr"/>
      <c r="X8723" s="35" t="inlineStr"/>
    </row>
    <row r="8724" ht="41.25" customHeight="1" s="24">
      <c r="A8724" s="13" t="inlineStr">
        <is>
          <t>FR1059522</t>
        </is>
      </c>
      <c r="B8724" s="13" t="inlineStr">
        <is>
          <t>ГАРАЖНЫЙ СПЕЦИАЛИЗИРОВАННЫЙ ПОТРЕБИТЕЛЬСКИЙ КООПЕРАТИВ "БАЙКАЛЬСКИЙ № 228"</t>
        </is>
      </c>
      <c r="C8724" s="13" t="n">
        <v>3811050583</v>
      </c>
      <c r="D8724" s="13" t="inlineStr">
        <is>
          <t>3811050583</t>
        </is>
      </c>
      <c r="E8724" s="13" t="inlineStr">
        <is>
          <t>ЮЛ РФ</t>
        </is>
      </c>
      <c r="F8724" s="13" t="n"/>
      <c r="G8724" s="14" t="n"/>
      <c r="H8724" s="14" t="n"/>
      <c r="I8724" s="14" t="n"/>
      <c r="J8724" s="14" t="n"/>
      <c r="K8724" s="53" t="inlineStr"/>
      <c r="L8724" s="53" t="inlineStr">
        <is>
          <t>Не определено</t>
        </is>
      </c>
      <c r="M8724" s="53" t="inlineStr"/>
      <c r="N8724" s="54" t="inlineStr"/>
      <c r="O8724" s="55" t="inlineStr"/>
      <c r="P8724" s="16" t="inlineStr">
        <is>
          <t>Требует обогащения</t>
        </is>
      </c>
      <c r="Q8724" s="16">
        <f>HYPERLINK("https://pb.nalog.ru/search.html?query=3811050583","ФНС: проверить")</f>
        <v/>
      </c>
      <c r="R8724" s="16">
        <f>HYPERLINK("https://checko.ru/search?query=3801001629","Чекко: проверить")</f>
        <v/>
      </c>
      <c r="S8724" t="n">
        <v>1</v>
      </c>
      <c r="T8724" s="35" t="inlineStr">
        <is>
          <t>4 — Не обогащён</t>
        </is>
      </c>
      <c r="U8724" s="35" t="inlineStr">
        <is>
          <t>Нет ОКВЭД/ССЧР</t>
        </is>
      </c>
      <c r="V8724" s="35" t="inlineStr">
        <is>
          <t>Не определено</t>
        </is>
      </c>
      <c r="W8724" s="35" t="inlineStr"/>
      <c r="X8724" s="35" t="inlineStr"/>
    </row>
    <row r="8725" ht="27.75" customHeight="1" s="24">
      <c r="A8725" s="13" t="inlineStr">
        <is>
          <t>FR759150</t>
        </is>
      </c>
      <c r="B8725" s="13" t="inlineStr">
        <is>
          <t>ГАРАЖНО-СТРОИТЕЛЬНЫЙ КООПЕРАТИВ "КИПАРИС"</t>
        </is>
      </c>
      <c r="C8725" s="13" t="n">
        <v>9103063320</v>
      </c>
      <c r="D8725" s="13" t="inlineStr">
        <is>
          <t>9103063320</t>
        </is>
      </c>
      <c r="E8725" s="13" t="inlineStr">
        <is>
          <t>ЮЛ РФ</t>
        </is>
      </c>
      <c r="F8725" s="13" t="n"/>
      <c r="G8725" s="14" t="n"/>
      <c r="H8725" s="14" t="n"/>
      <c r="I8725" s="14" t="n"/>
      <c r="J8725" s="14" t="n"/>
      <c r="K8725" s="53" t="inlineStr"/>
      <c r="L8725" s="53" t="inlineStr">
        <is>
          <t>Не определено</t>
        </is>
      </c>
      <c r="M8725" s="53" t="inlineStr"/>
      <c r="N8725" s="54" t="inlineStr"/>
      <c r="O8725" s="55" t="inlineStr"/>
      <c r="P8725" s="16" t="inlineStr">
        <is>
          <t>Требует обогащения</t>
        </is>
      </c>
      <c r="Q8725" s="16">
        <f>HYPERLINK("https://pb.nalog.ru/search.html?query=9103063320","ФНС: проверить")</f>
        <v/>
      </c>
      <c r="R8725" s="16">
        <f>HYPERLINK("https://checko.ru/search?query=3801001629","Чекко: проверить")</f>
        <v/>
      </c>
      <c r="S8725" t="n">
        <v>1</v>
      </c>
      <c r="T8725" s="35" t="inlineStr">
        <is>
          <t>4 — Не обогащён</t>
        </is>
      </c>
      <c r="U8725" s="35" t="inlineStr">
        <is>
          <t>Нет ОКВЭД/ССЧР</t>
        </is>
      </c>
      <c r="V8725" s="35" t="inlineStr">
        <is>
          <t>Не определено</t>
        </is>
      </c>
      <c r="W8725" s="35" t="inlineStr"/>
      <c r="X8725" s="35" t="inlineStr"/>
    </row>
    <row r="8726" ht="27.75" customHeight="1" s="24">
      <c r="A8726" s="13" t="inlineStr">
        <is>
          <t>FR993676</t>
        </is>
      </c>
      <c r="B8726" s="13" t="inlineStr">
        <is>
          <t>САДОВОДЧЕСКОЕ НЕКОММЕРЧЕСКОЕ ТОВАРИЩЕСТВО "РАДУГА"</t>
        </is>
      </c>
      <c r="C8726" s="13" t="n">
        <v>3827008481</v>
      </c>
      <c r="D8726" s="13" t="inlineStr">
        <is>
          <t>3827008481</t>
        </is>
      </c>
      <c r="E8726" s="13" t="inlineStr">
        <is>
          <t>ЮЛ РФ</t>
        </is>
      </c>
      <c r="F8726" s="13" t="n"/>
      <c r="G8726" s="14" t="n"/>
      <c r="H8726" s="14" t="n"/>
      <c r="I8726" s="14" t="n"/>
      <c r="J8726" s="14" t="n"/>
      <c r="K8726" s="53" t="inlineStr"/>
      <c r="L8726" s="53" t="inlineStr">
        <is>
          <t>Не определено</t>
        </is>
      </c>
      <c r="M8726" s="53" t="inlineStr"/>
      <c r="N8726" s="54" t="inlineStr"/>
      <c r="O8726" s="55" t="inlineStr"/>
      <c r="P8726" s="16" t="inlineStr">
        <is>
          <t>Требует обогащения</t>
        </is>
      </c>
      <c r="Q8726" s="16">
        <f>HYPERLINK("https://pb.nalog.ru/search.html?query=3827008481","ФНС: проверить")</f>
        <v/>
      </c>
      <c r="R8726" s="16">
        <f>HYPERLINK("https://checko.ru/search?query=3801001629","Чекко: проверить")</f>
        <v/>
      </c>
      <c r="S8726" t="n">
        <v>1</v>
      </c>
      <c r="T8726" s="35" t="inlineStr">
        <is>
          <t>4 — Не обогащён</t>
        </is>
      </c>
      <c r="U8726" s="35" t="inlineStr">
        <is>
          <t>Нет ОКВЭД/ССЧР</t>
        </is>
      </c>
      <c r="V8726" s="35" t="inlineStr">
        <is>
          <t>Не определено</t>
        </is>
      </c>
      <c r="W8726" s="35" t="inlineStr"/>
      <c r="X8726" s="35" t="inlineStr"/>
    </row>
    <row r="8727" ht="27.75" customHeight="1" s="24">
      <c r="A8727" s="13" t="inlineStr">
        <is>
          <t>FR777323</t>
        </is>
      </c>
      <c r="B8727" s="13" t="inlineStr">
        <is>
          <t>ДАЧНОЕ НЕКОММЕРЧЕСКОЕ ТОВАРИЩЕСТВО "ПОЛЕТ"</t>
        </is>
      </c>
      <c r="C8727" s="13" t="n">
        <v>3827009171</v>
      </c>
      <c r="D8727" s="13" t="inlineStr">
        <is>
          <t>3827009171</t>
        </is>
      </c>
      <c r="E8727" s="13" t="inlineStr">
        <is>
          <t>ЮЛ РФ</t>
        </is>
      </c>
      <c r="F8727" s="13" t="n"/>
      <c r="G8727" s="14" t="n"/>
      <c r="H8727" s="14" t="n"/>
      <c r="I8727" s="14" t="n"/>
      <c r="J8727" s="14" t="n"/>
      <c r="K8727" s="53" t="inlineStr"/>
      <c r="L8727" s="53" t="inlineStr">
        <is>
          <t>Не определено</t>
        </is>
      </c>
      <c r="M8727" s="53" t="inlineStr"/>
      <c r="N8727" s="54" t="inlineStr"/>
      <c r="O8727" s="55" t="inlineStr"/>
      <c r="P8727" s="16" t="inlineStr">
        <is>
          <t>Требует обогащения</t>
        </is>
      </c>
      <c r="Q8727" s="16">
        <f>HYPERLINK("https://pb.nalog.ru/search.html?query=3827009171","ФНС: проверить")</f>
        <v/>
      </c>
      <c r="R8727" s="16">
        <f>HYPERLINK("https://checko.ru/search?query=3801001629","Чекко: проверить")</f>
        <v/>
      </c>
      <c r="S8727" t="n">
        <v>1</v>
      </c>
      <c r="T8727" s="35" t="inlineStr">
        <is>
          <t>4 — Не обогащён</t>
        </is>
      </c>
      <c r="U8727" s="35" t="inlineStr">
        <is>
          <t>Нет ОКВЭД/ССЧР</t>
        </is>
      </c>
      <c r="V8727" s="35" t="inlineStr">
        <is>
          <t>Не определено</t>
        </is>
      </c>
      <c r="W8727" s="35" t="inlineStr"/>
      <c r="X8727" s="35" t="inlineStr"/>
    </row>
    <row r="8728" ht="27.75" customHeight="1" s="24">
      <c r="A8728" s="13" t="inlineStr">
        <is>
          <t>FR777323</t>
        </is>
      </c>
      <c r="B8728" s="13" t="inlineStr">
        <is>
          <t>ДАЧНОЕ НЕКОММЕРЧЕСКОЕ ТОВАРИЩЕСТВО "ПОЛЕТ"</t>
        </is>
      </c>
      <c r="C8728" s="13" t="n">
        <v>3827009171</v>
      </c>
      <c r="D8728" s="13" t="inlineStr">
        <is>
          <t>3827009171</t>
        </is>
      </c>
      <c r="E8728" s="13" t="inlineStr">
        <is>
          <t>ЮЛ РФ</t>
        </is>
      </c>
      <c r="F8728" s="13" t="n"/>
      <c r="G8728" s="14" t="n"/>
      <c r="H8728" s="14" t="n"/>
      <c r="I8728" s="14" t="n"/>
      <c r="J8728" s="14" t="n"/>
      <c r="K8728" s="53" t="inlineStr"/>
      <c r="L8728" s="53" t="inlineStr">
        <is>
          <t>Не определено</t>
        </is>
      </c>
      <c r="M8728" s="53" t="inlineStr"/>
      <c r="N8728" s="54" t="inlineStr"/>
      <c r="O8728" s="55" t="inlineStr"/>
      <c r="P8728" s="16" t="inlineStr">
        <is>
          <t>Требует обогащения</t>
        </is>
      </c>
      <c r="Q8728" s="16">
        <f>HYPERLINK("https://pb.nalog.ru/search.html?query=3827009171","ФНС: проверить")</f>
        <v/>
      </c>
      <c r="R8728" s="16">
        <f>HYPERLINK("https://checko.ru/search?query=3801001629","Чекко: проверить")</f>
        <v/>
      </c>
      <c r="S8728" t="n">
        <v>0</v>
      </c>
      <c r="T8728" s="35" t="inlineStr">
        <is>
          <t>4 — Не обогащён</t>
        </is>
      </c>
      <c r="U8728" s="35" t="inlineStr">
        <is>
          <t>Нет ОКВЭД/ССЧР</t>
        </is>
      </c>
      <c r="V8728" s="35" t="inlineStr">
        <is>
          <t>Не определено</t>
        </is>
      </c>
      <c r="W8728" s="35" t="inlineStr"/>
      <c r="X8728" s="35" t="inlineStr"/>
    </row>
    <row r="8729" ht="27.75" customHeight="1" s="24">
      <c r="A8729" s="13" t="inlineStr">
        <is>
          <t>FR777323</t>
        </is>
      </c>
      <c r="B8729" s="13" t="inlineStr">
        <is>
          <t>ДАЧНОЕ НЕКОММЕРЧЕСКОЕ ТОВАРИЩЕСТВО "ПОЛЕТ"</t>
        </is>
      </c>
      <c r="C8729" s="13" t="n">
        <v>3827009171</v>
      </c>
      <c r="D8729" s="13" t="inlineStr">
        <is>
          <t>3827009171</t>
        </is>
      </c>
      <c r="E8729" s="13" t="inlineStr">
        <is>
          <t>ЮЛ РФ</t>
        </is>
      </c>
      <c r="F8729" s="13" t="n"/>
      <c r="G8729" s="14" t="n"/>
      <c r="H8729" s="14" t="n"/>
      <c r="I8729" s="14" t="n"/>
      <c r="J8729" s="14" t="n"/>
      <c r="K8729" s="53" t="inlineStr"/>
      <c r="L8729" s="53" t="inlineStr">
        <is>
          <t>Не определено</t>
        </is>
      </c>
      <c r="M8729" s="53" t="inlineStr"/>
      <c r="N8729" s="54" t="inlineStr"/>
      <c r="O8729" s="55" t="inlineStr"/>
      <c r="P8729" s="16" t="inlineStr">
        <is>
          <t>Требует обогащения</t>
        </is>
      </c>
      <c r="Q8729" s="16">
        <f>HYPERLINK("https://pb.nalog.ru/search.html?query=3827009171","ФНС: проверить")</f>
        <v/>
      </c>
      <c r="R8729" s="16">
        <f>HYPERLINK("https://checko.ru/search?query=3801001629","Чекко: проверить")</f>
        <v/>
      </c>
      <c r="S8729" t="n">
        <v>0</v>
      </c>
      <c r="T8729" s="35" t="inlineStr">
        <is>
          <t>4 — Не обогащён</t>
        </is>
      </c>
      <c r="U8729" s="35" t="inlineStr">
        <is>
          <t>Нет ОКВЭД/ССЧР</t>
        </is>
      </c>
      <c r="V8729" s="35" t="inlineStr">
        <is>
          <t>Не определено</t>
        </is>
      </c>
      <c r="W8729" s="35" t="inlineStr"/>
      <c r="X8729" s="35" t="inlineStr"/>
    </row>
    <row r="8730" ht="27.75" customHeight="1" s="24">
      <c r="A8730" s="13" t="inlineStr">
        <is>
          <t>FR902948</t>
        </is>
      </c>
      <c r="B8730" s="13" t="inlineStr">
        <is>
          <t>Общество с ограниченной ответственностью "РУССКАЯ СИБИРЬ"</t>
        </is>
      </c>
      <c r="C8730" s="13" t="n">
        <v>3804120092</v>
      </c>
      <c r="D8730" s="13" t="inlineStr">
        <is>
          <t>3804120092</t>
        </is>
      </c>
      <c r="E8730" s="13" t="inlineStr">
        <is>
          <t>ЮЛ РФ</t>
        </is>
      </c>
      <c r="F8730" s="13" t="n"/>
      <c r="G8730" s="52" t="n">
        <v>4</v>
      </c>
      <c r="H8730" s="52" t="n">
        <v>2025</v>
      </c>
      <c r="I8730" s="14" t="n"/>
      <c r="J8730" s="14" t="n"/>
      <c r="K8730" s="53" t="inlineStr">
        <is>
          <t>Нет</t>
        </is>
      </c>
      <c r="L8730" s="53" t="inlineStr">
        <is>
          <t>Не определено</t>
        </is>
      </c>
      <c r="M8730" s="53" t="inlineStr">
        <is>
          <t>До 10</t>
        </is>
      </c>
      <c r="N8730" s="54" t="n">
        <v>3360</v>
      </c>
      <c r="O8730" s="55" t="inlineStr">
        <is>
          <t>1–15</t>
        </is>
      </c>
      <c r="P8730" s="16" t="inlineStr">
        <is>
          <t>ССЧР обогащена; ОКВЭД не найден/не загружен</t>
        </is>
      </c>
      <c r="Q8730" s="16" t="inlineStr">
        <is>
          <t>ФНС открытые данные ССЧР (ДатаСост 31.12.2025; набор 7707329152-sshr2019)</t>
        </is>
      </c>
      <c r="R8730" s="16">
        <f>HYPERLINK("https://checko.ru/search?query=3801001629","Чекко: проверить")</f>
        <v/>
      </c>
      <c r="S8730" t="n">
        <v>0</v>
      </c>
      <c r="T8730" s="35" t="inlineStr">
        <is>
          <t>4 — Не обогащён</t>
        </is>
      </c>
      <c r="U8730" s="35" t="inlineStr">
        <is>
          <t>Нет ОКВЭД/ССЧР</t>
        </is>
      </c>
      <c r="V8730" s="35" t="inlineStr">
        <is>
          <t>Не определено</t>
        </is>
      </c>
      <c r="W8730" s="35" t="inlineStr">
        <is>
          <t>Нет</t>
        </is>
      </c>
      <c r="X8730" s="35" t="inlineStr"/>
    </row>
    <row r="8731" ht="27.75" customHeight="1" s="24">
      <c r="A8731" s="13" t="inlineStr">
        <is>
          <t>FR47457</t>
        </is>
      </c>
      <c r="B8731" s="13" t="inlineStr">
        <is>
          <t>Общество с ограниченной ответственностью "ФИНЭКСПЕРТ"</t>
        </is>
      </c>
      <c r="C8731" s="13" t="n">
        <v>7720476519</v>
      </c>
      <c r="D8731" s="13" t="inlineStr">
        <is>
          <t>7720476519</t>
        </is>
      </c>
      <c r="E8731" s="13" t="inlineStr">
        <is>
          <t>ЮЛ РФ</t>
        </is>
      </c>
      <c r="F8731" s="13" t="n"/>
      <c r="G8731" s="52" t="n">
        <v>3</v>
      </c>
      <c r="H8731" s="52" t="n">
        <v>2025</v>
      </c>
      <c r="I8731" s="14" t="n"/>
      <c r="J8731" s="14" t="n"/>
      <c r="K8731" s="53" t="inlineStr">
        <is>
          <t>Нет</t>
        </is>
      </c>
      <c r="L8731" s="53" t="inlineStr">
        <is>
          <t>Не определено</t>
        </is>
      </c>
      <c r="M8731" s="53" t="inlineStr">
        <is>
          <t>До 10</t>
        </is>
      </c>
      <c r="N8731" s="54" t="n">
        <v>3360</v>
      </c>
      <c r="O8731" s="55" t="inlineStr">
        <is>
          <t>1–15</t>
        </is>
      </c>
      <c r="P8731" s="16" t="inlineStr">
        <is>
          <t>ССЧР обогащена; ОКВЭД не найден/не загружен</t>
        </is>
      </c>
      <c r="Q8731" s="16" t="inlineStr">
        <is>
          <t>ФНС открытые данные ССЧР (ДатаСост 31.12.2025; набор 7707329152-sshr2019)</t>
        </is>
      </c>
      <c r="R8731" s="16">
        <f>HYPERLINK("https://checko.ru/search?query=3801001629","Чекко: проверить")</f>
        <v/>
      </c>
      <c r="S8731" t="n">
        <v>1</v>
      </c>
      <c r="T8731" s="35" t="inlineStr">
        <is>
          <t>4 — Не обогащён</t>
        </is>
      </c>
      <c r="U8731" s="35" t="inlineStr">
        <is>
          <t>Нет ОКВЭД/ССЧР</t>
        </is>
      </c>
      <c r="V8731" s="35" t="inlineStr">
        <is>
          <t>Не определено</t>
        </is>
      </c>
      <c r="W8731" s="35" t="inlineStr">
        <is>
          <t>Нет</t>
        </is>
      </c>
      <c r="X8731" s="35" t="inlineStr"/>
    </row>
    <row r="8732" ht="15" customHeight="1" s="24">
      <c r="A8732" s="13" t="n">
        <v>802457697</v>
      </c>
      <c r="B8732" s="13" t="inlineStr">
        <is>
          <t>ООО "ТРИАЛ"</t>
        </is>
      </c>
      <c r="C8732" s="13" t="n">
        <v>3805731087</v>
      </c>
      <c r="D8732" s="13" t="inlineStr">
        <is>
          <t>3805731087</t>
        </is>
      </c>
      <c r="E8732" s="13" t="inlineStr">
        <is>
          <t>ЮЛ РФ</t>
        </is>
      </c>
      <c r="F8732" s="13" t="n"/>
      <c r="G8732" s="52" t="n">
        <v>21</v>
      </c>
      <c r="H8732" s="52" t="n">
        <v>2025</v>
      </c>
      <c r="I8732" s="14" t="n"/>
      <c r="J8732" s="14" t="n"/>
      <c r="K8732" s="53" t="inlineStr">
        <is>
          <t>Нет</t>
        </is>
      </c>
      <c r="L8732" s="53" t="inlineStr">
        <is>
          <t>Не определено</t>
        </is>
      </c>
      <c r="M8732" s="53" t="inlineStr">
        <is>
          <t>До 25</t>
        </is>
      </c>
      <c r="N8732" s="54" t="n">
        <v>8400</v>
      </c>
      <c r="O8732" s="55" t="inlineStr">
        <is>
          <t>16–30</t>
        </is>
      </c>
      <c r="P8732" s="16" t="inlineStr">
        <is>
          <t>ССЧР обогащена; ОКВЭД не найден/не загружен</t>
        </is>
      </c>
      <c r="Q8732" s="16" t="inlineStr">
        <is>
          <t>ФНС открытые данные ССЧР (ДатаСост 31.12.2025; набор 7707329152-sshr2019)</t>
        </is>
      </c>
      <c r="R8732" s="16">
        <f>HYPERLINK("https://checko.ru/search?query=3801001629","Чекко: проверить")</f>
        <v/>
      </c>
      <c r="S8732" t="n">
        <v>1</v>
      </c>
      <c r="T8732" s="35" t="inlineStr">
        <is>
          <t>4 — Не обогащён</t>
        </is>
      </c>
      <c r="U8732" s="35" t="inlineStr">
        <is>
          <t>Нет ОКВЭД/ССЧР</t>
        </is>
      </c>
      <c r="V8732" s="35" t="inlineStr">
        <is>
          <t>Не определено</t>
        </is>
      </c>
      <c r="W8732" s="35" t="inlineStr">
        <is>
          <t>Нет</t>
        </is>
      </c>
      <c r="X8732" s="35" t="inlineStr"/>
    </row>
    <row r="8733" ht="15" customHeight="1" s="24">
      <c r="A8733" s="13" t="inlineStr">
        <is>
          <t>FR322364</t>
        </is>
      </c>
      <c r="B8733" s="13" t="inlineStr">
        <is>
          <t>ИП Меньшикова Кристина Сергеевна</t>
        </is>
      </c>
      <c r="C8733" s="13" t="n">
        <v>663005126014</v>
      </c>
      <c r="D8733" s="13" t="inlineStr">
        <is>
          <t>663005126014</t>
        </is>
      </c>
      <c r="E8733" s="13" t="inlineStr">
        <is>
          <t>ИП РФ / физлицо</t>
        </is>
      </c>
      <c r="F8733" s="13" t="n"/>
      <c r="G8733" s="14" t="n"/>
      <c r="H8733" s="14" t="n"/>
      <c r="I8733" s="14" t="n"/>
      <c r="J8733" s="14" t="n"/>
      <c r="K8733" s="53" t="inlineStr"/>
      <c r="L8733" s="53" t="inlineStr">
        <is>
          <t>Не определено</t>
        </is>
      </c>
      <c r="M8733" s="53" t="inlineStr"/>
      <c r="N8733" s="54" t="inlineStr"/>
      <c r="O8733" s="55" t="inlineStr"/>
      <c r="P8733" s="16" t="inlineStr">
        <is>
          <t>Требует обогащения</t>
        </is>
      </c>
      <c r="Q8733" s="16">
        <f>HYPERLINK("https://pb.nalog.ru/search.html?query=663005126014","ФНС: проверить")</f>
        <v/>
      </c>
      <c r="R8733" s="16">
        <f>HYPERLINK("https://checko.ru/search?query=3801001629","Чекко: проверить")</f>
        <v/>
      </c>
      <c r="S8733" t="n">
        <v>1</v>
      </c>
      <c r="T8733" s="35" t="inlineStr">
        <is>
          <t>4 — Не обогащён</t>
        </is>
      </c>
      <c r="U8733" s="35" t="inlineStr">
        <is>
          <t>Нет ОКВЭД/ССЧР</t>
        </is>
      </c>
      <c r="V8733" s="35" t="inlineStr">
        <is>
          <t>Не определено</t>
        </is>
      </c>
      <c r="W8733" s="35" t="inlineStr"/>
      <c r="X8733" s="35" t="inlineStr"/>
    </row>
    <row r="8734" ht="27.75" customHeight="1" s="24">
      <c r="A8734" s="13" t="inlineStr">
        <is>
          <t>FR587237</t>
        </is>
      </c>
      <c r="B8734" s="13" t="inlineStr">
        <is>
          <t>Общество с ограниченной ответственностью "ЭКОЗАЩИТА СИБИРИ"</t>
        </is>
      </c>
      <c r="C8734" s="13" t="n">
        <v>3808232463</v>
      </c>
      <c r="D8734" s="13" t="inlineStr">
        <is>
          <t>3808232463</t>
        </is>
      </c>
      <c r="E8734" s="13" t="inlineStr">
        <is>
          <t>ЮЛ РФ</t>
        </is>
      </c>
      <c r="F8734" s="13" t="n"/>
      <c r="G8734" s="52" t="n">
        <v>8</v>
      </c>
      <c r="H8734" s="52" t="n">
        <v>2025</v>
      </c>
      <c r="I8734" s="14" t="n"/>
      <c r="J8734" s="14" t="n"/>
      <c r="K8734" s="53" t="inlineStr">
        <is>
          <t>Нет</t>
        </is>
      </c>
      <c r="L8734" s="53" t="inlineStr">
        <is>
          <t>Не определено</t>
        </is>
      </c>
      <c r="M8734" s="53" t="inlineStr">
        <is>
          <t>До 10</t>
        </is>
      </c>
      <c r="N8734" s="54" t="n">
        <v>3360</v>
      </c>
      <c r="O8734" s="55" t="inlineStr">
        <is>
          <t>1–15</t>
        </is>
      </c>
      <c r="P8734" s="16" t="inlineStr">
        <is>
          <t>ССЧР обогащена; ОКВЭД не найден/не загружен</t>
        </is>
      </c>
      <c r="Q8734" s="16" t="inlineStr">
        <is>
          <t>ФНС открытые данные ССЧР (ДатаСост 31.12.2025; набор 7707329152-sshr2019)</t>
        </is>
      </c>
      <c r="R8734" s="16">
        <f>HYPERLINK("https://checko.ru/search?query=3801001629","Чекко: проверить")</f>
        <v/>
      </c>
      <c r="S8734" t="n">
        <v>0</v>
      </c>
      <c r="T8734" s="35" t="inlineStr">
        <is>
          <t>4 — Не обогащён</t>
        </is>
      </c>
      <c r="U8734" s="35" t="inlineStr">
        <is>
          <t>Нет ОКВЭД/ССЧР</t>
        </is>
      </c>
      <c r="V8734" s="35" t="inlineStr">
        <is>
          <t>Не определено</t>
        </is>
      </c>
      <c r="W8734" s="35" t="inlineStr">
        <is>
          <t>Нет</t>
        </is>
      </c>
      <c r="X8734" s="35" t="inlineStr"/>
    </row>
    <row r="8735" ht="27.75" customHeight="1" s="24">
      <c r="A8735" s="13" t="inlineStr">
        <is>
          <t>FR587237</t>
        </is>
      </c>
      <c r="B8735" s="13" t="inlineStr">
        <is>
          <t>Общество с ограниченной ответственностью "ЭКОЗАЩИТА СИБИРИ"</t>
        </is>
      </c>
      <c r="C8735" s="13" t="n">
        <v>3808232463</v>
      </c>
      <c r="D8735" s="13" t="inlineStr">
        <is>
          <t>3808232463</t>
        </is>
      </c>
      <c r="E8735" s="13" t="inlineStr">
        <is>
          <t>ЮЛ РФ</t>
        </is>
      </c>
      <c r="F8735" s="13" t="n"/>
      <c r="G8735" s="52" t="n">
        <v>8</v>
      </c>
      <c r="H8735" s="52" t="n">
        <v>2025</v>
      </c>
      <c r="I8735" s="14" t="n"/>
      <c r="J8735" s="14" t="n"/>
      <c r="K8735" s="53" t="inlineStr">
        <is>
          <t>Нет</t>
        </is>
      </c>
      <c r="L8735" s="53" t="inlineStr">
        <is>
          <t>Не определено</t>
        </is>
      </c>
      <c r="M8735" s="53" t="inlineStr">
        <is>
          <t>До 10</t>
        </is>
      </c>
      <c r="N8735" s="54" t="n">
        <v>3360</v>
      </c>
      <c r="O8735" s="55" t="inlineStr">
        <is>
          <t>1–15</t>
        </is>
      </c>
      <c r="P8735" s="16" t="inlineStr">
        <is>
          <t>ССЧР обогащена; ОКВЭД не найден/не загружен</t>
        </is>
      </c>
      <c r="Q8735" s="16" t="inlineStr">
        <is>
          <t>ФНС открытые данные ССЧР (ДатаСост 31.12.2025; набор 7707329152-sshr2019)</t>
        </is>
      </c>
      <c r="R8735" s="16">
        <f>HYPERLINK("https://checko.ru/search?query=3801001629","Чекко: проверить")</f>
        <v/>
      </c>
      <c r="S8735" t="n">
        <v>0</v>
      </c>
      <c r="T8735" s="35" t="inlineStr">
        <is>
          <t>4 — Не обогащён</t>
        </is>
      </c>
      <c r="U8735" s="35" t="inlineStr">
        <is>
          <t>Нет ОКВЭД/ССЧР</t>
        </is>
      </c>
      <c r="V8735" s="35" t="inlineStr">
        <is>
          <t>Не определено</t>
        </is>
      </c>
      <c r="W8735" s="35" t="inlineStr">
        <is>
          <t>Нет</t>
        </is>
      </c>
      <c r="X8735" s="35" t="inlineStr"/>
    </row>
    <row r="8736" ht="15" customHeight="1" s="24">
      <c r="A8736" s="13" t="n">
        <v>802506442</v>
      </c>
      <c r="B8736" s="13" t="inlineStr">
        <is>
          <t>ООО "777"</t>
        </is>
      </c>
      <c r="C8736" s="13" t="n">
        <v>3818015267</v>
      </c>
      <c r="D8736" s="13" t="inlineStr">
        <is>
          <t>3818015267</t>
        </is>
      </c>
      <c r="E8736" s="13" t="inlineStr">
        <is>
          <t>ЮЛ РФ</t>
        </is>
      </c>
      <c r="F8736" s="13" t="n"/>
      <c r="G8736" s="52" t="n">
        <v>2</v>
      </c>
      <c r="H8736" s="52" t="n">
        <v>2025</v>
      </c>
      <c r="I8736" s="14" t="n"/>
      <c r="J8736" s="14" t="n"/>
      <c r="K8736" s="53" t="inlineStr">
        <is>
          <t>Нет</t>
        </is>
      </c>
      <c r="L8736" s="53" t="inlineStr">
        <is>
          <t>Не определено</t>
        </is>
      </c>
      <c r="M8736" s="53" t="inlineStr">
        <is>
          <t>До 10</t>
        </is>
      </c>
      <c r="N8736" s="54" t="n">
        <v>3360</v>
      </c>
      <c r="O8736" s="55" t="inlineStr">
        <is>
          <t>1–15</t>
        </is>
      </c>
      <c r="P8736" s="16" t="inlineStr">
        <is>
          <t>ССЧР обогащена; ОКВЭД не найден/не загружен</t>
        </is>
      </c>
      <c r="Q8736" s="16" t="inlineStr">
        <is>
          <t>ФНС открытые данные ССЧР (ДатаСост 31.12.2025; набор 7707329152-sshr2019)</t>
        </is>
      </c>
      <c r="R8736" s="16">
        <f>HYPERLINK("https://checko.ru/search?query=3801001629","Чекко: проверить")</f>
        <v/>
      </c>
      <c r="S8736" t="n">
        <v>0</v>
      </c>
      <c r="T8736" s="35" t="inlineStr">
        <is>
          <t>4 — Не обогащён</t>
        </is>
      </c>
      <c r="U8736" s="35" t="inlineStr">
        <is>
          <t>Нет ОКВЭД/ССЧР</t>
        </is>
      </c>
      <c r="V8736" s="35" t="inlineStr">
        <is>
          <t>Не определено</t>
        </is>
      </c>
      <c r="W8736" s="35" t="inlineStr">
        <is>
          <t>Нет</t>
        </is>
      </c>
      <c r="X8736" s="35" t="inlineStr"/>
    </row>
    <row r="8737" ht="15" customHeight="1" s="24">
      <c r="A8737" s="13" t="inlineStr">
        <is>
          <t>FR322364</t>
        </is>
      </c>
      <c r="B8737" s="13" t="inlineStr">
        <is>
          <t>ИП Меньшикова Кристина Сергеевна</t>
        </is>
      </c>
      <c r="C8737" s="13" t="n">
        <v>663005126014</v>
      </c>
      <c r="D8737" s="13" t="inlineStr">
        <is>
          <t>663005126014</t>
        </is>
      </c>
      <c r="E8737" s="13" t="inlineStr">
        <is>
          <t>ИП РФ / физлицо</t>
        </is>
      </c>
      <c r="F8737" s="13" t="n"/>
      <c r="G8737" s="14" t="n"/>
      <c r="H8737" s="14" t="n"/>
      <c r="I8737" s="14" t="n"/>
      <c r="J8737" s="14" t="n"/>
      <c r="K8737" s="53" t="inlineStr"/>
      <c r="L8737" s="53" t="inlineStr">
        <is>
          <t>Не определено</t>
        </is>
      </c>
      <c r="M8737" s="53" t="inlineStr"/>
      <c r="N8737" s="54" t="inlineStr"/>
      <c r="O8737" s="55" t="inlineStr"/>
      <c r="P8737" s="16" t="inlineStr">
        <is>
          <t>Требует обогащения</t>
        </is>
      </c>
      <c r="Q8737" s="16">
        <f>HYPERLINK("https://pb.nalog.ru/search.html?query=663005126014","ФНС: проверить")</f>
        <v/>
      </c>
      <c r="R8737" s="16">
        <f>HYPERLINK("https://checko.ru/search?query=3801001629","Чекко: проверить")</f>
        <v/>
      </c>
      <c r="S8737" t="n">
        <v>0</v>
      </c>
      <c r="T8737" s="35" t="inlineStr">
        <is>
          <t>4 — Не обогащён</t>
        </is>
      </c>
      <c r="U8737" s="35" t="inlineStr">
        <is>
          <t>Нет ОКВЭД/ССЧР</t>
        </is>
      </c>
      <c r="V8737" s="35" t="inlineStr">
        <is>
          <t>Не определено</t>
        </is>
      </c>
      <c r="W8737" s="35" t="inlineStr"/>
      <c r="X8737" s="35" t="inlineStr"/>
    </row>
    <row r="8738" ht="15" customHeight="1" s="24">
      <c r="A8738" s="13" t="n">
        <v>9129339</v>
      </c>
      <c r="B8738" s="13" t="inlineStr">
        <is>
          <t>Иркут Взрывпром</t>
        </is>
      </c>
      <c r="C8738" s="13" t="n">
        <v>3808135220</v>
      </c>
      <c r="D8738" s="13" t="inlineStr">
        <is>
          <t>3808135220</t>
        </is>
      </c>
      <c r="E8738" s="13" t="inlineStr">
        <is>
          <t>ЮЛ РФ</t>
        </is>
      </c>
      <c r="F8738" s="13" t="n"/>
      <c r="G8738" s="52" t="n">
        <v>53</v>
      </c>
      <c r="H8738" s="52" t="n">
        <v>2025</v>
      </c>
      <c r="I8738" s="52" t="inlineStr">
        <is>
          <t>43.11</t>
        </is>
      </c>
      <c r="J8738" s="52" t="inlineStr">
        <is>
          <t>43.11; 20.51; 41.20; 42.11; 42.12; 42.13; 42.21; 42.22.1; 42.99; 43.12; 43.12.1; 43.12.3; 43.12.4; 43.13; 43.39; 43.99.7; 45.31.1; 46.17; 46.75.1; 46.75.2; 49.41.1; 52.10.9; 52.22.1; 56.10; 56.10.1; 56.10.3; 68.20; 69.10; 80.10; 80.20; 80.30</t>
        </is>
      </c>
      <c r="K8738" s="53" t="inlineStr">
        <is>
          <t>Да</t>
        </is>
      </c>
      <c r="L8738" s="53" t="inlineStr">
        <is>
          <t>Да</t>
        </is>
      </c>
      <c r="M8738" s="53" t="inlineStr">
        <is>
          <t>До 100</t>
        </is>
      </c>
      <c r="N8738" s="54" t="n">
        <v>33600</v>
      </c>
      <c r="O8738" s="55" t="inlineStr">
        <is>
          <t>51–100</t>
        </is>
      </c>
      <c r="P8738" s="16" t="inlineStr">
        <is>
          <t>ССЧР + ОКВЭД обогащены</t>
        </is>
      </c>
      <c r="Q8738" s="16" t="inlineStr">
        <is>
          <t>ФНС открытые данные ССЧР (ДатаСост 31.12.2025; набор 7707329152-sshr2019)</t>
        </is>
      </c>
      <c r="R8738" s="16" t="inlineStr">
        <is>
          <t>ЕГРЮЛ / egrul.nalog.ru (выписка)</t>
        </is>
      </c>
      <c r="S8738" t="n">
        <v>1</v>
      </c>
      <c r="T8738" s="35" t="inlineStr">
        <is>
          <t>1 — Горячий</t>
        </is>
      </c>
      <c r="U8738" s="35" t="inlineStr">
        <is>
          <t>ОКВЭД + 22+</t>
        </is>
      </c>
      <c r="V8738" s="35" t="inlineStr">
        <is>
          <t>Да</t>
        </is>
      </c>
      <c r="W8738" s="35" t="inlineStr">
        <is>
          <t>Да</t>
        </is>
      </c>
      <c r="X8738" s="35" t="inlineStr">
        <is>
          <t>Да</t>
        </is>
      </c>
    </row>
    <row r="8739" ht="15" customHeight="1" s="24">
      <c r="A8739" s="13" t="inlineStr">
        <is>
          <t>FR1211079</t>
        </is>
      </c>
      <c r="B8739" s="13" t="inlineStr">
        <is>
          <t>ИП Шилова Наталья Владимировна</t>
        </is>
      </c>
      <c r="C8739" s="13" t="n">
        <v>590311825816</v>
      </c>
      <c r="D8739" s="13" t="inlineStr">
        <is>
          <t>590311825816</t>
        </is>
      </c>
      <c r="E8739" s="13" t="inlineStr">
        <is>
          <t>ИП РФ / физлицо</t>
        </is>
      </c>
      <c r="F8739" s="13" t="n"/>
      <c r="G8739" s="14" t="n"/>
      <c r="H8739" s="14" t="n"/>
      <c r="I8739" s="14" t="n"/>
      <c r="J8739" s="14" t="n"/>
      <c r="K8739" s="53" t="inlineStr"/>
      <c r="L8739" s="53" t="inlineStr">
        <is>
          <t>Не определено</t>
        </is>
      </c>
      <c r="M8739" s="53" t="inlineStr"/>
      <c r="N8739" s="54" t="inlineStr"/>
      <c r="O8739" s="55" t="inlineStr"/>
      <c r="P8739" s="16" t="inlineStr">
        <is>
          <t>Требует обогащения</t>
        </is>
      </c>
      <c r="Q8739" s="16">
        <f>HYPERLINK("https://pb.nalog.ru/search.html?query=590311825816","ФНС: проверить")</f>
        <v/>
      </c>
      <c r="R8739" s="16">
        <f>HYPERLINK("https://checko.ru/search?query=3801001629","Чекко: проверить")</f>
        <v/>
      </c>
      <c r="S8739" t="n">
        <v>0</v>
      </c>
      <c r="T8739" s="35" t="inlineStr">
        <is>
          <t>4 — Не обогащён</t>
        </is>
      </c>
      <c r="U8739" s="35" t="inlineStr">
        <is>
          <t>Нет ОКВЭД/ССЧР</t>
        </is>
      </c>
      <c r="V8739" s="35" t="inlineStr">
        <is>
          <t>Не определено</t>
        </is>
      </c>
      <c r="W8739" s="35" t="inlineStr"/>
      <c r="X8739" s="35" t="inlineStr"/>
    </row>
    <row r="8740" ht="41.25" customHeight="1" s="24">
      <c r="A8740" s="13" t="inlineStr">
        <is>
          <t>FR758908</t>
        </is>
      </c>
      <c r="B8740" s="13" t="inlineStr">
        <is>
          <t>Общество с ограниченной ответственностью "ИРКУТСКИЙ ЗАВОД НИЗКОВОЛЬТНЫХ УСТРОЙСТВ"</t>
        </is>
      </c>
      <c r="C8740" s="13" t="n">
        <v>3810337752</v>
      </c>
      <c r="D8740" s="13" t="inlineStr">
        <is>
          <t>3810337752</t>
        </is>
      </c>
      <c r="E8740" s="13" t="inlineStr">
        <is>
          <t>ЮЛ РФ</t>
        </is>
      </c>
      <c r="F8740" s="13" t="n"/>
      <c r="G8740" s="52" t="n">
        <v>3</v>
      </c>
      <c r="H8740" s="52" t="n">
        <v>2025</v>
      </c>
      <c r="I8740" s="14" t="n"/>
      <c r="J8740" s="14" t="n"/>
      <c r="K8740" s="53" t="inlineStr">
        <is>
          <t>Нет</t>
        </is>
      </c>
      <c r="L8740" s="53" t="inlineStr">
        <is>
          <t>Не определено</t>
        </is>
      </c>
      <c r="M8740" s="53" t="inlineStr">
        <is>
          <t>До 10</t>
        </is>
      </c>
      <c r="N8740" s="54" t="n">
        <v>3360</v>
      </c>
      <c r="O8740" s="55" t="inlineStr">
        <is>
          <t>1–15</t>
        </is>
      </c>
      <c r="P8740" s="16" t="inlineStr">
        <is>
          <t>ССЧР обогащена; ОКВЭД не найден/не загружен</t>
        </is>
      </c>
      <c r="Q8740" s="16" t="inlineStr">
        <is>
          <t>ФНС открытые данные ССЧР (ДатаСост 31.12.2025; набор 7707329152-sshr2019)</t>
        </is>
      </c>
      <c r="R8740" s="16">
        <f>HYPERLINK("https://checko.ru/search?query=3801001629","Чекко: проверить")</f>
        <v/>
      </c>
      <c r="S8740" t="n">
        <v>0</v>
      </c>
      <c r="T8740" s="35" t="inlineStr">
        <is>
          <t>4 — Не обогащён</t>
        </is>
      </c>
      <c r="U8740" s="35" t="inlineStr">
        <is>
          <t>Нет ОКВЭД/ССЧР</t>
        </is>
      </c>
      <c r="V8740" s="35" t="inlineStr">
        <is>
          <t>Не определено</t>
        </is>
      </c>
      <c r="W8740" s="35" t="inlineStr">
        <is>
          <t>Нет</t>
        </is>
      </c>
      <c r="X8740" s="35" t="inlineStr"/>
    </row>
    <row r="8741" ht="27.75" customHeight="1" s="24">
      <c r="A8741" s="13" t="n">
        <v>800884067</v>
      </c>
      <c r="B8741" s="13" t="inlineStr">
        <is>
          <t>Общество с ограниченной ответственностью "ЭКСПЕРТ"</t>
        </is>
      </c>
      <c r="C8741" s="13" t="n">
        <v>3818031766</v>
      </c>
      <c r="D8741" s="13" t="inlineStr">
        <is>
          <t>3818031766</t>
        </is>
      </c>
      <c r="E8741" s="13" t="inlineStr">
        <is>
          <t>ЮЛ РФ</t>
        </is>
      </c>
      <c r="F8741" s="13" t="n"/>
      <c r="G8741" s="52" t="n">
        <v>2</v>
      </c>
      <c r="H8741" s="52" t="n">
        <v>2025</v>
      </c>
      <c r="I8741" s="14" t="n"/>
      <c r="J8741" s="14" t="n"/>
      <c r="K8741" s="53" t="inlineStr">
        <is>
          <t>Нет</t>
        </is>
      </c>
      <c r="L8741" s="53" t="inlineStr">
        <is>
          <t>Не определено</t>
        </is>
      </c>
      <c r="M8741" s="53" t="inlineStr">
        <is>
          <t>До 10</t>
        </is>
      </c>
      <c r="N8741" s="54" t="n">
        <v>3360</v>
      </c>
      <c r="O8741" s="55" t="inlineStr">
        <is>
          <t>1–15</t>
        </is>
      </c>
      <c r="P8741" s="16" t="inlineStr">
        <is>
          <t>ССЧР обогащена; ОКВЭД не найден/не загружен</t>
        </is>
      </c>
      <c r="Q8741" s="16" t="inlineStr">
        <is>
          <t>ФНС открытые данные ССЧР (ДатаСост 31.12.2025; набор 7707329152-sshr2019)</t>
        </is>
      </c>
      <c r="R8741" s="16">
        <f>HYPERLINK("https://checko.ru/search?query=3801001629","Чекко: проверить")</f>
        <v/>
      </c>
      <c r="S8741" t="n">
        <v>1</v>
      </c>
      <c r="T8741" s="35" t="inlineStr">
        <is>
          <t>4 — Не обогащён</t>
        </is>
      </c>
      <c r="U8741" s="35" t="inlineStr">
        <is>
          <t>Нет ОКВЭД/ССЧР</t>
        </is>
      </c>
      <c r="V8741" s="35" t="inlineStr">
        <is>
          <t>Не определено</t>
        </is>
      </c>
      <c r="W8741" s="35" t="inlineStr">
        <is>
          <t>Нет</t>
        </is>
      </c>
      <c r="X8741" s="35" t="inlineStr"/>
    </row>
    <row r="8742" ht="15" customHeight="1" s="24">
      <c r="A8742" s="13" t="n">
        <v>20009219403</v>
      </c>
      <c r="B8742" s="13" t="inlineStr">
        <is>
          <t>ООО "СК Регион-Строй"</t>
        </is>
      </c>
      <c r="C8742" s="13" t="n">
        <v>3812145703</v>
      </c>
      <c r="D8742" s="13" t="inlineStr">
        <is>
          <t>3812145703</t>
        </is>
      </c>
      <c r="E8742" s="13" t="inlineStr">
        <is>
          <t>ЮЛ РФ</t>
        </is>
      </c>
      <c r="F8742" s="13" t="n"/>
      <c r="G8742" s="52" t="n">
        <v>8</v>
      </c>
      <c r="H8742" s="52" t="n">
        <v>2025</v>
      </c>
      <c r="I8742" s="14" t="n"/>
      <c r="J8742" s="14" t="n"/>
      <c r="K8742" s="53" t="inlineStr">
        <is>
          <t>Нет</t>
        </is>
      </c>
      <c r="L8742" s="53" t="inlineStr">
        <is>
          <t>Не определено</t>
        </is>
      </c>
      <c r="M8742" s="53" t="inlineStr">
        <is>
          <t>До 10</t>
        </is>
      </c>
      <c r="N8742" s="54" t="n">
        <v>3360</v>
      </c>
      <c r="O8742" s="55" t="inlineStr">
        <is>
          <t>1–15</t>
        </is>
      </c>
      <c r="P8742" s="16" t="inlineStr">
        <is>
          <t>ССЧР обогащена; ОКВЭД не найден/не загружен</t>
        </is>
      </c>
      <c r="Q8742" s="16" t="inlineStr">
        <is>
          <t>ФНС открытые данные ССЧР (ДатаСост 31.12.2025; набор 7707329152-sshr2019)</t>
        </is>
      </c>
      <c r="R8742" s="16">
        <f>HYPERLINK("https://checko.ru/search?query=3801001629","Чекко: проверить")</f>
        <v/>
      </c>
      <c r="S8742" t="n">
        <v>1</v>
      </c>
      <c r="T8742" s="35" t="inlineStr">
        <is>
          <t>4 — Не обогащён</t>
        </is>
      </c>
      <c r="U8742" s="35" t="inlineStr">
        <is>
          <t>Нет ОКВЭД/ССЧР</t>
        </is>
      </c>
      <c r="V8742" s="35" t="inlineStr">
        <is>
          <t>Не определено</t>
        </is>
      </c>
      <c r="W8742" s="35" t="inlineStr">
        <is>
          <t>Нет</t>
        </is>
      </c>
      <c r="X8742" s="35" t="inlineStr"/>
    </row>
    <row r="8743" ht="15" customHeight="1" s="24">
      <c r="A8743" s="13" t="inlineStr">
        <is>
          <t>FR1246308</t>
        </is>
      </c>
      <c r="B8743" s="13" t="inlineStr">
        <is>
          <t>ООО "Сектор"</t>
        </is>
      </c>
      <c r="C8743" s="13" t="n">
        <v>3811155554</v>
      </c>
      <c r="D8743" s="13" t="inlineStr">
        <is>
          <t>3811155554</t>
        </is>
      </c>
      <c r="E8743" s="13" t="inlineStr">
        <is>
          <t>ЮЛ РФ</t>
        </is>
      </c>
      <c r="F8743" s="13" t="n"/>
      <c r="G8743" s="52" t="n">
        <v>1</v>
      </c>
      <c r="H8743" s="52" t="n">
        <v>2025</v>
      </c>
      <c r="I8743" s="14" t="n"/>
      <c r="J8743" s="14" t="n"/>
      <c r="K8743" s="53" t="inlineStr">
        <is>
          <t>Нет</t>
        </is>
      </c>
      <c r="L8743" s="53" t="inlineStr">
        <is>
          <t>Не определено</t>
        </is>
      </c>
      <c r="M8743" s="53" t="inlineStr">
        <is>
          <t>До 10</t>
        </is>
      </c>
      <c r="N8743" s="54" t="n">
        <v>3360</v>
      </c>
      <c r="O8743" s="55" t="inlineStr">
        <is>
          <t>1–15</t>
        </is>
      </c>
      <c r="P8743" s="16" t="inlineStr">
        <is>
          <t>ССЧР обогащена; ОКВЭД не найден/не загружен</t>
        </is>
      </c>
      <c r="Q8743" s="16" t="inlineStr">
        <is>
          <t>ФНС открытые данные ССЧР (ДатаСост 31.12.2025; набор 7707329152-sshr2019)</t>
        </is>
      </c>
      <c r="R8743" s="16">
        <f>HYPERLINK("https://checko.ru/search?query=3801001629","Чекко: проверить")</f>
        <v/>
      </c>
      <c r="S8743" t="n">
        <v>1</v>
      </c>
      <c r="T8743" s="35" t="inlineStr">
        <is>
          <t>4 — Не обогащён</t>
        </is>
      </c>
      <c r="U8743" s="35" t="inlineStr">
        <is>
          <t>Нет ОКВЭД/ССЧР</t>
        </is>
      </c>
      <c r="V8743" s="35" t="inlineStr">
        <is>
          <t>Не определено</t>
        </is>
      </c>
      <c r="W8743" s="35" t="inlineStr">
        <is>
          <t>Нет</t>
        </is>
      </c>
      <c r="X8743" s="35" t="inlineStr"/>
    </row>
    <row r="8744" ht="15" customHeight="1" s="24">
      <c r="A8744" s="13" t="n">
        <v>800443682</v>
      </c>
      <c r="B8744" s="13" t="inlineStr">
        <is>
          <t>ИП Козлова Елена Васильевна</t>
        </is>
      </c>
      <c r="C8744" s="13" t="n">
        <v>380401775830</v>
      </c>
      <c r="D8744" s="13" t="inlineStr">
        <is>
          <t>380401775830</t>
        </is>
      </c>
      <c r="E8744" s="13" t="inlineStr">
        <is>
          <t>ИП РФ / физлицо</t>
        </is>
      </c>
      <c r="F8744" s="13" t="n"/>
      <c r="G8744" s="14" t="n"/>
      <c r="H8744" s="14" t="n"/>
      <c r="I8744" s="14" t="n"/>
      <c r="J8744" s="14" t="n"/>
      <c r="K8744" s="53" t="inlineStr"/>
      <c r="L8744" s="53" t="inlineStr">
        <is>
          <t>Не определено</t>
        </is>
      </c>
      <c r="M8744" s="53" t="inlineStr"/>
      <c r="N8744" s="54" t="inlineStr"/>
      <c r="O8744" s="55" t="inlineStr"/>
      <c r="P8744" s="16" t="inlineStr">
        <is>
          <t>Требует обогащения</t>
        </is>
      </c>
      <c r="Q8744" s="16">
        <f>HYPERLINK("https://pb.nalog.ru/search.html?query=380401775830","ФНС: проверить")</f>
        <v/>
      </c>
      <c r="R8744" s="16">
        <f>HYPERLINK("https://checko.ru/search?query=3801001629","Чекко: проверить")</f>
        <v/>
      </c>
      <c r="S8744" t="n">
        <v>0</v>
      </c>
      <c r="T8744" s="35" t="inlineStr">
        <is>
          <t>4 — Не обогащён</t>
        </is>
      </c>
      <c r="U8744" s="35" t="inlineStr">
        <is>
          <t>Нет ОКВЭД/ССЧР</t>
        </is>
      </c>
      <c r="V8744" s="35" t="inlineStr">
        <is>
          <t>Не определено</t>
        </is>
      </c>
      <c r="W8744" s="35" t="inlineStr"/>
      <c r="X8744" s="35" t="inlineStr"/>
    </row>
    <row r="8745" ht="15" customHeight="1" s="24">
      <c r="A8745" s="13" t="n">
        <v>20022305366</v>
      </c>
      <c r="B8745" s="13" t="inlineStr">
        <is>
          <t>ООО "АГРОХИМ"</t>
        </is>
      </c>
      <c r="C8745" s="13" t="n">
        <v>3849014986</v>
      </c>
      <c r="D8745" s="13" t="inlineStr">
        <is>
          <t>3849014986</t>
        </is>
      </c>
      <c r="E8745" s="13" t="inlineStr">
        <is>
          <t>ЮЛ РФ</t>
        </is>
      </c>
      <c r="F8745" s="13" t="n"/>
      <c r="G8745" s="52" t="n">
        <v>3</v>
      </c>
      <c r="H8745" s="52" t="n">
        <v>2025</v>
      </c>
      <c r="I8745" s="14" t="n"/>
      <c r="J8745" s="14" t="n"/>
      <c r="K8745" s="53" t="inlineStr">
        <is>
          <t>Нет</t>
        </is>
      </c>
      <c r="L8745" s="53" t="inlineStr">
        <is>
          <t>Не определено</t>
        </is>
      </c>
      <c r="M8745" s="53" t="inlineStr">
        <is>
          <t>До 10</t>
        </is>
      </c>
      <c r="N8745" s="54" t="n">
        <v>3360</v>
      </c>
      <c r="O8745" s="55" t="inlineStr">
        <is>
          <t>1–15</t>
        </is>
      </c>
      <c r="P8745" s="16" t="inlineStr">
        <is>
          <t>ССЧР обогащена; ОКВЭД не найден/не загружен</t>
        </is>
      </c>
      <c r="Q8745" s="16" t="inlineStr">
        <is>
          <t>ФНС открытые данные ССЧР (ДатаСост 31.12.2025; набор 7707329152-sshr2019)</t>
        </is>
      </c>
      <c r="R8745" s="16">
        <f>HYPERLINK("https://checko.ru/search?query=3801001629","Чекко: проверить")</f>
        <v/>
      </c>
      <c r="S8745" t="n">
        <v>0</v>
      </c>
      <c r="T8745" s="35" t="inlineStr">
        <is>
          <t>4 — Не обогащён</t>
        </is>
      </c>
      <c r="U8745" s="35" t="inlineStr">
        <is>
          <t>Нет ОКВЭД/ССЧР</t>
        </is>
      </c>
      <c r="V8745" s="35" t="inlineStr">
        <is>
          <t>Не определено</t>
        </is>
      </c>
      <c r="W8745" s="35" t="inlineStr">
        <is>
          <t>Нет</t>
        </is>
      </c>
      <c r="X8745" s="35" t="inlineStr"/>
    </row>
    <row r="8746" ht="15" customHeight="1" s="24">
      <c r="A8746" s="13" t="inlineStr">
        <is>
          <t>FR277640</t>
        </is>
      </c>
      <c r="B8746" s="13" t="inlineStr">
        <is>
          <t>БК-ФИНАНС ООО</t>
        </is>
      </c>
      <c r="C8746" s="13" t="n">
        <v>4217201790</v>
      </c>
      <c r="D8746" s="13" t="inlineStr">
        <is>
          <t>4217201790</t>
        </is>
      </c>
      <c r="E8746" s="13" t="inlineStr">
        <is>
          <t>ЮЛ РФ</t>
        </is>
      </c>
      <c r="F8746" s="13" t="n"/>
      <c r="G8746" s="52" t="n">
        <v>0</v>
      </c>
      <c r="H8746" s="52" t="n">
        <v>2025</v>
      </c>
      <c r="I8746" s="14" t="n"/>
      <c r="J8746" s="14" t="n"/>
      <c r="K8746" s="53" t="inlineStr">
        <is>
          <t>Нет</t>
        </is>
      </c>
      <c r="L8746" s="53" t="inlineStr">
        <is>
          <t>Не определено</t>
        </is>
      </c>
      <c r="M8746" s="53" t="inlineStr">
        <is>
          <t>До 10</t>
        </is>
      </c>
      <c r="N8746" s="54" t="n">
        <v>3360</v>
      </c>
      <c r="O8746" s="55" t="inlineStr">
        <is>
          <t>1–15</t>
        </is>
      </c>
      <c r="P8746" s="16" t="inlineStr">
        <is>
          <t>ССЧР обогащена; ОКВЭД не найден/не загружен</t>
        </is>
      </c>
      <c r="Q8746" s="16" t="inlineStr">
        <is>
          <t>ФНС открытые данные ССЧР (ДатаСост 31.12.2025; набор 7707329152-sshr2019)</t>
        </is>
      </c>
      <c r="R8746" s="16">
        <f>HYPERLINK("https://checko.ru/search?query=3801001629","Чекко: проверить")</f>
        <v/>
      </c>
      <c r="S8746" t="n">
        <v>1</v>
      </c>
      <c r="T8746" s="35" t="inlineStr">
        <is>
          <t>4 — Не обогащён</t>
        </is>
      </c>
      <c r="U8746" s="35" t="inlineStr">
        <is>
          <t>Нет ОКВЭД/ССЧР</t>
        </is>
      </c>
      <c r="V8746" s="35" t="inlineStr">
        <is>
          <t>Не определено</t>
        </is>
      </c>
      <c r="W8746" s="35" t="inlineStr">
        <is>
          <t>Нет</t>
        </is>
      </c>
      <c r="X8746" s="35" t="inlineStr"/>
    </row>
    <row r="8747" ht="41.25" customHeight="1" s="24">
      <c r="A8747" s="13" t="inlineStr">
        <is>
          <t>FR646791</t>
        </is>
      </c>
      <c r="B8747" s="13" t="inlineStr">
        <is>
          <t>Общество с ограниченной ответственностью "ГОРИЗОНТАЛЬНО-НАПРАВЛЕННОЕ БУРЕНИЕ ИРКУТСК"</t>
        </is>
      </c>
      <c r="C8747" s="13" t="n">
        <v>3811167398</v>
      </c>
      <c r="D8747" s="13" t="inlineStr">
        <is>
          <t>3811167398</t>
        </is>
      </c>
      <c r="E8747" s="13" t="inlineStr">
        <is>
          <t>ЮЛ РФ</t>
        </is>
      </c>
      <c r="F8747" s="13" t="n"/>
      <c r="G8747" s="52" t="n">
        <v>11</v>
      </c>
      <c r="H8747" s="52" t="n">
        <v>2025</v>
      </c>
      <c r="I8747" s="14" t="n"/>
      <c r="J8747" s="14" t="n"/>
      <c r="K8747" s="53" t="inlineStr">
        <is>
          <t>Нет</t>
        </is>
      </c>
      <c r="L8747" s="53" t="inlineStr">
        <is>
          <t>Не определено</t>
        </is>
      </c>
      <c r="M8747" s="53" t="inlineStr">
        <is>
          <t>До 25</t>
        </is>
      </c>
      <c r="N8747" s="54" t="n">
        <v>8400</v>
      </c>
      <c r="O8747" s="55" t="inlineStr">
        <is>
          <t>1–15</t>
        </is>
      </c>
      <c r="P8747" s="16" t="inlineStr">
        <is>
          <t>ССЧР обогащена; ОКВЭД не найден/не загружен</t>
        </is>
      </c>
      <c r="Q8747" s="16" t="inlineStr">
        <is>
          <t>ФНС открытые данные ССЧР (ДатаСост 31.12.2025; набор 7707329152-sshr2019)</t>
        </is>
      </c>
      <c r="R8747" s="16">
        <f>HYPERLINK("https://checko.ru/search?query=3801001629","Чекко: проверить")</f>
        <v/>
      </c>
      <c r="S8747" t="n">
        <v>1</v>
      </c>
      <c r="T8747" s="35" t="inlineStr">
        <is>
          <t>4 — Не обогащён</t>
        </is>
      </c>
      <c r="U8747" s="35" t="inlineStr">
        <is>
          <t>Нет ОКВЭД/ССЧР</t>
        </is>
      </c>
      <c r="V8747" s="35" t="inlineStr">
        <is>
          <t>Не определено</t>
        </is>
      </c>
      <c r="W8747" s="35" t="inlineStr">
        <is>
          <t>Нет</t>
        </is>
      </c>
      <c r="X8747" s="35" t="inlineStr"/>
    </row>
    <row r="8748" ht="15" customHeight="1" s="24">
      <c r="A8748" s="13" t="inlineStr">
        <is>
          <t>FR322364</t>
        </is>
      </c>
      <c r="B8748" s="13" t="inlineStr">
        <is>
          <t>ИП Меньшикова Кристина Сергеевна</t>
        </is>
      </c>
      <c r="C8748" s="13" t="n">
        <v>663005126014</v>
      </c>
      <c r="D8748" s="13" t="inlineStr">
        <is>
          <t>663005126014</t>
        </is>
      </c>
      <c r="E8748" s="13" t="inlineStr">
        <is>
          <t>ИП РФ / физлицо</t>
        </is>
      </c>
      <c r="F8748" s="13" t="n"/>
      <c r="G8748" s="14" t="n"/>
      <c r="H8748" s="14" t="n"/>
      <c r="I8748" s="14" t="n"/>
      <c r="J8748" s="14" t="n"/>
      <c r="K8748" s="53" t="inlineStr"/>
      <c r="L8748" s="53" t="inlineStr">
        <is>
          <t>Не определено</t>
        </is>
      </c>
      <c r="M8748" s="53" t="inlineStr"/>
      <c r="N8748" s="54" t="inlineStr"/>
      <c r="O8748" s="55" t="inlineStr"/>
      <c r="P8748" s="16" t="inlineStr">
        <is>
          <t>Требует обогащения</t>
        </is>
      </c>
      <c r="Q8748" s="16">
        <f>HYPERLINK("https://pb.nalog.ru/search.html?query=663005126014","ФНС: проверить")</f>
        <v/>
      </c>
      <c r="R8748" s="16">
        <f>HYPERLINK("https://checko.ru/search?query=3801001629","Чекко: проверить")</f>
        <v/>
      </c>
      <c r="S8748" t="n">
        <v>0</v>
      </c>
      <c r="T8748" s="35" t="inlineStr">
        <is>
          <t>4 — Не обогащён</t>
        </is>
      </c>
      <c r="U8748" s="35" t="inlineStr">
        <is>
          <t>Нет ОКВЭД/ССЧР</t>
        </is>
      </c>
      <c r="V8748" s="35" t="inlineStr">
        <is>
          <t>Не определено</t>
        </is>
      </c>
      <c r="W8748" s="35" t="inlineStr"/>
      <c r="X8748" s="35" t="inlineStr"/>
    </row>
    <row r="8749" ht="41.25" customHeight="1" s="24">
      <c r="A8749" s="13" t="n">
        <v>18117173</v>
      </c>
      <c r="B8749" s="13" t="inlineStr">
        <is>
          <t>МУНИЦИПАЛЬНОЕ УНИТАРНОЕ ПРЕДПРИЯТИЕ "ВОДОКАНАЛ" МАРКОВСКОГО МУНИЦИПАЛЬНОГО ОБРАЗОВАНИЯ</t>
        </is>
      </c>
      <c r="C8749" s="13" t="n">
        <v>3808280851</v>
      </c>
      <c r="D8749" s="13" t="inlineStr">
        <is>
          <t>3808280851</t>
        </is>
      </c>
      <c r="E8749" s="13" t="inlineStr">
        <is>
          <t>ЮЛ РФ</t>
        </is>
      </c>
      <c r="F8749" s="13" t="n"/>
      <c r="G8749" s="14" t="n"/>
      <c r="H8749" s="14" t="n"/>
      <c r="I8749" s="14" t="n"/>
      <c r="J8749" s="14" t="n"/>
      <c r="K8749" s="53" t="inlineStr"/>
      <c r="L8749" s="53" t="inlineStr">
        <is>
          <t>Не определено</t>
        </is>
      </c>
      <c r="M8749" s="53" t="inlineStr"/>
      <c r="N8749" s="54" t="inlineStr"/>
      <c r="O8749" s="55" t="inlineStr"/>
      <c r="P8749" s="16" t="inlineStr">
        <is>
          <t>Требует обогащения</t>
        </is>
      </c>
      <c r="Q8749" s="16">
        <f>HYPERLINK("https://pb.nalog.ru/search.html?query=3808280851","ФНС: проверить")</f>
        <v/>
      </c>
      <c r="R8749" s="16">
        <f>HYPERLINK("https://checko.ru/search?query=3801001629","Чекко: проверить")</f>
        <v/>
      </c>
      <c r="S8749" t="n">
        <v>0</v>
      </c>
      <c r="T8749" s="35" t="inlineStr">
        <is>
          <t>4 — Не обогащён</t>
        </is>
      </c>
      <c r="U8749" s="35" t="inlineStr">
        <is>
          <t>Нет ОКВЭД/ССЧР</t>
        </is>
      </c>
      <c r="V8749" s="35" t="inlineStr">
        <is>
          <t>Не определено</t>
        </is>
      </c>
      <c r="W8749" s="35" t="inlineStr"/>
      <c r="X8749" s="35" t="inlineStr"/>
    </row>
    <row r="8750" ht="15" customHeight="1" s="24">
      <c r="A8750" s="13" t="inlineStr">
        <is>
          <t>FR1261023</t>
        </is>
      </c>
      <c r="B8750" s="13" t="inlineStr">
        <is>
          <t>ИП Козлова Елена Васильевна</t>
        </is>
      </c>
      <c r="C8750" s="13" t="n">
        <v>380401775830</v>
      </c>
      <c r="D8750" s="13" t="inlineStr">
        <is>
          <t>380401775830</t>
        </is>
      </c>
      <c r="E8750" s="13" t="inlineStr">
        <is>
          <t>ИП РФ / физлицо</t>
        </is>
      </c>
      <c r="F8750" s="13" t="n"/>
      <c r="G8750" s="14" t="n"/>
      <c r="H8750" s="14" t="n"/>
      <c r="I8750" s="14" t="n"/>
      <c r="J8750" s="14" t="n"/>
      <c r="K8750" s="53" t="inlineStr"/>
      <c r="L8750" s="53" t="inlineStr">
        <is>
          <t>Не определено</t>
        </is>
      </c>
      <c r="M8750" s="53" t="inlineStr"/>
      <c r="N8750" s="54" t="inlineStr"/>
      <c r="O8750" s="55" t="inlineStr"/>
      <c r="P8750" s="16" t="inlineStr">
        <is>
          <t>Требует обогащения</t>
        </is>
      </c>
      <c r="Q8750" s="16">
        <f>HYPERLINK("https://pb.nalog.ru/search.html?query=380401775830","ФНС: проверить")</f>
        <v/>
      </c>
      <c r="R8750" s="16">
        <f>HYPERLINK("https://checko.ru/search?query=3801001629","Чекко: проверить")</f>
        <v/>
      </c>
      <c r="S8750" t="n">
        <v>0</v>
      </c>
      <c r="T8750" s="35" t="inlineStr">
        <is>
          <t>4 — Не обогащён</t>
        </is>
      </c>
      <c r="U8750" s="35" t="inlineStr">
        <is>
          <t>Нет ОКВЭД/ССЧР</t>
        </is>
      </c>
      <c r="V8750" s="35" t="inlineStr">
        <is>
          <t>Не определено</t>
        </is>
      </c>
      <c r="W8750" s="35" t="inlineStr"/>
      <c r="X8750" s="35" t="inlineStr"/>
    </row>
    <row r="8751" ht="15" customHeight="1" s="24">
      <c r="A8751" s="13" t="inlineStr">
        <is>
          <t>FR1261023</t>
        </is>
      </c>
      <c r="B8751" s="13" t="inlineStr">
        <is>
          <t>ИП Козлова Елена Васильевна</t>
        </is>
      </c>
      <c r="C8751" s="13" t="n">
        <v>380401775830</v>
      </c>
      <c r="D8751" s="13" t="inlineStr">
        <is>
          <t>380401775830</t>
        </is>
      </c>
      <c r="E8751" s="13" t="inlineStr">
        <is>
          <t>ИП РФ / физлицо</t>
        </is>
      </c>
      <c r="F8751" s="13" t="n"/>
      <c r="G8751" s="14" t="n"/>
      <c r="H8751" s="14" t="n"/>
      <c r="I8751" s="14" t="n"/>
      <c r="J8751" s="14" t="n"/>
      <c r="K8751" s="53" t="inlineStr"/>
      <c r="L8751" s="53" t="inlineStr">
        <is>
          <t>Не определено</t>
        </is>
      </c>
      <c r="M8751" s="53" t="inlineStr"/>
      <c r="N8751" s="54" t="inlineStr"/>
      <c r="O8751" s="55" t="inlineStr"/>
      <c r="P8751" s="16" t="inlineStr">
        <is>
          <t>Требует обогащения</t>
        </is>
      </c>
      <c r="Q8751" s="16">
        <f>HYPERLINK("https://pb.nalog.ru/search.html?query=380401775830","ФНС: проверить")</f>
        <v/>
      </c>
      <c r="R8751" s="16">
        <f>HYPERLINK("https://checko.ru/search?query=3801001629","Чекко: проверить")</f>
        <v/>
      </c>
      <c r="S8751" t="n">
        <v>0</v>
      </c>
      <c r="T8751" s="35" t="inlineStr">
        <is>
          <t>4 — Не обогащён</t>
        </is>
      </c>
      <c r="U8751" s="35" t="inlineStr">
        <is>
          <t>Нет ОКВЭД/ССЧР</t>
        </is>
      </c>
      <c r="V8751" s="35" t="inlineStr">
        <is>
          <t>Не определено</t>
        </is>
      </c>
      <c r="W8751" s="35" t="inlineStr"/>
      <c r="X8751" s="35" t="inlineStr"/>
    </row>
    <row r="8752" ht="15" customHeight="1" s="24">
      <c r="A8752" s="13" t="n">
        <v>18116789</v>
      </c>
      <c r="B8752" s="13" t="inlineStr">
        <is>
          <t>ООО "ГРАДСЕРВИС"</t>
        </is>
      </c>
      <c r="C8752" s="13" t="n">
        <v>1414016310</v>
      </c>
      <c r="D8752" s="13" t="inlineStr">
        <is>
          <t>1414016310</t>
        </is>
      </c>
      <c r="E8752" s="13" t="inlineStr">
        <is>
          <t>ЮЛ РФ</t>
        </is>
      </c>
      <c r="F8752" s="13" t="n"/>
      <c r="G8752" s="52" t="n">
        <v>11</v>
      </c>
      <c r="H8752" s="52" t="n">
        <v>2025</v>
      </c>
      <c r="I8752" s="14" t="n"/>
      <c r="J8752" s="14" t="n"/>
      <c r="K8752" s="53" t="inlineStr">
        <is>
          <t>Нет</t>
        </is>
      </c>
      <c r="L8752" s="53" t="inlineStr">
        <is>
          <t>Не определено</t>
        </is>
      </c>
      <c r="M8752" s="53" t="inlineStr">
        <is>
          <t>До 25</t>
        </is>
      </c>
      <c r="N8752" s="54" t="n">
        <v>8400</v>
      </c>
      <c r="O8752" s="55" t="inlineStr">
        <is>
          <t>1–15</t>
        </is>
      </c>
      <c r="P8752" s="16" t="inlineStr">
        <is>
          <t>ССЧР обогащена; ОКВЭД не найден/не загружен</t>
        </is>
      </c>
      <c r="Q8752" s="16" t="inlineStr">
        <is>
          <t>ФНС открытые данные ССЧР (ДатаСост 31.12.2025; набор 7707329152-sshr2019)</t>
        </is>
      </c>
      <c r="R8752" s="16">
        <f>HYPERLINK("https://checko.ru/search?query=3801001629","Чекко: проверить")</f>
        <v/>
      </c>
      <c r="S8752" t="n">
        <v>0</v>
      </c>
      <c r="T8752" s="35" t="inlineStr">
        <is>
          <t>4 — Не обогащён</t>
        </is>
      </c>
      <c r="U8752" s="35" t="inlineStr">
        <is>
          <t>Нет ОКВЭД/ССЧР</t>
        </is>
      </c>
      <c r="V8752" s="35" t="inlineStr">
        <is>
          <t>Не определено</t>
        </is>
      </c>
      <c r="W8752" s="35" t="inlineStr">
        <is>
          <t>Нет</t>
        </is>
      </c>
      <c r="X8752" s="35" t="inlineStr"/>
    </row>
    <row r="8753" ht="27.75" customHeight="1" s="24">
      <c r="A8753" s="13" t="inlineStr">
        <is>
          <t>FR36636</t>
        </is>
      </c>
      <c r="B8753" s="13" t="inlineStr">
        <is>
          <t>Общество с ограниченной ответственностью "ВСЕНАЛОГИУМ"</t>
        </is>
      </c>
      <c r="C8753" s="13" t="n">
        <v>5031094992</v>
      </c>
      <c r="D8753" s="13" t="inlineStr">
        <is>
          <t>5031094992</t>
        </is>
      </c>
      <c r="E8753" s="13" t="inlineStr">
        <is>
          <t>ЮЛ РФ</t>
        </is>
      </c>
      <c r="F8753" s="13" t="n"/>
      <c r="G8753" s="52" t="n">
        <v>7</v>
      </c>
      <c r="H8753" s="52" t="n">
        <v>2025</v>
      </c>
      <c r="I8753" s="14" t="n"/>
      <c r="J8753" s="14" t="n"/>
      <c r="K8753" s="53" t="inlineStr">
        <is>
          <t>Нет</t>
        </is>
      </c>
      <c r="L8753" s="53" t="inlineStr">
        <is>
          <t>Не определено</t>
        </is>
      </c>
      <c r="M8753" s="53" t="inlineStr">
        <is>
          <t>До 10</t>
        </is>
      </c>
      <c r="N8753" s="54" t="n">
        <v>3360</v>
      </c>
      <c r="O8753" s="55" t="inlineStr">
        <is>
          <t>1–15</t>
        </is>
      </c>
      <c r="P8753" s="16" t="inlineStr">
        <is>
          <t>ССЧР обогащена; ОКВЭД не найден/не загружен</t>
        </is>
      </c>
      <c r="Q8753" s="16" t="inlineStr">
        <is>
          <t>ФНС открытые данные ССЧР (ДатаСост 31.12.2025; набор 7707329152-sshr2019)</t>
        </is>
      </c>
      <c r="R8753" s="16">
        <f>HYPERLINK("https://checko.ru/search?query=3801001629","Чекко: проверить")</f>
        <v/>
      </c>
      <c r="S8753" t="n">
        <v>1</v>
      </c>
      <c r="T8753" s="35" t="inlineStr">
        <is>
          <t>4 — Не обогащён</t>
        </is>
      </c>
      <c r="U8753" s="35" t="inlineStr">
        <is>
          <t>Нет ОКВЭД/ССЧР</t>
        </is>
      </c>
      <c r="V8753" s="35" t="inlineStr">
        <is>
          <t>Не определено</t>
        </is>
      </c>
      <c r="W8753" s="35" t="inlineStr">
        <is>
          <t>Нет</t>
        </is>
      </c>
      <c r="X8753" s="35" t="inlineStr"/>
    </row>
    <row r="8754" ht="15" customHeight="1" s="24">
      <c r="A8754" s="13" t="inlineStr">
        <is>
          <t>FR1229309</t>
        </is>
      </c>
      <c r="B8754" s="13" t="inlineStr">
        <is>
          <t>ИП Романова Лада Валерьевна</t>
        </is>
      </c>
      <c r="C8754" s="13" t="n">
        <v>380401821998</v>
      </c>
      <c r="D8754" s="13" t="inlineStr">
        <is>
          <t>380401821998</t>
        </is>
      </c>
      <c r="E8754" s="13" t="inlineStr">
        <is>
          <t>ИП РФ / физлицо</t>
        </is>
      </c>
      <c r="F8754" s="13" t="n"/>
      <c r="G8754" s="14" t="n"/>
      <c r="H8754" s="14" t="n"/>
      <c r="I8754" s="14" t="n"/>
      <c r="J8754" s="14" t="n"/>
      <c r="K8754" s="53" t="inlineStr"/>
      <c r="L8754" s="53" t="inlineStr">
        <is>
          <t>Не определено</t>
        </is>
      </c>
      <c r="M8754" s="53" t="inlineStr"/>
      <c r="N8754" s="54" t="inlineStr"/>
      <c r="O8754" s="55" t="inlineStr"/>
      <c r="P8754" s="16" t="inlineStr">
        <is>
          <t>Требует обогащения</t>
        </is>
      </c>
      <c r="Q8754" s="16">
        <f>HYPERLINK("https://pb.nalog.ru/search.html?query=380401821998","ФНС: проверить")</f>
        <v/>
      </c>
      <c r="R8754" s="16">
        <f>HYPERLINK("https://checko.ru/search?query=3801001629","Чекко: проверить")</f>
        <v/>
      </c>
      <c r="S8754" t="n">
        <v>1</v>
      </c>
      <c r="T8754" s="35" t="inlineStr">
        <is>
          <t>4 — Не обогащён</t>
        </is>
      </c>
      <c r="U8754" s="35" t="inlineStr">
        <is>
          <t>Нет ОКВЭД/ССЧР</t>
        </is>
      </c>
      <c r="V8754" s="35" t="inlineStr">
        <is>
          <t>Не определено</t>
        </is>
      </c>
      <c r="W8754" s="35" t="inlineStr"/>
      <c r="X8754" s="35" t="inlineStr"/>
    </row>
    <row r="8755" ht="15" customHeight="1" s="24">
      <c r="A8755" s="13" t="n">
        <v>9847199</v>
      </c>
      <c r="B8755" s="13" t="inlineStr">
        <is>
          <t>ООО "Аква-Люкс"</t>
        </is>
      </c>
      <c r="C8755" s="13" t="n">
        <v>3849003350</v>
      </c>
      <c r="D8755" s="13" t="inlineStr">
        <is>
          <t>3849003350</t>
        </is>
      </c>
      <c r="E8755" s="13" t="inlineStr">
        <is>
          <t>ЮЛ РФ</t>
        </is>
      </c>
      <c r="F8755" s="13" t="n"/>
      <c r="G8755" s="52" t="n">
        <v>11</v>
      </c>
      <c r="H8755" s="52" t="n">
        <v>2025</v>
      </c>
      <c r="I8755" s="14" t="n"/>
      <c r="J8755" s="14" t="n"/>
      <c r="K8755" s="53" t="inlineStr">
        <is>
          <t>Нет</t>
        </is>
      </c>
      <c r="L8755" s="53" t="inlineStr">
        <is>
          <t>Не определено</t>
        </is>
      </c>
      <c r="M8755" s="53" t="inlineStr">
        <is>
          <t>До 25</t>
        </is>
      </c>
      <c r="N8755" s="54" t="n">
        <v>8400</v>
      </c>
      <c r="O8755" s="55" t="inlineStr">
        <is>
          <t>1–15</t>
        </is>
      </c>
      <c r="P8755" s="16" t="inlineStr">
        <is>
          <t>ССЧР обогащена; ОКВЭД не найден/не загружен</t>
        </is>
      </c>
      <c r="Q8755" s="16" t="inlineStr">
        <is>
          <t>ФНС открытые данные ССЧР (ДатаСост 31.12.2025; набор 7707329152-sshr2019)</t>
        </is>
      </c>
      <c r="R8755" s="16">
        <f>HYPERLINK("https://checko.ru/search?query=3801001629","Чекко: проверить")</f>
        <v/>
      </c>
      <c r="S8755" t="n">
        <v>0</v>
      </c>
      <c r="T8755" s="35" t="inlineStr">
        <is>
          <t>4 — Не обогащён</t>
        </is>
      </c>
      <c r="U8755" s="35" t="inlineStr">
        <is>
          <t>Нет ОКВЭД/ССЧР</t>
        </is>
      </c>
      <c r="V8755" s="35" t="inlineStr">
        <is>
          <t>Не определено</t>
        </is>
      </c>
      <c r="W8755" s="35" t="inlineStr">
        <is>
          <t>Нет</t>
        </is>
      </c>
      <c r="X8755" s="35" t="inlineStr"/>
    </row>
    <row r="8756" ht="15" customHeight="1" s="24">
      <c r="A8756" s="13" t="inlineStr">
        <is>
          <t>FR1246308</t>
        </is>
      </c>
      <c r="B8756" s="13" t="inlineStr">
        <is>
          <t>ООО "Сектор"</t>
        </is>
      </c>
      <c r="C8756" s="13" t="n">
        <v>3811155554</v>
      </c>
      <c r="D8756" s="13" t="inlineStr">
        <is>
          <t>3811155554</t>
        </is>
      </c>
      <c r="E8756" s="13" t="inlineStr">
        <is>
          <t>ЮЛ РФ</t>
        </is>
      </c>
      <c r="F8756" s="13" t="n"/>
      <c r="G8756" s="52" t="n">
        <v>1</v>
      </c>
      <c r="H8756" s="52" t="n">
        <v>2025</v>
      </c>
      <c r="I8756" s="14" t="n"/>
      <c r="J8756" s="14" t="n"/>
      <c r="K8756" s="53" t="inlineStr">
        <is>
          <t>Нет</t>
        </is>
      </c>
      <c r="L8756" s="53" t="inlineStr">
        <is>
          <t>Не определено</t>
        </is>
      </c>
      <c r="M8756" s="53" t="inlineStr">
        <is>
          <t>До 10</t>
        </is>
      </c>
      <c r="N8756" s="54" t="n">
        <v>3360</v>
      </c>
      <c r="O8756" s="55" t="inlineStr">
        <is>
          <t>1–15</t>
        </is>
      </c>
      <c r="P8756" s="16" t="inlineStr">
        <is>
          <t>ССЧР обогащена; ОКВЭД не найден/не загружен</t>
        </is>
      </c>
      <c r="Q8756" s="16" t="inlineStr">
        <is>
          <t>ФНС открытые данные ССЧР (ДатаСост 31.12.2025; набор 7707329152-sshr2019)</t>
        </is>
      </c>
      <c r="R8756" s="16">
        <f>HYPERLINK("https://checko.ru/search?query=3801001629","Чекко: проверить")</f>
        <v/>
      </c>
      <c r="S8756" t="n">
        <v>0</v>
      </c>
      <c r="T8756" s="35" t="inlineStr">
        <is>
          <t>4 — Не обогащён</t>
        </is>
      </c>
      <c r="U8756" s="35" t="inlineStr">
        <is>
          <t>Нет ОКВЭД/ССЧР</t>
        </is>
      </c>
      <c r="V8756" s="35" t="inlineStr">
        <is>
          <t>Не определено</t>
        </is>
      </c>
      <c r="W8756" s="35" t="inlineStr">
        <is>
          <t>Нет</t>
        </is>
      </c>
      <c r="X8756" s="35" t="inlineStr"/>
    </row>
    <row r="8757" ht="15" customHeight="1" s="24">
      <c r="A8757" s="13" t="n">
        <v>800560488</v>
      </c>
      <c r="B8757" s="13" t="inlineStr">
        <is>
          <t>Учебный центр "За безопасный труд"</t>
        </is>
      </c>
      <c r="C8757" s="13" t="n">
        <v>3827024645</v>
      </c>
      <c r="D8757" s="13" t="inlineStr">
        <is>
          <t>3827024645</t>
        </is>
      </c>
      <c r="E8757" s="13" t="inlineStr">
        <is>
          <t>ЮЛ РФ</t>
        </is>
      </c>
      <c r="F8757" s="13" t="n"/>
      <c r="G8757" s="14" t="n"/>
      <c r="H8757" s="14" t="n"/>
      <c r="I8757" s="14" t="n"/>
      <c r="J8757" s="14" t="n"/>
      <c r="K8757" s="53" t="inlineStr"/>
      <c r="L8757" s="53" t="inlineStr">
        <is>
          <t>Не определено</t>
        </is>
      </c>
      <c r="M8757" s="53" t="inlineStr"/>
      <c r="N8757" s="54" t="inlineStr"/>
      <c r="O8757" s="55" t="inlineStr"/>
      <c r="P8757" s="16" t="inlineStr">
        <is>
          <t>Требует обогащения</t>
        </is>
      </c>
      <c r="Q8757" s="16">
        <f>HYPERLINK("https://pb.nalog.ru/search.html?query=3827024645","ФНС: проверить")</f>
        <v/>
      </c>
      <c r="R8757" s="16">
        <f>HYPERLINK("https://checko.ru/search?query=3801001629","Чекко: проверить")</f>
        <v/>
      </c>
      <c r="S8757" t="n">
        <v>0</v>
      </c>
      <c r="T8757" s="35" t="inlineStr">
        <is>
          <t>4 — Не обогащён</t>
        </is>
      </c>
      <c r="U8757" s="35" t="inlineStr">
        <is>
          <t>Нет ОКВЭД/ССЧР</t>
        </is>
      </c>
      <c r="V8757" s="35" t="inlineStr">
        <is>
          <t>Не определено</t>
        </is>
      </c>
      <c r="W8757" s="35" t="inlineStr"/>
      <c r="X8757" s="35" t="inlineStr"/>
    </row>
    <row r="8758" ht="27.75" customHeight="1" s="24">
      <c r="A8758" s="13" t="n">
        <v>9124946</v>
      </c>
      <c r="B8758" s="13" t="inlineStr">
        <is>
          <t>Общество с ограниченной ответственностью "Буровзрывные работы"</t>
        </is>
      </c>
      <c r="C8758" s="13" t="n">
        <v>3816013458</v>
      </c>
      <c r="D8758" s="13" t="inlineStr">
        <is>
          <t>3816013458</t>
        </is>
      </c>
      <c r="E8758" s="13" t="inlineStr">
        <is>
          <t>ЮЛ РФ</t>
        </is>
      </c>
      <c r="F8758" s="13" t="n"/>
      <c r="G8758" s="52" t="n">
        <v>37</v>
      </c>
      <c r="H8758" s="52" t="n">
        <v>2025</v>
      </c>
      <c r="I8758" s="52" t="inlineStr">
        <is>
          <t>43.12.4</t>
        </is>
      </c>
      <c r="J8758" s="52" t="inlineStr">
        <is>
          <t>43.12.4; 07.29; 09.10.1; 09.10.2; 42.21; 43.11; 43.12.1; 43.13; 43.99.3; 46.75.1; 46.75.2; 46.90; 49.41; 49.41.1</t>
        </is>
      </c>
      <c r="K8758" s="53" t="inlineStr">
        <is>
          <t>Да</t>
        </is>
      </c>
      <c r="L8758" s="53" t="inlineStr">
        <is>
          <t>Да</t>
        </is>
      </c>
      <c r="M8758" s="53" t="inlineStr">
        <is>
          <t>До 50</t>
        </is>
      </c>
      <c r="N8758" s="54" t="n">
        <v>16800</v>
      </c>
      <c r="O8758" s="55" t="inlineStr">
        <is>
          <t>31–50</t>
        </is>
      </c>
      <c r="P8758" s="16" t="inlineStr">
        <is>
          <t>ССЧР + ОКВЭД обогащены</t>
        </is>
      </c>
      <c r="Q8758" s="16" t="inlineStr">
        <is>
          <t>ФНС открытые данные ССЧР (ДатаСост 31.12.2025; набор 7707329152-sshr2019)</t>
        </is>
      </c>
      <c r="R8758" s="16" t="inlineStr">
        <is>
          <t>ЕГРЮЛ / egrul.nalog.ru (выписка)</t>
        </is>
      </c>
      <c r="S8758" t="n">
        <v>0</v>
      </c>
      <c r="T8758" s="35" t="inlineStr">
        <is>
          <t>1 — Горячий</t>
        </is>
      </c>
      <c r="U8758" s="35" t="inlineStr">
        <is>
          <t>ОКВЭД + 22+</t>
        </is>
      </c>
      <c r="V8758" s="35" t="inlineStr">
        <is>
          <t>Да</t>
        </is>
      </c>
      <c r="W8758" s="35" t="inlineStr">
        <is>
          <t>Да</t>
        </is>
      </c>
      <c r="X8758" s="35" t="inlineStr">
        <is>
          <t>Да</t>
        </is>
      </c>
    </row>
    <row r="8759" ht="15" customHeight="1" s="24">
      <c r="A8759" s="13" t="inlineStr">
        <is>
          <t>FR34714</t>
        </is>
      </c>
      <c r="B8759" s="13" t="inlineStr">
        <is>
          <t>ИП Акимова Наталья Андреевна</t>
        </is>
      </c>
      <c r="C8759" s="13" t="n">
        <v>920160412433</v>
      </c>
      <c r="D8759" s="13" t="inlineStr">
        <is>
          <t>920160412433</t>
        </is>
      </c>
      <c r="E8759" s="13" t="inlineStr">
        <is>
          <t>ИП РФ / физлицо</t>
        </is>
      </c>
      <c r="F8759" s="13" t="n"/>
      <c r="G8759" s="14" t="n"/>
      <c r="H8759" s="14" t="n"/>
      <c r="I8759" s="14" t="n"/>
      <c r="J8759" s="14" t="n"/>
      <c r="K8759" s="53" t="inlineStr"/>
      <c r="L8759" s="53" t="inlineStr">
        <is>
          <t>Не определено</t>
        </is>
      </c>
      <c r="M8759" s="53" t="inlineStr"/>
      <c r="N8759" s="54" t="inlineStr"/>
      <c r="O8759" s="55" t="inlineStr"/>
      <c r="P8759" s="16" t="inlineStr">
        <is>
          <t>Требует обогащения</t>
        </is>
      </c>
      <c r="Q8759" s="16">
        <f>HYPERLINK("https://pb.nalog.ru/search.html?query=920160412433","ФНС: проверить")</f>
        <v/>
      </c>
      <c r="R8759" s="16">
        <f>HYPERLINK("https://checko.ru/search?query=3801001629","Чекко: проверить")</f>
        <v/>
      </c>
      <c r="S8759" t="n">
        <v>1</v>
      </c>
      <c r="T8759" s="35" t="inlineStr">
        <is>
          <t>4 — Не обогащён</t>
        </is>
      </c>
      <c r="U8759" s="35" t="inlineStr">
        <is>
          <t>Нет ОКВЭД/ССЧР</t>
        </is>
      </c>
      <c r="V8759" s="35" t="inlineStr">
        <is>
          <t>Не определено</t>
        </is>
      </c>
      <c r="W8759" s="35" t="inlineStr"/>
      <c r="X8759" s="35" t="inlineStr"/>
    </row>
    <row r="8760" ht="15" customHeight="1" s="24">
      <c r="A8760" s="13" t="inlineStr">
        <is>
          <t>FR322364</t>
        </is>
      </c>
      <c r="B8760" s="13" t="inlineStr">
        <is>
          <t>ИП Меньшикова Кристина Сергеевна</t>
        </is>
      </c>
      <c r="C8760" s="13" t="n">
        <v>663005126014</v>
      </c>
      <c r="D8760" s="13" t="inlineStr">
        <is>
          <t>663005126014</t>
        </is>
      </c>
      <c r="E8760" s="13" t="inlineStr">
        <is>
          <t>ИП РФ / физлицо</t>
        </is>
      </c>
      <c r="F8760" s="13" t="n"/>
      <c r="G8760" s="14" t="n"/>
      <c r="H8760" s="14" t="n"/>
      <c r="I8760" s="14" t="n"/>
      <c r="J8760" s="14" t="n"/>
      <c r="K8760" s="53" t="inlineStr"/>
      <c r="L8760" s="53" t="inlineStr">
        <is>
          <t>Не определено</t>
        </is>
      </c>
      <c r="M8760" s="53" t="inlineStr"/>
      <c r="N8760" s="54" t="inlineStr"/>
      <c r="O8760" s="55" t="inlineStr"/>
      <c r="P8760" s="16" t="inlineStr">
        <is>
          <t>Требует обогащения</t>
        </is>
      </c>
      <c r="Q8760" s="16">
        <f>HYPERLINK("https://pb.nalog.ru/search.html?query=663005126014","ФНС: проверить")</f>
        <v/>
      </c>
      <c r="R8760" s="16">
        <f>HYPERLINK("https://checko.ru/search?query=3801001629","Чекко: проверить")</f>
        <v/>
      </c>
      <c r="S8760" t="n">
        <v>0</v>
      </c>
      <c r="T8760" s="35" t="inlineStr">
        <is>
          <t>4 — Не обогащён</t>
        </is>
      </c>
      <c r="U8760" s="35" t="inlineStr">
        <is>
          <t>Нет ОКВЭД/ССЧР</t>
        </is>
      </c>
      <c r="V8760" s="35" t="inlineStr">
        <is>
          <t>Не определено</t>
        </is>
      </c>
      <c r="W8760" s="35" t="inlineStr"/>
      <c r="X8760" s="35" t="inlineStr"/>
    </row>
    <row r="8761" ht="27.75" customHeight="1" s="24">
      <c r="A8761" s="13" t="n">
        <v>800459451</v>
      </c>
      <c r="B8761" s="13" t="inlineStr">
        <is>
          <t>Общество с ограниченной ответственностью "Нептун"</t>
        </is>
      </c>
      <c r="C8761" s="13" t="n">
        <v>3827035742</v>
      </c>
      <c r="D8761" s="13" t="inlineStr">
        <is>
          <t>3827035742</t>
        </is>
      </c>
      <c r="E8761" s="13" t="inlineStr">
        <is>
          <t>ЮЛ РФ</t>
        </is>
      </c>
      <c r="F8761" s="13" t="n"/>
      <c r="G8761" s="52" t="n">
        <v>53</v>
      </c>
      <c r="H8761" s="52" t="n">
        <v>2025</v>
      </c>
      <c r="I8761" s="52" t="inlineStr">
        <is>
          <t>23.63</t>
        </is>
      </c>
      <c r="J8761" s="52" t="inlineStr">
        <is>
          <t>23.63; 03.22.5; 08.11; 08.11.2; 08.12; 08.12.2; 08.91; 35.30; 36.00; 36.00.1; 36.00.2; 38.11; 38.21; 41.20; 42.22.2; 42.91; 42.91.4; 42.99; 43.11; 43.12; 43.12.1; 43.12.3; 43.12.4; 43.39; 43.99; 46.13; 46.71; 46.73; 49.41; 49.41.1; 49.41.2; 49.41.3; 49.42; 52.10; 52.21; 52.21.29; 52.24; 52.29; 77.31; 77.32; 81.10; 81.21; 81.22; 81.29; 81.29.2</t>
        </is>
      </c>
      <c r="K8761" s="53" t="inlineStr">
        <is>
          <t>Да</t>
        </is>
      </c>
      <c r="L8761" s="53" t="inlineStr">
        <is>
          <t>Да</t>
        </is>
      </c>
      <c r="M8761" s="53" t="inlineStr">
        <is>
          <t>До 100</t>
        </is>
      </c>
      <c r="N8761" s="54" t="n">
        <v>33600</v>
      </c>
      <c r="O8761" s="55" t="inlineStr">
        <is>
          <t>51–100</t>
        </is>
      </c>
      <c r="P8761" s="16" t="inlineStr">
        <is>
          <t>ССЧР + ОКВЭД обогащены</t>
        </is>
      </c>
      <c r="Q8761" s="16" t="inlineStr">
        <is>
          <t>ФНС открытые данные ССЧР (ДатаСост 31.12.2025; набор 7707329152-sshr2019)</t>
        </is>
      </c>
      <c r="R8761" s="16" t="inlineStr">
        <is>
          <t>ЕГРЮЛ / egrul.nalog.ru (выписка)</t>
        </is>
      </c>
      <c r="S8761" t="n">
        <v>0</v>
      </c>
      <c r="T8761" s="35" t="inlineStr">
        <is>
          <t>1 — Горячий</t>
        </is>
      </c>
      <c r="U8761" s="35" t="inlineStr">
        <is>
          <t>ОКВЭД + 22+</t>
        </is>
      </c>
      <c r="V8761" s="35" t="inlineStr">
        <is>
          <t>Да</t>
        </is>
      </c>
      <c r="W8761" s="35" t="inlineStr">
        <is>
          <t>Да</t>
        </is>
      </c>
      <c r="X8761" s="35" t="inlineStr">
        <is>
          <t>Да</t>
        </is>
      </c>
    </row>
    <row r="8762" ht="15" customHeight="1" s="24">
      <c r="A8762" s="13" t="n">
        <v>12063753</v>
      </c>
      <c r="B8762" s="13" t="inlineStr">
        <is>
          <t>ООО "Рассвет"</t>
        </is>
      </c>
      <c r="C8762" s="13" t="n">
        <v>3823032638</v>
      </c>
      <c r="D8762" s="13" t="inlineStr">
        <is>
          <t>3823032638</t>
        </is>
      </c>
      <c r="E8762" s="13" t="inlineStr">
        <is>
          <t>ЮЛ РФ</t>
        </is>
      </c>
      <c r="F8762" s="13" t="n"/>
      <c r="G8762" s="52" t="n">
        <v>159</v>
      </c>
      <c r="H8762" s="52" t="n">
        <v>2025</v>
      </c>
      <c r="I8762" s="52" t="inlineStr">
        <is>
          <t>01.50</t>
        </is>
      </c>
      <c r="J8762" s="52" t="inlineStr">
        <is>
          <t>01.50; 10.41; 10.71; 43.29; 45.31; 45.32; 46.11.34; 46.11.39; 46.36.4; 46.38.23; 46.38.24; 46.61; 46.90; 47.19; 47.76; 49.20; 49.41; 52.10; 52.29; 77.39.1</t>
        </is>
      </c>
      <c r="K8762" s="53" t="inlineStr">
        <is>
          <t>Да</t>
        </is>
      </c>
      <c r="L8762" s="53" t="inlineStr">
        <is>
          <t>Да</t>
        </is>
      </c>
      <c r="M8762" s="53" t="inlineStr">
        <is>
          <t>До 200</t>
        </is>
      </c>
      <c r="N8762" s="54" t="n">
        <v>62400</v>
      </c>
      <c r="O8762" s="55" t="inlineStr">
        <is>
          <t>101–200</t>
        </is>
      </c>
      <c r="P8762" s="16" t="inlineStr">
        <is>
          <t>ССЧР + ОКВЭД обогащены</t>
        </is>
      </c>
      <c r="Q8762" s="16" t="inlineStr">
        <is>
          <t>ФНС открытые данные ССЧР (ДатаСост 31.12.2025; набор 7707329152-sshr2019)</t>
        </is>
      </c>
      <c r="R8762" s="16" t="inlineStr">
        <is>
          <t>ЕГРЮЛ / egrul.nalog.ru (выписка)</t>
        </is>
      </c>
      <c r="S8762" t="n">
        <v>0</v>
      </c>
      <c r="T8762" s="35" t="inlineStr">
        <is>
          <t>1 — Горячий</t>
        </is>
      </c>
      <c r="U8762" s="35" t="inlineStr">
        <is>
          <t>ОКВЭД + 22+</t>
        </is>
      </c>
      <c r="V8762" s="35" t="inlineStr">
        <is>
          <t>Да</t>
        </is>
      </c>
      <c r="W8762" s="35" t="inlineStr">
        <is>
          <t>Да</t>
        </is>
      </c>
      <c r="X8762" s="35" t="inlineStr">
        <is>
          <t>Да</t>
        </is>
      </c>
    </row>
    <row r="8763" ht="15" customHeight="1" s="24">
      <c r="A8763" s="13" t="n">
        <v>800650194</v>
      </c>
      <c r="B8763" s="13" t="inlineStr">
        <is>
          <t>Восток Центр Иркутск АО</t>
        </is>
      </c>
      <c r="C8763" s="13" t="n">
        <v>3811146983</v>
      </c>
      <c r="D8763" s="13" t="inlineStr">
        <is>
          <t>3811146983</t>
        </is>
      </c>
      <c r="E8763" s="13" t="inlineStr">
        <is>
          <t>ЮЛ РФ</t>
        </is>
      </c>
      <c r="F8763" s="13" t="n"/>
      <c r="G8763" s="52" t="n">
        <v>0</v>
      </c>
      <c r="H8763" s="52" t="n">
        <v>2025</v>
      </c>
      <c r="I8763" s="14" t="n"/>
      <c r="J8763" s="14" t="n"/>
      <c r="K8763" s="53" t="inlineStr">
        <is>
          <t>Нет</t>
        </is>
      </c>
      <c r="L8763" s="53" t="inlineStr">
        <is>
          <t>Не определено</t>
        </is>
      </c>
      <c r="M8763" s="53" t="inlineStr">
        <is>
          <t>До 10</t>
        </is>
      </c>
      <c r="N8763" s="54" t="n">
        <v>3360</v>
      </c>
      <c r="O8763" s="55" t="inlineStr">
        <is>
          <t>1–15</t>
        </is>
      </c>
      <c r="P8763" s="16" t="inlineStr">
        <is>
          <t>ССЧР обогащена; ОКВЭД не найден/не загружен</t>
        </is>
      </c>
      <c r="Q8763" s="16" t="inlineStr">
        <is>
          <t>ФНС открытые данные ССЧР (ДатаСост 31.12.2025; набор 7707329152-sshr2019)</t>
        </is>
      </c>
      <c r="R8763" s="16">
        <f>HYPERLINK("https://checko.ru/search?query=3801001629","Чекко: проверить")</f>
        <v/>
      </c>
      <c r="S8763" t="n">
        <v>0</v>
      </c>
      <c r="T8763" s="35" t="inlineStr">
        <is>
          <t>4 — Не обогащён</t>
        </is>
      </c>
      <c r="U8763" s="35" t="inlineStr">
        <is>
          <t>Нет ОКВЭД/ССЧР</t>
        </is>
      </c>
      <c r="V8763" s="35" t="inlineStr">
        <is>
          <t>Не определено</t>
        </is>
      </c>
      <c r="W8763" s="35" t="inlineStr">
        <is>
          <t>Нет</t>
        </is>
      </c>
      <c r="X8763" s="35" t="inlineStr"/>
    </row>
    <row r="8764" ht="27.75" customHeight="1" s="24">
      <c r="A8764" s="13" t="inlineStr">
        <is>
          <t>FR1201796</t>
        </is>
      </c>
      <c r="B8764" s="13" t="inlineStr">
        <is>
          <t>Общество с ограниченной ответственностью "ГАРАНТ ЭЛЕКТРО"</t>
        </is>
      </c>
      <c r="C8764" s="13" t="n">
        <v>3849108923</v>
      </c>
      <c r="D8764" s="13" t="inlineStr">
        <is>
          <t>3849108923</t>
        </is>
      </c>
      <c r="E8764" s="13" t="inlineStr">
        <is>
          <t>ЮЛ РФ</t>
        </is>
      </c>
      <c r="F8764" s="13" t="n"/>
      <c r="G8764" s="52" t="n">
        <v>1</v>
      </c>
      <c r="H8764" s="52" t="n">
        <v>2025</v>
      </c>
      <c r="I8764" s="14" t="n"/>
      <c r="J8764" s="14" t="n"/>
      <c r="K8764" s="53" t="inlineStr">
        <is>
          <t>Нет</t>
        </is>
      </c>
      <c r="L8764" s="53" t="inlineStr">
        <is>
          <t>Не определено</t>
        </is>
      </c>
      <c r="M8764" s="53" t="inlineStr">
        <is>
          <t>До 10</t>
        </is>
      </c>
      <c r="N8764" s="54" t="n">
        <v>3360</v>
      </c>
      <c r="O8764" s="55" t="inlineStr">
        <is>
          <t>1–15</t>
        </is>
      </c>
      <c r="P8764" s="16" t="inlineStr">
        <is>
          <t>ССЧР обогащена; ОКВЭД не найден/не загружен</t>
        </is>
      </c>
      <c r="Q8764" s="16" t="inlineStr">
        <is>
          <t>ФНС открытые данные ССЧР (ДатаСост 31.12.2025; набор 7707329152-sshr2019)</t>
        </is>
      </c>
      <c r="R8764" s="16">
        <f>HYPERLINK("https://checko.ru/search?query=3801001629","Чекко: проверить")</f>
        <v/>
      </c>
      <c r="S8764" t="n">
        <v>0</v>
      </c>
      <c r="T8764" s="35" t="inlineStr">
        <is>
          <t>4 — Не обогащён</t>
        </is>
      </c>
      <c r="U8764" s="35" t="inlineStr">
        <is>
          <t>Нет ОКВЭД/ССЧР</t>
        </is>
      </c>
      <c r="V8764" s="35" t="inlineStr">
        <is>
          <t>Не определено</t>
        </is>
      </c>
      <c r="W8764" s="35" t="inlineStr">
        <is>
          <t>Нет</t>
        </is>
      </c>
      <c r="X8764" s="35" t="inlineStr"/>
    </row>
    <row r="8765" ht="15" customHeight="1" s="24">
      <c r="A8765" s="13" t="inlineStr">
        <is>
          <t>FR239774</t>
        </is>
      </c>
      <c r="B8765" s="13" t="inlineStr">
        <is>
          <t>УАЙТ БУХГАЛТЕРИЯ, ООО</t>
        </is>
      </c>
      <c r="C8765" s="13" t="n">
        <v>3702203631</v>
      </c>
      <c r="D8765" s="13" t="inlineStr">
        <is>
          <t>3702203631</t>
        </is>
      </c>
      <c r="E8765" s="13" t="inlineStr">
        <is>
          <t>ЮЛ РФ</t>
        </is>
      </c>
      <c r="F8765" s="13" t="n"/>
      <c r="G8765" s="52" t="n">
        <v>1</v>
      </c>
      <c r="H8765" s="52" t="n">
        <v>2025</v>
      </c>
      <c r="I8765" s="14" t="n"/>
      <c r="J8765" s="14" t="n"/>
      <c r="K8765" s="53" t="inlineStr">
        <is>
          <t>Нет</t>
        </is>
      </c>
      <c r="L8765" s="53" t="inlineStr">
        <is>
          <t>Не определено</t>
        </is>
      </c>
      <c r="M8765" s="53" t="inlineStr">
        <is>
          <t>До 10</t>
        </is>
      </c>
      <c r="N8765" s="54" t="n">
        <v>3360</v>
      </c>
      <c r="O8765" s="55" t="inlineStr">
        <is>
          <t>1–15</t>
        </is>
      </c>
      <c r="P8765" s="16" t="inlineStr">
        <is>
          <t>ССЧР обогащена; ОКВЭД не найден/не загружен</t>
        </is>
      </c>
      <c r="Q8765" s="16" t="inlineStr">
        <is>
          <t>ФНС открытые данные ССЧР (ДатаСост 31.12.2025; набор 7707329152-sshr2019)</t>
        </is>
      </c>
      <c r="R8765" s="16">
        <f>HYPERLINK("https://checko.ru/search?query=3801001629","Чекко: проверить")</f>
        <v/>
      </c>
      <c r="S8765" t="n">
        <v>1</v>
      </c>
      <c r="T8765" s="35" t="inlineStr">
        <is>
          <t>4 — Не обогащён</t>
        </is>
      </c>
      <c r="U8765" s="35" t="inlineStr">
        <is>
          <t>Нет ОКВЭД/ССЧР</t>
        </is>
      </c>
      <c r="V8765" s="35" t="inlineStr">
        <is>
          <t>Не определено</t>
        </is>
      </c>
      <c r="W8765" s="35" t="inlineStr">
        <is>
          <t>Нет</t>
        </is>
      </c>
      <c r="X8765" s="35" t="inlineStr"/>
    </row>
    <row r="8766" ht="27.75" customHeight="1" s="24">
      <c r="A8766" s="13" t="inlineStr">
        <is>
          <t>FR892935</t>
        </is>
      </c>
      <c r="B8766" s="13" t="inlineStr">
        <is>
          <t>Общество с ограниченной ответственностью "СЕРВИС ОПС"</t>
        </is>
      </c>
      <c r="C8766" s="13" t="n">
        <v>3810334776</v>
      </c>
      <c r="D8766" s="13" t="inlineStr">
        <is>
          <t>3810334776</t>
        </is>
      </c>
      <c r="E8766" s="13" t="inlineStr">
        <is>
          <t>ЮЛ РФ</t>
        </is>
      </c>
      <c r="F8766" s="13" t="n"/>
      <c r="G8766" s="52" t="n">
        <v>1</v>
      </c>
      <c r="H8766" s="52" t="n">
        <v>2025</v>
      </c>
      <c r="I8766" s="14" t="n"/>
      <c r="J8766" s="14" t="n"/>
      <c r="K8766" s="53" t="inlineStr">
        <is>
          <t>Нет</t>
        </is>
      </c>
      <c r="L8766" s="53" t="inlineStr">
        <is>
          <t>Не определено</t>
        </is>
      </c>
      <c r="M8766" s="53" t="inlineStr">
        <is>
          <t>До 10</t>
        </is>
      </c>
      <c r="N8766" s="54" t="n">
        <v>3360</v>
      </c>
      <c r="O8766" s="55" t="inlineStr">
        <is>
          <t>1–15</t>
        </is>
      </c>
      <c r="P8766" s="16" t="inlineStr">
        <is>
          <t>ССЧР обогащена; ОКВЭД не найден/не загружен</t>
        </is>
      </c>
      <c r="Q8766" s="16" t="inlineStr">
        <is>
          <t>ФНС открытые данные ССЧР (ДатаСост 31.12.2025; набор 7707329152-sshr2019)</t>
        </is>
      </c>
      <c r="R8766" s="16">
        <f>HYPERLINK("https://checko.ru/search?query=3801001629","Чекко: проверить")</f>
        <v/>
      </c>
      <c r="S8766" t="n">
        <v>0</v>
      </c>
      <c r="T8766" s="35" t="inlineStr">
        <is>
          <t>4 — Не обогащён</t>
        </is>
      </c>
      <c r="U8766" s="35" t="inlineStr">
        <is>
          <t>Нет ОКВЭД/ССЧР</t>
        </is>
      </c>
      <c r="V8766" s="35" t="inlineStr">
        <is>
          <t>Не определено</t>
        </is>
      </c>
      <c r="W8766" s="35" t="inlineStr">
        <is>
          <t>Нет</t>
        </is>
      </c>
      <c r="X8766" s="35" t="inlineStr"/>
    </row>
    <row r="8767" ht="15" customHeight="1" s="24">
      <c r="A8767" s="13" t="inlineStr">
        <is>
          <t>FR36025</t>
        </is>
      </c>
      <c r="B8767" s="13" t="inlineStr">
        <is>
          <t>ТАКСБЮРО, ООО</t>
        </is>
      </c>
      <c r="C8767" s="13" t="n">
        <v>7714900578</v>
      </c>
      <c r="D8767" s="13" t="inlineStr">
        <is>
          <t>7714900578</t>
        </is>
      </c>
      <c r="E8767" s="13" t="inlineStr">
        <is>
          <t>ЮЛ РФ</t>
        </is>
      </c>
      <c r="F8767" s="13" t="n"/>
      <c r="G8767" s="52" t="n">
        <v>8</v>
      </c>
      <c r="H8767" s="52" t="n">
        <v>2025</v>
      </c>
      <c r="I8767" s="14" t="n"/>
      <c r="J8767" s="14" t="n"/>
      <c r="K8767" s="53" t="inlineStr">
        <is>
          <t>Нет</t>
        </is>
      </c>
      <c r="L8767" s="53" t="inlineStr">
        <is>
          <t>Не определено</t>
        </is>
      </c>
      <c r="M8767" s="53" t="inlineStr">
        <is>
          <t>До 10</t>
        </is>
      </c>
      <c r="N8767" s="54" t="n">
        <v>3360</v>
      </c>
      <c r="O8767" s="55" t="inlineStr">
        <is>
          <t>1–15</t>
        </is>
      </c>
      <c r="P8767" s="16" t="inlineStr">
        <is>
          <t>ССЧР обогащена; ОКВЭД не найден/не загружен</t>
        </is>
      </c>
      <c r="Q8767" s="16" t="inlineStr">
        <is>
          <t>ФНС открытые данные ССЧР (ДатаСост 31.12.2025; набор 7707329152-sshr2019)</t>
        </is>
      </c>
      <c r="R8767" s="16">
        <f>HYPERLINK("https://checko.ru/search?query=3801001629","Чекко: проверить")</f>
        <v/>
      </c>
      <c r="S8767" t="n">
        <v>1</v>
      </c>
      <c r="T8767" s="35" t="inlineStr">
        <is>
          <t>4 — Не обогащён</t>
        </is>
      </c>
      <c r="U8767" s="35" t="inlineStr">
        <is>
          <t>Нет ОКВЭД/ССЧР</t>
        </is>
      </c>
      <c r="V8767" s="35" t="inlineStr">
        <is>
          <t>Не определено</t>
        </is>
      </c>
      <c r="W8767" s="35" t="inlineStr">
        <is>
          <t>Нет</t>
        </is>
      </c>
      <c r="X8767" s="35" t="inlineStr"/>
    </row>
    <row r="8768" ht="15" customHeight="1" s="24">
      <c r="A8768" s="13" t="n">
        <v>9822381</v>
      </c>
      <c r="B8768" s="13" t="inlineStr">
        <is>
          <t>МИГ</t>
        </is>
      </c>
      <c r="C8768" s="13" t="n">
        <v>1434000485</v>
      </c>
      <c r="D8768" s="13" t="inlineStr">
        <is>
          <t>1434000485</t>
        </is>
      </c>
      <c r="E8768" s="13" t="inlineStr">
        <is>
          <t>ЮЛ РФ</t>
        </is>
      </c>
      <c r="F8768" s="13" t="n"/>
      <c r="G8768" s="52" t="n">
        <v>16</v>
      </c>
      <c r="H8768" s="52" t="n">
        <v>2025</v>
      </c>
      <c r="I8768" s="14" t="n"/>
      <c r="J8768" s="14" t="n"/>
      <c r="K8768" s="53" t="inlineStr">
        <is>
          <t>Нет</t>
        </is>
      </c>
      <c r="L8768" s="53" t="inlineStr">
        <is>
          <t>Не определено</t>
        </is>
      </c>
      <c r="M8768" s="53" t="inlineStr">
        <is>
          <t>До 25</t>
        </is>
      </c>
      <c r="N8768" s="54" t="n">
        <v>8400</v>
      </c>
      <c r="O8768" s="55" t="inlineStr">
        <is>
          <t>16–30</t>
        </is>
      </c>
      <c r="P8768" s="16" t="inlineStr">
        <is>
          <t>ССЧР обогащена; ОКВЭД не найден/не загружен</t>
        </is>
      </c>
      <c r="Q8768" s="16" t="inlineStr">
        <is>
          <t>ФНС открытые данные ССЧР (ДатаСост 31.12.2025; набор 7707329152-sshr2019)</t>
        </is>
      </c>
      <c r="R8768" s="16">
        <f>HYPERLINK("https://checko.ru/search?query=3801001629","Чекко: проверить")</f>
        <v/>
      </c>
      <c r="S8768" t="n">
        <v>1</v>
      </c>
      <c r="T8768" s="35" t="inlineStr">
        <is>
          <t>4 — Не обогащён</t>
        </is>
      </c>
      <c r="U8768" s="35" t="inlineStr">
        <is>
          <t>Нет ОКВЭД/ССЧР</t>
        </is>
      </c>
      <c r="V8768" s="35" t="inlineStr">
        <is>
          <t>Не определено</t>
        </is>
      </c>
      <c r="W8768" s="35" t="inlineStr">
        <is>
          <t>Нет</t>
        </is>
      </c>
      <c r="X8768" s="35" t="inlineStr"/>
    </row>
    <row r="8769" ht="27.75" customHeight="1" s="24">
      <c r="A8769" s="13" t="n">
        <v>20019466957</v>
      </c>
      <c r="B8769" s="13" t="inlineStr">
        <is>
          <t>ЗАКРЫТОЕ АКЦИОНЕРНОЕ ОБЩЕСТВО "ИРКУТСКГИДРОРЕМОНТ"</t>
        </is>
      </c>
      <c r="C8769" s="13" t="n">
        <v>3812042578</v>
      </c>
      <c r="D8769" s="13" t="inlineStr">
        <is>
          <t>3812042578</t>
        </is>
      </c>
      <c r="E8769" s="13" t="inlineStr">
        <is>
          <t>ЮЛ РФ</t>
        </is>
      </c>
      <c r="F8769" s="13" t="n"/>
      <c r="G8769" s="52" t="n">
        <v>9</v>
      </c>
      <c r="H8769" s="52" t="n">
        <v>2025</v>
      </c>
      <c r="I8769" s="14" t="n"/>
      <c r="J8769" s="14" t="n"/>
      <c r="K8769" s="53" t="inlineStr">
        <is>
          <t>Нет</t>
        </is>
      </c>
      <c r="L8769" s="53" t="inlineStr">
        <is>
          <t>Не определено</t>
        </is>
      </c>
      <c r="M8769" s="53" t="inlineStr">
        <is>
          <t>До 10</t>
        </is>
      </c>
      <c r="N8769" s="54" t="n">
        <v>3360</v>
      </c>
      <c r="O8769" s="55" t="inlineStr">
        <is>
          <t>1–15</t>
        </is>
      </c>
      <c r="P8769" s="16" t="inlineStr">
        <is>
          <t>ССЧР обогащена; ОКВЭД не найден/не загружен</t>
        </is>
      </c>
      <c r="Q8769" s="16" t="inlineStr">
        <is>
          <t>ФНС открытые данные ССЧР (ДатаСост 31.12.2025; набор 7707329152-sshr2019)</t>
        </is>
      </c>
      <c r="R8769" s="16">
        <f>HYPERLINK("https://checko.ru/search?query=3801001629","Чекко: проверить")</f>
        <v/>
      </c>
      <c r="S8769" t="n">
        <v>1</v>
      </c>
      <c r="T8769" s="35" t="inlineStr">
        <is>
          <t>4 — Не обогащён</t>
        </is>
      </c>
      <c r="U8769" s="35" t="inlineStr">
        <is>
          <t>Нет ОКВЭД/ССЧР</t>
        </is>
      </c>
      <c r="V8769" s="35" t="inlineStr">
        <is>
          <t>Не определено</t>
        </is>
      </c>
      <c r="W8769" s="35" t="inlineStr">
        <is>
          <t>Нет</t>
        </is>
      </c>
      <c r="X8769" s="35" t="inlineStr"/>
    </row>
    <row r="8770" ht="15" customHeight="1" s="24">
      <c r="A8770" s="13" t="n">
        <v>9820880</v>
      </c>
      <c r="B8770" s="13" t="inlineStr">
        <is>
          <t>ИП Макарова Маргарита Юрьевна</t>
        </is>
      </c>
      <c r="C8770" s="13" t="n">
        <v>381102415566</v>
      </c>
      <c r="D8770" s="13" t="inlineStr">
        <is>
          <t>381102415566</t>
        </is>
      </c>
      <c r="E8770" s="13" t="inlineStr">
        <is>
          <t>ИП РФ / физлицо</t>
        </is>
      </c>
      <c r="F8770" s="13" t="n"/>
      <c r="G8770" s="14" t="n"/>
      <c r="H8770" s="14" t="n"/>
      <c r="I8770" s="14" t="n"/>
      <c r="J8770" s="14" t="n"/>
      <c r="K8770" s="53" t="inlineStr"/>
      <c r="L8770" s="53" t="inlineStr">
        <is>
          <t>Не определено</t>
        </is>
      </c>
      <c r="M8770" s="53" t="inlineStr"/>
      <c r="N8770" s="54" t="inlineStr"/>
      <c r="O8770" s="55" t="inlineStr"/>
      <c r="P8770" s="16" t="inlineStr">
        <is>
          <t>Требует обогащения</t>
        </is>
      </c>
      <c r="Q8770" s="16">
        <f>HYPERLINK("https://pb.nalog.ru/search.html?query=381102415566","ФНС: проверить")</f>
        <v/>
      </c>
      <c r="R8770" s="16">
        <f>HYPERLINK("https://checko.ru/search?query=3801001629","Чекко: проверить")</f>
        <v/>
      </c>
      <c r="S8770" t="n">
        <v>0</v>
      </c>
      <c r="T8770" s="35" t="inlineStr">
        <is>
          <t>4 — Не обогащён</t>
        </is>
      </c>
      <c r="U8770" s="35" t="inlineStr">
        <is>
          <t>Нет ОКВЭД/ССЧР</t>
        </is>
      </c>
      <c r="V8770" s="35" t="inlineStr">
        <is>
          <t>Не определено</t>
        </is>
      </c>
      <c r="W8770" s="35" t="inlineStr"/>
      <c r="X8770" s="35" t="inlineStr"/>
    </row>
    <row r="8771" ht="15" customHeight="1" s="24">
      <c r="A8771" s="13" t="n">
        <v>801334222</v>
      </c>
      <c r="B8771" s="13" t="inlineStr">
        <is>
          <t>ООО "Стройиндустрия"</t>
        </is>
      </c>
      <c r="C8771" s="13" t="n">
        <v>1434027208</v>
      </c>
      <c r="D8771" s="13" t="inlineStr">
        <is>
          <t>1434027208</t>
        </is>
      </c>
      <c r="E8771" s="13" t="inlineStr">
        <is>
          <t>ЮЛ РФ</t>
        </is>
      </c>
      <c r="F8771" s="13" t="n"/>
      <c r="G8771" s="52" t="n">
        <v>12</v>
      </c>
      <c r="H8771" s="52" t="n">
        <v>2025</v>
      </c>
      <c r="I8771" s="14" t="n"/>
      <c r="J8771" s="14" t="n"/>
      <c r="K8771" s="53" t="inlineStr">
        <is>
          <t>Нет</t>
        </is>
      </c>
      <c r="L8771" s="53" t="inlineStr">
        <is>
          <t>Не определено</t>
        </is>
      </c>
      <c r="M8771" s="53" t="inlineStr">
        <is>
          <t>До 25</t>
        </is>
      </c>
      <c r="N8771" s="54" t="n">
        <v>8400</v>
      </c>
      <c r="O8771" s="55" t="inlineStr">
        <is>
          <t>1–15</t>
        </is>
      </c>
      <c r="P8771" s="16" t="inlineStr">
        <is>
          <t>ССЧР обогащена; ОКВЭД не найден/не загружен</t>
        </is>
      </c>
      <c r="Q8771" s="16" t="inlineStr">
        <is>
          <t>ФНС открытые данные ССЧР (ДатаСост 31.12.2025; набор 7707329152-sshr2019)</t>
        </is>
      </c>
      <c r="R8771" s="16">
        <f>HYPERLINK("https://checko.ru/search?query=3801001629","Чекко: проверить")</f>
        <v/>
      </c>
      <c r="S8771" t="n">
        <v>0</v>
      </c>
      <c r="T8771" s="35" t="inlineStr">
        <is>
          <t>4 — Не обогащён</t>
        </is>
      </c>
      <c r="U8771" s="35" t="inlineStr">
        <is>
          <t>Нет ОКВЭД/ССЧР</t>
        </is>
      </c>
      <c r="V8771" s="35" t="inlineStr">
        <is>
          <t>Не определено</t>
        </is>
      </c>
      <c r="W8771" s="35" t="inlineStr">
        <is>
          <t>Нет</t>
        </is>
      </c>
      <c r="X8771" s="35" t="inlineStr"/>
    </row>
    <row r="8772" ht="15" customHeight="1" s="24">
      <c r="A8772" s="13" t="inlineStr">
        <is>
          <t>FR1074775</t>
        </is>
      </c>
      <c r="B8772" s="13" t="inlineStr">
        <is>
          <t>ООО "ТК ЭРАСТРОЙ"</t>
        </is>
      </c>
      <c r="C8772" s="13" t="n">
        <v>3816030439</v>
      </c>
      <c r="D8772" s="13" t="inlineStr">
        <is>
          <t>3816030439</t>
        </is>
      </c>
      <c r="E8772" s="13" t="inlineStr">
        <is>
          <t>ЮЛ РФ</t>
        </is>
      </c>
      <c r="F8772" s="13" t="n"/>
      <c r="G8772" s="52" t="n">
        <v>19</v>
      </c>
      <c r="H8772" s="52" t="n">
        <v>2025</v>
      </c>
      <c r="I8772" s="14" t="n"/>
      <c r="J8772" s="14" t="n"/>
      <c r="K8772" s="53" t="inlineStr">
        <is>
          <t>Нет</t>
        </is>
      </c>
      <c r="L8772" s="53" t="inlineStr">
        <is>
          <t>Не определено</t>
        </is>
      </c>
      <c r="M8772" s="53" t="inlineStr">
        <is>
          <t>До 25</t>
        </is>
      </c>
      <c r="N8772" s="54" t="n">
        <v>8400</v>
      </c>
      <c r="O8772" s="55" t="inlineStr">
        <is>
          <t>16–30</t>
        </is>
      </c>
      <c r="P8772" s="16" t="inlineStr">
        <is>
          <t>ССЧР обогащена; ОКВЭД не найден/не загружен</t>
        </is>
      </c>
      <c r="Q8772" s="16" t="inlineStr">
        <is>
          <t>ФНС открытые данные ССЧР (ДатаСост 31.12.2025; набор 7707329152-sshr2019)</t>
        </is>
      </c>
      <c r="R8772" s="16">
        <f>HYPERLINK("https://checko.ru/search?query=3801001629","Чекко: проверить")</f>
        <v/>
      </c>
      <c r="S8772" t="n">
        <v>0</v>
      </c>
      <c r="T8772" s="35" t="inlineStr">
        <is>
          <t>4 — Не обогащён</t>
        </is>
      </c>
      <c r="U8772" s="35" t="inlineStr">
        <is>
          <t>Нет ОКВЭД/ССЧР</t>
        </is>
      </c>
      <c r="V8772" s="35" t="inlineStr">
        <is>
          <t>Не определено</t>
        </is>
      </c>
      <c r="W8772" s="35" t="inlineStr">
        <is>
          <t>Нет</t>
        </is>
      </c>
      <c r="X8772" s="35" t="inlineStr"/>
    </row>
    <row r="8773" ht="15" customHeight="1" s="24">
      <c r="A8773" s="13" t="n">
        <v>18914118</v>
      </c>
      <c r="B8773" s="13" t="inlineStr">
        <is>
          <t>ООО "ТК ЭРАСТРОЙ"</t>
        </is>
      </c>
      <c r="C8773" s="13" t="n">
        <v>3816030439</v>
      </c>
      <c r="D8773" s="13" t="inlineStr">
        <is>
          <t>3816030439</t>
        </is>
      </c>
      <c r="E8773" s="13" t="inlineStr">
        <is>
          <t>ЮЛ РФ</t>
        </is>
      </c>
      <c r="F8773" s="13" t="n"/>
      <c r="G8773" s="52" t="n">
        <v>19</v>
      </c>
      <c r="H8773" s="52" t="n">
        <v>2025</v>
      </c>
      <c r="I8773" s="14" t="n"/>
      <c r="J8773" s="14" t="n"/>
      <c r="K8773" s="53" t="inlineStr">
        <is>
          <t>Нет</t>
        </is>
      </c>
      <c r="L8773" s="53" t="inlineStr">
        <is>
          <t>Не определено</t>
        </is>
      </c>
      <c r="M8773" s="53" t="inlineStr">
        <is>
          <t>До 25</t>
        </is>
      </c>
      <c r="N8773" s="54" t="n">
        <v>8400</v>
      </c>
      <c r="O8773" s="55" t="inlineStr">
        <is>
          <t>16–30</t>
        </is>
      </c>
      <c r="P8773" s="16" t="inlineStr">
        <is>
          <t>ССЧР обогащена; ОКВЭД не найден/не загружен</t>
        </is>
      </c>
      <c r="Q8773" s="16" t="inlineStr">
        <is>
          <t>ФНС открытые данные ССЧР (ДатаСост 31.12.2025; набор 7707329152-sshr2019)</t>
        </is>
      </c>
      <c r="R8773" s="16">
        <f>HYPERLINK("https://checko.ru/search?query=3801001629","Чекко: проверить")</f>
        <v/>
      </c>
      <c r="S8773" t="n">
        <v>0</v>
      </c>
      <c r="T8773" s="35" t="inlineStr">
        <is>
          <t>4 — Не обогащён</t>
        </is>
      </c>
      <c r="U8773" s="35" t="inlineStr">
        <is>
          <t>Нет ОКВЭД/ССЧР</t>
        </is>
      </c>
      <c r="V8773" s="35" t="inlineStr">
        <is>
          <t>Не определено</t>
        </is>
      </c>
      <c r="W8773" s="35" t="inlineStr">
        <is>
          <t>Нет</t>
        </is>
      </c>
      <c r="X8773" s="35" t="inlineStr"/>
    </row>
    <row r="8774" ht="15" customHeight="1" s="24">
      <c r="A8774" s="13" t="inlineStr">
        <is>
          <t>FR1087055</t>
        </is>
      </c>
      <c r="B8774" s="13" t="inlineStr">
        <is>
          <t>Общество с ограниченной ответственностью "500"</t>
        </is>
      </c>
      <c r="C8774" s="13" t="n">
        <v>3805733856</v>
      </c>
      <c r="D8774" s="13" t="inlineStr">
        <is>
          <t>3805733856</t>
        </is>
      </c>
      <c r="E8774" s="13" t="inlineStr">
        <is>
          <t>ЮЛ РФ</t>
        </is>
      </c>
      <c r="F8774" s="13" t="n"/>
      <c r="G8774" s="52" t="n">
        <v>2</v>
      </c>
      <c r="H8774" s="52" t="n">
        <v>2025</v>
      </c>
      <c r="I8774" s="14" t="n"/>
      <c r="J8774" s="14" t="n"/>
      <c r="K8774" s="53" t="inlineStr">
        <is>
          <t>Нет</t>
        </is>
      </c>
      <c r="L8774" s="53" t="inlineStr">
        <is>
          <t>Не определено</t>
        </is>
      </c>
      <c r="M8774" s="53" t="inlineStr">
        <is>
          <t>До 10</t>
        </is>
      </c>
      <c r="N8774" s="54" t="n">
        <v>3360</v>
      </c>
      <c r="O8774" s="55" t="inlineStr">
        <is>
          <t>1–15</t>
        </is>
      </c>
      <c r="P8774" s="16" t="inlineStr">
        <is>
          <t>ССЧР обогащена; ОКВЭД не найден/не загружен</t>
        </is>
      </c>
      <c r="Q8774" s="16" t="inlineStr">
        <is>
          <t>ФНС открытые данные ССЧР (ДатаСост 31.12.2025; набор 7707329152-sshr2019)</t>
        </is>
      </c>
      <c r="R8774" s="16">
        <f>HYPERLINK("https://checko.ru/search?query=3801001629","Чекко: проверить")</f>
        <v/>
      </c>
      <c r="S8774" t="n">
        <v>0</v>
      </c>
      <c r="T8774" s="35" t="inlineStr">
        <is>
          <t>4 — Не обогащён</t>
        </is>
      </c>
      <c r="U8774" s="35" t="inlineStr">
        <is>
          <t>Нет ОКВЭД/ССЧР</t>
        </is>
      </c>
      <c r="V8774" s="35" t="inlineStr">
        <is>
          <t>Не определено</t>
        </is>
      </c>
      <c r="W8774" s="35" t="inlineStr">
        <is>
          <t>Нет</t>
        </is>
      </c>
      <c r="X8774" s="35" t="inlineStr"/>
    </row>
    <row r="8775" ht="15" customHeight="1" s="24">
      <c r="A8775" s="13" t="inlineStr">
        <is>
          <t>FR371075</t>
        </is>
      </c>
      <c r="B8775" s="13" t="inlineStr">
        <is>
          <t>ИП Чикулаев Алексей Сергеевич</t>
        </is>
      </c>
      <c r="C8775" s="13" t="n">
        <v>781615194521</v>
      </c>
      <c r="D8775" s="13" t="inlineStr">
        <is>
          <t>781615194521</t>
        </is>
      </c>
      <c r="E8775" s="13" t="inlineStr">
        <is>
          <t>ИП РФ / физлицо</t>
        </is>
      </c>
      <c r="F8775" s="13" t="n"/>
      <c r="G8775" s="14" t="n"/>
      <c r="H8775" s="14" t="n"/>
      <c r="I8775" s="14" t="n"/>
      <c r="J8775" s="14" t="n"/>
      <c r="K8775" s="53" t="inlineStr"/>
      <c r="L8775" s="53" t="inlineStr">
        <is>
          <t>Не определено</t>
        </is>
      </c>
      <c r="M8775" s="53" t="inlineStr"/>
      <c r="N8775" s="54" t="inlineStr"/>
      <c r="O8775" s="55" t="inlineStr"/>
      <c r="P8775" s="16" t="inlineStr">
        <is>
          <t>Требует обогащения</t>
        </is>
      </c>
      <c r="Q8775" s="16">
        <f>HYPERLINK("https://pb.nalog.ru/search.html?query=781615194521","ФНС: проверить")</f>
        <v/>
      </c>
      <c r="R8775" s="16">
        <f>HYPERLINK("https://checko.ru/search?query=3801001629","Чекко: проверить")</f>
        <v/>
      </c>
      <c r="S8775" t="n">
        <v>0</v>
      </c>
      <c r="T8775" s="35" t="inlineStr">
        <is>
          <t>4 — Не обогащён</t>
        </is>
      </c>
      <c r="U8775" s="35" t="inlineStr">
        <is>
          <t>Нет ОКВЭД/ССЧР</t>
        </is>
      </c>
      <c r="V8775" s="35" t="inlineStr">
        <is>
          <t>Не определено</t>
        </is>
      </c>
      <c r="W8775" s="35" t="inlineStr"/>
      <c r="X8775" s="35" t="inlineStr"/>
    </row>
    <row r="8776" ht="27.75" customHeight="1" s="24">
      <c r="A8776" s="13" t="inlineStr">
        <is>
          <t>FR656781</t>
        </is>
      </c>
      <c r="B8776" s="13" t="inlineStr">
        <is>
          <t>Общество с ограниченной ответственностью "НЕФТЕСТРОЙ"</t>
        </is>
      </c>
      <c r="C8776" s="13" t="n">
        <v>276153614</v>
      </c>
      <c r="D8776" s="13" t="n"/>
      <c r="E8776" s="13" t="inlineStr">
        <is>
          <t>Не определён</t>
        </is>
      </c>
      <c r="F8776" s="13" t="inlineStr">
        <is>
          <t>276153614</t>
        </is>
      </c>
      <c r="G8776" s="14" t="n"/>
      <c r="H8776" s="14" t="n"/>
      <c r="I8776" s="14" t="n"/>
      <c r="J8776" s="14" t="n"/>
      <c r="K8776" s="13">
        <f>IF(G8776="","",IF(G8776&gt;=22,"Да","Нет"))</f>
        <v/>
      </c>
      <c r="L8776" s="13">
        <f>IF(OR(I8776="",J8776=""),"Не определено",IF(OR(COUNTIF(I8776,"45*")&gt;0,COUNTIF(J8776,"*45*")&gt;0,COUNTIF(I8776,"46*")&gt;0,COUNTIF(J8776,"*46*")&gt;0,COUNTIF(I8776,"47*")&gt;0,COUNTIF(J8776,"*47*")&gt;0,COUNTIF(I8776,"10*")&gt;0,COUNTIF(J8776,"*10*")&gt;0,COUNTIF(I8776,"11*")&gt;0,COUNTIF(J8776,"*11*")&gt;0,COUNTIF(I8776,"12*")&gt;0,COUNTIF(J8776,"*12*")&gt;0,COUNTIF(I8776,"13*")&gt;0,COUNTIF(J8776,"*13*")&gt;0,COUNTIF(I8776,"14*")&gt;0,COUNTIF(J8776,"*14*")&gt;0,COUNTIF(I8776,"15*")&gt;0,COUNTIF(J8776,"*15*")&gt;0,COUNTIF(I8776,"16*")&gt;0,COUNTIF(J8776,"*16*")&gt;0,COUNTIF(I8776,"17*")&gt;0,COUNTIF(J8776,"*17*")&gt;0,COUNTIF(I8776,"18*")&gt;0,COUNTIF(J8776,"*18*")&gt;0,COUNTIF(I8776,"19*")&gt;0,COUNTIF(J8776,"*19*")&gt;0,COUNTIF(I8776,"20*")&gt;0,COUNTIF(J8776,"*20*")&gt;0,COUNTIF(I8776,"21*")&gt;0,COUNTIF(J8776,"*21*")&gt;0,COUNTIF(I8776,"22*")&gt;0,COUNTIF(J8776,"*22*")&gt;0,COUNTIF(I8776,"23*")&gt;0,COUNTIF(J8776,"*23*")&gt;0,COUNTIF(I8776,"24*")&gt;0,COUNTIF(J8776,"*24*")&gt;0,COUNTIF(I8776,"25*")&gt;0,COUNTIF(J8776,"*25*")&gt;0,COUNTIF(I8776,"26*")&gt;0,COUNTIF(J8776,"*26*")&gt;0,COUNTIF(I8776,"27*")&gt;0,COUNTIF(J8776,"*27*")&gt;0,COUNTIF(I8776,"28*")&gt;0,COUNTIF(J8776,"*28*")&gt;0,COUNTIF(I8776,"29*")&gt;0,COUNTIF(J8776,"*29*")&gt;0,COUNTIF(I8776,"30*")&gt;0,COUNTIF(J8776,"*30*")&gt;0,COUNTIF(I8776,"31*")&gt;0,COUNTIF(J8776,"*31*")&gt;0,COUNTIF(I8776,"32*")&gt;0,COUNTIF(J8776,"*32*")&gt;0,COUNTIF(I8776,"33*")&gt;0,COUNTIF(J8776,"*33*")&gt;0,COUNTIF(I8776,"41*")&gt;0,COUNTIF(J8776,"*41*")&gt;0,COUNTIF(I8776,"42*")&gt;0,COUNTIF(J8776,"*42*")&gt;0,COUNTIF(I8776,"43*")&gt;0,COUNTIF(J8776,"*43*")&gt;0,COUNTIF(I8776,"49*")&gt;0,COUNTIF(J8776,"*49*")&gt;0,COUNTIF(I8776,"52*")&gt;0,COUNTIF(J8776,"*52*")&gt;0,COUNTIF(I8776,"55*")&gt;0,COUNTIF(J8776,"*55*")&gt;0,COUNTIF(I8776,"56*")&gt;0,COUNTIF(J8776,"*56*")&gt;0,COUNTIF(I8776,"68*")&gt;0,COUNTIF(J8776,"*68*")&gt;0,COUNTIF(I8776,"78*")&gt;0,COUNTIF(J8776,"*78*")&gt;0,COUNTIF(I8776,"81*")&gt;0,COUNTIF(J8776,"*81*")&gt;0,COUNTIF(I8776,"82*")&gt;0,COUNTIF(J8776,"*82*")&gt;0,COUNTIF(I8776,"64*")&gt;0,COUNTIF(J8776,"*64*")&gt;0,COUNTIF(I8776,"65*")&gt;0,COUNTIF(J8776,"*65*")&gt;0,COUNTIF(I8776,"66*")&gt;0,COUNTIF(J8776,"*66*")&gt;0,COUNTIF(I8776,"61*")&gt;0,COUNTIF(J8776,"*61*")&gt;0,COUNTIF(I8776,"62*")&gt;0,COUNTIF(J8776,"*62*")&gt;0,COUNTIF(I8776,"63*")&gt;0,COUNTIF(J8776,"*63*")&gt;0,COUNTIF(I8776,"85*")&gt;0,COUNTIF(J8776,"*85*")&gt;0,COUNTIF(I8776,"86*")&gt;0,COUNTIF(J8776,"*86*")&gt;0),"Да","Нет"))</f>
        <v/>
      </c>
      <c r="M8776" s="13">
        <f>IF(OR(G8776="",L8776&lt;&gt;"Да"),"",IF(G8776&lt;=100,"До 100",IF(G8776&lt;=200,"До 200",IF(G8776&lt;=500,"До 500","Отдельное КП"))))</f>
        <v/>
      </c>
      <c r="N8776" s="15">
        <f>IF(OR(G8776="",L8776&lt;&gt;"Да"),"",IF(G8776&lt;=100,33600,IF(G8776&lt;=200,62400,IF(G8776&lt;=500,144000,""))))</f>
        <v/>
      </c>
      <c r="O8776" s="16">
        <f>IF(G8776="","",IF(G8776&lt;=15,"1–15",IF(G8776&lt;=30,"16–30",IF(G8776&lt;=50,"31–50",IF(G8776&lt;=100,"51–100",IF(G8776&lt;=150,"101–150",IF(G8776&lt;=200,"151–200",IF(G8776&lt;=500,"201–500","500+"))))))))</f>
        <v/>
      </c>
      <c r="P8776" s="16" t="inlineStr">
        <is>
          <t>Нет совпадения в предоставленной выгрузке ССЧР</t>
        </is>
      </c>
      <c r="Q8776" s="16" t="n"/>
      <c r="R8776" s="16">
        <f>HYPERLINK("https://checko.ru/search?query=3801001629","Чекко: проверить")</f>
        <v/>
      </c>
      <c r="S8776" t="n">
        <v>0</v>
      </c>
    </row>
    <row r="8777" ht="27.75" customHeight="1" s="24">
      <c r="A8777" s="13" t="inlineStr">
        <is>
          <t>FR824042</t>
        </is>
      </c>
      <c r="B8777" s="13" t="inlineStr">
        <is>
          <t>Общество с ограниченной ответственностью "ЭКСПЕРТ"</t>
        </is>
      </c>
      <c r="C8777" s="13" t="n">
        <v>3801153935</v>
      </c>
      <c r="D8777" s="13" t="inlineStr">
        <is>
          <t>3801153935</t>
        </is>
      </c>
      <c r="E8777" s="13" t="inlineStr">
        <is>
          <t>ЮЛ РФ</t>
        </is>
      </c>
      <c r="F8777" s="13" t="n"/>
      <c r="G8777" s="52" t="n">
        <v>1</v>
      </c>
      <c r="H8777" s="52" t="n">
        <v>2025</v>
      </c>
      <c r="I8777" s="14" t="n"/>
      <c r="J8777" s="14" t="n"/>
      <c r="K8777" s="53" t="inlineStr">
        <is>
          <t>Нет</t>
        </is>
      </c>
      <c r="L8777" s="53" t="inlineStr">
        <is>
          <t>Не определено</t>
        </is>
      </c>
      <c r="M8777" s="53" t="inlineStr">
        <is>
          <t>До 10</t>
        </is>
      </c>
      <c r="N8777" s="54" t="n">
        <v>3360</v>
      </c>
      <c r="O8777" s="55" t="inlineStr">
        <is>
          <t>1–15</t>
        </is>
      </c>
      <c r="P8777" s="16" t="inlineStr">
        <is>
          <t>ССЧР обогащена; ОКВЭД не найден/не загружен</t>
        </is>
      </c>
      <c r="Q8777" s="16" t="inlineStr">
        <is>
          <t>ФНС открытые данные ССЧР (ДатаСост 31.12.2025; набор 7707329152-sshr2019)</t>
        </is>
      </c>
      <c r="R8777" s="16">
        <f>HYPERLINK("https://checko.ru/search?query=3801001629","Чекко: проверить")</f>
        <v/>
      </c>
      <c r="S8777" t="n">
        <v>1</v>
      </c>
      <c r="T8777" s="35" t="inlineStr">
        <is>
          <t>4 — Не обогащён</t>
        </is>
      </c>
      <c r="U8777" s="35" t="inlineStr">
        <is>
          <t>Нет ОКВЭД/ССЧР</t>
        </is>
      </c>
      <c r="V8777" s="35" t="inlineStr">
        <is>
          <t>Не определено</t>
        </is>
      </c>
      <c r="W8777" s="35" t="inlineStr">
        <is>
          <t>Нет</t>
        </is>
      </c>
      <c r="X8777" s="35" t="inlineStr"/>
    </row>
    <row r="8778" ht="27.75" customHeight="1" s="24">
      <c r="A8778" s="13" t="inlineStr">
        <is>
          <t>FR323866</t>
        </is>
      </c>
      <c r="B8778" s="13" t="inlineStr">
        <is>
          <t>ОБЩЕСТВО С ОГРАНИЧЕННОЙ ОТВЕТСТВЕННОСТЬЮ "СЕВЕР СТРОЙ"</t>
        </is>
      </c>
      <c r="C8778" s="13" t="n">
        <v>3808219134</v>
      </c>
      <c r="D8778" s="13" t="inlineStr">
        <is>
          <t>3808219134</t>
        </is>
      </c>
      <c r="E8778" s="13" t="inlineStr">
        <is>
          <t>ЮЛ РФ</t>
        </is>
      </c>
      <c r="F8778" s="13" t="n"/>
      <c r="G8778" s="52" t="n">
        <v>31</v>
      </c>
      <c r="H8778" s="52" t="n">
        <v>2025</v>
      </c>
      <c r="I8778" s="52" t="inlineStr">
        <is>
          <t>07.29.41</t>
        </is>
      </c>
      <c r="J8778" s="52" t="inlineStr">
        <is>
          <t>07.29.41; 16.10.9; 43.11; 43.12; 43.99; 45.11; 45.19; 45.20; 45.31; 46.32; 46.33; 46.34; 46.35; 46.36; 46.37; 46.38; 46.39; 46.41; 46.42; 46.43; 46.44; 46.45; 46.46; 46.47; 46.48; 46.49; 46.61; 46.62; 46.63; 46.64; 46.65; 46.66; 46.69; 46.71; 46.72; 46.72.23; 46.73; 46.74; 46.75; 46.76; 46.77; 46.90; 47.25.1; 47.26; 47.52.7; 49.31; 49.32; 49.39; 71.12.3</t>
        </is>
      </c>
      <c r="K8778" s="53" t="inlineStr">
        <is>
          <t>Да</t>
        </is>
      </c>
      <c r="L8778" s="53" t="inlineStr">
        <is>
          <t>Да</t>
        </is>
      </c>
      <c r="M8778" s="53" t="inlineStr">
        <is>
          <t>До 50</t>
        </is>
      </c>
      <c r="N8778" s="54" t="n">
        <v>16800</v>
      </c>
      <c r="O8778" s="55" t="inlineStr">
        <is>
          <t>31–50</t>
        </is>
      </c>
      <c r="P8778" s="16" t="inlineStr">
        <is>
          <t>ССЧР + ОКВЭД обогащены</t>
        </is>
      </c>
      <c r="Q8778" s="16" t="inlineStr">
        <is>
          <t>ФНС открытые данные ССЧР (ДатаСост 31.12.2025; набор 7707329152-sshr2019)</t>
        </is>
      </c>
      <c r="R8778" s="16" t="inlineStr">
        <is>
          <t>ЕГРЮЛ / egrul.nalog.ru (выписка)</t>
        </is>
      </c>
      <c r="S8778" t="n">
        <v>0</v>
      </c>
      <c r="T8778" s="35" t="inlineStr">
        <is>
          <t>1 — Горячий</t>
        </is>
      </c>
      <c r="U8778" s="35" t="inlineStr">
        <is>
          <t>ОКВЭД + 22+</t>
        </is>
      </c>
      <c r="V8778" s="35" t="inlineStr">
        <is>
          <t>Да</t>
        </is>
      </c>
      <c r="W8778" s="35" t="inlineStr">
        <is>
          <t>Да</t>
        </is>
      </c>
      <c r="X8778" s="35" t="inlineStr">
        <is>
          <t>Да</t>
        </is>
      </c>
    </row>
    <row r="8779" ht="15" customHeight="1" s="24">
      <c r="A8779" s="13" t="n">
        <v>20012513591</v>
      </c>
      <c r="B8779" s="13" t="inlineStr">
        <is>
          <t>ООО "ГЕОСПЕЦПРОЕКТ"</t>
        </is>
      </c>
      <c r="C8779" s="13" t="n">
        <v>3811171940</v>
      </c>
      <c r="D8779" s="13" t="inlineStr">
        <is>
          <t>3811171940</t>
        </is>
      </c>
      <c r="E8779" s="13" t="inlineStr">
        <is>
          <t>ЮЛ РФ</t>
        </is>
      </c>
      <c r="F8779" s="13" t="n"/>
      <c r="G8779" s="52" t="n">
        <v>2</v>
      </c>
      <c r="H8779" s="52" t="n">
        <v>2025</v>
      </c>
      <c r="I8779" s="14" t="n"/>
      <c r="J8779" s="14" t="n"/>
      <c r="K8779" s="53" t="inlineStr">
        <is>
          <t>Нет</t>
        </is>
      </c>
      <c r="L8779" s="53" t="inlineStr">
        <is>
          <t>Не определено</t>
        </is>
      </c>
      <c r="M8779" s="53" t="inlineStr">
        <is>
          <t>До 10</t>
        </is>
      </c>
      <c r="N8779" s="54" t="n">
        <v>3360</v>
      </c>
      <c r="O8779" s="55" t="inlineStr">
        <is>
          <t>1–15</t>
        </is>
      </c>
      <c r="P8779" s="16" t="inlineStr">
        <is>
          <t>ССЧР обогащена; ОКВЭД не найден/не загружен</t>
        </is>
      </c>
      <c r="Q8779" s="16" t="inlineStr">
        <is>
          <t>ФНС открытые данные ССЧР (ДатаСост 31.12.2025; набор 7707329152-sshr2019)</t>
        </is>
      </c>
      <c r="R8779" s="16">
        <f>HYPERLINK("https://checko.ru/search?query=3801001629","Чекко: проверить")</f>
        <v/>
      </c>
      <c r="S8779" t="n">
        <v>1</v>
      </c>
      <c r="T8779" s="35" t="inlineStr">
        <is>
          <t>4 — Не обогащён</t>
        </is>
      </c>
      <c r="U8779" s="35" t="inlineStr">
        <is>
          <t>Нет ОКВЭД/ССЧР</t>
        </is>
      </c>
      <c r="V8779" s="35" t="inlineStr">
        <is>
          <t>Не определено</t>
        </is>
      </c>
      <c r="W8779" s="35" t="inlineStr">
        <is>
          <t>Нет</t>
        </is>
      </c>
      <c r="X8779" s="35" t="inlineStr"/>
    </row>
    <row r="8780" ht="15" customHeight="1" s="24">
      <c r="A8780" s="13" t="n">
        <v>11815005</v>
      </c>
      <c r="B8780" s="13" t="inlineStr">
        <is>
          <t>ООО "КиренскТеплоРесурс"</t>
        </is>
      </c>
      <c r="C8780" s="13" t="n">
        <v>3818029213</v>
      </c>
      <c r="D8780" s="13" t="inlineStr">
        <is>
          <t>3818029213</t>
        </is>
      </c>
      <c r="E8780" s="13" t="inlineStr">
        <is>
          <t>ЮЛ РФ</t>
        </is>
      </c>
      <c r="F8780" s="13" t="n"/>
      <c r="G8780" s="52" t="n">
        <v>116</v>
      </c>
      <c r="H8780" s="52" t="n">
        <v>2025</v>
      </c>
      <c r="I8780" s="52" t="inlineStr">
        <is>
          <t>02.20</t>
        </is>
      </c>
      <c r="J8780" s="52" t="inlineStr">
        <is>
          <t>02.20; 42.21; 42.99; 43.99.7; 49.41; 49.42; 68.20</t>
        </is>
      </c>
      <c r="K8780" s="53" t="inlineStr">
        <is>
          <t>Да</t>
        </is>
      </c>
      <c r="L8780" s="53" t="inlineStr">
        <is>
          <t>Да</t>
        </is>
      </c>
      <c r="M8780" s="53" t="inlineStr">
        <is>
          <t>До 200</t>
        </is>
      </c>
      <c r="N8780" s="54" t="n">
        <v>62400</v>
      </c>
      <c r="O8780" s="55" t="inlineStr">
        <is>
          <t>101–200</t>
        </is>
      </c>
      <c r="P8780" s="16" t="inlineStr">
        <is>
          <t>ССЧР + ОКВЭД обогащены</t>
        </is>
      </c>
      <c r="Q8780" s="16" t="inlineStr">
        <is>
          <t>ФНС открытые данные ССЧР (ДатаСост 31.12.2025; набор 7707329152-sshr2019)</t>
        </is>
      </c>
      <c r="R8780" s="16" t="inlineStr">
        <is>
          <t>ЕГРЮЛ / egrul.nalog.ru (выписка)</t>
        </is>
      </c>
      <c r="S8780" t="n">
        <v>0</v>
      </c>
      <c r="T8780" s="35" t="inlineStr">
        <is>
          <t>1 — Горячий</t>
        </is>
      </c>
      <c r="U8780" s="35" t="inlineStr">
        <is>
          <t>ОКВЭД + 22+</t>
        </is>
      </c>
      <c r="V8780" s="35" t="inlineStr">
        <is>
          <t>Да</t>
        </is>
      </c>
      <c r="W8780" s="35" t="inlineStr">
        <is>
          <t>Да</t>
        </is>
      </c>
      <c r="X8780" s="35" t="inlineStr">
        <is>
          <t>Да</t>
        </is>
      </c>
    </row>
    <row r="8781" ht="15" customHeight="1" s="24">
      <c r="A8781" s="13" t="n">
        <v>802479266</v>
      </c>
      <c r="B8781" s="13" t="inlineStr">
        <is>
          <t>ИП ГУЛИНА ЕЛЕНА ГЕННАДЬЕВНА</t>
        </is>
      </c>
      <c r="C8781" s="13" t="n">
        <v>381206707556</v>
      </c>
      <c r="D8781" s="13" t="inlineStr">
        <is>
          <t>381206707556</t>
        </is>
      </c>
      <c r="E8781" s="13" t="inlineStr">
        <is>
          <t>ИП РФ / физлицо</t>
        </is>
      </c>
      <c r="F8781" s="13" t="n"/>
      <c r="G8781" s="14" t="n"/>
      <c r="H8781" s="14" t="n"/>
      <c r="I8781" s="14" t="n"/>
      <c r="J8781" s="14" t="n"/>
      <c r="K8781" s="53" t="inlineStr"/>
      <c r="L8781" s="53" t="inlineStr">
        <is>
          <t>Не определено</t>
        </is>
      </c>
      <c r="M8781" s="53" t="inlineStr"/>
      <c r="N8781" s="54" t="inlineStr"/>
      <c r="O8781" s="55" t="inlineStr"/>
      <c r="P8781" s="16" t="inlineStr">
        <is>
          <t>Требует обогащения</t>
        </is>
      </c>
      <c r="Q8781" s="16">
        <f>HYPERLINK("https://pb.nalog.ru/search.html?query=381206707556","ФНС: проверить")</f>
        <v/>
      </c>
      <c r="R8781" s="16">
        <f>HYPERLINK("https://checko.ru/search?query=3801001629","Чекко: проверить")</f>
        <v/>
      </c>
      <c r="S8781" t="n">
        <v>0</v>
      </c>
      <c r="T8781" s="35" t="inlineStr">
        <is>
          <t>4 — Не обогащён</t>
        </is>
      </c>
      <c r="U8781" s="35" t="inlineStr">
        <is>
          <t>Нет ОКВЭД/ССЧР</t>
        </is>
      </c>
      <c r="V8781" s="35" t="inlineStr">
        <is>
          <t>Не определено</t>
        </is>
      </c>
      <c r="W8781" s="35" t="inlineStr"/>
      <c r="X8781" s="35" t="inlineStr"/>
    </row>
    <row r="8782" ht="15" customHeight="1" s="24">
      <c r="A8782" s="13" t="n">
        <v>800447696</v>
      </c>
      <c r="B8782" s="13" t="inlineStr">
        <is>
          <t>СибирьТрансСтрой</t>
        </is>
      </c>
      <c r="C8782" s="13" t="n">
        <v>3811148211</v>
      </c>
      <c r="D8782" s="13" t="inlineStr">
        <is>
          <t>3811148211</t>
        </is>
      </c>
      <c r="E8782" s="13" t="inlineStr">
        <is>
          <t>ЮЛ РФ</t>
        </is>
      </c>
      <c r="F8782" s="13" t="n"/>
      <c r="G8782" s="52" t="n">
        <v>16</v>
      </c>
      <c r="H8782" s="52" t="n">
        <v>2025</v>
      </c>
      <c r="I8782" s="14" t="n"/>
      <c r="J8782" s="14" t="n"/>
      <c r="K8782" s="53" t="inlineStr">
        <is>
          <t>Нет</t>
        </is>
      </c>
      <c r="L8782" s="53" t="inlineStr">
        <is>
          <t>Не определено</t>
        </is>
      </c>
      <c r="M8782" s="53" t="inlineStr">
        <is>
          <t>До 25</t>
        </is>
      </c>
      <c r="N8782" s="54" t="n">
        <v>8400</v>
      </c>
      <c r="O8782" s="55" t="inlineStr">
        <is>
          <t>16–30</t>
        </is>
      </c>
      <c r="P8782" s="16" t="inlineStr">
        <is>
          <t>ССЧР обогащена; ОКВЭД не найден/не загружен</t>
        </is>
      </c>
      <c r="Q8782" s="16" t="inlineStr">
        <is>
          <t>ФНС открытые данные ССЧР (ДатаСост 31.12.2025; набор 7707329152-sshr2019)</t>
        </is>
      </c>
      <c r="R8782" s="16">
        <f>HYPERLINK("https://checko.ru/search?query=3801001629","Чекко: проверить")</f>
        <v/>
      </c>
      <c r="S8782" t="n">
        <v>0</v>
      </c>
      <c r="T8782" s="35" t="inlineStr">
        <is>
          <t>4 — Не обогащён</t>
        </is>
      </c>
      <c r="U8782" s="35" t="inlineStr">
        <is>
          <t>Нет ОКВЭД/ССЧР</t>
        </is>
      </c>
      <c r="V8782" s="35" t="inlineStr">
        <is>
          <t>Не определено</t>
        </is>
      </c>
      <c r="W8782" s="35" t="inlineStr">
        <is>
          <t>Нет</t>
        </is>
      </c>
      <c r="X8782" s="35" t="inlineStr"/>
    </row>
    <row r="8783" ht="27.75" customHeight="1" s="24">
      <c r="A8783" s="13" t="inlineStr">
        <is>
          <t>FR530485</t>
        </is>
      </c>
      <c r="B8783" s="13" t="inlineStr">
        <is>
          <t>Общество с ограниченной ответственностью "ФИНАНС"</t>
        </is>
      </c>
      <c r="C8783" s="13" t="n">
        <v>3808289981</v>
      </c>
      <c r="D8783" s="13" t="inlineStr">
        <is>
          <t>3808289981</t>
        </is>
      </c>
      <c r="E8783" s="13" t="inlineStr">
        <is>
          <t>ЮЛ РФ</t>
        </is>
      </c>
      <c r="F8783" s="13" t="n"/>
      <c r="G8783" s="52" t="n">
        <v>0</v>
      </c>
      <c r="H8783" s="52" t="n">
        <v>2025</v>
      </c>
      <c r="I8783" s="14" t="n"/>
      <c r="J8783" s="14" t="n"/>
      <c r="K8783" s="53" t="inlineStr">
        <is>
          <t>Нет</t>
        </is>
      </c>
      <c r="L8783" s="53" t="inlineStr">
        <is>
          <t>Не определено</t>
        </is>
      </c>
      <c r="M8783" s="53" t="inlineStr">
        <is>
          <t>До 10</t>
        </is>
      </c>
      <c r="N8783" s="54" t="n">
        <v>3360</v>
      </c>
      <c r="O8783" s="55" t="inlineStr">
        <is>
          <t>1–15</t>
        </is>
      </c>
      <c r="P8783" s="16" t="inlineStr">
        <is>
          <t>ССЧР обогащена; ОКВЭД не найден/не загружен</t>
        </is>
      </c>
      <c r="Q8783" s="16" t="inlineStr">
        <is>
          <t>ФНС открытые данные ССЧР (ДатаСост 31.12.2025; набор 7707329152-sshr2019)</t>
        </is>
      </c>
      <c r="R8783" s="16">
        <f>HYPERLINK("https://checko.ru/search?query=3801001629","Чекко: проверить")</f>
        <v/>
      </c>
      <c r="S8783" t="n">
        <v>1</v>
      </c>
      <c r="T8783" s="35" t="inlineStr">
        <is>
          <t>4 — Не обогащён</t>
        </is>
      </c>
      <c r="U8783" s="35" t="inlineStr">
        <is>
          <t>Нет ОКВЭД/ССЧР</t>
        </is>
      </c>
      <c r="V8783" s="35" t="inlineStr">
        <is>
          <t>Не определено</t>
        </is>
      </c>
      <c r="W8783" s="35" t="inlineStr">
        <is>
          <t>Нет</t>
        </is>
      </c>
      <c r="X8783" s="35" t="inlineStr"/>
    </row>
    <row r="8784" ht="15" customHeight="1" s="24">
      <c r="A8784" s="13" t="inlineStr">
        <is>
          <t>FR310953</t>
        </is>
      </c>
      <c r="B8784" s="13" t="inlineStr">
        <is>
          <t>ИП Христофорова Юлия Владимировна</t>
        </is>
      </c>
      <c r="C8784" s="13" t="n">
        <v>381004536403</v>
      </c>
      <c r="D8784" s="13" t="inlineStr">
        <is>
          <t>381004536403</t>
        </is>
      </c>
      <c r="E8784" s="13" t="inlineStr">
        <is>
          <t>ИП РФ / физлицо</t>
        </is>
      </c>
      <c r="F8784" s="13" t="n"/>
      <c r="G8784" s="14" t="n"/>
      <c r="H8784" s="14" t="n"/>
      <c r="I8784" s="14" t="n"/>
      <c r="J8784" s="14" t="n"/>
      <c r="K8784" s="53" t="inlineStr"/>
      <c r="L8784" s="53" t="inlineStr">
        <is>
          <t>Не определено</t>
        </is>
      </c>
      <c r="M8784" s="53" t="inlineStr"/>
      <c r="N8784" s="54" t="inlineStr"/>
      <c r="O8784" s="55" t="inlineStr"/>
      <c r="P8784" s="16" t="inlineStr">
        <is>
          <t>Требует обогащения</t>
        </is>
      </c>
      <c r="Q8784" s="16">
        <f>HYPERLINK("https://pb.nalog.ru/search.html?query=381004536403","ФНС: проверить")</f>
        <v/>
      </c>
      <c r="R8784" s="16">
        <f>HYPERLINK("https://checko.ru/search?query=3801001629","Чекко: проверить")</f>
        <v/>
      </c>
      <c r="S8784" t="n">
        <v>1</v>
      </c>
      <c r="T8784" s="35" t="inlineStr">
        <is>
          <t>4 — Не обогащён</t>
        </is>
      </c>
      <c r="U8784" s="35" t="inlineStr">
        <is>
          <t>Нет ОКВЭД/ССЧР</t>
        </is>
      </c>
      <c r="V8784" s="35" t="inlineStr">
        <is>
          <t>Не определено</t>
        </is>
      </c>
      <c r="W8784" s="35" t="inlineStr"/>
      <c r="X8784" s="35" t="inlineStr"/>
    </row>
    <row r="8785" ht="15" customHeight="1" s="24">
      <c r="A8785" s="13" t="n">
        <v>800687555</v>
      </c>
      <c r="B8785" s="13" t="inlineStr">
        <is>
          <t>ООО "ДК КЛЕВЕР"</t>
        </is>
      </c>
      <c r="C8785" s="13" t="n">
        <v>3801136707</v>
      </c>
      <c r="D8785" s="13" t="inlineStr">
        <is>
          <t>3801136707</t>
        </is>
      </c>
      <c r="E8785" s="13" t="inlineStr">
        <is>
          <t>ЮЛ РФ</t>
        </is>
      </c>
      <c r="F8785" s="13" t="n"/>
      <c r="G8785" s="52" t="n">
        <v>40</v>
      </c>
      <c r="H8785" s="52" t="n">
        <v>2025</v>
      </c>
      <c r="I8785" s="52" t="inlineStr">
        <is>
          <t>42.11</t>
        </is>
      </c>
      <c r="J8785" s="52" t="inlineStr">
        <is>
          <t>42.11; 23.32; 23.61; 23.61.1; 23.61.2; 23.99.2; 24.20; 28.92.4; 41.20; 42.12; 42.13; 42.21; 42.22.1; 42.99; 43.11; 43.12.3; 43.21; 43.29; 43.31; 43.32; 43.33; 43.34; 43.39; 43.91; 43.99; 69.10; 71.20; 71.20.2; 71.20.3; 82.99</t>
        </is>
      </c>
      <c r="K8785" s="53" t="inlineStr">
        <is>
          <t>Да</t>
        </is>
      </c>
      <c r="L8785" s="53" t="inlineStr">
        <is>
          <t>Да</t>
        </is>
      </c>
      <c r="M8785" s="53" t="inlineStr">
        <is>
          <t>До 50</t>
        </is>
      </c>
      <c r="N8785" s="54" t="n">
        <v>16800</v>
      </c>
      <c r="O8785" s="55" t="inlineStr">
        <is>
          <t>31–50</t>
        </is>
      </c>
      <c r="P8785" s="16" t="inlineStr">
        <is>
          <t>ССЧР + ОКВЭД обогащены</t>
        </is>
      </c>
      <c r="Q8785" s="16" t="inlineStr">
        <is>
          <t>ФНС открытые данные ССЧР (ДатаСост 31.12.2025; набор 7707329152-sshr2019)</t>
        </is>
      </c>
      <c r="R8785" s="16" t="inlineStr">
        <is>
          <t>ЕГРЮЛ / egrul.nalog.ru (выписка)</t>
        </is>
      </c>
      <c r="S8785" t="n">
        <v>0</v>
      </c>
      <c r="T8785" s="35" t="inlineStr">
        <is>
          <t>1 — Горячий</t>
        </is>
      </c>
      <c r="U8785" s="35" t="inlineStr">
        <is>
          <t>ОКВЭД + 22+</t>
        </is>
      </c>
      <c r="V8785" s="35" t="inlineStr">
        <is>
          <t>Да</t>
        </is>
      </c>
      <c r="W8785" s="35" t="inlineStr">
        <is>
          <t>Да</t>
        </is>
      </c>
      <c r="X8785" s="35" t="inlineStr">
        <is>
          <t>Да</t>
        </is>
      </c>
    </row>
    <row r="8786" ht="15" customHeight="1" s="24">
      <c r="A8786" s="13" t="n">
        <v>20022374682</v>
      </c>
      <c r="B8786" s="13" t="inlineStr">
        <is>
          <t>ИП Коба Дмитрий Павлович</t>
        </is>
      </c>
      <c r="C8786" s="13" t="n">
        <v>382003405907</v>
      </c>
      <c r="D8786" s="13" t="inlineStr">
        <is>
          <t>382003405907</t>
        </is>
      </c>
      <c r="E8786" s="13" t="inlineStr">
        <is>
          <t>ИП РФ / физлицо</t>
        </is>
      </c>
      <c r="F8786" s="13" t="n"/>
      <c r="G8786" s="14" t="n"/>
      <c r="H8786" s="14" t="n"/>
      <c r="I8786" s="14" t="n"/>
      <c r="J8786" s="14" t="n"/>
      <c r="K8786" s="53" t="inlineStr"/>
      <c r="L8786" s="53" t="inlineStr">
        <is>
          <t>Не определено</t>
        </is>
      </c>
      <c r="M8786" s="53" t="inlineStr"/>
      <c r="N8786" s="54" t="inlineStr"/>
      <c r="O8786" s="55" t="inlineStr"/>
      <c r="P8786" s="16" t="inlineStr">
        <is>
          <t>Требует обогащения</t>
        </is>
      </c>
      <c r="Q8786" s="16">
        <f>HYPERLINK("https://pb.nalog.ru/search.html?query=382003405907","ФНС: проверить")</f>
        <v/>
      </c>
      <c r="R8786" s="16">
        <f>HYPERLINK("https://checko.ru/search?query=3801001629","Чекко: проверить")</f>
        <v/>
      </c>
      <c r="S8786" t="n">
        <v>1</v>
      </c>
      <c r="T8786" s="35" t="inlineStr">
        <is>
          <t>4 — Не обогащён</t>
        </is>
      </c>
      <c r="U8786" s="35" t="inlineStr">
        <is>
          <t>Нет ОКВЭД/ССЧР</t>
        </is>
      </c>
      <c r="V8786" s="35" t="inlineStr">
        <is>
          <t>Не определено</t>
        </is>
      </c>
      <c r="W8786" s="35" t="inlineStr"/>
      <c r="X8786" s="35" t="inlineStr"/>
    </row>
    <row r="8787" ht="27.75" customHeight="1" s="24">
      <c r="A8787" s="13" t="inlineStr">
        <is>
          <t>FR656781</t>
        </is>
      </c>
      <c r="B8787" s="13" t="inlineStr">
        <is>
          <t>Общество с ограниченной ответственностью "НЕФТЕСТРОЙ"</t>
        </is>
      </c>
      <c r="C8787" s="13" t="n">
        <v>276153614</v>
      </c>
      <c r="D8787" s="13" t="n"/>
      <c r="E8787" s="13" t="inlineStr">
        <is>
          <t>Не определён</t>
        </is>
      </c>
      <c r="F8787" s="13" t="inlineStr">
        <is>
          <t>276153614</t>
        </is>
      </c>
      <c r="G8787" s="14" t="n"/>
      <c r="H8787" s="14" t="n"/>
      <c r="I8787" s="14" t="n"/>
      <c r="J8787" s="14" t="n"/>
      <c r="K8787" s="13">
        <f>IF(G8787="","",IF(G8787&gt;=22,"Да","Нет"))</f>
        <v/>
      </c>
      <c r="L8787" s="13">
        <f>IF(OR(I8787="",J8787=""),"Не определено",IF(OR(COUNTIF(I8787,"45*")&gt;0,COUNTIF(J8787,"*45*")&gt;0,COUNTIF(I8787,"46*")&gt;0,COUNTIF(J8787,"*46*")&gt;0,COUNTIF(I8787,"47*")&gt;0,COUNTIF(J8787,"*47*")&gt;0,COUNTIF(I8787,"10*")&gt;0,COUNTIF(J8787,"*10*")&gt;0,COUNTIF(I8787,"11*")&gt;0,COUNTIF(J8787,"*11*")&gt;0,COUNTIF(I8787,"12*")&gt;0,COUNTIF(J8787,"*12*")&gt;0,COUNTIF(I8787,"13*")&gt;0,COUNTIF(J8787,"*13*")&gt;0,COUNTIF(I8787,"14*")&gt;0,COUNTIF(J8787,"*14*")&gt;0,COUNTIF(I8787,"15*")&gt;0,COUNTIF(J8787,"*15*")&gt;0,COUNTIF(I8787,"16*")&gt;0,COUNTIF(J8787,"*16*")&gt;0,COUNTIF(I8787,"17*")&gt;0,COUNTIF(J8787,"*17*")&gt;0,COUNTIF(I8787,"18*")&gt;0,COUNTIF(J8787,"*18*")&gt;0,COUNTIF(I8787,"19*")&gt;0,COUNTIF(J8787,"*19*")&gt;0,COUNTIF(I8787,"20*")&gt;0,COUNTIF(J8787,"*20*")&gt;0,COUNTIF(I8787,"21*")&gt;0,COUNTIF(J8787,"*21*")&gt;0,COUNTIF(I8787,"22*")&gt;0,COUNTIF(J8787,"*22*")&gt;0,COUNTIF(I8787,"23*")&gt;0,COUNTIF(J8787,"*23*")&gt;0,COUNTIF(I8787,"24*")&gt;0,COUNTIF(J8787,"*24*")&gt;0,COUNTIF(I8787,"25*")&gt;0,COUNTIF(J8787,"*25*")&gt;0,COUNTIF(I8787,"26*")&gt;0,COUNTIF(J8787,"*26*")&gt;0,COUNTIF(I8787,"27*")&gt;0,COUNTIF(J8787,"*27*")&gt;0,COUNTIF(I8787,"28*")&gt;0,COUNTIF(J8787,"*28*")&gt;0,COUNTIF(I8787,"29*")&gt;0,COUNTIF(J8787,"*29*")&gt;0,COUNTIF(I8787,"30*")&gt;0,COUNTIF(J8787,"*30*")&gt;0,COUNTIF(I8787,"31*")&gt;0,COUNTIF(J8787,"*31*")&gt;0,COUNTIF(I8787,"32*")&gt;0,COUNTIF(J8787,"*32*")&gt;0,COUNTIF(I8787,"33*")&gt;0,COUNTIF(J8787,"*33*")&gt;0,COUNTIF(I8787,"41*")&gt;0,COUNTIF(J8787,"*41*")&gt;0,COUNTIF(I8787,"42*")&gt;0,COUNTIF(J8787,"*42*")&gt;0,COUNTIF(I8787,"43*")&gt;0,COUNTIF(J8787,"*43*")&gt;0,COUNTIF(I8787,"49*")&gt;0,COUNTIF(J8787,"*49*")&gt;0,COUNTIF(I8787,"52*")&gt;0,COUNTIF(J8787,"*52*")&gt;0,COUNTIF(I8787,"55*")&gt;0,COUNTIF(J8787,"*55*")&gt;0,COUNTIF(I8787,"56*")&gt;0,COUNTIF(J8787,"*56*")&gt;0,COUNTIF(I8787,"68*")&gt;0,COUNTIF(J8787,"*68*")&gt;0,COUNTIF(I8787,"78*")&gt;0,COUNTIF(J8787,"*78*")&gt;0,COUNTIF(I8787,"81*")&gt;0,COUNTIF(J8787,"*81*")&gt;0,COUNTIF(I8787,"82*")&gt;0,COUNTIF(J8787,"*82*")&gt;0,COUNTIF(I8787,"64*")&gt;0,COUNTIF(J8787,"*64*")&gt;0,COUNTIF(I8787,"65*")&gt;0,COUNTIF(J8787,"*65*")&gt;0,COUNTIF(I8787,"66*")&gt;0,COUNTIF(J8787,"*66*")&gt;0,COUNTIF(I8787,"61*")&gt;0,COUNTIF(J8787,"*61*")&gt;0,COUNTIF(I8787,"62*")&gt;0,COUNTIF(J8787,"*62*")&gt;0,COUNTIF(I8787,"63*")&gt;0,COUNTIF(J8787,"*63*")&gt;0,COUNTIF(I8787,"85*")&gt;0,COUNTIF(J8787,"*85*")&gt;0,COUNTIF(I8787,"86*")&gt;0,COUNTIF(J8787,"*86*")&gt;0),"Да","Нет"))</f>
        <v/>
      </c>
      <c r="M8787" s="13">
        <f>IF(OR(G8787="",L8787&lt;&gt;"Да"),"",IF(G8787&lt;=100,"До 100",IF(G8787&lt;=200,"До 200",IF(G8787&lt;=500,"До 500","Отдельное КП"))))</f>
        <v/>
      </c>
      <c r="N8787" s="15">
        <f>IF(OR(G8787="",L8787&lt;&gt;"Да"),"",IF(G8787&lt;=100,33600,IF(G8787&lt;=200,62400,IF(G8787&lt;=500,144000,""))))</f>
        <v/>
      </c>
      <c r="O8787" s="16">
        <f>IF(G8787="","",IF(G8787&lt;=15,"1–15",IF(G8787&lt;=30,"16–30",IF(G8787&lt;=50,"31–50",IF(G8787&lt;=100,"51–100",IF(G8787&lt;=150,"101–150",IF(G8787&lt;=200,"151–200",IF(G8787&lt;=500,"201–500","500+"))))))))</f>
        <v/>
      </c>
      <c r="P8787" s="16" t="inlineStr">
        <is>
          <t>Нет совпадения в предоставленной выгрузке ССЧР</t>
        </is>
      </c>
      <c r="Q8787" s="16" t="n"/>
      <c r="R8787" s="16">
        <f>HYPERLINK("https://checko.ru/search?query=3801001629","Чекко: проверить")</f>
        <v/>
      </c>
      <c r="S8787" t="n">
        <v>0</v>
      </c>
    </row>
    <row r="8788" ht="15" customHeight="1" s="24">
      <c r="A8788" s="13" t="inlineStr">
        <is>
          <t>FR1254742</t>
        </is>
      </c>
      <c r="B8788" s="13" t="inlineStr">
        <is>
          <t>ИП Хингеев Сергей Константинович</t>
        </is>
      </c>
      <c r="C8788" s="13" t="n">
        <v>380411857707</v>
      </c>
      <c r="D8788" s="13" t="inlineStr">
        <is>
          <t>380411857707</t>
        </is>
      </c>
      <c r="E8788" s="13" t="inlineStr">
        <is>
          <t>ИП РФ / физлицо</t>
        </is>
      </c>
      <c r="F8788" s="13" t="n"/>
      <c r="G8788" s="14" t="n"/>
      <c r="H8788" s="14" t="n"/>
      <c r="I8788" s="14" t="n"/>
      <c r="J8788" s="14" t="n"/>
      <c r="K8788" s="53" t="inlineStr"/>
      <c r="L8788" s="53" t="inlineStr">
        <is>
          <t>Не определено</t>
        </is>
      </c>
      <c r="M8788" s="53" t="inlineStr"/>
      <c r="N8788" s="54" t="inlineStr"/>
      <c r="O8788" s="55" t="inlineStr"/>
      <c r="P8788" s="16" t="inlineStr">
        <is>
          <t>Требует обогащения</t>
        </is>
      </c>
      <c r="Q8788" s="16">
        <f>HYPERLINK("https://pb.nalog.ru/search.html?query=380411857707","ФНС: проверить")</f>
        <v/>
      </c>
      <c r="R8788" s="16">
        <f>HYPERLINK("https://checko.ru/search?query=3801001629","Чекко: проверить")</f>
        <v/>
      </c>
      <c r="S8788" t="n">
        <v>1</v>
      </c>
      <c r="T8788" s="35" t="inlineStr">
        <is>
          <t>4 — Не обогащён</t>
        </is>
      </c>
      <c r="U8788" s="35" t="inlineStr">
        <is>
          <t>Нет ОКВЭД/ССЧР</t>
        </is>
      </c>
      <c r="V8788" s="35" t="inlineStr">
        <is>
          <t>Не определено</t>
        </is>
      </c>
      <c r="W8788" s="35" t="inlineStr"/>
      <c r="X8788" s="35" t="inlineStr"/>
    </row>
    <row r="8789" ht="15" customHeight="1" s="24">
      <c r="A8789" s="13" t="n">
        <v>800666354</v>
      </c>
      <c r="B8789" s="13" t="inlineStr">
        <is>
          <t>ИП Каморников Сергей Викторович</t>
        </is>
      </c>
      <c r="C8789" s="13" t="n">
        <v>381100916398</v>
      </c>
      <c r="D8789" s="13" t="inlineStr">
        <is>
          <t>381100916398</t>
        </is>
      </c>
      <c r="E8789" s="13" t="inlineStr">
        <is>
          <t>ИП РФ / физлицо</t>
        </is>
      </c>
      <c r="F8789" s="13" t="n"/>
      <c r="G8789" s="14" t="n"/>
      <c r="H8789" s="14" t="n"/>
      <c r="I8789" s="14" t="n"/>
      <c r="J8789" s="14" t="n"/>
      <c r="K8789" s="53" t="inlineStr"/>
      <c r="L8789" s="53" t="inlineStr">
        <is>
          <t>Не определено</t>
        </is>
      </c>
      <c r="M8789" s="53" t="inlineStr"/>
      <c r="N8789" s="54" t="inlineStr"/>
      <c r="O8789" s="55" t="inlineStr"/>
      <c r="P8789" s="16" t="inlineStr">
        <is>
          <t>Требует обогащения</t>
        </is>
      </c>
      <c r="Q8789" s="16">
        <f>HYPERLINK("https://pb.nalog.ru/search.html?query=381100916398","ФНС: проверить")</f>
        <v/>
      </c>
      <c r="R8789" s="16">
        <f>HYPERLINK("https://checko.ru/search?query=3801001629","Чекко: проверить")</f>
        <v/>
      </c>
      <c r="S8789" t="n">
        <v>0</v>
      </c>
      <c r="T8789" s="35" t="inlineStr">
        <is>
          <t>4 — Не обогащён</t>
        </is>
      </c>
      <c r="U8789" s="35" t="inlineStr">
        <is>
          <t>Нет ОКВЭД/ССЧР</t>
        </is>
      </c>
      <c r="V8789" s="35" t="inlineStr">
        <is>
          <t>Не определено</t>
        </is>
      </c>
      <c r="W8789" s="35" t="inlineStr"/>
      <c r="X8789" s="35" t="inlineStr"/>
    </row>
    <row r="8790" ht="15" customHeight="1" s="24">
      <c r="A8790" s="13" t="n">
        <v>802465160</v>
      </c>
      <c r="B8790" s="13" t="inlineStr">
        <is>
          <t>Акционерное общество "Иркутск-Автоваз"</t>
        </is>
      </c>
      <c r="C8790" s="13" t="n">
        <v>3812009161</v>
      </c>
      <c r="D8790" s="13" t="inlineStr">
        <is>
          <t>3812009161</t>
        </is>
      </c>
      <c r="E8790" s="13" t="inlineStr">
        <is>
          <t>ЮЛ РФ</t>
        </is>
      </c>
      <c r="F8790" s="13" t="n"/>
      <c r="G8790" s="52" t="n">
        <v>75</v>
      </c>
      <c r="H8790" s="52" t="n">
        <v>2025</v>
      </c>
      <c r="I8790" s="52" t="inlineStr">
        <is>
          <t>45.11.2</t>
        </is>
      </c>
      <c r="J8790" s="52" t="inlineStr">
        <is>
          <t>45.11.2; 45.11; 45.11.1; 45.11.3; 45.11.4; 45.11.31; 45.11.49; 45.19; 45.19.2; 45.19.3; 45.19.4; 45.20; 45.20.1; 45.20.3; 45.20.4; 45.31; 45.32.1</t>
        </is>
      </c>
      <c r="K8790" s="53" t="inlineStr">
        <is>
          <t>Да</t>
        </is>
      </c>
      <c r="L8790" s="53" t="inlineStr">
        <is>
          <t>Да</t>
        </is>
      </c>
      <c r="M8790" s="53" t="inlineStr">
        <is>
          <t>До 100</t>
        </is>
      </c>
      <c r="N8790" s="54" t="n">
        <v>33600</v>
      </c>
      <c r="O8790" s="55" t="inlineStr">
        <is>
          <t>51–100</t>
        </is>
      </c>
      <c r="P8790" s="16" t="inlineStr">
        <is>
          <t>ССЧР + ОКВЭД обогащены</t>
        </is>
      </c>
      <c r="Q8790" s="16" t="inlineStr">
        <is>
          <t>ФНС открытые данные ССЧР (ДатаСост 31.12.2025; набор 7707329152-sshr2019)</t>
        </is>
      </c>
      <c r="R8790" s="16" t="inlineStr">
        <is>
          <t>ЕГРЮЛ / egrul.nalog.ru (выписка)</t>
        </is>
      </c>
      <c r="S8790" t="n">
        <v>1</v>
      </c>
      <c r="T8790" s="35" t="inlineStr">
        <is>
          <t>1 — Горячий</t>
        </is>
      </c>
      <c r="U8790" s="35" t="inlineStr">
        <is>
          <t>ОКВЭД + 22+</t>
        </is>
      </c>
      <c r="V8790" s="35" t="inlineStr">
        <is>
          <t>Да</t>
        </is>
      </c>
      <c r="W8790" s="35" t="inlineStr">
        <is>
          <t>Да</t>
        </is>
      </c>
      <c r="X8790" s="35" t="inlineStr">
        <is>
          <t>Да</t>
        </is>
      </c>
    </row>
    <row r="8791" ht="15" customHeight="1" s="24">
      <c r="A8791" s="13" t="n">
        <v>801604743</v>
      </c>
      <c r="B8791" s="13" t="inlineStr">
        <is>
          <t>ООО "СПЕЦМАШАКТИВ"</t>
        </is>
      </c>
      <c r="C8791" s="13" t="n">
        <v>3810330637</v>
      </c>
      <c r="D8791" s="13" t="inlineStr">
        <is>
          <t>3810330637</t>
        </is>
      </c>
      <c r="E8791" s="13" t="inlineStr">
        <is>
          <t>ЮЛ РФ</t>
        </is>
      </c>
      <c r="F8791" s="13" t="n"/>
      <c r="G8791" s="52" t="n">
        <v>21</v>
      </c>
      <c r="H8791" s="52" t="n">
        <v>2025</v>
      </c>
      <c r="I8791" s="14" t="n"/>
      <c r="J8791" s="14" t="n"/>
      <c r="K8791" s="53" t="inlineStr">
        <is>
          <t>Нет</t>
        </is>
      </c>
      <c r="L8791" s="53" t="inlineStr">
        <is>
          <t>Не определено</t>
        </is>
      </c>
      <c r="M8791" s="53" t="inlineStr">
        <is>
          <t>До 25</t>
        </is>
      </c>
      <c r="N8791" s="54" t="n">
        <v>8400</v>
      </c>
      <c r="O8791" s="55" t="inlineStr">
        <is>
          <t>16–30</t>
        </is>
      </c>
      <c r="P8791" s="16" t="inlineStr">
        <is>
          <t>ССЧР обогащена; ОКВЭД не найден/не загружен</t>
        </is>
      </c>
      <c r="Q8791" s="16" t="inlineStr">
        <is>
          <t>ФНС открытые данные ССЧР (ДатаСост 31.12.2025; набор 7707329152-sshr2019)</t>
        </is>
      </c>
      <c r="R8791" s="16">
        <f>HYPERLINK("https://checko.ru/search?query=3801001629","Чекко: проверить")</f>
        <v/>
      </c>
      <c r="S8791" t="n">
        <v>1</v>
      </c>
      <c r="T8791" s="35" t="inlineStr">
        <is>
          <t>4 — Не обогащён</t>
        </is>
      </c>
      <c r="U8791" s="35" t="inlineStr">
        <is>
          <t>Нет ОКВЭД/ССЧР</t>
        </is>
      </c>
      <c r="V8791" s="35" t="inlineStr">
        <is>
          <t>Не определено</t>
        </is>
      </c>
      <c r="W8791" s="35" t="inlineStr">
        <is>
          <t>Нет</t>
        </is>
      </c>
      <c r="X8791" s="35" t="inlineStr"/>
    </row>
    <row r="8792" ht="15" customHeight="1" s="24">
      <c r="A8792" s="13" t="inlineStr">
        <is>
          <t>FR90295</t>
        </is>
      </c>
      <c r="B8792" s="13" t="inlineStr">
        <is>
          <t>ООО "ОДИНБУХ"</t>
        </is>
      </c>
      <c r="C8792" s="13" t="n">
        <v>5032229770</v>
      </c>
      <c r="D8792" s="13" t="inlineStr">
        <is>
          <t>5032229770</t>
        </is>
      </c>
      <c r="E8792" s="13" t="inlineStr">
        <is>
          <t>ЮЛ РФ</t>
        </is>
      </c>
      <c r="F8792" s="13" t="n"/>
      <c r="G8792" s="52" t="n">
        <v>4</v>
      </c>
      <c r="H8792" s="52" t="n">
        <v>2025</v>
      </c>
      <c r="I8792" s="14" t="n"/>
      <c r="J8792" s="14" t="n"/>
      <c r="K8792" s="53" t="inlineStr">
        <is>
          <t>Нет</t>
        </is>
      </c>
      <c r="L8792" s="53" t="inlineStr">
        <is>
          <t>Не определено</t>
        </is>
      </c>
      <c r="M8792" s="53" t="inlineStr">
        <is>
          <t>До 10</t>
        </is>
      </c>
      <c r="N8792" s="54" t="n">
        <v>3360</v>
      </c>
      <c r="O8792" s="55" t="inlineStr">
        <is>
          <t>1–15</t>
        </is>
      </c>
      <c r="P8792" s="16" t="inlineStr">
        <is>
          <t>ССЧР обогащена; ОКВЭД не найден/не загружен</t>
        </is>
      </c>
      <c r="Q8792" s="16" t="inlineStr">
        <is>
          <t>ФНС открытые данные ССЧР (ДатаСост 31.12.2025; набор 7707329152-sshr2019)</t>
        </is>
      </c>
      <c r="R8792" s="16">
        <f>HYPERLINK("https://checko.ru/search?query=3801001629","Чекко: проверить")</f>
        <v/>
      </c>
      <c r="S8792" t="n">
        <v>1</v>
      </c>
      <c r="T8792" s="35" t="inlineStr">
        <is>
          <t>4 — Не обогащён</t>
        </is>
      </c>
      <c r="U8792" s="35" t="inlineStr">
        <is>
          <t>Нет ОКВЭД/ССЧР</t>
        </is>
      </c>
      <c r="V8792" s="35" t="inlineStr">
        <is>
          <t>Не определено</t>
        </is>
      </c>
      <c r="W8792" s="35" t="inlineStr">
        <is>
          <t>Нет</t>
        </is>
      </c>
      <c r="X8792" s="35" t="inlineStr"/>
    </row>
    <row r="8793" ht="15" customHeight="1" s="24">
      <c r="A8793" s="13" t="inlineStr">
        <is>
          <t>FR247031</t>
        </is>
      </c>
      <c r="B8793" s="13" t="inlineStr">
        <is>
          <t>КЦ ДОЗОР 2, ООО</t>
        </is>
      </c>
      <c r="C8793" s="13" t="n">
        <v>7203448658</v>
      </c>
      <c r="D8793" s="13" t="inlineStr">
        <is>
          <t>7203448658</t>
        </is>
      </c>
      <c r="E8793" s="13" t="inlineStr">
        <is>
          <t>ЮЛ РФ</t>
        </is>
      </c>
      <c r="F8793" s="13" t="n"/>
      <c r="G8793" s="52" t="n">
        <v>1</v>
      </c>
      <c r="H8793" s="52" t="n">
        <v>2025</v>
      </c>
      <c r="I8793" s="14" t="n"/>
      <c r="J8793" s="14" t="n"/>
      <c r="K8793" s="53" t="inlineStr">
        <is>
          <t>Нет</t>
        </is>
      </c>
      <c r="L8793" s="53" t="inlineStr">
        <is>
          <t>Не определено</t>
        </is>
      </c>
      <c r="M8793" s="53" t="inlineStr">
        <is>
          <t>До 10</t>
        </is>
      </c>
      <c r="N8793" s="54" t="n">
        <v>3360</v>
      </c>
      <c r="O8793" s="55" t="inlineStr">
        <is>
          <t>1–15</t>
        </is>
      </c>
      <c r="P8793" s="16" t="inlineStr">
        <is>
          <t>ССЧР обогащена; ОКВЭД не найден/не загружен</t>
        </is>
      </c>
      <c r="Q8793" s="16" t="inlineStr">
        <is>
          <t>ФНС открытые данные ССЧР (ДатаСост 31.12.2025; набор 7707329152-sshr2019)</t>
        </is>
      </c>
      <c r="R8793" s="16">
        <f>HYPERLINK("https://checko.ru/search?query=3801001629","Чекко: проверить")</f>
        <v/>
      </c>
      <c r="S8793" t="n">
        <v>1</v>
      </c>
      <c r="T8793" s="35" t="inlineStr">
        <is>
          <t>4 — Не обогащён</t>
        </is>
      </c>
      <c r="U8793" s="35" t="inlineStr">
        <is>
          <t>Нет ОКВЭД/ССЧР</t>
        </is>
      </c>
      <c r="V8793" s="35" t="inlineStr">
        <is>
          <t>Не определено</t>
        </is>
      </c>
      <c r="W8793" s="35" t="inlineStr">
        <is>
          <t>Нет</t>
        </is>
      </c>
      <c r="X8793" s="35" t="inlineStr"/>
    </row>
    <row r="8794" ht="15" customHeight="1" s="24">
      <c r="A8794" s="13" t="n">
        <v>9738924</v>
      </c>
      <c r="B8794" s="13" t="inlineStr">
        <is>
          <t>ИП Некрасов Владимир Дмитриевич</t>
        </is>
      </c>
      <c r="C8794" s="13" t="n">
        <v>381704350027</v>
      </c>
      <c r="D8794" s="13" t="inlineStr">
        <is>
          <t>381704350027</t>
        </is>
      </c>
      <c r="E8794" s="13" t="inlineStr">
        <is>
          <t>ИП РФ / физлицо</t>
        </is>
      </c>
      <c r="F8794" s="13" t="n"/>
      <c r="G8794" s="14" t="n"/>
      <c r="H8794" s="14" t="n"/>
      <c r="I8794" s="14" t="n"/>
      <c r="J8794" s="14" t="n"/>
      <c r="K8794" s="53" t="inlineStr"/>
      <c r="L8794" s="53" t="inlineStr">
        <is>
          <t>Не определено</t>
        </is>
      </c>
      <c r="M8794" s="53" t="inlineStr"/>
      <c r="N8794" s="54" t="inlineStr"/>
      <c r="O8794" s="55" t="inlineStr"/>
      <c r="P8794" s="16" t="inlineStr">
        <is>
          <t>Требует обогащения</t>
        </is>
      </c>
      <c r="Q8794" s="16">
        <f>HYPERLINK("https://pb.nalog.ru/search.html?query=381704350027","ФНС: проверить")</f>
        <v/>
      </c>
      <c r="R8794" s="16">
        <f>HYPERLINK("https://checko.ru/search?query=3801001629","Чекко: проверить")</f>
        <v/>
      </c>
      <c r="S8794" t="n">
        <v>0</v>
      </c>
      <c r="T8794" s="35" t="inlineStr">
        <is>
          <t>4 — Не обогащён</t>
        </is>
      </c>
      <c r="U8794" s="35" t="inlineStr">
        <is>
          <t>Нет ОКВЭД/ССЧР</t>
        </is>
      </c>
      <c r="V8794" s="35" t="inlineStr">
        <is>
          <t>Не определено</t>
        </is>
      </c>
      <c r="W8794" s="35" t="inlineStr"/>
      <c r="X8794" s="35" t="inlineStr"/>
    </row>
    <row r="8795" ht="27.75" customHeight="1" s="24">
      <c r="A8795" s="13" t="inlineStr">
        <is>
          <t>FR47457</t>
        </is>
      </c>
      <c r="B8795" s="13" t="inlineStr">
        <is>
          <t>Общество с ограниченной ответственностью "ФИНЭКСПЕРТ"</t>
        </is>
      </c>
      <c r="C8795" s="13" t="n">
        <v>7720476519</v>
      </c>
      <c r="D8795" s="13" t="inlineStr">
        <is>
          <t>7720476519</t>
        </is>
      </c>
      <c r="E8795" s="13" t="inlineStr">
        <is>
          <t>ЮЛ РФ</t>
        </is>
      </c>
      <c r="F8795" s="13" t="n"/>
      <c r="G8795" s="52" t="n">
        <v>3</v>
      </c>
      <c r="H8795" s="52" t="n">
        <v>2025</v>
      </c>
      <c r="I8795" s="14" t="n"/>
      <c r="J8795" s="14" t="n"/>
      <c r="K8795" s="53" t="inlineStr">
        <is>
          <t>Нет</t>
        </is>
      </c>
      <c r="L8795" s="53" t="inlineStr">
        <is>
          <t>Не определено</t>
        </is>
      </c>
      <c r="M8795" s="53" t="inlineStr">
        <is>
          <t>До 10</t>
        </is>
      </c>
      <c r="N8795" s="54" t="n">
        <v>3360</v>
      </c>
      <c r="O8795" s="55" t="inlineStr">
        <is>
          <t>1–15</t>
        </is>
      </c>
      <c r="P8795" s="16" t="inlineStr">
        <is>
          <t>ССЧР обогащена; ОКВЭД не найден/не загружен</t>
        </is>
      </c>
      <c r="Q8795" s="16" t="inlineStr">
        <is>
          <t>ФНС открытые данные ССЧР (ДатаСост 31.12.2025; набор 7707329152-sshr2019)</t>
        </is>
      </c>
      <c r="R8795" s="16">
        <f>HYPERLINK("https://checko.ru/search?query=3801001629","Чекко: проверить")</f>
        <v/>
      </c>
      <c r="S8795" t="n">
        <v>0</v>
      </c>
      <c r="T8795" s="35" t="inlineStr">
        <is>
          <t>4 — Не обогащён</t>
        </is>
      </c>
      <c r="U8795" s="35" t="inlineStr">
        <is>
          <t>Нет ОКВЭД/ССЧР</t>
        </is>
      </c>
      <c r="V8795" s="35" t="inlineStr">
        <is>
          <t>Не определено</t>
        </is>
      </c>
      <c r="W8795" s="35" t="inlineStr">
        <is>
          <t>Нет</t>
        </is>
      </c>
      <c r="X8795" s="35" t="inlineStr"/>
    </row>
    <row r="8796" ht="15" customHeight="1" s="24">
      <c r="A8796" s="13" t="inlineStr">
        <is>
          <t>FR144126</t>
        </is>
      </c>
      <c r="B8796" s="13" t="inlineStr">
        <is>
          <t>ИП Соляник Валентина Сергеевна</t>
        </is>
      </c>
      <c r="C8796" s="13" t="n">
        <v>771602582778</v>
      </c>
      <c r="D8796" s="13" t="inlineStr">
        <is>
          <t>771602582778</t>
        </is>
      </c>
      <c r="E8796" s="13" t="inlineStr">
        <is>
          <t>ИП РФ / физлицо</t>
        </is>
      </c>
      <c r="F8796" s="13" t="n"/>
      <c r="G8796" s="14" t="n"/>
      <c r="H8796" s="14" t="n"/>
      <c r="I8796" s="14" t="n"/>
      <c r="J8796" s="14" t="n"/>
      <c r="K8796" s="53" t="inlineStr"/>
      <c r="L8796" s="53" t="inlineStr">
        <is>
          <t>Не определено</t>
        </is>
      </c>
      <c r="M8796" s="53" t="inlineStr"/>
      <c r="N8796" s="54" t="inlineStr"/>
      <c r="O8796" s="55" t="inlineStr"/>
      <c r="P8796" s="16" t="inlineStr">
        <is>
          <t>Требует обогащения</t>
        </is>
      </c>
      <c r="Q8796" s="16">
        <f>HYPERLINK("https://pb.nalog.ru/search.html?query=771602582778","ФНС: проверить")</f>
        <v/>
      </c>
      <c r="R8796" s="16">
        <f>HYPERLINK("https://checko.ru/search?query=3801001629","Чекко: проверить")</f>
        <v/>
      </c>
      <c r="S8796" t="n">
        <v>0</v>
      </c>
      <c r="T8796" s="35" t="inlineStr">
        <is>
          <t>4 — Не обогащён</t>
        </is>
      </c>
      <c r="U8796" s="35" t="inlineStr">
        <is>
          <t>Нет ОКВЭД/ССЧР</t>
        </is>
      </c>
      <c r="V8796" s="35" t="inlineStr">
        <is>
          <t>Не определено</t>
        </is>
      </c>
      <c r="W8796" s="35" t="inlineStr"/>
      <c r="X8796" s="35" t="inlineStr"/>
    </row>
    <row r="8797" ht="27.75" customHeight="1" s="24">
      <c r="A8797" s="13" t="n">
        <v>801892000</v>
      </c>
      <c r="B8797" s="13" t="inlineStr">
        <is>
          <t>ОБЩЕСТВО С ОГРАНИЧЕННОЙ ОТВЕТСТВЕННОСТЬЮ "КОНТИНЕНТ ПЛЮС"</t>
        </is>
      </c>
      <c r="C8797" s="13" t="n">
        <v>3827051737</v>
      </c>
      <c r="D8797" s="13" t="inlineStr">
        <is>
          <t>3827051737</t>
        </is>
      </c>
      <c r="E8797" s="13" t="inlineStr">
        <is>
          <t>ЮЛ РФ</t>
        </is>
      </c>
      <c r="F8797" s="13" t="n"/>
      <c r="G8797" s="52" t="n">
        <v>41</v>
      </c>
      <c r="H8797" s="52" t="n">
        <v>2025</v>
      </c>
      <c r="I8797" s="52" t="inlineStr">
        <is>
          <t>49.41</t>
        </is>
      </c>
      <c r="J8797" s="52" t="inlineStr">
        <is>
          <t>49.41; 49.41.2; 49.41.3; 68.20.2</t>
        </is>
      </c>
      <c r="K8797" s="53" t="inlineStr">
        <is>
          <t>Да</t>
        </is>
      </c>
      <c r="L8797" s="53" t="inlineStr">
        <is>
          <t>Да</t>
        </is>
      </c>
      <c r="M8797" s="53" t="inlineStr">
        <is>
          <t>До 50</t>
        </is>
      </c>
      <c r="N8797" s="54" t="n">
        <v>16800</v>
      </c>
      <c r="O8797" s="55" t="inlineStr">
        <is>
          <t>31–50</t>
        </is>
      </c>
      <c r="P8797" s="16" t="inlineStr">
        <is>
          <t>ССЧР + ОКВЭД обогащены</t>
        </is>
      </c>
      <c r="Q8797" s="16" t="inlineStr">
        <is>
          <t>ФНС открытые данные ССЧР (ДатаСост 31.12.2025; набор 7707329152-sshr2019)</t>
        </is>
      </c>
      <c r="R8797" s="16" t="inlineStr">
        <is>
          <t>ЕГРЮЛ / egrul.nalog.ru (выписка)</t>
        </is>
      </c>
      <c r="S8797" t="n">
        <v>0</v>
      </c>
      <c r="T8797" s="35" t="inlineStr">
        <is>
          <t>1 — Горячий</t>
        </is>
      </c>
      <c r="U8797" s="35" t="inlineStr">
        <is>
          <t>ОКВЭД + 22+</t>
        </is>
      </c>
      <c r="V8797" s="35" t="inlineStr">
        <is>
          <t>Да</t>
        </is>
      </c>
      <c r="W8797" s="35" t="inlineStr">
        <is>
          <t>Да</t>
        </is>
      </c>
      <c r="X8797" s="35" t="inlineStr">
        <is>
          <t>Да</t>
        </is>
      </c>
    </row>
    <row r="8798" ht="15" customHeight="1" s="24">
      <c r="A8798" s="13" t="inlineStr">
        <is>
          <t>FR16884</t>
        </is>
      </c>
      <c r="B8798" s="13" t="inlineStr">
        <is>
          <t>ООО "Магнат"</t>
        </is>
      </c>
      <c r="C8798" s="13" t="n">
        <v>3810049017</v>
      </c>
      <c r="D8798" s="13" t="inlineStr">
        <is>
          <t>3810049017</t>
        </is>
      </c>
      <c r="E8798" s="13" t="inlineStr">
        <is>
          <t>ЮЛ РФ</t>
        </is>
      </c>
      <c r="F8798" s="13" t="n"/>
      <c r="G8798" s="52" t="n">
        <v>4</v>
      </c>
      <c r="H8798" s="52" t="n">
        <v>2025</v>
      </c>
      <c r="I8798" s="14" t="n"/>
      <c r="J8798" s="14" t="n"/>
      <c r="K8798" s="53" t="inlineStr">
        <is>
          <t>Нет</t>
        </is>
      </c>
      <c r="L8798" s="53" t="inlineStr">
        <is>
          <t>Не определено</t>
        </is>
      </c>
      <c r="M8798" s="53" t="inlineStr">
        <is>
          <t>До 10</t>
        </is>
      </c>
      <c r="N8798" s="54" t="n">
        <v>3360</v>
      </c>
      <c r="O8798" s="55" t="inlineStr">
        <is>
          <t>1–15</t>
        </is>
      </c>
      <c r="P8798" s="16" t="inlineStr">
        <is>
          <t>ССЧР обогащена; ОКВЭД не найден/не загружен</t>
        </is>
      </c>
      <c r="Q8798" s="16" t="inlineStr">
        <is>
          <t>ФНС открытые данные ССЧР (ДатаСост 31.12.2025; набор 7707329152-sshr2019)</t>
        </is>
      </c>
      <c r="R8798" s="16">
        <f>HYPERLINK("https://checko.ru/search?query=3801001629","Чекко: проверить")</f>
        <v/>
      </c>
      <c r="S8798" t="n">
        <v>1</v>
      </c>
      <c r="T8798" s="35" t="inlineStr">
        <is>
          <t>4 — Не обогащён</t>
        </is>
      </c>
      <c r="U8798" s="35" t="inlineStr">
        <is>
          <t>Нет ОКВЭД/ССЧР</t>
        </is>
      </c>
      <c r="V8798" s="35" t="inlineStr">
        <is>
          <t>Не определено</t>
        </is>
      </c>
      <c r="W8798" s="35" t="inlineStr">
        <is>
          <t>Нет</t>
        </is>
      </c>
      <c r="X8798" s="35" t="inlineStr"/>
    </row>
    <row r="8799" ht="15" customHeight="1" s="24">
      <c r="A8799" s="13" t="inlineStr">
        <is>
          <t>FR35373</t>
        </is>
      </c>
      <c r="B8799" s="13" t="inlineStr">
        <is>
          <t>ООО"ВЭЛЬЮ"</t>
        </is>
      </c>
      <c r="C8799" s="13" t="n">
        <v>5902229077</v>
      </c>
      <c r="D8799" s="13" t="inlineStr">
        <is>
          <t>5902229077</t>
        </is>
      </c>
      <c r="E8799" s="13" t="inlineStr">
        <is>
          <t>ЮЛ РФ</t>
        </is>
      </c>
      <c r="F8799" s="13" t="n"/>
      <c r="G8799" s="52" t="n">
        <v>1</v>
      </c>
      <c r="H8799" s="52" t="n">
        <v>2025</v>
      </c>
      <c r="I8799" s="14" t="n"/>
      <c r="J8799" s="14" t="n"/>
      <c r="K8799" s="53" t="inlineStr">
        <is>
          <t>Нет</t>
        </is>
      </c>
      <c r="L8799" s="53" t="inlineStr">
        <is>
          <t>Не определено</t>
        </is>
      </c>
      <c r="M8799" s="53" t="inlineStr">
        <is>
          <t>До 10</t>
        </is>
      </c>
      <c r="N8799" s="54" t="n">
        <v>3360</v>
      </c>
      <c r="O8799" s="55" t="inlineStr">
        <is>
          <t>1–15</t>
        </is>
      </c>
      <c r="P8799" s="16" t="inlineStr">
        <is>
          <t>ССЧР обогащена; ОКВЭД не найден/не загружен</t>
        </is>
      </c>
      <c r="Q8799" s="16" t="inlineStr">
        <is>
          <t>ФНС открытые данные ССЧР (ДатаСост 31.12.2025; набор 7707329152-sshr2019)</t>
        </is>
      </c>
      <c r="R8799" s="16">
        <f>HYPERLINK("https://checko.ru/search?query=3801001629","Чекко: проверить")</f>
        <v/>
      </c>
      <c r="S8799" t="n">
        <v>1</v>
      </c>
      <c r="T8799" s="35" t="inlineStr">
        <is>
          <t>4 — Не обогащён</t>
        </is>
      </c>
      <c r="U8799" s="35" t="inlineStr">
        <is>
          <t>Нет ОКВЭД/ССЧР</t>
        </is>
      </c>
      <c r="V8799" s="35" t="inlineStr">
        <is>
          <t>Не определено</t>
        </is>
      </c>
      <c r="W8799" s="35" t="inlineStr">
        <is>
          <t>Нет</t>
        </is>
      </c>
      <c r="X8799" s="35" t="inlineStr"/>
    </row>
    <row r="8800" ht="15" customHeight="1" s="24">
      <c r="A8800" s="13" t="n">
        <v>802462904</v>
      </c>
      <c r="B8800" s="13" t="inlineStr">
        <is>
          <t>ООО "СПЕЦМАШАКТИВ"</t>
        </is>
      </c>
      <c r="C8800" s="13" t="n">
        <v>3810330637</v>
      </c>
      <c r="D8800" s="13" t="inlineStr">
        <is>
          <t>3810330637</t>
        </is>
      </c>
      <c r="E8800" s="13" t="inlineStr">
        <is>
          <t>ЮЛ РФ</t>
        </is>
      </c>
      <c r="F8800" s="13" t="n"/>
      <c r="G8800" s="52" t="n">
        <v>21</v>
      </c>
      <c r="H8800" s="52" t="n">
        <v>2025</v>
      </c>
      <c r="I8800" s="14" t="n"/>
      <c r="J8800" s="14" t="n"/>
      <c r="K8800" s="53" t="inlineStr">
        <is>
          <t>Нет</t>
        </is>
      </c>
      <c r="L8800" s="53" t="inlineStr">
        <is>
          <t>Не определено</t>
        </is>
      </c>
      <c r="M8800" s="53" t="inlineStr">
        <is>
          <t>До 25</t>
        </is>
      </c>
      <c r="N8800" s="54" t="n">
        <v>8400</v>
      </c>
      <c r="O8800" s="55" t="inlineStr">
        <is>
          <t>16–30</t>
        </is>
      </c>
      <c r="P8800" s="16" t="inlineStr">
        <is>
          <t>ССЧР обогащена; ОКВЭД не найден/не загружен</t>
        </is>
      </c>
      <c r="Q8800" s="16" t="inlineStr">
        <is>
          <t>ФНС открытые данные ССЧР (ДатаСост 31.12.2025; набор 7707329152-sshr2019)</t>
        </is>
      </c>
      <c r="R8800" s="16">
        <f>HYPERLINK("https://checko.ru/search?query=3801001629","Чекко: проверить")</f>
        <v/>
      </c>
      <c r="S8800" t="n">
        <v>0</v>
      </c>
      <c r="T8800" s="35" t="inlineStr">
        <is>
          <t>4 — Не обогащён</t>
        </is>
      </c>
      <c r="U8800" s="35" t="inlineStr">
        <is>
          <t>Нет ОКВЭД/ССЧР</t>
        </is>
      </c>
      <c r="V8800" s="35" t="inlineStr">
        <is>
          <t>Не определено</t>
        </is>
      </c>
      <c r="W8800" s="35" t="inlineStr">
        <is>
          <t>Нет</t>
        </is>
      </c>
      <c r="X8800" s="35" t="inlineStr"/>
    </row>
    <row r="8801" ht="27.75" customHeight="1" s="24">
      <c r="A8801" s="13" t="inlineStr">
        <is>
          <t>FR357001</t>
        </is>
      </c>
      <c r="B8801" s="13" t="inlineStr">
        <is>
          <t>ОБЩЕСТВО С ОГРАНИЧЕННОЙ ОТВЕТСТВЕННОСТЬЮ "ВОСТОКТРАНСПРОЕКТ"</t>
        </is>
      </c>
      <c r="C8801" s="13" t="n">
        <v>3849003670</v>
      </c>
      <c r="D8801" s="13" t="inlineStr">
        <is>
          <t>3849003670</t>
        </is>
      </c>
      <c r="E8801" s="13" t="inlineStr">
        <is>
          <t>ЮЛ РФ</t>
        </is>
      </c>
      <c r="F8801" s="13" t="n"/>
      <c r="G8801" s="52" t="n">
        <v>17</v>
      </c>
      <c r="H8801" s="52" t="n">
        <v>2025</v>
      </c>
      <c r="I8801" s="14" t="n"/>
      <c r="J8801" s="14" t="n"/>
      <c r="K8801" s="53" t="inlineStr">
        <is>
          <t>Нет</t>
        </is>
      </c>
      <c r="L8801" s="53" t="inlineStr">
        <is>
          <t>Не определено</t>
        </is>
      </c>
      <c r="M8801" s="53" t="inlineStr">
        <is>
          <t>До 25</t>
        </is>
      </c>
      <c r="N8801" s="54" t="n">
        <v>8400</v>
      </c>
      <c r="O8801" s="55" t="inlineStr">
        <is>
          <t>16–30</t>
        </is>
      </c>
      <c r="P8801" s="16" t="inlineStr">
        <is>
          <t>ССЧР обогащена; ОКВЭД не найден/не загружен</t>
        </is>
      </c>
      <c r="Q8801" s="16" t="inlineStr">
        <is>
          <t>ФНС открытые данные ССЧР (ДатаСост 31.12.2025; набор 7707329152-sshr2019)</t>
        </is>
      </c>
      <c r="R8801" s="16">
        <f>HYPERLINK("https://checko.ru/search?query=3801001629","Чекко: проверить")</f>
        <v/>
      </c>
      <c r="S8801" t="n">
        <v>1</v>
      </c>
      <c r="T8801" s="35" t="inlineStr">
        <is>
          <t>4 — Не обогащён</t>
        </is>
      </c>
      <c r="U8801" s="35" t="inlineStr">
        <is>
          <t>Нет ОКВЭД/ССЧР</t>
        </is>
      </c>
      <c r="V8801" s="35" t="inlineStr">
        <is>
          <t>Не определено</t>
        </is>
      </c>
      <c r="W8801" s="35" t="inlineStr">
        <is>
          <t>Нет</t>
        </is>
      </c>
      <c r="X8801" s="35" t="inlineStr"/>
    </row>
    <row r="8802" ht="15" customHeight="1" s="24">
      <c r="A8802" s="13" t="n">
        <v>800670908</v>
      </c>
      <c r="B8802" s="13" t="inlineStr">
        <is>
          <t>ООО ТОРГОВЫЙ ДОМ ЭЛИТ ТРЕЙД</t>
        </is>
      </c>
      <c r="C8802" s="13" t="n">
        <v>3810340240</v>
      </c>
      <c r="D8802" s="13" t="inlineStr">
        <is>
          <t>3810340240</t>
        </is>
      </c>
      <c r="E8802" s="13" t="inlineStr">
        <is>
          <t>ЮЛ РФ</t>
        </is>
      </c>
      <c r="F8802" s="13" t="n"/>
      <c r="G8802" s="52" t="n">
        <v>672</v>
      </c>
      <c r="H8802" s="52" t="n">
        <v>2025</v>
      </c>
      <c r="I8802" s="52" t="inlineStr">
        <is>
          <t>46.32</t>
        </is>
      </c>
      <c r="J8802" s="52" t="inlineStr">
        <is>
          <t>46.32; 10.11.2; 10.11.3; 10.11.5; 10.12.1; 10.12.2; 10.12.3; 10.12.4; 10.13; 10.13.1; 10.13.2; 10.13.3; 10.13.4; 10.13.5; 10.13.6; 10.13.9; 10.20.1; 10.20.2; 10.20.5; 10.31; 10.32; 10.39; 10.39.1; 10.39.2; 10.39.9; 10.41; 10.51.2; 10.51.3; 10.61.4; 10.62.9; 10.71; 10.71.1; 10.71.2; 10.72; 10.72.1; 10.72.2; 10.72.3; 10.72.4; 10.72.31; 10.72.32; 10.72.34; 10.72.35; 10.72.39; 10.73.1; 10.82.2; 10.82.5; 10.83; 10.84; 10.85; 10.89; 10.89.1; 10.89.2; 10.89.3; 10.89.7; 10.89.9; 11.07.2; 35.30.15; 46.11.39; 46.31; 46.31.1; 46.31.2; 46.31.11; 46.31.12; 46.32.1; 46.32.2; 46.32.3; 46.33; 46.33.1; 46.33.2; 46.33.3; 46.34.1; 46.36.1; 46.36.2; 46.36.3; 46.36.4; 46.37; 46.38.1; 46.38.2; 46.38.23; 46.38.24; 46.38.25; 46.38.26; 46.38.29; 46.39; 46.39.1; 46.42.1; 46.42.12; 47.11; 47.11.1; 47.11.2; 47.19.1; 47.21; 47.21.1; 47.21.2; 47.22.1; 47.23; 47.29.3; 47.29.11; 47.29.21; 47.29.22; 47.29.33; 47.29.34; 47.71.1; 47.91; 47.91.2; 47.91.3; 47.91.4; 47.99; 47.99.1; 47.99.2; 49.31; 49.39; 49.41.1; 49.41.2; 52.10; 52.10.1; 52.24; 52.24.1; 52.24.2; 52.29; 55.30; 56.10; 56.10.1; 56.10.2; 56.10.21; 56.10.22; 56.10.23; 56.10.24; 56.29; 56.29.2; 56.29.3; 56.29.4; 56.30; 73.11; 82.92; 82.99; 85.41.9; 85.42.9; 93.29.9</t>
        </is>
      </c>
      <c r="K8802" s="53" t="inlineStr">
        <is>
          <t>Да</t>
        </is>
      </c>
      <c r="L8802" s="53" t="inlineStr">
        <is>
          <t>Да</t>
        </is>
      </c>
      <c r="M8802" s="53" t="inlineStr">
        <is>
          <t>До 2000</t>
        </is>
      </c>
      <c r="N8802" s="54" t="n">
        <v>528000</v>
      </c>
      <c r="O8802" s="55" t="inlineStr">
        <is>
          <t>500+</t>
        </is>
      </c>
      <c r="P8802" s="16" t="inlineStr">
        <is>
          <t>ССЧР + ОКВЭД обогащены</t>
        </is>
      </c>
      <c r="Q8802" s="16" t="inlineStr">
        <is>
          <t>ФНС открытые данные ССЧР (ДатаСост 31.12.2025; набор 7707329152-sshr2019)</t>
        </is>
      </c>
      <c r="R8802" s="16" t="inlineStr">
        <is>
          <t>ЕГРЮЛ / egrul.nalog.ru (выписка)</t>
        </is>
      </c>
      <c r="S8802" t="n">
        <v>0</v>
      </c>
      <c r="T8802" s="35" t="inlineStr">
        <is>
          <t>1 — Горячий</t>
        </is>
      </c>
      <c r="U8802" s="35" t="inlineStr">
        <is>
          <t>ОКВЭД + 22+</t>
        </is>
      </c>
      <c r="V8802" s="35" t="inlineStr">
        <is>
          <t>Да</t>
        </is>
      </c>
      <c r="W8802" s="35" t="inlineStr">
        <is>
          <t>Да</t>
        </is>
      </c>
      <c r="X8802" s="35" t="inlineStr">
        <is>
          <t>Да</t>
        </is>
      </c>
    </row>
    <row r="8803" ht="15" customHeight="1" s="24">
      <c r="A8803" s="13" t="inlineStr">
        <is>
          <t>FR239774</t>
        </is>
      </c>
      <c r="B8803" s="13" t="inlineStr">
        <is>
          <t>УАЙТ БУХГАЛТЕРИЯ, ООО</t>
        </is>
      </c>
      <c r="C8803" s="13" t="n">
        <v>3702203631</v>
      </c>
      <c r="D8803" s="13" t="inlineStr">
        <is>
          <t>3702203631</t>
        </is>
      </c>
      <c r="E8803" s="13" t="inlineStr">
        <is>
          <t>ЮЛ РФ</t>
        </is>
      </c>
      <c r="F8803" s="13" t="n"/>
      <c r="G8803" s="52" t="n">
        <v>1</v>
      </c>
      <c r="H8803" s="52" t="n">
        <v>2025</v>
      </c>
      <c r="I8803" s="14" t="n"/>
      <c r="J8803" s="14" t="n"/>
      <c r="K8803" s="53" t="inlineStr">
        <is>
          <t>Нет</t>
        </is>
      </c>
      <c r="L8803" s="53" t="inlineStr">
        <is>
          <t>Не определено</t>
        </is>
      </c>
      <c r="M8803" s="53" t="inlineStr">
        <is>
          <t>До 10</t>
        </is>
      </c>
      <c r="N8803" s="54" t="n">
        <v>3360</v>
      </c>
      <c r="O8803" s="55" t="inlineStr">
        <is>
          <t>1–15</t>
        </is>
      </c>
      <c r="P8803" s="16" t="inlineStr">
        <is>
          <t>ССЧР обогащена; ОКВЭД не найден/не загружен</t>
        </is>
      </c>
      <c r="Q8803" s="16" t="inlineStr">
        <is>
          <t>ФНС открытые данные ССЧР (ДатаСост 31.12.2025; набор 7707329152-sshr2019)</t>
        </is>
      </c>
      <c r="R8803" s="16">
        <f>HYPERLINK("https://checko.ru/search?query=3801001629","Чекко: проверить")</f>
        <v/>
      </c>
      <c r="S8803" t="n">
        <v>0</v>
      </c>
      <c r="T8803" s="35" t="inlineStr">
        <is>
          <t>4 — Не обогащён</t>
        </is>
      </c>
      <c r="U8803" s="35" t="inlineStr">
        <is>
          <t>Нет ОКВЭД/ССЧР</t>
        </is>
      </c>
      <c r="V8803" s="35" t="inlineStr">
        <is>
          <t>Не определено</t>
        </is>
      </c>
      <c r="W8803" s="35" t="inlineStr">
        <is>
          <t>Нет</t>
        </is>
      </c>
      <c r="X8803" s="35" t="inlineStr"/>
    </row>
    <row r="8804" ht="27.75" customHeight="1" s="24">
      <c r="A8804" s="13" t="inlineStr">
        <is>
          <t>FR377160</t>
        </is>
      </c>
      <c r="B8804" s="13" t="inlineStr">
        <is>
          <t>ОБЩЕСТВО С ОГРАНИЧЕННОЙ ОТВЕТСТВЕННОСТЬЮ "БИОНАТУРКОСМЕТИК"</t>
        </is>
      </c>
      <c r="C8804" s="13" t="n">
        <v>1659209800</v>
      </c>
      <c r="D8804" s="13" t="inlineStr">
        <is>
          <t>1659209800</t>
        </is>
      </c>
      <c r="E8804" s="13" t="inlineStr">
        <is>
          <t>ЮЛ РФ</t>
        </is>
      </c>
      <c r="F8804" s="13" t="n"/>
      <c r="G8804" s="52" t="n">
        <v>1</v>
      </c>
      <c r="H8804" s="52" t="n">
        <v>2025</v>
      </c>
      <c r="I8804" s="14" t="n"/>
      <c r="J8804" s="14" t="n"/>
      <c r="K8804" s="53" t="inlineStr">
        <is>
          <t>Нет</t>
        </is>
      </c>
      <c r="L8804" s="53" t="inlineStr">
        <is>
          <t>Не определено</t>
        </is>
      </c>
      <c r="M8804" s="53" t="inlineStr">
        <is>
          <t>До 10</t>
        </is>
      </c>
      <c r="N8804" s="54" t="n">
        <v>3360</v>
      </c>
      <c r="O8804" s="55" t="inlineStr">
        <is>
          <t>1–15</t>
        </is>
      </c>
      <c r="P8804" s="16" t="inlineStr">
        <is>
          <t>ССЧР обогащена; ОКВЭД не найден/не загружен</t>
        </is>
      </c>
      <c r="Q8804" s="16" t="inlineStr">
        <is>
          <t>ФНС открытые данные ССЧР (ДатаСост 31.12.2025; набор 7707329152-sshr2019)</t>
        </is>
      </c>
      <c r="R8804" s="16">
        <f>HYPERLINK("https://checko.ru/search?query=3801001629","Чекко: проверить")</f>
        <v/>
      </c>
      <c r="S8804" t="n">
        <v>0</v>
      </c>
      <c r="T8804" s="35" t="inlineStr">
        <is>
          <t>4 — Не обогащён</t>
        </is>
      </c>
      <c r="U8804" s="35" t="inlineStr">
        <is>
          <t>Нет ОКВЭД/ССЧР</t>
        </is>
      </c>
      <c r="V8804" s="35" t="inlineStr">
        <is>
          <t>Не определено</t>
        </is>
      </c>
      <c r="W8804" s="35" t="inlineStr">
        <is>
          <t>Нет</t>
        </is>
      </c>
      <c r="X8804" s="35" t="inlineStr"/>
    </row>
    <row r="8805" ht="15" customHeight="1" s="24">
      <c r="A8805" s="13" t="inlineStr">
        <is>
          <t>FR520402</t>
        </is>
      </c>
      <c r="B8805" s="13" t="inlineStr">
        <is>
          <t>ООО "ЦЕННЫЙ СОВЕТ"</t>
        </is>
      </c>
      <c r="C8805" s="13" t="n">
        <v>3849073999</v>
      </c>
      <c r="D8805" s="13" t="inlineStr">
        <is>
          <t>3849073999</t>
        </is>
      </c>
      <c r="E8805" s="13" t="inlineStr">
        <is>
          <t>ЮЛ РФ</t>
        </is>
      </c>
      <c r="F8805" s="13" t="n"/>
      <c r="G8805" s="52" t="n">
        <v>3</v>
      </c>
      <c r="H8805" s="52" t="n">
        <v>2025</v>
      </c>
      <c r="I8805" s="14" t="n"/>
      <c r="J8805" s="14" t="n"/>
      <c r="K8805" s="53" t="inlineStr">
        <is>
          <t>Нет</t>
        </is>
      </c>
      <c r="L8805" s="53" t="inlineStr">
        <is>
          <t>Не определено</t>
        </is>
      </c>
      <c r="M8805" s="53" t="inlineStr">
        <is>
          <t>До 10</t>
        </is>
      </c>
      <c r="N8805" s="54" t="n">
        <v>3360</v>
      </c>
      <c r="O8805" s="55" t="inlineStr">
        <is>
          <t>1–15</t>
        </is>
      </c>
      <c r="P8805" s="16" t="inlineStr">
        <is>
          <t>ССЧР обогащена; ОКВЭД не найден/не загружен</t>
        </is>
      </c>
      <c r="Q8805" s="16" t="inlineStr">
        <is>
          <t>ФНС открытые данные ССЧР (ДатаСост 31.12.2025; набор 7707329152-sshr2019)</t>
        </is>
      </c>
      <c r="R8805" s="16">
        <f>HYPERLINK("https://checko.ru/search?query=3801001629","Чекко: проверить")</f>
        <v/>
      </c>
      <c r="S8805" t="n">
        <v>1</v>
      </c>
      <c r="T8805" s="35" t="inlineStr">
        <is>
          <t>4 — Не обогащён</t>
        </is>
      </c>
      <c r="U8805" s="35" t="inlineStr">
        <is>
          <t>Нет ОКВЭД/ССЧР</t>
        </is>
      </c>
      <c r="V8805" s="35" t="inlineStr">
        <is>
          <t>Не определено</t>
        </is>
      </c>
      <c r="W8805" s="35" t="inlineStr">
        <is>
          <t>Нет</t>
        </is>
      </c>
      <c r="X8805" s="35" t="inlineStr"/>
    </row>
    <row r="8806" ht="15" customHeight="1" s="24">
      <c r="A8806" s="13" t="inlineStr">
        <is>
          <t>FR39427</t>
        </is>
      </c>
      <c r="B8806" s="13" t="inlineStr">
        <is>
          <t>ООО "ХЕЛП"</t>
        </is>
      </c>
      <c r="C8806" s="13" t="n">
        <v>1660125833</v>
      </c>
      <c r="D8806" s="13" t="inlineStr">
        <is>
          <t>1660125833</t>
        </is>
      </c>
      <c r="E8806" s="13" t="inlineStr">
        <is>
          <t>ЮЛ РФ</t>
        </is>
      </c>
      <c r="F8806" s="13" t="n"/>
      <c r="G8806" s="52" t="n">
        <v>4</v>
      </c>
      <c r="H8806" s="52" t="n">
        <v>2025</v>
      </c>
      <c r="I8806" s="14" t="n"/>
      <c r="J8806" s="14" t="n"/>
      <c r="K8806" s="53" t="inlineStr">
        <is>
          <t>Нет</t>
        </is>
      </c>
      <c r="L8806" s="53" t="inlineStr">
        <is>
          <t>Не определено</t>
        </is>
      </c>
      <c r="M8806" s="53" t="inlineStr">
        <is>
          <t>До 10</t>
        </is>
      </c>
      <c r="N8806" s="54" t="n">
        <v>3360</v>
      </c>
      <c r="O8806" s="55" t="inlineStr">
        <is>
          <t>1–15</t>
        </is>
      </c>
      <c r="P8806" s="16" t="inlineStr">
        <is>
          <t>ССЧР обогащена; ОКВЭД не найден/не загружен</t>
        </is>
      </c>
      <c r="Q8806" s="16" t="inlineStr">
        <is>
          <t>ФНС открытые данные ССЧР (ДатаСост 31.12.2025; набор 7707329152-sshr2019)</t>
        </is>
      </c>
      <c r="R8806" s="16">
        <f>HYPERLINK("https://checko.ru/search?query=3801001629","Чекко: проверить")</f>
        <v/>
      </c>
      <c r="S8806" t="n">
        <v>1</v>
      </c>
      <c r="T8806" s="35" t="inlineStr">
        <is>
          <t>4 — Не обогащён</t>
        </is>
      </c>
      <c r="U8806" s="35" t="inlineStr">
        <is>
          <t>Нет ОКВЭД/ССЧР</t>
        </is>
      </c>
      <c r="V8806" s="35" t="inlineStr">
        <is>
          <t>Не определено</t>
        </is>
      </c>
      <c r="W8806" s="35" t="inlineStr">
        <is>
          <t>Нет</t>
        </is>
      </c>
      <c r="X8806" s="35" t="inlineStr"/>
    </row>
    <row r="8807" ht="15" customHeight="1" s="24">
      <c r="A8807" s="13" t="inlineStr">
        <is>
          <t>FR212819</t>
        </is>
      </c>
      <c r="B8807" s="13" t="inlineStr">
        <is>
          <t>ООО "Фортес"</t>
        </is>
      </c>
      <c r="C8807" s="13" t="n">
        <v>3812119044</v>
      </c>
      <c r="D8807" s="13" t="inlineStr">
        <is>
          <t>3812119044</t>
        </is>
      </c>
      <c r="E8807" s="13" t="inlineStr">
        <is>
          <t>ЮЛ РФ</t>
        </is>
      </c>
      <c r="F8807" s="13" t="n"/>
      <c r="G8807" s="52" t="n">
        <v>1</v>
      </c>
      <c r="H8807" s="52" t="n">
        <v>2025</v>
      </c>
      <c r="I8807" s="14" t="n"/>
      <c r="J8807" s="14" t="n"/>
      <c r="K8807" s="53" t="inlineStr">
        <is>
          <t>Нет</t>
        </is>
      </c>
      <c r="L8807" s="53" t="inlineStr">
        <is>
          <t>Не определено</t>
        </is>
      </c>
      <c r="M8807" s="53" t="inlineStr">
        <is>
          <t>До 10</t>
        </is>
      </c>
      <c r="N8807" s="54" t="n">
        <v>3360</v>
      </c>
      <c r="O8807" s="55" t="inlineStr">
        <is>
          <t>1–15</t>
        </is>
      </c>
      <c r="P8807" s="16" t="inlineStr">
        <is>
          <t>ССЧР обогащена; ОКВЭД не найден/не загружен</t>
        </is>
      </c>
      <c r="Q8807" s="16" t="inlineStr">
        <is>
          <t>ФНС открытые данные ССЧР (ДатаСост 31.12.2025; набор 7707329152-sshr2019)</t>
        </is>
      </c>
      <c r="R8807" s="16">
        <f>HYPERLINK("https://checko.ru/search?query=3801001629","Чекко: проверить")</f>
        <v/>
      </c>
      <c r="S8807" t="n">
        <v>0</v>
      </c>
      <c r="T8807" s="35" t="inlineStr">
        <is>
          <t>4 — Не обогащён</t>
        </is>
      </c>
      <c r="U8807" s="35" t="inlineStr">
        <is>
          <t>Нет ОКВЭД/ССЧР</t>
        </is>
      </c>
      <c r="V8807" s="35" t="inlineStr">
        <is>
          <t>Не определено</t>
        </is>
      </c>
      <c r="W8807" s="35" t="inlineStr">
        <is>
          <t>Нет</t>
        </is>
      </c>
      <c r="X8807" s="35" t="inlineStr"/>
    </row>
    <row r="8808" ht="15" customHeight="1" s="24">
      <c r="A8808" s="13" t="inlineStr">
        <is>
          <t>FR446435</t>
        </is>
      </c>
      <c r="B8808" s="13" t="inlineStr">
        <is>
          <t>ИП Бугаева Мария Ивановна</t>
        </is>
      </c>
      <c r="C8808" s="13" t="n">
        <v>860603752466</v>
      </c>
      <c r="D8808" s="13" t="inlineStr">
        <is>
          <t>860603752466</t>
        </is>
      </c>
      <c r="E8808" s="13" t="inlineStr">
        <is>
          <t>ИП РФ / физлицо</t>
        </is>
      </c>
      <c r="F8808" s="13" t="n"/>
      <c r="G8808" s="14" t="n"/>
      <c r="H8808" s="14" t="n"/>
      <c r="I8808" s="14" t="n"/>
      <c r="J8808" s="14" t="n"/>
      <c r="K8808" s="53" t="inlineStr"/>
      <c r="L8808" s="53" t="inlineStr">
        <is>
          <t>Не определено</t>
        </is>
      </c>
      <c r="M8808" s="53" t="inlineStr"/>
      <c r="N8808" s="54" t="inlineStr"/>
      <c r="O8808" s="55" t="inlineStr"/>
      <c r="P8808" s="16" t="inlineStr">
        <is>
          <t>Требует обогащения</t>
        </is>
      </c>
      <c r="Q8808" s="16">
        <f>HYPERLINK("https://pb.nalog.ru/search.html?query=860603752466","ФНС: проверить")</f>
        <v/>
      </c>
      <c r="R8808" s="16">
        <f>HYPERLINK("https://checko.ru/search?query=3801001629","Чекко: проверить")</f>
        <v/>
      </c>
      <c r="S8808" t="n">
        <v>1</v>
      </c>
      <c r="T8808" s="35" t="inlineStr">
        <is>
          <t>4 — Не обогащён</t>
        </is>
      </c>
      <c r="U8808" s="35" t="inlineStr">
        <is>
          <t>Нет ОКВЭД/ССЧР</t>
        </is>
      </c>
      <c r="V8808" s="35" t="inlineStr">
        <is>
          <t>Не определено</t>
        </is>
      </c>
      <c r="W8808" s="35" t="inlineStr"/>
      <c r="X8808" s="35" t="inlineStr"/>
    </row>
    <row r="8809" ht="15" customHeight="1" s="24">
      <c r="A8809" s="13" t="n">
        <v>801822068</v>
      </c>
      <c r="B8809" s="13" t="inlineStr">
        <is>
          <t>ОТЕЛЬ ИРКУТСК ООО</t>
        </is>
      </c>
      <c r="C8809" s="13" t="n">
        <v>3808234566</v>
      </c>
      <c r="D8809" s="13" t="inlineStr">
        <is>
          <t>3808234566</t>
        </is>
      </c>
      <c r="E8809" s="13" t="inlineStr">
        <is>
          <t>ЮЛ РФ</t>
        </is>
      </c>
      <c r="F8809" s="13" t="n"/>
      <c r="G8809" s="52" t="n">
        <v>56</v>
      </c>
      <c r="H8809" s="52" t="n">
        <v>2025</v>
      </c>
      <c r="I8809" s="52" t="inlineStr">
        <is>
          <t>55.10</t>
        </is>
      </c>
      <c r="J8809" s="52" t="inlineStr">
        <is>
          <t>55.10; 43.21; 43.29; 43.31; 43.32.3; 43.34; 47.25; 47.99; 49.39; 52.21.24; 56.10.1; 56.29; 66.19; 68.10; 68.20; 73.11; 79.11; 79.90; 81.10; 82.19; 82.99; 85.42.9; 93.29; 93.29.9; 96.01</t>
        </is>
      </c>
      <c r="K8809" s="53" t="inlineStr">
        <is>
          <t>Да</t>
        </is>
      </c>
      <c r="L8809" s="53" t="inlineStr">
        <is>
          <t>Да</t>
        </is>
      </c>
      <c r="M8809" s="53" t="inlineStr">
        <is>
          <t>До 100</t>
        </is>
      </c>
      <c r="N8809" s="54" t="n">
        <v>33600</v>
      </c>
      <c r="O8809" s="55" t="inlineStr">
        <is>
          <t>51–100</t>
        </is>
      </c>
      <c r="P8809" s="16" t="inlineStr">
        <is>
          <t>ССЧР + ОКВЭД обогащены</t>
        </is>
      </c>
      <c r="Q8809" s="16" t="inlineStr">
        <is>
          <t>ФНС открытые данные ССЧР (ДатаСост 31.12.2025; набор 7707329152-sshr2019)</t>
        </is>
      </c>
      <c r="R8809" s="16" t="inlineStr">
        <is>
          <t>ЕГРЮЛ / egrul.nalog.ru (выписка)</t>
        </is>
      </c>
      <c r="S8809" t="n">
        <v>1</v>
      </c>
      <c r="T8809" s="35" t="inlineStr">
        <is>
          <t>1 — Горячий</t>
        </is>
      </c>
      <c r="U8809" s="35" t="inlineStr">
        <is>
          <t>ОКВЭД + 22+</t>
        </is>
      </c>
      <c r="V8809" s="35" t="inlineStr">
        <is>
          <t>Да</t>
        </is>
      </c>
      <c r="W8809" s="35" t="inlineStr">
        <is>
          <t>Да</t>
        </is>
      </c>
      <c r="X8809" s="35" t="inlineStr">
        <is>
          <t>Да</t>
        </is>
      </c>
    </row>
    <row r="8810" ht="27.75" customHeight="1" s="24">
      <c r="A8810" s="13" t="n">
        <v>9843132</v>
      </c>
      <c r="B8810" s="13" t="inlineStr">
        <is>
          <t>Общество с ограниченной ответственностью "ЭКВИЛИБРИУМ"</t>
        </is>
      </c>
      <c r="C8810" s="13" t="n">
        <v>3812538479</v>
      </c>
      <c r="D8810" s="13" t="inlineStr">
        <is>
          <t>3812538479</t>
        </is>
      </c>
      <c r="E8810" s="13" t="inlineStr">
        <is>
          <t>ЮЛ РФ</t>
        </is>
      </c>
      <c r="F8810" s="13" t="n"/>
      <c r="G8810" s="14" t="n"/>
      <c r="H8810" s="14" t="n"/>
      <c r="I8810" s="14" t="n"/>
      <c r="J8810" s="14" t="n"/>
      <c r="K8810" s="53" t="inlineStr"/>
      <c r="L8810" s="53" t="inlineStr">
        <is>
          <t>Не определено</t>
        </is>
      </c>
      <c r="M8810" s="53" t="inlineStr"/>
      <c r="N8810" s="54" t="inlineStr"/>
      <c r="O8810" s="55" t="inlineStr"/>
      <c r="P8810" s="16" t="inlineStr">
        <is>
          <t>Требует обогащения</t>
        </is>
      </c>
      <c r="Q8810" s="16">
        <f>HYPERLINK("https://pb.nalog.ru/search.html?query=3812538479","ФНС: проверить")</f>
        <v/>
      </c>
      <c r="R8810" s="16">
        <f>HYPERLINK("https://checko.ru/search?query=3801001629","Чекко: проверить")</f>
        <v/>
      </c>
      <c r="S8810" t="n">
        <v>0</v>
      </c>
      <c r="T8810" s="35" t="inlineStr">
        <is>
          <t>4 — Не обогащён</t>
        </is>
      </c>
      <c r="U8810" s="35" t="inlineStr">
        <is>
          <t>Нет ОКВЭД/ССЧР</t>
        </is>
      </c>
      <c r="V8810" s="35" t="inlineStr">
        <is>
          <t>Не определено</t>
        </is>
      </c>
      <c r="W8810" s="35" t="inlineStr"/>
      <c r="X8810" s="35" t="inlineStr"/>
    </row>
    <row r="8811" ht="27.75" customHeight="1" s="24">
      <c r="A8811" s="13" t="n">
        <v>802456225</v>
      </c>
      <c r="B8811" s="13" t="inlineStr">
        <is>
          <t>ООО "Байкальский Горнолыжный Курорт "Гора Соболиная"</t>
        </is>
      </c>
      <c r="C8811" s="13" t="n">
        <v>3837002418</v>
      </c>
      <c r="D8811" s="13" t="inlineStr">
        <is>
          <t>3837002418</t>
        </is>
      </c>
      <c r="E8811" s="13" t="inlineStr">
        <is>
          <t>ЮЛ РФ</t>
        </is>
      </c>
      <c r="F8811" s="13" t="n"/>
      <c r="G8811" s="52" t="n">
        <v>213</v>
      </c>
      <c r="H8811" s="52" t="n">
        <v>2025</v>
      </c>
      <c r="I8811" s="52" t="inlineStr">
        <is>
          <t>55.10</t>
        </is>
      </c>
      <c r="J8811" s="52" t="inlineStr">
        <is>
          <t>55.10; 47.11; 56.10.1; 68.20.29; 73.11.9; 77.21; 86.90.9; 93.29.9; 96.04; 41.20; 42.91.5; 46.90; 47.64; 47.78.9; 49.39.2; 50.30; 56.10; 56.10.3; 56.30; 68.10; 68.20; 68.31.1; 68.31.2; 68.31.3; 68.31.4; 73.11; 77.11; 79.11; 86.90.4; 93.29; 95.29.2; 95.29.11; 96.01; 96.02</t>
        </is>
      </c>
      <c r="K8811" s="53" t="inlineStr">
        <is>
          <t>Да</t>
        </is>
      </c>
      <c r="L8811" s="53" t="inlineStr">
        <is>
          <t>Да</t>
        </is>
      </c>
      <c r="M8811" s="53" t="inlineStr">
        <is>
          <t>До 500</t>
        </is>
      </c>
      <c r="N8811" s="54" t="n">
        <v>144000</v>
      </c>
      <c r="O8811" s="55" t="inlineStr">
        <is>
          <t>201–500</t>
        </is>
      </c>
      <c r="P8811" s="16" t="inlineStr">
        <is>
          <t>ССЧР + ОКВЭД обогащены</t>
        </is>
      </c>
      <c r="Q8811" s="16" t="inlineStr">
        <is>
          <t>ФНС открытые данные ССЧР (ДатаСост 31.12.2025; набор 7707329152-sshr2019)</t>
        </is>
      </c>
      <c r="R8811" s="16" t="inlineStr">
        <is>
          <t>ЕГРЮЛ / egrul.nalog.ru (выписка)</t>
        </is>
      </c>
      <c r="S8811" t="n">
        <v>0</v>
      </c>
      <c r="T8811" s="35" t="inlineStr">
        <is>
          <t>1 — Горячий</t>
        </is>
      </c>
      <c r="U8811" s="35" t="inlineStr">
        <is>
          <t>ОКВЭД + 22+</t>
        </is>
      </c>
      <c r="V8811" s="35" t="inlineStr">
        <is>
          <t>Да</t>
        </is>
      </c>
      <c r="W8811" s="35" t="inlineStr">
        <is>
          <t>Да</t>
        </is>
      </c>
      <c r="X8811" s="35" t="inlineStr">
        <is>
          <t>Да</t>
        </is>
      </c>
    </row>
    <row r="8812" ht="15" customHeight="1" s="24">
      <c r="A8812" s="13" t="n">
        <v>9129339</v>
      </c>
      <c r="B8812" s="13" t="inlineStr">
        <is>
          <t>Иркут Взрывпром</t>
        </is>
      </c>
      <c r="C8812" s="13" t="n">
        <v>3808135220</v>
      </c>
      <c r="D8812" s="13" t="inlineStr">
        <is>
          <t>3808135220</t>
        </is>
      </c>
      <c r="E8812" s="13" t="inlineStr">
        <is>
          <t>ЮЛ РФ</t>
        </is>
      </c>
      <c r="F8812" s="13" t="n"/>
      <c r="G8812" s="52" t="n">
        <v>53</v>
      </c>
      <c r="H8812" s="52" t="n">
        <v>2025</v>
      </c>
      <c r="I8812" s="52" t="inlineStr">
        <is>
          <t>43.11</t>
        </is>
      </c>
      <c r="J8812" s="52" t="inlineStr">
        <is>
          <t>43.11; 20.51; 41.20; 42.11; 42.12; 42.13; 42.21; 42.22.1; 42.99; 43.12; 43.12.1; 43.12.3; 43.12.4; 43.13; 43.39; 43.99.7; 45.31.1; 46.17; 46.75.1; 46.75.2; 49.41.1; 52.10.9; 52.22.1; 56.10; 56.10.1; 56.10.3; 68.20; 69.10; 80.10; 80.20; 80.30</t>
        </is>
      </c>
      <c r="K8812" s="53" t="inlineStr">
        <is>
          <t>Да</t>
        </is>
      </c>
      <c r="L8812" s="53" t="inlineStr">
        <is>
          <t>Да</t>
        </is>
      </c>
      <c r="M8812" s="53" t="inlineStr">
        <is>
          <t>До 100</t>
        </is>
      </c>
      <c r="N8812" s="54" t="n">
        <v>33600</v>
      </c>
      <c r="O8812" s="55" t="inlineStr">
        <is>
          <t>51–100</t>
        </is>
      </c>
      <c r="P8812" s="16" t="inlineStr">
        <is>
          <t>ССЧР + ОКВЭД обогащены</t>
        </is>
      </c>
      <c r="Q8812" s="16" t="inlineStr">
        <is>
          <t>ФНС открытые данные ССЧР (ДатаСост 31.12.2025; набор 7707329152-sshr2019)</t>
        </is>
      </c>
      <c r="R8812" s="16" t="inlineStr">
        <is>
          <t>ЕГРЮЛ / egrul.nalog.ru (выписка)</t>
        </is>
      </c>
      <c r="S8812" t="n">
        <v>0</v>
      </c>
      <c r="T8812" s="35" t="inlineStr">
        <is>
          <t>1 — Горячий</t>
        </is>
      </c>
      <c r="U8812" s="35" t="inlineStr">
        <is>
          <t>ОКВЭД + 22+</t>
        </is>
      </c>
      <c r="V8812" s="35" t="inlineStr">
        <is>
          <t>Да</t>
        </is>
      </c>
      <c r="W8812" s="35" t="inlineStr">
        <is>
          <t>Да</t>
        </is>
      </c>
      <c r="X8812" s="35" t="inlineStr">
        <is>
          <t>Да</t>
        </is>
      </c>
    </row>
    <row r="8813" ht="27.75" customHeight="1" s="24">
      <c r="A8813" s="13" t="n">
        <v>801624190</v>
      </c>
      <c r="B8813" s="13" t="inlineStr">
        <is>
          <t>Индивидуальный предприниматель Ганин Рамиль Камильевич</t>
        </is>
      </c>
      <c r="C8813" s="13" t="n">
        <v>380200130197</v>
      </c>
      <c r="D8813" s="13" t="inlineStr">
        <is>
          <t>380200130197</t>
        </is>
      </c>
      <c r="E8813" s="13" t="inlineStr">
        <is>
          <t>ИП РФ / физлицо</t>
        </is>
      </c>
      <c r="F8813" s="13" t="n"/>
      <c r="G8813" s="14" t="n"/>
      <c r="H8813" s="14" t="n"/>
      <c r="I8813" s="14" t="n"/>
      <c r="J8813" s="14" t="n"/>
      <c r="K8813" s="53" t="inlineStr"/>
      <c r="L8813" s="53" t="inlineStr">
        <is>
          <t>Не определено</t>
        </is>
      </c>
      <c r="M8813" s="53" t="inlineStr"/>
      <c r="N8813" s="54" t="inlineStr"/>
      <c r="O8813" s="55" t="inlineStr"/>
      <c r="P8813" s="16" t="inlineStr">
        <is>
          <t>Требует обогащения</t>
        </is>
      </c>
      <c r="Q8813" s="16">
        <f>HYPERLINK("https://pb.nalog.ru/search.html?query=380200130197","ФНС: проверить")</f>
        <v/>
      </c>
      <c r="R8813" s="16">
        <f>HYPERLINK("https://checko.ru/search?query=3801001629","Чекко: проверить")</f>
        <v/>
      </c>
      <c r="S8813" t="n">
        <v>1</v>
      </c>
      <c r="T8813" s="35" t="inlineStr">
        <is>
          <t>4 — Не обогащён</t>
        </is>
      </c>
      <c r="U8813" s="35" t="inlineStr">
        <is>
          <t>Нет ОКВЭД/ССЧР</t>
        </is>
      </c>
      <c r="V8813" s="35" t="inlineStr">
        <is>
          <t>Не определено</t>
        </is>
      </c>
      <c r="W8813" s="35" t="inlineStr"/>
      <c r="X8813" s="35" t="inlineStr"/>
    </row>
    <row r="8814" ht="15" customHeight="1" s="24">
      <c r="A8814" s="13" t="inlineStr">
        <is>
          <t>FR57266</t>
        </is>
      </c>
      <c r="B8814" s="13" t="inlineStr">
        <is>
          <t>ПРОФИЗЫСКАНИЯ ООО</t>
        </is>
      </c>
      <c r="C8814" s="13" t="n">
        <v>3812152700</v>
      </c>
      <c r="D8814" s="13" t="inlineStr">
        <is>
          <t>3812152700</t>
        </is>
      </c>
      <c r="E8814" s="13" t="inlineStr">
        <is>
          <t>ЮЛ РФ</t>
        </is>
      </c>
      <c r="F8814" s="13" t="n"/>
      <c r="G8814" s="52" t="n">
        <v>11</v>
      </c>
      <c r="H8814" s="52" t="n">
        <v>2025</v>
      </c>
      <c r="I8814" s="14" t="n"/>
      <c r="J8814" s="14" t="n"/>
      <c r="K8814" s="53" t="inlineStr">
        <is>
          <t>Нет</t>
        </is>
      </c>
      <c r="L8814" s="53" t="inlineStr">
        <is>
          <t>Не определено</t>
        </is>
      </c>
      <c r="M8814" s="53" t="inlineStr">
        <is>
          <t>До 25</t>
        </is>
      </c>
      <c r="N8814" s="54" t="n">
        <v>8400</v>
      </c>
      <c r="O8814" s="55" t="inlineStr">
        <is>
          <t>1–15</t>
        </is>
      </c>
      <c r="P8814" s="16" t="inlineStr">
        <is>
          <t>ССЧР обогащена; ОКВЭД не найден/не загружен</t>
        </is>
      </c>
      <c r="Q8814" s="16" t="inlineStr">
        <is>
          <t>ФНС открытые данные ССЧР (ДатаСост 31.12.2025; набор 7707329152-sshr2019)</t>
        </is>
      </c>
      <c r="R8814" s="16">
        <f>HYPERLINK("https://checko.ru/search?query=3801001629","Чекко: проверить")</f>
        <v/>
      </c>
      <c r="S8814" t="n">
        <v>0</v>
      </c>
      <c r="T8814" s="35" t="inlineStr">
        <is>
          <t>4 — Не обогащён</t>
        </is>
      </c>
      <c r="U8814" s="35" t="inlineStr">
        <is>
          <t>Нет ОКВЭД/ССЧР</t>
        </is>
      </c>
      <c r="V8814" s="35" t="inlineStr">
        <is>
          <t>Не определено</t>
        </is>
      </c>
      <c r="W8814" s="35" t="inlineStr">
        <is>
          <t>Нет</t>
        </is>
      </c>
      <c r="X8814" s="35" t="inlineStr"/>
    </row>
    <row r="8815" ht="15" customHeight="1" s="24">
      <c r="A8815" s="13" t="n">
        <v>800611475</v>
      </c>
      <c r="B8815" s="13" t="inlineStr">
        <is>
          <t>ООО Инвертор</t>
        </is>
      </c>
      <c r="C8815" s="13" t="n">
        <v>3849011618</v>
      </c>
      <c r="D8815" s="13" t="inlineStr">
        <is>
          <t>3849011618</t>
        </is>
      </c>
      <c r="E8815" s="13" t="inlineStr">
        <is>
          <t>ЮЛ РФ</t>
        </is>
      </c>
      <c r="F8815" s="13" t="n"/>
      <c r="G8815" s="52" t="n">
        <v>33</v>
      </c>
      <c r="H8815" s="52" t="n">
        <v>2025</v>
      </c>
      <c r="I8815" s="52" t="inlineStr">
        <is>
          <t>18.11</t>
        </is>
      </c>
      <c r="J8815" s="52" t="inlineStr">
        <is>
          <t>18.11; 18.12; 25.11; 25.12; 33.12; 38.32.2; 38.32.3; 38.32.4; 41.20; 43.12; 43.21; 43.22; 43.39; 43.91; 43.99; 46.19; 46.90; 66.11; 66.11.2; 68.31; 84.24</t>
        </is>
      </c>
      <c r="K8815" s="53" t="inlineStr">
        <is>
          <t>Да</t>
        </is>
      </c>
      <c r="L8815" s="53" t="inlineStr">
        <is>
          <t>Да</t>
        </is>
      </c>
      <c r="M8815" s="53" t="inlineStr">
        <is>
          <t>До 50</t>
        </is>
      </c>
      <c r="N8815" s="54" t="n">
        <v>16800</v>
      </c>
      <c r="O8815" s="55" t="inlineStr">
        <is>
          <t>31–50</t>
        </is>
      </c>
      <c r="P8815" s="16" t="inlineStr">
        <is>
          <t>ССЧР + ОКВЭД обогащены</t>
        </is>
      </c>
      <c r="Q8815" s="16" t="inlineStr">
        <is>
          <t>ФНС открытые данные ССЧР (ДатаСост 31.12.2025; набор 7707329152-sshr2019)</t>
        </is>
      </c>
      <c r="R8815" s="16" t="inlineStr">
        <is>
          <t>ЕГРЮЛ / egrul.nalog.ru (выписка)</t>
        </is>
      </c>
      <c r="S8815" t="n">
        <v>0</v>
      </c>
      <c r="T8815" s="35" t="inlineStr">
        <is>
          <t>1 — Горячий</t>
        </is>
      </c>
      <c r="U8815" s="35" t="inlineStr">
        <is>
          <t>ОКВЭД + 22+</t>
        </is>
      </c>
      <c r="V8815" s="35" t="inlineStr">
        <is>
          <t>Да</t>
        </is>
      </c>
      <c r="W8815" s="35" t="inlineStr">
        <is>
          <t>Да</t>
        </is>
      </c>
      <c r="X8815" s="35" t="inlineStr">
        <is>
          <t>Да</t>
        </is>
      </c>
    </row>
    <row r="8816" ht="15" customHeight="1" s="24">
      <c r="A8816" s="13" t="inlineStr">
        <is>
          <t>FR88974</t>
        </is>
      </c>
      <c r="B8816" s="13" t="inlineStr">
        <is>
          <t>ИП Митрофанова Марина Болеславовна</t>
        </is>
      </c>
      <c r="C8816" s="13" t="n">
        <v>381205186558</v>
      </c>
      <c r="D8816" s="13" t="inlineStr">
        <is>
          <t>381205186558</t>
        </is>
      </c>
      <c r="E8816" s="13" t="inlineStr">
        <is>
          <t>ИП РФ / физлицо</t>
        </is>
      </c>
      <c r="F8816" s="13" t="n"/>
      <c r="G8816" s="14" t="n"/>
      <c r="H8816" s="14" t="n"/>
      <c r="I8816" s="14" t="n"/>
      <c r="J8816" s="14" t="n"/>
      <c r="K8816" s="53" t="inlineStr"/>
      <c r="L8816" s="53" t="inlineStr">
        <is>
          <t>Не определено</t>
        </is>
      </c>
      <c r="M8816" s="53" t="inlineStr"/>
      <c r="N8816" s="54" t="inlineStr"/>
      <c r="O8816" s="55" t="inlineStr"/>
      <c r="P8816" s="16" t="inlineStr">
        <is>
          <t>Требует обогащения</t>
        </is>
      </c>
      <c r="Q8816" s="16">
        <f>HYPERLINK("https://pb.nalog.ru/search.html?query=381205186558","ФНС: проверить")</f>
        <v/>
      </c>
      <c r="R8816" s="16">
        <f>HYPERLINK("https://checko.ru/search?query=3801001629","Чекко: проверить")</f>
        <v/>
      </c>
      <c r="S8816" t="n">
        <v>1</v>
      </c>
      <c r="T8816" s="35" t="inlineStr">
        <is>
          <t>4 — Не обогащён</t>
        </is>
      </c>
      <c r="U8816" s="35" t="inlineStr">
        <is>
          <t>Нет ОКВЭД/ССЧР</t>
        </is>
      </c>
      <c r="V8816" s="35" t="inlineStr">
        <is>
          <t>Не определено</t>
        </is>
      </c>
      <c r="W8816" s="35" t="inlineStr"/>
      <c r="X8816" s="35" t="inlineStr"/>
    </row>
    <row r="8817" ht="15" customHeight="1" s="24">
      <c r="A8817" s="13" t="inlineStr">
        <is>
          <t>FR144126</t>
        </is>
      </c>
      <c r="B8817" s="13" t="inlineStr">
        <is>
          <t>ИП Соляник Валентина Сергеевна</t>
        </is>
      </c>
      <c r="C8817" s="13" t="n">
        <v>771602582778</v>
      </c>
      <c r="D8817" s="13" t="inlineStr">
        <is>
          <t>771602582778</t>
        </is>
      </c>
      <c r="E8817" s="13" t="inlineStr">
        <is>
          <t>ИП РФ / физлицо</t>
        </is>
      </c>
      <c r="F8817" s="13" t="n"/>
      <c r="G8817" s="14" t="n"/>
      <c r="H8817" s="14" t="n"/>
      <c r="I8817" s="14" t="n"/>
      <c r="J8817" s="14" t="n"/>
      <c r="K8817" s="53" t="inlineStr"/>
      <c r="L8817" s="53" t="inlineStr">
        <is>
          <t>Не определено</t>
        </is>
      </c>
      <c r="M8817" s="53" t="inlineStr"/>
      <c r="N8817" s="54" t="inlineStr"/>
      <c r="O8817" s="55" t="inlineStr"/>
      <c r="P8817" s="16" t="inlineStr">
        <is>
          <t>Требует обогащения</t>
        </is>
      </c>
      <c r="Q8817" s="16">
        <f>HYPERLINK("https://pb.nalog.ru/search.html?query=771602582778","ФНС: проверить")</f>
        <v/>
      </c>
      <c r="R8817" s="16">
        <f>HYPERLINK("https://checko.ru/search?query=3801001629","Чекко: проверить")</f>
        <v/>
      </c>
      <c r="S8817" t="n">
        <v>0</v>
      </c>
      <c r="T8817" s="35" t="inlineStr">
        <is>
          <t>4 — Не обогащён</t>
        </is>
      </c>
      <c r="U8817" s="35" t="inlineStr">
        <is>
          <t>Нет ОКВЭД/ССЧР</t>
        </is>
      </c>
      <c r="V8817" s="35" t="inlineStr">
        <is>
          <t>Не определено</t>
        </is>
      </c>
      <c r="W8817" s="35" t="inlineStr"/>
      <c r="X8817" s="35" t="inlineStr"/>
    </row>
    <row r="8818" ht="15" customHeight="1" s="24">
      <c r="A8818" s="13" t="inlineStr">
        <is>
          <t>FR36025</t>
        </is>
      </c>
      <c r="B8818" s="13" t="inlineStr">
        <is>
          <t>ТАКСБЮРО, ООО</t>
        </is>
      </c>
      <c r="C8818" s="13" t="n">
        <v>7714900578</v>
      </c>
      <c r="D8818" s="13" t="inlineStr">
        <is>
          <t>7714900578</t>
        </is>
      </c>
      <c r="E8818" s="13" t="inlineStr">
        <is>
          <t>ЮЛ РФ</t>
        </is>
      </c>
      <c r="F8818" s="13" t="n"/>
      <c r="G8818" s="52" t="n">
        <v>8</v>
      </c>
      <c r="H8818" s="52" t="n">
        <v>2025</v>
      </c>
      <c r="I8818" s="14" t="n"/>
      <c r="J8818" s="14" t="n"/>
      <c r="K8818" s="53" t="inlineStr">
        <is>
          <t>Нет</t>
        </is>
      </c>
      <c r="L8818" s="53" t="inlineStr">
        <is>
          <t>Не определено</t>
        </is>
      </c>
      <c r="M8818" s="53" t="inlineStr">
        <is>
          <t>До 10</t>
        </is>
      </c>
      <c r="N8818" s="54" t="n">
        <v>3360</v>
      </c>
      <c r="O8818" s="55" t="inlineStr">
        <is>
          <t>1–15</t>
        </is>
      </c>
      <c r="P8818" s="16" t="inlineStr">
        <is>
          <t>ССЧР обогащена; ОКВЭД не найден/не загружен</t>
        </is>
      </c>
      <c r="Q8818" s="16" t="inlineStr">
        <is>
          <t>ФНС открытые данные ССЧР (ДатаСост 31.12.2025; набор 7707329152-sshr2019)</t>
        </is>
      </c>
      <c r="R8818" s="16">
        <f>HYPERLINK("https://checko.ru/search?query=3801001629","Чекко: проверить")</f>
        <v/>
      </c>
      <c r="S8818" t="n">
        <v>0</v>
      </c>
      <c r="T8818" s="35" t="inlineStr">
        <is>
          <t>4 — Не обогащён</t>
        </is>
      </c>
      <c r="U8818" s="35" t="inlineStr">
        <is>
          <t>Нет ОКВЭД/ССЧР</t>
        </is>
      </c>
      <c r="V8818" s="35" t="inlineStr">
        <is>
          <t>Не определено</t>
        </is>
      </c>
      <c r="W8818" s="35" t="inlineStr">
        <is>
          <t>Нет</t>
        </is>
      </c>
      <c r="X8818" s="35" t="inlineStr"/>
    </row>
    <row r="8819" ht="15" customHeight="1" s="24">
      <c r="A8819" s="13" t="inlineStr">
        <is>
          <t>FR659642</t>
        </is>
      </c>
      <c r="B8819" s="13" t="inlineStr">
        <is>
          <t>ФЛ Мельникова Алла Сергеевна</t>
        </is>
      </c>
      <c r="C8819" s="13" t="n">
        <v>503805854759</v>
      </c>
      <c r="D8819" s="13" t="inlineStr">
        <is>
          <t>503805854759</t>
        </is>
      </c>
      <c r="E8819" s="13" t="inlineStr">
        <is>
          <t>ИП РФ / физлицо</t>
        </is>
      </c>
      <c r="F8819" s="13" t="n"/>
      <c r="G8819" s="14" t="n"/>
      <c r="H8819" s="14" t="n"/>
      <c r="I8819" s="14" t="n"/>
      <c r="J8819" s="14" t="n"/>
      <c r="K8819" s="53" t="inlineStr"/>
      <c r="L8819" s="53" t="inlineStr">
        <is>
          <t>Не определено</t>
        </is>
      </c>
      <c r="M8819" s="53" t="inlineStr"/>
      <c r="N8819" s="54" t="inlineStr"/>
      <c r="O8819" s="55" t="inlineStr"/>
      <c r="P8819" s="16" t="inlineStr">
        <is>
          <t>Требует обогащения</t>
        </is>
      </c>
      <c r="Q8819" s="16">
        <f>HYPERLINK("https://pb.nalog.ru/search.html?query=503805854759","ФНС: проверить")</f>
        <v/>
      </c>
      <c r="R8819" s="16">
        <f>HYPERLINK("https://checko.ru/search?query=3801001629","Чекко: проверить")</f>
        <v/>
      </c>
      <c r="S8819" t="n">
        <v>1</v>
      </c>
      <c r="T8819" s="35" t="inlineStr">
        <is>
          <t>4 — Не обогащён</t>
        </is>
      </c>
      <c r="U8819" s="35" t="inlineStr">
        <is>
          <t>Нет ОКВЭД/ССЧР</t>
        </is>
      </c>
      <c r="V8819" s="35" t="inlineStr">
        <is>
          <t>Не определено</t>
        </is>
      </c>
      <c r="W8819" s="35" t="inlineStr"/>
      <c r="X8819" s="35" t="inlineStr"/>
    </row>
    <row r="8820" ht="41.25" customHeight="1" s="24">
      <c r="A8820" s="13" t="inlineStr">
        <is>
          <t>FR7206</t>
        </is>
      </c>
      <c r="B8820" s="13" t="inlineStr">
        <is>
          <t>Общество с ограниченной ответственностью "ЦЕНТР ПРОТЕЗИРОВАНИЯ, ОРТОПЕДИИ И РЕАБИЛИТАЦИИ "БАЙКАЛ-ОРТ</t>
        </is>
      </c>
      <c r="C8820" s="13" t="n">
        <v>3849102840</v>
      </c>
      <c r="D8820" s="13" t="inlineStr">
        <is>
          <t>3849102840</t>
        </is>
      </c>
      <c r="E8820" s="13" t="inlineStr">
        <is>
          <t>ЮЛ РФ</t>
        </is>
      </c>
      <c r="F8820" s="13" t="n"/>
      <c r="G8820" s="52" t="n">
        <v>2</v>
      </c>
      <c r="H8820" s="52" t="n">
        <v>2025</v>
      </c>
      <c r="I8820" s="14" t="n"/>
      <c r="J8820" s="14" t="n"/>
      <c r="K8820" s="53" t="inlineStr">
        <is>
          <t>Нет</t>
        </is>
      </c>
      <c r="L8820" s="53" t="inlineStr">
        <is>
          <t>Не определено</t>
        </is>
      </c>
      <c r="M8820" s="53" t="inlineStr">
        <is>
          <t>До 10</t>
        </is>
      </c>
      <c r="N8820" s="54" t="n">
        <v>3360</v>
      </c>
      <c r="O8820" s="55" t="inlineStr">
        <is>
          <t>1–15</t>
        </is>
      </c>
      <c r="P8820" s="16" t="inlineStr">
        <is>
          <t>ССЧР обогащена; ОКВЭД не найден/не загружен</t>
        </is>
      </c>
      <c r="Q8820" s="16" t="inlineStr">
        <is>
          <t>ФНС открытые данные ССЧР (ДатаСост 31.12.2025; набор 7707329152-sshr2019)</t>
        </is>
      </c>
      <c r="R8820" s="16">
        <f>HYPERLINK("https://checko.ru/search?query=3801001629","Чекко: проверить")</f>
        <v/>
      </c>
      <c r="S8820" t="n">
        <v>0</v>
      </c>
      <c r="T8820" s="35" t="inlineStr">
        <is>
          <t>4 — Не обогащён</t>
        </is>
      </c>
      <c r="U8820" s="35" t="inlineStr">
        <is>
          <t>Нет ОКВЭД/ССЧР</t>
        </is>
      </c>
      <c r="V8820" s="35" t="inlineStr">
        <is>
          <t>Не определено</t>
        </is>
      </c>
      <c r="W8820" s="35" t="inlineStr">
        <is>
          <t>Нет</t>
        </is>
      </c>
      <c r="X8820" s="35" t="inlineStr"/>
    </row>
    <row r="8821" ht="15" customHeight="1" s="24">
      <c r="A8821" s="13" t="n">
        <v>800643973</v>
      </c>
      <c r="B8821" s="13" t="inlineStr">
        <is>
          <t>ООО "БАЙКАЛЬСКИЕ МИНЕРАЛЫ"</t>
        </is>
      </c>
      <c r="C8821" s="13" t="n">
        <v>3843003593</v>
      </c>
      <c r="D8821" s="13" t="inlineStr">
        <is>
          <t>3843003593</t>
        </is>
      </c>
      <c r="E8821" s="13" t="inlineStr">
        <is>
          <t>ЮЛ РФ</t>
        </is>
      </c>
      <c r="F8821" s="13" t="n"/>
      <c r="G8821" s="52" t="n">
        <v>105</v>
      </c>
      <c r="H8821" s="52" t="n">
        <v>2025</v>
      </c>
      <c r="I8821" s="52" t="inlineStr">
        <is>
          <t>23.70.3</t>
        </is>
      </c>
      <c r="J8821" s="52" t="inlineStr">
        <is>
          <t>23.70.3; 16.10.1; 23.99.6; 46.90; 52.24.2; 73.20.1; 96.09</t>
        </is>
      </c>
      <c r="K8821" s="53" t="inlineStr">
        <is>
          <t>Да</t>
        </is>
      </c>
      <c r="L8821" s="53" t="inlineStr">
        <is>
          <t>Да</t>
        </is>
      </c>
      <c r="M8821" s="53" t="inlineStr">
        <is>
          <t>До 200</t>
        </is>
      </c>
      <c r="N8821" s="54" t="n">
        <v>62400</v>
      </c>
      <c r="O8821" s="55" t="inlineStr">
        <is>
          <t>101–200</t>
        </is>
      </c>
      <c r="P8821" s="16" t="inlineStr">
        <is>
          <t>ССЧР + ОКВЭД обогащены</t>
        </is>
      </c>
      <c r="Q8821" s="16" t="inlineStr">
        <is>
          <t>ФНС открытые данные ССЧР (ДатаСост 31.12.2025; набор 7707329152-sshr2019)</t>
        </is>
      </c>
      <c r="R8821" s="16" t="inlineStr">
        <is>
          <t>ЕГРЮЛ / egrul.nalog.ru (выписка)</t>
        </is>
      </c>
      <c r="S8821" t="n">
        <v>1</v>
      </c>
      <c r="T8821" s="35" t="inlineStr">
        <is>
          <t>1 — Горячий</t>
        </is>
      </c>
      <c r="U8821" s="35" t="inlineStr">
        <is>
          <t>ОКВЭД + 22+</t>
        </is>
      </c>
      <c r="V8821" s="35" t="inlineStr">
        <is>
          <t>Да</t>
        </is>
      </c>
      <c r="W8821" s="35" t="inlineStr">
        <is>
          <t>Да</t>
        </is>
      </c>
      <c r="X8821" s="35" t="inlineStr">
        <is>
          <t>Да</t>
        </is>
      </c>
    </row>
    <row r="8822" ht="15" customHeight="1" s="24">
      <c r="A8822" s="13" t="inlineStr">
        <is>
          <t>FR446435</t>
        </is>
      </c>
      <c r="B8822" s="13" t="inlineStr">
        <is>
          <t>ИП Бугаева Мария Ивановна</t>
        </is>
      </c>
      <c r="C8822" s="13" t="n">
        <v>860603752466</v>
      </c>
      <c r="D8822" s="13" t="inlineStr">
        <is>
          <t>860603752466</t>
        </is>
      </c>
      <c r="E8822" s="13" t="inlineStr">
        <is>
          <t>ИП РФ / физлицо</t>
        </is>
      </c>
      <c r="F8822" s="13" t="n"/>
      <c r="G8822" s="14" t="n"/>
      <c r="H8822" s="14" t="n"/>
      <c r="I8822" s="14" t="n"/>
      <c r="J8822" s="14" t="n"/>
      <c r="K8822" s="53" t="inlineStr"/>
      <c r="L8822" s="53" t="inlineStr">
        <is>
          <t>Не определено</t>
        </is>
      </c>
      <c r="M8822" s="53" t="inlineStr"/>
      <c r="N8822" s="54" t="inlineStr"/>
      <c r="O8822" s="55" t="inlineStr"/>
      <c r="P8822" s="16" t="inlineStr">
        <is>
          <t>Требует обогащения</t>
        </is>
      </c>
      <c r="Q8822" s="16">
        <f>HYPERLINK("https://pb.nalog.ru/search.html?query=860603752466","ФНС: проверить")</f>
        <v/>
      </c>
      <c r="R8822" s="16">
        <f>HYPERLINK("https://checko.ru/search?query=3801001629","Чекко: проверить")</f>
        <v/>
      </c>
      <c r="S8822" t="n">
        <v>0</v>
      </c>
      <c r="T8822" s="35" t="inlineStr">
        <is>
          <t>4 — Не обогащён</t>
        </is>
      </c>
      <c r="U8822" s="35" t="inlineStr">
        <is>
          <t>Нет ОКВЭД/ССЧР</t>
        </is>
      </c>
      <c r="V8822" s="35" t="inlineStr">
        <is>
          <t>Не определено</t>
        </is>
      </c>
      <c r="W8822" s="35" t="inlineStr"/>
      <c r="X8822" s="35" t="inlineStr"/>
    </row>
    <row r="8823" ht="15" customHeight="1" s="24">
      <c r="A8823" s="13" t="n">
        <v>800837344</v>
      </c>
      <c r="B8823" s="13" t="inlineStr">
        <is>
          <t>Бонис-Консалтинг</t>
        </is>
      </c>
      <c r="C8823" s="13" t="n">
        <v>7813536418</v>
      </c>
      <c r="D8823" s="13" t="inlineStr">
        <is>
          <t>7813536418</t>
        </is>
      </c>
      <c r="E8823" s="13" t="inlineStr">
        <is>
          <t>ЮЛ РФ</t>
        </is>
      </c>
      <c r="F8823" s="13" t="n"/>
      <c r="G8823" s="52" t="n">
        <v>1</v>
      </c>
      <c r="H8823" s="52" t="n">
        <v>2025</v>
      </c>
      <c r="I8823" s="14" t="n"/>
      <c r="J8823" s="14" t="n"/>
      <c r="K8823" s="53" t="inlineStr">
        <is>
          <t>Нет</t>
        </is>
      </c>
      <c r="L8823" s="53" t="inlineStr">
        <is>
          <t>Не определено</t>
        </is>
      </c>
      <c r="M8823" s="53" t="inlineStr">
        <is>
          <t>До 10</t>
        </is>
      </c>
      <c r="N8823" s="54" t="n">
        <v>3360</v>
      </c>
      <c r="O8823" s="55" t="inlineStr">
        <is>
          <t>1–15</t>
        </is>
      </c>
      <c r="P8823" s="16" t="inlineStr">
        <is>
          <t>ССЧР обогащена; ОКВЭД не найден/не загружен</t>
        </is>
      </c>
      <c r="Q8823" s="16" t="inlineStr">
        <is>
          <t>ФНС открытые данные ССЧР (ДатаСост 31.12.2025; набор 7707329152-sshr2019)</t>
        </is>
      </c>
      <c r="R8823" s="16">
        <f>HYPERLINK("https://checko.ru/search?query=3801001629","Чекко: проверить")</f>
        <v/>
      </c>
      <c r="S8823" t="n">
        <v>1</v>
      </c>
      <c r="T8823" s="35" t="inlineStr">
        <is>
          <t>4 — Не обогащён</t>
        </is>
      </c>
      <c r="U8823" s="35" t="inlineStr">
        <is>
          <t>Нет ОКВЭД/ССЧР</t>
        </is>
      </c>
      <c r="V8823" s="35" t="inlineStr">
        <is>
          <t>Не определено</t>
        </is>
      </c>
      <c r="W8823" s="35" t="inlineStr">
        <is>
          <t>Нет</t>
        </is>
      </c>
      <c r="X8823" s="35" t="inlineStr"/>
    </row>
    <row r="8824" ht="15" customHeight="1" s="24">
      <c r="A8824" s="13" t="inlineStr">
        <is>
          <t>FR247031</t>
        </is>
      </c>
      <c r="B8824" s="13" t="inlineStr">
        <is>
          <t>КЦ ДОЗОР 2, ООО</t>
        </is>
      </c>
      <c r="C8824" s="13" t="n">
        <v>7203448658</v>
      </c>
      <c r="D8824" s="13" t="inlineStr">
        <is>
          <t>7203448658</t>
        </is>
      </c>
      <c r="E8824" s="13" t="inlineStr">
        <is>
          <t>ЮЛ РФ</t>
        </is>
      </c>
      <c r="F8824" s="13" t="n"/>
      <c r="G8824" s="52" t="n">
        <v>1</v>
      </c>
      <c r="H8824" s="52" t="n">
        <v>2025</v>
      </c>
      <c r="I8824" s="14" t="n"/>
      <c r="J8824" s="14" t="n"/>
      <c r="K8824" s="53" t="inlineStr">
        <is>
          <t>Нет</t>
        </is>
      </c>
      <c r="L8824" s="53" t="inlineStr">
        <is>
          <t>Не определено</t>
        </is>
      </c>
      <c r="M8824" s="53" t="inlineStr">
        <is>
          <t>До 10</t>
        </is>
      </c>
      <c r="N8824" s="54" t="n">
        <v>3360</v>
      </c>
      <c r="O8824" s="55" t="inlineStr">
        <is>
          <t>1–15</t>
        </is>
      </c>
      <c r="P8824" s="16" t="inlineStr">
        <is>
          <t>ССЧР обогащена; ОКВЭД не найден/не загружен</t>
        </is>
      </c>
      <c r="Q8824" s="16" t="inlineStr">
        <is>
          <t>ФНС открытые данные ССЧР (ДатаСост 31.12.2025; набор 7707329152-sshr2019)</t>
        </is>
      </c>
      <c r="R8824" s="16">
        <f>HYPERLINK("https://checko.ru/search?query=3801001629","Чекко: проверить")</f>
        <v/>
      </c>
      <c r="S8824" t="n">
        <v>0</v>
      </c>
      <c r="T8824" s="35" t="inlineStr">
        <is>
          <t>4 — Не обогащён</t>
        </is>
      </c>
      <c r="U8824" s="35" t="inlineStr">
        <is>
          <t>Нет ОКВЭД/ССЧР</t>
        </is>
      </c>
      <c r="V8824" s="35" t="inlineStr">
        <is>
          <t>Не определено</t>
        </is>
      </c>
      <c r="W8824" s="35" t="inlineStr">
        <is>
          <t>Нет</t>
        </is>
      </c>
      <c r="X8824" s="35" t="inlineStr"/>
    </row>
    <row r="8825" ht="15" customHeight="1" s="24">
      <c r="A8825" s="13" t="inlineStr">
        <is>
          <t>FR77360</t>
        </is>
      </c>
      <c r="B8825" s="13" t="inlineStr">
        <is>
          <t>ИП Борисенко Юлия Александровна</t>
        </is>
      </c>
      <c r="C8825" s="13" t="n">
        <v>381009402410</v>
      </c>
      <c r="D8825" s="13" t="inlineStr">
        <is>
          <t>381009402410</t>
        </is>
      </c>
      <c r="E8825" s="13" t="inlineStr">
        <is>
          <t>ИП РФ / физлицо</t>
        </is>
      </c>
      <c r="F8825" s="13" t="n"/>
      <c r="G8825" s="14" t="n"/>
      <c r="H8825" s="14" t="n"/>
      <c r="I8825" s="14" t="n"/>
      <c r="J8825" s="14" t="n"/>
      <c r="K8825" s="53" t="inlineStr"/>
      <c r="L8825" s="53" t="inlineStr">
        <is>
          <t>Не определено</t>
        </is>
      </c>
      <c r="M8825" s="53" t="inlineStr"/>
      <c r="N8825" s="54" t="inlineStr"/>
      <c r="O8825" s="55" t="inlineStr"/>
      <c r="P8825" s="16" t="inlineStr">
        <is>
          <t>Требует обогащения</t>
        </is>
      </c>
      <c r="Q8825" s="16">
        <f>HYPERLINK("https://pb.nalog.ru/search.html?query=381009402410","ФНС: проверить")</f>
        <v/>
      </c>
      <c r="R8825" s="16">
        <f>HYPERLINK("https://checko.ru/search?query=3801001629","Чекко: проверить")</f>
        <v/>
      </c>
      <c r="S8825" t="n">
        <v>1</v>
      </c>
      <c r="T8825" s="35" t="inlineStr">
        <is>
          <t>4 — Не обогащён</t>
        </is>
      </c>
      <c r="U8825" s="35" t="inlineStr">
        <is>
          <t>Нет ОКВЭД/ССЧР</t>
        </is>
      </c>
      <c r="V8825" s="35" t="inlineStr">
        <is>
          <t>Не определено</t>
        </is>
      </c>
      <c r="W8825" s="35" t="inlineStr"/>
      <c r="X8825" s="35" t="inlineStr"/>
    </row>
    <row r="8826" ht="15" customHeight="1" s="24">
      <c r="A8826" s="13" t="n">
        <v>801988008</v>
      </c>
      <c r="B8826" s="13" t="inlineStr">
        <is>
          <t>МАУ "КУЛЬТУРА-СЕРВИС"</t>
        </is>
      </c>
      <c r="C8826" s="13" t="n">
        <v>3814018771</v>
      </c>
      <c r="D8826" s="13" t="inlineStr">
        <is>
          <t>3814018771</t>
        </is>
      </c>
      <c r="E8826" s="13" t="inlineStr">
        <is>
          <t>ЮЛ РФ</t>
        </is>
      </c>
      <c r="F8826" s="13" t="n"/>
      <c r="G8826" s="14" t="n"/>
      <c r="H8826" s="14" t="n"/>
      <c r="I8826" s="14" t="n"/>
      <c r="J8826" s="14" t="n"/>
      <c r="K8826" s="53" t="inlineStr"/>
      <c r="L8826" s="53" t="inlineStr">
        <is>
          <t>Не определено</t>
        </is>
      </c>
      <c r="M8826" s="53" t="inlineStr"/>
      <c r="N8826" s="54" t="inlineStr"/>
      <c r="O8826" s="55" t="inlineStr"/>
      <c r="P8826" s="16" t="inlineStr">
        <is>
          <t>Требует обогащения</t>
        </is>
      </c>
      <c r="Q8826" s="16">
        <f>HYPERLINK("https://pb.nalog.ru/search.html?query=3814018771","ФНС: проверить")</f>
        <v/>
      </c>
      <c r="R8826" s="16">
        <f>HYPERLINK("https://checko.ru/search?query=3801001629","Чекко: проверить")</f>
        <v/>
      </c>
      <c r="S8826" t="n">
        <v>0</v>
      </c>
      <c r="T8826" s="35" t="inlineStr">
        <is>
          <t>4 — Не обогащён</t>
        </is>
      </c>
      <c r="U8826" s="35" t="inlineStr">
        <is>
          <t>Нет ОКВЭД/ССЧР</t>
        </is>
      </c>
      <c r="V8826" s="35" t="inlineStr">
        <is>
          <t>Не определено</t>
        </is>
      </c>
      <c r="W8826" s="35" t="inlineStr"/>
      <c r="X8826" s="35" t="inlineStr"/>
    </row>
    <row r="8827" ht="15" customHeight="1" s="24">
      <c r="A8827" s="13" t="inlineStr">
        <is>
          <t>FR39427</t>
        </is>
      </c>
      <c r="B8827" s="13" t="inlineStr">
        <is>
          <t>ООО "ХЕЛП"</t>
        </is>
      </c>
      <c r="C8827" s="13" t="n">
        <v>1660125833</v>
      </c>
      <c r="D8827" s="13" t="inlineStr">
        <is>
          <t>1660125833</t>
        </is>
      </c>
      <c r="E8827" s="13" t="inlineStr">
        <is>
          <t>ЮЛ РФ</t>
        </is>
      </c>
      <c r="F8827" s="13" t="n"/>
      <c r="G8827" s="52" t="n">
        <v>4</v>
      </c>
      <c r="H8827" s="52" t="n">
        <v>2025</v>
      </c>
      <c r="I8827" s="14" t="n"/>
      <c r="J8827" s="14" t="n"/>
      <c r="K8827" s="53" t="inlineStr">
        <is>
          <t>Нет</t>
        </is>
      </c>
      <c r="L8827" s="53" t="inlineStr">
        <is>
          <t>Не определено</t>
        </is>
      </c>
      <c r="M8827" s="53" t="inlineStr">
        <is>
          <t>До 10</t>
        </is>
      </c>
      <c r="N8827" s="54" t="n">
        <v>3360</v>
      </c>
      <c r="O8827" s="55" t="inlineStr">
        <is>
          <t>1–15</t>
        </is>
      </c>
      <c r="P8827" s="16" t="inlineStr">
        <is>
          <t>ССЧР обогащена; ОКВЭД не найден/не загружен</t>
        </is>
      </c>
      <c r="Q8827" s="16" t="inlineStr">
        <is>
          <t>ФНС открытые данные ССЧР (ДатаСост 31.12.2025; набор 7707329152-sshr2019)</t>
        </is>
      </c>
      <c r="R8827" s="16">
        <f>HYPERLINK("https://checko.ru/search?query=3801001629","Чекко: проверить")</f>
        <v/>
      </c>
      <c r="S8827" t="n">
        <v>0</v>
      </c>
      <c r="T8827" s="35" t="inlineStr">
        <is>
          <t>4 — Не обогащён</t>
        </is>
      </c>
      <c r="U8827" s="35" t="inlineStr">
        <is>
          <t>Нет ОКВЭД/ССЧР</t>
        </is>
      </c>
      <c r="V8827" s="35" t="inlineStr">
        <is>
          <t>Не определено</t>
        </is>
      </c>
      <c r="W8827" s="35" t="inlineStr">
        <is>
          <t>Нет</t>
        </is>
      </c>
      <c r="X8827" s="35" t="inlineStr"/>
    </row>
    <row r="8828" ht="15" customHeight="1" s="24">
      <c r="A8828" s="13" t="n">
        <v>802465212</v>
      </c>
      <c r="B8828" s="13" t="inlineStr">
        <is>
          <t>ООО "ВЕКТОР ФИТНЕС ХОЛЛ"</t>
        </is>
      </c>
      <c r="C8828" s="13" t="n">
        <v>3811445077</v>
      </c>
      <c r="D8828" s="13" t="inlineStr">
        <is>
          <t>3811445077</t>
        </is>
      </c>
      <c r="E8828" s="13" t="inlineStr">
        <is>
          <t>ЮЛ РФ</t>
        </is>
      </c>
      <c r="F8828" s="13" t="n"/>
      <c r="G8828" s="52" t="n">
        <v>21</v>
      </c>
      <c r="H8828" s="52" t="n">
        <v>2025</v>
      </c>
      <c r="I8828" s="14" t="n"/>
      <c r="J8828" s="14" t="n"/>
      <c r="K8828" s="53" t="inlineStr">
        <is>
          <t>Нет</t>
        </is>
      </c>
      <c r="L8828" s="53" t="inlineStr">
        <is>
          <t>Не определено</t>
        </is>
      </c>
      <c r="M8828" s="53" t="inlineStr">
        <is>
          <t>До 25</t>
        </is>
      </c>
      <c r="N8828" s="54" t="n">
        <v>8400</v>
      </c>
      <c r="O8828" s="55" t="inlineStr">
        <is>
          <t>16–30</t>
        </is>
      </c>
      <c r="P8828" s="16" t="inlineStr">
        <is>
          <t>ССЧР обогащена; ОКВЭД не найден/не загружен</t>
        </is>
      </c>
      <c r="Q8828" s="16" t="inlineStr">
        <is>
          <t>ФНС открытые данные ССЧР (ДатаСост 31.12.2025; набор 7707329152-sshr2019)</t>
        </is>
      </c>
      <c r="R8828" s="16">
        <f>HYPERLINK("https://checko.ru/search?query=3801001629","Чекко: проверить")</f>
        <v/>
      </c>
      <c r="S8828" t="n">
        <v>0</v>
      </c>
      <c r="T8828" s="35" t="inlineStr">
        <is>
          <t>4 — Не обогащён</t>
        </is>
      </c>
      <c r="U8828" s="35" t="inlineStr">
        <is>
          <t>Нет ОКВЭД/ССЧР</t>
        </is>
      </c>
      <c r="V8828" s="35" t="inlineStr">
        <is>
          <t>Не определено</t>
        </is>
      </c>
      <c r="W8828" s="35" t="inlineStr">
        <is>
          <t>Нет</t>
        </is>
      </c>
      <c r="X8828" s="35" t="inlineStr"/>
    </row>
    <row r="8829" ht="15" customHeight="1" s="24">
      <c r="A8829" s="13" t="n">
        <v>803018125</v>
      </c>
      <c r="B8829" s="13" t="inlineStr">
        <is>
          <t>ВАШ БУХГАЛТЕР ООО</t>
        </is>
      </c>
      <c r="C8829" s="13" t="n">
        <v>3811460131</v>
      </c>
      <c r="D8829" s="13" t="inlineStr">
        <is>
          <t>3811460131</t>
        </is>
      </c>
      <c r="E8829" s="13" t="inlineStr">
        <is>
          <t>ЮЛ РФ</t>
        </is>
      </c>
      <c r="F8829" s="13" t="n"/>
      <c r="G8829" s="52" t="n">
        <v>4</v>
      </c>
      <c r="H8829" s="52" t="n">
        <v>2025</v>
      </c>
      <c r="I8829" s="14" t="n"/>
      <c r="J8829" s="14" t="n"/>
      <c r="K8829" s="53" t="inlineStr">
        <is>
          <t>Нет</t>
        </is>
      </c>
      <c r="L8829" s="53" t="inlineStr">
        <is>
          <t>Не определено</t>
        </is>
      </c>
      <c r="M8829" s="53" t="inlineStr">
        <is>
          <t>До 10</t>
        </is>
      </c>
      <c r="N8829" s="54" t="n">
        <v>3360</v>
      </c>
      <c r="O8829" s="55" t="inlineStr">
        <is>
          <t>1–15</t>
        </is>
      </c>
      <c r="P8829" s="16" t="inlineStr">
        <is>
          <t>ССЧР обогащена; ОКВЭД не найден/не загружен</t>
        </is>
      </c>
      <c r="Q8829" s="16" t="inlineStr">
        <is>
          <t>ФНС открытые данные ССЧР (ДатаСост 31.12.2025; набор 7707329152-sshr2019)</t>
        </is>
      </c>
      <c r="R8829" s="16">
        <f>HYPERLINK("https://checko.ru/search?query=3801001629","Чекко: проверить")</f>
        <v/>
      </c>
      <c r="S8829" t="n">
        <v>0</v>
      </c>
      <c r="T8829" s="35" t="inlineStr">
        <is>
          <t>4 — Не обогащён</t>
        </is>
      </c>
      <c r="U8829" s="35" t="inlineStr">
        <is>
          <t>Нет ОКВЭД/ССЧР</t>
        </is>
      </c>
      <c r="V8829" s="35" t="inlineStr">
        <is>
          <t>Не определено</t>
        </is>
      </c>
      <c r="W8829" s="35" t="inlineStr">
        <is>
          <t>Нет</t>
        </is>
      </c>
      <c r="X8829" s="35" t="inlineStr"/>
    </row>
    <row r="8830" ht="15" customHeight="1" s="24">
      <c r="A8830" s="13" t="inlineStr">
        <is>
          <t>FR144126</t>
        </is>
      </c>
      <c r="B8830" s="13" t="inlineStr">
        <is>
          <t>ИП Соляник Валентина Сергеевна</t>
        </is>
      </c>
      <c r="C8830" s="13" t="n">
        <v>771602582778</v>
      </c>
      <c r="D8830" s="13" t="inlineStr">
        <is>
          <t>771602582778</t>
        </is>
      </c>
      <c r="E8830" s="13" t="inlineStr">
        <is>
          <t>ИП РФ / физлицо</t>
        </is>
      </c>
      <c r="F8830" s="13" t="n"/>
      <c r="G8830" s="14" t="n"/>
      <c r="H8830" s="14" t="n"/>
      <c r="I8830" s="14" t="n"/>
      <c r="J8830" s="14" t="n"/>
      <c r="K8830" s="53" t="inlineStr"/>
      <c r="L8830" s="53" t="inlineStr">
        <is>
          <t>Не определено</t>
        </is>
      </c>
      <c r="M8830" s="53" t="inlineStr"/>
      <c r="N8830" s="54" t="inlineStr"/>
      <c r="O8830" s="55" t="inlineStr"/>
      <c r="P8830" s="16" t="inlineStr">
        <is>
          <t>Требует обогащения</t>
        </is>
      </c>
      <c r="Q8830" s="16">
        <f>HYPERLINK("https://pb.nalog.ru/search.html?query=771602582778","ФНС: проверить")</f>
        <v/>
      </c>
      <c r="R8830" s="16">
        <f>HYPERLINK("https://checko.ru/search?query=3801001629","Чекко: проверить")</f>
        <v/>
      </c>
      <c r="S8830" t="n">
        <v>0</v>
      </c>
      <c r="T8830" s="35" t="inlineStr">
        <is>
          <t>4 — Не обогащён</t>
        </is>
      </c>
      <c r="U8830" s="35" t="inlineStr">
        <is>
          <t>Нет ОКВЭД/ССЧР</t>
        </is>
      </c>
      <c r="V8830" s="35" t="inlineStr">
        <is>
          <t>Не определено</t>
        </is>
      </c>
      <c r="W8830" s="35" t="inlineStr"/>
      <c r="X8830" s="35" t="inlineStr"/>
    </row>
    <row r="8831" ht="27.75" customHeight="1" s="24">
      <c r="A8831" s="13" t="n">
        <v>9843132</v>
      </c>
      <c r="B8831" s="13" t="inlineStr">
        <is>
          <t>Общество с ограниченной ответственностью "ЭКВИЛИБРИУМ"</t>
        </is>
      </c>
      <c r="C8831" s="13" t="n">
        <v>3812538479</v>
      </c>
      <c r="D8831" s="13" t="inlineStr">
        <is>
          <t>3812538479</t>
        </is>
      </c>
      <c r="E8831" s="13" t="inlineStr">
        <is>
          <t>ЮЛ РФ</t>
        </is>
      </c>
      <c r="F8831" s="13" t="n"/>
      <c r="G8831" s="14" t="n"/>
      <c r="H8831" s="14" t="n"/>
      <c r="I8831" s="14" t="n"/>
      <c r="J8831" s="14" t="n"/>
      <c r="K8831" s="53" t="inlineStr"/>
      <c r="L8831" s="53" t="inlineStr">
        <is>
          <t>Не определено</t>
        </is>
      </c>
      <c r="M8831" s="53" t="inlineStr"/>
      <c r="N8831" s="54" t="inlineStr"/>
      <c r="O8831" s="55" t="inlineStr"/>
      <c r="P8831" s="16" t="inlineStr">
        <is>
          <t>Требует обогащения</t>
        </is>
      </c>
      <c r="Q8831" s="16">
        <f>HYPERLINK("https://pb.nalog.ru/search.html?query=3812538479","ФНС: проверить")</f>
        <v/>
      </c>
      <c r="R8831" s="16">
        <f>HYPERLINK("https://checko.ru/search?query=3801001629","Чекко: проверить")</f>
        <v/>
      </c>
      <c r="S8831" t="n">
        <v>0</v>
      </c>
      <c r="T8831" s="35" t="inlineStr">
        <is>
          <t>4 — Не обогащён</t>
        </is>
      </c>
      <c r="U8831" s="35" t="inlineStr">
        <is>
          <t>Нет ОКВЭД/ССЧР</t>
        </is>
      </c>
      <c r="V8831" s="35" t="inlineStr">
        <is>
          <t>Не определено</t>
        </is>
      </c>
      <c r="W8831" s="35" t="inlineStr"/>
      <c r="X8831" s="35" t="inlineStr"/>
    </row>
    <row r="8832" ht="15" customHeight="1" s="24">
      <c r="A8832" s="13" t="n">
        <v>802457342</v>
      </c>
      <c r="B8832" s="13" t="inlineStr">
        <is>
          <t>ООО "МАГИСТРАЛЬЛОГИСТИК"</t>
        </is>
      </c>
      <c r="C8832" s="13" t="n">
        <v>3818031445</v>
      </c>
      <c r="D8832" s="13" t="inlineStr">
        <is>
          <t>3818031445</t>
        </is>
      </c>
      <c r="E8832" s="13" t="inlineStr">
        <is>
          <t>ЮЛ РФ</t>
        </is>
      </c>
      <c r="F8832" s="13" t="n"/>
      <c r="G8832" s="52" t="n">
        <v>316</v>
      </c>
      <c r="H8832" s="52" t="n">
        <v>2025</v>
      </c>
      <c r="I8832" s="52" t="inlineStr">
        <is>
          <t>42.21</t>
        </is>
      </c>
      <c r="J8832" s="52" t="inlineStr">
        <is>
          <t>42.21; 06.10; 06.20; 09.10.1; 09.10.2; 09.10.3; 09.10.4; 09.10.9; 16.23.1; 33.17; 41.10; 41.20; 42.11; 42.12; 42.13; 42.22; 42.91; 42.99; 43.11; 43.12; 43.21; 43.22; 43.29; 43.31; 43.33; 43.34; 43.39; 43.99; 45.20; 45.31; 45.32; 45.40; 46.12; 46.13; 46.17; 46.18; 46.19; 46.34; 46.38; 46.39; 46.43; 46.44; 46.61; 46.69; 46.71; 46.71.3; 46.71.4; 46.71.5; 46.71.51; 46.71.52; 46.72; 46.73; 46.73.6; 47.11; 47.19; 47.25; 47.29; 47.30; 47.43; 47.52; 47.54; 47.59; 47.81; 47.99; 49.39; 49.42; 52.10; 52.21; 52.24; 52.29; 56.10; 56.10.3; 56.29; 68.10; 68.20; 71.12; 71.20; 77.11; 77.12; 77.32; 77.39; 86.90</t>
        </is>
      </c>
      <c r="K8832" s="53" t="inlineStr">
        <is>
          <t>Да</t>
        </is>
      </c>
      <c r="L8832" s="53" t="inlineStr">
        <is>
          <t>Да</t>
        </is>
      </c>
      <c r="M8832" s="53" t="inlineStr">
        <is>
          <t>До 500</t>
        </is>
      </c>
      <c r="N8832" s="54" t="n">
        <v>144000</v>
      </c>
      <c r="O8832" s="55" t="inlineStr">
        <is>
          <t>201–500</t>
        </is>
      </c>
      <c r="P8832" s="16" t="inlineStr">
        <is>
          <t>ССЧР + ОКВЭД обогащены</t>
        </is>
      </c>
      <c r="Q8832" s="16" t="inlineStr">
        <is>
          <t>ФНС открытые данные ССЧР (ДатаСост 31.12.2025; набор 7707329152-sshr2019)</t>
        </is>
      </c>
      <c r="R8832" s="16" t="inlineStr">
        <is>
          <t>ЕГРЮЛ / egrul.nalog.ru (выписка)</t>
        </is>
      </c>
      <c r="S8832" t="n">
        <v>0</v>
      </c>
      <c r="T8832" s="35" t="inlineStr">
        <is>
          <t>1 — Горячий</t>
        </is>
      </c>
      <c r="U8832" s="35" t="inlineStr">
        <is>
          <t>ОКВЭД + 22+</t>
        </is>
      </c>
      <c r="V8832" s="35" t="inlineStr">
        <is>
          <t>Да</t>
        </is>
      </c>
      <c r="W8832" s="35" t="inlineStr">
        <is>
          <t>Да</t>
        </is>
      </c>
      <c r="X8832" s="35" t="inlineStr">
        <is>
          <t>Да</t>
        </is>
      </c>
    </row>
    <row r="8833" ht="15" customHeight="1" s="24">
      <c r="A8833" s="13" t="n">
        <v>802453335</v>
      </c>
      <c r="B8833" s="13" t="inlineStr">
        <is>
          <t>ИП Осташков Максим Олегович</t>
        </is>
      </c>
      <c r="C8833" s="13" t="n">
        <v>381258591207</v>
      </c>
      <c r="D8833" s="13" t="inlineStr">
        <is>
          <t>381258591207</t>
        </is>
      </c>
      <c r="E8833" s="13" t="inlineStr">
        <is>
          <t>ИП РФ / физлицо</t>
        </is>
      </c>
      <c r="F8833" s="13" t="n"/>
      <c r="G8833" s="14" t="n"/>
      <c r="H8833" s="14" t="n"/>
      <c r="I8833" s="14" t="n"/>
      <c r="J8833" s="14" t="n"/>
      <c r="K8833" s="53" t="inlineStr"/>
      <c r="L8833" s="53" t="inlineStr">
        <is>
          <t>Не определено</t>
        </is>
      </c>
      <c r="M8833" s="53" t="inlineStr"/>
      <c r="N8833" s="54" t="inlineStr"/>
      <c r="O8833" s="55" t="inlineStr"/>
      <c r="P8833" s="16" t="inlineStr">
        <is>
          <t>Требует обогащения</t>
        </is>
      </c>
      <c r="Q8833" s="16">
        <f>HYPERLINK("https://pb.nalog.ru/search.html?query=381258591207","ФНС: проверить")</f>
        <v/>
      </c>
      <c r="R8833" s="16">
        <f>HYPERLINK("https://checko.ru/search?query=3801001629","Чекко: проверить")</f>
        <v/>
      </c>
      <c r="S8833" t="n">
        <v>0</v>
      </c>
      <c r="T8833" s="35" t="inlineStr">
        <is>
          <t>4 — Не обогащён</t>
        </is>
      </c>
      <c r="U8833" s="35" t="inlineStr">
        <is>
          <t>Нет ОКВЭД/ССЧР</t>
        </is>
      </c>
      <c r="V8833" s="35" t="inlineStr">
        <is>
          <t>Не определено</t>
        </is>
      </c>
      <c r="W8833" s="35" t="inlineStr"/>
      <c r="X8833" s="35" t="inlineStr"/>
    </row>
    <row r="8834" ht="27.75" customHeight="1" s="24">
      <c r="A8834" s="13" t="inlineStr">
        <is>
          <t>FR1176048</t>
        </is>
      </c>
      <c r="B8834" s="13" t="inlineStr">
        <is>
          <t>Общество с ограниченной ответственностью "СТЕПП-МОНТАЖ"</t>
        </is>
      </c>
      <c r="C8834" s="13" t="n">
        <v>3827066211</v>
      </c>
      <c r="D8834" s="13" t="inlineStr">
        <is>
          <t>3827066211</t>
        </is>
      </c>
      <c r="E8834" s="13" t="inlineStr">
        <is>
          <t>ЮЛ РФ</t>
        </is>
      </c>
      <c r="F8834" s="13" t="n"/>
      <c r="G8834" s="52" t="n">
        <v>16</v>
      </c>
      <c r="H8834" s="52" t="n">
        <v>2025</v>
      </c>
      <c r="I8834" s="14" t="n"/>
      <c r="J8834" s="14" t="n"/>
      <c r="K8834" s="53" t="inlineStr">
        <is>
          <t>Нет</t>
        </is>
      </c>
      <c r="L8834" s="53" t="inlineStr">
        <is>
          <t>Не определено</t>
        </is>
      </c>
      <c r="M8834" s="53" t="inlineStr">
        <is>
          <t>До 25</t>
        </is>
      </c>
      <c r="N8834" s="54" t="n">
        <v>8400</v>
      </c>
      <c r="O8834" s="55" t="inlineStr">
        <is>
          <t>16–30</t>
        </is>
      </c>
      <c r="P8834" s="16" t="inlineStr">
        <is>
          <t>ССЧР обогащена; ОКВЭД не найден/не загружен</t>
        </is>
      </c>
      <c r="Q8834" s="16" t="inlineStr">
        <is>
          <t>ФНС открытые данные ССЧР (ДатаСост 31.12.2025; набор 7707329152-sshr2019)</t>
        </is>
      </c>
      <c r="R8834" s="16">
        <f>HYPERLINK("https://checko.ru/search?query=3801001629","Чекко: проверить")</f>
        <v/>
      </c>
      <c r="S8834" t="n">
        <v>1</v>
      </c>
      <c r="T8834" s="35" t="inlineStr">
        <is>
          <t>4 — Не обогащён</t>
        </is>
      </c>
      <c r="U8834" s="35" t="inlineStr">
        <is>
          <t>Нет ОКВЭД/ССЧР</t>
        </is>
      </c>
      <c r="V8834" s="35" t="inlineStr">
        <is>
          <t>Не определено</t>
        </is>
      </c>
      <c r="W8834" s="35" t="inlineStr">
        <is>
          <t>Нет</t>
        </is>
      </c>
      <c r="X8834" s="35" t="inlineStr"/>
    </row>
    <row r="8835" ht="15" customHeight="1" s="24">
      <c r="A8835" s="13" t="n">
        <v>9989774</v>
      </c>
      <c r="B8835" s="13" t="inlineStr">
        <is>
          <t>Артель старателей Витим</t>
        </is>
      </c>
      <c r="C8835" s="13" t="n">
        <v>3802007817</v>
      </c>
      <c r="D8835" s="13" t="inlineStr">
        <is>
          <t>3802007817</t>
        </is>
      </c>
      <c r="E8835" s="13" t="inlineStr">
        <is>
          <t>ЮЛ РФ</t>
        </is>
      </c>
      <c r="F8835" s="13" t="n"/>
      <c r="G8835" s="52" t="n">
        <v>1424</v>
      </c>
      <c r="H8835" s="52" t="n">
        <v>2025</v>
      </c>
      <c r="I8835" s="52" t="inlineStr">
        <is>
          <t>07.29.41</t>
        </is>
      </c>
      <c r="J8835" s="52" t="inlineStr">
        <is>
          <t>07.29.41; 01.41.21; 01.42.11; 01.46.11; 35.30.14; 46.77; 49.41.3; 52.21.22; 68.20.29; 02.20; 16.10; 16.10.9; 28.92; 43.12; 43.99; 50.40; 71.12.3</t>
        </is>
      </c>
      <c r="K8835" s="53" t="inlineStr">
        <is>
          <t>Да</t>
        </is>
      </c>
      <c r="L8835" s="53" t="inlineStr">
        <is>
          <t>Да</t>
        </is>
      </c>
      <c r="M8835" s="53" t="inlineStr">
        <is>
          <t>До 2000</t>
        </is>
      </c>
      <c r="N8835" s="54" t="n">
        <v>528000</v>
      </c>
      <c r="O8835" s="55" t="inlineStr">
        <is>
          <t>500+</t>
        </is>
      </c>
      <c r="P8835" s="16" t="inlineStr">
        <is>
          <t>ССЧР + ОКВЭД обогащены</t>
        </is>
      </c>
      <c r="Q8835" s="16" t="inlineStr">
        <is>
          <t>ФНС открытые данные ССЧР (ДатаСост 31.12.2025; набор 7707329152-sshr2019)</t>
        </is>
      </c>
      <c r="R8835" s="16" t="inlineStr">
        <is>
          <t>ЕГРЮЛ / egrul.nalog.ru (выписка)</t>
        </is>
      </c>
      <c r="S8835" t="n">
        <v>1</v>
      </c>
      <c r="T8835" s="35" t="inlineStr">
        <is>
          <t>1 — Горячий</t>
        </is>
      </c>
      <c r="U8835" s="35" t="inlineStr">
        <is>
          <t>ОКВЭД + 22+</t>
        </is>
      </c>
      <c r="V8835" s="35" t="inlineStr">
        <is>
          <t>Да</t>
        </is>
      </c>
      <c r="W8835" s="35" t="inlineStr">
        <is>
          <t>Да</t>
        </is>
      </c>
      <c r="X8835" s="35" t="inlineStr">
        <is>
          <t>Да</t>
        </is>
      </c>
    </row>
    <row r="8836" ht="41.25" customHeight="1" s="24">
      <c r="A8836" s="13" t="inlineStr">
        <is>
          <t>FR1241296</t>
        </is>
      </c>
      <c r="B8836" s="13" t="inlineStr">
        <is>
          <t>Общество с ограниченной ответственностью "БАЙКАЛЬСКАЯ ТЕПЛОЭНЕРГЕТИЧЕСКАЯ КОМПАНИЯ"</t>
        </is>
      </c>
      <c r="C8836" s="13" t="n">
        <v>3812989721</v>
      </c>
      <c r="D8836" s="13" t="inlineStr">
        <is>
          <t>3812989721</t>
        </is>
      </c>
      <c r="E8836" s="13" t="inlineStr">
        <is>
          <t>ЮЛ РФ</t>
        </is>
      </c>
      <c r="F8836" s="13" t="n"/>
      <c r="G8836" s="52" t="n">
        <v>9</v>
      </c>
      <c r="H8836" s="52" t="n">
        <v>2025</v>
      </c>
      <c r="I8836" s="14" t="n"/>
      <c r="J8836" s="14" t="n"/>
      <c r="K8836" s="53" t="inlineStr">
        <is>
          <t>Нет</t>
        </is>
      </c>
      <c r="L8836" s="53" t="inlineStr">
        <is>
          <t>Не определено</t>
        </is>
      </c>
      <c r="M8836" s="53" t="inlineStr">
        <is>
          <t>До 10</t>
        </is>
      </c>
      <c r="N8836" s="54" t="n">
        <v>3360</v>
      </c>
      <c r="O8836" s="55" t="inlineStr">
        <is>
          <t>1–15</t>
        </is>
      </c>
      <c r="P8836" s="16" t="inlineStr">
        <is>
          <t>ССЧР обогащена; ОКВЭД не найден/не загружен</t>
        </is>
      </c>
      <c r="Q8836" s="16" t="inlineStr">
        <is>
          <t>ФНС открытые данные ССЧР (ДатаСост 31.12.2025; набор 7707329152-sshr2019)</t>
        </is>
      </c>
      <c r="R8836" s="16">
        <f>HYPERLINK("https://checko.ru/search?query=3801001629","Чекко: проверить")</f>
        <v/>
      </c>
      <c r="S8836" t="n">
        <v>0</v>
      </c>
      <c r="T8836" s="35" t="inlineStr">
        <is>
          <t>4 — Не обогащён</t>
        </is>
      </c>
      <c r="U8836" s="35" t="inlineStr">
        <is>
          <t>Нет ОКВЭД/ССЧР</t>
        </is>
      </c>
      <c r="V8836" s="35" t="inlineStr">
        <is>
          <t>Не определено</t>
        </is>
      </c>
      <c r="W8836" s="35" t="inlineStr">
        <is>
          <t>Нет</t>
        </is>
      </c>
      <c r="X8836" s="35" t="inlineStr"/>
    </row>
    <row r="8837" ht="15" customHeight="1" s="24">
      <c r="A8837" s="13" t="inlineStr">
        <is>
          <t>FR741</t>
        </is>
      </c>
      <c r="B8837" s="13" t="inlineStr">
        <is>
          <t>ООО "ГРУППА КОМПАНИЙ "ГЛОБАЛ"</t>
        </is>
      </c>
      <c r="C8837" s="13" t="n">
        <v>2724212211</v>
      </c>
      <c r="D8837" s="13" t="inlineStr">
        <is>
          <t>2724212211</t>
        </is>
      </c>
      <c r="E8837" s="13" t="inlineStr">
        <is>
          <t>ЮЛ РФ</t>
        </is>
      </c>
      <c r="F8837" s="13" t="n"/>
      <c r="G8837" s="52" t="n">
        <v>677</v>
      </c>
      <c r="H8837" s="52" t="n">
        <v>2025</v>
      </c>
      <c r="I8837" s="52" t="inlineStr">
        <is>
          <t>49.41.1</t>
        </is>
      </c>
      <c r="J8837" s="52" t="inlineStr">
        <is>
          <t>49.41.1; 41.20; 42.11; 42.12; 42.13; 43.11; 43.12.1; 43.13; 43.99.5; 43.99.7; 46.13; 46.13.1; 46.13.2; 46.19; 46.49; 46.71; 46.73.6; 46.90; 47.91.2; 47.91.3; 47.91.4; 49.31.25; 49.32; 49.41.2; 49.41.3; 52.29; 53.20.3; 62.01; 62.02; 68.10; 71.12.3; 73.11; 79.11; 82.99</t>
        </is>
      </c>
      <c r="K8837" s="53" t="inlineStr">
        <is>
          <t>Да</t>
        </is>
      </c>
      <c r="L8837" s="53" t="inlineStr">
        <is>
          <t>Да</t>
        </is>
      </c>
      <c r="M8837" s="53" t="inlineStr">
        <is>
          <t>До 2000</t>
        </is>
      </c>
      <c r="N8837" s="54" t="n">
        <v>528000</v>
      </c>
      <c r="O8837" s="55" t="inlineStr">
        <is>
          <t>500+</t>
        </is>
      </c>
      <c r="P8837" s="16" t="inlineStr">
        <is>
          <t>ССЧР + ОКВЭД обогащены</t>
        </is>
      </c>
      <c r="Q8837" s="16" t="inlineStr">
        <is>
          <t>ФНС открытые данные ССЧР (ДатаСост 31.12.2025; набор 7707329152-sshr2019)</t>
        </is>
      </c>
      <c r="R8837" s="16" t="inlineStr">
        <is>
          <t>ЕГРЮЛ / egrul.nalog.ru (выписка)</t>
        </is>
      </c>
      <c r="S8837" t="n">
        <v>0</v>
      </c>
      <c r="T8837" s="35" t="inlineStr">
        <is>
          <t>1 — Горячий</t>
        </is>
      </c>
      <c r="U8837" s="35" t="inlineStr">
        <is>
          <t>ОКВЭД + 22+</t>
        </is>
      </c>
      <c r="V8837" s="35" t="inlineStr">
        <is>
          <t>Да</t>
        </is>
      </c>
      <c r="W8837" s="35" t="inlineStr">
        <is>
          <t>Да</t>
        </is>
      </c>
      <c r="X8837" s="35" t="inlineStr">
        <is>
          <t>Да</t>
        </is>
      </c>
    </row>
    <row r="8838" ht="15" customHeight="1" s="24">
      <c r="A8838" s="13" t="n">
        <v>802465315</v>
      </c>
      <c r="B8838" s="13" t="inlineStr">
        <is>
          <t>Водоканал г. Иркутска МУП</t>
        </is>
      </c>
      <c r="C8838" s="13" t="n">
        <v>3807000276</v>
      </c>
      <c r="D8838" s="13" t="inlineStr">
        <is>
          <t>3807000276</t>
        </is>
      </c>
      <c r="E8838" s="13" t="inlineStr">
        <is>
          <t>ЮЛ РФ</t>
        </is>
      </c>
      <c r="F8838" s="13" t="n"/>
      <c r="G8838" s="14" t="n"/>
      <c r="H8838" s="14" t="n"/>
      <c r="I8838" s="14" t="n"/>
      <c r="J8838" s="14" t="n"/>
      <c r="K8838" s="53" t="inlineStr"/>
      <c r="L8838" s="53" t="inlineStr">
        <is>
          <t>Не определено</t>
        </is>
      </c>
      <c r="M8838" s="53" t="inlineStr"/>
      <c r="N8838" s="54" t="inlineStr"/>
      <c r="O8838" s="55" t="inlineStr"/>
      <c r="P8838" s="16" t="inlineStr">
        <is>
          <t>Требует обогащения</t>
        </is>
      </c>
      <c r="Q8838" s="16">
        <f>HYPERLINK("https://pb.nalog.ru/search.html?query=3807000276","ФНС: проверить")</f>
        <v/>
      </c>
      <c r="R8838" s="16">
        <f>HYPERLINK("https://checko.ru/search?query=3801001629","Чекко: проверить")</f>
        <v/>
      </c>
      <c r="S8838" t="n">
        <v>0</v>
      </c>
      <c r="T8838" s="35" t="inlineStr">
        <is>
          <t>4 — Не обогащён</t>
        </is>
      </c>
      <c r="U8838" s="35" t="inlineStr">
        <is>
          <t>Нет ОКВЭД/ССЧР</t>
        </is>
      </c>
      <c r="V8838" s="35" t="inlineStr">
        <is>
          <t>Не определено</t>
        </is>
      </c>
      <c r="W8838" s="35" t="inlineStr"/>
      <c r="X8838" s="35" t="inlineStr"/>
    </row>
    <row r="8839" ht="15" customHeight="1" s="24">
      <c r="A8839" s="13" t="inlineStr">
        <is>
          <t>FR476048</t>
        </is>
      </c>
      <c r="B8839" s="13" t="inlineStr">
        <is>
          <t>ИП Ипполитова Дарья Сергеевна</t>
        </is>
      </c>
      <c r="C8839" s="13" t="n">
        <v>380411769916</v>
      </c>
      <c r="D8839" s="13" t="inlineStr">
        <is>
          <t>380411769916</t>
        </is>
      </c>
      <c r="E8839" s="13" t="inlineStr">
        <is>
          <t>ИП РФ / физлицо</t>
        </is>
      </c>
      <c r="F8839" s="13" t="n"/>
      <c r="G8839" s="14" t="n"/>
      <c r="H8839" s="14" t="n"/>
      <c r="I8839" s="14" t="n"/>
      <c r="J8839" s="14" t="n"/>
      <c r="K8839" s="53" t="inlineStr"/>
      <c r="L8839" s="53" t="inlineStr">
        <is>
          <t>Не определено</t>
        </is>
      </c>
      <c r="M8839" s="53" t="inlineStr"/>
      <c r="N8839" s="54" t="inlineStr"/>
      <c r="O8839" s="55" t="inlineStr"/>
      <c r="P8839" s="16" t="inlineStr">
        <is>
          <t>Требует обогащения</t>
        </is>
      </c>
      <c r="Q8839" s="16">
        <f>HYPERLINK("https://pb.nalog.ru/search.html?query=380411769916","ФНС: проверить")</f>
        <v/>
      </c>
      <c r="R8839" s="16">
        <f>HYPERLINK("https://checko.ru/search?query=3801001629","Чекко: проверить")</f>
        <v/>
      </c>
      <c r="S8839" t="n">
        <v>0</v>
      </c>
      <c r="T8839" s="35" t="inlineStr">
        <is>
          <t>4 — Не обогащён</t>
        </is>
      </c>
      <c r="U8839" s="35" t="inlineStr">
        <is>
          <t>Нет ОКВЭД/ССЧР</t>
        </is>
      </c>
      <c r="V8839" s="35" t="inlineStr">
        <is>
          <t>Не определено</t>
        </is>
      </c>
      <c r="W8839" s="35" t="inlineStr"/>
      <c r="X8839" s="35" t="inlineStr"/>
    </row>
    <row r="8840" ht="15" customHeight="1" s="24">
      <c r="A8840" s="13" t="inlineStr">
        <is>
          <t>FR1175850</t>
        </is>
      </c>
      <c r="B8840" s="13" t="inlineStr">
        <is>
          <t>ИП Кононов Денис Владимирович</t>
        </is>
      </c>
      <c r="C8840" s="13" t="n">
        <v>381100091517</v>
      </c>
      <c r="D8840" s="13" t="inlineStr">
        <is>
          <t>381100091517</t>
        </is>
      </c>
      <c r="E8840" s="13" t="inlineStr">
        <is>
          <t>ИП РФ / физлицо</t>
        </is>
      </c>
      <c r="F8840" s="13" t="n"/>
      <c r="G8840" s="14" t="n"/>
      <c r="H8840" s="14" t="n"/>
      <c r="I8840" s="14" t="n"/>
      <c r="J8840" s="14" t="n"/>
      <c r="K8840" s="53" t="inlineStr"/>
      <c r="L8840" s="53" t="inlineStr">
        <is>
          <t>Не определено</t>
        </is>
      </c>
      <c r="M8840" s="53" t="inlineStr"/>
      <c r="N8840" s="54" t="inlineStr"/>
      <c r="O8840" s="55" t="inlineStr"/>
      <c r="P8840" s="16" t="inlineStr">
        <is>
          <t>Требует обогащения</t>
        </is>
      </c>
      <c r="Q8840" s="16">
        <f>HYPERLINK("https://pb.nalog.ru/search.html?query=381100091517","ФНС: проверить")</f>
        <v/>
      </c>
      <c r="R8840" s="16">
        <f>HYPERLINK("https://checko.ru/search?query=3801001629","Чекко: проверить")</f>
        <v/>
      </c>
      <c r="S8840" t="n">
        <v>1</v>
      </c>
      <c r="T8840" s="35" t="inlineStr">
        <is>
          <t>4 — Не обогащён</t>
        </is>
      </c>
      <c r="U8840" s="35" t="inlineStr">
        <is>
          <t>Нет ОКВЭД/ССЧР</t>
        </is>
      </c>
      <c r="V8840" s="35" t="inlineStr">
        <is>
          <t>Не определено</t>
        </is>
      </c>
      <c r="W8840" s="35" t="inlineStr"/>
      <c r="X8840" s="35" t="inlineStr"/>
    </row>
    <row r="8841" ht="27.75" customHeight="1" s="24">
      <c r="A8841" s="13" t="inlineStr">
        <is>
          <t>FR1198287</t>
        </is>
      </c>
      <c r="B8841" s="13" t="inlineStr">
        <is>
          <t>Общество с ограниченной ответственностью "ТРИЛИОН И К"</t>
        </is>
      </c>
      <c r="C8841" s="13" t="n">
        <v>3808142668</v>
      </c>
      <c r="D8841" s="13" t="inlineStr">
        <is>
          <t>3808142668</t>
        </is>
      </c>
      <c r="E8841" s="13" t="inlineStr">
        <is>
          <t>ЮЛ РФ</t>
        </is>
      </c>
      <c r="F8841" s="13" t="n"/>
      <c r="G8841" s="52" t="n">
        <v>1</v>
      </c>
      <c r="H8841" s="52" t="n">
        <v>2025</v>
      </c>
      <c r="I8841" s="14" t="n"/>
      <c r="J8841" s="14" t="n"/>
      <c r="K8841" s="53" t="inlineStr">
        <is>
          <t>Нет</t>
        </is>
      </c>
      <c r="L8841" s="53" t="inlineStr">
        <is>
          <t>Не определено</t>
        </is>
      </c>
      <c r="M8841" s="53" t="inlineStr">
        <is>
          <t>До 10</t>
        </is>
      </c>
      <c r="N8841" s="54" t="n">
        <v>3360</v>
      </c>
      <c r="O8841" s="55" t="inlineStr">
        <is>
          <t>1–15</t>
        </is>
      </c>
      <c r="P8841" s="16" t="inlineStr">
        <is>
          <t>ССЧР обогащена; ОКВЭД не найден/не загружен</t>
        </is>
      </c>
      <c r="Q8841" s="16" t="inlineStr">
        <is>
          <t>ФНС открытые данные ССЧР (ДатаСост 31.12.2025; набор 7707329152-sshr2019)</t>
        </is>
      </c>
      <c r="R8841" s="16">
        <f>HYPERLINK("https://checko.ru/search?query=3801001629","Чекко: проверить")</f>
        <v/>
      </c>
      <c r="S8841" t="n">
        <v>1</v>
      </c>
      <c r="T8841" s="35" t="inlineStr">
        <is>
          <t>4 — Не обогащён</t>
        </is>
      </c>
      <c r="U8841" s="35" t="inlineStr">
        <is>
          <t>Нет ОКВЭД/ССЧР</t>
        </is>
      </c>
      <c r="V8841" s="35" t="inlineStr">
        <is>
          <t>Не определено</t>
        </is>
      </c>
      <c r="W8841" s="35" t="inlineStr">
        <is>
          <t>Нет</t>
        </is>
      </c>
      <c r="X8841" s="35" t="inlineStr"/>
    </row>
    <row r="8842" ht="15" customHeight="1" s="24">
      <c r="A8842" s="13" t="inlineStr">
        <is>
          <t>FR1198288</t>
        </is>
      </c>
      <c r="B8842" s="13" t="inlineStr">
        <is>
          <t>ООО "ПТО"</t>
        </is>
      </c>
      <c r="C8842" s="13" t="n">
        <v>3827056245</v>
      </c>
      <c r="D8842" s="13" t="inlineStr">
        <is>
          <t>3827056245</t>
        </is>
      </c>
      <c r="E8842" s="13" t="inlineStr">
        <is>
          <t>ЮЛ РФ</t>
        </is>
      </c>
      <c r="F8842" s="13" t="n"/>
      <c r="G8842" s="52" t="n">
        <v>3</v>
      </c>
      <c r="H8842" s="52" t="n">
        <v>2025</v>
      </c>
      <c r="I8842" s="14" t="n"/>
      <c r="J8842" s="14" t="n"/>
      <c r="K8842" s="53" t="inlineStr">
        <is>
          <t>Нет</t>
        </is>
      </c>
      <c r="L8842" s="53" t="inlineStr">
        <is>
          <t>Не определено</t>
        </is>
      </c>
      <c r="M8842" s="53" t="inlineStr">
        <is>
          <t>До 10</t>
        </is>
      </c>
      <c r="N8842" s="54" t="n">
        <v>3360</v>
      </c>
      <c r="O8842" s="55" t="inlineStr">
        <is>
          <t>1–15</t>
        </is>
      </c>
      <c r="P8842" s="16" t="inlineStr">
        <is>
          <t>ССЧР обогащена; ОКВЭД не найден/не загружен</t>
        </is>
      </c>
      <c r="Q8842" s="16" t="inlineStr">
        <is>
          <t>ФНС открытые данные ССЧР (ДатаСост 31.12.2025; набор 7707329152-sshr2019)</t>
        </is>
      </c>
      <c r="R8842" s="16">
        <f>HYPERLINK("https://checko.ru/search?query=3801001629","Чекко: проверить")</f>
        <v/>
      </c>
      <c r="S8842" t="n">
        <v>1</v>
      </c>
      <c r="T8842" s="35" t="inlineStr">
        <is>
          <t>4 — Не обогащён</t>
        </is>
      </c>
      <c r="U8842" s="35" t="inlineStr">
        <is>
          <t>Нет ОКВЭД/ССЧР</t>
        </is>
      </c>
      <c r="V8842" s="35" t="inlineStr">
        <is>
          <t>Не определено</t>
        </is>
      </c>
      <c r="W8842" s="35" t="inlineStr">
        <is>
          <t>Нет</t>
        </is>
      </c>
      <c r="X8842" s="35" t="inlineStr"/>
    </row>
    <row r="8843" ht="27.75" customHeight="1" s="24">
      <c r="A8843" s="13" t="inlineStr">
        <is>
          <t>FR1209090</t>
        </is>
      </c>
      <c r="B8843" s="13" t="inlineStr">
        <is>
          <t>Общество с ограниченной ответственностью "СИБПРОМРЕСУРС"</t>
        </is>
      </c>
      <c r="C8843" s="13" t="n">
        <v>3827041680</v>
      </c>
      <c r="D8843" s="13" t="inlineStr">
        <is>
          <t>3827041680</t>
        </is>
      </c>
      <c r="E8843" s="13" t="inlineStr">
        <is>
          <t>ЮЛ РФ</t>
        </is>
      </c>
      <c r="F8843" s="13" t="n"/>
      <c r="G8843" s="52" t="n">
        <v>10</v>
      </c>
      <c r="H8843" s="52" t="n">
        <v>2025</v>
      </c>
      <c r="I8843" s="14" t="n"/>
      <c r="J8843" s="14" t="n"/>
      <c r="K8843" s="53" t="inlineStr">
        <is>
          <t>Нет</t>
        </is>
      </c>
      <c r="L8843" s="53" t="inlineStr">
        <is>
          <t>Не определено</t>
        </is>
      </c>
      <c r="M8843" s="53" t="inlineStr">
        <is>
          <t>До 10</t>
        </is>
      </c>
      <c r="N8843" s="54" t="n">
        <v>3360</v>
      </c>
      <c r="O8843" s="55" t="inlineStr">
        <is>
          <t>1–15</t>
        </is>
      </c>
      <c r="P8843" s="16" t="inlineStr">
        <is>
          <t>ССЧР обогащена; ОКВЭД не найден/не загружен</t>
        </is>
      </c>
      <c r="Q8843" s="16" t="inlineStr">
        <is>
          <t>ФНС открытые данные ССЧР (ДатаСост 31.12.2025; набор 7707329152-sshr2019)</t>
        </is>
      </c>
      <c r="R8843" s="16">
        <f>HYPERLINK("https://checko.ru/search?query=3801001629","Чекко: проверить")</f>
        <v/>
      </c>
      <c r="S8843" t="n">
        <v>1</v>
      </c>
      <c r="T8843" s="35" t="inlineStr">
        <is>
          <t>4 — Не обогащён</t>
        </is>
      </c>
      <c r="U8843" s="35" t="inlineStr">
        <is>
          <t>Нет ОКВЭД/ССЧР</t>
        </is>
      </c>
      <c r="V8843" s="35" t="inlineStr">
        <is>
          <t>Не определено</t>
        </is>
      </c>
      <c r="W8843" s="35" t="inlineStr">
        <is>
          <t>Нет</t>
        </is>
      </c>
      <c r="X8843" s="35" t="inlineStr"/>
    </row>
    <row r="8844" ht="27.75" customHeight="1" s="24">
      <c r="A8844" s="13" t="inlineStr">
        <is>
          <t>FR1212397</t>
        </is>
      </c>
      <c r="B8844" s="13" t="inlineStr">
        <is>
          <t>Общество с ограниченной ответственностью "СИБТРАНСЭКСПЕРТ"</t>
        </is>
      </c>
      <c r="C8844" s="13" t="n">
        <v>3827066324</v>
      </c>
      <c r="D8844" s="13" t="inlineStr">
        <is>
          <t>3827066324</t>
        </is>
      </c>
      <c r="E8844" s="13" t="inlineStr">
        <is>
          <t>ЮЛ РФ</t>
        </is>
      </c>
      <c r="F8844" s="13" t="n"/>
      <c r="G8844" s="52" t="n">
        <v>1</v>
      </c>
      <c r="H8844" s="52" t="n">
        <v>2025</v>
      </c>
      <c r="I8844" s="14" t="n"/>
      <c r="J8844" s="14" t="n"/>
      <c r="K8844" s="53" t="inlineStr">
        <is>
          <t>Нет</t>
        </is>
      </c>
      <c r="L8844" s="53" t="inlineStr">
        <is>
          <t>Не определено</t>
        </is>
      </c>
      <c r="M8844" s="53" t="inlineStr">
        <is>
          <t>До 10</t>
        </is>
      </c>
      <c r="N8844" s="54" t="n">
        <v>3360</v>
      </c>
      <c r="O8844" s="55" t="inlineStr">
        <is>
          <t>1–15</t>
        </is>
      </c>
      <c r="P8844" s="16" t="inlineStr">
        <is>
          <t>ССЧР обогащена; ОКВЭД не найден/не загружен</t>
        </is>
      </c>
      <c r="Q8844" s="16" t="inlineStr">
        <is>
          <t>ФНС открытые данные ССЧР (ДатаСост 31.12.2025; набор 7707329152-sshr2019)</t>
        </is>
      </c>
      <c r="R8844" s="16">
        <f>HYPERLINK("https://checko.ru/search?query=3801001629","Чекко: проверить")</f>
        <v/>
      </c>
      <c r="S8844" t="n">
        <v>1</v>
      </c>
      <c r="T8844" s="35" t="inlineStr">
        <is>
          <t>4 — Не обогащён</t>
        </is>
      </c>
      <c r="U8844" s="35" t="inlineStr">
        <is>
          <t>Нет ОКВЭД/ССЧР</t>
        </is>
      </c>
      <c r="V8844" s="35" t="inlineStr">
        <is>
          <t>Не определено</t>
        </is>
      </c>
      <c r="W8844" s="35" t="inlineStr">
        <is>
          <t>Нет</t>
        </is>
      </c>
      <c r="X8844" s="35" t="inlineStr"/>
    </row>
    <row r="8845" ht="27.75" customHeight="1" s="24">
      <c r="A8845" s="13" t="inlineStr">
        <is>
          <t>FR1227570</t>
        </is>
      </c>
      <c r="B8845" s="13" t="inlineStr">
        <is>
          <t>Общество с ограниченной ответственностью "ЭЛЬБРУС"</t>
        </is>
      </c>
      <c r="C8845" s="13" t="n">
        <v>3808198910</v>
      </c>
      <c r="D8845" s="13" t="inlineStr">
        <is>
          <t>3808198910</t>
        </is>
      </c>
      <c r="E8845" s="13" t="inlineStr">
        <is>
          <t>ЮЛ РФ</t>
        </is>
      </c>
      <c r="F8845" s="13" t="n"/>
      <c r="G8845" s="52" t="n">
        <v>1</v>
      </c>
      <c r="H8845" s="52" t="n">
        <v>2025</v>
      </c>
      <c r="I8845" s="14" t="n"/>
      <c r="J8845" s="14" t="n"/>
      <c r="K8845" s="53" t="inlineStr">
        <is>
          <t>Нет</t>
        </is>
      </c>
      <c r="L8845" s="53" t="inlineStr">
        <is>
          <t>Не определено</t>
        </is>
      </c>
      <c r="M8845" s="53" t="inlineStr">
        <is>
          <t>До 10</t>
        </is>
      </c>
      <c r="N8845" s="54" t="n">
        <v>3360</v>
      </c>
      <c r="O8845" s="55" t="inlineStr">
        <is>
          <t>1–15</t>
        </is>
      </c>
      <c r="P8845" s="16" t="inlineStr">
        <is>
          <t>ССЧР обогащена; ОКВЭД не найден/не загружен</t>
        </is>
      </c>
      <c r="Q8845" s="16" t="inlineStr">
        <is>
          <t>ФНС открытые данные ССЧР (ДатаСост 31.12.2025; набор 7707329152-sshr2019)</t>
        </is>
      </c>
      <c r="R8845" s="16">
        <f>HYPERLINK("https://checko.ru/search?query=3801001629","Чекко: проверить")</f>
        <v/>
      </c>
      <c r="S8845" t="n">
        <v>1</v>
      </c>
      <c r="T8845" s="35" t="inlineStr">
        <is>
          <t>4 — Не обогащён</t>
        </is>
      </c>
      <c r="U8845" s="35" t="inlineStr">
        <is>
          <t>Нет ОКВЭД/ССЧР</t>
        </is>
      </c>
      <c r="V8845" s="35" t="inlineStr">
        <is>
          <t>Не определено</t>
        </is>
      </c>
      <c r="W8845" s="35" t="inlineStr">
        <is>
          <t>Нет</t>
        </is>
      </c>
      <c r="X8845" s="35" t="inlineStr"/>
    </row>
    <row r="8846" ht="15" customHeight="1" s="24">
      <c r="A8846" s="13" t="inlineStr">
        <is>
          <t>FR1229309</t>
        </is>
      </c>
      <c r="B8846" s="13" t="inlineStr">
        <is>
          <t>ИП Романова Лада Валерьевна</t>
        </is>
      </c>
      <c r="C8846" s="13" t="n">
        <v>380401821998</v>
      </c>
      <c r="D8846" s="13" t="inlineStr">
        <is>
          <t>380401821998</t>
        </is>
      </c>
      <c r="E8846" s="13" t="inlineStr">
        <is>
          <t>ИП РФ / физлицо</t>
        </is>
      </c>
      <c r="F8846" s="13" t="n"/>
      <c r="G8846" s="14" t="n"/>
      <c r="H8846" s="14" t="n"/>
      <c r="I8846" s="14" t="n"/>
      <c r="J8846" s="14" t="n"/>
      <c r="K8846" s="53" t="inlineStr"/>
      <c r="L8846" s="53" t="inlineStr">
        <is>
          <t>Не определено</t>
        </is>
      </c>
      <c r="M8846" s="53" t="inlineStr"/>
      <c r="N8846" s="54" t="inlineStr"/>
      <c r="O8846" s="55" t="inlineStr"/>
      <c r="P8846" s="16" t="inlineStr">
        <is>
          <t>Требует обогащения</t>
        </is>
      </c>
      <c r="Q8846" s="16">
        <f>HYPERLINK("https://pb.nalog.ru/search.html?query=380401821998","ФНС: проверить")</f>
        <v/>
      </c>
      <c r="R8846" s="16">
        <f>HYPERLINK("https://checko.ru/search?query=3801001629","Чекко: проверить")</f>
        <v/>
      </c>
      <c r="S8846" t="n">
        <v>0</v>
      </c>
      <c r="T8846" s="35" t="inlineStr">
        <is>
          <t>4 — Не обогащён</t>
        </is>
      </c>
      <c r="U8846" s="35" t="inlineStr">
        <is>
          <t>Нет ОКВЭД/ССЧР</t>
        </is>
      </c>
      <c r="V8846" s="35" t="inlineStr">
        <is>
          <t>Не определено</t>
        </is>
      </c>
      <c r="W8846" s="35" t="inlineStr"/>
      <c r="X8846" s="35" t="inlineStr"/>
    </row>
    <row r="8847" ht="15" customHeight="1" s="24">
      <c r="A8847" s="13" t="inlineStr">
        <is>
          <t>FR1246308</t>
        </is>
      </c>
      <c r="B8847" s="13" t="inlineStr">
        <is>
          <t>ООО "Сектор"</t>
        </is>
      </c>
      <c r="C8847" s="13" t="n">
        <v>3811155554</v>
      </c>
      <c r="D8847" s="13" t="inlineStr">
        <is>
          <t>3811155554</t>
        </is>
      </c>
      <c r="E8847" s="13" t="inlineStr">
        <is>
          <t>ЮЛ РФ</t>
        </is>
      </c>
      <c r="F8847" s="13" t="n"/>
      <c r="G8847" s="52" t="n">
        <v>1</v>
      </c>
      <c r="H8847" s="52" t="n">
        <v>2025</v>
      </c>
      <c r="I8847" s="14" t="n"/>
      <c r="J8847" s="14" t="n"/>
      <c r="K8847" s="53" t="inlineStr">
        <is>
          <t>Нет</t>
        </is>
      </c>
      <c r="L8847" s="53" t="inlineStr">
        <is>
          <t>Не определено</t>
        </is>
      </c>
      <c r="M8847" s="53" t="inlineStr">
        <is>
          <t>До 10</t>
        </is>
      </c>
      <c r="N8847" s="54" t="n">
        <v>3360</v>
      </c>
      <c r="O8847" s="55" t="inlineStr">
        <is>
          <t>1–15</t>
        </is>
      </c>
      <c r="P8847" s="16" t="inlineStr">
        <is>
          <t>ССЧР обогащена; ОКВЭД не найден/не загружен</t>
        </is>
      </c>
      <c r="Q8847" s="16" t="inlineStr">
        <is>
          <t>ФНС открытые данные ССЧР (ДатаСост 31.12.2025; набор 7707329152-sshr2019)</t>
        </is>
      </c>
      <c r="R8847" s="16">
        <f>HYPERLINK("https://checko.ru/search?query=3801001629","Чекко: проверить")</f>
        <v/>
      </c>
      <c r="S8847" t="n">
        <v>0</v>
      </c>
      <c r="T8847" s="35" t="inlineStr">
        <is>
          <t>4 — Не обогащён</t>
        </is>
      </c>
      <c r="U8847" s="35" t="inlineStr">
        <is>
          <t>Нет ОКВЭД/ССЧР</t>
        </is>
      </c>
      <c r="V8847" s="35" t="inlineStr">
        <is>
          <t>Не определено</t>
        </is>
      </c>
      <c r="W8847" s="35" t="inlineStr">
        <is>
          <t>Нет</t>
        </is>
      </c>
      <c r="X8847" s="35" t="inlineStr"/>
    </row>
    <row r="8848" ht="27.75" customHeight="1" s="24">
      <c r="A8848" s="13" t="inlineStr">
        <is>
          <t>FR1250416</t>
        </is>
      </c>
      <c r="B8848" s="13" t="inlineStr">
        <is>
          <t>Общество с ограниченной ответственностью "ГЕНЕРАЦИЯ"</t>
        </is>
      </c>
      <c r="C8848" s="13" t="n">
        <v>3812159551</v>
      </c>
      <c r="D8848" s="13" t="inlineStr">
        <is>
          <t>3812159551</t>
        </is>
      </c>
      <c r="E8848" s="13" t="inlineStr">
        <is>
          <t>ЮЛ РФ</t>
        </is>
      </c>
      <c r="F8848" s="13" t="n"/>
      <c r="G8848" s="52" t="n">
        <v>2</v>
      </c>
      <c r="H8848" s="52" t="n">
        <v>2025</v>
      </c>
      <c r="I8848" s="14" t="n"/>
      <c r="J8848" s="14" t="n"/>
      <c r="K8848" s="53" t="inlineStr">
        <is>
          <t>Нет</t>
        </is>
      </c>
      <c r="L8848" s="53" t="inlineStr">
        <is>
          <t>Не определено</t>
        </is>
      </c>
      <c r="M8848" s="53" t="inlineStr">
        <is>
          <t>До 10</t>
        </is>
      </c>
      <c r="N8848" s="54" t="n">
        <v>3360</v>
      </c>
      <c r="O8848" s="55" t="inlineStr">
        <is>
          <t>1–15</t>
        </is>
      </c>
      <c r="P8848" s="16" t="inlineStr">
        <is>
          <t>ССЧР обогащена; ОКВЭД не найден/не загружен</t>
        </is>
      </c>
      <c r="Q8848" s="16" t="inlineStr">
        <is>
          <t>ФНС открытые данные ССЧР (ДатаСост 31.12.2025; набор 7707329152-sshr2019)</t>
        </is>
      </c>
      <c r="R8848" s="16">
        <f>HYPERLINK("https://checko.ru/search?query=3801001629","Чекко: проверить")</f>
        <v/>
      </c>
      <c r="S8848" t="n">
        <v>1</v>
      </c>
      <c r="T8848" s="35" t="inlineStr">
        <is>
          <t>4 — Не обогащён</t>
        </is>
      </c>
      <c r="U8848" s="35" t="inlineStr">
        <is>
          <t>Нет ОКВЭД/ССЧР</t>
        </is>
      </c>
      <c r="V8848" s="35" t="inlineStr">
        <is>
          <t>Не определено</t>
        </is>
      </c>
      <c r="W8848" s="35" t="inlineStr">
        <is>
          <t>Нет</t>
        </is>
      </c>
      <c r="X8848" s="35" t="inlineStr"/>
    </row>
    <row r="8849" ht="27.75" customHeight="1" s="24">
      <c r="A8849" s="13" t="inlineStr">
        <is>
          <t>FR1264817</t>
        </is>
      </c>
      <c r="B8849" s="13" t="inlineStr">
        <is>
          <t>Общество с ограниченной ответственностью "АРМАТУРНО-СЕРВИСНАЯ КОМПАНИЯ"</t>
        </is>
      </c>
      <c r="C8849" s="13" t="n">
        <v>3812107088</v>
      </c>
      <c r="D8849" s="13" t="inlineStr">
        <is>
          <t>3812107088</t>
        </is>
      </c>
      <c r="E8849" s="13" t="inlineStr">
        <is>
          <t>ЮЛ РФ</t>
        </is>
      </c>
      <c r="F8849" s="13" t="n"/>
      <c r="G8849" s="52" t="n">
        <v>0</v>
      </c>
      <c r="H8849" s="52" t="n">
        <v>2025</v>
      </c>
      <c r="I8849" s="14" t="n"/>
      <c r="J8849" s="14" t="n"/>
      <c r="K8849" s="53" t="inlineStr">
        <is>
          <t>Нет</t>
        </is>
      </c>
      <c r="L8849" s="53" t="inlineStr">
        <is>
          <t>Не определено</t>
        </is>
      </c>
      <c r="M8849" s="53" t="inlineStr">
        <is>
          <t>До 10</t>
        </is>
      </c>
      <c r="N8849" s="54" t="n">
        <v>3360</v>
      </c>
      <c r="O8849" s="55" t="inlineStr">
        <is>
          <t>1–15</t>
        </is>
      </c>
      <c r="P8849" s="16" t="inlineStr">
        <is>
          <t>ССЧР обогащена; ОКВЭД не найден/не загружен</t>
        </is>
      </c>
      <c r="Q8849" s="16" t="inlineStr">
        <is>
          <t>ФНС открытые данные ССЧР (ДатаСост 31.12.2025; набор 7707329152-sshr2019)</t>
        </is>
      </c>
      <c r="R8849" s="16">
        <f>HYPERLINK("https://checko.ru/search?query=3801001629","Чекко: проверить")</f>
        <v/>
      </c>
      <c r="S8849" t="n">
        <v>1</v>
      </c>
      <c r="T8849" s="35" t="inlineStr">
        <is>
          <t>4 — Не обогащён</t>
        </is>
      </c>
      <c r="U8849" s="35" t="inlineStr">
        <is>
          <t>Нет ОКВЭД/ССЧР</t>
        </is>
      </c>
      <c r="V8849" s="35" t="inlineStr">
        <is>
          <t>Не определено</t>
        </is>
      </c>
      <c r="W8849" s="35" t="inlineStr">
        <is>
          <t>Нет</t>
        </is>
      </c>
      <c r="X8849" s="35" t="inlineStr"/>
    </row>
    <row r="8850" ht="27.75" customHeight="1" s="24">
      <c r="A8850" s="13" t="inlineStr">
        <is>
          <t>FR1274514</t>
        </is>
      </c>
      <c r="B8850" s="13" t="inlineStr">
        <is>
          <t>Общество с ограниченной ответственностью "АЗИЯИМПОРТ"</t>
        </is>
      </c>
      <c r="C8850" s="13" t="n">
        <v>3812989425</v>
      </c>
      <c r="D8850" s="13" t="inlineStr">
        <is>
          <t>3812989425</t>
        </is>
      </c>
      <c r="E8850" s="13" t="inlineStr">
        <is>
          <t>ЮЛ РФ</t>
        </is>
      </c>
      <c r="F8850" s="13" t="n"/>
      <c r="G8850" s="52" t="n">
        <v>0</v>
      </c>
      <c r="H8850" s="52" t="n">
        <v>2025</v>
      </c>
      <c r="I8850" s="14" t="n"/>
      <c r="J8850" s="14" t="n"/>
      <c r="K8850" s="53" t="inlineStr">
        <is>
          <t>Нет</t>
        </is>
      </c>
      <c r="L8850" s="53" t="inlineStr">
        <is>
          <t>Не определено</t>
        </is>
      </c>
      <c r="M8850" s="53" t="inlineStr">
        <is>
          <t>До 10</t>
        </is>
      </c>
      <c r="N8850" s="54" t="n">
        <v>3360</v>
      </c>
      <c r="O8850" s="55" t="inlineStr">
        <is>
          <t>1–15</t>
        </is>
      </c>
      <c r="P8850" s="16" t="inlineStr">
        <is>
          <t>ССЧР обогащена; ОКВЭД не найден/не загружен</t>
        </is>
      </c>
      <c r="Q8850" s="16" t="inlineStr">
        <is>
          <t>ФНС открытые данные ССЧР (ДатаСост 31.12.2025; набор 7707329152-sshr2019)</t>
        </is>
      </c>
      <c r="R8850" s="16">
        <f>HYPERLINK("https://checko.ru/search?query=3801001629","Чекко: проверить")</f>
        <v/>
      </c>
      <c r="S8850" t="n">
        <v>1</v>
      </c>
      <c r="T8850" s="35" t="inlineStr">
        <is>
          <t>4 — Не обогащён</t>
        </is>
      </c>
      <c r="U8850" s="35" t="inlineStr">
        <is>
          <t>Нет ОКВЭД/ССЧР</t>
        </is>
      </c>
      <c r="V8850" s="35" t="inlineStr">
        <is>
          <t>Не определено</t>
        </is>
      </c>
      <c r="W8850" s="35" t="inlineStr">
        <is>
          <t>Нет</t>
        </is>
      </c>
      <c r="X8850" s="35" t="inlineStr"/>
    </row>
    <row r="8851" ht="15" customHeight="1" s="24">
      <c r="A8851" s="13" t="inlineStr">
        <is>
          <t>FR1305850</t>
        </is>
      </c>
      <c r="B8851" s="13" t="inlineStr">
        <is>
          <t>ИП Манохин Александр Пантилеевич</t>
        </is>
      </c>
      <c r="C8851" s="13" t="n">
        <v>615000164402</v>
      </c>
      <c r="D8851" s="13" t="inlineStr">
        <is>
          <t>615000164402</t>
        </is>
      </c>
      <c r="E8851" s="13" t="inlineStr">
        <is>
          <t>ИП РФ / физлицо</t>
        </is>
      </c>
      <c r="F8851" s="13" t="n"/>
      <c r="G8851" s="14" t="n"/>
      <c r="H8851" s="14" t="n"/>
      <c r="I8851" s="14" t="n"/>
      <c r="J8851" s="14" t="n"/>
      <c r="K8851" s="53" t="inlineStr"/>
      <c r="L8851" s="53" t="inlineStr">
        <is>
          <t>Не определено</t>
        </is>
      </c>
      <c r="M8851" s="53" t="inlineStr"/>
      <c r="N8851" s="54" t="inlineStr"/>
      <c r="O8851" s="55" t="inlineStr"/>
      <c r="P8851" s="16" t="inlineStr">
        <is>
          <t>Требует обогащения</t>
        </is>
      </c>
      <c r="Q8851" s="16">
        <f>HYPERLINK("https://pb.nalog.ru/search.html?query=615000164402","ФНС: проверить")</f>
        <v/>
      </c>
      <c r="R8851" s="16">
        <f>HYPERLINK("https://checko.ru/search?query=3801001629","Чекко: проверить")</f>
        <v/>
      </c>
      <c r="S8851" t="n">
        <v>1</v>
      </c>
      <c r="T8851" s="35" t="inlineStr">
        <is>
          <t>4 — Не обогащён</t>
        </is>
      </c>
      <c r="U8851" s="35" t="inlineStr">
        <is>
          <t>Нет ОКВЭД/ССЧР</t>
        </is>
      </c>
      <c r="V8851" s="35" t="inlineStr">
        <is>
          <t>Не определено</t>
        </is>
      </c>
      <c r="W8851" s="35" t="inlineStr"/>
      <c r="X8851" s="35" t="inlineStr"/>
    </row>
    <row r="8852" ht="27.75" customHeight="1" s="24">
      <c r="A8852" s="13" t="inlineStr">
        <is>
          <t>FR1306614</t>
        </is>
      </c>
      <c r="B8852" s="13" t="inlineStr">
        <is>
          <t>Общество с ограниченной ответственностью "ОАЗИС"</t>
        </is>
      </c>
      <c r="C8852" s="13" t="n">
        <v>3808163869</v>
      </c>
      <c r="D8852" s="13" t="inlineStr">
        <is>
          <t>3808163869</t>
        </is>
      </c>
      <c r="E8852" s="13" t="inlineStr">
        <is>
          <t>ЮЛ РФ</t>
        </is>
      </c>
      <c r="F8852" s="13" t="n"/>
      <c r="G8852" s="52" t="n">
        <v>2</v>
      </c>
      <c r="H8852" s="52" t="n">
        <v>2025</v>
      </c>
      <c r="I8852" s="14" t="n"/>
      <c r="J8852" s="14" t="n"/>
      <c r="K8852" s="53" t="inlineStr">
        <is>
          <t>Нет</t>
        </is>
      </c>
      <c r="L8852" s="53" t="inlineStr">
        <is>
          <t>Не определено</t>
        </is>
      </c>
      <c r="M8852" s="53" t="inlineStr">
        <is>
          <t>До 10</t>
        </is>
      </c>
      <c r="N8852" s="54" t="n">
        <v>3360</v>
      </c>
      <c r="O8852" s="55" t="inlineStr">
        <is>
          <t>1–15</t>
        </is>
      </c>
      <c r="P8852" s="16" t="inlineStr">
        <is>
          <t>ССЧР обогащена; ОКВЭД не найден/не загружен</t>
        </is>
      </c>
      <c r="Q8852" s="16" t="inlineStr">
        <is>
          <t>ФНС открытые данные ССЧР (ДатаСост 31.12.2025; набор 7707329152-sshr2019)</t>
        </is>
      </c>
      <c r="R8852" s="16">
        <f>HYPERLINK("https://checko.ru/search?query=3801001629","Чекко: проверить")</f>
        <v/>
      </c>
      <c r="S8852" t="n">
        <v>1</v>
      </c>
      <c r="T8852" s="35" t="inlineStr">
        <is>
          <t>4 — Не обогащён</t>
        </is>
      </c>
      <c r="U8852" s="35" t="inlineStr">
        <is>
          <t>Нет ОКВЭД/ССЧР</t>
        </is>
      </c>
      <c r="V8852" s="35" t="inlineStr">
        <is>
          <t>Не определено</t>
        </is>
      </c>
      <c r="W8852" s="35" t="inlineStr">
        <is>
          <t>Нет</t>
        </is>
      </c>
      <c r="X8852" s="35" t="inlineStr"/>
    </row>
    <row r="8853" ht="15" customHeight="1" s="24">
      <c r="A8853" s="13" t="inlineStr">
        <is>
          <t>FR1322773</t>
        </is>
      </c>
      <c r="B8853" s="13" t="inlineStr">
        <is>
          <t>ИП Барнев Андрей Сергеевич</t>
        </is>
      </c>
      <c r="C8853" s="13" t="n">
        <v>381112268575</v>
      </c>
      <c r="D8853" s="13" t="inlineStr">
        <is>
          <t>381112268575</t>
        </is>
      </c>
      <c r="E8853" s="13" t="inlineStr">
        <is>
          <t>ИП РФ / физлицо</t>
        </is>
      </c>
      <c r="F8853" s="13" t="n"/>
      <c r="G8853" s="14" t="n"/>
      <c r="H8853" s="14" t="n"/>
      <c r="I8853" s="14" t="n"/>
      <c r="J8853" s="14" t="n"/>
      <c r="K8853" s="53" t="inlineStr"/>
      <c r="L8853" s="53" t="inlineStr">
        <is>
          <t>Не определено</t>
        </is>
      </c>
      <c r="M8853" s="53" t="inlineStr"/>
      <c r="N8853" s="54" t="inlineStr"/>
      <c r="O8853" s="55" t="inlineStr"/>
      <c r="P8853" s="16" t="inlineStr">
        <is>
          <t>Требует обогащения</t>
        </is>
      </c>
      <c r="Q8853" s="16">
        <f>HYPERLINK("https://pb.nalog.ru/search.html?query=381112268575","ФНС: проверить")</f>
        <v/>
      </c>
      <c r="R8853" s="16">
        <f>HYPERLINK("https://checko.ru/search?query=3801001629","Чекко: проверить")</f>
        <v/>
      </c>
      <c r="S8853" t="n">
        <v>1</v>
      </c>
      <c r="T8853" s="35" t="inlineStr">
        <is>
          <t>4 — Не обогащён</t>
        </is>
      </c>
      <c r="U8853" s="35" t="inlineStr">
        <is>
          <t>Нет ОКВЭД/ССЧР</t>
        </is>
      </c>
      <c r="V8853" s="35" t="inlineStr">
        <is>
          <t>Не определено</t>
        </is>
      </c>
      <c r="W8853" s="35" t="inlineStr"/>
      <c r="X8853" s="35" t="inlineStr"/>
    </row>
    <row r="8854" ht="27.75" customHeight="1" s="24">
      <c r="A8854" s="13" t="inlineStr">
        <is>
          <t>FR1342007</t>
        </is>
      </c>
      <c r="B8854" s="13" t="inlineStr">
        <is>
          <t>Общество с ограниченной ответственностью "РАЗВИТИЕ"</t>
        </is>
      </c>
      <c r="C8854" s="13" t="n">
        <v>3848004350</v>
      </c>
      <c r="D8854" s="13" t="inlineStr">
        <is>
          <t>3848004350</t>
        </is>
      </c>
      <c r="E8854" s="13" t="inlineStr">
        <is>
          <t>ЮЛ РФ</t>
        </is>
      </c>
      <c r="F8854" s="13" t="n"/>
      <c r="G8854" s="52" t="n">
        <v>6</v>
      </c>
      <c r="H8854" s="52" t="n">
        <v>2025</v>
      </c>
      <c r="I8854" s="14" t="n"/>
      <c r="J8854" s="14" t="n"/>
      <c r="K8854" s="53" t="inlineStr">
        <is>
          <t>Нет</t>
        </is>
      </c>
      <c r="L8854" s="53" t="inlineStr">
        <is>
          <t>Не определено</t>
        </is>
      </c>
      <c r="M8854" s="53" t="inlineStr">
        <is>
          <t>До 10</t>
        </is>
      </c>
      <c r="N8854" s="54" t="n">
        <v>3360</v>
      </c>
      <c r="O8854" s="55" t="inlineStr">
        <is>
          <t>1–15</t>
        </is>
      </c>
      <c r="P8854" s="16" t="inlineStr">
        <is>
          <t>ССЧР обогащена; ОКВЭД не найден/не загружен</t>
        </is>
      </c>
      <c r="Q8854" s="16" t="inlineStr">
        <is>
          <t>ФНС открытые данные ССЧР (ДатаСост 31.12.2025; набор 7707329152-sshr2019)</t>
        </is>
      </c>
      <c r="R8854" s="16">
        <f>HYPERLINK("https://checko.ru/search?query=3801001629","Чекко: проверить")</f>
        <v/>
      </c>
      <c r="S8854" t="n">
        <v>1</v>
      </c>
      <c r="T8854" s="35" t="inlineStr">
        <is>
          <t>4 — Не обогащён</t>
        </is>
      </c>
      <c r="U8854" s="35" t="inlineStr">
        <is>
          <t>Нет ОКВЭД/ССЧР</t>
        </is>
      </c>
      <c r="V8854" s="35" t="inlineStr">
        <is>
          <t>Не определено</t>
        </is>
      </c>
      <c r="W8854" s="35" t="inlineStr">
        <is>
          <t>Нет</t>
        </is>
      </c>
      <c r="X8854" s="35" t="inlineStr"/>
    </row>
    <row r="8855" ht="27.75" customHeight="1" s="24">
      <c r="A8855" s="13" t="inlineStr">
        <is>
          <t>FR1342004</t>
        </is>
      </c>
      <c r="B8855" s="13" t="inlineStr">
        <is>
          <t>ОБЩЕСТВО С ОГРАНИЧЕННОЙ ОТВЕТСТВЕННОСТЬЮ "ВЛАДИМИРГРАД"</t>
        </is>
      </c>
      <c r="C8855" s="13" t="n">
        <v>3827042059</v>
      </c>
      <c r="D8855" s="13" t="inlineStr">
        <is>
          <t>3827042059</t>
        </is>
      </c>
      <c r="E8855" s="13" t="inlineStr">
        <is>
          <t>ЮЛ РФ</t>
        </is>
      </c>
      <c r="F8855" s="13" t="n"/>
      <c r="G8855" s="52" t="n">
        <v>0</v>
      </c>
      <c r="H8855" s="52" t="n">
        <v>2025</v>
      </c>
      <c r="I8855" s="14" t="n"/>
      <c r="J8855" s="14" t="n"/>
      <c r="K8855" s="53" t="inlineStr">
        <is>
          <t>Нет</t>
        </is>
      </c>
      <c r="L8855" s="53" t="inlineStr">
        <is>
          <t>Не определено</t>
        </is>
      </c>
      <c r="M8855" s="53" t="inlineStr">
        <is>
          <t>До 10</t>
        </is>
      </c>
      <c r="N8855" s="54" t="n">
        <v>3360</v>
      </c>
      <c r="O8855" s="55" t="inlineStr">
        <is>
          <t>1–15</t>
        </is>
      </c>
      <c r="P8855" s="16" t="inlineStr">
        <is>
          <t>ССЧР обогащена; ОКВЭД не найден/не загружен</t>
        </is>
      </c>
      <c r="Q8855" s="16" t="inlineStr">
        <is>
          <t>ФНС открытые данные ССЧР (ДатаСост 31.12.2025; набор 7707329152-sshr2019)</t>
        </is>
      </c>
      <c r="R8855" s="16">
        <f>HYPERLINK("https://checko.ru/search?query=3801001629","Чекко: проверить")</f>
        <v/>
      </c>
      <c r="S8855" t="n">
        <v>1</v>
      </c>
      <c r="T8855" s="35" t="inlineStr">
        <is>
          <t>4 — Не обогащён</t>
        </is>
      </c>
      <c r="U8855" s="35" t="inlineStr">
        <is>
          <t>Нет ОКВЭД/ССЧР</t>
        </is>
      </c>
      <c r="V8855" s="35" t="inlineStr">
        <is>
          <t>Не определено</t>
        </is>
      </c>
      <c r="W8855" s="35" t="inlineStr">
        <is>
          <t>Нет</t>
        </is>
      </c>
      <c r="X8855" s="35" t="inlineStr"/>
    </row>
    <row r="8856" ht="15" customHeight="1" s="24">
      <c r="A8856" s="13" t="inlineStr">
        <is>
          <t>FR1342939</t>
        </is>
      </c>
      <c r="B8856" s="13" t="inlineStr">
        <is>
          <t>ООО "ТАХО"</t>
        </is>
      </c>
      <c r="C8856" s="13" t="n">
        <v>3801088820</v>
      </c>
      <c r="D8856" s="13" t="inlineStr">
        <is>
          <t>3801088820</t>
        </is>
      </c>
      <c r="E8856" s="13" t="inlineStr">
        <is>
          <t>ЮЛ РФ</t>
        </is>
      </c>
      <c r="F8856" s="13" t="n"/>
      <c r="G8856" s="52" t="n">
        <v>3</v>
      </c>
      <c r="H8856" s="52" t="n">
        <v>2025</v>
      </c>
      <c r="I8856" s="14" t="n"/>
      <c r="J8856" s="14" t="n"/>
      <c r="K8856" s="53" t="inlineStr">
        <is>
          <t>Нет</t>
        </is>
      </c>
      <c r="L8856" s="53" t="inlineStr">
        <is>
          <t>Не определено</t>
        </is>
      </c>
      <c r="M8856" s="53" t="inlineStr">
        <is>
          <t>До 10</t>
        </is>
      </c>
      <c r="N8856" s="54" t="n">
        <v>3360</v>
      </c>
      <c r="O8856" s="55" t="inlineStr">
        <is>
          <t>1–15</t>
        </is>
      </c>
      <c r="P8856" s="16" t="inlineStr">
        <is>
          <t>ССЧР обогащена; ОКВЭД не найден/не загружен</t>
        </is>
      </c>
      <c r="Q8856" s="16" t="inlineStr">
        <is>
          <t>ФНС открытые данные ССЧР (ДатаСост 31.12.2025; набор 7707329152-sshr2019)</t>
        </is>
      </c>
      <c r="R8856" s="16">
        <f>HYPERLINK("https://checko.ru/search?query=3801001629","Чекко: проверить")</f>
        <v/>
      </c>
      <c r="S8856" t="n">
        <v>1</v>
      </c>
      <c r="T8856" s="35" t="inlineStr">
        <is>
          <t>4 — Не обогащён</t>
        </is>
      </c>
      <c r="U8856" s="35" t="inlineStr">
        <is>
          <t>Нет ОКВЭД/ССЧР</t>
        </is>
      </c>
      <c r="V8856" s="35" t="inlineStr">
        <is>
          <t>Не определено</t>
        </is>
      </c>
      <c r="W8856" s="35" t="inlineStr">
        <is>
          <t>Нет</t>
        </is>
      </c>
      <c r="X8856" s="35" t="inlineStr"/>
    </row>
    <row r="8857" ht="15" customHeight="1" s="24">
      <c r="A8857" s="13" t="inlineStr">
        <is>
          <t>FR1347236</t>
        </is>
      </c>
      <c r="B8857" s="13" t="inlineStr">
        <is>
          <t>ИП Ши Владимир</t>
        </is>
      </c>
      <c r="C8857" s="13" t="n">
        <v>382704449317</v>
      </c>
      <c r="D8857" s="13" t="inlineStr">
        <is>
          <t>382704449317</t>
        </is>
      </c>
      <c r="E8857" s="13" t="inlineStr">
        <is>
          <t>ИП РФ / физлицо</t>
        </is>
      </c>
      <c r="F8857" s="13" t="n"/>
      <c r="G8857" s="14" t="n"/>
      <c r="H8857" s="14" t="n"/>
      <c r="I8857" s="14" t="n"/>
      <c r="J8857" s="14" t="n"/>
      <c r="K8857" s="53" t="inlineStr"/>
      <c r="L8857" s="53" t="inlineStr">
        <is>
          <t>Не определено</t>
        </is>
      </c>
      <c r="M8857" s="53" t="inlineStr"/>
      <c r="N8857" s="54" t="inlineStr"/>
      <c r="O8857" s="55" t="inlineStr"/>
      <c r="P8857" s="16" t="inlineStr">
        <is>
          <t>Требует обогащения</t>
        </is>
      </c>
      <c r="Q8857" s="16">
        <f>HYPERLINK("https://pb.nalog.ru/search.html?query=382704449317","ФНС: проверить")</f>
        <v/>
      </c>
      <c r="R8857" s="16">
        <f>HYPERLINK("https://checko.ru/search?query=3801001629","Чекко: проверить")</f>
        <v/>
      </c>
      <c r="S8857" t="n">
        <v>1</v>
      </c>
      <c r="T8857" s="35" t="inlineStr">
        <is>
          <t>4 — Не обогащён</t>
        </is>
      </c>
      <c r="U8857" s="35" t="inlineStr">
        <is>
          <t>Нет ОКВЭД/ССЧР</t>
        </is>
      </c>
      <c r="V8857" s="35" t="inlineStr">
        <is>
          <t>Не определено</t>
        </is>
      </c>
      <c r="W8857" s="35" t="inlineStr"/>
      <c r="X8857" s="35" t="inlineStr"/>
    </row>
    <row r="8858" ht="15" customHeight="1" s="24">
      <c r="A8858" s="13" t="inlineStr">
        <is>
          <t>FR993538</t>
        </is>
      </c>
      <c r="B8858" s="13" t="inlineStr">
        <is>
          <t>ТЕХНОТРЕЙД ООО</t>
        </is>
      </c>
      <c r="C8858" s="13" t="n">
        <v>3849103146</v>
      </c>
      <c r="D8858" s="13" t="inlineStr">
        <is>
          <t>3849103146</t>
        </is>
      </c>
      <c r="E8858" s="13" t="inlineStr">
        <is>
          <t>ЮЛ РФ</t>
        </is>
      </c>
      <c r="F8858" s="13" t="n"/>
      <c r="G8858" s="52" t="n">
        <v>1</v>
      </c>
      <c r="H8858" s="52" t="n">
        <v>2025</v>
      </c>
      <c r="I8858" s="14" t="n"/>
      <c r="J8858" s="14" t="n"/>
      <c r="K8858" s="53" t="inlineStr">
        <is>
          <t>Нет</t>
        </is>
      </c>
      <c r="L8858" s="53" t="inlineStr">
        <is>
          <t>Не определено</t>
        </is>
      </c>
      <c r="M8858" s="53" t="inlineStr">
        <is>
          <t>До 10</t>
        </is>
      </c>
      <c r="N8858" s="54" t="n">
        <v>3360</v>
      </c>
      <c r="O8858" s="55" t="inlineStr">
        <is>
          <t>1–15</t>
        </is>
      </c>
      <c r="P8858" s="16" t="inlineStr">
        <is>
          <t>ССЧР обогащена; ОКВЭД не найден/не загружен</t>
        </is>
      </c>
      <c r="Q8858" s="16" t="inlineStr">
        <is>
          <t>ФНС открытые данные ССЧР (ДатаСост 31.12.2025; набор 7707329152-sshr2019)</t>
        </is>
      </c>
      <c r="R8858" s="16">
        <f>HYPERLINK("https://checko.ru/search?query=3801001629","Чекко: проверить")</f>
        <v/>
      </c>
      <c r="S8858" t="n">
        <v>1</v>
      </c>
      <c r="T8858" s="35" t="inlineStr">
        <is>
          <t>4 — Не обогащён</t>
        </is>
      </c>
      <c r="U8858" s="35" t="inlineStr">
        <is>
          <t>Нет ОКВЭД/ССЧР</t>
        </is>
      </c>
      <c r="V8858" s="35" t="inlineStr">
        <is>
          <t>Не определено</t>
        </is>
      </c>
      <c r="W8858" s="35" t="inlineStr">
        <is>
          <t>Нет</t>
        </is>
      </c>
      <c r="X8858" s="35" t="inlineStr"/>
    </row>
    <row r="8859" ht="41.25" customHeight="1" s="24">
      <c r="A8859" s="13" t="inlineStr">
        <is>
          <t>FR1216728</t>
        </is>
      </c>
      <c r="B8859" s="13" t="inlineStr">
        <is>
          <t>Общество с ограниченной ответственностью "УНИКАЛЬНАЯ ТОРГОВО-ПРОИЗВОДСТВЕННАЯ КОМПАНИЯ"</t>
        </is>
      </c>
      <c r="C8859" s="13" t="n">
        <v>3849109902</v>
      </c>
      <c r="D8859" s="13" t="inlineStr">
        <is>
          <t>3849109902</t>
        </is>
      </c>
      <c r="E8859" s="13" t="inlineStr">
        <is>
          <t>ЮЛ РФ</t>
        </is>
      </c>
      <c r="F8859" s="13" t="n"/>
      <c r="G8859" s="52" t="n">
        <v>1</v>
      </c>
      <c r="H8859" s="52" t="n">
        <v>2025</v>
      </c>
      <c r="I8859" s="14" t="n"/>
      <c r="J8859" s="14" t="n"/>
      <c r="K8859" s="53" t="inlineStr">
        <is>
          <t>Нет</t>
        </is>
      </c>
      <c r="L8859" s="53" t="inlineStr">
        <is>
          <t>Не определено</t>
        </is>
      </c>
      <c r="M8859" s="53" t="inlineStr">
        <is>
          <t>До 10</t>
        </is>
      </c>
      <c r="N8859" s="54" t="n">
        <v>3360</v>
      </c>
      <c r="O8859" s="55" t="inlineStr">
        <is>
          <t>1–15</t>
        </is>
      </c>
      <c r="P8859" s="16" t="inlineStr">
        <is>
          <t>ССЧР обогащена; ОКВЭД не найден/не загружен</t>
        </is>
      </c>
      <c r="Q8859" s="16" t="inlineStr">
        <is>
          <t>ФНС открытые данные ССЧР (ДатаСост 31.12.2025; набор 7707329152-sshr2019)</t>
        </is>
      </c>
      <c r="R8859" s="16">
        <f>HYPERLINK("https://checko.ru/search?query=3801001629","Чекко: проверить")</f>
        <v/>
      </c>
      <c r="S8859" t="n">
        <v>1</v>
      </c>
      <c r="T8859" s="35" t="inlineStr">
        <is>
          <t>4 — Не обогащён</t>
        </is>
      </c>
      <c r="U8859" s="35" t="inlineStr">
        <is>
          <t>Нет ОКВЭД/ССЧР</t>
        </is>
      </c>
      <c r="V8859" s="35" t="inlineStr">
        <is>
          <t>Не определено</t>
        </is>
      </c>
      <c r="W8859" s="35" t="inlineStr">
        <is>
          <t>Нет</t>
        </is>
      </c>
      <c r="X8859" s="35" t="inlineStr"/>
    </row>
    <row r="8860" ht="27.75" customHeight="1" s="24">
      <c r="A8860" s="13" t="inlineStr">
        <is>
          <t>FR834043</t>
        </is>
      </c>
      <c r="B8860" s="13" t="inlineStr">
        <is>
          <t>Общество с ограниченной ответственностью "МК-85"</t>
        </is>
      </c>
      <c r="C8860" s="13" t="n">
        <v>3849097326</v>
      </c>
      <c r="D8860" s="13" t="inlineStr">
        <is>
          <t>3849097326</t>
        </is>
      </c>
      <c r="E8860" s="13" t="inlineStr">
        <is>
          <t>ЮЛ РФ</t>
        </is>
      </c>
      <c r="F8860" s="13" t="n"/>
      <c r="G8860" s="52" t="n">
        <v>13</v>
      </c>
      <c r="H8860" s="52" t="n">
        <v>2025</v>
      </c>
      <c r="I8860" s="14" t="n"/>
      <c r="J8860" s="14" t="n"/>
      <c r="K8860" s="53" t="inlineStr">
        <is>
          <t>Нет</t>
        </is>
      </c>
      <c r="L8860" s="53" t="inlineStr">
        <is>
          <t>Не определено</t>
        </is>
      </c>
      <c r="M8860" s="53" t="inlineStr">
        <is>
          <t>До 25</t>
        </is>
      </c>
      <c r="N8860" s="54" t="n">
        <v>8400</v>
      </c>
      <c r="O8860" s="55" t="inlineStr">
        <is>
          <t>1–15</t>
        </is>
      </c>
      <c r="P8860" s="16" t="inlineStr">
        <is>
          <t>ССЧР обогащена; ОКВЭД не найден/не загружен</t>
        </is>
      </c>
      <c r="Q8860" s="16" t="inlineStr">
        <is>
          <t>ФНС открытые данные ССЧР (ДатаСост 31.12.2025; набор 7707329152-sshr2019)</t>
        </is>
      </c>
      <c r="R8860" s="16">
        <f>HYPERLINK("https://checko.ru/search?query=3801001629","Чекко: проверить")</f>
        <v/>
      </c>
      <c r="S8860" t="n">
        <v>0</v>
      </c>
      <c r="T8860" s="35" t="inlineStr">
        <is>
          <t>4 — Не обогащён</t>
        </is>
      </c>
      <c r="U8860" s="35" t="inlineStr">
        <is>
          <t>Нет ОКВЭД/ССЧР</t>
        </is>
      </c>
      <c r="V8860" s="35" t="inlineStr">
        <is>
          <t>Не определено</t>
        </is>
      </c>
      <c r="W8860" s="35" t="inlineStr">
        <is>
          <t>Нет</t>
        </is>
      </c>
      <c r="X8860" s="35" t="inlineStr"/>
    </row>
    <row r="8861" ht="27.75" customHeight="1" s="24">
      <c r="A8861" s="13" t="inlineStr">
        <is>
          <t>FR1219242</t>
        </is>
      </c>
      <c r="B8861" s="13" t="inlineStr">
        <is>
          <t>Общество с ограниченной ответственностью "АВТОТРАНС ГРУПП"</t>
        </is>
      </c>
      <c r="C8861" s="13" t="n">
        <v>3812168355</v>
      </c>
      <c r="D8861" s="13" t="inlineStr">
        <is>
          <t>3812168355</t>
        </is>
      </c>
      <c r="E8861" s="13" t="inlineStr">
        <is>
          <t>ЮЛ РФ</t>
        </is>
      </c>
      <c r="F8861" s="13" t="n"/>
      <c r="G8861" s="52" t="n">
        <v>1</v>
      </c>
      <c r="H8861" s="52" t="n">
        <v>2025</v>
      </c>
      <c r="I8861" s="14" t="n"/>
      <c r="J8861" s="14" t="n"/>
      <c r="K8861" s="53" t="inlineStr">
        <is>
          <t>Нет</t>
        </is>
      </c>
      <c r="L8861" s="53" t="inlineStr">
        <is>
          <t>Не определено</t>
        </is>
      </c>
      <c r="M8861" s="53" t="inlineStr">
        <is>
          <t>До 10</t>
        </is>
      </c>
      <c r="N8861" s="54" t="n">
        <v>3360</v>
      </c>
      <c r="O8861" s="55" t="inlineStr">
        <is>
          <t>1–15</t>
        </is>
      </c>
      <c r="P8861" s="16" t="inlineStr">
        <is>
          <t>ССЧР обогащена; ОКВЭД не найден/не загружен</t>
        </is>
      </c>
      <c r="Q8861" s="16" t="inlineStr">
        <is>
          <t>ФНС открытые данные ССЧР (ДатаСост 31.12.2025; набор 7707329152-sshr2019)</t>
        </is>
      </c>
      <c r="R8861" s="16">
        <f>HYPERLINK("https://checko.ru/search?query=3801001629","Чекко: проверить")</f>
        <v/>
      </c>
      <c r="S8861" t="n">
        <v>1</v>
      </c>
      <c r="T8861" s="35" t="inlineStr">
        <is>
          <t>4 — Не обогащён</t>
        </is>
      </c>
      <c r="U8861" s="35" t="inlineStr">
        <is>
          <t>Нет ОКВЭД/ССЧР</t>
        </is>
      </c>
      <c r="V8861" s="35" t="inlineStr">
        <is>
          <t>Не определено</t>
        </is>
      </c>
      <c r="W8861" s="35" t="inlineStr">
        <is>
          <t>Нет</t>
        </is>
      </c>
      <c r="X8861" s="35" t="inlineStr"/>
    </row>
    <row r="8862" ht="15" customHeight="1" s="24">
      <c r="A8862" s="13" t="inlineStr">
        <is>
          <t>FR1254742</t>
        </is>
      </c>
      <c r="B8862" s="13" t="inlineStr">
        <is>
          <t>ИП Хингеев Сергей Константинович</t>
        </is>
      </c>
      <c r="C8862" s="13" t="n">
        <v>380411857707</v>
      </c>
      <c r="D8862" s="13" t="inlineStr">
        <is>
          <t>380411857707</t>
        </is>
      </c>
      <c r="E8862" s="13" t="inlineStr">
        <is>
          <t>ИП РФ / физлицо</t>
        </is>
      </c>
      <c r="F8862" s="13" t="n"/>
      <c r="G8862" s="14" t="n"/>
      <c r="H8862" s="14" t="n"/>
      <c r="I8862" s="14" t="n"/>
      <c r="J8862" s="14" t="n"/>
      <c r="K8862" s="53" t="inlineStr"/>
      <c r="L8862" s="53" t="inlineStr">
        <is>
          <t>Не определено</t>
        </is>
      </c>
      <c r="M8862" s="53" t="inlineStr"/>
      <c r="N8862" s="54" t="inlineStr"/>
      <c r="O8862" s="55" t="inlineStr"/>
      <c r="P8862" s="16" t="inlineStr">
        <is>
          <t>Требует обогащения</t>
        </is>
      </c>
      <c r="Q8862" s="16">
        <f>HYPERLINK("https://pb.nalog.ru/search.html?query=380411857707","ФНС: проверить")</f>
        <v/>
      </c>
      <c r="R8862" s="16">
        <f>HYPERLINK("https://checko.ru/search?query=3801001629","Чекко: проверить")</f>
        <v/>
      </c>
      <c r="S8862" t="n">
        <v>0</v>
      </c>
      <c r="T8862" s="35" t="inlineStr">
        <is>
          <t>4 — Не обогащён</t>
        </is>
      </c>
      <c r="U8862" s="35" t="inlineStr">
        <is>
          <t>Нет ОКВЭД/ССЧР</t>
        </is>
      </c>
      <c r="V8862" s="35" t="inlineStr">
        <is>
          <t>Не определено</t>
        </is>
      </c>
      <c r="W8862" s="35" t="inlineStr"/>
      <c r="X8862" s="35" t="inlineStr"/>
    </row>
    <row r="8863" ht="15" customHeight="1" s="24">
      <c r="A8863" s="13" t="inlineStr">
        <is>
          <t>FR1254726</t>
        </is>
      </c>
      <c r="B8863" s="13" t="inlineStr">
        <is>
          <t>СОЮЗ СТРОИТЕЛЕЙ ИРКУТСКОЙ ОБЛАСТИ</t>
        </is>
      </c>
      <c r="C8863" s="13" t="n">
        <v>3808028002</v>
      </c>
      <c r="D8863" s="13" t="inlineStr">
        <is>
          <t>3808028002</t>
        </is>
      </c>
      <c r="E8863" s="13" t="inlineStr">
        <is>
          <t>ЮЛ РФ</t>
        </is>
      </c>
      <c r="F8863" s="13" t="n"/>
      <c r="G8863" s="14" t="n"/>
      <c r="H8863" s="14" t="n"/>
      <c r="I8863" s="14" t="n"/>
      <c r="J8863" s="14" t="n"/>
      <c r="K8863" s="53" t="inlineStr"/>
      <c r="L8863" s="53" t="inlineStr">
        <is>
          <t>Не определено</t>
        </is>
      </c>
      <c r="M8863" s="53" t="inlineStr"/>
      <c r="N8863" s="54" t="inlineStr"/>
      <c r="O8863" s="55" t="inlineStr"/>
      <c r="P8863" s="16" t="inlineStr">
        <is>
          <t>Требует обогащения</t>
        </is>
      </c>
      <c r="Q8863" s="16">
        <f>HYPERLINK("https://pb.nalog.ru/search.html?query=3808028002","ФНС: проверить")</f>
        <v/>
      </c>
      <c r="R8863" s="16">
        <f>HYPERLINK("https://checko.ru/search?query=3801001629","Чекко: проверить")</f>
        <v/>
      </c>
      <c r="S8863" t="n">
        <v>1</v>
      </c>
      <c r="T8863" s="35" t="inlineStr">
        <is>
          <t>4 — Не обогащён</t>
        </is>
      </c>
      <c r="U8863" s="35" t="inlineStr">
        <is>
          <t>Нет ОКВЭД/ССЧР</t>
        </is>
      </c>
      <c r="V8863" s="35" t="inlineStr">
        <is>
          <t>Не определено</t>
        </is>
      </c>
      <c r="W8863" s="35" t="inlineStr"/>
      <c r="X8863" s="35" t="inlineStr"/>
    </row>
    <row r="8864" ht="27.75" customHeight="1" s="24">
      <c r="A8864" s="13" t="inlineStr">
        <is>
          <t>FR1256431</t>
        </is>
      </c>
      <c r="B8864" s="13" t="inlineStr">
        <is>
          <t>Общество с ограниченной ответственностью "СТРОЙДОМСЕРВИС КРЫМ"</t>
        </is>
      </c>
      <c r="C8864" s="13" t="n">
        <v>9102307982</v>
      </c>
      <c r="D8864" s="13" t="inlineStr">
        <is>
          <t>9102307982</t>
        </is>
      </c>
      <c r="E8864" s="13" t="inlineStr">
        <is>
          <t>ЮЛ РФ</t>
        </is>
      </c>
      <c r="F8864" s="13" t="n"/>
      <c r="G8864" s="52" t="n">
        <v>0</v>
      </c>
      <c r="H8864" s="52" t="n">
        <v>2025</v>
      </c>
      <c r="I8864" s="14" t="n"/>
      <c r="J8864" s="14" t="n"/>
      <c r="K8864" s="53" t="inlineStr">
        <is>
          <t>Нет</t>
        </is>
      </c>
      <c r="L8864" s="53" t="inlineStr">
        <is>
          <t>Не определено</t>
        </is>
      </c>
      <c r="M8864" s="53" t="inlineStr">
        <is>
          <t>До 10</t>
        </is>
      </c>
      <c r="N8864" s="54" t="n">
        <v>3360</v>
      </c>
      <c r="O8864" s="55" t="inlineStr">
        <is>
          <t>1–15</t>
        </is>
      </c>
      <c r="P8864" s="16" t="inlineStr">
        <is>
          <t>ССЧР обогащена; ОКВЭД не найден/не загружен</t>
        </is>
      </c>
      <c r="Q8864" s="16" t="inlineStr">
        <is>
          <t>ФНС открытые данные ССЧР (ДатаСост 31.12.2025; набор 7707329152-sshr2019)</t>
        </is>
      </c>
      <c r="R8864" s="16">
        <f>HYPERLINK("https://checko.ru/search?query=3801001629","Чекко: проверить")</f>
        <v/>
      </c>
      <c r="S8864" t="n">
        <v>1</v>
      </c>
      <c r="T8864" s="35" t="inlineStr">
        <is>
          <t>4 — Не обогащён</t>
        </is>
      </c>
      <c r="U8864" s="35" t="inlineStr">
        <is>
          <t>Нет ОКВЭД/ССЧР</t>
        </is>
      </c>
      <c r="V8864" s="35" t="inlineStr">
        <is>
          <t>Не определено</t>
        </is>
      </c>
      <c r="W8864" s="35" t="inlineStr">
        <is>
          <t>Нет</t>
        </is>
      </c>
      <c r="X8864" s="35" t="inlineStr"/>
    </row>
    <row r="8865" ht="27.75" customHeight="1" s="24">
      <c r="A8865" s="13" t="inlineStr">
        <is>
          <t>FR1052343</t>
        </is>
      </c>
      <c r="B8865" s="13" t="inlineStr">
        <is>
          <t>Общество с ограниченной ответственностью "БАЙКАЛЬСКАЯ ГЕОФИЗИЧЕСКАЯ ПАРТИЯ"</t>
        </is>
      </c>
      <c r="C8865" s="13" t="n">
        <v>8505003600</v>
      </c>
      <c r="D8865" s="13" t="inlineStr">
        <is>
          <t>8505003600</t>
        </is>
      </c>
      <c r="E8865" s="13" t="inlineStr">
        <is>
          <t>ЮЛ РФ</t>
        </is>
      </c>
      <c r="F8865" s="13" t="n"/>
      <c r="G8865" s="52" t="n">
        <v>1</v>
      </c>
      <c r="H8865" s="52" t="n">
        <v>2025</v>
      </c>
      <c r="I8865" s="14" t="n"/>
      <c r="J8865" s="14" t="n"/>
      <c r="K8865" s="53" t="inlineStr">
        <is>
          <t>Нет</t>
        </is>
      </c>
      <c r="L8865" s="53" t="inlineStr">
        <is>
          <t>Не определено</t>
        </is>
      </c>
      <c r="M8865" s="53" t="inlineStr">
        <is>
          <t>До 10</t>
        </is>
      </c>
      <c r="N8865" s="54" t="n">
        <v>3360</v>
      </c>
      <c r="O8865" s="55" t="inlineStr">
        <is>
          <t>1–15</t>
        </is>
      </c>
      <c r="P8865" s="16" t="inlineStr">
        <is>
          <t>ССЧР обогащена; ОКВЭД не найден/не загружен</t>
        </is>
      </c>
      <c r="Q8865" s="16" t="inlineStr">
        <is>
          <t>ФНС открытые данные ССЧР (ДатаСост 31.12.2025; набор 7707329152-sshr2019)</t>
        </is>
      </c>
      <c r="R8865" s="16">
        <f>HYPERLINK("https://checko.ru/search?query=3801001629","Чекко: проверить")</f>
        <v/>
      </c>
      <c r="S8865" t="n">
        <v>1</v>
      </c>
      <c r="T8865" s="35" t="inlineStr">
        <is>
          <t>4 — Не обогащён</t>
        </is>
      </c>
      <c r="U8865" s="35" t="inlineStr">
        <is>
          <t>Нет ОКВЭД/ССЧР</t>
        </is>
      </c>
      <c r="V8865" s="35" t="inlineStr">
        <is>
          <t>Не определено</t>
        </is>
      </c>
      <c r="W8865" s="35" t="inlineStr">
        <is>
          <t>Нет</t>
        </is>
      </c>
      <c r="X8865" s="35" t="inlineStr"/>
    </row>
    <row r="8866" ht="15" customHeight="1" s="24">
      <c r="A8866" s="13" t="inlineStr">
        <is>
          <t>FR190648</t>
        </is>
      </c>
      <c r="B8866" s="13" t="inlineStr">
        <is>
          <t>ООО "СИТЕХ-ИРКУТСК"</t>
        </is>
      </c>
      <c r="C8866" s="13" t="n">
        <v>3808059201</v>
      </c>
      <c r="D8866" s="13" t="inlineStr">
        <is>
          <t>3808059201</t>
        </is>
      </c>
      <c r="E8866" s="13" t="inlineStr">
        <is>
          <t>ЮЛ РФ</t>
        </is>
      </c>
      <c r="F8866" s="13" t="n"/>
      <c r="G8866" s="52" t="n">
        <v>7</v>
      </c>
      <c r="H8866" s="52" t="n">
        <v>2025</v>
      </c>
      <c r="I8866" s="14" t="n"/>
      <c r="J8866" s="14" t="n"/>
      <c r="K8866" s="53" t="inlineStr">
        <is>
          <t>Нет</t>
        </is>
      </c>
      <c r="L8866" s="53" t="inlineStr">
        <is>
          <t>Не определено</t>
        </is>
      </c>
      <c r="M8866" s="53" t="inlineStr">
        <is>
          <t>До 10</t>
        </is>
      </c>
      <c r="N8866" s="54" t="n">
        <v>3360</v>
      </c>
      <c r="O8866" s="55" t="inlineStr">
        <is>
          <t>1–15</t>
        </is>
      </c>
      <c r="P8866" s="16" t="inlineStr">
        <is>
          <t>ССЧР обогащена; ОКВЭД не найден/не загружен</t>
        </is>
      </c>
      <c r="Q8866" s="16" t="inlineStr">
        <is>
          <t>ФНС открытые данные ССЧР (ДатаСост 31.12.2025; набор 7707329152-sshr2019)</t>
        </is>
      </c>
      <c r="R8866" s="16">
        <f>HYPERLINK("https://checko.ru/search?query=3801001629","Чекко: проверить")</f>
        <v/>
      </c>
      <c r="S8866" t="n">
        <v>1</v>
      </c>
      <c r="T8866" s="35" t="inlineStr">
        <is>
          <t>4 — Не обогащён</t>
        </is>
      </c>
      <c r="U8866" s="35" t="inlineStr">
        <is>
          <t>Нет ОКВЭД/ССЧР</t>
        </is>
      </c>
      <c r="V8866" s="35" t="inlineStr">
        <is>
          <t>Не определено</t>
        </is>
      </c>
      <c r="W8866" s="35" t="inlineStr">
        <is>
          <t>Нет</t>
        </is>
      </c>
      <c r="X8866" s="35" t="inlineStr"/>
    </row>
    <row r="8867" ht="27.75" customHeight="1" s="24">
      <c r="A8867" s="13" t="inlineStr">
        <is>
          <t>FR1044019</t>
        </is>
      </c>
      <c r="B8867" s="13" t="inlineStr">
        <is>
          <t>БЛАГОТВОРИТЕЛЬНЫЙ ФОНД ИРКУТСКОЙ ОБЛАСТИ "ВРЕМЯ ПОМОГАТЬ"</t>
        </is>
      </c>
      <c r="C8867" s="13" t="n">
        <v>3849104397</v>
      </c>
      <c r="D8867" s="13" t="inlineStr">
        <is>
          <t>3849104397</t>
        </is>
      </c>
      <c r="E8867" s="13" t="inlineStr">
        <is>
          <t>ЮЛ РФ</t>
        </is>
      </c>
      <c r="F8867" s="13" t="n"/>
      <c r="G8867" s="14" t="n"/>
      <c r="H8867" s="14" t="n"/>
      <c r="I8867" s="14" t="n"/>
      <c r="J8867" s="14" t="n"/>
      <c r="K8867" s="53" t="inlineStr"/>
      <c r="L8867" s="53" t="inlineStr">
        <is>
          <t>Не определено</t>
        </is>
      </c>
      <c r="M8867" s="53" t="inlineStr"/>
      <c r="N8867" s="54" t="inlineStr"/>
      <c r="O8867" s="55" t="inlineStr"/>
      <c r="P8867" s="16" t="inlineStr">
        <is>
          <t>Требует обогащения</t>
        </is>
      </c>
      <c r="Q8867" s="16">
        <f>HYPERLINK("https://pb.nalog.ru/search.html?query=3849104397","ФНС: проверить")</f>
        <v/>
      </c>
      <c r="R8867" s="16">
        <f>HYPERLINK("https://checko.ru/search?query=3801001629","Чекко: проверить")</f>
        <v/>
      </c>
      <c r="S8867" t="n">
        <v>1</v>
      </c>
      <c r="T8867" s="35" t="inlineStr">
        <is>
          <t>4 — Не обогащён</t>
        </is>
      </c>
      <c r="U8867" s="35" t="inlineStr">
        <is>
          <t>Нет ОКВЭД/ССЧР</t>
        </is>
      </c>
      <c r="V8867" s="35" t="inlineStr">
        <is>
          <t>Не определено</t>
        </is>
      </c>
      <c r="W8867" s="35" t="inlineStr"/>
      <c r="X8867" s="35" t="inlineStr"/>
    </row>
    <row r="8868" ht="27.75" customHeight="1" s="24">
      <c r="A8868" s="13" t="inlineStr">
        <is>
          <t>FR1105483</t>
        </is>
      </c>
      <c r="B8868" s="13" t="inlineStr">
        <is>
          <t>Общество с ограниченной ответственностью "ДИОГЕН"</t>
        </is>
      </c>
      <c r="C8868" s="13" t="n">
        <v>3849106771</v>
      </c>
      <c r="D8868" s="13" t="inlineStr">
        <is>
          <t>3849106771</t>
        </is>
      </c>
      <c r="E8868" s="13" t="inlineStr">
        <is>
          <t>ЮЛ РФ</t>
        </is>
      </c>
      <c r="F8868" s="13" t="n"/>
      <c r="G8868" s="52" t="n">
        <v>5</v>
      </c>
      <c r="H8868" s="52" t="n">
        <v>2025</v>
      </c>
      <c r="I8868" s="14" t="n"/>
      <c r="J8868" s="14" t="n"/>
      <c r="K8868" s="53" t="inlineStr">
        <is>
          <t>Нет</t>
        </is>
      </c>
      <c r="L8868" s="53" t="inlineStr">
        <is>
          <t>Не определено</t>
        </is>
      </c>
      <c r="M8868" s="53" t="inlineStr">
        <is>
          <t>До 10</t>
        </is>
      </c>
      <c r="N8868" s="54" t="n">
        <v>3360</v>
      </c>
      <c r="O8868" s="55" t="inlineStr">
        <is>
          <t>1–15</t>
        </is>
      </c>
      <c r="P8868" s="16" t="inlineStr">
        <is>
          <t>ССЧР обогащена; ОКВЭД не найден/не загружен</t>
        </is>
      </c>
      <c r="Q8868" s="16" t="inlineStr">
        <is>
          <t>ФНС открытые данные ССЧР (ДатаСост 31.12.2025; набор 7707329152-sshr2019)</t>
        </is>
      </c>
      <c r="R8868" s="16">
        <f>HYPERLINK("https://checko.ru/search?query=3801001629","Чекко: проверить")</f>
        <v/>
      </c>
      <c r="S8868" t="n">
        <v>1</v>
      </c>
      <c r="T8868" s="35" t="inlineStr">
        <is>
          <t>4 — Не обогащён</t>
        </is>
      </c>
      <c r="U8868" s="35" t="inlineStr">
        <is>
          <t>Нет ОКВЭД/ССЧР</t>
        </is>
      </c>
      <c r="V8868" s="35" t="inlineStr">
        <is>
          <t>Не определено</t>
        </is>
      </c>
      <c r="W8868" s="35" t="inlineStr">
        <is>
          <t>Нет</t>
        </is>
      </c>
      <c r="X8868" s="35" t="inlineStr"/>
    </row>
    <row r="8869" ht="27.75" customHeight="1" s="24">
      <c r="A8869" s="13" t="inlineStr">
        <is>
          <t>FR1134353</t>
        </is>
      </c>
      <c r="B8869" s="13" t="inlineStr">
        <is>
          <t>Общество с ограниченной ответственностью "НОВЫЕ ПРОМЫШЛЕННЫЕ ТЕХНОЛОГИИ "</t>
        </is>
      </c>
      <c r="C8869" s="13" t="n">
        <v>2807016450</v>
      </c>
      <c r="D8869" s="13" t="inlineStr">
        <is>
          <t>2807016450</t>
        </is>
      </c>
      <c r="E8869" s="13" t="inlineStr">
        <is>
          <t>ЮЛ РФ</t>
        </is>
      </c>
      <c r="F8869" s="13" t="n"/>
      <c r="G8869" s="52" t="n">
        <v>1</v>
      </c>
      <c r="H8869" s="52" t="n">
        <v>2025</v>
      </c>
      <c r="I8869" s="14" t="n"/>
      <c r="J8869" s="14" t="n"/>
      <c r="K8869" s="53" t="inlineStr">
        <is>
          <t>Нет</t>
        </is>
      </c>
      <c r="L8869" s="53" t="inlineStr">
        <is>
          <t>Не определено</t>
        </is>
      </c>
      <c r="M8869" s="53" t="inlineStr">
        <is>
          <t>До 10</t>
        </is>
      </c>
      <c r="N8869" s="54" t="n">
        <v>3360</v>
      </c>
      <c r="O8869" s="55" t="inlineStr">
        <is>
          <t>1–15</t>
        </is>
      </c>
      <c r="P8869" s="16" t="inlineStr">
        <is>
          <t>ССЧР обогащена; ОКВЭД не найден/не загружен</t>
        </is>
      </c>
      <c r="Q8869" s="16" t="inlineStr">
        <is>
          <t>ФНС открытые данные ССЧР (ДатаСост 31.12.2025; набор 7707329152-sshr2019)</t>
        </is>
      </c>
      <c r="R8869" s="16">
        <f>HYPERLINK("https://checko.ru/search?query=3801001629","Чекко: проверить")</f>
        <v/>
      </c>
      <c r="S8869" t="n">
        <v>1</v>
      </c>
      <c r="T8869" s="35" t="inlineStr">
        <is>
          <t>4 — Не обогащён</t>
        </is>
      </c>
      <c r="U8869" s="35" t="inlineStr">
        <is>
          <t>Нет ОКВЭД/ССЧР</t>
        </is>
      </c>
      <c r="V8869" s="35" t="inlineStr">
        <is>
          <t>Не определено</t>
        </is>
      </c>
      <c r="W8869" s="35" t="inlineStr">
        <is>
          <t>Нет</t>
        </is>
      </c>
      <c r="X8869" s="35" t="inlineStr"/>
    </row>
    <row r="8870" ht="15" customHeight="1" s="24">
      <c r="A8870" s="13" t="inlineStr">
        <is>
          <t>FR1336581</t>
        </is>
      </c>
      <c r="B8870" s="13" t="inlineStr">
        <is>
          <t>Акционерное общество "НОВЫЕ ПЕРСПЕКТИВЫ"</t>
        </is>
      </c>
      <c r="C8870" s="13" t="n">
        <v>9726036726</v>
      </c>
      <c r="D8870" s="13" t="inlineStr">
        <is>
          <t>9726036726</t>
        </is>
      </c>
      <c r="E8870" s="13" t="inlineStr">
        <is>
          <t>ЮЛ РФ</t>
        </is>
      </c>
      <c r="F8870" s="13" t="n"/>
      <c r="G8870" s="52" t="n">
        <v>1</v>
      </c>
      <c r="H8870" s="52" t="n">
        <v>2025</v>
      </c>
      <c r="I8870" s="14" t="n"/>
      <c r="J8870" s="14" t="n"/>
      <c r="K8870" s="53" t="inlineStr">
        <is>
          <t>Нет</t>
        </is>
      </c>
      <c r="L8870" s="53" t="inlineStr">
        <is>
          <t>Не определено</t>
        </is>
      </c>
      <c r="M8870" s="53" t="inlineStr">
        <is>
          <t>До 10</t>
        </is>
      </c>
      <c r="N8870" s="54" t="n">
        <v>3360</v>
      </c>
      <c r="O8870" s="55" t="inlineStr">
        <is>
          <t>1–15</t>
        </is>
      </c>
      <c r="P8870" s="16" t="inlineStr">
        <is>
          <t>ССЧР обогащена; ОКВЭД не найден/не загружен</t>
        </is>
      </c>
      <c r="Q8870" s="16" t="inlineStr">
        <is>
          <t>ФНС открытые данные ССЧР (ДатаСост 31.12.2025; набор 7707329152-sshr2019)</t>
        </is>
      </c>
      <c r="R8870" s="16">
        <f>HYPERLINK("https://checko.ru/search?query=3801001629","Чекко: проверить")</f>
        <v/>
      </c>
      <c r="S8870" t="n">
        <v>1</v>
      </c>
      <c r="T8870" s="35" t="inlineStr">
        <is>
          <t>4 — Не обогащён</t>
        </is>
      </c>
      <c r="U8870" s="35" t="inlineStr">
        <is>
          <t>Нет ОКВЭД/ССЧР</t>
        </is>
      </c>
      <c r="V8870" s="35" t="inlineStr">
        <is>
          <t>Не определено</t>
        </is>
      </c>
      <c r="W8870" s="35" t="inlineStr">
        <is>
          <t>Нет</t>
        </is>
      </c>
      <c r="X8870" s="35" t="inlineStr"/>
    </row>
    <row r="8871" ht="41.25" customHeight="1" s="24">
      <c r="A8871" s="13" t="n">
        <v>18117173</v>
      </c>
      <c r="B8871" s="13" t="inlineStr">
        <is>
          <t>МУНИЦИПАЛЬНОЕ УНИТАРНОЕ ПРЕДПРИЯТИЕ "ВОДОКАНАЛ" МАРКОВСКОГО МУНИЦИПАЛЬНОГО ОБРАЗОВАНИЯ</t>
        </is>
      </c>
      <c r="C8871" s="13" t="n">
        <v>3808280851</v>
      </c>
      <c r="D8871" s="13" t="inlineStr">
        <is>
          <t>3808280851</t>
        </is>
      </c>
      <c r="E8871" s="13" t="inlineStr">
        <is>
          <t>ЮЛ РФ</t>
        </is>
      </c>
      <c r="F8871" s="13" t="n"/>
      <c r="G8871" s="14" t="n"/>
      <c r="H8871" s="14" t="n"/>
      <c r="I8871" s="14" t="n"/>
      <c r="J8871" s="14" t="n"/>
      <c r="K8871" s="53" t="inlineStr"/>
      <c r="L8871" s="53" t="inlineStr">
        <is>
          <t>Не определено</t>
        </is>
      </c>
      <c r="M8871" s="53" t="inlineStr"/>
      <c r="N8871" s="54" t="inlineStr"/>
      <c r="O8871" s="55" t="inlineStr"/>
      <c r="P8871" s="16" t="inlineStr">
        <is>
          <t>Требует обогащения</t>
        </is>
      </c>
      <c r="Q8871" s="16">
        <f>HYPERLINK("https://pb.nalog.ru/search.html?query=3808280851","ФНС: проверить")</f>
        <v/>
      </c>
      <c r="R8871" s="16">
        <f>HYPERLINK("https://checko.ru/search?query=3801001629","Чекко: проверить")</f>
        <v/>
      </c>
      <c r="S8871" t="n">
        <v>0</v>
      </c>
      <c r="T8871" s="35" t="inlineStr">
        <is>
          <t>4 — Не обогащён</t>
        </is>
      </c>
      <c r="U8871" s="35" t="inlineStr">
        <is>
          <t>Нет ОКВЭД/ССЧР</t>
        </is>
      </c>
      <c r="V8871" s="35" t="inlineStr">
        <is>
          <t>Не определено</t>
        </is>
      </c>
      <c r="W8871" s="35" t="inlineStr"/>
      <c r="X8871" s="35" t="inlineStr"/>
    </row>
    <row r="8872" ht="15" customHeight="1" s="24">
      <c r="A8872" s="13" t="inlineStr">
        <is>
          <t>FR19649</t>
        </is>
      </c>
      <c r="B8872" s="13" t="inlineStr">
        <is>
          <t>Ситникова Елена Валерьевна</t>
        </is>
      </c>
      <c r="C8872" s="13" t="n">
        <v>382703055687</v>
      </c>
      <c r="D8872" s="13" t="inlineStr">
        <is>
          <t>382703055687</t>
        </is>
      </c>
      <c r="E8872" s="13" t="inlineStr">
        <is>
          <t>ИП РФ / физлицо</t>
        </is>
      </c>
      <c r="F8872" s="13" t="n"/>
      <c r="G8872" s="14" t="n"/>
      <c r="H8872" s="14" t="n"/>
      <c r="I8872" s="14" t="n"/>
      <c r="J8872" s="14" t="n"/>
      <c r="K8872" s="53" t="inlineStr"/>
      <c r="L8872" s="53" t="inlineStr">
        <is>
          <t>Не определено</t>
        </is>
      </c>
      <c r="M8872" s="53" t="inlineStr"/>
      <c r="N8872" s="54" t="inlineStr"/>
      <c r="O8872" s="55" t="inlineStr"/>
      <c r="P8872" s="16" t="inlineStr">
        <is>
          <t>Требует обогащения</t>
        </is>
      </c>
      <c r="Q8872" s="16">
        <f>HYPERLINK("https://pb.nalog.ru/search.html?query=382703055687","ФНС: проверить")</f>
        <v/>
      </c>
      <c r="R8872" s="16">
        <f>HYPERLINK("https://checko.ru/search?query=3801001629","Чекко: проверить")</f>
        <v/>
      </c>
      <c r="S8872" t="n">
        <v>0</v>
      </c>
      <c r="T8872" s="35" t="inlineStr">
        <is>
          <t>4 — Не обогащён</t>
        </is>
      </c>
      <c r="U8872" s="35" t="inlineStr">
        <is>
          <t>Нет ОКВЭД/ССЧР</t>
        </is>
      </c>
      <c r="V8872" s="35" t="inlineStr">
        <is>
          <t>Не определено</t>
        </is>
      </c>
      <c r="W8872" s="35" t="inlineStr"/>
      <c r="X8872" s="35" t="inlineStr"/>
    </row>
    <row r="8873" ht="27.75" customHeight="1" s="24">
      <c r="A8873" s="13" t="inlineStr">
        <is>
          <t>FR1213092</t>
        </is>
      </c>
      <c r="B8873" s="13" t="inlineStr">
        <is>
          <t>Общество с ограниченной ответственностью "СИ ЭМ ЛОГИСТИКС"</t>
        </is>
      </c>
      <c r="C8873" s="13" t="n">
        <v>268106145</v>
      </c>
      <c r="D8873" s="13" t="n"/>
      <c r="E8873" s="13" t="inlineStr">
        <is>
          <t>Не определён</t>
        </is>
      </c>
      <c r="F8873" s="13" t="inlineStr">
        <is>
          <t>268106145</t>
        </is>
      </c>
      <c r="G8873" s="14" t="n"/>
      <c r="H8873" s="14" t="n"/>
      <c r="I8873" s="14" t="n"/>
      <c r="J8873" s="14" t="n"/>
      <c r="K8873" s="13">
        <f>IF(G8873="","",IF(G8873&gt;=22,"Да","Нет"))</f>
        <v/>
      </c>
      <c r="L8873" s="13">
        <f>IF(OR(I8873="",J8873=""),"Не определено",IF(OR(COUNTIF(I8873,"45*")&gt;0,COUNTIF(J8873,"*45*")&gt;0,COUNTIF(I8873,"46*")&gt;0,COUNTIF(J8873,"*46*")&gt;0,COUNTIF(I8873,"47*")&gt;0,COUNTIF(J8873,"*47*")&gt;0,COUNTIF(I8873,"10*")&gt;0,COUNTIF(J8873,"*10*")&gt;0,COUNTIF(I8873,"11*")&gt;0,COUNTIF(J8873,"*11*")&gt;0,COUNTIF(I8873,"12*")&gt;0,COUNTIF(J8873,"*12*")&gt;0,COUNTIF(I8873,"13*")&gt;0,COUNTIF(J8873,"*13*")&gt;0,COUNTIF(I8873,"14*")&gt;0,COUNTIF(J8873,"*14*")&gt;0,COUNTIF(I8873,"15*")&gt;0,COUNTIF(J8873,"*15*")&gt;0,COUNTIF(I8873,"16*")&gt;0,COUNTIF(J8873,"*16*")&gt;0,COUNTIF(I8873,"17*")&gt;0,COUNTIF(J8873,"*17*")&gt;0,COUNTIF(I8873,"18*")&gt;0,COUNTIF(J8873,"*18*")&gt;0,COUNTIF(I8873,"19*")&gt;0,COUNTIF(J8873,"*19*")&gt;0,COUNTIF(I8873,"20*")&gt;0,COUNTIF(J8873,"*20*")&gt;0,COUNTIF(I8873,"21*")&gt;0,COUNTIF(J8873,"*21*")&gt;0,COUNTIF(I8873,"22*")&gt;0,COUNTIF(J8873,"*22*")&gt;0,COUNTIF(I8873,"23*")&gt;0,COUNTIF(J8873,"*23*")&gt;0,COUNTIF(I8873,"24*")&gt;0,COUNTIF(J8873,"*24*")&gt;0,COUNTIF(I8873,"25*")&gt;0,COUNTIF(J8873,"*25*")&gt;0,COUNTIF(I8873,"26*")&gt;0,COUNTIF(J8873,"*26*")&gt;0,COUNTIF(I8873,"27*")&gt;0,COUNTIF(J8873,"*27*")&gt;0,COUNTIF(I8873,"28*")&gt;0,COUNTIF(J8873,"*28*")&gt;0,COUNTIF(I8873,"29*")&gt;0,COUNTIF(J8873,"*29*")&gt;0,COUNTIF(I8873,"30*")&gt;0,COUNTIF(J8873,"*30*")&gt;0,COUNTIF(I8873,"31*")&gt;0,COUNTIF(J8873,"*31*")&gt;0,COUNTIF(I8873,"32*")&gt;0,COUNTIF(J8873,"*32*")&gt;0,COUNTIF(I8873,"33*")&gt;0,COUNTIF(J8873,"*33*")&gt;0,COUNTIF(I8873,"41*")&gt;0,COUNTIF(J8873,"*41*")&gt;0,COUNTIF(I8873,"42*")&gt;0,COUNTIF(J8873,"*42*")&gt;0,COUNTIF(I8873,"43*")&gt;0,COUNTIF(J8873,"*43*")&gt;0,COUNTIF(I8873,"49*")&gt;0,COUNTIF(J8873,"*49*")&gt;0,COUNTIF(I8873,"52*")&gt;0,COUNTIF(J8873,"*52*")&gt;0,COUNTIF(I8873,"55*")&gt;0,COUNTIF(J8873,"*55*")&gt;0,COUNTIF(I8873,"56*")&gt;0,COUNTIF(J8873,"*56*")&gt;0,COUNTIF(I8873,"68*")&gt;0,COUNTIF(J8873,"*68*")&gt;0,COUNTIF(I8873,"78*")&gt;0,COUNTIF(J8873,"*78*")&gt;0,COUNTIF(I8873,"81*")&gt;0,COUNTIF(J8873,"*81*")&gt;0,COUNTIF(I8873,"82*")&gt;0,COUNTIF(J8873,"*82*")&gt;0,COUNTIF(I8873,"64*")&gt;0,COUNTIF(J8873,"*64*")&gt;0,COUNTIF(I8873,"65*")&gt;0,COUNTIF(J8873,"*65*")&gt;0,COUNTIF(I8873,"66*")&gt;0,COUNTIF(J8873,"*66*")&gt;0,COUNTIF(I8873,"61*")&gt;0,COUNTIF(J8873,"*61*")&gt;0,COUNTIF(I8873,"62*")&gt;0,COUNTIF(J8873,"*62*")&gt;0,COUNTIF(I8873,"63*")&gt;0,COUNTIF(J8873,"*63*")&gt;0,COUNTIF(I8873,"85*")&gt;0,COUNTIF(J8873,"*85*")&gt;0,COUNTIF(I8873,"86*")&gt;0,COUNTIF(J8873,"*86*")&gt;0),"Да","Нет"))</f>
        <v/>
      </c>
      <c r="M8873" s="13">
        <f>IF(OR(G8873="",L8873&lt;&gt;"Да"),"",IF(G8873&lt;=100,"До 100",IF(G8873&lt;=200,"До 200",IF(G8873&lt;=500,"До 500","Отдельное КП"))))</f>
        <v/>
      </c>
      <c r="N8873" s="15">
        <f>IF(OR(G8873="",L8873&lt;&gt;"Да"),"",IF(G8873&lt;=100,33600,IF(G8873&lt;=200,62400,IF(G8873&lt;=500,144000,""))))</f>
        <v/>
      </c>
      <c r="O8873" s="16">
        <f>IF(G8873="","",IF(G8873&lt;=15,"1–15",IF(G8873&lt;=30,"16–30",IF(G8873&lt;=50,"31–50",IF(G8873&lt;=100,"51–100",IF(G8873&lt;=150,"101–150",IF(G8873&lt;=200,"151–200",IF(G8873&lt;=500,"201–500","500+"))))))))</f>
        <v/>
      </c>
      <c r="P8873" s="16" t="inlineStr">
        <is>
          <t>Нет совпадения в предоставленной выгрузке ССЧР</t>
        </is>
      </c>
      <c r="Q8873" s="16" t="n"/>
      <c r="R8873" s="16">
        <f>HYPERLINK("https://checko.ru/search?query=3801001629","Чекко: проверить")</f>
        <v/>
      </c>
      <c r="S8873" t="n">
        <v>0</v>
      </c>
    </row>
    <row r="8874" ht="27.75" customHeight="1" s="24">
      <c r="A8874" s="13" t="n">
        <v>20016913891</v>
      </c>
      <c r="B8874" s="13" t="inlineStr">
        <is>
          <t>Индивидуальный предприниматель Абрамова Елена Евгеньевна</t>
        </is>
      </c>
      <c r="C8874" s="13" t="n">
        <v>381600534608</v>
      </c>
      <c r="D8874" s="13" t="inlineStr">
        <is>
          <t>381600534608</t>
        </is>
      </c>
      <c r="E8874" s="13" t="inlineStr">
        <is>
          <t>ИП РФ / физлицо</t>
        </is>
      </c>
      <c r="F8874" s="13" t="n"/>
      <c r="G8874" s="14" t="n"/>
      <c r="H8874" s="14" t="n"/>
      <c r="I8874" s="14" t="n"/>
      <c r="J8874" s="14" t="n"/>
      <c r="K8874" s="53" t="inlineStr"/>
      <c r="L8874" s="53" t="inlineStr">
        <is>
          <t>Не определено</t>
        </is>
      </c>
      <c r="M8874" s="53" t="inlineStr"/>
      <c r="N8874" s="54" t="inlineStr"/>
      <c r="O8874" s="55" t="inlineStr"/>
      <c r="P8874" s="16" t="inlineStr">
        <is>
          <t>Требует обогащения</t>
        </is>
      </c>
      <c r="Q8874" s="16">
        <f>HYPERLINK("https://pb.nalog.ru/search.html?query=381600534608","ФНС: проверить")</f>
        <v/>
      </c>
      <c r="R8874" s="16">
        <f>HYPERLINK("https://checko.ru/search?query=3801001629","Чекко: проверить")</f>
        <v/>
      </c>
      <c r="S8874" t="n">
        <v>1</v>
      </c>
      <c r="T8874" s="35" t="inlineStr">
        <is>
          <t>4 — Не обогащён</t>
        </is>
      </c>
      <c r="U8874" s="35" t="inlineStr">
        <is>
          <t>Нет ОКВЭД/ССЧР</t>
        </is>
      </c>
      <c r="V8874" s="35" t="inlineStr">
        <is>
          <t>Не определено</t>
        </is>
      </c>
      <c r="W8874" s="35" t="inlineStr"/>
      <c r="X8874" s="35" t="inlineStr"/>
    </row>
    <row r="8875" ht="15" customHeight="1" s="24">
      <c r="A8875" s="13" t="n">
        <v>800514096</v>
      </c>
      <c r="B8875" s="13" t="inlineStr">
        <is>
          <t>ПРОМПАРК</t>
        </is>
      </c>
      <c r="C8875" s="13" t="n">
        <v>3811183858</v>
      </c>
      <c r="D8875" s="13" t="inlineStr">
        <is>
          <t>3811183858</t>
        </is>
      </c>
      <c r="E8875" s="13" t="inlineStr">
        <is>
          <t>ЮЛ РФ</t>
        </is>
      </c>
      <c r="F8875" s="13" t="n"/>
      <c r="G8875" s="52" t="n">
        <v>32</v>
      </c>
      <c r="H8875" s="52" t="n">
        <v>2025</v>
      </c>
      <c r="I8875" s="52" t="inlineStr">
        <is>
          <t>41.20</t>
        </is>
      </c>
      <c r="J8875" s="52" t="inlineStr">
        <is>
          <t>41.20; 33.12; 33.13; 41.10; 42.11; 42.13; 42.21; 42.22; 42.91; 42.99; 43.11; 43.12; 43.12.3; 43.13; 43.21; 43.22; 43.29; 43.31; 43.32; 43.33; 43.34; 43.39; 43.91; 43.99; 43.99.1; 45.31; 46.21; 46.46; 46.69; 46.71; 46.73; 46.90; 47.30; 47.73; 47.74; 47.75; 49.41; 77.31; 77.32</t>
        </is>
      </c>
      <c r="K8875" s="53" t="inlineStr">
        <is>
          <t>Да</t>
        </is>
      </c>
      <c r="L8875" s="53" t="inlineStr">
        <is>
          <t>Да</t>
        </is>
      </c>
      <c r="M8875" s="53" t="inlineStr">
        <is>
          <t>До 50</t>
        </is>
      </c>
      <c r="N8875" s="54" t="n">
        <v>16800</v>
      </c>
      <c r="O8875" s="55" t="inlineStr">
        <is>
          <t>31–50</t>
        </is>
      </c>
      <c r="P8875" s="16" t="inlineStr">
        <is>
          <t>ССЧР + ОКВЭД обогащены</t>
        </is>
      </c>
      <c r="Q8875" s="16" t="inlineStr">
        <is>
          <t>ФНС открытые данные ССЧР (ДатаСост 31.12.2025; набор 7707329152-sshr2019)</t>
        </is>
      </c>
      <c r="R8875" s="16" t="inlineStr">
        <is>
          <t>ЕГРЮЛ / egrul.nalog.ru (выписка)</t>
        </is>
      </c>
      <c r="S8875" t="n">
        <v>0</v>
      </c>
      <c r="T8875" s="35" t="inlineStr">
        <is>
          <t>1 — Горячий</t>
        </is>
      </c>
      <c r="U8875" s="35" t="inlineStr">
        <is>
          <t>ОКВЭД + 22+</t>
        </is>
      </c>
      <c r="V8875" s="35" t="inlineStr">
        <is>
          <t>Да</t>
        </is>
      </c>
      <c r="W8875" s="35" t="inlineStr">
        <is>
          <t>Да</t>
        </is>
      </c>
      <c r="X8875" s="35" t="inlineStr">
        <is>
          <t>Да</t>
        </is>
      </c>
    </row>
    <row r="8876" ht="27.75" customHeight="1" s="24">
      <c r="A8876" s="13" t="n">
        <v>800761514</v>
      </c>
      <c r="B8876" s="13" t="inlineStr">
        <is>
          <t>ОБЩЕСТВО С ОГРАНИЧЕННОЙ ОТВЕТСТВЕННОСТЬЮ "ЛАВ - ПРОДУКТ"</t>
        </is>
      </c>
      <c r="C8876" s="13" t="n">
        <v>3810314219</v>
      </c>
      <c r="D8876" s="13" t="inlineStr">
        <is>
          <t>3810314219</t>
        </is>
      </c>
      <c r="E8876" s="13" t="inlineStr">
        <is>
          <t>ЮЛ РФ</t>
        </is>
      </c>
      <c r="F8876" s="13" t="n"/>
      <c r="G8876" s="52" t="n">
        <v>30</v>
      </c>
      <c r="H8876" s="52" t="n">
        <v>2025</v>
      </c>
      <c r="I8876" s="52" t="inlineStr">
        <is>
          <t>46.32.1</t>
        </is>
      </c>
      <c r="J8876" s="52" t="inlineStr">
        <is>
          <t>46.32.1; 42.11; 42.99; 43.99; 46.21.13; 47.11; 47.21; 47.22.1; 47.24; 47.25; 47.29; 49.41; 49.41.1; 49.41.2; 49.41.3; 49.42</t>
        </is>
      </c>
      <c r="K8876" s="53" t="inlineStr">
        <is>
          <t>Да</t>
        </is>
      </c>
      <c r="L8876" s="53" t="inlineStr">
        <is>
          <t>Да</t>
        </is>
      </c>
      <c r="M8876" s="53" t="inlineStr">
        <is>
          <t>До 50</t>
        </is>
      </c>
      <c r="N8876" s="54" t="n">
        <v>16800</v>
      </c>
      <c r="O8876" s="55" t="inlineStr">
        <is>
          <t>16–30</t>
        </is>
      </c>
      <c r="P8876" s="16" t="inlineStr">
        <is>
          <t>ССЧР + ОКВЭД обогащены</t>
        </is>
      </c>
      <c r="Q8876" s="16" t="inlineStr">
        <is>
          <t>ФНС открытые данные ССЧР (ДатаСост 31.12.2025; набор 7707329152-sshr2019)</t>
        </is>
      </c>
      <c r="R8876" s="16" t="inlineStr">
        <is>
          <t>ЕГРЮЛ / egrul.nalog.ru (выписка)</t>
        </is>
      </c>
      <c r="S8876" t="n">
        <v>0</v>
      </c>
      <c r="T8876" s="35" t="inlineStr">
        <is>
          <t>1 — Горячий</t>
        </is>
      </c>
      <c r="U8876" s="35" t="inlineStr">
        <is>
          <t>ОКВЭД + 22+</t>
        </is>
      </c>
      <c r="V8876" s="35" t="inlineStr">
        <is>
          <t>Да</t>
        </is>
      </c>
      <c r="W8876" s="35" t="inlineStr">
        <is>
          <t>Да</t>
        </is>
      </c>
      <c r="X8876" s="35" t="inlineStr">
        <is>
          <t>Да</t>
        </is>
      </c>
    </row>
    <row r="8877" ht="27.75" customHeight="1" s="24">
      <c r="A8877" s="13" t="inlineStr">
        <is>
          <t>FR1224340</t>
        </is>
      </c>
      <c r="B8877" s="13" t="inlineStr">
        <is>
          <t>Общество с ограниченной ответственностью "ФИНАНСОВАЯ ЗАЩИТА"</t>
        </is>
      </c>
      <c r="C8877" s="13" t="n">
        <v>3849088716</v>
      </c>
      <c r="D8877" s="13" t="inlineStr">
        <is>
          <t>3849088716</t>
        </is>
      </c>
      <c r="E8877" s="13" t="inlineStr">
        <is>
          <t>ЮЛ РФ</t>
        </is>
      </c>
      <c r="F8877" s="13" t="n"/>
      <c r="G8877" s="52" t="n">
        <v>6</v>
      </c>
      <c r="H8877" s="52" t="n">
        <v>2025</v>
      </c>
      <c r="I8877" s="14" t="n"/>
      <c r="J8877" s="14" t="n"/>
      <c r="K8877" s="53" t="inlineStr">
        <is>
          <t>Нет</t>
        </is>
      </c>
      <c r="L8877" s="53" t="inlineStr">
        <is>
          <t>Не определено</t>
        </is>
      </c>
      <c r="M8877" s="53" t="inlineStr">
        <is>
          <t>До 10</t>
        </is>
      </c>
      <c r="N8877" s="54" t="n">
        <v>3360</v>
      </c>
      <c r="O8877" s="55" t="inlineStr">
        <is>
          <t>1–15</t>
        </is>
      </c>
      <c r="P8877" s="16" t="inlineStr">
        <is>
          <t>ССЧР обогащена; ОКВЭД не найден/не загружен</t>
        </is>
      </c>
      <c r="Q8877" s="16" t="inlineStr">
        <is>
          <t>ФНС открытые данные ССЧР (ДатаСост 31.12.2025; набор 7707329152-sshr2019)</t>
        </is>
      </c>
      <c r="R8877" s="16">
        <f>HYPERLINK("https://checko.ru/search?query=3801001629","Чекко: проверить")</f>
        <v/>
      </c>
      <c r="S8877" t="n">
        <v>0</v>
      </c>
      <c r="T8877" s="35" t="inlineStr">
        <is>
          <t>4 — Не обогащён</t>
        </is>
      </c>
      <c r="U8877" s="35" t="inlineStr">
        <is>
          <t>Нет ОКВЭД/ССЧР</t>
        </is>
      </c>
      <c r="V8877" s="35" t="inlineStr">
        <is>
          <t>Не определено</t>
        </is>
      </c>
      <c r="W8877" s="35" t="inlineStr">
        <is>
          <t>Нет</t>
        </is>
      </c>
      <c r="X8877" s="35" t="inlineStr"/>
    </row>
    <row r="8878" ht="27.75" customHeight="1" s="24">
      <c r="A8878" s="13" t="inlineStr">
        <is>
          <t>FR1224340</t>
        </is>
      </c>
      <c r="B8878" s="13" t="inlineStr">
        <is>
          <t>Общество с ограниченной ответственностью "ФИНАНСОВАЯ ЗАЩИТА"</t>
        </is>
      </c>
      <c r="C8878" s="13" t="n">
        <v>3849088716</v>
      </c>
      <c r="D8878" s="13" t="inlineStr">
        <is>
          <t>3849088716</t>
        </is>
      </c>
      <c r="E8878" s="13" t="inlineStr">
        <is>
          <t>ЮЛ РФ</t>
        </is>
      </c>
      <c r="F8878" s="13" t="n"/>
      <c r="G8878" s="52" t="n">
        <v>6</v>
      </c>
      <c r="H8878" s="52" t="n">
        <v>2025</v>
      </c>
      <c r="I8878" s="14" t="n"/>
      <c r="J8878" s="14" t="n"/>
      <c r="K8878" s="53" t="inlineStr">
        <is>
          <t>Нет</t>
        </is>
      </c>
      <c r="L8878" s="53" t="inlineStr">
        <is>
          <t>Не определено</t>
        </is>
      </c>
      <c r="M8878" s="53" t="inlineStr">
        <is>
          <t>До 10</t>
        </is>
      </c>
      <c r="N8878" s="54" t="n">
        <v>3360</v>
      </c>
      <c r="O8878" s="55" t="inlineStr">
        <is>
          <t>1–15</t>
        </is>
      </c>
      <c r="P8878" s="16" t="inlineStr">
        <is>
          <t>ССЧР обогащена; ОКВЭД не найден/не загружен</t>
        </is>
      </c>
      <c r="Q8878" s="16" t="inlineStr">
        <is>
          <t>ФНС открытые данные ССЧР (ДатаСост 31.12.2025; набор 7707329152-sshr2019)</t>
        </is>
      </c>
      <c r="R8878" s="16">
        <f>HYPERLINK("https://checko.ru/search?query=3801001629","Чекко: проверить")</f>
        <v/>
      </c>
      <c r="S8878" t="n">
        <v>0</v>
      </c>
      <c r="T8878" s="35" t="inlineStr">
        <is>
          <t>4 — Не обогащён</t>
        </is>
      </c>
      <c r="U8878" s="35" t="inlineStr">
        <is>
          <t>Нет ОКВЭД/ССЧР</t>
        </is>
      </c>
      <c r="V8878" s="35" t="inlineStr">
        <is>
          <t>Не определено</t>
        </is>
      </c>
      <c r="W8878" s="35" t="inlineStr">
        <is>
          <t>Нет</t>
        </is>
      </c>
      <c r="X8878" s="35" t="inlineStr"/>
    </row>
    <row r="8879" ht="27.75" customHeight="1" s="24">
      <c r="A8879" s="13" t="inlineStr">
        <is>
          <t>FR945465</t>
        </is>
      </c>
      <c r="B8879" s="13" t="inlineStr">
        <is>
          <t>Общество с ограниченной ответственностью " ГРОССБУХ"</t>
        </is>
      </c>
      <c r="C8879" s="13" t="n">
        <v>3805718230</v>
      </c>
      <c r="D8879" s="13" t="inlineStr">
        <is>
          <t>3805718230</t>
        </is>
      </c>
      <c r="E8879" s="13" t="inlineStr">
        <is>
          <t>ЮЛ РФ</t>
        </is>
      </c>
      <c r="F8879" s="13" t="n"/>
      <c r="G8879" s="52" t="n">
        <v>2</v>
      </c>
      <c r="H8879" s="52" t="n">
        <v>2025</v>
      </c>
      <c r="I8879" s="14" t="n"/>
      <c r="J8879" s="14" t="n"/>
      <c r="K8879" s="53" t="inlineStr">
        <is>
          <t>Нет</t>
        </is>
      </c>
      <c r="L8879" s="53" t="inlineStr">
        <is>
          <t>Не определено</t>
        </is>
      </c>
      <c r="M8879" s="53" t="inlineStr">
        <is>
          <t>До 10</t>
        </is>
      </c>
      <c r="N8879" s="54" t="n">
        <v>3360</v>
      </c>
      <c r="O8879" s="55" t="inlineStr">
        <is>
          <t>1–15</t>
        </is>
      </c>
      <c r="P8879" s="16" t="inlineStr">
        <is>
          <t>ССЧР обогащена; ОКВЭД не найден/не загружен</t>
        </is>
      </c>
      <c r="Q8879" s="16" t="inlineStr">
        <is>
          <t>ФНС открытые данные ССЧР (ДатаСост 31.12.2025; набор 7707329152-sshr2019)</t>
        </is>
      </c>
      <c r="R8879" s="16">
        <f>HYPERLINK("https://checko.ru/search?query=3801001629","Чекко: проверить")</f>
        <v/>
      </c>
      <c r="S8879" t="n">
        <v>1</v>
      </c>
      <c r="T8879" s="35" t="inlineStr">
        <is>
          <t>4 — Не обогащён</t>
        </is>
      </c>
      <c r="U8879" s="35" t="inlineStr">
        <is>
          <t>Нет ОКВЭД/ССЧР</t>
        </is>
      </c>
      <c r="V8879" s="35" t="inlineStr">
        <is>
          <t>Не определено</t>
        </is>
      </c>
      <c r="W8879" s="35" t="inlineStr">
        <is>
          <t>Нет</t>
        </is>
      </c>
      <c r="X8879" s="35" t="inlineStr"/>
    </row>
    <row r="8880" ht="15" customHeight="1" s="24">
      <c r="A8880" s="13" t="n">
        <v>9114190</v>
      </c>
      <c r="B8880" s="13" t="inlineStr">
        <is>
          <t>АО "СТОМАТОЛОГИЧЕСКИЙ ЦЕНТР"</t>
        </is>
      </c>
      <c r="C8880" s="13" t="n">
        <v>3808128864</v>
      </c>
      <c r="D8880" s="13" t="inlineStr">
        <is>
          <t>3808128864</t>
        </is>
      </c>
      <c r="E8880" s="13" t="inlineStr">
        <is>
          <t>ЮЛ РФ</t>
        </is>
      </c>
      <c r="F8880" s="13" t="n"/>
      <c r="G8880" s="52" t="n">
        <v>90</v>
      </c>
      <c r="H8880" s="52" t="n">
        <v>2025</v>
      </c>
      <c r="I8880" s="52" t="inlineStr">
        <is>
          <t>16.10.9</t>
        </is>
      </c>
      <c r="J8880" s="52" t="inlineStr">
        <is>
          <t>16.10.9; 16.23; 16.24; 16.29; 43.12; 43.99; 47.73; 47.74; 47.75; 47.79; 56.29</t>
        </is>
      </c>
      <c r="K8880" s="53" t="inlineStr">
        <is>
          <t>Да</t>
        </is>
      </c>
      <c r="L8880" s="53" t="inlineStr">
        <is>
          <t>Да</t>
        </is>
      </c>
      <c r="M8880" s="53" t="inlineStr">
        <is>
          <t>До 100</t>
        </is>
      </c>
      <c r="N8880" s="54" t="n">
        <v>33600</v>
      </c>
      <c r="O8880" s="55" t="inlineStr">
        <is>
          <t>51–100</t>
        </is>
      </c>
      <c r="P8880" s="16" t="inlineStr">
        <is>
          <t>ССЧР + ОКВЭД обогащены</t>
        </is>
      </c>
      <c r="Q8880" s="16" t="inlineStr">
        <is>
          <t>ФНС открытые данные ССЧР (ДатаСост 31.12.2025; набор 7707329152-sshr2019)</t>
        </is>
      </c>
      <c r="R8880" s="16" t="inlineStr">
        <is>
          <t>ЕГРЮЛ / egrul.nalog.ru (выписка)</t>
        </is>
      </c>
      <c r="S8880" t="n">
        <v>0</v>
      </c>
      <c r="T8880" s="35" t="inlineStr">
        <is>
          <t>1 — Горячий</t>
        </is>
      </c>
      <c r="U8880" s="35" t="inlineStr">
        <is>
          <t>ОКВЭД + 22+</t>
        </is>
      </c>
      <c r="V8880" s="35" t="inlineStr">
        <is>
          <t>Да</t>
        </is>
      </c>
      <c r="W8880" s="35" t="inlineStr">
        <is>
          <t>Да</t>
        </is>
      </c>
      <c r="X8880" s="35" t="inlineStr">
        <is>
          <t>Да</t>
        </is>
      </c>
    </row>
    <row r="8881" ht="15" customHeight="1" s="24">
      <c r="A8881" s="13" t="n">
        <v>9316070</v>
      </c>
      <c r="B8881" s="13" t="inlineStr">
        <is>
          <t>Форус НПФ ООО</t>
        </is>
      </c>
      <c r="C8881" s="13" t="n">
        <v>3812023430</v>
      </c>
      <c r="D8881" s="13" t="inlineStr">
        <is>
          <t>3812023430</t>
        </is>
      </c>
      <c r="E8881" s="13" t="inlineStr">
        <is>
          <t>ЮЛ РФ</t>
        </is>
      </c>
      <c r="F8881" s="13" t="n"/>
      <c r="G8881" s="52" t="n">
        <v>272</v>
      </c>
      <c r="H8881" s="52" t="n">
        <v>2025</v>
      </c>
      <c r="I8881" s="52" t="inlineStr">
        <is>
          <t>62.01</t>
        </is>
      </c>
      <c r="J8881" s="52" t="inlineStr">
        <is>
          <t>62.01; 46.51; 62.02.9; 18.11; 46.43; 46.43.3; 46.49.32; 46.52.3; 46.66; 46.90; 47.41; 47.62.1; 47.63.1; 47.63.2; 58.13; 62.03; 62.09; 63.11; 63.11.1; 68.20; 69.20.2; 70.22; 72.19; 73.11; 73.20.1; 82.99</t>
        </is>
      </c>
      <c r="K8881" s="53" t="inlineStr">
        <is>
          <t>Да</t>
        </is>
      </c>
      <c r="L8881" s="53" t="inlineStr">
        <is>
          <t>Да</t>
        </is>
      </c>
      <c r="M8881" s="53" t="inlineStr">
        <is>
          <t>До 500</t>
        </is>
      </c>
      <c r="N8881" s="54" t="n">
        <v>144000</v>
      </c>
      <c r="O8881" s="55" t="inlineStr">
        <is>
          <t>201–500</t>
        </is>
      </c>
      <c r="P8881" s="16" t="inlineStr">
        <is>
          <t>ССЧР + ОКВЭД обогащены</t>
        </is>
      </c>
      <c r="Q8881" s="16" t="inlineStr">
        <is>
          <t>ФНС открытые данные ССЧР (ДатаСост 31.12.2025; набор 7707329152-sshr2019)</t>
        </is>
      </c>
      <c r="R8881" s="16" t="inlineStr">
        <is>
          <t>ЕГРЮЛ / egrul.nalog.ru (выписка)</t>
        </is>
      </c>
      <c r="S8881" t="n">
        <v>0</v>
      </c>
      <c r="T8881" s="35" t="inlineStr">
        <is>
          <t>1 — Горячий</t>
        </is>
      </c>
      <c r="U8881" s="35" t="inlineStr">
        <is>
          <t>ОКВЭД + 22+</t>
        </is>
      </c>
      <c r="V8881" s="35" t="inlineStr">
        <is>
          <t>Да</t>
        </is>
      </c>
      <c r="W8881" s="35" t="inlineStr">
        <is>
          <t>Да</t>
        </is>
      </c>
      <c r="X8881" s="35" t="inlineStr">
        <is>
          <t>Да</t>
        </is>
      </c>
    </row>
    <row r="8882" ht="15" customHeight="1" s="24">
      <c r="A8882" s="13" t="n">
        <v>20005748995</v>
      </c>
      <c r="B8882" s="13" t="inlineStr">
        <is>
          <t>ИП Мельникова Евгения Александровна</t>
        </is>
      </c>
      <c r="C8882" s="13" t="n">
        <v>380403792446</v>
      </c>
      <c r="D8882" s="13" t="inlineStr">
        <is>
          <t>380403792446</t>
        </is>
      </c>
      <c r="E8882" s="13" t="inlineStr">
        <is>
          <t>ИП РФ / физлицо</t>
        </is>
      </c>
      <c r="F8882" s="13" t="n"/>
      <c r="G8882" s="14" t="n"/>
      <c r="H8882" s="14" t="n"/>
      <c r="I8882" s="14" t="n"/>
      <c r="J8882" s="14" t="n"/>
      <c r="K8882" s="53" t="inlineStr"/>
      <c r="L8882" s="53" t="inlineStr">
        <is>
          <t>Не определено</t>
        </is>
      </c>
      <c r="M8882" s="53" t="inlineStr"/>
      <c r="N8882" s="54" t="inlineStr"/>
      <c r="O8882" s="55" t="inlineStr"/>
      <c r="P8882" s="16" t="inlineStr">
        <is>
          <t>Требует обогащения</t>
        </is>
      </c>
      <c r="Q8882" s="16">
        <f>HYPERLINK("https://pb.nalog.ru/search.html?query=380403792446","ФНС: проверить")</f>
        <v/>
      </c>
      <c r="R8882" s="16">
        <f>HYPERLINK("https://checko.ru/search?query=3801001629","Чекко: проверить")</f>
        <v/>
      </c>
      <c r="S8882" t="n">
        <v>0</v>
      </c>
      <c r="T8882" s="35" t="inlineStr">
        <is>
          <t>4 — Не обогащён</t>
        </is>
      </c>
      <c r="U8882" s="35" t="inlineStr">
        <is>
          <t>Нет ОКВЭД/ССЧР</t>
        </is>
      </c>
      <c r="V8882" s="35" t="inlineStr">
        <is>
          <t>Не определено</t>
        </is>
      </c>
      <c r="W8882" s="35" t="inlineStr"/>
      <c r="X8882" s="35" t="inlineStr"/>
    </row>
    <row r="8883" ht="27.75" customHeight="1" s="24">
      <c r="A8883" s="13" t="n">
        <v>20012844616</v>
      </c>
      <c r="B8883" s="13" t="inlineStr">
        <is>
          <t>ОБЩЕСТВО С ОГРАНИЧЕННОЙ ОТВЕТСТВЕННОСТЬЮ "ГЕОСТРОЙ"</t>
        </is>
      </c>
      <c r="C8883" s="13" t="n">
        <v>3811088555</v>
      </c>
      <c r="D8883" s="13" t="inlineStr">
        <is>
          <t>3811088555</t>
        </is>
      </c>
      <c r="E8883" s="13" t="inlineStr">
        <is>
          <t>ЮЛ РФ</t>
        </is>
      </c>
      <c r="F8883" s="13" t="n"/>
      <c r="G8883" s="52" t="n">
        <v>2</v>
      </c>
      <c r="H8883" s="52" t="n">
        <v>2025</v>
      </c>
      <c r="I8883" s="14" t="n"/>
      <c r="J8883" s="14" t="n"/>
      <c r="K8883" s="53" t="inlineStr">
        <is>
          <t>Нет</t>
        </is>
      </c>
      <c r="L8883" s="53" t="inlineStr">
        <is>
          <t>Не определено</t>
        </is>
      </c>
      <c r="M8883" s="53" t="inlineStr">
        <is>
          <t>До 10</t>
        </is>
      </c>
      <c r="N8883" s="54" t="n">
        <v>3360</v>
      </c>
      <c r="O8883" s="55" t="inlineStr">
        <is>
          <t>1–15</t>
        </is>
      </c>
      <c r="P8883" s="16" t="inlineStr">
        <is>
          <t>ССЧР обогащена; ОКВЭД не найден/не загружен</t>
        </is>
      </c>
      <c r="Q8883" s="16" t="inlineStr">
        <is>
          <t>ФНС открытые данные ССЧР (ДатаСост 31.12.2025; набор 7707329152-sshr2019)</t>
        </is>
      </c>
      <c r="R8883" s="16">
        <f>HYPERLINK("https://checko.ru/search?query=3801001629","Чекко: проверить")</f>
        <v/>
      </c>
      <c r="S8883" t="n">
        <v>1</v>
      </c>
      <c r="T8883" s="35" t="inlineStr">
        <is>
          <t>4 — Не обогащён</t>
        </is>
      </c>
      <c r="U8883" s="35" t="inlineStr">
        <is>
          <t>Нет ОКВЭД/ССЧР</t>
        </is>
      </c>
      <c r="V8883" s="35" t="inlineStr">
        <is>
          <t>Не определено</t>
        </is>
      </c>
      <c r="W8883" s="35" t="inlineStr">
        <is>
          <t>Нет</t>
        </is>
      </c>
      <c r="X8883" s="35" t="inlineStr"/>
    </row>
    <row r="8884" ht="27.75" customHeight="1" s="24">
      <c r="A8884" s="13" t="n">
        <v>802476730</v>
      </c>
      <c r="B8884" s="13" t="inlineStr">
        <is>
          <t>Общество с ограниченной ответственностью "ФАРМ ФЭМИЛИ"</t>
        </is>
      </c>
      <c r="C8884" s="13" t="n">
        <v>3851025449</v>
      </c>
      <c r="D8884" s="13" t="inlineStr">
        <is>
          <t>3851025449</t>
        </is>
      </c>
      <c r="E8884" s="13" t="inlineStr">
        <is>
          <t>ЮЛ РФ</t>
        </is>
      </c>
      <c r="F8884" s="13" t="n"/>
      <c r="G8884" s="52" t="n">
        <v>23</v>
      </c>
      <c r="H8884" s="52" t="n">
        <v>2025</v>
      </c>
      <c r="I8884" s="52" t="inlineStr">
        <is>
          <t>47.73</t>
        </is>
      </c>
      <c r="J8884" s="52" t="inlineStr">
        <is>
          <t>47.73; 47.74; 47.75</t>
        </is>
      </c>
      <c r="K8884" s="53" t="inlineStr">
        <is>
          <t>Да</t>
        </is>
      </c>
      <c r="L8884" s="53" t="inlineStr">
        <is>
          <t>Да</t>
        </is>
      </c>
      <c r="M8884" s="53" t="inlineStr">
        <is>
          <t>До 25</t>
        </is>
      </c>
      <c r="N8884" s="54" t="n">
        <v>8400</v>
      </c>
      <c r="O8884" s="55" t="inlineStr">
        <is>
          <t>16–30</t>
        </is>
      </c>
      <c r="P8884" s="16" t="inlineStr">
        <is>
          <t>ССЧР + ОКВЭД обогащены</t>
        </is>
      </c>
      <c r="Q8884" s="16" t="inlineStr">
        <is>
          <t>ФНС открытые данные ССЧР (ДатаСост 31.12.2025; набор 7707329152-sshr2019)</t>
        </is>
      </c>
      <c r="R8884" s="16" t="inlineStr">
        <is>
          <t>ЕГРЮЛ / egrul.nalog.ru (выписка)</t>
        </is>
      </c>
      <c r="S8884" t="n">
        <v>1</v>
      </c>
      <c r="T8884" s="35" t="inlineStr">
        <is>
          <t>1 — Горячий</t>
        </is>
      </c>
      <c r="U8884" s="35" t="inlineStr">
        <is>
          <t>ОКВЭД + 22+</t>
        </is>
      </c>
      <c r="V8884" s="35" t="inlineStr">
        <is>
          <t>Да</t>
        </is>
      </c>
      <c r="W8884" s="35" t="inlineStr">
        <is>
          <t>Да</t>
        </is>
      </c>
      <c r="X8884" s="35" t="inlineStr">
        <is>
          <t>Да</t>
        </is>
      </c>
    </row>
    <row r="8885" ht="15" customHeight="1" s="24">
      <c r="A8885" s="13" t="inlineStr">
        <is>
          <t>FR879790</t>
        </is>
      </c>
      <c r="B8885" s="13" t="inlineStr">
        <is>
          <t>ИП Милюк Михаил Михайлович</t>
        </is>
      </c>
      <c r="C8885" s="13" t="n">
        <v>381809041971</v>
      </c>
      <c r="D8885" s="13" t="inlineStr">
        <is>
          <t>381809041971</t>
        </is>
      </c>
      <c r="E8885" s="13" t="inlineStr">
        <is>
          <t>ИП РФ / физлицо</t>
        </is>
      </c>
      <c r="F8885" s="13" t="n"/>
      <c r="G8885" s="14" t="n"/>
      <c r="H8885" s="14" t="n"/>
      <c r="I8885" s="14" t="n"/>
      <c r="J8885" s="14" t="n"/>
      <c r="K8885" s="53" t="inlineStr"/>
      <c r="L8885" s="53" t="inlineStr">
        <is>
          <t>Не определено</t>
        </is>
      </c>
      <c r="M8885" s="53" t="inlineStr"/>
      <c r="N8885" s="54" t="inlineStr"/>
      <c r="O8885" s="55" t="inlineStr"/>
      <c r="P8885" s="16" t="inlineStr">
        <is>
          <t>Требует обогащения</t>
        </is>
      </c>
      <c r="Q8885" s="16">
        <f>HYPERLINK("https://pb.nalog.ru/search.html?query=381809041971","ФНС: проверить")</f>
        <v/>
      </c>
      <c r="R8885" s="16">
        <f>HYPERLINK("https://checko.ru/search?query=3801001629","Чекко: проверить")</f>
        <v/>
      </c>
      <c r="S8885" t="n">
        <v>0</v>
      </c>
      <c r="T8885" s="35" t="inlineStr">
        <is>
          <t>4 — Не обогащён</t>
        </is>
      </c>
      <c r="U8885" s="35" t="inlineStr">
        <is>
          <t>Нет ОКВЭД/ССЧР</t>
        </is>
      </c>
      <c r="V8885" s="35" t="inlineStr">
        <is>
          <t>Не определено</t>
        </is>
      </c>
      <c r="W8885" s="35" t="inlineStr"/>
      <c r="X8885" s="35" t="inlineStr"/>
    </row>
    <row r="8886" ht="41.25" customHeight="1" s="24">
      <c r="A8886" s="13" t="n">
        <v>802466068</v>
      </c>
      <c r="B8886" s="13" t="inlineStr">
        <is>
          <t>Общество с ограниченной ответственностью "ЗАВОД ЛЕГКИХ МЕТАЛЛИЧЕСКИХ КОНСТРУКЦИЙ "ШАНС"</t>
        </is>
      </c>
      <c r="C8886" s="13" t="n">
        <v>7901003176</v>
      </c>
      <c r="D8886" s="13" t="inlineStr">
        <is>
          <t>7901003176</t>
        </is>
      </c>
      <c r="E8886" s="13" t="inlineStr">
        <is>
          <t>ЮЛ РФ</t>
        </is>
      </c>
      <c r="F8886" s="13" t="n"/>
      <c r="G8886" s="52" t="n">
        <v>26</v>
      </c>
      <c r="H8886" s="52" t="n">
        <v>2025</v>
      </c>
      <c r="I8886" s="52" t="inlineStr">
        <is>
          <t>31.01</t>
        </is>
      </c>
      <c r="J8886" s="52" t="inlineStr">
        <is>
          <t>31.01; 25.11; 25.12; 30.30.3; 31.09; 33.14; 33.20; 41.20; 43.21; 43.33; 43.34.1; 43.91; 43.99.5; 43.99.6; 43.99.7; 46.47.1; 46.65; 47.59.1; 68.20</t>
        </is>
      </c>
      <c r="K8886" s="53" t="inlineStr">
        <is>
          <t>Да</t>
        </is>
      </c>
      <c r="L8886" s="53" t="inlineStr">
        <is>
          <t>Да</t>
        </is>
      </c>
      <c r="M8886" s="53" t="inlineStr">
        <is>
          <t>До 50</t>
        </is>
      </c>
      <c r="N8886" s="54" t="n">
        <v>16800</v>
      </c>
      <c r="O8886" s="55" t="inlineStr">
        <is>
          <t>16–30</t>
        </is>
      </c>
      <c r="P8886" s="16" t="inlineStr">
        <is>
          <t>ССЧР + ОКВЭД обогащены</t>
        </is>
      </c>
      <c r="Q8886" s="16" t="inlineStr">
        <is>
          <t>ФНС открытые данные ССЧР (ДатаСост 31.12.2025; набор 7707329152-sshr2019)</t>
        </is>
      </c>
      <c r="R8886" s="16" t="inlineStr">
        <is>
          <t>ЕГРЮЛ / egrul.nalog.ru (выписка)</t>
        </is>
      </c>
      <c r="S8886" t="n">
        <v>0</v>
      </c>
      <c r="T8886" s="35" t="inlineStr">
        <is>
          <t>1 — Горячий</t>
        </is>
      </c>
      <c r="U8886" s="35" t="inlineStr">
        <is>
          <t>ОКВЭД + 22+</t>
        </is>
      </c>
      <c r="V8886" s="35" t="inlineStr">
        <is>
          <t>Да</t>
        </is>
      </c>
      <c r="W8886" s="35" t="inlineStr">
        <is>
          <t>Да</t>
        </is>
      </c>
      <c r="X8886" s="35" t="inlineStr">
        <is>
          <t>Да</t>
        </is>
      </c>
    </row>
    <row r="8887" ht="41.25" customHeight="1" s="24">
      <c r="A8887" s="13" t="n">
        <v>802914595</v>
      </c>
      <c r="B8887" s="13" t="inlineStr">
        <is>
          <t>ЧУ "ДОМ КУЛЬТУРЫ ЖЕЛЕЗНОДОРОЖНИКОВ ГОРОДА СЛЮДЯНКА ОТКРЫТОГО АКЦИОНЕРНОГО ОБЩЕСТВА"РОССИЙСКИЕ ЖЕЛЕЗНЫЕ ДОРОГИ</t>
        </is>
      </c>
      <c r="C8887" s="13" t="n">
        <v>3810084269</v>
      </c>
      <c r="D8887" s="13" t="inlineStr">
        <is>
          <t>3810084269</t>
        </is>
      </c>
      <c r="E8887" s="13" t="inlineStr">
        <is>
          <t>ЮЛ РФ</t>
        </is>
      </c>
      <c r="F8887" s="13" t="n"/>
      <c r="G8887" s="14" t="n"/>
      <c r="H8887" s="14" t="n"/>
      <c r="I8887" s="14" t="n"/>
      <c r="J8887" s="14" t="n"/>
      <c r="K8887" s="53" t="inlineStr"/>
      <c r="L8887" s="53" t="inlineStr">
        <is>
          <t>Не определено</t>
        </is>
      </c>
      <c r="M8887" s="53" t="inlineStr"/>
      <c r="N8887" s="54" t="inlineStr"/>
      <c r="O8887" s="55" t="inlineStr"/>
      <c r="P8887" s="16" t="inlineStr">
        <is>
          <t>Требует обогащения</t>
        </is>
      </c>
      <c r="Q8887" s="16">
        <f>HYPERLINK("https://pb.nalog.ru/search.html?query=3810084269","ФНС: проверить")</f>
        <v/>
      </c>
      <c r="R8887" s="16">
        <f>HYPERLINK("https://checko.ru/search?query=3801001629","Чекко: проверить")</f>
        <v/>
      </c>
      <c r="S8887" t="n">
        <v>0</v>
      </c>
      <c r="T8887" s="35" t="inlineStr">
        <is>
          <t>4 — Не обогащён</t>
        </is>
      </c>
      <c r="U8887" s="35" t="inlineStr">
        <is>
          <t>Нет ОКВЭД/ССЧР</t>
        </is>
      </c>
      <c r="V8887" s="35" t="inlineStr">
        <is>
          <t>Не определено</t>
        </is>
      </c>
      <c r="W8887" s="35" t="inlineStr"/>
      <c r="X8887" s="35" t="inlineStr"/>
    </row>
    <row r="8888" ht="15" customHeight="1" s="24">
      <c r="A8888" s="13" t="inlineStr">
        <is>
          <t>FR14603</t>
        </is>
      </c>
      <c r="B8888" s="13" t="inlineStr">
        <is>
          <t>ИП Висневская Светлана Викторовна</t>
        </is>
      </c>
      <c r="C8888" s="13" t="n">
        <v>380800408038</v>
      </c>
      <c r="D8888" s="13" t="inlineStr">
        <is>
          <t>380800408038</t>
        </is>
      </c>
      <c r="E8888" s="13" t="inlineStr">
        <is>
          <t>ИП РФ / физлицо</t>
        </is>
      </c>
      <c r="F8888" s="13" t="n"/>
      <c r="G8888" s="14" t="n"/>
      <c r="H8888" s="14" t="n"/>
      <c r="I8888" s="14" t="n"/>
      <c r="J8888" s="14" t="n"/>
      <c r="K8888" s="53" t="inlineStr"/>
      <c r="L8888" s="53" t="inlineStr">
        <is>
          <t>Не определено</t>
        </is>
      </c>
      <c r="M8888" s="53" t="inlineStr"/>
      <c r="N8888" s="54" t="inlineStr"/>
      <c r="O8888" s="55" t="inlineStr"/>
      <c r="P8888" s="16" t="inlineStr">
        <is>
          <t>Требует обогащения</t>
        </is>
      </c>
      <c r="Q8888" s="16">
        <f>HYPERLINK("https://pb.nalog.ru/search.html?query=380800408038","ФНС: проверить")</f>
        <v/>
      </c>
      <c r="R8888" s="16">
        <f>HYPERLINK("https://checko.ru/search?query=3801001629","Чекко: проверить")</f>
        <v/>
      </c>
      <c r="S8888" t="n">
        <v>0</v>
      </c>
      <c r="T8888" s="35" t="inlineStr">
        <is>
          <t>4 — Не обогащён</t>
        </is>
      </c>
      <c r="U8888" s="35" t="inlineStr">
        <is>
          <t>Нет ОКВЭД/ССЧР</t>
        </is>
      </c>
      <c r="V8888" s="35" t="inlineStr">
        <is>
          <t>Не определено</t>
        </is>
      </c>
      <c r="W8888" s="35" t="inlineStr"/>
      <c r="X8888" s="35" t="inlineStr"/>
    </row>
    <row r="8889" ht="27.75" customHeight="1" s="24">
      <c r="A8889" s="13" t="inlineStr">
        <is>
          <t>FR887235</t>
        </is>
      </c>
      <c r="B8889" s="13" t="inlineStr">
        <is>
          <t>Общество с ограниченной ответственностью "ГЕОСЕРВИС"</t>
        </is>
      </c>
      <c r="C8889" s="13" t="n">
        <v>3811180818</v>
      </c>
      <c r="D8889" s="13" t="inlineStr">
        <is>
          <t>3811180818</t>
        </is>
      </c>
      <c r="E8889" s="13" t="inlineStr">
        <is>
          <t>ЮЛ РФ</t>
        </is>
      </c>
      <c r="F8889" s="13" t="n"/>
      <c r="G8889" s="52" t="n">
        <v>24</v>
      </c>
      <c r="H8889" s="52" t="n">
        <v>2025</v>
      </c>
      <c r="I8889" s="52" t="inlineStr">
        <is>
          <t>71.12.45</t>
        </is>
      </c>
      <c r="J8889" s="52" t="inlineStr">
        <is>
          <t>71.12.45; 41.20; 42.11; 42.91; 42.99; 43.11; 43.12.3; 43.13; 43.21; 43.22; 43.29; 43.31; 43.32; 43.33; 43.34; 43.39; 43.91; 43.99; 43.99.1; 71.12.3; 71.12.4; 71.12.9; 71.12.41; 71.12.42; 71.12.43; 71.12.44; 71.12.53; 71.12.54; 71.12.55</t>
        </is>
      </c>
      <c r="K8889" s="53" t="inlineStr">
        <is>
          <t>Да</t>
        </is>
      </c>
      <c r="L8889" s="53" t="inlineStr">
        <is>
          <t>Да</t>
        </is>
      </c>
      <c r="M8889" s="53" t="inlineStr">
        <is>
          <t>До 25</t>
        </is>
      </c>
      <c r="N8889" s="54" t="n">
        <v>8400</v>
      </c>
      <c r="O8889" s="55" t="inlineStr">
        <is>
          <t>16–30</t>
        </is>
      </c>
      <c r="P8889" s="16" t="inlineStr">
        <is>
          <t>ССЧР + ОКВЭД обогащены</t>
        </is>
      </c>
      <c r="Q8889" s="16" t="inlineStr">
        <is>
          <t>ФНС открытые данные ССЧР (ДатаСост 31.12.2025; набор 7707329152-sshr2019)</t>
        </is>
      </c>
      <c r="R8889" s="16" t="inlineStr">
        <is>
          <t>ЕГРЮЛ / egrul.nalog.ru (выписка)</t>
        </is>
      </c>
      <c r="S8889" t="n">
        <v>0</v>
      </c>
      <c r="T8889" s="35" t="inlineStr">
        <is>
          <t>1 — Горячий</t>
        </is>
      </c>
      <c r="U8889" s="35" t="inlineStr">
        <is>
          <t>ОКВЭД + 22+</t>
        </is>
      </c>
      <c r="V8889" s="35" t="inlineStr">
        <is>
          <t>Да</t>
        </is>
      </c>
      <c r="W8889" s="35" t="inlineStr">
        <is>
          <t>Да</t>
        </is>
      </c>
      <c r="X8889" s="35" t="inlineStr">
        <is>
          <t>Да</t>
        </is>
      </c>
    </row>
    <row r="8890" ht="15" customHeight="1" s="24">
      <c r="A8890" s="13" t="inlineStr">
        <is>
          <t>FR65108</t>
        </is>
      </c>
      <c r="B8890" s="13" t="inlineStr">
        <is>
          <t>ИП Клюжин Сергей Олегович</t>
        </is>
      </c>
      <c r="C8890" s="13" t="n">
        <v>381100579343</v>
      </c>
      <c r="D8890" s="13" t="inlineStr">
        <is>
          <t>381100579343</t>
        </is>
      </c>
      <c r="E8890" s="13" t="inlineStr">
        <is>
          <t>ИП РФ / физлицо</t>
        </is>
      </c>
      <c r="F8890" s="13" t="n"/>
      <c r="G8890" s="14" t="n"/>
      <c r="H8890" s="14" t="n"/>
      <c r="I8890" s="14" t="n"/>
      <c r="J8890" s="14" t="n"/>
      <c r="K8890" s="53" t="inlineStr"/>
      <c r="L8890" s="53" t="inlineStr">
        <is>
          <t>Не определено</t>
        </is>
      </c>
      <c r="M8890" s="53" t="inlineStr"/>
      <c r="N8890" s="54" t="inlineStr"/>
      <c r="O8890" s="55" t="inlineStr"/>
      <c r="P8890" s="16" t="inlineStr">
        <is>
          <t>Требует обогащения</t>
        </is>
      </c>
      <c r="Q8890" s="16">
        <f>HYPERLINK("https://pb.nalog.ru/search.html?query=381100579343","ФНС: проверить")</f>
        <v/>
      </c>
      <c r="R8890" s="16">
        <f>HYPERLINK("https://checko.ru/search?query=3801001629","Чекко: проверить")</f>
        <v/>
      </c>
      <c r="S8890" t="n">
        <v>0</v>
      </c>
      <c r="T8890" s="35" t="inlineStr">
        <is>
          <t>4 — Не обогащён</t>
        </is>
      </c>
      <c r="U8890" s="35" t="inlineStr">
        <is>
          <t>Нет ОКВЭД/ССЧР</t>
        </is>
      </c>
      <c r="V8890" s="35" t="inlineStr">
        <is>
          <t>Не определено</t>
        </is>
      </c>
      <c r="W8890" s="35" t="inlineStr"/>
      <c r="X8890" s="35" t="inlineStr"/>
    </row>
    <row r="8891" ht="15" customHeight="1" s="24">
      <c r="A8891" s="13" t="inlineStr">
        <is>
          <t>FR159394</t>
        </is>
      </c>
      <c r="B8891" s="13" t="inlineStr">
        <is>
          <t>ИП Гимадиева Эльвира Наилевна</t>
        </is>
      </c>
      <c r="C8891" s="13" t="n">
        <v>165112676686</v>
      </c>
      <c r="D8891" s="13" t="inlineStr">
        <is>
          <t>165112676686</t>
        </is>
      </c>
      <c r="E8891" s="13" t="inlineStr">
        <is>
          <t>ИП РФ / физлицо</t>
        </is>
      </c>
      <c r="F8891" s="13" t="n"/>
      <c r="G8891" s="14" t="n"/>
      <c r="H8891" s="14" t="n"/>
      <c r="I8891" s="14" t="n"/>
      <c r="J8891" s="14" t="n"/>
      <c r="K8891" s="53" t="inlineStr"/>
      <c r="L8891" s="53" t="inlineStr">
        <is>
          <t>Не определено</t>
        </is>
      </c>
      <c r="M8891" s="53" t="inlineStr"/>
      <c r="N8891" s="54" t="inlineStr"/>
      <c r="O8891" s="55" t="inlineStr"/>
      <c r="P8891" s="16" t="inlineStr">
        <is>
          <t>Требует обогащения</t>
        </is>
      </c>
      <c r="Q8891" s="16">
        <f>HYPERLINK("https://pb.nalog.ru/search.html?query=165112676686","ФНС: проверить")</f>
        <v/>
      </c>
      <c r="R8891" s="16">
        <f>HYPERLINK("https://checko.ru/search?query=3801001629","Чекко: проверить")</f>
        <v/>
      </c>
      <c r="S8891" t="n">
        <v>1</v>
      </c>
      <c r="T8891" s="35" t="inlineStr">
        <is>
          <t>4 — Не обогащён</t>
        </is>
      </c>
      <c r="U8891" s="35" t="inlineStr">
        <is>
          <t>Нет ОКВЭД/ССЧР</t>
        </is>
      </c>
      <c r="V8891" s="35" t="inlineStr">
        <is>
          <t>Не определено</t>
        </is>
      </c>
      <c r="W8891" s="35" t="inlineStr"/>
      <c r="X8891" s="35" t="inlineStr"/>
    </row>
    <row r="8892" ht="27.75" customHeight="1" s="24">
      <c r="A8892" s="13" t="inlineStr">
        <is>
          <t>FR400742</t>
        </is>
      </c>
      <c r="B8892" s="13" t="inlineStr">
        <is>
          <t>ОБЩЕСТВО С ОГРАНИЧЕННОЙ ОТВЕТСТВЕННОСТЬЮ "ФИНГРУПП"</t>
        </is>
      </c>
      <c r="C8892" s="13" t="n">
        <v>6623128521</v>
      </c>
      <c r="D8892" s="13" t="inlineStr">
        <is>
          <t>6623128521</t>
        </is>
      </c>
      <c r="E8892" s="13" t="inlineStr">
        <is>
          <t>ЮЛ РФ</t>
        </is>
      </c>
      <c r="F8892" s="13" t="n"/>
      <c r="G8892" s="52" t="n">
        <v>3</v>
      </c>
      <c r="H8892" s="52" t="n">
        <v>2025</v>
      </c>
      <c r="I8892" s="14" t="n"/>
      <c r="J8892" s="14" t="n"/>
      <c r="K8892" s="53" t="inlineStr">
        <is>
          <t>Нет</t>
        </is>
      </c>
      <c r="L8892" s="53" t="inlineStr">
        <is>
          <t>Не определено</t>
        </is>
      </c>
      <c r="M8892" s="53" t="inlineStr">
        <is>
          <t>До 10</t>
        </is>
      </c>
      <c r="N8892" s="54" t="n">
        <v>3360</v>
      </c>
      <c r="O8892" s="55" t="inlineStr">
        <is>
          <t>1–15</t>
        </is>
      </c>
      <c r="P8892" s="16" t="inlineStr">
        <is>
          <t>ССЧР обогащена; ОКВЭД не найден/не загружен</t>
        </is>
      </c>
      <c r="Q8892" s="16" t="inlineStr">
        <is>
          <t>ФНС открытые данные ССЧР (ДатаСост 31.12.2025; набор 7707329152-sshr2019)</t>
        </is>
      </c>
      <c r="R8892" s="16">
        <f>HYPERLINK("https://checko.ru/search?query=3801001629","Чекко: проверить")</f>
        <v/>
      </c>
      <c r="S8892" t="n">
        <v>0</v>
      </c>
      <c r="T8892" s="35" t="inlineStr">
        <is>
          <t>4 — Не обогащён</t>
        </is>
      </c>
      <c r="U8892" s="35" t="inlineStr">
        <is>
          <t>Нет ОКВЭД/ССЧР</t>
        </is>
      </c>
      <c r="V8892" s="35" t="inlineStr">
        <is>
          <t>Не определено</t>
        </is>
      </c>
      <c r="W8892" s="35" t="inlineStr">
        <is>
          <t>Нет</t>
        </is>
      </c>
      <c r="X8892" s="35" t="inlineStr"/>
    </row>
    <row r="8893" ht="27.75" customHeight="1" s="24">
      <c r="A8893" s="13" t="inlineStr">
        <is>
          <t>FR902948</t>
        </is>
      </c>
      <c r="B8893" s="13" t="inlineStr">
        <is>
          <t>Общество с ограниченной ответственностью "РУССКАЯ СИБИРЬ"</t>
        </is>
      </c>
      <c r="C8893" s="13" t="n">
        <v>3804120092</v>
      </c>
      <c r="D8893" s="13" t="inlineStr">
        <is>
          <t>3804120092</t>
        </is>
      </c>
      <c r="E8893" s="13" t="inlineStr">
        <is>
          <t>ЮЛ РФ</t>
        </is>
      </c>
      <c r="F8893" s="13" t="n"/>
      <c r="G8893" s="52" t="n">
        <v>4</v>
      </c>
      <c r="H8893" s="52" t="n">
        <v>2025</v>
      </c>
      <c r="I8893" s="14" t="n"/>
      <c r="J8893" s="14" t="n"/>
      <c r="K8893" s="53" t="inlineStr">
        <is>
          <t>Нет</t>
        </is>
      </c>
      <c r="L8893" s="53" t="inlineStr">
        <is>
          <t>Не определено</t>
        </is>
      </c>
      <c r="M8893" s="53" t="inlineStr">
        <is>
          <t>До 10</t>
        </is>
      </c>
      <c r="N8893" s="54" t="n">
        <v>3360</v>
      </c>
      <c r="O8893" s="55" t="inlineStr">
        <is>
          <t>1–15</t>
        </is>
      </c>
      <c r="P8893" s="16" t="inlineStr">
        <is>
          <t>ССЧР обогащена; ОКВЭД не найден/не загружен</t>
        </is>
      </c>
      <c r="Q8893" s="16" t="inlineStr">
        <is>
          <t>ФНС открытые данные ССЧР (ДатаСост 31.12.2025; набор 7707329152-sshr2019)</t>
        </is>
      </c>
      <c r="R8893" s="16">
        <f>HYPERLINK("https://checko.ru/search?query=3801001629","Чекко: проверить")</f>
        <v/>
      </c>
      <c r="S8893" t="n">
        <v>0</v>
      </c>
      <c r="T8893" s="35" t="inlineStr">
        <is>
          <t>4 — Не обогащён</t>
        </is>
      </c>
      <c r="U8893" s="35" t="inlineStr">
        <is>
          <t>Нет ОКВЭД/ССЧР</t>
        </is>
      </c>
      <c r="V8893" s="35" t="inlineStr">
        <is>
          <t>Не определено</t>
        </is>
      </c>
      <c r="W8893" s="35" t="inlineStr">
        <is>
          <t>Нет</t>
        </is>
      </c>
      <c r="X8893" s="35" t="inlineStr"/>
    </row>
    <row r="8894" ht="15" customHeight="1" s="24">
      <c r="A8894" s="13" t="inlineStr">
        <is>
          <t>FR1690</t>
        </is>
      </c>
      <c r="B8894" s="13" t="inlineStr">
        <is>
          <t>Новый Элемент</t>
        </is>
      </c>
      <c r="C8894" s="13" t="n">
        <v>3812126147</v>
      </c>
      <c r="D8894" s="13" t="inlineStr">
        <is>
          <t>3812126147</t>
        </is>
      </c>
      <c r="E8894" s="13" t="inlineStr">
        <is>
          <t>ЮЛ РФ</t>
        </is>
      </c>
      <c r="F8894" s="13" t="n"/>
      <c r="G8894" s="52" t="n">
        <v>3</v>
      </c>
      <c r="H8894" s="52" t="n">
        <v>2025</v>
      </c>
      <c r="I8894" s="14" t="n"/>
      <c r="J8894" s="14" t="n"/>
      <c r="K8894" s="53" t="inlineStr">
        <is>
          <t>Нет</t>
        </is>
      </c>
      <c r="L8894" s="53" t="inlineStr">
        <is>
          <t>Не определено</t>
        </is>
      </c>
      <c r="M8894" s="53" t="inlineStr">
        <is>
          <t>До 10</t>
        </is>
      </c>
      <c r="N8894" s="54" t="n">
        <v>3360</v>
      </c>
      <c r="O8894" s="55" t="inlineStr">
        <is>
          <t>1–15</t>
        </is>
      </c>
      <c r="P8894" s="16" t="inlineStr">
        <is>
          <t>ССЧР обогащена; ОКВЭД не найден/не загружен</t>
        </is>
      </c>
      <c r="Q8894" s="16" t="inlineStr">
        <is>
          <t>ФНС открытые данные ССЧР (ДатаСост 31.12.2025; набор 7707329152-sshr2019)</t>
        </is>
      </c>
      <c r="R8894" s="16">
        <f>HYPERLINK("https://checko.ru/search?query=3801001629","Чекко: проверить")</f>
        <v/>
      </c>
      <c r="S8894" t="n">
        <v>0</v>
      </c>
      <c r="T8894" s="35" t="inlineStr">
        <is>
          <t>4 — Не обогащён</t>
        </is>
      </c>
      <c r="U8894" s="35" t="inlineStr">
        <is>
          <t>Нет ОКВЭД/ССЧР</t>
        </is>
      </c>
      <c r="V8894" s="35" t="inlineStr">
        <is>
          <t>Не определено</t>
        </is>
      </c>
      <c r="W8894" s="35" t="inlineStr">
        <is>
          <t>Нет</t>
        </is>
      </c>
      <c r="X8894" s="35" t="inlineStr"/>
    </row>
    <row r="8895" ht="27.75" customHeight="1" s="24">
      <c r="A8895" s="13" t="n">
        <v>800860559</v>
      </c>
      <c r="B8895" s="13" t="inlineStr">
        <is>
          <t>ОБЩЕСТВО С ОГРАНИЧЕННОЙ ОТВЕТСТВЕННОСТЬЮ "МОБИУС ТЕХНОЛОГИИ"</t>
        </is>
      </c>
      <c r="C8895" s="13" t="n">
        <v>7723890541</v>
      </c>
      <c r="D8895" s="13" t="inlineStr">
        <is>
          <t>7723890541</t>
        </is>
      </c>
      <c r="E8895" s="13" t="inlineStr">
        <is>
          <t>ЮЛ РФ</t>
        </is>
      </c>
      <c r="F8895" s="13" t="n"/>
      <c r="G8895" s="52" t="n">
        <v>183</v>
      </c>
      <c r="H8895" s="52" t="n">
        <v>2025</v>
      </c>
      <c r="I8895" s="52" t="inlineStr">
        <is>
          <t>62.03</t>
        </is>
      </c>
      <c r="J8895" s="52" t="inlineStr">
        <is>
          <t>62.03; 26.20; 43.21; 46.51; 46.52; 47.91; 62.01; 62.02; 62.02.3; 62.09; 63.11.1; 70.22; 71.12; 71.20; 72.19; 73.20; 73.20.1; 73.20.2; 74.90.9; 77.33; 77.39; 82.30.2; 82.99; 85.42.9; 95.11; 95.12</t>
        </is>
      </c>
      <c r="K8895" s="53" t="inlineStr">
        <is>
          <t>Да</t>
        </is>
      </c>
      <c r="L8895" s="53" t="inlineStr">
        <is>
          <t>Да</t>
        </is>
      </c>
      <c r="M8895" s="53" t="inlineStr">
        <is>
          <t>До 200</t>
        </is>
      </c>
      <c r="N8895" s="54" t="n">
        <v>62400</v>
      </c>
      <c r="O8895" s="55" t="inlineStr">
        <is>
          <t>101–200</t>
        </is>
      </c>
      <c r="P8895" s="16" t="inlineStr">
        <is>
          <t>ССЧР + ОКВЭД обогащены</t>
        </is>
      </c>
      <c r="Q8895" s="16" t="inlineStr">
        <is>
          <t>ФНС открытые данные ССЧР (ДатаСост 31.12.2025; набор 7707329152-sshr2019)</t>
        </is>
      </c>
      <c r="R8895" s="16" t="inlineStr">
        <is>
          <t>ЕГРЮЛ / egrul.nalog.ru (выписка)</t>
        </is>
      </c>
      <c r="S8895" t="n">
        <v>1</v>
      </c>
      <c r="T8895" s="35" t="inlineStr">
        <is>
          <t>1 — Горячий</t>
        </is>
      </c>
      <c r="U8895" s="35" t="inlineStr">
        <is>
          <t>ОКВЭД + 22+</t>
        </is>
      </c>
      <c r="V8895" s="35" t="inlineStr">
        <is>
          <t>Да</t>
        </is>
      </c>
      <c r="W8895" s="35" t="inlineStr">
        <is>
          <t>Да</t>
        </is>
      </c>
      <c r="X8895" s="35" t="inlineStr">
        <is>
          <t>Да</t>
        </is>
      </c>
    </row>
    <row r="8896" ht="15" customHeight="1" s="24">
      <c r="A8896" s="13" t="inlineStr">
        <is>
          <t>FR310953</t>
        </is>
      </c>
      <c r="B8896" s="13" t="inlineStr">
        <is>
          <t>ИП Христофорова Юлия Владимировна</t>
        </is>
      </c>
      <c r="C8896" s="13" t="n">
        <v>381004536403</v>
      </c>
      <c r="D8896" s="13" t="inlineStr">
        <is>
          <t>381004536403</t>
        </is>
      </c>
      <c r="E8896" s="13" t="inlineStr">
        <is>
          <t>ИП РФ / физлицо</t>
        </is>
      </c>
      <c r="F8896" s="13" t="n"/>
      <c r="G8896" s="14" t="n"/>
      <c r="H8896" s="14" t="n"/>
      <c r="I8896" s="14" t="n"/>
      <c r="J8896" s="14" t="n"/>
      <c r="K8896" s="53" t="inlineStr"/>
      <c r="L8896" s="53" t="inlineStr">
        <is>
          <t>Не определено</t>
        </is>
      </c>
      <c r="M8896" s="53" t="inlineStr"/>
      <c r="N8896" s="54" t="inlineStr"/>
      <c r="O8896" s="55" t="inlineStr"/>
      <c r="P8896" s="16" t="inlineStr">
        <is>
          <t>Требует обогащения</t>
        </is>
      </c>
      <c r="Q8896" s="16">
        <f>HYPERLINK("https://pb.nalog.ru/search.html?query=381004536403","ФНС: проверить")</f>
        <v/>
      </c>
      <c r="R8896" s="16">
        <f>HYPERLINK("https://checko.ru/search?query=3801001629","Чекко: проверить")</f>
        <v/>
      </c>
      <c r="S8896" t="n">
        <v>0</v>
      </c>
      <c r="T8896" s="35" t="inlineStr">
        <is>
          <t>4 — Не обогащён</t>
        </is>
      </c>
      <c r="U8896" s="35" t="inlineStr">
        <is>
          <t>Нет ОКВЭД/ССЧР</t>
        </is>
      </c>
      <c r="V8896" s="35" t="inlineStr">
        <is>
          <t>Не определено</t>
        </is>
      </c>
      <c r="W8896" s="35" t="inlineStr"/>
      <c r="X8896" s="35" t="inlineStr"/>
    </row>
    <row r="8897" ht="15" customHeight="1" s="24">
      <c r="A8897" s="13" t="inlineStr">
        <is>
          <t>FR1690</t>
        </is>
      </c>
      <c r="B8897" s="13" t="inlineStr">
        <is>
          <t>Новый Элемент</t>
        </is>
      </c>
      <c r="C8897" s="13" t="n">
        <v>3812126147</v>
      </c>
      <c r="D8897" s="13" t="inlineStr">
        <is>
          <t>3812126147</t>
        </is>
      </c>
      <c r="E8897" s="13" t="inlineStr">
        <is>
          <t>ЮЛ РФ</t>
        </is>
      </c>
      <c r="F8897" s="13" t="n"/>
      <c r="G8897" s="52" t="n">
        <v>3</v>
      </c>
      <c r="H8897" s="52" t="n">
        <v>2025</v>
      </c>
      <c r="I8897" s="14" t="n"/>
      <c r="J8897" s="14" t="n"/>
      <c r="K8897" s="53" t="inlineStr">
        <is>
          <t>Нет</t>
        </is>
      </c>
      <c r="L8897" s="53" t="inlineStr">
        <is>
          <t>Не определено</t>
        </is>
      </c>
      <c r="M8897" s="53" t="inlineStr">
        <is>
          <t>До 10</t>
        </is>
      </c>
      <c r="N8897" s="54" t="n">
        <v>3360</v>
      </c>
      <c r="O8897" s="55" t="inlineStr">
        <is>
          <t>1–15</t>
        </is>
      </c>
      <c r="P8897" s="16" t="inlineStr">
        <is>
          <t>ССЧР обогащена; ОКВЭД не найден/не загружен</t>
        </is>
      </c>
      <c r="Q8897" s="16" t="inlineStr">
        <is>
          <t>ФНС открытые данные ССЧР (ДатаСост 31.12.2025; набор 7707329152-sshr2019)</t>
        </is>
      </c>
      <c r="R8897" s="16">
        <f>HYPERLINK("https://checko.ru/search?query=3801001629","Чекко: проверить")</f>
        <v/>
      </c>
      <c r="S8897" t="n">
        <v>0</v>
      </c>
      <c r="T8897" s="35" t="inlineStr">
        <is>
          <t>4 — Не обогащён</t>
        </is>
      </c>
      <c r="U8897" s="35" t="inlineStr">
        <is>
          <t>Нет ОКВЭД/ССЧР</t>
        </is>
      </c>
      <c r="V8897" s="35" t="inlineStr">
        <is>
          <t>Не определено</t>
        </is>
      </c>
      <c r="W8897" s="35" t="inlineStr">
        <is>
          <t>Нет</t>
        </is>
      </c>
      <c r="X8897" s="35" t="inlineStr"/>
    </row>
    <row r="8898" ht="15" customHeight="1" s="24">
      <c r="A8898" s="13" t="inlineStr">
        <is>
          <t>FR476048</t>
        </is>
      </c>
      <c r="B8898" s="13" t="inlineStr">
        <is>
          <t>ИП Ипполитова Дарья Сергеевна</t>
        </is>
      </c>
      <c r="C8898" s="13" t="n">
        <v>380411769916</v>
      </c>
      <c r="D8898" s="13" t="inlineStr">
        <is>
          <t>380411769916</t>
        </is>
      </c>
      <c r="E8898" s="13" t="inlineStr">
        <is>
          <t>ИП РФ / физлицо</t>
        </is>
      </c>
      <c r="F8898" s="13" t="n"/>
      <c r="G8898" s="14" t="n"/>
      <c r="H8898" s="14" t="n"/>
      <c r="I8898" s="14" t="n"/>
      <c r="J8898" s="14" t="n"/>
      <c r="K8898" s="53" t="inlineStr"/>
      <c r="L8898" s="53" t="inlineStr">
        <is>
          <t>Не определено</t>
        </is>
      </c>
      <c r="M8898" s="53" t="inlineStr"/>
      <c r="N8898" s="54" t="inlineStr"/>
      <c r="O8898" s="55" t="inlineStr"/>
      <c r="P8898" s="16" t="inlineStr">
        <is>
          <t>Требует обогащения</t>
        </is>
      </c>
      <c r="Q8898" s="16">
        <f>HYPERLINK("https://pb.nalog.ru/search.html?query=380411769916","ФНС: проверить")</f>
        <v/>
      </c>
      <c r="R8898" s="16">
        <f>HYPERLINK("https://checko.ru/search?query=3801001629","Чекко: проверить")</f>
        <v/>
      </c>
      <c r="S8898" t="n">
        <v>0</v>
      </c>
      <c r="T8898" s="35" t="inlineStr">
        <is>
          <t>4 — Не обогащён</t>
        </is>
      </c>
      <c r="U8898" s="35" t="inlineStr">
        <is>
          <t>Нет ОКВЭД/ССЧР</t>
        </is>
      </c>
      <c r="V8898" s="35" t="inlineStr">
        <is>
          <t>Не определено</t>
        </is>
      </c>
      <c r="W8898" s="35" t="inlineStr"/>
      <c r="X8898" s="35" t="inlineStr"/>
    </row>
    <row r="8899" ht="27.75" customHeight="1" s="24">
      <c r="A8899" s="13" t="inlineStr">
        <is>
          <t>FR773938</t>
        </is>
      </c>
      <c r="B8899" s="13" t="inlineStr">
        <is>
          <t>Общество с ограниченной ответственностью "ИННОТЭП"</t>
        </is>
      </c>
      <c r="C8899" s="13" t="n">
        <v>2311298739</v>
      </c>
      <c r="D8899" s="13" t="inlineStr">
        <is>
          <t>2311298739</t>
        </is>
      </c>
      <c r="E8899" s="13" t="inlineStr">
        <is>
          <t>ЮЛ РФ</t>
        </is>
      </c>
      <c r="F8899" s="13" t="n"/>
      <c r="G8899" s="52" t="n">
        <v>3</v>
      </c>
      <c r="H8899" s="52" t="n">
        <v>2025</v>
      </c>
      <c r="I8899" s="14" t="n"/>
      <c r="J8899" s="14" t="n"/>
      <c r="K8899" s="53" t="inlineStr">
        <is>
          <t>Нет</t>
        </is>
      </c>
      <c r="L8899" s="53" t="inlineStr">
        <is>
          <t>Не определено</t>
        </is>
      </c>
      <c r="M8899" s="53" t="inlineStr">
        <is>
          <t>До 10</t>
        </is>
      </c>
      <c r="N8899" s="54" t="n">
        <v>3360</v>
      </c>
      <c r="O8899" s="55" t="inlineStr">
        <is>
          <t>1–15</t>
        </is>
      </c>
      <c r="P8899" s="16" t="inlineStr">
        <is>
          <t>ССЧР обогащена; ОКВЭД не найден/не загружен</t>
        </is>
      </c>
      <c r="Q8899" s="16" t="inlineStr">
        <is>
          <t>ФНС открытые данные ССЧР (ДатаСост 31.12.2025; набор 7707329152-sshr2019)</t>
        </is>
      </c>
      <c r="R8899" s="16">
        <f>HYPERLINK("https://checko.ru/search?query=3801001629","Чекко: проверить")</f>
        <v/>
      </c>
      <c r="S8899" t="n">
        <v>1</v>
      </c>
      <c r="T8899" s="35" t="inlineStr">
        <is>
          <t>4 — Не обогащён</t>
        </is>
      </c>
      <c r="U8899" s="35" t="inlineStr">
        <is>
          <t>Нет ОКВЭД/ССЧР</t>
        </is>
      </c>
      <c r="V8899" s="35" t="inlineStr">
        <is>
          <t>Не определено</t>
        </is>
      </c>
      <c r="W8899" s="35" t="inlineStr">
        <is>
          <t>Нет</t>
        </is>
      </c>
      <c r="X8899" s="35" t="inlineStr"/>
    </row>
    <row r="8900" ht="15" customHeight="1" s="24">
      <c r="A8900" s="13" t="n">
        <v>9820880</v>
      </c>
      <c r="B8900" s="13" t="inlineStr">
        <is>
          <t>ИП Макарова Маргарита Юрьевна</t>
        </is>
      </c>
      <c r="C8900" s="13" t="n">
        <v>381102415566</v>
      </c>
      <c r="D8900" s="13" t="inlineStr">
        <is>
          <t>381102415566</t>
        </is>
      </c>
      <c r="E8900" s="13" t="inlineStr">
        <is>
          <t>ИП РФ / физлицо</t>
        </is>
      </c>
      <c r="F8900" s="13" t="n"/>
      <c r="G8900" s="14" t="n"/>
      <c r="H8900" s="14" t="n"/>
      <c r="I8900" s="14" t="n"/>
      <c r="J8900" s="14" t="n"/>
      <c r="K8900" s="53" t="inlineStr"/>
      <c r="L8900" s="53" t="inlineStr">
        <is>
          <t>Не определено</t>
        </is>
      </c>
      <c r="M8900" s="53" t="inlineStr"/>
      <c r="N8900" s="54" t="inlineStr"/>
      <c r="O8900" s="55" t="inlineStr"/>
      <c r="P8900" s="16" t="inlineStr">
        <is>
          <t>Требует обогащения</t>
        </is>
      </c>
      <c r="Q8900" s="16">
        <f>HYPERLINK("https://pb.nalog.ru/search.html?query=381102415566","ФНС: проверить")</f>
        <v/>
      </c>
      <c r="R8900" s="16">
        <f>HYPERLINK("https://checko.ru/search?query=3801001629","Чекко: проверить")</f>
        <v/>
      </c>
      <c r="S8900" t="n">
        <v>0</v>
      </c>
      <c r="T8900" s="35" t="inlineStr">
        <is>
          <t>4 — Не обогащён</t>
        </is>
      </c>
      <c r="U8900" s="35" t="inlineStr">
        <is>
          <t>Нет ОКВЭД/ССЧР</t>
        </is>
      </c>
      <c r="V8900" s="35" t="inlineStr">
        <is>
          <t>Не определено</t>
        </is>
      </c>
      <c r="W8900" s="35" t="inlineStr"/>
      <c r="X8900" s="35" t="inlineStr"/>
    </row>
    <row r="8901" ht="15" customHeight="1" s="24">
      <c r="A8901" s="13" t="inlineStr">
        <is>
          <t>FR77360</t>
        </is>
      </c>
      <c r="B8901" s="13" t="inlineStr">
        <is>
          <t>ИП Борисенко Юлия Александровна</t>
        </is>
      </c>
      <c r="C8901" s="13" t="n">
        <v>381009402410</v>
      </c>
      <c r="D8901" s="13" t="inlineStr">
        <is>
          <t>381009402410</t>
        </is>
      </c>
      <c r="E8901" s="13" t="inlineStr">
        <is>
          <t>ИП РФ / физлицо</t>
        </is>
      </c>
      <c r="F8901" s="13" t="n"/>
      <c r="G8901" s="14" t="n"/>
      <c r="H8901" s="14" t="n"/>
      <c r="I8901" s="14" t="n"/>
      <c r="J8901" s="14" t="n"/>
      <c r="K8901" s="53" t="inlineStr"/>
      <c r="L8901" s="53" t="inlineStr">
        <is>
          <t>Не определено</t>
        </is>
      </c>
      <c r="M8901" s="53" t="inlineStr"/>
      <c r="N8901" s="54" t="inlineStr"/>
      <c r="O8901" s="55" t="inlineStr"/>
      <c r="P8901" s="16" t="inlineStr">
        <is>
          <t>Требует обогащения</t>
        </is>
      </c>
      <c r="Q8901" s="16">
        <f>HYPERLINK("https://pb.nalog.ru/search.html?query=381009402410","ФНС: проверить")</f>
        <v/>
      </c>
      <c r="R8901" s="16">
        <f>HYPERLINK("https://checko.ru/search?query=3801001629","Чекко: проверить")</f>
        <v/>
      </c>
      <c r="S8901" t="n">
        <v>0</v>
      </c>
      <c r="T8901" s="35" t="inlineStr">
        <is>
          <t>4 — Не обогащён</t>
        </is>
      </c>
      <c r="U8901" s="35" t="inlineStr">
        <is>
          <t>Нет ОКВЭД/ССЧР</t>
        </is>
      </c>
      <c r="V8901" s="35" t="inlineStr">
        <is>
          <t>Не определено</t>
        </is>
      </c>
      <c r="W8901" s="35" t="inlineStr"/>
      <c r="X8901" s="35" t="inlineStr"/>
    </row>
    <row r="8902" ht="15" customHeight="1" s="24">
      <c r="A8902" s="13" t="inlineStr">
        <is>
          <t>FR23097</t>
        </is>
      </c>
      <c r="B8902" s="13" t="inlineStr">
        <is>
          <t>ООО "Кёнигзи-Сибирь"</t>
        </is>
      </c>
      <c r="C8902" s="13" t="n">
        <v>7536103723</v>
      </c>
      <c r="D8902" s="13" t="inlineStr">
        <is>
          <t>7536103723</t>
        </is>
      </c>
      <c r="E8902" s="13" t="inlineStr">
        <is>
          <t>ЮЛ РФ</t>
        </is>
      </c>
      <c r="F8902" s="13" t="n"/>
      <c r="G8902" s="52" t="n">
        <v>25</v>
      </c>
      <c r="H8902" s="52" t="n">
        <v>2025</v>
      </c>
      <c r="I8902" s="52" t="inlineStr">
        <is>
          <t>46.46</t>
        </is>
      </c>
      <c r="J8902" s="52" t="inlineStr">
        <is>
          <t>46.46; 33.13; 46.90; 47.74; 52.29; 64.91; 86.10; 86.21; 86.90.9</t>
        </is>
      </c>
      <c r="K8902" s="53" t="inlineStr">
        <is>
          <t>Да</t>
        </is>
      </c>
      <c r="L8902" s="53" t="inlineStr">
        <is>
          <t>Да</t>
        </is>
      </c>
      <c r="M8902" s="53" t="inlineStr">
        <is>
          <t>До 25</t>
        </is>
      </c>
      <c r="N8902" s="54" t="n">
        <v>8400</v>
      </c>
      <c r="O8902" s="55" t="inlineStr">
        <is>
          <t>16–30</t>
        </is>
      </c>
      <c r="P8902" s="16" t="inlineStr">
        <is>
          <t>ССЧР + ОКВЭД обогащены</t>
        </is>
      </c>
      <c r="Q8902" s="16" t="inlineStr">
        <is>
          <t>ФНС открытые данные ССЧР (ДатаСост 31.12.2025; набор 7707329152-sshr2019)</t>
        </is>
      </c>
      <c r="R8902" s="16" t="inlineStr">
        <is>
          <t>ЕГРЮЛ / egrul.nalog.ru (выписка)</t>
        </is>
      </c>
      <c r="S8902" t="n">
        <v>0</v>
      </c>
      <c r="T8902" s="35" t="inlineStr">
        <is>
          <t>1 — Горячий</t>
        </is>
      </c>
      <c r="U8902" s="35" t="inlineStr">
        <is>
          <t>ОКВЭД + 22+</t>
        </is>
      </c>
      <c r="V8902" s="35" t="inlineStr">
        <is>
          <t>Да</t>
        </is>
      </c>
      <c r="W8902" s="35" t="inlineStr">
        <is>
          <t>Да</t>
        </is>
      </c>
      <c r="X8902" s="35" t="inlineStr">
        <is>
          <t>Да</t>
        </is>
      </c>
    </row>
    <row r="8903" ht="27.75" customHeight="1" s="24">
      <c r="A8903" s="13" t="n">
        <v>804954196</v>
      </c>
      <c r="B8903" s="13" t="inlineStr">
        <is>
          <t>ОБЩЕСТВО С ОГРАНИЧЕННОЙ ОТВЕТСТВЕННОСТЬЮ "ВЕРШИНА"</t>
        </is>
      </c>
      <c r="C8903" s="13" t="n">
        <v>1434051521</v>
      </c>
      <c r="D8903" s="13" t="inlineStr">
        <is>
          <t>1434051521</t>
        </is>
      </c>
      <c r="E8903" s="13" t="inlineStr">
        <is>
          <t>ЮЛ РФ</t>
        </is>
      </c>
      <c r="F8903" s="13" t="n"/>
      <c r="G8903" s="52" t="n">
        <v>11</v>
      </c>
      <c r="H8903" s="52" t="n">
        <v>2025</v>
      </c>
      <c r="I8903" s="14" t="n"/>
      <c r="J8903" s="14" t="n"/>
      <c r="K8903" s="53" t="inlineStr">
        <is>
          <t>Нет</t>
        </is>
      </c>
      <c r="L8903" s="53" t="inlineStr">
        <is>
          <t>Не определено</t>
        </is>
      </c>
      <c r="M8903" s="53" t="inlineStr">
        <is>
          <t>До 25</t>
        </is>
      </c>
      <c r="N8903" s="54" t="n">
        <v>8400</v>
      </c>
      <c r="O8903" s="55" t="inlineStr">
        <is>
          <t>1–15</t>
        </is>
      </c>
      <c r="P8903" s="16" t="inlineStr">
        <is>
          <t>ССЧР обогащена; ОКВЭД не найден/не загружен</t>
        </is>
      </c>
      <c r="Q8903" s="16" t="inlineStr">
        <is>
          <t>ФНС открытые данные ССЧР (ДатаСост 31.12.2025; набор 7707329152-sshr2019)</t>
        </is>
      </c>
      <c r="R8903" s="16">
        <f>HYPERLINK("https://checko.ru/search?query=3801001629","Чекко: проверить")</f>
        <v/>
      </c>
      <c r="S8903" t="n">
        <v>0</v>
      </c>
      <c r="T8903" s="35" t="inlineStr">
        <is>
          <t>4 — Не обогащён</t>
        </is>
      </c>
      <c r="U8903" s="35" t="inlineStr">
        <is>
          <t>Нет ОКВЭД/ССЧР</t>
        </is>
      </c>
      <c r="V8903" s="35" t="inlineStr">
        <is>
          <t>Не определено</t>
        </is>
      </c>
      <c r="W8903" s="35" t="inlineStr">
        <is>
          <t>Нет</t>
        </is>
      </c>
      <c r="X8903" s="35" t="inlineStr"/>
    </row>
    <row r="8904" ht="27.75" customHeight="1" s="24">
      <c r="A8904" s="13" t="n">
        <v>801629144</v>
      </c>
      <c r="B8904" s="13" t="inlineStr">
        <is>
          <t>Общество с ограниченной ответственностью "ЖЕЛДОРКОМПЛЕКТ"</t>
        </is>
      </c>
      <c r="C8904" s="13" t="n">
        <v>3808192154</v>
      </c>
      <c r="D8904" s="13" t="inlineStr">
        <is>
          <t>3808192154</t>
        </is>
      </c>
      <c r="E8904" s="13" t="inlineStr">
        <is>
          <t>ЮЛ РФ</t>
        </is>
      </c>
      <c r="F8904" s="13" t="n"/>
      <c r="G8904" s="52" t="n">
        <v>12</v>
      </c>
      <c r="H8904" s="52" t="n">
        <v>2025</v>
      </c>
      <c r="I8904" s="14" t="n"/>
      <c r="J8904" s="14" t="n"/>
      <c r="K8904" s="53" t="inlineStr">
        <is>
          <t>Нет</t>
        </is>
      </c>
      <c r="L8904" s="53" t="inlineStr">
        <is>
          <t>Не определено</t>
        </is>
      </c>
      <c r="M8904" s="53" t="inlineStr">
        <is>
          <t>До 25</t>
        </is>
      </c>
      <c r="N8904" s="54" t="n">
        <v>8400</v>
      </c>
      <c r="O8904" s="55" t="inlineStr">
        <is>
          <t>1–15</t>
        </is>
      </c>
      <c r="P8904" s="16" t="inlineStr">
        <is>
          <t>ССЧР обогащена; ОКВЭД не найден/не загружен</t>
        </is>
      </c>
      <c r="Q8904" s="16" t="inlineStr">
        <is>
          <t>ФНС открытые данные ССЧР (ДатаСост 31.12.2025; набор 7707329152-sshr2019)</t>
        </is>
      </c>
      <c r="R8904" s="16">
        <f>HYPERLINK("https://checko.ru/search?query=3801001629","Чекко: проверить")</f>
        <v/>
      </c>
      <c r="S8904" t="n">
        <v>1</v>
      </c>
      <c r="T8904" s="35" t="inlineStr">
        <is>
          <t>4 — Не обогащён</t>
        </is>
      </c>
      <c r="U8904" s="35" t="inlineStr">
        <is>
          <t>Нет ОКВЭД/ССЧР</t>
        </is>
      </c>
      <c r="V8904" s="35" t="inlineStr">
        <is>
          <t>Не определено</t>
        </is>
      </c>
      <c r="W8904" s="35" t="inlineStr">
        <is>
          <t>Нет</t>
        </is>
      </c>
      <c r="X8904" s="35" t="inlineStr"/>
    </row>
    <row r="8905" ht="27.75" customHeight="1" s="24">
      <c r="A8905" s="13" t="inlineStr">
        <is>
          <t>FR1081138</t>
        </is>
      </c>
      <c r="B8905" s="13" t="inlineStr">
        <is>
          <t>Общество с ограниченной ответственностью ЧАСТНОЕ ОХРАННОЕ ПРЕДПРИЯТИЕ "БЕРКУТЪ"</t>
        </is>
      </c>
      <c r="C8905" s="13" t="n">
        <v>2723079285</v>
      </c>
      <c r="D8905" s="13" t="inlineStr">
        <is>
          <t>2723079285</t>
        </is>
      </c>
      <c r="E8905" s="13" t="inlineStr">
        <is>
          <t>ЮЛ РФ</t>
        </is>
      </c>
      <c r="F8905" s="13" t="n"/>
      <c r="G8905" s="52" t="n">
        <v>10</v>
      </c>
      <c r="H8905" s="52" t="n">
        <v>2025</v>
      </c>
      <c r="I8905" s="14" t="n"/>
      <c r="J8905" s="14" t="n"/>
      <c r="K8905" s="53" t="inlineStr">
        <is>
          <t>Нет</t>
        </is>
      </c>
      <c r="L8905" s="53" t="inlineStr">
        <is>
          <t>Не определено</t>
        </is>
      </c>
      <c r="M8905" s="53" t="inlineStr">
        <is>
          <t>До 10</t>
        </is>
      </c>
      <c r="N8905" s="54" t="n">
        <v>3360</v>
      </c>
      <c r="O8905" s="55" t="inlineStr">
        <is>
          <t>1–15</t>
        </is>
      </c>
      <c r="P8905" s="16" t="inlineStr">
        <is>
          <t>ССЧР обогащена; ОКВЭД не найден/не загружен</t>
        </is>
      </c>
      <c r="Q8905" s="16" t="inlineStr">
        <is>
          <t>ФНС открытые данные ССЧР (ДатаСост 31.12.2025; набор 7707329152-sshr2019)</t>
        </is>
      </c>
      <c r="R8905" s="16">
        <f>HYPERLINK("https://checko.ru/search?query=3801001629","Чекко: проверить")</f>
        <v/>
      </c>
      <c r="S8905" t="n">
        <v>0</v>
      </c>
      <c r="T8905" s="35" t="inlineStr">
        <is>
          <t>4 — Не обогащён</t>
        </is>
      </c>
      <c r="U8905" s="35" t="inlineStr">
        <is>
          <t>Нет ОКВЭД/ССЧР</t>
        </is>
      </c>
      <c r="V8905" s="35" t="inlineStr">
        <is>
          <t>Не определено</t>
        </is>
      </c>
      <c r="W8905" s="35" t="inlineStr">
        <is>
          <t>Нет</t>
        </is>
      </c>
      <c r="X8905" s="35" t="inlineStr"/>
    </row>
    <row r="8906" ht="15" customHeight="1" s="24">
      <c r="A8906" s="13" t="inlineStr">
        <is>
          <t>FR25406</t>
        </is>
      </c>
      <c r="B8906" s="13" t="inlineStr">
        <is>
          <t>ООО "ПРСТ ОПЕРЕЙШН"</t>
        </is>
      </c>
      <c r="C8906" s="13" t="n">
        <v>7801728732</v>
      </c>
      <c r="D8906" s="13" t="inlineStr">
        <is>
          <t>7801728732</t>
        </is>
      </c>
      <c r="E8906" s="13" t="inlineStr">
        <is>
          <t>ЮЛ РФ</t>
        </is>
      </c>
      <c r="F8906" s="13" t="n"/>
      <c r="G8906" s="52" t="n">
        <v>1</v>
      </c>
      <c r="H8906" s="52" t="n">
        <v>2025</v>
      </c>
      <c r="I8906" s="14" t="n"/>
      <c r="J8906" s="14" t="n"/>
      <c r="K8906" s="53" t="inlineStr">
        <is>
          <t>Нет</t>
        </is>
      </c>
      <c r="L8906" s="53" t="inlineStr">
        <is>
          <t>Не определено</t>
        </is>
      </c>
      <c r="M8906" s="53" t="inlineStr">
        <is>
          <t>До 10</t>
        </is>
      </c>
      <c r="N8906" s="54" t="n">
        <v>3360</v>
      </c>
      <c r="O8906" s="55" t="inlineStr">
        <is>
          <t>1–15</t>
        </is>
      </c>
      <c r="P8906" s="16" t="inlineStr">
        <is>
          <t>ССЧР обогащена; ОКВЭД не найден/не загружен</t>
        </is>
      </c>
      <c r="Q8906" s="16" t="inlineStr">
        <is>
          <t>ФНС открытые данные ССЧР (ДатаСост 31.12.2025; набор 7707329152-sshr2019)</t>
        </is>
      </c>
      <c r="R8906" s="16">
        <f>HYPERLINK("https://checko.ru/search?query=3801001629","Чекко: проверить")</f>
        <v/>
      </c>
      <c r="S8906" t="n">
        <v>1</v>
      </c>
      <c r="T8906" s="35" t="inlineStr">
        <is>
          <t>4 — Не обогащён</t>
        </is>
      </c>
      <c r="U8906" s="35" t="inlineStr">
        <is>
          <t>Нет ОКВЭД/ССЧР</t>
        </is>
      </c>
      <c r="V8906" s="35" t="inlineStr">
        <is>
          <t>Не определено</t>
        </is>
      </c>
      <c r="W8906" s="35" t="inlineStr">
        <is>
          <t>Нет</t>
        </is>
      </c>
      <c r="X8906" s="35" t="inlineStr"/>
    </row>
    <row r="8907" ht="27.75" customHeight="1" s="24">
      <c r="A8907" s="13" t="n">
        <v>9843132</v>
      </c>
      <c r="B8907" s="13" t="inlineStr">
        <is>
          <t>Общество с ограниченной ответственностью "ЭКВИЛИБРИУМ"</t>
        </is>
      </c>
      <c r="C8907" s="13" t="n">
        <v>3812538479</v>
      </c>
      <c r="D8907" s="13" t="inlineStr">
        <is>
          <t>3812538479</t>
        </is>
      </c>
      <c r="E8907" s="13" t="inlineStr">
        <is>
          <t>ЮЛ РФ</t>
        </is>
      </c>
      <c r="F8907" s="13" t="n"/>
      <c r="G8907" s="14" t="n"/>
      <c r="H8907" s="14" t="n"/>
      <c r="I8907" s="14" t="n"/>
      <c r="J8907" s="14" t="n"/>
      <c r="K8907" s="53" t="inlineStr"/>
      <c r="L8907" s="53" t="inlineStr">
        <is>
          <t>Не определено</t>
        </is>
      </c>
      <c r="M8907" s="53" t="inlineStr"/>
      <c r="N8907" s="54" t="inlineStr"/>
      <c r="O8907" s="55" t="inlineStr"/>
      <c r="P8907" s="16" t="inlineStr">
        <is>
          <t>Требует обогащения</t>
        </is>
      </c>
      <c r="Q8907" s="16">
        <f>HYPERLINK("https://pb.nalog.ru/search.html?query=3812538479","ФНС: проверить")</f>
        <v/>
      </c>
      <c r="R8907" s="16">
        <f>HYPERLINK("https://checko.ru/search?query=3801001629","Чекко: проверить")</f>
        <v/>
      </c>
      <c r="S8907" t="n">
        <v>0</v>
      </c>
      <c r="T8907" s="35" t="inlineStr">
        <is>
          <t>4 — Не обогащён</t>
        </is>
      </c>
      <c r="U8907" s="35" t="inlineStr">
        <is>
          <t>Нет ОКВЭД/ССЧР</t>
        </is>
      </c>
      <c r="V8907" s="35" t="inlineStr">
        <is>
          <t>Не определено</t>
        </is>
      </c>
      <c r="W8907" s="35" t="inlineStr"/>
      <c r="X8907" s="35" t="inlineStr"/>
    </row>
    <row r="8908" ht="27.75" customHeight="1" s="24">
      <c r="A8908" s="13" t="n">
        <v>20012829301</v>
      </c>
      <c r="B8908" s="13" t="inlineStr">
        <is>
          <t>Общество с ограниченной ответственностью "ИНАВТО"</t>
        </is>
      </c>
      <c r="C8908" s="13" t="n">
        <v>3810067954</v>
      </c>
      <c r="D8908" s="13" t="inlineStr">
        <is>
          <t>3810067954</t>
        </is>
      </c>
      <c r="E8908" s="13" t="inlineStr">
        <is>
          <t>ЮЛ РФ</t>
        </is>
      </c>
      <c r="F8908" s="13" t="n"/>
      <c r="G8908" s="52" t="n">
        <v>4</v>
      </c>
      <c r="H8908" s="52" t="n">
        <v>2025</v>
      </c>
      <c r="I8908" s="14" t="n"/>
      <c r="J8908" s="14" t="n"/>
      <c r="K8908" s="53" t="inlineStr">
        <is>
          <t>Нет</t>
        </is>
      </c>
      <c r="L8908" s="53" t="inlineStr">
        <is>
          <t>Не определено</t>
        </is>
      </c>
      <c r="M8908" s="53" t="inlineStr">
        <is>
          <t>До 10</t>
        </is>
      </c>
      <c r="N8908" s="54" t="n">
        <v>3360</v>
      </c>
      <c r="O8908" s="55" t="inlineStr">
        <is>
          <t>1–15</t>
        </is>
      </c>
      <c r="P8908" s="16" t="inlineStr">
        <is>
          <t>ССЧР обогащена; ОКВЭД не найден/не загружен</t>
        </is>
      </c>
      <c r="Q8908" s="16" t="inlineStr">
        <is>
          <t>ФНС открытые данные ССЧР (ДатаСост 31.12.2025; набор 7707329152-sshr2019)</t>
        </is>
      </c>
      <c r="R8908" s="16">
        <f>HYPERLINK("https://checko.ru/search?query=3801001629","Чекко: проверить")</f>
        <v/>
      </c>
      <c r="S8908" t="n">
        <v>1</v>
      </c>
      <c r="T8908" s="35" t="inlineStr">
        <is>
          <t>4 — Не обогащён</t>
        </is>
      </c>
      <c r="U8908" s="35" t="inlineStr">
        <is>
          <t>Нет ОКВЭД/ССЧР</t>
        </is>
      </c>
      <c r="V8908" s="35" t="inlineStr">
        <is>
          <t>Не определено</t>
        </is>
      </c>
      <c r="W8908" s="35" t="inlineStr">
        <is>
          <t>Нет</t>
        </is>
      </c>
      <c r="X8908" s="35" t="inlineStr"/>
    </row>
    <row r="8909" ht="27.75" customHeight="1" s="24">
      <c r="A8909" s="13" t="n">
        <v>20006206775</v>
      </c>
      <c r="B8909" s="13" t="inlineStr">
        <is>
          <t>ЖИЛИЩНО-СТРОИТЕЛЬНЫЙ КООПЕРАТИВ "АЭРОФЛОТ"</t>
        </is>
      </c>
      <c r="C8909" s="13" t="n">
        <v>3805107087</v>
      </c>
      <c r="D8909" s="13" t="inlineStr">
        <is>
          <t>3805107087</t>
        </is>
      </c>
      <c r="E8909" s="13" t="inlineStr">
        <is>
          <t>ЮЛ РФ</t>
        </is>
      </c>
      <c r="F8909" s="13" t="n"/>
      <c r="G8909" s="14" t="n"/>
      <c r="H8909" s="14" t="n"/>
      <c r="I8909" s="14" t="n"/>
      <c r="J8909" s="14" t="n"/>
      <c r="K8909" s="53" t="inlineStr"/>
      <c r="L8909" s="53" t="inlineStr">
        <is>
          <t>Не определено</t>
        </is>
      </c>
      <c r="M8909" s="53" t="inlineStr"/>
      <c r="N8909" s="54" t="inlineStr"/>
      <c r="O8909" s="55" t="inlineStr"/>
      <c r="P8909" s="16" t="inlineStr">
        <is>
          <t>Требует обогащения</t>
        </is>
      </c>
      <c r="Q8909" s="16">
        <f>HYPERLINK("https://pb.nalog.ru/search.html?query=3805107087","ФНС: проверить")</f>
        <v/>
      </c>
      <c r="R8909" s="16">
        <f>HYPERLINK("https://checko.ru/search?query=3801001629","Чекко: проверить")</f>
        <v/>
      </c>
      <c r="S8909" t="n">
        <v>1</v>
      </c>
      <c r="T8909" s="35" t="inlineStr">
        <is>
          <t>4 — Не обогащён</t>
        </is>
      </c>
      <c r="U8909" s="35" t="inlineStr">
        <is>
          <t>Нет ОКВЭД/ССЧР</t>
        </is>
      </c>
      <c r="V8909" s="35" t="inlineStr">
        <is>
          <t>Не определено</t>
        </is>
      </c>
      <c r="W8909" s="35" t="inlineStr"/>
      <c r="X8909" s="35" t="inlineStr"/>
    </row>
    <row r="8910" ht="27.75" customHeight="1" s="24">
      <c r="A8910" s="13" t="n">
        <v>20022358074</v>
      </c>
      <c r="B8910" s="13" t="inlineStr">
        <is>
          <t>ОБЩЕСТВО С ОГРАНИЧЕННОЙ ОТВЕТСТВЕННОСТЬЮ "МЕТАЛЛ-АРТ-ПЛЮС"</t>
        </is>
      </c>
      <c r="C8910" s="13" t="n">
        <v>2450036106</v>
      </c>
      <c r="D8910" s="13" t="inlineStr">
        <is>
          <t>2450036106</t>
        </is>
      </c>
      <c r="E8910" s="13" t="inlineStr">
        <is>
          <t>ЮЛ РФ</t>
        </is>
      </c>
      <c r="F8910" s="13" t="n"/>
      <c r="G8910" s="52" t="n">
        <v>1</v>
      </c>
      <c r="H8910" s="52" t="n">
        <v>2025</v>
      </c>
      <c r="I8910" s="14" t="n"/>
      <c r="J8910" s="14" t="n"/>
      <c r="K8910" s="53" t="inlineStr">
        <is>
          <t>Нет</t>
        </is>
      </c>
      <c r="L8910" s="53" t="inlineStr">
        <is>
          <t>Не определено</t>
        </is>
      </c>
      <c r="M8910" s="53" t="inlineStr">
        <is>
          <t>До 10</t>
        </is>
      </c>
      <c r="N8910" s="54" t="n">
        <v>3360</v>
      </c>
      <c r="O8910" s="55" t="inlineStr">
        <is>
          <t>1–15</t>
        </is>
      </c>
      <c r="P8910" s="16" t="inlineStr">
        <is>
          <t>ССЧР обогащена; ОКВЭД не найден/не загружен</t>
        </is>
      </c>
      <c r="Q8910" s="16" t="inlineStr">
        <is>
          <t>ФНС открытые данные ССЧР (ДатаСост 31.12.2025; набор 7707329152-sshr2019)</t>
        </is>
      </c>
      <c r="R8910" s="16">
        <f>HYPERLINK("https://checko.ru/search?query=3801001629","Чекко: проверить")</f>
        <v/>
      </c>
      <c r="S8910" t="n">
        <v>1</v>
      </c>
      <c r="T8910" s="35" t="inlineStr">
        <is>
          <t>4 — Не обогащён</t>
        </is>
      </c>
      <c r="U8910" s="35" t="inlineStr">
        <is>
          <t>Нет ОКВЭД/ССЧР</t>
        </is>
      </c>
      <c r="V8910" s="35" t="inlineStr">
        <is>
          <t>Не определено</t>
        </is>
      </c>
      <c r="W8910" s="35" t="inlineStr">
        <is>
          <t>Нет</t>
        </is>
      </c>
      <c r="X8910" s="35" t="inlineStr"/>
    </row>
    <row r="8911" ht="27.75" customHeight="1" s="24">
      <c r="A8911" s="13" t="n">
        <v>802476730</v>
      </c>
      <c r="B8911" s="13" t="inlineStr">
        <is>
          <t>Общество с ограниченной ответственностью "ФАРМ ФЭМИЛИ"</t>
        </is>
      </c>
      <c r="C8911" s="13" t="n">
        <v>3851025449</v>
      </c>
      <c r="D8911" s="13" t="inlineStr">
        <is>
          <t>3851025449</t>
        </is>
      </c>
      <c r="E8911" s="13" t="inlineStr">
        <is>
          <t>ЮЛ РФ</t>
        </is>
      </c>
      <c r="F8911" s="13" t="n"/>
      <c r="G8911" s="52" t="n">
        <v>23</v>
      </c>
      <c r="H8911" s="52" t="n">
        <v>2025</v>
      </c>
      <c r="I8911" s="52" t="inlineStr">
        <is>
          <t>47.73</t>
        </is>
      </c>
      <c r="J8911" s="52" t="inlineStr">
        <is>
          <t>47.73; 47.74; 47.75</t>
        </is>
      </c>
      <c r="K8911" s="53" t="inlineStr">
        <is>
          <t>Да</t>
        </is>
      </c>
      <c r="L8911" s="53" t="inlineStr">
        <is>
          <t>Да</t>
        </is>
      </c>
      <c r="M8911" s="53" t="inlineStr">
        <is>
          <t>До 25</t>
        </is>
      </c>
      <c r="N8911" s="54" t="n">
        <v>8400</v>
      </c>
      <c r="O8911" s="55" t="inlineStr">
        <is>
          <t>16–30</t>
        </is>
      </c>
      <c r="P8911" s="16" t="inlineStr">
        <is>
          <t>ССЧР + ОКВЭД обогащены</t>
        </is>
      </c>
      <c r="Q8911" s="16" t="inlineStr">
        <is>
          <t>ФНС открытые данные ССЧР (ДатаСост 31.12.2025; набор 7707329152-sshr2019)</t>
        </is>
      </c>
      <c r="R8911" s="16" t="inlineStr">
        <is>
          <t>ЕГРЮЛ / egrul.nalog.ru (выписка)</t>
        </is>
      </c>
      <c r="S8911" t="n">
        <v>0</v>
      </c>
      <c r="T8911" s="35" t="inlineStr">
        <is>
          <t>1 — Горячий</t>
        </is>
      </c>
      <c r="U8911" s="35" t="inlineStr">
        <is>
          <t>ОКВЭД + 22+</t>
        </is>
      </c>
      <c r="V8911" s="35" t="inlineStr">
        <is>
          <t>Да</t>
        </is>
      </c>
      <c r="W8911" s="35" t="inlineStr">
        <is>
          <t>Да</t>
        </is>
      </c>
      <c r="X8911" s="35" t="inlineStr">
        <is>
          <t>Да</t>
        </is>
      </c>
    </row>
    <row r="8912" ht="27.75" customHeight="1" s="24">
      <c r="A8912" s="13" t="inlineStr">
        <is>
          <t>FR629550</t>
        </is>
      </c>
      <c r="B8912" s="13" t="inlineStr">
        <is>
          <t>Общество с ограниченной ответственностью ОХРАННОЕ АГЕНТСТВО "УРАН-ВОСТОК"</t>
        </is>
      </c>
      <c r="C8912" s="13" t="n">
        <v>2724246059</v>
      </c>
      <c r="D8912" s="13" t="inlineStr">
        <is>
          <t>2724246059</t>
        </is>
      </c>
      <c r="E8912" s="13" t="inlineStr">
        <is>
          <t>ЮЛ РФ</t>
        </is>
      </c>
      <c r="F8912" s="13" t="n"/>
      <c r="G8912" s="52" t="n">
        <v>6</v>
      </c>
      <c r="H8912" s="52" t="n">
        <v>2025</v>
      </c>
      <c r="I8912" s="14" t="n"/>
      <c r="J8912" s="14" t="n"/>
      <c r="K8912" s="53" t="inlineStr">
        <is>
          <t>Нет</t>
        </is>
      </c>
      <c r="L8912" s="53" t="inlineStr">
        <is>
          <t>Не определено</t>
        </is>
      </c>
      <c r="M8912" s="53" t="inlineStr">
        <is>
          <t>До 10</t>
        </is>
      </c>
      <c r="N8912" s="54" t="n">
        <v>3360</v>
      </c>
      <c r="O8912" s="55" t="inlineStr">
        <is>
          <t>1–15</t>
        </is>
      </c>
      <c r="P8912" s="16" t="inlineStr">
        <is>
          <t>ССЧР обогащена; ОКВЭД не найден/не загружен</t>
        </is>
      </c>
      <c r="Q8912" s="16" t="inlineStr">
        <is>
          <t>ФНС открытые данные ССЧР (ДатаСост 31.12.2025; набор 7707329152-sshr2019)</t>
        </is>
      </c>
      <c r="R8912" s="16">
        <f>HYPERLINK("https://checko.ru/search?query=3801001629","Чекко: проверить")</f>
        <v/>
      </c>
      <c r="S8912" t="n">
        <v>1</v>
      </c>
      <c r="T8912" s="35" t="inlineStr">
        <is>
          <t>4 — Не обогащён</t>
        </is>
      </c>
      <c r="U8912" s="35" t="inlineStr">
        <is>
          <t>Нет ОКВЭД/ССЧР</t>
        </is>
      </c>
      <c r="V8912" s="35" t="inlineStr">
        <is>
          <t>Не определено</t>
        </is>
      </c>
      <c r="W8912" s="35" t="inlineStr">
        <is>
          <t>Нет</t>
        </is>
      </c>
      <c r="X8912" s="35" t="inlineStr"/>
    </row>
    <row r="8913" ht="15" customHeight="1" s="24">
      <c r="A8913" s="13" t="n">
        <v>800687555</v>
      </c>
      <c r="B8913" s="13" t="inlineStr">
        <is>
          <t>ООО "ДК КЛЕВЕР"</t>
        </is>
      </c>
      <c r="C8913" s="13" t="n">
        <v>3801136707</v>
      </c>
      <c r="D8913" s="13" t="inlineStr">
        <is>
          <t>3801136707</t>
        </is>
      </c>
      <c r="E8913" s="13" t="inlineStr">
        <is>
          <t>ЮЛ РФ</t>
        </is>
      </c>
      <c r="F8913" s="13" t="n"/>
      <c r="G8913" s="52" t="n">
        <v>40</v>
      </c>
      <c r="H8913" s="52" t="n">
        <v>2025</v>
      </c>
      <c r="I8913" s="52" t="inlineStr">
        <is>
          <t>42.11</t>
        </is>
      </c>
      <c r="J8913" s="52" t="inlineStr">
        <is>
          <t>42.11; 23.32; 23.61; 23.61.1; 23.61.2; 23.99.2; 24.20; 28.92.4; 41.20; 42.12; 42.13; 42.21; 42.22.1; 42.99; 43.11; 43.12.3; 43.21; 43.29; 43.31; 43.32; 43.33; 43.34; 43.39; 43.91; 43.99; 69.10; 71.20; 71.20.2; 71.20.3; 82.99</t>
        </is>
      </c>
      <c r="K8913" s="53" t="inlineStr">
        <is>
          <t>Да</t>
        </is>
      </c>
      <c r="L8913" s="53" t="inlineStr">
        <is>
          <t>Да</t>
        </is>
      </c>
      <c r="M8913" s="53" t="inlineStr">
        <is>
          <t>До 50</t>
        </is>
      </c>
      <c r="N8913" s="54" t="n">
        <v>16800</v>
      </c>
      <c r="O8913" s="55" t="inlineStr">
        <is>
          <t>31–50</t>
        </is>
      </c>
      <c r="P8913" s="16" t="inlineStr">
        <is>
          <t>ССЧР + ОКВЭД обогащены</t>
        </is>
      </c>
      <c r="Q8913" s="16" t="inlineStr">
        <is>
          <t>ФНС открытые данные ССЧР (ДатаСост 31.12.2025; набор 7707329152-sshr2019)</t>
        </is>
      </c>
      <c r="R8913" s="16" t="inlineStr">
        <is>
          <t>ЕГРЮЛ / egrul.nalog.ru (выписка)</t>
        </is>
      </c>
      <c r="S8913" t="n">
        <v>0</v>
      </c>
      <c r="T8913" s="35" t="inlineStr">
        <is>
          <t>1 — Горячий</t>
        </is>
      </c>
      <c r="U8913" s="35" t="inlineStr">
        <is>
          <t>ОКВЭД + 22+</t>
        </is>
      </c>
      <c r="V8913" s="35" t="inlineStr">
        <is>
          <t>Да</t>
        </is>
      </c>
      <c r="W8913" s="35" t="inlineStr">
        <is>
          <t>Да</t>
        </is>
      </c>
      <c r="X8913" s="35" t="inlineStr">
        <is>
          <t>Да</t>
        </is>
      </c>
    </row>
    <row r="8914" ht="15" customHeight="1" s="24">
      <c r="A8914" s="13" t="n">
        <v>9240410</v>
      </c>
      <c r="B8914" s="13" t="inlineStr">
        <is>
          <t>ООО "Ангро Сибирь"</t>
        </is>
      </c>
      <c r="C8914" s="13" t="n">
        <v>3812130023</v>
      </c>
      <c r="D8914" s="13" t="inlineStr">
        <is>
          <t>3812130023</t>
        </is>
      </c>
      <c r="E8914" s="13" t="inlineStr">
        <is>
          <t>ЮЛ РФ</t>
        </is>
      </c>
      <c r="F8914" s="13" t="n"/>
      <c r="G8914" s="52" t="n">
        <v>16</v>
      </c>
      <c r="H8914" s="52" t="n">
        <v>2025</v>
      </c>
      <c r="I8914" s="14" t="n"/>
      <c r="J8914" s="14" t="n"/>
      <c r="K8914" s="53" t="inlineStr">
        <is>
          <t>Нет</t>
        </is>
      </c>
      <c r="L8914" s="53" t="inlineStr">
        <is>
          <t>Не определено</t>
        </is>
      </c>
      <c r="M8914" s="53" t="inlineStr">
        <is>
          <t>До 25</t>
        </is>
      </c>
      <c r="N8914" s="54" t="n">
        <v>8400</v>
      </c>
      <c r="O8914" s="55" t="inlineStr">
        <is>
          <t>16–30</t>
        </is>
      </c>
      <c r="P8914" s="16" t="inlineStr">
        <is>
          <t>ССЧР обогащена; ОКВЭД не найден/не загружен</t>
        </is>
      </c>
      <c r="Q8914" s="16" t="inlineStr">
        <is>
          <t>ФНС открытые данные ССЧР (ДатаСост 31.12.2025; набор 7707329152-sshr2019)</t>
        </is>
      </c>
      <c r="R8914" s="16">
        <f>HYPERLINK("https://checko.ru/search?query=3801001629","Чекко: проверить")</f>
        <v/>
      </c>
      <c r="S8914" t="n">
        <v>0</v>
      </c>
      <c r="T8914" s="35" t="inlineStr">
        <is>
          <t>4 — Не обогащён</t>
        </is>
      </c>
      <c r="U8914" s="35" t="inlineStr">
        <is>
          <t>Нет ОКВЭД/ССЧР</t>
        </is>
      </c>
      <c r="V8914" s="35" t="inlineStr">
        <is>
          <t>Не определено</t>
        </is>
      </c>
      <c r="W8914" s="35" t="inlineStr">
        <is>
          <t>Нет</t>
        </is>
      </c>
      <c r="X8914" s="35" t="inlineStr"/>
    </row>
    <row r="8915" ht="15" customHeight="1" s="24">
      <c r="A8915" s="13" t="n">
        <v>800542361</v>
      </c>
      <c r="B8915" s="13" t="inlineStr">
        <is>
          <t>ООО "Байкальская инжиниринговая компания"</t>
        </is>
      </c>
      <c r="C8915" s="13" t="n">
        <v>3811148525</v>
      </c>
      <c r="D8915" s="13" t="inlineStr">
        <is>
          <t>3811148525</t>
        </is>
      </c>
      <c r="E8915" s="13" t="inlineStr">
        <is>
          <t>ЮЛ РФ</t>
        </is>
      </c>
      <c r="F8915" s="13" t="n"/>
      <c r="G8915" s="52" t="n">
        <v>31</v>
      </c>
      <c r="H8915" s="52" t="n">
        <v>2025</v>
      </c>
      <c r="I8915" s="52" t="inlineStr">
        <is>
          <t>71.12.2</t>
        </is>
      </c>
      <c r="J8915" s="52" t="inlineStr">
        <is>
          <t>71.12.2; 41.20; 43.91; 46.19; 46.90; 64.99; 68.31; 70.22; 71.11.1; 71.12.1; 82.99</t>
        </is>
      </c>
      <c r="K8915" s="53" t="inlineStr">
        <is>
          <t>Да</t>
        </is>
      </c>
      <c r="L8915" s="53" t="inlineStr">
        <is>
          <t>Да</t>
        </is>
      </c>
      <c r="M8915" s="53" t="inlineStr">
        <is>
          <t>До 50</t>
        </is>
      </c>
      <c r="N8915" s="54" t="n">
        <v>16800</v>
      </c>
      <c r="O8915" s="55" t="inlineStr">
        <is>
          <t>31–50</t>
        </is>
      </c>
      <c r="P8915" s="16" t="inlineStr">
        <is>
          <t>ССЧР + ОКВЭД обогащены</t>
        </is>
      </c>
      <c r="Q8915" s="16" t="inlineStr">
        <is>
          <t>ФНС открытые данные ССЧР (ДатаСост 31.12.2025; набор 7707329152-sshr2019)</t>
        </is>
      </c>
      <c r="R8915" s="16" t="inlineStr">
        <is>
          <t>ЕГРЮЛ / egrul.nalog.ru (выписка)</t>
        </is>
      </c>
      <c r="S8915" t="n">
        <v>0</v>
      </c>
      <c r="T8915" s="35" t="inlineStr">
        <is>
          <t>1 — Горячий</t>
        </is>
      </c>
      <c r="U8915" s="35" t="inlineStr">
        <is>
          <t>ОКВЭД + 22+</t>
        </is>
      </c>
      <c r="V8915" s="35" t="inlineStr">
        <is>
          <t>Да</t>
        </is>
      </c>
      <c r="W8915" s="35" t="inlineStr">
        <is>
          <t>Да</t>
        </is>
      </c>
      <c r="X8915" s="35" t="inlineStr">
        <is>
          <t>Да</t>
        </is>
      </c>
    </row>
    <row r="8916" ht="27.75" customHeight="1" s="24">
      <c r="A8916" s="13" t="n">
        <v>9188476</v>
      </c>
      <c r="B8916" s="13" t="inlineStr">
        <is>
          <t>Казаченско-Ленское районное отделение Общероссийской общественной</t>
        </is>
      </c>
      <c r="C8916" s="13" t="n">
        <v>3828005807</v>
      </c>
      <c r="D8916" s="13" t="inlineStr">
        <is>
          <t>3828005807</t>
        </is>
      </c>
      <c r="E8916" s="13" t="inlineStr">
        <is>
          <t>ЮЛ РФ</t>
        </is>
      </c>
      <c r="F8916" s="13" t="n"/>
      <c r="G8916" s="14" t="n"/>
      <c r="H8916" s="14" t="n"/>
      <c r="I8916" s="14" t="n"/>
      <c r="J8916" s="14" t="n"/>
      <c r="K8916" s="53" t="inlineStr"/>
      <c r="L8916" s="53" t="inlineStr">
        <is>
          <t>Не определено</t>
        </is>
      </c>
      <c r="M8916" s="53" t="inlineStr"/>
      <c r="N8916" s="54" t="inlineStr"/>
      <c r="O8916" s="55" t="inlineStr"/>
      <c r="P8916" s="16" t="inlineStr">
        <is>
          <t>Требует обогащения</t>
        </is>
      </c>
      <c r="Q8916" s="16">
        <f>HYPERLINK("https://pb.nalog.ru/search.html?query=3828005807","ФНС: проверить")</f>
        <v/>
      </c>
      <c r="R8916" s="16">
        <f>HYPERLINK("https://checko.ru/search?query=3801001629","Чекко: проверить")</f>
        <v/>
      </c>
      <c r="S8916" t="n">
        <v>0</v>
      </c>
      <c r="T8916" s="35" t="inlineStr">
        <is>
          <t>4 — Не обогащён</t>
        </is>
      </c>
      <c r="U8916" s="35" t="inlineStr">
        <is>
          <t>Нет ОКВЭД/ССЧР</t>
        </is>
      </c>
      <c r="V8916" s="35" t="inlineStr">
        <is>
          <t>Не определено</t>
        </is>
      </c>
      <c r="W8916" s="35" t="inlineStr"/>
      <c r="X8916" s="35" t="inlineStr"/>
    </row>
    <row r="8917" ht="27.75" customHeight="1" s="24">
      <c r="A8917" s="13" t="n">
        <v>20022324333</v>
      </c>
      <c r="B8917" s="13" t="inlineStr">
        <is>
          <t>Индивидуальный Предприниматель Гонский Антон Георгиевич</t>
        </is>
      </c>
      <c r="C8917" s="13" t="n">
        <v>381913125233</v>
      </c>
      <c r="D8917" s="13" t="inlineStr">
        <is>
          <t>381913125233</t>
        </is>
      </c>
      <c r="E8917" s="13" t="inlineStr">
        <is>
          <t>ИП РФ / физлицо</t>
        </is>
      </c>
      <c r="F8917" s="13" t="n"/>
      <c r="G8917" s="14" t="n"/>
      <c r="H8917" s="14" t="n"/>
      <c r="I8917" s="14" t="n"/>
      <c r="J8917" s="14" t="n"/>
      <c r="K8917" s="53" t="inlineStr"/>
      <c r="L8917" s="53" t="inlineStr">
        <is>
          <t>Не определено</t>
        </is>
      </c>
      <c r="M8917" s="53" t="inlineStr"/>
      <c r="N8917" s="54" t="inlineStr"/>
      <c r="O8917" s="55" t="inlineStr"/>
      <c r="P8917" s="16" t="inlineStr">
        <is>
          <t>Требует обогащения</t>
        </is>
      </c>
      <c r="Q8917" s="16">
        <f>HYPERLINK("https://pb.nalog.ru/search.html?query=381913125233","ФНС: проверить")</f>
        <v/>
      </c>
      <c r="R8917" s="16">
        <f>HYPERLINK("https://checko.ru/search?query=3801001629","Чекко: проверить")</f>
        <v/>
      </c>
      <c r="S8917" t="n">
        <v>1</v>
      </c>
      <c r="T8917" s="35" t="inlineStr">
        <is>
          <t>4 — Не обогащён</t>
        </is>
      </c>
      <c r="U8917" s="35" t="inlineStr">
        <is>
          <t>Нет ОКВЭД/ССЧР</t>
        </is>
      </c>
      <c r="V8917" s="35" t="inlineStr">
        <is>
          <t>Не определено</t>
        </is>
      </c>
      <c r="W8917" s="35" t="inlineStr"/>
      <c r="X8917" s="35" t="inlineStr"/>
    </row>
    <row r="8918" ht="27.75" customHeight="1" s="24">
      <c r="A8918" s="13" t="n">
        <v>20012508666</v>
      </c>
      <c r="B8918" s="13" t="inlineStr">
        <is>
          <t>Индивидуальный предприниматель Ивкин Артем Александрович</t>
        </is>
      </c>
      <c r="C8918" s="13" t="n">
        <v>381019341527</v>
      </c>
      <c r="D8918" s="13" t="inlineStr">
        <is>
          <t>381019341527</t>
        </is>
      </c>
      <c r="E8918" s="13" t="inlineStr">
        <is>
          <t>ИП РФ / физлицо</t>
        </is>
      </c>
      <c r="F8918" s="13" t="n"/>
      <c r="G8918" s="14" t="n"/>
      <c r="H8918" s="14" t="n"/>
      <c r="I8918" s="14" t="n"/>
      <c r="J8918" s="14" t="n"/>
      <c r="K8918" s="53" t="inlineStr"/>
      <c r="L8918" s="53" t="inlineStr">
        <is>
          <t>Не определено</t>
        </is>
      </c>
      <c r="M8918" s="53" t="inlineStr"/>
      <c r="N8918" s="54" t="inlineStr"/>
      <c r="O8918" s="55" t="inlineStr"/>
      <c r="P8918" s="16" t="inlineStr">
        <is>
          <t>Требует обогащения</t>
        </is>
      </c>
      <c r="Q8918" s="16">
        <f>HYPERLINK("https://pb.nalog.ru/search.html?query=381019341527","ФНС: проверить")</f>
        <v/>
      </c>
      <c r="R8918" s="16">
        <f>HYPERLINK("https://checko.ru/search?query=3801001629","Чекко: проверить")</f>
        <v/>
      </c>
      <c r="S8918" t="n">
        <v>1</v>
      </c>
      <c r="T8918" s="35" t="inlineStr">
        <is>
          <t>4 — Не обогащён</t>
        </is>
      </c>
      <c r="U8918" s="35" t="inlineStr">
        <is>
          <t>Нет ОКВЭД/ССЧР</t>
        </is>
      </c>
      <c r="V8918" s="35" t="inlineStr">
        <is>
          <t>Не определено</t>
        </is>
      </c>
      <c r="W8918" s="35" t="inlineStr"/>
      <c r="X8918" s="35" t="inlineStr"/>
    </row>
    <row r="8919" ht="15" customHeight="1" s="24">
      <c r="A8919" s="13" t="n">
        <v>800438390</v>
      </c>
      <c r="B8919" s="13" t="inlineStr">
        <is>
          <t>ИМЦ Виктория</t>
        </is>
      </c>
      <c r="C8919" s="13" t="n">
        <v>3808141470</v>
      </c>
      <c r="D8919" s="13" t="inlineStr">
        <is>
          <t>3808141470</t>
        </is>
      </c>
      <c r="E8919" s="13" t="inlineStr">
        <is>
          <t>ЮЛ РФ</t>
        </is>
      </c>
      <c r="F8919" s="13" t="n"/>
      <c r="G8919" s="52" t="n">
        <v>9</v>
      </c>
      <c r="H8919" s="52" t="n">
        <v>2025</v>
      </c>
      <c r="I8919" s="14" t="n"/>
      <c r="J8919" s="14" t="n"/>
      <c r="K8919" s="53" t="inlineStr">
        <is>
          <t>Нет</t>
        </is>
      </c>
      <c r="L8919" s="53" t="inlineStr">
        <is>
          <t>Не определено</t>
        </is>
      </c>
      <c r="M8919" s="53" t="inlineStr">
        <is>
          <t>До 10</t>
        </is>
      </c>
      <c r="N8919" s="54" t="n">
        <v>3360</v>
      </c>
      <c r="O8919" s="55" t="inlineStr">
        <is>
          <t>1–15</t>
        </is>
      </c>
      <c r="P8919" s="16" t="inlineStr">
        <is>
          <t>ССЧР обогащена; ОКВЭД не найден/не загружен</t>
        </is>
      </c>
      <c r="Q8919" s="16" t="inlineStr">
        <is>
          <t>ФНС открытые данные ССЧР (ДатаСост 31.12.2025; набор 7707329152-sshr2019)</t>
        </is>
      </c>
      <c r="R8919" s="16">
        <f>HYPERLINK("https://checko.ru/search?query=3801001629","Чекко: проверить")</f>
        <v/>
      </c>
      <c r="S8919" t="n">
        <v>0</v>
      </c>
      <c r="T8919" s="35" t="inlineStr">
        <is>
          <t>4 — Не обогащён</t>
        </is>
      </c>
      <c r="U8919" s="35" t="inlineStr">
        <is>
          <t>Нет ОКВЭД/ССЧР</t>
        </is>
      </c>
      <c r="V8919" s="35" t="inlineStr">
        <is>
          <t>Не определено</t>
        </is>
      </c>
      <c r="W8919" s="35" t="inlineStr">
        <is>
          <t>Нет</t>
        </is>
      </c>
      <c r="X8919" s="35" t="inlineStr"/>
    </row>
    <row r="8920" ht="15" customHeight="1" s="24">
      <c r="A8920" s="13" t="n">
        <v>800838980</v>
      </c>
      <c r="B8920" s="13" t="inlineStr">
        <is>
          <t>ООО ПК "Сибстройсервис плюс"</t>
        </is>
      </c>
      <c r="C8920" s="13" t="n">
        <v>3814009294</v>
      </c>
      <c r="D8920" s="13" t="inlineStr">
        <is>
          <t>3814009294</t>
        </is>
      </c>
      <c r="E8920" s="13" t="inlineStr">
        <is>
          <t>ЮЛ РФ</t>
        </is>
      </c>
      <c r="F8920" s="13" t="n"/>
      <c r="G8920" s="52" t="n">
        <v>44</v>
      </c>
      <c r="H8920" s="52" t="n">
        <v>2025</v>
      </c>
      <c r="I8920" s="52" t="inlineStr">
        <is>
          <t>14.12</t>
        </is>
      </c>
      <c r="J8920" s="52" t="inlineStr">
        <is>
          <t>14.12; 31.01; 31.02; 31.09; 43.32; 43.34; 46.41; 46.41.2; 46.43; 46.44; 46.45; 46.49; 46.73; 46.74; 47.43; 47.54; 47.59; 47.61</t>
        </is>
      </c>
      <c r="K8920" s="53" t="inlineStr">
        <is>
          <t>Да</t>
        </is>
      </c>
      <c r="L8920" s="53" t="inlineStr">
        <is>
          <t>Да</t>
        </is>
      </c>
      <c r="M8920" s="53" t="inlineStr">
        <is>
          <t>До 50</t>
        </is>
      </c>
      <c r="N8920" s="54" t="n">
        <v>16800</v>
      </c>
      <c r="O8920" s="55" t="inlineStr">
        <is>
          <t>31–50</t>
        </is>
      </c>
      <c r="P8920" s="16" t="inlineStr">
        <is>
          <t>ССЧР + ОКВЭД обогащены</t>
        </is>
      </c>
      <c r="Q8920" s="16" t="inlineStr">
        <is>
          <t>ФНС открытые данные ССЧР (ДатаСост 31.12.2025; набор 7707329152-sshr2019)</t>
        </is>
      </c>
      <c r="R8920" s="16" t="inlineStr">
        <is>
          <t>ЕГРЮЛ / egrul.nalog.ru (выписка)</t>
        </is>
      </c>
      <c r="S8920" t="n">
        <v>0</v>
      </c>
      <c r="T8920" s="35" t="inlineStr">
        <is>
          <t>1 — Горячий</t>
        </is>
      </c>
      <c r="U8920" s="35" t="inlineStr">
        <is>
          <t>ОКВЭД + 22+</t>
        </is>
      </c>
      <c r="V8920" s="35" t="inlineStr">
        <is>
          <t>Да</t>
        </is>
      </c>
      <c r="W8920" s="35" t="inlineStr">
        <is>
          <t>Да</t>
        </is>
      </c>
      <c r="X8920" s="35" t="inlineStr">
        <is>
          <t>Да</t>
        </is>
      </c>
    </row>
    <row r="8921" ht="15" customHeight="1" s="24">
      <c r="A8921" s="13" t="n">
        <v>20022307049</v>
      </c>
      <c r="B8921" s="13" t="inlineStr">
        <is>
          <t>Турчанинова Елена Викторовна</t>
        </is>
      </c>
      <c r="C8921" s="13" t="n">
        <v>381100996386</v>
      </c>
      <c r="D8921" s="13" t="inlineStr">
        <is>
          <t>381100996386</t>
        </is>
      </c>
      <c r="E8921" s="13" t="inlineStr">
        <is>
          <t>ИП РФ / физлицо</t>
        </is>
      </c>
      <c r="F8921" s="13" t="n"/>
      <c r="G8921" s="14" t="n"/>
      <c r="H8921" s="14" t="n"/>
      <c r="I8921" s="14" t="n"/>
      <c r="J8921" s="14" t="n"/>
      <c r="K8921" s="53" t="inlineStr"/>
      <c r="L8921" s="53" t="inlineStr">
        <is>
          <t>Не определено</t>
        </is>
      </c>
      <c r="M8921" s="53" t="inlineStr"/>
      <c r="N8921" s="54" t="inlineStr"/>
      <c r="O8921" s="55" t="inlineStr"/>
      <c r="P8921" s="16" t="inlineStr">
        <is>
          <t>Требует обогащения</t>
        </is>
      </c>
      <c r="Q8921" s="16">
        <f>HYPERLINK("https://pb.nalog.ru/search.html?query=381100996386","ФНС: проверить")</f>
        <v/>
      </c>
      <c r="R8921" s="16">
        <f>HYPERLINK("https://checko.ru/search?query=3801001629","Чекко: проверить")</f>
        <v/>
      </c>
      <c r="S8921" t="n">
        <v>1</v>
      </c>
      <c r="T8921" s="35" t="inlineStr">
        <is>
          <t>4 — Не обогащён</t>
        </is>
      </c>
      <c r="U8921" s="35" t="inlineStr">
        <is>
          <t>Нет ОКВЭД/ССЧР</t>
        </is>
      </c>
      <c r="V8921" s="35" t="inlineStr">
        <is>
          <t>Не определено</t>
        </is>
      </c>
      <c r="W8921" s="35" t="inlineStr"/>
      <c r="X8921" s="35" t="inlineStr"/>
    </row>
    <row r="8922" ht="15" customHeight="1" s="24">
      <c r="A8922" s="13" t="n">
        <v>20022307049</v>
      </c>
      <c r="B8922" s="13" t="inlineStr">
        <is>
          <t>Турчанинова Елена Викторовна</t>
        </is>
      </c>
      <c r="C8922" s="13" t="n">
        <v>381100996386</v>
      </c>
      <c r="D8922" s="13" t="inlineStr">
        <is>
          <t>381100996386</t>
        </is>
      </c>
      <c r="E8922" s="13" t="inlineStr">
        <is>
          <t>ИП РФ / физлицо</t>
        </is>
      </c>
      <c r="F8922" s="13" t="n"/>
      <c r="G8922" s="14" t="n"/>
      <c r="H8922" s="14" t="n"/>
      <c r="I8922" s="14" t="n"/>
      <c r="J8922" s="14" t="n"/>
      <c r="K8922" s="53" t="inlineStr"/>
      <c r="L8922" s="53" t="inlineStr">
        <is>
          <t>Не определено</t>
        </is>
      </c>
      <c r="M8922" s="53" t="inlineStr"/>
      <c r="N8922" s="54" t="inlineStr"/>
      <c r="O8922" s="55" t="inlineStr"/>
      <c r="P8922" s="16" t="inlineStr">
        <is>
          <t>Требует обогащения</t>
        </is>
      </c>
      <c r="Q8922" s="16">
        <f>HYPERLINK("https://pb.nalog.ru/search.html?query=381100996386","ФНС: проверить")</f>
        <v/>
      </c>
      <c r="R8922" s="16">
        <f>HYPERLINK("https://checko.ru/search?query=3801001629","Чекко: проверить")</f>
        <v/>
      </c>
      <c r="S8922" t="n">
        <v>0</v>
      </c>
      <c r="T8922" s="35" t="inlineStr">
        <is>
          <t>4 — Не обогащён</t>
        </is>
      </c>
      <c r="U8922" s="35" t="inlineStr">
        <is>
          <t>Нет ОКВЭД/ССЧР</t>
        </is>
      </c>
      <c r="V8922" s="35" t="inlineStr">
        <is>
          <t>Не определено</t>
        </is>
      </c>
      <c r="W8922" s="35" t="inlineStr"/>
      <c r="X8922" s="35" t="inlineStr"/>
    </row>
    <row r="8923" ht="15" customHeight="1" s="24">
      <c r="A8923" s="13" t="n">
        <v>9191838</v>
      </c>
      <c r="B8923" s="13" t="inlineStr">
        <is>
          <t>ООО "ТЕХДОМИНАТОР"</t>
        </is>
      </c>
      <c r="C8923" s="13" t="n">
        <v>3827052829</v>
      </c>
      <c r="D8923" s="13" t="inlineStr">
        <is>
          <t>3827052829</t>
        </is>
      </c>
      <c r="E8923" s="13" t="inlineStr">
        <is>
          <t>ЮЛ РФ</t>
        </is>
      </c>
      <c r="F8923" s="13" t="n"/>
      <c r="G8923" s="52" t="n">
        <v>3</v>
      </c>
      <c r="H8923" s="52" t="n">
        <v>2025</v>
      </c>
      <c r="I8923" s="14" t="n"/>
      <c r="J8923" s="14" t="n"/>
      <c r="K8923" s="53" t="inlineStr">
        <is>
          <t>Нет</t>
        </is>
      </c>
      <c r="L8923" s="53" t="inlineStr">
        <is>
          <t>Не определено</t>
        </is>
      </c>
      <c r="M8923" s="53" t="inlineStr">
        <is>
          <t>До 10</t>
        </is>
      </c>
      <c r="N8923" s="54" t="n">
        <v>3360</v>
      </c>
      <c r="O8923" s="55" t="inlineStr">
        <is>
          <t>1–15</t>
        </is>
      </c>
      <c r="P8923" s="16" t="inlineStr">
        <is>
          <t>ССЧР обогащена; ОКВЭД не найден/не загружен</t>
        </is>
      </c>
      <c r="Q8923" s="16" t="inlineStr">
        <is>
          <t>ФНС открытые данные ССЧР (ДатаСост 31.12.2025; набор 7707329152-sshr2019)</t>
        </is>
      </c>
      <c r="R8923" s="16">
        <f>HYPERLINK("https://checko.ru/search?query=3801001629","Чекко: проверить")</f>
        <v/>
      </c>
      <c r="S8923" t="n">
        <v>0</v>
      </c>
      <c r="T8923" s="35" t="inlineStr">
        <is>
          <t>4 — Не обогащён</t>
        </is>
      </c>
      <c r="U8923" s="35" t="inlineStr">
        <is>
          <t>Нет ОКВЭД/ССЧР</t>
        </is>
      </c>
      <c r="V8923" s="35" t="inlineStr">
        <is>
          <t>Не определено</t>
        </is>
      </c>
      <c r="W8923" s="35" t="inlineStr">
        <is>
          <t>Нет</t>
        </is>
      </c>
      <c r="X8923" s="35" t="inlineStr"/>
    </row>
    <row r="8924" ht="15" customHeight="1" s="24">
      <c r="A8924" s="13" t="inlineStr">
        <is>
          <t>FR31528</t>
        </is>
      </c>
      <c r="B8924" s="13" t="inlineStr">
        <is>
          <t>ИП Майфет Юлия Александровна</t>
        </is>
      </c>
      <c r="C8924" s="13" t="n">
        <v>121604850255</v>
      </c>
      <c r="D8924" s="13" t="inlineStr">
        <is>
          <t>121604850255</t>
        </is>
      </c>
      <c r="E8924" s="13" t="inlineStr">
        <is>
          <t>ИП РФ / физлицо</t>
        </is>
      </c>
      <c r="F8924" s="13" t="n"/>
      <c r="G8924" s="14" t="n"/>
      <c r="H8924" s="14" t="n"/>
      <c r="I8924" s="14" t="n"/>
      <c r="J8924" s="14" t="n"/>
      <c r="K8924" s="53" t="inlineStr"/>
      <c r="L8924" s="53" t="inlineStr">
        <is>
          <t>Не определено</t>
        </is>
      </c>
      <c r="M8924" s="53" t="inlineStr"/>
      <c r="N8924" s="54" t="inlineStr"/>
      <c r="O8924" s="55" t="inlineStr"/>
      <c r="P8924" s="16" t="inlineStr">
        <is>
          <t>Требует обогащения</t>
        </is>
      </c>
      <c r="Q8924" s="16">
        <f>HYPERLINK("https://pb.nalog.ru/search.html?query=121604850255","ФНС: проверить")</f>
        <v/>
      </c>
      <c r="R8924" s="16">
        <f>HYPERLINK("https://checko.ru/search?query=3801001629","Чекко: проверить")</f>
        <v/>
      </c>
      <c r="S8924" t="n">
        <v>1</v>
      </c>
      <c r="T8924" s="35" t="inlineStr">
        <is>
          <t>4 — Не обогащён</t>
        </is>
      </c>
      <c r="U8924" s="35" t="inlineStr">
        <is>
          <t>Нет ОКВЭД/ССЧР</t>
        </is>
      </c>
      <c r="V8924" s="35" t="inlineStr">
        <is>
          <t>Не определено</t>
        </is>
      </c>
      <c r="W8924" s="35" t="inlineStr"/>
      <c r="X8924" s="35" t="inlineStr"/>
    </row>
    <row r="8925" ht="15" customHeight="1" s="24">
      <c r="A8925" s="13" t="n">
        <v>801607287</v>
      </c>
      <c r="B8925" s="13" t="inlineStr">
        <is>
          <t>ООО "Светоч"</t>
        </is>
      </c>
      <c r="C8925" s="13" t="n">
        <v>3849036700</v>
      </c>
      <c r="D8925" s="13" t="inlineStr">
        <is>
          <t>3849036700</t>
        </is>
      </c>
      <c r="E8925" s="13" t="inlineStr">
        <is>
          <t>ЮЛ РФ</t>
        </is>
      </c>
      <c r="F8925" s="13" t="n"/>
      <c r="G8925" s="52" t="n">
        <v>2</v>
      </c>
      <c r="H8925" s="52" t="n">
        <v>2025</v>
      </c>
      <c r="I8925" s="14" t="n"/>
      <c r="J8925" s="14" t="n"/>
      <c r="K8925" s="53" t="inlineStr">
        <is>
          <t>Нет</t>
        </is>
      </c>
      <c r="L8925" s="53" t="inlineStr">
        <is>
          <t>Не определено</t>
        </is>
      </c>
      <c r="M8925" s="53" t="inlineStr">
        <is>
          <t>До 10</t>
        </is>
      </c>
      <c r="N8925" s="54" t="n">
        <v>3360</v>
      </c>
      <c r="O8925" s="55" t="inlineStr">
        <is>
          <t>1–15</t>
        </is>
      </c>
      <c r="P8925" s="16" t="inlineStr">
        <is>
          <t>ССЧР обогащена; ОКВЭД не найден/не загружен</t>
        </is>
      </c>
      <c r="Q8925" s="16" t="inlineStr">
        <is>
          <t>ФНС открытые данные ССЧР (ДатаСост 31.12.2025; набор 7707329152-sshr2019)</t>
        </is>
      </c>
      <c r="R8925" s="16">
        <f>HYPERLINK("https://checko.ru/search?query=3801001629","Чекко: проверить")</f>
        <v/>
      </c>
      <c r="S8925" t="n">
        <v>0</v>
      </c>
      <c r="T8925" s="35" t="inlineStr">
        <is>
          <t>4 — Не обогащён</t>
        </is>
      </c>
      <c r="U8925" s="35" t="inlineStr">
        <is>
          <t>Нет ОКВЭД/ССЧР</t>
        </is>
      </c>
      <c r="V8925" s="35" t="inlineStr">
        <is>
          <t>Не определено</t>
        </is>
      </c>
      <c r="W8925" s="35" t="inlineStr">
        <is>
          <t>Нет</t>
        </is>
      </c>
      <c r="X8925" s="35" t="inlineStr"/>
    </row>
    <row r="8926" ht="15" customHeight="1" s="24">
      <c r="A8926" s="13" t="n">
        <v>800406469</v>
      </c>
      <c r="B8926" s="13" t="inlineStr">
        <is>
          <t>ИП Стативо Сергей Яковлевич</t>
        </is>
      </c>
      <c r="C8926" s="13" t="n">
        <v>381100399742</v>
      </c>
      <c r="D8926" s="13" t="inlineStr">
        <is>
          <t>381100399742</t>
        </is>
      </c>
      <c r="E8926" s="13" t="inlineStr">
        <is>
          <t>ИП РФ / физлицо</t>
        </is>
      </c>
      <c r="F8926" s="13" t="n"/>
      <c r="G8926" s="14" t="n"/>
      <c r="H8926" s="14" t="n"/>
      <c r="I8926" s="14" t="n"/>
      <c r="J8926" s="14" t="n"/>
      <c r="K8926" s="53" t="inlineStr"/>
      <c r="L8926" s="53" t="inlineStr">
        <is>
          <t>Не определено</t>
        </is>
      </c>
      <c r="M8926" s="53" t="inlineStr"/>
      <c r="N8926" s="54" t="inlineStr"/>
      <c r="O8926" s="55" t="inlineStr"/>
      <c r="P8926" s="16" t="inlineStr">
        <is>
          <t>Требует обогащения</t>
        </is>
      </c>
      <c r="Q8926" s="16">
        <f>HYPERLINK("https://pb.nalog.ru/search.html?query=381100399742","ФНС: проверить")</f>
        <v/>
      </c>
      <c r="R8926" s="16">
        <f>HYPERLINK("https://checko.ru/search?query=3801001629","Чекко: проверить")</f>
        <v/>
      </c>
      <c r="S8926" t="n">
        <v>0</v>
      </c>
      <c r="T8926" s="35" t="inlineStr">
        <is>
          <t>4 — Не обогащён</t>
        </is>
      </c>
      <c r="U8926" s="35" t="inlineStr">
        <is>
          <t>Нет ОКВЭД/ССЧР</t>
        </is>
      </c>
      <c r="V8926" s="35" t="inlineStr">
        <is>
          <t>Не определено</t>
        </is>
      </c>
      <c r="W8926" s="35" t="inlineStr"/>
      <c r="X8926" s="35" t="inlineStr"/>
    </row>
    <row r="8927" ht="15" customHeight="1" s="24">
      <c r="A8927" s="13" t="n">
        <v>9350021</v>
      </c>
      <c r="B8927" s="13" t="inlineStr">
        <is>
          <t>ООО «Сумотори-Иркутск»</t>
        </is>
      </c>
      <c r="C8927" s="13" t="n">
        <v>3808181730</v>
      </c>
      <c r="D8927" s="13" t="inlineStr">
        <is>
          <t>3808181730</t>
        </is>
      </c>
      <c r="E8927" s="13" t="inlineStr">
        <is>
          <t>ЮЛ РФ</t>
        </is>
      </c>
      <c r="F8927" s="13" t="n"/>
      <c r="G8927" s="52" t="n">
        <v>36</v>
      </c>
      <c r="H8927" s="52" t="n">
        <v>2025</v>
      </c>
      <c r="I8927" s="52" t="inlineStr">
        <is>
          <t>45.11.1</t>
        </is>
      </c>
      <c r="J8927" s="52" t="inlineStr">
        <is>
          <t>45.11.1; 45.11.2; 45.11.3; 45.11.4; 45.19.1; 45.19.2; 45.19.3; 45.19.4; 45.31.1; 45.32</t>
        </is>
      </c>
      <c r="K8927" s="53" t="inlineStr">
        <is>
          <t>Да</t>
        </is>
      </c>
      <c r="L8927" s="53" t="inlineStr">
        <is>
          <t>Да</t>
        </is>
      </c>
      <c r="M8927" s="53" t="inlineStr">
        <is>
          <t>До 50</t>
        </is>
      </c>
      <c r="N8927" s="54" t="n">
        <v>16800</v>
      </c>
      <c r="O8927" s="55" t="inlineStr">
        <is>
          <t>31–50</t>
        </is>
      </c>
      <c r="P8927" s="16" t="inlineStr">
        <is>
          <t>ССЧР + ОКВЭД обогащены</t>
        </is>
      </c>
      <c r="Q8927" s="16" t="inlineStr">
        <is>
          <t>ФНС открытые данные ССЧР (ДатаСост 31.12.2025; набор 7707329152-sshr2019)</t>
        </is>
      </c>
      <c r="R8927" s="16" t="inlineStr">
        <is>
          <t>ЕГРЮЛ / egrul.nalog.ru (выписка)</t>
        </is>
      </c>
      <c r="S8927" t="n">
        <v>0</v>
      </c>
      <c r="T8927" s="35" t="inlineStr">
        <is>
          <t>1 — Горячий</t>
        </is>
      </c>
      <c r="U8927" s="35" t="inlineStr">
        <is>
          <t>ОКВЭД + 22+</t>
        </is>
      </c>
      <c r="V8927" s="35" t="inlineStr">
        <is>
          <t>Да</t>
        </is>
      </c>
      <c r="W8927" s="35" t="inlineStr">
        <is>
          <t>Да</t>
        </is>
      </c>
      <c r="X8927" s="35" t="inlineStr">
        <is>
          <t>Да</t>
        </is>
      </c>
    </row>
    <row r="8928" ht="27.75" customHeight="1" s="24">
      <c r="A8928" s="13" t="n">
        <v>20012851792</v>
      </c>
      <c r="B8928" s="13" t="inlineStr">
        <is>
          <t>Индивидуальный предприниматель Барышникова Евгения Андреевна</t>
        </is>
      </c>
      <c r="C8928" s="13" t="n">
        <v>383403085805</v>
      </c>
      <c r="D8928" s="13" t="inlineStr">
        <is>
          <t>383403085805</t>
        </is>
      </c>
      <c r="E8928" s="13" t="inlineStr">
        <is>
          <t>ИП РФ / физлицо</t>
        </is>
      </c>
      <c r="F8928" s="13" t="n"/>
      <c r="G8928" s="14" t="n"/>
      <c r="H8928" s="14" t="n"/>
      <c r="I8928" s="14" t="n"/>
      <c r="J8928" s="14" t="n"/>
      <c r="K8928" s="53" t="inlineStr"/>
      <c r="L8928" s="53" t="inlineStr">
        <is>
          <t>Не определено</t>
        </is>
      </c>
      <c r="M8928" s="53" t="inlineStr"/>
      <c r="N8928" s="54" t="inlineStr"/>
      <c r="O8928" s="55" t="inlineStr"/>
      <c r="P8928" s="16" t="inlineStr">
        <is>
          <t>Требует обогащения</t>
        </is>
      </c>
      <c r="Q8928" s="16">
        <f>HYPERLINK("https://pb.nalog.ru/search.html?query=383403085805","ФНС: проверить")</f>
        <v/>
      </c>
      <c r="R8928" s="16">
        <f>HYPERLINK("https://checko.ru/search?query=3801001629","Чекко: проверить")</f>
        <v/>
      </c>
      <c r="S8928" t="n">
        <v>0</v>
      </c>
      <c r="T8928" s="35" t="inlineStr">
        <is>
          <t>4 — Не обогащён</t>
        </is>
      </c>
      <c r="U8928" s="35" t="inlineStr">
        <is>
          <t>Нет ОКВЭД/ССЧР</t>
        </is>
      </c>
      <c r="V8928" s="35" t="inlineStr">
        <is>
          <t>Не определено</t>
        </is>
      </c>
      <c r="W8928" s="35" t="inlineStr"/>
      <c r="X8928" s="35" t="inlineStr"/>
    </row>
    <row r="8929" ht="15" customHeight="1" s="24">
      <c r="A8929" s="13" t="n">
        <v>9240410</v>
      </c>
      <c r="B8929" s="13" t="inlineStr">
        <is>
          <t>ООО "Ангро Сибирь"</t>
        </is>
      </c>
      <c r="C8929" s="13" t="n">
        <v>3812130023</v>
      </c>
      <c r="D8929" s="13" t="inlineStr">
        <is>
          <t>3812130023</t>
        </is>
      </c>
      <c r="E8929" s="13" t="inlineStr">
        <is>
          <t>ЮЛ РФ</t>
        </is>
      </c>
      <c r="F8929" s="13" t="n"/>
      <c r="G8929" s="52" t="n">
        <v>16</v>
      </c>
      <c r="H8929" s="52" t="n">
        <v>2025</v>
      </c>
      <c r="I8929" s="14" t="n"/>
      <c r="J8929" s="14" t="n"/>
      <c r="K8929" s="53" t="inlineStr">
        <is>
          <t>Нет</t>
        </is>
      </c>
      <c r="L8929" s="53" t="inlineStr">
        <is>
          <t>Не определено</t>
        </is>
      </c>
      <c r="M8929" s="53" t="inlineStr">
        <is>
          <t>До 25</t>
        </is>
      </c>
      <c r="N8929" s="54" t="n">
        <v>8400</v>
      </c>
      <c r="O8929" s="55" t="inlineStr">
        <is>
          <t>16–30</t>
        </is>
      </c>
      <c r="P8929" s="16" t="inlineStr">
        <is>
          <t>ССЧР обогащена; ОКВЭД не найден/не загружен</t>
        </is>
      </c>
      <c r="Q8929" s="16" t="inlineStr">
        <is>
          <t>ФНС открытые данные ССЧР (ДатаСост 31.12.2025; набор 7707329152-sshr2019)</t>
        </is>
      </c>
      <c r="R8929" s="16">
        <f>HYPERLINK("https://checko.ru/search?query=3801001629","Чекко: проверить")</f>
        <v/>
      </c>
      <c r="S8929" t="n">
        <v>0</v>
      </c>
      <c r="T8929" s="35" t="inlineStr">
        <is>
          <t>4 — Не обогащён</t>
        </is>
      </c>
      <c r="U8929" s="35" t="inlineStr">
        <is>
          <t>Нет ОКВЭД/ССЧР</t>
        </is>
      </c>
      <c r="V8929" s="35" t="inlineStr">
        <is>
          <t>Не определено</t>
        </is>
      </c>
      <c r="W8929" s="35" t="inlineStr">
        <is>
          <t>Нет</t>
        </is>
      </c>
      <c r="X8929" s="35" t="inlineStr"/>
    </row>
    <row r="8930" ht="15" customHeight="1" s="24">
      <c r="A8930" s="13" t="n">
        <v>9240410</v>
      </c>
      <c r="B8930" s="13" t="inlineStr">
        <is>
          <t>ООО "Ангро Сибирь"</t>
        </is>
      </c>
      <c r="C8930" s="13" t="n">
        <v>3812130023</v>
      </c>
      <c r="D8930" s="13" t="inlineStr">
        <is>
          <t>3812130023</t>
        </is>
      </c>
      <c r="E8930" s="13" t="inlineStr">
        <is>
          <t>ЮЛ РФ</t>
        </is>
      </c>
      <c r="F8930" s="13" t="n"/>
      <c r="G8930" s="52" t="n">
        <v>16</v>
      </c>
      <c r="H8930" s="52" t="n">
        <v>2025</v>
      </c>
      <c r="I8930" s="14" t="n"/>
      <c r="J8930" s="14" t="n"/>
      <c r="K8930" s="53" t="inlineStr">
        <is>
          <t>Нет</t>
        </is>
      </c>
      <c r="L8930" s="53" t="inlineStr">
        <is>
          <t>Не определено</t>
        </is>
      </c>
      <c r="M8930" s="53" t="inlineStr">
        <is>
          <t>До 25</t>
        </is>
      </c>
      <c r="N8930" s="54" t="n">
        <v>8400</v>
      </c>
      <c r="O8930" s="55" t="inlineStr">
        <is>
          <t>16–30</t>
        </is>
      </c>
      <c r="P8930" s="16" t="inlineStr">
        <is>
          <t>ССЧР обогащена; ОКВЭД не найден/не загружен</t>
        </is>
      </c>
      <c r="Q8930" s="16" t="inlineStr">
        <is>
          <t>ФНС открытые данные ССЧР (ДатаСост 31.12.2025; набор 7707329152-sshr2019)</t>
        </is>
      </c>
      <c r="R8930" s="16">
        <f>HYPERLINK("https://checko.ru/search?query=3801001629","Чекко: проверить")</f>
        <v/>
      </c>
      <c r="S8930" t="n">
        <v>0</v>
      </c>
      <c r="T8930" s="35" t="inlineStr">
        <is>
          <t>4 — Не обогащён</t>
        </is>
      </c>
      <c r="U8930" s="35" t="inlineStr">
        <is>
          <t>Нет ОКВЭД/ССЧР</t>
        </is>
      </c>
      <c r="V8930" s="35" t="inlineStr">
        <is>
          <t>Не определено</t>
        </is>
      </c>
      <c r="W8930" s="35" t="inlineStr">
        <is>
          <t>Нет</t>
        </is>
      </c>
      <c r="X8930" s="35" t="inlineStr"/>
    </row>
    <row r="8931" ht="15" customHeight="1" s="24">
      <c r="A8931" s="13" t="n">
        <v>9240410</v>
      </c>
      <c r="B8931" s="13" t="inlineStr">
        <is>
          <t>ООО "Ангро Сибирь"</t>
        </is>
      </c>
      <c r="C8931" s="13" t="n">
        <v>3812130023</v>
      </c>
      <c r="D8931" s="13" t="inlineStr">
        <is>
          <t>3812130023</t>
        </is>
      </c>
      <c r="E8931" s="13" t="inlineStr">
        <is>
          <t>ЮЛ РФ</t>
        </is>
      </c>
      <c r="F8931" s="13" t="n"/>
      <c r="G8931" s="52" t="n">
        <v>16</v>
      </c>
      <c r="H8931" s="52" t="n">
        <v>2025</v>
      </c>
      <c r="I8931" s="14" t="n"/>
      <c r="J8931" s="14" t="n"/>
      <c r="K8931" s="53" t="inlineStr">
        <is>
          <t>Нет</t>
        </is>
      </c>
      <c r="L8931" s="53" t="inlineStr">
        <is>
          <t>Не определено</t>
        </is>
      </c>
      <c r="M8931" s="53" t="inlineStr">
        <is>
          <t>До 25</t>
        </is>
      </c>
      <c r="N8931" s="54" t="n">
        <v>8400</v>
      </c>
      <c r="O8931" s="55" t="inlineStr">
        <is>
          <t>16–30</t>
        </is>
      </c>
      <c r="P8931" s="16" t="inlineStr">
        <is>
          <t>ССЧР обогащена; ОКВЭД не найден/не загружен</t>
        </is>
      </c>
      <c r="Q8931" s="16" t="inlineStr">
        <is>
          <t>ФНС открытые данные ССЧР (ДатаСост 31.12.2025; набор 7707329152-sshr2019)</t>
        </is>
      </c>
      <c r="R8931" s="16">
        <f>HYPERLINK("https://checko.ru/search?query=3801001629","Чекко: проверить")</f>
        <v/>
      </c>
      <c r="S8931" t="n">
        <v>0</v>
      </c>
      <c r="T8931" s="35" t="inlineStr">
        <is>
          <t>4 — Не обогащён</t>
        </is>
      </c>
      <c r="U8931" s="35" t="inlineStr">
        <is>
          <t>Нет ОКВЭД/ССЧР</t>
        </is>
      </c>
      <c r="V8931" s="35" t="inlineStr">
        <is>
          <t>Не определено</t>
        </is>
      </c>
      <c r="W8931" s="35" t="inlineStr">
        <is>
          <t>Нет</t>
        </is>
      </c>
      <c r="X8931" s="35" t="inlineStr"/>
    </row>
    <row r="8932" ht="15" customHeight="1" s="24">
      <c r="A8932" s="13" t="n">
        <v>800459182</v>
      </c>
      <c r="B8932" s="13" t="inlineStr">
        <is>
          <t>ООО ФСК "Промстроймонтаж"</t>
        </is>
      </c>
      <c r="C8932" s="13" t="n">
        <v>3811157488</v>
      </c>
      <c r="D8932" s="13" t="inlineStr">
        <is>
          <t>3811157488</t>
        </is>
      </c>
      <c r="E8932" s="13" t="inlineStr">
        <is>
          <t>ЮЛ РФ</t>
        </is>
      </c>
      <c r="F8932" s="13" t="n"/>
      <c r="G8932" s="52" t="n">
        <v>28</v>
      </c>
      <c r="H8932" s="52" t="n">
        <v>2025</v>
      </c>
      <c r="I8932" s="52" t="inlineStr">
        <is>
          <t>43.12</t>
        </is>
      </c>
      <c r="J8932" s="52" t="inlineStr">
        <is>
          <t>43.12; 43.99; 46.44; 46.73; 46.74; 47.52; 47.59; 77.11; 77.39</t>
        </is>
      </c>
      <c r="K8932" s="53" t="inlineStr">
        <is>
          <t>Да</t>
        </is>
      </c>
      <c r="L8932" s="53" t="inlineStr">
        <is>
          <t>Да</t>
        </is>
      </c>
      <c r="M8932" s="53" t="inlineStr">
        <is>
          <t>До 50</t>
        </is>
      </c>
      <c r="N8932" s="54" t="n">
        <v>16800</v>
      </c>
      <c r="O8932" s="55" t="inlineStr">
        <is>
          <t>16–30</t>
        </is>
      </c>
      <c r="P8932" s="16" t="inlineStr">
        <is>
          <t>ССЧР + ОКВЭД обогащены</t>
        </is>
      </c>
      <c r="Q8932" s="16" t="inlineStr">
        <is>
          <t>ФНС открытые данные ССЧР (ДатаСост 31.12.2025; набор 7707329152-sshr2019)</t>
        </is>
      </c>
      <c r="R8932" s="16" t="inlineStr">
        <is>
          <t>ЕГРЮЛ / egrul.nalog.ru (выписка)</t>
        </is>
      </c>
      <c r="S8932" t="n">
        <v>0</v>
      </c>
      <c r="T8932" s="35" t="inlineStr">
        <is>
          <t>1 — Горячий</t>
        </is>
      </c>
      <c r="U8932" s="35" t="inlineStr">
        <is>
          <t>ОКВЭД + 22+</t>
        </is>
      </c>
      <c r="V8932" s="35" t="inlineStr">
        <is>
          <t>Да</t>
        </is>
      </c>
      <c r="W8932" s="35" t="inlineStr">
        <is>
          <t>Да</t>
        </is>
      </c>
      <c r="X8932" s="35" t="inlineStr">
        <is>
          <t>Да</t>
        </is>
      </c>
    </row>
    <row r="8933" ht="27.75" customHeight="1" s="24">
      <c r="A8933" s="13" t="n">
        <v>20021206332</v>
      </c>
      <c r="B8933" s="13" t="inlineStr">
        <is>
          <t>Общество с ограниченной ответственностью "Капитал"</t>
        </is>
      </c>
      <c r="C8933" s="13" t="n">
        <v>3804051473</v>
      </c>
      <c r="D8933" s="13" t="inlineStr">
        <is>
          <t>3804051473</t>
        </is>
      </c>
      <c r="E8933" s="13" t="inlineStr">
        <is>
          <t>ЮЛ РФ</t>
        </is>
      </c>
      <c r="F8933" s="13" t="n"/>
      <c r="G8933" s="52" t="n">
        <v>10</v>
      </c>
      <c r="H8933" s="52" t="n">
        <v>2025</v>
      </c>
      <c r="I8933" s="14" t="n"/>
      <c r="J8933" s="14" t="n"/>
      <c r="K8933" s="53" t="inlineStr">
        <is>
          <t>Нет</t>
        </is>
      </c>
      <c r="L8933" s="53" t="inlineStr">
        <is>
          <t>Не определено</t>
        </is>
      </c>
      <c r="M8933" s="53" t="inlineStr">
        <is>
          <t>До 10</t>
        </is>
      </c>
      <c r="N8933" s="54" t="n">
        <v>3360</v>
      </c>
      <c r="O8933" s="55" t="inlineStr">
        <is>
          <t>1–15</t>
        </is>
      </c>
      <c r="P8933" s="16" t="inlineStr">
        <is>
          <t>ССЧР обогащена; ОКВЭД не найден/не загружен</t>
        </is>
      </c>
      <c r="Q8933" s="16" t="inlineStr">
        <is>
          <t>ФНС открытые данные ССЧР (ДатаСост 31.12.2025; набор 7707329152-sshr2019)</t>
        </is>
      </c>
      <c r="R8933" s="16">
        <f>HYPERLINK("https://checko.ru/search?query=3801001629","Чекко: проверить")</f>
        <v/>
      </c>
      <c r="S8933" t="n">
        <v>1</v>
      </c>
      <c r="T8933" s="35" t="inlineStr">
        <is>
          <t>4 — Не обогащён</t>
        </is>
      </c>
      <c r="U8933" s="35" t="inlineStr">
        <is>
          <t>Нет ОКВЭД/ССЧР</t>
        </is>
      </c>
      <c r="V8933" s="35" t="inlineStr">
        <is>
          <t>Не определено</t>
        </is>
      </c>
      <c r="W8933" s="35" t="inlineStr">
        <is>
          <t>Нет</t>
        </is>
      </c>
      <c r="X8933" s="35" t="inlineStr"/>
    </row>
    <row r="8934" ht="15" customHeight="1" s="24">
      <c r="A8934" s="13" t="n">
        <v>20012821749</v>
      </c>
      <c r="B8934" s="13" t="inlineStr">
        <is>
          <t>ООО "Омега"</t>
        </is>
      </c>
      <c r="C8934" s="13" t="n">
        <v>3811121509</v>
      </c>
      <c r="D8934" s="13" t="inlineStr">
        <is>
          <t>3811121509</t>
        </is>
      </c>
      <c r="E8934" s="13" t="inlineStr">
        <is>
          <t>ЮЛ РФ</t>
        </is>
      </c>
      <c r="F8934" s="13" t="n"/>
      <c r="G8934" s="52" t="n">
        <v>1</v>
      </c>
      <c r="H8934" s="52" t="n">
        <v>2025</v>
      </c>
      <c r="I8934" s="14" t="n"/>
      <c r="J8934" s="14" t="n"/>
      <c r="K8934" s="53" t="inlineStr">
        <is>
          <t>Нет</t>
        </is>
      </c>
      <c r="L8934" s="53" t="inlineStr">
        <is>
          <t>Не определено</t>
        </is>
      </c>
      <c r="M8934" s="53" t="inlineStr">
        <is>
          <t>До 10</t>
        </is>
      </c>
      <c r="N8934" s="54" t="n">
        <v>3360</v>
      </c>
      <c r="O8934" s="55" t="inlineStr">
        <is>
          <t>1–15</t>
        </is>
      </c>
      <c r="P8934" s="16" t="inlineStr">
        <is>
          <t>ССЧР обогащена; ОКВЭД не найден/не загружен</t>
        </is>
      </c>
      <c r="Q8934" s="16" t="inlineStr">
        <is>
          <t>ФНС открытые данные ССЧР (ДатаСост 31.12.2025; набор 7707329152-sshr2019)</t>
        </is>
      </c>
      <c r="R8934" s="16">
        <f>HYPERLINK("https://checko.ru/search?query=3801001629","Чекко: проверить")</f>
        <v/>
      </c>
      <c r="S8934" t="n">
        <v>1</v>
      </c>
      <c r="T8934" s="35" t="inlineStr">
        <is>
          <t>4 — Не обогащён</t>
        </is>
      </c>
      <c r="U8934" s="35" t="inlineStr">
        <is>
          <t>Нет ОКВЭД/ССЧР</t>
        </is>
      </c>
      <c r="V8934" s="35" t="inlineStr">
        <is>
          <t>Не определено</t>
        </is>
      </c>
      <c r="W8934" s="35" t="inlineStr">
        <is>
          <t>Нет</t>
        </is>
      </c>
      <c r="X8934" s="35" t="inlineStr"/>
    </row>
    <row r="8935" ht="27.75" customHeight="1" s="24">
      <c r="A8935" s="13" t="n">
        <v>804673408</v>
      </c>
      <c r="B8935" s="13" t="inlineStr">
        <is>
          <t>ОБЩЕСТВО С ОГРАНИЧЕННОЙ ОТВЕТСТВЕННОСТЬЮ "БАЙКАЛ ЭКОАУДИТ"</t>
        </is>
      </c>
      <c r="C8935" s="13" t="n">
        <v>3801145250</v>
      </c>
      <c r="D8935" s="13" t="inlineStr">
        <is>
          <t>3801145250</t>
        </is>
      </c>
      <c r="E8935" s="13" t="inlineStr">
        <is>
          <t>ЮЛ РФ</t>
        </is>
      </c>
      <c r="F8935" s="13" t="n"/>
      <c r="G8935" s="52" t="n">
        <v>9</v>
      </c>
      <c r="H8935" s="52" t="n">
        <v>2025</v>
      </c>
      <c r="I8935" s="14" t="n"/>
      <c r="J8935" s="14" t="n"/>
      <c r="K8935" s="53" t="inlineStr">
        <is>
          <t>Нет</t>
        </is>
      </c>
      <c r="L8935" s="53" t="inlineStr">
        <is>
          <t>Не определено</t>
        </is>
      </c>
      <c r="M8935" s="53" t="inlineStr">
        <is>
          <t>До 10</t>
        </is>
      </c>
      <c r="N8935" s="54" t="n">
        <v>3360</v>
      </c>
      <c r="O8935" s="55" t="inlineStr">
        <is>
          <t>1–15</t>
        </is>
      </c>
      <c r="P8935" s="16" t="inlineStr">
        <is>
          <t>ССЧР обогащена; ОКВЭД не найден/не загружен</t>
        </is>
      </c>
      <c r="Q8935" s="16" t="inlineStr">
        <is>
          <t>ФНС открытые данные ССЧР (ДатаСост 31.12.2025; набор 7707329152-sshr2019)</t>
        </is>
      </c>
      <c r="R8935" s="16">
        <f>HYPERLINK("https://checko.ru/search?query=3801001629","Чекко: проверить")</f>
        <v/>
      </c>
      <c r="S8935" t="n">
        <v>1</v>
      </c>
      <c r="T8935" s="35" t="inlineStr">
        <is>
          <t>4 — Не обогащён</t>
        </is>
      </c>
      <c r="U8935" s="35" t="inlineStr">
        <is>
          <t>Нет ОКВЭД/ССЧР</t>
        </is>
      </c>
      <c r="V8935" s="35" t="inlineStr">
        <is>
          <t>Не определено</t>
        </is>
      </c>
      <c r="W8935" s="35" t="inlineStr">
        <is>
          <t>Нет</t>
        </is>
      </c>
      <c r="X8935" s="35" t="inlineStr"/>
    </row>
    <row r="8936" ht="15" customHeight="1" s="24">
      <c r="A8936" s="13" t="n">
        <v>800438412</v>
      </c>
      <c r="B8936" s="13" t="inlineStr">
        <is>
          <t>ООО "ТРАСТ"</t>
        </is>
      </c>
      <c r="C8936" s="13" t="n">
        <v>3801084488</v>
      </c>
      <c r="D8936" s="13" t="inlineStr">
        <is>
          <t>3801084488</t>
        </is>
      </c>
      <c r="E8936" s="13" t="inlineStr">
        <is>
          <t>ЮЛ РФ</t>
        </is>
      </c>
      <c r="F8936" s="13" t="n"/>
      <c r="G8936" s="14" t="n"/>
      <c r="H8936" s="14" t="n"/>
      <c r="I8936" s="14" t="n"/>
      <c r="J8936" s="14" t="n"/>
      <c r="K8936" s="53" t="inlineStr"/>
      <c r="L8936" s="53" t="inlineStr">
        <is>
          <t>Не определено</t>
        </is>
      </c>
      <c r="M8936" s="53" t="inlineStr"/>
      <c r="N8936" s="54" t="inlineStr"/>
      <c r="O8936" s="55" t="inlineStr"/>
      <c r="P8936" s="16" t="inlineStr">
        <is>
          <t>Требует обогащения</t>
        </is>
      </c>
      <c r="Q8936" s="16">
        <f>HYPERLINK("https://pb.nalog.ru/search.html?query=3801084488","ФНС: проверить")</f>
        <v/>
      </c>
      <c r="R8936" s="16">
        <f>HYPERLINK("https://checko.ru/search?query=3801001629","Чекко: проверить")</f>
        <v/>
      </c>
      <c r="S8936" t="n">
        <v>0</v>
      </c>
      <c r="T8936" s="35" t="inlineStr">
        <is>
          <t>4 — Не обогащён</t>
        </is>
      </c>
      <c r="U8936" s="35" t="inlineStr">
        <is>
          <t>Нет ОКВЭД/ССЧР</t>
        </is>
      </c>
      <c r="V8936" s="35" t="inlineStr">
        <is>
          <t>Не определено</t>
        </is>
      </c>
      <c r="W8936" s="35" t="inlineStr"/>
      <c r="X8936" s="35" t="inlineStr"/>
    </row>
    <row r="8937" ht="27.75" customHeight="1" s="24">
      <c r="A8937" s="13" t="n">
        <v>804954196</v>
      </c>
      <c r="B8937" s="13" t="inlineStr">
        <is>
          <t>ОБЩЕСТВО С ОГРАНИЧЕННОЙ ОТВЕТСТВЕННОСТЬЮ "ВЕРШИНА"</t>
        </is>
      </c>
      <c r="C8937" s="13" t="n">
        <v>1434051521</v>
      </c>
      <c r="D8937" s="13" t="inlineStr">
        <is>
          <t>1434051521</t>
        </is>
      </c>
      <c r="E8937" s="13" t="inlineStr">
        <is>
          <t>ЮЛ РФ</t>
        </is>
      </c>
      <c r="F8937" s="13" t="n"/>
      <c r="G8937" s="52" t="n">
        <v>11</v>
      </c>
      <c r="H8937" s="52" t="n">
        <v>2025</v>
      </c>
      <c r="I8937" s="14" t="n"/>
      <c r="J8937" s="14" t="n"/>
      <c r="K8937" s="53" t="inlineStr">
        <is>
          <t>Нет</t>
        </is>
      </c>
      <c r="L8937" s="53" t="inlineStr">
        <is>
          <t>Не определено</t>
        </is>
      </c>
      <c r="M8937" s="53" t="inlineStr">
        <is>
          <t>До 25</t>
        </is>
      </c>
      <c r="N8937" s="54" t="n">
        <v>8400</v>
      </c>
      <c r="O8937" s="55" t="inlineStr">
        <is>
          <t>1–15</t>
        </is>
      </c>
      <c r="P8937" s="16" t="inlineStr">
        <is>
          <t>ССЧР обогащена; ОКВЭД не найден/не загружен</t>
        </is>
      </c>
      <c r="Q8937" s="16" t="inlineStr">
        <is>
          <t>ФНС открытые данные ССЧР (ДатаСост 31.12.2025; набор 7707329152-sshr2019)</t>
        </is>
      </c>
      <c r="R8937" s="16">
        <f>HYPERLINK("https://checko.ru/search?query=3801001629","Чекко: проверить")</f>
        <v/>
      </c>
      <c r="S8937" t="n">
        <v>0</v>
      </c>
      <c r="T8937" s="35" t="inlineStr">
        <is>
          <t>4 — Не обогащён</t>
        </is>
      </c>
      <c r="U8937" s="35" t="inlineStr">
        <is>
          <t>Нет ОКВЭД/ССЧР</t>
        </is>
      </c>
      <c r="V8937" s="35" t="inlineStr">
        <is>
          <t>Не определено</t>
        </is>
      </c>
      <c r="W8937" s="35" t="inlineStr">
        <is>
          <t>Нет</t>
        </is>
      </c>
      <c r="X8937" s="35" t="inlineStr"/>
    </row>
    <row r="8938" ht="15" customHeight="1" s="24">
      <c r="A8938" s="13" t="n">
        <v>9851630</v>
      </c>
      <c r="B8938" s="13" t="inlineStr">
        <is>
          <t>КонсультантПлюс в Иркутске</t>
        </is>
      </c>
      <c r="C8938" s="13" t="n">
        <v>3811441749</v>
      </c>
      <c r="D8938" s="13" t="inlineStr">
        <is>
          <t>3811441749</t>
        </is>
      </c>
      <c r="E8938" s="13" t="inlineStr">
        <is>
          <t>ЮЛ РФ</t>
        </is>
      </c>
      <c r="F8938" s="13" t="n"/>
      <c r="G8938" s="52" t="n">
        <v>26</v>
      </c>
      <c r="H8938" s="52" t="n">
        <v>2025</v>
      </c>
      <c r="I8938" s="52" t="inlineStr">
        <is>
          <t>63.11.1</t>
        </is>
      </c>
      <c r="J8938" s="52" t="inlineStr">
        <is>
          <t>63.11.1; 46.15; 46.49; 46.52; 47.41; 58.11.1; 58.12; 58.13; 58.14; 58.19; 62.01; 62.02; 62.03; 63.11; 69.10; 69.20; 73.11; 73.12; 95.11</t>
        </is>
      </c>
      <c r="K8938" s="53" t="inlineStr">
        <is>
          <t>Да</t>
        </is>
      </c>
      <c r="L8938" s="53" t="inlineStr">
        <is>
          <t>Да</t>
        </is>
      </c>
      <c r="M8938" s="53" t="inlineStr">
        <is>
          <t>До 50</t>
        </is>
      </c>
      <c r="N8938" s="54" t="n">
        <v>16800</v>
      </c>
      <c r="O8938" s="55" t="inlineStr">
        <is>
          <t>16–30</t>
        </is>
      </c>
      <c r="P8938" s="16" t="inlineStr">
        <is>
          <t>ССЧР + ОКВЭД обогащены</t>
        </is>
      </c>
      <c r="Q8938" s="16" t="inlineStr">
        <is>
          <t>ФНС открытые данные ССЧР (ДатаСост 31.12.2025; набор 7707329152-sshr2019)</t>
        </is>
      </c>
      <c r="R8938" s="16" t="inlineStr">
        <is>
          <t>ЕГРЮЛ / egrul.nalog.ru (выписка)</t>
        </is>
      </c>
      <c r="S8938" t="n">
        <v>0</v>
      </c>
      <c r="T8938" s="35" t="inlineStr">
        <is>
          <t>1 — Горячий</t>
        </is>
      </c>
      <c r="U8938" s="35" t="inlineStr">
        <is>
          <t>ОКВЭД + 22+</t>
        </is>
      </c>
      <c r="V8938" s="35" t="inlineStr">
        <is>
          <t>Да</t>
        </is>
      </c>
      <c r="W8938" s="35" t="inlineStr">
        <is>
          <t>Да</t>
        </is>
      </c>
      <c r="X8938" s="35" t="inlineStr">
        <is>
          <t>Да</t>
        </is>
      </c>
    </row>
    <row r="8939" ht="15" customHeight="1" s="24">
      <c r="A8939" s="13" t="inlineStr">
        <is>
          <t>FR823665</t>
        </is>
      </c>
      <c r="B8939" s="13" t="inlineStr">
        <is>
          <t>ИП Мельников Тимофей Викторович</t>
        </is>
      </c>
      <c r="C8939" s="13" t="n">
        <v>384900036292</v>
      </c>
      <c r="D8939" s="13" t="inlineStr">
        <is>
          <t>384900036292</t>
        </is>
      </c>
      <c r="E8939" s="13" t="inlineStr">
        <is>
          <t>ИП РФ / физлицо</t>
        </is>
      </c>
      <c r="F8939" s="13" t="n"/>
      <c r="G8939" s="14" t="n"/>
      <c r="H8939" s="14" t="n"/>
      <c r="I8939" s="14" t="n"/>
      <c r="J8939" s="14" t="n"/>
      <c r="K8939" s="53" t="inlineStr"/>
      <c r="L8939" s="53" t="inlineStr">
        <is>
          <t>Не определено</t>
        </is>
      </c>
      <c r="M8939" s="53" t="inlineStr"/>
      <c r="N8939" s="54" t="inlineStr"/>
      <c r="O8939" s="55" t="inlineStr"/>
      <c r="P8939" s="16" t="inlineStr">
        <is>
          <t>Требует обогащения</t>
        </is>
      </c>
      <c r="Q8939" s="16">
        <f>HYPERLINK("https://pb.nalog.ru/search.html?query=384900036292","ФНС: проверить")</f>
        <v/>
      </c>
      <c r="R8939" s="16">
        <f>HYPERLINK("https://checko.ru/search?query=3801001629","Чекко: проверить")</f>
        <v/>
      </c>
      <c r="S8939" t="n">
        <v>0</v>
      </c>
      <c r="T8939" s="35" t="inlineStr">
        <is>
          <t>4 — Не обогащён</t>
        </is>
      </c>
      <c r="U8939" s="35" t="inlineStr">
        <is>
          <t>Нет ОКВЭД/ССЧР</t>
        </is>
      </c>
      <c r="V8939" s="35" t="inlineStr">
        <is>
          <t>Не определено</t>
        </is>
      </c>
      <c r="W8939" s="35" t="inlineStr"/>
      <c r="X8939" s="35" t="inlineStr"/>
    </row>
    <row r="8940" ht="27.75" customHeight="1" s="24">
      <c r="A8940" s="13" t="n">
        <v>802177993</v>
      </c>
      <c r="B8940" s="13" t="inlineStr">
        <is>
          <t>ИНДИВИДУАЛЬНЫЙ ПРЕДПРИНИМАТЕЛЬ КАРПЛЮК НЭЛЯ НАБИЮЛЛОВНА</t>
        </is>
      </c>
      <c r="C8940" s="13" t="n">
        <v>382500672028</v>
      </c>
      <c r="D8940" s="13" t="inlineStr">
        <is>
          <t>382500672028</t>
        </is>
      </c>
      <c r="E8940" s="13" t="inlineStr">
        <is>
          <t>ИП РФ / физлицо</t>
        </is>
      </c>
      <c r="F8940" s="13" t="n"/>
      <c r="G8940" s="14" t="n"/>
      <c r="H8940" s="14" t="n"/>
      <c r="I8940" s="14" t="n"/>
      <c r="J8940" s="14" t="n"/>
      <c r="K8940" s="53" t="inlineStr"/>
      <c r="L8940" s="53" t="inlineStr">
        <is>
          <t>Не определено</t>
        </is>
      </c>
      <c r="M8940" s="53" t="inlineStr"/>
      <c r="N8940" s="54" t="inlineStr"/>
      <c r="O8940" s="55" t="inlineStr"/>
      <c r="P8940" s="16" t="inlineStr">
        <is>
          <t>Требует обогащения</t>
        </is>
      </c>
      <c r="Q8940" s="16">
        <f>HYPERLINK("https://pb.nalog.ru/search.html?query=382500672028","ФНС: проверить")</f>
        <v/>
      </c>
      <c r="R8940" s="16">
        <f>HYPERLINK("https://checko.ru/search?query=3801001629","Чекко: проверить")</f>
        <v/>
      </c>
      <c r="S8940" t="n">
        <v>1</v>
      </c>
      <c r="T8940" s="35" t="inlineStr">
        <is>
          <t>4 — Не обогащён</t>
        </is>
      </c>
      <c r="U8940" s="35" t="inlineStr">
        <is>
          <t>Нет ОКВЭД/ССЧР</t>
        </is>
      </c>
      <c r="V8940" s="35" t="inlineStr">
        <is>
          <t>Не определено</t>
        </is>
      </c>
      <c r="W8940" s="35" t="inlineStr"/>
      <c r="X8940" s="35" t="inlineStr"/>
    </row>
    <row r="8941" ht="27.75" customHeight="1" s="24">
      <c r="A8941" s="13" t="n">
        <v>20019451284</v>
      </c>
      <c r="B8941" s="13" t="inlineStr">
        <is>
          <t>ОБЩЕСТВО С ОГРАНИЧЕННОЙ ОТВЕТСТВЕННОСТЬЮ "АВИС ЛОДЖИСТИКС"</t>
        </is>
      </c>
      <c r="C8941" s="13" t="n">
        <v>7707834444</v>
      </c>
      <c r="D8941" s="13" t="inlineStr">
        <is>
          <t>7707834444</t>
        </is>
      </c>
      <c r="E8941" s="13" t="inlineStr">
        <is>
          <t>ЮЛ РФ</t>
        </is>
      </c>
      <c r="F8941" s="13" t="n"/>
      <c r="G8941" s="52" t="n">
        <v>5</v>
      </c>
      <c r="H8941" s="52" t="n">
        <v>2025</v>
      </c>
      <c r="I8941" s="14" t="n"/>
      <c r="J8941" s="14" t="n"/>
      <c r="K8941" s="53" t="inlineStr">
        <is>
          <t>Нет</t>
        </is>
      </c>
      <c r="L8941" s="53" t="inlineStr">
        <is>
          <t>Не определено</t>
        </is>
      </c>
      <c r="M8941" s="53" t="inlineStr">
        <is>
          <t>До 10</t>
        </is>
      </c>
      <c r="N8941" s="54" t="n">
        <v>3360</v>
      </c>
      <c r="O8941" s="55" t="inlineStr">
        <is>
          <t>1–15</t>
        </is>
      </c>
      <c r="P8941" s="16" t="inlineStr">
        <is>
          <t>ССЧР обогащена; ОКВЭД не найден/не загружен</t>
        </is>
      </c>
      <c r="Q8941" s="16" t="inlineStr">
        <is>
          <t>ФНС открытые данные ССЧР (ДатаСост 31.12.2025; набор 7707329152-sshr2019)</t>
        </is>
      </c>
      <c r="R8941" s="16">
        <f>HYPERLINK("https://checko.ru/search?query=3801001629","Чекко: проверить")</f>
        <v/>
      </c>
      <c r="S8941" t="n">
        <v>1</v>
      </c>
      <c r="T8941" s="35" t="inlineStr">
        <is>
          <t>4 — Не обогащён</t>
        </is>
      </c>
      <c r="U8941" s="35" t="inlineStr">
        <is>
          <t>Нет ОКВЭД/ССЧР</t>
        </is>
      </c>
      <c r="V8941" s="35" t="inlineStr">
        <is>
          <t>Не определено</t>
        </is>
      </c>
      <c r="W8941" s="35" t="inlineStr">
        <is>
          <t>Нет</t>
        </is>
      </c>
      <c r="X8941" s="35" t="inlineStr"/>
    </row>
    <row r="8942" ht="27.75" customHeight="1" s="24">
      <c r="A8942" s="13" t="inlineStr">
        <is>
          <t>FR629550</t>
        </is>
      </c>
      <c r="B8942" s="13" t="inlineStr">
        <is>
          <t>Общество с ограниченной ответственностью ОХРАННОЕ АГЕНТСТВО "УРАН-ВОСТОК"</t>
        </is>
      </c>
      <c r="C8942" s="13" t="n">
        <v>2724246059</v>
      </c>
      <c r="D8942" s="13" t="inlineStr">
        <is>
          <t>2724246059</t>
        </is>
      </c>
      <c r="E8942" s="13" t="inlineStr">
        <is>
          <t>ЮЛ РФ</t>
        </is>
      </c>
      <c r="F8942" s="13" t="n"/>
      <c r="G8942" s="52" t="n">
        <v>6</v>
      </c>
      <c r="H8942" s="52" t="n">
        <v>2025</v>
      </c>
      <c r="I8942" s="14" t="n"/>
      <c r="J8942" s="14" t="n"/>
      <c r="K8942" s="53" t="inlineStr">
        <is>
          <t>Нет</t>
        </is>
      </c>
      <c r="L8942" s="53" t="inlineStr">
        <is>
          <t>Не определено</t>
        </is>
      </c>
      <c r="M8942" s="53" t="inlineStr">
        <is>
          <t>До 10</t>
        </is>
      </c>
      <c r="N8942" s="54" t="n">
        <v>3360</v>
      </c>
      <c r="O8942" s="55" t="inlineStr">
        <is>
          <t>1–15</t>
        </is>
      </c>
      <c r="P8942" s="16" t="inlineStr">
        <is>
          <t>ССЧР обогащена; ОКВЭД не найден/не загружен</t>
        </is>
      </c>
      <c r="Q8942" s="16" t="inlineStr">
        <is>
          <t>ФНС открытые данные ССЧР (ДатаСост 31.12.2025; набор 7707329152-sshr2019)</t>
        </is>
      </c>
      <c r="R8942" s="16">
        <f>HYPERLINK("https://checko.ru/search?query=3801001629","Чекко: проверить")</f>
        <v/>
      </c>
      <c r="S8942" t="n">
        <v>0</v>
      </c>
      <c r="T8942" s="35" t="inlineStr">
        <is>
          <t>4 — Не обогащён</t>
        </is>
      </c>
      <c r="U8942" s="35" t="inlineStr">
        <is>
          <t>Нет ОКВЭД/ССЧР</t>
        </is>
      </c>
      <c r="V8942" s="35" t="inlineStr">
        <is>
          <t>Не определено</t>
        </is>
      </c>
      <c r="W8942" s="35" t="inlineStr">
        <is>
          <t>Нет</t>
        </is>
      </c>
      <c r="X8942" s="35" t="inlineStr"/>
    </row>
    <row r="8943" ht="41.25" customHeight="1" s="24">
      <c r="A8943" s="13" t="n">
        <v>20016914212</v>
      </c>
      <c r="B8943" s="13" t="inlineStr">
        <is>
          <t>ОБЩЕСТВО С ОГРАНИЧЕННОЙ ОТВЕТСТВЕННОСТЬЮ "ИНФОРМАЦИОННЫЕ ТЕХНОЛОГИИ"</t>
        </is>
      </c>
      <c r="C8943" s="13" t="n">
        <v>7017400994</v>
      </c>
      <c r="D8943" s="13" t="inlineStr">
        <is>
          <t>7017400994</t>
        </is>
      </c>
      <c r="E8943" s="13" t="inlineStr">
        <is>
          <t>ЮЛ РФ</t>
        </is>
      </c>
      <c r="F8943" s="13" t="n"/>
      <c r="G8943" s="52" t="n">
        <v>2</v>
      </c>
      <c r="H8943" s="52" t="n">
        <v>2025</v>
      </c>
      <c r="I8943" s="14" t="n"/>
      <c r="J8943" s="14" t="n"/>
      <c r="K8943" s="53" t="inlineStr">
        <is>
          <t>Нет</t>
        </is>
      </c>
      <c r="L8943" s="53" t="inlineStr">
        <is>
          <t>Не определено</t>
        </is>
      </c>
      <c r="M8943" s="53" t="inlineStr">
        <is>
          <t>До 10</t>
        </is>
      </c>
      <c r="N8943" s="54" t="n">
        <v>3360</v>
      </c>
      <c r="O8943" s="55" t="inlineStr">
        <is>
          <t>1–15</t>
        </is>
      </c>
      <c r="P8943" s="16" t="inlineStr">
        <is>
          <t>ССЧР обогащена; ОКВЭД не найден/не загружен</t>
        </is>
      </c>
      <c r="Q8943" s="16" t="inlineStr">
        <is>
          <t>ФНС открытые данные ССЧР (ДатаСост 31.12.2025; набор 7707329152-sshr2019)</t>
        </is>
      </c>
      <c r="R8943" s="16">
        <f>HYPERLINK("https://checko.ru/search?query=3801001629","Чекко: проверить")</f>
        <v/>
      </c>
      <c r="S8943" t="n">
        <v>0</v>
      </c>
      <c r="T8943" s="35" t="inlineStr">
        <is>
          <t>4 — Не обогащён</t>
        </is>
      </c>
      <c r="U8943" s="35" t="inlineStr">
        <is>
          <t>Нет ОКВЭД/ССЧР</t>
        </is>
      </c>
      <c r="V8943" s="35" t="inlineStr">
        <is>
          <t>Не определено</t>
        </is>
      </c>
      <c r="W8943" s="35" t="inlineStr">
        <is>
          <t>Нет</t>
        </is>
      </c>
      <c r="X8943" s="35" t="inlineStr"/>
    </row>
    <row r="8944" ht="15" customHeight="1" s="24">
      <c r="A8944" s="13" t="n">
        <v>20014802272</v>
      </c>
      <c r="B8944" s="13" t="inlineStr">
        <is>
          <t>ООО "ДАРКОМ"</t>
        </is>
      </c>
      <c r="C8944" s="13" t="n">
        <v>3812012037</v>
      </c>
      <c r="D8944" s="13" t="inlineStr">
        <is>
          <t>3812012037</t>
        </is>
      </c>
      <c r="E8944" s="13" t="inlineStr">
        <is>
          <t>ЮЛ РФ</t>
        </is>
      </c>
      <c r="F8944" s="13" t="n"/>
      <c r="G8944" s="52" t="n">
        <v>3</v>
      </c>
      <c r="H8944" s="52" t="n">
        <v>2025</v>
      </c>
      <c r="I8944" s="14" t="n"/>
      <c r="J8944" s="14" t="n"/>
      <c r="K8944" s="53" t="inlineStr">
        <is>
          <t>Нет</t>
        </is>
      </c>
      <c r="L8944" s="53" t="inlineStr">
        <is>
          <t>Не определено</t>
        </is>
      </c>
      <c r="M8944" s="53" t="inlineStr">
        <is>
          <t>До 10</t>
        </is>
      </c>
      <c r="N8944" s="54" t="n">
        <v>3360</v>
      </c>
      <c r="O8944" s="55" t="inlineStr">
        <is>
          <t>1–15</t>
        </is>
      </c>
      <c r="P8944" s="16" t="inlineStr">
        <is>
          <t>ССЧР обогащена; ОКВЭД не найден/не загружен</t>
        </is>
      </c>
      <c r="Q8944" s="16" t="inlineStr">
        <is>
          <t>ФНС открытые данные ССЧР (ДатаСост 31.12.2025; набор 7707329152-sshr2019)</t>
        </is>
      </c>
      <c r="R8944" s="16">
        <f>HYPERLINK("https://checko.ru/search?query=3801001629","Чекко: проверить")</f>
        <v/>
      </c>
      <c r="S8944" t="n">
        <v>0</v>
      </c>
      <c r="T8944" s="35" t="inlineStr">
        <is>
          <t>4 — Не обогащён</t>
        </is>
      </c>
      <c r="U8944" s="35" t="inlineStr">
        <is>
          <t>Нет ОКВЭД/ССЧР</t>
        </is>
      </c>
      <c r="V8944" s="35" t="inlineStr">
        <is>
          <t>Не определено</t>
        </is>
      </c>
      <c r="W8944" s="35" t="inlineStr">
        <is>
          <t>Нет</t>
        </is>
      </c>
      <c r="X8944" s="35" t="inlineStr"/>
    </row>
    <row r="8945" ht="15" customHeight="1" s="24">
      <c r="A8945" s="13" t="n">
        <v>800644801</v>
      </c>
      <c r="B8945" s="13" t="inlineStr">
        <is>
          <t>Восточная инжиниринговая компания</t>
        </is>
      </c>
      <c r="C8945" s="13" t="n">
        <v>3811135685</v>
      </c>
      <c r="D8945" s="13" t="inlineStr">
        <is>
          <t>3811135685</t>
        </is>
      </c>
      <c r="E8945" s="13" t="inlineStr">
        <is>
          <t>ЮЛ РФ</t>
        </is>
      </c>
      <c r="F8945" s="13" t="n"/>
      <c r="G8945" s="52" t="n">
        <v>14</v>
      </c>
      <c r="H8945" s="52" t="n">
        <v>2025</v>
      </c>
      <c r="I8945" s="14" t="n"/>
      <c r="J8945" s="14" t="n"/>
      <c r="K8945" s="53" t="inlineStr">
        <is>
          <t>Нет</t>
        </is>
      </c>
      <c r="L8945" s="53" t="inlineStr">
        <is>
          <t>Не определено</t>
        </is>
      </c>
      <c r="M8945" s="53" t="inlineStr">
        <is>
          <t>До 25</t>
        </is>
      </c>
      <c r="N8945" s="54" t="n">
        <v>8400</v>
      </c>
      <c r="O8945" s="55" t="inlineStr">
        <is>
          <t>1–15</t>
        </is>
      </c>
      <c r="P8945" s="16" t="inlineStr">
        <is>
          <t>ССЧР обогащена; ОКВЭД не найден/не загружен</t>
        </is>
      </c>
      <c r="Q8945" s="16" t="inlineStr">
        <is>
          <t>ФНС открытые данные ССЧР (ДатаСост 31.12.2025; набор 7707329152-sshr2019)</t>
        </is>
      </c>
      <c r="R8945" s="16">
        <f>HYPERLINK("https://checko.ru/search?query=3801001629","Чекко: проверить")</f>
        <v/>
      </c>
      <c r="S8945" t="n">
        <v>0</v>
      </c>
      <c r="T8945" s="35" t="inlineStr">
        <is>
          <t>4 — Не обогащён</t>
        </is>
      </c>
      <c r="U8945" s="35" t="inlineStr">
        <is>
          <t>Нет ОКВЭД/ССЧР</t>
        </is>
      </c>
      <c r="V8945" s="35" t="inlineStr">
        <is>
          <t>Не определено</t>
        </is>
      </c>
      <c r="W8945" s="35" t="inlineStr">
        <is>
          <t>Нет</t>
        </is>
      </c>
      <c r="X8945" s="35" t="inlineStr"/>
    </row>
    <row r="8946" ht="15" customHeight="1" s="24">
      <c r="A8946" s="13" t="n">
        <v>800055433</v>
      </c>
      <c r="B8946" s="13" t="inlineStr">
        <is>
          <t>ООО "Управляющая компания "Колмар"</t>
        </is>
      </c>
      <c r="C8946" s="13" t="n">
        <v>7701924275</v>
      </c>
      <c r="D8946" s="13" t="inlineStr">
        <is>
          <t>7701924275</t>
        </is>
      </c>
      <c r="E8946" s="13" t="inlineStr">
        <is>
          <t>ЮЛ РФ</t>
        </is>
      </c>
      <c r="F8946" s="13" t="n"/>
      <c r="G8946" s="14" t="n"/>
      <c r="H8946" s="14" t="n"/>
      <c r="I8946" s="14" t="n"/>
      <c r="J8946" s="14" t="n"/>
      <c r="K8946" s="53" t="inlineStr"/>
      <c r="L8946" s="53" t="inlineStr">
        <is>
          <t>Не определено</t>
        </is>
      </c>
      <c r="M8946" s="53" t="inlineStr"/>
      <c r="N8946" s="54" t="inlineStr"/>
      <c r="O8946" s="55" t="inlineStr"/>
      <c r="P8946" s="16" t="inlineStr">
        <is>
          <t>Требует обогащения</t>
        </is>
      </c>
      <c r="Q8946" s="16">
        <f>HYPERLINK("https://pb.nalog.ru/search.html?query=7701924275","ФНС: проверить")</f>
        <v/>
      </c>
      <c r="R8946" s="16">
        <f>HYPERLINK("https://checko.ru/search?query=3801001629","Чекко: проверить")</f>
        <v/>
      </c>
      <c r="S8946" t="n">
        <v>0</v>
      </c>
      <c r="T8946" s="35" t="inlineStr">
        <is>
          <t>4 — Не обогащён</t>
        </is>
      </c>
      <c r="U8946" s="35" t="inlineStr">
        <is>
          <t>Нет ОКВЭД/ССЧР</t>
        </is>
      </c>
      <c r="V8946" s="35" t="inlineStr">
        <is>
          <t>Не определено</t>
        </is>
      </c>
      <c r="W8946" s="35" t="inlineStr"/>
      <c r="X8946" s="35" t="inlineStr"/>
    </row>
    <row r="8947" ht="15" customHeight="1" s="24">
      <c r="A8947" s="13" t="n">
        <v>9851630</v>
      </c>
      <c r="B8947" s="13" t="inlineStr">
        <is>
          <t>КонсультантПлюс в Иркутске</t>
        </is>
      </c>
      <c r="C8947" s="13" t="n">
        <v>3811441749</v>
      </c>
      <c r="D8947" s="13" t="inlineStr">
        <is>
          <t>3811441749</t>
        </is>
      </c>
      <c r="E8947" s="13" t="inlineStr">
        <is>
          <t>ЮЛ РФ</t>
        </is>
      </c>
      <c r="F8947" s="13" t="n"/>
      <c r="G8947" s="52" t="n">
        <v>26</v>
      </c>
      <c r="H8947" s="52" t="n">
        <v>2025</v>
      </c>
      <c r="I8947" s="52" t="inlineStr">
        <is>
          <t>63.11.1</t>
        </is>
      </c>
      <c r="J8947" s="52" t="inlineStr">
        <is>
          <t>63.11.1; 46.15; 46.49; 46.52; 47.41; 58.11.1; 58.12; 58.13; 58.14; 58.19; 62.01; 62.02; 62.03; 63.11; 69.10; 69.20; 73.11; 73.12; 95.11</t>
        </is>
      </c>
      <c r="K8947" s="53" t="inlineStr">
        <is>
          <t>Да</t>
        </is>
      </c>
      <c r="L8947" s="53" t="inlineStr">
        <is>
          <t>Да</t>
        </is>
      </c>
      <c r="M8947" s="53" t="inlineStr">
        <is>
          <t>До 50</t>
        </is>
      </c>
      <c r="N8947" s="54" t="n">
        <v>16800</v>
      </c>
      <c r="O8947" s="55" t="inlineStr">
        <is>
          <t>16–30</t>
        </is>
      </c>
      <c r="P8947" s="16" t="inlineStr">
        <is>
          <t>ССЧР + ОКВЭД обогащены</t>
        </is>
      </c>
      <c r="Q8947" s="16" t="inlineStr">
        <is>
          <t>ФНС открытые данные ССЧР (ДатаСост 31.12.2025; набор 7707329152-sshr2019)</t>
        </is>
      </c>
      <c r="R8947" s="16" t="inlineStr">
        <is>
          <t>ЕГРЮЛ / egrul.nalog.ru (выписка)</t>
        </is>
      </c>
      <c r="S8947" t="n">
        <v>0</v>
      </c>
      <c r="T8947" s="35" t="inlineStr">
        <is>
          <t>1 — Горячий</t>
        </is>
      </c>
      <c r="U8947" s="35" t="inlineStr">
        <is>
          <t>ОКВЭД + 22+</t>
        </is>
      </c>
      <c r="V8947" s="35" t="inlineStr">
        <is>
          <t>Да</t>
        </is>
      </c>
      <c r="W8947" s="35" t="inlineStr">
        <is>
          <t>Да</t>
        </is>
      </c>
      <c r="X8947" s="35" t="inlineStr">
        <is>
          <t>Да</t>
        </is>
      </c>
    </row>
    <row r="8948" ht="15" customHeight="1" s="24">
      <c r="A8948" s="13" t="n">
        <v>800549614</v>
      </c>
      <c r="B8948" s="13" t="inlineStr">
        <is>
          <t>ООО "ЗС ПОЛИМЕРС"</t>
        </is>
      </c>
      <c r="C8948" s="13" t="n">
        <v>3851018522</v>
      </c>
      <c r="D8948" s="13" t="inlineStr">
        <is>
          <t>3851018522</t>
        </is>
      </c>
      <c r="E8948" s="13" t="inlineStr">
        <is>
          <t>ЮЛ РФ</t>
        </is>
      </c>
      <c r="F8948" s="13" t="n"/>
      <c r="G8948" s="52" t="n">
        <v>4</v>
      </c>
      <c r="H8948" s="52" t="n">
        <v>2025</v>
      </c>
      <c r="I8948" s="14" t="n"/>
      <c r="J8948" s="14" t="n"/>
      <c r="K8948" s="53" t="inlineStr">
        <is>
          <t>Нет</t>
        </is>
      </c>
      <c r="L8948" s="53" t="inlineStr">
        <is>
          <t>Не определено</t>
        </is>
      </c>
      <c r="M8948" s="53" t="inlineStr">
        <is>
          <t>До 10</t>
        </is>
      </c>
      <c r="N8948" s="54" t="n">
        <v>3360</v>
      </c>
      <c r="O8948" s="55" t="inlineStr">
        <is>
          <t>1–15</t>
        </is>
      </c>
      <c r="P8948" s="16" t="inlineStr">
        <is>
          <t>ССЧР обогащена; ОКВЭД не найден/не загружен</t>
        </is>
      </c>
      <c r="Q8948" s="16" t="inlineStr">
        <is>
          <t>ФНС открытые данные ССЧР (ДатаСост 31.12.2025; набор 7707329152-sshr2019)</t>
        </is>
      </c>
      <c r="R8948" s="16">
        <f>HYPERLINK("https://checko.ru/search?query=3801001629","Чекко: проверить")</f>
        <v/>
      </c>
      <c r="S8948" t="n">
        <v>0</v>
      </c>
      <c r="T8948" s="35" t="inlineStr">
        <is>
          <t>4 — Не обогащён</t>
        </is>
      </c>
      <c r="U8948" s="35" t="inlineStr">
        <is>
          <t>Нет ОКВЭД/ССЧР</t>
        </is>
      </c>
      <c r="V8948" s="35" t="inlineStr">
        <is>
          <t>Не определено</t>
        </is>
      </c>
      <c r="W8948" s="35" t="inlineStr">
        <is>
          <t>Нет</t>
        </is>
      </c>
      <c r="X8948" s="35" t="inlineStr"/>
    </row>
    <row r="8949" ht="15" customHeight="1" s="24">
      <c r="A8949" s="13" t="n">
        <v>802420621</v>
      </c>
      <c r="B8949" s="13" t="inlineStr">
        <is>
          <t>ООО "ХИМСТАНДАРТ"</t>
        </is>
      </c>
      <c r="C8949" s="13" t="n">
        <v>3801098120</v>
      </c>
      <c r="D8949" s="13" t="inlineStr">
        <is>
          <t>3801098120</t>
        </is>
      </c>
      <c r="E8949" s="13" t="inlineStr">
        <is>
          <t>ЮЛ РФ</t>
        </is>
      </c>
      <c r="F8949" s="13" t="n"/>
      <c r="G8949" s="52" t="n">
        <v>26</v>
      </c>
      <c r="H8949" s="52" t="n">
        <v>2025</v>
      </c>
      <c r="I8949" s="52" t="inlineStr">
        <is>
          <t>46.71.9</t>
        </is>
      </c>
      <c r="J8949" s="52" t="inlineStr">
        <is>
          <t>46.71.9; 46.71; 46.75; 46.90; 49.20.1; 49.41; 49.41.1; 49.41.2; 49.41.3; 49.42; 52.10.2; 52.24; 52.29</t>
        </is>
      </c>
      <c r="K8949" s="53" t="inlineStr">
        <is>
          <t>Да</t>
        </is>
      </c>
      <c r="L8949" s="53" t="inlineStr">
        <is>
          <t>Да</t>
        </is>
      </c>
      <c r="M8949" s="53" t="inlineStr">
        <is>
          <t>До 50</t>
        </is>
      </c>
      <c r="N8949" s="54" t="n">
        <v>16800</v>
      </c>
      <c r="O8949" s="55" t="inlineStr">
        <is>
          <t>16–30</t>
        </is>
      </c>
      <c r="P8949" s="16" t="inlineStr">
        <is>
          <t>ССЧР + ОКВЭД обогащены</t>
        </is>
      </c>
      <c r="Q8949" s="16" t="inlineStr">
        <is>
          <t>ФНС открытые данные ССЧР (ДатаСост 31.12.2025; набор 7707329152-sshr2019)</t>
        </is>
      </c>
      <c r="R8949" s="16" t="inlineStr">
        <is>
          <t>ЕГРЮЛ / egrul.nalog.ru (выписка)</t>
        </is>
      </c>
      <c r="S8949" t="n">
        <v>0</v>
      </c>
      <c r="T8949" s="35" t="inlineStr">
        <is>
          <t>1 — Горячий</t>
        </is>
      </c>
      <c r="U8949" s="35" t="inlineStr">
        <is>
          <t>ОКВЭД + 22+</t>
        </is>
      </c>
      <c r="V8949" s="35" t="inlineStr">
        <is>
          <t>Да</t>
        </is>
      </c>
      <c r="W8949" s="35" t="inlineStr">
        <is>
          <t>Да</t>
        </is>
      </c>
      <c r="X8949" s="35" t="inlineStr">
        <is>
          <t>Да</t>
        </is>
      </c>
    </row>
    <row r="8950" ht="15" customHeight="1" s="24">
      <c r="A8950" s="13" t="n">
        <v>10783933</v>
      </c>
      <c r="B8950" s="13" t="inlineStr">
        <is>
          <t>ООО "УКМ Новый город"</t>
        </is>
      </c>
      <c r="C8950" s="13" t="n">
        <v>3811142410</v>
      </c>
      <c r="D8950" s="13" t="inlineStr">
        <is>
          <t>3811142410</t>
        </is>
      </c>
      <c r="E8950" s="13" t="inlineStr">
        <is>
          <t>ЮЛ РФ</t>
        </is>
      </c>
      <c r="F8950" s="13" t="n"/>
      <c r="G8950" s="52" t="n">
        <v>43</v>
      </c>
      <c r="H8950" s="52" t="n">
        <v>2025</v>
      </c>
      <c r="I8950" s="52" t="inlineStr">
        <is>
          <t>68.32</t>
        </is>
      </c>
      <c r="J8950" s="52" t="inlineStr">
        <is>
          <t>68.32; 37.00; 43.21; 43.22; 74.20; 74.30; 81.22; 81.29.9; 82.92</t>
        </is>
      </c>
      <c r="K8950" s="53" t="inlineStr">
        <is>
          <t>Да</t>
        </is>
      </c>
      <c r="L8950" s="53" t="inlineStr">
        <is>
          <t>Да</t>
        </is>
      </c>
      <c r="M8950" s="53" t="inlineStr">
        <is>
          <t>До 50</t>
        </is>
      </c>
      <c r="N8950" s="54" t="n">
        <v>16800</v>
      </c>
      <c r="O8950" s="55" t="inlineStr">
        <is>
          <t>31–50</t>
        </is>
      </c>
      <c r="P8950" s="16" t="inlineStr">
        <is>
          <t>ССЧР + ОКВЭД обогащены</t>
        </is>
      </c>
      <c r="Q8950" s="16" t="inlineStr">
        <is>
          <t>ФНС открытые данные ССЧР (ДатаСост 31.12.2025; набор 7707329152-sshr2019)</t>
        </is>
      </c>
      <c r="R8950" s="16" t="inlineStr">
        <is>
          <t>ЕГРЮЛ / egrul.nalog.ru (выписка)</t>
        </is>
      </c>
      <c r="S8950" t="n">
        <v>1</v>
      </c>
      <c r="T8950" s="35" t="inlineStr">
        <is>
          <t>1 — Горячий</t>
        </is>
      </c>
      <c r="U8950" s="35" t="inlineStr">
        <is>
          <t>ОКВЭД + 22+</t>
        </is>
      </c>
      <c r="V8950" s="35" t="inlineStr">
        <is>
          <t>Да</t>
        </is>
      </c>
      <c r="W8950" s="35" t="inlineStr">
        <is>
          <t>Да</t>
        </is>
      </c>
      <c r="X8950" s="35" t="inlineStr">
        <is>
          <t>Да</t>
        </is>
      </c>
    </row>
    <row r="8951" ht="15" customHeight="1" s="24">
      <c r="A8951" s="13" t="n">
        <v>800467356</v>
      </c>
      <c r="B8951" s="13" t="inlineStr">
        <is>
          <t>ООО "Высота</t>
        </is>
      </c>
      <c r="C8951" s="13" t="n">
        <v>3802017251</v>
      </c>
      <c r="D8951" s="13" t="inlineStr">
        <is>
          <t>3802017251</t>
        </is>
      </c>
      <c r="E8951" s="13" t="inlineStr">
        <is>
          <t>ЮЛ РФ</t>
        </is>
      </c>
      <c r="F8951" s="13" t="n"/>
      <c r="G8951" s="52" t="n">
        <v>10</v>
      </c>
      <c r="H8951" s="52" t="n">
        <v>2025</v>
      </c>
      <c r="I8951" s="14" t="n"/>
      <c r="J8951" s="14" t="n"/>
      <c r="K8951" s="53" t="inlineStr">
        <is>
          <t>Нет</t>
        </is>
      </c>
      <c r="L8951" s="53" t="inlineStr">
        <is>
          <t>Не определено</t>
        </is>
      </c>
      <c r="M8951" s="53" t="inlineStr">
        <is>
          <t>До 10</t>
        </is>
      </c>
      <c r="N8951" s="54" t="n">
        <v>3360</v>
      </c>
      <c r="O8951" s="55" t="inlineStr">
        <is>
          <t>1–15</t>
        </is>
      </c>
      <c r="P8951" s="16" t="inlineStr">
        <is>
          <t>ССЧР обогащена; ОКВЭД не найден/не загружен</t>
        </is>
      </c>
      <c r="Q8951" s="16" t="inlineStr">
        <is>
          <t>ФНС открытые данные ССЧР (ДатаСост 31.12.2025; набор 7707329152-sshr2019)</t>
        </is>
      </c>
      <c r="R8951" s="16">
        <f>HYPERLINK("https://checko.ru/search?query=3801001629","Чекко: проверить")</f>
        <v/>
      </c>
      <c r="S8951" t="n">
        <v>0</v>
      </c>
      <c r="T8951" s="35" t="inlineStr">
        <is>
          <t>4 — Не обогащён</t>
        </is>
      </c>
      <c r="U8951" s="35" t="inlineStr">
        <is>
          <t>Нет ОКВЭД/ССЧР</t>
        </is>
      </c>
      <c r="V8951" s="35" t="inlineStr">
        <is>
          <t>Не определено</t>
        </is>
      </c>
      <c r="W8951" s="35" t="inlineStr">
        <is>
          <t>Нет</t>
        </is>
      </c>
      <c r="X8951" s="35" t="inlineStr"/>
    </row>
    <row r="8952" ht="27.75" customHeight="1" s="24">
      <c r="A8952" s="13" t="n">
        <v>802171738</v>
      </c>
      <c r="B8952" s="13" t="inlineStr">
        <is>
          <t>ОБЩЕСТВО С ОГРАНИЧЕННОЙ ОТВЕТСТВЕННОСТЬЮ "АРКА"</t>
        </is>
      </c>
      <c r="C8952" s="13" t="n">
        <v>3811166362</v>
      </c>
      <c r="D8952" s="13" t="inlineStr">
        <is>
          <t>3811166362</t>
        </is>
      </c>
      <c r="E8952" s="13" t="inlineStr">
        <is>
          <t>ЮЛ РФ</t>
        </is>
      </c>
      <c r="F8952" s="13" t="n"/>
      <c r="G8952" s="52" t="n">
        <v>16</v>
      </c>
      <c r="H8952" s="52" t="n">
        <v>2025</v>
      </c>
      <c r="I8952" s="14" t="n"/>
      <c r="J8952" s="14" t="n"/>
      <c r="K8952" s="53" t="inlineStr">
        <is>
          <t>Нет</t>
        </is>
      </c>
      <c r="L8952" s="53" t="inlineStr">
        <is>
          <t>Не определено</t>
        </is>
      </c>
      <c r="M8952" s="53" t="inlineStr">
        <is>
          <t>До 25</t>
        </is>
      </c>
      <c r="N8952" s="54" t="n">
        <v>8400</v>
      </c>
      <c r="O8952" s="55" t="inlineStr">
        <is>
          <t>16–30</t>
        </is>
      </c>
      <c r="P8952" s="16" t="inlineStr">
        <is>
          <t>ССЧР обогащена; ОКВЭД не найден/не загружен</t>
        </is>
      </c>
      <c r="Q8952" s="16" t="inlineStr">
        <is>
          <t>ФНС открытые данные ССЧР (ДатаСост 31.12.2025; набор 7707329152-sshr2019)</t>
        </is>
      </c>
      <c r="R8952" s="16">
        <f>HYPERLINK("https://checko.ru/search?query=3801001629","Чекко: проверить")</f>
        <v/>
      </c>
      <c r="S8952" t="n">
        <v>1</v>
      </c>
      <c r="T8952" s="35" t="inlineStr">
        <is>
          <t>4 — Не обогащён</t>
        </is>
      </c>
      <c r="U8952" s="35" t="inlineStr">
        <is>
          <t>Нет ОКВЭД/ССЧР</t>
        </is>
      </c>
      <c r="V8952" s="35" t="inlineStr">
        <is>
          <t>Не определено</t>
        </is>
      </c>
      <c r="W8952" s="35" t="inlineStr">
        <is>
          <t>Нет</t>
        </is>
      </c>
      <c r="X8952" s="35" t="inlineStr"/>
    </row>
    <row r="8953" ht="27.75" customHeight="1" s="24">
      <c r="A8953" s="13" t="n">
        <v>801617285</v>
      </c>
      <c r="B8953" s="13" t="inlineStr">
        <is>
          <t>Общество с ограниченной ответственностью "Автопарк"</t>
        </is>
      </c>
      <c r="C8953" s="13" t="n">
        <v>3811470838</v>
      </c>
      <c r="D8953" s="13" t="inlineStr">
        <is>
          <t>3811470838</t>
        </is>
      </c>
      <c r="E8953" s="13" t="inlineStr">
        <is>
          <t>ЮЛ РФ</t>
        </is>
      </c>
      <c r="F8953" s="13" t="n"/>
      <c r="G8953" s="52" t="n">
        <v>228</v>
      </c>
      <c r="H8953" s="52" t="n">
        <v>2025</v>
      </c>
      <c r="I8953" s="52" t="inlineStr">
        <is>
          <t>82.99</t>
        </is>
      </c>
      <c r="J8953" s="52" t="inlineStr">
        <is>
          <t>82.99; 45.11.2; 45.11; 45.11.1; 45.11.3; 45.11.4; 45.11.31; 45.11.39; 45.11.41; 45.11.49; 45.19.1; 45.20; 45.20.1; 45.20.2; 45.20.3; 45.20.4; 45.20.5; 66.19; 66.19.4; 66.22; 69.10; 69.20; 69.20.2; 69.20.3; 70.22; 78.30; 96.09</t>
        </is>
      </c>
      <c r="K8953" s="53" t="inlineStr">
        <is>
          <t>Да</t>
        </is>
      </c>
      <c r="L8953" s="53" t="inlineStr">
        <is>
          <t>Да</t>
        </is>
      </c>
      <c r="M8953" s="53" t="inlineStr">
        <is>
          <t>До 500</t>
        </is>
      </c>
      <c r="N8953" s="54" t="n">
        <v>144000</v>
      </c>
      <c r="O8953" s="55" t="inlineStr">
        <is>
          <t>201–500</t>
        </is>
      </c>
      <c r="P8953" s="16" t="inlineStr">
        <is>
          <t>ССЧР + ОКВЭД обогащены</t>
        </is>
      </c>
      <c r="Q8953" s="16" t="inlineStr">
        <is>
          <t>ФНС открытые данные ССЧР (ДатаСост 31.12.2025; набор 7707329152-sshr2019)</t>
        </is>
      </c>
      <c r="R8953" s="16" t="inlineStr">
        <is>
          <t>ЕГРЮЛ / egrul.nalog.ru (выписка)</t>
        </is>
      </c>
      <c r="S8953" t="n">
        <v>0</v>
      </c>
      <c r="T8953" s="35" t="inlineStr">
        <is>
          <t>1 — Горячий</t>
        </is>
      </c>
      <c r="U8953" s="35" t="inlineStr">
        <is>
          <t>ОКВЭД + 22+</t>
        </is>
      </c>
      <c r="V8953" s="35" t="inlineStr">
        <is>
          <t>Да</t>
        </is>
      </c>
      <c r="W8953" s="35" t="inlineStr">
        <is>
          <t>Да</t>
        </is>
      </c>
      <c r="X8953" s="35" t="inlineStr">
        <is>
          <t>Да</t>
        </is>
      </c>
    </row>
    <row r="8954" ht="15" customHeight="1" s="24">
      <c r="A8954" s="13" t="n">
        <v>800461983</v>
      </c>
      <c r="B8954" s="13" t="inlineStr">
        <is>
          <t>Сибимпорт</t>
        </is>
      </c>
      <c r="C8954" s="13" t="n">
        <v>3808134635</v>
      </c>
      <c r="D8954" s="13" t="inlineStr">
        <is>
          <t>3808134635</t>
        </is>
      </c>
      <c r="E8954" s="13" t="inlineStr">
        <is>
          <t>ЮЛ РФ</t>
        </is>
      </c>
      <c r="F8954" s="13" t="n"/>
      <c r="G8954" s="52" t="n">
        <v>7</v>
      </c>
      <c r="H8954" s="52" t="n">
        <v>2025</v>
      </c>
      <c r="I8954" s="14" t="n"/>
      <c r="J8954" s="14" t="n"/>
      <c r="K8954" s="53" t="inlineStr">
        <is>
          <t>Нет</t>
        </is>
      </c>
      <c r="L8954" s="53" t="inlineStr">
        <is>
          <t>Не определено</t>
        </is>
      </c>
      <c r="M8954" s="53" t="inlineStr">
        <is>
          <t>До 10</t>
        </is>
      </c>
      <c r="N8954" s="54" t="n">
        <v>3360</v>
      </c>
      <c r="O8954" s="55" t="inlineStr">
        <is>
          <t>1–15</t>
        </is>
      </c>
      <c r="P8954" s="16" t="inlineStr">
        <is>
          <t>ССЧР обогащена; ОКВЭД не найден/не загружен</t>
        </is>
      </c>
      <c r="Q8954" s="16" t="inlineStr">
        <is>
          <t>ФНС открытые данные ССЧР (ДатаСост 31.12.2025; набор 7707329152-sshr2019)</t>
        </is>
      </c>
      <c r="R8954" s="16">
        <f>HYPERLINK("https://checko.ru/search?query=3801001629","Чекко: проверить")</f>
        <v/>
      </c>
      <c r="S8954" t="n">
        <v>0</v>
      </c>
      <c r="T8954" s="35" t="inlineStr">
        <is>
          <t>4 — Не обогащён</t>
        </is>
      </c>
      <c r="U8954" s="35" t="inlineStr">
        <is>
          <t>Нет ОКВЭД/ССЧР</t>
        </is>
      </c>
      <c r="V8954" s="35" t="inlineStr">
        <is>
          <t>Не определено</t>
        </is>
      </c>
      <c r="W8954" s="35" t="inlineStr">
        <is>
          <t>Нет</t>
        </is>
      </c>
      <c r="X8954" s="35" t="inlineStr"/>
    </row>
    <row r="8955" ht="27.75" customHeight="1" s="24">
      <c r="A8955" s="13" t="n">
        <v>802425225</v>
      </c>
      <c r="B8955" s="13" t="inlineStr">
        <is>
          <t>ОБЩЕСТВО С ОГРАНИЧЕННОЙ ОТВЕТСТВЕННОСТЬЮ "ЖЕЛДОР-СЕРВИС"</t>
        </is>
      </c>
      <c r="C8955" s="13" t="n">
        <v>3810021318</v>
      </c>
      <c r="D8955" s="13" t="inlineStr">
        <is>
          <t>3810021318</t>
        </is>
      </c>
      <c r="E8955" s="13" t="inlineStr">
        <is>
          <t>ЮЛ РФ</t>
        </is>
      </c>
      <c r="F8955" s="13" t="n"/>
      <c r="G8955" s="52" t="n">
        <v>44</v>
      </c>
      <c r="H8955" s="52" t="n">
        <v>2025</v>
      </c>
      <c r="I8955" s="52" t="inlineStr">
        <is>
          <t>49.20</t>
        </is>
      </c>
      <c r="J8955" s="52" t="inlineStr">
        <is>
          <t>49.20; 52.29; 68.10.11; 68.10.21; 68.20.2; 70.22; 73.20.1; 82.99</t>
        </is>
      </c>
      <c r="K8955" s="53" t="inlineStr">
        <is>
          <t>Да</t>
        </is>
      </c>
      <c r="L8955" s="53" t="inlineStr">
        <is>
          <t>Да</t>
        </is>
      </c>
      <c r="M8955" s="53" t="inlineStr">
        <is>
          <t>До 50</t>
        </is>
      </c>
      <c r="N8955" s="54" t="n">
        <v>16800</v>
      </c>
      <c r="O8955" s="55" t="inlineStr">
        <is>
          <t>31–50</t>
        </is>
      </c>
      <c r="P8955" s="16" t="inlineStr">
        <is>
          <t>ССЧР + ОКВЭД обогащены</t>
        </is>
      </c>
      <c r="Q8955" s="16" t="inlineStr">
        <is>
          <t>ФНС открытые данные ССЧР (ДатаСост 31.12.2025; набор 7707329152-sshr2019)</t>
        </is>
      </c>
      <c r="R8955" s="16" t="inlineStr">
        <is>
          <t>ЕГРЮЛ / egrul.nalog.ru (выписка)</t>
        </is>
      </c>
      <c r="S8955" t="n">
        <v>1</v>
      </c>
      <c r="T8955" s="35" t="inlineStr">
        <is>
          <t>1 — Горячий</t>
        </is>
      </c>
      <c r="U8955" s="35" t="inlineStr">
        <is>
          <t>ОКВЭД + 22+</t>
        </is>
      </c>
      <c r="V8955" s="35" t="inlineStr">
        <is>
          <t>Да</t>
        </is>
      </c>
      <c r="W8955" s="35" t="inlineStr">
        <is>
          <t>Да</t>
        </is>
      </c>
      <c r="X8955" s="35" t="inlineStr">
        <is>
          <t>Да</t>
        </is>
      </c>
    </row>
    <row r="8956" ht="15" customHeight="1" s="24">
      <c r="A8956" s="13" t="inlineStr">
        <is>
          <t>FR172519</t>
        </is>
      </c>
      <c r="B8956" s="13" t="inlineStr">
        <is>
          <t>ООО "АВАКОН"</t>
        </is>
      </c>
      <c r="C8956" s="13" t="n">
        <v>3811070879</v>
      </c>
      <c r="D8956" s="13" t="inlineStr">
        <is>
          <t>3811070879</t>
        </is>
      </c>
      <c r="E8956" s="13" t="inlineStr">
        <is>
          <t>ЮЛ РФ</t>
        </is>
      </c>
      <c r="F8956" s="13" t="n"/>
      <c r="G8956" s="52" t="n">
        <v>192</v>
      </c>
      <c r="H8956" s="52" t="n">
        <v>2025</v>
      </c>
      <c r="I8956" s="52" t="inlineStr">
        <is>
          <t>38.12</t>
        </is>
      </c>
      <c r="J8956" s="52" t="inlineStr">
        <is>
          <t>38.12; 09.10; 16.10.9; 16.23; 16.29; 28.29.12; 33.12; 37.00; 38.21.2; 38.22; 38.32; 38.32.3; 38.32.4; 38.32.5; 39.00; 43.12; 43.99; 45.19; 46.71; 47.73; 47.74; 47.75; 49.41; 49.42; 52.10; 52.24; 52.29; 56.10; 56.29.2; 60.10; 60.20; 62.02; 63.11.1; 63.91; 68.32; 68.32.1; 71.12.5; 71.12.6; 74.20; 74.30; 77.39; 81.22; 81.29.9; 82.92; 84.21; 86.10; 86.21; 86.90.9</t>
        </is>
      </c>
      <c r="K8956" s="53" t="inlineStr">
        <is>
          <t>Да</t>
        </is>
      </c>
      <c r="L8956" s="53" t="inlineStr">
        <is>
          <t>Да</t>
        </is>
      </c>
      <c r="M8956" s="53" t="inlineStr">
        <is>
          <t>До 200</t>
        </is>
      </c>
      <c r="N8956" s="54" t="n">
        <v>62400</v>
      </c>
      <c r="O8956" s="55" t="inlineStr">
        <is>
          <t>101–200</t>
        </is>
      </c>
      <c r="P8956" s="16" t="inlineStr">
        <is>
          <t>ССЧР + ОКВЭД обогащены</t>
        </is>
      </c>
      <c r="Q8956" s="16" t="inlineStr">
        <is>
          <t>ФНС открытые данные ССЧР (ДатаСост 31.12.2025; набор 7707329152-sshr2019)</t>
        </is>
      </c>
      <c r="R8956" s="16" t="inlineStr">
        <is>
          <t>ЕГРЮЛ / egrul.nalog.ru (выписка)</t>
        </is>
      </c>
      <c r="S8956" t="n">
        <v>0</v>
      </c>
      <c r="T8956" s="35" t="inlineStr">
        <is>
          <t>1 — Горячий</t>
        </is>
      </c>
      <c r="U8956" s="35" t="inlineStr">
        <is>
          <t>ОКВЭД + 22+</t>
        </is>
      </c>
      <c r="V8956" s="35" t="inlineStr">
        <is>
          <t>Да</t>
        </is>
      </c>
      <c r="W8956" s="35" t="inlineStr">
        <is>
          <t>Да</t>
        </is>
      </c>
      <c r="X8956" s="35" t="inlineStr">
        <is>
          <t>Да</t>
        </is>
      </c>
    </row>
    <row r="8957" ht="27.75" customHeight="1" s="24">
      <c r="A8957" s="13" t="inlineStr">
        <is>
          <t>FR656809</t>
        </is>
      </c>
      <c r="B8957" s="13" t="inlineStr">
        <is>
          <t>Общество с ограниченной ответственностью "ГИДРОЛАЙК"</t>
        </is>
      </c>
      <c r="C8957" s="13" t="n">
        <v>7720934279</v>
      </c>
      <c r="D8957" s="13" t="inlineStr">
        <is>
          <t>7720934279</t>
        </is>
      </c>
      <c r="E8957" s="13" t="inlineStr">
        <is>
          <t>ЮЛ РФ</t>
        </is>
      </c>
      <c r="F8957" s="13" t="n"/>
      <c r="G8957" s="52" t="n">
        <v>1</v>
      </c>
      <c r="H8957" s="52" t="n">
        <v>2025</v>
      </c>
      <c r="I8957" s="14" t="n"/>
      <c r="J8957" s="14" t="n"/>
      <c r="K8957" s="53" t="inlineStr">
        <is>
          <t>Нет</t>
        </is>
      </c>
      <c r="L8957" s="53" t="inlineStr">
        <is>
          <t>Не определено</t>
        </is>
      </c>
      <c r="M8957" s="53" t="inlineStr">
        <is>
          <t>До 10</t>
        </is>
      </c>
      <c r="N8957" s="54" t="n">
        <v>3360</v>
      </c>
      <c r="O8957" s="55" t="inlineStr">
        <is>
          <t>1–15</t>
        </is>
      </c>
      <c r="P8957" s="16" t="inlineStr">
        <is>
          <t>ССЧР обогащена; ОКВЭД не найден/не загружен</t>
        </is>
      </c>
      <c r="Q8957" s="16" t="inlineStr">
        <is>
          <t>ФНС открытые данные ССЧР (ДатаСост 31.12.2025; набор 7707329152-sshr2019)</t>
        </is>
      </c>
      <c r="R8957" s="16">
        <f>HYPERLINK("https://checko.ru/search?query=3801001629","Чекко: проверить")</f>
        <v/>
      </c>
      <c r="S8957" t="n">
        <v>0</v>
      </c>
      <c r="T8957" s="35" t="inlineStr">
        <is>
          <t>4 — Не обогащён</t>
        </is>
      </c>
      <c r="U8957" s="35" t="inlineStr">
        <is>
          <t>Нет ОКВЭД/ССЧР</t>
        </is>
      </c>
      <c r="V8957" s="35" t="inlineStr">
        <is>
          <t>Не определено</t>
        </is>
      </c>
      <c r="W8957" s="35" t="inlineStr">
        <is>
          <t>Нет</t>
        </is>
      </c>
      <c r="X8957" s="35" t="inlineStr"/>
    </row>
    <row r="8958" ht="15" customHeight="1" s="24">
      <c r="A8958" s="13" t="inlineStr">
        <is>
          <t>FR836658</t>
        </is>
      </c>
      <c r="B8958" s="13" t="inlineStr">
        <is>
          <t>Матюха Ольга Николаевна</t>
        </is>
      </c>
      <c r="C8958" s="13" t="n">
        <v>381910483960</v>
      </c>
      <c r="D8958" s="13" t="inlineStr">
        <is>
          <t>381910483960</t>
        </is>
      </c>
      <c r="E8958" s="13" t="inlineStr">
        <is>
          <t>ИП РФ / физлицо</t>
        </is>
      </c>
      <c r="F8958" s="13" t="n"/>
      <c r="G8958" s="14" t="n"/>
      <c r="H8958" s="14" t="n"/>
      <c r="I8958" s="14" t="n"/>
      <c r="J8958" s="14" t="n"/>
      <c r="K8958" s="53" t="inlineStr"/>
      <c r="L8958" s="53" t="inlineStr">
        <is>
          <t>Не определено</t>
        </is>
      </c>
      <c r="M8958" s="53" t="inlineStr"/>
      <c r="N8958" s="54" t="inlineStr"/>
      <c r="O8958" s="55" t="inlineStr"/>
      <c r="P8958" s="16" t="inlineStr">
        <is>
          <t>Требует обогащения</t>
        </is>
      </c>
      <c r="Q8958" s="16">
        <f>HYPERLINK("https://pb.nalog.ru/search.html?query=381910483960","ФНС: проверить")</f>
        <v/>
      </c>
      <c r="R8958" s="16">
        <f>HYPERLINK("https://checko.ru/search?query=3801001629","Чекко: проверить")</f>
        <v/>
      </c>
      <c r="S8958" t="n">
        <v>0</v>
      </c>
      <c r="T8958" s="35" t="inlineStr">
        <is>
          <t>4 — Не обогащён</t>
        </is>
      </c>
      <c r="U8958" s="35" t="inlineStr">
        <is>
          <t>Нет ОКВЭД/ССЧР</t>
        </is>
      </c>
      <c r="V8958" s="35" t="inlineStr">
        <is>
          <t>Не определено</t>
        </is>
      </c>
      <c r="W8958" s="35" t="inlineStr"/>
      <c r="X8958" s="35" t="inlineStr"/>
    </row>
    <row r="8959" ht="15" customHeight="1" s="24">
      <c r="A8959" s="13" t="n">
        <v>800848640</v>
      </c>
      <c r="B8959" s="13" t="inlineStr">
        <is>
          <t>ИП Ковалёв Дмитрий Витальевич</t>
        </is>
      </c>
      <c r="C8959" s="13" t="n">
        <v>381113998503</v>
      </c>
      <c r="D8959" s="13" t="inlineStr">
        <is>
          <t>381113998503</t>
        </is>
      </c>
      <c r="E8959" s="13" t="inlineStr">
        <is>
          <t>ИП РФ / физлицо</t>
        </is>
      </c>
      <c r="F8959" s="13" t="n"/>
      <c r="G8959" s="14" t="n"/>
      <c r="H8959" s="14" t="n"/>
      <c r="I8959" s="14" t="n"/>
      <c r="J8959" s="14" t="n"/>
      <c r="K8959" s="53" t="inlineStr"/>
      <c r="L8959" s="53" t="inlineStr">
        <is>
          <t>Не определено</t>
        </is>
      </c>
      <c r="M8959" s="53" t="inlineStr"/>
      <c r="N8959" s="54" t="inlineStr"/>
      <c r="O8959" s="55" t="inlineStr"/>
      <c r="P8959" s="16" t="inlineStr">
        <is>
          <t>Требует обогащения</t>
        </is>
      </c>
      <c r="Q8959" s="16">
        <f>HYPERLINK("https://pb.nalog.ru/search.html?query=381113998503","ФНС: проверить")</f>
        <v/>
      </c>
      <c r="R8959" s="16">
        <f>HYPERLINK("https://checko.ru/search?query=3801001629","Чекко: проверить")</f>
        <v/>
      </c>
      <c r="S8959" t="n">
        <v>0</v>
      </c>
      <c r="T8959" s="35" t="inlineStr">
        <is>
          <t>4 — Не обогащён</t>
        </is>
      </c>
      <c r="U8959" s="35" t="inlineStr">
        <is>
          <t>Нет ОКВЭД/ССЧР</t>
        </is>
      </c>
      <c r="V8959" s="35" t="inlineStr">
        <is>
          <t>Не определено</t>
        </is>
      </c>
      <c r="W8959" s="35" t="inlineStr"/>
      <c r="X8959" s="35" t="inlineStr"/>
    </row>
    <row r="8960" ht="27.75" customHeight="1" s="24">
      <c r="A8960" s="13" t="inlineStr">
        <is>
          <t>FR1040202</t>
        </is>
      </c>
      <c r="B8960" s="13" t="inlineStr">
        <is>
          <t>АВТОНОМНАЯ НЕКОММЕРЧЕСКАЯ ОРГАНИЗАЦИЯ "ЦЕНТР РАЗВИТИЯ ОХРАНЫ ТРУДА"</t>
        </is>
      </c>
      <c r="C8960" s="13" t="n">
        <v>2465364452</v>
      </c>
      <c r="D8960" s="13" t="inlineStr">
        <is>
          <t>2465364452</t>
        </is>
      </c>
      <c r="E8960" s="13" t="inlineStr">
        <is>
          <t>ЮЛ РФ</t>
        </is>
      </c>
      <c r="F8960" s="13" t="n"/>
      <c r="G8960" s="14" t="n"/>
      <c r="H8960" s="14" t="n"/>
      <c r="I8960" s="14" t="n"/>
      <c r="J8960" s="14" t="n"/>
      <c r="K8960" s="53" t="inlineStr"/>
      <c r="L8960" s="53" t="inlineStr">
        <is>
          <t>Не определено</t>
        </is>
      </c>
      <c r="M8960" s="53" t="inlineStr"/>
      <c r="N8960" s="54" t="inlineStr"/>
      <c r="O8960" s="55" t="inlineStr"/>
      <c r="P8960" s="16" t="inlineStr">
        <is>
          <t>Требует обогащения</t>
        </is>
      </c>
      <c r="Q8960" s="16">
        <f>HYPERLINK("https://pb.nalog.ru/search.html?query=2465364452","ФНС: проверить")</f>
        <v/>
      </c>
      <c r="R8960" s="16">
        <f>HYPERLINK("https://checko.ru/search?query=3801001629","Чекко: проверить")</f>
        <v/>
      </c>
      <c r="S8960" t="n">
        <v>0</v>
      </c>
      <c r="T8960" s="35" t="inlineStr">
        <is>
          <t>4 — Не обогащён</t>
        </is>
      </c>
      <c r="U8960" s="35" t="inlineStr">
        <is>
          <t>Нет ОКВЭД/ССЧР</t>
        </is>
      </c>
      <c r="V8960" s="35" t="inlineStr">
        <is>
          <t>Не определено</t>
        </is>
      </c>
      <c r="W8960" s="35" t="inlineStr"/>
      <c r="X8960" s="35" t="inlineStr"/>
    </row>
    <row r="8961" ht="27.75" customHeight="1" s="24">
      <c r="A8961" s="13" t="inlineStr">
        <is>
          <t>FR36636</t>
        </is>
      </c>
      <c r="B8961" s="13" t="inlineStr">
        <is>
          <t>Общество с ограниченной ответственностью "ВСЕНАЛОГИУМ"</t>
        </is>
      </c>
      <c r="C8961" s="13" t="n">
        <v>5031094992</v>
      </c>
      <c r="D8961" s="13" t="inlineStr">
        <is>
          <t>5031094992</t>
        </is>
      </c>
      <c r="E8961" s="13" t="inlineStr">
        <is>
          <t>ЮЛ РФ</t>
        </is>
      </c>
      <c r="F8961" s="13" t="n"/>
      <c r="G8961" s="52" t="n">
        <v>7</v>
      </c>
      <c r="H8961" s="52" t="n">
        <v>2025</v>
      </c>
      <c r="I8961" s="14" t="n"/>
      <c r="J8961" s="14" t="n"/>
      <c r="K8961" s="53" t="inlineStr">
        <is>
          <t>Нет</t>
        </is>
      </c>
      <c r="L8961" s="53" t="inlineStr">
        <is>
          <t>Не определено</t>
        </is>
      </c>
      <c r="M8961" s="53" t="inlineStr">
        <is>
          <t>До 10</t>
        </is>
      </c>
      <c r="N8961" s="54" t="n">
        <v>3360</v>
      </c>
      <c r="O8961" s="55" t="inlineStr">
        <is>
          <t>1–15</t>
        </is>
      </c>
      <c r="P8961" s="16" t="inlineStr">
        <is>
          <t>ССЧР обогащена; ОКВЭД не найден/не загружен</t>
        </is>
      </c>
      <c r="Q8961" s="16" t="inlineStr">
        <is>
          <t>ФНС открытые данные ССЧР (ДатаСост 31.12.2025; набор 7707329152-sshr2019)</t>
        </is>
      </c>
      <c r="R8961" s="16">
        <f>HYPERLINK("https://checko.ru/search?query=3801001629","Чекко: проверить")</f>
        <v/>
      </c>
      <c r="S8961" t="n">
        <v>0</v>
      </c>
      <c r="T8961" s="35" t="inlineStr">
        <is>
          <t>4 — Не обогащён</t>
        </is>
      </c>
      <c r="U8961" s="35" t="inlineStr">
        <is>
          <t>Нет ОКВЭД/ССЧР</t>
        </is>
      </c>
      <c r="V8961" s="35" t="inlineStr">
        <is>
          <t>Не определено</t>
        </is>
      </c>
      <c r="W8961" s="35" t="inlineStr">
        <is>
          <t>Нет</t>
        </is>
      </c>
      <c r="X8961" s="35" t="inlineStr"/>
    </row>
    <row r="8962" ht="15" customHeight="1" s="24">
      <c r="A8962" s="13" t="inlineStr">
        <is>
          <t>FR1241217</t>
        </is>
      </c>
      <c r="B8962" s="13" t="inlineStr">
        <is>
          <t>ИП Дьяченко Павел Александрович</t>
        </is>
      </c>
      <c r="C8962" s="13" t="n">
        <v>272510516558</v>
      </c>
      <c r="D8962" s="13" t="inlineStr">
        <is>
          <t>272510516558</t>
        </is>
      </c>
      <c r="E8962" s="13" t="inlineStr">
        <is>
          <t>ИП РФ / физлицо</t>
        </is>
      </c>
      <c r="F8962" s="13" t="n"/>
      <c r="G8962" s="14" t="n"/>
      <c r="H8962" s="14" t="n"/>
      <c r="I8962" s="14" t="n"/>
      <c r="J8962" s="14" t="n"/>
      <c r="K8962" s="53" t="inlineStr"/>
      <c r="L8962" s="53" t="inlineStr">
        <is>
          <t>Не определено</t>
        </is>
      </c>
      <c r="M8962" s="53" t="inlineStr"/>
      <c r="N8962" s="54" t="inlineStr"/>
      <c r="O8962" s="55" t="inlineStr"/>
      <c r="P8962" s="16" t="inlineStr">
        <is>
          <t>Требует обогащения</t>
        </is>
      </c>
      <c r="Q8962" s="16">
        <f>HYPERLINK("https://pb.nalog.ru/search.html?query=272510516558","ФНС: проверить")</f>
        <v/>
      </c>
      <c r="R8962" s="16">
        <f>HYPERLINK("https://checko.ru/search?query=3801001629","Чекко: проверить")</f>
        <v/>
      </c>
      <c r="S8962" t="n">
        <v>0</v>
      </c>
      <c r="T8962" s="35" t="inlineStr">
        <is>
          <t>4 — Не обогащён</t>
        </is>
      </c>
      <c r="U8962" s="35" t="inlineStr">
        <is>
          <t>Нет ОКВЭД/ССЧР</t>
        </is>
      </c>
      <c r="V8962" s="35" t="inlineStr">
        <is>
          <t>Не определено</t>
        </is>
      </c>
      <c r="W8962" s="35" t="inlineStr"/>
      <c r="X8962" s="35" t="inlineStr"/>
    </row>
    <row r="8963" ht="15" customHeight="1" s="24">
      <c r="A8963" s="13" t="n">
        <v>802400982</v>
      </c>
      <c r="B8963" s="13" t="inlineStr">
        <is>
          <t>ООО "Форвард"</t>
        </is>
      </c>
      <c r="C8963" s="13" t="n">
        <v>3808089020</v>
      </c>
      <c r="D8963" s="13" t="inlineStr">
        <is>
          <t>3808089020</t>
        </is>
      </c>
      <c r="E8963" s="13" t="inlineStr">
        <is>
          <t>ЮЛ РФ</t>
        </is>
      </c>
      <c r="F8963" s="13" t="n"/>
      <c r="G8963" s="52" t="n">
        <v>45</v>
      </c>
      <c r="H8963" s="52" t="n">
        <v>2025</v>
      </c>
      <c r="I8963" s="14" t="n"/>
      <c r="J8963" s="14" t="n"/>
      <c r="K8963" s="53" t="inlineStr">
        <is>
          <t>Да</t>
        </is>
      </c>
      <c r="L8963" s="53" t="inlineStr">
        <is>
          <t>Не определено</t>
        </is>
      </c>
      <c r="M8963" s="53" t="inlineStr">
        <is>
          <t>До 50</t>
        </is>
      </c>
      <c r="N8963" s="54" t="n">
        <v>16800</v>
      </c>
      <c r="O8963" s="55" t="inlineStr">
        <is>
          <t>31–50</t>
        </is>
      </c>
      <c r="P8963" s="16" t="inlineStr">
        <is>
          <t>ССЧР обогащена; ОКВЭД не найден/не загружен</t>
        </is>
      </c>
      <c r="Q8963" s="16" t="inlineStr">
        <is>
          <t>ФНС открытые данные ССЧР (ДатаСост 31.12.2025; набор 7707329152-sshr2019)</t>
        </is>
      </c>
      <c r="R8963" s="16">
        <f>HYPERLINK("https://checko.ru/search?query=3801001629","Чекко: проверить")</f>
        <v/>
      </c>
      <c r="S8963" t="n">
        <v>0</v>
      </c>
      <c r="T8963" s="35" t="inlineStr">
        <is>
          <t>3 — 22+ без ОКВЭД</t>
        </is>
      </c>
      <c r="U8963" s="35" t="inlineStr">
        <is>
          <t>22+ без целевого ОКВЭД</t>
        </is>
      </c>
      <c r="V8963" s="35" t="inlineStr">
        <is>
          <t>Не определено</t>
        </is>
      </c>
      <c r="W8963" s="35" t="inlineStr">
        <is>
          <t>Да</t>
        </is>
      </c>
      <c r="X8963" s="35" t="inlineStr"/>
    </row>
    <row r="8964" ht="15" customHeight="1" s="24">
      <c r="A8964" s="13" t="inlineStr">
        <is>
          <t>FR415921</t>
        </is>
      </c>
      <c r="B8964" s="13" t="inlineStr">
        <is>
          <t>ИП Лавричев Денис Андреевич</t>
        </is>
      </c>
      <c r="C8964" s="13" t="n">
        <v>525711583972</v>
      </c>
      <c r="D8964" s="13" t="inlineStr">
        <is>
          <t>525711583972</t>
        </is>
      </c>
      <c r="E8964" s="13" t="inlineStr">
        <is>
          <t>ИП РФ / физлицо</t>
        </is>
      </c>
      <c r="F8964" s="13" t="n"/>
      <c r="G8964" s="14" t="n"/>
      <c r="H8964" s="14" t="n"/>
      <c r="I8964" s="14" t="n"/>
      <c r="J8964" s="14" t="n"/>
      <c r="K8964" s="53" t="inlineStr"/>
      <c r="L8964" s="53" t="inlineStr">
        <is>
          <t>Не определено</t>
        </is>
      </c>
      <c r="M8964" s="53" t="inlineStr"/>
      <c r="N8964" s="54" t="inlineStr"/>
      <c r="O8964" s="55" t="inlineStr"/>
      <c r="P8964" s="16" t="inlineStr">
        <is>
          <t>Требует обогащения</t>
        </is>
      </c>
      <c r="Q8964" s="16">
        <f>HYPERLINK("https://pb.nalog.ru/search.html?query=525711583972","ФНС: проверить")</f>
        <v/>
      </c>
      <c r="R8964" s="16">
        <f>HYPERLINK("https://checko.ru/search?query=3801001629","Чекко: проверить")</f>
        <v/>
      </c>
      <c r="S8964" t="n">
        <v>0</v>
      </c>
      <c r="T8964" s="35" t="inlineStr">
        <is>
          <t>4 — Не обогащён</t>
        </is>
      </c>
      <c r="U8964" s="35" t="inlineStr">
        <is>
          <t>Нет ОКВЭД/ССЧР</t>
        </is>
      </c>
      <c r="V8964" s="35" t="inlineStr">
        <is>
          <t>Не определено</t>
        </is>
      </c>
      <c r="W8964" s="35" t="inlineStr"/>
      <c r="X8964" s="35" t="inlineStr"/>
    </row>
    <row r="8965" ht="15" customHeight="1" s="24">
      <c r="A8965" s="13" t="inlineStr">
        <is>
          <t>FR415921</t>
        </is>
      </c>
      <c r="B8965" s="13" t="inlineStr">
        <is>
          <t>ИП Лавричев Денис Андреевич</t>
        </is>
      </c>
      <c r="C8965" s="13" t="n">
        <v>525711583972</v>
      </c>
      <c r="D8965" s="13" t="inlineStr">
        <is>
          <t>525711583972</t>
        </is>
      </c>
      <c r="E8965" s="13" t="inlineStr">
        <is>
          <t>ИП РФ / физлицо</t>
        </is>
      </c>
      <c r="F8965" s="13" t="n"/>
      <c r="G8965" s="14" t="n"/>
      <c r="H8965" s="14" t="n"/>
      <c r="I8965" s="14" t="n"/>
      <c r="J8965" s="14" t="n"/>
      <c r="K8965" s="53" t="inlineStr"/>
      <c r="L8965" s="53" t="inlineStr">
        <is>
          <t>Не определено</t>
        </is>
      </c>
      <c r="M8965" s="53" t="inlineStr"/>
      <c r="N8965" s="54" t="inlineStr"/>
      <c r="O8965" s="55" t="inlineStr"/>
      <c r="P8965" s="16" t="inlineStr">
        <is>
          <t>Требует обогащения</t>
        </is>
      </c>
      <c r="Q8965" s="16">
        <f>HYPERLINK("https://pb.nalog.ru/search.html?query=525711583972","ФНС: проверить")</f>
        <v/>
      </c>
      <c r="R8965" s="16">
        <f>HYPERLINK("https://checko.ru/search?query=3801001629","Чекко: проверить")</f>
        <v/>
      </c>
      <c r="S8965" t="n">
        <v>0</v>
      </c>
      <c r="T8965" s="35" t="inlineStr">
        <is>
          <t>4 — Не обогащён</t>
        </is>
      </c>
      <c r="U8965" s="35" t="inlineStr">
        <is>
          <t>Нет ОКВЭД/ССЧР</t>
        </is>
      </c>
      <c r="V8965" s="35" t="inlineStr">
        <is>
          <t>Не определено</t>
        </is>
      </c>
      <c r="W8965" s="35" t="inlineStr"/>
      <c r="X8965" s="35" t="inlineStr"/>
    </row>
    <row r="8966" ht="15" customHeight="1" s="24">
      <c r="A8966" s="13" t="n">
        <v>802420621</v>
      </c>
      <c r="B8966" s="13" t="inlineStr">
        <is>
          <t>ООО "ХИМСТАНДАРТ"</t>
        </is>
      </c>
      <c r="C8966" s="13" t="n">
        <v>3801098120</v>
      </c>
      <c r="D8966" s="13" t="inlineStr">
        <is>
          <t>3801098120</t>
        </is>
      </c>
      <c r="E8966" s="13" t="inlineStr">
        <is>
          <t>ЮЛ РФ</t>
        </is>
      </c>
      <c r="F8966" s="13" t="n"/>
      <c r="G8966" s="52" t="n">
        <v>26</v>
      </c>
      <c r="H8966" s="52" t="n">
        <v>2025</v>
      </c>
      <c r="I8966" s="52" t="inlineStr">
        <is>
          <t>46.71.9</t>
        </is>
      </c>
      <c r="J8966" s="52" t="inlineStr">
        <is>
          <t>46.71.9; 46.71; 46.75; 46.90; 49.20.1; 49.41; 49.41.1; 49.41.2; 49.41.3; 49.42; 52.10.2; 52.24; 52.29</t>
        </is>
      </c>
      <c r="K8966" s="53" t="inlineStr">
        <is>
          <t>Да</t>
        </is>
      </c>
      <c r="L8966" s="53" t="inlineStr">
        <is>
          <t>Да</t>
        </is>
      </c>
      <c r="M8966" s="53" t="inlineStr">
        <is>
          <t>До 50</t>
        </is>
      </c>
      <c r="N8966" s="54" t="n">
        <v>16800</v>
      </c>
      <c r="O8966" s="55" t="inlineStr">
        <is>
          <t>16–30</t>
        </is>
      </c>
      <c r="P8966" s="16" t="inlineStr">
        <is>
          <t>ССЧР + ОКВЭД обогащены</t>
        </is>
      </c>
      <c r="Q8966" s="16" t="inlineStr">
        <is>
          <t>ФНС открытые данные ССЧР (ДатаСост 31.12.2025; набор 7707329152-sshr2019)</t>
        </is>
      </c>
      <c r="R8966" s="16" t="inlineStr">
        <is>
          <t>ЕГРЮЛ / egrul.nalog.ru (выписка)</t>
        </is>
      </c>
      <c r="S8966" t="n">
        <v>0</v>
      </c>
      <c r="T8966" s="35" t="inlineStr">
        <is>
          <t>1 — Горячий</t>
        </is>
      </c>
      <c r="U8966" s="35" t="inlineStr">
        <is>
          <t>ОКВЭД + 22+</t>
        </is>
      </c>
      <c r="V8966" s="35" t="inlineStr">
        <is>
          <t>Да</t>
        </is>
      </c>
      <c r="W8966" s="35" t="inlineStr">
        <is>
          <t>Да</t>
        </is>
      </c>
      <c r="X8966" s="35" t="inlineStr">
        <is>
          <t>Да</t>
        </is>
      </c>
    </row>
    <row r="8967" ht="27.75" customHeight="1" s="24">
      <c r="A8967" s="13" t="n">
        <v>804957988</v>
      </c>
      <c r="B8967" s="13" t="inlineStr">
        <is>
          <t>Индивидуальный предприниматель Гайнулин Амир Зулкарнайевич</t>
        </is>
      </c>
      <c r="C8967" s="13" t="n">
        <v>381200555730</v>
      </c>
      <c r="D8967" s="13" t="inlineStr">
        <is>
          <t>381200555730</t>
        </is>
      </c>
      <c r="E8967" s="13" t="inlineStr">
        <is>
          <t>ИП РФ / физлицо</t>
        </is>
      </c>
      <c r="F8967" s="13" t="n"/>
      <c r="G8967" s="14" t="n"/>
      <c r="H8967" s="14" t="n"/>
      <c r="I8967" s="14" t="n"/>
      <c r="J8967" s="14" t="n"/>
      <c r="K8967" s="53" t="inlineStr"/>
      <c r="L8967" s="53" t="inlineStr">
        <is>
          <t>Не определено</t>
        </is>
      </c>
      <c r="M8967" s="53" t="inlineStr"/>
      <c r="N8967" s="54" t="inlineStr"/>
      <c r="O8967" s="55" t="inlineStr"/>
      <c r="P8967" s="16" t="inlineStr">
        <is>
          <t>Требует обогащения</t>
        </is>
      </c>
      <c r="Q8967" s="16">
        <f>HYPERLINK("https://pb.nalog.ru/search.html?query=381200555730","ФНС: проверить")</f>
        <v/>
      </c>
      <c r="R8967" s="16">
        <f>HYPERLINK("https://checko.ru/search?query=3801001629","Чекко: проверить")</f>
        <v/>
      </c>
      <c r="S8967" t="n">
        <v>1</v>
      </c>
      <c r="T8967" s="35" t="inlineStr">
        <is>
          <t>4 — Не обогащён</t>
        </is>
      </c>
      <c r="U8967" s="35" t="inlineStr">
        <is>
          <t>Нет ОКВЭД/ССЧР</t>
        </is>
      </c>
      <c r="V8967" s="35" t="inlineStr">
        <is>
          <t>Не определено</t>
        </is>
      </c>
      <c r="W8967" s="35" t="inlineStr"/>
      <c r="X8967" s="35" t="inlineStr"/>
    </row>
    <row r="8968" ht="15" customHeight="1" s="24">
      <c r="A8968" s="13" t="n">
        <v>9103648</v>
      </c>
      <c r="B8968" s="13" t="inlineStr">
        <is>
          <t>ООО "ИКЗ"</t>
        </is>
      </c>
      <c r="C8968" s="13" t="n">
        <v>3810037741</v>
      </c>
      <c r="D8968" s="13" t="inlineStr">
        <is>
          <t>3810037741</t>
        </is>
      </c>
      <c r="E8968" s="13" t="inlineStr">
        <is>
          <t>ЮЛ РФ</t>
        </is>
      </c>
      <c r="F8968" s="13" t="n"/>
      <c r="G8968" s="52" t="n">
        <v>120</v>
      </c>
      <c r="H8968" s="52" t="n">
        <v>2025</v>
      </c>
      <c r="I8968" s="52" t="inlineStr">
        <is>
          <t>23.32</t>
        </is>
      </c>
      <c r="J8968" s="52" t="inlineStr">
        <is>
          <t>23.32; 46.90; 68.20.29; 41.20; 45.20; 46.73; 47.52.7; 47.52.72; 52.10; 52.29; 56.29; 68.20</t>
        </is>
      </c>
      <c r="K8968" s="53" t="inlineStr">
        <is>
          <t>Да</t>
        </is>
      </c>
      <c r="L8968" s="53" t="inlineStr">
        <is>
          <t>Да</t>
        </is>
      </c>
      <c r="M8968" s="53" t="inlineStr">
        <is>
          <t>До 200</t>
        </is>
      </c>
      <c r="N8968" s="54" t="n">
        <v>62400</v>
      </c>
      <c r="O8968" s="55" t="inlineStr">
        <is>
          <t>101–200</t>
        </is>
      </c>
      <c r="P8968" s="16" t="inlineStr">
        <is>
          <t>ССЧР + ОКВЭД обогащены</t>
        </is>
      </c>
      <c r="Q8968" s="16" t="inlineStr">
        <is>
          <t>ФНС открытые данные ССЧР (ДатаСост 31.12.2025; набор 7707329152-sshr2019)</t>
        </is>
      </c>
      <c r="R8968" s="16" t="inlineStr">
        <is>
          <t>ЕГРЮЛ / egrul.nalog.ru (выписка)</t>
        </is>
      </c>
      <c r="S8968" t="n">
        <v>0</v>
      </c>
      <c r="T8968" s="35" t="inlineStr">
        <is>
          <t>1 — Горячий</t>
        </is>
      </c>
      <c r="U8968" s="35" t="inlineStr">
        <is>
          <t>ОКВЭД + 22+</t>
        </is>
      </c>
      <c r="V8968" s="35" t="inlineStr">
        <is>
          <t>Да</t>
        </is>
      </c>
      <c r="W8968" s="35" t="inlineStr">
        <is>
          <t>Да</t>
        </is>
      </c>
      <c r="X8968" s="35" t="inlineStr">
        <is>
          <t>Да</t>
        </is>
      </c>
    </row>
    <row r="8969" ht="27.75" customHeight="1" s="24">
      <c r="A8969" s="13" t="n">
        <v>804668201</v>
      </c>
      <c r="B8969" s="13" t="inlineStr">
        <is>
          <t>ОБЩЕСТВО С ОГРАНИЧЕННОЙ ОТВЕТСТВЕННОСТЬЮ "ОПТТРЕЙД"</t>
        </is>
      </c>
      <c r="C8969" s="13" t="n">
        <v>3818049516</v>
      </c>
      <c r="D8969" s="13" t="inlineStr">
        <is>
          <t>3818049516</t>
        </is>
      </c>
      <c r="E8969" s="13" t="inlineStr">
        <is>
          <t>ЮЛ РФ</t>
        </is>
      </c>
      <c r="F8969" s="13" t="n"/>
      <c r="G8969" s="52" t="n">
        <v>10</v>
      </c>
      <c r="H8969" s="52" t="n">
        <v>2025</v>
      </c>
      <c r="I8969" s="14" t="n"/>
      <c r="J8969" s="14" t="n"/>
      <c r="K8969" s="53" t="inlineStr">
        <is>
          <t>Нет</t>
        </is>
      </c>
      <c r="L8969" s="53" t="inlineStr">
        <is>
          <t>Не определено</t>
        </is>
      </c>
      <c r="M8969" s="53" t="inlineStr">
        <is>
          <t>До 10</t>
        </is>
      </c>
      <c r="N8969" s="54" t="n">
        <v>3360</v>
      </c>
      <c r="O8969" s="55" t="inlineStr">
        <is>
          <t>1–15</t>
        </is>
      </c>
      <c r="P8969" s="16" t="inlineStr">
        <is>
          <t>ССЧР обогащена; ОКВЭД не найден/не загружен</t>
        </is>
      </c>
      <c r="Q8969" s="16" t="inlineStr">
        <is>
          <t>ФНС открытые данные ССЧР (ДатаСост 31.12.2025; набор 7707329152-sshr2019)</t>
        </is>
      </c>
      <c r="R8969" s="16">
        <f>HYPERLINK("https://checko.ru/search?query=3801001629","Чекко: проверить")</f>
        <v/>
      </c>
      <c r="S8969" t="n">
        <v>0</v>
      </c>
      <c r="T8969" s="35" t="inlineStr">
        <is>
          <t>4 — Не обогащён</t>
        </is>
      </c>
      <c r="U8969" s="35" t="inlineStr">
        <is>
          <t>Нет ОКВЭД/ССЧР</t>
        </is>
      </c>
      <c r="V8969" s="35" t="inlineStr">
        <is>
          <t>Не определено</t>
        </is>
      </c>
      <c r="W8969" s="35" t="inlineStr">
        <is>
          <t>Нет</t>
        </is>
      </c>
      <c r="X8969" s="35" t="inlineStr"/>
    </row>
    <row r="8970" ht="27.75" customHeight="1" s="24">
      <c r="A8970" s="13" t="n">
        <v>804696579</v>
      </c>
      <c r="B8970" s="13" t="inlineStr">
        <is>
          <t>ОБЩЕСТВО С ОГРАНИЧЕННОЙ ОТВЕТСТВЕННОСТЬЮ "ТРИУМФ ОПТ"</t>
        </is>
      </c>
      <c r="C8970" s="13" t="n">
        <v>3818051000</v>
      </c>
      <c r="D8970" s="13" t="inlineStr">
        <is>
          <t>3818051000</t>
        </is>
      </c>
      <c r="E8970" s="13" t="inlineStr">
        <is>
          <t>ЮЛ РФ</t>
        </is>
      </c>
      <c r="F8970" s="13" t="n"/>
      <c r="G8970" s="52" t="n">
        <v>8</v>
      </c>
      <c r="H8970" s="52" t="n">
        <v>2025</v>
      </c>
      <c r="I8970" s="14" t="n"/>
      <c r="J8970" s="14" t="n"/>
      <c r="K8970" s="53" t="inlineStr">
        <is>
          <t>Нет</t>
        </is>
      </c>
      <c r="L8970" s="53" t="inlineStr">
        <is>
          <t>Не определено</t>
        </is>
      </c>
      <c r="M8970" s="53" t="inlineStr">
        <is>
          <t>До 10</t>
        </is>
      </c>
      <c r="N8970" s="54" t="n">
        <v>3360</v>
      </c>
      <c r="O8970" s="55" t="inlineStr">
        <is>
          <t>1–15</t>
        </is>
      </c>
      <c r="P8970" s="16" t="inlineStr">
        <is>
          <t>ССЧР обогащена; ОКВЭД не найден/не загружен</t>
        </is>
      </c>
      <c r="Q8970" s="16" t="inlineStr">
        <is>
          <t>ФНС открытые данные ССЧР (ДатаСост 31.12.2025; набор 7707329152-sshr2019)</t>
        </is>
      </c>
      <c r="R8970" s="16">
        <f>HYPERLINK("https://checko.ru/search?query=3801001629","Чекко: проверить")</f>
        <v/>
      </c>
      <c r="S8970" t="n">
        <v>1</v>
      </c>
      <c r="T8970" s="35" t="inlineStr">
        <is>
          <t>4 — Не обогащён</t>
        </is>
      </c>
      <c r="U8970" s="35" t="inlineStr">
        <is>
          <t>Нет ОКВЭД/ССЧР</t>
        </is>
      </c>
      <c r="V8970" s="35" t="inlineStr">
        <is>
          <t>Не определено</t>
        </is>
      </c>
      <c r="W8970" s="35" t="inlineStr">
        <is>
          <t>Нет</t>
        </is>
      </c>
      <c r="X8970" s="35" t="inlineStr"/>
    </row>
    <row r="8971" ht="15" customHeight="1" s="24">
      <c r="A8971" s="13" t="inlineStr">
        <is>
          <t>FR134530</t>
        </is>
      </c>
      <c r="B8971" s="13" t="inlineStr">
        <is>
          <t>ООО "ЮГРА ИННОВАЦИЯ"</t>
        </is>
      </c>
      <c r="C8971" s="13" t="n">
        <v>8602283576</v>
      </c>
      <c r="D8971" s="13" t="inlineStr">
        <is>
          <t>8602283576</t>
        </is>
      </c>
      <c r="E8971" s="13" t="inlineStr">
        <is>
          <t>ЮЛ РФ</t>
        </is>
      </c>
      <c r="F8971" s="13" t="n"/>
      <c r="G8971" s="52" t="n">
        <v>1</v>
      </c>
      <c r="H8971" s="52" t="n">
        <v>2025</v>
      </c>
      <c r="I8971" s="14" t="n"/>
      <c r="J8971" s="14" t="n"/>
      <c r="K8971" s="53" t="inlineStr">
        <is>
          <t>Нет</t>
        </is>
      </c>
      <c r="L8971" s="53" t="inlineStr">
        <is>
          <t>Не определено</t>
        </is>
      </c>
      <c r="M8971" s="53" t="inlineStr">
        <is>
          <t>До 10</t>
        </is>
      </c>
      <c r="N8971" s="54" t="n">
        <v>3360</v>
      </c>
      <c r="O8971" s="55" t="inlineStr">
        <is>
          <t>1–15</t>
        </is>
      </c>
      <c r="P8971" s="16" t="inlineStr">
        <is>
          <t>ССЧР обогащена; ОКВЭД не найден/не загружен</t>
        </is>
      </c>
      <c r="Q8971" s="16" t="inlineStr">
        <is>
          <t>ФНС открытые данные ССЧР (ДатаСост 31.12.2025; набор 7707329152-sshr2019)</t>
        </is>
      </c>
      <c r="R8971" s="16">
        <f>HYPERLINK("https://checko.ru/search?query=3801001629","Чекко: проверить")</f>
        <v/>
      </c>
      <c r="S8971" t="n">
        <v>1</v>
      </c>
      <c r="T8971" s="35" t="inlineStr">
        <is>
          <t>4 — Не обогащён</t>
        </is>
      </c>
      <c r="U8971" s="35" t="inlineStr">
        <is>
          <t>Нет ОКВЭД/ССЧР</t>
        </is>
      </c>
      <c r="V8971" s="35" t="inlineStr">
        <is>
          <t>Не определено</t>
        </is>
      </c>
      <c r="W8971" s="35" t="inlineStr">
        <is>
          <t>Нет</t>
        </is>
      </c>
      <c r="X8971" s="35" t="inlineStr"/>
    </row>
    <row r="8972" ht="15" customHeight="1" s="24">
      <c r="A8972" s="13" t="n">
        <v>20002345549</v>
      </c>
      <c r="B8972" s="13" t="inlineStr">
        <is>
          <t>ООО КОМПАНИЯ "СИБИРСКИЙ ИСТОЧНИК"</t>
        </is>
      </c>
      <c r="C8972" s="13" t="n">
        <v>3804045462</v>
      </c>
      <c r="D8972" s="13" t="inlineStr">
        <is>
          <t>3804045462</t>
        </is>
      </c>
      <c r="E8972" s="13" t="inlineStr">
        <is>
          <t>ЮЛ РФ</t>
        </is>
      </c>
      <c r="F8972" s="13" t="n"/>
      <c r="G8972" s="52" t="n">
        <v>2</v>
      </c>
      <c r="H8972" s="52" t="n">
        <v>2025</v>
      </c>
      <c r="I8972" s="14" t="n"/>
      <c r="J8972" s="14" t="n"/>
      <c r="K8972" s="53" t="inlineStr">
        <is>
          <t>Нет</t>
        </is>
      </c>
      <c r="L8972" s="53" t="inlineStr">
        <is>
          <t>Не определено</t>
        </is>
      </c>
      <c r="M8972" s="53" t="inlineStr">
        <is>
          <t>До 10</t>
        </is>
      </c>
      <c r="N8972" s="54" t="n">
        <v>3360</v>
      </c>
      <c r="O8972" s="55" t="inlineStr">
        <is>
          <t>1–15</t>
        </is>
      </c>
      <c r="P8972" s="16" t="inlineStr">
        <is>
          <t>ССЧР обогащена; ОКВЭД не найден/не загружен</t>
        </is>
      </c>
      <c r="Q8972" s="16" t="inlineStr">
        <is>
          <t>ФНС открытые данные ССЧР (ДатаСост 31.12.2025; набор 7707329152-sshr2019)</t>
        </is>
      </c>
      <c r="R8972" s="16">
        <f>HYPERLINK("https://checko.ru/search?query=3801001629","Чекко: проверить")</f>
        <v/>
      </c>
      <c r="S8972" t="n">
        <v>1</v>
      </c>
      <c r="T8972" s="35" t="inlineStr">
        <is>
          <t>4 — Не обогащён</t>
        </is>
      </c>
      <c r="U8972" s="35" t="inlineStr">
        <is>
          <t>Нет ОКВЭД/ССЧР</t>
        </is>
      </c>
      <c r="V8972" s="35" t="inlineStr">
        <is>
          <t>Не определено</t>
        </is>
      </c>
      <c r="W8972" s="35" t="inlineStr">
        <is>
          <t>Нет</t>
        </is>
      </c>
      <c r="X8972" s="35" t="inlineStr"/>
    </row>
    <row r="8973" ht="15" customHeight="1" s="24">
      <c r="A8973" s="13" t="n">
        <v>800767960</v>
      </c>
      <c r="B8973" s="13" t="inlineStr">
        <is>
          <t>ВСКР ООО ТПК</t>
        </is>
      </c>
      <c r="C8973" s="13" t="n">
        <v>3811470764</v>
      </c>
      <c r="D8973" s="13" t="inlineStr">
        <is>
          <t>3811470764</t>
        </is>
      </c>
      <c r="E8973" s="13" t="inlineStr">
        <is>
          <t>ЮЛ РФ</t>
        </is>
      </c>
      <c r="F8973" s="13" t="n"/>
      <c r="G8973" s="52" t="n">
        <v>34</v>
      </c>
      <c r="H8973" s="52" t="n">
        <v>2025</v>
      </c>
      <c r="I8973" s="52" t="inlineStr">
        <is>
          <t>46.90</t>
        </is>
      </c>
      <c r="J8973" s="52" t="inlineStr">
        <is>
          <t>46.90; 22.22; 45.31.1; 46.49.43; 46.73; 49.41.3</t>
        </is>
      </c>
      <c r="K8973" s="53" t="inlineStr">
        <is>
          <t>Да</t>
        </is>
      </c>
      <c r="L8973" s="53" t="inlineStr">
        <is>
          <t>Да</t>
        </is>
      </c>
      <c r="M8973" s="53" t="inlineStr">
        <is>
          <t>До 50</t>
        </is>
      </c>
      <c r="N8973" s="54" t="n">
        <v>16800</v>
      </c>
      <c r="O8973" s="55" t="inlineStr">
        <is>
          <t>31–50</t>
        </is>
      </c>
      <c r="P8973" s="16" t="inlineStr">
        <is>
          <t>ССЧР + ОКВЭД обогащены</t>
        </is>
      </c>
      <c r="Q8973" s="16" t="inlineStr">
        <is>
          <t>ФНС открытые данные ССЧР (ДатаСост 31.12.2025; набор 7707329152-sshr2019)</t>
        </is>
      </c>
      <c r="R8973" s="16" t="inlineStr">
        <is>
          <t>ЕГРЮЛ / egrul.nalog.ru (выписка)</t>
        </is>
      </c>
      <c r="S8973" t="n">
        <v>0</v>
      </c>
      <c r="T8973" s="35" t="inlineStr">
        <is>
          <t>1 — Горячий</t>
        </is>
      </c>
      <c r="U8973" s="35" t="inlineStr">
        <is>
          <t>ОКВЭД + 22+</t>
        </is>
      </c>
      <c r="V8973" s="35" t="inlineStr">
        <is>
          <t>Да</t>
        </is>
      </c>
      <c r="W8973" s="35" t="inlineStr">
        <is>
          <t>Да</t>
        </is>
      </c>
      <c r="X8973" s="35" t="inlineStr">
        <is>
          <t>Да</t>
        </is>
      </c>
    </row>
    <row r="8974" ht="15" customHeight="1" s="24">
      <c r="A8974" s="13" t="inlineStr">
        <is>
          <t>FR823665</t>
        </is>
      </c>
      <c r="B8974" s="13" t="inlineStr">
        <is>
          <t>ИП Мельников Тимофей Викторович</t>
        </is>
      </c>
      <c r="C8974" s="13" t="n">
        <v>384900036292</v>
      </c>
      <c r="D8974" s="13" t="inlineStr">
        <is>
          <t>384900036292</t>
        </is>
      </c>
      <c r="E8974" s="13" t="inlineStr">
        <is>
          <t>ИП РФ / физлицо</t>
        </is>
      </c>
      <c r="F8974" s="13" t="n"/>
      <c r="G8974" s="14" t="n"/>
      <c r="H8974" s="14" t="n"/>
      <c r="I8974" s="14" t="n"/>
      <c r="J8974" s="14" t="n"/>
      <c r="K8974" s="53" t="inlineStr"/>
      <c r="L8974" s="53" t="inlineStr">
        <is>
          <t>Не определено</t>
        </is>
      </c>
      <c r="M8974" s="53" t="inlineStr"/>
      <c r="N8974" s="54" t="inlineStr"/>
      <c r="O8974" s="55" t="inlineStr"/>
      <c r="P8974" s="16" t="inlineStr">
        <is>
          <t>Требует обогащения</t>
        </is>
      </c>
      <c r="Q8974" s="16">
        <f>HYPERLINK("https://pb.nalog.ru/search.html?query=384900036292","ФНС: проверить")</f>
        <v/>
      </c>
      <c r="R8974" s="16">
        <f>HYPERLINK("https://checko.ru/search?query=3801001629","Чекко: проверить")</f>
        <v/>
      </c>
      <c r="S8974" t="n">
        <v>0</v>
      </c>
      <c r="T8974" s="35" t="inlineStr">
        <is>
          <t>4 — Не обогащён</t>
        </is>
      </c>
      <c r="U8974" s="35" t="inlineStr">
        <is>
          <t>Нет ОКВЭД/ССЧР</t>
        </is>
      </c>
      <c r="V8974" s="35" t="inlineStr">
        <is>
          <t>Не определено</t>
        </is>
      </c>
      <c r="W8974" s="35" t="inlineStr"/>
      <c r="X8974" s="35" t="inlineStr"/>
    </row>
    <row r="8975" ht="27.75" customHeight="1" s="24">
      <c r="A8975" s="13" t="n">
        <v>800761514</v>
      </c>
      <c r="B8975" s="13" t="inlineStr">
        <is>
          <t>ОБЩЕСТВО С ОГРАНИЧЕННОЙ ОТВЕТСТВЕННОСТЬЮ "ЛАВ - ПРОДУКТ"</t>
        </is>
      </c>
      <c r="C8975" s="13" t="n">
        <v>3810314219</v>
      </c>
      <c r="D8975" s="13" t="inlineStr">
        <is>
          <t>3810314219</t>
        </is>
      </c>
      <c r="E8975" s="13" t="inlineStr">
        <is>
          <t>ЮЛ РФ</t>
        </is>
      </c>
      <c r="F8975" s="13" t="n"/>
      <c r="G8975" s="52" t="n">
        <v>30</v>
      </c>
      <c r="H8975" s="52" t="n">
        <v>2025</v>
      </c>
      <c r="I8975" s="52" t="inlineStr">
        <is>
          <t>46.32.1</t>
        </is>
      </c>
      <c r="J8975" s="52" t="inlineStr">
        <is>
          <t>46.32.1; 42.11; 42.99; 43.99; 46.21.13; 47.11; 47.21; 47.22.1; 47.24; 47.25; 47.29; 49.41; 49.41.1; 49.41.2; 49.41.3; 49.42</t>
        </is>
      </c>
      <c r="K8975" s="53" t="inlineStr">
        <is>
          <t>Да</t>
        </is>
      </c>
      <c r="L8975" s="53" t="inlineStr">
        <is>
          <t>Да</t>
        </is>
      </c>
      <c r="M8975" s="53" t="inlineStr">
        <is>
          <t>До 50</t>
        </is>
      </c>
      <c r="N8975" s="54" t="n">
        <v>16800</v>
      </c>
      <c r="O8975" s="55" t="inlineStr">
        <is>
          <t>16–30</t>
        </is>
      </c>
      <c r="P8975" s="16" t="inlineStr">
        <is>
          <t>ССЧР + ОКВЭД обогащены</t>
        </is>
      </c>
      <c r="Q8975" s="16" t="inlineStr">
        <is>
          <t>ФНС открытые данные ССЧР (ДатаСост 31.12.2025; набор 7707329152-sshr2019)</t>
        </is>
      </c>
      <c r="R8975" s="16" t="inlineStr">
        <is>
          <t>ЕГРЮЛ / egrul.nalog.ru (выписка)</t>
        </is>
      </c>
      <c r="S8975" t="n">
        <v>0</v>
      </c>
      <c r="T8975" s="35" t="inlineStr">
        <is>
          <t>1 — Горячий</t>
        </is>
      </c>
      <c r="U8975" s="35" t="inlineStr">
        <is>
          <t>ОКВЭД + 22+</t>
        </is>
      </c>
      <c r="V8975" s="35" t="inlineStr">
        <is>
          <t>Да</t>
        </is>
      </c>
      <c r="W8975" s="35" t="inlineStr">
        <is>
          <t>Да</t>
        </is>
      </c>
      <c r="X8975" s="35" t="inlineStr">
        <is>
          <t>Да</t>
        </is>
      </c>
    </row>
    <row r="8976" ht="27.75" customHeight="1" s="24">
      <c r="A8976" s="13" t="inlineStr">
        <is>
          <t>FR1053027</t>
        </is>
      </c>
      <c r="B8976" s="13" t="inlineStr">
        <is>
          <t>Общество с ограниченной ответственностью "ОХРАННОЕ АГЕНТСТВО "БАЙКАЛ-ОХРАНА"</t>
        </is>
      </c>
      <c r="C8976" s="13" t="n">
        <v>3823017894</v>
      </c>
      <c r="D8976" s="13" t="inlineStr">
        <is>
          <t>3823017894</t>
        </is>
      </c>
      <c r="E8976" s="13" t="inlineStr">
        <is>
          <t>ЮЛ РФ</t>
        </is>
      </c>
      <c r="F8976" s="13" t="n"/>
      <c r="G8976" s="52" t="n">
        <v>27</v>
      </c>
      <c r="H8976" s="52" t="n">
        <v>2025</v>
      </c>
      <c r="I8976" s="52" t="inlineStr">
        <is>
          <t>80.10</t>
        </is>
      </c>
      <c r="J8976" s="52" t="inlineStr">
        <is>
          <t>80.10; 80.20</t>
        </is>
      </c>
      <c r="K8976" s="53" t="inlineStr">
        <is>
          <t>Да</t>
        </is>
      </c>
      <c r="L8976" s="53" t="inlineStr">
        <is>
          <t>Да</t>
        </is>
      </c>
      <c r="M8976" s="53" t="inlineStr">
        <is>
          <t>До 50</t>
        </is>
      </c>
      <c r="N8976" s="54" t="n">
        <v>16800</v>
      </c>
      <c r="O8976" s="55" t="inlineStr">
        <is>
          <t>16–30</t>
        </is>
      </c>
      <c r="P8976" s="16" t="inlineStr">
        <is>
          <t>ССЧР + ОКВЭД обогащены</t>
        </is>
      </c>
      <c r="Q8976" s="16" t="inlineStr">
        <is>
          <t>ФНС открытые данные ССЧР (ДатаСост 31.12.2025; набор 7707329152-sshr2019)</t>
        </is>
      </c>
      <c r="R8976" s="16" t="inlineStr">
        <is>
          <t>ЕГРЮЛ / egrul.nalog.ru (выписка)</t>
        </is>
      </c>
      <c r="S8976" t="n">
        <v>0</v>
      </c>
      <c r="T8976" s="35" t="inlineStr">
        <is>
          <t>1 — Горячий</t>
        </is>
      </c>
      <c r="U8976" s="35" t="inlineStr">
        <is>
          <t>ОКВЭД + 22+</t>
        </is>
      </c>
      <c r="V8976" s="35" t="inlineStr">
        <is>
          <t>Да</t>
        </is>
      </c>
      <c r="W8976" s="35" t="inlineStr">
        <is>
          <t>Да</t>
        </is>
      </c>
      <c r="X8976" s="35" t="inlineStr">
        <is>
          <t>Да</t>
        </is>
      </c>
    </row>
    <row r="8977" ht="27.75" customHeight="1" s="24">
      <c r="A8977" s="13" t="n">
        <v>16513660</v>
      </c>
      <c r="B8977" s="13" t="inlineStr">
        <is>
          <t>Общество с ограниченной ответственностью "Севертраксервис"</t>
        </is>
      </c>
      <c r="C8977" s="13" t="n">
        <v>3816034017</v>
      </c>
      <c r="D8977" s="13" t="inlineStr">
        <is>
          <t>3816034017</t>
        </is>
      </c>
      <c r="E8977" s="13" t="inlineStr">
        <is>
          <t>ЮЛ РФ</t>
        </is>
      </c>
      <c r="F8977" s="13" t="n"/>
      <c r="G8977" s="52" t="n">
        <v>21</v>
      </c>
      <c r="H8977" s="52" t="n">
        <v>2025</v>
      </c>
      <c r="I8977" s="14" t="n"/>
      <c r="J8977" s="14" t="n"/>
      <c r="K8977" s="53" t="inlineStr">
        <is>
          <t>Нет</t>
        </is>
      </c>
      <c r="L8977" s="53" t="inlineStr">
        <is>
          <t>Не определено</t>
        </is>
      </c>
      <c r="M8977" s="53" t="inlineStr">
        <is>
          <t>До 25</t>
        </is>
      </c>
      <c r="N8977" s="54" t="n">
        <v>8400</v>
      </c>
      <c r="O8977" s="55" t="inlineStr">
        <is>
          <t>16–30</t>
        </is>
      </c>
      <c r="P8977" s="16" t="inlineStr">
        <is>
          <t>ССЧР обогащена; ОКВЭД не найден/не загружен</t>
        </is>
      </c>
      <c r="Q8977" s="16" t="inlineStr">
        <is>
          <t>ФНС открытые данные ССЧР (ДатаСост 31.12.2025; набор 7707329152-sshr2019)</t>
        </is>
      </c>
      <c r="R8977" s="16">
        <f>HYPERLINK("https://checko.ru/search?query=3801001629","Чекко: проверить")</f>
        <v/>
      </c>
      <c r="S8977" t="n">
        <v>0</v>
      </c>
      <c r="T8977" s="35" t="inlineStr">
        <is>
          <t>4 — Не обогащён</t>
        </is>
      </c>
      <c r="U8977" s="35" t="inlineStr">
        <is>
          <t>Нет ОКВЭД/ССЧР</t>
        </is>
      </c>
      <c r="V8977" s="35" t="inlineStr">
        <is>
          <t>Не определено</t>
        </is>
      </c>
      <c r="W8977" s="35" t="inlineStr">
        <is>
          <t>Нет</t>
        </is>
      </c>
      <c r="X8977" s="35" t="inlineStr"/>
    </row>
    <row r="8978" ht="27.75" customHeight="1" s="24">
      <c r="A8978" s="13" t="n">
        <v>801624190</v>
      </c>
      <c r="B8978" s="13" t="inlineStr">
        <is>
          <t>Индивидуальный предприниматель Ганин Рамиль Камильевич</t>
        </is>
      </c>
      <c r="C8978" s="13" t="n">
        <v>380200130197</v>
      </c>
      <c r="D8978" s="13" t="inlineStr">
        <is>
          <t>380200130197</t>
        </is>
      </c>
      <c r="E8978" s="13" t="inlineStr">
        <is>
          <t>ИП РФ / физлицо</t>
        </is>
      </c>
      <c r="F8978" s="13" t="n"/>
      <c r="G8978" s="14" t="n"/>
      <c r="H8978" s="14" t="n"/>
      <c r="I8978" s="14" t="n"/>
      <c r="J8978" s="14" t="n"/>
      <c r="K8978" s="53" t="inlineStr"/>
      <c r="L8978" s="53" t="inlineStr">
        <is>
          <t>Не определено</t>
        </is>
      </c>
      <c r="M8978" s="53" t="inlineStr"/>
      <c r="N8978" s="54" t="inlineStr"/>
      <c r="O8978" s="55" t="inlineStr"/>
      <c r="P8978" s="16" t="inlineStr">
        <is>
          <t>Требует обогащения</t>
        </is>
      </c>
      <c r="Q8978" s="16">
        <f>HYPERLINK("https://pb.nalog.ru/search.html?query=380200130197","ФНС: проверить")</f>
        <v/>
      </c>
      <c r="R8978" s="16">
        <f>HYPERLINK("https://checko.ru/search?query=3801001629","Чекко: проверить")</f>
        <v/>
      </c>
      <c r="S8978" t="n">
        <v>0</v>
      </c>
      <c r="T8978" s="35" t="inlineStr">
        <is>
          <t>4 — Не обогащён</t>
        </is>
      </c>
      <c r="U8978" s="35" t="inlineStr">
        <is>
          <t>Нет ОКВЭД/ССЧР</t>
        </is>
      </c>
      <c r="V8978" s="35" t="inlineStr">
        <is>
          <t>Не определено</t>
        </is>
      </c>
      <c r="W8978" s="35" t="inlineStr"/>
      <c r="X8978" s="35" t="inlineStr"/>
    </row>
    <row r="8979" ht="15" customHeight="1" s="24">
      <c r="A8979" s="13" t="n">
        <v>800499045</v>
      </c>
      <c r="B8979" s="13" t="inlineStr">
        <is>
          <t>ООО "БОМОНД"</t>
        </is>
      </c>
      <c r="C8979" s="13" t="n">
        <v>3804045656</v>
      </c>
      <c r="D8979" s="13" t="inlineStr">
        <is>
          <t>3804045656</t>
        </is>
      </c>
      <c r="E8979" s="13" t="inlineStr">
        <is>
          <t>ЮЛ РФ</t>
        </is>
      </c>
      <c r="F8979" s="13" t="n"/>
      <c r="G8979" s="52" t="n">
        <v>16</v>
      </c>
      <c r="H8979" s="52" t="n">
        <v>2025</v>
      </c>
      <c r="I8979" s="14" t="n"/>
      <c r="J8979" s="14" t="n"/>
      <c r="K8979" s="53" t="inlineStr">
        <is>
          <t>Нет</t>
        </is>
      </c>
      <c r="L8979" s="53" t="inlineStr">
        <is>
          <t>Не определено</t>
        </is>
      </c>
      <c r="M8979" s="53" t="inlineStr">
        <is>
          <t>До 25</t>
        </is>
      </c>
      <c r="N8979" s="54" t="n">
        <v>8400</v>
      </c>
      <c r="O8979" s="55" t="inlineStr">
        <is>
          <t>16–30</t>
        </is>
      </c>
      <c r="P8979" s="16" t="inlineStr">
        <is>
          <t>ССЧР обогащена; ОКВЭД не найден/не загружен</t>
        </is>
      </c>
      <c r="Q8979" s="16" t="inlineStr">
        <is>
          <t>ФНС открытые данные ССЧР (ДатаСост 31.12.2025; набор 7707329152-sshr2019)</t>
        </is>
      </c>
      <c r="R8979" s="16">
        <f>HYPERLINK("https://checko.ru/search?query=3801001629","Чекко: проверить")</f>
        <v/>
      </c>
      <c r="S8979" t="n">
        <v>0</v>
      </c>
      <c r="T8979" s="35" t="inlineStr">
        <is>
          <t>4 — Не обогащён</t>
        </is>
      </c>
      <c r="U8979" s="35" t="inlineStr">
        <is>
          <t>Нет ОКВЭД/ССЧР</t>
        </is>
      </c>
      <c r="V8979" s="35" t="inlineStr">
        <is>
          <t>Не определено</t>
        </is>
      </c>
      <c r="W8979" s="35" t="inlineStr">
        <is>
          <t>Нет</t>
        </is>
      </c>
      <c r="X8979" s="35" t="inlineStr"/>
    </row>
    <row r="8980" ht="15" customHeight="1" s="24">
      <c r="A8980" s="13" t="n">
        <v>802321754</v>
      </c>
      <c r="B8980" s="13" t="inlineStr">
        <is>
          <t>Качимский Денис Анатольевич</t>
        </is>
      </c>
      <c r="C8980" s="13" t="n">
        <v>381002723937</v>
      </c>
      <c r="D8980" s="13" t="inlineStr">
        <is>
          <t>381002723937</t>
        </is>
      </c>
      <c r="E8980" s="13" t="inlineStr">
        <is>
          <t>ИП РФ / физлицо</t>
        </is>
      </c>
      <c r="F8980" s="13" t="n"/>
      <c r="G8980" s="14" t="n"/>
      <c r="H8980" s="14" t="n"/>
      <c r="I8980" s="14" t="n"/>
      <c r="J8980" s="14" t="n"/>
      <c r="K8980" s="53" t="inlineStr"/>
      <c r="L8980" s="53" t="inlineStr">
        <is>
          <t>Не определено</t>
        </is>
      </c>
      <c r="M8980" s="53" t="inlineStr"/>
      <c r="N8980" s="54" t="inlineStr"/>
      <c r="O8980" s="55" t="inlineStr"/>
      <c r="P8980" s="16" t="inlineStr">
        <is>
          <t>Требует обогащения</t>
        </is>
      </c>
      <c r="Q8980" s="16">
        <f>HYPERLINK("https://pb.nalog.ru/search.html?query=381002723937","ФНС: проверить")</f>
        <v/>
      </c>
      <c r="R8980" s="16">
        <f>HYPERLINK("https://checko.ru/search?query=3801001629","Чекко: проверить")</f>
        <v/>
      </c>
      <c r="S8980" t="n">
        <v>1</v>
      </c>
      <c r="T8980" s="35" t="inlineStr">
        <is>
          <t>4 — Не обогащён</t>
        </is>
      </c>
      <c r="U8980" s="35" t="inlineStr">
        <is>
          <t>Нет ОКВЭД/ССЧР</t>
        </is>
      </c>
      <c r="V8980" s="35" t="inlineStr">
        <is>
          <t>Не определено</t>
        </is>
      </c>
      <c r="W8980" s="35" t="inlineStr"/>
      <c r="X8980" s="35" t="inlineStr"/>
    </row>
    <row r="8981" ht="15" customHeight="1" s="24">
      <c r="A8981" s="13" t="n">
        <v>802457697</v>
      </c>
      <c r="B8981" s="13" t="inlineStr">
        <is>
          <t>ООО "ТРИАЛ"</t>
        </is>
      </c>
      <c r="C8981" s="13" t="n">
        <v>3805731087</v>
      </c>
      <c r="D8981" s="13" t="inlineStr">
        <is>
          <t>3805731087</t>
        </is>
      </c>
      <c r="E8981" s="13" t="inlineStr">
        <is>
          <t>ЮЛ РФ</t>
        </is>
      </c>
      <c r="F8981" s="13" t="n"/>
      <c r="G8981" s="52" t="n">
        <v>21</v>
      </c>
      <c r="H8981" s="52" t="n">
        <v>2025</v>
      </c>
      <c r="I8981" s="14" t="n"/>
      <c r="J8981" s="14" t="n"/>
      <c r="K8981" s="53" t="inlineStr">
        <is>
          <t>Нет</t>
        </is>
      </c>
      <c r="L8981" s="53" t="inlineStr">
        <is>
          <t>Не определено</t>
        </is>
      </c>
      <c r="M8981" s="53" t="inlineStr">
        <is>
          <t>До 25</t>
        </is>
      </c>
      <c r="N8981" s="54" t="n">
        <v>8400</v>
      </c>
      <c r="O8981" s="55" t="inlineStr">
        <is>
          <t>16–30</t>
        </is>
      </c>
      <c r="P8981" s="16" t="inlineStr">
        <is>
          <t>ССЧР обогащена; ОКВЭД не найден/не загружен</t>
        </is>
      </c>
      <c r="Q8981" s="16" t="inlineStr">
        <is>
          <t>ФНС открытые данные ССЧР (ДатаСост 31.12.2025; набор 7707329152-sshr2019)</t>
        </is>
      </c>
      <c r="R8981" s="16">
        <f>HYPERLINK("https://checko.ru/search?query=3801001629","Чекко: проверить")</f>
        <v/>
      </c>
      <c r="S8981" t="n">
        <v>0</v>
      </c>
      <c r="T8981" s="35" t="inlineStr">
        <is>
          <t>4 — Не обогащён</t>
        </is>
      </c>
      <c r="U8981" s="35" t="inlineStr">
        <is>
          <t>Нет ОКВЭД/ССЧР</t>
        </is>
      </c>
      <c r="V8981" s="35" t="inlineStr">
        <is>
          <t>Не определено</t>
        </is>
      </c>
      <c r="W8981" s="35" t="inlineStr">
        <is>
          <t>Нет</t>
        </is>
      </c>
      <c r="X8981" s="35" t="inlineStr"/>
    </row>
    <row r="8982" ht="15" customHeight="1" s="24">
      <c r="A8982" s="13" t="n">
        <v>800281945</v>
      </c>
      <c r="B8982" s="13" t="inlineStr">
        <is>
          <t>ООО «НИТРО»</t>
        </is>
      </c>
      <c r="C8982" s="13" t="n">
        <v>323416373</v>
      </c>
      <c r="D8982" s="13" t="n"/>
      <c r="E8982" s="13" t="inlineStr">
        <is>
          <t>Не определён</t>
        </is>
      </c>
      <c r="F8982" s="13" t="inlineStr">
        <is>
          <t>323416373</t>
        </is>
      </c>
      <c r="G8982" s="14" t="n"/>
      <c r="H8982" s="14" t="n"/>
      <c r="I8982" s="14" t="n"/>
      <c r="J8982" s="14" t="n"/>
      <c r="K8982" s="13">
        <f>IF(G8982="","",IF(G8982&gt;=22,"Да","Нет"))</f>
        <v/>
      </c>
      <c r="L8982" s="13">
        <f>IF(OR(I8982="",J8982=""),"Не определено",IF(OR(COUNTIF(I8982,"45*")&gt;0,COUNTIF(J8982,"*45*")&gt;0,COUNTIF(I8982,"46*")&gt;0,COUNTIF(J8982,"*46*")&gt;0,COUNTIF(I8982,"47*")&gt;0,COUNTIF(J8982,"*47*")&gt;0,COUNTIF(I8982,"10*")&gt;0,COUNTIF(J8982,"*10*")&gt;0,COUNTIF(I8982,"11*")&gt;0,COUNTIF(J8982,"*11*")&gt;0,COUNTIF(I8982,"12*")&gt;0,COUNTIF(J8982,"*12*")&gt;0,COUNTIF(I8982,"13*")&gt;0,COUNTIF(J8982,"*13*")&gt;0,COUNTIF(I8982,"14*")&gt;0,COUNTIF(J8982,"*14*")&gt;0,COUNTIF(I8982,"15*")&gt;0,COUNTIF(J8982,"*15*")&gt;0,COUNTIF(I8982,"16*")&gt;0,COUNTIF(J8982,"*16*")&gt;0,COUNTIF(I8982,"17*")&gt;0,COUNTIF(J8982,"*17*")&gt;0,COUNTIF(I8982,"18*")&gt;0,COUNTIF(J8982,"*18*")&gt;0,COUNTIF(I8982,"19*")&gt;0,COUNTIF(J8982,"*19*")&gt;0,COUNTIF(I8982,"20*")&gt;0,COUNTIF(J8982,"*20*")&gt;0,COUNTIF(I8982,"21*")&gt;0,COUNTIF(J8982,"*21*")&gt;0,COUNTIF(I8982,"22*")&gt;0,COUNTIF(J8982,"*22*")&gt;0,COUNTIF(I8982,"23*")&gt;0,COUNTIF(J8982,"*23*")&gt;0,COUNTIF(I8982,"24*")&gt;0,COUNTIF(J8982,"*24*")&gt;0,COUNTIF(I8982,"25*")&gt;0,COUNTIF(J8982,"*25*")&gt;0,COUNTIF(I8982,"26*")&gt;0,COUNTIF(J8982,"*26*")&gt;0,COUNTIF(I8982,"27*")&gt;0,COUNTIF(J8982,"*27*")&gt;0,COUNTIF(I8982,"28*")&gt;0,COUNTIF(J8982,"*28*")&gt;0,COUNTIF(I8982,"29*")&gt;0,COUNTIF(J8982,"*29*")&gt;0,COUNTIF(I8982,"30*")&gt;0,COUNTIF(J8982,"*30*")&gt;0,COUNTIF(I8982,"31*")&gt;0,COUNTIF(J8982,"*31*")&gt;0,COUNTIF(I8982,"32*")&gt;0,COUNTIF(J8982,"*32*")&gt;0,COUNTIF(I8982,"33*")&gt;0,COUNTIF(J8982,"*33*")&gt;0,COUNTIF(I8982,"41*")&gt;0,COUNTIF(J8982,"*41*")&gt;0,COUNTIF(I8982,"42*")&gt;0,COUNTIF(J8982,"*42*")&gt;0,COUNTIF(I8982,"43*")&gt;0,COUNTIF(J8982,"*43*")&gt;0,COUNTIF(I8982,"49*")&gt;0,COUNTIF(J8982,"*49*")&gt;0,COUNTIF(I8982,"52*")&gt;0,COUNTIF(J8982,"*52*")&gt;0,COUNTIF(I8982,"55*")&gt;0,COUNTIF(J8982,"*55*")&gt;0,COUNTIF(I8982,"56*")&gt;0,COUNTIF(J8982,"*56*")&gt;0,COUNTIF(I8982,"68*")&gt;0,COUNTIF(J8982,"*68*")&gt;0,COUNTIF(I8982,"78*")&gt;0,COUNTIF(J8982,"*78*")&gt;0,COUNTIF(I8982,"81*")&gt;0,COUNTIF(J8982,"*81*")&gt;0,COUNTIF(I8982,"82*")&gt;0,COUNTIF(J8982,"*82*")&gt;0,COUNTIF(I8982,"64*")&gt;0,COUNTIF(J8982,"*64*")&gt;0,COUNTIF(I8982,"65*")&gt;0,COUNTIF(J8982,"*65*")&gt;0,COUNTIF(I8982,"66*")&gt;0,COUNTIF(J8982,"*66*")&gt;0,COUNTIF(I8982,"61*")&gt;0,COUNTIF(J8982,"*61*")&gt;0,COUNTIF(I8982,"62*")&gt;0,COUNTIF(J8982,"*62*")&gt;0,COUNTIF(I8982,"63*")&gt;0,COUNTIF(J8982,"*63*")&gt;0,COUNTIF(I8982,"85*")&gt;0,COUNTIF(J8982,"*85*")&gt;0,COUNTIF(I8982,"86*")&gt;0,COUNTIF(J8982,"*86*")&gt;0),"Да","Нет"))</f>
        <v/>
      </c>
      <c r="M8982" s="13">
        <f>IF(OR(G8982="",L8982&lt;&gt;"Да"),"",IF(G8982&lt;=100,"До 100",IF(G8982&lt;=200,"До 200",IF(G8982&lt;=500,"До 500","Отдельное КП"))))</f>
        <v/>
      </c>
      <c r="N8982" s="15">
        <f>IF(OR(G8982="",L8982&lt;&gt;"Да"),"",IF(G8982&lt;=100,33600,IF(G8982&lt;=200,62400,IF(G8982&lt;=500,144000,""))))</f>
        <v/>
      </c>
      <c r="O8982" s="16">
        <f>IF(G8982="","",IF(G8982&lt;=15,"1–15",IF(G8982&lt;=30,"16–30",IF(G8982&lt;=50,"31–50",IF(G8982&lt;=100,"51–100",IF(G8982&lt;=150,"101–150",IF(G8982&lt;=200,"151–200",IF(G8982&lt;=500,"201–500","500+"))))))))</f>
        <v/>
      </c>
      <c r="P8982" s="16" t="inlineStr">
        <is>
          <t>Нет совпадения в предоставленной выгрузке ССЧР</t>
        </is>
      </c>
      <c r="Q8982" s="16" t="n"/>
      <c r="R8982" s="16">
        <f>HYPERLINK("https://checko.ru/search?query=3801001629","Чекко: проверить")</f>
        <v/>
      </c>
      <c r="S8982" t="n">
        <v>0</v>
      </c>
    </row>
    <row r="8983" ht="15" customHeight="1" s="24">
      <c r="A8983" s="13" t="n">
        <v>800499045</v>
      </c>
      <c r="B8983" s="13" t="inlineStr">
        <is>
          <t>ООО "БОМОНД"</t>
        </is>
      </c>
      <c r="C8983" s="13" t="n">
        <v>3804045656</v>
      </c>
      <c r="D8983" s="13" t="inlineStr">
        <is>
          <t>3804045656</t>
        </is>
      </c>
      <c r="E8983" s="13" t="inlineStr">
        <is>
          <t>ЮЛ РФ</t>
        </is>
      </c>
      <c r="F8983" s="13" t="n"/>
      <c r="G8983" s="52" t="n">
        <v>16</v>
      </c>
      <c r="H8983" s="52" t="n">
        <v>2025</v>
      </c>
      <c r="I8983" s="14" t="n"/>
      <c r="J8983" s="14" t="n"/>
      <c r="K8983" s="53" t="inlineStr">
        <is>
          <t>Нет</t>
        </is>
      </c>
      <c r="L8983" s="53" t="inlineStr">
        <is>
          <t>Не определено</t>
        </is>
      </c>
      <c r="M8983" s="53" t="inlineStr">
        <is>
          <t>До 25</t>
        </is>
      </c>
      <c r="N8983" s="54" t="n">
        <v>8400</v>
      </c>
      <c r="O8983" s="55" t="inlineStr">
        <is>
          <t>16–30</t>
        </is>
      </c>
      <c r="P8983" s="16" t="inlineStr">
        <is>
          <t>ССЧР обогащена; ОКВЭД не найден/не загружен</t>
        </is>
      </c>
      <c r="Q8983" s="16" t="inlineStr">
        <is>
          <t>ФНС открытые данные ССЧР (ДатаСост 31.12.2025; набор 7707329152-sshr2019)</t>
        </is>
      </c>
      <c r="R8983" s="16">
        <f>HYPERLINK("https://checko.ru/search?query=3801001629","Чекко: проверить")</f>
        <v/>
      </c>
      <c r="S8983" t="n">
        <v>0</v>
      </c>
      <c r="T8983" s="35" t="inlineStr">
        <is>
          <t>4 — Не обогащён</t>
        </is>
      </c>
      <c r="U8983" s="35" t="inlineStr">
        <is>
          <t>Нет ОКВЭД/ССЧР</t>
        </is>
      </c>
      <c r="V8983" s="35" t="inlineStr">
        <is>
          <t>Не определено</t>
        </is>
      </c>
      <c r="W8983" s="35" t="inlineStr">
        <is>
          <t>Нет</t>
        </is>
      </c>
      <c r="X8983" s="35" t="inlineStr"/>
    </row>
    <row r="8984" ht="27.75" customHeight="1" s="24">
      <c r="A8984" s="13" t="inlineStr">
        <is>
          <t>FR436223</t>
        </is>
      </c>
      <c r="B8984" s="13" t="inlineStr">
        <is>
          <t>ОБЩЕСТВО С ОГРАНИЧЕННОЙ ОТВЕТСТВЕННОСТЬЮ "РЭД"</t>
        </is>
      </c>
      <c r="C8984" s="13" t="n">
        <v>3811176829</v>
      </c>
      <c r="D8984" s="13" t="inlineStr">
        <is>
          <t>3811176829</t>
        </is>
      </c>
      <c r="E8984" s="13" t="inlineStr">
        <is>
          <t>ЮЛ РФ</t>
        </is>
      </c>
      <c r="F8984" s="13" t="n"/>
      <c r="G8984" s="52" t="n">
        <v>9</v>
      </c>
      <c r="H8984" s="52" t="n">
        <v>2025</v>
      </c>
      <c r="I8984" s="14" t="n"/>
      <c r="J8984" s="14" t="n"/>
      <c r="K8984" s="53" t="inlineStr">
        <is>
          <t>Нет</t>
        </is>
      </c>
      <c r="L8984" s="53" t="inlineStr">
        <is>
          <t>Не определено</t>
        </is>
      </c>
      <c r="M8984" s="53" t="inlineStr">
        <is>
          <t>До 10</t>
        </is>
      </c>
      <c r="N8984" s="54" t="n">
        <v>3360</v>
      </c>
      <c r="O8984" s="55" t="inlineStr">
        <is>
          <t>1–15</t>
        </is>
      </c>
      <c r="P8984" s="16" t="inlineStr">
        <is>
          <t>ССЧР обогащена; ОКВЭД не найден/не загружен</t>
        </is>
      </c>
      <c r="Q8984" s="16" t="inlineStr">
        <is>
          <t>ФНС открытые данные ССЧР (ДатаСост 31.12.2025; набор 7707329152-sshr2019)</t>
        </is>
      </c>
      <c r="R8984" s="16">
        <f>HYPERLINK("https://checko.ru/search?query=3801001629","Чекко: проверить")</f>
        <v/>
      </c>
      <c r="S8984" t="n">
        <v>1</v>
      </c>
      <c r="T8984" s="35" t="inlineStr">
        <is>
          <t>4 — Не обогащён</t>
        </is>
      </c>
      <c r="U8984" s="35" t="inlineStr">
        <is>
          <t>Нет ОКВЭД/ССЧР</t>
        </is>
      </c>
      <c r="V8984" s="35" t="inlineStr">
        <is>
          <t>Не определено</t>
        </is>
      </c>
      <c r="W8984" s="35" t="inlineStr">
        <is>
          <t>Нет</t>
        </is>
      </c>
      <c r="X8984" s="35" t="inlineStr"/>
    </row>
    <row r="8985" ht="27.75" customHeight="1" s="24">
      <c r="A8985" s="13" t="n">
        <v>802898930</v>
      </c>
      <c r="B8985" s="13" t="inlineStr">
        <is>
          <t>Общество с ограниченной ответственностью "ФАБРИКА БЕТОНОВ"</t>
        </is>
      </c>
      <c r="C8985" s="13" t="n">
        <v>3808167655</v>
      </c>
      <c r="D8985" s="13" t="inlineStr">
        <is>
          <t>3808167655</t>
        </is>
      </c>
      <c r="E8985" s="13" t="inlineStr">
        <is>
          <t>ЮЛ РФ</t>
        </is>
      </c>
      <c r="F8985" s="13" t="n"/>
      <c r="G8985" s="52" t="n">
        <v>24</v>
      </c>
      <c r="H8985" s="52" t="n">
        <v>2025</v>
      </c>
      <c r="I8985" s="52" t="inlineStr">
        <is>
          <t>46.90</t>
        </is>
      </c>
      <c r="J8985" s="52" t="inlineStr">
        <is>
          <t>46.90; 49.41; 49.41.1; 49.42; 82.92</t>
        </is>
      </c>
      <c r="K8985" s="53" t="inlineStr">
        <is>
          <t>Да</t>
        </is>
      </c>
      <c r="L8985" s="53" t="inlineStr">
        <is>
          <t>Да</t>
        </is>
      </c>
      <c r="M8985" s="53" t="inlineStr">
        <is>
          <t>До 25</t>
        </is>
      </c>
      <c r="N8985" s="54" t="n">
        <v>8400</v>
      </c>
      <c r="O8985" s="55" t="inlineStr">
        <is>
          <t>16–30</t>
        </is>
      </c>
      <c r="P8985" s="16" t="inlineStr">
        <is>
          <t>ССЧР + ОКВЭД обогащены</t>
        </is>
      </c>
      <c r="Q8985" s="16" t="inlineStr">
        <is>
          <t>ФНС открытые данные ССЧР (ДатаСост 31.12.2025; набор 7707329152-sshr2019)</t>
        </is>
      </c>
      <c r="R8985" s="16" t="inlineStr">
        <is>
          <t>ЕГРЮЛ / egrul.nalog.ru (выписка)</t>
        </is>
      </c>
      <c r="S8985" t="n">
        <v>0</v>
      </c>
      <c r="T8985" s="35" t="inlineStr">
        <is>
          <t>1 — Горячий</t>
        </is>
      </c>
      <c r="U8985" s="35" t="inlineStr">
        <is>
          <t>ОКВЭД + 22+</t>
        </is>
      </c>
      <c r="V8985" s="35" t="inlineStr">
        <is>
          <t>Да</t>
        </is>
      </c>
      <c r="W8985" s="35" t="inlineStr">
        <is>
          <t>Да</t>
        </is>
      </c>
      <c r="X8985" s="35" t="inlineStr">
        <is>
          <t>Да</t>
        </is>
      </c>
    </row>
    <row r="8986" ht="27.75" customHeight="1" s="24">
      <c r="A8986" s="13" t="n">
        <v>9829933</v>
      </c>
      <c r="B8986" s="13" t="inlineStr">
        <is>
          <t>ООО "Черемховская дистрибьюторская компания "</t>
        </is>
      </c>
      <c r="C8986" s="13" t="n">
        <v>3851000010</v>
      </c>
      <c r="D8986" s="13" t="inlineStr">
        <is>
          <t>3851000010</t>
        </is>
      </c>
      <c r="E8986" s="13" t="inlineStr">
        <is>
          <t>ЮЛ РФ</t>
        </is>
      </c>
      <c r="F8986" s="13" t="n"/>
      <c r="G8986" s="52" t="n">
        <v>2</v>
      </c>
      <c r="H8986" s="52" t="n">
        <v>2025</v>
      </c>
      <c r="I8986" s="14" t="n"/>
      <c r="J8986" s="14" t="n"/>
      <c r="K8986" s="53" t="inlineStr">
        <is>
          <t>Нет</t>
        </is>
      </c>
      <c r="L8986" s="53" t="inlineStr">
        <is>
          <t>Не определено</t>
        </is>
      </c>
      <c r="M8986" s="53" t="inlineStr">
        <is>
          <t>До 10</t>
        </is>
      </c>
      <c r="N8986" s="54" t="n">
        <v>3360</v>
      </c>
      <c r="O8986" s="55" t="inlineStr">
        <is>
          <t>1–15</t>
        </is>
      </c>
      <c r="P8986" s="16" t="inlineStr">
        <is>
          <t>ССЧР обогащена; ОКВЭД не найден/не загружен</t>
        </is>
      </c>
      <c r="Q8986" s="16" t="inlineStr">
        <is>
          <t>ФНС открытые данные ССЧР (ДатаСост 31.12.2025; набор 7707329152-sshr2019)</t>
        </is>
      </c>
      <c r="R8986" s="16">
        <f>HYPERLINK("https://checko.ru/search?query=3801001629","Чекко: проверить")</f>
        <v/>
      </c>
      <c r="S8986" t="n">
        <v>0</v>
      </c>
      <c r="T8986" s="35" t="inlineStr">
        <is>
          <t>4 — Не обогащён</t>
        </is>
      </c>
      <c r="U8986" s="35" t="inlineStr">
        <is>
          <t>Нет ОКВЭД/ССЧР</t>
        </is>
      </c>
      <c r="V8986" s="35" t="inlineStr">
        <is>
          <t>Не определено</t>
        </is>
      </c>
      <c r="W8986" s="35" t="inlineStr">
        <is>
          <t>Нет</t>
        </is>
      </c>
      <c r="X8986" s="35" t="inlineStr"/>
    </row>
    <row r="8987" ht="27.75" customHeight="1" s="24">
      <c r="A8987" s="13" t="n">
        <v>800761514</v>
      </c>
      <c r="B8987" s="13" t="inlineStr">
        <is>
          <t>ОБЩЕСТВО С ОГРАНИЧЕННОЙ ОТВЕТСТВЕННОСТЬЮ "ЛАВ - ПРОДУКТ"</t>
        </is>
      </c>
      <c r="C8987" s="13" t="n">
        <v>3810314219</v>
      </c>
      <c r="D8987" s="13" t="inlineStr">
        <is>
          <t>3810314219</t>
        </is>
      </c>
      <c r="E8987" s="13" t="inlineStr">
        <is>
          <t>ЮЛ РФ</t>
        </is>
      </c>
      <c r="F8987" s="13" t="n"/>
      <c r="G8987" s="52" t="n">
        <v>30</v>
      </c>
      <c r="H8987" s="52" t="n">
        <v>2025</v>
      </c>
      <c r="I8987" s="52" t="inlineStr">
        <is>
          <t>46.32.1</t>
        </is>
      </c>
      <c r="J8987" s="52" t="inlineStr">
        <is>
          <t>46.32.1; 42.11; 42.99; 43.99; 46.21.13; 47.11; 47.21; 47.22.1; 47.24; 47.25; 47.29; 49.41; 49.41.1; 49.41.2; 49.41.3; 49.42</t>
        </is>
      </c>
      <c r="K8987" s="53" t="inlineStr">
        <is>
          <t>Да</t>
        </is>
      </c>
      <c r="L8987" s="53" t="inlineStr">
        <is>
          <t>Да</t>
        </is>
      </c>
      <c r="M8987" s="53" t="inlineStr">
        <is>
          <t>До 50</t>
        </is>
      </c>
      <c r="N8987" s="54" t="n">
        <v>16800</v>
      </c>
      <c r="O8987" s="55" t="inlineStr">
        <is>
          <t>16–30</t>
        </is>
      </c>
      <c r="P8987" s="16" t="inlineStr">
        <is>
          <t>ССЧР + ОКВЭД обогащены</t>
        </is>
      </c>
      <c r="Q8987" s="16" t="inlineStr">
        <is>
          <t>ФНС открытые данные ССЧР (ДатаСост 31.12.2025; набор 7707329152-sshr2019)</t>
        </is>
      </c>
      <c r="R8987" s="16" t="inlineStr">
        <is>
          <t>ЕГРЮЛ / egrul.nalog.ru (выписка)</t>
        </is>
      </c>
      <c r="S8987" t="n">
        <v>0</v>
      </c>
      <c r="T8987" s="35" t="inlineStr">
        <is>
          <t>1 — Горячий</t>
        </is>
      </c>
      <c r="U8987" s="35" t="inlineStr">
        <is>
          <t>ОКВЭД + 22+</t>
        </is>
      </c>
      <c r="V8987" s="35" t="inlineStr">
        <is>
          <t>Да</t>
        </is>
      </c>
      <c r="W8987" s="35" t="inlineStr">
        <is>
          <t>Да</t>
        </is>
      </c>
      <c r="X8987" s="35" t="inlineStr">
        <is>
          <t>Да</t>
        </is>
      </c>
    </row>
    <row r="8988" ht="27.75" customHeight="1" s="24">
      <c r="A8988" s="13" t="n">
        <v>800458611</v>
      </c>
      <c r="B8988" s="13" t="inlineStr">
        <is>
          <t>СОЮЗ "ТОРГОВО-ПРОМЫШЛЕННАЯ ПАЛАТА ВОСТОЧНОЙ СИБИРИ (ИРКУТСКАЯ ОБЛАСТЬ)"</t>
        </is>
      </c>
      <c r="C8988" s="13" t="n">
        <v>3811005816</v>
      </c>
      <c r="D8988" s="13" t="inlineStr">
        <is>
          <t>3811005816</t>
        </is>
      </c>
      <c r="E8988" s="13" t="inlineStr">
        <is>
          <t>ЮЛ РФ</t>
        </is>
      </c>
      <c r="F8988" s="13" t="n"/>
      <c r="G8988" s="14" t="n"/>
      <c r="H8988" s="14" t="n"/>
      <c r="I8988" s="14" t="n"/>
      <c r="J8988" s="14" t="n"/>
      <c r="K8988" s="53" t="inlineStr"/>
      <c r="L8988" s="53" t="inlineStr">
        <is>
          <t>Не определено</t>
        </is>
      </c>
      <c r="M8988" s="53" t="inlineStr"/>
      <c r="N8988" s="54" t="inlineStr"/>
      <c r="O8988" s="55" t="inlineStr"/>
      <c r="P8988" s="16" t="inlineStr">
        <is>
          <t>Требует обогащения</t>
        </is>
      </c>
      <c r="Q8988" s="16">
        <f>HYPERLINK("https://pb.nalog.ru/search.html?query=3811005816","ФНС: проверить")</f>
        <v/>
      </c>
      <c r="R8988" s="16">
        <f>HYPERLINK("https://checko.ru/search?query=3801001629","Чекко: проверить")</f>
        <v/>
      </c>
      <c r="S8988" t="n">
        <v>1</v>
      </c>
      <c r="T8988" s="35" t="inlineStr">
        <is>
          <t>4 — Не обогащён</t>
        </is>
      </c>
      <c r="U8988" s="35" t="inlineStr">
        <is>
          <t>Нет ОКВЭД/ССЧР</t>
        </is>
      </c>
      <c r="V8988" s="35" t="inlineStr">
        <is>
          <t>Не определено</t>
        </is>
      </c>
      <c r="W8988" s="35" t="inlineStr"/>
      <c r="X8988" s="35" t="inlineStr"/>
    </row>
    <row r="8989" ht="27.75" customHeight="1" s="24">
      <c r="A8989" s="13" t="n">
        <v>804957988</v>
      </c>
      <c r="B8989" s="13" t="inlineStr">
        <is>
          <t>Индивидуальный предприниматель Гайнулин Амир Зулкарнайевич</t>
        </is>
      </c>
      <c r="C8989" s="13" t="n">
        <v>381200555730</v>
      </c>
      <c r="D8989" s="13" t="inlineStr">
        <is>
          <t>381200555730</t>
        </is>
      </c>
      <c r="E8989" s="13" t="inlineStr">
        <is>
          <t>ИП РФ / физлицо</t>
        </is>
      </c>
      <c r="F8989" s="13" t="n"/>
      <c r="G8989" s="14" t="n"/>
      <c r="H8989" s="14" t="n"/>
      <c r="I8989" s="14" t="n"/>
      <c r="J8989" s="14" t="n"/>
      <c r="K8989" s="53" t="inlineStr"/>
      <c r="L8989" s="53" t="inlineStr">
        <is>
          <t>Не определено</t>
        </is>
      </c>
      <c r="M8989" s="53" t="inlineStr"/>
      <c r="N8989" s="54" t="inlineStr"/>
      <c r="O8989" s="55" t="inlineStr"/>
      <c r="P8989" s="16" t="inlineStr">
        <is>
          <t>Требует обогащения</t>
        </is>
      </c>
      <c r="Q8989" s="16">
        <f>HYPERLINK("https://pb.nalog.ru/search.html?query=381200555730","ФНС: проверить")</f>
        <v/>
      </c>
      <c r="R8989" s="16">
        <f>HYPERLINK("https://checko.ru/search?query=3801001629","Чекко: проверить")</f>
        <v/>
      </c>
      <c r="S8989" t="n">
        <v>0</v>
      </c>
      <c r="T8989" s="35" t="inlineStr">
        <is>
          <t>4 — Не обогащён</t>
        </is>
      </c>
      <c r="U8989" s="35" t="inlineStr">
        <is>
          <t>Нет ОКВЭД/ССЧР</t>
        </is>
      </c>
      <c r="V8989" s="35" t="inlineStr">
        <is>
          <t>Не определено</t>
        </is>
      </c>
      <c r="W8989" s="35" t="inlineStr"/>
      <c r="X8989" s="35" t="inlineStr"/>
    </row>
    <row r="8990" ht="15" customHeight="1" s="24">
      <c r="A8990" s="13" t="inlineStr">
        <is>
          <t>FR1686</t>
        </is>
      </c>
      <c r="B8990" s="13" t="inlineStr">
        <is>
          <t>ООО "Автокомфорт"</t>
        </is>
      </c>
      <c r="C8990" s="13" t="n">
        <v>3808185767</v>
      </c>
      <c r="D8990" s="13" t="inlineStr">
        <is>
          <t>3808185767</t>
        </is>
      </c>
      <c r="E8990" s="13" t="inlineStr">
        <is>
          <t>ЮЛ РФ</t>
        </is>
      </c>
      <c r="F8990" s="13" t="n"/>
      <c r="G8990" s="52" t="n">
        <v>18</v>
      </c>
      <c r="H8990" s="52" t="n">
        <v>2025</v>
      </c>
      <c r="I8990" s="14" t="n"/>
      <c r="J8990" s="14" t="n"/>
      <c r="K8990" s="53" t="inlineStr">
        <is>
          <t>Нет</t>
        </is>
      </c>
      <c r="L8990" s="53" t="inlineStr">
        <is>
          <t>Не определено</t>
        </is>
      </c>
      <c r="M8990" s="53" t="inlineStr">
        <is>
          <t>До 25</t>
        </is>
      </c>
      <c r="N8990" s="54" t="n">
        <v>8400</v>
      </c>
      <c r="O8990" s="55" t="inlineStr">
        <is>
          <t>16–30</t>
        </is>
      </c>
      <c r="P8990" s="16" t="inlineStr">
        <is>
          <t>ССЧР обогащена; ОКВЭД не найден/не загружен</t>
        </is>
      </c>
      <c r="Q8990" s="16" t="inlineStr">
        <is>
          <t>ФНС открытые данные ССЧР (ДатаСост 31.12.2025; набор 7707329152-sshr2019)</t>
        </is>
      </c>
      <c r="R8990" s="16">
        <f>HYPERLINK("https://checko.ru/search?query=3801001629","Чекко: проверить")</f>
        <v/>
      </c>
      <c r="S8990" t="n">
        <v>0</v>
      </c>
      <c r="T8990" s="35" t="inlineStr">
        <is>
          <t>4 — Не обогащён</t>
        </is>
      </c>
      <c r="U8990" s="35" t="inlineStr">
        <is>
          <t>Нет ОКВЭД/ССЧР</t>
        </is>
      </c>
      <c r="V8990" s="35" t="inlineStr">
        <is>
          <t>Не определено</t>
        </is>
      </c>
      <c r="W8990" s="35" t="inlineStr">
        <is>
          <t>Нет</t>
        </is>
      </c>
      <c r="X8990" s="35" t="inlineStr"/>
    </row>
    <row r="8991" ht="15" customHeight="1" s="24">
      <c r="A8991" s="13" t="n">
        <v>801822836</v>
      </c>
      <c r="B8991" s="13" t="inlineStr">
        <is>
          <t>ООО «ЭНРОН Групп»</t>
        </is>
      </c>
      <c r="C8991" s="13" t="n">
        <v>3801084537</v>
      </c>
      <c r="D8991" s="13" t="inlineStr">
        <is>
          <t>3801084537</t>
        </is>
      </c>
      <c r="E8991" s="13" t="inlineStr">
        <is>
          <t>ЮЛ РФ</t>
        </is>
      </c>
      <c r="F8991" s="13" t="n"/>
      <c r="G8991" s="52" t="n">
        <v>68</v>
      </c>
      <c r="H8991" s="52" t="n">
        <v>2025</v>
      </c>
      <c r="I8991" s="52" t="inlineStr">
        <is>
          <t>46.71.1</t>
        </is>
      </c>
      <c r="J8991" s="52" t="inlineStr">
        <is>
          <t>46.71.1; 46.12.1; 52.10.21; 22.23; 46.12; 46.13; 46.14; 46.15; 46.18; 46.19; 46.43; 46.44; 46.49; 46.62; 46.63; 46.66; 46.69; 46.71; 46.72; 46.73; 46.74; 46.75; 46.76; 46.77; 46.90; 47.19; 47.43; 47.52; 47.52.71; 47.52.73; 47.54; 47.59; 47.79; 47.91; 47.99; 49.41.1; 49.41.2; 52.10.9; 52.29; 64.99; 64.99.11; 66.12; 66.19</t>
        </is>
      </c>
      <c r="K8991" s="53" t="inlineStr">
        <is>
          <t>Да</t>
        </is>
      </c>
      <c r="L8991" s="53" t="inlineStr">
        <is>
          <t>Да</t>
        </is>
      </c>
      <c r="M8991" s="53" t="inlineStr">
        <is>
          <t>До 100</t>
        </is>
      </c>
      <c r="N8991" s="54" t="n">
        <v>33600</v>
      </c>
      <c r="O8991" s="55" t="inlineStr">
        <is>
          <t>51–100</t>
        </is>
      </c>
      <c r="P8991" s="16" t="inlineStr">
        <is>
          <t>ССЧР + ОКВЭД обогащены</t>
        </is>
      </c>
      <c r="Q8991" s="16" t="inlineStr">
        <is>
          <t>ФНС открытые данные ССЧР (ДатаСост 31.12.2025; набор 7707329152-sshr2019)</t>
        </is>
      </c>
      <c r="R8991" s="16" t="inlineStr">
        <is>
          <t>ЕГРЮЛ / egrul.nalog.ru (выписка)</t>
        </is>
      </c>
      <c r="S8991" t="n">
        <v>1</v>
      </c>
      <c r="T8991" s="35" t="inlineStr">
        <is>
          <t>1 — Горячий</t>
        </is>
      </c>
      <c r="U8991" s="35" t="inlineStr">
        <is>
          <t>ОКВЭД + 22+</t>
        </is>
      </c>
      <c r="V8991" s="35" t="inlineStr">
        <is>
          <t>Да</t>
        </is>
      </c>
      <c r="W8991" s="35" t="inlineStr">
        <is>
          <t>Да</t>
        </is>
      </c>
      <c r="X8991" s="35" t="inlineStr">
        <is>
          <t>Да</t>
        </is>
      </c>
    </row>
    <row r="8992" ht="15" customHeight="1" s="24">
      <c r="A8992" s="13" t="n">
        <v>801894836</v>
      </c>
      <c r="B8992" s="13" t="inlineStr">
        <is>
          <t>ОТЕЛЬ ИРКУТСК ООО</t>
        </is>
      </c>
      <c r="C8992" s="13" t="n">
        <v>3808234566</v>
      </c>
      <c r="D8992" s="13" t="inlineStr">
        <is>
          <t>3808234566</t>
        </is>
      </c>
      <c r="E8992" s="13" t="inlineStr">
        <is>
          <t>ЮЛ РФ</t>
        </is>
      </c>
      <c r="F8992" s="13" t="n"/>
      <c r="G8992" s="52" t="n">
        <v>56</v>
      </c>
      <c r="H8992" s="52" t="n">
        <v>2025</v>
      </c>
      <c r="I8992" s="52" t="inlineStr">
        <is>
          <t>55.10</t>
        </is>
      </c>
      <c r="J8992" s="52" t="inlineStr">
        <is>
          <t>55.10; 43.21; 43.29; 43.31; 43.32.3; 43.34; 47.25; 47.99; 49.39; 52.21.24; 56.10.1; 56.29; 66.19; 68.10; 68.20; 73.11; 79.11; 79.90; 81.10; 82.19; 82.99; 85.42.9; 93.29; 93.29.9; 96.01</t>
        </is>
      </c>
      <c r="K8992" s="53" t="inlineStr">
        <is>
          <t>Да</t>
        </is>
      </c>
      <c r="L8992" s="53" t="inlineStr">
        <is>
          <t>Да</t>
        </is>
      </c>
      <c r="M8992" s="53" t="inlineStr">
        <is>
          <t>До 100</t>
        </is>
      </c>
      <c r="N8992" s="54" t="n">
        <v>33600</v>
      </c>
      <c r="O8992" s="55" t="inlineStr">
        <is>
          <t>51–100</t>
        </is>
      </c>
      <c r="P8992" s="16" t="inlineStr">
        <is>
          <t>ССЧР + ОКВЭД обогащены</t>
        </is>
      </c>
      <c r="Q8992" s="16" t="inlineStr">
        <is>
          <t>ФНС открытые данные ССЧР (ДатаСост 31.12.2025; набор 7707329152-sshr2019)</t>
        </is>
      </c>
      <c r="R8992" s="16" t="inlineStr">
        <is>
          <t>ЕГРЮЛ / egrul.nalog.ru (выписка)</t>
        </is>
      </c>
      <c r="S8992" t="n">
        <v>0</v>
      </c>
      <c r="T8992" s="35" t="inlineStr">
        <is>
          <t>1 — Горячий</t>
        </is>
      </c>
      <c r="U8992" s="35" t="inlineStr">
        <is>
          <t>ОКВЭД + 22+</t>
        </is>
      </c>
      <c r="V8992" s="35" t="inlineStr">
        <is>
          <t>Да</t>
        </is>
      </c>
      <c r="W8992" s="35" t="inlineStr">
        <is>
          <t>Да</t>
        </is>
      </c>
      <c r="X8992" s="35" t="inlineStr">
        <is>
          <t>Да</t>
        </is>
      </c>
    </row>
    <row r="8993" ht="15" customHeight="1" s="24">
      <c r="A8993" s="13" t="inlineStr">
        <is>
          <t>FR1686</t>
        </is>
      </c>
      <c r="B8993" s="13" t="inlineStr">
        <is>
          <t>ООО "Автокомфорт"</t>
        </is>
      </c>
      <c r="C8993" s="13" t="n">
        <v>3808185767</v>
      </c>
      <c r="D8993" s="13" t="inlineStr">
        <is>
          <t>3808185767</t>
        </is>
      </c>
      <c r="E8993" s="13" t="inlineStr">
        <is>
          <t>ЮЛ РФ</t>
        </is>
      </c>
      <c r="F8993" s="13" t="n"/>
      <c r="G8993" s="52" t="n">
        <v>18</v>
      </c>
      <c r="H8993" s="52" t="n">
        <v>2025</v>
      </c>
      <c r="I8993" s="14" t="n"/>
      <c r="J8993" s="14" t="n"/>
      <c r="K8993" s="53" t="inlineStr">
        <is>
          <t>Нет</t>
        </is>
      </c>
      <c r="L8993" s="53" t="inlineStr">
        <is>
          <t>Не определено</t>
        </is>
      </c>
      <c r="M8993" s="53" t="inlineStr">
        <is>
          <t>До 25</t>
        </is>
      </c>
      <c r="N8993" s="54" t="n">
        <v>8400</v>
      </c>
      <c r="O8993" s="55" t="inlineStr">
        <is>
          <t>16–30</t>
        </is>
      </c>
      <c r="P8993" s="16" t="inlineStr">
        <is>
          <t>ССЧР обогащена; ОКВЭД не найден/не загружен</t>
        </is>
      </c>
      <c r="Q8993" s="16" t="inlineStr">
        <is>
          <t>ФНС открытые данные ССЧР (ДатаСост 31.12.2025; набор 7707329152-sshr2019)</t>
        </is>
      </c>
      <c r="R8993" s="16">
        <f>HYPERLINK("https://checko.ru/search?query=3801001629","Чекко: проверить")</f>
        <v/>
      </c>
      <c r="S8993" t="n">
        <v>0</v>
      </c>
      <c r="T8993" s="35" t="inlineStr">
        <is>
          <t>4 — Не обогащён</t>
        </is>
      </c>
      <c r="U8993" s="35" t="inlineStr">
        <is>
          <t>Нет ОКВЭД/ССЧР</t>
        </is>
      </c>
      <c r="V8993" s="35" t="inlineStr">
        <is>
          <t>Не определено</t>
        </is>
      </c>
      <c r="W8993" s="35" t="inlineStr">
        <is>
          <t>Нет</t>
        </is>
      </c>
      <c r="X8993" s="35" t="inlineStr"/>
    </row>
    <row r="8994" ht="15" customHeight="1" s="24">
      <c r="A8994" s="13" t="n">
        <v>802451732</v>
      </c>
      <c r="B8994" s="13" t="inlineStr">
        <is>
          <t>ООО "Регион"</t>
        </is>
      </c>
      <c r="C8994" s="13" t="n">
        <v>3810044361</v>
      </c>
      <c r="D8994" s="13" t="inlineStr">
        <is>
          <t>3810044361</t>
        </is>
      </c>
      <c r="E8994" s="13" t="inlineStr">
        <is>
          <t>ЮЛ РФ</t>
        </is>
      </c>
      <c r="F8994" s="13" t="n"/>
      <c r="G8994" s="52" t="n">
        <v>60</v>
      </c>
      <c r="H8994" s="52" t="n">
        <v>2025</v>
      </c>
      <c r="I8994" s="52" t="inlineStr">
        <is>
          <t>46.38</t>
        </is>
      </c>
      <c r="J8994" s="52" t="inlineStr">
        <is>
          <t>46.38; 49.41.2; 52.10.9; 46.21</t>
        </is>
      </c>
      <c r="K8994" s="53" t="inlineStr">
        <is>
          <t>Да</t>
        </is>
      </c>
      <c r="L8994" s="53" t="inlineStr">
        <is>
          <t>Да</t>
        </is>
      </c>
      <c r="M8994" s="53" t="inlineStr">
        <is>
          <t>До 100</t>
        </is>
      </c>
      <c r="N8994" s="54" t="n">
        <v>33600</v>
      </c>
      <c r="O8994" s="55" t="inlineStr">
        <is>
          <t>51–100</t>
        </is>
      </c>
      <c r="P8994" s="16" t="inlineStr">
        <is>
          <t>ССЧР + ОКВЭД обогащены</t>
        </is>
      </c>
      <c r="Q8994" s="16" t="inlineStr">
        <is>
          <t>ФНС открытые данные ССЧР (ДатаСост 31.12.2025; набор 7707329152-sshr2019)</t>
        </is>
      </c>
      <c r="R8994" s="16" t="inlineStr">
        <is>
          <t>ЕГРЮЛ / egrul.nalog.ru (выписка)</t>
        </is>
      </c>
      <c r="S8994" t="n">
        <v>0</v>
      </c>
      <c r="T8994" s="35" t="inlineStr">
        <is>
          <t>1 — Горячий</t>
        </is>
      </c>
      <c r="U8994" s="35" t="inlineStr">
        <is>
          <t>ОКВЭД + 22+</t>
        </is>
      </c>
      <c r="V8994" s="35" t="inlineStr">
        <is>
          <t>Да</t>
        </is>
      </c>
      <c r="W8994" s="35" t="inlineStr">
        <is>
          <t>Да</t>
        </is>
      </c>
      <c r="X8994" s="35" t="inlineStr">
        <is>
          <t>Да</t>
        </is>
      </c>
    </row>
    <row r="8995" ht="15" customHeight="1" s="24">
      <c r="A8995" s="13" t="n">
        <v>10782921</v>
      </c>
      <c r="B8995" s="13" t="inlineStr">
        <is>
          <t>ООО "ЭН+ ДИДЖИТАЛ"</t>
        </is>
      </c>
      <c r="C8995" s="13" t="n">
        <v>2446031899</v>
      </c>
      <c r="D8995" s="13" t="inlineStr">
        <is>
          <t>2446031899</t>
        </is>
      </c>
      <c r="E8995" s="13" t="inlineStr">
        <is>
          <t>ЮЛ РФ</t>
        </is>
      </c>
      <c r="F8995" s="13" t="n"/>
      <c r="G8995" s="52" t="n">
        <v>383</v>
      </c>
      <c r="H8995" s="52" t="n">
        <v>2025</v>
      </c>
      <c r="I8995" s="52" t="inlineStr">
        <is>
          <t>62.01</t>
        </is>
      </c>
      <c r="J8995" s="52" t="inlineStr">
        <is>
          <t>62.01; 47.41; 62.02.9; 62.09; 58.29; 62.02; 62.03; 63.11.1; 63.12; 63.99.1; 68.20.2; 68.20.29</t>
        </is>
      </c>
      <c r="K8995" s="53" t="inlineStr">
        <is>
          <t>Да</t>
        </is>
      </c>
      <c r="L8995" s="53" t="inlineStr">
        <is>
          <t>Да</t>
        </is>
      </c>
      <c r="M8995" s="53" t="inlineStr">
        <is>
          <t>До 500</t>
        </is>
      </c>
      <c r="N8995" s="54" t="n">
        <v>144000</v>
      </c>
      <c r="O8995" s="55" t="inlineStr">
        <is>
          <t>201–500</t>
        </is>
      </c>
      <c r="P8995" s="16" t="inlineStr">
        <is>
          <t>ССЧР + ОКВЭД обогащены</t>
        </is>
      </c>
      <c r="Q8995" s="16" t="inlineStr">
        <is>
          <t>ФНС открытые данные ССЧР (ДатаСост 31.12.2025; набор 7707329152-sshr2019)</t>
        </is>
      </c>
      <c r="R8995" s="16" t="inlineStr">
        <is>
          <t>ЕГРЮЛ / egrul.nalog.ru (выписка)</t>
        </is>
      </c>
      <c r="S8995" t="n">
        <v>0</v>
      </c>
      <c r="T8995" s="35" t="inlineStr">
        <is>
          <t>1 — Горячий</t>
        </is>
      </c>
      <c r="U8995" s="35" t="inlineStr">
        <is>
          <t>ОКВЭД + 22+</t>
        </is>
      </c>
      <c r="V8995" s="35" t="inlineStr">
        <is>
          <t>Да</t>
        </is>
      </c>
      <c r="W8995" s="35" t="inlineStr">
        <is>
          <t>Да</t>
        </is>
      </c>
      <c r="X8995" s="35" t="inlineStr">
        <is>
          <t>Да</t>
        </is>
      </c>
    </row>
    <row r="8996" ht="15" customHeight="1" s="24">
      <c r="A8996" s="13" t="inlineStr">
        <is>
          <t>FR1209233</t>
        </is>
      </c>
      <c r="B8996" s="13" t="inlineStr">
        <is>
          <t>ООО "СтройЭкспресс"</t>
        </is>
      </c>
      <c r="C8996" s="13" t="n">
        <v>1709006244</v>
      </c>
      <c r="D8996" s="13" t="inlineStr">
        <is>
          <t>1709006244</t>
        </is>
      </c>
      <c r="E8996" s="13" t="inlineStr">
        <is>
          <t>ЮЛ РФ</t>
        </is>
      </c>
      <c r="F8996" s="13" t="n"/>
      <c r="G8996" s="52" t="n">
        <v>88</v>
      </c>
      <c r="H8996" s="52" t="n">
        <v>2025</v>
      </c>
      <c r="I8996" s="52" t="inlineStr">
        <is>
          <t>41.20.1</t>
        </is>
      </c>
      <c r="J8996" s="52" t="inlineStr">
        <is>
          <t>41.20.1; 42.11; 02.20; 41.20; 42.12; 42.13; 42.91.2; 43.11; 43.12; 43.12.1; 43.12.3; 43.99; 43.99.4; 46.21; 46.71.2; 47.30; 49.41; 71.11.1</t>
        </is>
      </c>
      <c r="K8996" s="53" t="inlineStr">
        <is>
          <t>Да</t>
        </is>
      </c>
      <c r="L8996" s="53" t="inlineStr">
        <is>
          <t>Да</t>
        </is>
      </c>
      <c r="M8996" s="53" t="inlineStr">
        <is>
          <t>До 100</t>
        </is>
      </c>
      <c r="N8996" s="54" t="n">
        <v>33600</v>
      </c>
      <c r="O8996" s="55" t="inlineStr">
        <is>
          <t>51–100</t>
        </is>
      </c>
      <c r="P8996" s="16" t="inlineStr">
        <is>
          <t>ССЧР + ОКВЭД обогащены</t>
        </is>
      </c>
      <c r="Q8996" s="16" t="inlineStr">
        <is>
          <t>ФНС открытые данные ССЧР (ДатаСост 31.12.2025; набор 7707329152-sshr2019)</t>
        </is>
      </c>
      <c r="R8996" s="16" t="inlineStr">
        <is>
          <t>ЕГРЮЛ / egrul.nalog.ru (выписка)</t>
        </is>
      </c>
      <c r="S8996" t="n">
        <v>0</v>
      </c>
      <c r="T8996" s="35" t="inlineStr">
        <is>
          <t>1 — Горячий</t>
        </is>
      </c>
      <c r="U8996" s="35" t="inlineStr">
        <is>
          <t>ОКВЭД + 22+</t>
        </is>
      </c>
      <c r="V8996" s="35" t="inlineStr">
        <is>
          <t>Да</t>
        </is>
      </c>
      <c r="W8996" s="35" t="inlineStr">
        <is>
          <t>Да</t>
        </is>
      </c>
      <c r="X8996" s="35" t="inlineStr">
        <is>
          <t>Да</t>
        </is>
      </c>
    </row>
    <row r="8997" ht="27.75" customHeight="1" s="24">
      <c r="A8997" s="13" t="n">
        <v>804879373</v>
      </c>
      <c r="B8997" s="13" t="inlineStr">
        <is>
          <t>ОБЩЕСТВО С ОГРАНИЧЕННОЙ ОТВЕТСТВЕННОСТЬЮ "ТРУФРУ С НДС"</t>
        </is>
      </c>
      <c r="C8997" s="13" t="n">
        <v>3812166260</v>
      </c>
      <c r="D8997" s="13" t="inlineStr">
        <is>
          <t>3812166260</t>
        </is>
      </c>
      <c r="E8997" s="13" t="inlineStr">
        <is>
          <t>ЮЛ РФ</t>
        </is>
      </c>
      <c r="F8997" s="13" t="n"/>
      <c r="G8997" s="52" t="n">
        <v>0</v>
      </c>
      <c r="H8997" s="52" t="n">
        <v>2025</v>
      </c>
      <c r="I8997" s="14" t="n"/>
      <c r="J8997" s="14" t="n"/>
      <c r="K8997" s="53" t="inlineStr">
        <is>
          <t>Нет</t>
        </is>
      </c>
      <c r="L8997" s="53" t="inlineStr">
        <is>
          <t>Не определено</t>
        </is>
      </c>
      <c r="M8997" s="53" t="inlineStr">
        <is>
          <t>До 10</t>
        </is>
      </c>
      <c r="N8997" s="54" t="n">
        <v>3360</v>
      </c>
      <c r="O8997" s="55" t="inlineStr">
        <is>
          <t>1–15</t>
        </is>
      </c>
      <c r="P8997" s="16" t="inlineStr">
        <is>
          <t>ССЧР обогащена; ОКВЭД не найден/не загружен</t>
        </is>
      </c>
      <c r="Q8997" s="16" t="inlineStr">
        <is>
          <t>ФНС открытые данные ССЧР (ДатаСост 31.12.2025; набор 7707329152-sshr2019)</t>
        </is>
      </c>
      <c r="R8997" s="16">
        <f>HYPERLINK("https://checko.ru/search?query=3801001629","Чекко: проверить")</f>
        <v/>
      </c>
      <c r="S8997" t="n">
        <v>1</v>
      </c>
      <c r="T8997" s="35" t="inlineStr">
        <is>
          <t>4 — Не обогащён</t>
        </is>
      </c>
      <c r="U8997" s="35" t="inlineStr">
        <is>
          <t>Нет ОКВЭД/ССЧР</t>
        </is>
      </c>
      <c r="V8997" s="35" t="inlineStr">
        <is>
          <t>Не определено</t>
        </is>
      </c>
      <c r="W8997" s="35" t="inlineStr">
        <is>
          <t>Нет</t>
        </is>
      </c>
      <c r="X8997" s="35" t="inlineStr"/>
    </row>
    <row r="8998" ht="15" customHeight="1" s="24">
      <c r="A8998" s="13" t="n">
        <v>200002108069</v>
      </c>
      <c r="B8998" s="13" t="inlineStr">
        <is>
          <t>Общество с ограниченной ответственностью "СТК"</t>
        </is>
      </c>
      <c r="C8998" s="13" t="n">
        <v>3818051339</v>
      </c>
      <c r="D8998" s="13" t="inlineStr">
        <is>
          <t>3818051339</t>
        </is>
      </c>
      <c r="E8998" s="13" t="inlineStr">
        <is>
          <t>ЮЛ РФ</t>
        </is>
      </c>
      <c r="F8998" s="13" t="n"/>
      <c r="G8998" s="52" t="n">
        <v>1</v>
      </c>
      <c r="H8998" s="52" t="n">
        <v>2025</v>
      </c>
      <c r="I8998" s="14" t="n"/>
      <c r="J8998" s="14" t="n"/>
      <c r="K8998" s="53" t="inlineStr">
        <is>
          <t>Нет</t>
        </is>
      </c>
      <c r="L8998" s="53" t="inlineStr">
        <is>
          <t>Не определено</t>
        </is>
      </c>
      <c r="M8998" s="53" t="inlineStr">
        <is>
          <t>До 10</t>
        </is>
      </c>
      <c r="N8998" s="54" t="n">
        <v>3360</v>
      </c>
      <c r="O8998" s="55" t="inlineStr">
        <is>
          <t>1–15</t>
        </is>
      </c>
      <c r="P8998" s="16" t="inlineStr">
        <is>
          <t>ССЧР обогащена; ОКВЭД не найден/не загружен</t>
        </is>
      </c>
      <c r="Q8998" s="16" t="inlineStr">
        <is>
          <t>ФНС открытые данные ССЧР (ДатаСост 31.12.2025; набор 7707329152-sshr2019)</t>
        </is>
      </c>
      <c r="R8998" s="16">
        <f>HYPERLINK("https://checko.ru/search?query=3801001629","Чекко: проверить")</f>
        <v/>
      </c>
      <c r="S8998" t="n">
        <v>1</v>
      </c>
      <c r="T8998" s="35" t="inlineStr">
        <is>
          <t>4 — Не обогащён</t>
        </is>
      </c>
      <c r="U8998" s="35" t="inlineStr">
        <is>
          <t>Нет ОКВЭД/ССЧР</t>
        </is>
      </c>
      <c r="V8998" s="35" t="inlineStr">
        <is>
          <t>Не определено</t>
        </is>
      </c>
      <c r="W8998" s="35" t="inlineStr">
        <is>
          <t>Нет</t>
        </is>
      </c>
      <c r="X8998" s="35" t="inlineStr"/>
    </row>
    <row r="8999" ht="15" customHeight="1" s="24">
      <c r="A8999" s="13" t="n">
        <v>800514096</v>
      </c>
      <c r="B8999" s="13" t="inlineStr">
        <is>
          <t>ПРОМПАРК</t>
        </is>
      </c>
      <c r="C8999" s="13" t="n">
        <v>3811183858</v>
      </c>
      <c r="D8999" s="13" t="inlineStr">
        <is>
          <t>3811183858</t>
        </is>
      </c>
      <c r="E8999" s="13" t="inlineStr">
        <is>
          <t>ЮЛ РФ</t>
        </is>
      </c>
      <c r="F8999" s="13" t="n"/>
      <c r="G8999" s="52" t="n">
        <v>32</v>
      </c>
      <c r="H8999" s="52" t="n">
        <v>2025</v>
      </c>
      <c r="I8999" s="52" t="inlineStr">
        <is>
          <t>41.20</t>
        </is>
      </c>
      <c r="J8999" s="52" t="inlineStr">
        <is>
          <t>41.20; 33.12; 33.13; 41.10; 42.11; 42.13; 42.21; 42.22; 42.91; 42.99; 43.11; 43.12; 43.12.3; 43.13; 43.21; 43.22; 43.29; 43.31; 43.32; 43.33; 43.34; 43.39; 43.91; 43.99; 43.99.1; 45.31; 46.21; 46.46; 46.69; 46.71; 46.73; 46.90; 47.30; 47.73; 47.74; 47.75; 49.41; 77.31; 77.32</t>
        </is>
      </c>
      <c r="K8999" s="53" t="inlineStr">
        <is>
          <t>Да</t>
        </is>
      </c>
      <c r="L8999" s="53" t="inlineStr">
        <is>
          <t>Да</t>
        </is>
      </c>
      <c r="M8999" s="53" t="inlineStr">
        <is>
          <t>До 50</t>
        </is>
      </c>
      <c r="N8999" s="54" t="n">
        <v>16800</v>
      </c>
      <c r="O8999" s="55" t="inlineStr">
        <is>
          <t>31–50</t>
        </is>
      </c>
      <c r="P8999" s="16" t="inlineStr">
        <is>
          <t>ССЧР + ОКВЭД обогащены</t>
        </is>
      </c>
      <c r="Q8999" s="16" t="inlineStr">
        <is>
          <t>ФНС открытые данные ССЧР (ДатаСост 31.12.2025; набор 7707329152-sshr2019)</t>
        </is>
      </c>
      <c r="R8999" s="16" t="inlineStr">
        <is>
          <t>ЕГРЮЛ / egrul.nalog.ru (выписка)</t>
        </is>
      </c>
      <c r="S8999" t="n">
        <v>0</v>
      </c>
      <c r="T8999" s="35" t="inlineStr">
        <is>
          <t>1 — Горячий</t>
        </is>
      </c>
      <c r="U8999" s="35" t="inlineStr">
        <is>
          <t>ОКВЭД + 22+</t>
        </is>
      </c>
      <c r="V8999" s="35" t="inlineStr">
        <is>
          <t>Да</t>
        </is>
      </c>
      <c r="W8999" s="35" t="inlineStr">
        <is>
          <t>Да</t>
        </is>
      </c>
      <c r="X8999" s="35" t="inlineStr">
        <is>
          <t>Да</t>
        </is>
      </c>
    </row>
    <row r="9000" ht="15" customHeight="1" s="24">
      <c r="A9000" s="13" t="n">
        <v>800438690</v>
      </c>
      <c r="B9000" s="13" t="inlineStr">
        <is>
          <t>ИП Стельмах Ирина Геннадьевна</t>
        </is>
      </c>
      <c r="C9000" s="13" t="n">
        <v>381100423508</v>
      </c>
      <c r="D9000" s="13" t="inlineStr">
        <is>
          <t>381100423508</t>
        </is>
      </c>
      <c r="E9000" s="13" t="inlineStr">
        <is>
          <t>ИП РФ / физлицо</t>
        </is>
      </c>
      <c r="F9000" s="13" t="n"/>
      <c r="G9000" s="14" t="n"/>
      <c r="H9000" s="14" t="n"/>
      <c r="I9000" s="14" t="n"/>
      <c r="J9000" s="14" t="n"/>
      <c r="K9000" s="53" t="inlineStr"/>
      <c r="L9000" s="53" t="inlineStr">
        <is>
          <t>Не определено</t>
        </is>
      </c>
      <c r="M9000" s="53" t="inlineStr"/>
      <c r="N9000" s="54" t="inlineStr"/>
      <c r="O9000" s="55" t="inlineStr"/>
      <c r="P9000" s="16" t="inlineStr">
        <is>
          <t>Требует обогащения</t>
        </is>
      </c>
      <c r="Q9000" s="16">
        <f>HYPERLINK("https://pb.nalog.ru/search.html?query=381100423508","ФНС: проверить")</f>
        <v/>
      </c>
      <c r="R9000" s="16">
        <f>HYPERLINK("https://checko.ru/search?query=3801001629","Чекко: проверить")</f>
        <v/>
      </c>
      <c r="S9000" t="n">
        <v>0</v>
      </c>
      <c r="T9000" s="35" t="inlineStr">
        <is>
          <t>4 — Не обогащён</t>
        </is>
      </c>
      <c r="U9000" s="35" t="inlineStr">
        <is>
          <t>Нет ОКВЭД/ССЧР</t>
        </is>
      </c>
      <c r="V9000" s="35" t="inlineStr">
        <is>
          <t>Не определено</t>
        </is>
      </c>
      <c r="W9000" s="35" t="inlineStr"/>
      <c r="X9000" s="35" t="inlineStr"/>
    </row>
    <row r="9001" ht="15" customHeight="1" s="24">
      <c r="A9001" s="13" t="n">
        <v>9069738</v>
      </c>
      <c r="B9001" s="13" t="inlineStr">
        <is>
          <t>ИП Стельмах Ирина Геннадьевна</t>
        </is>
      </c>
      <c r="C9001" s="13" t="n">
        <v>381100423508</v>
      </c>
      <c r="D9001" s="13" t="inlineStr">
        <is>
          <t>381100423508</t>
        </is>
      </c>
      <c r="E9001" s="13" t="inlineStr">
        <is>
          <t>ИП РФ / физлицо</t>
        </is>
      </c>
      <c r="F9001" s="13" t="n"/>
      <c r="G9001" s="14" t="n"/>
      <c r="H9001" s="14" t="n"/>
      <c r="I9001" s="14" t="n"/>
      <c r="J9001" s="14" t="n"/>
      <c r="K9001" s="53" t="inlineStr"/>
      <c r="L9001" s="53" t="inlineStr">
        <is>
          <t>Не определено</t>
        </is>
      </c>
      <c r="M9001" s="53" t="inlineStr"/>
      <c r="N9001" s="54" t="inlineStr"/>
      <c r="O9001" s="55" t="inlineStr"/>
      <c r="P9001" s="16" t="inlineStr">
        <is>
          <t>Требует обогащения</t>
        </is>
      </c>
      <c r="Q9001" s="16">
        <f>HYPERLINK("https://pb.nalog.ru/search.html?query=381100423508","ФНС: проверить")</f>
        <v/>
      </c>
      <c r="R9001" s="16">
        <f>HYPERLINK("https://checko.ru/search?query=3801001629","Чекко: проверить")</f>
        <v/>
      </c>
      <c r="S9001" t="n">
        <v>0</v>
      </c>
      <c r="T9001" s="35" t="inlineStr">
        <is>
          <t>4 — Не обогащён</t>
        </is>
      </c>
      <c r="U9001" s="35" t="inlineStr">
        <is>
          <t>Нет ОКВЭД/ССЧР</t>
        </is>
      </c>
      <c r="V9001" s="35" t="inlineStr">
        <is>
          <t>Не определено</t>
        </is>
      </c>
      <c r="W9001" s="35" t="inlineStr"/>
      <c r="X9001" s="35" t="inlineStr"/>
    </row>
    <row r="9002" ht="27.75" customHeight="1" s="24">
      <c r="A9002" s="13" t="n">
        <v>5000121570</v>
      </c>
      <c r="B9002" s="13" t="inlineStr">
        <is>
          <t>Администрация Качугского Муниципального Округа Иркутской Области</t>
        </is>
      </c>
      <c r="C9002" s="13" t="n">
        <v>3808294205</v>
      </c>
      <c r="D9002" s="13" t="inlineStr">
        <is>
          <t>3808294205</t>
        </is>
      </c>
      <c r="E9002" s="13" t="inlineStr">
        <is>
          <t>ЮЛ РФ</t>
        </is>
      </c>
      <c r="F9002" s="13" t="n"/>
      <c r="G9002" s="14" t="n"/>
      <c r="H9002" s="14" t="n"/>
      <c r="I9002" s="14" t="n"/>
      <c r="J9002" s="14" t="n"/>
      <c r="K9002" s="53" t="inlineStr"/>
      <c r="L9002" s="53" t="inlineStr">
        <is>
          <t>Не определено</t>
        </is>
      </c>
      <c r="M9002" s="53" t="inlineStr"/>
      <c r="N9002" s="54" t="inlineStr"/>
      <c r="O9002" s="55" t="inlineStr"/>
      <c r="P9002" s="16" t="inlineStr">
        <is>
          <t>Требует обогащения</t>
        </is>
      </c>
      <c r="Q9002" s="16">
        <f>HYPERLINK("https://pb.nalog.ru/search.html?query=3808294205","ФНС: проверить")</f>
        <v/>
      </c>
      <c r="R9002" s="16">
        <f>HYPERLINK("https://checko.ru/search?query=3801001629","Чекко: проверить")</f>
        <v/>
      </c>
      <c r="S9002" t="n">
        <v>1</v>
      </c>
      <c r="T9002" s="35" t="inlineStr">
        <is>
          <t>4 — Не обогащён</t>
        </is>
      </c>
      <c r="U9002" s="35" t="inlineStr">
        <is>
          <t>Нет ОКВЭД/ССЧР</t>
        </is>
      </c>
      <c r="V9002" s="35" t="inlineStr">
        <is>
          <t>Не определено</t>
        </is>
      </c>
      <c r="W9002" s="35" t="inlineStr"/>
      <c r="X9002" s="35" t="inlineStr"/>
    </row>
    <row r="9003" ht="27.75" customHeight="1" s="24">
      <c r="A9003" s="13" t="n">
        <v>5000120584</v>
      </c>
      <c r="B9003" s="13" t="inlineStr">
        <is>
          <t>МКУ "БИДХ" ОРЕХОВО-ЗУЕВСКОГО ГОРОДСКОГО ОКРУГА МОСКОВСКОЙ ОБЛАСТИ</t>
        </is>
      </c>
      <c r="C9003" s="13" t="n">
        <v>5034044090</v>
      </c>
      <c r="D9003" s="13" t="inlineStr">
        <is>
          <t>5034044090</t>
        </is>
      </c>
      <c r="E9003" s="13" t="inlineStr">
        <is>
          <t>ЮЛ РФ</t>
        </is>
      </c>
      <c r="F9003" s="13" t="n"/>
      <c r="G9003" s="14" t="n"/>
      <c r="H9003" s="14" t="n"/>
      <c r="I9003" s="14" t="n"/>
      <c r="J9003" s="14" t="n"/>
      <c r="K9003" s="53" t="inlineStr"/>
      <c r="L9003" s="53" t="inlineStr">
        <is>
          <t>Не определено</t>
        </is>
      </c>
      <c r="M9003" s="53" t="inlineStr"/>
      <c r="N9003" s="54" t="inlineStr"/>
      <c r="O9003" s="55" t="inlineStr"/>
      <c r="P9003" s="16" t="inlineStr">
        <is>
          <t>Требует обогащения</t>
        </is>
      </c>
      <c r="Q9003" s="16">
        <f>HYPERLINK("https://pb.nalog.ru/search.html?query=5034044090","ФНС: проверить")</f>
        <v/>
      </c>
      <c r="R9003" s="16">
        <f>HYPERLINK("https://checko.ru/search?query=3801001629","Чекко: проверить")</f>
        <v/>
      </c>
      <c r="S9003" t="n">
        <v>1</v>
      </c>
      <c r="T9003" s="35" t="inlineStr">
        <is>
          <t>4 — Не обогащён</t>
        </is>
      </c>
      <c r="U9003" s="35" t="inlineStr">
        <is>
          <t>Нет ОКВЭД/ССЧР</t>
        </is>
      </c>
      <c r="V9003" s="35" t="inlineStr">
        <is>
          <t>Не определено</t>
        </is>
      </c>
      <c r="W9003" s="35" t="inlineStr"/>
      <c r="X9003" s="35" t="inlineStr"/>
    </row>
    <row r="9004" ht="15" customHeight="1" s="24">
      <c r="A9004" s="13" t="n">
        <v>5000120545</v>
      </c>
      <c r="B9004" s="13" t="inlineStr">
        <is>
          <t>ГПОУ "ПГК"</t>
        </is>
      </c>
      <c r="C9004" s="13" t="n">
        <v>7518002296</v>
      </c>
      <c r="D9004" s="13" t="inlineStr">
        <is>
          <t>7518002296</t>
        </is>
      </c>
      <c r="E9004" s="13" t="inlineStr">
        <is>
          <t>ЮЛ РФ</t>
        </is>
      </c>
      <c r="F9004" s="13" t="n"/>
      <c r="G9004" s="14" t="n"/>
      <c r="H9004" s="14" t="n"/>
      <c r="I9004" s="14" t="n"/>
      <c r="J9004" s="14" t="n"/>
      <c r="K9004" s="53" t="inlineStr"/>
      <c r="L9004" s="53" t="inlineStr">
        <is>
          <t>Не определено</t>
        </is>
      </c>
      <c r="M9004" s="53" t="inlineStr"/>
      <c r="N9004" s="54" t="inlineStr"/>
      <c r="O9004" s="55" t="inlineStr"/>
      <c r="P9004" s="16" t="inlineStr">
        <is>
          <t>Требует обогащения</t>
        </is>
      </c>
      <c r="Q9004" s="16">
        <f>HYPERLINK("https://pb.nalog.ru/search.html?query=7518002296","ФНС: проверить")</f>
        <v/>
      </c>
      <c r="R9004" s="16">
        <f>HYPERLINK("https://checko.ru/search?query=3801001629","Чекко: проверить")</f>
        <v/>
      </c>
      <c r="S9004" t="n">
        <v>1</v>
      </c>
      <c r="T9004" s="35" t="inlineStr">
        <is>
          <t>4 — Не обогащён</t>
        </is>
      </c>
      <c r="U9004" s="35" t="inlineStr">
        <is>
          <t>Нет ОКВЭД/ССЧР</t>
        </is>
      </c>
      <c r="V9004" s="35" t="inlineStr">
        <is>
          <t>Не определено</t>
        </is>
      </c>
      <c r="W9004" s="35" t="inlineStr"/>
      <c r="X9004" s="35" t="inlineStr"/>
    </row>
    <row r="9005" ht="15" customHeight="1" s="24">
      <c r="A9005" s="13" t="n">
        <v>5000120547</v>
      </c>
      <c r="B9005" s="13" t="inlineStr">
        <is>
          <t>ГОУ СПО "Педагогический колледж г.Сретенска"</t>
        </is>
      </c>
      <c r="C9005" s="13" t="n">
        <v>7519000051</v>
      </c>
      <c r="D9005" s="13" t="inlineStr">
        <is>
          <t>7519000051</t>
        </is>
      </c>
      <c r="E9005" s="13" t="inlineStr">
        <is>
          <t>ЮЛ РФ</t>
        </is>
      </c>
      <c r="F9005" s="13" t="n"/>
      <c r="G9005" s="14" t="n"/>
      <c r="H9005" s="14" t="n"/>
      <c r="I9005" s="14" t="n"/>
      <c r="J9005" s="14" t="n"/>
      <c r="K9005" s="53" t="inlineStr"/>
      <c r="L9005" s="53" t="inlineStr">
        <is>
          <t>Не определено</t>
        </is>
      </c>
      <c r="M9005" s="53" t="inlineStr"/>
      <c r="N9005" s="54" t="inlineStr"/>
      <c r="O9005" s="55" t="inlineStr"/>
      <c r="P9005" s="16" t="inlineStr">
        <is>
          <t>Требует обогащения</t>
        </is>
      </c>
      <c r="Q9005" s="16">
        <f>HYPERLINK("https://pb.nalog.ru/search.html?query=7519000051","ФНС: проверить")</f>
        <v/>
      </c>
      <c r="R9005" s="16">
        <f>HYPERLINK("https://checko.ru/search?query=3801001629","Чекко: проверить")</f>
        <v/>
      </c>
      <c r="S9005" t="n">
        <v>1</v>
      </c>
      <c r="T9005" s="35" t="inlineStr">
        <is>
          <t>4 — Не обогащён</t>
        </is>
      </c>
      <c r="U9005" s="35" t="inlineStr">
        <is>
          <t>Нет ОКВЭД/ССЧР</t>
        </is>
      </c>
      <c r="V9005" s="35" t="inlineStr">
        <is>
          <t>Не определено</t>
        </is>
      </c>
      <c r="W9005" s="35" t="inlineStr"/>
      <c r="X9005" s="35" t="inlineStr"/>
    </row>
    <row r="9006" ht="27.75" customHeight="1" s="24">
      <c r="A9006" s="13" t="n">
        <v>5000121364</v>
      </c>
      <c r="B9006" s="13" t="inlineStr">
        <is>
          <t>Агентство по Информационной Политике Камчатского Края</t>
        </is>
      </c>
      <c r="C9006" s="13" t="n">
        <v>4100057110</v>
      </c>
      <c r="D9006" s="13" t="inlineStr">
        <is>
          <t>4100057110</t>
        </is>
      </c>
      <c r="E9006" s="13" t="inlineStr">
        <is>
          <t>ЮЛ РФ</t>
        </is>
      </c>
      <c r="F9006" s="13" t="n"/>
      <c r="G9006" s="14" t="n"/>
      <c r="H9006" s="14" t="n"/>
      <c r="I9006" s="14" t="n"/>
      <c r="J9006" s="14" t="n"/>
      <c r="K9006" s="53" t="inlineStr"/>
      <c r="L9006" s="53" t="inlineStr">
        <is>
          <t>Не определено</t>
        </is>
      </c>
      <c r="M9006" s="53" t="inlineStr"/>
      <c r="N9006" s="54" t="inlineStr"/>
      <c r="O9006" s="55" t="inlineStr"/>
      <c r="P9006" s="16" t="inlineStr">
        <is>
          <t>Требует обогащения</t>
        </is>
      </c>
      <c r="Q9006" s="16">
        <f>HYPERLINK("https://pb.nalog.ru/search.html?query=4100057110","ФНС: проверить")</f>
        <v/>
      </c>
      <c r="R9006" s="16">
        <f>HYPERLINK("https://checko.ru/search?query=3801001629","Чекко: проверить")</f>
        <v/>
      </c>
      <c r="S9006" t="n">
        <v>1</v>
      </c>
      <c r="T9006" s="35" t="inlineStr">
        <is>
          <t>4 — Не обогащён</t>
        </is>
      </c>
      <c r="U9006" s="35" t="inlineStr">
        <is>
          <t>Нет ОКВЭД/ССЧР</t>
        </is>
      </c>
      <c r="V9006" s="35" t="inlineStr">
        <is>
          <t>Не определено</t>
        </is>
      </c>
      <c r="W9006" s="35" t="inlineStr"/>
      <c r="X9006" s="35" t="inlineStr"/>
    </row>
    <row r="9007" ht="15" customHeight="1" s="24">
      <c r="A9007" s="13" t="n">
        <v>5000120546</v>
      </c>
      <c r="B9007" s="13" t="inlineStr">
        <is>
          <t>ГОУ МПО "Профессиональное училище №12"</t>
        </is>
      </c>
      <c r="C9007" s="13" t="n">
        <v>7537007780</v>
      </c>
      <c r="D9007" s="13" t="inlineStr">
        <is>
          <t>7537007780</t>
        </is>
      </c>
      <c r="E9007" s="13" t="inlineStr">
        <is>
          <t>ЮЛ РФ</t>
        </is>
      </c>
      <c r="F9007" s="13" t="n"/>
      <c r="G9007" s="14" t="n"/>
      <c r="H9007" s="14" t="n"/>
      <c r="I9007" s="14" t="n"/>
      <c r="J9007" s="14" t="n"/>
      <c r="K9007" s="53" t="inlineStr"/>
      <c r="L9007" s="53" t="inlineStr">
        <is>
          <t>Не определено</t>
        </is>
      </c>
      <c r="M9007" s="53" t="inlineStr"/>
      <c r="N9007" s="54" t="inlineStr"/>
      <c r="O9007" s="55" t="inlineStr"/>
      <c r="P9007" s="16" t="inlineStr">
        <is>
          <t>Требует обогащения</t>
        </is>
      </c>
      <c r="Q9007" s="16">
        <f>HYPERLINK("https://pb.nalog.ru/search.html?query=7537007780","ФНС: проверить")</f>
        <v/>
      </c>
      <c r="R9007" s="16">
        <f>HYPERLINK("https://checko.ru/search?query=3801001629","Чекко: проверить")</f>
        <v/>
      </c>
      <c r="S9007" t="n">
        <v>1</v>
      </c>
      <c r="T9007" s="35" t="inlineStr">
        <is>
          <t>4 — Не обогащён</t>
        </is>
      </c>
      <c r="U9007" s="35" t="inlineStr">
        <is>
          <t>Нет ОКВЭД/ССЧР</t>
        </is>
      </c>
      <c r="V9007" s="35" t="inlineStr">
        <is>
          <t>Не определено</t>
        </is>
      </c>
      <c r="W9007" s="35" t="inlineStr"/>
      <c r="X9007" s="35" t="inlineStr"/>
    </row>
    <row r="9008" ht="27.75" customHeight="1" s="24">
      <c r="A9008" s="13" t="n">
        <v>5000121577</v>
      </c>
      <c r="B9008" s="13" t="inlineStr">
        <is>
          <t>Территориальное управление "Большетарельская администрация"</t>
        </is>
      </c>
      <c r="C9008" s="13" t="n">
        <v>3808294614</v>
      </c>
      <c r="D9008" s="13" t="inlineStr">
        <is>
          <t>3808294614</t>
        </is>
      </c>
      <c r="E9008" s="13" t="inlineStr">
        <is>
          <t>ЮЛ РФ</t>
        </is>
      </c>
      <c r="F9008" s="13" t="n"/>
      <c r="G9008" s="14" t="n"/>
      <c r="H9008" s="14" t="n"/>
      <c r="I9008" s="14" t="n"/>
      <c r="J9008" s="14" t="n"/>
      <c r="K9008" s="53" t="inlineStr"/>
      <c r="L9008" s="53" t="inlineStr">
        <is>
          <t>Не определено</t>
        </is>
      </c>
      <c r="M9008" s="53" t="inlineStr"/>
      <c r="N9008" s="54" t="inlineStr"/>
      <c r="O9008" s="55" t="inlineStr"/>
      <c r="P9008" s="16" t="inlineStr">
        <is>
          <t>Требует обогащения</t>
        </is>
      </c>
      <c r="Q9008" s="16">
        <f>HYPERLINK("https://pb.nalog.ru/search.html?query=3808294614","ФНС: проверить")</f>
        <v/>
      </c>
      <c r="R9008" s="16">
        <f>HYPERLINK("https://checko.ru/search?query=3801001629","Чекко: проверить")</f>
        <v/>
      </c>
      <c r="S9008" t="n">
        <v>1</v>
      </c>
      <c r="T9008" s="35" t="inlineStr">
        <is>
          <t>4 — Не обогащён</t>
        </is>
      </c>
      <c r="U9008" s="35" t="inlineStr">
        <is>
          <t>Нет ОКВЭД/ССЧР</t>
        </is>
      </c>
      <c r="V9008" s="35" t="inlineStr">
        <is>
          <t>Не определено</t>
        </is>
      </c>
      <c r="W9008" s="35" t="inlineStr"/>
      <c r="X9008" s="35" t="inlineStr"/>
    </row>
    <row r="9009" ht="27.75" customHeight="1" s="24">
      <c r="A9009" s="13" t="n">
        <v>5000121585</v>
      </c>
      <c r="B9009" s="13" t="inlineStr">
        <is>
          <t>Территориальное управление "Качугская поселковая администрация"</t>
        </is>
      </c>
      <c r="C9009" s="13" t="n">
        <v>3808294477</v>
      </c>
      <c r="D9009" s="13" t="inlineStr">
        <is>
          <t>3808294477</t>
        </is>
      </c>
      <c r="E9009" s="13" t="inlineStr">
        <is>
          <t>ЮЛ РФ</t>
        </is>
      </c>
      <c r="F9009" s="13" t="n"/>
      <c r="G9009" s="14" t="n"/>
      <c r="H9009" s="14" t="n"/>
      <c r="I9009" s="14" t="n"/>
      <c r="J9009" s="14" t="n"/>
      <c r="K9009" s="53" t="inlineStr"/>
      <c r="L9009" s="53" t="inlineStr">
        <is>
          <t>Не определено</t>
        </is>
      </c>
      <c r="M9009" s="53" t="inlineStr"/>
      <c r="N9009" s="54" t="inlineStr"/>
      <c r="O9009" s="55" t="inlineStr"/>
      <c r="P9009" s="16" t="inlineStr">
        <is>
          <t>Требует обогащения</t>
        </is>
      </c>
      <c r="Q9009" s="16">
        <f>HYPERLINK("https://pb.nalog.ru/search.html?query=3808294477","ФНС: проверить")</f>
        <v/>
      </c>
      <c r="R9009" s="16">
        <f>HYPERLINK("https://checko.ru/search?query=3801001629","Чекко: проверить")</f>
        <v/>
      </c>
      <c r="S9009" t="n">
        <v>1</v>
      </c>
      <c r="T9009" s="35" t="inlineStr">
        <is>
          <t>4 — Не обогащён</t>
        </is>
      </c>
      <c r="U9009" s="35" t="inlineStr">
        <is>
          <t>Нет ОКВЭД/ССЧР</t>
        </is>
      </c>
      <c r="V9009" s="35" t="inlineStr">
        <is>
          <t>Не определено</t>
        </is>
      </c>
      <c r="W9009" s="35" t="inlineStr"/>
      <c r="X9009" s="35" t="inlineStr"/>
    </row>
    <row r="9010" ht="27.75" customHeight="1" s="24">
      <c r="A9010" s="13" t="n">
        <v>5000121574</v>
      </c>
      <c r="B9010" s="13" t="inlineStr">
        <is>
          <t>Территориальное управление "Ангинская администрация"</t>
        </is>
      </c>
      <c r="C9010" s="13" t="n">
        <v>3808294621</v>
      </c>
      <c r="D9010" s="13" t="inlineStr">
        <is>
          <t>3808294621</t>
        </is>
      </c>
      <c r="E9010" s="13" t="inlineStr">
        <is>
          <t>ЮЛ РФ</t>
        </is>
      </c>
      <c r="F9010" s="13" t="n"/>
      <c r="G9010" s="14" t="n"/>
      <c r="H9010" s="14" t="n"/>
      <c r="I9010" s="14" t="n"/>
      <c r="J9010" s="14" t="n"/>
      <c r="K9010" s="53" t="inlineStr"/>
      <c r="L9010" s="53" t="inlineStr">
        <is>
          <t>Не определено</t>
        </is>
      </c>
      <c r="M9010" s="53" t="inlineStr"/>
      <c r="N9010" s="54" t="inlineStr"/>
      <c r="O9010" s="55" t="inlineStr"/>
      <c r="P9010" s="16" t="inlineStr">
        <is>
          <t>Требует обогащения</t>
        </is>
      </c>
      <c r="Q9010" s="16">
        <f>HYPERLINK("https://pb.nalog.ru/search.html?query=3808294621","ФНС: проверить")</f>
        <v/>
      </c>
      <c r="R9010" s="16">
        <f>HYPERLINK("https://checko.ru/search?query=3801001629","Чекко: проверить")</f>
        <v/>
      </c>
      <c r="S9010" t="n">
        <v>1</v>
      </c>
      <c r="T9010" s="35" t="inlineStr">
        <is>
          <t>4 — Не обогащён</t>
        </is>
      </c>
      <c r="U9010" s="35" t="inlineStr">
        <is>
          <t>Нет ОКВЭД/ССЧР</t>
        </is>
      </c>
      <c r="V9010" s="35" t="inlineStr">
        <is>
          <t>Не определено</t>
        </is>
      </c>
      <c r="W9010" s="35" t="inlineStr"/>
      <c r="X9010" s="35" t="inlineStr"/>
    </row>
    <row r="9011" ht="27.75" customHeight="1" s="24">
      <c r="A9011" s="13" t="n">
        <v>5000121575</v>
      </c>
      <c r="B9011" s="13" t="inlineStr">
        <is>
          <t>Территориальное управление "Белоусовская администрация"</t>
        </is>
      </c>
      <c r="C9011" s="13" t="n">
        <v>3808294452</v>
      </c>
      <c r="D9011" s="13" t="inlineStr">
        <is>
          <t>3808294452</t>
        </is>
      </c>
      <c r="E9011" s="13" t="inlineStr">
        <is>
          <t>ЮЛ РФ</t>
        </is>
      </c>
      <c r="F9011" s="13" t="n"/>
      <c r="G9011" s="14" t="n"/>
      <c r="H9011" s="14" t="n"/>
      <c r="I9011" s="14" t="n"/>
      <c r="J9011" s="14" t="n"/>
      <c r="K9011" s="53" t="inlineStr"/>
      <c r="L9011" s="53" t="inlineStr">
        <is>
          <t>Не определено</t>
        </is>
      </c>
      <c r="M9011" s="53" t="inlineStr"/>
      <c r="N9011" s="54" t="inlineStr"/>
      <c r="O9011" s="55" t="inlineStr"/>
      <c r="P9011" s="16" t="inlineStr">
        <is>
          <t>Требует обогащения</t>
        </is>
      </c>
      <c r="Q9011" s="16">
        <f>HYPERLINK("https://pb.nalog.ru/search.html?query=3808294452","ФНС: проверить")</f>
        <v/>
      </c>
      <c r="R9011" s="16">
        <f>HYPERLINK("https://checko.ru/search?query=3801001629","Чекко: проверить")</f>
        <v/>
      </c>
      <c r="S9011" t="n">
        <v>1</v>
      </c>
      <c r="T9011" s="35" t="inlineStr">
        <is>
          <t>4 — Не обогащён</t>
        </is>
      </c>
      <c r="U9011" s="35" t="inlineStr">
        <is>
          <t>Нет ОКВЭД/ССЧР</t>
        </is>
      </c>
      <c r="V9011" s="35" t="inlineStr">
        <is>
          <t>Не определено</t>
        </is>
      </c>
      <c r="W9011" s="35" t="inlineStr"/>
      <c r="X9011" s="35" t="inlineStr"/>
    </row>
    <row r="9012" ht="27.75" customHeight="1" s="24">
      <c r="A9012" s="13" t="n">
        <v>5000121576</v>
      </c>
      <c r="B9012" s="13" t="inlineStr">
        <is>
          <t>Территориальное управление "Бирюльская администрация"</t>
        </is>
      </c>
      <c r="C9012" s="13" t="n">
        <v>3808294639</v>
      </c>
      <c r="D9012" s="13" t="inlineStr">
        <is>
          <t>3808294639</t>
        </is>
      </c>
      <c r="E9012" s="13" t="inlineStr">
        <is>
          <t>ЮЛ РФ</t>
        </is>
      </c>
      <c r="F9012" s="13" t="n"/>
      <c r="G9012" s="14" t="n"/>
      <c r="H9012" s="14" t="n"/>
      <c r="I9012" s="14" t="n"/>
      <c r="J9012" s="14" t="n"/>
      <c r="K9012" s="53" t="inlineStr"/>
      <c r="L9012" s="53" t="inlineStr">
        <is>
          <t>Не определено</t>
        </is>
      </c>
      <c r="M9012" s="53" t="inlineStr"/>
      <c r="N9012" s="54" t="inlineStr"/>
      <c r="O9012" s="55" t="inlineStr"/>
      <c r="P9012" s="16" t="inlineStr">
        <is>
          <t>Требует обогащения</t>
        </is>
      </c>
      <c r="Q9012" s="16">
        <f>HYPERLINK("https://pb.nalog.ru/search.html?query=3808294639","ФНС: проверить")</f>
        <v/>
      </c>
      <c r="R9012" s="16">
        <f>HYPERLINK("https://checko.ru/search?query=3801001629","Чекко: проверить")</f>
        <v/>
      </c>
      <c r="S9012" t="n">
        <v>1</v>
      </c>
      <c r="T9012" s="35" t="inlineStr">
        <is>
          <t>4 — Не обогащён</t>
        </is>
      </c>
      <c r="U9012" s="35" t="inlineStr">
        <is>
          <t>Нет ОКВЭД/ССЧР</t>
        </is>
      </c>
      <c r="V9012" s="35" t="inlineStr">
        <is>
          <t>Не определено</t>
        </is>
      </c>
      <c r="W9012" s="35" t="inlineStr"/>
      <c r="X9012" s="35" t="inlineStr"/>
    </row>
    <row r="9013" ht="27.75" customHeight="1" s="24">
      <c r="A9013" s="13" t="n">
        <v>5000121579</v>
      </c>
      <c r="B9013" s="13" t="inlineStr">
        <is>
          <t>Территориальное управление "Верхоленская администрация"</t>
        </is>
      </c>
      <c r="C9013" s="13" t="n">
        <v>3808294572</v>
      </c>
      <c r="D9013" s="13" t="inlineStr">
        <is>
          <t>3808294572</t>
        </is>
      </c>
      <c r="E9013" s="13" t="inlineStr">
        <is>
          <t>ЮЛ РФ</t>
        </is>
      </c>
      <c r="F9013" s="13" t="n"/>
      <c r="G9013" s="14" t="n"/>
      <c r="H9013" s="14" t="n"/>
      <c r="I9013" s="14" t="n"/>
      <c r="J9013" s="14" t="n"/>
      <c r="K9013" s="53" t="inlineStr"/>
      <c r="L9013" s="53" t="inlineStr">
        <is>
          <t>Не определено</t>
        </is>
      </c>
      <c r="M9013" s="53" t="inlineStr"/>
      <c r="N9013" s="54" t="inlineStr"/>
      <c r="O9013" s="55" t="inlineStr"/>
      <c r="P9013" s="16" t="inlineStr">
        <is>
          <t>Требует обогащения</t>
        </is>
      </c>
      <c r="Q9013" s="16">
        <f>HYPERLINK("https://pb.nalog.ru/search.html?query=3808294572","ФНС: проверить")</f>
        <v/>
      </c>
      <c r="R9013" s="16">
        <f>HYPERLINK("https://checko.ru/search?query=3801001629","Чекко: проверить")</f>
        <v/>
      </c>
      <c r="S9013" t="n">
        <v>1</v>
      </c>
      <c r="T9013" s="35" t="inlineStr">
        <is>
          <t>4 — Не обогащён</t>
        </is>
      </c>
      <c r="U9013" s="35" t="inlineStr">
        <is>
          <t>Нет ОКВЭД/ССЧР</t>
        </is>
      </c>
      <c r="V9013" s="35" t="inlineStr">
        <is>
          <t>Не определено</t>
        </is>
      </c>
      <c r="W9013" s="35" t="inlineStr"/>
      <c r="X9013" s="35" t="inlineStr"/>
    </row>
    <row r="9014" ht="27.75" customHeight="1" s="24">
      <c r="A9014" s="13" t="n">
        <v>5000121581</v>
      </c>
      <c r="B9014" s="13" t="inlineStr">
        <is>
          <t>Территориальное управление "Залогская администрация"</t>
        </is>
      </c>
      <c r="C9014" s="13" t="n">
        <v>3808294580</v>
      </c>
      <c r="D9014" s="13" t="inlineStr">
        <is>
          <t>3808294580</t>
        </is>
      </c>
      <c r="E9014" s="13" t="inlineStr">
        <is>
          <t>ЮЛ РФ</t>
        </is>
      </c>
      <c r="F9014" s="13" t="n"/>
      <c r="G9014" s="14" t="n"/>
      <c r="H9014" s="14" t="n"/>
      <c r="I9014" s="14" t="n"/>
      <c r="J9014" s="14" t="n"/>
      <c r="K9014" s="53" t="inlineStr"/>
      <c r="L9014" s="53" t="inlineStr">
        <is>
          <t>Не определено</t>
        </is>
      </c>
      <c r="M9014" s="53" t="inlineStr"/>
      <c r="N9014" s="54" t="inlineStr"/>
      <c r="O9014" s="55" t="inlineStr"/>
      <c r="P9014" s="16" t="inlineStr">
        <is>
          <t>Требует обогащения</t>
        </is>
      </c>
      <c r="Q9014" s="16">
        <f>HYPERLINK("https://pb.nalog.ru/search.html?query=3808294580","ФНС: проверить")</f>
        <v/>
      </c>
      <c r="R9014" s="16">
        <f>HYPERLINK("https://checko.ru/search?query=3801001629","Чекко: проверить")</f>
        <v/>
      </c>
      <c r="S9014" t="n">
        <v>1</v>
      </c>
      <c r="T9014" s="35" t="inlineStr">
        <is>
          <t>4 — Не обогащён</t>
        </is>
      </c>
      <c r="U9014" s="35" t="inlineStr">
        <is>
          <t>Нет ОКВЭД/ССЧР</t>
        </is>
      </c>
      <c r="V9014" s="35" t="inlineStr">
        <is>
          <t>Не определено</t>
        </is>
      </c>
      <c r="W9014" s="35" t="inlineStr"/>
      <c r="X9014" s="35" t="inlineStr"/>
    </row>
    <row r="9015" ht="27.75" customHeight="1" s="24">
      <c r="A9015" s="13" t="n">
        <v>5000121582</v>
      </c>
      <c r="B9015" s="13" t="inlineStr">
        <is>
          <t>Территориальное управление "Зареченская администрация"</t>
        </is>
      </c>
      <c r="C9015" s="13" t="n">
        <v>3808294540</v>
      </c>
      <c r="D9015" s="13" t="inlineStr">
        <is>
          <t>3808294540</t>
        </is>
      </c>
      <c r="E9015" s="13" t="inlineStr">
        <is>
          <t>ЮЛ РФ</t>
        </is>
      </c>
      <c r="F9015" s="13" t="n"/>
      <c r="G9015" s="14" t="n"/>
      <c r="H9015" s="14" t="n"/>
      <c r="I9015" s="14" t="n"/>
      <c r="J9015" s="14" t="n"/>
      <c r="K9015" s="53" t="inlineStr"/>
      <c r="L9015" s="53" t="inlineStr">
        <is>
          <t>Не определено</t>
        </is>
      </c>
      <c r="M9015" s="53" t="inlineStr"/>
      <c r="N9015" s="54" t="inlineStr"/>
      <c r="O9015" s="55" t="inlineStr"/>
      <c r="P9015" s="16" t="inlineStr">
        <is>
          <t>Требует обогащения</t>
        </is>
      </c>
      <c r="Q9015" s="16">
        <f>HYPERLINK("https://pb.nalog.ru/search.html?query=3808294540","ФНС: проверить")</f>
        <v/>
      </c>
      <c r="R9015" s="16">
        <f>HYPERLINK("https://checko.ru/search?query=3801001629","Чекко: проверить")</f>
        <v/>
      </c>
      <c r="S9015" t="n">
        <v>1</v>
      </c>
      <c r="T9015" s="35" t="inlineStr">
        <is>
          <t>4 — Не обогащён</t>
        </is>
      </c>
      <c r="U9015" s="35" t="inlineStr">
        <is>
          <t>Нет ОКВЭД/ССЧР</t>
        </is>
      </c>
      <c r="V9015" s="35" t="inlineStr">
        <is>
          <t>Не определено</t>
        </is>
      </c>
      <c r="W9015" s="35" t="inlineStr"/>
      <c r="X9015" s="35" t="inlineStr"/>
    </row>
    <row r="9016" ht="27.75" customHeight="1" s="24">
      <c r="A9016" s="13" t="n">
        <v>5000121583</v>
      </c>
      <c r="B9016" s="13" t="inlineStr">
        <is>
          <t>Территориальное управление "Карлукское администрация"</t>
        </is>
      </c>
      <c r="C9016" s="13" t="n">
        <v>3808294526</v>
      </c>
      <c r="D9016" s="13" t="inlineStr">
        <is>
          <t>3808294526</t>
        </is>
      </c>
      <c r="E9016" s="13" t="inlineStr">
        <is>
          <t>ЮЛ РФ</t>
        </is>
      </c>
      <c r="F9016" s="13" t="n"/>
      <c r="G9016" s="14" t="n"/>
      <c r="H9016" s="14" t="n"/>
      <c r="I9016" s="14" t="n"/>
      <c r="J9016" s="14" t="n"/>
      <c r="K9016" s="53" t="inlineStr"/>
      <c r="L9016" s="53" t="inlineStr">
        <is>
          <t>Не определено</t>
        </is>
      </c>
      <c r="M9016" s="53" t="inlineStr"/>
      <c r="N9016" s="54" t="inlineStr"/>
      <c r="O9016" s="55" t="inlineStr"/>
      <c r="P9016" s="16" t="inlineStr">
        <is>
          <t>Требует обогащения</t>
        </is>
      </c>
      <c r="Q9016" s="16">
        <f>HYPERLINK("https://pb.nalog.ru/search.html?query=3808294526","ФНС: проверить")</f>
        <v/>
      </c>
      <c r="R9016" s="16">
        <f>HYPERLINK("https://checko.ru/search?query=3801001629","Чекко: проверить")</f>
        <v/>
      </c>
      <c r="S9016" t="n">
        <v>1</v>
      </c>
      <c r="T9016" s="35" t="inlineStr">
        <is>
          <t>4 — Не обогащён</t>
        </is>
      </c>
      <c r="U9016" s="35" t="inlineStr">
        <is>
          <t>Нет ОКВЭД/ССЧР</t>
        </is>
      </c>
      <c r="V9016" s="35" t="inlineStr">
        <is>
          <t>Не определено</t>
        </is>
      </c>
      <c r="W9016" s="35" t="inlineStr"/>
      <c r="X9016" s="35" t="inlineStr"/>
    </row>
    <row r="9017" ht="27.75" customHeight="1" s="24">
      <c r="A9017" s="13" t="n">
        <v>5000121584</v>
      </c>
      <c r="B9017" s="13" t="inlineStr">
        <is>
          <t>Территориальное управление "Качугская сельская администрация"</t>
        </is>
      </c>
      <c r="C9017" s="13" t="n">
        <v>3808294460</v>
      </c>
      <c r="D9017" s="13" t="inlineStr">
        <is>
          <t>3808294460</t>
        </is>
      </c>
      <c r="E9017" s="13" t="inlineStr">
        <is>
          <t>ЮЛ РФ</t>
        </is>
      </c>
      <c r="F9017" s="13" t="n"/>
      <c r="G9017" s="14" t="n"/>
      <c r="H9017" s="14" t="n"/>
      <c r="I9017" s="14" t="n"/>
      <c r="J9017" s="14" t="n"/>
      <c r="K9017" s="53" t="inlineStr"/>
      <c r="L9017" s="53" t="inlineStr">
        <is>
          <t>Не определено</t>
        </is>
      </c>
      <c r="M9017" s="53" t="inlineStr"/>
      <c r="N9017" s="54" t="inlineStr"/>
      <c r="O9017" s="55" t="inlineStr"/>
      <c r="P9017" s="16" t="inlineStr">
        <is>
          <t>Требует обогащения</t>
        </is>
      </c>
      <c r="Q9017" s="16">
        <f>HYPERLINK("https://pb.nalog.ru/search.html?query=3808294460","ФНС: проверить")</f>
        <v/>
      </c>
      <c r="R9017" s="16">
        <f>HYPERLINK("https://checko.ru/search?query=3801001629","Чекко: проверить")</f>
        <v/>
      </c>
      <c r="S9017" t="n">
        <v>1</v>
      </c>
      <c r="T9017" s="35" t="inlineStr">
        <is>
          <t>4 — Не обогащён</t>
        </is>
      </c>
      <c r="U9017" s="35" t="inlineStr">
        <is>
          <t>Нет ОКВЭД/ССЧР</t>
        </is>
      </c>
      <c r="V9017" s="35" t="inlineStr">
        <is>
          <t>Не определено</t>
        </is>
      </c>
      <c r="W9017" s="35" t="inlineStr"/>
      <c r="X9017" s="35" t="inlineStr"/>
    </row>
    <row r="9018" ht="27.75" customHeight="1" s="24">
      <c r="A9018" s="13" t="n">
        <v>5000121586</v>
      </c>
      <c r="B9018" s="13" t="inlineStr">
        <is>
          <t>Территориальное управление "Манзурская администрация"</t>
        </is>
      </c>
      <c r="C9018" s="13" t="n">
        <v>3808294533</v>
      </c>
      <c r="D9018" s="13" t="inlineStr">
        <is>
          <t>3808294533</t>
        </is>
      </c>
      <c r="E9018" s="13" t="inlineStr">
        <is>
          <t>ЮЛ РФ</t>
        </is>
      </c>
      <c r="F9018" s="13" t="n"/>
      <c r="G9018" s="14" t="n"/>
      <c r="H9018" s="14" t="n"/>
      <c r="I9018" s="14" t="n"/>
      <c r="J9018" s="14" t="n"/>
      <c r="K9018" s="53" t="inlineStr"/>
      <c r="L9018" s="53" t="inlineStr">
        <is>
          <t>Не определено</t>
        </is>
      </c>
      <c r="M9018" s="53" t="inlineStr"/>
      <c r="N9018" s="54" t="inlineStr"/>
      <c r="O9018" s="55" t="inlineStr"/>
      <c r="P9018" s="16" t="inlineStr">
        <is>
          <t>Требует обогащения</t>
        </is>
      </c>
      <c r="Q9018" s="16">
        <f>HYPERLINK("https://pb.nalog.ru/search.html?query=3808294533","ФНС: проверить")</f>
        <v/>
      </c>
      <c r="R9018" s="16">
        <f>HYPERLINK("https://checko.ru/search?query=3801001629","Чекко: проверить")</f>
        <v/>
      </c>
      <c r="S9018" t="n">
        <v>1</v>
      </c>
      <c r="T9018" s="35" t="inlineStr">
        <is>
          <t>4 — Не обогащён</t>
        </is>
      </c>
      <c r="U9018" s="35" t="inlineStr">
        <is>
          <t>Нет ОКВЭД/ССЧР</t>
        </is>
      </c>
      <c r="V9018" s="35" t="inlineStr">
        <is>
          <t>Не определено</t>
        </is>
      </c>
      <c r="W9018" s="35" t="inlineStr"/>
      <c r="X9018" s="35" t="inlineStr"/>
    </row>
    <row r="9019" ht="27.75" customHeight="1" s="24">
      <c r="A9019" s="13" t="n">
        <v>5000122097</v>
      </c>
      <c r="B9019" s="13" t="inlineStr">
        <is>
          <t>Министерство архитектуры и градостроительства Камчатского края</t>
        </is>
      </c>
      <c r="C9019" s="13" t="n">
        <v>4100057287</v>
      </c>
      <c r="D9019" s="13" t="inlineStr">
        <is>
          <t>4100057287</t>
        </is>
      </c>
      <c r="E9019" s="13" t="inlineStr">
        <is>
          <t>ЮЛ РФ</t>
        </is>
      </c>
      <c r="F9019" s="13" t="n"/>
      <c r="G9019" s="14" t="n"/>
      <c r="H9019" s="14" t="n"/>
      <c r="I9019" s="14" t="n"/>
      <c r="J9019" s="14" t="n"/>
      <c r="K9019" s="53" t="inlineStr"/>
      <c r="L9019" s="53" t="inlineStr">
        <is>
          <t>Не определено</t>
        </is>
      </c>
      <c r="M9019" s="53" t="inlineStr"/>
      <c r="N9019" s="54" t="inlineStr"/>
      <c r="O9019" s="55" t="inlineStr"/>
      <c r="P9019" s="16" t="inlineStr">
        <is>
          <t>Требует обогащения</t>
        </is>
      </c>
      <c r="Q9019" s="16">
        <f>HYPERLINK("https://pb.nalog.ru/search.html?query=4100057287","ФНС: проверить")</f>
        <v/>
      </c>
      <c r="R9019" s="16">
        <f>HYPERLINK("https://checko.ru/search?query=3801001629","Чекко: проверить")</f>
        <v/>
      </c>
      <c r="S9019" t="n">
        <v>1</v>
      </c>
      <c r="T9019" s="35" t="inlineStr">
        <is>
          <t>4 — Не обогащён</t>
        </is>
      </c>
      <c r="U9019" s="35" t="inlineStr">
        <is>
          <t>Нет ОКВЭД/ССЧР</t>
        </is>
      </c>
      <c r="V9019" s="35" t="inlineStr">
        <is>
          <t>Не определено</t>
        </is>
      </c>
      <c r="W9019" s="35" t="inlineStr"/>
      <c r="X9019" s="35" t="inlineStr"/>
    </row>
    <row r="9020" ht="41.25" customHeight="1" s="24">
      <c r="A9020" s="13" t="n">
        <v>801097814</v>
      </c>
      <c r="B9020" s="13" t="inlineStr">
        <is>
          <t>МКУ "Централизованная бухгалтерия образовательных учреждений г.Бодайбо и района"</t>
        </is>
      </c>
      <c r="C9020" s="13" t="n">
        <v>3802012038</v>
      </c>
      <c r="D9020" s="13" t="inlineStr">
        <is>
          <t>3802012038</t>
        </is>
      </c>
      <c r="E9020" s="13" t="inlineStr">
        <is>
          <t>ЮЛ РФ</t>
        </is>
      </c>
      <c r="F9020" s="13" t="n"/>
      <c r="G9020" s="14" t="n"/>
      <c r="H9020" s="14" t="n"/>
      <c r="I9020" s="14" t="n"/>
      <c r="J9020" s="14" t="n"/>
      <c r="K9020" s="53" t="inlineStr"/>
      <c r="L9020" s="53" t="inlineStr">
        <is>
          <t>Не определено</t>
        </is>
      </c>
      <c r="M9020" s="53" t="inlineStr"/>
      <c r="N9020" s="54" t="inlineStr"/>
      <c r="O9020" s="55" t="inlineStr"/>
      <c r="P9020" s="16" t="inlineStr">
        <is>
          <t>Требует обогащения</t>
        </is>
      </c>
      <c r="Q9020" s="16">
        <f>HYPERLINK("https://pb.nalog.ru/search.html?query=3802012038","ФНС: проверить")</f>
        <v/>
      </c>
      <c r="R9020" s="16">
        <f>HYPERLINK("https://checko.ru/search?query=3801001629","Чекко: проверить")</f>
        <v/>
      </c>
      <c r="S9020" t="n">
        <v>0</v>
      </c>
      <c r="T9020" s="35" t="inlineStr">
        <is>
          <t>4 — Не обогащён</t>
        </is>
      </c>
      <c r="U9020" s="35" t="inlineStr">
        <is>
          <t>Нет ОКВЭД/ССЧР</t>
        </is>
      </c>
      <c r="V9020" s="35" t="inlineStr">
        <is>
          <t>Не определено</t>
        </is>
      </c>
      <c r="W9020" s="35" t="inlineStr"/>
      <c r="X9020" s="35" t="inlineStr"/>
    </row>
    <row r="9021" ht="54.75" customHeight="1" s="24">
      <c r="A9021" s="13" t="inlineStr">
        <is>
          <t>NPC1C_15</t>
        </is>
      </c>
      <c r="B9021" s="13" t="inlineStr">
        <is>
          <t>МКУ ЦЕНТРАЛИЗОВАННАЯ БУХГАЛТЕРИЯ № 3 ПО ОБЕСПЕЧЕНИЮ ДЕЯТЕЛЬНОСТИ МУНИЦИПАЛЬНЫХ ОБРАЗОВАТЕЛЬНЫХ УЧРЕЖДЕНИЙ Г. ИРКУТСКА</t>
        </is>
      </c>
      <c r="C9021" s="13" t="n">
        <v>3810031235</v>
      </c>
      <c r="D9021" s="13" t="inlineStr">
        <is>
          <t>3810031235</t>
        </is>
      </c>
      <c r="E9021" s="13" t="inlineStr">
        <is>
          <t>ЮЛ РФ</t>
        </is>
      </c>
      <c r="F9021" s="13" t="n"/>
      <c r="G9021" s="14" t="n"/>
      <c r="H9021" s="14" t="n"/>
      <c r="I9021" s="14" t="n"/>
      <c r="J9021" s="14" t="n"/>
      <c r="K9021" s="53" t="inlineStr"/>
      <c r="L9021" s="53" t="inlineStr">
        <is>
          <t>Не определено</t>
        </is>
      </c>
      <c r="M9021" s="53" t="inlineStr"/>
      <c r="N9021" s="54" t="inlineStr"/>
      <c r="O9021" s="55" t="inlineStr"/>
      <c r="P9021" s="16" t="inlineStr">
        <is>
          <t>Требует обогащения</t>
        </is>
      </c>
      <c r="Q9021" s="16">
        <f>HYPERLINK("https://pb.nalog.ru/search.html?query=3810031235","ФНС: проверить")</f>
        <v/>
      </c>
      <c r="R9021" s="16">
        <f>HYPERLINK("https://checko.ru/search?query=3801001629","Чекко: проверить")</f>
        <v/>
      </c>
      <c r="S9021" t="n">
        <v>0</v>
      </c>
      <c r="T9021" s="35" t="inlineStr">
        <is>
          <t>4 — Не обогащён</t>
        </is>
      </c>
      <c r="U9021" s="35" t="inlineStr">
        <is>
          <t>Нет ОКВЭД/ССЧР</t>
        </is>
      </c>
      <c r="V9021" s="35" t="inlineStr">
        <is>
          <t>Не определено</t>
        </is>
      </c>
      <c r="W9021" s="35" t="inlineStr"/>
      <c r="X9021" s="35" t="inlineStr"/>
    </row>
    <row r="9022" ht="41.25" customHeight="1" s="24">
      <c r="A9022" s="13" t="inlineStr">
        <is>
          <t>NPC1C_14</t>
        </is>
      </c>
      <c r="B9022" s="13" t="inlineStr">
        <is>
          <t>МКУ города Иркутска "Централизованная бухгалтерия № 5 по обеспечению деятельности муниципальных образовательных учрежде</t>
        </is>
      </c>
      <c r="C9022" s="13" t="n">
        <v>3812014323</v>
      </c>
      <c r="D9022" s="13" t="inlineStr">
        <is>
          <t>3812014323</t>
        </is>
      </c>
      <c r="E9022" s="13" t="inlineStr">
        <is>
          <t>ЮЛ РФ</t>
        </is>
      </c>
      <c r="F9022" s="13" t="n"/>
      <c r="G9022" s="14" t="n"/>
      <c r="H9022" s="14" t="n"/>
      <c r="I9022" s="14" t="n"/>
      <c r="J9022" s="14" t="n"/>
      <c r="K9022" s="53" t="inlineStr"/>
      <c r="L9022" s="53" t="inlineStr">
        <is>
          <t>Не определено</t>
        </is>
      </c>
      <c r="M9022" s="53" t="inlineStr"/>
      <c r="N9022" s="54" t="inlineStr"/>
      <c r="O9022" s="55" t="inlineStr"/>
      <c r="P9022" s="16" t="inlineStr">
        <is>
          <t>Требует обогащения</t>
        </is>
      </c>
      <c r="Q9022" s="16">
        <f>HYPERLINK("https://pb.nalog.ru/search.html?query=3812014323","ФНС: проверить")</f>
        <v/>
      </c>
      <c r="R9022" s="16">
        <f>HYPERLINK("https://checko.ru/search?query=3801001629","Чекко: проверить")</f>
        <v/>
      </c>
      <c r="S9022" t="n">
        <v>0</v>
      </c>
      <c r="T9022" s="35" t="inlineStr">
        <is>
          <t>4 — Не обогащён</t>
        </is>
      </c>
      <c r="U9022" s="35" t="inlineStr">
        <is>
          <t>Нет ОКВЭД/ССЧР</t>
        </is>
      </c>
      <c r="V9022" s="35" t="inlineStr">
        <is>
          <t>Не определено</t>
        </is>
      </c>
      <c r="W9022" s="35" t="inlineStr"/>
      <c r="X9022" s="35" t="inlineStr"/>
    </row>
    <row r="9023" ht="41.25" customHeight="1" s="24">
      <c r="A9023" s="13" t="inlineStr">
        <is>
          <t>NPC1C_19</t>
        </is>
      </c>
      <c r="B9023" s="13" t="inlineStr">
        <is>
          <t>Централизованная бухгалтерия № 4 по обеспечению деятельности муниципальных образовательных учреждений г. Иркутска</t>
        </is>
      </c>
      <c r="C9023" s="13" t="n">
        <v>3811069640</v>
      </c>
      <c r="D9023" s="13" t="inlineStr">
        <is>
          <t>3811069640</t>
        </is>
      </c>
      <c r="E9023" s="13" t="inlineStr">
        <is>
          <t>ЮЛ РФ</t>
        </is>
      </c>
      <c r="F9023" s="13" t="n"/>
      <c r="G9023" s="14" t="n"/>
      <c r="H9023" s="14" t="n"/>
      <c r="I9023" s="14" t="n"/>
      <c r="J9023" s="14" t="n"/>
      <c r="K9023" s="53" t="inlineStr"/>
      <c r="L9023" s="53" t="inlineStr">
        <is>
          <t>Не определено</t>
        </is>
      </c>
      <c r="M9023" s="53" t="inlineStr"/>
      <c r="N9023" s="54" t="inlineStr"/>
      <c r="O9023" s="55" t="inlineStr"/>
      <c r="P9023" s="16" t="inlineStr">
        <is>
          <t>Требует обогащения</t>
        </is>
      </c>
      <c r="Q9023" s="16">
        <f>HYPERLINK("https://pb.nalog.ru/search.html?query=3811069640","ФНС: проверить")</f>
        <v/>
      </c>
      <c r="R9023" s="16">
        <f>HYPERLINK("https://checko.ru/search?query=3801001629","Чекко: проверить")</f>
        <v/>
      </c>
      <c r="S9023" t="n">
        <v>0</v>
      </c>
      <c r="T9023" s="35" t="inlineStr">
        <is>
          <t>4 — Не обогащён</t>
        </is>
      </c>
      <c r="U9023" s="35" t="inlineStr">
        <is>
          <t>Нет ОКВЭД/ССЧР</t>
        </is>
      </c>
      <c r="V9023" s="35" t="inlineStr">
        <is>
          <t>Не определено</t>
        </is>
      </c>
      <c r="W9023" s="35" t="inlineStr"/>
      <c r="X9023" s="35" t="inlineStr"/>
    </row>
    <row r="9024" ht="54.75" customHeight="1" s="24">
      <c r="A9024" s="13" t="inlineStr">
        <is>
          <t>NPC1C_15</t>
        </is>
      </c>
      <c r="B9024" s="13" t="inlineStr">
        <is>
          <t>МКУ ЦЕНТРАЛИЗОВАННАЯ БУХГАЛТЕРИЯ № 3 ПО ОБЕСПЕЧЕНИЮ ДЕЯТЕЛЬНОСТИ МУНИЦИПАЛЬНЫХ ОБРАЗОВАТЕЛЬНЫХ УЧРЕЖДЕНИЙ Г. ИРКУТСКА</t>
        </is>
      </c>
      <c r="C9024" s="13" t="n">
        <v>3810031235</v>
      </c>
      <c r="D9024" s="13" t="inlineStr">
        <is>
          <t>3810031235</t>
        </is>
      </c>
      <c r="E9024" s="13" t="inlineStr">
        <is>
          <t>ЮЛ РФ</t>
        </is>
      </c>
      <c r="F9024" s="13" t="n"/>
      <c r="G9024" s="14" t="n"/>
      <c r="H9024" s="14" t="n"/>
      <c r="I9024" s="14" t="n"/>
      <c r="J9024" s="14" t="n"/>
      <c r="K9024" s="53" t="inlineStr"/>
      <c r="L9024" s="53" t="inlineStr">
        <is>
          <t>Не определено</t>
        </is>
      </c>
      <c r="M9024" s="53" t="inlineStr"/>
      <c r="N9024" s="54" t="inlineStr"/>
      <c r="O9024" s="55" t="inlineStr"/>
      <c r="P9024" s="16" t="inlineStr">
        <is>
          <t>Требует обогащения</t>
        </is>
      </c>
      <c r="Q9024" s="16">
        <f>HYPERLINK("https://pb.nalog.ru/search.html?query=3810031235","ФНС: проверить")</f>
        <v/>
      </c>
      <c r="R9024" s="16">
        <f>HYPERLINK("https://checko.ru/search?query=3801001629","Чекко: проверить")</f>
        <v/>
      </c>
      <c r="S9024" t="n">
        <v>0</v>
      </c>
      <c r="T9024" s="35" t="inlineStr">
        <is>
          <t>4 — Не обогащён</t>
        </is>
      </c>
      <c r="U9024" s="35" t="inlineStr">
        <is>
          <t>Нет ОКВЭД/ССЧР</t>
        </is>
      </c>
      <c r="V9024" s="35" t="inlineStr">
        <is>
          <t>Не определено</t>
        </is>
      </c>
      <c r="W9024" s="35" t="inlineStr"/>
      <c r="X9024" s="35" t="inlineStr"/>
    </row>
    <row r="9025" ht="54.75" customHeight="1" s="24">
      <c r="A9025" s="13" t="inlineStr">
        <is>
          <t>NPC1C_15</t>
        </is>
      </c>
      <c r="B9025" s="13" t="inlineStr">
        <is>
          <t>МКУ ЦЕНТРАЛИЗОВАННАЯ БУХГАЛТЕРИЯ № 3 ПО ОБЕСПЕЧЕНИЮ ДЕЯТЕЛЬНОСТИ МУНИЦИПАЛЬНЫХ ОБРАЗОВАТЕЛЬНЫХ УЧРЕЖДЕНИЙ Г. ИРКУТСКА</t>
        </is>
      </c>
      <c r="C9025" s="13" t="n">
        <v>3810031235</v>
      </c>
      <c r="D9025" s="13" t="inlineStr">
        <is>
          <t>3810031235</t>
        </is>
      </c>
      <c r="E9025" s="13" t="inlineStr">
        <is>
          <t>ЮЛ РФ</t>
        </is>
      </c>
      <c r="F9025" s="13" t="n"/>
      <c r="G9025" s="14" t="n"/>
      <c r="H9025" s="14" t="n"/>
      <c r="I9025" s="14" t="n"/>
      <c r="J9025" s="14" t="n"/>
      <c r="K9025" s="53" t="inlineStr"/>
      <c r="L9025" s="53" t="inlineStr">
        <is>
          <t>Не определено</t>
        </is>
      </c>
      <c r="M9025" s="53" t="inlineStr"/>
      <c r="N9025" s="54" t="inlineStr"/>
      <c r="O9025" s="55" t="inlineStr"/>
      <c r="P9025" s="16" t="inlineStr">
        <is>
          <t>Требует обогащения</t>
        </is>
      </c>
      <c r="Q9025" s="16">
        <f>HYPERLINK("https://pb.nalog.ru/search.html?query=3810031235","ФНС: проверить")</f>
        <v/>
      </c>
      <c r="R9025" s="16">
        <f>HYPERLINK("https://checko.ru/search?query=3801001629","Чекко: проверить")</f>
        <v/>
      </c>
      <c r="S9025" t="n">
        <v>0</v>
      </c>
      <c r="T9025" s="35" t="inlineStr">
        <is>
          <t>4 — Не обогащён</t>
        </is>
      </c>
      <c r="U9025" s="35" t="inlineStr">
        <is>
          <t>Нет ОКВЭД/ССЧР</t>
        </is>
      </c>
      <c r="V9025" s="35" t="inlineStr">
        <is>
          <t>Не определено</t>
        </is>
      </c>
      <c r="W9025" s="35" t="inlineStr"/>
      <c r="X9025" s="35" t="inlineStr"/>
    </row>
  </sheetData>
  <autoFilter ref="A4:X9025"/>
  <mergeCells count="3">
    <mergeCell ref="A3:L3"/>
    <mergeCell ref="A2:R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4" min="1" max="1"/>
    <col width="36" customWidth="1" style="24" min="2" max="2"/>
    <col width="12" customWidth="1" style="24" min="3" max="3"/>
    <col width="10" customWidth="1" style="24" min="4" max="4"/>
    <col width="16" customWidth="1" style="24" min="5" max="5"/>
    <col width="14" customWidth="1" style="24" min="6" max="6"/>
    <col width="18" customWidth="1" style="24" min="7" max="7"/>
    <col width="14" customWidth="1" style="24" min="8" max="8"/>
    <col width="14" customWidth="1" style="24" min="9" max="9"/>
    <col width="14" customWidth="1" style="24" min="10" max="10"/>
    <col width="28" customWidth="1" style="24" min="11" max="11"/>
  </cols>
  <sheetData>
    <row r="1">
      <c r="A1" s="32" t="inlineStr">
        <is>
          <t>Горячие клиенты — ежедневная работа отдела продаж</t>
        </is>
      </c>
    </row>
    <row r="2">
      <c r="A2" t="inlineStr">
        <is>
          <t>Критерии: целевой ОКВЭД + 22+ сотрудников, либо 50+, либо приоритет «1 — Горячий». Заполните ответственного и статусы (зелёные).</t>
        </is>
      </c>
      <c r="E2" s="36" t="inlineStr">
        <is>
          <t>Записей: 345</t>
        </is>
      </c>
    </row>
    <row r="4">
      <c r="A4" s="38" t="inlineStr">
        <is>
          <t>ИНН</t>
        </is>
      </c>
      <c r="B4" s="38" t="inlineStr">
        <is>
          <t>Компания</t>
        </is>
      </c>
      <c r="C4" s="38" t="inlineStr">
        <is>
          <t>Основной ОКВЭД</t>
        </is>
      </c>
      <c r="D4" s="38" t="inlineStr">
        <is>
          <t>ССЧР</t>
        </is>
      </c>
      <c r="E4" s="38" t="inlineStr">
        <is>
          <t>Приоритет</t>
        </is>
      </c>
      <c r="F4" s="38" t="inlineStr">
        <is>
          <t>Потенциал ₽/год</t>
        </is>
      </c>
      <c r="G4" s="38" t="inlineStr">
        <is>
          <t>Ответственный менеджер</t>
        </is>
      </c>
      <c r="H4" s="38" t="inlineStr">
        <is>
          <t>Дата обработки</t>
        </is>
      </c>
      <c r="I4" s="38" t="inlineStr">
        <is>
          <t>Статус</t>
        </is>
      </c>
      <c r="J4" s="38" t="inlineStr">
        <is>
          <t>Следующий контакт</t>
        </is>
      </c>
      <c r="K4" s="38" t="inlineStr">
        <is>
          <t>Комментарий</t>
        </is>
      </c>
    </row>
    <row r="5">
      <c r="A5" s="35" t="inlineStr">
        <is>
          <t>3808224590</t>
        </is>
      </c>
      <c r="B5" s="35" t="inlineStr">
        <is>
          <t>ООО "БайкалВЭД"</t>
        </is>
      </c>
      <c r="C5" s="35" t="inlineStr">
        <is>
          <t>16.23</t>
        </is>
      </c>
      <c r="D5" s="35" t="n">
        <v>22</v>
      </c>
      <c r="E5" s="35" t="inlineStr">
        <is>
          <t>1 — Горячий</t>
        </is>
      </c>
      <c r="F5" s="41" t="n">
        <v>8400</v>
      </c>
      <c r="G5" s="34" t="inlineStr">
        <is>
          <t>Оглоблина</t>
        </is>
      </c>
      <c r="H5" s="34" t="n"/>
      <c r="I5" s="34" t="inlineStr">
        <is>
          <t>В работе</t>
        </is>
      </c>
      <c r="J5" s="34" t="n"/>
      <c r="K5" s="34" t="inlineStr">
        <is>
          <t>со сбисом</t>
        </is>
      </c>
    </row>
    <row r="6">
      <c r="A6" s="35" t="inlineStr">
        <is>
          <t>3814019503</t>
        </is>
      </c>
      <c r="B6" s="35" t="inlineStr">
        <is>
          <t>ООО "ДЭП №153"</t>
        </is>
      </c>
      <c r="C6" s="35" t="inlineStr">
        <is>
          <t>42.11</t>
        </is>
      </c>
      <c r="D6" s="35" t="n">
        <v>221</v>
      </c>
      <c r="E6" s="35" t="inlineStr">
        <is>
          <t>1 — Горячий</t>
        </is>
      </c>
      <c r="F6" s="41" t="n">
        <v>144000</v>
      </c>
      <c r="G6" s="34" t="inlineStr">
        <is>
          <t>Юнусова</t>
        </is>
      </c>
      <c r="H6" s="34" t="n"/>
      <c r="I6" s="34" t="inlineStr">
        <is>
          <t>В работе</t>
        </is>
      </c>
      <c r="J6" s="34" t="n"/>
      <c r="K6" s="34" t="inlineStr">
        <is>
          <t>не работают с трн</t>
        </is>
      </c>
    </row>
    <row r="7">
      <c r="A7" s="35" t="inlineStr">
        <is>
          <t>3814008565</t>
        </is>
      </c>
      <c r="B7" s="35" t="inlineStr">
        <is>
          <t>ООО "Саянск-Лифт"</t>
        </is>
      </c>
      <c r="C7" s="35" t="inlineStr">
        <is>
          <t>43.29</t>
        </is>
      </c>
      <c r="D7" s="35" t="n">
        <v>25</v>
      </c>
      <c r="E7" s="35" t="inlineStr">
        <is>
          <t>1 — Горячий</t>
        </is>
      </c>
      <c r="F7" s="41" t="n">
        <v>8400</v>
      </c>
      <c r="G7" s="34" t="inlineStr">
        <is>
          <t>Кургузов</t>
        </is>
      </c>
      <c r="H7" s="34" t="n"/>
      <c r="I7" s="34" t="inlineStr">
        <is>
          <t>В работе</t>
        </is>
      </c>
      <c r="J7" s="34" t="n"/>
      <c r="K7" s="34" t="inlineStr">
        <is>
          <t>ответили на почту отпр, свяжутся сами</t>
        </is>
      </c>
    </row>
    <row r="8">
      <c r="A8" s="35" t="inlineStr">
        <is>
          <t>3818043360</t>
        </is>
      </c>
      <c r="B8" s="35" t="inlineStr">
        <is>
          <t>ООО "ТЕРМИНАЛ ЛЕНАРЕЧТРАНС"</t>
        </is>
      </c>
      <c r="C8" s="35" t="inlineStr">
        <is>
          <t>50.40.1</t>
        </is>
      </c>
      <c r="D8" s="35" t="n">
        <v>248</v>
      </c>
      <c r="E8" s="35" t="inlineStr">
        <is>
          <t>1 — Горячий</t>
        </is>
      </c>
      <c r="F8" s="41" t="n">
        <v>144000</v>
      </c>
      <c r="G8" s="34" t="inlineStr">
        <is>
          <t>Оглоблина</t>
        </is>
      </c>
      <c r="H8" s="34" t="n"/>
      <c r="I8" s="34" t="inlineStr">
        <is>
          <t>В работе</t>
        </is>
      </c>
      <c r="J8" s="34" t="n"/>
      <c r="K8" s="34" t="inlineStr">
        <is>
          <t>у них контур логистика</t>
        </is>
      </c>
    </row>
    <row r="9">
      <c r="A9" s="35" t="inlineStr">
        <is>
          <t>3804042888</t>
        </is>
      </c>
      <c r="B9" s="35" t="inlineStr">
        <is>
          <t>ООО "Электро Мотор Ремонт"</t>
        </is>
      </c>
      <c r="C9" s="35" t="inlineStr">
        <is>
          <t>33.14</t>
        </is>
      </c>
      <c r="D9" s="35" t="n">
        <v>23</v>
      </c>
      <c r="E9" s="35" t="inlineStr">
        <is>
          <t>1 — Горячий</t>
        </is>
      </c>
      <c r="F9" s="41" t="n">
        <v>8400</v>
      </c>
      <c r="G9" s="34" t="inlineStr">
        <is>
          <t>Юнусова</t>
        </is>
      </c>
      <c r="H9" s="34" t="n"/>
      <c r="I9" s="34" t="inlineStr">
        <is>
          <t>В работе</t>
        </is>
      </c>
      <c r="J9" s="34" t="n"/>
      <c r="K9" s="34" t="inlineStr">
        <is>
          <t>оквед не тот</t>
        </is>
      </c>
    </row>
    <row r="10">
      <c r="A10" s="35" t="inlineStr">
        <is>
          <t>3827014037</t>
        </is>
      </c>
      <c r="B10" s="35" t="inlineStr">
        <is>
          <t>ООО "СТАТУССИБ"</t>
        </is>
      </c>
      <c r="C10" s="35" t="inlineStr">
        <is>
          <t>42.11</t>
        </is>
      </c>
      <c r="D10" s="35" t="n">
        <v>433</v>
      </c>
      <c r="E10" s="35" t="inlineStr">
        <is>
          <t>1 — Горячий</t>
        </is>
      </c>
      <c r="F10" s="41" t="n">
        <v>144000</v>
      </c>
      <c r="G10" s="34" t="inlineStr">
        <is>
          <t>Кургузов</t>
        </is>
      </c>
      <c r="H10" s="34" t="n"/>
      <c r="I10" s="34" t="inlineStr">
        <is>
          <t>В работе</t>
        </is>
      </c>
      <c r="J10" s="34" t="n"/>
      <c r="K10" s="34" t="inlineStr">
        <is>
          <t>перезвонить марианне, выставила счет</t>
        </is>
      </c>
    </row>
    <row r="11">
      <c r="A11" s="35" t="inlineStr">
        <is>
          <t>3811042751</t>
        </is>
      </c>
      <c r="B11" s="35" t="inlineStr">
        <is>
          <t>ООО "МОНОЛИТСТРОЙ"</t>
        </is>
      </c>
      <c r="C11" s="35" t="inlineStr">
        <is>
          <t>41.20</t>
        </is>
      </c>
      <c r="D11" s="35" t="n">
        <v>34</v>
      </c>
      <c r="E11" s="35" t="inlineStr">
        <is>
          <t>1 — Горячий</t>
        </is>
      </c>
      <c r="F11" s="41" t="n">
        <v>16800</v>
      </c>
      <c r="G11" s="34" t="inlineStr">
        <is>
          <t>Оглоблина</t>
        </is>
      </c>
      <c r="H11" s="34" t="n"/>
      <c r="I11" s="34" t="inlineStr">
        <is>
          <t>В работе</t>
        </is>
      </c>
      <c r="J11" s="34" t="n"/>
      <c r="K11" s="34" t="inlineStr">
        <is>
          <t>ндз, не будут исп этрн</t>
        </is>
      </c>
    </row>
    <row r="12">
      <c r="A12" s="35" t="inlineStr">
        <is>
          <t>3821012957</t>
        </is>
      </c>
      <c r="B12" s="35" t="inlineStr">
        <is>
          <t>Шелеховэлектротехмонтаж, ООО</t>
        </is>
      </c>
      <c r="C12" s="35" t="inlineStr">
        <is>
          <t>43.21</t>
        </is>
      </c>
      <c r="D12" s="35" t="n">
        <v>45</v>
      </c>
      <c r="E12" s="35" t="inlineStr">
        <is>
          <t>1 — Горячий</t>
        </is>
      </c>
      <c r="F12" s="41" t="n">
        <v>16800</v>
      </c>
      <c r="G12" s="34" t="inlineStr">
        <is>
          <t>Юнусова</t>
        </is>
      </c>
      <c r="H12" s="34" t="n"/>
      <c r="I12" s="34" t="inlineStr">
        <is>
          <t>В работе</t>
        </is>
      </c>
      <c r="J12" s="34" t="n"/>
      <c r="K12" s="34" t="inlineStr">
        <is>
          <t xml:space="preserve">не работают с тр.накладными </t>
        </is>
      </c>
    </row>
    <row r="13">
      <c r="A13" s="35" t="inlineStr">
        <is>
          <t>3812020373</t>
        </is>
      </c>
      <c r="B13" s="35" t="inlineStr">
        <is>
          <t>Ингео</t>
        </is>
      </c>
      <c r="C13" s="35" t="inlineStr">
        <is>
          <t>01.61</t>
        </is>
      </c>
      <c r="D13" s="35" t="n">
        <v>30</v>
      </c>
      <c r="E13" s="35" t="inlineStr">
        <is>
          <t>1 — Горячий</t>
        </is>
      </c>
      <c r="F13" s="41" t="n">
        <v>16800</v>
      </c>
      <c r="G13" s="34" t="inlineStr">
        <is>
          <t>Кургузов</t>
        </is>
      </c>
      <c r="H13" s="34" t="n"/>
      <c r="I13" s="34" t="inlineStr">
        <is>
          <t>В работе</t>
        </is>
      </c>
      <c r="J13" s="34" t="n"/>
      <c r="K13" s="34" t="inlineStr">
        <is>
          <t>оквед не тот</t>
        </is>
      </c>
    </row>
    <row r="14">
      <c r="A14" s="35" t="inlineStr">
        <is>
          <t>3808128864</t>
        </is>
      </c>
      <c r="B14" s="35" t="inlineStr">
        <is>
          <t>АО "СТОМАТОЛОГИЧЕСКИЙ ЦЕНТР"</t>
        </is>
      </c>
      <c r="C14" s="35" t="inlineStr">
        <is>
          <t>16.10.9</t>
        </is>
      </c>
      <c r="D14" s="35" t="n">
        <v>90</v>
      </c>
      <c r="E14" s="35" t="inlineStr">
        <is>
          <t>1 — Горячий</t>
        </is>
      </c>
      <c r="F14" s="41" t="n">
        <v>33600</v>
      </c>
      <c r="G14" s="34" t="inlineStr">
        <is>
          <t>Оглоблина</t>
        </is>
      </c>
      <c r="H14" s="34" t="n"/>
      <c r="I14" s="34" t="inlineStr">
        <is>
          <t>В работе</t>
        </is>
      </c>
      <c r="J14" s="34" t="n"/>
      <c r="K14" s="34" t="inlineStr">
        <is>
          <t>некогда вообще</t>
        </is>
      </c>
    </row>
    <row r="15">
      <c r="A15" s="35" t="inlineStr">
        <is>
          <t>3811470764</t>
        </is>
      </c>
      <c r="B15" s="35" t="inlineStr">
        <is>
          <t>ВСКР ООО ТПК</t>
        </is>
      </c>
      <c r="C15" s="35" t="inlineStr">
        <is>
          <t>46.90</t>
        </is>
      </c>
      <c r="D15" s="35" t="n">
        <v>34</v>
      </c>
      <c r="E15" s="35" t="inlineStr">
        <is>
          <t>1 — Горячий</t>
        </is>
      </c>
      <c r="F15" s="41" t="n">
        <v>16800</v>
      </c>
      <c r="G15" s="34" t="inlineStr">
        <is>
          <t>Юнусова</t>
        </is>
      </c>
      <c r="H15" s="34" t="n"/>
      <c r="I15" s="34" t="inlineStr">
        <is>
          <t>В работе</t>
        </is>
      </c>
      <c r="J15" s="34" t="n"/>
      <c r="K15" s="34" t="inlineStr">
        <is>
          <t>негативные контакты и ндз</t>
        </is>
      </c>
    </row>
    <row r="16">
      <c r="A16" s="35" t="inlineStr">
        <is>
          <t>3816013458</t>
        </is>
      </c>
      <c r="B16" s="35" t="inlineStr">
        <is>
          <t>Общество с ограниченной ответственностью "Буровзрывные работы"</t>
        </is>
      </c>
      <c r="C16" s="35" t="inlineStr">
        <is>
          <t>43.12.4</t>
        </is>
      </c>
      <c r="D16" s="35" t="n">
        <v>37</v>
      </c>
      <c r="E16" s="35" t="inlineStr">
        <is>
          <t>1 — Горячий</t>
        </is>
      </c>
      <c r="F16" s="41" t="n">
        <v>16800</v>
      </c>
      <c r="G16" s="34" t="inlineStr">
        <is>
          <t>Кургузов</t>
        </is>
      </c>
      <c r="H16" s="34" t="n"/>
      <c r="I16" s="34" t="inlineStr">
        <is>
          <t>В работе</t>
        </is>
      </c>
      <c r="J16" s="34" t="n"/>
      <c r="K16" s="34" t="n"/>
    </row>
    <row r="17">
      <c r="A17" s="35" t="inlineStr">
        <is>
          <t>3808142604</t>
        </is>
      </c>
      <c r="B17" s="35" t="inlineStr">
        <is>
          <t>Русичи Трейд, ООО</t>
        </is>
      </c>
      <c r="C17" s="35" t="inlineStr">
        <is>
          <t>46.90</t>
        </is>
      </c>
      <c r="D17" s="35" t="n">
        <v>69</v>
      </c>
      <c r="E17" s="35" t="inlineStr">
        <is>
          <t>1 — Горячий</t>
        </is>
      </c>
      <c r="F17" s="41" t="n">
        <v>33600</v>
      </c>
      <c r="G17" s="34" t="inlineStr">
        <is>
          <t>Оглоблина</t>
        </is>
      </c>
      <c r="H17" s="34" t="n"/>
      <c r="I17" s="34" t="inlineStr">
        <is>
          <t>В работе</t>
        </is>
      </c>
      <c r="J17" s="34" t="n"/>
      <c r="K17" s="34" t="n"/>
    </row>
    <row r="18">
      <c r="A18" s="35" t="inlineStr">
        <is>
          <t>7726284852</t>
        </is>
      </c>
      <c r="B18" s="35" t="inlineStr">
        <is>
          <t>ОБЩЕСТВО С ОГРАНИЧЕННОЙ ОТВЕТСТВЕННОСТЬЮ  "ЧИСТОЗОР"</t>
        </is>
      </c>
      <c r="C18" s="35" t="inlineStr">
        <is>
          <t>25.99.11</t>
        </is>
      </c>
      <c r="D18" s="35" t="n">
        <v>32</v>
      </c>
      <c r="E18" s="35" t="inlineStr">
        <is>
          <t>1 — Горячий</t>
        </is>
      </c>
      <c r="F18" s="41" t="n">
        <v>16800</v>
      </c>
      <c r="G18" s="34" t="inlineStr">
        <is>
          <t>Юнусова</t>
        </is>
      </c>
      <c r="H18" s="34" t="n"/>
      <c r="I18" s="34" t="inlineStr">
        <is>
          <t>В работе</t>
        </is>
      </c>
      <c r="J18" s="34" t="n"/>
      <c r="K18" s="34" t="n"/>
    </row>
    <row r="19">
      <c r="A19" s="35" t="inlineStr">
        <is>
          <t>3849011054</t>
        </is>
      </c>
      <c r="B19" s="35" t="inlineStr">
        <is>
          <t>Геоконтроль-Восток, ООО</t>
        </is>
      </c>
      <c r="C19" s="35" t="inlineStr">
        <is>
          <t>71.12.3</t>
        </is>
      </c>
      <c r="D19" s="35" t="n">
        <v>125</v>
      </c>
      <c r="E19" s="35" t="inlineStr">
        <is>
          <t>1 — Горячий</t>
        </is>
      </c>
      <c r="F19" s="41" t="n">
        <v>62400</v>
      </c>
      <c r="G19" s="34" t="inlineStr">
        <is>
          <t>Кургузов</t>
        </is>
      </c>
      <c r="H19" s="34" t="n"/>
      <c r="I19" s="34" t="inlineStr">
        <is>
          <t>В работе</t>
        </is>
      </c>
      <c r="J19" s="34" t="n"/>
      <c r="K19" s="34" t="n"/>
    </row>
    <row r="20">
      <c r="A20" s="35" t="inlineStr">
        <is>
          <t>3805700280</t>
        </is>
      </c>
      <c r="B20" s="35" t="inlineStr">
        <is>
          <t>Общество с ограниченной ответственностью "ТРАНССТРОЙ"</t>
        </is>
      </c>
      <c r="C20" s="35" t="inlineStr">
        <is>
          <t>42.11</t>
        </is>
      </c>
      <c r="D20" s="35" t="n">
        <v>24</v>
      </c>
      <c r="E20" s="35" t="inlineStr">
        <is>
          <t>1 — Горячий</t>
        </is>
      </c>
      <c r="F20" s="41" t="n">
        <v>8400</v>
      </c>
      <c r="G20" s="34" t="inlineStr">
        <is>
          <t>Оглоблина</t>
        </is>
      </c>
      <c r="H20" s="34" t="n"/>
      <c r="I20" s="34" t="inlineStr">
        <is>
          <t>В работе</t>
        </is>
      </c>
      <c r="J20" s="34" t="n"/>
      <c r="K20" s="34" t="n"/>
    </row>
    <row r="21">
      <c r="A21" s="35" t="inlineStr">
        <is>
          <t>3818014880</t>
        </is>
      </c>
      <c r="B21" s="35" t="inlineStr">
        <is>
          <t>ОАО "Алроса-Терминал"</t>
        </is>
      </c>
      <c r="C21" s="35" t="inlineStr">
        <is>
          <t>52.24.2</t>
        </is>
      </c>
      <c r="D21" s="35" t="n">
        <v>147</v>
      </c>
      <c r="E21" s="35" t="inlineStr">
        <is>
          <t>1 — Горячий</t>
        </is>
      </c>
      <c r="F21" s="41" t="n">
        <v>62400</v>
      </c>
      <c r="G21" s="34" t="inlineStr">
        <is>
          <t>Юнусова</t>
        </is>
      </c>
      <c r="H21" s="34" t="n"/>
      <c r="I21" s="34" t="inlineStr">
        <is>
          <t>В работе</t>
        </is>
      </c>
      <c r="J21" s="34" t="n"/>
      <c r="K21" s="34" t="n"/>
    </row>
    <row r="22">
      <c r="A22" s="35" t="inlineStr">
        <is>
          <t>3810035293</t>
        </is>
      </c>
      <c r="B22" s="35" t="inlineStr">
        <is>
          <t>Типография ИРКУТ</t>
        </is>
      </c>
      <c r="C22" s="35" t="inlineStr">
        <is>
          <t>18.12.9</t>
        </is>
      </c>
      <c r="D22" s="35" t="n">
        <v>44</v>
      </c>
      <c r="E22" s="35" t="inlineStr">
        <is>
          <t>1 — Горячий</t>
        </is>
      </c>
      <c r="F22" s="41" t="n">
        <v>16800</v>
      </c>
      <c r="G22" s="34" t="inlineStr">
        <is>
          <t>Кургузов</t>
        </is>
      </c>
      <c r="H22" s="34" t="n"/>
      <c r="I22" s="34" t="inlineStr">
        <is>
          <t>В работе</t>
        </is>
      </c>
      <c r="J22" s="34" t="n"/>
      <c r="K22" s="34" t="n"/>
    </row>
    <row r="23">
      <c r="A23" s="35" t="inlineStr">
        <is>
          <t>3827024814</t>
        </is>
      </c>
      <c r="B23" s="35" t="inlineStr">
        <is>
          <t>ООО "АЙХАЛ"</t>
        </is>
      </c>
      <c r="C23" s="35" t="inlineStr">
        <is>
          <t>15.20</t>
        </is>
      </c>
      <c r="D23" s="35" t="n">
        <v>64</v>
      </c>
      <c r="E23" s="35" t="inlineStr">
        <is>
          <t>1 — Горячий</t>
        </is>
      </c>
      <c r="F23" s="41" t="n">
        <v>33600</v>
      </c>
      <c r="G23" s="34" t="inlineStr">
        <is>
          <t>Оглоблина</t>
        </is>
      </c>
      <c r="H23" s="34" t="n"/>
      <c r="I23" s="34" t="inlineStr">
        <is>
          <t>В работе</t>
        </is>
      </c>
      <c r="J23" s="34" t="n"/>
      <c r="K23" s="34" t="n"/>
    </row>
    <row r="24">
      <c r="A24" s="35" t="inlineStr">
        <is>
          <t>3811070942</t>
        </is>
      </c>
      <c r="B24" s="35" t="inlineStr">
        <is>
          <t>ООО "СибМАП"</t>
        </is>
      </c>
      <c r="C24" s="35" t="inlineStr">
        <is>
          <t>45.20.2</t>
        </is>
      </c>
      <c r="D24" s="35" t="n">
        <v>23</v>
      </c>
      <c r="E24" s="35" t="inlineStr">
        <is>
          <t>1 — Горячий</t>
        </is>
      </c>
      <c r="F24" s="41" t="n">
        <v>8400</v>
      </c>
      <c r="G24" s="34" t="inlineStr">
        <is>
          <t>Юнусова</t>
        </is>
      </c>
      <c r="H24" s="34" t="n"/>
      <c r="I24" s="34" t="inlineStr">
        <is>
          <t>В работе</t>
        </is>
      </c>
      <c r="J24" s="34" t="n"/>
      <c r="K24" s="34" t="n"/>
    </row>
    <row r="25">
      <c r="A25" s="35" t="inlineStr">
        <is>
          <t>3808156861</t>
        </is>
      </c>
      <c r="B25" s="35" t="inlineStr">
        <is>
          <t>Лесресурс, ООО</t>
        </is>
      </c>
      <c r="C25" s="35" t="inlineStr">
        <is>
          <t>16.10.1</t>
        </is>
      </c>
      <c r="D25" s="35" t="n">
        <v>29</v>
      </c>
      <c r="E25" s="35" t="inlineStr">
        <is>
          <t>1 — Горячий</t>
        </is>
      </c>
      <c r="F25" s="41" t="n">
        <v>16800</v>
      </c>
      <c r="G25" s="34" t="inlineStr">
        <is>
          <t>Кургузов</t>
        </is>
      </c>
      <c r="H25" s="34" t="n"/>
      <c r="I25" s="34" t="inlineStr">
        <is>
          <t>В работе</t>
        </is>
      </c>
      <c r="J25" s="34" t="n"/>
      <c r="K25" s="34" t="n"/>
    </row>
    <row r="26">
      <c r="A26" s="35" t="inlineStr">
        <is>
          <t>3812079345</t>
        </is>
      </c>
      <c r="B26" s="35" t="inlineStr">
        <is>
          <t>ООО "Янтарь"</t>
        </is>
      </c>
      <c r="C26" s="35" t="inlineStr">
        <is>
          <t>47.22</t>
        </is>
      </c>
      <c r="D26" s="35" t="n">
        <v>347</v>
      </c>
      <c r="E26" s="35" t="inlineStr">
        <is>
          <t>1 — Горячий</t>
        </is>
      </c>
      <c r="F26" s="41" t="n">
        <v>144000</v>
      </c>
      <c r="G26" s="34" t="inlineStr">
        <is>
          <t>Оглоблина</t>
        </is>
      </c>
      <c r="H26" s="34" t="n"/>
      <c r="I26" s="34" t="inlineStr">
        <is>
          <t>В работе</t>
        </is>
      </c>
      <c r="J26" s="34" t="n"/>
      <c r="K26" s="34" t="n"/>
    </row>
    <row r="27">
      <c r="A27" s="35" t="inlineStr">
        <is>
          <t>3808133543</t>
        </is>
      </c>
      <c r="B27" s="35" t="inlineStr">
        <is>
          <t>ООО "Сибирская Легкая Авиация"</t>
        </is>
      </c>
      <c r="C27" s="35" t="inlineStr">
        <is>
          <t>51.10.1</t>
        </is>
      </c>
      <c r="D27" s="35" t="n">
        <v>107</v>
      </c>
      <c r="E27" s="35" t="inlineStr">
        <is>
          <t>1 — Горячий</t>
        </is>
      </c>
      <c r="F27" s="41" t="n">
        <v>62400</v>
      </c>
      <c r="G27" s="34" t="inlineStr">
        <is>
          <t>Юнусова</t>
        </is>
      </c>
      <c r="H27" s="34" t="n"/>
      <c r="I27" s="34" t="inlineStr">
        <is>
          <t>В работе</t>
        </is>
      </c>
      <c r="J27" s="34" t="n"/>
      <c r="K27" s="34" t="n"/>
    </row>
    <row r="28">
      <c r="A28" s="35" t="inlineStr">
        <is>
          <t>3818049227</t>
        </is>
      </c>
      <c r="B28" s="35" t="inlineStr">
        <is>
          <t>УК ОСЕТРОВО ООО</t>
        </is>
      </c>
      <c r="C28" s="35" t="inlineStr">
        <is>
          <t>68.32</t>
        </is>
      </c>
      <c r="D28" s="35" t="n">
        <v>28</v>
      </c>
      <c r="E28" s="35" t="inlineStr">
        <is>
          <t>1 — Горячий</t>
        </is>
      </c>
      <c r="F28" s="41" t="n">
        <v>16800</v>
      </c>
      <c r="G28" s="34" t="inlineStr">
        <is>
          <t>Кургузов</t>
        </is>
      </c>
      <c r="H28" s="34" t="n"/>
      <c r="I28" s="34" t="inlineStr">
        <is>
          <t>В работе</t>
        </is>
      </c>
      <c r="J28" s="34" t="n"/>
      <c r="K28" s="34" t="n"/>
    </row>
    <row r="29">
      <c r="A29" s="35" t="inlineStr">
        <is>
          <t>3811185069</t>
        </is>
      </c>
      <c r="B29" s="35" t="inlineStr">
        <is>
          <t>ООО "ЛАЙМ"</t>
        </is>
      </c>
      <c r="C29" s="35" t="inlineStr">
        <is>
          <t>56.29.2</t>
        </is>
      </c>
      <c r="D29" s="35" t="n">
        <v>35</v>
      </c>
      <c r="E29" s="35" t="inlineStr">
        <is>
          <t>1 — Горячий</t>
        </is>
      </c>
      <c r="F29" s="41" t="n">
        <v>16800</v>
      </c>
      <c r="G29" s="34" t="inlineStr">
        <is>
          <t>Оглоблина</t>
        </is>
      </c>
      <c r="H29" s="34" t="n"/>
      <c r="I29" s="34" t="inlineStr">
        <is>
          <t>В работе</t>
        </is>
      </c>
      <c r="J29" s="34" t="n"/>
      <c r="K29" s="34" t="n"/>
    </row>
    <row r="30">
      <c r="A30" s="35" t="inlineStr">
        <is>
          <t>1434024503</t>
        </is>
      </c>
      <c r="B30" s="35" t="inlineStr">
        <is>
          <t>ООО "Жилсервис"</t>
        </is>
      </c>
      <c r="C30" s="35" t="inlineStr">
        <is>
          <t>68.32.1</t>
        </is>
      </c>
      <c r="D30" s="35" t="n">
        <v>37</v>
      </c>
      <c r="E30" s="35" t="inlineStr">
        <is>
          <t>1 — Горячий</t>
        </is>
      </c>
      <c r="F30" s="41" t="n">
        <v>16800</v>
      </c>
      <c r="G30" s="34" t="inlineStr">
        <is>
          <t>Юнусова</t>
        </is>
      </c>
      <c r="H30" s="34" t="n"/>
      <c r="I30" s="34" t="inlineStr">
        <is>
          <t>В работе</t>
        </is>
      </c>
      <c r="J30" s="34" t="n"/>
      <c r="K30" s="34" t="n"/>
    </row>
    <row r="31">
      <c r="A31" s="35" t="inlineStr">
        <is>
          <t>3804029823</t>
        </is>
      </c>
      <c r="B31" s="35" t="inlineStr">
        <is>
          <t>ООО «Частное охранное предприятие «БрАЗ»</t>
        </is>
      </c>
      <c r="C31" s="35" t="inlineStr">
        <is>
          <t>80.10.2</t>
        </is>
      </c>
      <c r="D31" s="35" t="n">
        <v>142</v>
      </c>
      <c r="E31" s="35" t="inlineStr">
        <is>
          <t>1 — Горячий</t>
        </is>
      </c>
      <c r="F31" s="41" t="n">
        <v>62400</v>
      </c>
      <c r="G31" s="34" t="inlineStr">
        <is>
          <t>Кургузов</t>
        </is>
      </c>
      <c r="H31" s="34" t="n"/>
      <c r="I31" s="34" t="inlineStr">
        <is>
          <t>В работе</t>
        </is>
      </c>
      <c r="J31" s="34" t="n"/>
      <c r="K31" s="34" t="n"/>
    </row>
    <row r="32">
      <c r="A32" s="35" t="inlineStr">
        <is>
          <t>3811131909</t>
        </is>
      </c>
      <c r="B32" s="35" t="inlineStr">
        <is>
          <t>ООО Управляющая компания "Высота"</t>
        </is>
      </c>
      <c r="C32" s="35" t="inlineStr">
        <is>
          <t>68.32</t>
        </is>
      </c>
      <c r="D32" s="35" t="n">
        <v>23</v>
      </c>
      <c r="E32" s="35" t="inlineStr">
        <is>
          <t>1 — Горячий</t>
        </is>
      </c>
      <c r="F32" s="41" t="n">
        <v>8400</v>
      </c>
      <c r="G32" s="34" t="inlineStr">
        <is>
          <t>Оглоблина</t>
        </is>
      </c>
      <c r="H32" s="34" t="n"/>
      <c r="I32" s="34" t="inlineStr">
        <is>
          <t>В работе</t>
        </is>
      </c>
      <c r="J32" s="34" t="n"/>
      <c r="K32" s="34" t="n"/>
    </row>
    <row r="33">
      <c r="A33" s="35" t="inlineStr">
        <is>
          <t>3851997853</t>
        </is>
      </c>
      <c r="B33" s="35" t="inlineStr">
        <is>
          <t>ООО УПРАВЛЯЮЩАЯ КОМПАНИЯ "ВОДОКАНАЛ"</t>
        </is>
      </c>
      <c r="C33" s="35" t="inlineStr">
        <is>
          <t>36.00</t>
        </is>
      </c>
      <c r="D33" s="35" t="n">
        <v>53</v>
      </c>
      <c r="E33" s="35" t="inlineStr">
        <is>
          <t>1 — Горячий</t>
        </is>
      </c>
      <c r="F33" s="41" t="n">
        <v>33600</v>
      </c>
      <c r="G33" s="34" t="inlineStr">
        <is>
          <t>Юнусова</t>
        </is>
      </c>
      <c r="H33" s="34" t="n"/>
      <c r="I33" s="34" t="inlineStr">
        <is>
          <t>В работе</t>
        </is>
      </c>
      <c r="J33" s="34" t="n"/>
      <c r="K33" s="34" t="n"/>
    </row>
    <row r="34">
      <c r="A34" s="35" t="inlineStr">
        <is>
          <t>3808052020</t>
        </is>
      </c>
      <c r="B34" s="35" t="inlineStr">
        <is>
          <t>ООО Иркутское Упаковочное Производственное Предприятие</t>
        </is>
      </c>
      <c r="C34" s="35" t="inlineStr">
        <is>
          <t>17.21</t>
        </is>
      </c>
      <c r="D34" s="35" t="n">
        <v>88</v>
      </c>
      <c r="E34" s="35" t="inlineStr">
        <is>
          <t>1 — Горячий</t>
        </is>
      </c>
      <c r="F34" s="41" t="n">
        <v>33600</v>
      </c>
      <c r="G34" s="34" t="inlineStr">
        <is>
          <t>Кургузов</t>
        </is>
      </c>
      <c r="H34" s="34" t="n"/>
      <c r="I34" s="34" t="inlineStr">
        <is>
          <t>В работе</t>
        </is>
      </c>
      <c r="J34" s="34" t="n"/>
      <c r="K34" s="34" t="n"/>
    </row>
    <row r="35">
      <c r="A35" s="35" t="inlineStr">
        <is>
          <t>3849011618</t>
        </is>
      </c>
      <c r="B35" s="35" t="inlineStr">
        <is>
          <t>ООО Инвертор</t>
        </is>
      </c>
      <c r="C35" s="35" t="inlineStr">
        <is>
          <t>18.11</t>
        </is>
      </c>
      <c r="D35" s="35" t="n">
        <v>33</v>
      </c>
      <c r="E35" s="35" t="inlineStr">
        <is>
          <t>1 — Горячий</t>
        </is>
      </c>
      <c r="F35" s="41" t="n">
        <v>16800</v>
      </c>
      <c r="G35" s="34" t="inlineStr">
        <is>
          <t>Оглоблина</t>
        </is>
      </c>
      <c r="H35" s="34" t="n"/>
      <c r="I35" s="34" t="inlineStr">
        <is>
          <t>В работе</t>
        </is>
      </c>
      <c r="J35" s="34" t="n"/>
      <c r="K35" s="34" t="n"/>
    </row>
    <row r="36">
      <c r="A36" s="35" t="inlineStr">
        <is>
          <t>3812061267</t>
        </is>
      </c>
      <c r="B36" s="35" t="inlineStr">
        <is>
          <t>ООО НИИПИ ТОМС</t>
        </is>
      </c>
      <c r="C36" s="35" t="inlineStr">
        <is>
          <t>72.19.9</t>
        </is>
      </c>
      <c r="D36" s="35" t="n">
        <v>201</v>
      </c>
      <c r="E36" s="35" t="inlineStr">
        <is>
          <t>1 — Горячий</t>
        </is>
      </c>
      <c r="F36" s="41" t="n">
        <v>144000</v>
      </c>
      <c r="G36" s="34" t="inlineStr">
        <is>
          <t>Юнусова</t>
        </is>
      </c>
      <c r="H36" s="34" t="n"/>
      <c r="I36" s="34" t="inlineStr">
        <is>
          <t>В работе</t>
        </is>
      </c>
      <c r="J36" s="34" t="n"/>
      <c r="K36" s="34" t="n"/>
    </row>
    <row r="37">
      <c r="A37" s="35" t="inlineStr">
        <is>
          <t>3808182741</t>
        </is>
      </c>
      <c r="B37" s="35" t="inlineStr">
        <is>
          <t>ООО "АГРОРЕСУРС"</t>
        </is>
      </c>
      <c r="C37" s="35" t="inlineStr">
        <is>
          <t>46.61</t>
        </is>
      </c>
      <c r="D37" s="35" t="n">
        <v>43</v>
      </c>
      <c r="E37" s="35" t="inlineStr">
        <is>
          <t>1 — Горячий</t>
        </is>
      </c>
      <c r="F37" s="41" t="n">
        <v>16800</v>
      </c>
      <c r="G37" s="34" t="inlineStr">
        <is>
          <t>Кургузов</t>
        </is>
      </c>
      <c r="H37" s="34" t="n"/>
      <c r="I37" s="34" t="inlineStr">
        <is>
          <t>В работе</t>
        </is>
      </c>
      <c r="J37" s="34" t="n"/>
      <c r="K37" s="34" t="n"/>
    </row>
    <row r="38">
      <c r="A38" s="35" t="inlineStr">
        <is>
          <t>3818026879</t>
        </is>
      </c>
      <c r="B38" s="35" t="inlineStr">
        <is>
          <t>Общество с ограниченной ответственностью "ОХРАННОЕ ПРЕДПРИЯТИЕ"ОБЕРЕГ</t>
        </is>
      </c>
      <c r="C38" s="35" t="inlineStr">
        <is>
          <t>80.10.2</t>
        </is>
      </c>
      <c r="D38" s="35" t="n">
        <v>602</v>
      </c>
      <c r="E38" s="35" t="inlineStr">
        <is>
          <t>1 — Горячий</t>
        </is>
      </c>
      <c r="F38" s="41" t="n">
        <v>528000</v>
      </c>
      <c r="G38" s="34" t="inlineStr">
        <is>
          <t>Оглоблина</t>
        </is>
      </c>
      <c r="H38" s="34" t="n"/>
      <c r="I38" s="34" t="inlineStr">
        <is>
          <t>В работе</t>
        </is>
      </c>
      <c r="J38" s="34" t="n"/>
      <c r="K38" s="34" t="n"/>
    </row>
    <row r="39">
      <c r="A39" s="35" t="inlineStr">
        <is>
          <t>3802010143</t>
        </is>
      </c>
      <c r="B39" s="35" t="inlineStr">
        <is>
          <t>Артель Старателей Бородинская</t>
        </is>
      </c>
      <c r="C39" s="35" t="inlineStr">
        <is>
          <t>24.41</t>
        </is>
      </c>
      <c r="D39" s="35" t="n">
        <v>225</v>
      </c>
      <c r="E39" s="35" t="inlineStr">
        <is>
          <t>1 — Горячий</t>
        </is>
      </c>
      <c r="F39" s="41" t="n">
        <v>144000</v>
      </c>
      <c r="G39" s="34" t="inlineStr">
        <is>
          <t>Юнусова</t>
        </is>
      </c>
      <c r="H39" s="34" t="n"/>
      <c r="I39" s="34" t="inlineStr">
        <is>
          <t>В работе</t>
        </is>
      </c>
      <c r="J39" s="34" t="n"/>
      <c r="K39" s="34" t="n"/>
    </row>
    <row r="40">
      <c r="A40" s="35" t="inlineStr">
        <is>
          <t>3811451585</t>
        </is>
      </c>
      <c r="B40" s="35" t="inlineStr">
        <is>
          <t>Общество с ограниченной ответственностью "ПЕРЕДВИЖНАЯ МЕХАНИЗИРОВАННАЯ КОЛОННА 24"</t>
        </is>
      </c>
      <c r="C40" s="35" t="inlineStr">
        <is>
          <t>46.13</t>
        </is>
      </c>
      <c r="D40" s="35" t="n">
        <v>23</v>
      </c>
      <c r="E40" s="35" t="inlineStr">
        <is>
          <t>1 — Горячий</t>
        </is>
      </c>
      <c r="F40" s="41" t="n">
        <v>8400</v>
      </c>
      <c r="G40" s="34" t="inlineStr">
        <is>
          <t>Кургузов</t>
        </is>
      </c>
      <c r="H40" s="34" t="n"/>
      <c r="I40" s="34" t="inlineStr">
        <is>
          <t>В работе</t>
        </is>
      </c>
      <c r="J40" s="34" t="n"/>
      <c r="K40" s="34" t="n"/>
    </row>
    <row r="41">
      <c r="A41" s="35" t="inlineStr">
        <is>
          <t>3811060180</t>
        </is>
      </c>
      <c r="B41" s="35" t="inlineStr">
        <is>
          <t>ЗАО "Байкал Телепорт"</t>
        </is>
      </c>
      <c r="C41" s="35" t="inlineStr">
        <is>
          <t>61.20</t>
        </is>
      </c>
      <c r="D41" s="35" t="n">
        <v>52</v>
      </c>
      <c r="E41" s="35" t="inlineStr">
        <is>
          <t>1 — Горячий</t>
        </is>
      </c>
      <c r="F41" s="41" t="n">
        <v>33600</v>
      </c>
      <c r="G41" s="34" t="inlineStr">
        <is>
          <t>Оглоблина</t>
        </is>
      </c>
      <c r="H41" s="34" t="n"/>
      <c r="I41" s="34" t="inlineStr">
        <is>
          <t>В работе</t>
        </is>
      </c>
      <c r="J41" s="34" t="n"/>
      <c r="K41" s="34" t="n"/>
    </row>
    <row r="42">
      <c r="A42" s="35" t="inlineStr">
        <is>
          <t>3811128053</t>
        </is>
      </c>
      <c r="B42" s="35" t="inlineStr">
        <is>
          <t>ООО "СЕНДТРЕЙД"</t>
        </is>
      </c>
      <c r="C42" s="35" t="inlineStr">
        <is>
          <t>08.12</t>
        </is>
      </c>
      <c r="D42" s="35" t="n">
        <v>25</v>
      </c>
      <c r="E42" s="35" t="inlineStr">
        <is>
          <t>1 — Горячий</t>
        </is>
      </c>
      <c r="F42" s="41" t="n">
        <v>8400</v>
      </c>
      <c r="G42" s="34" t="inlineStr">
        <is>
          <t>Юнусова</t>
        </is>
      </c>
      <c r="H42" s="34" t="n"/>
      <c r="I42" s="34" t="inlineStr">
        <is>
          <t>В работе</t>
        </is>
      </c>
      <c r="J42" s="34" t="n"/>
      <c r="K42" s="34" t="n"/>
    </row>
    <row r="43">
      <c r="A43" s="35" t="inlineStr">
        <is>
          <t>7901003176</t>
        </is>
      </c>
      <c r="B43" s="35" t="inlineStr">
        <is>
          <t>Общество с ограниченной ответственностью "ЗАВОД ЛЕГКИХ МЕТАЛЛИЧЕСКИХ КОНСТРУКЦИЙ "ШАНС"</t>
        </is>
      </c>
      <c r="C43" s="35" t="inlineStr">
        <is>
          <t>31.01</t>
        </is>
      </c>
      <c r="D43" s="35" t="n">
        <v>26</v>
      </c>
      <c r="E43" s="35" t="inlineStr">
        <is>
          <t>1 — Горячий</t>
        </is>
      </c>
      <c r="F43" s="41" t="n">
        <v>16800</v>
      </c>
      <c r="G43" s="34" t="inlineStr">
        <is>
          <t>Кургузов</t>
        </is>
      </c>
      <c r="H43" s="34" t="n"/>
      <c r="I43" s="34" t="inlineStr">
        <is>
          <t>В работе</t>
        </is>
      </c>
      <c r="J43" s="34" t="n"/>
      <c r="K43" s="34" t="n"/>
    </row>
    <row r="44">
      <c r="A44" s="35" t="inlineStr">
        <is>
          <t>3827035742</t>
        </is>
      </c>
      <c r="B44" s="35" t="inlineStr">
        <is>
          <t>Общество с ограниченной ответственностью "Нептун"</t>
        </is>
      </c>
      <c r="C44" s="35" t="inlineStr">
        <is>
          <t>23.63</t>
        </is>
      </c>
      <c r="D44" s="35" t="n">
        <v>53</v>
      </c>
      <c r="E44" s="35" t="inlineStr">
        <is>
          <t>1 — Горячий</t>
        </is>
      </c>
      <c r="F44" s="41" t="n">
        <v>33600</v>
      </c>
      <c r="G44" s="34" t="inlineStr">
        <is>
          <t>Оглоблина</t>
        </is>
      </c>
      <c r="H44" s="34" t="n"/>
      <c r="I44" s="34" t="inlineStr">
        <is>
          <t>В работе</t>
        </is>
      </c>
      <c r="J44" s="34" t="n"/>
      <c r="K44" s="34" t="n"/>
    </row>
    <row r="45">
      <c r="A45" s="35" t="inlineStr">
        <is>
          <t>3818017539</t>
        </is>
      </c>
      <c r="B45" s="35" t="inlineStr">
        <is>
          <t>ООО "ЛПХ ЮХТА"</t>
        </is>
      </c>
      <c r="C45" s="35" t="inlineStr">
        <is>
          <t>16.10.1</t>
        </is>
      </c>
      <c r="D45" s="35" t="n">
        <v>154</v>
      </c>
      <c r="E45" s="35" t="inlineStr">
        <is>
          <t>1 — Горячий</t>
        </is>
      </c>
      <c r="F45" s="41" t="n">
        <v>62400</v>
      </c>
      <c r="G45" s="34" t="inlineStr">
        <is>
          <t>Юнусова</t>
        </is>
      </c>
      <c r="H45" s="34" t="n"/>
      <c r="I45" s="34" t="inlineStr">
        <is>
          <t>В работе</t>
        </is>
      </c>
      <c r="J45" s="34" t="n"/>
      <c r="K45" s="34" t="n"/>
    </row>
    <row r="46">
      <c r="A46" s="35" t="inlineStr">
        <is>
          <t>3814009181</t>
        </is>
      </c>
      <c r="B46" s="35" t="inlineStr">
        <is>
          <t>ООО "АВАНГАРД ООО"</t>
        </is>
      </c>
      <c r="C46" s="35" t="inlineStr">
        <is>
          <t>01.11.1</t>
        </is>
      </c>
      <c r="D46" s="35" t="n">
        <v>32</v>
      </c>
      <c r="E46" s="35" t="inlineStr">
        <is>
          <t>1 — Горячий</t>
        </is>
      </c>
      <c r="F46" s="41" t="n">
        <v>16800</v>
      </c>
      <c r="G46" s="34" t="inlineStr">
        <is>
          <t>Кургузов</t>
        </is>
      </c>
      <c r="H46" s="34" t="n"/>
      <c r="I46" s="34" t="inlineStr">
        <is>
          <t>В работе</t>
        </is>
      </c>
      <c r="J46" s="34" t="n"/>
      <c r="K46" s="34" t="n"/>
    </row>
    <row r="47">
      <c r="A47" s="35" t="inlineStr">
        <is>
          <t>3848003188</t>
        </is>
      </c>
      <c r="B47" s="35" t="inlineStr">
        <is>
          <t>ТИПОГРАФИЯ ПРИЗМА ООО</t>
        </is>
      </c>
      <c r="C47" s="35" t="inlineStr">
        <is>
          <t>18.11</t>
        </is>
      </c>
      <c r="D47" s="35" t="n">
        <v>24</v>
      </c>
      <c r="E47" s="35" t="inlineStr">
        <is>
          <t>1 — Горячий</t>
        </is>
      </c>
      <c r="F47" s="41" t="n">
        <v>8400</v>
      </c>
      <c r="G47" s="34" t="inlineStr">
        <is>
          <t>Оглоблина</t>
        </is>
      </c>
      <c r="H47" s="34" t="n"/>
      <c r="I47" s="34" t="inlineStr">
        <is>
          <t>В работе</t>
        </is>
      </c>
      <c r="J47" s="34" t="n"/>
      <c r="K47" s="34" t="n"/>
    </row>
    <row r="48">
      <c r="A48" s="35" t="inlineStr">
        <is>
          <t>3849065910</t>
        </is>
      </c>
      <c r="B48" s="35" t="inlineStr">
        <is>
          <t>СТРОЙТРАНССИБ ООО</t>
        </is>
      </c>
      <c r="C48" s="35" t="inlineStr">
        <is>
          <t>43.12</t>
        </is>
      </c>
      <c r="D48" s="35" t="n">
        <v>32</v>
      </c>
      <c r="E48" s="35" t="inlineStr">
        <is>
          <t>1 — Горячий</t>
        </is>
      </c>
      <c r="F48" s="41" t="n">
        <v>16800</v>
      </c>
      <c r="G48" s="34" t="inlineStr">
        <is>
          <t>Юнусова</t>
        </is>
      </c>
      <c r="H48" s="34" t="n"/>
      <c r="I48" s="34" t="inlineStr">
        <is>
          <t>В работе</t>
        </is>
      </c>
      <c r="J48" s="34" t="n"/>
      <c r="K48" s="34" t="n"/>
    </row>
    <row r="49">
      <c r="A49" s="35" t="inlineStr">
        <is>
          <t>3810044361</t>
        </is>
      </c>
      <c r="B49" s="35" t="inlineStr">
        <is>
          <t>ООО "Регион"</t>
        </is>
      </c>
      <c r="C49" s="35" t="inlineStr">
        <is>
          <t>46.38</t>
        </is>
      </c>
      <c r="D49" s="35" t="n">
        <v>60</v>
      </c>
      <c r="E49" s="35" t="inlineStr">
        <is>
          <t>1 — Горячий</t>
        </is>
      </c>
      <c r="F49" s="41" t="n">
        <v>33600</v>
      </c>
      <c r="G49" s="34" t="inlineStr">
        <is>
          <t>Кургузов</t>
        </is>
      </c>
      <c r="H49" s="34" t="n"/>
      <c r="I49" s="34" t="inlineStr">
        <is>
          <t>В работе</t>
        </is>
      </c>
      <c r="J49" s="34" t="n"/>
      <c r="K49" s="34" t="n"/>
    </row>
    <row r="50">
      <c r="A50" s="35" t="inlineStr">
        <is>
          <t>3808156653</t>
        </is>
      </c>
      <c r="B50" s="35" t="inlineStr">
        <is>
          <t>Панорама +, ООО</t>
        </is>
      </c>
      <c r="C50" s="35" t="inlineStr">
        <is>
          <t>56.29</t>
        </is>
      </c>
      <c r="D50" s="35" t="n">
        <v>54</v>
      </c>
      <c r="E50" s="35" t="inlineStr">
        <is>
          <t>1 — Горячий</t>
        </is>
      </c>
      <c r="F50" s="41" t="n">
        <v>33600</v>
      </c>
      <c r="G50" s="34" t="inlineStr">
        <is>
          <t>Оглоблина</t>
        </is>
      </c>
      <c r="H50" s="34" t="n"/>
      <c r="I50" s="34" t="inlineStr">
        <is>
          <t>В работе</t>
        </is>
      </c>
      <c r="J50" s="34" t="n"/>
      <c r="K50" s="34" t="n"/>
    </row>
    <row r="51">
      <c r="A51" s="35" t="inlineStr">
        <is>
          <t>3801156301</t>
        </is>
      </c>
      <c r="B51" s="35" t="inlineStr">
        <is>
          <t>ООО "ДОМСТИЛЬ"</t>
        </is>
      </c>
      <c r="C51" s="35" t="inlineStr">
        <is>
          <t>47.19</t>
        </is>
      </c>
      <c r="D51" s="35" t="n">
        <v>74</v>
      </c>
      <c r="E51" s="35" t="inlineStr">
        <is>
          <t>1 — Горячий</t>
        </is>
      </c>
      <c r="F51" s="41" t="n">
        <v>33600</v>
      </c>
      <c r="G51" s="34" t="inlineStr">
        <is>
          <t>Юнусова</t>
        </is>
      </c>
      <c r="H51" s="34" t="n"/>
      <c r="I51" s="34" t="inlineStr">
        <is>
          <t>В работе</t>
        </is>
      </c>
      <c r="J51" s="34" t="n"/>
      <c r="K51" s="34" t="n"/>
    </row>
    <row r="52">
      <c r="A52" s="35" t="inlineStr">
        <is>
          <t>3821011400</t>
        </is>
      </c>
      <c r="B52" s="35" t="inlineStr">
        <is>
          <t>Управляющая компания РЗС, ООО</t>
        </is>
      </c>
      <c r="C52" s="35" t="inlineStr">
        <is>
          <t>68.32.1</t>
        </is>
      </c>
      <c r="D52" s="35" t="n">
        <v>76</v>
      </c>
      <c r="E52" s="35" t="inlineStr">
        <is>
          <t>1 — Горячий</t>
        </is>
      </c>
      <c r="F52" s="41" t="n">
        <v>33600</v>
      </c>
      <c r="G52" s="34" t="inlineStr">
        <is>
          <t>Кургузов</t>
        </is>
      </c>
      <c r="H52" s="34" t="n"/>
      <c r="I52" s="34" t="inlineStr">
        <is>
          <t>В работе</t>
        </is>
      </c>
      <c r="J52" s="34" t="n"/>
      <c r="K52" s="34" t="n"/>
    </row>
    <row r="53">
      <c r="A53" s="35" t="inlineStr">
        <is>
          <t>3801057981</t>
        </is>
      </c>
      <c r="B53" s="35" t="inlineStr">
        <is>
          <t>Общество с ограниченной ответственностью "ЭЛАРА"</t>
        </is>
      </c>
      <c r="C53" s="35" t="inlineStr">
        <is>
          <t>46.71</t>
        </is>
      </c>
      <c r="D53" s="35" t="n">
        <v>84</v>
      </c>
      <c r="E53" s="35" t="inlineStr">
        <is>
          <t>1 — Горячий</t>
        </is>
      </c>
      <c r="F53" s="41" t="n">
        <v>33600</v>
      </c>
      <c r="G53" s="34" t="inlineStr">
        <is>
          <t>Оглоблина</t>
        </is>
      </c>
      <c r="H53" s="34" t="n"/>
      <c r="I53" s="34" t="inlineStr">
        <is>
          <t>В работе</t>
        </is>
      </c>
      <c r="J53" s="34" t="n"/>
      <c r="K53" s="34" t="n"/>
    </row>
    <row r="54">
      <c r="A54" s="35" t="inlineStr">
        <is>
          <t>3805701357</t>
        </is>
      </c>
      <c r="B54" s="35" t="inlineStr">
        <is>
          <t>ООО "ФОРЕСТ КОМПАНИ"</t>
        </is>
      </c>
      <c r="C54" s="35" t="inlineStr">
        <is>
          <t>16.10.1</t>
        </is>
      </c>
      <c r="D54" s="35" t="n">
        <v>36</v>
      </c>
      <c r="E54" s="35" t="inlineStr">
        <is>
          <t>1 — Горячий</t>
        </is>
      </c>
      <c r="F54" s="41" t="n">
        <v>16800</v>
      </c>
      <c r="G54" s="34" t="inlineStr">
        <is>
          <t>Юнусова</t>
        </is>
      </c>
      <c r="H54" s="34" t="n"/>
      <c r="I54" s="34" t="inlineStr">
        <is>
          <t>В работе</t>
        </is>
      </c>
      <c r="J54" s="34" t="n"/>
      <c r="K54" s="34" t="n"/>
    </row>
    <row r="55">
      <c r="A55" s="35" t="inlineStr">
        <is>
          <t>7708379090</t>
        </is>
      </c>
      <c r="B55" s="35" t="inlineStr">
        <is>
          <t>АО "РЖД МЕДИЦИНА"</t>
        </is>
      </c>
      <c r="C55" s="35" t="inlineStr">
        <is>
          <t>86.10</t>
        </is>
      </c>
      <c r="D55" s="35" t="n">
        <v>76</v>
      </c>
      <c r="E55" s="35" t="inlineStr">
        <is>
          <t>1 — Горячий</t>
        </is>
      </c>
      <c r="F55" s="41" t="n">
        <v>33600</v>
      </c>
      <c r="G55" s="34" t="inlineStr">
        <is>
          <t>Кургузов</t>
        </is>
      </c>
      <c r="H55" s="34" t="n"/>
      <c r="I55" s="34" t="inlineStr">
        <is>
          <t>В работе</t>
        </is>
      </c>
      <c r="J55" s="34" t="n"/>
      <c r="K55" s="34" t="n"/>
    </row>
    <row r="56">
      <c r="A56" s="35" t="inlineStr">
        <is>
          <t>7731399513</t>
        </is>
      </c>
      <c r="B56" s="35" t="inlineStr">
        <is>
          <t>АКЦИОНЕРНОЕ ОБЩЕСТВО "ИОТ"</t>
        </is>
      </c>
      <c r="C56" s="35" t="inlineStr">
        <is>
          <t>63.11</t>
        </is>
      </c>
      <c r="D56" s="35" t="n">
        <v>74</v>
      </c>
      <c r="E56" s="35" t="inlineStr">
        <is>
          <t>1 — Горячий</t>
        </is>
      </c>
      <c r="F56" s="41" t="n">
        <v>33600</v>
      </c>
      <c r="G56" s="34" t="inlineStr">
        <is>
          <t>Оглоблина</t>
        </is>
      </c>
      <c r="H56" s="34" t="n"/>
      <c r="I56" s="34" t="inlineStr">
        <is>
          <t>В работе</t>
        </is>
      </c>
      <c r="J56" s="34" t="n"/>
      <c r="K56" s="34" t="n"/>
    </row>
    <row r="57">
      <c r="A57" s="35" t="inlineStr">
        <is>
          <t>3808166620</t>
        </is>
      </c>
      <c r="B57" s="35" t="inlineStr">
        <is>
          <t>ООО "ВСЁ ДЛЯ ШИТЬЯ"</t>
        </is>
      </c>
      <c r="C57" s="35" t="inlineStr">
        <is>
          <t>46.49</t>
        </is>
      </c>
      <c r="D57" s="35" t="n">
        <v>24</v>
      </c>
      <c r="E57" s="35" t="inlineStr">
        <is>
          <t>1 — Горячий</t>
        </is>
      </c>
      <c r="F57" s="41" t="n">
        <v>8400</v>
      </c>
      <c r="G57" s="34" t="inlineStr">
        <is>
          <t>Юнусова</t>
        </is>
      </c>
      <c r="H57" s="34" t="n"/>
      <c r="I57" s="34" t="inlineStr">
        <is>
          <t>В работе</t>
        </is>
      </c>
      <c r="J57" s="34" t="n"/>
      <c r="K57" s="34" t="n"/>
    </row>
    <row r="58">
      <c r="A58" s="35" t="inlineStr">
        <is>
          <t>3815013141</t>
        </is>
      </c>
      <c r="B58" s="35" t="inlineStr">
        <is>
          <t>ОБЩЕСТВО С ОГРАНИЧЕННОЙ ОТВЕТСТВЕННОСТЬЮ "ТЕПЛОСНАБЖЕНИЕ"</t>
        </is>
      </c>
      <c r="C58" s="35" t="inlineStr">
        <is>
          <t>35.30.4</t>
        </is>
      </c>
      <c r="D58" s="35" t="n">
        <v>69</v>
      </c>
      <c r="E58" s="35" t="inlineStr">
        <is>
          <t>1 — Горячий</t>
        </is>
      </c>
      <c r="F58" s="41" t="n">
        <v>33600</v>
      </c>
      <c r="G58" s="34" t="inlineStr">
        <is>
          <t>Кургузов</t>
        </is>
      </c>
      <c r="H58" s="34" t="n"/>
      <c r="I58" s="34" t="inlineStr">
        <is>
          <t>В работе</t>
        </is>
      </c>
      <c r="J58" s="34" t="n"/>
      <c r="K58" s="34" t="n"/>
    </row>
    <row r="59">
      <c r="A59" s="35" t="inlineStr">
        <is>
          <t>3849035263</t>
        </is>
      </c>
      <c r="B59" s="35" t="inlineStr">
        <is>
          <t>ООО "ЕВРОИНСТАЛЛ"</t>
        </is>
      </c>
      <c r="C59" s="35" t="inlineStr">
        <is>
          <t>46.69.5</t>
        </is>
      </c>
      <c r="D59" s="35" t="n">
        <v>52</v>
      </c>
      <c r="E59" s="35" t="inlineStr">
        <is>
          <t>1 — Горячий</t>
        </is>
      </c>
      <c r="F59" s="41" t="n">
        <v>33600</v>
      </c>
      <c r="G59" s="34" t="inlineStr">
        <is>
          <t>Оглоблина</t>
        </is>
      </c>
      <c r="H59" s="34" t="n"/>
      <c r="I59" s="34" t="inlineStr">
        <is>
          <t>В работе</t>
        </is>
      </c>
      <c r="J59" s="34" t="n"/>
      <c r="K59" s="34" t="n"/>
    </row>
    <row r="60">
      <c r="A60" s="35" t="inlineStr">
        <is>
          <t>3820008299</t>
        </is>
      </c>
      <c r="B60" s="35" t="inlineStr">
        <is>
          <t>ООО "Гарант"</t>
        </is>
      </c>
      <c r="C60" s="35" t="inlineStr">
        <is>
          <t>47.78.3</t>
        </is>
      </c>
      <c r="D60" s="35" t="n">
        <v>32</v>
      </c>
      <c r="E60" s="35" t="inlineStr">
        <is>
          <t>1 — Горячий</t>
        </is>
      </c>
      <c r="F60" s="41" t="n">
        <v>16800</v>
      </c>
      <c r="G60" s="34" t="inlineStr">
        <is>
          <t>Юнусова</t>
        </is>
      </c>
      <c r="H60" s="34" t="n"/>
      <c r="I60" s="34" t="inlineStr">
        <is>
          <t>В работе</t>
        </is>
      </c>
      <c r="J60" s="34" t="n"/>
      <c r="K60" s="34" t="n"/>
    </row>
    <row r="61">
      <c r="A61" s="35" t="inlineStr">
        <is>
          <t>3827039144</t>
        </is>
      </c>
      <c r="B61" s="35" t="inlineStr">
        <is>
          <t>ООО «Компания «Госстрой»</t>
        </is>
      </c>
      <c r="C61" s="35" t="inlineStr">
        <is>
          <t>16.23</t>
        </is>
      </c>
      <c r="D61" s="35" t="n">
        <v>133</v>
      </c>
      <c r="E61" s="35" t="inlineStr">
        <is>
          <t>1 — Горячий</t>
        </is>
      </c>
      <c r="F61" s="41" t="n">
        <v>62400</v>
      </c>
      <c r="G61" s="34" t="inlineStr">
        <is>
          <t>Кургузов</t>
        </is>
      </c>
      <c r="H61" s="34" t="n"/>
      <c r="I61" s="34" t="inlineStr">
        <is>
          <t>В работе</t>
        </is>
      </c>
      <c r="J61" s="34" t="n"/>
      <c r="K61" s="34" t="n"/>
    </row>
    <row r="62">
      <c r="A62" s="35" t="inlineStr">
        <is>
          <t>3811092390</t>
        </is>
      </c>
      <c r="B62" s="35" t="inlineStr">
        <is>
          <t>ООО "Крестовая падь"</t>
        </is>
      </c>
      <c r="C62" s="35" t="inlineStr">
        <is>
          <t>55.10</t>
        </is>
      </c>
      <c r="D62" s="35" t="n">
        <v>22</v>
      </c>
      <c r="E62" s="35" t="inlineStr">
        <is>
          <t>1 — Горячий</t>
        </is>
      </c>
      <c r="F62" s="41" t="n">
        <v>8400</v>
      </c>
      <c r="G62" s="34" t="inlineStr">
        <is>
          <t>Оглоблина</t>
        </is>
      </c>
      <c r="H62" s="34" t="n"/>
      <c r="I62" s="34" t="inlineStr">
        <is>
          <t>В работе</t>
        </is>
      </c>
      <c r="J62" s="34" t="n"/>
      <c r="K62" s="34" t="n"/>
    </row>
    <row r="63">
      <c r="A63" s="35" t="inlineStr">
        <is>
          <t>3851994299</t>
        </is>
      </c>
      <c r="B63" s="35" t="inlineStr">
        <is>
          <t>ООО "ЧЕРЕМХОВСКИЙ ВОДОКАНАЛ"</t>
        </is>
      </c>
      <c r="C63" s="35" t="inlineStr">
        <is>
          <t>36.00.2</t>
        </is>
      </c>
      <c r="D63" s="35" t="n">
        <v>203</v>
      </c>
      <c r="E63" s="35" t="inlineStr">
        <is>
          <t>1 — Горячий</t>
        </is>
      </c>
      <c r="F63" s="41" t="n">
        <v>144000</v>
      </c>
      <c r="G63" s="34" t="inlineStr">
        <is>
          <t>Юнусова</t>
        </is>
      </c>
      <c r="H63" s="34" t="n"/>
      <c r="I63" s="34" t="inlineStr">
        <is>
          <t>В работе</t>
        </is>
      </c>
      <c r="J63" s="34" t="n"/>
      <c r="K63" s="34" t="n"/>
    </row>
    <row r="64">
      <c r="A64" s="35" t="inlineStr">
        <is>
          <t>3811434371</t>
        </is>
      </c>
      <c r="B64" s="35" t="inlineStr">
        <is>
          <t>ООО "ДЕТАЛИ МАШИН"</t>
        </is>
      </c>
      <c r="C64" s="35" t="inlineStr">
        <is>
          <t>22.19</t>
        </is>
      </c>
      <c r="D64" s="35" t="n">
        <v>24</v>
      </c>
      <c r="E64" s="35" t="inlineStr">
        <is>
          <t>1 — Горячий</t>
        </is>
      </c>
      <c r="F64" s="41" t="n">
        <v>8400</v>
      </c>
      <c r="G64" s="34" t="inlineStr">
        <is>
          <t>Кургузов</t>
        </is>
      </c>
      <c r="H64" s="34" t="n"/>
      <c r="I64" s="34" t="inlineStr">
        <is>
          <t>В работе</t>
        </is>
      </c>
      <c r="J64" s="34" t="n"/>
      <c r="K64" s="34" t="n"/>
    </row>
    <row r="65">
      <c r="A65" s="35" t="inlineStr">
        <is>
          <t>3808238634</t>
        </is>
      </c>
      <c r="B65" s="35" t="inlineStr">
        <is>
          <t>ООО "Иркутскслюда"</t>
        </is>
      </c>
      <c r="C65" s="35" t="inlineStr">
        <is>
          <t>68.32</t>
        </is>
      </c>
      <c r="D65" s="35" t="n">
        <v>27</v>
      </c>
      <c r="E65" s="35" t="inlineStr">
        <is>
          <t>1 — Горячий</t>
        </is>
      </c>
      <c r="F65" s="41" t="n">
        <v>16800</v>
      </c>
      <c r="G65" s="34" t="inlineStr">
        <is>
          <t>Оглоблина</t>
        </is>
      </c>
      <c r="H65" s="34" t="n"/>
      <c r="I65" s="34" t="inlineStr">
        <is>
          <t>В работе</t>
        </is>
      </c>
      <c r="J65" s="34" t="n"/>
      <c r="K65" s="34" t="n"/>
    </row>
    <row r="66">
      <c r="A66" s="35" t="inlineStr">
        <is>
          <t>3834015987</t>
        </is>
      </c>
      <c r="B66" s="35" t="inlineStr">
        <is>
          <t>ООО Управляющая компания «ИлимСервис»</t>
        </is>
      </c>
      <c r="C66" s="35" t="inlineStr">
        <is>
          <t>68.32</t>
        </is>
      </c>
      <c r="D66" s="35" t="n">
        <v>24</v>
      </c>
      <c r="E66" s="35" t="inlineStr">
        <is>
          <t>1 — Горячий</t>
        </is>
      </c>
      <c r="F66" s="41" t="n">
        <v>8400</v>
      </c>
      <c r="G66" s="34" t="inlineStr">
        <is>
          <t>Юнусова</t>
        </is>
      </c>
      <c r="H66" s="34" t="n"/>
      <c r="I66" s="34" t="inlineStr">
        <is>
          <t>В работе</t>
        </is>
      </c>
      <c r="J66" s="34" t="n"/>
      <c r="K66" s="34" t="n"/>
    </row>
    <row r="67">
      <c r="A67" s="35" t="inlineStr">
        <is>
          <t>3810064858</t>
        </is>
      </c>
      <c r="B67" s="35" t="inlineStr">
        <is>
          <t>ООО "ЦЕНТР-ШЕЛЕХОВ"</t>
        </is>
      </c>
      <c r="C67" s="35" t="inlineStr">
        <is>
          <t>68.32.1</t>
        </is>
      </c>
      <c r="D67" s="35" t="n">
        <v>63</v>
      </c>
      <c r="E67" s="35" t="inlineStr">
        <is>
          <t>1 — Горячий</t>
        </is>
      </c>
      <c r="F67" s="41" t="n">
        <v>33600</v>
      </c>
      <c r="G67" s="34" t="inlineStr">
        <is>
          <t>Кургузов</t>
        </is>
      </c>
      <c r="H67" s="34" t="n"/>
      <c r="I67" s="34" t="inlineStr">
        <is>
          <t>В работе</t>
        </is>
      </c>
      <c r="J67" s="34" t="n"/>
      <c r="K67" s="34" t="n"/>
    </row>
    <row r="68">
      <c r="A68" s="35" t="inlineStr">
        <is>
          <t>3812082002</t>
        </is>
      </c>
      <c r="B68" s="35" t="inlineStr">
        <is>
          <t>АО "Энергетические технологии"</t>
        </is>
      </c>
      <c r="C68" s="35" t="inlineStr">
        <is>
          <t>46.69</t>
        </is>
      </c>
      <c r="D68" s="35" t="n">
        <v>47</v>
      </c>
      <c r="E68" s="35" t="inlineStr">
        <is>
          <t>1 — Горячий</t>
        </is>
      </c>
      <c r="F68" s="41" t="n">
        <v>16800</v>
      </c>
      <c r="G68" s="34" t="inlineStr">
        <is>
          <t>Оглоблина</t>
        </is>
      </c>
      <c r="H68" s="34" t="n"/>
      <c r="I68" s="34" t="inlineStr">
        <is>
          <t>В работе</t>
        </is>
      </c>
      <c r="J68" s="34" t="n"/>
      <c r="K68" s="34" t="n"/>
    </row>
    <row r="69">
      <c r="A69" s="35" t="inlineStr">
        <is>
          <t>3810059953</t>
        </is>
      </c>
      <c r="B69" s="35" t="inlineStr">
        <is>
          <t>ООО "БЭМЗ"</t>
        </is>
      </c>
      <c r="C69" s="35" t="inlineStr">
        <is>
          <t>25.11</t>
        </is>
      </c>
      <c r="D69" s="35" t="n">
        <v>75</v>
      </c>
      <c r="E69" s="35" t="inlineStr">
        <is>
          <t>1 — Горячий</t>
        </is>
      </c>
      <c r="F69" s="41" t="n">
        <v>33600</v>
      </c>
      <c r="G69" s="34" t="inlineStr">
        <is>
          <t>Юнусова</t>
        </is>
      </c>
      <c r="H69" s="34" t="n"/>
      <c r="I69" s="34" t="inlineStr">
        <is>
          <t>В работе</t>
        </is>
      </c>
      <c r="J69" s="34" t="n"/>
      <c r="K69" s="34" t="n"/>
    </row>
    <row r="70">
      <c r="A70" s="35" t="inlineStr">
        <is>
          <t>3827001711</t>
        </is>
      </c>
      <c r="B70" s="35" t="inlineStr">
        <is>
          <t>Общество с ограниченной ответственностью РЕМОНТНО-СТРОИТЕЛЬНОЕ ПРЕДПРИЯТИЕ "ТОПКА"</t>
        </is>
      </c>
      <c r="C70" s="35" t="inlineStr">
        <is>
          <t>42.11</t>
        </is>
      </c>
      <c r="D70" s="35" t="n">
        <v>363</v>
      </c>
      <c r="E70" s="35" t="inlineStr">
        <is>
          <t>1 — Горячий</t>
        </is>
      </c>
      <c r="F70" s="41" t="n">
        <v>144000</v>
      </c>
      <c r="G70" s="34" t="inlineStr">
        <is>
          <t>Кургузов</t>
        </is>
      </c>
      <c r="H70" s="34" t="n"/>
      <c r="I70" s="34" t="inlineStr">
        <is>
          <t>В работе</t>
        </is>
      </c>
      <c r="J70" s="34" t="n"/>
      <c r="K70" s="34" t="n"/>
    </row>
    <row r="71">
      <c r="A71" s="35" t="inlineStr">
        <is>
          <t>3814022055</t>
        </is>
      </c>
      <c r="B71" s="35" t="inlineStr">
        <is>
          <t>ООО "УПРАВЛЯЮЩАЯ КОМПАНИЯ УЮТ"</t>
        </is>
      </c>
      <c r="C71" s="35" t="inlineStr">
        <is>
          <t>68.32.1</t>
        </is>
      </c>
      <c r="D71" s="35" t="n">
        <v>90</v>
      </c>
      <c r="E71" s="35" t="inlineStr">
        <is>
          <t>1 — Горячий</t>
        </is>
      </c>
      <c r="F71" s="41" t="n">
        <v>33600</v>
      </c>
      <c r="G71" s="34" t="inlineStr">
        <is>
          <t>Оглоблина</t>
        </is>
      </c>
      <c r="H71" s="34" t="n"/>
      <c r="I71" s="34" t="inlineStr">
        <is>
          <t>В работе</t>
        </is>
      </c>
      <c r="J71" s="34" t="n"/>
      <c r="K71" s="34" t="n"/>
    </row>
    <row r="72">
      <c r="A72" s="35" t="inlineStr">
        <is>
          <t>3804055781</t>
        </is>
      </c>
      <c r="B72" s="35" t="inlineStr">
        <is>
          <t>ООО "ИВЕКОСЕРВИСЦЕНТР"</t>
        </is>
      </c>
      <c r="C72" s="35" t="inlineStr">
        <is>
          <t>45.31.1</t>
        </is>
      </c>
      <c r="D72" s="35" t="n">
        <v>26</v>
      </c>
      <c r="E72" s="35" t="inlineStr">
        <is>
          <t>1 — Горячий</t>
        </is>
      </c>
      <c r="F72" s="41" t="n">
        <v>16800</v>
      </c>
      <c r="G72" s="34" t="inlineStr">
        <is>
          <t>Юнусова</t>
        </is>
      </c>
      <c r="H72" s="34" t="n"/>
      <c r="I72" s="34" t="inlineStr">
        <is>
          <t>В работе</t>
        </is>
      </c>
      <c r="J72" s="34" t="n"/>
      <c r="K72" s="34" t="n"/>
    </row>
    <row r="73">
      <c r="A73" s="35" t="inlineStr">
        <is>
          <t>3814017337</t>
        </is>
      </c>
      <c r="B73" s="35" t="inlineStr">
        <is>
          <t>ООО ЧОП "Кристал"</t>
        </is>
      </c>
      <c r="C73" s="35" t="inlineStr">
        <is>
          <t>80.10</t>
        </is>
      </c>
      <c r="D73" s="35" t="n">
        <v>51</v>
      </c>
      <c r="E73" s="35" t="inlineStr">
        <is>
          <t>1 — Горячий</t>
        </is>
      </c>
      <c r="F73" s="41" t="n">
        <v>33600</v>
      </c>
      <c r="G73" s="34" t="inlineStr">
        <is>
          <t>Кургузов</t>
        </is>
      </c>
      <c r="H73" s="34" t="n"/>
      <c r="I73" s="34" t="inlineStr">
        <is>
          <t>В работе</t>
        </is>
      </c>
      <c r="J73" s="34" t="n"/>
      <c r="K73" s="34" t="n"/>
    </row>
    <row r="74">
      <c r="A74" s="35" t="inlineStr">
        <is>
          <t>3808167655</t>
        </is>
      </c>
      <c r="B74" s="35" t="inlineStr">
        <is>
          <t>Общество с ограниченной ответственностью "ФАБРИКА БЕТОНОВ"</t>
        </is>
      </c>
      <c r="C74" s="35" t="inlineStr">
        <is>
          <t>46.90</t>
        </is>
      </c>
      <c r="D74" s="35" t="n">
        <v>24</v>
      </c>
      <c r="E74" s="35" t="inlineStr">
        <is>
          <t>1 — Горячий</t>
        </is>
      </c>
      <c r="F74" s="41" t="n">
        <v>8400</v>
      </c>
      <c r="G74" s="34" t="inlineStr">
        <is>
          <t>Оглоблина</t>
        </is>
      </c>
      <c r="H74" s="34" t="n"/>
      <c r="I74" s="34" t="inlineStr">
        <is>
          <t>В работе</t>
        </is>
      </c>
      <c r="J74" s="34" t="n"/>
      <c r="K74" s="34" t="n"/>
    </row>
    <row r="75">
      <c r="A75" s="35" t="inlineStr">
        <is>
          <t>3804028273</t>
        </is>
      </c>
      <c r="B75" s="35" t="inlineStr">
        <is>
          <t>ООО "Высокий стиль"</t>
        </is>
      </c>
      <c r="C75" s="35" t="inlineStr">
        <is>
          <t>22.23</t>
        </is>
      </c>
      <c r="D75" s="35" t="n">
        <v>55</v>
      </c>
      <c r="E75" s="35" t="inlineStr">
        <is>
          <t>1 — Горячий</t>
        </is>
      </c>
      <c r="F75" s="41" t="n">
        <v>33600</v>
      </c>
      <c r="G75" s="34" t="inlineStr">
        <is>
          <t>Юнусова</t>
        </is>
      </c>
      <c r="H75" s="34" t="n"/>
      <c r="I75" s="34" t="inlineStr">
        <is>
          <t>В работе</t>
        </is>
      </c>
      <c r="J75" s="34" t="n"/>
      <c r="K75" s="34" t="n"/>
    </row>
    <row r="76">
      <c r="A76" s="35" t="inlineStr">
        <is>
          <t>3805101448</t>
        </is>
      </c>
      <c r="B76" s="35" t="inlineStr">
        <is>
          <t>ЗАО «ОКСИ»</t>
        </is>
      </c>
      <c r="C76" s="35" t="inlineStr">
        <is>
          <t>20.11</t>
        </is>
      </c>
      <c r="D76" s="35" t="n">
        <v>46</v>
      </c>
      <c r="E76" s="35" t="inlineStr">
        <is>
          <t>1 — Горячий</t>
        </is>
      </c>
      <c r="F76" s="41" t="n">
        <v>16800</v>
      </c>
      <c r="G76" s="34" t="inlineStr">
        <is>
          <t>Кургузов</t>
        </is>
      </c>
      <c r="H76" s="34" t="n"/>
      <c r="I76" s="34" t="inlineStr">
        <is>
          <t>В работе</t>
        </is>
      </c>
      <c r="J76" s="34" t="n"/>
      <c r="K76" s="34" t="n"/>
    </row>
    <row r="77">
      <c r="A77" s="35" t="inlineStr">
        <is>
          <t>3803302678</t>
        </is>
      </c>
      <c r="B77" s="35" t="inlineStr">
        <is>
          <t>ООО Фирма "Сава Сервис"</t>
        </is>
      </c>
      <c r="C77" s="35" t="inlineStr">
        <is>
          <t>29.20.4</t>
        </is>
      </c>
      <c r="D77" s="35" t="n">
        <v>404</v>
      </c>
      <c r="E77" s="35" t="inlineStr">
        <is>
          <t>1 — Горячий</t>
        </is>
      </c>
      <c r="F77" s="41" t="n">
        <v>144000</v>
      </c>
      <c r="G77" s="34" t="inlineStr">
        <is>
          <t>Оглоблина</t>
        </is>
      </c>
      <c r="H77" s="34" t="n"/>
      <c r="I77" s="34" t="inlineStr">
        <is>
          <t>В работе</t>
        </is>
      </c>
      <c r="J77" s="34" t="n"/>
      <c r="K77" s="34" t="n"/>
    </row>
    <row r="78">
      <c r="A78" s="35" t="inlineStr">
        <is>
          <t>3814009294</t>
        </is>
      </c>
      <c r="B78" s="35" t="inlineStr">
        <is>
          <t>ООО ПК "Сибстройсервис плюс"</t>
        </is>
      </c>
      <c r="C78" s="35" t="inlineStr">
        <is>
          <t>14.12</t>
        </is>
      </c>
      <c r="D78" s="35" t="n">
        <v>44</v>
      </c>
      <c r="E78" s="35" t="inlineStr">
        <is>
          <t>1 — Горячий</t>
        </is>
      </c>
      <c r="F78" s="41" t="n">
        <v>16800</v>
      </c>
      <c r="G78" s="34" t="inlineStr">
        <is>
          <t>Юнусова</t>
        </is>
      </c>
      <c r="H78" s="34" t="n"/>
      <c r="I78" s="34" t="inlineStr">
        <is>
          <t>В работе</t>
        </is>
      </c>
      <c r="J78" s="34" t="n"/>
      <c r="K78" s="34" t="n"/>
    </row>
    <row r="79">
      <c r="A79" s="35" t="inlineStr">
        <is>
          <t>1414012860</t>
        </is>
      </c>
      <c r="B79" s="35" t="inlineStr">
        <is>
          <t>ООО «Козориз и К»</t>
        </is>
      </c>
      <c r="C79" s="35" t="inlineStr">
        <is>
          <t>42.11</t>
        </is>
      </c>
      <c r="D79" s="35" t="n">
        <v>46</v>
      </c>
      <c r="E79" s="35" t="inlineStr">
        <is>
          <t>1 — Горячий</t>
        </is>
      </c>
      <c r="F79" s="41" t="n">
        <v>16800</v>
      </c>
      <c r="G79" s="34" t="inlineStr">
        <is>
          <t>Кургузов</t>
        </is>
      </c>
      <c r="H79" s="34" t="n"/>
      <c r="I79" s="34" t="inlineStr">
        <is>
          <t>В работе</t>
        </is>
      </c>
      <c r="J79" s="34" t="n"/>
      <c r="K79" s="34" t="n"/>
    </row>
    <row r="80">
      <c r="A80" s="35" t="inlineStr">
        <is>
          <t>3849037366</t>
        </is>
      </c>
      <c r="B80" s="35" t="inlineStr">
        <is>
          <t>ООО ЧОП "ФЕНИКС ФЕДЕРАЛ"</t>
        </is>
      </c>
      <c r="C80" s="35" t="inlineStr">
        <is>
          <t>80.10</t>
        </is>
      </c>
      <c r="D80" s="35" t="n">
        <v>24</v>
      </c>
      <c r="E80" s="35" t="inlineStr">
        <is>
          <t>1 — Горячий</t>
        </is>
      </c>
      <c r="F80" s="41" t="n">
        <v>8400</v>
      </c>
      <c r="G80" s="34" t="inlineStr">
        <is>
          <t>Оглоблина</t>
        </is>
      </c>
      <c r="H80" s="34" t="n"/>
      <c r="I80" s="34" t="inlineStr">
        <is>
          <t>В работе</t>
        </is>
      </c>
      <c r="J80" s="34" t="n"/>
      <c r="K80" s="34" t="n"/>
    </row>
    <row r="81">
      <c r="A81" s="35" t="inlineStr">
        <is>
          <t>3812153133</t>
        </is>
      </c>
      <c r="B81" s="35" t="inlineStr">
        <is>
          <t>ООО "СтК Групп"</t>
        </is>
      </c>
      <c r="C81" s="35" t="inlineStr">
        <is>
          <t>71.12</t>
        </is>
      </c>
      <c r="D81" s="35" t="n">
        <v>33</v>
      </c>
      <c r="E81" s="35" t="inlineStr">
        <is>
          <t>1 — Горячий</t>
        </is>
      </c>
      <c r="F81" s="41" t="n">
        <v>16800</v>
      </c>
      <c r="G81" s="34" t="inlineStr">
        <is>
          <t>Юнусова</t>
        </is>
      </c>
      <c r="H81" s="34" t="n"/>
      <c r="I81" s="34" t="inlineStr">
        <is>
          <t>В работе</t>
        </is>
      </c>
      <c r="J81" s="34" t="n"/>
      <c r="K81" s="34" t="n"/>
    </row>
    <row r="82">
      <c r="A82" s="35" t="inlineStr">
        <is>
          <t>3808181730</t>
        </is>
      </c>
      <c r="B82" s="35" t="inlineStr">
        <is>
          <t>ООО «Сумотори-Иркутск»</t>
        </is>
      </c>
      <c r="C82" s="35" t="inlineStr">
        <is>
          <t>45.11.1</t>
        </is>
      </c>
      <c r="D82" s="35" t="n">
        <v>36</v>
      </c>
      <c r="E82" s="35" t="inlineStr">
        <is>
          <t>1 — Горячий</t>
        </is>
      </c>
      <c r="F82" s="41" t="n">
        <v>16800</v>
      </c>
      <c r="G82" s="34" t="inlineStr">
        <is>
          <t>Кургузов</t>
        </is>
      </c>
      <c r="H82" s="34" t="n"/>
      <c r="I82" s="34" t="inlineStr">
        <is>
          <t>В работе</t>
        </is>
      </c>
      <c r="J82" s="34" t="n"/>
      <c r="K82" s="34" t="n"/>
    </row>
    <row r="83">
      <c r="A83" s="35" t="inlineStr">
        <is>
          <t>3810051697</t>
        </is>
      </c>
      <c r="B83" s="35" t="inlineStr">
        <is>
          <t>ООО Энергетическая компания "Радиан"</t>
        </is>
      </c>
      <c r="C83" s="35" t="inlineStr">
        <is>
          <t>35.12</t>
        </is>
      </c>
      <c r="D83" s="35" t="n">
        <v>92</v>
      </c>
      <c r="E83" s="35" t="inlineStr">
        <is>
          <t>1 — Горячий</t>
        </is>
      </c>
      <c r="F83" s="41" t="n">
        <v>33600</v>
      </c>
      <c r="G83" s="34" t="inlineStr">
        <is>
          <t>Оглоблина</t>
        </is>
      </c>
      <c r="H83" s="34" t="n"/>
      <c r="I83" s="34" t="inlineStr">
        <is>
          <t>В работе</t>
        </is>
      </c>
      <c r="J83" s="34" t="n"/>
      <c r="K83" s="34" t="n"/>
    </row>
    <row r="84">
      <c r="A84" s="35" t="inlineStr">
        <is>
          <t>3804037912</t>
        </is>
      </c>
      <c r="B84" s="35" t="inlineStr">
        <is>
          <t>ООО "Санаторий "Солнечный"</t>
        </is>
      </c>
      <c r="C84" s="35" t="inlineStr">
        <is>
          <t>86.90.4</t>
        </is>
      </c>
      <c r="D84" s="35" t="n">
        <v>60</v>
      </c>
      <c r="E84" s="35" t="inlineStr">
        <is>
          <t>1 — Горячий</t>
        </is>
      </c>
      <c r="F84" s="41" t="n">
        <v>33600</v>
      </c>
      <c r="G84" s="34" t="inlineStr">
        <is>
          <t>Юнусова</t>
        </is>
      </c>
      <c r="H84" s="34" t="n"/>
      <c r="I84" s="34" t="inlineStr">
        <is>
          <t>В работе</t>
        </is>
      </c>
      <c r="J84" s="34" t="n"/>
      <c r="K84" s="34" t="n"/>
    </row>
    <row r="85">
      <c r="A85" s="35" t="inlineStr">
        <is>
          <t>3801098120</t>
        </is>
      </c>
      <c r="B85" s="35" t="inlineStr">
        <is>
          <t>ООО "ХИМСТАНДАРТ"</t>
        </is>
      </c>
      <c r="C85" s="35" t="inlineStr">
        <is>
          <t>46.71.9</t>
        </is>
      </c>
      <c r="D85" s="35" t="n">
        <v>26</v>
      </c>
      <c r="E85" s="35" t="inlineStr">
        <is>
          <t>1 — Горячий</t>
        </is>
      </c>
      <c r="F85" s="41" t="n">
        <v>16800</v>
      </c>
      <c r="G85" s="34" t="inlineStr">
        <is>
          <t>Кургузов</t>
        </is>
      </c>
      <c r="H85" s="34" t="n"/>
      <c r="I85" s="34" t="inlineStr">
        <is>
          <t>В работе</t>
        </is>
      </c>
      <c r="J85" s="34" t="n"/>
      <c r="K85" s="34" t="n"/>
    </row>
    <row r="86">
      <c r="A86" s="35" t="inlineStr">
        <is>
          <t>3849032135</t>
        </is>
      </c>
      <c r="B86" s="35" t="inlineStr">
        <is>
          <t>Общество с ограниченной ответственностью  "СТРИТС"</t>
        </is>
      </c>
      <c r="C86" s="35" t="inlineStr">
        <is>
          <t>10.89</t>
        </is>
      </c>
      <c r="D86" s="35" t="n">
        <v>145</v>
      </c>
      <c r="E86" s="35" t="inlineStr">
        <is>
          <t>1 — Горячий</t>
        </is>
      </c>
      <c r="F86" s="41" t="n">
        <v>62400</v>
      </c>
      <c r="G86" s="34" t="inlineStr">
        <is>
          <t>Оглоблина</t>
        </is>
      </c>
      <c r="H86" s="34" t="n"/>
      <c r="I86" s="34" t="inlineStr">
        <is>
          <t>В работе</t>
        </is>
      </c>
      <c r="J86" s="34" t="n"/>
      <c r="K86" s="34" t="n"/>
    </row>
    <row r="87">
      <c r="A87" s="35" t="inlineStr">
        <is>
          <t>3834009736</t>
        </is>
      </c>
      <c r="B87" s="35" t="inlineStr">
        <is>
          <t>ООО "ЗБСМ МК-162"</t>
        </is>
      </c>
      <c r="C87" s="35" t="inlineStr">
        <is>
          <t>42.11</t>
        </is>
      </c>
      <c r="D87" s="35" t="n">
        <v>413</v>
      </c>
      <c r="E87" s="35" t="inlineStr">
        <is>
          <t>1 — Горячий</t>
        </is>
      </c>
      <c r="F87" s="41" t="n">
        <v>144000</v>
      </c>
      <c r="G87" s="34" t="inlineStr">
        <is>
          <t>Юнусова</t>
        </is>
      </c>
      <c r="H87" s="34" t="n"/>
      <c r="I87" s="34" t="inlineStr">
        <is>
          <t>В работе</t>
        </is>
      </c>
      <c r="J87" s="34" t="n"/>
      <c r="K87" s="34" t="n"/>
    </row>
    <row r="88">
      <c r="A88" s="35" t="inlineStr">
        <is>
          <t>3811474857</t>
        </is>
      </c>
      <c r="B88" s="35" t="inlineStr">
        <is>
          <t>ООО "МАЙНИНГВОСТОК"</t>
        </is>
      </c>
      <c r="C88" s="35" t="inlineStr">
        <is>
          <t>43.12.3</t>
        </is>
      </c>
      <c r="D88" s="35" t="n">
        <v>107</v>
      </c>
      <c r="E88" s="35" t="inlineStr">
        <is>
          <t>1 — Горячий</t>
        </is>
      </c>
      <c r="F88" s="41" t="n">
        <v>62400</v>
      </c>
      <c r="G88" s="34" t="inlineStr">
        <is>
          <t>Кургузов</t>
        </is>
      </c>
      <c r="H88" s="34" t="n"/>
      <c r="I88" s="34" t="inlineStr">
        <is>
          <t>В работе</t>
        </is>
      </c>
      <c r="J88" s="34" t="n"/>
      <c r="K88" s="34" t="n"/>
    </row>
    <row r="89">
      <c r="A89" s="35" t="inlineStr">
        <is>
          <t>3810048045</t>
        </is>
      </c>
      <c r="B89" s="35" t="inlineStr">
        <is>
          <t>ООО "Торговая компания "Благо"</t>
        </is>
      </c>
      <c r="C89" s="35" t="inlineStr">
        <is>
          <t>46.73</t>
        </is>
      </c>
      <c r="D89" s="35" t="n">
        <v>30</v>
      </c>
      <c r="E89" s="35" t="inlineStr">
        <is>
          <t>1 — Горячий</t>
        </is>
      </c>
      <c r="F89" s="41" t="n">
        <v>16800</v>
      </c>
      <c r="G89" s="34" t="inlineStr">
        <is>
          <t>Оглоблина</t>
        </is>
      </c>
      <c r="H89" s="34" t="n"/>
      <c r="I89" s="34" t="inlineStr">
        <is>
          <t>В работе</t>
        </is>
      </c>
      <c r="J89" s="34" t="n"/>
      <c r="K89" s="34" t="n"/>
    </row>
    <row r="90">
      <c r="A90" s="35" t="inlineStr">
        <is>
          <t>3811080980</t>
        </is>
      </c>
      <c r="B90" s="35" t="inlineStr">
        <is>
          <t>ООО "Смета Плюс"</t>
        </is>
      </c>
      <c r="C90" s="35" t="inlineStr">
        <is>
          <t>41.20</t>
        </is>
      </c>
      <c r="D90" s="35" t="n">
        <v>45</v>
      </c>
      <c r="E90" s="35" t="inlineStr">
        <is>
          <t>1 — Горячий</t>
        </is>
      </c>
      <c r="F90" s="41" t="n">
        <v>16800</v>
      </c>
      <c r="G90" s="34" t="inlineStr">
        <is>
          <t>Юнусова</t>
        </is>
      </c>
      <c r="H90" s="34" t="n"/>
      <c r="I90" s="34" t="inlineStr">
        <is>
          <t>В работе</t>
        </is>
      </c>
      <c r="J90" s="34" t="n"/>
      <c r="K90" s="34" t="n"/>
    </row>
    <row r="91">
      <c r="A91" s="35" t="inlineStr">
        <is>
          <t>3811043603</t>
        </is>
      </c>
      <c r="B91" s="35" t="inlineStr">
        <is>
          <t>Общество с ограниченной ответственностью ЧАСТНОЕ ОХРАННОЕ ПРЕДПРИЯТИЕ "АТЭКС"</t>
        </is>
      </c>
      <c r="C91" s="35" t="inlineStr">
        <is>
          <t>80.10</t>
        </is>
      </c>
      <c r="D91" s="35" t="n">
        <v>32</v>
      </c>
      <c r="E91" s="35" t="inlineStr">
        <is>
          <t>1 — Горячий</t>
        </is>
      </c>
      <c r="F91" s="41" t="n">
        <v>16800</v>
      </c>
      <c r="G91" s="34" t="inlineStr">
        <is>
          <t>Кургузов</t>
        </is>
      </c>
      <c r="H91" s="34" t="n"/>
      <c r="I91" s="34" t="inlineStr">
        <is>
          <t>В работе</t>
        </is>
      </c>
      <c r="J91" s="34" t="n"/>
      <c r="K91" s="34" t="n"/>
    </row>
    <row r="92">
      <c r="A92" s="35" t="inlineStr">
        <is>
          <t>3811444919</t>
        </is>
      </c>
      <c r="B92" s="35" t="inlineStr">
        <is>
          <t>ООО "СК КЛИМАТ-СЕРВИС"</t>
        </is>
      </c>
      <c r="C92" s="35" t="inlineStr">
        <is>
          <t>71.12.1</t>
        </is>
      </c>
      <c r="D92" s="35" t="n">
        <v>32</v>
      </c>
      <c r="E92" s="35" t="inlineStr">
        <is>
          <t>1 — Горячий</t>
        </is>
      </c>
      <c r="F92" s="41" t="n">
        <v>16800</v>
      </c>
      <c r="G92" s="34" t="inlineStr">
        <is>
          <t>Оглоблина</t>
        </is>
      </c>
      <c r="H92" s="34" t="n"/>
      <c r="I92" s="34" t="inlineStr">
        <is>
          <t>В работе</t>
        </is>
      </c>
      <c r="J92" s="34" t="n"/>
      <c r="K92" s="34" t="n"/>
    </row>
    <row r="93">
      <c r="A93" s="35" t="inlineStr">
        <is>
          <t>3810035102</t>
        </is>
      </c>
      <c r="B93" s="35" t="inlineStr">
        <is>
          <t>ООО санаторий-профилакторий Иркут</t>
        </is>
      </c>
      <c r="C93" s="35" t="inlineStr">
        <is>
          <t>55.20</t>
        </is>
      </c>
      <c r="D93" s="35" t="n">
        <v>106</v>
      </c>
      <c r="E93" s="35" t="inlineStr">
        <is>
          <t>1 — Горячий</t>
        </is>
      </c>
      <c r="F93" s="41" t="n">
        <v>62400</v>
      </c>
      <c r="G93" s="34" t="inlineStr">
        <is>
          <t>Юнусова</t>
        </is>
      </c>
      <c r="H93" s="34" t="n"/>
      <c r="I93" s="34" t="inlineStr">
        <is>
          <t>В работе</t>
        </is>
      </c>
      <c r="J93" s="34" t="n"/>
      <c r="K93" s="34" t="n"/>
    </row>
    <row r="94">
      <c r="A94" s="35" t="inlineStr">
        <is>
          <t>3810037741</t>
        </is>
      </c>
      <c r="B94" s="35" t="inlineStr">
        <is>
          <t>ООО "ИКЗ"</t>
        </is>
      </c>
      <c r="C94" s="35" t="inlineStr">
        <is>
          <t>23.32</t>
        </is>
      </c>
      <c r="D94" s="35" t="n">
        <v>120</v>
      </c>
      <c r="E94" s="35" t="inlineStr">
        <is>
          <t>1 — Горячий</t>
        </is>
      </c>
      <c r="F94" s="41" t="n">
        <v>62400</v>
      </c>
      <c r="G94" s="34" t="inlineStr">
        <is>
          <t>Кургузов</t>
        </is>
      </c>
      <c r="H94" s="34" t="n"/>
      <c r="I94" s="34" t="inlineStr">
        <is>
          <t>В работе</t>
        </is>
      </c>
      <c r="J94" s="34" t="n"/>
      <c r="K94" s="34" t="n"/>
    </row>
    <row r="95">
      <c r="A95" s="35" t="inlineStr">
        <is>
          <t>3812161293</t>
        </is>
      </c>
      <c r="B95" s="35" t="inlineStr">
        <is>
          <t>ТЕПЛОВОД ООО</t>
        </is>
      </c>
      <c r="C95" s="35" t="inlineStr">
        <is>
          <t>35.30.14</t>
        </is>
      </c>
      <c r="D95" s="35" t="n">
        <v>107</v>
      </c>
      <c r="E95" s="35" t="inlineStr">
        <is>
          <t>1 — Горячий</t>
        </is>
      </c>
      <c r="F95" s="41" t="n">
        <v>62400</v>
      </c>
      <c r="G95" s="34" t="inlineStr">
        <is>
          <t>Оглоблина</t>
        </is>
      </c>
      <c r="H95" s="34" t="n"/>
      <c r="I95" s="34" t="inlineStr">
        <is>
          <t>В работе</t>
        </is>
      </c>
      <c r="J95" s="34" t="n"/>
      <c r="K95" s="34" t="n"/>
    </row>
    <row r="96">
      <c r="A96" s="35" t="inlineStr">
        <is>
          <t>5405039453</t>
        </is>
      </c>
      <c r="B96" s="35" t="inlineStr">
        <is>
          <t>ООО "НИМФА"</t>
        </is>
      </c>
      <c r="C96" s="35" t="inlineStr">
        <is>
          <t>10.85</t>
        </is>
      </c>
      <c r="D96" s="35" t="n">
        <v>78</v>
      </c>
      <c r="E96" s="35" t="inlineStr">
        <is>
          <t>1 — Горячий</t>
        </is>
      </c>
      <c r="F96" s="41" t="n">
        <v>33600</v>
      </c>
      <c r="G96" s="34" t="inlineStr">
        <is>
          <t>Юнусова</t>
        </is>
      </c>
      <c r="H96" s="34" t="n"/>
      <c r="I96" s="34" t="inlineStr">
        <is>
          <t>В работе</t>
        </is>
      </c>
      <c r="J96" s="34" t="n"/>
      <c r="K96" s="34" t="n"/>
    </row>
    <row r="97">
      <c r="A97" s="35" t="inlineStr">
        <is>
          <t>3811452395</t>
        </is>
      </c>
      <c r="B97" s="35" t="inlineStr">
        <is>
          <t>Общество с ограниченной ответственностью "ИНФОСТРОЙ"</t>
        </is>
      </c>
      <c r="C97" s="35" t="inlineStr">
        <is>
          <t>41.20</t>
        </is>
      </c>
      <c r="D97" s="35" t="n">
        <v>46</v>
      </c>
      <c r="E97" s="35" t="inlineStr">
        <is>
          <t>1 — Горячий</t>
        </is>
      </c>
      <c r="F97" s="41" t="n">
        <v>16800</v>
      </c>
      <c r="G97" s="34" t="inlineStr">
        <is>
          <t>Кургузов</t>
        </is>
      </c>
      <c r="H97" s="34" t="n"/>
      <c r="I97" s="34" t="inlineStr">
        <is>
          <t>В работе</t>
        </is>
      </c>
      <c r="J97" s="34" t="n"/>
      <c r="K97" s="34" t="n"/>
    </row>
    <row r="98">
      <c r="A98" s="35" t="inlineStr">
        <is>
          <t>3808273861</t>
        </is>
      </c>
      <c r="B98" s="35" t="inlineStr">
        <is>
          <t>ОБЩЕСТВО С ОГРАНИЧЕННОЙ ОТВЕТСТВЕННОСТЬЮ "СТАНДАРТ А"</t>
        </is>
      </c>
      <c r="C98" s="35" t="inlineStr">
        <is>
          <t>93.29.9</t>
        </is>
      </c>
      <c r="D98" s="35" t="n">
        <v>41</v>
      </c>
      <c r="E98" s="35" t="inlineStr">
        <is>
          <t>1 — Горячий</t>
        </is>
      </c>
      <c r="F98" s="41" t="n">
        <v>16800</v>
      </c>
      <c r="G98" s="34" t="inlineStr">
        <is>
          <t>Оглоблина</t>
        </is>
      </c>
      <c r="H98" s="34" t="n"/>
      <c r="I98" s="34" t="inlineStr">
        <is>
          <t>В работе</t>
        </is>
      </c>
      <c r="J98" s="34" t="n"/>
      <c r="K98" s="34" t="n"/>
    </row>
    <row r="99">
      <c r="A99" s="35" t="inlineStr">
        <is>
          <t>3848001367</t>
        </is>
      </c>
      <c r="B99" s="35" t="inlineStr">
        <is>
          <t>ООО "РегионСтройКомплект"</t>
        </is>
      </c>
      <c r="C99" s="35" t="inlineStr">
        <is>
          <t>46.69.5</t>
        </is>
      </c>
      <c r="D99" s="35" t="n">
        <v>63</v>
      </c>
      <c r="E99" s="35" t="inlineStr">
        <is>
          <t>1 — Горячий</t>
        </is>
      </c>
      <c r="F99" s="41" t="n">
        <v>33600</v>
      </c>
      <c r="G99" s="34" t="inlineStr">
        <is>
          <t>Юнусова</t>
        </is>
      </c>
      <c r="H99" s="34" t="n"/>
      <c r="I99" s="34" t="inlineStr">
        <is>
          <t>В работе</t>
        </is>
      </c>
      <c r="J99" s="34" t="n"/>
      <c r="K99" s="34" t="n"/>
    </row>
    <row r="100">
      <c r="A100" s="35" t="inlineStr">
        <is>
          <t>3849094861</t>
        </is>
      </c>
      <c r="B100" s="35" t="inlineStr">
        <is>
          <t>ООО "ВАШ ЛОМБАРД"</t>
        </is>
      </c>
      <c r="C100" s="35" t="inlineStr">
        <is>
          <t>47.79.3</t>
        </is>
      </c>
      <c r="D100" s="35" t="n">
        <v>34</v>
      </c>
      <c r="E100" s="35" t="inlineStr">
        <is>
          <t>1 — Горячий</t>
        </is>
      </c>
      <c r="F100" s="41" t="n">
        <v>16800</v>
      </c>
      <c r="G100" s="34" t="inlineStr">
        <is>
          <t>Кургузов</t>
        </is>
      </c>
      <c r="H100" s="34" t="n"/>
      <c r="I100" s="34" t="inlineStr">
        <is>
          <t>В работе</t>
        </is>
      </c>
      <c r="J100" s="34" t="n"/>
      <c r="K100" s="34" t="n"/>
    </row>
    <row r="101">
      <c r="A101" s="35" t="inlineStr">
        <is>
          <t>3811457837</t>
        </is>
      </c>
      <c r="B101" s="35" t="inlineStr">
        <is>
          <t>ОБЩЕСТВО С ОГРАНИЧЕННОЙ ОТВЕТСТВЕННОСТЬЮ "ЛЕЧЕБНО-ДИАГНОСТИЧЕСКИЙ ЦЕНТР"</t>
        </is>
      </c>
      <c r="C101" s="35" t="inlineStr">
        <is>
          <t>86.10</t>
        </is>
      </c>
      <c r="D101" s="35" t="n">
        <v>49</v>
      </c>
      <c r="E101" s="35" t="inlineStr">
        <is>
          <t>1 — Горячий</t>
        </is>
      </c>
      <c r="F101" s="41" t="n">
        <v>16800</v>
      </c>
      <c r="G101" s="34" t="inlineStr">
        <is>
          <t>Оглоблина</t>
        </is>
      </c>
      <c r="H101" s="34" t="n"/>
      <c r="I101" s="34" t="inlineStr">
        <is>
          <t>В работе</t>
        </is>
      </c>
      <c r="J101" s="34" t="n"/>
      <c r="K101" s="34" t="n"/>
    </row>
    <row r="102">
      <c r="A102" s="35" t="inlineStr">
        <is>
          <t>3811441749</t>
        </is>
      </c>
      <c r="B102" s="35" t="inlineStr">
        <is>
          <t>КонсультантПлюс в Иркутске</t>
        </is>
      </c>
      <c r="C102" s="35" t="inlineStr">
        <is>
          <t>63.11.1</t>
        </is>
      </c>
      <c r="D102" s="35" t="n">
        <v>26</v>
      </c>
      <c r="E102" s="35" t="inlineStr">
        <is>
          <t>1 — Горячий</t>
        </is>
      </c>
      <c r="F102" s="41" t="n">
        <v>16800</v>
      </c>
      <c r="G102" s="34" t="inlineStr">
        <is>
          <t>Юнусова</t>
        </is>
      </c>
      <c r="H102" s="34" t="n"/>
      <c r="I102" s="34" t="inlineStr">
        <is>
          <t>В работе</t>
        </is>
      </c>
      <c r="J102" s="34" t="n"/>
      <c r="K102" s="34" t="n"/>
    </row>
    <row r="103">
      <c r="A103" s="35" t="inlineStr">
        <is>
          <t>3808166080</t>
        </is>
      </c>
      <c r="B103" s="35" t="inlineStr">
        <is>
          <t>Акционерное общество "Дорожная Служба Иркутской Области</t>
        </is>
      </c>
      <c r="C103" s="35" t="inlineStr">
        <is>
          <t>52.21.22</t>
        </is>
      </c>
      <c r="D103" s="35" t="n">
        <v>228</v>
      </c>
      <c r="E103" s="35" t="inlineStr">
        <is>
          <t>1 — Горячий</t>
        </is>
      </c>
      <c r="F103" s="41" t="n">
        <v>144000</v>
      </c>
      <c r="G103" s="34" t="inlineStr">
        <is>
          <t>Кургузов</t>
        </is>
      </c>
      <c r="H103" s="34" t="n"/>
      <c r="I103" s="34" t="inlineStr">
        <is>
          <t>В работе</t>
        </is>
      </c>
      <c r="J103" s="34" t="n"/>
      <c r="K103" s="34" t="n"/>
    </row>
    <row r="104">
      <c r="A104" s="35" t="inlineStr">
        <is>
          <t>3811081969</t>
        </is>
      </c>
      <c r="B104" s="35" t="inlineStr">
        <is>
          <t>Химсервис, ООО</t>
        </is>
      </c>
      <c r="C104" s="35" t="inlineStr">
        <is>
          <t>46.69.2</t>
        </is>
      </c>
      <c r="D104" s="35" t="n">
        <v>30</v>
      </c>
      <c r="E104" s="35" t="inlineStr">
        <is>
          <t>1 — Горячий</t>
        </is>
      </c>
      <c r="F104" s="41" t="n">
        <v>16800</v>
      </c>
      <c r="G104" s="34" t="inlineStr">
        <is>
          <t>Оглоблина</t>
        </is>
      </c>
      <c r="H104" s="34" t="n"/>
      <c r="I104" s="34" t="inlineStr">
        <is>
          <t>В работе</t>
        </is>
      </c>
      <c r="J104" s="34" t="n"/>
      <c r="K104" s="34" t="n"/>
    </row>
    <row r="105">
      <c r="A105" s="35" t="inlineStr">
        <is>
          <t>3818013862</t>
        </is>
      </c>
      <c r="B105" s="35" t="inlineStr">
        <is>
          <t>ООО "Верхнеленское Речное Пароходство"</t>
        </is>
      </c>
      <c r="C105" s="35" t="inlineStr">
        <is>
          <t>50.40.1</t>
        </is>
      </c>
      <c r="D105" s="35" t="n">
        <v>383</v>
      </c>
      <c r="E105" s="35" t="inlineStr">
        <is>
          <t>1 — Горячий</t>
        </is>
      </c>
      <c r="F105" s="41" t="n">
        <v>144000</v>
      </c>
      <c r="G105" s="34" t="inlineStr">
        <is>
          <t>Юнусова</t>
        </is>
      </c>
      <c r="H105" s="34" t="n"/>
      <c r="I105" s="34" t="inlineStr">
        <is>
          <t>В работе</t>
        </is>
      </c>
      <c r="J105" s="34" t="n"/>
      <c r="K105" s="34" t="n"/>
    </row>
    <row r="106">
      <c r="A106" s="35" t="inlineStr">
        <is>
          <t>3811160089</t>
        </is>
      </c>
      <c r="B106" s="35" t="inlineStr">
        <is>
          <t>ПРОЕКТ, ООО мкр.Крылатый</t>
        </is>
      </c>
      <c r="C106" s="35" t="inlineStr">
        <is>
          <t>41.10</t>
        </is>
      </c>
      <c r="D106" s="35" t="n">
        <v>63</v>
      </c>
      <c r="E106" s="35" t="inlineStr">
        <is>
          <t>1 — Горячий</t>
        </is>
      </c>
      <c r="F106" s="41" t="n">
        <v>33600</v>
      </c>
      <c r="G106" s="34" t="inlineStr">
        <is>
          <t>Кургузов</t>
        </is>
      </c>
      <c r="H106" s="34" t="n"/>
      <c r="I106" s="34" t="inlineStr">
        <is>
          <t>В работе</t>
        </is>
      </c>
      <c r="J106" s="34" t="n"/>
      <c r="K106" s="34" t="n"/>
    </row>
    <row r="107">
      <c r="A107" s="35" t="inlineStr">
        <is>
          <t>3849089621</t>
        </is>
      </c>
      <c r="B107" s="35" t="inlineStr">
        <is>
          <t>ООО "ДОВОДЪ"</t>
        </is>
      </c>
      <c r="C107" s="35" t="inlineStr">
        <is>
          <t>69.10</t>
        </is>
      </c>
      <c r="D107" s="35" t="n">
        <v>34</v>
      </c>
      <c r="E107" s="35" t="inlineStr">
        <is>
          <t>1 — Горячий</t>
        </is>
      </c>
      <c r="F107" s="41" t="n">
        <v>16800</v>
      </c>
      <c r="G107" s="34" t="inlineStr">
        <is>
          <t>Оглоблина</t>
        </is>
      </c>
      <c r="H107" s="34" t="n"/>
      <c r="I107" s="34" t="inlineStr">
        <is>
          <t>В работе</t>
        </is>
      </c>
      <c r="J107" s="34" t="n"/>
      <c r="K107" s="34" t="n"/>
    </row>
    <row r="108">
      <c r="A108" s="35" t="inlineStr">
        <is>
          <t>3802009885</t>
        </is>
      </c>
      <c r="B108" s="35" t="inlineStr">
        <is>
          <t>ООО "Мамская горнорудная компания"</t>
        </is>
      </c>
      <c r="C108" s="35" t="inlineStr">
        <is>
          <t>09.90</t>
        </is>
      </c>
      <c r="D108" s="35" t="n">
        <v>29</v>
      </c>
      <c r="E108" s="35" t="inlineStr">
        <is>
          <t>1 — Горячий</t>
        </is>
      </c>
      <c r="F108" s="41" t="n">
        <v>16800</v>
      </c>
      <c r="G108" s="34" t="inlineStr">
        <is>
          <t>Юнусова</t>
        </is>
      </c>
      <c r="H108" s="34" t="n"/>
      <c r="I108" s="34" t="inlineStr">
        <is>
          <t>В работе</t>
        </is>
      </c>
      <c r="J108" s="34" t="n"/>
      <c r="K108" s="34" t="n"/>
    </row>
    <row r="109">
      <c r="A109" s="35" t="inlineStr">
        <is>
          <t>3804026068</t>
        </is>
      </c>
      <c r="B109" s="35" t="inlineStr">
        <is>
          <t>ООО "Строй Стандарт"</t>
        </is>
      </c>
      <c r="C109" s="35" t="inlineStr">
        <is>
          <t>33.12</t>
        </is>
      </c>
      <c r="D109" s="35" t="n">
        <v>74</v>
      </c>
      <c r="E109" s="35" t="inlineStr">
        <is>
          <t>1 — Горячий</t>
        </is>
      </c>
      <c r="F109" s="41" t="n">
        <v>33600</v>
      </c>
      <c r="G109" s="34" t="inlineStr">
        <is>
          <t>Кургузов</t>
        </is>
      </c>
      <c r="H109" s="34" t="n"/>
      <c r="I109" s="34" t="inlineStr">
        <is>
          <t>В работе</t>
        </is>
      </c>
      <c r="J109" s="34" t="n"/>
      <c r="K109" s="34" t="n"/>
    </row>
    <row r="110">
      <c r="A110" s="35" t="inlineStr">
        <is>
          <t>3810340240</t>
        </is>
      </c>
      <c r="B110" s="35" t="inlineStr">
        <is>
          <t>ООО ТОРГОВЫЙ ДОМ ЭЛИТ ТРЕЙД</t>
        </is>
      </c>
      <c r="C110" s="35" t="inlineStr">
        <is>
          <t>46.32</t>
        </is>
      </c>
      <c r="D110" s="35" t="n">
        <v>672</v>
      </c>
      <c r="E110" s="35" t="inlineStr">
        <is>
          <t>1 — Горячий</t>
        </is>
      </c>
      <c r="F110" s="41" t="n">
        <v>528000</v>
      </c>
      <c r="G110" s="34" t="inlineStr">
        <is>
          <t>Оглоблина</t>
        </is>
      </c>
      <c r="H110" s="34" t="n"/>
      <c r="I110" s="34" t="inlineStr">
        <is>
          <t>В работе</t>
        </is>
      </c>
      <c r="J110" s="34" t="n"/>
      <c r="K110" s="34" t="n"/>
    </row>
    <row r="111">
      <c r="A111" s="35" t="inlineStr">
        <is>
          <t>3804005438</t>
        </is>
      </c>
      <c r="B111" s="35" t="inlineStr">
        <is>
          <t>ООО «Тюссо»</t>
        </is>
      </c>
      <c r="C111" s="35" t="inlineStr">
        <is>
          <t>02.20</t>
        </is>
      </c>
      <c r="D111" s="35" t="n">
        <v>26</v>
      </c>
      <c r="E111" s="35" t="inlineStr">
        <is>
          <t>1 — Горячий</t>
        </is>
      </c>
      <c r="F111" s="41" t="n">
        <v>16800</v>
      </c>
      <c r="G111" s="34" t="inlineStr">
        <is>
          <t>Юнусова</t>
        </is>
      </c>
      <c r="H111" s="34" t="n"/>
      <c r="I111" s="34" t="inlineStr">
        <is>
          <t>В работе</t>
        </is>
      </c>
      <c r="J111" s="34" t="n"/>
      <c r="K111" s="34" t="n"/>
    </row>
    <row r="112">
      <c r="A112" s="35" t="inlineStr">
        <is>
          <t>3810017128</t>
        </is>
      </c>
      <c r="B112" s="35" t="inlineStr">
        <is>
          <t>ОБЩЕСТВО С ОГРАНИЧЕННОЙ ОТВЕТСТВЕННОСТЬЮ "САНТ И К"</t>
        </is>
      </c>
      <c r="C112" s="35" t="inlineStr">
        <is>
          <t>45.20.1</t>
        </is>
      </c>
      <c r="D112" s="35" t="n">
        <v>46</v>
      </c>
      <c r="E112" s="35" t="inlineStr">
        <is>
          <t>1 — Горячий</t>
        </is>
      </c>
      <c r="F112" s="41" t="n">
        <v>16800</v>
      </c>
      <c r="G112" s="34" t="inlineStr">
        <is>
          <t>Кургузов</t>
        </is>
      </c>
      <c r="H112" s="34" t="n"/>
      <c r="I112" s="34" t="inlineStr">
        <is>
          <t>В работе</t>
        </is>
      </c>
      <c r="J112" s="34" t="n"/>
      <c r="K112" s="34" t="n"/>
    </row>
    <row r="113">
      <c r="A113" s="35" t="inlineStr">
        <is>
          <t>3802010714</t>
        </is>
      </c>
      <c r="B113" s="35" t="inlineStr">
        <is>
          <t>АО "Витимэнергосбыт"</t>
        </is>
      </c>
      <c r="C113" s="35" t="inlineStr">
        <is>
          <t>35.14</t>
        </is>
      </c>
      <c r="D113" s="35" t="n">
        <v>35</v>
      </c>
      <c r="E113" s="35" t="inlineStr">
        <is>
          <t>1 — Горячий</t>
        </is>
      </c>
      <c r="F113" s="41" t="n">
        <v>16800</v>
      </c>
      <c r="G113" s="34" t="inlineStr">
        <is>
          <t>Оглоблина</t>
        </is>
      </c>
      <c r="H113" s="34" t="n"/>
      <c r="I113" s="34" t="inlineStr">
        <is>
          <t>В работе</t>
        </is>
      </c>
      <c r="J113" s="34" t="n"/>
      <c r="K113" s="34" t="n"/>
    </row>
    <row r="114">
      <c r="A114" s="35" t="inlineStr">
        <is>
          <t>3836002824</t>
        </is>
      </c>
      <c r="B114" s="35" t="inlineStr">
        <is>
          <t>ООО "Байкальская рыба"</t>
        </is>
      </c>
      <c r="C114" s="35" t="inlineStr">
        <is>
          <t>03.22.5</t>
        </is>
      </c>
      <c r="D114" s="35" t="n">
        <v>38</v>
      </c>
      <c r="E114" s="35" t="inlineStr">
        <is>
          <t>1 — Горячий</t>
        </is>
      </c>
      <c r="F114" s="41" t="n">
        <v>16800</v>
      </c>
      <c r="G114" s="34" t="inlineStr">
        <is>
          <t>Юнусова</t>
        </is>
      </c>
      <c r="H114" s="34" t="n"/>
      <c r="I114" s="34" t="inlineStr">
        <is>
          <t>В работе</t>
        </is>
      </c>
      <c r="J114" s="34" t="n"/>
      <c r="K114" s="34" t="n"/>
    </row>
    <row r="115">
      <c r="A115" s="35" t="inlineStr">
        <is>
          <t>3811176603</t>
        </is>
      </c>
      <c r="B115" s="35" t="inlineStr">
        <is>
          <t>ООО "ППК"</t>
        </is>
      </c>
      <c r="C115" s="35" t="inlineStr">
        <is>
          <t>23.61</t>
        </is>
      </c>
      <c r="D115" s="35" t="n">
        <v>69</v>
      </c>
      <c r="E115" s="35" t="inlineStr">
        <is>
          <t>1 — Горячий</t>
        </is>
      </c>
      <c r="F115" s="41" t="n">
        <v>33600</v>
      </c>
      <c r="G115" s="34" t="inlineStr">
        <is>
          <t>Кургузов</t>
        </is>
      </c>
      <c r="H115" s="34" t="n"/>
      <c r="I115" s="34" t="inlineStr">
        <is>
          <t>В работе</t>
        </is>
      </c>
      <c r="J115" s="34" t="n"/>
      <c r="K115" s="34" t="n"/>
    </row>
    <row r="116">
      <c r="A116" s="35" t="inlineStr">
        <is>
          <t>3810332962</t>
        </is>
      </c>
      <c r="B116" s="35" t="inlineStr">
        <is>
          <t>МК Линейщик, ООО</t>
        </is>
      </c>
      <c r="C116" s="35" t="inlineStr">
        <is>
          <t>43.21</t>
        </is>
      </c>
      <c r="D116" s="35" t="n">
        <v>35</v>
      </c>
      <c r="E116" s="35" t="inlineStr">
        <is>
          <t>1 — Горячий</t>
        </is>
      </c>
      <c r="F116" s="41" t="n">
        <v>16800</v>
      </c>
      <c r="G116" s="34" t="inlineStr">
        <is>
          <t>Оглоблина</t>
        </is>
      </c>
      <c r="H116" s="34" t="n"/>
      <c r="I116" s="34" t="inlineStr">
        <is>
          <t>В работе</t>
        </is>
      </c>
      <c r="J116" s="34" t="n"/>
      <c r="K116" s="34" t="n"/>
    </row>
    <row r="117">
      <c r="A117" s="35" t="inlineStr">
        <is>
          <t>3810060162</t>
        </is>
      </c>
      <c r="B117" s="35" t="inlineStr">
        <is>
          <t>ООО "МЕХАНИЗИРОВАННАЯ КОЛОННА №1"</t>
        </is>
      </c>
      <c r="C117" s="35" t="inlineStr">
        <is>
          <t>41.20</t>
        </is>
      </c>
      <c r="D117" s="35" t="n">
        <v>129</v>
      </c>
      <c r="E117" s="35" t="inlineStr">
        <is>
          <t>1 — Горячий</t>
        </is>
      </c>
      <c r="F117" s="41" t="n">
        <v>62400</v>
      </c>
      <c r="G117" s="34" t="inlineStr">
        <is>
          <t>Юнусова</t>
        </is>
      </c>
      <c r="H117" s="34" t="n"/>
      <c r="I117" s="34" t="inlineStr">
        <is>
          <t>В работе</t>
        </is>
      </c>
      <c r="J117" s="34" t="n"/>
      <c r="K117" s="34" t="n"/>
    </row>
    <row r="118">
      <c r="A118" s="35" t="inlineStr">
        <is>
          <t>3810076028</t>
        </is>
      </c>
      <c r="B118" s="35" t="inlineStr">
        <is>
          <t>ООО "ВИКО-ИРКУТСК"</t>
        </is>
      </c>
      <c r="C118" s="35" t="inlineStr">
        <is>
          <t>46.90</t>
        </is>
      </c>
      <c r="D118" s="35" t="n">
        <v>596</v>
      </c>
      <c r="E118" s="35" t="inlineStr">
        <is>
          <t>1 — Горячий</t>
        </is>
      </c>
      <c r="F118" s="41" t="n">
        <v>528000</v>
      </c>
      <c r="G118" s="34" t="inlineStr">
        <is>
          <t>Кургузов</t>
        </is>
      </c>
      <c r="H118" s="34" t="n"/>
      <c r="I118" s="34" t="inlineStr">
        <is>
          <t>В работе</t>
        </is>
      </c>
      <c r="J118" s="34" t="n"/>
      <c r="K118" s="34" t="n"/>
    </row>
    <row r="119">
      <c r="A119" s="35" t="inlineStr">
        <is>
          <t>3827015947</t>
        </is>
      </c>
      <c r="B119" s="35" t="inlineStr">
        <is>
          <t>ООО Фабрика окон и дверей</t>
        </is>
      </c>
      <c r="C119" s="35" t="inlineStr">
        <is>
          <t>22.23</t>
        </is>
      </c>
      <c r="D119" s="35" t="n">
        <v>80</v>
      </c>
      <c r="E119" s="35" t="inlineStr">
        <is>
          <t>1 — Горячий</t>
        </is>
      </c>
      <c r="F119" s="41" t="n">
        <v>33600</v>
      </c>
      <c r="G119" s="34" t="inlineStr">
        <is>
          <t>Оглоблина</t>
        </is>
      </c>
      <c r="H119" s="34" t="n"/>
      <c r="I119" s="34" t="inlineStr">
        <is>
          <t>В работе</t>
        </is>
      </c>
      <c r="J119" s="34" t="n"/>
      <c r="K119" s="34" t="n"/>
    </row>
    <row r="120">
      <c r="A120" s="35" t="inlineStr">
        <is>
          <t>3810025880</t>
        </is>
      </c>
      <c r="B120" s="35" t="inlineStr">
        <is>
          <t>СПМК - 7</t>
        </is>
      </c>
      <c r="C120" s="35" t="inlineStr">
        <is>
          <t>42.11</t>
        </is>
      </c>
      <c r="D120" s="35" t="n">
        <v>160</v>
      </c>
      <c r="E120" s="35" t="inlineStr">
        <is>
          <t>1 — Горячий</t>
        </is>
      </c>
      <c r="F120" s="41" t="n">
        <v>62400</v>
      </c>
      <c r="G120" s="34" t="inlineStr">
        <is>
          <t>Юнусова</t>
        </is>
      </c>
      <c r="H120" s="34" t="n"/>
      <c r="I120" s="34" t="inlineStr">
        <is>
          <t>В работе</t>
        </is>
      </c>
      <c r="J120" s="34" t="n"/>
      <c r="K120" s="34" t="n"/>
    </row>
    <row r="121">
      <c r="A121" s="35" t="inlineStr">
        <is>
          <t>1434001993</t>
        </is>
      </c>
      <c r="B121" s="35" t="inlineStr">
        <is>
          <t>ООО "Айгуль"</t>
        </is>
      </c>
      <c r="C121" s="35" t="inlineStr">
        <is>
          <t>47.19</t>
        </is>
      </c>
      <c r="D121" s="35" t="n">
        <v>316</v>
      </c>
      <c r="E121" s="35" t="inlineStr">
        <is>
          <t>1 — Горячий</t>
        </is>
      </c>
      <c r="F121" s="41" t="n">
        <v>144000</v>
      </c>
      <c r="G121" s="34" t="inlineStr">
        <is>
          <t>Кургузов</t>
        </is>
      </c>
      <c r="H121" s="34" t="n"/>
      <c r="I121" s="34" t="inlineStr">
        <is>
          <t>В работе</t>
        </is>
      </c>
      <c r="J121" s="34" t="n"/>
      <c r="K121" s="34" t="n"/>
    </row>
    <row r="122">
      <c r="A122" s="35" t="inlineStr">
        <is>
          <t>3823016570</t>
        </is>
      </c>
      <c r="B122" s="35" t="inlineStr">
        <is>
          <t>ООО "АНГАРСКАЯ СОСНА"</t>
        </is>
      </c>
      <c r="C122" s="35" t="inlineStr">
        <is>
          <t>46.73</t>
        </is>
      </c>
      <c r="D122" s="35" t="n">
        <v>23</v>
      </c>
      <c r="E122" s="35" t="inlineStr">
        <is>
          <t>1 — Горячий</t>
        </is>
      </c>
      <c r="F122" s="41" t="n">
        <v>8400</v>
      </c>
      <c r="G122" s="34" t="inlineStr">
        <is>
          <t>Оглоблина</t>
        </is>
      </c>
      <c r="H122" s="34" t="n"/>
      <c r="I122" s="34" t="inlineStr">
        <is>
          <t>В работе</t>
        </is>
      </c>
      <c r="J122" s="34" t="n"/>
      <c r="K122" s="34" t="n"/>
    </row>
    <row r="123">
      <c r="A123" s="35" t="inlineStr">
        <is>
          <t>3816029218</t>
        </is>
      </c>
      <c r="B123" s="35" t="inlineStr">
        <is>
          <t>ООО ЦЕНТРАЛЬНАЯ АПТЕКА</t>
        </is>
      </c>
      <c r="C123" s="35" t="inlineStr">
        <is>
          <t>47.73</t>
        </is>
      </c>
      <c r="D123" s="35" t="n">
        <v>27</v>
      </c>
      <c r="E123" s="35" t="inlineStr">
        <is>
          <t>1 — Горячий</t>
        </is>
      </c>
      <c r="F123" s="41" t="n">
        <v>16800</v>
      </c>
      <c r="G123" s="34" t="inlineStr">
        <is>
          <t>Юнусова</t>
        </is>
      </c>
      <c r="H123" s="34" t="n"/>
      <c r="I123" s="34" t="inlineStr">
        <is>
          <t>В работе</t>
        </is>
      </c>
      <c r="J123" s="34" t="n"/>
      <c r="K123" s="34" t="n"/>
    </row>
    <row r="124">
      <c r="A124" s="35" t="inlineStr">
        <is>
          <t>3810314219</t>
        </is>
      </c>
      <c r="B124" s="35" t="inlineStr">
        <is>
          <t>ОБЩЕСТВО С ОГРАНИЧЕННОЙ ОТВЕТСТВЕННОСТЬЮ "ЛАВ - ПРОДУКТ"</t>
        </is>
      </c>
      <c r="C124" s="35" t="inlineStr">
        <is>
          <t>46.32.1</t>
        </is>
      </c>
      <c r="D124" s="35" t="n">
        <v>30</v>
      </c>
      <c r="E124" s="35" t="inlineStr">
        <is>
          <t>1 — Горячий</t>
        </is>
      </c>
      <c r="F124" s="41" t="n">
        <v>16800</v>
      </c>
      <c r="G124" s="34" t="inlineStr">
        <is>
          <t>Кургузов</t>
        </is>
      </c>
      <c r="H124" s="34" t="n"/>
      <c r="I124" s="34" t="inlineStr">
        <is>
          <t>В работе</t>
        </is>
      </c>
      <c r="J124" s="34" t="n"/>
      <c r="K124" s="34" t="n"/>
    </row>
    <row r="125">
      <c r="A125" s="35" t="inlineStr">
        <is>
          <t>7536100377</t>
        </is>
      </c>
      <c r="B125" s="35" t="inlineStr">
        <is>
          <t>Общество с ограниченной ответственностью ЧАСТНОЕ ОХРАННОЕ ПРЕДПРИЯТИЕ "БРЕСТ ПЛЮС"</t>
        </is>
      </c>
      <c r="C125" s="35" t="inlineStr">
        <is>
          <t>80.10</t>
        </is>
      </c>
      <c r="D125" s="35" t="n">
        <v>35</v>
      </c>
      <c r="E125" s="35" t="inlineStr">
        <is>
          <t>1 — Горячий</t>
        </is>
      </c>
      <c r="F125" s="41" t="n">
        <v>16800</v>
      </c>
      <c r="G125" s="34" t="inlineStr">
        <is>
          <t>Оглоблина</t>
        </is>
      </c>
      <c r="H125" s="34" t="n"/>
      <c r="I125" s="34" t="inlineStr">
        <is>
          <t>В работе</t>
        </is>
      </c>
      <c r="J125" s="34" t="n"/>
      <c r="K125" s="34" t="n"/>
    </row>
    <row r="126">
      <c r="A126" s="35" t="inlineStr">
        <is>
          <t>3810084357</t>
        </is>
      </c>
      <c r="B126" s="35" t="inlineStr">
        <is>
          <t>ООО "БАЙКАЛИТ-СКЦ"</t>
        </is>
      </c>
      <c r="C126" s="35" t="inlineStr">
        <is>
          <t>45.20.1</t>
        </is>
      </c>
      <c r="D126" s="35" t="n">
        <v>64</v>
      </c>
      <c r="E126" s="35" t="inlineStr">
        <is>
          <t>1 — Горячий</t>
        </is>
      </c>
      <c r="F126" s="41" t="n">
        <v>33600</v>
      </c>
      <c r="G126" s="34" t="inlineStr">
        <is>
          <t>Юнусова</t>
        </is>
      </c>
      <c r="H126" s="34" t="n"/>
      <c r="I126" s="34" t="inlineStr">
        <is>
          <t>В работе</t>
        </is>
      </c>
      <c r="J126" s="34" t="n"/>
      <c r="K126" s="34" t="n"/>
    </row>
    <row r="127">
      <c r="A127" s="35" t="inlineStr">
        <is>
          <t>3811145901</t>
        </is>
      </c>
      <c r="B127" s="35" t="inlineStr">
        <is>
          <t>ООО "ЛИНИЯ ЖИЗНИ"</t>
        </is>
      </c>
      <c r="C127" s="35" t="inlineStr">
        <is>
          <t>86.21</t>
        </is>
      </c>
      <c r="D127" s="35" t="n">
        <v>47</v>
      </c>
      <c r="E127" s="35" t="inlineStr">
        <is>
          <t>1 — Горячий</t>
        </is>
      </c>
      <c r="F127" s="41" t="n">
        <v>16800</v>
      </c>
      <c r="G127" s="34" t="inlineStr">
        <is>
          <t>Кургузов</t>
        </is>
      </c>
      <c r="H127" s="34" t="n"/>
      <c r="I127" s="34" t="inlineStr">
        <is>
          <t>В работе</t>
        </is>
      </c>
      <c r="J127" s="34" t="n"/>
      <c r="K127" s="34" t="n"/>
    </row>
    <row r="128">
      <c r="A128" s="35" t="inlineStr">
        <is>
          <t>3849028072</t>
        </is>
      </c>
      <c r="B128" s="35" t="inlineStr">
        <is>
          <t>ООО "ВССК лтд"</t>
        </is>
      </c>
      <c r="C128" s="35" t="inlineStr">
        <is>
          <t>38.32.3</t>
        </is>
      </c>
      <c r="D128" s="35" t="n">
        <v>78</v>
      </c>
      <c r="E128" s="35" t="inlineStr">
        <is>
          <t>1 — Горячий</t>
        </is>
      </c>
      <c r="F128" s="41" t="n">
        <v>33600</v>
      </c>
      <c r="G128" s="34" t="inlineStr">
        <is>
          <t>Оглоблина</t>
        </is>
      </c>
      <c r="H128" s="34" t="n"/>
      <c r="I128" s="34" t="inlineStr">
        <is>
          <t>В работе</t>
        </is>
      </c>
      <c r="J128" s="34" t="n"/>
      <c r="K128" s="34" t="n"/>
    </row>
    <row r="129">
      <c r="A129" s="35" t="inlineStr">
        <is>
          <t>3818047830</t>
        </is>
      </c>
      <c r="B129" s="35" t="inlineStr">
        <is>
          <t>ООО "ТРАНСРЕГИОН"</t>
        </is>
      </c>
      <c r="C129" s="35" t="inlineStr">
        <is>
          <t>49.41</t>
        </is>
      </c>
      <c r="D129" s="35" t="n">
        <v>79</v>
      </c>
      <c r="E129" s="35" t="inlineStr">
        <is>
          <t>1 — Горячий</t>
        </is>
      </c>
      <c r="F129" s="41" t="n">
        <v>33600</v>
      </c>
      <c r="G129" s="34" t="inlineStr">
        <is>
          <t>Юнусова</t>
        </is>
      </c>
      <c r="H129" s="34" t="n"/>
      <c r="I129" s="34" t="inlineStr">
        <is>
          <t>В работе</t>
        </is>
      </c>
      <c r="J129" s="34" t="n"/>
      <c r="K129" s="34" t="n"/>
    </row>
    <row r="130">
      <c r="A130" s="35" t="inlineStr">
        <is>
          <t>3808004467</t>
        </is>
      </c>
      <c r="B130" s="35" t="inlineStr">
        <is>
          <t>ЗАО "ИРКУТСКИЙ ХЛЕБОЗАВОД"</t>
        </is>
      </c>
      <c r="C130" s="35" t="inlineStr">
        <is>
          <t>10.71.1</t>
        </is>
      </c>
      <c r="D130" s="35" t="n">
        <v>378</v>
      </c>
      <c r="E130" s="35" t="inlineStr">
        <is>
          <t>1 — Горячий</t>
        </is>
      </c>
      <c r="F130" s="41" t="n">
        <v>144000</v>
      </c>
      <c r="G130" s="34" t="inlineStr">
        <is>
          <t>Кургузов</t>
        </is>
      </c>
      <c r="H130" s="34" t="n"/>
      <c r="I130" s="34" t="inlineStr">
        <is>
          <t>В работе</t>
        </is>
      </c>
      <c r="J130" s="34" t="n"/>
      <c r="K130" s="34" t="n"/>
    </row>
    <row r="131">
      <c r="A131" s="35" t="inlineStr">
        <is>
          <t>3812148341</t>
        </is>
      </c>
      <c r="B131" s="35" t="inlineStr">
        <is>
          <t>ТехноАвтоматика, ООО</t>
        </is>
      </c>
      <c r="C131" s="35" t="inlineStr">
        <is>
          <t>33.12</t>
        </is>
      </c>
      <c r="D131" s="35" t="n">
        <v>32</v>
      </c>
      <c r="E131" s="35" t="inlineStr">
        <is>
          <t>1 — Горячий</t>
        </is>
      </c>
      <c r="F131" s="41" t="n">
        <v>16800</v>
      </c>
      <c r="G131" s="34" t="inlineStr">
        <is>
          <t>Оглоблина</t>
        </is>
      </c>
      <c r="H131" s="34" t="n"/>
      <c r="I131" s="34" t="inlineStr">
        <is>
          <t>В работе</t>
        </is>
      </c>
      <c r="J131" s="34" t="n"/>
      <c r="K131" s="34" t="n"/>
    </row>
    <row r="132">
      <c r="A132" s="35" t="inlineStr">
        <is>
          <t>3821013319</t>
        </is>
      </c>
      <c r="B132" s="35" t="inlineStr">
        <is>
          <t>ООО "Весна УК"</t>
        </is>
      </c>
      <c r="C132" s="35" t="inlineStr">
        <is>
          <t>68.32.1</t>
        </is>
      </c>
      <c r="D132" s="35" t="n">
        <v>49</v>
      </c>
      <c r="E132" s="35" t="inlineStr">
        <is>
          <t>1 — Горячий</t>
        </is>
      </c>
      <c r="F132" s="41" t="n">
        <v>16800</v>
      </c>
      <c r="G132" s="34" t="inlineStr">
        <is>
          <t>Юнусова</t>
        </is>
      </c>
      <c r="H132" s="34" t="n"/>
      <c r="I132" s="34" t="inlineStr">
        <is>
          <t>В работе</t>
        </is>
      </c>
      <c r="J132" s="34" t="n"/>
      <c r="K132" s="34" t="n"/>
    </row>
    <row r="133">
      <c r="A133" s="35" t="inlineStr">
        <is>
          <t>3818009827</t>
        </is>
      </c>
      <c r="B133" s="35" t="inlineStr">
        <is>
          <t>ОАО Гостиница "Лена"</t>
        </is>
      </c>
      <c r="C133" s="35" t="inlineStr">
        <is>
          <t>55.10</t>
        </is>
      </c>
      <c r="D133" s="35" t="n">
        <v>39</v>
      </c>
      <c r="E133" s="35" t="inlineStr">
        <is>
          <t>1 — Горячий</t>
        </is>
      </c>
      <c r="F133" s="41" t="n">
        <v>16800</v>
      </c>
      <c r="G133" s="34" t="inlineStr">
        <is>
          <t>Кургузов</t>
        </is>
      </c>
      <c r="H133" s="34" t="n"/>
      <c r="I133" s="34" t="inlineStr">
        <is>
          <t>В работе</t>
        </is>
      </c>
      <c r="J133" s="34" t="n"/>
      <c r="K133" s="34" t="n"/>
    </row>
    <row r="134">
      <c r="A134" s="35" t="inlineStr">
        <is>
          <t>3804111210</t>
        </is>
      </c>
      <c r="B134" s="35" t="inlineStr">
        <is>
          <t>ООО "БСК"</t>
        </is>
      </c>
      <c r="C134" s="35" t="inlineStr">
        <is>
          <t>42.11</t>
        </is>
      </c>
      <c r="D134" s="35" t="n">
        <v>83</v>
      </c>
      <c r="E134" s="35" t="inlineStr">
        <is>
          <t>1 — Горячий</t>
        </is>
      </c>
      <c r="F134" s="41" t="n">
        <v>33600</v>
      </c>
      <c r="G134" s="34" t="inlineStr">
        <is>
          <t>Оглоблина</t>
        </is>
      </c>
      <c r="H134" s="34" t="n"/>
      <c r="I134" s="34" t="inlineStr">
        <is>
          <t>В работе</t>
        </is>
      </c>
      <c r="J134" s="34" t="n"/>
      <c r="K134" s="34" t="n"/>
    </row>
    <row r="135">
      <c r="A135" s="35" t="inlineStr">
        <is>
          <t>3810000646</t>
        </is>
      </c>
      <c r="B135" s="35" t="inlineStr">
        <is>
          <t>АО "ИРКУТ БКТ"</t>
        </is>
      </c>
      <c r="C135" s="35" t="inlineStr">
        <is>
          <t>45.20.1</t>
        </is>
      </c>
      <c r="D135" s="35" t="n">
        <v>184</v>
      </c>
      <c r="E135" s="35" t="inlineStr">
        <is>
          <t>1 — Горячий</t>
        </is>
      </c>
      <c r="F135" s="41" t="n">
        <v>62400</v>
      </c>
      <c r="G135" s="34" t="inlineStr">
        <is>
          <t>Юнусова</t>
        </is>
      </c>
      <c r="H135" s="34" t="n"/>
      <c r="I135" s="34" t="inlineStr">
        <is>
          <t>В работе</t>
        </is>
      </c>
      <c r="J135" s="34" t="n"/>
      <c r="K135" s="34" t="n"/>
    </row>
    <row r="136">
      <c r="A136" s="35" t="inlineStr">
        <is>
          <t>3808218211</t>
        </is>
      </c>
      <c r="B136" s="35" t="inlineStr">
        <is>
          <t>ООО "Иркутский Транспортно-логистический Комплекс"</t>
        </is>
      </c>
      <c r="C136" s="35" t="inlineStr">
        <is>
          <t>68.20.2</t>
        </is>
      </c>
      <c r="D136" s="35" t="n">
        <v>46</v>
      </c>
      <c r="E136" s="35" t="inlineStr">
        <is>
          <t>1 — Горячий</t>
        </is>
      </c>
      <c r="F136" s="41" t="n">
        <v>16800</v>
      </c>
      <c r="G136" s="34" t="inlineStr">
        <is>
          <t>Кургузов</t>
        </is>
      </c>
      <c r="H136" s="34" t="n"/>
      <c r="I136" s="34" t="inlineStr">
        <is>
          <t>В работе</t>
        </is>
      </c>
      <c r="J136" s="34" t="n"/>
      <c r="K136" s="34" t="n"/>
    </row>
    <row r="137">
      <c r="A137" s="35" t="inlineStr">
        <is>
          <t>3820012009</t>
        </is>
      </c>
      <c r="B137" s="35" t="inlineStr">
        <is>
          <t>ООО "ЦЕНТРАЛЬНАЯ КОТЕЛЬНАЯ"</t>
        </is>
      </c>
      <c r="C137" s="35" t="inlineStr">
        <is>
          <t>35.30.14</t>
        </is>
      </c>
      <c r="D137" s="35" t="n">
        <v>82</v>
      </c>
      <c r="E137" s="35" t="inlineStr">
        <is>
          <t>1 — Горячий</t>
        </is>
      </c>
      <c r="F137" s="41" t="n">
        <v>33600</v>
      </c>
      <c r="G137" s="34" t="inlineStr">
        <is>
          <t>Оглоблина</t>
        </is>
      </c>
      <c r="H137" s="34" t="n"/>
      <c r="I137" s="34" t="inlineStr">
        <is>
          <t>В работе</t>
        </is>
      </c>
      <c r="J137" s="34" t="n"/>
      <c r="K137" s="34" t="n"/>
    </row>
    <row r="138">
      <c r="A138" s="35" t="inlineStr">
        <is>
          <t>3811470860</t>
        </is>
      </c>
      <c r="B138" s="35" t="inlineStr">
        <is>
          <t>ООО "ОТЕЛЬ ИСТОРИЯ"</t>
        </is>
      </c>
      <c r="C138" s="35" t="inlineStr">
        <is>
          <t>55.10</t>
        </is>
      </c>
      <c r="D138" s="35" t="n">
        <v>40</v>
      </c>
      <c r="E138" s="35" t="inlineStr">
        <is>
          <t>1 — Горячий</t>
        </is>
      </c>
      <c r="F138" s="41" t="n">
        <v>16800</v>
      </c>
      <c r="G138" s="34" t="inlineStr">
        <is>
          <t>Юнусова</t>
        </is>
      </c>
      <c r="H138" s="34" t="n"/>
      <c r="I138" s="34" t="inlineStr">
        <is>
          <t>В работе</t>
        </is>
      </c>
      <c r="J138" s="34" t="n"/>
      <c r="K138" s="34" t="n"/>
    </row>
    <row r="139">
      <c r="A139" s="35" t="inlineStr">
        <is>
          <t>3812140529</t>
        </is>
      </c>
      <c r="B139" s="35" t="inlineStr">
        <is>
          <t>Горсвет</t>
        </is>
      </c>
      <c r="C139" s="35" t="inlineStr">
        <is>
          <t>42.11</t>
        </is>
      </c>
      <c r="D139" s="35" t="n">
        <v>27</v>
      </c>
      <c r="E139" s="35" t="inlineStr">
        <is>
          <t>1 — Горячий</t>
        </is>
      </c>
      <c r="F139" s="41" t="n">
        <v>16800</v>
      </c>
      <c r="G139" s="34" t="inlineStr">
        <is>
          <t>Кургузов</t>
        </is>
      </c>
      <c r="H139" s="34" t="n"/>
      <c r="I139" s="34" t="inlineStr">
        <is>
          <t>В работе</t>
        </is>
      </c>
      <c r="J139" s="34" t="n"/>
      <c r="K139" s="34" t="n"/>
    </row>
    <row r="140">
      <c r="A140" s="35" t="inlineStr">
        <is>
          <t>3814036883</t>
        </is>
      </c>
      <c r="B140" s="35" t="inlineStr">
        <is>
          <t>Общество с ограниченной ответственностью "ИРПЛАСТ"</t>
        </is>
      </c>
      <c r="C140" s="35" t="inlineStr">
        <is>
          <t>22.23</t>
        </is>
      </c>
      <c r="D140" s="35" t="n">
        <v>39</v>
      </c>
      <c r="E140" s="35" t="inlineStr">
        <is>
          <t>1 — Горячий</t>
        </is>
      </c>
      <c r="F140" s="41" t="n">
        <v>16800</v>
      </c>
      <c r="G140" s="34" t="inlineStr">
        <is>
          <t>Оглоблина</t>
        </is>
      </c>
      <c r="H140" s="34" t="n"/>
      <c r="I140" s="34" t="inlineStr">
        <is>
          <t>В работе</t>
        </is>
      </c>
      <c r="J140" s="34" t="n"/>
      <c r="K140" s="34" t="n"/>
    </row>
    <row r="141">
      <c r="A141" s="35" t="inlineStr">
        <is>
          <t>3827051737</t>
        </is>
      </c>
      <c r="B141" s="35" t="inlineStr">
        <is>
          <t>ОБЩЕСТВО С ОГРАНИЧЕННОЙ ОТВЕТСТВЕННОСТЬЮ "КОНТИНЕНТ ПЛЮС"</t>
        </is>
      </c>
      <c r="C141" s="35" t="inlineStr">
        <is>
          <t>49.41</t>
        </is>
      </c>
      <c r="D141" s="35" t="n">
        <v>41</v>
      </c>
      <c r="E141" s="35" t="inlineStr">
        <is>
          <t>1 — Горячий</t>
        </is>
      </c>
      <c r="F141" s="41" t="n">
        <v>16800</v>
      </c>
      <c r="G141" s="34" t="inlineStr">
        <is>
          <t>Юнусова</t>
        </is>
      </c>
      <c r="H141" s="34" t="n"/>
      <c r="I141" s="34" t="inlineStr">
        <is>
          <t>В работе</t>
        </is>
      </c>
      <c r="J141" s="34" t="n"/>
      <c r="K141" s="34" t="n"/>
    </row>
    <row r="142">
      <c r="A142" s="35" t="inlineStr">
        <is>
          <t>3816028260</t>
        </is>
      </c>
      <c r="B142" s="35" t="inlineStr">
        <is>
          <t>ООО "КОММУНАЛЬНЫЕ СИСТЕМЫ ГОРОДА ТУЛУНА"</t>
        </is>
      </c>
      <c r="C142" s="35" t="inlineStr">
        <is>
          <t>35.30.14</t>
        </is>
      </c>
      <c r="D142" s="35" t="n">
        <v>375</v>
      </c>
      <c r="E142" s="35" t="inlineStr">
        <is>
          <t>1 — Горячий</t>
        </is>
      </c>
      <c r="F142" s="41" t="n">
        <v>144000</v>
      </c>
      <c r="G142" s="34" t="inlineStr">
        <is>
          <t>Кургузов</t>
        </is>
      </c>
      <c r="H142" s="34" t="n"/>
      <c r="I142" s="34" t="inlineStr">
        <is>
          <t>В работе</t>
        </is>
      </c>
      <c r="J142" s="34" t="n"/>
      <c r="K142" s="34" t="n"/>
    </row>
    <row r="143">
      <c r="A143" s="35" t="inlineStr">
        <is>
          <t>5403189245</t>
        </is>
      </c>
      <c r="B143" s="35" t="inlineStr">
        <is>
          <t>ОБЩЕСТВО С ОГРАНИЧЕННОЙ ОТВЕТСТВЕННОСТЬЮ НОВОСИБИРСКИЙ ЗАВОД ПЛАСТМАСС "ЮНИС"</t>
        </is>
      </c>
      <c r="C143" s="35" t="inlineStr">
        <is>
          <t>22.22</t>
        </is>
      </c>
      <c r="D143" s="35" t="n">
        <v>77</v>
      </c>
      <c r="E143" s="35" t="inlineStr">
        <is>
          <t>1 — Горячий</t>
        </is>
      </c>
      <c r="F143" s="41" t="n">
        <v>33600</v>
      </c>
      <c r="G143" s="34" t="inlineStr">
        <is>
          <t>Оглоблина</t>
        </is>
      </c>
      <c r="H143" s="34" t="n"/>
      <c r="I143" s="34" t="inlineStr">
        <is>
          <t>В работе</t>
        </is>
      </c>
      <c r="J143" s="34" t="n"/>
      <c r="K143" s="34" t="n"/>
    </row>
    <row r="144">
      <c r="A144" s="35" t="inlineStr">
        <is>
          <t>3808225794</t>
        </is>
      </c>
      <c r="B144" s="35" t="inlineStr">
        <is>
          <t>СК АВРОРА ООО</t>
        </is>
      </c>
      <c r="C144" s="35" t="inlineStr">
        <is>
          <t>41.20</t>
        </is>
      </c>
      <c r="D144" s="35" t="n">
        <v>23</v>
      </c>
      <c r="E144" s="35" t="inlineStr">
        <is>
          <t>1 — Горячий</t>
        </is>
      </c>
      <c r="F144" s="41" t="n">
        <v>8400</v>
      </c>
      <c r="G144" s="34" t="inlineStr">
        <is>
          <t>Юнусова</t>
        </is>
      </c>
      <c r="H144" s="34" t="n"/>
      <c r="I144" s="34" t="inlineStr">
        <is>
          <t>В работе</t>
        </is>
      </c>
      <c r="J144" s="34" t="n"/>
      <c r="K144" s="34" t="n"/>
    </row>
    <row r="145">
      <c r="A145" s="35" t="inlineStr">
        <is>
          <t>3811037254</t>
        </is>
      </c>
      <c r="B145" s="35" t="inlineStr">
        <is>
          <t>ООО Братскводстрой</t>
        </is>
      </c>
      <c r="C145" s="35" t="inlineStr">
        <is>
          <t>41.20</t>
        </is>
      </c>
      <c r="D145" s="35" t="n">
        <v>93</v>
      </c>
      <c r="E145" s="35" t="inlineStr">
        <is>
          <t>1 — Горячий</t>
        </is>
      </c>
      <c r="F145" s="41" t="n">
        <v>33600</v>
      </c>
      <c r="G145" s="34" t="inlineStr">
        <is>
          <t>Кургузов</t>
        </is>
      </c>
      <c r="H145" s="34" t="n"/>
      <c r="I145" s="34" t="inlineStr">
        <is>
          <t>В работе</t>
        </is>
      </c>
      <c r="J145" s="34" t="n"/>
      <c r="K145" s="34" t="n"/>
    </row>
    <row r="146">
      <c r="A146" s="35" t="inlineStr">
        <is>
          <t>3810037036</t>
        </is>
      </c>
      <c r="B146" s="35" t="inlineStr">
        <is>
          <t>ИСПМЕНЕДЖЕР</t>
        </is>
      </c>
      <c r="C146" s="35" t="inlineStr">
        <is>
          <t>62.01</t>
        </is>
      </c>
      <c r="D146" s="35" t="n">
        <v>67</v>
      </c>
      <c r="E146" s="35" t="inlineStr">
        <is>
          <t>1 — Горячий</t>
        </is>
      </c>
      <c r="F146" s="41" t="n">
        <v>33600</v>
      </c>
      <c r="G146" s="34" t="inlineStr">
        <is>
          <t>Оглоблина</t>
        </is>
      </c>
      <c r="H146" s="34" t="n"/>
      <c r="I146" s="34" t="inlineStr">
        <is>
          <t>В работе</t>
        </is>
      </c>
      <c r="J146" s="34" t="n"/>
      <c r="K146" s="34" t="n"/>
    </row>
    <row r="147">
      <c r="A147" s="35" t="inlineStr">
        <is>
          <t>3818031445</t>
        </is>
      </c>
      <c r="B147" s="35" t="inlineStr">
        <is>
          <t>ООО "МАГИСТРАЛЬЛОГИСТИК"</t>
        </is>
      </c>
      <c r="C147" s="35" t="inlineStr">
        <is>
          <t>42.21</t>
        </is>
      </c>
      <c r="D147" s="35" t="n">
        <v>316</v>
      </c>
      <c r="E147" s="35" t="inlineStr">
        <is>
          <t>1 — Горячий</t>
        </is>
      </c>
      <c r="F147" s="41" t="n">
        <v>144000</v>
      </c>
      <c r="G147" s="34" t="inlineStr">
        <is>
          <t>Юнусова</t>
        </is>
      </c>
      <c r="H147" s="34" t="n"/>
      <c r="I147" s="34" t="inlineStr">
        <is>
          <t>В работе</t>
        </is>
      </c>
      <c r="J147" s="34" t="n"/>
      <c r="K147" s="34" t="n"/>
    </row>
    <row r="148">
      <c r="A148" s="35" t="inlineStr">
        <is>
          <t>3811183858</t>
        </is>
      </c>
      <c r="B148" s="35" t="inlineStr">
        <is>
          <t>ПРОМПАРК</t>
        </is>
      </c>
      <c r="C148" s="35" t="inlineStr">
        <is>
          <t>41.20</t>
        </is>
      </c>
      <c r="D148" s="35" t="n">
        <v>32</v>
      </c>
      <c r="E148" s="35" t="inlineStr">
        <is>
          <t>1 — Горячий</t>
        </is>
      </c>
      <c r="F148" s="41" t="n">
        <v>16800</v>
      </c>
      <c r="G148" s="34" t="inlineStr">
        <is>
          <t>Кургузов</t>
        </is>
      </c>
      <c r="H148" s="34" t="n"/>
      <c r="I148" s="34" t="inlineStr">
        <is>
          <t>В работе</t>
        </is>
      </c>
      <c r="J148" s="34" t="n"/>
      <c r="K148" s="34" t="n"/>
    </row>
    <row r="149">
      <c r="A149" s="35" t="inlineStr">
        <is>
          <t>3808025883</t>
        </is>
      </c>
      <c r="B149" s="35" t="inlineStr">
        <is>
          <t>ООО "Торговый дом "РИЭЛТИ-ДИАЛОГ"</t>
        </is>
      </c>
      <c r="C149" s="35" t="inlineStr">
        <is>
          <t>46.34</t>
        </is>
      </c>
      <c r="D149" s="35" t="n">
        <v>47</v>
      </c>
      <c r="E149" s="35" t="inlineStr">
        <is>
          <t>1 — Горячий</t>
        </is>
      </c>
      <c r="F149" s="41" t="n">
        <v>16800</v>
      </c>
      <c r="G149" s="34" t="inlineStr">
        <is>
          <t>Оглоблина</t>
        </is>
      </c>
      <c r="H149" s="34" t="n"/>
      <c r="I149" s="34" t="inlineStr">
        <is>
          <t>В работе</t>
        </is>
      </c>
      <c r="J149" s="34" t="n"/>
      <c r="K149" s="34" t="n"/>
    </row>
    <row r="150">
      <c r="A150" s="35" t="inlineStr">
        <is>
          <t>3818014104</t>
        </is>
      </c>
      <c r="B150" s="35" t="inlineStr">
        <is>
          <t>ЗАО "Усть-Кутский лес"</t>
        </is>
      </c>
      <c r="C150" s="35" t="inlineStr">
        <is>
          <t>16.10.1</t>
        </is>
      </c>
      <c r="D150" s="35" t="n">
        <v>112</v>
      </c>
      <c r="E150" s="35" t="inlineStr">
        <is>
          <t>1 — Горячий</t>
        </is>
      </c>
      <c r="F150" s="41" t="n">
        <v>62400</v>
      </c>
      <c r="G150" s="34" t="inlineStr">
        <is>
          <t>Юнусова</t>
        </is>
      </c>
      <c r="H150" s="34" t="n"/>
      <c r="I150" s="34" t="inlineStr">
        <is>
          <t>В работе</t>
        </is>
      </c>
      <c r="J150" s="34" t="n"/>
      <c r="K150" s="34" t="n"/>
    </row>
    <row r="151">
      <c r="A151" s="35" t="inlineStr">
        <is>
          <t>3842000896</t>
        </is>
      </c>
      <c r="B151" s="35" t="inlineStr">
        <is>
          <t>ЗАО "Ангарский лес"</t>
        </is>
      </c>
      <c r="C151" s="35" t="inlineStr">
        <is>
          <t>02.20</t>
        </is>
      </c>
      <c r="D151" s="35" t="n">
        <v>55</v>
      </c>
      <c r="E151" s="35" t="inlineStr">
        <is>
          <t>1 — Горячий</t>
        </is>
      </c>
      <c r="F151" s="41" t="n">
        <v>33600</v>
      </c>
      <c r="G151" s="34" t="inlineStr">
        <is>
          <t>Кургузов</t>
        </is>
      </c>
      <c r="H151" s="34" t="n"/>
      <c r="I151" s="34" t="inlineStr">
        <is>
          <t>В работе</t>
        </is>
      </c>
      <c r="J151" s="34" t="n"/>
      <c r="K151" s="34" t="n"/>
    </row>
    <row r="152">
      <c r="A152" s="35" t="inlineStr">
        <is>
          <t>3810313286</t>
        </is>
      </c>
      <c r="B152" s="35" t="inlineStr">
        <is>
          <t>ООО "ВСТК"</t>
        </is>
      </c>
      <c r="C152" s="35" t="inlineStr">
        <is>
          <t>52.29</t>
        </is>
      </c>
      <c r="D152" s="35" t="n">
        <v>40</v>
      </c>
      <c r="E152" s="35" t="inlineStr">
        <is>
          <t>1 — Горячий</t>
        </is>
      </c>
      <c r="F152" s="41" t="n">
        <v>16800</v>
      </c>
      <c r="G152" s="34" t="inlineStr">
        <is>
          <t>Оглоблина</t>
        </is>
      </c>
      <c r="H152" s="34" t="n"/>
      <c r="I152" s="34" t="inlineStr">
        <is>
          <t>В работе</t>
        </is>
      </c>
      <c r="J152" s="34" t="n"/>
      <c r="K152" s="34" t="n"/>
    </row>
    <row r="153">
      <c r="A153" s="35" t="inlineStr">
        <is>
          <t>3808203470</t>
        </is>
      </c>
      <c r="B153" s="35" t="inlineStr">
        <is>
          <t>ООО "БМК"</t>
        </is>
      </c>
      <c r="C153" s="35" t="inlineStr">
        <is>
          <t>62.02</t>
        </is>
      </c>
      <c r="D153" s="35" t="n">
        <v>24</v>
      </c>
      <c r="E153" s="35" t="inlineStr">
        <is>
          <t>1 — Горячий</t>
        </is>
      </c>
      <c r="F153" s="41" t="n">
        <v>8400</v>
      </c>
      <c r="G153" s="34" t="inlineStr">
        <is>
          <t>Юнусова</t>
        </is>
      </c>
      <c r="H153" s="34" t="n"/>
      <c r="I153" s="34" t="inlineStr">
        <is>
          <t>В работе</t>
        </is>
      </c>
      <c r="J153" s="34" t="n"/>
      <c r="K153" s="34" t="n"/>
    </row>
    <row r="154">
      <c r="A154" s="35" t="inlineStr">
        <is>
          <t>3816036712</t>
        </is>
      </c>
      <c r="B154" s="35" t="inlineStr">
        <is>
          <t>ООО "КШП Г.ТУЛУНА"</t>
        </is>
      </c>
      <c r="C154" s="35" t="inlineStr">
        <is>
          <t>56.29.2</t>
        </is>
      </c>
      <c r="D154" s="35" t="n">
        <v>73</v>
      </c>
      <c r="E154" s="35" t="inlineStr">
        <is>
          <t>1 — Горячий</t>
        </is>
      </c>
      <c r="F154" s="41" t="n">
        <v>33600</v>
      </c>
      <c r="G154" s="34" t="inlineStr">
        <is>
          <t>Кургузов</t>
        </is>
      </c>
      <c r="H154" s="34" t="n"/>
      <c r="I154" s="34" t="inlineStr">
        <is>
          <t>В работе</t>
        </is>
      </c>
      <c r="J154" s="34" t="n"/>
      <c r="K154" s="34" t="n"/>
    </row>
    <row r="155">
      <c r="A155" s="35" t="inlineStr">
        <is>
          <t>3810340674</t>
        </is>
      </c>
      <c r="B155" s="35" t="inlineStr">
        <is>
          <t>ООО "НАВИГАТОР"</t>
        </is>
      </c>
      <c r="C155" s="35" t="inlineStr">
        <is>
          <t>43.13</t>
        </is>
      </c>
      <c r="D155" s="35" t="n">
        <v>51</v>
      </c>
      <c r="E155" s="35" t="inlineStr">
        <is>
          <t>1 — Горячий</t>
        </is>
      </c>
      <c r="F155" s="41" t="n">
        <v>33600</v>
      </c>
      <c r="G155" s="34" t="inlineStr">
        <is>
          <t>Оглоблина</t>
        </is>
      </c>
      <c r="H155" s="34" t="n"/>
      <c r="I155" s="34" t="inlineStr">
        <is>
          <t>В работе</t>
        </is>
      </c>
      <c r="J155" s="34" t="n"/>
      <c r="K155" s="34" t="n"/>
    </row>
    <row r="156">
      <c r="A156" s="35" t="inlineStr">
        <is>
          <t>3804019007</t>
        </is>
      </c>
      <c r="B156" s="35" t="inlineStr">
        <is>
          <t>ООО Рубеж</t>
        </is>
      </c>
      <c r="C156" s="35" t="inlineStr">
        <is>
          <t>33.14</t>
        </is>
      </c>
      <c r="D156" s="35" t="n">
        <v>33</v>
      </c>
      <c r="E156" s="35" t="inlineStr">
        <is>
          <t>1 — Горячий</t>
        </is>
      </c>
      <c r="F156" s="41" t="n">
        <v>16800</v>
      </c>
      <c r="G156" s="34" t="inlineStr">
        <is>
          <t>Юнусова</t>
        </is>
      </c>
      <c r="H156" s="34" t="n"/>
      <c r="I156" s="34" t="inlineStr">
        <is>
          <t>В работе</t>
        </is>
      </c>
      <c r="J156" s="34" t="n"/>
      <c r="K156" s="34" t="n"/>
    </row>
    <row r="157">
      <c r="A157" s="35" t="inlineStr">
        <is>
          <t>3808054179</t>
        </is>
      </c>
      <c r="B157" s="35" t="inlineStr">
        <is>
          <t>ООО ПКЦ "Энергоремонт"</t>
        </is>
      </c>
      <c r="C157" s="35" t="inlineStr">
        <is>
          <t>33.12</t>
        </is>
      </c>
      <c r="D157" s="35" t="n">
        <v>64</v>
      </c>
      <c r="E157" s="35" t="inlineStr">
        <is>
          <t>1 — Горячий</t>
        </is>
      </c>
      <c r="F157" s="41" t="n">
        <v>33600</v>
      </c>
      <c r="G157" s="34" t="inlineStr">
        <is>
          <t>Кургузов</t>
        </is>
      </c>
      <c r="H157" s="34" t="n"/>
      <c r="I157" s="34" t="inlineStr">
        <is>
          <t>В работе</t>
        </is>
      </c>
      <c r="J157" s="34" t="n"/>
      <c r="K157" s="34" t="n"/>
    </row>
    <row r="158">
      <c r="A158" s="35" t="inlineStr">
        <is>
          <t>3805700515</t>
        </is>
      </c>
      <c r="B158" s="35" t="inlineStr">
        <is>
          <t>ООО "СПС"</t>
        </is>
      </c>
      <c r="C158" s="35" t="inlineStr">
        <is>
          <t>43.11</t>
        </is>
      </c>
      <c r="D158" s="35" t="n">
        <v>42</v>
      </c>
      <c r="E158" s="35" t="inlineStr">
        <is>
          <t>1 — Горячий</t>
        </is>
      </c>
      <c r="F158" s="41" t="n">
        <v>16800</v>
      </c>
      <c r="G158" s="34" t="inlineStr">
        <is>
          <t>Оглоблина</t>
        </is>
      </c>
      <c r="H158" s="34" t="n"/>
      <c r="I158" s="34" t="inlineStr">
        <is>
          <t>В работе</t>
        </is>
      </c>
      <c r="J158" s="34" t="n"/>
      <c r="K158" s="34" t="n"/>
    </row>
    <row r="159">
      <c r="A159" s="35" t="inlineStr">
        <is>
          <t>3851018498</t>
        </is>
      </c>
      <c r="B159" s="35" t="inlineStr">
        <is>
          <t>Общество с ограниченной ответственностью "УСОЛЬМАШ"</t>
        </is>
      </c>
      <c r="C159" s="35" t="inlineStr">
        <is>
          <t>28.92</t>
        </is>
      </c>
      <c r="D159" s="35" t="n">
        <v>234</v>
      </c>
      <c r="E159" s="35" t="inlineStr">
        <is>
          <t>1 — Горячий</t>
        </is>
      </c>
      <c r="F159" s="41" t="n">
        <v>144000</v>
      </c>
      <c r="G159" s="34" t="inlineStr">
        <is>
          <t>Юнусова</t>
        </is>
      </c>
      <c r="H159" s="34" t="n"/>
      <c r="I159" s="34" t="inlineStr">
        <is>
          <t>В работе</t>
        </is>
      </c>
      <c r="J159" s="34" t="n"/>
      <c r="K159" s="34" t="n"/>
    </row>
    <row r="160">
      <c r="A160" s="35" t="inlineStr">
        <is>
          <t>3849105672</t>
        </is>
      </c>
      <c r="B160" s="35" t="inlineStr">
        <is>
          <t>ООО "ИНФОРМСЕРВИС"</t>
        </is>
      </c>
      <c r="C160" s="35" t="inlineStr">
        <is>
          <t>63.11.1</t>
        </is>
      </c>
      <c r="D160" s="35" t="n">
        <v>41</v>
      </c>
      <c r="E160" s="35" t="inlineStr">
        <is>
          <t>1 — Горячий</t>
        </is>
      </c>
      <c r="F160" s="41" t="n">
        <v>16800</v>
      </c>
      <c r="G160" s="34" t="inlineStr">
        <is>
          <t>Кургузов</t>
        </is>
      </c>
      <c r="H160" s="34" t="n"/>
      <c r="I160" s="34" t="inlineStr">
        <is>
          <t>В работе</t>
        </is>
      </c>
      <c r="J160" s="34" t="n"/>
      <c r="K160" s="34" t="n"/>
    </row>
    <row r="161">
      <c r="A161" s="35" t="inlineStr">
        <is>
          <t>3812114952</t>
        </is>
      </c>
      <c r="B161" s="35" t="inlineStr">
        <is>
          <t>ООО "КВАРТАЛЫ"</t>
        </is>
      </c>
      <c r="C161" s="35" t="inlineStr">
        <is>
          <t>68.32.1</t>
        </is>
      </c>
      <c r="D161" s="35" t="n">
        <v>22</v>
      </c>
      <c r="E161" s="35" t="inlineStr">
        <is>
          <t>1 — Горячий</t>
        </is>
      </c>
      <c r="F161" s="41" t="n">
        <v>8400</v>
      </c>
      <c r="G161" s="34" t="inlineStr">
        <is>
          <t>Оглоблина</t>
        </is>
      </c>
      <c r="H161" s="34" t="n"/>
      <c r="I161" s="34" t="inlineStr">
        <is>
          <t>В работе</t>
        </is>
      </c>
      <c r="J161" s="34" t="n"/>
      <c r="K161" s="34" t="n"/>
    </row>
    <row r="162">
      <c r="A162" s="35" t="inlineStr">
        <is>
          <t>3810021477</t>
        </is>
      </c>
      <c r="B162" s="35" t="inlineStr">
        <is>
          <t>ООО "СИБСТРОЙТЕХМОНТАЖ"</t>
        </is>
      </c>
      <c r="C162" s="35" t="inlineStr">
        <is>
          <t>25.11</t>
        </is>
      </c>
      <c r="D162" s="35" t="n">
        <v>43</v>
      </c>
      <c r="E162" s="35" t="inlineStr">
        <is>
          <t>1 — Горячий</t>
        </is>
      </c>
      <c r="F162" s="41" t="n">
        <v>16800</v>
      </c>
      <c r="G162" s="34" t="inlineStr">
        <is>
          <t>Юнусова</t>
        </is>
      </c>
      <c r="H162" s="34" t="n"/>
      <c r="I162" s="34" t="inlineStr">
        <is>
          <t>В работе</t>
        </is>
      </c>
      <c r="J162" s="34" t="n"/>
      <c r="K162" s="34" t="n"/>
    </row>
    <row r="163">
      <c r="A163" s="35" t="inlineStr">
        <is>
          <t>2543151084</t>
        </is>
      </c>
      <c r="B163" s="35" t="inlineStr">
        <is>
          <t>ООО "ДНС ТЕХНОЛОГИИ"</t>
        </is>
      </c>
      <c r="C163" s="35" t="inlineStr">
        <is>
          <t>62.01</t>
        </is>
      </c>
      <c r="D163" s="35" t="n">
        <v>917</v>
      </c>
      <c r="E163" s="35" t="inlineStr">
        <is>
          <t>1 — Горячий</t>
        </is>
      </c>
      <c r="F163" s="41" t="n">
        <v>528000</v>
      </c>
      <c r="G163" s="34" t="inlineStr">
        <is>
          <t>Кургузов</t>
        </is>
      </c>
      <c r="H163" s="34" t="n"/>
      <c r="I163" s="34" t="inlineStr">
        <is>
          <t>В работе</t>
        </is>
      </c>
      <c r="J163" s="34" t="n"/>
      <c r="K163" s="34" t="n"/>
    </row>
    <row r="164">
      <c r="A164" s="35" t="inlineStr">
        <is>
          <t>3849026036</t>
        </is>
      </c>
      <c r="B164" s="35" t="inlineStr">
        <is>
          <t>ООО "ФЕНСТЕР"</t>
        </is>
      </c>
      <c r="C164" s="35" t="inlineStr">
        <is>
          <t>22.23.1</t>
        </is>
      </c>
      <c r="D164" s="35" t="n">
        <v>201</v>
      </c>
      <c r="E164" s="35" t="inlineStr">
        <is>
          <t>1 — Горячий</t>
        </is>
      </c>
      <c r="F164" s="41" t="n">
        <v>144000</v>
      </c>
      <c r="G164" s="34" t="inlineStr">
        <is>
          <t>Оглоблина</t>
        </is>
      </c>
      <c r="H164" s="34" t="n"/>
      <c r="I164" s="34" t="inlineStr">
        <is>
          <t>В работе</t>
        </is>
      </c>
      <c r="J164" s="34" t="n"/>
      <c r="K164" s="34" t="n"/>
    </row>
    <row r="165">
      <c r="A165" s="35" t="inlineStr">
        <is>
          <t>3811067234</t>
        </is>
      </c>
      <c r="B165" s="35" t="inlineStr">
        <is>
          <t>ООО Иркутский завод электромонтажных изделий</t>
        </is>
      </c>
      <c r="C165" s="35" t="inlineStr">
        <is>
          <t>27.12</t>
        </is>
      </c>
      <c r="D165" s="35" t="n">
        <v>37</v>
      </c>
      <c r="E165" s="35" t="inlineStr">
        <is>
          <t>1 — Горячий</t>
        </is>
      </c>
      <c r="F165" s="41" t="n">
        <v>16800</v>
      </c>
      <c r="G165" s="34" t="inlineStr">
        <is>
          <t>Юнусова</t>
        </is>
      </c>
      <c r="H165" s="34" t="n"/>
      <c r="I165" s="34" t="inlineStr">
        <is>
          <t>В работе</t>
        </is>
      </c>
      <c r="J165" s="34" t="n"/>
      <c r="K165" s="34" t="n"/>
    </row>
    <row r="166">
      <c r="A166" s="35" t="inlineStr">
        <is>
          <t>3808290105</t>
        </is>
      </c>
      <c r="B166" s="35" t="inlineStr">
        <is>
          <t>ОБЩЕСТВО С ОГРАНИЧЕННОЙ ОТВЕТСТВЕННОСТЬЮ "РОЩА"</t>
        </is>
      </c>
      <c r="C166" s="35" t="inlineStr">
        <is>
          <t>47.78</t>
        </is>
      </c>
      <c r="D166" s="35" t="n">
        <v>156</v>
      </c>
      <c r="E166" s="35" t="inlineStr">
        <is>
          <t>1 — Горячий</t>
        </is>
      </c>
      <c r="F166" s="41" t="n">
        <v>62400</v>
      </c>
      <c r="G166" s="34" t="inlineStr">
        <is>
          <t>Кургузов</t>
        </is>
      </c>
      <c r="H166" s="34" t="n"/>
      <c r="I166" s="34" t="inlineStr">
        <is>
          <t>В работе</t>
        </is>
      </c>
      <c r="J166" s="34" t="n"/>
      <c r="K166" s="34" t="n"/>
    </row>
    <row r="167">
      <c r="A167" s="35" t="inlineStr">
        <is>
          <t>3848006527</t>
        </is>
      </c>
      <c r="B167" s="35" t="inlineStr">
        <is>
          <t>ООО "Южнобайкальское"</t>
        </is>
      </c>
      <c r="C167" s="35" t="inlineStr">
        <is>
          <t>35.30</t>
        </is>
      </c>
      <c r="D167" s="35" t="n">
        <v>30</v>
      </c>
      <c r="E167" s="35" t="inlineStr">
        <is>
          <t>1 — Горячий</t>
        </is>
      </c>
      <c r="F167" s="41" t="n">
        <v>16800</v>
      </c>
      <c r="G167" s="34" t="inlineStr">
        <is>
          <t>Оглоблина</t>
        </is>
      </c>
      <c r="H167" s="34" t="n"/>
      <c r="I167" s="34" t="inlineStr">
        <is>
          <t>В работе</t>
        </is>
      </c>
      <c r="J167" s="34" t="n"/>
      <c r="K167" s="34" t="n"/>
    </row>
    <row r="168">
      <c r="A168" s="35" t="inlineStr">
        <is>
          <t>3810338594</t>
        </is>
      </c>
      <c r="B168" s="35" t="inlineStr">
        <is>
          <t>БАКАЛЕЯ ООО</t>
        </is>
      </c>
      <c r="C168" s="35" t="inlineStr">
        <is>
          <t>68.20.2</t>
        </is>
      </c>
      <c r="D168" s="35" t="n">
        <v>41</v>
      </c>
      <c r="E168" s="35" t="inlineStr">
        <is>
          <t>1 — Горячий</t>
        </is>
      </c>
      <c r="F168" s="41" t="n">
        <v>16800</v>
      </c>
      <c r="G168" s="34" t="inlineStr">
        <is>
          <t>Юнусова</t>
        </is>
      </c>
      <c r="H168" s="34" t="n"/>
      <c r="I168" s="34" t="inlineStr">
        <is>
          <t>В работе</t>
        </is>
      </c>
      <c r="J168" s="34" t="n"/>
      <c r="K168" s="34" t="n"/>
    </row>
    <row r="169">
      <c r="A169" s="35" t="inlineStr">
        <is>
          <t>3848005851</t>
        </is>
      </c>
      <c r="B169" s="35" t="inlineStr">
        <is>
          <t>ООО "Зеленый Дом"</t>
        </is>
      </c>
      <c r="C169" s="35" t="inlineStr">
        <is>
          <t>81.22</t>
        </is>
      </c>
      <c r="D169" s="35" t="n">
        <v>70</v>
      </c>
      <c r="E169" s="35" t="inlineStr">
        <is>
          <t>1 — Горячий</t>
        </is>
      </c>
      <c r="F169" s="41" t="n">
        <v>33600</v>
      </c>
      <c r="G169" s="34" t="inlineStr">
        <is>
          <t>Кургузов</t>
        </is>
      </c>
      <c r="H169" s="34" t="n"/>
      <c r="I169" s="34" t="inlineStr">
        <is>
          <t>В работе</t>
        </is>
      </c>
      <c r="J169" s="34" t="n"/>
      <c r="K169" s="34" t="n"/>
    </row>
    <row r="170">
      <c r="A170" s="35" t="inlineStr">
        <is>
          <t>1434048399</t>
        </is>
      </c>
      <c r="B170" s="35" t="inlineStr">
        <is>
          <t>ООО "Частная охранная организация "КНГ-Охрана Восток"</t>
        </is>
      </c>
      <c r="C170" s="35" t="inlineStr">
        <is>
          <t>80.10</t>
        </is>
      </c>
      <c r="D170" s="35" t="n">
        <v>39</v>
      </c>
      <c r="E170" s="35" t="inlineStr">
        <is>
          <t>1 — Горячий</t>
        </is>
      </c>
      <c r="F170" s="41" t="n">
        <v>16800</v>
      </c>
      <c r="G170" s="34" t="inlineStr">
        <is>
          <t>Оглоблина</t>
        </is>
      </c>
      <c r="H170" s="34" t="n"/>
      <c r="I170" s="34" t="inlineStr">
        <is>
          <t>В работе</t>
        </is>
      </c>
      <c r="J170" s="34" t="n"/>
      <c r="K170" s="34" t="n"/>
    </row>
    <row r="171">
      <c r="A171" s="35" t="inlineStr">
        <is>
          <t>3818025152</t>
        </is>
      </c>
      <c r="B171" s="35" t="inlineStr">
        <is>
          <t>ООО "Усть-Кутские тепловые сети и котельные"</t>
        </is>
      </c>
      <c r="C171" s="35" t="inlineStr">
        <is>
          <t>35.30.14</t>
        </is>
      </c>
      <c r="D171" s="35" t="n">
        <v>286</v>
      </c>
      <c r="E171" s="35" t="inlineStr">
        <is>
          <t>1 — Горячий</t>
        </is>
      </c>
      <c r="F171" s="41" t="n">
        <v>144000</v>
      </c>
      <c r="G171" s="34" t="inlineStr">
        <is>
          <t>Юнусова</t>
        </is>
      </c>
      <c r="H171" s="34" t="n"/>
      <c r="I171" s="34" t="inlineStr">
        <is>
          <t>В работе</t>
        </is>
      </c>
      <c r="J171" s="34" t="n"/>
      <c r="K171" s="34" t="n"/>
    </row>
    <row r="172">
      <c r="A172" s="35" t="inlineStr">
        <is>
          <t>3810066510</t>
        </is>
      </c>
      <c r="B172" s="35" t="inlineStr">
        <is>
          <t>ООО "ГЛОБАЛ ИМПОРТ"</t>
        </is>
      </c>
      <c r="C172" s="35" t="inlineStr">
        <is>
          <t>45.19.1</t>
        </is>
      </c>
      <c r="D172" s="35" t="n">
        <v>52</v>
      </c>
      <c r="E172" s="35" t="inlineStr">
        <is>
          <t>1 — Горячий</t>
        </is>
      </c>
      <c r="F172" s="41" t="n">
        <v>33600</v>
      </c>
      <c r="G172" s="34" t="inlineStr">
        <is>
          <t>Кургузов</t>
        </is>
      </c>
      <c r="H172" s="34" t="n"/>
      <c r="I172" s="34" t="inlineStr">
        <is>
          <t>В работе</t>
        </is>
      </c>
      <c r="J172" s="34" t="n"/>
      <c r="K172" s="34" t="n"/>
    </row>
    <row r="173">
      <c r="A173" s="35" t="inlineStr">
        <is>
          <t>3804004064</t>
        </is>
      </c>
      <c r="B173" s="35" t="inlineStr">
        <is>
          <t>ООО «Защита»</t>
        </is>
      </c>
      <c r="C173" s="35" t="inlineStr">
        <is>
          <t>41.20</t>
        </is>
      </c>
      <c r="D173" s="35" t="n">
        <v>25</v>
      </c>
      <c r="E173" s="35" t="inlineStr">
        <is>
          <t>1 — Горячий</t>
        </is>
      </c>
      <c r="F173" s="41" t="n">
        <v>8400</v>
      </c>
      <c r="G173" s="34" t="inlineStr">
        <is>
          <t>Оглоблина</t>
        </is>
      </c>
      <c r="H173" s="34" t="n"/>
      <c r="I173" s="34" t="inlineStr">
        <is>
          <t>В работе</t>
        </is>
      </c>
      <c r="J173" s="34" t="n"/>
      <c r="K173" s="34" t="n"/>
    </row>
    <row r="174">
      <c r="A174" s="35" t="inlineStr">
        <is>
          <t>3812111648</t>
        </is>
      </c>
      <c r="B174" s="35" t="inlineStr">
        <is>
          <t>ООО СК "МОСТОТРЯД-97"</t>
        </is>
      </c>
      <c r="C174" s="35" t="inlineStr">
        <is>
          <t>42.11</t>
        </is>
      </c>
      <c r="D174" s="35" t="n">
        <v>368</v>
      </c>
      <c r="E174" s="35" t="inlineStr">
        <is>
          <t>1 — Горячий</t>
        </is>
      </c>
      <c r="F174" s="41" t="n">
        <v>144000</v>
      </c>
      <c r="G174" s="34" t="inlineStr">
        <is>
          <t>Юнусова</t>
        </is>
      </c>
      <c r="H174" s="34" t="n"/>
      <c r="I174" s="34" t="inlineStr">
        <is>
          <t>В работе</t>
        </is>
      </c>
      <c r="J174" s="34" t="n"/>
      <c r="K174" s="34" t="n"/>
    </row>
    <row r="175">
      <c r="A175" s="35" t="inlineStr">
        <is>
          <t>7536099280</t>
        </is>
      </c>
      <c r="B175" s="35" t="inlineStr">
        <is>
          <t>Общество с ограниченной ответственностью Частное охранное предприятие "Тантал-1"</t>
        </is>
      </c>
      <c r="C175" s="35" t="inlineStr">
        <is>
          <t>80.10</t>
        </is>
      </c>
      <c r="D175" s="35" t="n">
        <v>25</v>
      </c>
      <c r="E175" s="35" t="inlineStr">
        <is>
          <t>1 — Горячий</t>
        </is>
      </c>
      <c r="F175" s="41" t="n">
        <v>8400</v>
      </c>
      <c r="G175" s="34" t="inlineStr">
        <is>
          <t>Кургузов</t>
        </is>
      </c>
      <c r="H175" s="34" t="n"/>
      <c r="I175" s="34" t="inlineStr">
        <is>
          <t>В работе</t>
        </is>
      </c>
      <c r="J175" s="34" t="n"/>
      <c r="K175" s="34" t="n"/>
    </row>
    <row r="176">
      <c r="A176" s="35" t="inlineStr">
        <is>
          <t>3810050189</t>
        </is>
      </c>
      <c r="B176" s="35" t="inlineStr">
        <is>
          <t>ООО "СтройДорХолдинг"</t>
        </is>
      </c>
      <c r="C176" s="35" t="inlineStr">
        <is>
          <t>42.11</t>
        </is>
      </c>
      <c r="D176" s="35" t="n">
        <v>119</v>
      </c>
      <c r="E176" s="35" t="inlineStr">
        <is>
          <t>1 — Горячий</t>
        </is>
      </c>
      <c r="F176" s="41" t="n">
        <v>62400</v>
      </c>
      <c r="G176" s="34" t="inlineStr">
        <is>
          <t>Оглоблина</t>
        </is>
      </c>
      <c r="H176" s="34" t="n"/>
      <c r="I176" s="34" t="inlineStr">
        <is>
          <t>В работе</t>
        </is>
      </c>
      <c r="J176" s="34" t="n"/>
      <c r="K176" s="34" t="n"/>
    </row>
    <row r="177">
      <c r="A177" s="35" t="inlineStr">
        <is>
          <t>3808218155</t>
        </is>
      </c>
      <c r="B177" s="35" t="inlineStr">
        <is>
          <t>ЗАО "НИПИИ Восток"</t>
        </is>
      </c>
      <c r="C177" s="35" t="inlineStr">
        <is>
          <t>09.10.3</t>
        </is>
      </c>
      <c r="D177" s="35" t="n">
        <v>30</v>
      </c>
      <c r="E177" s="35" t="inlineStr">
        <is>
          <t>1 — Горячий</t>
        </is>
      </c>
      <c r="F177" s="41" t="n">
        <v>16800</v>
      </c>
      <c r="G177" s="34" t="inlineStr">
        <is>
          <t>Юнусова</t>
        </is>
      </c>
      <c r="H177" s="34" t="n"/>
      <c r="I177" s="34" t="inlineStr">
        <is>
          <t>В работе</t>
        </is>
      </c>
      <c r="J177" s="34" t="n"/>
      <c r="K177" s="34" t="n"/>
    </row>
    <row r="178">
      <c r="A178" s="35" t="inlineStr">
        <is>
          <t>3812010801</t>
        </is>
      </c>
      <c r="B178" s="35" t="inlineStr">
        <is>
          <t>Акционерное общество "КЛИНИЧЕСКИЙ КУРОРТ "АНГАРА"</t>
        </is>
      </c>
      <c r="C178" s="35" t="n"/>
      <c r="D178" s="35" t="n">
        <v>160</v>
      </c>
      <c r="E178" s="35" t="inlineStr">
        <is>
          <t>1 — Горячий</t>
        </is>
      </c>
      <c r="F178" s="41" t="n">
        <v>62400</v>
      </c>
      <c r="G178" s="34" t="inlineStr">
        <is>
          <t>Кургузов</t>
        </is>
      </c>
      <c r="H178" s="34" t="n"/>
      <c r="I178" s="34" t="inlineStr">
        <is>
          <t>В работе</t>
        </is>
      </c>
      <c r="J178" s="34" t="n"/>
      <c r="K178" s="34" t="n"/>
    </row>
    <row r="179">
      <c r="A179" s="35" t="inlineStr">
        <is>
          <t>1434033057</t>
        </is>
      </c>
      <c r="B179" s="35" t="inlineStr">
        <is>
          <t>Нерюнгринская жилищная компания</t>
        </is>
      </c>
      <c r="C179" s="35" t="inlineStr">
        <is>
          <t>68.32</t>
        </is>
      </c>
      <c r="D179" s="35" t="n">
        <v>24</v>
      </c>
      <c r="E179" s="35" t="inlineStr">
        <is>
          <t>1 — Горячий</t>
        </is>
      </c>
      <c r="F179" s="41" t="n">
        <v>8400</v>
      </c>
      <c r="G179" s="34" t="inlineStr">
        <is>
          <t>Оглоблина</t>
        </is>
      </c>
      <c r="H179" s="34" t="n"/>
      <c r="I179" s="34" t="inlineStr">
        <is>
          <t>В работе</t>
        </is>
      </c>
      <c r="J179" s="34" t="n"/>
      <c r="K179" s="34" t="n"/>
    </row>
    <row r="180">
      <c r="A180" s="35" t="inlineStr">
        <is>
          <t>3811462996</t>
        </is>
      </c>
      <c r="B180" s="35" t="inlineStr">
        <is>
          <t>ОБЩЕСТВО С ОГРАНИЧЕННОЙ ОТВЕТСТВЕННОСТЬЮ "ТАЙРИКУ-ИГИРМА ГРУПП"</t>
        </is>
      </c>
      <c r="C180" s="35" t="inlineStr">
        <is>
          <t>16.10.1</t>
        </is>
      </c>
      <c r="D180" s="35" t="n">
        <v>739</v>
      </c>
      <c r="E180" s="35" t="inlineStr">
        <is>
          <t>1 — Горячий</t>
        </is>
      </c>
      <c r="F180" s="41" t="n">
        <v>528000</v>
      </c>
      <c r="G180" s="34" t="inlineStr">
        <is>
          <t>Юнусова</t>
        </is>
      </c>
      <c r="H180" s="34" t="n"/>
      <c r="I180" s="34" t="inlineStr">
        <is>
          <t>В работе</t>
        </is>
      </c>
      <c r="J180" s="34" t="n"/>
      <c r="K180" s="34" t="n"/>
    </row>
    <row r="181">
      <c r="A181" s="35" t="inlineStr">
        <is>
          <t>3808220108</t>
        </is>
      </c>
      <c r="B181" s="35" t="inlineStr">
        <is>
          <t>ООО "ЭДЕЛЬВЕЙС" ДИАЙ КЛИНИК"</t>
        </is>
      </c>
      <c r="C181" s="35" t="inlineStr">
        <is>
          <t>86.23</t>
        </is>
      </c>
      <c r="D181" s="35" t="n">
        <v>62</v>
      </c>
      <c r="E181" s="35" t="inlineStr">
        <is>
          <t>1 — Горячий</t>
        </is>
      </c>
      <c r="F181" s="41" t="n">
        <v>33600</v>
      </c>
      <c r="G181" s="34" t="inlineStr">
        <is>
          <t>Кургузов</t>
        </is>
      </c>
      <c r="H181" s="34" t="n"/>
      <c r="I181" s="34" t="inlineStr">
        <is>
          <t>В работе</t>
        </is>
      </c>
      <c r="J181" s="34" t="n"/>
      <c r="K181" s="34" t="n"/>
    </row>
    <row r="182">
      <c r="A182" s="35" t="inlineStr">
        <is>
          <t>3849012499</t>
        </is>
      </c>
      <c r="B182" s="35" t="inlineStr">
        <is>
          <t>СТРОЙ-РЕСУРС</t>
        </is>
      </c>
      <c r="C182" s="35" t="inlineStr">
        <is>
          <t>43.12</t>
        </is>
      </c>
      <c r="D182" s="35" t="n">
        <v>54</v>
      </c>
      <c r="E182" s="35" t="inlineStr">
        <is>
          <t>1 — Горячий</t>
        </is>
      </c>
      <c r="F182" s="41" t="n">
        <v>33600</v>
      </c>
      <c r="G182" s="34" t="inlineStr">
        <is>
          <t>Оглоблина</t>
        </is>
      </c>
      <c r="H182" s="34" t="n"/>
      <c r="I182" s="34" t="inlineStr">
        <is>
          <t>В работе</t>
        </is>
      </c>
      <c r="J182" s="34" t="n"/>
      <c r="K182" s="34" t="n"/>
    </row>
    <row r="183">
      <c r="A183" s="35" t="inlineStr">
        <is>
          <t>3815003200</t>
        </is>
      </c>
      <c r="B183" s="35" t="inlineStr">
        <is>
          <t>Парчумлес</t>
        </is>
      </c>
      <c r="C183" s="35" t="inlineStr">
        <is>
          <t>02.20</t>
        </is>
      </c>
      <c r="D183" s="35" t="n">
        <v>44</v>
      </c>
      <c r="E183" s="35" t="inlineStr">
        <is>
          <t>1 — Горячий</t>
        </is>
      </c>
      <c r="F183" s="41" t="n">
        <v>16800</v>
      </c>
      <c r="G183" s="34" t="inlineStr">
        <is>
          <t>Юнусова</t>
        </is>
      </c>
      <c r="H183" s="34" t="n"/>
      <c r="I183" s="34" t="inlineStr">
        <is>
          <t>В работе</t>
        </is>
      </c>
      <c r="J183" s="34" t="n"/>
      <c r="K183" s="34" t="n"/>
    </row>
    <row r="184">
      <c r="A184" s="35" t="inlineStr">
        <is>
          <t>3816014606</t>
        </is>
      </c>
      <c r="B184" s="35" t="inlineStr">
        <is>
          <t>ООО "Супер"</t>
        </is>
      </c>
      <c r="C184" s="35" t="inlineStr">
        <is>
          <t>47.25.1</t>
        </is>
      </c>
      <c r="D184" s="35" t="n">
        <v>26</v>
      </c>
      <c r="E184" s="35" t="inlineStr">
        <is>
          <t>1 — Горячий</t>
        </is>
      </c>
      <c r="F184" s="41" t="n">
        <v>16800</v>
      </c>
      <c r="G184" s="34" t="inlineStr">
        <is>
          <t>Кургузов</t>
        </is>
      </c>
      <c r="H184" s="34" t="n"/>
      <c r="I184" s="34" t="inlineStr">
        <is>
          <t>В работе</t>
        </is>
      </c>
      <c r="J184" s="34" t="n"/>
      <c r="K184" s="34" t="n"/>
    </row>
    <row r="185">
      <c r="A185" s="35" t="inlineStr">
        <is>
          <t>3849023959</t>
        </is>
      </c>
      <c r="B185" s="35" t="inlineStr">
        <is>
          <t>ООО "Трансуголь"</t>
        </is>
      </c>
      <c r="C185" s="35" t="inlineStr">
        <is>
          <t>05.10.11</t>
        </is>
      </c>
      <c r="D185" s="35" t="n">
        <v>44</v>
      </c>
      <c r="E185" s="35" t="inlineStr">
        <is>
          <t>1 — Горячий</t>
        </is>
      </c>
      <c r="F185" s="41" t="n">
        <v>16800</v>
      </c>
      <c r="G185" s="34" t="inlineStr">
        <is>
          <t>Оглоблина</t>
        </is>
      </c>
      <c r="H185" s="34" t="n"/>
      <c r="I185" s="34" t="inlineStr">
        <is>
          <t>В работе</t>
        </is>
      </c>
      <c r="J185" s="34" t="n"/>
      <c r="K185" s="34" t="n"/>
    </row>
    <row r="186">
      <c r="A186" s="35" t="inlineStr">
        <is>
          <t>3808070237</t>
        </is>
      </c>
      <c r="B186" s="35" t="inlineStr">
        <is>
          <t>Охранное Агентство БАБР, ООО</t>
        </is>
      </c>
      <c r="C186" s="35" t="inlineStr">
        <is>
          <t>80.10</t>
        </is>
      </c>
      <c r="D186" s="35" t="n">
        <v>33</v>
      </c>
      <c r="E186" s="35" t="inlineStr">
        <is>
          <t>1 — Горячий</t>
        </is>
      </c>
      <c r="F186" s="41" t="n">
        <v>16800</v>
      </c>
      <c r="G186" s="34" t="inlineStr">
        <is>
          <t>Юнусова</t>
        </is>
      </c>
      <c r="H186" s="34" t="n"/>
      <c r="I186" s="34" t="inlineStr">
        <is>
          <t>В работе</t>
        </is>
      </c>
      <c r="J186" s="34" t="n"/>
      <c r="K186" s="34" t="n"/>
    </row>
    <row r="187">
      <c r="A187" s="35" t="inlineStr">
        <is>
          <t>3827010850</t>
        </is>
      </c>
      <c r="B187" s="35" t="inlineStr">
        <is>
          <t>ООО "АгроСмоленское"</t>
        </is>
      </c>
      <c r="C187" s="35" t="inlineStr">
        <is>
          <t>01.13.1</t>
        </is>
      </c>
      <c r="D187" s="35" t="n">
        <v>25</v>
      </c>
      <c r="E187" s="35" t="inlineStr">
        <is>
          <t>1 — Горячий</t>
        </is>
      </c>
      <c r="F187" s="41" t="n">
        <v>8400</v>
      </c>
      <c r="G187" s="34" t="inlineStr">
        <is>
          <t>Кургузов</t>
        </is>
      </c>
      <c r="H187" s="34" t="n"/>
      <c r="I187" s="34" t="inlineStr">
        <is>
          <t>В работе</t>
        </is>
      </c>
      <c r="J187" s="34" t="n"/>
      <c r="K187" s="34" t="n"/>
    </row>
    <row r="188">
      <c r="A188" s="35" t="inlineStr">
        <is>
          <t>3808079832</t>
        </is>
      </c>
      <c r="B188" s="35" t="inlineStr">
        <is>
          <t>Гранд Байкал ВИП</t>
        </is>
      </c>
      <c r="C188" s="35" t="inlineStr">
        <is>
          <t>86.90.4</t>
        </is>
      </c>
      <c r="D188" s="35" t="n">
        <v>445</v>
      </c>
      <c r="E188" s="35" t="inlineStr">
        <is>
          <t>1 — Горячий</t>
        </is>
      </c>
      <c r="F188" s="41" t="n">
        <v>144000</v>
      </c>
      <c r="G188" s="34" t="inlineStr">
        <is>
          <t>Оглоблина</t>
        </is>
      </c>
      <c r="H188" s="34" t="n"/>
      <c r="I188" s="34" t="inlineStr">
        <is>
          <t>В работе</t>
        </is>
      </c>
      <c r="J188" s="34" t="n"/>
      <c r="K188" s="34" t="n"/>
    </row>
    <row r="189">
      <c r="A189" s="35" t="inlineStr">
        <is>
          <t>3815008575</t>
        </is>
      </c>
      <c r="B189" s="35" t="inlineStr">
        <is>
          <t>ООО «Прогресс»</t>
        </is>
      </c>
      <c r="C189" s="35" t="inlineStr">
        <is>
          <t>02.20</t>
        </is>
      </c>
      <c r="D189" s="35" t="n">
        <v>33</v>
      </c>
      <c r="E189" s="35" t="inlineStr">
        <is>
          <t>1 — Горячий</t>
        </is>
      </c>
      <c r="F189" s="41" t="n">
        <v>16800</v>
      </c>
      <c r="G189" s="34" t="inlineStr">
        <is>
          <t>Юнусова</t>
        </is>
      </c>
      <c r="H189" s="34" t="n"/>
      <c r="I189" s="34" t="inlineStr">
        <is>
          <t>В работе</t>
        </is>
      </c>
      <c r="J189" s="34" t="n"/>
      <c r="K189" s="34" t="n"/>
    </row>
    <row r="190">
      <c r="A190" s="35" t="inlineStr">
        <is>
          <t>2700020905</t>
        </is>
      </c>
      <c r="B190" s="35" t="inlineStr">
        <is>
          <t>ОБЩЕСТВО С ОГРАНИЧЕННОЙ ОТВЕТСТВЕННОСТЬЮ "ИТ СОВА"</t>
        </is>
      </c>
      <c r="C190" s="35" t="inlineStr">
        <is>
          <t>63.11.1</t>
        </is>
      </c>
      <c r="D190" s="35" t="n">
        <v>90</v>
      </c>
      <c r="E190" s="35" t="inlineStr">
        <is>
          <t>1 — Горячий</t>
        </is>
      </c>
      <c r="F190" s="41" t="n">
        <v>33600</v>
      </c>
      <c r="G190" s="34" t="inlineStr">
        <is>
          <t>Кургузов</t>
        </is>
      </c>
      <c r="H190" s="34" t="n"/>
      <c r="I190" s="34" t="inlineStr">
        <is>
          <t>В работе</t>
        </is>
      </c>
      <c r="J190" s="34" t="n"/>
      <c r="K190" s="34" t="n"/>
    </row>
    <row r="191">
      <c r="A191" s="35" t="inlineStr">
        <is>
          <t>3810329663</t>
        </is>
      </c>
      <c r="B191" s="35" t="inlineStr">
        <is>
          <t>Общество с ограниченной ответственностью Научно- производственная компания «Спирит»</t>
        </is>
      </c>
      <c r="C191" s="35" t="inlineStr">
        <is>
          <t>28.92</t>
        </is>
      </c>
      <c r="D191" s="35" t="n">
        <v>99</v>
      </c>
      <c r="E191" s="35" t="inlineStr">
        <is>
          <t>1 — Горячий</t>
        </is>
      </c>
      <c r="F191" s="41" t="n">
        <v>33600</v>
      </c>
      <c r="G191" s="34" t="inlineStr">
        <is>
          <t>Оглоблина</t>
        </is>
      </c>
      <c r="H191" s="34" t="n"/>
      <c r="I191" s="34" t="inlineStr">
        <is>
          <t>В работе</t>
        </is>
      </c>
      <c r="J191" s="34" t="n"/>
      <c r="K191" s="34" t="n"/>
    </row>
    <row r="192">
      <c r="A192" s="35" t="inlineStr">
        <is>
          <t>3812079793</t>
        </is>
      </c>
      <c r="B192" s="35" t="inlineStr">
        <is>
          <t>ООО "Кран"</t>
        </is>
      </c>
      <c r="C192" s="35" t="inlineStr">
        <is>
          <t>42.11</t>
        </is>
      </c>
      <c r="D192" s="35" t="n">
        <v>44</v>
      </c>
      <c r="E192" s="35" t="inlineStr">
        <is>
          <t>1 — Горячий</t>
        </is>
      </c>
      <c r="F192" s="41" t="n">
        <v>16800</v>
      </c>
      <c r="G192" s="34" t="inlineStr">
        <is>
          <t>Юнусова</t>
        </is>
      </c>
      <c r="H192" s="34" t="n"/>
      <c r="I192" s="34" t="inlineStr">
        <is>
          <t>В работе</t>
        </is>
      </c>
      <c r="J192" s="34" t="n"/>
      <c r="K192" s="34" t="n"/>
    </row>
    <row r="193">
      <c r="A193" s="35" t="inlineStr">
        <is>
          <t>3827038623</t>
        </is>
      </c>
      <c r="B193" s="35" t="inlineStr">
        <is>
          <t>Общество с ограниченной ответственностью "ПРОФИЛЬНАЯ КОМПАНИЯ "СИБИРЬ"</t>
        </is>
      </c>
      <c r="C193" s="35" t="inlineStr">
        <is>
          <t>43.12.3</t>
        </is>
      </c>
      <c r="D193" s="35" t="n">
        <v>149</v>
      </c>
      <c r="E193" s="35" t="inlineStr">
        <is>
          <t>1 — Горячий</t>
        </is>
      </c>
      <c r="F193" s="41" t="n">
        <v>62400</v>
      </c>
      <c r="G193" s="34" t="inlineStr">
        <is>
          <t>Кургузов</t>
        </is>
      </c>
      <c r="H193" s="34" t="n"/>
      <c r="I193" s="34" t="inlineStr">
        <is>
          <t>В работе</t>
        </is>
      </c>
      <c r="J193" s="34" t="n"/>
      <c r="K193" s="34" t="n"/>
    </row>
    <row r="194">
      <c r="A194" s="35" t="inlineStr">
        <is>
          <t>3811461336</t>
        </is>
      </c>
      <c r="B194" s="35" t="inlineStr">
        <is>
          <t>ООО "НАШЕ ДЕЛО"</t>
        </is>
      </c>
      <c r="C194" s="35" t="inlineStr">
        <is>
          <t>10.71</t>
        </is>
      </c>
      <c r="D194" s="35" t="n">
        <v>22</v>
      </c>
      <c r="E194" s="35" t="inlineStr">
        <is>
          <t>1 — Горячий</t>
        </is>
      </c>
      <c r="F194" s="41" t="n">
        <v>8400</v>
      </c>
      <c r="G194" s="34" t="inlineStr">
        <is>
          <t>Оглоблина</t>
        </is>
      </c>
      <c r="H194" s="34" t="n"/>
      <c r="I194" s="34" t="inlineStr">
        <is>
          <t>В работе</t>
        </is>
      </c>
      <c r="J194" s="34" t="n"/>
      <c r="K194" s="34" t="n"/>
    </row>
    <row r="195">
      <c r="A195" s="35" t="inlineStr">
        <is>
          <t>3817024558</t>
        </is>
      </c>
      <c r="B195" s="35" t="inlineStr">
        <is>
          <t>ООО "Илимтехносервис"</t>
        </is>
      </c>
      <c r="C195" s="35" t="inlineStr">
        <is>
          <t>33.12</t>
        </is>
      </c>
      <c r="D195" s="35" t="n">
        <v>137</v>
      </c>
      <c r="E195" s="35" t="inlineStr">
        <is>
          <t>1 — Горячий</t>
        </is>
      </c>
      <c r="F195" s="41" t="n">
        <v>62400</v>
      </c>
      <c r="G195" s="34" t="inlineStr">
        <is>
          <t>Юнусова</t>
        </is>
      </c>
      <c r="H195" s="34" t="n"/>
      <c r="I195" s="34" t="inlineStr">
        <is>
          <t>В работе</t>
        </is>
      </c>
      <c r="J195" s="34" t="n"/>
      <c r="K195" s="34" t="n"/>
    </row>
    <row r="196">
      <c r="A196" s="35" t="inlineStr">
        <is>
          <t>3827050250</t>
        </is>
      </c>
      <c r="B196" s="35" t="inlineStr">
        <is>
          <t>СОЮЗЭНЕРГОСЕРВИС</t>
        </is>
      </c>
      <c r="C196" s="35" t="inlineStr">
        <is>
          <t>49.41.1</t>
        </is>
      </c>
      <c r="D196" s="35" t="n">
        <v>920</v>
      </c>
      <c r="E196" s="35" t="inlineStr">
        <is>
          <t>1 — Горячий</t>
        </is>
      </c>
      <c r="F196" s="41" t="n">
        <v>528000</v>
      </c>
      <c r="G196" s="34" t="inlineStr">
        <is>
          <t>Кургузов</t>
        </is>
      </c>
      <c r="H196" s="34" t="n"/>
      <c r="I196" s="34" t="inlineStr">
        <is>
          <t>В работе</t>
        </is>
      </c>
      <c r="J196" s="34" t="n"/>
      <c r="K196" s="34" t="n"/>
    </row>
    <row r="197">
      <c r="A197" s="35" t="inlineStr">
        <is>
          <t>3827018909</t>
        </is>
      </c>
      <c r="B197" s="35" t="inlineStr">
        <is>
          <t>Александровское, ООО</t>
        </is>
      </c>
      <c r="C197" s="35" t="inlineStr">
        <is>
          <t>68.32.1</t>
        </is>
      </c>
      <c r="D197" s="35" t="n">
        <v>62</v>
      </c>
      <c r="E197" s="35" t="inlineStr">
        <is>
          <t>1 — Горячий</t>
        </is>
      </c>
      <c r="F197" s="41" t="n">
        <v>33600</v>
      </c>
      <c r="G197" s="34" t="inlineStr">
        <is>
          <t>Оглоблина</t>
        </is>
      </c>
      <c r="H197" s="34" t="n"/>
      <c r="I197" s="34" t="inlineStr">
        <is>
          <t>В работе</t>
        </is>
      </c>
      <c r="J197" s="34" t="n"/>
      <c r="K197" s="34" t="n"/>
    </row>
    <row r="198">
      <c r="A198" s="35" t="inlineStr">
        <is>
          <t>3802012408</t>
        </is>
      </c>
      <c r="B198" s="35" t="inlineStr">
        <is>
          <t>ООО "ИСТ ТРЕЙД СМ"</t>
        </is>
      </c>
      <c r="C198" s="35" t="inlineStr">
        <is>
          <t>46.71</t>
        </is>
      </c>
      <c r="D198" s="35" t="n">
        <v>58</v>
      </c>
      <c r="E198" s="35" t="inlineStr">
        <is>
          <t>1 — Горячий</t>
        </is>
      </c>
      <c r="F198" s="41" t="n">
        <v>33600</v>
      </c>
      <c r="G198" s="34" t="inlineStr">
        <is>
          <t>Юнусова</t>
        </is>
      </c>
      <c r="H198" s="34" t="n"/>
      <c r="I198" s="34" t="inlineStr">
        <is>
          <t>В работе</t>
        </is>
      </c>
      <c r="J198" s="34" t="n"/>
      <c r="K198" s="34" t="n"/>
    </row>
    <row r="199">
      <c r="A199" s="35" t="inlineStr">
        <is>
          <t>3818042824</t>
        </is>
      </c>
      <c r="B199" s="35" t="inlineStr">
        <is>
          <t>ООО "ТЕРМИНАЛ"</t>
        </is>
      </c>
      <c r="C199" s="35" t="inlineStr">
        <is>
          <t>49.42</t>
        </is>
      </c>
      <c r="D199" s="35" t="n">
        <v>72</v>
      </c>
      <c r="E199" s="35" t="inlineStr">
        <is>
          <t>1 — Горячий</t>
        </is>
      </c>
      <c r="F199" s="41" t="n">
        <v>33600</v>
      </c>
      <c r="G199" s="34" t="inlineStr">
        <is>
          <t>Кургузов</t>
        </is>
      </c>
      <c r="H199" s="34" t="n"/>
      <c r="I199" s="34" t="inlineStr">
        <is>
          <t>В работе</t>
        </is>
      </c>
      <c r="J199" s="34" t="n"/>
      <c r="K199" s="34" t="n"/>
    </row>
    <row r="200">
      <c r="A200" s="35" t="inlineStr">
        <is>
          <t>3810025680</t>
        </is>
      </c>
      <c r="B200" s="35" t="inlineStr">
        <is>
          <t>ЗАО "Иркутскстройоптторг"</t>
        </is>
      </c>
      <c r="C200" s="35" t="inlineStr">
        <is>
          <t>68.20.29</t>
        </is>
      </c>
      <c r="D200" s="35" t="n">
        <v>79</v>
      </c>
      <c r="E200" s="35" t="inlineStr">
        <is>
          <t>1 — Горячий</t>
        </is>
      </c>
      <c r="F200" s="41" t="n">
        <v>33600</v>
      </c>
      <c r="G200" s="34" t="inlineStr">
        <is>
          <t>Оглоблина</t>
        </is>
      </c>
      <c r="H200" s="34" t="n"/>
      <c r="I200" s="34" t="inlineStr">
        <is>
          <t>В работе</t>
        </is>
      </c>
      <c r="J200" s="34" t="n"/>
      <c r="K200" s="34" t="n"/>
    </row>
    <row r="201">
      <c r="A201" s="35" t="inlineStr">
        <is>
          <t>3811101580</t>
        </is>
      </c>
      <c r="B201" s="35" t="inlineStr">
        <is>
          <t>Восточное управление ЖКС</t>
        </is>
      </c>
      <c r="C201" s="35" t="inlineStr">
        <is>
          <t>68.32.1</t>
        </is>
      </c>
      <c r="D201" s="35" t="n">
        <v>41</v>
      </c>
      <c r="E201" s="35" t="inlineStr">
        <is>
          <t>1 — Горячий</t>
        </is>
      </c>
      <c r="F201" s="41" t="n">
        <v>16800</v>
      </c>
      <c r="G201" s="34" t="inlineStr">
        <is>
          <t>Юнусова</t>
        </is>
      </c>
      <c r="H201" s="34" t="n"/>
      <c r="I201" s="34" t="inlineStr">
        <is>
          <t>В работе</t>
        </is>
      </c>
      <c r="J201" s="34" t="n"/>
      <c r="K201" s="34" t="n"/>
    </row>
    <row r="202">
      <c r="A202" s="35" t="inlineStr">
        <is>
          <t>3808272064</t>
        </is>
      </c>
      <c r="B202" s="35" t="inlineStr">
        <is>
          <t>ООО "АРСЕНАЛ-ИРКУТСК"</t>
        </is>
      </c>
      <c r="C202" s="35" t="inlineStr">
        <is>
          <t>80.10</t>
        </is>
      </c>
      <c r="D202" s="35" t="n">
        <v>41</v>
      </c>
      <c r="E202" s="35" t="inlineStr">
        <is>
          <t>1 — Горячий</t>
        </is>
      </c>
      <c r="F202" s="41" t="n">
        <v>16800</v>
      </c>
      <c r="G202" s="34" t="inlineStr">
        <is>
          <t>Кургузов</t>
        </is>
      </c>
      <c r="H202" s="34" t="n"/>
      <c r="I202" s="34" t="inlineStr">
        <is>
          <t>В работе</t>
        </is>
      </c>
      <c r="J202" s="34" t="n"/>
      <c r="K202" s="34" t="n"/>
    </row>
    <row r="203">
      <c r="A203" s="35" t="inlineStr">
        <is>
          <t>3810058519</t>
        </is>
      </c>
      <c r="B203" s="35" t="inlineStr">
        <is>
          <t>Общество с ограниченной ответственностью "Структура Света"</t>
        </is>
      </c>
      <c r="C203" s="35" t="inlineStr">
        <is>
          <t>46.69.5</t>
        </is>
      </c>
      <c r="D203" s="35" t="n">
        <v>22</v>
      </c>
      <c r="E203" s="35" t="inlineStr">
        <is>
          <t>1 — Горячий</t>
        </is>
      </c>
      <c r="F203" s="41" t="n">
        <v>8400</v>
      </c>
      <c r="G203" s="34" t="inlineStr">
        <is>
          <t>Оглоблина</t>
        </is>
      </c>
      <c r="H203" s="34" t="n"/>
      <c r="I203" s="34" t="inlineStr">
        <is>
          <t>В работе</t>
        </is>
      </c>
      <c r="J203" s="34" t="n"/>
      <c r="K203" s="34" t="n"/>
    </row>
    <row r="204">
      <c r="A204" s="35" t="inlineStr">
        <is>
          <t>3810035487</t>
        </is>
      </c>
      <c r="B204" s="35" t="inlineStr">
        <is>
          <t>ООО "Сетевая компания "Иркут"</t>
        </is>
      </c>
      <c r="C204" s="35" t="inlineStr">
        <is>
          <t>43.22</t>
        </is>
      </c>
      <c r="D204" s="35" t="n">
        <v>359</v>
      </c>
      <c r="E204" s="35" t="inlineStr">
        <is>
          <t>1 — Горячий</t>
        </is>
      </c>
      <c r="F204" s="41" t="n">
        <v>144000</v>
      </c>
      <c r="G204" s="34" t="inlineStr">
        <is>
          <t>Юнусова</t>
        </is>
      </c>
      <c r="H204" s="34" t="n"/>
      <c r="I204" s="34" t="inlineStr">
        <is>
          <t>В работе</t>
        </is>
      </c>
      <c r="J204" s="34" t="n"/>
      <c r="K204" s="34" t="n"/>
    </row>
    <row r="205">
      <c r="A205" s="35" t="inlineStr">
        <is>
          <t>3818000870</t>
        </is>
      </c>
      <c r="B205" s="35" t="inlineStr">
        <is>
          <t>ЗАО "Санаторий Усть-Кут"</t>
        </is>
      </c>
      <c r="C205" s="35" t="inlineStr">
        <is>
          <t>86.90.4</t>
        </is>
      </c>
      <c r="D205" s="35" t="n">
        <v>56</v>
      </c>
      <c r="E205" s="35" t="inlineStr">
        <is>
          <t>1 — Горячий</t>
        </is>
      </c>
      <c r="F205" s="41" t="n">
        <v>33600</v>
      </c>
      <c r="G205" s="34" t="inlineStr">
        <is>
          <t>Кургузов</t>
        </is>
      </c>
      <c r="H205" s="34" t="n"/>
      <c r="I205" s="34" t="inlineStr">
        <is>
          <t>В работе</t>
        </is>
      </c>
      <c r="J205" s="34" t="n"/>
      <c r="K205" s="34" t="n"/>
    </row>
    <row r="206">
      <c r="A206" s="35" t="inlineStr">
        <is>
          <t>3818048128</t>
        </is>
      </c>
      <c r="B206" s="35" t="inlineStr">
        <is>
          <t>ТЕПЛОВОДОКАНАЛ ООО</t>
        </is>
      </c>
      <c r="C206" s="35" t="inlineStr">
        <is>
          <t>36.00.1</t>
        </is>
      </c>
      <c r="D206" s="35" t="n">
        <v>28</v>
      </c>
      <c r="E206" s="35" t="inlineStr">
        <is>
          <t>1 — Горячий</t>
        </is>
      </c>
      <c r="F206" s="41" t="n">
        <v>16800</v>
      </c>
      <c r="G206" s="34" t="inlineStr">
        <is>
          <t>Оглоблина</t>
        </is>
      </c>
      <c r="H206" s="34" t="n"/>
      <c r="I206" s="34" t="inlineStr">
        <is>
          <t>В работе</t>
        </is>
      </c>
      <c r="J206" s="34" t="n"/>
      <c r="K206" s="34" t="n"/>
    </row>
    <row r="207">
      <c r="A207" s="35" t="inlineStr">
        <is>
          <t>3818018758</t>
        </is>
      </c>
      <c r="B207" s="35" t="inlineStr">
        <is>
          <t>ООО "СПЕЦАВТО"</t>
        </is>
      </c>
      <c r="C207" s="35" t="inlineStr">
        <is>
          <t>38.12</t>
        </is>
      </c>
      <c r="D207" s="35" t="n">
        <v>30</v>
      </c>
      <c r="E207" s="35" t="inlineStr">
        <is>
          <t>1 — Горячий</t>
        </is>
      </c>
      <c r="F207" s="41" t="n">
        <v>16800</v>
      </c>
      <c r="G207" s="34" t="inlineStr">
        <is>
          <t>Юнусова</t>
        </is>
      </c>
      <c r="H207" s="34" t="n"/>
      <c r="I207" s="34" t="inlineStr">
        <is>
          <t>В работе</t>
        </is>
      </c>
      <c r="J207" s="34" t="n"/>
      <c r="K207" s="34" t="n"/>
    </row>
    <row r="208">
      <c r="A208" s="35" t="inlineStr">
        <is>
          <t>3808168391</t>
        </is>
      </c>
      <c r="B208" s="35" t="inlineStr">
        <is>
          <t>ООО СЗ «Регион Сибири»</t>
        </is>
      </c>
      <c r="C208" s="35" t="inlineStr">
        <is>
          <t>41.20</t>
        </is>
      </c>
      <c r="D208" s="35" t="n">
        <v>23</v>
      </c>
      <c r="E208" s="35" t="inlineStr">
        <is>
          <t>1 — Горячий</t>
        </is>
      </c>
      <c r="F208" s="41" t="n">
        <v>8400</v>
      </c>
      <c r="G208" s="34" t="inlineStr">
        <is>
          <t>Кургузов</t>
        </is>
      </c>
      <c r="H208" s="34" t="n"/>
      <c r="I208" s="34" t="inlineStr">
        <is>
          <t>В работе</t>
        </is>
      </c>
      <c r="J208" s="34" t="n"/>
      <c r="K208" s="34" t="n"/>
    </row>
    <row r="209">
      <c r="A209" s="35" t="inlineStr">
        <is>
          <t>3851993295</t>
        </is>
      </c>
      <c r="B209" s="35" t="inlineStr">
        <is>
          <t>ООО "ПРОМАВТО"</t>
        </is>
      </c>
      <c r="C209" s="35" t="inlineStr">
        <is>
          <t>41.20</t>
        </is>
      </c>
      <c r="D209" s="35" t="n">
        <v>34</v>
      </c>
      <c r="E209" s="35" t="inlineStr">
        <is>
          <t>1 — Горячий</t>
        </is>
      </c>
      <c r="F209" s="41" t="n">
        <v>16800</v>
      </c>
      <c r="G209" s="34" t="inlineStr">
        <is>
          <t>Оглоблина</t>
        </is>
      </c>
      <c r="H209" s="34" t="n"/>
      <c r="I209" s="34" t="inlineStr">
        <is>
          <t>В работе</t>
        </is>
      </c>
      <c r="J209" s="34" t="n"/>
      <c r="K209" s="34" t="n"/>
    </row>
    <row r="210">
      <c r="A210" s="35" t="inlineStr">
        <is>
          <t>3812127630</t>
        </is>
      </c>
      <c r="B210" s="35" t="inlineStr">
        <is>
          <t>ООО "Байкал-Автотрак-Сервис"</t>
        </is>
      </c>
      <c r="C210" s="35" t="inlineStr">
        <is>
          <t>45.31.1</t>
        </is>
      </c>
      <c r="D210" s="35" t="n">
        <v>224</v>
      </c>
      <c r="E210" s="35" t="inlineStr">
        <is>
          <t>1 — Горячий</t>
        </is>
      </c>
      <c r="F210" s="41" t="n">
        <v>144000</v>
      </c>
      <c r="G210" s="34" t="inlineStr">
        <is>
          <t>Юнусова</t>
        </is>
      </c>
      <c r="H210" s="34" t="n"/>
      <c r="I210" s="34" t="inlineStr">
        <is>
          <t>В работе</t>
        </is>
      </c>
      <c r="J210" s="34" t="n"/>
      <c r="K210" s="34" t="n"/>
    </row>
    <row r="211">
      <c r="A211" s="35" t="inlineStr">
        <is>
          <t>3812154881</t>
        </is>
      </c>
      <c r="B211" s="35" t="inlineStr">
        <is>
          <t>ООО "Финестра оптима"</t>
        </is>
      </c>
      <c r="C211" s="35" t="n"/>
      <c r="D211" s="35" t="n">
        <v>148</v>
      </c>
      <c r="E211" s="35" t="inlineStr">
        <is>
          <t>1 — Горячий</t>
        </is>
      </c>
      <c r="F211" s="41" t="n">
        <v>62400</v>
      </c>
      <c r="G211" s="34" t="inlineStr">
        <is>
          <t>Кургузов</t>
        </is>
      </c>
      <c r="H211" s="34" t="n"/>
      <c r="I211" s="34" t="inlineStr">
        <is>
          <t>В работе</t>
        </is>
      </c>
      <c r="J211" s="34" t="n"/>
      <c r="K211" s="34" t="n"/>
    </row>
    <row r="212">
      <c r="A212" s="35" t="inlineStr">
        <is>
          <t>3827011808</t>
        </is>
      </c>
      <c r="B212" s="35" t="inlineStr">
        <is>
          <t>Иркутские семена ЗАО</t>
        </is>
      </c>
      <c r="C212" s="35" t="inlineStr">
        <is>
          <t>01.50</t>
        </is>
      </c>
      <c r="D212" s="35" t="n">
        <v>52</v>
      </c>
      <c r="E212" s="35" t="inlineStr">
        <is>
          <t>1 — Горячий</t>
        </is>
      </c>
      <c r="F212" s="41" t="n">
        <v>33600</v>
      </c>
      <c r="G212" s="34" t="inlineStr">
        <is>
          <t>Оглоблина</t>
        </is>
      </c>
      <c r="H212" s="34" t="n"/>
      <c r="I212" s="34" t="inlineStr">
        <is>
          <t>В работе</t>
        </is>
      </c>
      <c r="J212" s="34" t="n"/>
      <c r="K212" s="34" t="n"/>
    </row>
    <row r="213">
      <c r="A213" s="35" t="inlineStr">
        <is>
          <t>1420005042</t>
        </is>
      </c>
      <c r="B213" s="35" t="inlineStr">
        <is>
          <t>ЗАО "Поиск Золото"</t>
        </is>
      </c>
      <c r="C213" s="35" t="inlineStr">
        <is>
          <t>24.41</t>
        </is>
      </c>
      <c r="D213" s="35" t="n">
        <v>313</v>
      </c>
      <c r="E213" s="35" t="inlineStr">
        <is>
          <t>1 — Горячий</t>
        </is>
      </c>
      <c r="F213" s="41" t="n">
        <v>144000</v>
      </c>
      <c r="G213" s="34" t="inlineStr">
        <is>
          <t>Юнусова</t>
        </is>
      </c>
      <c r="H213" s="34" t="n"/>
      <c r="I213" s="34" t="inlineStr">
        <is>
          <t>В работе</t>
        </is>
      </c>
      <c r="J213" s="34" t="n"/>
      <c r="K213" s="34" t="n"/>
    </row>
    <row r="214">
      <c r="A214" s="35" t="inlineStr">
        <is>
          <t>3808142058</t>
        </is>
      </c>
      <c r="B214" s="35" t="inlineStr">
        <is>
          <t>Клиника ЦМД</t>
        </is>
      </c>
      <c r="C214" s="35" t="inlineStr">
        <is>
          <t>86.10</t>
        </is>
      </c>
      <c r="D214" s="35" t="n">
        <v>167</v>
      </c>
      <c r="E214" s="35" t="inlineStr">
        <is>
          <t>1 — Горячий</t>
        </is>
      </c>
      <c r="F214" s="41" t="n">
        <v>62400</v>
      </c>
      <c r="G214" s="34" t="inlineStr">
        <is>
          <t>Кургузов</t>
        </is>
      </c>
      <c r="H214" s="34" t="n"/>
      <c r="I214" s="34" t="inlineStr">
        <is>
          <t>В работе</t>
        </is>
      </c>
      <c r="J214" s="34" t="n"/>
      <c r="K214" s="34" t="n"/>
    </row>
    <row r="215">
      <c r="A215" s="35" t="inlineStr">
        <is>
          <t>3810036145</t>
        </is>
      </c>
      <c r="B215" s="35" t="inlineStr">
        <is>
          <t>ООО "ТехЦентр"</t>
        </is>
      </c>
      <c r="C215" s="35" t="inlineStr">
        <is>
          <t>45.20.1</t>
        </is>
      </c>
      <c r="D215" s="35" t="n">
        <v>22</v>
      </c>
      <c r="E215" s="35" t="inlineStr">
        <is>
          <t>1 — Горячий</t>
        </is>
      </c>
      <c r="F215" s="41" t="n">
        <v>8400</v>
      </c>
      <c r="G215" s="34" t="inlineStr">
        <is>
          <t>Оглоблина</t>
        </is>
      </c>
      <c r="H215" s="34" t="n"/>
      <c r="I215" s="34" t="inlineStr">
        <is>
          <t>В работе</t>
        </is>
      </c>
      <c r="J215" s="34" t="n"/>
      <c r="K215" s="34" t="n"/>
    </row>
    <row r="216">
      <c r="A216" s="35" t="inlineStr">
        <is>
          <t>3808234358</t>
        </is>
      </c>
      <c r="B216" s="35" t="inlineStr">
        <is>
          <t>ООО «Разрез Велистовский»</t>
        </is>
      </c>
      <c r="C216" s="35" t="inlineStr">
        <is>
          <t>05.20.11</t>
        </is>
      </c>
      <c r="D216" s="35" t="n">
        <v>28</v>
      </c>
      <c r="E216" s="35" t="inlineStr">
        <is>
          <t>1 — Горячий</t>
        </is>
      </c>
      <c r="F216" s="41" t="n">
        <v>16800</v>
      </c>
      <c r="G216" s="34" t="inlineStr">
        <is>
          <t>Юнусова</t>
        </is>
      </c>
      <c r="H216" s="34" t="n"/>
      <c r="I216" s="34" t="inlineStr">
        <is>
          <t>В работе</t>
        </is>
      </c>
      <c r="J216" s="34" t="n"/>
      <c r="K216" s="34" t="n"/>
    </row>
    <row r="217">
      <c r="A217" s="35" t="inlineStr">
        <is>
          <t>3812116445</t>
        </is>
      </c>
      <c r="B217" s="35" t="inlineStr">
        <is>
          <t>ООО "ТИМ ТРЕЙД"</t>
        </is>
      </c>
      <c r="C217" s="35" t="inlineStr">
        <is>
          <t>17.22</t>
        </is>
      </c>
      <c r="D217" s="35" t="n">
        <v>36</v>
      </c>
      <c r="E217" s="35" t="inlineStr">
        <is>
          <t>1 — Горячий</t>
        </is>
      </c>
      <c r="F217" s="41" t="n">
        <v>16800</v>
      </c>
      <c r="G217" s="34" t="inlineStr">
        <is>
          <t>Кургузов</t>
        </is>
      </c>
      <c r="H217" s="34" t="n"/>
      <c r="I217" s="34" t="inlineStr">
        <is>
          <t>В работе</t>
        </is>
      </c>
      <c r="J217" s="34" t="n"/>
      <c r="K217" s="34" t="n"/>
    </row>
    <row r="218">
      <c r="A218" s="35" t="inlineStr">
        <is>
          <t>3811148525</t>
        </is>
      </c>
      <c r="B218" s="35" t="inlineStr">
        <is>
          <t>ООО "Байкальская инжиниринговая компания"</t>
        </is>
      </c>
      <c r="C218" s="35" t="inlineStr">
        <is>
          <t>71.12.2</t>
        </is>
      </c>
      <c r="D218" s="35" t="n">
        <v>31</v>
      </c>
      <c r="E218" s="35" t="inlineStr">
        <is>
          <t>1 — Горячий</t>
        </is>
      </c>
      <c r="F218" s="41" t="n">
        <v>16800</v>
      </c>
      <c r="G218" s="34" t="inlineStr">
        <is>
          <t>Оглоблина</t>
        </is>
      </c>
      <c r="H218" s="34" t="n"/>
      <c r="I218" s="34" t="inlineStr">
        <is>
          <t>В работе</t>
        </is>
      </c>
      <c r="J218" s="34" t="n"/>
      <c r="K218" s="34" t="n"/>
    </row>
    <row r="219">
      <c r="A219" s="35" t="inlineStr">
        <is>
          <t>3827000436</t>
        </is>
      </c>
      <c r="B219" s="35" t="inlineStr">
        <is>
          <t>СосновГео</t>
        </is>
      </c>
      <c r="C219" s="35" t="inlineStr">
        <is>
          <t>09.90</t>
        </is>
      </c>
      <c r="D219" s="35" t="n">
        <v>288</v>
      </c>
      <c r="E219" s="35" t="inlineStr">
        <is>
          <t>1 — Горячий</t>
        </is>
      </c>
      <c r="F219" s="41" t="n">
        <v>144000</v>
      </c>
      <c r="G219" s="34" t="inlineStr">
        <is>
          <t>Юнусова</t>
        </is>
      </c>
      <c r="H219" s="34" t="n"/>
      <c r="I219" s="34" t="inlineStr">
        <is>
          <t>В работе</t>
        </is>
      </c>
      <c r="J219" s="34" t="n"/>
      <c r="K219" s="34" t="n"/>
    </row>
    <row r="220">
      <c r="A220" s="35" t="inlineStr">
        <is>
          <t>3804023042</t>
        </is>
      </c>
      <c r="B220" s="35" t="inlineStr">
        <is>
          <t>ООО "ПРОММЕТАЛЛ"</t>
        </is>
      </c>
      <c r="C220" s="35" t="inlineStr">
        <is>
          <t>46.90</t>
        </is>
      </c>
      <c r="D220" s="35" t="n">
        <v>24</v>
      </c>
      <c r="E220" s="35" t="inlineStr">
        <is>
          <t>1 — Горячий</t>
        </is>
      </c>
      <c r="F220" s="41" t="n">
        <v>8400</v>
      </c>
      <c r="G220" s="34" t="inlineStr">
        <is>
          <t>Кургузов</t>
        </is>
      </c>
      <c r="H220" s="34" t="n"/>
      <c r="I220" s="34" t="inlineStr">
        <is>
          <t>В работе</t>
        </is>
      </c>
      <c r="J220" s="34" t="n"/>
      <c r="K220" s="34" t="n"/>
    </row>
    <row r="221">
      <c r="A221" s="35" t="inlineStr">
        <is>
          <t>3812048925</t>
        </is>
      </c>
      <c r="B221" s="35" t="inlineStr">
        <is>
          <t>Ал-Юр ПК ООО</t>
        </is>
      </c>
      <c r="C221" s="35" t="inlineStr">
        <is>
          <t>46.49.3</t>
        </is>
      </c>
      <c r="D221" s="35" t="n">
        <v>33</v>
      </c>
      <c r="E221" s="35" t="inlineStr">
        <is>
          <t>1 — Горячий</t>
        </is>
      </c>
      <c r="F221" s="41" t="n">
        <v>16800</v>
      </c>
      <c r="G221" s="34" t="inlineStr">
        <is>
          <t>Оглоблина</t>
        </is>
      </c>
      <c r="H221" s="34" t="n"/>
      <c r="I221" s="34" t="inlineStr">
        <is>
          <t>В работе</t>
        </is>
      </c>
      <c r="J221" s="34" t="n"/>
      <c r="K221" s="34" t="n"/>
    </row>
    <row r="222">
      <c r="A222" s="35" t="inlineStr">
        <is>
          <t>3818029213</t>
        </is>
      </c>
      <c r="B222" s="35" t="inlineStr">
        <is>
          <t>ООО "КиренскТеплоРесурс"</t>
        </is>
      </c>
      <c r="C222" s="35" t="inlineStr">
        <is>
          <t>02.20</t>
        </is>
      </c>
      <c r="D222" s="35" t="n">
        <v>116</v>
      </c>
      <c r="E222" s="35" t="inlineStr">
        <is>
          <t>1 — Горячий</t>
        </is>
      </c>
      <c r="F222" s="41" t="n">
        <v>62400</v>
      </c>
      <c r="G222" s="34" t="inlineStr">
        <is>
          <t>Юнусова</t>
        </is>
      </c>
      <c r="H222" s="34" t="n"/>
      <c r="I222" s="34" t="inlineStr">
        <is>
          <t>В работе</t>
        </is>
      </c>
      <c r="J222" s="34" t="n"/>
      <c r="K222" s="34" t="n"/>
    </row>
    <row r="223">
      <c r="A223" s="35" t="inlineStr">
        <is>
          <t>5612028900</t>
        </is>
      </c>
      <c r="B223" s="35" t="inlineStr">
        <is>
          <t>ОБЩЕСТВО С ОГРАНИЧЕННОЙ ОТВЕТСТВЕННОСТЬЮ "САНАТОРИЙ "РЯБИНУШКА"</t>
        </is>
      </c>
      <c r="C223" s="35" t="inlineStr">
        <is>
          <t>86.90.4</t>
        </is>
      </c>
      <c r="D223" s="35" t="n">
        <v>68</v>
      </c>
      <c r="E223" s="35" t="inlineStr">
        <is>
          <t>1 — Горячий</t>
        </is>
      </c>
      <c r="F223" s="41" t="n">
        <v>33600</v>
      </c>
      <c r="G223" s="34" t="inlineStr">
        <is>
          <t>Кургузов</t>
        </is>
      </c>
      <c r="H223" s="34" t="n"/>
      <c r="I223" s="34" t="inlineStr">
        <is>
          <t>В работе</t>
        </is>
      </c>
      <c r="J223" s="34" t="n"/>
      <c r="K223" s="34" t="n"/>
    </row>
    <row r="224">
      <c r="A224" s="35" t="inlineStr">
        <is>
          <t>3823032638</t>
        </is>
      </c>
      <c r="B224" s="35" t="inlineStr">
        <is>
          <t>ООО "Рассвет"</t>
        </is>
      </c>
      <c r="C224" s="35" t="inlineStr">
        <is>
          <t>01.50</t>
        </is>
      </c>
      <c r="D224" s="35" t="n">
        <v>159</v>
      </c>
      <c r="E224" s="35" t="inlineStr">
        <is>
          <t>1 — Горячий</t>
        </is>
      </c>
      <c r="F224" s="41" t="n">
        <v>62400</v>
      </c>
      <c r="G224" s="34" t="inlineStr">
        <is>
          <t>Оглоблина</t>
        </is>
      </c>
      <c r="H224" s="34" t="n"/>
      <c r="I224" s="34" t="inlineStr">
        <is>
          <t>В работе</t>
        </is>
      </c>
      <c r="J224" s="34" t="n"/>
      <c r="K224" s="34" t="n"/>
    </row>
    <row r="225">
      <c r="A225" s="35" t="inlineStr">
        <is>
          <t>3849054080</t>
        </is>
      </c>
      <c r="B225" s="35" t="inlineStr">
        <is>
          <t>ООО Торгово-Строительная компания "ТОН-М"</t>
        </is>
      </c>
      <c r="C225" s="35" t="inlineStr">
        <is>
          <t>46.73</t>
        </is>
      </c>
      <c r="D225" s="35" t="n">
        <v>46</v>
      </c>
      <c r="E225" s="35" t="inlineStr">
        <is>
          <t>1 — Горячий</t>
        </is>
      </c>
      <c r="F225" s="41" t="n">
        <v>16800</v>
      </c>
      <c r="G225" s="34" t="inlineStr">
        <is>
          <t>Юнусова</t>
        </is>
      </c>
      <c r="H225" s="34" t="n"/>
      <c r="I225" s="34" t="inlineStr">
        <is>
          <t>В работе</t>
        </is>
      </c>
      <c r="J225" s="34" t="n"/>
      <c r="K225" s="34" t="n"/>
    </row>
    <row r="226">
      <c r="A226" s="35" t="inlineStr">
        <is>
          <t>3811077539</t>
        </is>
      </c>
      <c r="B226" s="35" t="inlineStr">
        <is>
          <t>ООО "Компания СпецМонтажПроект"</t>
        </is>
      </c>
      <c r="C226" s="35" t="inlineStr">
        <is>
          <t>42.99</t>
        </is>
      </c>
      <c r="D226" s="35" t="n">
        <v>535</v>
      </c>
      <c r="E226" s="35" t="inlineStr">
        <is>
          <t>1 — Горячий</t>
        </is>
      </c>
      <c r="F226" s="41" t="n">
        <v>528000</v>
      </c>
      <c r="G226" s="34" t="inlineStr">
        <is>
          <t>Кургузов</t>
        </is>
      </c>
      <c r="H226" s="34" t="n"/>
      <c r="I226" s="34" t="inlineStr">
        <is>
          <t>В работе</t>
        </is>
      </c>
      <c r="J226" s="34" t="n"/>
      <c r="K226" s="34" t="n"/>
    </row>
    <row r="227">
      <c r="A227" s="35" t="inlineStr">
        <is>
          <t>3801139698</t>
        </is>
      </c>
      <c r="B227" s="35" t="inlineStr">
        <is>
          <t>Общество с ограниченной ответственностью "Краслэнд"</t>
        </is>
      </c>
      <c r="C227" s="35" t="inlineStr">
        <is>
          <t>46.73</t>
        </is>
      </c>
      <c r="D227" s="35" t="n">
        <v>221</v>
      </c>
      <c r="E227" s="35" t="inlineStr">
        <is>
          <t>1 — Горячий</t>
        </is>
      </c>
      <c r="F227" s="41" t="n">
        <v>144000</v>
      </c>
      <c r="G227" s="34" t="inlineStr">
        <is>
          <t>Оглоблина</t>
        </is>
      </c>
      <c r="H227" s="34" t="n"/>
      <c r="I227" s="34" t="inlineStr">
        <is>
          <t>В работе</t>
        </is>
      </c>
      <c r="J227" s="34" t="n"/>
      <c r="K227" s="34" t="n"/>
    </row>
    <row r="228">
      <c r="A228" s="35" t="inlineStr">
        <is>
          <t>3808203504</t>
        </is>
      </c>
      <c r="B228" s="35" t="inlineStr">
        <is>
          <t>ОБЩЕСТВО С ОГРАНИЧЕННОЙ ОТВЕТСТВЕННОСТЬЮ "ХАРЛАМПИЕВСКАЯ КЛИНИКА</t>
        </is>
      </c>
      <c r="C228" s="35" t="inlineStr">
        <is>
          <t>86.22</t>
        </is>
      </c>
      <c r="D228" s="35" t="n">
        <v>44</v>
      </c>
      <c r="E228" s="35" t="inlineStr">
        <is>
          <t>1 — Горячий</t>
        </is>
      </c>
      <c r="F228" s="41" t="n">
        <v>16800</v>
      </c>
      <c r="G228" s="34" t="inlineStr">
        <is>
          <t>Юнусова</t>
        </is>
      </c>
      <c r="H228" s="34" t="n"/>
      <c r="I228" s="34" t="inlineStr">
        <is>
          <t>В работе</t>
        </is>
      </c>
      <c r="J228" s="34" t="n"/>
      <c r="K228" s="34" t="n"/>
    </row>
    <row r="229">
      <c r="A229" s="35" t="inlineStr">
        <is>
          <t>3804050984</t>
        </is>
      </c>
      <c r="B229" s="35" t="inlineStr">
        <is>
          <t>ООО "ТЦ СЕВЕР"</t>
        </is>
      </c>
      <c r="C229" s="35" t="inlineStr">
        <is>
          <t>45.11.1</t>
        </is>
      </c>
      <c r="D229" s="35" t="n">
        <v>24</v>
      </c>
      <c r="E229" s="35" t="inlineStr">
        <is>
          <t>1 — Горячий</t>
        </is>
      </c>
      <c r="F229" s="41" t="n">
        <v>8400</v>
      </c>
      <c r="G229" s="34" t="inlineStr">
        <is>
          <t>Кургузов</t>
        </is>
      </c>
      <c r="H229" s="34" t="n"/>
      <c r="I229" s="34" t="inlineStr">
        <is>
          <t>В работе</t>
        </is>
      </c>
      <c r="J229" s="34" t="n"/>
      <c r="K229" s="34" t="n"/>
    </row>
    <row r="230">
      <c r="A230" s="35" t="inlineStr">
        <is>
          <t>2538057488</t>
        </is>
      </c>
      <c r="B230" s="35" t="inlineStr">
        <is>
          <t>ОБЩЕСТВО С ОГРАНИЧЕННОЙ ОТВЕТСТВЕННОСТЬЮ "ЦЕНТР РЕМОНТНЫХ ТЕХНОЛОГИЙ"</t>
        </is>
      </c>
      <c r="C230" s="35" t="inlineStr">
        <is>
          <t>29.32.3</t>
        </is>
      </c>
      <c r="D230" s="35" t="n">
        <v>65</v>
      </c>
      <c r="E230" s="35" t="inlineStr">
        <is>
          <t>1 — Горячий</t>
        </is>
      </c>
      <c r="F230" s="41" t="n">
        <v>33600</v>
      </c>
      <c r="G230" s="34" t="inlineStr">
        <is>
          <t>Оглоблина</t>
        </is>
      </c>
      <c r="H230" s="34" t="n"/>
      <c r="I230" s="34" t="inlineStr">
        <is>
          <t>В работе</t>
        </is>
      </c>
      <c r="J230" s="34" t="n"/>
      <c r="K230" s="34" t="n"/>
    </row>
    <row r="231">
      <c r="A231" s="35" t="inlineStr">
        <is>
          <t>3801136707</t>
        </is>
      </c>
      <c r="B231" s="35" t="inlineStr">
        <is>
          <t>ООО "ДК КЛЕВЕР"</t>
        </is>
      </c>
      <c r="C231" s="35" t="inlineStr">
        <is>
          <t>42.11</t>
        </is>
      </c>
      <c r="D231" s="35" t="n">
        <v>40</v>
      </c>
      <c r="E231" s="35" t="inlineStr">
        <is>
          <t>1 — Горячий</t>
        </is>
      </c>
      <c r="F231" s="41" t="n">
        <v>16800</v>
      </c>
      <c r="G231" s="34" t="inlineStr">
        <is>
          <t>Юнусова</t>
        </is>
      </c>
      <c r="H231" s="34" t="n"/>
      <c r="I231" s="34" t="inlineStr">
        <is>
          <t>В работе</t>
        </is>
      </c>
      <c r="J231" s="34" t="n"/>
      <c r="K231" s="34" t="n"/>
    </row>
    <row r="232">
      <c r="A232" s="35" t="inlineStr">
        <is>
          <t>3812133673</t>
        </is>
      </c>
      <c r="B232" s="35" t="inlineStr">
        <is>
          <t>ООО "АйТи Саппорт"</t>
        </is>
      </c>
      <c r="C232" s="35" t="inlineStr">
        <is>
          <t>69.20</t>
        </is>
      </c>
      <c r="D232" s="35" t="n">
        <v>90</v>
      </c>
      <c r="E232" s="35" t="inlineStr">
        <is>
          <t>1 — Горячий</t>
        </is>
      </c>
      <c r="F232" s="41" t="n">
        <v>33600</v>
      </c>
      <c r="G232" s="34" t="inlineStr">
        <is>
          <t>Кургузов</t>
        </is>
      </c>
      <c r="H232" s="34" t="n"/>
      <c r="I232" s="34" t="inlineStr">
        <is>
          <t>В работе</t>
        </is>
      </c>
      <c r="J232" s="34" t="n"/>
      <c r="K232" s="34" t="n"/>
    </row>
    <row r="233">
      <c r="A233" s="35" t="inlineStr">
        <is>
          <t>3804044821</t>
        </is>
      </c>
      <c r="B233" s="35" t="inlineStr">
        <is>
          <t>ООО "ЛЕСПРОЕКТ"</t>
        </is>
      </c>
      <c r="C233" s="35" t="inlineStr">
        <is>
          <t>02.20</t>
        </is>
      </c>
      <c r="D233" s="35" t="n">
        <v>25</v>
      </c>
      <c r="E233" s="35" t="inlineStr">
        <is>
          <t>1 — Горячий</t>
        </is>
      </c>
      <c r="F233" s="41" t="n">
        <v>8400</v>
      </c>
      <c r="G233" s="34" t="inlineStr">
        <is>
          <t>Оглоблина</t>
        </is>
      </c>
      <c r="H233" s="34" t="n"/>
      <c r="I233" s="34" t="inlineStr">
        <is>
          <t>В работе</t>
        </is>
      </c>
      <c r="J233" s="34" t="n"/>
      <c r="K233" s="34" t="n"/>
    </row>
    <row r="234">
      <c r="A234" s="35" t="inlineStr">
        <is>
          <t>3816014476</t>
        </is>
      </c>
      <c r="B234" s="35" t="inlineStr">
        <is>
          <t>ТРАНСТЕХРЕСУРС</t>
        </is>
      </c>
      <c r="C234" s="35" t="inlineStr">
        <is>
          <t>35.30.14</t>
        </is>
      </c>
      <c r="D234" s="35" t="n">
        <v>55</v>
      </c>
      <c r="E234" s="35" t="inlineStr">
        <is>
          <t>1 — Горячий</t>
        </is>
      </c>
      <c r="F234" s="41" t="n">
        <v>33600</v>
      </c>
      <c r="G234" s="34" t="inlineStr">
        <is>
          <t>Юнусова</t>
        </is>
      </c>
      <c r="H234" s="34" t="n"/>
      <c r="I234" s="34" t="inlineStr">
        <is>
          <t>В работе</t>
        </is>
      </c>
      <c r="J234" s="34" t="n"/>
      <c r="K234" s="34" t="n"/>
    </row>
    <row r="235">
      <c r="A235" s="35" t="inlineStr">
        <is>
          <t>3811454057</t>
        </is>
      </c>
      <c r="B235" s="35" t="inlineStr">
        <is>
          <t>Общество с ограниченной ответственностью СТРОИТЕЛЬНАЯ КОМПАНИЯ "ЛИДЕР"</t>
        </is>
      </c>
      <c r="C235" s="35" t="inlineStr">
        <is>
          <t>41.20</t>
        </is>
      </c>
      <c r="D235" s="35" t="n">
        <v>73</v>
      </c>
      <c r="E235" s="35" t="inlineStr">
        <is>
          <t>1 — Горячий</t>
        </is>
      </c>
      <c r="F235" s="41" t="n">
        <v>33600</v>
      </c>
      <c r="G235" s="34" t="inlineStr">
        <is>
          <t>Кургузов</t>
        </is>
      </c>
      <c r="H235" s="34" t="n"/>
      <c r="I235" s="34" t="inlineStr">
        <is>
          <t>В работе</t>
        </is>
      </c>
      <c r="J235" s="34" t="n"/>
      <c r="K235" s="34" t="n"/>
    </row>
    <row r="236">
      <c r="A236" s="35" t="inlineStr">
        <is>
          <t>3811112374</t>
        </is>
      </c>
      <c r="B236" s="35" t="inlineStr">
        <is>
          <t>АльянсСтрой</t>
        </is>
      </c>
      <c r="C236" s="35" t="inlineStr">
        <is>
          <t>41.20</t>
        </is>
      </c>
      <c r="D236" s="35" t="n">
        <v>40</v>
      </c>
      <c r="E236" s="35" t="inlineStr">
        <is>
          <t>1 — Горячий</t>
        </is>
      </c>
      <c r="F236" s="41" t="n">
        <v>16800</v>
      </c>
      <c r="G236" s="34" t="inlineStr">
        <is>
          <t>Оглоблина</t>
        </is>
      </c>
      <c r="H236" s="34" t="n"/>
      <c r="I236" s="34" t="inlineStr">
        <is>
          <t>В работе</t>
        </is>
      </c>
      <c r="J236" s="34" t="n"/>
      <c r="K236" s="34" t="n"/>
    </row>
    <row r="237">
      <c r="A237" s="35" t="inlineStr">
        <is>
          <t>3830000732</t>
        </is>
      </c>
      <c r="B237" s="35" t="inlineStr">
        <is>
          <t>ООО "Крестьянский торговый дом"</t>
        </is>
      </c>
      <c r="C237" s="35" t="inlineStr">
        <is>
          <t>47.19</t>
        </is>
      </c>
      <c r="D237" s="35" t="n">
        <v>60</v>
      </c>
      <c r="E237" s="35" t="inlineStr">
        <is>
          <t>1 — Горячий</t>
        </is>
      </c>
      <c r="F237" s="41" t="n">
        <v>33600</v>
      </c>
      <c r="G237" s="34" t="inlineStr">
        <is>
          <t>Юнусова</t>
        </is>
      </c>
      <c r="H237" s="34" t="n"/>
      <c r="I237" s="34" t="inlineStr">
        <is>
          <t>В работе</t>
        </is>
      </c>
      <c r="J237" s="34" t="n"/>
      <c r="K237" s="34" t="n"/>
    </row>
    <row r="238">
      <c r="A238" s="35" t="inlineStr">
        <is>
          <t>3807003044</t>
        </is>
      </c>
      <c r="B238" s="35" t="inlineStr">
        <is>
          <t>ОАО Алмаз</t>
        </is>
      </c>
      <c r="C238" s="35" t="inlineStr">
        <is>
          <t>47.77.2</t>
        </is>
      </c>
      <c r="D238" s="35" t="n">
        <v>66</v>
      </c>
      <c r="E238" s="35" t="inlineStr">
        <is>
          <t>1 — Горячий</t>
        </is>
      </c>
      <c r="F238" s="41" t="n">
        <v>33600</v>
      </c>
      <c r="G238" s="34" t="inlineStr">
        <is>
          <t>Кургузов</t>
        </is>
      </c>
      <c r="H238" s="34" t="n"/>
      <c r="I238" s="34" t="inlineStr">
        <is>
          <t>В работе</t>
        </is>
      </c>
      <c r="J238" s="34" t="n"/>
      <c r="K238" s="34" t="n"/>
    </row>
    <row r="239">
      <c r="A239" s="35" t="inlineStr">
        <is>
          <t>3808218300</t>
        </is>
      </c>
      <c r="B239" s="35" t="inlineStr">
        <is>
          <t>ОАО "Байкальская ППК"</t>
        </is>
      </c>
      <c r="C239" s="35" t="inlineStr">
        <is>
          <t>49.31.11</t>
        </is>
      </c>
      <c r="D239" s="35" t="n">
        <v>352</v>
      </c>
      <c r="E239" s="35" t="inlineStr">
        <is>
          <t>1 — Горячий</t>
        </is>
      </c>
      <c r="F239" s="41" t="n">
        <v>144000</v>
      </c>
      <c r="G239" s="34" t="inlineStr">
        <is>
          <t>Оглоблина</t>
        </is>
      </c>
      <c r="H239" s="34" t="n"/>
      <c r="I239" s="34" t="inlineStr">
        <is>
          <t>В работе</t>
        </is>
      </c>
      <c r="J239" s="34" t="n"/>
      <c r="K239" s="34" t="n"/>
    </row>
    <row r="240">
      <c r="A240" s="35" t="inlineStr">
        <is>
          <t>3805703795</t>
        </is>
      </c>
      <c r="B240" s="35" t="inlineStr">
        <is>
          <t>ООО "ВЕСТРА"</t>
        </is>
      </c>
      <c r="C240" s="35" t="inlineStr">
        <is>
          <t>41.20</t>
        </is>
      </c>
      <c r="D240" s="35" t="n">
        <v>25</v>
      </c>
      <c r="E240" s="35" t="inlineStr">
        <is>
          <t>1 — Горячий</t>
        </is>
      </c>
      <c r="F240" s="41" t="n">
        <v>8400</v>
      </c>
      <c r="G240" s="34" t="inlineStr">
        <is>
          <t>Юнусова</t>
        </is>
      </c>
      <c r="H240" s="34" t="n"/>
      <c r="I240" s="34" t="inlineStr">
        <is>
          <t>В работе</t>
        </is>
      </c>
      <c r="J240" s="34" t="n"/>
      <c r="K240" s="34" t="n"/>
    </row>
    <row r="241">
      <c r="A241" s="35" t="inlineStr">
        <is>
          <t>3827019733</t>
        </is>
      </c>
      <c r="B241" s="35" t="inlineStr">
        <is>
          <t>ПрофСталь</t>
        </is>
      </c>
      <c r="C241" s="35" t="inlineStr">
        <is>
          <t>25.11</t>
        </is>
      </c>
      <c r="D241" s="35" t="n">
        <v>202</v>
      </c>
      <c r="E241" s="35" t="inlineStr">
        <is>
          <t>1 — Горячий</t>
        </is>
      </c>
      <c r="F241" s="41" t="n">
        <v>144000</v>
      </c>
      <c r="G241" s="34" t="inlineStr">
        <is>
          <t>Кургузов</t>
        </is>
      </c>
      <c r="H241" s="34" t="n"/>
      <c r="I241" s="34" t="inlineStr">
        <is>
          <t>В работе</t>
        </is>
      </c>
      <c r="J241" s="34" t="n"/>
      <c r="K241" s="34" t="n"/>
    </row>
    <row r="242">
      <c r="A242" s="35" t="inlineStr">
        <is>
          <t>3818046970</t>
        </is>
      </c>
      <c r="B242" s="35" t="inlineStr">
        <is>
          <t>ТЕПЛОРЕСУРС, ООО</t>
        </is>
      </c>
      <c r="C242" s="35" t="inlineStr">
        <is>
          <t>36.00</t>
        </is>
      </c>
      <c r="D242" s="35" t="n">
        <v>24</v>
      </c>
      <c r="E242" s="35" t="inlineStr">
        <is>
          <t>1 — Горячий</t>
        </is>
      </c>
      <c r="F242" s="41" t="n">
        <v>8400</v>
      </c>
      <c r="G242" s="34" t="inlineStr">
        <is>
          <t>Оглоблина</t>
        </is>
      </c>
      <c r="H242" s="34" t="n"/>
      <c r="I242" s="34" t="inlineStr">
        <is>
          <t>В работе</t>
        </is>
      </c>
      <c r="J242" s="34" t="n"/>
      <c r="K242" s="34" t="n"/>
    </row>
    <row r="243">
      <c r="A243" s="35" t="inlineStr">
        <is>
          <t>3811074104</t>
        </is>
      </c>
      <c r="B243" s="35" t="inlineStr">
        <is>
          <t>ООО "Элма"</t>
        </is>
      </c>
      <c r="C243" s="35" t="inlineStr">
        <is>
          <t>43.21</t>
        </is>
      </c>
      <c r="D243" s="35" t="n">
        <v>24</v>
      </c>
      <c r="E243" s="35" t="inlineStr">
        <is>
          <t>1 — Горячий</t>
        </is>
      </c>
      <c r="F243" s="41" t="n">
        <v>8400</v>
      </c>
      <c r="G243" s="34" t="inlineStr">
        <is>
          <t>Юнусова</t>
        </is>
      </c>
      <c r="H243" s="34" t="n"/>
      <c r="I243" s="34" t="inlineStr">
        <is>
          <t>В работе</t>
        </is>
      </c>
      <c r="J243" s="34" t="n"/>
      <c r="K243" s="34" t="n"/>
    </row>
    <row r="244">
      <c r="A244" s="35" t="inlineStr">
        <is>
          <t>3814039690</t>
        </is>
      </c>
      <c r="B244" s="35" t="inlineStr">
        <is>
          <t>ТРУД ООО УК</t>
        </is>
      </c>
      <c r="C244" s="35" t="inlineStr">
        <is>
          <t>68.32</t>
        </is>
      </c>
      <c r="D244" s="35" t="n">
        <v>72</v>
      </c>
      <c r="E244" s="35" t="inlineStr">
        <is>
          <t>1 — Горячий</t>
        </is>
      </c>
      <c r="F244" s="41" t="n">
        <v>33600</v>
      </c>
      <c r="G244" s="34" t="inlineStr">
        <is>
          <t>Кургузов</t>
        </is>
      </c>
      <c r="H244" s="34" t="n"/>
      <c r="I244" s="34" t="inlineStr">
        <is>
          <t>В работе</t>
        </is>
      </c>
      <c r="J244" s="34" t="n"/>
      <c r="K244" s="34" t="n"/>
    </row>
    <row r="245">
      <c r="A245" s="35" t="inlineStr">
        <is>
          <t>3808225699</t>
        </is>
      </c>
      <c r="B245" s="35" t="inlineStr">
        <is>
          <t>СТОМЦЕНТР ПЕРВЫЙ, ООО</t>
        </is>
      </c>
      <c r="C245" s="35" t="inlineStr">
        <is>
          <t>86.23</t>
        </is>
      </c>
      <c r="D245" s="35" t="n">
        <v>32</v>
      </c>
      <c r="E245" s="35" t="inlineStr">
        <is>
          <t>1 — Горячий</t>
        </is>
      </c>
      <c r="F245" s="41" t="n">
        <v>16800</v>
      </c>
      <c r="G245" s="34" t="inlineStr">
        <is>
          <t>Оглоблина</t>
        </is>
      </c>
      <c r="H245" s="34" t="n"/>
      <c r="I245" s="34" t="inlineStr">
        <is>
          <t>В работе</t>
        </is>
      </c>
      <c r="J245" s="34" t="n"/>
      <c r="K245" s="34" t="n"/>
    </row>
    <row r="246">
      <c r="A246" s="35" t="inlineStr">
        <is>
          <t>3811117855</t>
        </is>
      </c>
      <c r="B246" s="35" t="inlineStr">
        <is>
          <t>ООО "Профклимат-Монтаж"</t>
        </is>
      </c>
      <c r="C246" s="35" t="inlineStr">
        <is>
          <t>43.22</t>
        </is>
      </c>
      <c r="D246" s="35" t="n">
        <v>33</v>
      </c>
      <c r="E246" s="35" t="inlineStr">
        <is>
          <t>1 — Горячий</t>
        </is>
      </c>
      <c r="F246" s="41" t="n">
        <v>16800</v>
      </c>
      <c r="G246" s="34" t="inlineStr">
        <is>
          <t>Юнусова</t>
        </is>
      </c>
      <c r="H246" s="34" t="n"/>
      <c r="I246" s="34" t="inlineStr">
        <is>
          <t>В работе</t>
        </is>
      </c>
      <c r="J246" s="34" t="n"/>
      <c r="K246" s="34" t="n"/>
    </row>
    <row r="247">
      <c r="A247" s="35" t="inlineStr">
        <is>
          <t>2465158690</t>
        </is>
      </c>
      <c r="B247" s="35" t="inlineStr">
        <is>
          <t>Общество с ограниченной ответственностью "СИБИРСКИЙ ТРАНСПОРТНЫЙ ТЕРМИНАЛ"</t>
        </is>
      </c>
      <c r="C247" s="35" t="inlineStr">
        <is>
          <t>49.42</t>
        </is>
      </c>
      <c r="D247" s="35" t="n">
        <v>32</v>
      </c>
      <c r="E247" s="35" t="inlineStr">
        <is>
          <t>1 — Горячий</t>
        </is>
      </c>
      <c r="F247" s="41" t="n">
        <v>16800</v>
      </c>
      <c r="G247" s="34" t="inlineStr">
        <is>
          <t>Кургузов</t>
        </is>
      </c>
      <c r="H247" s="34" t="n"/>
      <c r="I247" s="34" t="inlineStr">
        <is>
          <t>В работе</t>
        </is>
      </c>
      <c r="J247" s="34" t="n"/>
      <c r="K247" s="34" t="n"/>
    </row>
    <row r="248">
      <c r="A248" s="35" t="inlineStr">
        <is>
          <t>3810084710</t>
        </is>
      </c>
      <c r="B248" s="35" t="inlineStr">
        <is>
          <t>Общество с ограниченной ответственностью "СК ЛЕГЕНДАСТРОЙ"</t>
        </is>
      </c>
      <c r="C248" s="35" t="inlineStr">
        <is>
          <t>49.41</t>
        </is>
      </c>
      <c r="D248" s="35" t="n">
        <v>53</v>
      </c>
      <c r="E248" s="35" t="inlineStr">
        <is>
          <t>1 — Горячий</t>
        </is>
      </c>
      <c r="F248" s="41" t="n">
        <v>33600</v>
      </c>
      <c r="G248" s="34" t="inlineStr">
        <is>
          <t>Оглоблина</t>
        </is>
      </c>
      <c r="H248" s="34" t="n"/>
      <c r="I248" s="34" t="inlineStr">
        <is>
          <t>В работе</t>
        </is>
      </c>
      <c r="J248" s="34" t="n"/>
      <c r="K248" s="34" t="n"/>
    </row>
    <row r="249">
      <c r="A249" s="35" t="inlineStr">
        <is>
          <t>7536136768</t>
        </is>
      </c>
      <c r="B249" s="35" t="inlineStr">
        <is>
          <t>ОБЩЕСТВО С ОГРАНИЧЕННОЙ ОТВЕТСТВЕННОСТЬЮ ЧАСТНОЕ ОХРАННОЕ ПРЕДПРИЯТИЕ "БРЕСТ КР"</t>
        </is>
      </c>
      <c r="C249" s="35" t="n"/>
      <c r="D249" s="35" t="n">
        <v>110</v>
      </c>
      <c r="E249" s="35" t="inlineStr">
        <is>
          <t>1 — Горячий</t>
        </is>
      </c>
      <c r="F249" s="41" t="n">
        <v>62400</v>
      </c>
      <c r="G249" s="34" t="inlineStr">
        <is>
          <t>Юнусова</t>
        </is>
      </c>
      <c r="H249" s="34" t="n"/>
      <c r="I249" s="34" t="inlineStr">
        <is>
          <t>В работе</t>
        </is>
      </c>
      <c r="J249" s="34" t="n"/>
      <c r="K249" s="34" t="n"/>
    </row>
    <row r="250">
      <c r="A250" s="35" t="inlineStr">
        <is>
          <t>3811435939</t>
        </is>
      </c>
      <c r="B250" s="35" t="inlineStr">
        <is>
          <t>СТА, ООО</t>
        </is>
      </c>
      <c r="C250" s="35" t="inlineStr">
        <is>
          <t>49.41</t>
        </is>
      </c>
      <c r="D250" s="35" t="n">
        <v>237</v>
      </c>
      <c r="E250" s="35" t="inlineStr">
        <is>
          <t>1 — Горячий</t>
        </is>
      </c>
      <c r="F250" s="41" t="n">
        <v>144000</v>
      </c>
      <c r="G250" s="34" t="inlineStr">
        <is>
          <t>Кургузов</t>
        </is>
      </c>
      <c r="H250" s="34" t="n"/>
      <c r="I250" s="34" t="inlineStr">
        <is>
          <t>В работе</t>
        </is>
      </c>
      <c r="J250" s="34" t="n"/>
      <c r="K250" s="34" t="n"/>
    </row>
    <row r="251">
      <c r="A251" s="35" t="inlineStr">
        <is>
          <t>3810040374</t>
        </is>
      </c>
      <c r="B251" s="35" t="inlineStr">
        <is>
          <t>ОАО "Иркутская областная оптово-снабженческая аптечная база"</t>
        </is>
      </c>
      <c r="C251" s="35" t="inlineStr">
        <is>
          <t>82.99</t>
        </is>
      </c>
      <c r="D251" s="35" t="n">
        <v>100</v>
      </c>
      <c r="E251" s="35" t="inlineStr">
        <is>
          <t>1 — Горячий</t>
        </is>
      </c>
      <c r="F251" s="41" t="n">
        <v>33600</v>
      </c>
      <c r="G251" s="34" t="inlineStr">
        <is>
          <t>Оглоблина</t>
        </is>
      </c>
      <c r="H251" s="34" t="n"/>
      <c r="I251" s="34" t="inlineStr">
        <is>
          <t>В работе</t>
        </is>
      </c>
      <c r="J251" s="34" t="n"/>
      <c r="K251" s="34" t="n"/>
    </row>
    <row r="252">
      <c r="A252" s="35" t="inlineStr">
        <is>
          <t>7732523241</t>
        </is>
      </c>
      <c r="B252" s="35" t="inlineStr">
        <is>
          <t>ВТЕ ЮГО-ВОСТОК</t>
        </is>
      </c>
      <c r="C252" s="35" t="inlineStr">
        <is>
          <t>20.59.4</t>
        </is>
      </c>
      <c r="D252" s="35" t="n">
        <v>100</v>
      </c>
      <c r="E252" s="35" t="inlineStr">
        <is>
          <t>1 — Горячий</t>
        </is>
      </c>
      <c r="F252" s="41" t="n">
        <v>33600</v>
      </c>
      <c r="G252" s="34" t="inlineStr">
        <is>
          <t>Юнусова</t>
        </is>
      </c>
      <c r="H252" s="34" t="n"/>
      <c r="I252" s="34" t="inlineStr">
        <is>
          <t>В работе</t>
        </is>
      </c>
      <c r="J252" s="34" t="n"/>
      <c r="K252" s="34" t="n"/>
    </row>
    <row r="253">
      <c r="A253" s="35" t="inlineStr">
        <is>
          <t>3804009506</t>
        </is>
      </c>
      <c r="B253" s="35" t="inlineStr">
        <is>
          <t>Акционерное общество "Братская Электросетевая Компания"</t>
        </is>
      </c>
      <c r="C253" s="35" t="inlineStr">
        <is>
          <t>35.12.1</t>
        </is>
      </c>
      <c r="D253" s="35" t="n">
        <v>928</v>
      </c>
      <c r="E253" s="35" t="inlineStr">
        <is>
          <t>1 — Горячий</t>
        </is>
      </c>
      <c r="F253" s="41" t="n">
        <v>528000</v>
      </c>
      <c r="G253" s="34" t="inlineStr">
        <is>
          <t>Кургузов</t>
        </is>
      </c>
      <c r="H253" s="34" t="n"/>
      <c r="I253" s="34" t="inlineStr">
        <is>
          <t>В работе</t>
        </is>
      </c>
      <c r="J253" s="34" t="n"/>
      <c r="K253" s="34" t="n"/>
    </row>
    <row r="254">
      <c r="A254" s="35" t="inlineStr">
        <is>
          <t>3812047618</t>
        </is>
      </c>
      <c r="B254" s="35" t="inlineStr">
        <is>
          <t>ООО "Внедренческий центр Мадьярова"</t>
        </is>
      </c>
      <c r="C254" s="35" t="inlineStr">
        <is>
          <t>62.02</t>
        </is>
      </c>
      <c r="D254" s="35" t="n">
        <v>35</v>
      </c>
      <c r="E254" s="35" t="inlineStr">
        <is>
          <t>1 — Горячий</t>
        </is>
      </c>
      <c r="F254" s="41" t="n">
        <v>16800</v>
      </c>
      <c r="G254" s="34" t="inlineStr">
        <is>
          <t>Оглоблина</t>
        </is>
      </c>
      <c r="H254" s="34" t="n"/>
      <c r="I254" s="34" t="inlineStr">
        <is>
          <t>В работе</t>
        </is>
      </c>
      <c r="J254" s="34" t="n"/>
      <c r="K254" s="34" t="n"/>
    </row>
    <row r="255">
      <c r="A255" s="35" t="inlineStr">
        <is>
          <t>3808158636</t>
        </is>
      </c>
      <c r="B255" s="35" t="inlineStr">
        <is>
          <t>ОБЩЕСТВО С ОГРАНИЧЕННОЙ ОТВЕТСТВЕННОСТЬЮ "ПРОЕКТНО-ПЛАНИРОВОЧНАЯ МАСТЕРСКАЯ "МАСТЕР-ПЛАН"</t>
        </is>
      </c>
      <c r="C255" s="35" t="inlineStr">
        <is>
          <t>71.11.1</t>
        </is>
      </c>
      <c r="D255" s="35" t="n">
        <v>29</v>
      </c>
      <c r="E255" s="35" t="inlineStr">
        <is>
          <t>1 — Горячий</t>
        </is>
      </c>
      <c r="F255" s="41" t="n">
        <v>16800</v>
      </c>
      <c r="G255" s="34" t="inlineStr">
        <is>
          <t>Юнусова</t>
        </is>
      </c>
      <c r="H255" s="34" t="n"/>
      <c r="I255" s="34" t="inlineStr">
        <is>
          <t>В работе</t>
        </is>
      </c>
      <c r="J255" s="34" t="n"/>
      <c r="K255" s="34" t="n"/>
    </row>
    <row r="256">
      <c r="A256" s="35" t="inlineStr">
        <is>
          <t>3816032806</t>
        </is>
      </c>
      <c r="B256" s="35" t="inlineStr">
        <is>
          <t>Общество с ограниченной ответственностью "УДАЧА"</t>
        </is>
      </c>
      <c r="C256" s="35" t="inlineStr">
        <is>
          <t>47.59</t>
        </is>
      </c>
      <c r="D256" s="35" t="n">
        <v>23</v>
      </c>
      <c r="E256" s="35" t="inlineStr">
        <is>
          <t>1 — Горячий</t>
        </is>
      </c>
      <c r="F256" s="41" t="n">
        <v>8400</v>
      </c>
      <c r="G256" s="34" t="inlineStr">
        <is>
          <t>Кургузов</t>
        </is>
      </c>
      <c r="H256" s="34" t="n"/>
      <c r="I256" s="34" t="inlineStr">
        <is>
          <t>В работе</t>
        </is>
      </c>
      <c r="J256" s="34" t="n"/>
      <c r="K256" s="34" t="n"/>
    </row>
    <row r="257">
      <c r="A257" s="35" t="inlineStr">
        <is>
          <t>1902027732</t>
        </is>
      </c>
      <c r="B257" s="35" t="inlineStr">
        <is>
          <t>Общество с ограниченной ответственностью РЕМОНТНО МОНТАЖНАЯ КОМПАНИЯ "ГАРАНТСЕРВИС"</t>
        </is>
      </c>
      <c r="C257" s="35" t="inlineStr">
        <is>
          <t>33.12</t>
        </is>
      </c>
      <c r="D257" s="35" t="n">
        <v>29</v>
      </c>
      <c r="E257" s="35" t="inlineStr">
        <is>
          <t>1 — Горячий</t>
        </is>
      </c>
      <c r="F257" s="41" t="n">
        <v>16800</v>
      </c>
      <c r="G257" s="34" t="inlineStr">
        <is>
          <t>Оглоблина</t>
        </is>
      </c>
      <c r="H257" s="34" t="n"/>
      <c r="I257" s="34" t="inlineStr">
        <is>
          <t>В работе</t>
        </is>
      </c>
      <c r="J257" s="34" t="n"/>
      <c r="K257" s="34" t="n"/>
    </row>
    <row r="258">
      <c r="A258" s="35" t="inlineStr">
        <is>
          <t>3801164542</t>
        </is>
      </c>
      <c r="B258" s="35" t="inlineStr">
        <is>
          <t>Общество с ограниченной ответственностью "БРИК"</t>
        </is>
      </c>
      <c r="C258" s="35" t="inlineStr">
        <is>
          <t>41.20</t>
        </is>
      </c>
      <c r="D258" s="35" t="n">
        <v>32</v>
      </c>
      <c r="E258" s="35" t="inlineStr">
        <is>
          <t>1 — Горячий</t>
        </is>
      </c>
      <c r="F258" s="41" t="n">
        <v>16800</v>
      </c>
      <c r="G258" s="34" t="inlineStr">
        <is>
          <t>Юнусова</t>
        </is>
      </c>
      <c r="H258" s="34" t="n"/>
      <c r="I258" s="34" t="inlineStr">
        <is>
          <t>В работе</t>
        </is>
      </c>
      <c r="J258" s="34" t="n"/>
      <c r="K258" s="34" t="n"/>
    </row>
    <row r="259">
      <c r="A259" s="35" t="inlineStr">
        <is>
          <t>3804118294</t>
        </is>
      </c>
      <c r="B259" s="35" t="inlineStr">
        <is>
          <t>Общество с ограниченной ответственностью "БРАТСКАЯ СТРОИТЕЛЬНАЯ КОМПАНИЯ"</t>
        </is>
      </c>
      <c r="C259" s="35" t="inlineStr">
        <is>
          <t>41.20</t>
        </is>
      </c>
      <c r="D259" s="35" t="n">
        <v>27</v>
      </c>
      <c r="E259" s="35" t="inlineStr">
        <is>
          <t>1 — Горячий</t>
        </is>
      </c>
      <c r="F259" s="41" t="n">
        <v>16800</v>
      </c>
      <c r="G259" s="34" t="inlineStr">
        <is>
          <t>Кургузов</t>
        </is>
      </c>
      <c r="H259" s="34" t="n"/>
      <c r="I259" s="34" t="inlineStr">
        <is>
          <t>В работе</t>
        </is>
      </c>
      <c r="J259" s="34" t="n"/>
      <c r="K259" s="34" t="n"/>
    </row>
    <row r="260">
      <c r="A260" s="35" t="inlineStr">
        <is>
          <t>3812112320</t>
        </is>
      </c>
      <c r="B260" s="35" t="inlineStr">
        <is>
          <t>БЕЛЫЙ ТИГР</t>
        </is>
      </c>
      <c r="C260" s="35" t="inlineStr">
        <is>
          <t>49.41</t>
        </is>
      </c>
      <c r="D260" s="35" t="n">
        <v>52</v>
      </c>
      <c r="E260" s="35" t="inlineStr">
        <is>
          <t>1 — Горячий</t>
        </is>
      </c>
      <c r="F260" s="41" t="n">
        <v>33600</v>
      </c>
      <c r="G260" s="34" t="inlineStr">
        <is>
          <t>Оглоблина</t>
        </is>
      </c>
      <c r="H260" s="34" t="n"/>
      <c r="I260" s="34" t="inlineStr">
        <is>
          <t>В работе</t>
        </is>
      </c>
      <c r="J260" s="34" t="n"/>
      <c r="K260" s="34" t="n"/>
    </row>
    <row r="261">
      <c r="A261" s="35" t="inlineStr">
        <is>
          <t>3833001967</t>
        </is>
      </c>
      <c r="B261" s="35" t="inlineStr">
        <is>
          <t>Мамская геологоразведочная партия</t>
        </is>
      </c>
      <c r="C261" s="35" t="inlineStr">
        <is>
          <t>71.12.3</t>
        </is>
      </c>
      <c r="D261" s="35" t="n">
        <v>44</v>
      </c>
      <c r="E261" s="35" t="inlineStr">
        <is>
          <t>1 — Горячий</t>
        </is>
      </c>
      <c r="F261" s="41" t="n">
        <v>16800</v>
      </c>
      <c r="G261" s="34" t="inlineStr">
        <is>
          <t>Юнусова</t>
        </is>
      </c>
      <c r="H261" s="34" t="n"/>
      <c r="I261" s="34" t="inlineStr">
        <is>
          <t>В работе</t>
        </is>
      </c>
      <c r="J261" s="34" t="n"/>
      <c r="K261" s="34" t="n"/>
    </row>
    <row r="262">
      <c r="A262" s="35" t="inlineStr">
        <is>
          <t>3801073800</t>
        </is>
      </c>
      <c r="B262" s="35" t="inlineStr">
        <is>
          <t>ООО "Элит-Дент"</t>
        </is>
      </c>
      <c r="C262" s="35" t="inlineStr">
        <is>
          <t>86.23</t>
        </is>
      </c>
      <c r="D262" s="35" t="n">
        <v>34</v>
      </c>
      <c r="E262" s="35" t="inlineStr">
        <is>
          <t>1 — Горячий</t>
        </is>
      </c>
      <c r="F262" s="41" t="n">
        <v>16800</v>
      </c>
      <c r="G262" s="34" t="inlineStr">
        <is>
          <t>Кургузов</t>
        </is>
      </c>
      <c r="H262" s="34" t="n"/>
      <c r="I262" s="34" t="inlineStr">
        <is>
          <t>В работе</t>
        </is>
      </c>
      <c r="J262" s="34" t="n"/>
      <c r="K262" s="34" t="n"/>
    </row>
    <row r="263">
      <c r="A263" s="35" t="inlineStr">
        <is>
          <t>1655412222</t>
        </is>
      </c>
      <c r="B263" s="35" t="inlineStr">
        <is>
          <t>ОБЩЕСТВО С ОГРАНИЧЕННОЙ ОТВЕТСТВЕННОСТЬЮ "РАЗУМНЫЕ РЕШЕНИЯ"</t>
        </is>
      </c>
      <c r="C263" s="35" t="inlineStr">
        <is>
          <t>33.13</t>
        </is>
      </c>
      <c r="D263" s="35" t="n">
        <v>72</v>
      </c>
      <c r="E263" s="35" t="inlineStr">
        <is>
          <t>1 — Горячий</t>
        </is>
      </c>
      <c r="F263" s="41" t="n">
        <v>33600</v>
      </c>
      <c r="G263" s="34" t="inlineStr">
        <is>
          <t>Оглоблина</t>
        </is>
      </c>
      <c r="H263" s="34" t="n"/>
      <c r="I263" s="34" t="inlineStr">
        <is>
          <t>В работе</t>
        </is>
      </c>
      <c r="J263" s="34" t="n"/>
      <c r="K263" s="34" t="n"/>
    </row>
    <row r="264">
      <c r="A264" s="35" t="inlineStr">
        <is>
          <t>3805111380</t>
        </is>
      </c>
      <c r="B264" s="35" t="inlineStr">
        <is>
          <t>ООО "УСМР-1"</t>
        </is>
      </c>
      <c r="C264" s="35" t="inlineStr">
        <is>
          <t>43.21</t>
        </is>
      </c>
      <c r="D264" s="35" t="n">
        <v>35</v>
      </c>
      <c r="E264" s="35" t="inlineStr">
        <is>
          <t>1 — Горячий</t>
        </is>
      </c>
      <c r="F264" s="41" t="n">
        <v>16800</v>
      </c>
      <c r="G264" s="34" t="inlineStr">
        <is>
          <t>Юнусова</t>
        </is>
      </c>
      <c r="H264" s="34" t="n"/>
      <c r="I264" s="34" t="inlineStr">
        <is>
          <t>В работе</t>
        </is>
      </c>
      <c r="J264" s="34" t="n"/>
      <c r="K264" s="34" t="n"/>
    </row>
    <row r="265">
      <c r="A265" s="35" t="inlineStr">
        <is>
          <t>3811182043</t>
        </is>
      </c>
      <c r="B265" s="35" t="inlineStr">
        <is>
          <t>Общество с ограниченной ответственностью "ДИОН"</t>
        </is>
      </c>
      <c r="C265" s="35" t="inlineStr">
        <is>
          <t>71.12</t>
        </is>
      </c>
      <c r="D265" s="35" t="n">
        <v>26</v>
      </c>
      <c r="E265" s="35" t="inlineStr">
        <is>
          <t>1 — Горячий</t>
        </is>
      </c>
      <c r="F265" s="41" t="n">
        <v>16800</v>
      </c>
      <c r="G265" s="34" t="inlineStr">
        <is>
          <t>Кургузов</t>
        </is>
      </c>
      <c r="H265" s="34" t="n"/>
      <c r="I265" s="34" t="inlineStr">
        <is>
          <t>В работе</t>
        </is>
      </c>
      <c r="J265" s="34" t="n"/>
      <c r="K265" s="34" t="n"/>
    </row>
    <row r="266">
      <c r="A266" s="35" t="inlineStr">
        <is>
          <t>3804042817</t>
        </is>
      </c>
      <c r="B266" s="35" t="inlineStr">
        <is>
          <t>ООО "Автоматика Сервис"</t>
        </is>
      </c>
      <c r="C266" s="35" t="inlineStr">
        <is>
          <t>33.13</t>
        </is>
      </c>
      <c r="D266" s="35" t="n">
        <v>42</v>
      </c>
      <c r="E266" s="35" t="inlineStr">
        <is>
          <t>1 — Горячий</t>
        </is>
      </c>
      <c r="F266" s="41" t="n">
        <v>16800</v>
      </c>
      <c r="G266" s="34" t="inlineStr">
        <is>
          <t>Оглоблина</t>
        </is>
      </c>
      <c r="H266" s="34" t="n"/>
      <c r="I266" s="34" t="inlineStr">
        <is>
          <t>В работе</t>
        </is>
      </c>
      <c r="J266" s="34" t="n"/>
      <c r="K266" s="34" t="n"/>
    </row>
    <row r="267">
      <c r="A267" s="35" t="inlineStr">
        <is>
          <t>3810074091</t>
        </is>
      </c>
      <c r="B267" s="35" t="inlineStr">
        <is>
          <t>Общество с ограниченной ответственностью "АВТОТАЙМ"</t>
        </is>
      </c>
      <c r="C267" s="35" t="inlineStr">
        <is>
          <t>66.19</t>
        </is>
      </c>
      <c r="D267" s="35" t="n">
        <v>38</v>
      </c>
      <c r="E267" s="35" t="inlineStr">
        <is>
          <t>1 — Горячий</t>
        </is>
      </c>
      <c r="F267" s="41" t="n">
        <v>16800</v>
      </c>
      <c r="G267" s="34" t="inlineStr">
        <is>
          <t>Юнусова</t>
        </is>
      </c>
      <c r="H267" s="34" t="n"/>
      <c r="I267" s="34" t="inlineStr">
        <is>
          <t>В работе</t>
        </is>
      </c>
      <c r="J267" s="34" t="n"/>
      <c r="K267" s="34" t="n"/>
    </row>
    <row r="268">
      <c r="A268" s="35" t="inlineStr">
        <is>
          <t>1709006244</t>
        </is>
      </c>
      <c r="B268" s="35" t="inlineStr">
        <is>
          <t>ООО "СтройЭкспресс"</t>
        </is>
      </c>
      <c r="C268" s="35" t="inlineStr">
        <is>
          <t>41.20.1</t>
        </is>
      </c>
      <c r="D268" s="35" t="n">
        <v>88</v>
      </c>
      <c r="E268" s="35" t="inlineStr">
        <is>
          <t>1 — Горячий</t>
        </is>
      </c>
      <c r="F268" s="41" t="n">
        <v>33600</v>
      </c>
      <c r="G268" s="34" t="inlineStr">
        <is>
          <t>Кургузов</t>
        </is>
      </c>
      <c r="H268" s="34" t="n"/>
      <c r="I268" s="34" t="inlineStr">
        <is>
          <t>В работе</t>
        </is>
      </c>
      <c r="J268" s="34" t="n"/>
      <c r="K268" s="34" t="n"/>
    </row>
    <row r="269">
      <c r="A269" s="35" t="inlineStr">
        <is>
          <t>3808222401</t>
        </is>
      </c>
      <c r="B269" s="35" t="inlineStr">
        <is>
          <t>Общество с ограниченной ответственностью "КЛИНИКА СОВРЕМЕННОЙ СТОМАТОЛОГИИ"</t>
        </is>
      </c>
      <c r="C269" s="35" t="inlineStr">
        <is>
          <t>86.23</t>
        </is>
      </c>
      <c r="D269" s="35" t="n">
        <v>27</v>
      </c>
      <c r="E269" s="35" t="inlineStr">
        <is>
          <t>1 — Горячий</t>
        </is>
      </c>
      <c r="F269" s="41" t="n">
        <v>16800</v>
      </c>
      <c r="G269" s="34" t="inlineStr">
        <is>
          <t>Оглоблина</t>
        </is>
      </c>
      <c r="H269" s="34" t="n"/>
      <c r="I269" s="34" t="inlineStr">
        <is>
          <t>В работе</t>
        </is>
      </c>
      <c r="J269" s="34" t="n"/>
      <c r="K269" s="34" t="n"/>
    </row>
    <row r="270">
      <c r="A270" s="35" t="inlineStr">
        <is>
          <t>3812063056</t>
        </is>
      </c>
      <c r="B270" s="35" t="inlineStr">
        <is>
          <t>Общество с ограниченной ответственностью "ГОЛД ГРУПП"</t>
        </is>
      </c>
      <c r="C270" s="35" t="inlineStr">
        <is>
          <t>33.12</t>
        </is>
      </c>
      <c r="D270" s="35" t="n">
        <v>112</v>
      </c>
      <c r="E270" s="35" t="inlineStr">
        <is>
          <t>1 — Горячий</t>
        </is>
      </c>
      <c r="F270" s="41" t="n">
        <v>62400</v>
      </c>
      <c r="G270" s="34" t="inlineStr">
        <is>
          <t>Юнусова</t>
        </is>
      </c>
      <c r="H270" s="34" t="n"/>
      <c r="I270" s="34" t="inlineStr">
        <is>
          <t>В работе</t>
        </is>
      </c>
      <c r="J270" s="34" t="n"/>
      <c r="K270" s="34" t="n"/>
    </row>
    <row r="271">
      <c r="A271" s="35" t="inlineStr">
        <is>
          <t>7536103723</t>
        </is>
      </c>
      <c r="B271" s="35" t="inlineStr">
        <is>
          <t>ООО "Кёнигзи-Сибирь"</t>
        </is>
      </c>
      <c r="C271" s="35" t="inlineStr">
        <is>
          <t>46.46</t>
        </is>
      </c>
      <c r="D271" s="35" t="n">
        <v>25</v>
      </c>
      <c r="E271" s="35" t="inlineStr">
        <is>
          <t>1 — Горячий</t>
        </is>
      </c>
      <c r="F271" s="41" t="n">
        <v>8400</v>
      </c>
      <c r="G271" s="34" t="inlineStr">
        <is>
          <t>Кургузов</t>
        </is>
      </c>
      <c r="H271" s="34" t="n"/>
      <c r="I271" s="34" t="inlineStr">
        <is>
          <t>В работе</t>
        </is>
      </c>
      <c r="J271" s="34" t="n"/>
      <c r="K271" s="34" t="n"/>
    </row>
    <row r="272">
      <c r="A272" s="35" t="inlineStr">
        <is>
          <t>3811185742</t>
        </is>
      </c>
      <c r="B272" s="35" t="inlineStr">
        <is>
          <t>Общество с ограниченной ответственностью "ИРКУТСКГЕОПРОЕКТ"</t>
        </is>
      </c>
      <c r="C272" s="35" t="inlineStr">
        <is>
          <t>71.12.45</t>
        </is>
      </c>
      <c r="D272" s="35" t="n">
        <v>47</v>
      </c>
      <c r="E272" s="35" t="inlineStr">
        <is>
          <t>1 — Горячий</t>
        </is>
      </c>
      <c r="F272" s="41" t="n">
        <v>16800</v>
      </c>
      <c r="G272" s="34" t="inlineStr">
        <is>
          <t>Оглоблина</t>
        </is>
      </c>
      <c r="H272" s="34" t="n"/>
      <c r="I272" s="34" t="inlineStr">
        <is>
          <t>В работе</t>
        </is>
      </c>
      <c r="J272" s="34" t="n"/>
      <c r="K272" s="34" t="n"/>
    </row>
    <row r="273">
      <c r="A273" s="35" t="inlineStr">
        <is>
          <t>3808268068</t>
        </is>
      </c>
      <c r="B273" s="35" t="inlineStr">
        <is>
          <t>Общество с ограниченной ответственностью "ВИВТАР"</t>
        </is>
      </c>
      <c r="C273" s="35" t="inlineStr">
        <is>
          <t>49.41</t>
        </is>
      </c>
      <c r="D273" s="35" t="n">
        <v>41</v>
      </c>
      <c r="E273" s="35" t="inlineStr">
        <is>
          <t>1 — Горячий</t>
        </is>
      </c>
      <c r="F273" s="41" t="n">
        <v>16800</v>
      </c>
      <c r="G273" s="34" t="inlineStr">
        <is>
          <t>Юнусова</t>
        </is>
      </c>
      <c r="H273" s="34" t="n"/>
      <c r="I273" s="34" t="inlineStr">
        <is>
          <t>В работе</t>
        </is>
      </c>
      <c r="J273" s="34" t="n"/>
      <c r="K273" s="34" t="n"/>
    </row>
    <row r="274">
      <c r="A274" s="35" t="inlineStr">
        <is>
          <t>3849029855</t>
        </is>
      </c>
      <c r="B274" s="35" t="inlineStr">
        <is>
          <t>ООО "СтройЭнергоИнжиниринг"</t>
        </is>
      </c>
      <c r="C274" s="35" t="inlineStr">
        <is>
          <t>41.20</t>
        </is>
      </c>
      <c r="D274" s="35" t="n">
        <v>39</v>
      </c>
      <c r="E274" s="35" t="inlineStr">
        <is>
          <t>1 — Горячий</t>
        </is>
      </c>
      <c r="F274" s="41" t="n">
        <v>16800</v>
      </c>
      <c r="G274" s="34" t="inlineStr">
        <is>
          <t>Кургузов</t>
        </is>
      </c>
      <c r="H274" s="34" t="n"/>
      <c r="I274" s="34" t="inlineStr">
        <is>
          <t>В работе</t>
        </is>
      </c>
      <c r="J274" s="34" t="n"/>
      <c r="K274" s="34" t="n"/>
    </row>
    <row r="275">
      <c r="A275" s="35" t="inlineStr">
        <is>
          <t>2463122313</t>
        </is>
      </c>
      <c r="B275" s="35" t="inlineStr">
        <is>
          <t>ОБЩЕСТВО С ОГРАНИЧЕННОЙ ОТВЕТСТВЕННОСТЬЮ "УРБАН ФОРМС"</t>
        </is>
      </c>
      <c r="C275" s="35" t="inlineStr">
        <is>
          <t>25.11</t>
        </is>
      </c>
      <c r="D275" s="35" t="n">
        <v>29</v>
      </c>
      <c r="E275" s="35" t="inlineStr">
        <is>
          <t>1 — Горячий</t>
        </is>
      </c>
      <c r="F275" s="41" t="n">
        <v>16800</v>
      </c>
      <c r="G275" s="34" t="inlineStr">
        <is>
          <t>Оглоблина</t>
        </is>
      </c>
      <c r="H275" s="34" t="n"/>
      <c r="I275" s="34" t="inlineStr">
        <is>
          <t>В работе</t>
        </is>
      </c>
      <c r="J275" s="34" t="n"/>
      <c r="K275" s="34" t="n"/>
    </row>
    <row r="276">
      <c r="A276" s="35" t="inlineStr">
        <is>
          <t>3849090458</t>
        </is>
      </c>
      <c r="B276" s="35" t="inlineStr">
        <is>
          <t>Общество с ограниченной ответственностью "ИРКУТСКСТРОЙАУТСОРСИНГ"</t>
        </is>
      </c>
      <c r="C276" s="35" t="inlineStr">
        <is>
          <t>71.12</t>
        </is>
      </c>
      <c r="D276" s="35" t="n">
        <v>31</v>
      </c>
      <c r="E276" s="35" t="inlineStr">
        <is>
          <t>1 — Горячий</t>
        </is>
      </c>
      <c r="F276" s="41" t="n">
        <v>16800</v>
      </c>
      <c r="G276" s="34" t="inlineStr">
        <is>
          <t>Юнусова</t>
        </is>
      </c>
      <c r="H276" s="34" t="n"/>
      <c r="I276" s="34" t="inlineStr">
        <is>
          <t>В работе</t>
        </is>
      </c>
      <c r="J276" s="34" t="n"/>
      <c r="K276" s="34" t="n"/>
    </row>
    <row r="277">
      <c r="A277" s="35" t="inlineStr">
        <is>
          <t>4024014320</t>
        </is>
      </c>
      <c r="B277" s="35" t="inlineStr">
        <is>
          <t>ОБЩЕСТВО С ОГРАНИЧЕННОЙ ОТВЕТСТВЕННОСТЬЮ "ПРОИЗВОДСТВЕННАЯ ГРУППА КАЙМАН"</t>
        </is>
      </c>
      <c r="C277" s="35" t="inlineStr">
        <is>
          <t>25.93</t>
        </is>
      </c>
      <c r="D277" s="35" t="n">
        <v>26</v>
      </c>
      <c r="E277" s="35" t="inlineStr">
        <is>
          <t>1 — Горячий</t>
        </is>
      </c>
      <c r="F277" s="41" t="n">
        <v>16800</v>
      </c>
      <c r="G277" s="34" t="inlineStr">
        <is>
          <t>Кургузов</t>
        </is>
      </c>
      <c r="H277" s="34" t="n"/>
      <c r="I277" s="34" t="inlineStr">
        <is>
          <t>В работе</t>
        </is>
      </c>
      <c r="J277" s="34" t="n"/>
      <c r="K277" s="34" t="n"/>
    </row>
    <row r="278">
      <c r="A278" s="35" t="inlineStr">
        <is>
          <t>3805735236</t>
        </is>
      </c>
      <c r="B278" s="35" t="inlineStr">
        <is>
          <t>ОБЩЕСТВО С ОГРАНИЧЕННОЙ ОТВЕТСТВЕННОСТЬЮ "УПРАВЛЯЮЩАЯ КОМПАНИЯ ПОТЕНЦИАЛ"</t>
        </is>
      </c>
      <c r="C278" s="35" t="inlineStr">
        <is>
          <t>68.32.1</t>
        </is>
      </c>
      <c r="D278" s="35" t="n">
        <v>491</v>
      </c>
      <c r="E278" s="35" t="inlineStr">
        <is>
          <t>1 — Горячий</t>
        </is>
      </c>
      <c r="F278" s="41" t="n">
        <v>144000</v>
      </c>
      <c r="G278" s="34" t="inlineStr">
        <is>
          <t>Оглоблина</t>
        </is>
      </c>
      <c r="H278" s="34" t="n"/>
      <c r="I278" s="34" t="inlineStr">
        <is>
          <t>В работе</t>
        </is>
      </c>
      <c r="J278" s="34" t="n"/>
      <c r="K278" s="34" t="n"/>
    </row>
    <row r="279">
      <c r="A279" s="35" t="inlineStr">
        <is>
          <t>7743790249</t>
        </is>
      </c>
      <c r="B279" s="35" t="inlineStr">
        <is>
          <t>Общество с ограниченной ответственностью "АВТОМАТИЧЕСКИЕ ПОЖАРНЫЕ СИСТЕМЫ"</t>
        </is>
      </c>
      <c r="C279" s="35" t="inlineStr">
        <is>
          <t>28.99</t>
        </is>
      </c>
      <c r="D279" s="35" t="n">
        <v>25</v>
      </c>
      <c r="E279" s="35" t="inlineStr">
        <is>
          <t>1 — Горячий</t>
        </is>
      </c>
      <c r="F279" s="41" t="n">
        <v>8400</v>
      </c>
      <c r="G279" s="34" t="inlineStr">
        <is>
          <t>Юнусова</t>
        </is>
      </c>
      <c r="H279" s="34" t="n"/>
      <c r="I279" s="34" t="inlineStr">
        <is>
          <t>В работе</t>
        </is>
      </c>
      <c r="J279" s="34" t="n"/>
      <c r="K279" s="34" t="n"/>
    </row>
    <row r="280">
      <c r="A280" s="35" t="inlineStr">
        <is>
          <t>3823017894</t>
        </is>
      </c>
      <c r="B280" s="35" t="inlineStr">
        <is>
          <t>Общество с ограниченной ответственностью "ОХРАННОЕ АГЕНТСТВО "БАЙКАЛ-ОХРАНА"</t>
        </is>
      </c>
      <c r="C280" s="35" t="inlineStr">
        <is>
          <t>80.10</t>
        </is>
      </c>
      <c r="D280" s="35" t="n">
        <v>27</v>
      </c>
      <c r="E280" s="35" t="inlineStr">
        <is>
          <t>1 — Горячий</t>
        </is>
      </c>
      <c r="F280" s="41" t="n">
        <v>16800</v>
      </c>
      <c r="G280" s="34" t="inlineStr">
        <is>
          <t>Кургузов</t>
        </is>
      </c>
      <c r="H280" s="34" t="n"/>
      <c r="I280" s="34" t="inlineStr">
        <is>
          <t>В работе</t>
        </is>
      </c>
      <c r="J280" s="34" t="n"/>
      <c r="K280" s="34" t="n"/>
    </row>
    <row r="281">
      <c r="A281" s="35" t="inlineStr">
        <is>
          <t>5902043717</t>
        </is>
      </c>
      <c r="B281" s="35" t="inlineStr">
        <is>
          <t>ОБЩЕСТВО С ОГРАНИЧЕННОЙ ОТВЕТСТВЕННОСТЬЮ "РЕФРЭШ"</t>
        </is>
      </c>
      <c r="C281" s="35" t="inlineStr">
        <is>
          <t>63.11</t>
        </is>
      </c>
      <c r="D281" s="35" t="n">
        <v>73</v>
      </c>
      <c r="E281" s="35" t="inlineStr">
        <is>
          <t>1 — Горячий</t>
        </is>
      </c>
      <c r="F281" s="41" t="n">
        <v>33600</v>
      </c>
      <c r="G281" s="34" t="inlineStr">
        <is>
          <t>Оглоблина</t>
        </is>
      </c>
      <c r="H281" s="34" t="n"/>
      <c r="I281" s="34" t="inlineStr">
        <is>
          <t>В работе</t>
        </is>
      </c>
      <c r="J281" s="34" t="n"/>
      <c r="K281" s="34" t="n"/>
    </row>
    <row r="282">
      <c r="A282" s="35" t="inlineStr">
        <is>
          <t>3662298200</t>
        </is>
      </c>
      <c r="B282" s="35" t="inlineStr">
        <is>
          <t>Общество с ограниченной ответственностью "ВЕБТРИ"</t>
        </is>
      </c>
      <c r="C282" s="35" t="inlineStr">
        <is>
          <t>62.01</t>
        </is>
      </c>
      <c r="D282" s="35" t="n">
        <v>59</v>
      </c>
      <c r="E282" s="35" t="inlineStr">
        <is>
          <t>1 — Горячий</t>
        </is>
      </c>
      <c r="F282" s="41" t="n">
        <v>33600</v>
      </c>
      <c r="G282" s="34" t="inlineStr">
        <is>
          <t>Юнусова</t>
        </is>
      </c>
      <c r="H282" s="34" t="n"/>
      <c r="I282" s="34" t="inlineStr">
        <is>
          <t>В работе</t>
        </is>
      </c>
      <c r="J282" s="34" t="n"/>
      <c r="K282" s="34" t="n"/>
    </row>
    <row r="283">
      <c r="A283" s="35" t="inlineStr">
        <is>
          <t>2536010300</t>
        </is>
      </c>
      <c r="B283" s="35" t="inlineStr">
        <is>
          <t>ЛИНКОМ</t>
        </is>
      </c>
      <c r="C283" s="35" t="inlineStr">
        <is>
          <t>68.20.1</t>
        </is>
      </c>
      <c r="D283" s="35" t="n">
        <v>24</v>
      </c>
      <c r="E283" s="35" t="inlineStr">
        <is>
          <t>1 — Горячий</t>
        </is>
      </c>
      <c r="F283" s="41" t="n">
        <v>8400</v>
      </c>
      <c r="G283" s="34" t="inlineStr">
        <is>
          <t>Кургузов</t>
        </is>
      </c>
      <c r="H283" s="34" t="n"/>
      <c r="I283" s="34" t="inlineStr">
        <is>
          <t>В работе</t>
        </is>
      </c>
      <c r="J283" s="34" t="n"/>
      <c r="K283" s="34" t="n"/>
    </row>
    <row r="284">
      <c r="A284" s="35" t="inlineStr">
        <is>
          <t>5404479684</t>
        </is>
      </c>
      <c r="B284" s="35" t="inlineStr">
        <is>
          <t>ЭСТРА ООО НПП</t>
        </is>
      </c>
      <c r="C284" s="35" t="inlineStr">
        <is>
          <t>27.12</t>
        </is>
      </c>
      <c r="D284" s="35" t="n">
        <v>22</v>
      </c>
      <c r="E284" s="35" t="inlineStr">
        <is>
          <t>1 — Горячий</t>
        </is>
      </c>
      <c r="F284" s="41" t="n">
        <v>8400</v>
      </c>
      <c r="G284" s="34" t="inlineStr">
        <is>
          <t>Оглоблина</t>
        </is>
      </c>
      <c r="H284" s="34" t="n"/>
      <c r="I284" s="34" t="inlineStr">
        <is>
          <t>В работе</t>
        </is>
      </c>
      <c r="J284" s="34" t="n"/>
      <c r="K284" s="34" t="n"/>
    </row>
    <row r="285">
      <c r="A285" s="35" t="inlineStr">
        <is>
          <t>3811168176</t>
        </is>
      </c>
      <c r="B285" s="35" t="inlineStr">
        <is>
          <t>Общество с ограниченной ответственностью "1С:БО ФОРУС"</t>
        </is>
      </c>
      <c r="C285" s="35" t="inlineStr">
        <is>
          <t>69.20.2</t>
        </is>
      </c>
      <c r="D285" s="35" t="n">
        <v>77</v>
      </c>
      <c r="E285" s="35" t="inlineStr">
        <is>
          <t>1 — Горячий</t>
        </is>
      </c>
      <c r="F285" s="41" t="n">
        <v>33600</v>
      </c>
      <c r="G285" s="34" t="inlineStr">
        <is>
          <t>Юнусова</t>
        </is>
      </c>
      <c r="H285" s="34" t="n"/>
      <c r="I285" s="34" t="inlineStr">
        <is>
          <t>В работе</t>
        </is>
      </c>
      <c r="J285" s="34" t="n"/>
      <c r="K285" s="34" t="n"/>
    </row>
    <row r="286">
      <c r="A286" s="35" t="inlineStr">
        <is>
          <t>3811998995</t>
        </is>
      </c>
      <c r="B286" s="35" t="inlineStr">
        <is>
          <t>Общество с ограниченной ответственностью "СТРОЙМЕХ"</t>
        </is>
      </c>
      <c r="C286" s="35" t="inlineStr">
        <is>
          <t>43.12</t>
        </is>
      </c>
      <c r="D286" s="35" t="n">
        <v>49</v>
      </c>
      <c r="E286" s="35" t="inlineStr">
        <is>
          <t>1 — Горячий</t>
        </is>
      </c>
      <c r="F286" s="41" t="n">
        <v>16800</v>
      </c>
      <c r="G286" s="34" t="inlineStr">
        <is>
          <t>Кургузов</t>
        </is>
      </c>
      <c r="H286" s="34" t="n"/>
      <c r="I286" s="34" t="inlineStr">
        <is>
          <t>В работе</t>
        </is>
      </c>
      <c r="J286" s="34" t="n"/>
      <c r="K286" s="34" t="n"/>
    </row>
    <row r="287">
      <c r="A287" s="35" t="inlineStr">
        <is>
          <t>3808219134</t>
        </is>
      </c>
      <c r="B287" s="35" t="inlineStr">
        <is>
          <t>ОБЩЕСТВО С ОГРАНИЧЕННОЙ ОТВЕТСТВЕННОСТЬЮ "СЕВЕР СТРОЙ"</t>
        </is>
      </c>
      <c r="C287" s="35" t="inlineStr">
        <is>
          <t>07.29.41</t>
        </is>
      </c>
      <c r="D287" s="35" t="n">
        <v>31</v>
      </c>
      <c r="E287" s="35" t="inlineStr">
        <is>
          <t>1 — Горячий</t>
        </is>
      </c>
      <c r="F287" s="41" t="n">
        <v>16800</v>
      </c>
      <c r="G287" s="34" t="inlineStr">
        <is>
          <t>Оглоблина</t>
        </is>
      </c>
      <c r="H287" s="34" t="n"/>
      <c r="I287" s="34" t="inlineStr">
        <is>
          <t>В работе</t>
        </is>
      </c>
      <c r="J287" s="34" t="n"/>
      <c r="K287" s="34" t="n"/>
    </row>
    <row r="288">
      <c r="A288" s="35" t="inlineStr">
        <is>
          <t>3663116703</t>
        </is>
      </c>
      <c r="B288" s="35" t="inlineStr">
        <is>
          <t>ОБЩЕСТВО С ОГРАНИЧЕННОЙ ОТВЕТСТВЕННОСТЬЮ "РЕД КОЛЛАР"</t>
        </is>
      </c>
      <c r="C288" s="35" t="inlineStr">
        <is>
          <t>62.01</t>
        </is>
      </c>
      <c r="D288" s="35" t="n">
        <v>87</v>
      </c>
      <c r="E288" s="35" t="inlineStr">
        <is>
          <t>1 — Горячий</t>
        </is>
      </c>
      <c r="F288" s="41" t="n">
        <v>33600</v>
      </c>
      <c r="G288" s="34" t="inlineStr">
        <is>
          <t>Юнусова</t>
        </is>
      </c>
      <c r="H288" s="34" t="n"/>
      <c r="I288" s="34" t="inlineStr">
        <is>
          <t>В работе</t>
        </is>
      </c>
      <c r="J288" s="34" t="n"/>
      <c r="K288" s="34" t="n"/>
    </row>
    <row r="289">
      <c r="A289" s="35" t="inlineStr">
        <is>
          <t>3811180818</t>
        </is>
      </c>
      <c r="B289" s="35" t="inlineStr">
        <is>
          <t>Общество с ограниченной ответственностью "ГЕОСЕРВИС"</t>
        </is>
      </c>
      <c r="C289" s="35" t="inlineStr">
        <is>
          <t>71.12.45</t>
        </is>
      </c>
      <c r="D289" s="35" t="n">
        <v>24</v>
      </c>
      <c r="E289" s="35" t="inlineStr">
        <is>
          <t>1 — Горячий</t>
        </is>
      </c>
      <c r="F289" s="41" t="n">
        <v>8400</v>
      </c>
      <c r="G289" s="34" t="inlineStr">
        <is>
          <t>Кургузов</t>
        </is>
      </c>
      <c r="H289" s="34" t="n"/>
      <c r="I289" s="34" t="inlineStr">
        <is>
          <t>В работе</t>
        </is>
      </c>
      <c r="J289" s="34" t="n"/>
      <c r="K289" s="34" t="n"/>
    </row>
    <row r="290">
      <c r="A290" s="35" t="inlineStr">
        <is>
          <t>3808179890</t>
        </is>
      </c>
      <c r="B290" s="35" t="inlineStr">
        <is>
          <t>Общество с ограниченной ответственностью "ОХРАННОЕ АГЕНТСТВО "ВОСХОД"</t>
        </is>
      </c>
      <c r="C290" s="35" t="inlineStr">
        <is>
          <t>80.10</t>
        </is>
      </c>
      <c r="D290" s="35" t="n">
        <v>48</v>
      </c>
      <c r="E290" s="35" t="inlineStr">
        <is>
          <t>1 — Горячий</t>
        </is>
      </c>
      <c r="F290" s="41" t="n">
        <v>16800</v>
      </c>
      <c r="G290" s="34" t="inlineStr">
        <is>
          <t>Оглоблина</t>
        </is>
      </c>
      <c r="H290" s="34" t="n"/>
      <c r="I290" s="34" t="inlineStr">
        <is>
          <t>В работе</t>
        </is>
      </c>
      <c r="J290" s="34" t="n"/>
      <c r="K290" s="34" t="n"/>
    </row>
    <row r="291">
      <c r="A291" s="35" t="inlineStr">
        <is>
          <t>3810077487</t>
        </is>
      </c>
      <c r="B291" s="35" t="inlineStr">
        <is>
          <t>Общество с ограниченной ответственностью "БАЙКАЛАВТОТРАНС"</t>
        </is>
      </c>
      <c r="C291" s="35" t="inlineStr">
        <is>
          <t>52.29</t>
        </is>
      </c>
      <c r="D291" s="35" t="n">
        <v>52</v>
      </c>
      <c r="E291" s="35" t="inlineStr">
        <is>
          <t>1 — Горячий</t>
        </is>
      </c>
      <c r="F291" s="41" t="n">
        <v>33600</v>
      </c>
      <c r="G291" s="34" t="inlineStr">
        <is>
          <t>Юнусова</t>
        </is>
      </c>
      <c r="H291" s="34" t="n"/>
      <c r="I291" s="34" t="inlineStr">
        <is>
          <t>В работе</t>
        </is>
      </c>
      <c r="J291" s="34" t="n"/>
      <c r="K291" s="34" t="n"/>
    </row>
    <row r="292">
      <c r="A292" s="35" t="inlineStr">
        <is>
          <t>3812525085</t>
        </is>
      </c>
      <c r="B292" s="35" t="inlineStr">
        <is>
          <t>Общество с ограниченной ответственностью "РГ ИРКУТСКГЕОФИЗИКА 3"</t>
        </is>
      </c>
      <c r="C292" s="35" t="inlineStr">
        <is>
          <t>07.29</t>
        </is>
      </c>
      <c r="D292" s="35" t="n">
        <v>50</v>
      </c>
      <c r="E292" s="35" t="inlineStr">
        <is>
          <t>1 — Горячий</t>
        </is>
      </c>
      <c r="F292" s="41" t="n">
        <v>16800</v>
      </c>
      <c r="G292" s="34" t="inlineStr">
        <is>
          <t>Кургузов</t>
        </is>
      </c>
      <c r="H292" s="34" t="n"/>
      <c r="I292" s="34" t="inlineStr">
        <is>
          <t>В работе</t>
        </is>
      </c>
      <c r="J292" s="34" t="n"/>
      <c r="K292" s="34" t="n"/>
    </row>
    <row r="293">
      <c r="A293" s="35" t="inlineStr">
        <is>
          <t>3812527011</t>
        </is>
      </c>
      <c r="B293" s="35" t="inlineStr">
        <is>
          <t>Общество с ограниченной ответственностью "СИГНАЛСТРОЙСЕРВИС"</t>
        </is>
      </c>
      <c r="C293" s="35" t="inlineStr">
        <is>
          <t>52.21.1</t>
        </is>
      </c>
      <c r="D293" s="35" t="n">
        <v>95</v>
      </c>
      <c r="E293" s="35" t="inlineStr">
        <is>
          <t>1 — Горячий</t>
        </is>
      </c>
      <c r="F293" s="41" t="n">
        <v>33600</v>
      </c>
      <c r="G293" s="34" t="inlineStr">
        <is>
          <t>Оглоблина</t>
        </is>
      </c>
      <c r="H293" s="34" t="n"/>
      <c r="I293" s="34" t="inlineStr">
        <is>
          <t>В работе</t>
        </is>
      </c>
      <c r="J293" s="34" t="n"/>
      <c r="K293" s="34" t="n"/>
    </row>
    <row r="294">
      <c r="A294" s="35" t="inlineStr">
        <is>
          <t>3808193285</t>
        </is>
      </c>
      <c r="B294" s="35" t="inlineStr">
        <is>
          <t>Общество с ограниченной ответственностью МНОГОПРОФИЛЬНАЯ МЕДИЦИНСКАЯ КЛИНИКА "СОЮЗ"</t>
        </is>
      </c>
      <c r="C294" s="35" t="inlineStr">
        <is>
          <t>86.10</t>
        </is>
      </c>
      <c r="D294" s="35" t="n">
        <v>71</v>
      </c>
      <c r="E294" s="35" t="inlineStr">
        <is>
          <t>1 — Горячий</t>
        </is>
      </c>
      <c r="F294" s="41" t="n">
        <v>33600</v>
      </c>
      <c r="G294" s="34" t="inlineStr">
        <is>
          <t>Юнусова</t>
        </is>
      </c>
      <c r="H294" s="34" t="n"/>
      <c r="I294" s="34" t="inlineStr">
        <is>
          <t>В работе</t>
        </is>
      </c>
      <c r="J294" s="34" t="n"/>
      <c r="K294" s="34" t="n"/>
    </row>
    <row r="295">
      <c r="A295" s="35" t="inlineStr">
        <is>
          <t>3808280587</t>
        </is>
      </c>
      <c r="B295" s="35" t="inlineStr">
        <is>
          <t>Общество с ограниченной ответственностью "АЛИОТ"</t>
        </is>
      </c>
      <c r="C295" s="35" t="inlineStr">
        <is>
          <t>46.73</t>
        </is>
      </c>
      <c r="D295" s="35" t="n">
        <v>32</v>
      </c>
      <c r="E295" s="35" t="inlineStr">
        <is>
          <t>1 — Горячий</t>
        </is>
      </c>
      <c r="F295" s="41" t="n">
        <v>16800</v>
      </c>
      <c r="G295" s="34" t="inlineStr">
        <is>
          <t>Кургузов</t>
        </is>
      </c>
      <c r="H295" s="34" t="n"/>
      <c r="I295" s="34" t="inlineStr">
        <is>
          <t>В работе</t>
        </is>
      </c>
      <c r="J295" s="34" t="n"/>
      <c r="K295" s="34" t="n"/>
    </row>
    <row r="296">
      <c r="A296" s="35" t="inlineStr">
        <is>
          <t>3805713602</t>
        </is>
      </c>
      <c r="B296" s="35" t="inlineStr">
        <is>
          <t>ОБЩЕСТВО С ОГРАНИЧЕННОЙ ОТВЕТСТВЕННОСТЬЮ "ЖИЛКОМТРАНС"</t>
        </is>
      </c>
      <c r="C296" s="35" t="inlineStr">
        <is>
          <t>49.41.1</t>
        </is>
      </c>
      <c r="D296" s="35" t="n">
        <v>43</v>
      </c>
      <c r="E296" s="35" t="inlineStr">
        <is>
          <t>1 — Горячий</t>
        </is>
      </c>
      <c r="F296" s="41" t="n">
        <v>16800</v>
      </c>
      <c r="G296" s="34" t="inlineStr">
        <is>
          <t>Оглоблина</t>
        </is>
      </c>
      <c r="H296" s="34" t="n"/>
      <c r="I296" s="34" t="inlineStr">
        <is>
          <t>В работе</t>
        </is>
      </c>
      <c r="J296" s="34" t="n"/>
      <c r="K296" s="34" t="n"/>
    </row>
    <row r="297">
      <c r="A297" s="35" t="inlineStr">
        <is>
          <t>3808271575</t>
        </is>
      </c>
      <c r="B297" s="35" t="inlineStr">
        <is>
          <t>Общество с ограниченной ответственностью ГК "АВРОРА"</t>
        </is>
      </c>
      <c r="C297" s="35" t="inlineStr">
        <is>
          <t>25.29</t>
        </is>
      </c>
      <c r="D297" s="35" t="n">
        <v>24</v>
      </c>
      <c r="E297" s="35" t="inlineStr">
        <is>
          <t>1 — Горячий</t>
        </is>
      </c>
      <c r="F297" s="41" t="n">
        <v>8400</v>
      </c>
      <c r="G297" s="34" t="inlineStr">
        <is>
          <t>Юнусова</t>
        </is>
      </c>
      <c r="H297" s="34" t="n"/>
      <c r="I297" s="34" t="inlineStr">
        <is>
          <t>В работе</t>
        </is>
      </c>
      <c r="J297" s="34" t="n"/>
      <c r="K297" s="34" t="n"/>
    </row>
    <row r="298">
      <c r="A298" s="35" t="inlineStr">
        <is>
          <t>1901140164</t>
        </is>
      </c>
      <c r="B298" s="35" t="inlineStr">
        <is>
          <t>Общество с ограниченной ответственностью ТРАНСПОРТНАЯ КОМПАНИЯ "ПРОГРЕСС"</t>
        </is>
      </c>
      <c r="C298" s="35" t="inlineStr">
        <is>
          <t>49.41</t>
        </is>
      </c>
      <c r="D298" s="35" t="n">
        <v>31</v>
      </c>
      <c r="E298" s="35" t="inlineStr">
        <is>
          <t>1 — Горячий</t>
        </is>
      </c>
      <c r="F298" s="41" t="n">
        <v>16800</v>
      </c>
      <c r="G298" s="34" t="inlineStr">
        <is>
          <t>Кургузов</t>
        </is>
      </c>
      <c r="H298" s="34" t="n"/>
      <c r="I298" s="34" t="inlineStr">
        <is>
          <t>В работе</t>
        </is>
      </c>
      <c r="J298" s="34" t="n"/>
      <c r="K298" s="34" t="n"/>
    </row>
    <row r="299">
      <c r="A299" s="35" t="inlineStr">
        <is>
          <t>2511126800</t>
        </is>
      </c>
      <c r="B299" s="35" t="inlineStr">
        <is>
          <t>ООО "ГОРНОКЛЮЧЕВСКОЙ ВОДОКАНАЛ"</t>
        </is>
      </c>
      <c r="C299" s="35" t="inlineStr">
        <is>
          <t>36.00</t>
        </is>
      </c>
      <c r="D299" s="35" t="n">
        <v>25</v>
      </c>
      <c r="E299" s="35" t="inlineStr">
        <is>
          <t>1 — Горячий</t>
        </is>
      </c>
      <c r="F299" s="41" t="n">
        <v>8400</v>
      </c>
      <c r="G299" s="34" t="inlineStr">
        <is>
          <t>Оглоблина</t>
        </is>
      </c>
      <c r="H299" s="34" t="n"/>
      <c r="I299" s="34" t="inlineStr">
        <is>
          <t>В работе</t>
        </is>
      </c>
      <c r="J299" s="34" t="n"/>
      <c r="K299" s="34" t="n"/>
    </row>
    <row r="300">
      <c r="A300" s="35" t="inlineStr">
        <is>
          <t>5903018978</t>
        </is>
      </c>
      <c r="B300" s="35" t="inlineStr">
        <is>
          <t>НОВЫЕ КОММУНАЛЬНЫЕ ТЕХНОЛОГИИ</t>
        </is>
      </c>
      <c r="C300" s="35" t="inlineStr">
        <is>
          <t>41.20</t>
        </is>
      </c>
      <c r="D300" s="35" t="n">
        <v>24</v>
      </c>
      <c r="E300" s="35" t="inlineStr">
        <is>
          <t>1 — Горячий</t>
        </is>
      </c>
      <c r="F300" s="41" t="n">
        <v>8400</v>
      </c>
      <c r="G300" s="34" t="inlineStr">
        <is>
          <t>Юнусова</t>
        </is>
      </c>
      <c r="H300" s="34" t="n"/>
      <c r="I300" s="34" t="inlineStr">
        <is>
          <t>В работе</t>
        </is>
      </c>
      <c r="J300" s="34" t="n"/>
      <c r="K300" s="34" t="n"/>
    </row>
    <row r="301">
      <c r="A301" s="35" t="inlineStr">
        <is>
          <t>2703018580</t>
        </is>
      </c>
      <c r="B301" s="35" t="inlineStr">
        <is>
          <t>ООО "Альфа-дент"</t>
        </is>
      </c>
      <c r="C301" s="35" t="inlineStr">
        <is>
          <t>86.23</t>
        </is>
      </c>
      <c r="D301" s="35" t="n">
        <v>38</v>
      </c>
      <c r="E301" s="35" t="inlineStr">
        <is>
          <t>1 — Горячий</t>
        </is>
      </c>
      <c r="F301" s="41" t="n">
        <v>16800</v>
      </c>
      <c r="G301" s="34" t="inlineStr">
        <is>
          <t>Кургузов</t>
        </is>
      </c>
      <c r="H301" s="34" t="n"/>
      <c r="I301" s="34" t="inlineStr">
        <is>
          <t>В работе</t>
        </is>
      </c>
      <c r="J301" s="34" t="n"/>
      <c r="K301" s="34" t="n"/>
    </row>
    <row r="302">
      <c r="A302" s="35" t="inlineStr">
        <is>
          <t>3808158932</t>
        </is>
      </c>
      <c r="B302" s="35" t="inlineStr">
        <is>
          <t>ОБЩЕСТВО С ОГРАНИЧЕННОЙ ОТВЕТСТВЕННОСТЬЮ "ЦЕНТР НОРМАТИВНО-ТЕХНИЧЕСКОЙ ДОКУМЕНТАЦИИ"</t>
        </is>
      </c>
      <c r="C302" s="35" t="inlineStr">
        <is>
          <t>62.02</t>
        </is>
      </c>
      <c r="D302" s="35" t="n">
        <v>24</v>
      </c>
      <c r="E302" s="35" t="inlineStr">
        <is>
          <t>1 — Горячий</t>
        </is>
      </c>
      <c r="F302" s="41" t="n">
        <v>8400</v>
      </c>
      <c r="G302" s="34" t="inlineStr">
        <is>
          <t>Оглоблина</t>
        </is>
      </c>
      <c r="H302" s="34" t="n"/>
      <c r="I302" s="34" t="inlineStr">
        <is>
          <t>В работе</t>
        </is>
      </c>
      <c r="J302" s="34" t="n"/>
      <c r="K302" s="34" t="n"/>
    </row>
    <row r="303">
      <c r="A303" s="35" t="inlineStr">
        <is>
          <t>2724212211</t>
        </is>
      </c>
      <c r="B303" s="35" t="inlineStr">
        <is>
          <t>ООО "ГРУППА КОМПАНИЙ "ГЛОБАЛ"</t>
        </is>
      </c>
      <c r="C303" s="35" t="inlineStr">
        <is>
          <t>49.41.1</t>
        </is>
      </c>
      <c r="D303" s="35" t="n">
        <v>677</v>
      </c>
      <c r="E303" s="35" t="inlineStr">
        <is>
          <t>1 — Горячий</t>
        </is>
      </c>
      <c r="F303" s="41" t="n">
        <v>528000</v>
      </c>
      <c r="G303" s="34" t="inlineStr">
        <is>
          <t>Юнусова</t>
        </is>
      </c>
      <c r="H303" s="34" t="n"/>
      <c r="I303" s="34" t="inlineStr">
        <is>
          <t>В работе</t>
        </is>
      </c>
      <c r="J303" s="34" t="n"/>
      <c r="K303" s="34" t="n"/>
    </row>
    <row r="304">
      <c r="A304" s="35" t="inlineStr">
        <is>
          <t>7100017843</t>
        </is>
      </c>
      <c r="B304" s="35" t="inlineStr">
        <is>
          <t>Общество с ограниченной ответственностью "КДФ-ТУЛА"</t>
        </is>
      </c>
      <c r="C304" s="35" t="inlineStr">
        <is>
          <t>86.10</t>
        </is>
      </c>
      <c r="D304" s="35" t="n">
        <v>38</v>
      </c>
      <c r="E304" s="35" t="inlineStr">
        <is>
          <t>1 — Горячий</t>
        </is>
      </c>
      <c r="F304" s="41" t="n">
        <v>16800</v>
      </c>
      <c r="G304" s="34" t="inlineStr">
        <is>
          <t>Кургузов</t>
        </is>
      </c>
      <c r="H304" s="34" t="n"/>
      <c r="I304" s="34" t="inlineStr">
        <is>
          <t>В работе</t>
        </is>
      </c>
      <c r="J304" s="34" t="n"/>
      <c r="K304" s="34" t="n"/>
    </row>
    <row r="305">
      <c r="A305" s="35" t="inlineStr">
        <is>
          <t>2450019630</t>
        </is>
      </c>
      <c r="B305" s="35" t="inlineStr">
        <is>
          <t>Водоканал-Сервис</t>
        </is>
      </c>
      <c r="C305" s="35" t="inlineStr">
        <is>
          <t>42.21</t>
        </is>
      </c>
      <c r="D305" s="35" t="n">
        <v>193</v>
      </c>
      <c r="E305" s="35" t="inlineStr">
        <is>
          <t>1 — Горячий</t>
        </is>
      </c>
      <c r="F305" s="41" t="n">
        <v>62400</v>
      </c>
      <c r="G305" s="34" t="inlineStr">
        <is>
          <t>Оглоблина</t>
        </is>
      </c>
      <c r="H305" s="34" t="n"/>
      <c r="I305" s="34" t="inlineStr">
        <is>
          <t>В работе</t>
        </is>
      </c>
      <c r="J305" s="34" t="n"/>
      <c r="K305" s="34" t="n"/>
    </row>
    <row r="306">
      <c r="A306" s="35" t="inlineStr">
        <is>
          <t>3849038095</t>
        </is>
      </c>
      <c r="B306" s="35" t="inlineStr">
        <is>
          <t>ООО "Хайлинк"</t>
        </is>
      </c>
      <c r="C306" s="35" t="inlineStr">
        <is>
          <t>61.10</t>
        </is>
      </c>
      <c r="D306" s="35" t="n">
        <v>58</v>
      </c>
      <c r="E306" s="35" t="inlineStr">
        <is>
          <t>1 — Горячий</t>
        </is>
      </c>
      <c r="F306" s="41" t="n">
        <v>33600</v>
      </c>
      <c r="G306" s="34" t="inlineStr">
        <is>
          <t>Юнусова</t>
        </is>
      </c>
      <c r="H306" s="34" t="n"/>
      <c r="I306" s="34" t="inlineStr">
        <is>
          <t>В работе</t>
        </is>
      </c>
      <c r="J306" s="34" t="n"/>
      <c r="K306" s="34" t="n"/>
    </row>
    <row r="307">
      <c r="A307" s="35" t="inlineStr">
        <is>
          <t>3849034781</t>
        </is>
      </c>
      <c r="B307" s="35" t="inlineStr">
        <is>
          <t>ООО "ФИЛТЭКС"</t>
        </is>
      </c>
      <c r="C307" s="35" t="inlineStr">
        <is>
          <t>45.19.1</t>
        </is>
      </c>
      <c r="D307" s="35" t="n">
        <v>22</v>
      </c>
      <c r="E307" s="35" t="inlineStr">
        <is>
          <t>1 — Горячий</t>
        </is>
      </c>
      <c r="F307" s="41" t="n">
        <v>8400</v>
      </c>
      <c r="G307" s="34" t="inlineStr">
        <is>
          <t>Кургузов</t>
        </is>
      </c>
      <c r="H307" s="34" t="n"/>
      <c r="I307" s="34" t="inlineStr">
        <is>
          <t>В работе</t>
        </is>
      </c>
      <c r="J307" s="34" t="n"/>
      <c r="K307" s="34" t="n"/>
    </row>
    <row r="308">
      <c r="A308" s="35" t="inlineStr">
        <is>
          <t>3812060633</t>
        </is>
      </c>
      <c r="B308" s="35" t="inlineStr">
        <is>
          <t>ООО "Кузьмиха-Сервис"</t>
        </is>
      </c>
      <c r="C308" s="35" t="inlineStr">
        <is>
          <t>45.20</t>
        </is>
      </c>
      <c r="D308" s="35" t="n">
        <v>48</v>
      </c>
      <c r="E308" s="35" t="inlineStr">
        <is>
          <t>1 — Горячий</t>
        </is>
      </c>
      <c r="F308" s="41" t="n">
        <v>16800</v>
      </c>
      <c r="G308" s="34" t="inlineStr">
        <is>
          <t>Оглоблина</t>
        </is>
      </c>
      <c r="H308" s="34" t="n"/>
      <c r="I308" s="34" t="inlineStr">
        <is>
          <t>В работе</t>
        </is>
      </c>
      <c r="J308" s="34" t="n"/>
      <c r="K308" s="34" t="n"/>
    </row>
    <row r="309">
      <c r="A309" s="35" t="inlineStr">
        <is>
          <t>3814008580</t>
        </is>
      </c>
      <c r="B309" s="35" t="inlineStr">
        <is>
          <t>Общество с ограниченной ответственностью "Расчетно-кассовый центр" г.Саянск</t>
        </is>
      </c>
      <c r="C309" s="35" t="inlineStr">
        <is>
          <t>63.11.1</t>
        </is>
      </c>
      <c r="D309" s="35" t="n">
        <v>31</v>
      </c>
      <c r="E309" s="35" t="inlineStr">
        <is>
          <t>1 — Горячий</t>
        </is>
      </c>
      <c r="F309" s="41" t="n">
        <v>16800</v>
      </c>
      <c r="G309" s="34" t="inlineStr">
        <is>
          <t>Юнусова</t>
        </is>
      </c>
      <c r="H309" s="34" t="n"/>
      <c r="I309" s="34" t="inlineStr">
        <is>
          <t>В работе</t>
        </is>
      </c>
      <c r="J309" s="34" t="n"/>
      <c r="K309" s="34" t="n"/>
    </row>
    <row r="310">
      <c r="A310" s="35" t="inlineStr">
        <is>
          <t>3811158530</t>
        </is>
      </c>
      <c r="B310" s="35" t="inlineStr">
        <is>
          <t>Общество с ограниченной ответственностью "ВЭЛБИН"</t>
        </is>
      </c>
      <c r="C310" s="35" t="inlineStr">
        <is>
          <t>86.23</t>
        </is>
      </c>
      <c r="D310" s="35" t="n">
        <v>44</v>
      </c>
      <c r="E310" s="35" t="inlineStr">
        <is>
          <t>1 — Горячий</t>
        </is>
      </c>
      <c r="F310" s="41" t="n">
        <v>16800</v>
      </c>
      <c r="G310" s="34" t="inlineStr">
        <is>
          <t>Кургузов</t>
        </is>
      </c>
      <c r="H310" s="34" t="n"/>
      <c r="I310" s="34" t="inlineStr">
        <is>
          <t>В работе</t>
        </is>
      </c>
      <c r="J310" s="34" t="n"/>
      <c r="K310" s="34" t="n"/>
    </row>
    <row r="311">
      <c r="A311" s="35" t="inlineStr">
        <is>
          <t>3811470838</t>
        </is>
      </c>
      <c r="B311" s="35" t="inlineStr">
        <is>
          <t>Общество с ограниченной ответственностью "Автопарк"</t>
        </is>
      </c>
      <c r="C311" s="35" t="inlineStr">
        <is>
          <t>82.99</t>
        </is>
      </c>
      <c r="D311" s="35" t="n">
        <v>228</v>
      </c>
      <c r="E311" s="35" t="inlineStr">
        <is>
          <t>1 — Горячий</t>
        </is>
      </c>
      <c r="F311" s="41" t="n">
        <v>144000</v>
      </c>
      <c r="G311" s="34" t="inlineStr">
        <is>
          <t>Оглоблина</t>
        </is>
      </c>
      <c r="H311" s="34" t="n"/>
      <c r="I311" s="34" t="inlineStr">
        <is>
          <t>В работе</t>
        </is>
      </c>
      <c r="J311" s="34" t="n"/>
      <c r="K311" s="34" t="n"/>
    </row>
    <row r="312">
      <c r="A312" s="35" t="inlineStr">
        <is>
          <t>3811447878</t>
        </is>
      </c>
      <c r="B312" s="35" t="inlineStr">
        <is>
          <t>ООО "ЮГ"</t>
        </is>
      </c>
      <c r="C312" s="35" t="inlineStr">
        <is>
          <t>16.10</t>
        </is>
      </c>
      <c r="D312" s="35" t="n">
        <v>41</v>
      </c>
      <c r="E312" s="35" t="inlineStr">
        <is>
          <t>1 — Горячий</t>
        </is>
      </c>
      <c r="F312" s="41" t="n">
        <v>16800</v>
      </c>
      <c r="G312" s="34" t="inlineStr">
        <is>
          <t>Юнусова</t>
        </is>
      </c>
      <c r="H312" s="34" t="n"/>
      <c r="I312" s="34" t="inlineStr">
        <is>
          <t>В работе</t>
        </is>
      </c>
      <c r="J312" s="34" t="n"/>
      <c r="K312" s="34" t="n"/>
    </row>
    <row r="313">
      <c r="A313" s="35" t="inlineStr">
        <is>
          <t>3810015480</t>
        </is>
      </c>
      <c r="B313" s="35" t="inlineStr">
        <is>
          <t>Общество с ограниченной ответственностью "ТАЛАН-С"</t>
        </is>
      </c>
      <c r="C313" s="35" t="inlineStr">
        <is>
          <t>15.20</t>
        </is>
      </c>
      <c r="D313" s="35" t="n">
        <v>22</v>
      </c>
      <c r="E313" s="35" t="inlineStr">
        <is>
          <t>1 — Горячий</t>
        </is>
      </c>
      <c r="F313" s="41" t="n">
        <v>8400</v>
      </c>
      <c r="G313" s="34" t="inlineStr">
        <is>
          <t>Кургузов</t>
        </is>
      </c>
      <c r="H313" s="34" t="n"/>
      <c r="I313" s="34" t="inlineStr">
        <is>
          <t>В работе</t>
        </is>
      </c>
      <c r="J313" s="34" t="n"/>
      <c r="K313" s="34" t="n"/>
    </row>
    <row r="314">
      <c r="A314" s="35" t="inlineStr">
        <is>
          <t>2446031899</t>
        </is>
      </c>
      <c r="B314" s="35" t="inlineStr">
        <is>
          <t>ООО "ЭН+ ДИДЖИТАЛ"</t>
        </is>
      </c>
      <c r="C314" s="35" t="inlineStr">
        <is>
          <t>62.01</t>
        </is>
      </c>
      <c r="D314" s="35" t="n">
        <v>383</v>
      </c>
      <c r="E314" s="35" t="inlineStr">
        <is>
          <t>1 — Горячий</t>
        </is>
      </c>
      <c r="F314" s="41" t="n">
        <v>144000</v>
      </c>
      <c r="G314" s="34" t="inlineStr">
        <is>
          <t>Оглоблина</t>
        </is>
      </c>
      <c r="H314" s="34" t="n"/>
      <c r="I314" s="34" t="inlineStr">
        <is>
          <t>В работе</t>
        </is>
      </c>
      <c r="J314" s="34" t="n"/>
      <c r="K314" s="34" t="n"/>
    </row>
    <row r="315">
      <c r="A315" s="35" t="inlineStr">
        <is>
          <t>3818051307</t>
        </is>
      </c>
      <c r="B315" s="35" t="inlineStr">
        <is>
          <t>Общество с ограниченной ответственностью "ПАРТНЁР"</t>
        </is>
      </c>
      <c r="C315" s="35" t="inlineStr">
        <is>
          <t>47.11</t>
        </is>
      </c>
      <c r="D315" s="35" t="n">
        <v>27</v>
      </c>
      <c r="E315" s="35" t="inlineStr">
        <is>
          <t>1 — Горячий</t>
        </is>
      </c>
      <c r="F315" s="41" t="n">
        <v>16800</v>
      </c>
      <c r="G315" s="34" t="inlineStr">
        <is>
          <t>Юнусова</t>
        </is>
      </c>
      <c r="H315" s="34" t="n"/>
      <c r="I315" s="34" t="inlineStr">
        <is>
          <t>В работе</t>
        </is>
      </c>
      <c r="J315" s="34" t="n"/>
      <c r="K315" s="34" t="n"/>
    </row>
    <row r="316">
      <c r="A316" s="35" t="inlineStr">
        <is>
          <t>3803202458</t>
        </is>
      </c>
      <c r="B316" s="35" t="inlineStr">
        <is>
          <t>ОБЩЕСТВО С ОГРАНИЧЕННОЙ ОТВЕТСТВЕННОСТЬЮ "СИБ-ЭКОЛОГИЯ"</t>
        </is>
      </c>
      <c r="C316" s="35" t="inlineStr">
        <is>
          <t>16.10.1</t>
        </is>
      </c>
      <c r="D316" s="35" t="n">
        <v>209</v>
      </c>
      <c r="E316" s="35" t="inlineStr">
        <is>
          <t>1 — Горячий</t>
        </is>
      </c>
      <c r="F316" s="41" t="n">
        <v>144000</v>
      </c>
      <c r="G316" s="34" t="inlineStr">
        <is>
          <t>Кургузов</t>
        </is>
      </c>
      <c r="H316" s="34" t="n"/>
      <c r="I316" s="34" t="inlineStr">
        <is>
          <t>В работе</t>
        </is>
      </c>
      <c r="J316" s="34" t="n"/>
      <c r="K316" s="34" t="n"/>
    </row>
    <row r="317">
      <c r="A317" s="35" t="inlineStr">
        <is>
          <t>3826003787</t>
        </is>
      </c>
      <c r="B317" s="35" t="inlineStr">
        <is>
          <t>ЗАО "Восток-Центр "</t>
        </is>
      </c>
      <c r="C317" s="35" t="inlineStr">
        <is>
          <t>41.20</t>
        </is>
      </c>
      <c r="D317" s="35" t="n">
        <v>48</v>
      </c>
      <c r="E317" s="35" t="inlineStr">
        <is>
          <t>1 — Горячий</t>
        </is>
      </c>
      <c r="F317" s="41" t="n">
        <v>16800</v>
      </c>
      <c r="G317" s="34" t="inlineStr">
        <is>
          <t>Оглоблина</t>
        </is>
      </c>
      <c r="H317" s="34" t="n"/>
      <c r="I317" s="34" t="inlineStr">
        <is>
          <t>В работе</t>
        </is>
      </c>
      <c r="J317" s="34" t="n"/>
      <c r="K317" s="34" t="n"/>
    </row>
    <row r="318">
      <c r="A318" s="35" t="inlineStr">
        <is>
          <t>3811157488</t>
        </is>
      </c>
      <c r="B318" s="35" t="inlineStr">
        <is>
          <t>ООО ФСК "Промстроймонтаж"</t>
        </is>
      </c>
      <c r="C318" s="35" t="inlineStr">
        <is>
          <t>43.12</t>
        </is>
      </c>
      <c r="D318" s="35" t="n">
        <v>28</v>
      </c>
      <c r="E318" s="35" t="inlineStr">
        <is>
          <t>1 — Горячий</t>
        </is>
      </c>
      <c r="F318" s="41" t="n">
        <v>16800</v>
      </c>
      <c r="G318" s="34" t="inlineStr">
        <is>
          <t>Юнусова</t>
        </is>
      </c>
      <c r="H318" s="34" t="n"/>
      <c r="I318" s="34" t="inlineStr">
        <is>
          <t>В работе</t>
        </is>
      </c>
      <c r="J318" s="34" t="n"/>
      <c r="K318" s="34" t="n"/>
    </row>
    <row r="319">
      <c r="A319" s="35" t="inlineStr">
        <is>
          <t>3811069418</t>
        </is>
      </c>
      <c r="B319" s="35" t="inlineStr">
        <is>
          <t>ООО "Медицинский центр для всей семьи"</t>
        </is>
      </c>
      <c r="C319" s="35" t="inlineStr">
        <is>
          <t>86.21</t>
        </is>
      </c>
      <c r="D319" s="35" t="n">
        <v>30</v>
      </c>
      <c r="E319" s="35" t="inlineStr">
        <is>
          <t>1 — Горячий</t>
        </is>
      </c>
      <c r="F319" s="41" t="n">
        <v>16800</v>
      </c>
      <c r="G319" s="34" t="inlineStr">
        <is>
          <t>Кургузов</t>
        </is>
      </c>
      <c r="H319" s="34" t="n"/>
      <c r="I319" s="34" t="inlineStr">
        <is>
          <t>В работе</t>
        </is>
      </c>
      <c r="J319" s="34" t="n"/>
      <c r="K319" s="34" t="n"/>
    </row>
    <row r="320">
      <c r="A320" s="35" t="inlineStr">
        <is>
          <t>8700000339</t>
        </is>
      </c>
      <c r="B320" s="35" t="inlineStr">
        <is>
          <t>АО "Чукотэнерго"</t>
        </is>
      </c>
      <c r="C320" s="35" t="inlineStr">
        <is>
          <t>35.12.1</t>
        </is>
      </c>
      <c r="D320" s="35" t="n">
        <v>1024</v>
      </c>
      <c r="E320" s="35" t="inlineStr">
        <is>
          <t>1 — Горячий</t>
        </is>
      </c>
      <c r="F320" s="41" t="n">
        <v>528000</v>
      </c>
      <c r="G320" s="34" t="inlineStr">
        <is>
          <t>Оглоблина</t>
        </is>
      </c>
      <c r="H320" s="34" t="n"/>
      <c r="I320" s="34" t="inlineStr">
        <is>
          <t>В работе</t>
        </is>
      </c>
      <c r="J320" s="34" t="n"/>
      <c r="K320" s="34" t="n"/>
    </row>
    <row r="321">
      <c r="A321" s="35" t="inlineStr">
        <is>
          <t>3851023561</t>
        </is>
      </c>
      <c r="B321" s="35" t="inlineStr">
        <is>
          <t>ЧЗМК ООО</t>
        </is>
      </c>
      <c r="C321" s="35" t="inlineStr">
        <is>
          <t>25.11</t>
        </is>
      </c>
      <c r="D321" s="35" t="n">
        <v>52</v>
      </c>
      <c r="E321" s="35" t="inlineStr">
        <is>
          <t>1 — Горячий</t>
        </is>
      </c>
      <c r="F321" s="41" t="n">
        <v>33600</v>
      </c>
      <c r="G321" s="34" t="inlineStr">
        <is>
          <t>Юнусова</t>
        </is>
      </c>
      <c r="H321" s="34" t="n"/>
      <c r="I321" s="34" t="inlineStr">
        <is>
          <t>В работе</t>
        </is>
      </c>
      <c r="J321" s="34" t="n"/>
      <c r="K321" s="34" t="n"/>
    </row>
    <row r="322">
      <c r="A322" s="35" t="inlineStr">
        <is>
          <t>3816036783</t>
        </is>
      </c>
      <c r="B322" s="35" t="inlineStr">
        <is>
          <t>Общество с ограниченной ответственностью "МНОГОФУНКЦИОНАЛЬНОЕ ТРАНСПОРТНОЕ ПРЕДПРИЯТИЕ"</t>
        </is>
      </c>
      <c r="C322" s="35" t="inlineStr">
        <is>
          <t>49.31.21</t>
        </is>
      </c>
      <c r="D322" s="35" t="n">
        <v>48</v>
      </c>
      <c r="E322" s="35" t="inlineStr">
        <is>
          <t>1 — Горячий</t>
        </is>
      </c>
      <c r="F322" s="41" t="n">
        <v>16800</v>
      </c>
      <c r="G322" s="34" t="inlineStr">
        <is>
          <t>Кургузов</t>
        </is>
      </c>
      <c r="H322" s="34" t="n"/>
      <c r="I322" s="34" t="inlineStr">
        <is>
          <t>В работе</t>
        </is>
      </c>
      <c r="J322" s="34" t="n"/>
      <c r="K322" s="34" t="n"/>
    </row>
    <row r="323">
      <c r="A323" s="35" t="inlineStr">
        <is>
          <t>3805705993</t>
        </is>
      </c>
      <c r="B323" s="35" t="inlineStr">
        <is>
          <t>Общество с ограниченной ответственностью НАУЧНО-МЕДИЦИНСКИЙ ЦЕНТР "ФЕНИКС"</t>
        </is>
      </c>
      <c r="C323" s="35" t="inlineStr">
        <is>
          <t>86.21</t>
        </is>
      </c>
      <c r="D323" s="35" t="n">
        <v>52</v>
      </c>
      <c r="E323" s="35" t="inlineStr">
        <is>
          <t>1 — Горячий</t>
        </is>
      </c>
      <c r="F323" s="41" t="n">
        <v>33600</v>
      </c>
      <c r="G323" s="34" t="inlineStr">
        <is>
          <t>Оглоблина</t>
        </is>
      </c>
      <c r="H323" s="34" t="n"/>
      <c r="I323" s="34" t="inlineStr">
        <is>
          <t>В работе</t>
        </is>
      </c>
      <c r="J323" s="34" t="n"/>
      <c r="K323" s="34" t="n"/>
    </row>
    <row r="324">
      <c r="A324" s="35" t="inlineStr">
        <is>
          <t>3810034451</t>
        </is>
      </c>
      <c r="B324" s="35" t="inlineStr">
        <is>
          <t>ООО "ВТОРМА-БАЙКАЛ"</t>
        </is>
      </c>
      <c r="C324" s="35" t="inlineStr">
        <is>
          <t>03.12</t>
        </is>
      </c>
      <c r="D324" s="35" t="n">
        <v>33</v>
      </c>
      <c r="E324" s="35" t="inlineStr">
        <is>
          <t>1 — Горячий</t>
        </is>
      </c>
      <c r="F324" s="41" t="n">
        <v>16800</v>
      </c>
      <c r="G324" s="34" t="inlineStr">
        <is>
          <t>Юнусова</t>
        </is>
      </c>
      <c r="H324" s="34" t="n"/>
      <c r="I324" s="34" t="inlineStr">
        <is>
          <t>В работе</t>
        </is>
      </c>
      <c r="J324" s="34" t="n"/>
      <c r="K324" s="34" t="n"/>
    </row>
    <row r="325">
      <c r="A325" s="35" t="inlineStr">
        <is>
          <t>3837002418</t>
        </is>
      </c>
      <c r="B325" s="35" t="inlineStr">
        <is>
          <t>ООО "Байкальский Горнолыжный Курорт "Гора Соболиная"</t>
        </is>
      </c>
      <c r="C325" s="35" t="inlineStr">
        <is>
          <t>55.10</t>
        </is>
      </c>
      <c r="D325" s="35" t="n">
        <v>213</v>
      </c>
      <c r="E325" s="35" t="inlineStr">
        <is>
          <t>1 — Горячий</t>
        </is>
      </c>
      <c r="F325" s="41" t="n">
        <v>144000</v>
      </c>
      <c r="G325" s="34" t="inlineStr">
        <is>
          <t>Кургузов</t>
        </is>
      </c>
      <c r="H325" s="34" t="n"/>
      <c r="I325" s="34" t="inlineStr">
        <is>
          <t>В работе</t>
        </is>
      </c>
      <c r="J325" s="34" t="n"/>
      <c r="K325" s="34" t="n"/>
    </row>
    <row r="326">
      <c r="A326" s="35" t="inlineStr">
        <is>
          <t>7705867941</t>
        </is>
      </c>
      <c r="B326" s="35" t="inlineStr">
        <is>
          <t>М2М-ТРЕЙД ООО</t>
        </is>
      </c>
      <c r="C326" s="35" t="inlineStr">
        <is>
          <t>63.11.1</t>
        </is>
      </c>
      <c r="D326" s="35" t="n">
        <v>40</v>
      </c>
      <c r="E326" s="35" t="inlineStr">
        <is>
          <t>1 — Горячий</t>
        </is>
      </c>
      <c r="F326" s="41" t="n">
        <v>16800</v>
      </c>
      <c r="G326" s="34" t="inlineStr">
        <is>
          <t>Оглоблина</t>
        </is>
      </c>
      <c r="H326" s="34" t="n"/>
      <c r="I326" s="34" t="inlineStr">
        <is>
          <t>В работе</t>
        </is>
      </c>
      <c r="J326" s="34" t="n"/>
      <c r="K326" s="34" t="n"/>
    </row>
    <row r="327">
      <c r="A327" s="35" t="inlineStr">
        <is>
          <t>3849021951</t>
        </is>
      </c>
      <c r="B327" s="35" t="inlineStr">
        <is>
          <t>ЗАО "Новые Дороги"</t>
        </is>
      </c>
      <c r="C327" s="35" t="inlineStr">
        <is>
          <t>42.11</t>
        </is>
      </c>
      <c r="D327" s="35" t="n">
        <v>127</v>
      </c>
      <c r="E327" s="35" t="inlineStr">
        <is>
          <t>1 — Горячий</t>
        </is>
      </c>
      <c r="F327" s="41" t="n">
        <v>62400</v>
      </c>
      <c r="G327" s="34" t="inlineStr">
        <is>
          <t>Юнусова</t>
        </is>
      </c>
      <c r="H327" s="34" t="n"/>
      <c r="I327" s="34" t="inlineStr">
        <is>
          <t>В работе</t>
        </is>
      </c>
      <c r="J327" s="34" t="n"/>
      <c r="K327" s="34" t="n"/>
    </row>
    <row r="328">
      <c r="A328" s="35" t="inlineStr">
        <is>
          <t>5506145955</t>
        </is>
      </c>
      <c r="B328" s="35" t="inlineStr">
        <is>
          <t>ООО "ПОЛЮС АВТОМАТИКА"</t>
        </is>
      </c>
      <c r="C328" s="35" t="inlineStr">
        <is>
          <t>27.12</t>
        </is>
      </c>
      <c r="D328" s="35" t="n">
        <v>59</v>
      </c>
      <c r="E328" s="35" t="inlineStr">
        <is>
          <t>1 — Горячий</t>
        </is>
      </c>
      <c r="F328" s="41" t="n">
        <v>33600</v>
      </c>
      <c r="G328" s="34" t="inlineStr">
        <is>
          <t>Кургузов</t>
        </is>
      </c>
      <c r="H328" s="34" t="n"/>
      <c r="I328" s="34" t="inlineStr">
        <is>
          <t>В работе</t>
        </is>
      </c>
      <c r="J328" s="34" t="n"/>
      <c r="K328" s="34" t="n"/>
    </row>
    <row r="329">
      <c r="A329" s="35" t="inlineStr">
        <is>
          <t>3849102657</t>
        </is>
      </c>
      <c r="B329" s="35" t="inlineStr">
        <is>
          <t>Общество с ограниченной ответственностью "АПЕЛЬСИН"</t>
        </is>
      </c>
      <c r="C329" s="35" t="inlineStr">
        <is>
          <t>93.29.9</t>
        </is>
      </c>
      <c r="D329" s="35" t="n">
        <v>54</v>
      </c>
      <c r="E329" s="35" t="inlineStr">
        <is>
          <t>1 — Горячий</t>
        </is>
      </c>
      <c r="F329" s="41" t="n">
        <v>33600</v>
      </c>
      <c r="G329" s="34" t="inlineStr">
        <is>
          <t>Оглоблина</t>
        </is>
      </c>
      <c r="H329" s="34" t="n"/>
      <c r="I329" s="34" t="inlineStr">
        <is>
          <t>В работе</t>
        </is>
      </c>
      <c r="J329" s="34" t="n"/>
      <c r="K329" s="34" t="n"/>
    </row>
    <row r="330">
      <c r="A330" s="35" t="inlineStr">
        <is>
          <t>3811070879</t>
        </is>
      </c>
      <c r="B330" s="35" t="inlineStr">
        <is>
          <t>ООО "АВАКОН"</t>
        </is>
      </c>
      <c r="C330" s="35" t="inlineStr">
        <is>
          <t>38.12</t>
        </is>
      </c>
      <c r="D330" s="35" t="n">
        <v>192</v>
      </c>
      <c r="E330" s="35" t="inlineStr">
        <is>
          <t>1 — Горячий</t>
        </is>
      </c>
      <c r="F330" s="41" t="n">
        <v>62400</v>
      </c>
      <c r="G330" s="34" t="inlineStr">
        <is>
          <t>Юнусова</t>
        </is>
      </c>
      <c r="H330" s="34" t="n"/>
      <c r="I330" s="34" t="inlineStr">
        <is>
          <t>В работе</t>
        </is>
      </c>
      <c r="J330" s="34" t="n"/>
      <c r="K330" s="34" t="n"/>
    </row>
    <row r="331">
      <c r="A331" s="35" t="inlineStr">
        <is>
          <t>3460086588</t>
        </is>
      </c>
      <c r="B331" s="35" t="inlineStr">
        <is>
          <t>Общество с ограниченной ответственностью "МАНДАРИН"</t>
        </is>
      </c>
      <c r="C331" s="35" t="inlineStr">
        <is>
          <t>93.29.9</t>
        </is>
      </c>
      <c r="D331" s="35" t="n">
        <v>36</v>
      </c>
      <c r="E331" s="35" t="inlineStr">
        <is>
          <t>1 — Горячий</t>
        </is>
      </c>
      <c r="F331" s="41" t="n">
        <v>16800</v>
      </c>
      <c r="G331" s="34" t="inlineStr">
        <is>
          <t>Кургузов</t>
        </is>
      </c>
      <c r="H331" s="34" t="n"/>
      <c r="I331" s="34" t="inlineStr">
        <is>
          <t>В работе</t>
        </is>
      </c>
      <c r="J331" s="34" t="n"/>
      <c r="K331" s="34" t="n"/>
    </row>
    <row r="332">
      <c r="A332" s="35" t="inlineStr">
        <is>
          <t>6500020126</t>
        </is>
      </c>
      <c r="B332" s="35" t="inlineStr">
        <is>
          <t>Акционерное общество "ПОРОНАЙСКОЕ ДОРОЖНОЕ РЕМОНТНО-СТРОИТЕЛЬНОЕ УПРАВЛЕНИЕ"</t>
        </is>
      </c>
      <c r="C332" s="35" t="inlineStr">
        <is>
          <t>52.21.22</t>
        </is>
      </c>
      <c r="D332" s="35" t="n">
        <v>95</v>
      </c>
      <c r="E332" s="35" t="inlineStr">
        <is>
          <t>1 — Горячий</t>
        </is>
      </c>
      <c r="F332" s="41" t="n">
        <v>33600</v>
      </c>
      <c r="G332" s="34" t="inlineStr">
        <is>
          <t>Оглоблина</t>
        </is>
      </c>
      <c r="H332" s="34" t="n"/>
      <c r="I332" s="34" t="inlineStr">
        <is>
          <t>В работе</t>
        </is>
      </c>
      <c r="J332" s="34" t="n"/>
      <c r="K332" s="34" t="n"/>
    </row>
    <row r="333">
      <c r="A333" s="35" t="inlineStr">
        <is>
          <t>3816032796</t>
        </is>
      </c>
      <c r="B333" s="35" t="inlineStr">
        <is>
          <t>Общество с ограниченной ответственностью "СУПЕР"</t>
        </is>
      </c>
      <c r="C333" s="35" t="inlineStr">
        <is>
          <t>47.11</t>
        </is>
      </c>
      <c r="D333" s="35" t="n">
        <v>36</v>
      </c>
      <c r="E333" s="35" t="inlineStr">
        <is>
          <t>1 — Горячий</t>
        </is>
      </c>
      <c r="F333" s="41" t="n">
        <v>16800</v>
      </c>
      <c r="G333" s="34" t="inlineStr">
        <is>
          <t>Юнусова</t>
        </is>
      </c>
      <c r="H333" s="34" t="n"/>
      <c r="I333" s="34" t="inlineStr">
        <is>
          <t>В работе</t>
        </is>
      </c>
      <c r="J333" s="34" t="n"/>
      <c r="K333" s="34" t="n"/>
    </row>
    <row r="334">
      <c r="A334" s="35" t="inlineStr">
        <is>
          <t>6671213128</t>
        </is>
      </c>
      <c r="B334" s="35" t="inlineStr">
        <is>
          <t>Акционерное общество "ПАНЕЛИ"</t>
        </is>
      </c>
      <c r="C334" s="35" t="inlineStr">
        <is>
          <t>16.21</t>
        </is>
      </c>
      <c r="D334" s="35" t="n">
        <v>44</v>
      </c>
      <c r="E334" s="35" t="inlineStr">
        <is>
          <t>1 — Горячий</t>
        </is>
      </c>
      <c r="F334" s="41" t="n">
        <v>16800</v>
      </c>
      <c r="G334" s="34" t="inlineStr">
        <is>
          <t>Кургузов</t>
        </is>
      </c>
      <c r="H334" s="34" t="n"/>
      <c r="I334" s="34" t="inlineStr">
        <is>
          <t>В работе</t>
        </is>
      </c>
      <c r="J334" s="34" t="n"/>
      <c r="K334" s="34" t="n"/>
    </row>
    <row r="335">
      <c r="A335" s="35" t="inlineStr">
        <is>
          <t>3810060109</t>
        </is>
      </c>
      <c r="B335" s="35" t="inlineStr">
        <is>
          <t>ОБЩЕСТВО С ОГРАНИЧЕННОЙ ОТВЕТСТВЕННОСТЬЮ "КОМПАНИЯ БЕЛЫЙ БАБР"</t>
        </is>
      </c>
      <c r="C335" s="35" t="inlineStr">
        <is>
          <t>56.29.2</t>
        </is>
      </c>
      <c r="D335" s="35" t="n">
        <v>49</v>
      </c>
      <c r="E335" s="35" t="inlineStr">
        <is>
          <t>1 — Горячий</t>
        </is>
      </c>
      <c r="F335" s="41" t="n">
        <v>16800</v>
      </c>
      <c r="G335" s="34" t="inlineStr">
        <is>
          <t>Оглоблина</t>
        </is>
      </c>
      <c r="H335" s="34" t="n"/>
      <c r="I335" s="34" t="inlineStr">
        <is>
          <t>В работе</t>
        </is>
      </c>
      <c r="J335" s="34" t="n"/>
      <c r="K335" s="34" t="n"/>
    </row>
    <row r="336">
      <c r="A336" s="35" t="inlineStr">
        <is>
          <t>3812023430</t>
        </is>
      </c>
      <c r="B336" s="35" t="inlineStr">
        <is>
          <t>Форус НПФ ООО</t>
        </is>
      </c>
      <c r="C336" s="35" t="inlineStr">
        <is>
          <t>62.01</t>
        </is>
      </c>
      <c r="D336" s="35" t="n">
        <v>272</v>
      </c>
      <c r="E336" s="35" t="inlineStr">
        <is>
          <t>1 — Горячий</t>
        </is>
      </c>
      <c r="F336" s="41" t="n">
        <v>144000</v>
      </c>
      <c r="G336" s="34" t="inlineStr">
        <is>
          <t>Юнусова</t>
        </is>
      </c>
      <c r="H336" s="34" t="n"/>
      <c r="I336" s="34" t="inlineStr">
        <is>
          <t>В работе</t>
        </is>
      </c>
      <c r="J336" s="34" t="n"/>
      <c r="K336" s="34" t="n"/>
    </row>
    <row r="337">
      <c r="A337" s="35" t="inlineStr">
        <is>
          <t>2543136230</t>
        </is>
      </c>
      <c r="B337" s="35" t="inlineStr">
        <is>
          <t>ОБЩЕСТВО С ОГРАНИЧЕННОЙ ОТВЕТСТВЕННОСТЬЮ "КВАНТ РИТЕЙЛ"</t>
        </is>
      </c>
      <c r="C337" s="35" t="inlineStr">
        <is>
          <t>47.11</t>
        </is>
      </c>
      <c r="D337" s="35" t="n">
        <v>336</v>
      </c>
      <c r="E337" s="35" t="inlineStr">
        <is>
          <t>1 — Горячий</t>
        </is>
      </c>
      <c r="F337" s="41" t="n">
        <v>144000</v>
      </c>
      <c r="G337" s="34" t="inlineStr">
        <is>
          <t>Кургузов</t>
        </is>
      </c>
      <c r="H337" s="34" t="n"/>
      <c r="I337" s="34" t="inlineStr">
        <is>
          <t>В работе</t>
        </is>
      </c>
      <c r="J337" s="34" t="n"/>
      <c r="K337" s="34" t="n"/>
    </row>
    <row r="338">
      <c r="A338" s="35" t="inlineStr">
        <is>
          <t>2506009964</t>
        </is>
      </c>
      <c r="B338" s="35" t="inlineStr">
        <is>
          <t>ОБЩЕСТВО С ОГРАНИЧЕННОЙ ОТВЕТСТВЕННОСТЬЮ "ДА ЛИ"</t>
        </is>
      </c>
      <c r="C338" s="35" t="inlineStr">
        <is>
          <t>01.11</t>
        </is>
      </c>
      <c r="D338" s="35" t="n">
        <v>25</v>
      </c>
      <c r="E338" s="35" t="inlineStr">
        <is>
          <t>1 — Горячий</t>
        </is>
      </c>
      <c r="F338" s="41" t="n">
        <v>8400</v>
      </c>
      <c r="G338" s="34" t="inlineStr">
        <is>
          <t>Оглоблина</t>
        </is>
      </c>
      <c r="H338" s="34" t="n"/>
      <c r="I338" s="34" t="inlineStr">
        <is>
          <t>В работе</t>
        </is>
      </c>
      <c r="J338" s="34" t="n"/>
      <c r="K338" s="34" t="n"/>
    </row>
    <row r="339">
      <c r="A339" s="35" t="inlineStr">
        <is>
          <t>3811094686</t>
        </is>
      </c>
      <c r="B339" s="35" t="inlineStr">
        <is>
          <t>ООО "ВОСТСИБТРАНС"</t>
        </is>
      </c>
      <c r="C339" s="35" t="inlineStr">
        <is>
          <t>49.20</t>
        </is>
      </c>
      <c r="D339" s="35" t="n">
        <v>63</v>
      </c>
      <c r="E339" s="35" t="inlineStr">
        <is>
          <t>1 — Горячий</t>
        </is>
      </c>
      <c r="F339" s="41" t="n">
        <v>33600</v>
      </c>
      <c r="G339" s="34" t="inlineStr">
        <is>
          <t>Юнусова</t>
        </is>
      </c>
      <c r="H339" s="34" t="n"/>
      <c r="I339" s="34" t="inlineStr">
        <is>
          <t>В работе</t>
        </is>
      </c>
      <c r="J339" s="34" t="n"/>
      <c r="K339" s="34" t="n"/>
    </row>
    <row r="340">
      <c r="A340" s="35" t="inlineStr">
        <is>
          <t>3808135220</t>
        </is>
      </c>
      <c r="B340" s="35" t="inlineStr">
        <is>
          <t>Иркут Взрывпром</t>
        </is>
      </c>
      <c r="C340" s="35" t="inlineStr">
        <is>
          <t>43.11</t>
        </is>
      </c>
      <c r="D340" s="35" t="n">
        <v>53</v>
      </c>
      <c r="E340" s="35" t="inlineStr">
        <is>
          <t>1 — Горячий</t>
        </is>
      </c>
      <c r="F340" s="41" t="n">
        <v>33600</v>
      </c>
      <c r="G340" s="34" t="inlineStr">
        <is>
          <t>Кургузов</t>
        </is>
      </c>
      <c r="H340" s="34" t="n"/>
      <c r="I340" s="34" t="inlineStr">
        <is>
          <t>В работе</t>
        </is>
      </c>
      <c r="J340" s="34" t="n"/>
      <c r="K340" s="34" t="n"/>
    </row>
    <row r="341">
      <c r="A341" s="35" t="inlineStr">
        <is>
          <t>3812009161</t>
        </is>
      </c>
      <c r="B341" s="35" t="inlineStr">
        <is>
          <t>Акционерное общество "Иркутск-Автоваз"</t>
        </is>
      </c>
      <c r="C341" s="35" t="inlineStr">
        <is>
          <t>45.11.2</t>
        </is>
      </c>
      <c r="D341" s="35" t="n">
        <v>75</v>
      </c>
      <c r="E341" s="35" t="inlineStr">
        <is>
          <t>1 — Горячий</t>
        </is>
      </c>
      <c r="F341" s="41" t="n">
        <v>33600</v>
      </c>
      <c r="G341" s="34" t="inlineStr">
        <is>
          <t>Оглоблина</t>
        </is>
      </c>
      <c r="H341" s="34" t="n"/>
      <c r="I341" s="34" t="inlineStr">
        <is>
          <t>В работе</t>
        </is>
      </c>
      <c r="J341" s="34" t="n"/>
      <c r="K341" s="34" t="n"/>
    </row>
    <row r="342">
      <c r="A342" s="35" t="inlineStr">
        <is>
          <t>3808234566</t>
        </is>
      </c>
      <c r="B342" s="35" t="inlineStr">
        <is>
          <t>ОТЕЛЬ ИРКУТСК ООО</t>
        </is>
      </c>
      <c r="C342" s="35" t="inlineStr">
        <is>
          <t>55.10</t>
        </is>
      </c>
      <c r="D342" s="35" t="n">
        <v>56</v>
      </c>
      <c r="E342" s="35" t="inlineStr">
        <is>
          <t>1 — Горячий</t>
        </is>
      </c>
      <c r="F342" s="41" t="n">
        <v>33600</v>
      </c>
      <c r="G342" s="34" t="inlineStr">
        <is>
          <t>Юнусова</t>
        </is>
      </c>
      <c r="H342" s="34" t="n"/>
      <c r="I342" s="34" t="inlineStr">
        <is>
          <t>В работе</t>
        </is>
      </c>
      <c r="J342" s="34" t="n"/>
      <c r="K342" s="34" t="n"/>
    </row>
    <row r="343">
      <c r="A343" s="35" t="inlineStr">
        <is>
          <t>3843003593</t>
        </is>
      </c>
      <c r="B343" s="35" t="inlineStr">
        <is>
          <t>ООО "БАЙКАЛЬСКИЕ МИНЕРАЛЫ"</t>
        </is>
      </c>
      <c r="C343" s="35" t="inlineStr">
        <is>
          <t>23.70.3</t>
        </is>
      </c>
      <c r="D343" s="35" t="n">
        <v>105</v>
      </c>
      <c r="E343" s="35" t="inlineStr">
        <is>
          <t>1 — Горячий</t>
        </is>
      </c>
      <c r="F343" s="41" t="n">
        <v>62400</v>
      </c>
      <c r="G343" s="34" t="inlineStr">
        <is>
          <t>Кургузов</t>
        </is>
      </c>
      <c r="H343" s="34" t="n"/>
      <c r="I343" s="34" t="inlineStr">
        <is>
          <t>В работе</t>
        </is>
      </c>
      <c r="J343" s="34" t="n"/>
      <c r="K343" s="34" t="n"/>
    </row>
    <row r="344">
      <c r="A344" s="35" t="inlineStr">
        <is>
          <t>3802007817</t>
        </is>
      </c>
      <c r="B344" s="35" t="inlineStr">
        <is>
          <t>Артель старателей Витим</t>
        </is>
      </c>
      <c r="C344" s="35" t="inlineStr">
        <is>
          <t>07.29.41</t>
        </is>
      </c>
      <c r="D344" s="35" t="n">
        <v>1424</v>
      </c>
      <c r="E344" s="35" t="inlineStr">
        <is>
          <t>1 — Горячий</t>
        </is>
      </c>
      <c r="F344" s="41" t="n">
        <v>528000</v>
      </c>
      <c r="G344" s="34" t="inlineStr">
        <is>
          <t>Оглоблина</t>
        </is>
      </c>
      <c r="H344" s="34" t="n"/>
      <c r="I344" s="34" t="inlineStr">
        <is>
          <t>В работе</t>
        </is>
      </c>
      <c r="J344" s="34" t="n"/>
      <c r="K344" s="34" t="n"/>
    </row>
    <row r="345">
      <c r="A345" s="35" t="inlineStr">
        <is>
          <t>3851025449</t>
        </is>
      </c>
      <c r="B345" s="35" t="inlineStr">
        <is>
          <t>Общество с ограниченной ответственностью "ФАРМ ФЭМИЛИ"</t>
        </is>
      </c>
      <c r="C345" s="35" t="inlineStr">
        <is>
          <t>47.73</t>
        </is>
      </c>
      <c r="D345" s="35" t="n">
        <v>23</v>
      </c>
      <c r="E345" s="35" t="inlineStr">
        <is>
          <t>1 — Горячий</t>
        </is>
      </c>
      <c r="F345" s="41" t="n">
        <v>8400</v>
      </c>
      <c r="G345" s="34" t="inlineStr">
        <is>
          <t>Юнусова</t>
        </is>
      </c>
      <c r="H345" s="34" t="n"/>
      <c r="I345" s="34" t="inlineStr">
        <is>
          <t>В работе</t>
        </is>
      </c>
      <c r="J345" s="34" t="n"/>
      <c r="K345" s="34" t="n"/>
    </row>
    <row r="346">
      <c r="A346" s="35" t="inlineStr">
        <is>
          <t>7723890541</t>
        </is>
      </c>
      <c r="B346" s="35" t="inlineStr">
        <is>
          <t>ОБЩЕСТВО С ОГРАНИЧЕННОЙ ОТВЕТСТВЕННОСТЬЮ "МОБИУС ТЕХНОЛОГИИ"</t>
        </is>
      </c>
      <c r="C346" s="35" t="inlineStr">
        <is>
          <t>62.03</t>
        </is>
      </c>
      <c r="D346" s="35" t="n">
        <v>183</v>
      </c>
      <c r="E346" s="35" t="inlineStr">
        <is>
          <t>1 — Горячий</t>
        </is>
      </c>
      <c r="F346" s="41" t="n">
        <v>62400</v>
      </c>
      <c r="G346" s="34" t="inlineStr">
        <is>
          <t>Кургузов</t>
        </is>
      </c>
      <c r="H346" s="34" t="n"/>
      <c r="I346" s="34" t="inlineStr">
        <is>
          <t>В работе</t>
        </is>
      </c>
      <c r="J346" s="34" t="n"/>
      <c r="K346" s="34" t="n"/>
    </row>
    <row r="347">
      <c r="A347" s="35" t="inlineStr">
        <is>
          <t>3811142410</t>
        </is>
      </c>
      <c r="B347" s="35" t="inlineStr">
        <is>
          <t>ООО "УКМ Новый город"</t>
        </is>
      </c>
      <c r="C347" s="35" t="inlineStr">
        <is>
          <t>68.32</t>
        </is>
      </c>
      <c r="D347" s="35" t="n">
        <v>43</v>
      </c>
      <c r="E347" s="35" t="inlineStr">
        <is>
          <t>1 — Горячий</t>
        </is>
      </c>
      <c r="F347" s="41" t="n">
        <v>16800</v>
      </c>
      <c r="G347" s="34" t="inlineStr">
        <is>
          <t>Оглоблина</t>
        </is>
      </c>
      <c r="H347" s="34" t="n"/>
      <c r="I347" s="34" t="inlineStr">
        <is>
          <t>В работе</t>
        </is>
      </c>
      <c r="J347" s="34" t="n"/>
      <c r="K347" s="34" t="n"/>
    </row>
    <row r="348">
      <c r="A348" s="35" t="inlineStr">
        <is>
          <t>3810021318</t>
        </is>
      </c>
      <c r="B348" s="35" t="inlineStr">
        <is>
          <t>ОБЩЕСТВО С ОГРАНИЧЕННОЙ ОТВЕТСТВЕННОСТЬЮ "ЖЕЛДОР-СЕРВИС"</t>
        </is>
      </c>
      <c r="C348" s="35" t="inlineStr">
        <is>
          <t>49.20</t>
        </is>
      </c>
      <c r="D348" s="35" t="n">
        <v>44</v>
      </c>
      <c r="E348" s="35" t="inlineStr">
        <is>
          <t>1 — Горячий</t>
        </is>
      </c>
      <c r="F348" s="41" t="n">
        <v>16800</v>
      </c>
      <c r="G348" s="34" t="inlineStr">
        <is>
          <t>Юнусова</t>
        </is>
      </c>
      <c r="H348" s="34" t="n"/>
      <c r="I348" s="34" t="inlineStr">
        <is>
          <t>В работе</t>
        </is>
      </c>
      <c r="J348" s="34" t="n"/>
      <c r="K348" s="34" t="n"/>
    </row>
    <row r="349">
      <c r="A349" s="35" t="inlineStr">
        <is>
          <t>3801084537</t>
        </is>
      </c>
      <c r="B349" s="35" t="inlineStr">
        <is>
          <t>ООО «ЭНРОН Групп»</t>
        </is>
      </c>
      <c r="C349" s="35" t="inlineStr">
        <is>
          <t>46.71.1</t>
        </is>
      </c>
      <c r="D349" s="35" t="n">
        <v>68</v>
      </c>
      <c r="E349" s="35" t="inlineStr">
        <is>
          <t>1 — Горячий</t>
        </is>
      </c>
      <c r="F349" s="41" t="n">
        <v>33600</v>
      </c>
      <c r="G349" s="34" t="inlineStr">
        <is>
          <t>Кургузов</t>
        </is>
      </c>
      <c r="H349" s="34" t="n"/>
      <c r="I349" s="34" t="inlineStr">
        <is>
          <t>В работе</t>
        </is>
      </c>
      <c r="J349" s="34" t="n"/>
      <c r="K349" s="34" t="n"/>
    </row>
  </sheetData>
  <autoFilter ref="A4:K349"/>
  <dataValidations count="2">
    <dataValidation sqref="G5:G349" showDropDown="0" showInputMessage="0" showErrorMessage="0" allowBlank="1" type="list">
      <formula1>"Оглоблина,Юнусова,Кургузов"</formula1>
    </dataValidation>
    <dataValidation sqref="I5:I349" showDropDown="0" showInputMessage="0" showErrorMessage="0" allowBlank="1" type="list">
      <formula1>"Новый,В работе,Переговоры,Демо,Счёт,Оплата,Отказ,Отложено"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12" customWidth="1" style="24" min="2" max="2"/>
    <col width="12" customWidth="1" style="24" min="3" max="3"/>
    <col width="12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2" t="inlineStr">
        <is>
          <t>План продаж — сценарии 4 / 6 / 9 и воронка по источникам</t>
        </is>
      </c>
    </row>
    <row r="2">
      <c r="A2" t="inlineStr">
        <is>
          <t>Прогноз воронки (гипотеза) и коммерческий план — разные показатели. Excel показывает разрыв и требуемую конверсию.</t>
        </is>
      </c>
    </row>
    <row r="4">
      <c r="A4" s="38" t="inlineStr">
        <is>
          <t>Сценарий</t>
        </is>
      </c>
      <c r="B4" s="38" t="inlineStr">
        <is>
          <t>Лидов/мес</t>
        </is>
      </c>
      <c r="C4" s="38" t="inlineStr">
        <is>
          <t>→ переговоры</t>
        </is>
      </c>
      <c r="D4" s="38" t="inlineStr">
        <is>
          <t>→ демо</t>
        </is>
      </c>
      <c r="E4" s="38" t="inlineStr">
        <is>
          <t>→ сделка</t>
        </is>
      </c>
      <c r="F4" s="38" t="inlineStr">
        <is>
          <t>→ оплата</t>
        </is>
      </c>
      <c r="G4" s="38" t="inlineStr">
        <is>
          <t>Общая конв.</t>
        </is>
      </c>
      <c r="H4" s="38" t="inlineStr">
        <is>
          <t>Прогноз оплат</t>
        </is>
      </c>
      <c r="I4" s="38" t="inlineStr">
        <is>
          <t>Целевые продажи</t>
        </is>
      </c>
      <c r="J4" s="38" t="inlineStr">
        <is>
          <t>Требуемая конв. для плана</t>
        </is>
      </c>
      <c r="K4" s="38" t="inlineStr">
        <is>
          <t>Лидов для плана при текущей конв.</t>
        </is>
      </c>
      <c r="L4" s="38" t="inlineStr">
        <is>
          <t>Выручка по плану</t>
        </is>
      </c>
      <c r="M4" s="38" t="inlineStr">
        <is>
          <t>Маржа по плану</t>
        </is>
      </c>
      <c r="N4" s="38" t="inlineStr">
        <is>
          <t>Премия по плану</t>
        </is>
      </c>
    </row>
    <row r="5">
      <c r="A5" t="inlineStr">
        <is>
          <t>Малый</t>
        </is>
      </c>
      <c r="B5" s="35">
        <f>'01_Исходные_данные'!B14</f>
        <v/>
      </c>
      <c r="C5" s="43">
        <f>'01_Исходные_данные'!B15</f>
        <v/>
      </c>
      <c r="D5" s="43">
        <f>'01_Исходные_данные'!B16</f>
        <v/>
      </c>
      <c r="E5" s="43">
        <f>'01_Исходные_данные'!B17</f>
        <v/>
      </c>
      <c r="F5" s="43">
        <f>'01_Исходные_данные'!B18</f>
        <v/>
      </c>
      <c r="G5" s="43">
        <f>C5*D5*E5*F5</f>
        <v/>
      </c>
      <c r="H5" s="56">
        <f>B5*G5</f>
        <v/>
      </c>
      <c r="I5" s="56">
        <f>'01_Исходные_данные'!B20</f>
        <v/>
      </c>
      <c r="J5" s="43">
        <f>IF(B5=0,0,I5/B5)</f>
        <v/>
      </c>
      <c r="K5" s="56">
        <f>IF(G5=0,0,I5/G5)</f>
        <v/>
      </c>
      <c r="L5" s="41">
        <f>I5*'01_Исходные_данные'!B5</f>
        <v/>
      </c>
      <c r="M5" s="41">
        <f>I5*'01_Исходные_данные'!B7</f>
        <v/>
      </c>
      <c r="N5" s="41">
        <f>M5*'01_Исходные_данные'!B24</f>
        <v/>
      </c>
    </row>
    <row r="6">
      <c r="A6" t="inlineStr">
        <is>
          <t>Средний</t>
        </is>
      </c>
      <c r="B6" s="35">
        <f>'01_Исходные_данные'!C14</f>
        <v/>
      </c>
      <c r="C6" s="43">
        <f>'01_Исходные_данные'!C15</f>
        <v/>
      </c>
      <c r="D6" s="43">
        <f>'01_Исходные_данные'!C16</f>
        <v/>
      </c>
      <c r="E6" s="43">
        <f>'01_Исходные_данные'!C17</f>
        <v/>
      </c>
      <c r="F6" s="43">
        <f>'01_Исходные_данные'!C18</f>
        <v/>
      </c>
      <c r="G6" s="43">
        <f>C6*D6*E6*F6</f>
        <v/>
      </c>
      <c r="H6" s="56">
        <f>B6*G6</f>
        <v/>
      </c>
      <c r="I6" s="56">
        <f>'01_Исходные_данные'!C20</f>
        <v/>
      </c>
      <c r="J6" s="43">
        <f>IF(B6=0,0,I6/B6)</f>
        <v/>
      </c>
      <c r="K6" s="56">
        <f>IF(G6=0,0,I6/G6)</f>
        <v/>
      </c>
      <c r="L6" s="41">
        <f>I6*'01_Исходные_данные'!B5</f>
        <v/>
      </c>
      <c r="M6" s="41">
        <f>I6*'01_Исходные_данные'!B7</f>
        <v/>
      </c>
      <c r="N6" s="41">
        <f>M6*'01_Исходные_данные'!C24</f>
        <v/>
      </c>
    </row>
    <row r="7">
      <c r="A7" t="inlineStr">
        <is>
          <t>Большой</t>
        </is>
      </c>
      <c r="B7" s="35">
        <f>'01_Исходные_данные'!D14</f>
        <v/>
      </c>
      <c r="C7" s="43">
        <f>'01_Исходные_данные'!D15</f>
        <v/>
      </c>
      <c r="D7" s="43">
        <f>'01_Исходные_данные'!D16</f>
        <v/>
      </c>
      <c r="E7" s="43">
        <f>'01_Исходные_данные'!D17</f>
        <v/>
      </c>
      <c r="F7" s="43">
        <f>'01_Исходные_данные'!D18</f>
        <v/>
      </c>
      <c r="G7" s="43">
        <f>C7*D7*E7*F7</f>
        <v/>
      </c>
      <c r="H7" s="56">
        <f>B7*G7</f>
        <v/>
      </c>
      <c r="I7" s="56">
        <f>'01_Исходные_данные'!D20</f>
        <v/>
      </c>
      <c r="J7" s="43">
        <f>IF(B7=0,0,I7/B7)</f>
        <v/>
      </c>
      <c r="K7" s="56">
        <f>IF(G7=0,0,I7/G7)</f>
        <v/>
      </c>
      <c r="L7" s="41">
        <f>I7*'01_Исходные_данные'!B5</f>
        <v/>
      </c>
      <c r="M7" s="41">
        <f>I7*'01_Исходные_данные'!B7</f>
        <v/>
      </c>
      <c r="N7" s="41">
        <f>M7*'01_Исходные_данные'!D24</f>
        <v/>
      </c>
    </row>
    <row r="9">
      <c r="A9" s="33" t="inlineStr">
        <is>
          <t>План команды</t>
        </is>
      </c>
    </row>
    <row r="10">
      <c r="A10" s="38" t="inlineStr">
        <is>
          <t>Сценарий</t>
        </is>
      </c>
      <c r="B10" s="38" t="inlineStr">
        <is>
          <t>Менеджеров</t>
        </is>
      </c>
      <c r="C10" s="38" t="inlineStr">
        <is>
          <t>Продаж/мес</t>
        </is>
      </c>
      <c r="D10" s="38" t="inlineStr">
        <is>
          <t>Выручка/мес</t>
        </is>
      </c>
      <c r="E10" s="38" t="inlineStr">
        <is>
          <t>Маржа/мес</t>
        </is>
      </c>
      <c r="F10" s="38" t="inlineStr">
        <is>
          <t>Премии/мес</t>
        </is>
      </c>
      <c r="G10" s="38" t="inlineStr">
        <is>
          <t>Оклады/мес</t>
        </is>
      </c>
      <c r="H10" s="38" t="inlineStr">
        <is>
          <t>Результат до прочих</t>
        </is>
      </c>
    </row>
    <row r="11">
      <c r="A11" s="35">
        <f>A5</f>
        <v/>
      </c>
      <c r="B11" s="35">
        <f>'01_Исходные_данные'!B31</f>
        <v/>
      </c>
      <c r="C11" s="41">
        <f>I5*B11</f>
        <v/>
      </c>
      <c r="D11" s="41">
        <f>L5*B11</f>
        <v/>
      </c>
      <c r="E11" s="41">
        <f>M5*B11</f>
        <v/>
      </c>
      <c r="F11" s="41">
        <f>N5*B11</f>
        <v/>
      </c>
      <c r="G11" s="41">
        <f>'01_Исходные_данные'!B32</f>
        <v/>
      </c>
      <c r="H11" s="41">
        <f>E11-F11-G11</f>
        <v/>
      </c>
    </row>
    <row r="12">
      <c r="A12" s="35">
        <f>A6</f>
        <v/>
      </c>
      <c r="B12" s="35">
        <f>'01_Исходные_данные'!B31</f>
        <v/>
      </c>
      <c r="C12" s="41">
        <f>I6*B12</f>
        <v/>
      </c>
      <c r="D12" s="41">
        <f>L6*B12</f>
        <v/>
      </c>
      <c r="E12" s="41">
        <f>M6*B12</f>
        <v/>
      </c>
      <c r="F12" s="41">
        <f>N6*B12</f>
        <v/>
      </c>
      <c r="G12" s="41">
        <f>'01_Исходные_данные'!B32</f>
        <v/>
      </c>
      <c r="H12" s="42">
        <f>E12-F12-G12</f>
        <v/>
      </c>
    </row>
    <row r="13">
      <c r="A13" s="35">
        <f>A7</f>
        <v/>
      </c>
      <c r="B13" s="35">
        <f>'01_Исходные_данные'!B31</f>
        <v/>
      </c>
      <c r="C13" s="41">
        <f>I7*B13</f>
        <v/>
      </c>
      <c r="D13" s="41">
        <f>L7*B13</f>
        <v/>
      </c>
      <c r="E13" s="41">
        <f>M7*B13</f>
        <v/>
      </c>
      <c r="F13" s="41">
        <f>N7*B13</f>
        <v/>
      </c>
      <c r="G13" s="41">
        <f>'01_Исходные_данные'!B32</f>
        <v/>
      </c>
      <c r="H13" s="41">
        <f>E13-F13-G13</f>
        <v/>
      </c>
    </row>
    <row r="15">
      <c r="A15" s="33" t="inlineStr">
        <is>
          <t>Воронка по источникам базы (план/модель)</t>
        </is>
      </c>
    </row>
    <row r="16">
      <c r="A16" s="38" t="inlineStr">
        <is>
          <t>Источник</t>
        </is>
      </c>
      <c r="B16" s="38" t="inlineStr">
        <is>
          <t>Обработано</t>
        </is>
      </c>
      <c r="C16" s="38" t="inlineStr">
        <is>
          <t>Переговоры</t>
        </is>
      </c>
      <c r="D16" s="38" t="inlineStr">
        <is>
          <t>Демо</t>
        </is>
      </c>
      <c r="E16" s="38" t="inlineStr">
        <is>
          <t>Сделки</t>
        </is>
      </c>
      <c r="F16" s="38" t="inlineStr">
        <is>
          <t>Оплаты</t>
        </is>
      </c>
      <c r="G16" s="38" t="inlineStr">
        <is>
          <t>Общая конв.</t>
        </is>
      </c>
      <c r="H16" s="38" t="inlineStr">
        <is>
          <t>Выручка</t>
        </is>
      </c>
      <c r="I16" s="38" t="inlineStr">
        <is>
          <t>Маржа</t>
        </is>
      </c>
    </row>
    <row r="17">
      <c r="A17" t="inlineStr">
        <is>
          <t>Наша база</t>
        </is>
      </c>
      <c r="B17" s="34" t="n">
        <v>350</v>
      </c>
      <c r="C17" s="35">
        <f>ROUND(B17*'01_Исходные_данные'!C15,0)</f>
        <v/>
      </c>
      <c r="D17" s="35">
        <f>ROUND(C17*'01_Исходные_данные'!C16,0)</f>
        <v/>
      </c>
      <c r="E17" s="35">
        <f>ROUND(D17*'01_Исходные_данные'!C17,0)</f>
        <v/>
      </c>
      <c r="F17" s="35">
        <f>ROUND(E17*'01_Исходные_данные'!C18,0)</f>
        <v/>
      </c>
      <c r="G17" s="43">
        <f>IF(B17=0,0,F17/B17)</f>
        <v/>
      </c>
      <c r="H17" s="41">
        <f>F17*'01_Исходные_данные'!B5</f>
        <v/>
      </c>
      <c r="I17" s="41">
        <f>F17*'01_Исходные_данные'!B7</f>
        <v/>
      </c>
    </row>
    <row r="18">
      <c r="A18" t="inlineStr">
        <is>
          <t>ОКВЭД</t>
        </is>
      </c>
      <c r="B18" s="34" t="n">
        <v>0</v>
      </c>
      <c r="C18" s="34" t="n">
        <v>0</v>
      </c>
      <c r="D18" s="34" t="n">
        <v>0</v>
      </c>
      <c r="E18" s="34" t="n">
        <v>0</v>
      </c>
      <c r="F18" s="34" t="n">
        <v>0</v>
      </c>
      <c r="G18" s="43">
        <f>IF(B18=0,0,F18/B18)</f>
        <v/>
      </c>
      <c r="H18" s="41">
        <f>F18*'01_Исходные_данные'!B5</f>
        <v/>
      </c>
      <c r="I18" s="41">
        <f>F18*'01_Исходные_данные'!B7</f>
        <v/>
      </c>
    </row>
    <row r="19">
      <c r="A19" t="inlineStr">
        <is>
          <t>Лекторий</t>
        </is>
      </c>
      <c r="B19" s="34" t="n">
        <v>0</v>
      </c>
      <c r="C19" s="34" t="n">
        <v>0</v>
      </c>
      <c r="D19" s="34" t="n">
        <v>0</v>
      </c>
      <c r="E19" s="34" t="n">
        <v>0</v>
      </c>
      <c r="F19" s="34" t="n">
        <v>0</v>
      </c>
      <c r="G19" s="43">
        <f>IF(B19=0,0,F19/B19)</f>
        <v/>
      </c>
      <c r="H19" s="41">
        <f>F19*'01_Исходные_данные'!B5</f>
        <v/>
      </c>
      <c r="I19" s="41">
        <f>F19*'01_Исходные_данные'!B7</f>
        <v/>
      </c>
    </row>
    <row r="20">
      <c r="A20" t="inlineStr">
        <is>
          <t>Входящие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43">
        <f>IF(B20=0,0,F20/B20)</f>
        <v/>
      </c>
      <c r="H20" s="41">
        <f>F20*'01_Исходные_данные'!B5</f>
        <v/>
      </c>
      <c r="I20" s="41">
        <f>F20*'01_Исходные_данные'!B7</f>
        <v/>
      </c>
    </row>
    <row r="21">
      <c r="A21" t="inlineStr">
        <is>
          <t>Партнёры</t>
        </is>
      </c>
      <c r="B21" s="34" t="n">
        <v>0</v>
      </c>
      <c r="C21" s="34" t="n">
        <v>0</v>
      </c>
      <c r="D21" s="34" t="n">
        <v>0</v>
      </c>
      <c r="E21" s="34" t="n">
        <v>0</v>
      </c>
      <c r="F21" s="34" t="n">
        <v>0</v>
      </c>
      <c r="G21" s="43">
        <f>IF(B21=0,0,F21/B21)</f>
        <v/>
      </c>
      <c r="H21" s="41">
        <f>F21*'01_Исходные_данные'!B5</f>
        <v/>
      </c>
      <c r="I21" s="41">
        <f>F21*'01_Исходные_данные'!B7</f>
        <v/>
      </c>
    </row>
    <row r="22">
      <c r="A22" t="inlineStr">
        <is>
          <t>Реклама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43">
        <f>IF(B22=0,0,F22/B22)</f>
        <v/>
      </c>
      <c r="H22" s="41">
        <f>F22*'01_Исходные_данные'!B5</f>
        <v/>
      </c>
      <c r="I22" s="41">
        <f>F22*'01_Исходные_данные'!B7</f>
        <v/>
      </c>
    </row>
    <row r="24">
      <c r="A24" t="inlineStr">
        <is>
          <t>Итого по источникам</t>
        </is>
      </c>
      <c r="B24" s="35">
        <f>SUM(B17:B22)</f>
        <v/>
      </c>
      <c r="C24" s="35">
        <f>SUM(C17:C22)</f>
        <v/>
      </c>
      <c r="D24" s="35">
        <f>SUM(D17:D22)</f>
        <v/>
      </c>
      <c r="E24" s="35">
        <f>SUM(E17:E22)</f>
        <v/>
      </c>
      <c r="F24" s="36">
        <f>SUM(F17:F22)</f>
        <v/>
      </c>
      <c r="G24" s="35">
        <f>IF(B24=0,0,F24/B24)</f>
        <v/>
      </c>
      <c r="H24" s="35">
        <f>SUM(H17:H22)</f>
        <v/>
      </c>
      <c r="I24" s="35">
        <f>SUM(I17:I22)</f>
        <v/>
      </c>
    </row>
    <row r="26">
      <c r="A26" t="inlineStr">
        <is>
          <t>Стоимость продажи (по среднему сценарию команды)</t>
        </is>
      </c>
      <c r="B26" s="42">
        <f>IF(C12=0,0,('01_Исходные_данные'!B32+'01_Исходные_данные'!B33+'01_Исходные_данные'!B34+'01_Исходные_данные'!B35)/C12)</f>
        <v/>
      </c>
      <c r="C26" t="inlineStr">
        <is>
          <t>₽ на 1 оплату (оклады+прочие)/продажи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6" customWidth="1" style="24" min="1" max="1"/>
    <col width="12" customWidth="1" style="24" min="2" max="2"/>
    <col width="11" customWidth="1" style="24" min="3" max="3"/>
    <col width="11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  <col width="11" customWidth="1" style="24" min="13" max="13"/>
    <col width="11" customWidth="1" style="24" min="14" max="14"/>
    <col width="11" customWidth="1" style="24" min="15" max="15"/>
    <col width="11" customWidth="1" style="24" min="16" max="16"/>
    <col width="11" customWidth="1" style="24" min="17" max="17"/>
  </cols>
  <sheetData>
    <row r="1">
      <c r="A1" s="32" t="inlineStr">
        <is>
          <t>Факт продаж и воронка</t>
        </is>
      </c>
    </row>
    <row r="2">
      <c r="A2" t="inlineStr">
        <is>
          <t>Вводите только зелёные поля. Конверсии, выполнение плана, маржа — считаются автоматически и уходят в P&amp;L / ДДС / Dashboard.</t>
        </is>
      </c>
    </row>
    <row r="4">
      <c r="A4" s="38" t="inlineStr">
        <is>
          <t>Менеджер</t>
        </is>
      </c>
      <c r="B4" s="38" t="inlineStr">
        <is>
          <t>Сценарий плана</t>
        </is>
      </c>
      <c r="C4" s="38" t="inlineStr">
        <is>
          <t>План продаж</t>
        </is>
      </c>
      <c r="D4" s="38" t="inlineStr">
        <is>
          <t>Обработано</t>
        </is>
      </c>
      <c r="E4" s="38" t="inlineStr">
        <is>
          <t>Переговоры</t>
        </is>
      </c>
      <c r="F4" s="38" t="inlineStr">
        <is>
          <t>Демо</t>
        </is>
      </c>
      <c r="G4" s="38" t="inlineStr">
        <is>
          <t>Сделки</t>
        </is>
      </c>
      <c r="H4" s="38" t="inlineStr">
        <is>
          <t>Оплаты</t>
        </is>
      </c>
      <c r="I4" s="38" t="inlineStr">
        <is>
          <t>Конв. → перег.</t>
        </is>
      </c>
      <c r="J4" s="38" t="inlineStr">
        <is>
          <t>Конв. → демо</t>
        </is>
      </c>
      <c r="K4" s="38" t="inlineStr">
        <is>
          <t>Конв. → сделка</t>
        </is>
      </c>
      <c r="L4" s="38" t="inlineStr">
        <is>
          <t>Конв. → оплата</t>
        </is>
      </c>
      <c r="M4" s="38" t="inlineStr">
        <is>
          <t>Общая конв.</t>
        </is>
      </c>
      <c r="N4" s="38" t="inlineStr">
        <is>
          <t>Выполнение плана</t>
        </is>
      </c>
      <c r="O4" s="38" t="inlineStr">
        <is>
          <t>Выручка</t>
        </is>
      </c>
      <c r="P4" s="38" t="inlineStr">
        <is>
          <t>Маржа</t>
        </is>
      </c>
      <c r="Q4" s="38" t="inlineStr">
        <is>
          <t>Премия</t>
        </is>
      </c>
    </row>
    <row r="5">
      <c r="A5">
        <f>'01_Исходные_данные'!A28</f>
        <v/>
      </c>
      <c r="B5" s="34" t="inlineStr">
        <is>
          <t>Средний</t>
        </is>
      </c>
      <c r="C5" s="35">
        <f>IF(B5="Малый",'01_Исходные_данные'!$B$20,IF(B5="Средний",'01_Исходные_данные'!$C$20,'01_Исходные_данные'!$D$20))</f>
        <v/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43">
        <f>IF(D5=0,0,E5/D5)</f>
        <v/>
      </c>
      <c r="J5" s="43">
        <f>IF(E5=0,0,F5/E5)</f>
        <v/>
      </c>
      <c r="K5" s="43">
        <f>IF(F5=0,0,G5/F5)</f>
        <v/>
      </c>
      <c r="L5" s="43">
        <f>IF(G5=0,0,H5/G5)</f>
        <v/>
      </c>
      <c r="M5" s="43">
        <f>IF(D5=0,0,H5/D5)</f>
        <v/>
      </c>
      <c r="N5" s="43">
        <f>IF(C5=0,0,H5/C5)</f>
        <v/>
      </c>
      <c r="O5" s="41">
        <f>H5*'01_Исходные_данные'!$B$5</f>
        <v/>
      </c>
      <c r="P5" s="41">
        <f>H5*'01_Исходные_данные'!$B$7</f>
        <v/>
      </c>
      <c r="Q5" s="41">
        <f>P5*IF(B5="Малый",'01_Исходные_данные'!$B$24,IF(B5="Средний",'01_Исходные_данные'!$C$24,'01_Исходные_данные'!$D$24))</f>
        <v/>
      </c>
    </row>
    <row r="6">
      <c r="A6">
        <f>'01_Исходные_данные'!A29</f>
        <v/>
      </c>
      <c r="B6" s="34" t="inlineStr">
        <is>
          <t>Средний</t>
        </is>
      </c>
      <c r="C6" s="35">
        <f>IF(B6="Малый",'01_Исходные_данные'!$B$20,IF(B6="Средний",'01_Исходные_данные'!$C$20,'01_Исходные_данные'!$D$20))</f>
        <v/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43">
        <f>IF(D6=0,0,E6/D6)</f>
        <v/>
      </c>
      <c r="J6" s="43">
        <f>IF(E6=0,0,F6/E6)</f>
        <v/>
      </c>
      <c r="K6" s="43">
        <f>IF(F6=0,0,G6/F6)</f>
        <v/>
      </c>
      <c r="L6" s="43">
        <f>IF(G6=0,0,H6/G6)</f>
        <v/>
      </c>
      <c r="M6" s="43">
        <f>IF(D6=0,0,H6/D6)</f>
        <v/>
      </c>
      <c r="N6" s="43">
        <f>IF(C6=0,0,H6/C6)</f>
        <v/>
      </c>
      <c r="O6" s="41">
        <f>H6*'01_Исходные_данные'!$B$5</f>
        <v/>
      </c>
      <c r="P6" s="41">
        <f>H6*'01_Исходные_данные'!$B$7</f>
        <v/>
      </c>
      <c r="Q6" s="41">
        <f>P6*IF(B6="Малый",'01_Исходные_данные'!$B$24,IF(B6="Средний",'01_Исходные_данные'!$C$24,'01_Исходные_данные'!$D$24))</f>
        <v/>
      </c>
    </row>
    <row r="7">
      <c r="A7">
        <f>'01_Исходные_данные'!A30</f>
        <v/>
      </c>
      <c r="B7" s="34" t="inlineStr">
        <is>
          <t>Средний</t>
        </is>
      </c>
      <c r="C7" s="35">
        <f>IF(B7="Малый",'01_Исходные_данные'!$B$20,IF(B7="Средний",'01_Исходные_данные'!$C$20,'01_Исходные_данные'!$D$20))</f>
        <v/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43">
        <f>IF(D7=0,0,E7/D7)</f>
        <v/>
      </c>
      <c r="J7" s="43">
        <f>IF(E7=0,0,F7/E7)</f>
        <v/>
      </c>
      <c r="K7" s="43">
        <f>IF(F7=0,0,G7/F7)</f>
        <v/>
      </c>
      <c r="L7" s="43">
        <f>IF(G7=0,0,H7/G7)</f>
        <v/>
      </c>
      <c r="M7" s="43">
        <f>IF(D7=0,0,H7/D7)</f>
        <v/>
      </c>
      <c r="N7" s="43">
        <f>IF(C7=0,0,H7/C7)</f>
        <v/>
      </c>
      <c r="O7" s="41">
        <f>H7*'01_Исходные_данные'!$B$5</f>
        <v/>
      </c>
      <c r="P7" s="41">
        <f>H7*'01_Исходные_данные'!$B$7</f>
        <v/>
      </c>
      <c r="Q7" s="41">
        <f>P7*IF(B7="Малый",'01_Исходные_данные'!$B$24,IF(B7="Средний",'01_Исходные_данные'!$C$24,'01_Исходные_данные'!$D$24))</f>
        <v/>
      </c>
    </row>
    <row r="8">
      <c r="A8" t="inlineStr">
        <is>
          <t>ИТОГО</t>
        </is>
      </c>
      <c r="C8" s="35">
        <f>SUM(C5:C7)</f>
        <v/>
      </c>
      <c r="D8" s="35">
        <f>SUM(D5:D7)</f>
        <v/>
      </c>
      <c r="E8" s="35">
        <f>SUM(E5:E7)</f>
        <v/>
      </c>
      <c r="F8" s="35">
        <f>SUM(F5:F7)</f>
        <v/>
      </c>
      <c r="G8" s="35">
        <f>SUM(G5:G7)</f>
        <v/>
      </c>
      <c r="H8" s="36">
        <f>SUM(H5:H7)</f>
        <v/>
      </c>
      <c r="I8" s="35">
        <f>IF(D8=0,0,E8/D8)</f>
        <v/>
      </c>
      <c r="J8" s="35">
        <f>IF(E8=0,0,F8/E8)</f>
        <v/>
      </c>
      <c r="K8" s="35">
        <f>IF(F8=0,0,G8/F8)</f>
        <v/>
      </c>
      <c r="L8" s="35">
        <f>IF(G8=0,0,H8/G8)</f>
        <v/>
      </c>
      <c r="M8" s="35">
        <f>IF(D8=0,0,H8/D8)</f>
        <v/>
      </c>
      <c r="N8" s="36">
        <f>IF(C8=0,0,H8/C8)</f>
        <v/>
      </c>
      <c r="O8" s="35">
        <f>SUM(O5:O7)</f>
        <v/>
      </c>
      <c r="P8" s="35">
        <f>SUM(P5:P7)</f>
        <v/>
      </c>
      <c r="Q8" s="35">
        <f>SUM(Q5:Q7)</f>
        <v/>
      </c>
    </row>
    <row r="10">
      <c r="A10" s="33" t="inlineStr">
        <is>
          <t>Факт по источникам</t>
        </is>
      </c>
    </row>
    <row r="11">
      <c r="A11" s="38" t="inlineStr">
        <is>
          <t>Источник</t>
        </is>
      </c>
      <c r="B11" s="38" t="inlineStr">
        <is>
          <t>Обработано</t>
        </is>
      </c>
      <c r="C11" s="38" t="inlineStr">
        <is>
          <t>Переговоры</t>
        </is>
      </c>
      <c r="D11" s="38" t="inlineStr">
        <is>
          <t>Демо</t>
        </is>
      </c>
      <c r="E11" s="38" t="inlineStr">
        <is>
          <t>Сделки</t>
        </is>
      </c>
      <c r="F11" s="38" t="inlineStr">
        <is>
          <t>Оплаты</t>
        </is>
      </c>
      <c r="G11" s="38" t="inlineStr">
        <is>
          <t>Общая конв.</t>
        </is>
      </c>
      <c r="H11" s="38" t="inlineStr">
        <is>
          <t>Выручка</t>
        </is>
      </c>
      <c r="I11" s="38" t="inlineStr">
        <is>
          <t>Маржа</t>
        </is>
      </c>
    </row>
    <row r="12">
      <c r="A12" t="inlineStr">
        <is>
          <t>Наша база</t>
        </is>
      </c>
      <c r="B12" s="34" t="n">
        <v>0</v>
      </c>
      <c r="C12" s="34" t="n">
        <v>0</v>
      </c>
      <c r="D12" s="34" t="n">
        <v>0</v>
      </c>
      <c r="E12" s="34" t="n">
        <v>0</v>
      </c>
      <c r="F12" s="34" t="n">
        <v>0</v>
      </c>
      <c r="G12" s="43">
        <f>IF(B12=0,0,F12/B12)</f>
        <v/>
      </c>
      <c r="H12" s="35">
        <f>F12*'01_Исходные_данные'!$B$5</f>
        <v/>
      </c>
      <c r="I12" s="35">
        <f>F12*'01_Исходные_данные'!$B$7</f>
        <v/>
      </c>
    </row>
    <row r="13">
      <c r="A13" t="inlineStr">
        <is>
          <t>ОКВЭД</t>
        </is>
      </c>
      <c r="B13" s="34" t="n">
        <v>0</v>
      </c>
      <c r="C13" s="34" t="n">
        <v>0</v>
      </c>
      <c r="D13" s="34" t="n">
        <v>0</v>
      </c>
      <c r="E13" s="34" t="n">
        <v>0</v>
      </c>
      <c r="F13" s="34" t="n">
        <v>0</v>
      </c>
      <c r="G13" s="43">
        <f>IF(B13=0,0,F13/B13)</f>
        <v/>
      </c>
      <c r="H13" s="35">
        <f>F13*'01_Исходные_данные'!$B$5</f>
        <v/>
      </c>
      <c r="I13" s="35">
        <f>F13*'01_Исходные_данные'!$B$7</f>
        <v/>
      </c>
    </row>
    <row r="14">
      <c r="A14" t="inlineStr">
        <is>
          <t>Лекторий</t>
        </is>
      </c>
      <c r="B14" s="34" t="n">
        <v>0</v>
      </c>
      <c r="C14" s="34" t="n">
        <v>0</v>
      </c>
      <c r="D14" s="34" t="n">
        <v>0</v>
      </c>
      <c r="E14" s="34" t="n">
        <v>0</v>
      </c>
      <c r="F14" s="34" t="n">
        <v>0</v>
      </c>
      <c r="G14" s="43">
        <f>IF(B14=0,0,F14/B14)</f>
        <v/>
      </c>
      <c r="H14" s="35">
        <f>F14*'01_Исходные_данные'!$B$5</f>
        <v/>
      </c>
      <c r="I14" s="35">
        <f>F14*'01_Исходные_данные'!$B$7</f>
        <v/>
      </c>
    </row>
    <row r="15">
      <c r="A15" t="inlineStr">
        <is>
          <t>Входящие</t>
        </is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43">
        <f>IF(B15=0,0,F15/B15)</f>
        <v/>
      </c>
      <c r="H15" s="35">
        <f>F15*'01_Исходные_данные'!$B$5</f>
        <v/>
      </c>
      <c r="I15" s="35">
        <f>F15*'01_Исходные_данные'!$B$7</f>
        <v/>
      </c>
    </row>
    <row r="16">
      <c r="A16" t="inlineStr">
        <is>
          <t>Партнёры</t>
        </is>
      </c>
      <c r="B16" s="34" t="n">
        <v>0</v>
      </c>
      <c r="C16" s="34" t="n">
        <v>0</v>
      </c>
      <c r="D16" s="34" t="n">
        <v>0</v>
      </c>
      <c r="E16" s="34" t="n">
        <v>0</v>
      </c>
      <c r="F16" s="34" t="n">
        <v>0</v>
      </c>
      <c r="G16" s="43">
        <f>IF(B16=0,0,F16/B16)</f>
        <v/>
      </c>
      <c r="H16" s="35">
        <f>F16*'01_Исходные_данные'!$B$5</f>
        <v/>
      </c>
      <c r="I16" s="35">
        <f>F16*'01_Исходные_данные'!$B$7</f>
        <v/>
      </c>
    </row>
    <row r="17">
      <c r="A17" t="inlineStr">
        <is>
          <t>Реклама</t>
        </is>
      </c>
      <c r="B17" s="34" t="n">
        <v>0</v>
      </c>
      <c r="C17" s="34" t="n">
        <v>0</v>
      </c>
      <c r="D17" s="34" t="n">
        <v>0</v>
      </c>
      <c r="E17" s="34" t="n">
        <v>0</v>
      </c>
      <c r="F17" s="34" t="n">
        <v>0</v>
      </c>
      <c r="G17" s="43">
        <f>IF(B17=0,0,F17/B17)</f>
        <v/>
      </c>
      <c r="H17" s="35">
        <f>F17*'01_Исходные_данные'!$B$5</f>
        <v/>
      </c>
      <c r="I17" s="35">
        <f>F17*'01_Исходные_данные'!$B$7</f>
        <v/>
      </c>
    </row>
    <row r="19">
      <c r="A19" t="inlineStr">
        <is>
          <t>Контроль: сумма оплат по менеджерам должна сходиться с суммой оплат по источникам (если ведёте оба разреза).</t>
        </is>
      </c>
    </row>
    <row r="20">
      <c r="A20" t="inlineStr">
        <is>
          <t>Оплаты менеджеры</t>
        </is>
      </c>
      <c r="B20">
        <f>H8</f>
        <v/>
      </c>
    </row>
    <row r="21">
      <c r="A21" t="inlineStr">
        <is>
          <t>Оплаты источники</t>
        </is>
      </c>
      <c r="B21">
        <f>SUM(F12:F17)</f>
        <v/>
      </c>
    </row>
    <row r="22">
      <c r="A22" t="inlineStr">
        <is>
          <t>Расхождение</t>
        </is>
      </c>
      <c r="B22" s="36">
        <f>B20-B21</f>
        <v/>
      </c>
    </row>
  </sheetData>
  <dataValidations count="1">
    <dataValidation sqref="B5:B7" showDropDown="0" showInputMessage="0" showErrorMessage="0" allowBlank="0" type="list">
      <formula1>"Малый,Средний,Большой"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style="24" min="1" max="1"/>
    <col width="14" customWidth="1" style="24" min="2" max="2"/>
    <col width="14" customWidth="1" style="24" min="3" max="3"/>
    <col width="14" customWidth="1" style="24" min="4" max="4"/>
    <col width="14" customWidth="1" style="24" min="5" max="5"/>
    <col width="28" customWidth="1" style="24" min="6" max="6"/>
  </cols>
  <sheetData>
    <row r="1">
      <c r="A1" s="32" t="inlineStr">
        <is>
          <t>Финансовый план (P&amp;L) — экономика проекта</t>
        </is>
      </c>
    </row>
    <row r="2">
      <c r="A2" t="inlineStr">
        <is>
          <t>План по сценариям и факт месяца. Налоги/взносы в текущей версии не моделируются.</t>
        </is>
      </c>
    </row>
    <row r="4">
      <c r="A4" s="38" t="inlineStr">
        <is>
          <t>Статья</t>
        </is>
      </c>
      <c r="B4" s="38" t="inlineStr">
        <is>
          <t>Малый план</t>
        </is>
      </c>
      <c r="C4" s="38" t="inlineStr">
        <is>
          <t>Средний план</t>
        </is>
      </c>
      <c r="D4" s="38" t="inlineStr">
        <is>
          <t>Большой план</t>
        </is>
      </c>
      <c r="E4" s="38" t="inlineStr">
        <is>
          <t>Факт месяца</t>
        </is>
      </c>
      <c r="F4" s="38" t="inlineStr">
        <is>
          <t>Комментарий</t>
        </is>
      </c>
    </row>
    <row r="5">
      <c r="A5" t="inlineStr">
        <is>
          <t>Выручка</t>
        </is>
      </c>
      <c r="B5" s="41">
        <f>'07_План_продаж'!D11</f>
        <v/>
      </c>
      <c r="C5" s="41">
        <f>'07_План_продаж'!D12</f>
        <v/>
      </c>
      <c r="D5" s="41">
        <f>'07_План_продаж'!D13</f>
        <v/>
      </c>
      <c r="E5" s="41">
        <f>'08_Факт_воронка'!O8</f>
        <v/>
      </c>
      <c r="F5" t="inlineStr">
        <is>
          <t>Оплаты × цена</t>
        </is>
      </c>
    </row>
    <row r="6">
      <c r="A6" t="inlineStr">
        <is>
          <t>Себестоимость (закупка 1С)</t>
        </is>
      </c>
      <c r="B6" s="41">
        <f>-B5*'01_Исходные_данные'!B6/'01_Исходные_данные'!B5</f>
        <v/>
      </c>
      <c r="C6" s="41">
        <f>-C5*'01_Исходные_данные'!B6/'01_Исходные_данные'!B5</f>
        <v/>
      </c>
      <c r="D6" s="41">
        <f>-D5*'01_Исходные_данные'!B6/'01_Исходные_данные'!B5</f>
        <v/>
      </c>
      <c r="E6" s="41">
        <f>-E5*'01_Исходные_данные'!B6/'01_Исходные_данные'!B5</f>
        <v/>
      </c>
      <c r="F6" t="inlineStr">
        <is>
          <t>Пропорция закупки</t>
        </is>
      </c>
    </row>
    <row r="7">
      <c r="A7" t="inlineStr">
        <is>
          <t>Маржинальный доход</t>
        </is>
      </c>
      <c r="B7" s="41">
        <f>B5+B6</f>
        <v/>
      </c>
      <c r="C7" s="41">
        <f>C5+C6</f>
        <v/>
      </c>
      <c r="D7" s="41">
        <f>D5+D6</f>
        <v/>
      </c>
      <c r="E7" s="41">
        <f>E5+E6</f>
        <v/>
      </c>
      <c r="F7" t="inlineStr">
        <is>
          <t>После закупки</t>
        </is>
      </c>
    </row>
    <row r="8">
      <c r="A8" t="inlineStr">
        <is>
          <t>ФОТ (оклады)</t>
        </is>
      </c>
      <c r="B8" s="41">
        <f>-'01_Исходные_данные'!B32</f>
        <v/>
      </c>
      <c r="C8" s="41">
        <f>-'01_Исходные_данные'!B32</f>
        <v/>
      </c>
      <c r="D8" s="41">
        <f>-'01_Исходные_данные'!B32</f>
        <v/>
      </c>
      <c r="E8" s="41">
        <f>-'01_Исходные_данные'!B32</f>
        <v/>
      </c>
      <c r="F8" t="inlineStr">
        <is>
          <t>Активные менеджеры</t>
        </is>
      </c>
    </row>
    <row r="9">
      <c r="A9" t="inlineStr">
        <is>
          <t>Премии</t>
        </is>
      </c>
      <c r="B9" s="41">
        <f>-'07_План_продаж'!F11</f>
        <v/>
      </c>
      <c r="C9" s="41">
        <f>-'07_План_продаж'!F12</f>
        <v/>
      </c>
      <c r="D9" s="41">
        <f>-'07_План_продаж'!F13</f>
        <v/>
      </c>
      <c r="E9" s="41">
        <f>-'08_Факт_воронка'!Q8</f>
        <v/>
      </c>
      <c r="F9" t="inlineStr">
        <is>
          <t>% от маржи</t>
        </is>
      </c>
    </row>
    <row r="10">
      <c r="A10" t="inlineStr">
        <is>
          <t>Маркетинг</t>
        </is>
      </c>
      <c r="B10" s="41">
        <f>-'01_Исходные_данные'!B33</f>
        <v/>
      </c>
      <c r="C10" s="41">
        <f>-'01_Исходные_данные'!B33</f>
        <v/>
      </c>
      <c r="D10" s="41">
        <f>-'01_Исходные_данные'!B33</f>
        <v/>
      </c>
      <c r="E10" s="41">
        <f>-'01_Исходные_данные'!B33</f>
        <v/>
      </c>
      <c r="F10" t="inlineStr"/>
    </row>
    <row r="11">
      <c r="A11" t="inlineStr">
        <is>
          <t>Техподдержка</t>
        </is>
      </c>
      <c r="B11" s="41">
        <f>-'01_Исходные_данные'!B34</f>
        <v/>
      </c>
      <c r="C11" s="41">
        <f>-'01_Исходные_данные'!B34</f>
        <v/>
      </c>
      <c r="D11" s="41">
        <f>-'01_Исходные_данные'!B34</f>
        <v/>
      </c>
      <c r="E11" s="41">
        <f>-'01_Исходные_данные'!B34</f>
        <v/>
      </c>
      <c r="F11" t="inlineStr"/>
    </row>
    <row r="12">
      <c r="A12" t="inlineStr">
        <is>
          <t>Прочие расходы</t>
        </is>
      </c>
      <c r="B12" s="41">
        <f>-'01_Исходные_данные'!B35</f>
        <v/>
      </c>
      <c r="C12" s="41">
        <f>-'01_Исходные_данные'!B35</f>
        <v/>
      </c>
      <c r="D12" s="41">
        <f>-'01_Исходные_данные'!B35</f>
        <v/>
      </c>
      <c r="E12" s="41">
        <f>-'01_Исходные_данные'!B35</f>
        <v/>
      </c>
      <c r="F12" t="inlineStr"/>
    </row>
    <row r="13">
      <c r="A13" t="inlineStr">
        <is>
          <t>Операционная прибыль</t>
        </is>
      </c>
      <c r="B13" s="42">
        <f>B7+B8+B9+B10+B11+B12</f>
        <v/>
      </c>
      <c r="C13" s="42">
        <f>C7+C8+C9+C10+C11+C12</f>
        <v/>
      </c>
      <c r="D13" s="42">
        <f>D7+D8+D9+D10+D11+D12</f>
        <v/>
      </c>
      <c r="E13" s="42">
        <f>E7+E8+E9+E10+E11+E12</f>
        <v/>
      </c>
      <c r="F13" t="inlineStr">
        <is>
          <t>До налогов</t>
        </is>
      </c>
    </row>
    <row r="14">
      <c r="A14" t="inlineStr">
        <is>
          <t>Маржинальность (маржа/выручка)</t>
        </is>
      </c>
      <c r="B14" s="43">
        <f>IF(B5=0,0,B7/B5)</f>
        <v/>
      </c>
      <c r="C14" s="43">
        <f>IF(C5=0,0,C7/C5)</f>
        <v/>
      </c>
      <c r="D14" s="43">
        <f>IF(D5=0,0,D7/D5)</f>
        <v/>
      </c>
      <c r="E14" s="43">
        <f>IF(E5=0,0,E7/E5)</f>
        <v/>
      </c>
      <c r="F14" t="inlineStr"/>
    </row>
    <row r="15">
      <c r="A15" t="inlineStr">
        <is>
          <t>Рентабельность (прибыль/выручка)</t>
        </is>
      </c>
      <c r="B15" s="43">
        <f>IF(B5=0,0,B13/B5)</f>
        <v/>
      </c>
      <c r="C15" s="43">
        <f>IF(C5=0,0,C13/C5)</f>
        <v/>
      </c>
      <c r="D15" s="43">
        <f>IF(D5=0,0,D13/D5)</f>
        <v/>
      </c>
      <c r="E15" s="43">
        <f>IF(E5=0,0,E13/E5)</f>
        <v/>
      </c>
      <c r="F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8" customWidth="1" style="24" min="1" max="1"/>
    <col width="11" customWidth="1" style="24" min="2" max="2"/>
    <col width="11" customWidth="1" style="24" min="3" max="3"/>
    <col width="11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  <col width="11" customWidth="1" style="24" min="13" max="13"/>
  </cols>
  <sheetData>
    <row r="1">
      <c r="A1" s="32" t="inlineStr">
        <is>
          <t>ДДС проекта — когда выходим в плюс</t>
        </is>
      </c>
    </row>
    <row r="2">
      <c r="A2" t="inlineStr">
        <is>
          <t>Годовая подписка поступает разово при оплате. Ниже: сценарии плана и помесячный ДДС среднего сценария на 12 месяцев.</t>
        </is>
      </c>
    </row>
    <row r="4">
      <c r="A4" s="33" t="inlineStr">
        <is>
          <t>Сводка по сценариям (месяц в стационаре)</t>
        </is>
      </c>
    </row>
    <row r="5">
      <c r="A5" s="38" t="inlineStr">
        <is>
          <t>Сценарий</t>
        </is>
      </c>
      <c r="B5" s="38" t="inlineStr">
        <is>
          <t>Оплат / мес.</t>
        </is>
      </c>
      <c r="C5" s="38" t="inlineStr">
        <is>
          <t>Поступления</t>
        </is>
      </c>
      <c r="D5" s="38" t="inlineStr">
        <is>
          <t>Закупка 1С</t>
        </is>
      </c>
      <c r="E5" s="38" t="inlineStr">
        <is>
          <t>Оклады</t>
        </is>
      </c>
      <c r="F5" s="38" t="inlineStr">
        <is>
          <t>Премии</t>
        </is>
      </c>
      <c r="G5" s="38" t="inlineStr">
        <is>
          <t>Прочие</t>
        </is>
      </c>
      <c r="H5" s="38" t="inlineStr">
        <is>
          <t>Денежный поток</t>
        </is>
      </c>
      <c r="I5" s="38" t="inlineStr">
        <is>
          <t>Годовой поток</t>
        </is>
      </c>
    </row>
    <row r="6">
      <c r="A6" t="inlineStr">
        <is>
          <t>Малый</t>
        </is>
      </c>
      <c r="B6" s="41">
        <f>'07_План_продаж'!C11</f>
        <v/>
      </c>
      <c r="C6" s="41">
        <f>B6*'01_Исходные_данные'!B5</f>
        <v/>
      </c>
      <c r="D6" s="41">
        <f>B6*'01_Исходные_данные'!B6</f>
        <v/>
      </c>
      <c r="E6" s="41">
        <f>'01_Исходные_данные'!B32</f>
        <v/>
      </c>
      <c r="F6" s="41">
        <f>'07_План_продаж'!F11</f>
        <v/>
      </c>
      <c r="G6" s="41">
        <f>'01_Исходные_данные'!B33+'01_Исходные_данные'!B34+'01_Исходные_данные'!B35</f>
        <v/>
      </c>
      <c r="H6" s="41">
        <f>C6-D6-E6-F6-G6</f>
        <v/>
      </c>
      <c r="I6" s="41">
        <f>H6*12</f>
        <v/>
      </c>
    </row>
    <row r="7">
      <c r="A7" t="inlineStr">
        <is>
          <t>Средний</t>
        </is>
      </c>
      <c r="B7" s="41">
        <f>'07_План_продаж'!C12</f>
        <v/>
      </c>
      <c r="C7" s="41">
        <f>B7*'01_Исходные_данные'!B5</f>
        <v/>
      </c>
      <c r="D7" s="41">
        <f>B7*'01_Исходные_данные'!B6</f>
        <v/>
      </c>
      <c r="E7" s="41">
        <f>'01_Исходные_данные'!B32</f>
        <v/>
      </c>
      <c r="F7" s="41">
        <f>'07_План_продаж'!F12</f>
        <v/>
      </c>
      <c r="G7" s="41">
        <f>'01_Исходные_данные'!B33+'01_Исходные_данные'!B34+'01_Исходные_данные'!B35</f>
        <v/>
      </c>
      <c r="H7" s="42">
        <f>C7-D7-E7-F7-G7</f>
        <v/>
      </c>
      <c r="I7" s="41">
        <f>H7*12</f>
        <v/>
      </c>
    </row>
    <row r="8">
      <c r="A8" t="inlineStr">
        <is>
          <t>Большой</t>
        </is>
      </c>
      <c r="B8" s="41">
        <f>'07_План_продаж'!C13</f>
        <v/>
      </c>
      <c r="C8" s="41">
        <f>B8*'01_Исходные_данные'!B5</f>
        <v/>
      </c>
      <c r="D8" s="41">
        <f>B8*'01_Исходные_данные'!B6</f>
        <v/>
      </c>
      <c r="E8" s="41">
        <f>'01_Исходные_данные'!B32</f>
        <v/>
      </c>
      <c r="F8" s="41">
        <f>'07_План_продаж'!F13</f>
        <v/>
      </c>
      <c r="G8" s="41">
        <f>'01_Исходные_данные'!B33+'01_Исходные_данные'!B34+'01_Исходные_данные'!B35</f>
        <v/>
      </c>
      <c r="H8" s="41">
        <f>C8-D8-E8-F8-G8</f>
        <v/>
      </c>
      <c r="I8" s="41">
        <f>H8*12</f>
        <v/>
      </c>
    </row>
    <row r="10">
      <c r="A10" t="inlineStr">
        <is>
          <t>Точка безубыточности (оплат/мес.)</t>
        </is>
      </c>
      <c r="B10" s="36">
        <f>IF(('01_Исходные_данные'!B7*(1-'01_Исходные_данные'!C24))=0,0,ROUNDUP(('01_Исходные_данные'!B32+'01_Исходные_данные'!B33+'01_Исходные_данные'!B34+'01_Исходные_данные'!B35)/('01_Исходные_данные'!B7*(1-'01_Исходные_данные'!C24)),0))</f>
        <v/>
      </c>
      <c r="C10" t="inlineStr">
        <is>
          <t>При средней премии 30%; без налогов</t>
        </is>
      </c>
    </row>
    <row r="12">
      <c r="A12" s="33" t="inlineStr">
        <is>
          <t>Помесячный ДДС — средний сценарий (12 мес.)</t>
        </is>
      </c>
    </row>
    <row r="13">
      <c r="A13" s="38" t="inlineStr">
        <is>
          <t>Месяц</t>
        </is>
      </c>
      <c r="B13" s="38" t="n">
        <v>1</v>
      </c>
      <c r="C13" s="38" t="n">
        <v>2</v>
      </c>
      <c r="D13" s="38" t="n">
        <v>3</v>
      </c>
      <c r="E13" s="38" t="n">
        <v>4</v>
      </c>
      <c r="F13" s="38" t="n">
        <v>5</v>
      </c>
      <c r="G13" s="38" t="n">
        <v>6</v>
      </c>
      <c r="H13" s="38" t="n">
        <v>7</v>
      </c>
      <c r="I13" s="38" t="n">
        <v>8</v>
      </c>
      <c r="J13" s="38" t="n">
        <v>9</v>
      </c>
      <c r="K13" s="38" t="n">
        <v>10</v>
      </c>
      <c r="L13" s="38" t="n">
        <v>11</v>
      </c>
      <c r="M13" s="38" t="n">
        <v>12</v>
      </c>
    </row>
    <row r="14">
      <c r="A14" t="inlineStr">
        <is>
          <t>Коэффициент выхода</t>
        </is>
      </c>
      <c r="B14" s="46" t="n">
        <v>0.4</v>
      </c>
      <c r="C14" s="46" t="n">
        <v>0.6</v>
      </c>
      <c r="D14" s="46" t="n">
        <v>0.8</v>
      </c>
      <c r="E14" s="46" t="n">
        <v>1</v>
      </c>
      <c r="F14" s="46" t="n">
        <v>1</v>
      </c>
      <c r="G14" s="46" t="n">
        <v>1</v>
      </c>
      <c r="H14" s="46" t="n">
        <v>1</v>
      </c>
      <c r="I14" s="46" t="n">
        <v>1</v>
      </c>
      <c r="J14" s="46" t="n">
        <v>1</v>
      </c>
      <c r="K14" s="46" t="n">
        <v>1</v>
      </c>
      <c r="L14" s="46" t="n">
        <v>1</v>
      </c>
      <c r="M14" s="46" t="n">
        <v>1</v>
      </c>
    </row>
    <row r="15">
      <c r="A15" t="inlineStr">
        <is>
          <t>Поступления</t>
        </is>
      </c>
      <c r="B15" s="41">
        <f>'07_План_продаж'!D12*B14</f>
        <v/>
      </c>
      <c r="C15" s="41">
        <f>'07_План_продаж'!D12*C14</f>
        <v/>
      </c>
      <c r="D15" s="41">
        <f>'07_План_продаж'!D12*D14</f>
        <v/>
      </c>
      <c r="E15" s="41">
        <f>'07_План_продаж'!D12*E14</f>
        <v/>
      </c>
      <c r="F15" s="41">
        <f>'07_План_продаж'!D12*F14</f>
        <v/>
      </c>
      <c r="G15" s="41">
        <f>'07_План_продаж'!D12*G14</f>
        <v/>
      </c>
      <c r="H15" s="41">
        <f>'07_План_продаж'!D12*H14</f>
        <v/>
      </c>
      <c r="I15" s="41">
        <f>'07_План_продаж'!D12*I14</f>
        <v/>
      </c>
      <c r="J15" s="41">
        <f>'07_План_продаж'!D12*J14</f>
        <v/>
      </c>
      <c r="K15" s="41">
        <f>'07_План_продаж'!D12*K14</f>
        <v/>
      </c>
      <c r="L15" s="41">
        <f>'07_План_продаж'!D12*L14</f>
        <v/>
      </c>
      <c r="M15" s="41">
        <f>'07_План_продаж'!D12*M14</f>
        <v/>
      </c>
    </row>
    <row r="16">
      <c r="A16" t="inlineStr">
        <is>
          <t>Закупка 1С</t>
        </is>
      </c>
      <c r="B16" s="41">
        <f>'07_План_продаж'!D12*'01_Исходные_данные'!B6/'01_Исходные_данные'!B5*B14</f>
        <v/>
      </c>
      <c r="C16" s="41">
        <f>'07_План_продаж'!D12*'01_Исходные_данные'!B6/'01_Исходные_данные'!B5*C14</f>
        <v/>
      </c>
      <c r="D16" s="41">
        <f>'07_План_продаж'!D12*'01_Исходные_данные'!B6/'01_Исходные_данные'!B5*D14</f>
        <v/>
      </c>
      <c r="E16" s="41">
        <f>'07_План_продаж'!D12*'01_Исходные_данные'!B6/'01_Исходные_данные'!B5*E14</f>
        <v/>
      </c>
      <c r="F16" s="41">
        <f>'07_План_продаж'!D12*'01_Исходные_данные'!B6/'01_Исходные_данные'!B5*F14</f>
        <v/>
      </c>
      <c r="G16" s="41">
        <f>'07_План_продаж'!D12*'01_Исходные_данные'!B6/'01_Исходные_данные'!B5*G14</f>
        <v/>
      </c>
      <c r="H16" s="41">
        <f>'07_План_продаж'!D12*'01_Исходные_данные'!B6/'01_Исходные_данные'!B5*H14</f>
        <v/>
      </c>
      <c r="I16" s="41">
        <f>'07_План_продаж'!D12*'01_Исходные_данные'!B6/'01_Исходные_данные'!B5*I14</f>
        <v/>
      </c>
      <c r="J16" s="41">
        <f>'07_План_продаж'!D12*'01_Исходные_данные'!B6/'01_Исходные_данные'!B5*J14</f>
        <v/>
      </c>
      <c r="K16" s="41">
        <f>'07_План_продаж'!D12*'01_Исходные_данные'!B6/'01_Исходные_данные'!B5*K14</f>
        <v/>
      </c>
      <c r="L16" s="41">
        <f>'07_План_продаж'!D12*'01_Исходные_данные'!B6/'01_Исходные_данные'!B5*L14</f>
        <v/>
      </c>
      <c r="M16" s="41">
        <f>'07_План_продаж'!D12*'01_Исходные_данные'!B6/'01_Исходные_данные'!B5*M14</f>
        <v/>
      </c>
    </row>
    <row r="17">
      <c r="A17" t="inlineStr">
        <is>
          <t>Оклады</t>
        </is>
      </c>
      <c r="B17" s="41">
        <f>'01_Исходные_данные'!B32</f>
        <v/>
      </c>
      <c r="C17" s="41">
        <f>'01_Исходные_данные'!B32</f>
        <v/>
      </c>
      <c r="D17" s="41">
        <f>'01_Исходные_данные'!B32</f>
        <v/>
      </c>
      <c r="E17" s="41">
        <f>'01_Исходные_данные'!B32</f>
        <v/>
      </c>
      <c r="F17" s="41">
        <f>'01_Исходные_данные'!B32</f>
        <v/>
      </c>
      <c r="G17" s="41">
        <f>'01_Исходные_данные'!B32</f>
        <v/>
      </c>
      <c r="H17" s="41">
        <f>'01_Исходные_данные'!B32</f>
        <v/>
      </c>
      <c r="I17" s="41">
        <f>'01_Исходные_данные'!B32</f>
        <v/>
      </c>
      <c r="J17" s="41">
        <f>'01_Исходные_данные'!B32</f>
        <v/>
      </c>
      <c r="K17" s="41">
        <f>'01_Исходные_данные'!B32</f>
        <v/>
      </c>
      <c r="L17" s="41">
        <f>'01_Исходные_данные'!B32</f>
        <v/>
      </c>
      <c r="M17" s="41">
        <f>'01_Исходные_данные'!B32</f>
        <v/>
      </c>
    </row>
    <row r="18">
      <c r="A18" t="inlineStr">
        <is>
          <t>Премии</t>
        </is>
      </c>
      <c r="B18" s="41">
        <f>'07_План_продаж'!F12*B14</f>
        <v/>
      </c>
      <c r="C18" s="41">
        <f>'07_План_продаж'!F12*C14</f>
        <v/>
      </c>
      <c r="D18" s="41">
        <f>'07_План_продаж'!F12*D14</f>
        <v/>
      </c>
      <c r="E18" s="41">
        <f>'07_План_продаж'!F12*E14</f>
        <v/>
      </c>
      <c r="F18" s="41">
        <f>'07_План_продаж'!F12*F14</f>
        <v/>
      </c>
      <c r="G18" s="41">
        <f>'07_План_продаж'!F12*G14</f>
        <v/>
      </c>
      <c r="H18" s="41">
        <f>'07_План_продаж'!F12*H14</f>
        <v/>
      </c>
      <c r="I18" s="41">
        <f>'07_План_продаж'!F12*I14</f>
        <v/>
      </c>
      <c r="J18" s="41">
        <f>'07_План_продаж'!F12*J14</f>
        <v/>
      </c>
      <c r="K18" s="41">
        <f>'07_План_продаж'!F12*K14</f>
        <v/>
      </c>
      <c r="L18" s="41">
        <f>'07_План_продаж'!F12*L14</f>
        <v/>
      </c>
      <c r="M18" s="41">
        <f>'07_План_продаж'!F12*M14</f>
        <v/>
      </c>
    </row>
    <row r="19">
      <c r="A19" t="inlineStr">
        <is>
          <t>Прочие расходы</t>
        </is>
      </c>
      <c r="B19" s="41">
        <f>'01_Исходные_данные'!B33+'01_Исходные_данные'!B34+'01_Исходные_данные'!B35</f>
        <v/>
      </c>
      <c r="C19" s="41">
        <f>'01_Исходные_данные'!B33+'01_Исходные_данные'!B34+'01_Исходные_данные'!B35</f>
        <v/>
      </c>
      <c r="D19" s="41">
        <f>'01_Исходные_данные'!B33+'01_Исходные_данные'!B34+'01_Исходные_данные'!B35</f>
        <v/>
      </c>
      <c r="E19" s="41">
        <f>'01_Исходные_данные'!B33+'01_Исходные_данные'!B34+'01_Исходные_данные'!B35</f>
        <v/>
      </c>
      <c r="F19" s="41">
        <f>'01_Исходные_данные'!B33+'01_Исходные_данные'!B34+'01_Исходные_данные'!B35</f>
        <v/>
      </c>
      <c r="G19" s="41">
        <f>'01_Исходные_данные'!B33+'01_Исходные_данные'!B34+'01_Исходные_данные'!B35</f>
        <v/>
      </c>
      <c r="H19" s="41">
        <f>'01_Исходные_данные'!B33+'01_Исходные_данные'!B34+'01_Исходные_данные'!B35</f>
        <v/>
      </c>
      <c r="I19" s="41">
        <f>'01_Исходные_данные'!B33+'01_Исходные_данные'!B34+'01_Исходные_данные'!B35</f>
        <v/>
      </c>
      <c r="J19" s="41">
        <f>'01_Исходные_данные'!B33+'01_Исходные_данные'!B34+'01_Исходные_данные'!B35</f>
        <v/>
      </c>
      <c r="K19" s="41">
        <f>'01_Исходные_данные'!B33+'01_Исходные_данные'!B34+'01_Исходные_данные'!B35</f>
        <v/>
      </c>
      <c r="L19" s="41">
        <f>'01_Исходные_данные'!B33+'01_Исходные_данные'!B34+'01_Исходные_данные'!B35</f>
        <v/>
      </c>
      <c r="M19" s="41">
        <f>'01_Исходные_данные'!B33+'01_Исходные_данные'!B34+'01_Исходные_данные'!B35</f>
        <v/>
      </c>
    </row>
    <row r="20">
      <c r="A20" t="inlineStr">
        <is>
          <t>Денежный поток</t>
        </is>
      </c>
      <c r="B20" s="42">
        <f>B15-B16-B17-B18-B19</f>
        <v/>
      </c>
      <c r="C20" s="42">
        <f>C15-C16-C17-C18-C19</f>
        <v/>
      </c>
      <c r="D20" s="42">
        <f>D15-D16-D17-D18-D19</f>
        <v/>
      </c>
      <c r="E20" s="42">
        <f>E15-E16-E17-E18-E19</f>
        <v/>
      </c>
      <c r="F20" s="42">
        <f>F15-F16-F17-F18-F19</f>
        <v/>
      </c>
      <c r="G20" s="42">
        <f>G15-G16-G17-G18-G19</f>
        <v/>
      </c>
      <c r="H20" s="42">
        <f>H15-H16-H17-H18-H19</f>
        <v/>
      </c>
      <c r="I20" s="42">
        <f>I15-I16-I17-I18-I19</f>
        <v/>
      </c>
      <c r="J20" s="42">
        <f>J15-J16-J17-J18-J19</f>
        <v/>
      </c>
      <c r="K20" s="42">
        <f>K15-K16-K17-K18-K19</f>
        <v/>
      </c>
      <c r="L20" s="42">
        <f>L15-L16-L17-L18-L19</f>
        <v/>
      </c>
      <c r="M20" s="42">
        <f>M15-M16-M17-M18-M19</f>
        <v/>
      </c>
    </row>
    <row r="21">
      <c r="A21" t="inlineStr">
        <is>
          <t>Накопленный поток</t>
        </is>
      </c>
      <c r="B21" s="41">
        <f>B20</f>
        <v/>
      </c>
      <c r="C21" s="41">
        <f>B21+C20</f>
        <v/>
      </c>
      <c r="D21" s="41">
        <f>C21+D20</f>
        <v/>
      </c>
      <c r="E21" s="41">
        <f>D21+E20</f>
        <v/>
      </c>
      <c r="F21" s="41">
        <f>E21+F20</f>
        <v/>
      </c>
      <c r="G21" s="41">
        <f>F21+G20</f>
        <v/>
      </c>
      <c r="H21" s="41">
        <f>G21+H20</f>
        <v/>
      </c>
      <c r="I21" s="41">
        <f>H21+I20</f>
        <v/>
      </c>
      <c r="J21" s="41">
        <f>I21+J20</f>
        <v/>
      </c>
      <c r="K21" s="41">
        <f>J21+K20</f>
        <v/>
      </c>
      <c r="L21" s="41">
        <f>K21+L20</f>
        <v/>
      </c>
      <c r="M21" s="41">
        <f>L21+M20</f>
        <v/>
      </c>
    </row>
    <row r="23">
      <c r="A23" t="inlineStr">
        <is>
          <t>Месяц выхода в плюс (накопленный поток &gt; 0)</t>
        </is>
      </c>
      <c r="B23" s="36">
        <f>IF(M21&gt;0,MATCH(TRUE,INDEX(B21:M21&gt;0,0),0),"не в горизонте 12 мес.")</f>
        <v/>
      </c>
    </row>
    <row r="25">
      <c r="A25" s="33" t="inlineStr">
        <is>
          <t>Факт месяца (из воронки)</t>
        </is>
      </c>
    </row>
    <row r="26">
      <c r="A26" t="inlineStr">
        <is>
          <t>Поступления факт</t>
        </is>
      </c>
      <c r="B26" s="41">
        <f>'08_Факт_воронка'!O8</f>
        <v/>
      </c>
    </row>
    <row r="27">
      <c r="A27" t="inlineStr">
        <is>
          <t>Закупка факт</t>
        </is>
      </c>
      <c r="B27" s="41">
        <f>'08_Факт_воронка'!H8*'01_Исходные_данные'!B6</f>
        <v/>
      </c>
    </row>
    <row r="28">
      <c r="A28" t="inlineStr">
        <is>
          <t>Оклады</t>
        </is>
      </c>
      <c r="B28" s="41">
        <f>'01_Исходные_данные'!B32</f>
        <v/>
      </c>
    </row>
    <row r="29">
      <c r="A29" t="inlineStr">
        <is>
          <t>Премии факт</t>
        </is>
      </c>
      <c r="B29" s="41">
        <f>'08_Факт_воронка'!Q8</f>
        <v/>
      </c>
    </row>
    <row r="30">
      <c r="A30" t="inlineStr">
        <is>
          <t>Прочие</t>
        </is>
      </c>
      <c r="B30" s="41">
        <f>'01_Исходные_данные'!B33+'01_Исходные_данные'!B34+'01_Исходные_данные'!B35</f>
        <v/>
      </c>
    </row>
    <row r="31">
      <c r="A31" t="inlineStr">
        <is>
          <t>Поток факт</t>
        </is>
      </c>
      <c r="B31" s="42">
        <f>B26-B27-B28-B29-B30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style="24" min="1" max="1"/>
    <col width="28" customWidth="1" style="24" min="2" max="2"/>
    <col width="40" customWidth="1" style="24" min="3" max="3"/>
    <col width="12" customWidth="1" style="24" min="4" max="4"/>
    <col width="22" customWidth="1" style="24" min="5" max="5"/>
  </cols>
  <sheetData>
    <row r="1">
      <c r="A1" s="32" t="inlineStr">
        <is>
          <t>Методика модели — проверяемость для инвестора</t>
        </is>
      </c>
    </row>
    <row r="2">
      <c r="A2" t="inlineStr">
        <is>
          <t>Любое число — факт, параметр или расчёт. Гипотезы не смешиваются с фактом воронки.</t>
        </is>
      </c>
    </row>
    <row r="4">
      <c r="A4" s="38" t="inlineStr">
        <is>
          <t>Показатель</t>
        </is>
      </c>
      <c r="B4" s="38" t="inlineStr">
        <is>
          <t>Что означает</t>
        </is>
      </c>
      <c r="C4" s="38" t="inlineStr">
        <is>
          <t>Где брать</t>
        </is>
      </c>
      <c r="D4" s="38" t="inlineStr">
        <is>
          <t>Тип</t>
        </is>
      </c>
      <c r="E4" s="38" t="inlineStr">
        <is>
          <t>Проверка</t>
        </is>
      </c>
    </row>
    <row r="5">
      <c r="A5" s="57" t="inlineStr">
        <is>
          <t>ИНН</t>
        </is>
      </c>
      <c r="B5" s="57" t="inlineStr">
        <is>
          <t>Идентификатор компании</t>
        </is>
      </c>
      <c r="C5" s="57" t="inlineStr">
        <is>
          <t>Исходная CRM-база</t>
        </is>
      </c>
      <c r="D5" s="57" t="inlineStr">
        <is>
          <t>Факт</t>
        </is>
      </c>
      <c r="E5" s="57" t="inlineStr">
        <is>
          <t>Уникальность</t>
        </is>
      </c>
    </row>
    <row r="6">
      <c r="A6" s="57" t="inlineStr">
        <is>
          <t>ОКВЭД</t>
        </is>
      </c>
      <c r="B6" s="57" t="inlineStr">
        <is>
          <t>Отраслевой профиль</t>
        </is>
      </c>
      <c r="C6" s="57" t="inlineStr">
        <is>
          <t>ЕГРЮЛ / egrul.nalog.ru</t>
        </is>
      </c>
      <c r="D6" s="57" t="inlineStr">
        <is>
          <t>Факт</t>
        </is>
      </c>
      <c r="E6" s="57" t="inlineStr">
        <is>
          <t>Дата выписки</t>
        </is>
      </c>
    </row>
    <row r="7">
      <c r="A7" s="57" t="inlineStr">
        <is>
          <t>ССЧР</t>
        </is>
      </c>
      <c r="B7" s="57" t="inlineStr">
        <is>
          <t>Среднесписочная численность</t>
        </is>
      </c>
      <c r="C7" s="57" t="inlineStr">
        <is>
          <t>ФНС open data 7707329152-sshr2019</t>
        </is>
      </c>
      <c r="D7" s="57" t="inlineStr">
        <is>
          <t>Факт</t>
        </is>
      </c>
      <c r="E7" s="57" t="inlineStr">
        <is>
          <t>Год показателя</t>
        </is>
      </c>
    </row>
    <row r="8">
      <c r="A8" s="57" t="inlineStr">
        <is>
          <t>Целевой ОКВЭД</t>
        </is>
      </c>
      <c r="B8" s="57" t="inlineStr">
        <is>
          <t>ICP проекта</t>
        </is>
      </c>
      <c r="C8" s="57" t="inlineStr">
        <is>
          <t>Справочник на листе исходных данных</t>
        </is>
      </c>
      <c r="D8" s="57" t="inlineStr">
        <is>
          <t>Правило</t>
        </is>
      </c>
      <c r="E8" s="57" t="inlineStr">
        <is>
          <t>Префиксы ОКВЭД</t>
        </is>
      </c>
    </row>
    <row r="9">
      <c r="A9" s="57" t="inlineStr">
        <is>
          <t>Горячий клиент</t>
        </is>
      </c>
      <c r="B9" s="57" t="inlineStr">
        <is>
          <t>ОКВЭД+22+ или 50+</t>
        </is>
      </c>
      <c r="C9" s="57" t="inlineStr">
        <is>
          <t>Расчёт</t>
        </is>
      </c>
      <c r="D9" s="57" t="inlineStr">
        <is>
          <t>Расчёт</t>
        </is>
      </c>
      <c r="E9" s="57" t="inlineStr">
        <is>
          <t>Оба критерия</t>
        </is>
      </c>
    </row>
    <row r="10">
      <c r="A10" s="57" t="inlineStr">
        <is>
          <t>Конверсия план</t>
        </is>
      </c>
      <c r="B10" s="57" t="inlineStr">
        <is>
          <t>Гипотеза воронки</t>
        </is>
      </c>
      <c r="C10" s="57" t="inlineStr">
        <is>
          <t>01_Исходные_данные</t>
        </is>
      </c>
      <c r="D10" s="57" t="inlineStr">
        <is>
          <t>Гипотеза</t>
        </is>
      </c>
      <c r="E10" s="57" t="inlineStr">
        <is>
          <t>Не подменять фактом</t>
        </is>
      </c>
    </row>
    <row r="11">
      <c r="A11" s="57" t="inlineStr">
        <is>
          <t>Конверсия факт</t>
        </is>
      </c>
      <c r="B11" s="57" t="inlineStr">
        <is>
          <t>Факт этапов</t>
        </is>
      </c>
      <c r="C11" s="57" t="inlineStr">
        <is>
          <t>08_Факт_воронка</t>
        </is>
      </c>
      <c r="D11" s="57" t="inlineStr">
        <is>
          <t>Факт</t>
        </is>
      </c>
      <c r="E11" s="57" t="inlineStr">
        <is>
          <t>CRM / 1С</t>
        </is>
      </c>
    </row>
    <row r="12">
      <c r="A12" s="57" t="inlineStr">
        <is>
          <t>План 4/6/9</t>
        </is>
      </c>
      <c r="B12" s="57" t="inlineStr">
        <is>
          <t>Целевые продажи</t>
        </is>
      </c>
      <c r="C12" s="57" t="inlineStr">
        <is>
          <t>Управленческая гипотеза</t>
        </is>
      </c>
      <c r="D12" s="57" t="inlineStr">
        <is>
          <t>Гипотеза</t>
        </is>
      </c>
      <c r="E12" s="57" t="inlineStr">
        <is>
          <t>Сверять с требуемой конв.</t>
        </is>
      </c>
    </row>
    <row r="13">
      <c r="A13" s="57" t="inlineStr">
        <is>
          <t>Цена / закупка</t>
        </is>
      </c>
      <c r="B13" s="57" t="inlineStr">
        <is>
          <t>Unit-экономика</t>
        </is>
      </c>
      <c r="C13" s="57" t="inlineStr">
        <is>
          <t>Прайс 1С</t>
        </is>
      </c>
      <c r="D13" s="57" t="inlineStr">
        <is>
          <t>Параметр</t>
        </is>
      </c>
      <c r="E13" s="57" t="inlineStr">
        <is>
          <t>Маржа = цена − закупка</t>
        </is>
      </c>
    </row>
    <row r="14">
      <c r="A14" s="57" t="inlineStr">
        <is>
          <t>Премия</t>
        </is>
      </c>
      <c r="B14" s="57" t="inlineStr">
        <is>
          <t>% от маржи</t>
        </is>
      </c>
      <c r="C14" s="57" t="inlineStr">
        <is>
          <t>Политика мотивации</t>
        </is>
      </c>
      <c r="D14" s="57" t="inlineStr">
        <is>
          <t>Параметр</t>
        </is>
      </c>
      <c r="E14" s="57" t="inlineStr">
        <is>
          <t>Не от выручки</t>
        </is>
      </c>
    </row>
    <row r="15">
      <c r="A15" s="57" t="inlineStr">
        <is>
          <t>TAM/SAM/SOM</t>
        </is>
      </c>
      <c r="B15" s="57" t="inlineStr">
        <is>
          <t>Рынок</t>
        </is>
      </c>
      <c r="C15" s="57" t="inlineStr">
        <is>
          <t>Федеральные реестры + capacity</t>
        </is>
      </c>
      <c r="D15" s="57" t="inlineStr">
        <is>
          <t>Расчёт</t>
        </is>
      </c>
      <c r="E15" s="57" t="inlineStr">
        <is>
          <t>SAM ⊂ TAM; SOM ≤ capacity</t>
        </is>
      </c>
    </row>
    <row r="16">
      <c r="A16" s="57" t="inlineStr">
        <is>
          <t>P&amp;L / ДДС</t>
        </is>
      </c>
      <c r="B16" s="57" t="inlineStr">
        <is>
          <t>Экономика и кэш</t>
        </is>
      </c>
      <c r="C16" s="57" t="inlineStr">
        <is>
          <t>Авто из плана/факта</t>
        </is>
      </c>
      <c r="D16" s="57" t="inlineStr">
        <is>
          <t>Расчёт</t>
        </is>
      </c>
      <c r="E16" s="57" t="inlineStr">
        <is>
          <t>Сходимость оплат</t>
        </is>
      </c>
    </row>
    <row r="18">
      <c r="A18" s="33" t="inlineStr">
        <is>
          <t>Источники обогащения этой версии</t>
        </is>
      </c>
    </row>
    <row r="19">
      <c r="A19" t="inlineStr">
        <is>
          <t>1) ССЧР: https://www.nalog.gov.ru/opendata/7707329152-sshr2019/ (данные за 2025, ДатаСост 31.12.2025).</t>
        </is>
      </c>
    </row>
    <row r="20">
      <c r="A20" t="inlineStr">
        <is>
          <t>2) ОКВЭД: выписки ЕГРЮЛ с egrul.nalog.ru для приоритетного сегмента 22+.</t>
        </is>
      </c>
    </row>
    <row r="21">
      <c r="A21" t="inlineStr">
        <is>
          <t>3) Тарифы: партнёрский прайс «1С:Кабинет сотрудника» (розница/дилер).</t>
        </is>
      </c>
    </row>
    <row r="22">
      <c r="A22" t="inlineStr">
        <is>
          <t>Пересборка: python3 scripts/build_investment_model.py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Блохина Елизавета</dc:creator>
  <dcterms:created xsi:type="dcterms:W3CDTF">2026-07-30T09:33:03Z</dcterms:created>
  <dcterms:modified xsi:type="dcterms:W3CDTF">2026-08-04T05:55:29Z</dcterms:modified>
  <cp:lastModifiedBy>Блохина Елизавета</cp:lastModifiedBy>
</cp:coreProperties>
</file>